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chartsheets/sheet30.xml" ContentType="application/vnd.openxmlformats-officedocument.spreadsheetml.chartsheet+xml"/>
  <Override PartName="/xl/chartsheets/sheet31.xml" ContentType="application/vnd.openxmlformats-officedocument.spreadsheetml.chartsheet+xml"/>
  <Override PartName="/xl/chartsheets/sheet32.xml" ContentType="application/vnd.openxmlformats-officedocument.spreadsheetml.chartsheet+xml"/>
  <Override PartName="/xl/chartsheets/sheet33.xml" ContentType="application/vnd.openxmlformats-officedocument.spreadsheetml.chartsheet+xml"/>
  <Override PartName="/xl/chartsheets/sheet34.xml" ContentType="application/vnd.openxmlformats-officedocument.spreadsheetml.chart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chartsheets/sheet38.xml" ContentType="application/vnd.openxmlformats-officedocument.spreadsheetml.chart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chartsheets/sheet39.xml" ContentType="application/vnd.openxmlformats-officedocument.spreadsheetml.chartsheet+xml"/>
  <Override PartName="/xl/chartsheets/sheet40.xml" ContentType="application/vnd.openxmlformats-officedocument.spreadsheetml.chartsheet+xml"/>
  <Override PartName="/xl/chartsheets/sheet41.xml" ContentType="application/vnd.openxmlformats-officedocument.spreadsheetml.chartsheet+xml"/>
  <Override PartName="/xl/chartsheets/sheet42.xml" ContentType="application/vnd.openxmlformats-officedocument.spreadsheetml.chartsheet+xml"/>
  <Override PartName="/xl/chartsheets/sheet43.xml" ContentType="application/vnd.openxmlformats-officedocument.spreadsheetml.chart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1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1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13.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9.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20.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1.xml" ContentType="application/vnd.openxmlformats-officedocument.drawingml.chart+xml"/>
  <Override PartName="/xl/theme/themeOverride1.xml" ContentType="application/vnd.openxmlformats-officedocument.themeOverride+xml"/>
  <Override PartName="/xl/drawings/drawing27.xml" ContentType="application/vnd.openxmlformats-officedocument.drawingml.chartshapes+xml"/>
  <Override PartName="/xl/drawings/drawing28.xml" ContentType="application/vnd.openxmlformats-officedocument.drawing+xml"/>
  <Override PartName="/xl/charts/chart22.xml" ContentType="application/vnd.openxmlformats-officedocument.drawingml.chart+xml"/>
  <Override PartName="/xl/theme/themeOverride2.xml" ContentType="application/vnd.openxmlformats-officedocument.themeOverride+xml"/>
  <Override PartName="/xl/drawings/drawing29.xml" ContentType="application/vnd.openxmlformats-officedocument.drawingml.chartshapes+xml"/>
  <Override PartName="/xl/drawings/drawing30.xml" ContentType="application/vnd.openxmlformats-officedocument.drawing+xml"/>
  <Override PartName="/xl/charts/chart23.xml" ContentType="application/vnd.openxmlformats-officedocument.drawingml.chart+xml"/>
  <Override PartName="/xl/theme/themeOverride3.xml" ContentType="application/vnd.openxmlformats-officedocument.themeOverride+xml"/>
  <Override PartName="/xl/drawings/drawing31.xml" ContentType="application/vnd.openxmlformats-officedocument.drawingml.chartshapes+xml"/>
  <Override PartName="/xl/drawings/drawing32.xml" ContentType="application/vnd.openxmlformats-officedocument.drawing+xml"/>
  <Override PartName="/xl/charts/chart24.xml" ContentType="application/vnd.openxmlformats-officedocument.drawingml.chart+xml"/>
  <Override PartName="/xl/theme/themeOverride4.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25.xml" ContentType="application/vnd.openxmlformats-officedocument.drawingml.chart+xml"/>
  <Override PartName="/xl/theme/themeOverride5.xml" ContentType="application/vnd.openxmlformats-officedocument.themeOverride+xml"/>
  <Override PartName="/xl/drawings/drawing35.xml" ContentType="application/vnd.openxmlformats-officedocument.drawingml.chartshapes+xml"/>
  <Override PartName="/xl/drawings/drawing36.xml" ContentType="application/vnd.openxmlformats-officedocument.drawing+xml"/>
  <Override PartName="/xl/charts/chart26.xml" ContentType="application/vnd.openxmlformats-officedocument.drawingml.chart+xml"/>
  <Override PartName="/xl/theme/themeOverride6.xml" ContentType="application/vnd.openxmlformats-officedocument.themeOverride+xml"/>
  <Override PartName="/xl/drawings/drawing37.xml" ContentType="application/vnd.openxmlformats-officedocument.drawingml.chartshapes+xml"/>
  <Override PartName="/xl/drawings/drawing38.xml" ContentType="application/vnd.openxmlformats-officedocument.drawing+xml"/>
  <Override PartName="/xl/charts/chart27.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8.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29.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30.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31.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32.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33.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34.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35.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36.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37.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38.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omments1.xml" ContentType="application/vnd.openxmlformats-officedocument.spreadsheetml.comments+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63.xml" ContentType="application/vnd.openxmlformats-officedocument.drawing+xml"/>
  <Override PartName="/xl/comments2.xml" ContentType="application/vnd.openxmlformats-officedocument.spreadsheetml.comments+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drawings/drawing64.xml" ContentType="application/vnd.openxmlformats-officedocument.drawing+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drawings/drawing65.xml" ContentType="application/vnd.openxmlformats-officedocument.drawing+xml"/>
  <Override PartName="/xl/drawings/drawing66.xml" ContentType="application/vnd.openxmlformats-officedocument.drawing+xml"/>
  <Override PartName="/xl/charts/chart153.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154.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155.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156.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157.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158.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159.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160.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161.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drawings/drawing85.xml" ContentType="application/vnd.openxmlformats-officedocument.drawing+xml"/>
  <Override PartName="/xl/comments3.xml" ContentType="application/vnd.openxmlformats-officedocument.spreadsheetml.comments+xml"/>
  <Override PartName="/xl/drawings/drawing86.xml" ContentType="application/vnd.openxmlformats-officedocument.drawing+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omments4.xml" ContentType="application/vnd.openxmlformats-officedocument.spreadsheetml.comments+xml"/>
  <Override PartName="/xl/drawings/drawing87.xml" ContentType="application/vnd.openxmlformats-officedocument.drawing+xml"/>
  <Override PartName="/xl/charts/chart170.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171.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172.xml" ContentType="application/vnd.openxmlformats-officedocument.drawingml.chart+xml"/>
  <Override PartName="/xl/drawings/drawing92.xml" ContentType="application/vnd.openxmlformats-officedocument.drawing+xml"/>
  <Override PartName="/xl/charts/chart173.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174.xml" ContentType="application/vnd.openxmlformats-officedocument.drawingml.chart+xml"/>
  <Override PartName="/xl/drawings/drawing9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style8.xml" ContentType="application/vnd.ms-office.chartstyle+xml"/>
  <Override PartName="/xl/charts/colors8.xml" ContentType="application/vnd.ms-office.chartcolorstyle+xml"/>
  <Override PartName="/xl/charts/style9.xml" ContentType="application/vnd.ms-office.chartstyle+xml"/>
  <Override PartName="/xl/charts/colors9.xml" ContentType="application/vnd.ms-office.chartcolorstyle+xml"/>
  <Override PartName="/xl/charts/style10.xml" ContentType="application/vnd.ms-office.chartstyle+xml"/>
  <Override PartName="/xl/charts/colors10.xml" ContentType="application/vnd.ms-office.chartcolorstyle+xml"/>
  <Override PartName="/xl/charts/style11.xml" ContentType="application/vnd.ms-office.chartstyle+xml"/>
  <Override PartName="/xl/charts/colors11.xml" ContentType="application/vnd.ms-office.chartcolorstyle+xml"/>
  <Override PartName="/xl/charts/style12.xml" ContentType="application/vnd.ms-office.chartstyle+xml"/>
  <Override PartName="/xl/charts/colors12.xml" ContentType="application/vnd.ms-office.chartcolorstyle+xml"/>
  <Override PartName="/xl/charts/style13.xml" ContentType="application/vnd.ms-office.chartstyle+xml"/>
  <Override PartName="/xl/charts/colors13.xml" ContentType="application/vnd.ms-office.chartcolorstyle+xml"/>
  <Override PartName="/xl/charts/style14.xml" ContentType="application/vnd.ms-office.chartstyle+xml"/>
  <Override PartName="/xl/charts/colors14.xml" ContentType="application/vnd.ms-office.chartcolorstyle+xml"/>
  <Override PartName="/xl/charts/style15.xml" ContentType="application/vnd.ms-office.chartstyle+xml"/>
  <Override PartName="/xl/charts/colors15.xml" ContentType="application/vnd.ms-office.chartcolorstyle+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8705"/>
  <workbookPr showInkAnnotation="0" autoCompressPictures="0"/>
  <bookViews>
    <workbookView xWindow="4680" yWindow="0" windowWidth="32400" windowHeight="20040" tabRatio="821" activeTab="2"/>
  </bookViews>
  <sheets>
    <sheet name="ReadMe" sheetId="230" r:id="rId1"/>
    <sheet name="T.A0" sheetId="171" r:id="rId2"/>
    <sheet name="T.A1" sheetId="115" r:id="rId3"/>
    <sheet name="T.A2" sheetId="117" r:id="rId4"/>
    <sheet name="T.A2b" sheetId="167" r:id="rId5"/>
    <sheet name="T.A3" sheetId="119" r:id="rId6"/>
    <sheet name="T.A4" sheetId="116" r:id="rId7"/>
    <sheet name=" T.A5" sheetId="120" r:id="rId8"/>
    <sheet name="T.A5b" sheetId="126" r:id="rId9"/>
    <sheet name="T.A5c" sheetId="137" r:id="rId10"/>
    <sheet name="T.A5d" sheetId="138" r:id="rId11"/>
    <sheet name=" T.A6" sheetId="121" r:id="rId12"/>
    <sheet name=" T.A7" sheetId="122" r:id="rId13"/>
    <sheet name=" T.A7b" sheetId="166" r:id="rId14"/>
    <sheet name=" T.A8" sheetId="123" r:id="rId15"/>
    <sheet name=" T.A9" sheetId="127" r:id="rId16"/>
    <sheet name="T.A10" sheetId="132" r:id="rId17"/>
    <sheet name="T.A11" sheetId="128" r:id="rId18"/>
    <sheet name="T.A11b" sheetId="134" r:id="rId19"/>
    <sheet name="T.A12" sheetId="129" r:id="rId20"/>
    <sheet name="T.A12b" sheetId="135" r:id="rId21"/>
    <sheet name="T.A13" sheetId="131" r:id="rId22"/>
    <sheet name="T.A14" sheetId="133" r:id="rId23"/>
    <sheet name="T.A15" sheetId="130" r:id="rId24"/>
    <sheet name="T.A16" sheetId="136" r:id="rId25"/>
    <sheet name="T.A17" sheetId="124" r:id="rId26"/>
    <sheet name="T.A18" sheetId="139" r:id="rId27"/>
    <sheet name="T.A19" sheetId="214" r:id="rId28"/>
    <sheet name="T.A19(slides)" sheetId="215" r:id="rId29"/>
    <sheet name="F.A0" sheetId="216" r:id="rId30"/>
    <sheet name="F.A1" sheetId="111" r:id="rId31"/>
    <sheet name="F.A1b" sheetId="189" r:id="rId32"/>
    <sheet name="F.A1c" sheetId="190" r:id="rId33"/>
    <sheet name="F.A1d" sheetId="192" r:id="rId34"/>
    <sheet name="F.A2" sheetId="34" r:id="rId35"/>
    <sheet name="F.A2b" sheetId="74" r:id="rId36"/>
    <sheet name="F.A2c" sheetId="30" r:id="rId37"/>
    <sheet name="F.A2d" sheetId="75" r:id="rId38"/>
    <sheet name="F.A2e" sheetId="77" r:id="rId39"/>
    <sheet name="F.A2f" sheetId="78" r:id="rId40"/>
    <sheet name="F.A3" sheetId="64" r:id="rId41"/>
    <sheet name="F.A3b" sheetId="102" r:id="rId42"/>
    <sheet name="F.A3c" sheetId="67" r:id="rId43"/>
    <sheet name="F.A3d" sheetId="73" r:id="rId44"/>
    <sheet name="F.A3e" sheetId="66" r:id="rId45"/>
    <sheet name="F.A3f" sheetId="68" r:id="rId46"/>
    <sheet name="F.A4" sheetId="65" r:id="rId47"/>
    <sheet name="F.A5" sheetId="165" r:id="rId48"/>
    <sheet name="F.A6" sheetId="193" r:id="rId49"/>
    <sheet name="F.A7" sheetId="194" r:id="rId50"/>
    <sheet name="F.A8" sheetId="173" r:id="rId51"/>
    <sheet name="F.A9" sheetId="170" r:id="rId52"/>
    <sheet name="F.A9b" sheetId="168" r:id="rId53"/>
    <sheet name="F.A10" sheetId="169" r:id="rId54"/>
    <sheet name="F.A11" sheetId="208" r:id="rId55"/>
    <sheet name="F.A11b" sheetId="164" r:id="rId56"/>
    <sheet name="F.A12" sheetId="212" r:id="rId57"/>
    <sheet name="F.A12b" sheetId="210" r:id="rId58"/>
    <sheet name="DataFA1bc" sheetId="191" r:id="rId59"/>
    <sheet name="DataFA8" sheetId="172" r:id="rId60"/>
    <sheet name="DataFA12" sheetId="211" r:id="rId61"/>
    <sheet name="Assets(BoP)" sheetId="9" r:id="rId62"/>
    <sheet name="Assets(MOFA)" sheetId="96" r:id="rId63"/>
    <sheet name="Liabilities" sheetId="83" r:id="rId64"/>
    <sheet name="AppendixA(US)" sheetId="162" r:id="rId65"/>
    <sheet name="AppendixB(CrossCountry)" sheetId="141" r:id="rId66"/>
    <sheet name="T.B1 " sheetId="195" r:id="rId67"/>
    <sheet name="T.B2" sheetId="196" r:id="rId68"/>
    <sheet name="T.B3" sheetId="197" r:id="rId69"/>
    <sheet name="T.B4a" sheetId="198" r:id="rId70"/>
    <sheet name="T.B4b" sheetId="199" r:id="rId71"/>
    <sheet name="T.B4c" sheetId="200" r:id="rId72"/>
    <sheet name="T.B5" sheetId="201" r:id="rId73"/>
    <sheet name="T.B6" sheetId="202" r:id="rId74"/>
    <sheet name="T.B7" sheetId="203" r:id="rId75"/>
    <sheet name="T.B8" sheetId="204" r:id="rId76"/>
    <sheet name="FB1a" sheetId="221" r:id="rId77"/>
    <sheet name="F.B1b" sheetId="222" r:id="rId78"/>
    <sheet name="F.B1c" sheetId="223" r:id="rId79"/>
    <sheet name="F.B2" sheetId="224" r:id="rId80"/>
    <sheet name="F.B2b" sheetId="225" r:id="rId81"/>
    <sheet name="F.B2c" sheetId="226" r:id="rId82"/>
    <sheet name="F.B2d" sheetId="227" r:id="rId83"/>
    <sheet name="F.B3" sheetId="228" r:id="rId84"/>
    <sheet name="F.B4" sheetId="229" r:id="rId85"/>
    <sheet name="NotesFB2" sheetId="217" r:id="rId86"/>
    <sheet name="NotesFB2b" sheetId="218" r:id="rId87"/>
    <sheet name="NotesFB2c" sheetId="219" r:id="rId88"/>
    <sheet name="DataFB2" sheetId="220" r:id="rId89"/>
    <sheet name="NotesFB3" sheetId="205" r:id="rId90"/>
    <sheet name="DataFB3" sheetId="176" r:id="rId91"/>
    <sheet name="DataFB1a" sheetId="183" r:id="rId92"/>
    <sheet name="DataFB1b" sheetId="184" r:id="rId93"/>
    <sheet name="DataFB1c" sheetId="185" r:id="rId94"/>
    <sheet name="RawData" sheetId="31" r:id="rId95"/>
    <sheet name="NIPA" sheetId="105" r:id="rId96"/>
    <sheet name="NIPA_1.12" sheetId="8" r:id="rId97"/>
    <sheet name="NIPA_1.14" sheetId="19" r:id="rId98"/>
    <sheet name="NIPA_7.16" sheetId="10" r:id="rId99"/>
    <sheet name="NIPA_4.1" sheetId="11" r:id="rId100"/>
    <sheet name="NIPA_Scorp" sheetId="45" r:id="rId101"/>
    <sheet name="MOFA" sheetId="108" r:id="rId102"/>
    <sheet name="MOFA_inc_ind09" sheetId="99" r:id="rId103"/>
    <sheet name="MOFA_inc97" sheetId="97" r:id="rId104"/>
    <sheet name="MOFA_inc09" sheetId="98" r:id="rId105"/>
    <sheet name="OECD_Comp10" sheetId="95" r:id="rId106"/>
    <sheet name="OECD_Comp86" sheetId="92" r:id="rId107"/>
    <sheet name="OECD_OS" sheetId="94" r:id="rId108"/>
    <sheet name="ITA-IIP" sheetId="109" r:id="rId109"/>
    <sheet name="ITA_1.1" sheetId="82" r:id="rId110"/>
    <sheet name="ITA_1(old)" sheetId="20" r:id="rId111"/>
    <sheet name="ITA_4.1" sheetId="59" r:id="rId112"/>
    <sheet name="ITA_4.2" sheetId="61" r:id="rId113"/>
    <sheet name="IIP_1.1" sheetId="81" r:id="rId114"/>
    <sheet name="IIP_1.2" sheetId="112" r:id="rId115"/>
    <sheet name="IIP_2.1" sheetId="62" r:id="rId116"/>
    <sheet name="USDIA" sheetId="106" r:id="rId117"/>
    <sheet name="USDIA_inc" sheetId="21" r:id="rId118"/>
    <sheet name="USDIA_inc_Ind" sheetId="87" r:id="rId119"/>
    <sheet name="USDIA_ret" sheetId="23" r:id="rId120"/>
    <sheet name="USDIA_flow" sheetId="16" r:id="rId121"/>
    <sheet name="USDIA_eqflow" sheetId="24" r:id="rId122"/>
    <sheet name="USDIA_debtflow" sheetId="25" r:id="rId123"/>
    <sheet name="USDIA_assets" sheetId="26" r:id="rId124"/>
    <sheet name="USDIA_assets99" sheetId="125" r:id="rId125"/>
    <sheet name="FDIUS" sheetId="107" r:id="rId126"/>
    <sheet name="FDIUS_inc" sheetId="84" r:id="rId127"/>
    <sheet name="FDIUS_debtflow" sheetId="85" r:id="rId128"/>
    <sheet name="FDIUS_Liab" sheetId="86" r:id="rId129"/>
    <sheet name="CrosCountry" sheetId="140" r:id="rId130"/>
    <sheet name="Ext returns comps" sheetId="159" r:id="rId131"/>
    <sheet name="BEA int transactions" sheetId="160" r:id="rId132"/>
    <sheet name="Changes in position data" sheetId="161" r:id="rId133"/>
    <sheet name="BOPS IIP raw" sheetId="158" r:id="rId134"/>
    <sheet name="outw share" sheetId="156" r:id="rId135"/>
    <sheet name="outw" sheetId="157" r:id="rId136"/>
    <sheet name="US DI position 170618" sheetId="174" r:id="rId137"/>
    <sheet name="US DI inc 170618" sheetId="175" r:id="rId138"/>
    <sheet name="misc" sheetId="152" r:id="rId139"/>
    <sheet name="OtherData" sheetId="104" r:id="rId140"/>
    <sheet name="FoF_RoW" sheetId="163" r:id="rId141"/>
    <sheet name="Fedtax" sheetId="47" r:id="rId142"/>
    <sheet name="ReconciliationIRS" sheetId="88" r:id="rId143"/>
    <sheet name="OldChartsFromZucmanJEP2014" sheetId="118" r:id="rId144"/>
    <sheet name="Chart4" sheetId="48" r:id="rId145"/>
    <sheet name="Chart5" sheetId="37" r:id="rId146"/>
    <sheet name="Chart5b" sheetId="60" r:id="rId147"/>
    <sheet name="Chart5c" sheetId="80" r:id="rId148"/>
    <sheet name="Chart7" sheetId="35" r:id="rId149"/>
  </sheets>
  <definedNames>
    <definedName name="column_headings" localSheetId="7">#REF!</definedName>
    <definedName name="column_headings" localSheetId="11">#REF!</definedName>
    <definedName name="column_headings" localSheetId="12">#REF!</definedName>
    <definedName name="column_headings" localSheetId="13">#REF!</definedName>
    <definedName name="column_headings" localSheetId="14">#REF!</definedName>
    <definedName name="column_headings" localSheetId="15">#REF!</definedName>
    <definedName name="column_headings" localSheetId="25">#REF!</definedName>
    <definedName name="column_headings" localSheetId="3">#REF!</definedName>
    <definedName name="column_headings" localSheetId="4">#REF!</definedName>
    <definedName name="column_headings" localSheetId="6">#REF!</definedName>
    <definedName name="column_numbers" localSheetId="7">#REF!</definedName>
    <definedName name="column_numbers" localSheetId="11">#REF!</definedName>
    <definedName name="column_numbers" localSheetId="12">#REF!</definedName>
    <definedName name="column_numbers" localSheetId="13">#REF!</definedName>
    <definedName name="column_numbers" localSheetId="14">#REF!</definedName>
    <definedName name="column_numbers" localSheetId="15">#REF!</definedName>
    <definedName name="column_numbers" localSheetId="25">#REF!</definedName>
    <definedName name="column_numbers" localSheetId="3">#REF!</definedName>
    <definedName name="column_numbers" localSheetId="4">#REF!</definedName>
    <definedName name="column_numbers" localSheetId="6">#REF!</definedName>
    <definedName name="d" localSheetId="7">#REF!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25">#REF!</definedName>
    <definedName name="d" localSheetId="3">#REF!</definedName>
    <definedName name="d" localSheetId="4">#REF!</definedName>
    <definedName name="d" localSheetId="6">#REF!</definedName>
    <definedName name="data" localSheetId="7">#REF!</definedName>
    <definedName name="data" localSheetId="11">#REF!</definedName>
    <definedName name="data" localSheetId="12">#REF!</definedName>
    <definedName name="data" localSheetId="13">#REF!</definedName>
    <definedName name="data" localSheetId="14">#REF!</definedName>
    <definedName name="data" localSheetId="15">#REF!</definedName>
    <definedName name="data" localSheetId="25">#REF!</definedName>
    <definedName name="data" localSheetId="3">#REF!</definedName>
    <definedName name="data" localSheetId="4">#REF!</definedName>
    <definedName name="data" localSheetId="6">#REF!</definedName>
    <definedName name="e" localSheetId="7">#REF!</definedName>
    <definedName name="e" localSheetId="11">#REF!</definedName>
    <definedName name="e" localSheetId="12">#REF!</definedName>
    <definedName name="e" localSheetId="13">#REF!</definedName>
    <definedName name="e" localSheetId="14">#REF!</definedName>
    <definedName name="e" localSheetId="15">#REF!</definedName>
    <definedName name="e" localSheetId="25">#REF!</definedName>
    <definedName name="e" localSheetId="3">#REF!</definedName>
    <definedName name="e" localSheetId="4">#REF!</definedName>
    <definedName name="e" localSheetId="6">#REF!</definedName>
    <definedName name="ea_flux" localSheetId="7">#REF!</definedName>
    <definedName name="ea_flux" localSheetId="11">#REF!</definedName>
    <definedName name="ea_flux" localSheetId="12">#REF!</definedName>
    <definedName name="ea_flux" localSheetId="13">#REF!</definedName>
    <definedName name="ea_flux" localSheetId="14">#REF!</definedName>
    <definedName name="ea_flux" localSheetId="15">#REF!</definedName>
    <definedName name="ea_flux" localSheetId="25">#REF!</definedName>
    <definedName name="ea_flux" localSheetId="3">#REF!</definedName>
    <definedName name="ea_flux" localSheetId="4">#REF!</definedName>
    <definedName name="ea_flux" localSheetId="6">#REF!</definedName>
    <definedName name="Equilibre" localSheetId="7">#REF!</definedName>
    <definedName name="Equilibre" localSheetId="11">#REF!</definedName>
    <definedName name="Equilibre" localSheetId="12">#REF!</definedName>
    <definedName name="Equilibre" localSheetId="13">#REF!</definedName>
    <definedName name="Equilibre" localSheetId="14">#REF!</definedName>
    <definedName name="Equilibre" localSheetId="15">#REF!</definedName>
    <definedName name="Equilibre" localSheetId="25">#REF!</definedName>
    <definedName name="Equilibre" localSheetId="3">#REF!</definedName>
    <definedName name="Equilibre" localSheetId="4">#REF!</definedName>
    <definedName name="Equilibre" localSheetId="6">#REF!</definedName>
    <definedName name="f" localSheetId="7">#REF!</definedName>
    <definedName name="f" localSheetId="11">#REF!</definedName>
    <definedName name="f" localSheetId="12">#REF!</definedName>
    <definedName name="f" localSheetId="13">#REF!</definedName>
    <definedName name="f" localSheetId="14">#REF!</definedName>
    <definedName name="f" localSheetId="15">#REF!</definedName>
    <definedName name="f" localSheetId="25">#REF!</definedName>
    <definedName name="f" localSheetId="3">#REF!</definedName>
    <definedName name="f" localSheetId="4">#REF!</definedName>
    <definedName name="f" localSheetId="6">#REF!</definedName>
    <definedName name="footnotes" localSheetId="7">#REF!</definedName>
    <definedName name="footnotes" localSheetId="11">#REF!</definedName>
    <definedName name="footnotes" localSheetId="12">#REF!</definedName>
    <definedName name="footnotes" localSheetId="13">#REF!</definedName>
    <definedName name="footnotes" localSheetId="14">#REF!</definedName>
    <definedName name="footnotes" localSheetId="15">#REF!</definedName>
    <definedName name="footnotes" localSheetId="25">#REF!</definedName>
    <definedName name="footnotes" localSheetId="3">#REF!</definedName>
    <definedName name="footnotes" localSheetId="4">#REF!</definedName>
    <definedName name="footnotes" localSheetId="6">#REF!</definedName>
    <definedName name="gg" localSheetId="7">#REF!</definedName>
    <definedName name="gg" localSheetId="11">#REF!</definedName>
    <definedName name="gg" localSheetId="12">#REF!</definedName>
    <definedName name="gg" localSheetId="13">#REF!</definedName>
    <definedName name="gg" localSheetId="14">#REF!</definedName>
    <definedName name="gg" localSheetId="15">#REF!</definedName>
    <definedName name="gg" localSheetId="25">#REF!</definedName>
    <definedName name="gg" localSheetId="3">#REF!</definedName>
    <definedName name="gg" localSheetId="4">#REF!</definedName>
    <definedName name="gg" localSheetId="6">#REF!</definedName>
    <definedName name="head" localSheetId="7">#REF!</definedName>
    <definedName name="head" localSheetId="11">#REF!</definedName>
    <definedName name="head" localSheetId="12">#REF!</definedName>
    <definedName name="head" localSheetId="13">#REF!</definedName>
    <definedName name="head" localSheetId="14">#REF!</definedName>
    <definedName name="head" localSheetId="15">#REF!</definedName>
    <definedName name="head" localSheetId="25">#REF!</definedName>
    <definedName name="head" localSheetId="3">#REF!</definedName>
    <definedName name="head" localSheetId="4">#REF!</definedName>
    <definedName name="head" localSheetId="6">#REF!</definedName>
    <definedName name="_xlnm.Print_Titles" localSheetId="141">Fedtax!$A:$A,Fedtax!$1:$3</definedName>
    <definedName name="name" localSheetId="7">#REF!</definedName>
    <definedName name="name" localSheetId="11">#REF!</definedName>
    <definedName name="name" localSheetId="12">#REF!</definedName>
    <definedName name="name" localSheetId="13">#REF!</definedName>
    <definedName name="name" localSheetId="14">#REF!</definedName>
    <definedName name="name" localSheetId="15">#REF!</definedName>
    <definedName name="name" localSheetId="25">#REF!</definedName>
    <definedName name="name" localSheetId="3">#REF!</definedName>
    <definedName name="name" localSheetId="4">#REF!</definedName>
    <definedName name="name" localSheetId="6">#REF!</definedName>
    <definedName name="name2" localSheetId="7">#REF!</definedName>
    <definedName name="name2" localSheetId="11">#REF!</definedName>
    <definedName name="name2" localSheetId="12">#REF!</definedName>
    <definedName name="name2" localSheetId="13">#REF!</definedName>
    <definedName name="name2" localSheetId="14">#REF!</definedName>
    <definedName name="name2" localSheetId="15">#REF!</definedName>
    <definedName name="name2" localSheetId="25">#REF!</definedName>
    <definedName name="name2" localSheetId="3">#REF!</definedName>
    <definedName name="name2" localSheetId="4">#REF!</definedName>
    <definedName name="name2" localSheetId="6">#REF!</definedName>
    <definedName name="name3" localSheetId="7">#REF!</definedName>
    <definedName name="name3" localSheetId="11">#REF!</definedName>
    <definedName name="name3" localSheetId="12">#REF!</definedName>
    <definedName name="name3" localSheetId="13">#REF!</definedName>
    <definedName name="name3" localSheetId="14">#REF!</definedName>
    <definedName name="name3" localSheetId="15">#REF!</definedName>
    <definedName name="name3" localSheetId="25">#REF!</definedName>
    <definedName name="name3" localSheetId="3">#REF!</definedName>
    <definedName name="name3" localSheetId="4">#REF!</definedName>
    <definedName name="name3" localSheetId="6">#REF!</definedName>
    <definedName name="name4" localSheetId="7">#REF!</definedName>
    <definedName name="name4" localSheetId="11">#REF!</definedName>
    <definedName name="name4" localSheetId="12">#REF!</definedName>
    <definedName name="name4" localSheetId="13">#REF!</definedName>
    <definedName name="name4" localSheetId="14">#REF!</definedName>
    <definedName name="name4" localSheetId="15">#REF!</definedName>
    <definedName name="name4" localSheetId="25">#REF!</definedName>
    <definedName name="name4" localSheetId="3">#REF!</definedName>
    <definedName name="name4" localSheetId="4">#REF!</definedName>
    <definedName name="name4" localSheetId="6">#REF!</definedName>
    <definedName name="nb" localSheetId="7">#REF!</definedName>
    <definedName name="nb" localSheetId="11">#REF!</definedName>
    <definedName name="nb" localSheetId="12">#REF!</definedName>
    <definedName name="nb" localSheetId="13">#REF!</definedName>
    <definedName name="nb" localSheetId="14">#REF!</definedName>
    <definedName name="nb" localSheetId="15">#REF!</definedName>
    <definedName name="nb" localSheetId="25">#REF!</definedName>
    <definedName name="nb" localSheetId="3">#REF!</definedName>
    <definedName name="nb" localSheetId="4">#REF!</definedName>
    <definedName name="nb" localSheetId="6">#REF!</definedName>
    <definedName name="PIB" localSheetId="7">#REF!</definedName>
    <definedName name="PIB" localSheetId="11">#REF!</definedName>
    <definedName name="PIB" localSheetId="12">#REF!</definedName>
    <definedName name="PIB" localSheetId="13">#REF!</definedName>
    <definedName name="PIB" localSheetId="14">#REF!</definedName>
    <definedName name="PIB" localSheetId="15">#REF!</definedName>
    <definedName name="PIB" localSheetId="25">#REF!</definedName>
    <definedName name="PIB" localSheetId="3">#REF!</definedName>
    <definedName name="PIB" localSheetId="4">#REF!</definedName>
    <definedName name="PIB" localSheetId="6">#REF!</definedName>
    <definedName name="ressources" localSheetId="7">#REF!</definedName>
    <definedName name="ressources" localSheetId="11">#REF!</definedName>
    <definedName name="ressources" localSheetId="12">#REF!</definedName>
    <definedName name="ressources" localSheetId="13">#REF!</definedName>
    <definedName name="ressources" localSheetId="14">#REF!</definedName>
    <definedName name="ressources" localSheetId="15">#REF!</definedName>
    <definedName name="ressources" localSheetId="25">#REF!</definedName>
    <definedName name="ressources" localSheetId="3">#REF!</definedName>
    <definedName name="ressources" localSheetId="4">#REF!</definedName>
    <definedName name="ressources" localSheetId="6">#REF!</definedName>
    <definedName name="rpflux" localSheetId="7">#REF!</definedName>
    <definedName name="rpflux" localSheetId="11">#REF!</definedName>
    <definedName name="rpflux" localSheetId="12">#REF!</definedName>
    <definedName name="rpflux" localSheetId="13">#REF!</definedName>
    <definedName name="rpflux" localSheetId="14">#REF!</definedName>
    <definedName name="rpflux" localSheetId="15">#REF!</definedName>
    <definedName name="rpflux" localSheetId="25">#REF!</definedName>
    <definedName name="rpflux" localSheetId="3">#REF!</definedName>
    <definedName name="rpflux" localSheetId="4">#REF!</definedName>
    <definedName name="rpflux" localSheetId="6">#REF!</definedName>
    <definedName name="rptof" localSheetId="7">#REF!</definedName>
    <definedName name="rptof" localSheetId="11">#REF!</definedName>
    <definedName name="rptof" localSheetId="12">#REF!</definedName>
    <definedName name="rptof" localSheetId="13">#REF!</definedName>
    <definedName name="rptof" localSheetId="14">#REF!</definedName>
    <definedName name="rptof" localSheetId="15">#REF!</definedName>
    <definedName name="rptof" localSheetId="25">#REF!</definedName>
    <definedName name="rptof" localSheetId="3">#REF!</definedName>
    <definedName name="rptof" localSheetId="4">#REF!</definedName>
    <definedName name="rptof" localSheetId="6">#REF!</definedName>
    <definedName name="spanners_level1" localSheetId="7">#REF!</definedName>
    <definedName name="spanners_level1" localSheetId="11">#REF!</definedName>
    <definedName name="spanners_level1" localSheetId="12">#REF!</definedName>
    <definedName name="spanners_level1" localSheetId="13">#REF!</definedName>
    <definedName name="spanners_level1" localSheetId="14">#REF!</definedName>
    <definedName name="spanners_level1" localSheetId="15">#REF!</definedName>
    <definedName name="spanners_level1" localSheetId="25">#REF!</definedName>
    <definedName name="spanners_level1" localSheetId="3">#REF!</definedName>
    <definedName name="spanners_level1" localSheetId="4">#REF!</definedName>
    <definedName name="spanners_level1" localSheetId="6">#REF!</definedName>
    <definedName name="spanners_level2" localSheetId="7">#REF!</definedName>
    <definedName name="spanners_level2" localSheetId="11">#REF!</definedName>
    <definedName name="spanners_level2" localSheetId="12">#REF!</definedName>
    <definedName name="spanners_level2" localSheetId="13">#REF!</definedName>
    <definedName name="spanners_level2" localSheetId="14">#REF!</definedName>
    <definedName name="spanners_level2" localSheetId="15">#REF!</definedName>
    <definedName name="spanners_level2" localSheetId="25">#REF!</definedName>
    <definedName name="spanners_level2" localSheetId="3">#REF!</definedName>
    <definedName name="spanners_level2" localSheetId="4">#REF!</definedName>
    <definedName name="spanners_level2" localSheetId="6">#REF!</definedName>
    <definedName name="spanners_level3" localSheetId="7">#REF!</definedName>
    <definedName name="spanners_level3" localSheetId="11">#REF!</definedName>
    <definedName name="spanners_level3" localSheetId="12">#REF!</definedName>
    <definedName name="spanners_level3" localSheetId="13">#REF!</definedName>
    <definedName name="spanners_level3" localSheetId="14">#REF!</definedName>
    <definedName name="spanners_level3" localSheetId="15">#REF!</definedName>
    <definedName name="spanners_level3" localSheetId="25">#REF!</definedName>
    <definedName name="spanners_level3" localSheetId="3">#REF!</definedName>
    <definedName name="spanners_level3" localSheetId="4">#REF!</definedName>
    <definedName name="spanners_level3" localSheetId="6">#REF!</definedName>
    <definedName name="spanners_level4" localSheetId="7">#REF!</definedName>
    <definedName name="spanners_level4" localSheetId="11">#REF!</definedName>
    <definedName name="spanners_level4" localSheetId="12">#REF!</definedName>
    <definedName name="spanners_level4" localSheetId="13">#REF!</definedName>
    <definedName name="spanners_level4" localSheetId="14">#REF!</definedName>
    <definedName name="spanners_level4" localSheetId="15">#REF!</definedName>
    <definedName name="spanners_level4" localSheetId="25">#REF!</definedName>
    <definedName name="spanners_level4" localSheetId="3">#REF!</definedName>
    <definedName name="spanners_level4" localSheetId="4">#REF!</definedName>
    <definedName name="spanners_level4" localSheetId="6">#REF!</definedName>
    <definedName name="spanners_level5" localSheetId="7">#REF!</definedName>
    <definedName name="spanners_level5" localSheetId="11">#REF!</definedName>
    <definedName name="spanners_level5" localSheetId="12">#REF!</definedName>
    <definedName name="spanners_level5" localSheetId="13">#REF!</definedName>
    <definedName name="spanners_level5" localSheetId="14">#REF!</definedName>
    <definedName name="spanners_level5" localSheetId="15">#REF!</definedName>
    <definedName name="spanners_level5" localSheetId="25">#REF!</definedName>
    <definedName name="spanners_level5" localSheetId="3">#REF!</definedName>
    <definedName name="spanners_level5" localSheetId="4">#REF!</definedName>
    <definedName name="spanners_level5" localSheetId="6">#REF!</definedName>
    <definedName name="stub_lines" localSheetId="7">#REF!</definedName>
    <definedName name="stub_lines" localSheetId="11">#REF!</definedName>
    <definedName name="stub_lines" localSheetId="12">#REF!</definedName>
    <definedName name="stub_lines" localSheetId="13">#REF!</definedName>
    <definedName name="stub_lines" localSheetId="14">#REF!</definedName>
    <definedName name="stub_lines" localSheetId="15">#REF!</definedName>
    <definedName name="stub_lines" localSheetId="25">#REF!</definedName>
    <definedName name="stub_lines" localSheetId="3">#REF!</definedName>
    <definedName name="stub_lines" localSheetId="4">#REF!</definedName>
    <definedName name="stub_lines" localSheetId="6">#REF!</definedName>
    <definedName name="titles" localSheetId="7">#REF!</definedName>
    <definedName name="titles" localSheetId="11">#REF!</definedName>
    <definedName name="titles" localSheetId="12">#REF!</definedName>
    <definedName name="titles" localSheetId="13">#REF!</definedName>
    <definedName name="titles" localSheetId="14">#REF!</definedName>
    <definedName name="titles" localSheetId="15">#REF!</definedName>
    <definedName name="titles" localSheetId="25">#REF!</definedName>
    <definedName name="titles" localSheetId="3">#REF!</definedName>
    <definedName name="titles" localSheetId="4">#REF!</definedName>
    <definedName name="titles" localSheetId="6">#REF!</definedName>
    <definedName name="totals" localSheetId="7">#REF!</definedName>
    <definedName name="totals" localSheetId="11">#REF!</definedName>
    <definedName name="totals" localSheetId="12">#REF!</definedName>
    <definedName name="totals" localSheetId="13">#REF!</definedName>
    <definedName name="totals" localSheetId="14">#REF!</definedName>
    <definedName name="totals" localSheetId="15">#REF!</definedName>
    <definedName name="totals" localSheetId="25">#REF!</definedName>
    <definedName name="totals" localSheetId="3">#REF!</definedName>
    <definedName name="totals" localSheetId="4">#REF!</definedName>
    <definedName name="totals" localSheetId="6">#REF!</definedName>
    <definedName name="_xlnm.Print_Area" localSheetId="141">Fedtax!$B$4:$BP$47</definedName>
    <definedName name="_xlnm.Print_Area" localSheetId="100">NIPA_Scorp!$A$1:$H$30</definedName>
    <definedName name="_xlnm.Print_Area" localSheetId="1">T.A0!$A$2:$H$41</definedName>
  </definedNames>
  <calcPr calcId="140001" concurrentCalc="0"/>
  <extLst>
    <ext xmlns:mx="http://schemas.microsoft.com/office/mac/excel/2008/main" uri="{7523E5D3-25F3-A5E0-1632-64F254C22452}">
      <mx:ArchID Flags="2"/>
    </ex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I61" i="96" l="1"/>
  <c r="GE61" i="96"/>
  <c r="AN61" i="96"/>
  <c r="GA61" i="96"/>
  <c r="HJ61" i="96"/>
  <c r="HE61" i="96"/>
  <c r="AK61" i="96"/>
  <c r="GO61" i="96"/>
  <c r="FX61" i="96"/>
  <c r="AH61" i="96"/>
  <c r="FT61" i="96"/>
  <c r="HA61" i="96"/>
  <c r="AE61" i="96"/>
  <c r="AQ61" i="96"/>
  <c r="EG61" i="96"/>
  <c r="C60" i="134"/>
  <c r="C60" i="132"/>
  <c r="C60" i="131"/>
  <c r="C60" i="133"/>
  <c r="D60" i="131"/>
  <c r="E60" i="131"/>
  <c r="B60" i="134"/>
  <c r="Z61" i="96"/>
  <c r="AC61" i="96"/>
  <c r="AF61" i="96"/>
  <c r="AI61" i="96"/>
  <c r="AL61" i="96"/>
  <c r="AO61" i="96"/>
  <c r="AR61" i="96"/>
  <c r="BS61" i="96"/>
  <c r="D60" i="134"/>
  <c r="E60" i="134"/>
  <c r="D60" i="132"/>
  <c r="D60" i="133"/>
  <c r="E60" i="132"/>
  <c r="E60" i="133"/>
  <c r="M60" i="134"/>
  <c r="GG61" i="96"/>
  <c r="FN61" i="96"/>
  <c r="FQ61" i="96"/>
  <c r="GH61" i="96"/>
  <c r="C60" i="119"/>
  <c r="CM61" i="96"/>
  <c r="CJ61" i="96"/>
  <c r="CG61" i="96"/>
  <c r="CD61" i="96"/>
  <c r="CA61" i="96"/>
  <c r="BX61" i="96"/>
  <c r="CP61" i="96"/>
  <c r="BY61" i="96"/>
  <c r="CB61" i="96"/>
  <c r="CE61" i="96"/>
  <c r="CH61" i="96"/>
  <c r="CK61" i="96"/>
  <c r="CN61" i="96"/>
  <c r="CQ61" i="96"/>
  <c r="B60" i="119"/>
  <c r="D60" i="119"/>
  <c r="E60" i="119"/>
  <c r="AP61" i="96"/>
  <c r="AS61" i="96"/>
  <c r="AT61" i="96"/>
  <c r="BT61" i="96"/>
  <c r="BU61" i="96"/>
  <c r="D60" i="135"/>
  <c r="E60" i="135"/>
  <c r="J61" i="96"/>
  <c r="C60" i="135"/>
  <c r="M60" i="135"/>
  <c r="J60" i="115"/>
  <c r="C60" i="117"/>
  <c r="F60" i="117"/>
  <c r="I60" i="119"/>
  <c r="BW61" i="96"/>
  <c r="E60" i="115"/>
  <c r="DE61" i="96"/>
  <c r="B60" i="117"/>
  <c r="E60" i="117"/>
  <c r="H60" i="119"/>
  <c r="J60" i="119"/>
  <c r="K60" i="119"/>
  <c r="M60" i="131"/>
  <c r="D60" i="117"/>
  <c r="K60" i="117"/>
  <c r="H60" i="117"/>
  <c r="L60" i="119"/>
  <c r="G60" i="117"/>
  <c r="L60" i="117"/>
  <c r="P59" i="123"/>
  <c r="D59" i="123"/>
  <c r="G59" i="123"/>
  <c r="O59" i="123"/>
  <c r="H59" i="123"/>
  <c r="I59" i="123"/>
  <c r="K59" i="123"/>
  <c r="L59" i="123"/>
  <c r="T59" i="123"/>
  <c r="Q59" i="127"/>
  <c r="R59" i="127"/>
  <c r="KL61" i="96"/>
  <c r="B60" i="128"/>
  <c r="C60" i="128"/>
  <c r="H60" i="128"/>
  <c r="KM61" i="96"/>
  <c r="B60" i="129"/>
  <c r="C60" i="129"/>
  <c r="H60" i="129"/>
  <c r="B60" i="130"/>
  <c r="D60" i="128"/>
  <c r="I60" i="128"/>
  <c r="D60" i="129"/>
  <c r="I60" i="129"/>
  <c r="C60" i="130"/>
  <c r="J60" i="128"/>
  <c r="J60" i="129"/>
  <c r="D60" i="130"/>
  <c r="K60" i="128"/>
  <c r="K60" i="129"/>
  <c r="E60" i="130"/>
  <c r="E60" i="128"/>
  <c r="L60" i="128"/>
  <c r="E60" i="129"/>
  <c r="L60" i="129"/>
  <c r="F60" i="130"/>
  <c r="M60" i="128"/>
  <c r="M60" i="129"/>
  <c r="G60" i="130"/>
  <c r="GE41" i="96"/>
  <c r="GE42" i="96"/>
  <c r="GE43" i="96"/>
  <c r="GE44" i="96"/>
  <c r="GE45" i="96"/>
  <c r="GE46" i="96"/>
  <c r="GE47" i="96"/>
  <c r="GE48" i="96"/>
  <c r="GE49" i="96"/>
  <c r="GE50" i="96"/>
  <c r="GE51" i="96"/>
  <c r="GE52" i="96"/>
  <c r="GE53" i="96"/>
  <c r="GE54" i="96"/>
  <c r="GE55" i="96"/>
  <c r="GE56" i="96"/>
  <c r="GE57" i="96"/>
  <c r="GE58" i="96"/>
  <c r="GE59" i="96"/>
  <c r="GE60" i="96"/>
  <c r="GA44" i="96"/>
  <c r="GA45" i="96"/>
  <c r="GA46" i="96"/>
  <c r="GA47" i="96"/>
  <c r="GA48" i="96"/>
  <c r="GA49" i="96"/>
  <c r="GA50" i="96"/>
  <c r="GA51" i="96"/>
  <c r="GA52" i="96"/>
  <c r="GA53" i="96"/>
  <c r="GA54" i="96"/>
  <c r="GA55" i="96"/>
  <c r="GA56" i="96"/>
  <c r="GA57" i="96"/>
  <c r="GA58" i="96"/>
  <c r="GA59" i="96"/>
  <c r="GA60" i="96"/>
  <c r="GO44" i="96"/>
  <c r="GO43" i="96"/>
  <c r="FX44" i="96"/>
  <c r="GO45" i="96"/>
  <c r="FX45" i="96"/>
  <c r="GO46" i="96"/>
  <c r="FX46" i="96"/>
  <c r="GO47" i="96"/>
  <c r="FX47" i="96"/>
  <c r="GO48" i="96"/>
  <c r="FX48" i="96"/>
  <c r="GO49" i="96"/>
  <c r="FX49" i="96"/>
  <c r="GO50" i="96"/>
  <c r="FX50" i="96"/>
  <c r="GO51" i="96"/>
  <c r="FX51" i="96"/>
  <c r="GO52" i="96"/>
  <c r="FX52" i="96"/>
  <c r="GO53" i="96"/>
  <c r="FX53" i="96"/>
  <c r="GO54" i="96"/>
  <c r="FX54" i="96"/>
  <c r="GO55" i="96"/>
  <c r="FX55" i="96"/>
  <c r="GO56" i="96"/>
  <c r="FX56" i="96"/>
  <c r="GO57" i="96"/>
  <c r="FX57" i="96"/>
  <c r="GO58" i="96"/>
  <c r="FX58" i="96"/>
  <c r="GO59" i="96"/>
  <c r="FX59" i="96"/>
  <c r="GO60" i="96"/>
  <c r="FX60" i="96"/>
  <c r="FT44" i="96"/>
  <c r="FT45" i="96"/>
  <c r="FT46" i="96"/>
  <c r="FT47" i="96"/>
  <c r="FT48" i="96"/>
  <c r="FT49" i="96"/>
  <c r="FT50" i="96"/>
  <c r="FT51" i="96"/>
  <c r="FT52" i="96"/>
  <c r="FT53" i="96"/>
  <c r="FT54" i="96"/>
  <c r="FT55" i="96"/>
  <c r="FT56" i="96"/>
  <c r="FT57" i="96"/>
  <c r="FT58" i="96"/>
  <c r="FT59" i="96"/>
  <c r="FT60" i="96"/>
  <c r="B60" i="131"/>
  <c r="H60" i="134"/>
  <c r="B60" i="135"/>
  <c r="H60" i="135"/>
  <c r="H60" i="130"/>
  <c r="I60" i="134"/>
  <c r="I60" i="135"/>
  <c r="I60" i="130"/>
  <c r="J60" i="134"/>
  <c r="J60" i="135"/>
  <c r="J60" i="130"/>
  <c r="K60" i="134"/>
  <c r="K60" i="135"/>
  <c r="K60" i="130"/>
  <c r="L60" i="134"/>
  <c r="L60" i="135"/>
  <c r="L60" i="130"/>
  <c r="M60" i="130"/>
  <c r="M60" i="132"/>
  <c r="L60" i="132"/>
  <c r="J60" i="132"/>
  <c r="K60" i="132"/>
  <c r="Q60" i="132"/>
  <c r="D59" i="132"/>
  <c r="E59" i="132"/>
  <c r="C59" i="132"/>
  <c r="M59" i="132"/>
  <c r="L59" i="132"/>
  <c r="J59" i="132"/>
  <c r="K59" i="132"/>
  <c r="Q59" i="132"/>
  <c r="B60" i="132"/>
  <c r="H60" i="132"/>
  <c r="I60" i="132"/>
  <c r="B60" i="133"/>
  <c r="H60" i="133"/>
  <c r="I60" i="133"/>
  <c r="J60" i="133"/>
  <c r="K60" i="133"/>
  <c r="L60" i="133"/>
  <c r="M60" i="133"/>
  <c r="H60" i="131"/>
  <c r="I60" i="131"/>
  <c r="J60" i="131"/>
  <c r="K60" i="131"/>
  <c r="L60" i="131"/>
  <c r="KN61" i="96"/>
  <c r="R60" i="119"/>
  <c r="F60" i="119"/>
  <c r="G60" i="119"/>
  <c r="K60" i="115"/>
  <c r="M60" i="119"/>
  <c r="C60" i="167"/>
  <c r="D60" i="167"/>
  <c r="K60" i="167"/>
  <c r="F60" i="167"/>
  <c r="G60" i="167"/>
  <c r="L60" i="167"/>
  <c r="B60" i="167"/>
  <c r="E60" i="167"/>
  <c r="H60" i="167"/>
  <c r="I60" i="167"/>
  <c r="I60" i="117"/>
  <c r="FB61" i="96"/>
  <c r="FC61" i="96"/>
  <c r="FD61" i="96"/>
  <c r="M60" i="115"/>
  <c r="L60" i="115"/>
  <c r="F60" i="115"/>
  <c r="G60" i="115"/>
  <c r="H60" i="115"/>
  <c r="I60" i="115"/>
  <c r="EJ61" i="96"/>
  <c r="EL61" i="96"/>
  <c r="EK61" i="96"/>
  <c r="CR61" i="96"/>
  <c r="EM61" i="96"/>
  <c r="DK61" i="96"/>
  <c r="CV61" i="96"/>
  <c r="CW61" i="96"/>
  <c r="CY61" i="96"/>
  <c r="CZ61" i="96"/>
  <c r="DB61" i="96"/>
  <c r="DJ61" i="96"/>
  <c r="DH61" i="96"/>
  <c r="DG61" i="96"/>
  <c r="DM61" i="96"/>
  <c r="DN61" i="96"/>
  <c r="DO61" i="96"/>
  <c r="DP61" i="96"/>
  <c r="DQ61" i="96"/>
  <c r="DR61" i="96"/>
  <c r="DS61" i="96"/>
  <c r="DT61" i="96"/>
  <c r="DU61" i="96"/>
  <c r="DV61" i="96"/>
  <c r="DW61" i="96"/>
  <c r="DX61" i="96"/>
  <c r="DY61" i="96"/>
  <c r="DZ61" i="96"/>
  <c r="EA61" i="96"/>
  <c r="EB61" i="96"/>
  <c r="EC61" i="96"/>
  <c r="AX61" i="96"/>
  <c r="ED61" i="96"/>
  <c r="EE61" i="96"/>
  <c r="DL61" i="96"/>
  <c r="DD61" i="96"/>
  <c r="GZ61" i="96"/>
  <c r="HB61" i="96"/>
  <c r="HD61" i="96"/>
  <c r="HF61" i="96"/>
  <c r="HH61" i="96"/>
  <c r="HI61" i="96"/>
  <c r="HK61" i="96"/>
  <c r="HL61" i="96"/>
  <c r="HM61" i="96"/>
  <c r="GI61" i="96"/>
  <c r="HN61" i="96"/>
  <c r="GQ61" i="96"/>
  <c r="HO61" i="96"/>
  <c r="GX61" i="96"/>
  <c r="GU61" i="96"/>
  <c r="GV61" i="96"/>
  <c r="GS61" i="96"/>
  <c r="GN61" i="96"/>
  <c r="GJ61" i="96"/>
  <c r="GF61" i="96"/>
  <c r="GC61" i="96"/>
  <c r="GB61" i="96"/>
  <c r="FY61" i="96"/>
  <c r="FV61" i="96"/>
  <c r="FU61" i="96"/>
  <c r="FO61" i="96"/>
  <c r="BZ61" i="96"/>
  <c r="CC61" i="96"/>
  <c r="CF61" i="96"/>
  <c r="CI61" i="96"/>
  <c r="CL61" i="96"/>
  <c r="CO61" i="96"/>
  <c r="CS61" i="96"/>
  <c r="CT61" i="96"/>
  <c r="CX61" i="96"/>
  <c r="CU61" i="96"/>
  <c r="DA61" i="96"/>
  <c r="DC61" i="96"/>
  <c r="BW60" i="96"/>
  <c r="E59" i="115"/>
  <c r="M59" i="115"/>
  <c r="AY61" i="96"/>
  <c r="AZ61" i="96"/>
  <c r="BA61" i="96"/>
  <c r="BB61" i="96"/>
  <c r="BC61" i="96"/>
  <c r="BD61" i="96"/>
  <c r="BE61" i="96"/>
  <c r="BF61" i="96"/>
  <c r="BG61" i="96"/>
  <c r="BH61" i="96"/>
  <c r="BI61" i="96"/>
  <c r="BJ61" i="96"/>
  <c r="BK61" i="96"/>
  <c r="AW61" i="96"/>
  <c r="Q61" i="96"/>
  <c r="R61" i="96"/>
  <c r="S61" i="96"/>
  <c r="T61" i="96"/>
  <c r="U61" i="96"/>
  <c r="V61" i="96"/>
  <c r="M61" i="96"/>
  <c r="N61" i="96"/>
  <c r="K61" i="96"/>
  <c r="M20" i="220"/>
  <c r="M21" i="220"/>
  <c r="KL60" i="96"/>
  <c r="B59" i="128"/>
  <c r="B59" i="131"/>
  <c r="AN60" i="96"/>
  <c r="HJ60" i="96"/>
  <c r="HE60" i="96"/>
  <c r="AK60" i="96"/>
  <c r="AH60" i="96"/>
  <c r="HA60" i="96"/>
  <c r="AE60" i="96"/>
  <c r="AQ60" i="96"/>
  <c r="D59" i="131"/>
  <c r="E59" i="131"/>
  <c r="B59" i="134"/>
  <c r="B59" i="132"/>
  <c r="B59" i="133"/>
  <c r="E31" i="215"/>
  <c r="I19" i="215"/>
  <c r="I20" i="215"/>
  <c r="I21" i="215"/>
  <c r="I22" i="215"/>
  <c r="I23" i="215"/>
  <c r="I24" i="215"/>
  <c r="I25" i="215"/>
  <c r="I26" i="215"/>
  <c r="I29" i="215"/>
  <c r="H29" i="215"/>
  <c r="E29" i="215"/>
  <c r="F29" i="215"/>
  <c r="F28" i="215"/>
  <c r="F27" i="215"/>
  <c r="F26" i="215"/>
  <c r="F25" i="215"/>
  <c r="F24" i="215"/>
  <c r="F23" i="215"/>
  <c r="F22" i="215"/>
  <c r="F21" i="215"/>
  <c r="F20" i="215"/>
  <c r="F19" i="215"/>
  <c r="O12" i="215"/>
  <c r="M7" i="215"/>
  <c r="M12" i="215"/>
  <c r="L6" i="215"/>
  <c r="M6" i="215"/>
  <c r="N6" i="215"/>
  <c r="N7" i="215"/>
  <c r="N8" i="215"/>
  <c r="M8" i="215"/>
  <c r="H6" i="215"/>
  <c r="I6" i="215"/>
  <c r="J6" i="215"/>
  <c r="I7" i="215"/>
  <c r="J7" i="215"/>
  <c r="J8" i="215"/>
  <c r="I8" i="215"/>
  <c r="D6" i="215"/>
  <c r="E6" i="215"/>
  <c r="F6" i="215"/>
  <c r="F7" i="215"/>
  <c r="F8" i="215"/>
  <c r="E8" i="215"/>
  <c r="R10" i="127"/>
  <c r="R11" i="127"/>
  <c r="R12" i="127"/>
  <c r="R13" i="127"/>
  <c r="R14" i="127"/>
  <c r="R15" i="127"/>
  <c r="R16" i="127"/>
  <c r="R17" i="127"/>
  <c r="R18" i="127"/>
  <c r="R19" i="127"/>
  <c r="R20" i="127"/>
  <c r="R21" i="127"/>
  <c r="R22" i="127"/>
  <c r="R23" i="127"/>
  <c r="GO27" i="96"/>
  <c r="GO26" i="96"/>
  <c r="FJ26" i="96"/>
  <c r="J25" i="115"/>
  <c r="F25" i="117"/>
  <c r="I25" i="119"/>
  <c r="J25" i="119"/>
  <c r="K25" i="119"/>
  <c r="P24" i="123"/>
  <c r="G25" i="117"/>
  <c r="L25" i="117"/>
  <c r="O24" i="123"/>
  <c r="H24" i="123"/>
  <c r="I24" i="123"/>
  <c r="K24" i="123"/>
  <c r="L24" i="123"/>
  <c r="T24" i="123"/>
  <c r="Q24" i="127"/>
  <c r="R24" i="127"/>
  <c r="DE27" i="96"/>
  <c r="B26" i="117"/>
  <c r="E26" i="117"/>
  <c r="H26" i="119"/>
  <c r="J26" i="119"/>
  <c r="K26" i="119"/>
  <c r="P25" i="123"/>
  <c r="H26" i="117"/>
  <c r="D25" i="123"/>
  <c r="G25" i="123"/>
  <c r="G26" i="117"/>
  <c r="L26" i="117"/>
  <c r="O25" i="123"/>
  <c r="H25" i="123"/>
  <c r="I25" i="123"/>
  <c r="K25" i="123"/>
  <c r="L25" i="123"/>
  <c r="T25" i="123"/>
  <c r="Q25" i="127"/>
  <c r="R25" i="127"/>
  <c r="DE28" i="96"/>
  <c r="B27" i="117"/>
  <c r="E27" i="117"/>
  <c r="H27" i="119"/>
  <c r="J27" i="119"/>
  <c r="K27" i="119"/>
  <c r="P26" i="123"/>
  <c r="H27" i="117"/>
  <c r="D26" i="123"/>
  <c r="G26" i="123"/>
  <c r="G27" i="117"/>
  <c r="L27" i="117"/>
  <c r="O26" i="123"/>
  <c r="H26" i="123"/>
  <c r="I26" i="123"/>
  <c r="K26" i="123"/>
  <c r="L26" i="123"/>
  <c r="T26" i="123"/>
  <c r="Q26" i="127"/>
  <c r="R26" i="127"/>
  <c r="DE29" i="96"/>
  <c r="B28" i="117"/>
  <c r="E28" i="117"/>
  <c r="H28" i="119"/>
  <c r="J28" i="119"/>
  <c r="K28" i="119"/>
  <c r="P27" i="123"/>
  <c r="H28" i="117"/>
  <c r="D27" i="123"/>
  <c r="G27" i="123"/>
  <c r="G28" i="117"/>
  <c r="L28" i="117"/>
  <c r="O27" i="123"/>
  <c r="H27" i="123"/>
  <c r="I27" i="123"/>
  <c r="K27" i="123"/>
  <c r="L27" i="123"/>
  <c r="T27" i="123"/>
  <c r="Q27" i="127"/>
  <c r="R27" i="127"/>
  <c r="DE30" i="96"/>
  <c r="B29" i="117"/>
  <c r="E29" i="117"/>
  <c r="H29" i="119"/>
  <c r="J29" i="119"/>
  <c r="K29" i="119"/>
  <c r="P28" i="123"/>
  <c r="H29" i="117"/>
  <c r="D28" i="123"/>
  <c r="G28" i="123"/>
  <c r="G29" i="117"/>
  <c r="L29" i="117"/>
  <c r="O28" i="123"/>
  <c r="H28" i="123"/>
  <c r="I28" i="123"/>
  <c r="K28" i="123"/>
  <c r="L28" i="123"/>
  <c r="T28" i="123"/>
  <c r="Q28" i="127"/>
  <c r="R28" i="127"/>
  <c r="DE31" i="96"/>
  <c r="B30" i="117"/>
  <c r="E30" i="117"/>
  <c r="H30" i="119"/>
  <c r="J30" i="119"/>
  <c r="K30" i="119"/>
  <c r="P29" i="123"/>
  <c r="H30" i="117"/>
  <c r="D29" i="123"/>
  <c r="G29" i="123"/>
  <c r="G30" i="117"/>
  <c r="L30" i="117"/>
  <c r="O29" i="123"/>
  <c r="H29" i="123"/>
  <c r="I29" i="123"/>
  <c r="K29" i="123"/>
  <c r="L29" i="123"/>
  <c r="T29" i="123"/>
  <c r="Q29" i="127"/>
  <c r="R29" i="127"/>
  <c r="DE32" i="96"/>
  <c r="B31" i="117"/>
  <c r="E31" i="117"/>
  <c r="H31" i="119"/>
  <c r="J31" i="119"/>
  <c r="K31" i="119"/>
  <c r="P30" i="123"/>
  <c r="H31" i="117"/>
  <c r="D30" i="123"/>
  <c r="G30" i="123"/>
  <c r="G31" i="117"/>
  <c r="L31" i="117"/>
  <c r="O30" i="123"/>
  <c r="H30" i="123"/>
  <c r="I30" i="123"/>
  <c r="K30" i="123"/>
  <c r="L30" i="123"/>
  <c r="T30" i="123"/>
  <c r="Q30" i="127"/>
  <c r="R30" i="127"/>
  <c r="DE33" i="96"/>
  <c r="B32" i="117"/>
  <c r="E32" i="117"/>
  <c r="H32" i="119"/>
  <c r="J32" i="119"/>
  <c r="K32" i="119"/>
  <c r="P31" i="123"/>
  <c r="H32" i="117"/>
  <c r="D31" i="123"/>
  <c r="G31" i="123"/>
  <c r="G32" i="117"/>
  <c r="L32" i="117"/>
  <c r="O31" i="123"/>
  <c r="H31" i="123"/>
  <c r="I31" i="123"/>
  <c r="K31" i="123"/>
  <c r="L31" i="123"/>
  <c r="T31" i="123"/>
  <c r="Q31" i="127"/>
  <c r="R31" i="127"/>
  <c r="DE34" i="96"/>
  <c r="B33" i="117"/>
  <c r="E33" i="117"/>
  <c r="H33" i="119"/>
  <c r="J33" i="119"/>
  <c r="K33" i="119"/>
  <c r="P32" i="123"/>
  <c r="H33" i="117"/>
  <c r="D32" i="123"/>
  <c r="G32" i="123"/>
  <c r="G33" i="117"/>
  <c r="L33" i="117"/>
  <c r="O32" i="123"/>
  <c r="H32" i="123"/>
  <c r="I32" i="123"/>
  <c r="K32" i="123"/>
  <c r="L32" i="123"/>
  <c r="T32" i="123"/>
  <c r="Q32" i="127"/>
  <c r="R32" i="127"/>
  <c r="DE35" i="96"/>
  <c r="B34" i="117"/>
  <c r="E34" i="117"/>
  <c r="H34" i="119"/>
  <c r="J34" i="119"/>
  <c r="K34" i="119"/>
  <c r="P33" i="123"/>
  <c r="H34" i="117"/>
  <c r="D33" i="123"/>
  <c r="G33" i="123"/>
  <c r="G34" i="117"/>
  <c r="L34" i="117"/>
  <c r="O33" i="123"/>
  <c r="H33" i="123"/>
  <c r="I33" i="123"/>
  <c r="K33" i="123"/>
  <c r="L33" i="123"/>
  <c r="T33" i="123"/>
  <c r="Q33" i="127"/>
  <c r="R33" i="127"/>
  <c r="DE36" i="96"/>
  <c r="B35" i="117"/>
  <c r="E35" i="117"/>
  <c r="H35" i="119"/>
  <c r="J35" i="119"/>
  <c r="K35" i="119"/>
  <c r="P34" i="123"/>
  <c r="H35" i="117"/>
  <c r="D34" i="123"/>
  <c r="G34" i="123"/>
  <c r="G35" i="117"/>
  <c r="L35" i="117"/>
  <c r="O34" i="123"/>
  <c r="H34" i="123"/>
  <c r="I34" i="123"/>
  <c r="K34" i="123"/>
  <c r="L34" i="123"/>
  <c r="T34" i="123"/>
  <c r="Q34" i="127"/>
  <c r="R34" i="127"/>
  <c r="DE37" i="96"/>
  <c r="B36" i="117"/>
  <c r="E36" i="117"/>
  <c r="H36" i="119"/>
  <c r="J36" i="119"/>
  <c r="K36" i="119"/>
  <c r="P35" i="123"/>
  <c r="H36" i="117"/>
  <c r="D35" i="123"/>
  <c r="G35" i="123"/>
  <c r="G36" i="117"/>
  <c r="L36" i="117"/>
  <c r="O35" i="123"/>
  <c r="H35" i="123"/>
  <c r="I35" i="123"/>
  <c r="K35" i="123"/>
  <c r="L35" i="123"/>
  <c r="T35" i="123"/>
  <c r="Q35" i="127"/>
  <c r="R35" i="127"/>
  <c r="DE38" i="96"/>
  <c r="B37" i="117"/>
  <c r="E37" i="117"/>
  <c r="H37" i="119"/>
  <c r="J37" i="119"/>
  <c r="K37" i="119"/>
  <c r="P36" i="123"/>
  <c r="H37" i="117"/>
  <c r="D36" i="123"/>
  <c r="G36" i="123"/>
  <c r="G37" i="117"/>
  <c r="L37" i="117"/>
  <c r="O36" i="123"/>
  <c r="H36" i="123"/>
  <c r="I36" i="123"/>
  <c r="K36" i="123"/>
  <c r="L36" i="123"/>
  <c r="T36" i="123"/>
  <c r="Q36" i="127"/>
  <c r="R36" i="127"/>
  <c r="DE39" i="96"/>
  <c r="B38" i="117"/>
  <c r="E38" i="117"/>
  <c r="H38" i="119"/>
  <c r="J38" i="119"/>
  <c r="K38" i="119"/>
  <c r="P37" i="123"/>
  <c r="H38" i="117"/>
  <c r="D37" i="123"/>
  <c r="G37" i="123"/>
  <c r="G38" i="117"/>
  <c r="L38" i="117"/>
  <c r="O37" i="123"/>
  <c r="H37" i="123"/>
  <c r="I37" i="123"/>
  <c r="K37" i="123"/>
  <c r="L37" i="123"/>
  <c r="T37" i="123"/>
  <c r="Q37" i="127"/>
  <c r="R37" i="127"/>
  <c r="DE40" i="96"/>
  <c r="B39" i="117"/>
  <c r="E39" i="117"/>
  <c r="HJ40" i="96"/>
  <c r="HA40" i="96"/>
  <c r="AE40" i="96"/>
  <c r="CE40" i="96"/>
  <c r="CQ40" i="96"/>
  <c r="B39" i="119"/>
  <c r="H39" i="119"/>
  <c r="J39" i="119"/>
  <c r="K39" i="119"/>
  <c r="P38" i="123"/>
  <c r="H39" i="117"/>
  <c r="D38" i="123"/>
  <c r="G38" i="123"/>
  <c r="G39" i="117"/>
  <c r="L39" i="117"/>
  <c r="O38" i="123"/>
  <c r="H38" i="123"/>
  <c r="I38" i="123"/>
  <c r="K38" i="123"/>
  <c r="L38" i="123"/>
  <c r="T38" i="123"/>
  <c r="Q38" i="127"/>
  <c r="R38" i="127"/>
  <c r="GH41" i="96"/>
  <c r="C40" i="119"/>
  <c r="I40" i="119"/>
  <c r="DE41" i="96"/>
  <c r="B40" i="117"/>
  <c r="E40" i="117"/>
  <c r="HJ41" i="96"/>
  <c r="HA41" i="96"/>
  <c r="AE41" i="96"/>
  <c r="CE41" i="96"/>
  <c r="AN41" i="96"/>
  <c r="CN41" i="96"/>
  <c r="CQ41" i="96"/>
  <c r="B40" i="119"/>
  <c r="H40" i="119"/>
  <c r="J40" i="119"/>
  <c r="K40" i="119"/>
  <c r="P39" i="123"/>
  <c r="H40" i="117"/>
  <c r="D39" i="123"/>
  <c r="G39" i="123"/>
  <c r="G40" i="117"/>
  <c r="L40" i="117"/>
  <c r="O39" i="123"/>
  <c r="H39" i="123"/>
  <c r="I39" i="123"/>
  <c r="K39" i="123"/>
  <c r="L39" i="123"/>
  <c r="T39" i="123"/>
  <c r="Q39" i="127"/>
  <c r="R39" i="127"/>
  <c r="GH42" i="96"/>
  <c r="C41" i="119"/>
  <c r="I41" i="119"/>
  <c r="DE42" i="96"/>
  <c r="B41" i="117"/>
  <c r="E41" i="117"/>
  <c r="HJ42" i="96"/>
  <c r="HA42" i="96"/>
  <c r="AE42" i="96"/>
  <c r="CE42" i="96"/>
  <c r="AN42" i="96"/>
  <c r="CN42" i="96"/>
  <c r="CQ42" i="96"/>
  <c r="B41" i="119"/>
  <c r="H41" i="119"/>
  <c r="J41" i="119"/>
  <c r="K41" i="119"/>
  <c r="P40" i="123"/>
  <c r="H41" i="117"/>
  <c r="D40" i="123"/>
  <c r="G40" i="123"/>
  <c r="G41" i="117"/>
  <c r="L41" i="117"/>
  <c r="O40" i="123"/>
  <c r="H40" i="123"/>
  <c r="I40" i="123"/>
  <c r="K40" i="123"/>
  <c r="L40" i="123"/>
  <c r="T40" i="123"/>
  <c r="Q40" i="127"/>
  <c r="R40" i="127"/>
  <c r="J42" i="115"/>
  <c r="C42" i="117"/>
  <c r="F42" i="117"/>
  <c r="GG43" i="96"/>
  <c r="FN43" i="96"/>
  <c r="FQ43" i="96"/>
  <c r="GH43" i="96"/>
  <c r="C42" i="119"/>
  <c r="I42" i="119"/>
  <c r="BW43" i="96"/>
  <c r="E42" i="115"/>
  <c r="DE43" i="96"/>
  <c r="B42" i="117"/>
  <c r="E42" i="117"/>
  <c r="CM43" i="96"/>
  <c r="CJ43" i="96"/>
  <c r="CG43" i="96"/>
  <c r="CD43" i="96"/>
  <c r="CA43" i="96"/>
  <c r="BX43" i="96"/>
  <c r="CP43" i="96"/>
  <c r="BY43" i="96"/>
  <c r="CB43" i="96"/>
  <c r="HJ43" i="96"/>
  <c r="HA43" i="96"/>
  <c r="AE43" i="96"/>
  <c r="CE43" i="96"/>
  <c r="CK43" i="96"/>
  <c r="AN43" i="96"/>
  <c r="CN43" i="96"/>
  <c r="CQ43" i="96"/>
  <c r="B42" i="119"/>
  <c r="H42" i="119"/>
  <c r="J42" i="119"/>
  <c r="K42" i="119"/>
  <c r="P41" i="123"/>
  <c r="H42" i="117"/>
  <c r="I42" i="126"/>
  <c r="J42" i="126"/>
  <c r="H42" i="126"/>
  <c r="P42" i="126"/>
  <c r="F42" i="126"/>
  <c r="G42" i="126"/>
  <c r="E42" i="126"/>
  <c r="L42" i="126"/>
  <c r="K42" i="126"/>
  <c r="D41" i="123"/>
  <c r="G41" i="123"/>
  <c r="G42" i="117"/>
  <c r="L42" i="117"/>
  <c r="O41" i="123"/>
  <c r="H41" i="123"/>
  <c r="I41" i="123"/>
  <c r="K41" i="123"/>
  <c r="L41" i="123"/>
  <c r="T41" i="123"/>
  <c r="Q41" i="127"/>
  <c r="R41" i="127"/>
  <c r="J43" i="115"/>
  <c r="C43" i="117"/>
  <c r="F43" i="117"/>
  <c r="GG44" i="96"/>
  <c r="FN44" i="96"/>
  <c r="FQ44" i="96"/>
  <c r="GH44" i="96"/>
  <c r="C43" i="119"/>
  <c r="I43" i="119"/>
  <c r="BW44" i="96"/>
  <c r="E43" i="115"/>
  <c r="DE44" i="96"/>
  <c r="B43" i="117"/>
  <c r="E43" i="117"/>
  <c r="CM44" i="96"/>
  <c r="CJ44" i="96"/>
  <c r="CG44" i="96"/>
  <c r="CD44" i="96"/>
  <c r="CA44" i="96"/>
  <c r="BX44" i="96"/>
  <c r="CP44" i="96"/>
  <c r="BY44" i="96"/>
  <c r="CB44" i="96"/>
  <c r="HJ44" i="96"/>
  <c r="HA44" i="96"/>
  <c r="AE44" i="96"/>
  <c r="CE44" i="96"/>
  <c r="AH44" i="96"/>
  <c r="CH44" i="96"/>
  <c r="HE44" i="96"/>
  <c r="AK44" i="96"/>
  <c r="CK44" i="96"/>
  <c r="AN44" i="96"/>
  <c r="CN44" i="96"/>
  <c r="CQ44" i="96"/>
  <c r="B43" i="119"/>
  <c r="H43" i="119"/>
  <c r="J43" i="119"/>
  <c r="K43" i="119"/>
  <c r="P42" i="123"/>
  <c r="H43" i="117"/>
  <c r="I43" i="126"/>
  <c r="J43" i="126"/>
  <c r="H43" i="126"/>
  <c r="P43" i="126"/>
  <c r="F43" i="126"/>
  <c r="G43" i="126"/>
  <c r="E43" i="126"/>
  <c r="L43" i="126"/>
  <c r="K43" i="126"/>
  <c r="D42" i="123"/>
  <c r="G42" i="123"/>
  <c r="G43" i="117"/>
  <c r="L43" i="117"/>
  <c r="O42" i="123"/>
  <c r="H42" i="123"/>
  <c r="I42" i="123"/>
  <c r="K42" i="123"/>
  <c r="L42" i="123"/>
  <c r="T42" i="123"/>
  <c r="Q42" i="127"/>
  <c r="R42" i="127"/>
  <c r="J44" i="115"/>
  <c r="C44" i="117"/>
  <c r="F44" i="117"/>
  <c r="GG45" i="96"/>
  <c r="FN45" i="96"/>
  <c r="FQ45" i="96"/>
  <c r="GH45" i="96"/>
  <c r="C44" i="119"/>
  <c r="I44" i="119"/>
  <c r="BW45" i="96"/>
  <c r="E44" i="115"/>
  <c r="DE45" i="96"/>
  <c r="B44" i="117"/>
  <c r="E44" i="117"/>
  <c r="CM45" i="96"/>
  <c r="CJ45" i="96"/>
  <c r="CG45" i="96"/>
  <c r="CD45" i="96"/>
  <c r="CA45" i="96"/>
  <c r="BX45" i="96"/>
  <c r="CP45" i="96"/>
  <c r="BY45" i="96"/>
  <c r="CB45" i="96"/>
  <c r="HJ45" i="96"/>
  <c r="HA45" i="96"/>
  <c r="AE45" i="96"/>
  <c r="CE45" i="96"/>
  <c r="AH45" i="96"/>
  <c r="CH45" i="96"/>
  <c r="HE45" i="96"/>
  <c r="AK45" i="96"/>
  <c r="CK45" i="96"/>
  <c r="AN45" i="96"/>
  <c r="CN45" i="96"/>
  <c r="CQ45" i="96"/>
  <c r="B44" i="119"/>
  <c r="H44" i="119"/>
  <c r="J44" i="119"/>
  <c r="K44" i="119"/>
  <c r="P43" i="123"/>
  <c r="H44" i="117"/>
  <c r="I44" i="126"/>
  <c r="J44" i="126"/>
  <c r="H44" i="126"/>
  <c r="P44" i="126"/>
  <c r="F44" i="126"/>
  <c r="G44" i="126"/>
  <c r="E44" i="126"/>
  <c r="L44" i="126"/>
  <c r="K44" i="126"/>
  <c r="D43" i="123"/>
  <c r="G43" i="123"/>
  <c r="G44" i="117"/>
  <c r="L44" i="117"/>
  <c r="O43" i="123"/>
  <c r="H43" i="123"/>
  <c r="I43" i="123"/>
  <c r="K43" i="123"/>
  <c r="L43" i="123"/>
  <c r="T43" i="123"/>
  <c r="Q43" i="127"/>
  <c r="R43" i="127"/>
  <c r="J46" i="115"/>
  <c r="C46" i="117"/>
  <c r="F46" i="117"/>
  <c r="GG47" i="96"/>
  <c r="FN47" i="96"/>
  <c r="FQ47" i="96"/>
  <c r="GH47" i="96"/>
  <c r="C46" i="119"/>
  <c r="I46" i="119"/>
  <c r="BW47" i="96"/>
  <c r="E46" i="115"/>
  <c r="DE47" i="96"/>
  <c r="B46" i="117"/>
  <c r="E46" i="117"/>
  <c r="CM47" i="96"/>
  <c r="CJ47" i="96"/>
  <c r="CG47" i="96"/>
  <c r="CD47" i="96"/>
  <c r="CA47" i="96"/>
  <c r="BX47" i="96"/>
  <c r="CP47" i="96"/>
  <c r="BY47" i="96"/>
  <c r="CB47" i="96"/>
  <c r="HJ47" i="96"/>
  <c r="HA47" i="96"/>
  <c r="AE47" i="96"/>
  <c r="CE47" i="96"/>
  <c r="AH47" i="96"/>
  <c r="CH47" i="96"/>
  <c r="HE47" i="96"/>
  <c r="AK47" i="96"/>
  <c r="CK47" i="96"/>
  <c r="AN47" i="96"/>
  <c r="CN47" i="96"/>
  <c r="CQ47" i="96"/>
  <c r="B46" i="119"/>
  <c r="H46" i="119"/>
  <c r="J46" i="119"/>
  <c r="K46" i="119"/>
  <c r="K45" i="119"/>
  <c r="P44" i="123"/>
  <c r="DE46" i="96"/>
  <c r="B45" i="117"/>
  <c r="BW46" i="96"/>
  <c r="E45" i="115"/>
  <c r="E45" i="117"/>
  <c r="H45" i="117"/>
  <c r="I45" i="126"/>
  <c r="J45" i="126"/>
  <c r="H45" i="126"/>
  <c r="P45" i="126"/>
  <c r="F45" i="126"/>
  <c r="G45" i="126"/>
  <c r="E45" i="126"/>
  <c r="L45" i="126"/>
  <c r="K45" i="126"/>
  <c r="D44" i="123"/>
  <c r="G44" i="123"/>
  <c r="G46" i="117"/>
  <c r="L46" i="117"/>
  <c r="L45" i="117"/>
  <c r="O44" i="123"/>
  <c r="H44" i="123"/>
  <c r="I44" i="123"/>
  <c r="K44" i="123"/>
  <c r="L44" i="123"/>
  <c r="T44" i="123"/>
  <c r="Q44" i="127"/>
  <c r="R44" i="127"/>
  <c r="P45" i="123"/>
  <c r="H46" i="117"/>
  <c r="I46" i="126"/>
  <c r="J46" i="126"/>
  <c r="H46" i="126"/>
  <c r="P46" i="126"/>
  <c r="F46" i="126"/>
  <c r="G46" i="126"/>
  <c r="E46" i="126"/>
  <c r="L46" i="126"/>
  <c r="K46" i="126"/>
  <c r="D45" i="123"/>
  <c r="G45" i="123"/>
  <c r="O45" i="123"/>
  <c r="H45" i="123"/>
  <c r="I45" i="123"/>
  <c r="K45" i="123"/>
  <c r="L45" i="123"/>
  <c r="T45" i="123"/>
  <c r="Q45" i="127"/>
  <c r="R45" i="127"/>
  <c r="J47" i="115"/>
  <c r="C47" i="117"/>
  <c r="F47" i="117"/>
  <c r="GG48" i="96"/>
  <c r="FN48" i="96"/>
  <c r="FQ48" i="96"/>
  <c r="GH48" i="96"/>
  <c r="C47" i="119"/>
  <c r="I47" i="119"/>
  <c r="BW48" i="96"/>
  <c r="E47" i="115"/>
  <c r="DE48" i="96"/>
  <c r="B47" i="117"/>
  <c r="E47" i="117"/>
  <c r="CM48" i="96"/>
  <c r="CJ48" i="96"/>
  <c r="CG48" i="96"/>
  <c r="CD48" i="96"/>
  <c r="CA48" i="96"/>
  <c r="BX48" i="96"/>
  <c r="CP48" i="96"/>
  <c r="BY48" i="96"/>
  <c r="CB48" i="96"/>
  <c r="HJ48" i="96"/>
  <c r="HA48" i="96"/>
  <c r="AE48" i="96"/>
  <c r="CE48" i="96"/>
  <c r="AH48" i="96"/>
  <c r="CH48" i="96"/>
  <c r="HE48" i="96"/>
  <c r="AK48" i="96"/>
  <c r="CK48" i="96"/>
  <c r="AN48" i="96"/>
  <c r="CN48" i="96"/>
  <c r="CQ48" i="96"/>
  <c r="B47" i="119"/>
  <c r="H47" i="119"/>
  <c r="J47" i="119"/>
  <c r="K47" i="119"/>
  <c r="P46" i="123"/>
  <c r="H47" i="117"/>
  <c r="I47" i="126"/>
  <c r="J47" i="126"/>
  <c r="H47" i="126"/>
  <c r="P47" i="126"/>
  <c r="F47" i="126"/>
  <c r="G47" i="126"/>
  <c r="E47" i="126"/>
  <c r="L47" i="126"/>
  <c r="K47" i="126"/>
  <c r="D46" i="123"/>
  <c r="G46" i="123"/>
  <c r="G47" i="117"/>
  <c r="L47" i="117"/>
  <c r="O46" i="123"/>
  <c r="H46" i="123"/>
  <c r="I46" i="123"/>
  <c r="K46" i="123"/>
  <c r="L46" i="123"/>
  <c r="T46" i="123"/>
  <c r="Q46" i="127"/>
  <c r="R46" i="127"/>
  <c r="J48" i="115"/>
  <c r="C48" i="117"/>
  <c r="F48" i="117"/>
  <c r="GG49" i="96"/>
  <c r="FN49" i="96"/>
  <c r="FQ49" i="96"/>
  <c r="GH49" i="96"/>
  <c r="C48" i="119"/>
  <c r="I48" i="119"/>
  <c r="BW49" i="96"/>
  <c r="E48" i="115"/>
  <c r="DE49" i="96"/>
  <c r="B48" i="117"/>
  <c r="E48" i="117"/>
  <c r="CM49" i="96"/>
  <c r="CJ49" i="96"/>
  <c r="CG49" i="96"/>
  <c r="CD49" i="96"/>
  <c r="CA49" i="96"/>
  <c r="BX49" i="96"/>
  <c r="CP49" i="96"/>
  <c r="BY49" i="96"/>
  <c r="CB49" i="96"/>
  <c r="HJ49" i="96"/>
  <c r="HA49" i="96"/>
  <c r="AE49" i="96"/>
  <c r="CE49" i="96"/>
  <c r="AH49" i="96"/>
  <c r="CH49" i="96"/>
  <c r="HE49" i="96"/>
  <c r="AK49" i="96"/>
  <c r="CK49" i="96"/>
  <c r="AN49" i="96"/>
  <c r="CN49" i="96"/>
  <c r="CQ49" i="96"/>
  <c r="B48" i="119"/>
  <c r="H48" i="119"/>
  <c r="J48" i="119"/>
  <c r="K48" i="119"/>
  <c r="P47" i="123"/>
  <c r="H48" i="117"/>
  <c r="I48" i="126"/>
  <c r="J48" i="126"/>
  <c r="H48" i="126"/>
  <c r="P48" i="126"/>
  <c r="F48" i="126"/>
  <c r="G48" i="126"/>
  <c r="E48" i="126"/>
  <c r="L48" i="126"/>
  <c r="K48" i="126"/>
  <c r="D47" i="123"/>
  <c r="G47" i="123"/>
  <c r="G48" i="117"/>
  <c r="L48" i="117"/>
  <c r="O47" i="123"/>
  <c r="H47" i="123"/>
  <c r="I47" i="123"/>
  <c r="K47" i="123"/>
  <c r="L47" i="123"/>
  <c r="T47" i="123"/>
  <c r="Q47" i="127"/>
  <c r="R47" i="127"/>
  <c r="J49" i="115"/>
  <c r="C49" i="117"/>
  <c r="F49" i="117"/>
  <c r="GG50" i="96"/>
  <c r="FN50" i="96"/>
  <c r="FQ50" i="96"/>
  <c r="GH50" i="96"/>
  <c r="C49" i="119"/>
  <c r="I49" i="119"/>
  <c r="BW50" i="96"/>
  <c r="E49" i="115"/>
  <c r="DE50" i="96"/>
  <c r="B49" i="117"/>
  <c r="E49" i="117"/>
  <c r="CM50" i="96"/>
  <c r="CJ50" i="96"/>
  <c r="CG50" i="96"/>
  <c r="CD50" i="96"/>
  <c r="CA50" i="96"/>
  <c r="BX50" i="96"/>
  <c r="CP50" i="96"/>
  <c r="BY50" i="96"/>
  <c r="CB50" i="96"/>
  <c r="HJ50" i="96"/>
  <c r="HA50" i="96"/>
  <c r="AE50" i="96"/>
  <c r="CE50" i="96"/>
  <c r="AH50" i="96"/>
  <c r="CH50" i="96"/>
  <c r="HE50" i="96"/>
  <c r="AK50" i="96"/>
  <c r="CK50" i="96"/>
  <c r="AN50" i="96"/>
  <c r="CN50" i="96"/>
  <c r="CQ50" i="96"/>
  <c r="B49" i="119"/>
  <c r="H49" i="119"/>
  <c r="J49" i="119"/>
  <c r="K49" i="119"/>
  <c r="P48" i="123"/>
  <c r="H49" i="117"/>
  <c r="I49" i="126"/>
  <c r="J49" i="126"/>
  <c r="H49" i="126"/>
  <c r="P49" i="126"/>
  <c r="F49" i="126"/>
  <c r="G49" i="126"/>
  <c r="E49" i="126"/>
  <c r="L49" i="126"/>
  <c r="K49" i="126"/>
  <c r="D48" i="123"/>
  <c r="G48" i="123"/>
  <c r="G49" i="117"/>
  <c r="L49" i="117"/>
  <c r="O48" i="123"/>
  <c r="H48" i="123"/>
  <c r="I48" i="123"/>
  <c r="K48" i="123"/>
  <c r="L48" i="123"/>
  <c r="T48" i="123"/>
  <c r="Q48" i="127"/>
  <c r="R48" i="127"/>
  <c r="J50" i="115"/>
  <c r="C50" i="117"/>
  <c r="F50" i="117"/>
  <c r="GG51" i="96"/>
  <c r="FN51" i="96"/>
  <c r="FQ51" i="96"/>
  <c r="GH51" i="96"/>
  <c r="C50" i="119"/>
  <c r="I50" i="119"/>
  <c r="BW51" i="96"/>
  <c r="E50" i="115"/>
  <c r="DE51" i="96"/>
  <c r="B50" i="117"/>
  <c r="E50" i="117"/>
  <c r="CM51" i="96"/>
  <c r="CJ51" i="96"/>
  <c r="CG51" i="96"/>
  <c r="CD51" i="96"/>
  <c r="CA51" i="96"/>
  <c r="BX51" i="96"/>
  <c r="CP51" i="96"/>
  <c r="BY51" i="96"/>
  <c r="CB51" i="96"/>
  <c r="HJ51" i="96"/>
  <c r="HA51" i="96"/>
  <c r="AE51" i="96"/>
  <c r="CE51" i="96"/>
  <c r="AH51" i="96"/>
  <c r="CH51" i="96"/>
  <c r="HE51" i="96"/>
  <c r="AK51" i="96"/>
  <c r="CK51" i="96"/>
  <c r="AN51" i="96"/>
  <c r="CN51" i="96"/>
  <c r="CQ51" i="96"/>
  <c r="B50" i="119"/>
  <c r="H50" i="119"/>
  <c r="J50" i="119"/>
  <c r="K50" i="119"/>
  <c r="P49" i="123"/>
  <c r="H50" i="117"/>
  <c r="I50" i="126"/>
  <c r="J50" i="126"/>
  <c r="H50" i="126"/>
  <c r="P50" i="126"/>
  <c r="F50" i="126"/>
  <c r="G50" i="126"/>
  <c r="E50" i="126"/>
  <c r="L50" i="126"/>
  <c r="K50" i="126"/>
  <c r="D49" i="123"/>
  <c r="G49" i="123"/>
  <c r="G50" i="117"/>
  <c r="L50" i="117"/>
  <c r="O49" i="123"/>
  <c r="H49" i="123"/>
  <c r="I49" i="123"/>
  <c r="K49" i="123"/>
  <c r="L49" i="123"/>
  <c r="T49" i="123"/>
  <c r="Q49" i="127"/>
  <c r="R49" i="127"/>
  <c r="J51" i="115"/>
  <c r="C51" i="117"/>
  <c r="F51" i="117"/>
  <c r="GG52" i="96"/>
  <c r="FN52" i="96"/>
  <c r="FQ52" i="96"/>
  <c r="GH52" i="96"/>
  <c r="C51" i="119"/>
  <c r="I51" i="119"/>
  <c r="BW52" i="96"/>
  <c r="E51" i="115"/>
  <c r="DE52" i="96"/>
  <c r="B51" i="117"/>
  <c r="E51" i="117"/>
  <c r="CM52" i="96"/>
  <c r="CJ52" i="96"/>
  <c r="CG52" i="96"/>
  <c r="CD52" i="96"/>
  <c r="CA52" i="96"/>
  <c r="BX52" i="96"/>
  <c r="CP52" i="96"/>
  <c r="BY52" i="96"/>
  <c r="CB52" i="96"/>
  <c r="HJ52" i="96"/>
  <c r="HA52" i="96"/>
  <c r="AE52" i="96"/>
  <c r="CE52" i="96"/>
  <c r="AH52" i="96"/>
  <c r="CH52" i="96"/>
  <c r="HE52" i="96"/>
  <c r="AK52" i="96"/>
  <c r="CK52" i="96"/>
  <c r="AN52" i="96"/>
  <c r="CN52" i="96"/>
  <c r="CQ52" i="96"/>
  <c r="B51" i="119"/>
  <c r="H51" i="119"/>
  <c r="J51" i="119"/>
  <c r="K51" i="119"/>
  <c r="P50" i="123"/>
  <c r="H51" i="117"/>
  <c r="I51" i="126"/>
  <c r="J51" i="126"/>
  <c r="H51" i="126"/>
  <c r="P51" i="126"/>
  <c r="F51" i="126"/>
  <c r="G51" i="126"/>
  <c r="E51" i="126"/>
  <c r="L51" i="126"/>
  <c r="K51" i="126"/>
  <c r="D50" i="123"/>
  <c r="G50" i="123"/>
  <c r="G51" i="117"/>
  <c r="L51" i="117"/>
  <c r="O50" i="123"/>
  <c r="H50" i="123"/>
  <c r="I50" i="123"/>
  <c r="K50" i="123"/>
  <c r="L50" i="123"/>
  <c r="T50" i="123"/>
  <c r="Q50" i="127"/>
  <c r="R50" i="127"/>
  <c r="J52" i="115"/>
  <c r="C52" i="117"/>
  <c r="F52" i="117"/>
  <c r="GG53" i="96"/>
  <c r="FN53" i="96"/>
  <c r="FQ53" i="96"/>
  <c r="GH53" i="96"/>
  <c r="C52" i="119"/>
  <c r="I52" i="119"/>
  <c r="BW53" i="96"/>
  <c r="E52" i="115"/>
  <c r="DE53" i="96"/>
  <c r="B52" i="117"/>
  <c r="E52" i="117"/>
  <c r="CM53" i="96"/>
  <c r="CJ53" i="96"/>
  <c r="CG53" i="96"/>
  <c r="CD53" i="96"/>
  <c r="CA53" i="96"/>
  <c r="BX53" i="96"/>
  <c r="CP53" i="96"/>
  <c r="BY53" i="96"/>
  <c r="CB53" i="96"/>
  <c r="HJ53" i="96"/>
  <c r="HA53" i="96"/>
  <c r="AE53" i="96"/>
  <c r="CE53" i="96"/>
  <c r="AH53" i="96"/>
  <c r="CH53" i="96"/>
  <c r="HE53" i="96"/>
  <c r="AK53" i="96"/>
  <c r="CK53" i="96"/>
  <c r="AN53" i="96"/>
  <c r="CN53" i="96"/>
  <c r="CQ53" i="96"/>
  <c r="B52" i="119"/>
  <c r="H52" i="119"/>
  <c r="J52" i="119"/>
  <c r="K52" i="119"/>
  <c r="P51" i="123"/>
  <c r="H52" i="117"/>
  <c r="I52" i="126"/>
  <c r="J52" i="126"/>
  <c r="H52" i="126"/>
  <c r="P52" i="126"/>
  <c r="F52" i="126"/>
  <c r="G52" i="126"/>
  <c r="E52" i="126"/>
  <c r="L52" i="126"/>
  <c r="K52" i="126"/>
  <c r="D51" i="123"/>
  <c r="G51" i="123"/>
  <c r="G52" i="117"/>
  <c r="L52" i="117"/>
  <c r="O51" i="123"/>
  <c r="H51" i="123"/>
  <c r="I51" i="123"/>
  <c r="K51" i="123"/>
  <c r="L51" i="123"/>
  <c r="T51" i="123"/>
  <c r="Q51" i="127"/>
  <c r="R51" i="127"/>
  <c r="J53" i="115"/>
  <c r="C53" i="117"/>
  <c r="F53" i="117"/>
  <c r="GD54" i="96"/>
  <c r="GG54" i="96"/>
  <c r="FN54" i="96"/>
  <c r="FQ54" i="96"/>
  <c r="GH54" i="96"/>
  <c r="C53" i="119"/>
  <c r="I53" i="119"/>
  <c r="BW54" i="96"/>
  <c r="E53" i="115"/>
  <c r="DE54" i="96"/>
  <c r="B53" i="117"/>
  <c r="E53" i="117"/>
  <c r="CM54" i="96"/>
  <c r="CJ54" i="96"/>
  <c r="CG54" i="96"/>
  <c r="CD54" i="96"/>
  <c r="CA54" i="96"/>
  <c r="BX54" i="96"/>
  <c r="CP54" i="96"/>
  <c r="BY54" i="96"/>
  <c r="CB54" i="96"/>
  <c r="HJ54" i="96"/>
  <c r="HA54" i="96"/>
  <c r="AE54" i="96"/>
  <c r="CE54" i="96"/>
  <c r="AH54" i="96"/>
  <c r="CH54" i="96"/>
  <c r="HE54" i="96"/>
  <c r="AK54" i="96"/>
  <c r="CK54" i="96"/>
  <c r="AN54" i="96"/>
  <c r="CN54" i="96"/>
  <c r="CQ54" i="96"/>
  <c r="B53" i="119"/>
  <c r="H53" i="119"/>
  <c r="J53" i="119"/>
  <c r="K53" i="119"/>
  <c r="P52" i="123"/>
  <c r="H53" i="117"/>
  <c r="I53" i="126"/>
  <c r="KD54" i="96"/>
  <c r="J53" i="126"/>
  <c r="H53" i="126"/>
  <c r="P53" i="126"/>
  <c r="F53" i="126"/>
  <c r="G53" i="126"/>
  <c r="E53" i="126"/>
  <c r="L53" i="126"/>
  <c r="K53" i="126"/>
  <c r="D52" i="123"/>
  <c r="G52" i="123"/>
  <c r="G53" i="117"/>
  <c r="L53" i="117"/>
  <c r="O52" i="123"/>
  <c r="H52" i="123"/>
  <c r="I52" i="123"/>
  <c r="K52" i="123"/>
  <c r="L52" i="123"/>
  <c r="T52" i="123"/>
  <c r="Q52" i="127"/>
  <c r="R52" i="127"/>
  <c r="J54" i="115"/>
  <c r="C54" i="117"/>
  <c r="F54" i="117"/>
  <c r="GG55" i="96"/>
  <c r="FN55" i="96"/>
  <c r="FQ55" i="96"/>
  <c r="GH55" i="96"/>
  <c r="C54" i="119"/>
  <c r="I54" i="119"/>
  <c r="BW55" i="96"/>
  <c r="E54" i="115"/>
  <c r="DE55" i="96"/>
  <c r="B54" i="117"/>
  <c r="E54" i="117"/>
  <c r="CM55" i="96"/>
  <c r="CJ55" i="96"/>
  <c r="CG55" i="96"/>
  <c r="CD55" i="96"/>
  <c r="CA55" i="96"/>
  <c r="BX55" i="96"/>
  <c r="CP55" i="96"/>
  <c r="BY55" i="96"/>
  <c r="CB55" i="96"/>
  <c r="HJ55" i="96"/>
  <c r="HA55" i="96"/>
  <c r="AE55" i="96"/>
  <c r="CE55" i="96"/>
  <c r="AH55" i="96"/>
  <c r="CH55" i="96"/>
  <c r="HE55" i="96"/>
  <c r="AK55" i="96"/>
  <c r="CK55" i="96"/>
  <c r="AN55" i="96"/>
  <c r="CN55" i="96"/>
  <c r="CQ55" i="96"/>
  <c r="B54" i="119"/>
  <c r="H54" i="119"/>
  <c r="J54" i="119"/>
  <c r="K54" i="119"/>
  <c r="P53" i="123"/>
  <c r="H54" i="117"/>
  <c r="I54" i="126"/>
  <c r="KD55" i="96"/>
  <c r="J54" i="126"/>
  <c r="H54" i="126"/>
  <c r="P54" i="126"/>
  <c r="F54" i="126"/>
  <c r="G54" i="126"/>
  <c r="E54" i="126"/>
  <c r="L54" i="126"/>
  <c r="K54" i="126"/>
  <c r="D53" i="123"/>
  <c r="G53" i="123"/>
  <c r="G54" i="117"/>
  <c r="L54" i="117"/>
  <c r="O53" i="123"/>
  <c r="H53" i="123"/>
  <c r="I53" i="123"/>
  <c r="K53" i="123"/>
  <c r="L53" i="123"/>
  <c r="T53" i="123"/>
  <c r="Q53" i="127"/>
  <c r="R53" i="127"/>
  <c r="J55" i="115"/>
  <c r="C55" i="117"/>
  <c r="F55" i="117"/>
  <c r="GG56" i="96"/>
  <c r="FN56" i="96"/>
  <c r="FQ56" i="96"/>
  <c r="GH56" i="96"/>
  <c r="C55" i="119"/>
  <c r="I55" i="119"/>
  <c r="BW56" i="96"/>
  <c r="E55" i="115"/>
  <c r="DE56" i="96"/>
  <c r="B55" i="117"/>
  <c r="E55" i="117"/>
  <c r="CM56" i="96"/>
  <c r="CJ56" i="96"/>
  <c r="CG56" i="96"/>
  <c r="CD56" i="96"/>
  <c r="CA56" i="96"/>
  <c r="BX56" i="96"/>
  <c r="CP56" i="96"/>
  <c r="BY56" i="96"/>
  <c r="CB56" i="96"/>
  <c r="HJ56" i="96"/>
  <c r="HA56" i="96"/>
  <c r="AE56" i="96"/>
  <c r="CE56" i="96"/>
  <c r="AH56" i="96"/>
  <c r="CH56" i="96"/>
  <c r="HE56" i="96"/>
  <c r="AK56" i="96"/>
  <c r="CK56" i="96"/>
  <c r="AN56" i="96"/>
  <c r="CN56" i="96"/>
  <c r="CQ56" i="96"/>
  <c r="B55" i="119"/>
  <c r="H55" i="119"/>
  <c r="J55" i="119"/>
  <c r="K55" i="119"/>
  <c r="P54" i="123"/>
  <c r="H55" i="117"/>
  <c r="I55" i="126"/>
  <c r="KD56" i="96"/>
  <c r="J55" i="126"/>
  <c r="H55" i="126"/>
  <c r="P55" i="126"/>
  <c r="F55" i="126"/>
  <c r="G55" i="126"/>
  <c r="E55" i="126"/>
  <c r="L55" i="126"/>
  <c r="K55" i="126"/>
  <c r="D54" i="123"/>
  <c r="G54" i="123"/>
  <c r="G55" i="117"/>
  <c r="L55" i="117"/>
  <c r="O54" i="123"/>
  <c r="H54" i="123"/>
  <c r="I54" i="123"/>
  <c r="K54" i="123"/>
  <c r="L54" i="123"/>
  <c r="T54" i="123"/>
  <c r="Q54" i="127"/>
  <c r="R54" i="127"/>
  <c r="J56" i="115"/>
  <c r="C56" i="117"/>
  <c r="F56" i="117"/>
  <c r="GG57" i="96"/>
  <c r="FN57" i="96"/>
  <c r="FQ57" i="96"/>
  <c r="GH57" i="96"/>
  <c r="C56" i="119"/>
  <c r="I56" i="119"/>
  <c r="BW57" i="96"/>
  <c r="E56" i="115"/>
  <c r="DE57" i="96"/>
  <c r="B56" i="117"/>
  <c r="E56" i="117"/>
  <c r="CM57" i="96"/>
  <c r="CJ57" i="96"/>
  <c r="CG57" i="96"/>
  <c r="CD57" i="96"/>
  <c r="CA57" i="96"/>
  <c r="BX57" i="96"/>
  <c r="CP57" i="96"/>
  <c r="BY57" i="96"/>
  <c r="CB57" i="96"/>
  <c r="HJ57" i="96"/>
  <c r="HA57" i="96"/>
  <c r="AE57" i="96"/>
  <c r="CE57" i="96"/>
  <c r="AH57" i="96"/>
  <c r="CH57" i="96"/>
  <c r="HE57" i="96"/>
  <c r="AK57" i="96"/>
  <c r="CK57" i="96"/>
  <c r="AN57" i="96"/>
  <c r="CN57" i="96"/>
  <c r="CQ57" i="96"/>
  <c r="B56" i="119"/>
  <c r="H56" i="119"/>
  <c r="J56" i="119"/>
  <c r="K56" i="119"/>
  <c r="P55" i="123"/>
  <c r="H56" i="117"/>
  <c r="I56" i="126"/>
  <c r="KD57" i="96"/>
  <c r="J56" i="126"/>
  <c r="H56" i="126"/>
  <c r="P56" i="126"/>
  <c r="F56" i="126"/>
  <c r="G56" i="126"/>
  <c r="E56" i="126"/>
  <c r="L56" i="126"/>
  <c r="K56" i="126"/>
  <c r="D55" i="123"/>
  <c r="G55" i="123"/>
  <c r="G56" i="117"/>
  <c r="L56" i="117"/>
  <c r="O55" i="123"/>
  <c r="H55" i="123"/>
  <c r="I55" i="123"/>
  <c r="K55" i="123"/>
  <c r="L55" i="123"/>
  <c r="T55" i="123"/>
  <c r="Q55" i="127"/>
  <c r="R55" i="127"/>
  <c r="J57" i="115"/>
  <c r="C57" i="117"/>
  <c r="F57" i="117"/>
  <c r="GG58" i="96"/>
  <c r="FN58" i="96"/>
  <c r="FQ58" i="96"/>
  <c r="GH58" i="96"/>
  <c r="C57" i="119"/>
  <c r="I57" i="119"/>
  <c r="BW58" i="96"/>
  <c r="E57" i="115"/>
  <c r="DE58" i="96"/>
  <c r="B57" i="117"/>
  <c r="E57" i="117"/>
  <c r="CM58" i="96"/>
  <c r="CJ58" i="96"/>
  <c r="CG58" i="96"/>
  <c r="CD58" i="96"/>
  <c r="CA58" i="96"/>
  <c r="BX58" i="96"/>
  <c r="CP58" i="96"/>
  <c r="BY58" i="96"/>
  <c r="CB58" i="96"/>
  <c r="HJ58" i="96"/>
  <c r="HA58" i="96"/>
  <c r="AE58" i="96"/>
  <c r="CE58" i="96"/>
  <c r="AH58" i="96"/>
  <c r="CH58" i="96"/>
  <c r="HE58" i="96"/>
  <c r="AK58" i="96"/>
  <c r="CK58" i="96"/>
  <c r="AN58" i="96"/>
  <c r="CN58" i="96"/>
  <c r="CQ58" i="96"/>
  <c r="B57" i="119"/>
  <c r="H57" i="119"/>
  <c r="J57" i="119"/>
  <c r="K57" i="119"/>
  <c r="P56" i="123"/>
  <c r="H57" i="117"/>
  <c r="I57" i="126"/>
  <c r="KD58" i="96"/>
  <c r="J57" i="126"/>
  <c r="H57" i="126"/>
  <c r="P57" i="126"/>
  <c r="F57" i="126"/>
  <c r="G57" i="126"/>
  <c r="E57" i="126"/>
  <c r="L57" i="126"/>
  <c r="K57" i="126"/>
  <c r="D56" i="123"/>
  <c r="G56" i="123"/>
  <c r="G57" i="117"/>
  <c r="L57" i="117"/>
  <c r="O56" i="123"/>
  <c r="H56" i="123"/>
  <c r="I56" i="123"/>
  <c r="K56" i="123"/>
  <c r="L56" i="123"/>
  <c r="T56" i="123"/>
  <c r="Q56" i="127"/>
  <c r="R56" i="127"/>
  <c r="J58" i="115"/>
  <c r="C58" i="117"/>
  <c r="F58" i="117"/>
  <c r="GG59" i="96"/>
  <c r="FN59" i="96"/>
  <c r="FQ59" i="96"/>
  <c r="GH59" i="96"/>
  <c r="C58" i="119"/>
  <c r="I58" i="119"/>
  <c r="BW59" i="96"/>
  <c r="E58" i="115"/>
  <c r="DE59" i="96"/>
  <c r="B58" i="117"/>
  <c r="E58" i="117"/>
  <c r="CM59" i="96"/>
  <c r="CJ59" i="96"/>
  <c r="CG59" i="96"/>
  <c r="CD59" i="96"/>
  <c r="CA59" i="96"/>
  <c r="BX59" i="96"/>
  <c r="CP59" i="96"/>
  <c r="BY59" i="96"/>
  <c r="CB59" i="96"/>
  <c r="HJ59" i="96"/>
  <c r="HA59" i="96"/>
  <c r="AE59" i="96"/>
  <c r="CE59" i="96"/>
  <c r="AH59" i="96"/>
  <c r="CH59" i="96"/>
  <c r="HE59" i="96"/>
  <c r="AK59" i="96"/>
  <c r="CK59" i="96"/>
  <c r="AN59" i="96"/>
  <c r="CN59" i="96"/>
  <c r="CQ59" i="96"/>
  <c r="B58" i="119"/>
  <c r="H58" i="119"/>
  <c r="J58" i="119"/>
  <c r="K58" i="119"/>
  <c r="P57" i="123"/>
  <c r="H58" i="117"/>
  <c r="I58" i="126"/>
  <c r="J58" i="126"/>
  <c r="H58" i="126"/>
  <c r="P58" i="126"/>
  <c r="F58" i="126"/>
  <c r="G58" i="126"/>
  <c r="E58" i="126"/>
  <c r="L58" i="126"/>
  <c r="K58" i="126"/>
  <c r="D57" i="123"/>
  <c r="G57" i="123"/>
  <c r="G58" i="117"/>
  <c r="L58" i="117"/>
  <c r="O57" i="123"/>
  <c r="H57" i="123"/>
  <c r="I57" i="123"/>
  <c r="K57" i="123"/>
  <c r="L57" i="123"/>
  <c r="T57" i="123"/>
  <c r="Q57" i="127"/>
  <c r="R57" i="127"/>
  <c r="J59" i="115"/>
  <c r="C59" i="117"/>
  <c r="F59" i="117"/>
  <c r="GG60" i="96"/>
  <c r="FN60" i="96"/>
  <c r="FQ60" i="96"/>
  <c r="GH60" i="96"/>
  <c r="C59" i="119"/>
  <c r="I59" i="119"/>
  <c r="DE60" i="96"/>
  <c r="B59" i="117"/>
  <c r="E59" i="117"/>
  <c r="CM60" i="96"/>
  <c r="CJ60" i="96"/>
  <c r="CG60" i="96"/>
  <c r="CD60" i="96"/>
  <c r="CA60" i="96"/>
  <c r="BX60" i="96"/>
  <c r="CP60" i="96"/>
  <c r="BY60" i="96"/>
  <c r="CB60" i="96"/>
  <c r="CE60" i="96"/>
  <c r="CH60" i="96"/>
  <c r="CK60" i="96"/>
  <c r="CN60" i="96"/>
  <c r="CQ60" i="96"/>
  <c r="B59" i="119"/>
  <c r="H59" i="119"/>
  <c r="J59" i="119"/>
  <c r="K59" i="119"/>
  <c r="P58" i="123"/>
  <c r="H59" i="117"/>
  <c r="I59" i="126"/>
  <c r="J59" i="126"/>
  <c r="H59" i="126"/>
  <c r="P59" i="126"/>
  <c r="F59" i="126"/>
  <c r="G59" i="126"/>
  <c r="E59" i="126"/>
  <c r="L59" i="126"/>
  <c r="K59" i="126"/>
  <c r="D58" i="123"/>
  <c r="G58" i="123"/>
  <c r="G59" i="117"/>
  <c r="L59" i="117"/>
  <c r="O58" i="123"/>
  <c r="H58" i="123"/>
  <c r="I58" i="123"/>
  <c r="K58" i="123"/>
  <c r="L58" i="123"/>
  <c r="T58" i="123"/>
  <c r="Q58" i="127"/>
  <c r="R58" i="127"/>
  <c r="R9" i="127"/>
  <c r="P10" i="127"/>
  <c r="Q10" i="127"/>
  <c r="P11" i="127"/>
  <c r="Q11" i="127"/>
  <c r="P12" i="127"/>
  <c r="Q12" i="127"/>
  <c r="P13" i="127"/>
  <c r="Q13" i="127"/>
  <c r="P14" i="127"/>
  <c r="Q14" i="127"/>
  <c r="P15" i="127"/>
  <c r="Q15" i="127"/>
  <c r="P16" i="127"/>
  <c r="Q16" i="127"/>
  <c r="P17" i="127"/>
  <c r="Q17" i="127"/>
  <c r="P18" i="127"/>
  <c r="Q18" i="127"/>
  <c r="P19" i="127"/>
  <c r="Q19" i="127"/>
  <c r="P20" i="127"/>
  <c r="Q20" i="127"/>
  <c r="P21" i="127"/>
  <c r="Q21" i="127"/>
  <c r="P22" i="127"/>
  <c r="Q22" i="127"/>
  <c r="P23" i="127"/>
  <c r="Q23" i="127"/>
  <c r="P24" i="127"/>
  <c r="P25" i="127"/>
  <c r="P26" i="127"/>
  <c r="P27" i="127"/>
  <c r="P28" i="127"/>
  <c r="P29" i="127"/>
  <c r="P30" i="127"/>
  <c r="P31" i="127"/>
  <c r="P32" i="127"/>
  <c r="P33" i="127"/>
  <c r="P34" i="127"/>
  <c r="P35" i="127"/>
  <c r="P36" i="127"/>
  <c r="P37" i="127"/>
  <c r="P38" i="127"/>
  <c r="P39" i="127"/>
  <c r="P40" i="127"/>
  <c r="P41" i="127"/>
  <c r="P42" i="127"/>
  <c r="P43" i="127"/>
  <c r="P44" i="127"/>
  <c r="P45" i="127"/>
  <c r="P46" i="127"/>
  <c r="P47" i="127"/>
  <c r="P48" i="127"/>
  <c r="P49" i="127"/>
  <c r="P50" i="127"/>
  <c r="P51" i="127"/>
  <c r="P52" i="127"/>
  <c r="P53" i="127"/>
  <c r="P54" i="127"/>
  <c r="P55" i="127"/>
  <c r="P56" i="127"/>
  <c r="P57" i="127"/>
  <c r="P58" i="127"/>
  <c r="P59" i="127"/>
  <c r="Q9" i="127"/>
  <c r="P9" i="127"/>
  <c r="N10" i="127"/>
  <c r="O10" i="127"/>
  <c r="N11" i="127"/>
  <c r="O11" i="127"/>
  <c r="N12" i="127"/>
  <c r="O12" i="127"/>
  <c r="N13" i="127"/>
  <c r="O13" i="127"/>
  <c r="N14" i="127"/>
  <c r="O14" i="127"/>
  <c r="N15" i="127"/>
  <c r="O15" i="127"/>
  <c r="N16" i="127"/>
  <c r="O16" i="127"/>
  <c r="N17" i="127"/>
  <c r="O17" i="127"/>
  <c r="N18" i="127"/>
  <c r="O18" i="127"/>
  <c r="N19" i="127"/>
  <c r="O19" i="127"/>
  <c r="N20" i="127"/>
  <c r="O20" i="127"/>
  <c r="N21" i="127"/>
  <c r="O21" i="127"/>
  <c r="N22" i="127"/>
  <c r="O22" i="127"/>
  <c r="N23" i="127"/>
  <c r="O23" i="127"/>
  <c r="N24" i="127"/>
  <c r="O24" i="127"/>
  <c r="N25" i="127"/>
  <c r="O25" i="127"/>
  <c r="N26" i="127"/>
  <c r="O26" i="127"/>
  <c r="N27" i="127"/>
  <c r="O27" i="127"/>
  <c r="N28" i="127"/>
  <c r="O28" i="127"/>
  <c r="N29" i="127"/>
  <c r="O29" i="127"/>
  <c r="N30" i="127"/>
  <c r="O30" i="127"/>
  <c r="N31" i="127"/>
  <c r="O31" i="127"/>
  <c r="N32" i="127"/>
  <c r="O32" i="127"/>
  <c r="N33" i="127"/>
  <c r="O33" i="127"/>
  <c r="N34" i="127"/>
  <c r="O34" i="127"/>
  <c r="N35" i="127"/>
  <c r="O35" i="127"/>
  <c r="N36" i="127"/>
  <c r="O36" i="127"/>
  <c r="N37" i="127"/>
  <c r="O37" i="127"/>
  <c r="N38" i="127"/>
  <c r="O38" i="127"/>
  <c r="N39" i="127"/>
  <c r="O39" i="127"/>
  <c r="N40" i="127"/>
  <c r="O40" i="127"/>
  <c r="N41" i="127"/>
  <c r="O41" i="127"/>
  <c r="N42" i="127"/>
  <c r="O42" i="127"/>
  <c r="N43" i="127"/>
  <c r="O43" i="127"/>
  <c r="N44" i="127"/>
  <c r="O44" i="127"/>
  <c r="N45" i="127"/>
  <c r="O45" i="127"/>
  <c r="N46" i="127"/>
  <c r="O46" i="127"/>
  <c r="N47" i="127"/>
  <c r="O47" i="127"/>
  <c r="N48" i="127"/>
  <c r="O48" i="127"/>
  <c r="N49" i="127"/>
  <c r="O49" i="127"/>
  <c r="N50" i="127"/>
  <c r="O50" i="127"/>
  <c r="N51" i="127"/>
  <c r="O51" i="127"/>
  <c r="N52" i="127"/>
  <c r="O52" i="127"/>
  <c r="N53" i="127"/>
  <c r="O53" i="127"/>
  <c r="N54" i="127"/>
  <c r="O54" i="127"/>
  <c r="N55" i="127"/>
  <c r="O55" i="127"/>
  <c r="N56" i="127"/>
  <c r="O56" i="127"/>
  <c r="N57" i="127"/>
  <c r="O57" i="127"/>
  <c r="N58" i="127"/>
  <c r="O58" i="127"/>
  <c r="N59" i="127"/>
  <c r="O59" i="127"/>
  <c r="O9" i="127"/>
  <c r="N9" i="127"/>
  <c r="S10" i="123"/>
  <c r="T10" i="123"/>
  <c r="S11" i="123"/>
  <c r="T11" i="123"/>
  <c r="S12" i="123"/>
  <c r="T12" i="123"/>
  <c r="S13" i="123"/>
  <c r="T13" i="123"/>
  <c r="S14" i="123"/>
  <c r="T14" i="123"/>
  <c r="S15" i="123"/>
  <c r="T15" i="123"/>
  <c r="S16" i="123"/>
  <c r="T16" i="123"/>
  <c r="S17" i="123"/>
  <c r="T17" i="123"/>
  <c r="S18" i="123"/>
  <c r="T18" i="123"/>
  <c r="S19" i="123"/>
  <c r="T19" i="123"/>
  <c r="S20" i="123"/>
  <c r="T20" i="123"/>
  <c r="S21" i="123"/>
  <c r="T21" i="123"/>
  <c r="S22" i="123"/>
  <c r="T22" i="123"/>
  <c r="S23" i="123"/>
  <c r="T23" i="123"/>
  <c r="S24" i="123"/>
  <c r="S25" i="123"/>
  <c r="S26" i="123"/>
  <c r="S27" i="123"/>
  <c r="S28" i="123"/>
  <c r="S29" i="123"/>
  <c r="S30" i="123"/>
  <c r="S31" i="123"/>
  <c r="S32" i="123"/>
  <c r="S33" i="123"/>
  <c r="S34" i="123"/>
  <c r="S35" i="123"/>
  <c r="S36" i="123"/>
  <c r="S37" i="123"/>
  <c r="S38" i="123"/>
  <c r="S39" i="123"/>
  <c r="S40" i="123"/>
  <c r="S41" i="123"/>
  <c r="S42" i="123"/>
  <c r="S43" i="123"/>
  <c r="S44" i="123"/>
  <c r="S45" i="123"/>
  <c r="S46" i="123"/>
  <c r="S47" i="123"/>
  <c r="S48" i="123"/>
  <c r="S49" i="123"/>
  <c r="S50" i="123"/>
  <c r="S51" i="123"/>
  <c r="S52" i="123"/>
  <c r="S53" i="123"/>
  <c r="S54" i="123"/>
  <c r="S55" i="123"/>
  <c r="S56" i="123"/>
  <c r="S57" i="123"/>
  <c r="S58" i="123"/>
  <c r="S59" i="123"/>
  <c r="S9" i="123"/>
  <c r="T9" i="123"/>
  <c r="H10" i="139"/>
  <c r="I10" i="139"/>
  <c r="J10" i="139"/>
  <c r="K10" i="139"/>
  <c r="L10" i="139"/>
  <c r="M10" i="139"/>
  <c r="H11" i="139"/>
  <c r="I11" i="139"/>
  <c r="J11" i="139"/>
  <c r="K11" i="139"/>
  <c r="L11" i="139"/>
  <c r="M11" i="139"/>
  <c r="H12" i="139"/>
  <c r="I12" i="139"/>
  <c r="J12" i="139"/>
  <c r="K12" i="139"/>
  <c r="L12" i="139"/>
  <c r="M12" i="139"/>
  <c r="H13" i="139"/>
  <c r="I13" i="139"/>
  <c r="J13" i="139"/>
  <c r="K13" i="139"/>
  <c r="L13" i="139"/>
  <c r="M13" i="139"/>
  <c r="H14" i="139"/>
  <c r="I14" i="139"/>
  <c r="J14" i="139"/>
  <c r="K14" i="139"/>
  <c r="L14" i="139"/>
  <c r="M14" i="139"/>
  <c r="H15" i="139"/>
  <c r="I15" i="139"/>
  <c r="J15" i="139"/>
  <c r="K15" i="139"/>
  <c r="L15" i="139"/>
  <c r="M15" i="139"/>
  <c r="H16" i="139"/>
  <c r="I16" i="139"/>
  <c r="J16" i="139"/>
  <c r="K16" i="139"/>
  <c r="L16" i="139"/>
  <c r="M16" i="139"/>
  <c r="H17" i="139"/>
  <c r="I17" i="139"/>
  <c r="J17" i="139"/>
  <c r="K17" i="139"/>
  <c r="L17" i="139"/>
  <c r="M17" i="139"/>
  <c r="H18" i="139"/>
  <c r="I18" i="139"/>
  <c r="J18" i="139"/>
  <c r="K18" i="139"/>
  <c r="L18" i="139"/>
  <c r="M18" i="139"/>
  <c r="H19" i="139"/>
  <c r="I19" i="139"/>
  <c r="J19" i="139"/>
  <c r="K19" i="139"/>
  <c r="L19" i="139"/>
  <c r="M19" i="139"/>
  <c r="H20" i="139"/>
  <c r="I20" i="139"/>
  <c r="J20" i="139"/>
  <c r="K20" i="139"/>
  <c r="L20" i="139"/>
  <c r="M20" i="139"/>
  <c r="H21" i="139"/>
  <c r="I21" i="139"/>
  <c r="H22" i="139"/>
  <c r="I22" i="139"/>
  <c r="H23" i="139"/>
  <c r="I23" i="139"/>
  <c r="H24" i="139"/>
  <c r="I24" i="139"/>
  <c r="H25" i="139"/>
  <c r="I25" i="139"/>
  <c r="H26" i="139"/>
  <c r="I26" i="139"/>
  <c r="H27" i="139"/>
  <c r="I27" i="139"/>
  <c r="H28" i="139"/>
  <c r="I28" i="139"/>
  <c r="H29" i="139"/>
  <c r="I29" i="139"/>
  <c r="H30" i="139"/>
  <c r="I30" i="139"/>
  <c r="H31" i="139"/>
  <c r="I31" i="139"/>
  <c r="H32" i="139"/>
  <c r="I32" i="139"/>
  <c r="H33" i="139"/>
  <c r="I33" i="139"/>
  <c r="H34" i="139"/>
  <c r="I34" i="139"/>
  <c r="H35" i="139"/>
  <c r="I35" i="139"/>
  <c r="H36" i="139"/>
  <c r="I36" i="139"/>
  <c r="H37" i="139"/>
  <c r="I37" i="139"/>
  <c r="H38" i="139"/>
  <c r="I38" i="139"/>
  <c r="H39" i="139"/>
  <c r="I39" i="139"/>
  <c r="H40" i="139"/>
  <c r="I40" i="139"/>
  <c r="C41" i="139"/>
  <c r="H41" i="139"/>
  <c r="D41" i="139"/>
  <c r="I41" i="139"/>
  <c r="C42" i="139"/>
  <c r="H42" i="139"/>
  <c r="D42" i="139"/>
  <c r="I42" i="139"/>
  <c r="C43" i="139"/>
  <c r="H43" i="139"/>
  <c r="D43" i="139"/>
  <c r="I43" i="139"/>
  <c r="C44" i="139"/>
  <c r="H44" i="139"/>
  <c r="D44" i="139"/>
  <c r="I44" i="139"/>
  <c r="C45" i="139"/>
  <c r="H45" i="139"/>
  <c r="D45" i="139"/>
  <c r="I45" i="139"/>
  <c r="C46" i="139"/>
  <c r="H46" i="139"/>
  <c r="D46" i="139"/>
  <c r="I46" i="139"/>
  <c r="C47" i="139"/>
  <c r="H47" i="139"/>
  <c r="D47" i="139"/>
  <c r="I47" i="139"/>
  <c r="C48" i="139"/>
  <c r="H48" i="139"/>
  <c r="D48" i="139"/>
  <c r="I48" i="139"/>
  <c r="C49" i="139"/>
  <c r="H49" i="139"/>
  <c r="D49" i="139"/>
  <c r="I49" i="139"/>
  <c r="C50" i="139"/>
  <c r="H50" i="139"/>
  <c r="D50" i="139"/>
  <c r="I50" i="139"/>
  <c r="C51" i="139"/>
  <c r="H51" i="139"/>
  <c r="D51" i="139"/>
  <c r="I51" i="139"/>
  <c r="C52" i="139"/>
  <c r="H52" i="139"/>
  <c r="D52" i="139"/>
  <c r="I52" i="139"/>
  <c r="C53" i="139"/>
  <c r="H53" i="139"/>
  <c r="D53" i="139"/>
  <c r="I53" i="139"/>
  <c r="C54" i="139"/>
  <c r="H54" i="139"/>
  <c r="D54" i="139"/>
  <c r="I54" i="139"/>
  <c r="H55" i="139"/>
  <c r="I55" i="139"/>
  <c r="H56" i="139"/>
  <c r="I56" i="139"/>
  <c r="H57" i="139"/>
  <c r="I57" i="139"/>
  <c r="H58" i="139"/>
  <c r="I58" i="139"/>
  <c r="H59" i="139"/>
  <c r="I59" i="139"/>
  <c r="H22" i="132"/>
  <c r="I22" i="132"/>
  <c r="H23" i="132"/>
  <c r="I23" i="132"/>
  <c r="H24" i="132"/>
  <c r="I24" i="132"/>
  <c r="H25" i="132"/>
  <c r="GI26" i="96"/>
  <c r="AS26" i="96"/>
  <c r="W26" i="96"/>
  <c r="D25" i="132"/>
  <c r="I25" i="132"/>
  <c r="B22" i="132"/>
  <c r="B23" i="132"/>
  <c r="B24" i="132"/>
  <c r="B25" i="132"/>
  <c r="KE24" i="96"/>
  <c r="KE25" i="96"/>
  <c r="KE26" i="96"/>
  <c r="KE23" i="96"/>
  <c r="B25" i="133"/>
  <c r="B24" i="133"/>
  <c r="NI11" i="96"/>
  <c r="NI12" i="96"/>
  <c r="NI13" i="96"/>
  <c r="NI14" i="96"/>
  <c r="NI15" i="96"/>
  <c r="NI16" i="96"/>
  <c r="NI17" i="96"/>
  <c r="NI18" i="96"/>
  <c r="NI19" i="96"/>
  <c r="NI20" i="96"/>
  <c r="NI21" i="96"/>
  <c r="NI22" i="96"/>
  <c r="NI23" i="96"/>
  <c r="NI24" i="96"/>
  <c r="NI25" i="96"/>
  <c r="NI26" i="96"/>
  <c r="NI27" i="96"/>
  <c r="NI28" i="96"/>
  <c r="NI29" i="96"/>
  <c r="NI30" i="96"/>
  <c r="NI31" i="96"/>
  <c r="NI32" i="96"/>
  <c r="NI33" i="96"/>
  <c r="NI34" i="96"/>
  <c r="NI35" i="96"/>
  <c r="NI36" i="96"/>
  <c r="NI37" i="96"/>
  <c r="NI38" i="96"/>
  <c r="NI39" i="96"/>
  <c r="NI40" i="96"/>
  <c r="NI41" i="96"/>
  <c r="NI42" i="96"/>
  <c r="NI43" i="96"/>
  <c r="NI44" i="96"/>
  <c r="NI45" i="96"/>
  <c r="NI46" i="96"/>
  <c r="NI47" i="96"/>
  <c r="NI48" i="96"/>
  <c r="NI49" i="96"/>
  <c r="NI50" i="96"/>
  <c r="NI51" i="96"/>
  <c r="NI52" i="96"/>
  <c r="NI53" i="96"/>
  <c r="NI54" i="96"/>
  <c r="NI55" i="96"/>
  <c r="NI56" i="96"/>
  <c r="NI57" i="96"/>
  <c r="NI58" i="96"/>
  <c r="NI59" i="96"/>
  <c r="D6" i="214"/>
  <c r="E6" i="214"/>
  <c r="F6" i="214"/>
  <c r="H6" i="214"/>
  <c r="I6" i="214"/>
  <c r="J6" i="214"/>
  <c r="L6" i="214"/>
  <c r="M6" i="214"/>
  <c r="N6" i="214"/>
  <c r="F7" i="214"/>
  <c r="I7" i="214"/>
  <c r="J7" i="214"/>
  <c r="I19" i="214"/>
  <c r="I20" i="214"/>
  <c r="I21" i="214"/>
  <c r="I22" i="214"/>
  <c r="I23" i="214"/>
  <c r="I24" i="214"/>
  <c r="I25" i="214"/>
  <c r="I26" i="214"/>
  <c r="I29" i="214"/>
  <c r="M7" i="214"/>
  <c r="N7" i="214"/>
  <c r="E8" i="214"/>
  <c r="F8" i="214"/>
  <c r="I8" i="214"/>
  <c r="J8" i="214"/>
  <c r="M8" i="214"/>
  <c r="N8" i="214"/>
  <c r="M12" i="214"/>
  <c r="E29" i="214"/>
  <c r="O12" i="214"/>
  <c r="F19" i="214"/>
  <c r="F20" i="214"/>
  <c r="F21" i="214"/>
  <c r="F22" i="214"/>
  <c r="F23" i="214"/>
  <c r="F24" i="214"/>
  <c r="F25" i="214"/>
  <c r="F26" i="214"/>
  <c r="F27" i="214"/>
  <c r="F28" i="214"/>
  <c r="F29" i="214"/>
  <c r="H29" i="214"/>
  <c r="E31" i="214"/>
  <c r="D17" i="123"/>
  <c r="G17" i="123"/>
  <c r="O17" i="123"/>
  <c r="H17" i="123"/>
  <c r="P17" i="123"/>
  <c r="I17" i="123"/>
  <c r="K17" i="123"/>
  <c r="D18" i="123"/>
  <c r="G18" i="123"/>
  <c r="O18" i="123"/>
  <c r="H18" i="123"/>
  <c r="P18" i="123"/>
  <c r="I18" i="123"/>
  <c r="K18" i="123"/>
  <c r="D19" i="123"/>
  <c r="G19" i="123"/>
  <c r="O19" i="123"/>
  <c r="H19" i="123"/>
  <c r="P19" i="123"/>
  <c r="I19" i="123"/>
  <c r="K19" i="123"/>
  <c r="D20" i="123"/>
  <c r="G20" i="123"/>
  <c r="O20" i="123"/>
  <c r="H20" i="123"/>
  <c r="P20" i="123"/>
  <c r="I20" i="123"/>
  <c r="K20" i="123"/>
  <c r="D21" i="123"/>
  <c r="G21" i="123"/>
  <c r="O21" i="123"/>
  <c r="H21" i="123"/>
  <c r="P21" i="123"/>
  <c r="I21" i="123"/>
  <c r="K21" i="123"/>
  <c r="D22" i="123"/>
  <c r="G22" i="123"/>
  <c r="O22" i="123"/>
  <c r="H22" i="123"/>
  <c r="P22" i="123"/>
  <c r="I22" i="123"/>
  <c r="K22" i="123"/>
  <c r="D23" i="123"/>
  <c r="G23" i="123"/>
  <c r="O23" i="123"/>
  <c r="H23" i="123"/>
  <c r="P23" i="123"/>
  <c r="I23" i="123"/>
  <c r="K23" i="123"/>
  <c r="D24" i="123"/>
  <c r="G24" i="123"/>
  <c r="B17" i="123"/>
  <c r="F17" i="123"/>
  <c r="B18" i="123"/>
  <c r="F18" i="123"/>
  <c r="B19" i="123"/>
  <c r="F19" i="123"/>
  <c r="B20" i="123"/>
  <c r="F20" i="123"/>
  <c r="B21" i="123"/>
  <c r="F21" i="123"/>
  <c r="B22" i="123"/>
  <c r="F22" i="123"/>
  <c r="B23" i="123"/>
  <c r="F23" i="123"/>
  <c r="B24" i="123"/>
  <c r="F24" i="123"/>
  <c r="B25" i="123"/>
  <c r="F25" i="123"/>
  <c r="B26" i="123"/>
  <c r="F26" i="123"/>
  <c r="B27" i="123"/>
  <c r="F27" i="123"/>
  <c r="B28" i="123"/>
  <c r="F28" i="123"/>
  <c r="B29" i="123"/>
  <c r="F29" i="123"/>
  <c r="B30" i="123"/>
  <c r="F30" i="123"/>
  <c r="B31" i="123"/>
  <c r="F31" i="123"/>
  <c r="B32" i="123"/>
  <c r="F32" i="123"/>
  <c r="B33" i="123"/>
  <c r="F33" i="123"/>
  <c r="B34" i="123"/>
  <c r="F34" i="123"/>
  <c r="B35" i="123"/>
  <c r="F35" i="123"/>
  <c r="B36" i="123"/>
  <c r="F36" i="123"/>
  <c r="B37" i="123"/>
  <c r="F37" i="123"/>
  <c r="B38" i="123"/>
  <c r="F38" i="123"/>
  <c r="B39" i="123"/>
  <c r="F39" i="123"/>
  <c r="B40" i="123"/>
  <c r="F40" i="123"/>
  <c r="B41" i="123"/>
  <c r="F41" i="123"/>
  <c r="B42" i="123"/>
  <c r="F42" i="123"/>
  <c r="B43" i="123"/>
  <c r="F43" i="123"/>
  <c r="B44" i="123"/>
  <c r="F44" i="123"/>
  <c r="B45" i="123"/>
  <c r="F45" i="123"/>
  <c r="B46" i="123"/>
  <c r="F46" i="123"/>
  <c r="B47" i="123"/>
  <c r="F47" i="123"/>
  <c r="B48" i="123"/>
  <c r="F48" i="123"/>
  <c r="B49" i="123"/>
  <c r="F49" i="123"/>
  <c r="B50" i="123"/>
  <c r="F50" i="123"/>
  <c r="B51" i="123"/>
  <c r="F51" i="123"/>
  <c r="B52" i="123"/>
  <c r="F52" i="123"/>
  <c r="B53" i="123"/>
  <c r="F53" i="123"/>
  <c r="B54" i="123"/>
  <c r="F54" i="123"/>
  <c r="B55" i="123"/>
  <c r="F55" i="123"/>
  <c r="B56" i="123"/>
  <c r="F56" i="123"/>
  <c r="B57" i="123"/>
  <c r="F57" i="123"/>
  <c r="B58" i="123"/>
  <c r="F58" i="123"/>
  <c r="B59" i="123"/>
  <c r="F59" i="123"/>
  <c r="I66" i="123"/>
  <c r="D9" i="123"/>
  <c r="G9" i="123"/>
  <c r="O9" i="123"/>
  <c r="H9" i="123"/>
  <c r="P9" i="123"/>
  <c r="I9" i="123"/>
  <c r="D10" i="123"/>
  <c r="G10" i="123"/>
  <c r="O10" i="123"/>
  <c r="H10" i="123"/>
  <c r="P10" i="123"/>
  <c r="I10" i="123"/>
  <c r="D11" i="123"/>
  <c r="G11" i="123"/>
  <c r="O11" i="123"/>
  <c r="H11" i="123"/>
  <c r="P11" i="123"/>
  <c r="I11" i="123"/>
  <c r="D12" i="123"/>
  <c r="G12" i="123"/>
  <c r="O12" i="123"/>
  <c r="H12" i="123"/>
  <c r="P12" i="123"/>
  <c r="I12" i="123"/>
  <c r="D13" i="123"/>
  <c r="G13" i="123"/>
  <c r="O13" i="123"/>
  <c r="H13" i="123"/>
  <c r="P13" i="123"/>
  <c r="I13" i="123"/>
  <c r="D14" i="123"/>
  <c r="G14" i="123"/>
  <c r="O14" i="123"/>
  <c r="H14" i="123"/>
  <c r="P14" i="123"/>
  <c r="I14" i="123"/>
  <c r="D15" i="123"/>
  <c r="G15" i="123"/>
  <c r="O15" i="123"/>
  <c r="H15" i="123"/>
  <c r="P15" i="123"/>
  <c r="I15" i="123"/>
  <c r="D16" i="123"/>
  <c r="G16" i="123"/>
  <c r="O16" i="123"/>
  <c r="H16" i="123"/>
  <c r="P16" i="123"/>
  <c r="I16" i="123"/>
  <c r="I65" i="123"/>
  <c r="I64" i="123"/>
  <c r="L64" i="166"/>
  <c r="B9" i="123"/>
  <c r="K9" i="127"/>
  <c r="B10" i="123"/>
  <c r="K10" i="127"/>
  <c r="B11" i="123"/>
  <c r="K11" i="127"/>
  <c r="B12" i="123"/>
  <c r="K12" i="127"/>
  <c r="B13" i="123"/>
  <c r="K13" i="127"/>
  <c r="B14" i="123"/>
  <c r="K14" i="127"/>
  <c r="B15" i="123"/>
  <c r="K15" i="127"/>
  <c r="B16" i="123"/>
  <c r="K16" i="127"/>
  <c r="K17" i="127"/>
  <c r="K18" i="127"/>
  <c r="K19" i="127"/>
  <c r="K20" i="127"/>
  <c r="K21" i="127"/>
  <c r="K22" i="127"/>
  <c r="K23" i="127"/>
  <c r="K24" i="127"/>
  <c r="K25" i="127"/>
  <c r="K26" i="127"/>
  <c r="K27" i="127"/>
  <c r="K28" i="127"/>
  <c r="K29" i="127"/>
  <c r="K30" i="127"/>
  <c r="K31" i="127"/>
  <c r="K32" i="127"/>
  <c r="K63" i="127"/>
  <c r="F9" i="123"/>
  <c r="F10" i="123"/>
  <c r="F11" i="123"/>
  <c r="F12" i="123"/>
  <c r="F13" i="123"/>
  <c r="F14" i="123"/>
  <c r="F15" i="123"/>
  <c r="F16" i="123"/>
  <c r="E65" i="123"/>
  <c r="F65" i="123"/>
  <c r="K33" i="127"/>
  <c r="K34" i="127"/>
  <c r="K35" i="127"/>
  <c r="K36" i="127"/>
  <c r="K37" i="127"/>
  <c r="K38" i="127"/>
  <c r="K39" i="127"/>
  <c r="K40" i="127"/>
  <c r="K41" i="127"/>
  <c r="K42" i="127"/>
  <c r="K43" i="127"/>
  <c r="K44" i="127"/>
  <c r="K45" i="127"/>
  <c r="K46" i="127"/>
  <c r="K47" i="127"/>
  <c r="K48" i="127"/>
  <c r="K49" i="127"/>
  <c r="K50" i="127"/>
  <c r="K51" i="127"/>
  <c r="K52" i="127"/>
  <c r="K53" i="127"/>
  <c r="K54" i="127"/>
  <c r="K55" i="127"/>
  <c r="K56" i="127"/>
  <c r="K57" i="127"/>
  <c r="K58" i="127"/>
  <c r="K59" i="127"/>
  <c r="K64" i="127"/>
  <c r="E66" i="123"/>
  <c r="F66" i="123"/>
  <c r="K62" i="127"/>
  <c r="E64" i="123"/>
  <c r="F64" i="123"/>
  <c r="B59" i="115"/>
  <c r="K59" i="115"/>
  <c r="L59" i="115"/>
  <c r="B60" i="115"/>
  <c r="K58" i="115"/>
  <c r="K57" i="115"/>
  <c r="K56" i="115"/>
  <c r="K55" i="115"/>
  <c r="K54" i="115"/>
  <c r="K53" i="115"/>
  <c r="K52" i="115"/>
  <c r="K51" i="115"/>
  <c r="K50" i="115"/>
  <c r="K49" i="115"/>
  <c r="K48" i="115"/>
  <c r="K47" i="115"/>
  <c r="K46" i="115"/>
  <c r="J45" i="115"/>
  <c r="K45" i="115"/>
  <c r="C45" i="117"/>
  <c r="F45" i="117"/>
  <c r="G45" i="117"/>
  <c r="K44" i="115"/>
  <c r="K43" i="115"/>
  <c r="K42" i="115"/>
  <c r="J41" i="115"/>
  <c r="C41" i="117"/>
  <c r="F41" i="117"/>
  <c r="E41" i="115"/>
  <c r="K41" i="115"/>
  <c r="J40" i="115"/>
  <c r="C40" i="117"/>
  <c r="F40" i="117"/>
  <c r="E40" i="115"/>
  <c r="K40" i="115"/>
  <c r="J39" i="115"/>
  <c r="C39" i="117"/>
  <c r="F39" i="117"/>
  <c r="E39" i="115"/>
  <c r="K39" i="115"/>
  <c r="J38" i="115"/>
  <c r="C38" i="117"/>
  <c r="F38" i="117"/>
  <c r="E38" i="115"/>
  <c r="K38" i="115"/>
  <c r="J37" i="115"/>
  <c r="C37" i="117"/>
  <c r="F37" i="117"/>
  <c r="E37" i="115"/>
  <c r="K37" i="115"/>
  <c r="J36" i="115"/>
  <c r="C36" i="117"/>
  <c r="F36" i="117"/>
  <c r="E36" i="115"/>
  <c r="K36" i="115"/>
  <c r="J35" i="115"/>
  <c r="C35" i="117"/>
  <c r="F35" i="117"/>
  <c r="E35" i="115"/>
  <c r="K35" i="115"/>
  <c r="J34" i="115"/>
  <c r="C34" i="117"/>
  <c r="F34" i="117"/>
  <c r="E34" i="115"/>
  <c r="K34" i="115"/>
  <c r="J33" i="115"/>
  <c r="C33" i="117"/>
  <c r="F33" i="117"/>
  <c r="E33" i="115"/>
  <c r="K33" i="115"/>
  <c r="J32" i="115"/>
  <c r="C32" i="117"/>
  <c r="F32" i="117"/>
  <c r="E32" i="115"/>
  <c r="K32" i="115"/>
  <c r="J31" i="115"/>
  <c r="C31" i="117"/>
  <c r="F31" i="117"/>
  <c r="E31" i="115"/>
  <c r="K31" i="115"/>
  <c r="J30" i="115"/>
  <c r="C30" i="117"/>
  <c r="F30" i="117"/>
  <c r="E30" i="115"/>
  <c r="K30" i="115"/>
  <c r="J29" i="115"/>
  <c r="C29" i="117"/>
  <c r="F29" i="117"/>
  <c r="E29" i="115"/>
  <c r="K29" i="115"/>
  <c r="J28" i="115"/>
  <c r="C28" i="117"/>
  <c r="F28" i="117"/>
  <c r="E28" i="115"/>
  <c r="K28" i="115"/>
  <c r="J27" i="115"/>
  <c r="C27" i="117"/>
  <c r="F27" i="117"/>
  <c r="E27" i="115"/>
  <c r="K27" i="115"/>
  <c r="J26" i="115"/>
  <c r="C26" i="117"/>
  <c r="F26" i="117"/>
  <c r="E26" i="115"/>
  <c r="K26" i="115"/>
  <c r="C25" i="117"/>
  <c r="E25" i="115"/>
  <c r="B25" i="117"/>
  <c r="E25" i="117"/>
  <c r="K25" i="115"/>
  <c r="J24" i="115"/>
  <c r="C24" i="117"/>
  <c r="F24" i="117"/>
  <c r="E24" i="115"/>
  <c r="B24" i="117"/>
  <c r="E24" i="117"/>
  <c r="K24" i="115"/>
  <c r="G24" i="117"/>
  <c r="J23" i="115"/>
  <c r="C23" i="117"/>
  <c r="F23" i="117"/>
  <c r="E23" i="115"/>
  <c r="B23" i="117"/>
  <c r="E23" i="117"/>
  <c r="K23" i="115"/>
  <c r="G23" i="117"/>
  <c r="J22" i="115"/>
  <c r="C22" i="117"/>
  <c r="F22" i="117"/>
  <c r="E22" i="115"/>
  <c r="B22" i="117"/>
  <c r="E22" i="117"/>
  <c r="K22" i="115"/>
  <c r="G22" i="117"/>
  <c r="J21" i="115"/>
  <c r="C21" i="117"/>
  <c r="F21" i="117"/>
  <c r="E21" i="115"/>
  <c r="B21" i="117"/>
  <c r="E21" i="117"/>
  <c r="K21" i="115"/>
  <c r="G21" i="117"/>
  <c r="J20" i="115"/>
  <c r="C20" i="117"/>
  <c r="F20" i="117"/>
  <c r="E20" i="115"/>
  <c r="B20" i="117"/>
  <c r="E20" i="117"/>
  <c r="K20" i="115"/>
  <c r="G20" i="117"/>
  <c r="J19" i="115"/>
  <c r="C19" i="117"/>
  <c r="F19" i="117"/>
  <c r="E19" i="115"/>
  <c r="B19" i="117"/>
  <c r="E19" i="117"/>
  <c r="K19" i="115"/>
  <c r="G19" i="117"/>
  <c r="J18" i="115"/>
  <c r="C18" i="117"/>
  <c r="F18" i="117"/>
  <c r="E18" i="115"/>
  <c r="B18" i="117"/>
  <c r="E18" i="117"/>
  <c r="K18" i="115"/>
  <c r="G18" i="117"/>
  <c r="J17" i="115"/>
  <c r="C17" i="117"/>
  <c r="F17" i="117"/>
  <c r="E17" i="115"/>
  <c r="B17" i="117"/>
  <c r="E17" i="117"/>
  <c r="K17" i="115"/>
  <c r="G17" i="117"/>
  <c r="J16" i="115"/>
  <c r="C16" i="117"/>
  <c r="F16" i="117"/>
  <c r="E16" i="115"/>
  <c r="B16" i="117"/>
  <c r="E16" i="117"/>
  <c r="K16" i="115"/>
  <c r="G16" i="117"/>
  <c r="J15" i="115"/>
  <c r="C15" i="117"/>
  <c r="F15" i="117"/>
  <c r="E15" i="115"/>
  <c r="B15" i="117"/>
  <c r="E15" i="117"/>
  <c r="K15" i="115"/>
  <c r="G15" i="117"/>
  <c r="J14" i="115"/>
  <c r="C14" i="117"/>
  <c r="F14" i="117"/>
  <c r="E14" i="115"/>
  <c r="B14" i="117"/>
  <c r="E14" i="117"/>
  <c r="K14" i="115"/>
  <c r="G14" i="117"/>
  <c r="J13" i="115"/>
  <c r="C13" i="117"/>
  <c r="F13" i="117"/>
  <c r="E13" i="115"/>
  <c r="B13" i="117"/>
  <c r="E13" i="117"/>
  <c r="K13" i="115"/>
  <c r="G13" i="117"/>
  <c r="J12" i="115"/>
  <c r="C12" i="117"/>
  <c r="F12" i="117"/>
  <c r="E12" i="115"/>
  <c r="B12" i="117"/>
  <c r="E12" i="117"/>
  <c r="K12" i="115"/>
  <c r="G12" i="117"/>
  <c r="J11" i="115"/>
  <c r="C11" i="117"/>
  <c r="F11" i="117"/>
  <c r="E11" i="115"/>
  <c r="B11" i="117"/>
  <c r="E11" i="117"/>
  <c r="K11" i="115"/>
  <c r="G11" i="117"/>
  <c r="J10" i="115"/>
  <c r="C10" i="117"/>
  <c r="F10" i="117"/>
  <c r="E10" i="115"/>
  <c r="B10" i="117"/>
  <c r="E10" i="117"/>
  <c r="K10" i="115"/>
  <c r="G10" i="117"/>
  <c r="C11" i="119"/>
  <c r="I11" i="119"/>
  <c r="B11" i="119"/>
  <c r="H11" i="119"/>
  <c r="J11" i="119"/>
  <c r="K11" i="119"/>
  <c r="C12" i="119"/>
  <c r="I12" i="119"/>
  <c r="B12" i="119"/>
  <c r="H12" i="119"/>
  <c r="J12" i="119"/>
  <c r="K12" i="119"/>
  <c r="C13" i="119"/>
  <c r="I13" i="119"/>
  <c r="B13" i="119"/>
  <c r="H13" i="119"/>
  <c r="J13" i="119"/>
  <c r="K13" i="119"/>
  <c r="C14" i="119"/>
  <c r="I14" i="119"/>
  <c r="B14" i="119"/>
  <c r="H14" i="119"/>
  <c r="J14" i="119"/>
  <c r="K14" i="119"/>
  <c r="C15" i="119"/>
  <c r="I15" i="119"/>
  <c r="B15" i="119"/>
  <c r="H15" i="119"/>
  <c r="J15" i="119"/>
  <c r="K15" i="119"/>
  <c r="C16" i="119"/>
  <c r="I16" i="119"/>
  <c r="B16" i="119"/>
  <c r="H16" i="119"/>
  <c r="J16" i="119"/>
  <c r="K16" i="119"/>
  <c r="C17" i="119"/>
  <c r="I17" i="119"/>
  <c r="B17" i="119"/>
  <c r="H17" i="119"/>
  <c r="J17" i="119"/>
  <c r="K17" i="119"/>
  <c r="C18" i="119"/>
  <c r="I18" i="119"/>
  <c r="B18" i="119"/>
  <c r="H18" i="119"/>
  <c r="J18" i="119"/>
  <c r="K18" i="119"/>
  <c r="C19" i="119"/>
  <c r="I19" i="119"/>
  <c r="B19" i="119"/>
  <c r="H19" i="119"/>
  <c r="J19" i="119"/>
  <c r="K19" i="119"/>
  <c r="C20" i="119"/>
  <c r="I20" i="119"/>
  <c r="B20" i="119"/>
  <c r="H20" i="119"/>
  <c r="J20" i="119"/>
  <c r="K20" i="119"/>
  <c r="C21" i="119"/>
  <c r="I21" i="119"/>
  <c r="B21" i="119"/>
  <c r="H21" i="119"/>
  <c r="J21" i="119"/>
  <c r="K21" i="119"/>
  <c r="C22" i="119"/>
  <c r="I22" i="119"/>
  <c r="B22" i="119"/>
  <c r="H22" i="119"/>
  <c r="J22" i="119"/>
  <c r="K22" i="119"/>
  <c r="C23" i="119"/>
  <c r="I23" i="119"/>
  <c r="B23" i="119"/>
  <c r="H23" i="119"/>
  <c r="J23" i="119"/>
  <c r="K23" i="119"/>
  <c r="C24" i="119"/>
  <c r="I24" i="119"/>
  <c r="B24" i="119"/>
  <c r="H24" i="119"/>
  <c r="J24" i="119"/>
  <c r="K24" i="119"/>
  <c r="C25" i="119"/>
  <c r="B25" i="119"/>
  <c r="H25" i="119"/>
  <c r="C26" i="119"/>
  <c r="I26" i="119"/>
  <c r="B26" i="119"/>
  <c r="C27" i="119"/>
  <c r="I27" i="119"/>
  <c r="B27" i="119"/>
  <c r="C28" i="119"/>
  <c r="I28" i="119"/>
  <c r="B28" i="119"/>
  <c r="C29" i="119"/>
  <c r="I29" i="119"/>
  <c r="B29" i="119"/>
  <c r="C30" i="119"/>
  <c r="I30" i="119"/>
  <c r="B30" i="119"/>
  <c r="C31" i="119"/>
  <c r="I31" i="119"/>
  <c r="B31" i="119"/>
  <c r="C32" i="119"/>
  <c r="I32" i="119"/>
  <c r="B32" i="119"/>
  <c r="C33" i="119"/>
  <c r="I33" i="119"/>
  <c r="B33" i="119"/>
  <c r="C34" i="119"/>
  <c r="I34" i="119"/>
  <c r="B34" i="119"/>
  <c r="C35" i="119"/>
  <c r="I35" i="119"/>
  <c r="B35" i="119"/>
  <c r="C36" i="119"/>
  <c r="I36" i="119"/>
  <c r="B36" i="119"/>
  <c r="C37" i="119"/>
  <c r="I37" i="119"/>
  <c r="B37" i="119"/>
  <c r="C38" i="119"/>
  <c r="I38" i="119"/>
  <c r="B38" i="119"/>
  <c r="C39" i="119"/>
  <c r="I39" i="119"/>
  <c r="C10" i="119"/>
  <c r="I10" i="119"/>
  <c r="B10" i="119"/>
  <c r="H10" i="119"/>
  <c r="J10" i="119"/>
  <c r="K10" i="119"/>
  <c r="D11" i="119"/>
  <c r="E11" i="119"/>
  <c r="D12" i="119"/>
  <c r="E12" i="119"/>
  <c r="D13" i="119"/>
  <c r="E13" i="119"/>
  <c r="D14" i="119"/>
  <c r="E14" i="119"/>
  <c r="D15" i="119"/>
  <c r="E15" i="119"/>
  <c r="D16" i="119"/>
  <c r="E16" i="119"/>
  <c r="D17" i="119"/>
  <c r="E17" i="119"/>
  <c r="D18" i="119"/>
  <c r="E18" i="119"/>
  <c r="D19" i="119"/>
  <c r="E19" i="119"/>
  <c r="D20" i="119"/>
  <c r="E20" i="119"/>
  <c r="D21" i="119"/>
  <c r="E21" i="119"/>
  <c r="D22" i="119"/>
  <c r="E22" i="119"/>
  <c r="D23" i="119"/>
  <c r="E23" i="119"/>
  <c r="D24" i="119"/>
  <c r="E24" i="119"/>
  <c r="D25" i="119"/>
  <c r="E25" i="119"/>
  <c r="D26" i="119"/>
  <c r="E26" i="119"/>
  <c r="D27" i="119"/>
  <c r="E27" i="119"/>
  <c r="D28" i="119"/>
  <c r="E28" i="119"/>
  <c r="D29" i="119"/>
  <c r="E29" i="119"/>
  <c r="D30" i="119"/>
  <c r="E30" i="119"/>
  <c r="D31" i="119"/>
  <c r="E31" i="119"/>
  <c r="D32" i="119"/>
  <c r="E32" i="119"/>
  <c r="D33" i="119"/>
  <c r="E33" i="119"/>
  <c r="D34" i="119"/>
  <c r="E34" i="119"/>
  <c r="D35" i="119"/>
  <c r="E35" i="119"/>
  <c r="D36" i="119"/>
  <c r="E36" i="119"/>
  <c r="D37" i="119"/>
  <c r="E37" i="119"/>
  <c r="D38" i="119"/>
  <c r="E38" i="119"/>
  <c r="D39" i="119"/>
  <c r="E39" i="119"/>
  <c r="D40" i="119"/>
  <c r="E40" i="119"/>
  <c r="D41" i="119"/>
  <c r="E41" i="119"/>
  <c r="D42" i="119"/>
  <c r="E42" i="119"/>
  <c r="D43" i="119"/>
  <c r="E43" i="119"/>
  <c r="D44" i="119"/>
  <c r="E44" i="119"/>
  <c r="GG46" i="96"/>
  <c r="FN46" i="96"/>
  <c r="FQ46" i="96"/>
  <c r="GH46" i="96"/>
  <c r="C45" i="119"/>
  <c r="CM46" i="96"/>
  <c r="CJ46" i="96"/>
  <c r="CG46" i="96"/>
  <c r="CD46" i="96"/>
  <c r="CA46" i="96"/>
  <c r="BX46" i="96"/>
  <c r="CP46" i="96"/>
  <c r="BY46" i="96"/>
  <c r="CB46" i="96"/>
  <c r="HJ46" i="96"/>
  <c r="HA46" i="96"/>
  <c r="AE46" i="96"/>
  <c r="CE46" i="96"/>
  <c r="AH46" i="96"/>
  <c r="CH46" i="96"/>
  <c r="HE46" i="96"/>
  <c r="AK46" i="96"/>
  <c r="CK46" i="96"/>
  <c r="AN46" i="96"/>
  <c r="CN46" i="96"/>
  <c r="CQ46" i="96"/>
  <c r="B45" i="119"/>
  <c r="D45" i="119"/>
  <c r="E45" i="119"/>
  <c r="D46" i="119"/>
  <c r="E46" i="119"/>
  <c r="D47" i="119"/>
  <c r="E47" i="119"/>
  <c r="D48" i="119"/>
  <c r="E48" i="119"/>
  <c r="D49" i="119"/>
  <c r="E49" i="119"/>
  <c r="D50" i="119"/>
  <c r="E50" i="119"/>
  <c r="D51" i="119"/>
  <c r="E51" i="119"/>
  <c r="D52" i="119"/>
  <c r="E52" i="119"/>
  <c r="D53" i="119"/>
  <c r="E53" i="119"/>
  <c r="D54" i="119"/>
  <c r="E54" i="119"/>
  <c r="D55" i="119"/>
  <c r="E55" i="119"/>
  <c r="D56" i="119"/>
  <c r="E56" i="119"/>
  <c r="D57" i="119"/>
  <c r="E57" i="119"/>
  <c r="D58" i="119"/>
  <c r="E58" i="119"/>
  <c r="D59" i="119"/>
  <c r="E59" i="119"/>
  <c r="D10" i="119"/>
  <c r="E10" i="119"/>
  <c r="D11" i="117"/>
  <c r="K11" i="117"/>
  <c r="D12" i="117"/>
  <c r="K12" i="117"/>
  <c r="D13" i="117"/>
  <c r="K13" i="117"/>
  <c r="D14" i="117"/>
  <c r="K14" i="117"/>
  <c r="D15" i="117"/>
  <c r="K15" i="117"/>
  <c r="D16" i="117"/>
  <c r="K16" i="117"/>
  <c r="D17" i="117"/>
  <c r="K17" i="117"/>
  <c r="D18" i="117"/>
  <c r="K18" i="117"/>
  <c r="D19" i="117"/>
  <c r="K19" i="117"/>
  <c r="D20" i="117"/>
  <c r="K20" i="117"/>
  <c r="D21" i="117"/>
  <c r="K21" i="117"/>
  <c r="D22" i="117"/>
  <c r="K22" i="117"/>
  <c r="D23" i="117"/>
  <c r="K23" i="117"/>
  <c r="D24" i="117"/>
  <c r="K24" i="117"/>
  <c r="D25" i="117"/>
  <c r="K25" i="117"/>
  <c r="D26" i="117"/>
  <c r="K26" i="117"/>
  <c r="D27" i="117"/>
  <c r="K27" i="117"/>
  <c r="D28" i="117"/>
  <c r="K28" i="117"/>
  <c r="D29" i="117"/>
  <c r="K29" i="117"/>
  <c r="D30" i="117"/>
  <c r="K30" i="117"/>
  <c r="D31" i="117"/>
  <c r="K31" i="117"/>
  <c r="D32" i="117"/>
  <c r="K32" i="117"/>
  <c r="D33" i="117"/>
  <c r="K33" i="117"/>
  <c r="D34" i="117"/>
  <c r="K34" i="117"/>
  <c r="D35" i="117"/>
  <c r="K35" i="117"/>
  <c r="D36" i="117"/>
  <c r="K36" i="117"/>
  <c r="D37" i="117"/>
  <c r="K37" i="117"/>
  <c r="D38" i="117"/>
  <c r="K38" i="117"/>
  <c r="D39" i="117"/>
  <c r="K39" i="117"/>
  <c r="D40" i="117"/>
  <c r="K40" i="117"/>
  <c r="D41" i="117"/>
  <c r="K41" i="117"/>
  <c r="D42" i="117"/>
  <c r="K42" i="117"/>
  <c r="D43" i="117"/>
  <c r="K43" i="117"/>
  <c r="D44" i="117"/>
  <c r="K44" i="117"/>
  <c r="D45" i="117"/>
  <c r="K45" i="117"/>
  <c r="D46" i="117"/>
  <c r="K46" i="117"/>
  <c r="D47" i="117"/>
  <c r="K47" i="117"/>
  <c r="D48" i="117"/>
  <c r="K48" i="117"/>
  <c r="D49" i="117"/>
  <c r="K49" i="117"/>
  <c r="D50" i="117"/>
  <c r="K50" i="117"/>
  <c r="D51" i="117"/>
  <c r="K51" i="117"/>
  <c r="D52" i="117"/>
  <c r="K52" i="117"/>
  <c r="D53" i="117"/>
  <c r="K53" i="117"/>
  <c r="D54" i="117"/>
  <c r="K54" i="117"/>
  <c r="D55" i="117"/>
  <c r="K55" i="117"/>
  <c r="D56" i="117"/>
  <c r="K56" i="117"/>
  <c r="D57" i="117"/>
  <c r="K57" i="117"/>
  <c r="D58" i="117"/>
  <c r="K58" i="117"/>
  <c r="D59" i="117"/>
  <c r="K59" i="117"/>
  <c r="D10" i="117"/>
  <c r="K10" i="117"/>
  <c r="L11" i="117"/>
  <c r="L12" i="117"/>
  <c r="L13" i="117"/>
  <c r="L14" i="117"/>
  <c r="L15" i="117"/>
  <c r="L16" i="117"/>
  <c r="L17" i="117"/>
  <c r="L18" i="117"/>
  <c r="L19" i="117"/>
  <c r="L20" i="117"/>
  <c r="L21" i="117"/>
  <c r="L22" i="117"/>
  <c r="L23" i="117"/>
  <c r="L24" i="117"/>
  <c r="L10" i="117"/>
  <c r="L10" i="119"/>
  <c r="L11" i="119"/>
  <c r="L12" i="119"/>
  <c r="L13" i="119"/>
  <c r="L14" i="119"/>
  <c r="L15" i="119"/>
  <c r="L16" i="119"/>
  <c r="L17" i="119"/>
  <c r="L18" i="119"/>
  <c r="L19" i="119"/>
  <c r="L20" i="119"/>
  <c r="L21" i="119"/>
  <c r="L22" i="119"/>
  <c r="L23" i="119"/>
  <c r="L24" i="119"/>
  <c r="L25" i="119"/>
  <c r="L26" i="119"/>
  <c r="L27" i="119"/>
  <c r="L28" i="119"/>
  <c r="L29" i="119"/>
  <c r="L30" i="119"/>
  <c r="L31" i="119"/>
  <c r="L32" i="119"/>
  <c r="L33" i="119"/>
  <c r="L34" i="119"/>
  <c r="L35" i="119"/>
  <c r="L36" i="119"/>
  <c r="L37" i="119"/>
  <c r="L38" i="119"/>
  <c r="L39" i="119"/>
  <c r="L40" i="119"/>
  <c r="L41" i="119"/>
  <c r="L42" i="119"/>
  <c r="L43" i="119"/>
  <c r="L44" i="119"/>
  <c r="L45" i="119"/>
  <c r="L46" i="119"/>
  <c r="L47" i="119"/>
  <c r="L48" i="119"/>
  <c r="L49" i="119"/>
  <c r="L50" i="119"/>
  <c r="L51" i="119"/>
  <c r="L52" i="119"/>
  <c r="L53" i="119"/>
  <c r="L54" i="119"/>
  <c r="L55" i="119"/>
  <c r="L56" i="119"/>
  <c r="L57" i="119"/>
  <c r="L58" i="119"/>
  <c r="L59" i="119"/>
  <c r="H10" i="117"/>
  <c r="H11" i="117"/>
  <c r="H12" i="117"/>
  <c r="H13" i="117"/>
  <c r="H14" i="117"/>
  <c r="H15" i="117"/>
  <c r="H16" i="117"/>
  <c r="H17" i="117"/>
  <c r="H18" i="117"/>
  <c r="H19" i="117"/>
  <c r="H20" i="117"/>
  <c r="H21" i="117"/>
  <c r="H22" i="117"/>
  <c r="H23" i="117"/>
  <c r="H24" i="117"/>
  <c r="H25" i="117"/>
  <c r="E60" i="120"/>
  <c r="E60" i="121"/>
  <c r="E59" i="122"/>
  <c r="J60" i="120"/>
  <c r="J60" i="121"/>
  <c r="J59" i="122"/>
  <c r="I60" i="120"/>
  <c r="I60" i="121"/>
  <c r="I59" i="122"/>
  <c r="D60" i="120"/>
  <c r="D60" i="121"/>
  <c r="D59" i="122"/>
  <c r="E59" i="120"/>
  <c r="E59" i="121"/>
  <c r="E58" i="122"/>
  <c r="J59" i="120"/>
  <c r="J59" i="121"/>
  <c r="J58" i="122"/>
  <c r="I59" i="120"/>
  <c r="I59" i="121"/>
  <c r="I58" i="122"/>
  <c r="D59" i="120"/>
  <c r="D59" i="121"/>
  <c r="D58" i="122"/>
  <c r="E58" i="120"/>
  <c r="E58" i="121"/>
  <c r="E57" i="122"/>
  <c r="J58" i="120"/>
  <c r="J58" i="121"/>
  <c r="J57" i="122"/>
  <c r="I58" i="120"/>
  <c r="I58" i="121"/>
  <c r="I57" i="122"/>
  <c r="D58" i="120"/>
  <c r="D58" i="121"/>
  <c r="D57" i="122"/>
  <c r="E57" i="120"/>
  <c r="E57" i="121"/>
  <c r="E56" i="122"/>
  <c r="J57" i="120"/>
  <c r="J57" i="121"/>
  <c r="J56" i="122"/>
  <c r="I57" i="120"/>
  <c r="I57" i="121"/>
  <c r="I56" i="122"/>
  <c r="D57" i="120"/>
  <c r="D57" i="121"/>
  <c r="D56" i="122"/>
  <c r="E56" i="120"/>
  <c r="E56" i="121"/>
  <c r="E55" i="122"/>
  <c r="J56" i="120"/>
  <c r="J56" i="121"/>
  <c r="J55" i="122"/>
  <c r="I56" i="120"/>
  <c r="I56" i="121"/>
  <c r="I55" i="122"/>
  <c r="D56" i="120"/>
  <c r="D56" i="121"/>
  <c r="D55" i="122"/>
  <c r="E55" i="120"/>
  <c r="E55" i="121"/>
  <c r="E54" i="122"/>
  <c r="J55" i="120"/>
  <c r="J55" i="121"/>
  <c r="J54" i="122"/>
  <c r="I55" i="120"/>
  <c r="I55" i="121"/>
  <c r="I54" i="122"/>
  <c r="D55" i="120"/>
  <c r="D55" i="121"/>
  <c r="D54" i="122"/>
  <c r="E54" i="120"/>
  <c r="E54" i="121"/>
  <c r="E53" i="122"/>
  <c r="J54" i="120"/>
  <c r="J54" i="121"/>
  <c r="J53" i="122"/>
  <c r="I54" i="120"/>
  <c r="I54" i="121"/>
  <c r="I53" i="122"/>
  <c r="D54" i="120"/>
  <c r="D54" i="121"/>
  <c r="D53" i="122"/>
  <c r="E53" i="120"/>
  <c r="E53" i="121"/>
  <c r="E52" i="122"/>
  <c r="J53" i="120"/>
  <c r="J53" i="121"/>
  <c r="J52" i="122"/>
  <c r="I53" i="120"/>
  <c r="I53" i="121"/>
  <c r="I52" i="122"/>
  <c r="D53" i="120"/>
  <c r="D53" i="121"/>
  <c r="D52" i="122"/>
  <c r="E52" i="120"/>
  <c r="E52" i="121"/>
  <c r="E51" i="122"/>
  <c r="J52" i="120"/>
  <c r="J52" i="121"/>
  <c r="J51" i="122"/>
  <c r="I52" i="120"/>
  <c r="I52" i="121"/>
  <c r="I51" i="122"/>
  <c r="D52" i="120"/>
  <c r="D52" i="121"/>
  <c r="D51" i="122"/>
  <c r="E51" i="120"/>
  <c r="E51" i="121"/>
  <c r="E50" i="122"/>
  <c r="J51" i="120"/>
  <c r="J51" i="121"/>
  <c r="J50" i="122"/>
  <c r="I51" i="120"/>
  <c r="I51" i="121"/>
  <c r="I50" i="122"/>
  <c r="D51" i="120"/>
  <c r="D51" i="121"/>
  <c r="D50" i="122"/>
  <c r="E50" i="120"/>
  <c r="E50" i="121"/>
  <c r="E49" i="122"/>
  <c r="J50" i="120"/>
  <c r="J50" i="121"/>
  <c r="J49" i="122"/>
  <c r="I50" i="120"/>
  <c r="I50" i="121"/>
  <c r="I49" i="122"/>
  <c r="D50" i="120"/>
  <c r="D50" i="121"/>
  <c r="D49" i="122"/>
  <c r="E49" i="120"/>
  <c r="E49" i="121"/>
  <c r="E48" i="122"/>
  <c r="J49" i="120"/>
  <c r="J49" i="121"/>
  <c r="J48" i="122"/>
  <c r="I49" i="120"/>
  <c r="I49" i="121"/>
  <c r="I48" i="122"/>
  <c r="D49" i="120"/>
  <c r="D49" i="121"/>
  <c r="D48" i="122"/>
  <c r="E48" i="120"/>
  <c r="E48" i="121"/>
  <c r="E47" i="122"/>
  <c r="J48" i="120"/>
  <c r="J48" i="121"/>
  <c r="J47" i="122"/>
  <c r="I48" i="120"/>
  <c r="I48" i="121"/>
  <c r="I47" i="122"/>
  <c r="D48" i="120"/>
  <c r="D48" i="121"/>
  <c r="D47" i="122"/>
  <c r="E47" i="120"/>
  <c r="E47" i="121"/>
  <c r="E46" i="122"/>
  <c r="J47" i="120"/>
  <c r="J47" i="121"/>
  <c r="J46" i="122"/>
  <c r="I47" i="120"/>
  <c r="I47" i="121"/>
  <c r="I46" i="122"/>
  <c r="D47" i="120"/>
  <c r="D47" i="121"/>
  <c r="D46" i="122"/>
  <c r="E46" i="120"/>
  <c r="E46" i="121"/>
  <c r="E45" i="122"/>
  <c r="J46" i="120"/>
  <c r="J46" i="121"/>
  <c r="J45" i="122"/>
  <c r="I46" i="120"/>
  <c r="I46" i="121"/>
  <c r="I45" i="122"/>
  <c r="D46" i="120"/>
  <c r="D46" i="121"/>
  <c r="D45" i="122"/>
  <c r="E45" i="120"/>
  <c r="E45" i="121"/>
  <c r="E44" i="122"/>
  <c r="J45" i="120"/>
  <c r="J45" i="121"/>
  <c r="J44" i="122"/>
  <c r="I45" i="120"/>
  <c r="I45" i="121"/>
  <c r="I44" i="122"/>
  <c r="D45" i="120"/>
  <c r="D45" i="121"/>
  <c r="D44" i="122"/>
  <c r="E44" i="120"/>
  <c r="E44" i="121"/>
  <c r="E43" i="122"/>
  <c r="J44" i="120"/>
  <c r="J44" i="121"/>
  <c r="J43" i="122"/>
  <c r="I44" i="120"/>
  <c r="I44" i="121"/>
  <c r="I43" i="122"/>
  <c r="D44" i="120"/>
  <c r="D44" i="121"/>
  <c r="D43" i="122"/>
  <c r="E43" i="120"/>
  <c r="E43" i="121"/>
  <c r="E42" i="122"/>
  <c r="J43" i="120"/>
  <c r="J43" i="121"/>
  <c r="J42" i="122"/>
  <c r="I43" i="120"/>
  <c r="I43" i="121"/>
  <c r="I42" i="122"/>
  <c r="D43" i="120"/>
  <c r="D43" i="121"/>
  <c r="D42" i="122"/>
  <c r="E42" i="120"/>
  <c r="E42" i="121"/>
  <c r="E41" i="122"/>
  <c r="J42" i="120"/>
  <c r="J42" i="121"/>
  <c r="J41" i="122"/>
  <c r="I42" i="120"/>
  <c r="I42" i="121"/>
  <c r="I41" i="122"/>
  <c r="D42" i="120"/>
  <c r="D42" i="121"/>
  <c r="D41" i="122"/>
  <c r="E41" i="120"/>
  <c r="E41" i="121"/>
  <c r="E40" i="122"/>
  <c r="J41" i="120"/>
  <c r="J41" i="121"/>
  <c r="J40" i="122"/>
  <c r="I41" i="120"/>
  <c r="I41" i="121"/>
  <c r="I40" i="122"/>
  <c r="D41" i="120"/>
  <c r="D41" i="121"/>
  <c r="D40" i="122"/>
  <c r="E40" i="120"/>
  <c r="E40" i="121"/>
  <c r="E39" i="122"/>
  <c r="J40" i="120"/>
  <c r="J40" i="121"/>
  <c r="J39" i="122"/>
  <c r="I40" i="120"/>
  <c r="I40" i="121"/>
  <c r="I39" i="122"/>
  <c r="D40" i="120"/>
  <c r="D40" i="121"/>
  <c r="D39" i="122"/>
  <c r="E39" i="120"/>
  <c r="E39" i="121"/>
  <c r="E38" i="122"/>
  <c r="J39" i="120"/>
  <c r="J39" i="121"/>
  <c r="J38" i="122"/>
  <c r="I39" i="120"/>
  <c r="I39" i="121"/>
  <c r="I38" i="122"/>
  <c r="D39" i="120"/>
  <c r="D39" i="121"/>
  <c r="D38" i="122"/>
  <c r="E38" i="120"/>
  <c r="E38" i="121"/>
  <c r="E37" i="122"/>
  <c r="J38" i="120"/>
  <c r="J38" i="121"/>
  <c r="J37" i="122"/>
  <c r="I38" i="120"/>
  <c r="I38" i="121"/>
  <c r="I37" i="122"/>
  <c r="D38" i="120"/>
  <c r="D38" i="121"/>
  <c r="D37" i="122"/>
  <c r="E37" i="120"/>
  <c r="E37" i="121"/>
  <c r="E36" i="122"/>
  <c r="J37" i="120"/>
  <c r="J37" i="121"/>
  <c r="J36" i="122"/>
  <c r="I37" i="120"/>
  <c r="I37" i="121"/>
  <c r="I36" i="122"/>
  <c r="D37" i="120"/>
  <c r="D37" i="121"/>
  <c r="D36" i="122"/>
  <c r="E36" i="120"/>
  <c r="E36" i="121"/>
  <c r="E35" i="122"/>
  <c r="J36" i="120"/>
  <c r="J36" i="121"/>
  <c r="J35" i="122"/>
  <c r="I36" i="120"/>
  <c r="I36" i="121"/>
  <c r="I35" i="122"/>
  <c r="D36" i="120"/>
  <c r="D36" i="121"/>
  <c r="D35" i="122"/>
  <c r="E35" i="120"/>
  <c r="E35" i="121"/>
  <c r="E34" i="122"/>
  <c r="J35" i="120"/>
  <c r="J35" i="121"/>
  <c r="J34" i="122"/>
  <c r="I35" i="120"/>
  <c r="I35" i="121"/>
  <c r="I34" i="122"/>
  <c r="D35" i="120"/>
  <c r="D35" i="121"/>
  <c r="D34" i="122"/>
  <c r="E34" i="120"/>
  <c r="E34" i="121"/>
  <c r="E33" i="122"/>
  <c r="J34" i="120"/>
  <c r="J34" i="121"/>
  <c r="J33" i="122"/>
  <c r="I34" i="120"/>
  <c r="I34" i="121"/>
  <c r="I33" i="122"/>
  <c r="D34" i="120"/>
  <c r="D34" i="121"/>
  <c r="D33" i="122"/>
  <c r="E33" i="120"/>
  <c r="E33" i="121"/>
  <c r="E32" i="122"/>
  <c r="J33" i="120"/>
  <c r="J33" i="121"/>
  <c r="J32" i="122"/>
  <c r="I33" i="120"/>
  <c r="I33" i="121"/>
  <c r="I32" i="122"/>
  <c r="D33" i="120"/>
  <c r="D33" i="121"/>
  <c r="D32" i="122"/>
  <c r="E32" i="120"/>
  <c r="E32" i="121"/>
  <c r="E31" i="122"/>
  <c r="J32" i="120"/>
  <c r="J32" i="121"/>
  <c r="J31" i="122"/>
  <c r="I32" i="120"/>
  <c r="I32" i="121"/>
  <c r="I31" i="122"/>
  <c r="D32" i="120"/>
  <c r="D32" i="121"/>
  <c r="D31" i="122"/>
  <c r="E31" i="120"/>
  <c r="E31" i="121"/>
  <c r="E30" i="122"/>
  <c r="J31" i="120"/>
  <c r="J31" i="121"/>
  <c r="J30" i="122"/>
  <c r="I31" i="120"/>
  <c r="I31" i="121"/>
  <c r="I30" i="122"/>
  <c r="D31" i="120"/>
  <c r="D31" i="121"/>
  <c r="D30" i="122"/>
  <c r="E30" i="120"/>
  <c r="E30" i="121"/>
  <c r="E29" i="122"/>
  <c r="J30" i="120"/>
  <c r="J30" i="121"/>
  <c r="J29" i="122"/>
  <c r="I30" i="120"/>
  <c r="I30" i="121"/>
  <c r="I29" i="122"/>
  <c r="D30" i="120"/>
  <c r="D30" i="121"/>
  <c r="D29" i="122"/>
  <c r="E29" i="120"/>
  <c r="E29" i="121"/>
  <c r="E28" i="122"/>
  <c r="J29" i="120"/>
  <c r="J29" i="121"/>
  <c r="J28" i="122"/>
  <c r="I29" i="120"/>
  <c r="I29" i="121"/>
  <c r="I28" i="122"/>
  <c r="D29" i="120"/>
  <c r="D29" i="121"/>
  <c r="D28" i="122"/>
  <c r="E28" i="120"/>
  <c r="E28" i="121"/>
  <c r="E27" i="122"/>
  <c r="J28" i="120"/>
  <c r="J28" i="121"/>
  <c r="J27" i="122"/>
  <c r="I28" i="120"/>
  <c r="I28" i="121"/>
  <c r="I27" i="122"/>
  <c r="D28" i="120"/>
  <c r="D28" i="121"/>
  <c r="D27" i="122"/>
  <c r="E27" i="120"/>
  <c r="E27" i="121"/>
  <c r="E26" i="122"/>
  <c r="J27" i="120"/>
  <c r="J27" i="121"/>
  <c r="J26" i="122"/>
  <c r="I27" i="120"/>
  <c r="I27" i="121"/>
  <c r="I26" i="122"/>
  <c r="D27" i="120"/>
  <c r="D27" i="121"/>
  <c r="D26" i="122"/>
  <c r="E26" i="120"/>
  <c r="E26" i="121"/>
  <c r="E25" i="122"/>
  <c r="J26" i="120"/>
  <c r="J26" i="121"/>
  <c r="J25" i="122"/>
  <c r="I26" i="120"/>
  <c r="I26" i="121"/>
  <c r="I25" i="122"/>
  <c r="D26" i="120"/>
  <c r="D26" i="121"/>
  <c r="D25" i="122"/>
  <c r="H60" i="120"/>
  <c r="G60" i="120"/>
  <c r="O60" i="120"/>
  <c r="C60" i="120"/>
  <c r="B60" i="120"/>
  <c r="N60" i="120"/>
  <c r="H59" i="120"/>
  <c r="G59" i="120"/>
  <c r="O59" i="120"/>
  <c r="C59" i="120"/>
  <c r="B59" i="120"/>
  <c r="N59" i="120"/>
  <c r="H58" i="120"/>
  <c r="G58" i="120"/>
  <c r="O58" i="120"/>
  <c r="C58" i="120"/>
  <c r="B58" i="120"/>
  <c r="N58" i="120"/>
  <c r="H57" i="120"/>
  <c r="G57" i="120"/>
  <c r="O57" i="120"/>
  <c r="C57" i="120"/>
  <c r="B57" i="120"/>
  <c r="N57" i="120"/>
  <c r="H56" i="120"/>
  <c r="G56" i="120"/>
  <c r="O56" i="120"/>
  <c r="C56" i="120"/>
  <c r="B56" i="120"/>
  <c r="N56" i="120"/>
  <c r="H55" i="120"/>
  <c r="G55" i="120"/>
  <c r="O55" i="120"/>
  <c r="C55" i="120"/>
  <c r="B55" i="120"/>
  <c r="N55" i="120"/>
  <c r="H54" i="120"/>
  <c r="G54" i="120"/>
  <c r="O54" i="120"/>
  <c r="C54" i="120"/>
  <c r="B54" i="120"/>
  <c r="N54" i="120"/>
  <c r="H53" i="120"/>
  <c r="G53" i="120"/>
  <c r="O53" i="120"/>
  <c r="C53" i="120"/>
  <c r="B53" i="120"/>
  <c r="N53" i="120"/>
  <c r="H52" i="120"/>
  <c r="G52" i="120"/>
  <c r="O52" i="120"/>
  <c r="C52" i="120"/>
  <c r="B52" i="120"/>
  <c r="N52" i="120"/>
  <c r="H51" i="120"/>
  <c r="G51" i="120"/>
  <c r="O51" i="120"/>
  <c r="C51" i="120"/>
  <c r="B51" i="120"/>
  <c r="N51" i="120"/>
  <c r="H50" i="120"/>
  <c r="G50" i="120"/>
  <c r="O50" i="120"/>
  <c r="C50" i="120"/>
  <c r="B50" i="120"/>
  <c r="N50" i="120"/>
  <c r="H49" i="120"/>
  <c r="G49" i="120"/>
  <c r="O49" i="120"/>
  <c r="C49" i="120"/>
  <c r="B49" i="120"/>
  <c r="N49" i="120"/>
  <c r="H48" i="120"/>
  <c r="G48" i="120"/>
  <c r="O48" i="120"/>
  <c r="C48" i="120"/>
  <c r="B48" i="120"/>
  <c r="N48" i="120"/>
  <c r="H47" i="120"/>
  <c r="G47" i="120"/>
  <c r="O47" i="120"/>
  <c r="C47" i="120"/>
  <c r="B47" i="120"/>
  <c r="N47" i="120"/>
  <c r="H46" i="120"/>
  <c r="G46" i="120"/>
  <c r="O46" i="120"/>
  <c r="C46" i="120"/>
  <c r="B46" i="120"/>
  <c r="N46" i="120"/>
  <c r="H45" i="120"/>
  <c r="G45" i="120"/>
  <c r="O45" i="120"/>
  <c r="C45" i="120"/>
  <c r="B45" i="120"/>
  <c r="N45" i="120"/>
  <c r="H44" i="120"/>
  <c r="G44" i="120"/>
  <c r="O44" i="120"/>
  <c r="C44" i="120"/>
  <c r="B44" i="120"/>
  <c r="N44" i="120"/>
  <c r="H43" i="120"/>
  <c r="G43" i="120"/>
  <c r="O43" i="120"/>
  <c r="C43" i="120"/>
  <c r="B43" i="120"/>
  <c r="N43" i="120"/>
  <c r="H42" i="120"/>
  <c r="G42" i="120"/>
  <c r="O42" i="120"/>
  <c r="C42" i="120"/>
  <c r="B42" i="120"/>
  <c r="N42" i="120"/>
  <c r="H41" i="120"/>
  <c r="G41" i="120"/>
  <c r="O41" i="120"/>
  <c r="C41" i="120"/>
  <c r="B41" i="120"/>
  <c r="N41" i="120"/>
  <c r="H40" i="120"/>
  <c r="G40" i="120"/>
  <c r="O40" i="120"/>
  <c r="C40" i="120"/>
  <c r="B40" i="120"/>
  <c r="N40" i="120"/>
  <c r="H39" i="120"/>
  <c r="G39" i="120"/>
  <c r="O39" i="120"/>
  <c r="C39" i="120"/>
  <c r="B39" i="120"/>
  <c r="N39" i="120"/>
  <c r="H38" i="120"/>
  <c r="G38" i="120"/>
  <c r="O38" i="120"/>
  <c r="C38" i="120"/>
  <c r="B38" i="120"/>
  <c r="N38" i="120"/>
  <c r="H37" i="120"/>
  <c r="G37" i="120"/>
  <c r="O37" i="120"/>
  <c r="C37" i="120"/>
  <c r="B37" i="120"/>
  <c r="N37" i="120"/>
  <c r="H36" i="120"/>
  <c r="G36" i="120"/>
  <c r="O36" i="120"/>
  <c r="C36" i="120"/>
  <c r="B36" i="120"/>
  <c r="N36" i="120"/>
  <c r="H35" i="120"/>
  <c r="G35" i="120"/>
  <c r="O35" i="120"/>
  <c r="C35" i="120"/>
  <c r="B35" i="120"/>
  <c r="N35" i="120"/>
  <c r="H34" i="120"/>
  <c r="G34" i="120"/>
  <c r="O34" i="120"/>
  <c r="C34" i="120"/>
  <c r="B34" i="120"/>
  <c r="N34" i="120"/>
  <c r="H33" i="120"/>
  <c r="G33" i="120"/>
  <c r="O33" i="120"/>
  <c r="C33" i="120"/>
  <c r="B33" i="120"/>
  <c r="N33" i="120"/>
  <c r="H32" i="120"/>
  <c r="G32" i="120"/>
  <c r="O32" i="120"/>
  <c r="C32" i="120"/>
  <c r="B32" i="120"/>
  <c r="N32" i="120"/>
  <c r="H31" i="120"/>
  <c r="G31" i="120"/>
  <c r="O31" i="120"/>
  <c r="C31" i="120"/>
  <c r="B31" i="120"/>
  <c r="N31" i="120"/>
  <c r="H30" i="120"/>
  <c r="G30" i="120"/>
  <c r="O30" i="120"/>
  <c r="C30" i="120"/>
  <c r="B30" i="120"/>
  <c r="N30" i="120"/>
  <c r="H29" i="120"/>
  <c r="G29" i="120"/>
  <c r="O29" i="120"/>
  <c r="C29" i="120"/>
  <c r="B29" i="120"/>
  <c r="N29" i="120"/>
  <c r="H28" i="120"/>
  <c r="G28" i="120"/>
  <c r="O28" i="120"/>
  <c r="C28" i="120"/>
  <c r="B28" i="120"/>
  <c r="N28" i="120"/>
  <c r="H27" i="120"/>
  <c r="G27" i="120"/>
  <c r="O27" i="120"/>
  <c r="C27" i="120"/>
  <c r="B27" i="120"/>
  <c r="N27" i="120"/>
  <c r="H26" i="120"/>
  <c r="G26" i="120"/>
  <c r="O26" i="120"/>
  <c r="C26" i="120"/>
  <c r="B26" i="120"/>
  <c r="N26" i="120"/>
  <c r="J25" i="120"/>
  <c r="I25" i="120"/>
  <c r="H25" i="120"/>
  <c r="G25" i="120"/>
  <c r="O25" i="120"/>
  <c r="D25" i="120"/>
  <c r="E25" i="120"/>
  <c r="C25" i="120"/>
  <c r="B25" i="120"/>
  <c r="N25" i="120"/>
  <c r="J24" i="120"/>
  <c r="I24" i="120"/>
  <c r="H24" i="120"/>
  <c r="G24" i="120"/>
  <c r="O24" i="120"/>
  <c r="D24" i="120"/>
  <c r="E24" i="120"/>
  <c r="C24" i="120"/>
  <c r="B24" i="120"/>
  <c r="N24" i="120"/>
  <c r="J23" i="120"/>
  <c r="I23" i="120"/>
  <c r="H23" i="120"/>
  <c r="G23" i="120"/>
  <c r="O23" i="120"/>
  <c r="D23" i="120"/>
  <c r="E23" i="120"/>
  <c r="C23" i="120"/>
  <c r="B23" i="120"/>
  <c r="N23" i="120"/>
  <c r="J22" i="120"/>
  <c r="I22" i="120"/>
  <c r="H22" i="120"/>
  <c r="G22" i="120"/>
  <c r="O22" i="120"/>
  <c r="D22" i="120"/>
  <c r="E22" i="120"/>
  <c r="C22" i="120"/>
  <c r="B22" i="120"/>
  <c r="N22" i="120"/>
  <c r="J21" i="120"/>
  <c r="I21" i="120"/>
  <c r="H21" i="120"/>
  <c r="G21" i="120"/>
  <c r="O21" i="120"/>
  <c r="D21" i="120"/>
  <c r="E21" i="120"/>
  <c r="C21" i="120"/>
  <c r="B21" i="120"/>
  <c r="N21" i="120"/>
  <c r="J20" i="120"/>
  <c r="I20" i="120"/>
  <c r="H20" i="120"/>
  <c r="G20" i="120"/>
  <c r="O20" i="120"/>
  <c r="D20" i="120"/>
  <c r="E20" i="120"/>
  <c r="C20" i="120"/>
  <c r="B20" i="120"/>
  <c r="N20" i="120"/>
  <c r="J19" i="120"/>
  <c r="I19" i="120"/>
  <c r="H19" i="120"/>
  <c r="G19" i="120"/>
  <c r="O19" i="120"/>
  <c r="D19" i="120"/>
  <c r="E19" i="120"/>
  <c r="C19" i="120"/>
  <c r="B19" i="120"/>
  <c r="N19" i="120"/>
  <c r="J18" i="120"/>
  <c r="I18" i="120"/>
  <c r="H18" i="120"/>
  <c r="G18" i="120"/>
  <c r="O18" i="120"/>
  <c r="D18" i="120"/>
  <c r="E18" i="120"/>
  <c r="C18" i="120"/>
  <c r="B18" i="120"/>
  <c r="N18" i="120"/>
  <c r="J17" i="120"/>
  <c r="I17" i="120"/>
  <c r="H17" i="120"/>
  <c r="G17" i="120"/>
  <c r="O17" i="120"/>
  <c r="D17" i="120"/>
  <c r="E17" i="120"/>
  <c r="C17" i="120"/>
  <c r="B17" i="120"/>
  <c r="N17" i="120"/>
  <c r="J16" i="120"/>
  <c r="I16" i="120"/>
  <c r="H16" i="120"/>
  <c r="G16" i="120"/>
  <c r="O16" i="120"/>
  <c r="D16" i="120"/>
  <c r="E16" i="120"/>
  <c r="C16" i="120"/>
  <c r="B16" i="120"/>
  <c r="N16" i="120"/>
  <c r="J15" i="120"/>
  <c r="I15" i="120"/>
  <c r="H15" i="120"/>
  <c r="G15" i="120"/>
  <c r="O15" i="120"/>
  <c r="D15" i="120"/>
  <c r="E15" i="120"/>
  <c r="C15" i="120"/>
  <c r="B15" i="120"/>
  <c r="N15" i="120"/>
  <c r="J14" i="120"/>
  <c r="I14" i="120"/>
  <c r="H14" i="120"/>
  <c r="G14" i="120"/>
  <c r="O14" i="120"/>
  <c r="D14" i="120"/>
  <c r="E14" i="120"/>
  <c r="C14" i="120"/>
  <c r="B14" i="120"/>
  <c r="N14" i="120"/>
  <c r="J13" i="120"/>
  <c r="I13" i="120"/>
  <c r="H13" i="120"/>
  <c r="G13" i="120"/>
  <c r="O13" i="120"/>
  <c r="D13" i="120"/>
  <c r="E13" i="120"/>
  <c r="C13" i="120"/>
  <c r="B13" i="120"/>
  <c r="N13" i="120"/>
  <c r="J12" i="120"/>
  <c r="I12" i="120"/>
  <c r="H12" i="120"/>
  <c r="G12" i="120"/>
  <c r="O12" i="120"/>
  <c r="D12" i="120"/>
  <c r="E12" i="120"/>
  <c r="C12" i="120"/>
  <c r="B12" i="120"/>
  <c r="N12" i="120"/>
  <c r="J11" i="120"/>
  <c r="I11" i="120"/>
  <c r="H11" i="120"/>
  <c r="G11" i="120"/>
  <c r="O11" i="120"/>
  <c r="D11" i="120"/>
  <c r="E11" i="120"/>
  <c r="C11" i="120"/>
  <c r="B11" i="120"/>
  <c r="N11" i="120"/>
  <c r="J10" i="120"/>
  <c r="I10" i="120"/>
  <c r="H10" i="120"/>
  <c r="G10" i="120"/>
  <c r="O10" i="120"/>
  <c r="D10" i="120"/>
  <c r="E10" i="120"/>
  <c r="C10" i="120"/>
  <c r="B10" i="120"/>
  <c r="N10" i="120"/>
  <c r="W55" i="96" a="1"/>
  <c r="W55" i="96"/>
  <c r="AP60" i="96"/>
  <c r="AS60" i="96"/>
  <c r="I60" i="96"/>
  <c r="J60" i="96"/>
  <c r="EE60" i="96"/>
  <c r="D53" i="211"/>
  <c r="Z60" i="96"/>
  <c r="AC60" i="96"/>
  <c r="AF60" i="96"/>
  <c r="AI60" i="96"/>
  <c r="AL60" i="96"/>
  <c r="GE40" i="96"/>
  <c r="AO60" i="96"/>
  <c r="AR60" i="96"/>
  <c r="EG60" i="96"/>
  <c r="EB60" i="96"/>
  <c r="C53" i="211"/>
  <c r="B53" i="211"/>
  <c r="AP59" i="96"/>
  <c r="AS59" i="96"/>
  <c r="I59" i="96"/>
  <c r="J59" i="96"/>
  <c r="EE59" i="96"/>
  <c r="D52" i="211"/>
  <c r="Z59" i="96"/>
  <c r="AC59" i="96"/>
  <c r="AF59" i="96"/>
  <c r="AI59" i="96"/>
  <c r="AL59" i="96"/>
  <c r="AO59" i="96"/>
  <c r="AR59" i="96"/>
  <c r="AQ59" i="96"/>
  <c r="EG59" i="96"/>
  <c r="EB59" i="96"/>
  <c r="C52" i="211"/>
  <c r="B52" i="211"/>
  <c r="W58" i="96"/>
  <c r="AM55" i="96" a="1"/>
  <c r="AM58" i="96"/>
  <c r="AG55" i="96" a="1"/>
  <c r="AG58" i="96"/>
  <c r="AD55" i="96" a="1"/>
  <c r="AD58" i="96"/>
  <c r="AA55" i="96" a="1"/>
  <c r="AA58" i="96"/>
  <c r="X55" i="96" a="1"/>
  <c r="X58" i="96"/>
  <c r="AP58" i="96"/>
  <c r="AS58" i="96"/>
  <c r="B55" i="96" a="1"/>
  <c r="B58" i="96"/>
  <c r="H55" i="96" a="1"/>
  <c r="H58" i="96"/>
  <c r="F55" i="96" a="1"/>
  <c r="F58" i="96"/>
  <c r="E55" i="96" a="1"/>
  <c r="E58" i="96"/>
  <c r="D55" i="96" a="1"/>
  <c r="D58" i="96"/>
  <c r="C55" i="96" a="1"/>
  <c r="C58" i="96"/>
  <c r="I58" i="96"/>
  <c r="J58" i="96"/>
  <c r="EE58" i="96"/>
  <c r="D51" i="211"/>
  <c r="Z58" i="96"/>
  <c r="AC58" i="96"/>
  <c r="AF58" i="96"/>
  <c r="AI58" i="96"/>
  <c r="AL58" i="96"/>
  <c r="AO58" i="96"/>
  <c r="AR58" i="96"/>
  <c r="AQ58" i="96"/>
  <c r="EG58" i="96"/>
  <c r="EB58" i="96"/>
  <c r="C51" i="211"/>
  <c r="B51" i="211"/>
  <c r="W57" i="96"/>
  <c r="AM57" i="96"/>
  <c r="AG57" i="96"/>
  <c r="AD57" i="96"/>
  <c r="AA57" i="96"/>
  <c r="X57" i="96"/>
  <c r="AP57" i="96"/>
  <c r="AS57" i="96"/>
  <c r="B57" i="96"/>
  <c r="H57" i="96"/>
  <c r="F57" i="96"/>
  <c r="E57" i="96"/>
  <c r="D57" i="96"/>
  <c r="C57" i="96"/>
  <c r="I57" i="96"/>
  <c r="J57" i="96"/>
  <c r="EE57" i="96"/>
  <c r="D50" i="211"/>
  <c r="Z57" i="96"/>
  <c r="AC57" i="96"/>
  <c r="AF57" i="96"/>
  <c r="AI57" i="96"/>
  <c r="AL57" i="96"/>
  <c r="AO57" i="96"/>
  <c r="AR57" i="96"/>
  <c r="AQ57" i="96"/>
  <c r="EG57" i="96"/>
  <c r="EB57" i="96"/>
  <c r="C50" i="211"/>
  <c r="B50" i="211"/>
  <c r="W56" i="96"/>
  <c r="AM56" i="96"/>
  <c r="AG56" i="96"/>
  <c r="AD56" i="96"/>
  <c r="AA56" i="96"/>
  <c r="X56" i="96"/>
  <c r="AP56" i="96"/>
  <c r="AS56" i="96"/>
  <c r="B56" i="96"/>
  <c r="H56" i="96"/>
  <c r="F56" i="96"/>
  <c r="E56" i="96"/>
  <c r="D56" i="96"/>
  <c r="C56" i="96"/>
  <c r="I56" i="96"/>
  <c r="J56" i="96"/>
  <c r="EE56" i="96"/>
  <c r="D49" i="211"/>
  <c r="Z56" i="96"/>
  <c r="AC56" i="96"/>
  <c r="AF56" i="96"/>
  <c r="AI56" i="96"/>
  <c r="AL56" i="96"/>
  <c r="AO56" i="96"/>
  <c r="AR56" i="96"/>
  <c r="AQ56" i="96"/>
  <c r="EG56" i="96"/>
  <c r="EB56" i="96"/>
  <c r="C49" i="211"/>
  <c r="B49" i="211"/>
  <c r="AM55" i="96"/>
  <c r="AG55" i="96"/>
  <c r="AD55" i="96"/>
  <c r="AA55" i="96"/>
  <c r="X55" i="96"/>
  <c r="AP55" i="96"/>
  <c r="AS55" i="96"/>
  <c r="B55" i="96"/>
  <c r="H55" i="96"/>
  <c r="F55" i="96"/>
  <c r="E55" i="96"/>
  <c r="D55" i="96"/>
  <c r="C55" i="96"/>
  <c r="I55" i="96"/>
  <c r="J55" i="96"/>
  <c r="EE55" i="96"/>
  <c r="D48" i="211"/>
  <c r="Z55" i="96"/>
  <c r="AC55" i="96"/>
  <c r="AF55" i="96"/>
  <c r="AI55" i="96"/>
  <c r="AL55" i="96"/>
  <c r="AO55" i="96"/>
  <c r="AR55" i="96"/>
  <c r="AQ55" i="96"/>
  <c r="EG55" i="96"/>
  <c r="EB55" i="96"/>
  <c r="C48" i="211"/>
  <c r="B48" i="211"/>
  <c r="AP54" i="96"/>
  <c r="AS54" i="96"/>
  <c r="I54" i="96"/>
  <c r="J54" i="96"/>
  <c r="EE54" i="96"/>
  <c r="D47" i="211"/>
  <c r="Z54" i="96"/>
  <c r="AC54" i="96"/>
  <c r="AF54" i="96"/>
  <c r="AI54" i="96"/>
  <c r="AL54" i="96"/>
  <c r="AO54" i="96"/>
  <c r="AR54" i="96"/>
  <c r="AQ54" i="96"/>
  <c r="EG54" i="96"/>
  <c r="EB54" i="96"/>
  <c r="C47" i="211"/>
  <c r="B47" i="211"/>
  <c r="AP53" i="96"/>
  <c r="AS53" i="96"/>
  <c r="B31" i="96" a="1"/>
  <c r="B53" i="96"/>
  <c r="H31" i="96" a="1"/>
  <c r="H53" i="96"/>
  <c r="F31" i="96" a="1"/>
  <c r="F53" i="96"/>
  <c r="E31" i="96" a="1"/>
  <c r="E53" i="96"/>
  <c r="D31" i="96" a="1"/>
  <c r="D53" i="96"/>
  <c r="C31" i="96" a="1"/>
  <c r="C53" i="96"/>
  <c r="I53" i="96"/>
  <c r="J53" i="96"/>
  <c r="EE53" i="96"/>
  <c r="D46" i="211"/>
  <c r="Z53" i="96"/>
  <c r="AC53" i="96"/>
  <c r="AF53" i="96"/>
  <c r="AI53" i="96"/>
  <c r="AL53" i="96"/>
  <c r="AO53" i="96"/>
  <c r="AR53" i="96"/>
  <c r="AQ53" i="96"/>
  <c r="EG53" i="96"/>
  <c r="EB53" i="96"/>
  <c r="C46" i="211"/>
  <c r="B46" i="211"/>
  <c r="AP52" i="96"/>
  <c r="AS52" i="96"/>
  <c r="B52" i="96"/>
  <c r="H52" i="96"/>
  <c r="F52" i="96"/>
  <c r="E52" i="96"/>
  <c r="D52" i="96"/>
  <c r="C52" i="96"/>
  <c r="I52" i="96"/>
  <c r="J52" i="96"/>
  <c r="EE52" i="96"/>
  <c r="D45" i="211"/>
  <c r="Z52" i="96"/>
  <c r="AC52" i="96"/>
  <c r="AF52" i="96"/>
  <c r="AI52" i="96"/>
  <c r="AL52" i="96"/>
  <c r="AO52" i="96"/>
  <c r="AR52" i="96"/>
  <c r="AQ52" i="96"/>
  <c r="EG52" i="96"/>
  <c r="EB52" i="96"/>
  <c r="C45" i="211"/>
  <c r="B45" i="211"/>
  <c r="AP51" i="96"/>
  <c r="AS51" i="96"/>
  <c r="B51" i="96"/>
  <c r="H51" i="96"/>
  <c r="F51" i="96"/>
  <c r="E51" i="96"/>
  <c r="D51" i="96"/>
  <c r="C51" i="96"/>
  <c r="I51" i="96"/>
  <c r="J51" i="96"/>
  <c r="EE51" i="96"/>
  <c r="D44" i="211"/>
  <c r="Z51" i="96"/>
  <c r="AC51" i="96"/>
  <c r="AF51" i="96"/>
  <c r="AI51" i="96"/>
  <c r="AL51" i="96"/>
  <c r="AO51" i="96"/>
  <c r="AR51" i="96"/>
  <c r="AQ51" i="96"/>
  <c r="EG51" i="96"/>
  <c r="EB51" i="96"/>
  <c r="C44" i="211"/>
  <c r="B44" i="211"/>
  <c r="AP50" i="96"/>
  <c r="AS50" i="96"/>
  <c r="B50" i="96"/>
  <c r="H50" i="96"/>
  <c r="F50" i="96"/>
  <c r="E50" i="96"/>
  <c r="D50" i="96"/>
  <c r="C50" i="96"/>
  <c r="I50" i="96"/>
  <c r="J50" i="96"/>
  <c r="EE50" i="96"/>
  <c r="D43" i="211"/>
  <c r="Z50" i="96"/>
  <c r="AC50" i="96"/>
  <c r="AF50" i="96"/>
  <c r="AI50" i="96"/>
  <c r="AL50" i="96"/>
  <c r="AO50" i="96"/>
  <c r="AR50" i="96"/>
  <c r="AQ50" i="96"/>
  <c r="EG50" i="96"/>
  <c r="EB50" i="96"/>
  <c r="C43" i="211"/>
  <c r="B43" i="211"/>
  <c r="AP49" i="96"/>
  <c r="AS49" i="96"/>
  <c r="B49" i="96"/>
  <c r="H49" i="96"/>
  <c r="F49" i="96"/>
  <c r="E49" i="96"/>
  <c r="D49" i="96"/>
  <c r="C49" i="96"/>
  <c r="I49" i="96"/>
  <c r="J49" i="96"/>
  <c r="EE49" i="96"/>
  <c r="D42" i="211"/>
  <c r="Z49" i="96"/>
  <c r="AC49" i="96"/>
  <c r="AF49" i="96"/>
  <c r="AI49" i="96"/>
  <c r="AL49" i="96"/>
  <c r="AO49" i="96"/>
  <c r="AR49" i="96"/>
  <c r="AQ49" i="96"/>
  <c r="EG49" i="96"/>
  <c r="EB49" i="96"/>
  <c r="C42" i="211"/>
  <c r="B42" i="211"/>
  <c r="AP48" i="96"/>
  <c r="AS48" i="96"/>
  <c r="B48" i="96"/>
  <c r="H48" i="96"/>
  <c r="F48" i="96"/>
  <c r="E48" i="96"/>
  <c r="D48" i="96"/>
  <c r="C48" i="96"/>
  <c r="I48" i="96"/>
  <c r="J48" i="96"/>
  <c r="EE48" i="96"/>
  <c r="D41" i="211"/>
  <c r="Z48" i="96"/>
  <c r="AC48" i="96"/>
  <c r="AF48" i="96"/>
  <c r="AI48" i="96"/>
  <c r="AL48" i="96"/>
  <c r="AO48" i="96"/>
  <c r="AR48" i="96"/>
  <c r="AQ48" i="96"/>
  <c r="EG48" i="96"/>
  <c r="EB48" i="96"/>
  <c r="C41" i="211"/>
  <c r="B41" i="211"/>
  <c r="AP47" i="96"/>
  <c r="AS47" i="96"/>
  <c r="B47" i="96"/>
  <c r="H47" i="96"/>
  <c r="F47" i="96"/>
  <c r="E47" i="96"/>
  <c r="D47" i="96"/>
  <c r="C47" i="96"/>
  <c r="I47" i="96"/>
  <c r="J47" i="96"/>
  <c r="EE47" i="96"/>
  <c r="D40" i="211"/>
  <c r="Z47" i="96"/>
  <c r="AC47" i="96"/>
  <c r="AF47" i="96"/>
  <c r="AI47" i="96"/>
  <c r="AL47" i="96"/>
  <c r="AO47" i="96"/>
  <c r="AR47" i="96"/>
  <c r="AQ47" i="96"/>
  <c r="EG47" i="96"/>
  <c r="EB47" i="96"/>
  <c r="C40" i="211"/>
  <c r="B40" i="211"/>
  <c r="AP46" i="96"/>
  <c r="AS46" i="96"/>
  <c r="B46" i="96"/>
  <c r="H46" i="96"/>
  <c r="F46" i="96"/>
  <c r="E46" i="96"/>
  <c r="D46" i="96"/>
  <c r="C46" i="96"/>
  <c r="I46" i="96"/>
  <c r="J46" i="96"/>
  <c r="EE46" i="96"/>
  <c r="D39" i="211"/>
  <c r="Z46" i="96"/>
  <c r="AC46" i="96"/>
  <c r="AF46" i="96"/>
  <c r="AI46" i="96"/>
  <c r="AL46" i="96"/>
  <c r="AO46" i="96"/>
  <c r="AR46" i="96"/>
  <c r="AQ46" i="96"/>
  <c r="EG46" i="96"/>
  <c r="EB46" i="96"/>
  <c r="C39" i="211"/>
  <c r="B39" i="211"/>
  <c r="AP45" i="96"/>
  <c r="AS45" i="96"/>
  <c r="B45" i="96"/>
  <c r="H45" i="96"/>
  <c r="F45" i="96"/>
  <c r="E45" i="96"/>
  <c r="D45" i="96"/>
  <c r="C45" i="96"/>
  <c r="I45" i="96"/>
  <c r="J45" i="96"/>
  <c r="EE45" i="96"/>
  <c r="D38" i="211"/>
  <c r="Z45" i="96"/>
  <c r="AC45" i="96"/>
  <c r="AF45" i="96"/>
  <c r="AI45" i="96"/>
  <c r="AL45" i="96"/>
  <c r="AO45" i="96"/>
  <c r="AR45" i="96"/>
  <c r="AQ45" i="96"/>
  <c r="EG45" i="96"/>
  <c r="EB45" i="96"/>
  <c r="C38" i="211"/>
  <c r="B38" i="211"/>
  <c r="AP44" i="96"/>
  <c r="AS44" i="96"/>
  <c r="B44" i="96"/>
  <c r="H44" i="96"/>
  <c r="F44" i="96"/>
  <c r="E44" i="96"/>
  <c r="D44" i="96"/>
  <c r="C44" i="96"/>
  <c r="I44" i="96"/>
  <c r="J44" i="96"/>
  <c r="EE44" i="96"/>
  <c r="D37" i="211"/>
  <c r="Z44" i="96"/>
  <c r="AC44" i="96"/>
  <c r="AF44" i="96"/>
  <c r="AI44" i="96"/>
  <c r="AL44" i="96"/>
  <c r="AO44" i="96"/>
  <c r="AR44" i="96"/>
  <c r="AQ44" i="96"/>
  <c r="EG44" i="96"/>
  <c r="EB44" i="96"/>
  <c r="C37" i="211"/>
  <c r="B37" i="211"/>
  <c r="AP43" i="96"/>
  <c r="AS43" i="96"/>
  <c r="B43" i="96"/>
  <c r="H43" i="96"/>
  <c r="F43" i="96"/>
  <c r="E43" i="96"/>
  <c r="D43" i="96"/>
  <c r="C43" i="96"/>
  <c r="I43" i="96"/>
  <c r="J43" i="96"/>
  <c r="EE43" i="96"/>
  <c r="D36" i="211"/>
  <c r="Z43" i="96"/>
  <c r="AC43" i="96"/>
  <c r="AF43" i="96"/>
  <c r="AH43" i="96"/>
  <c r="AI43" i="96"/>
  <c r="AL43" i="96"/>
  <c r="AO43" i="96"/>
  <c r="AR43" i="96"/>
  <c r="AQ43" i="96"/>
  <c r="EG43" i="96"/>
  <c r="EB43" i="96"/>
  <c r="C36" i="211"/>
  <c r="B36" i="211"/>
  <c r="AP42" i="96"/>
  <c r="AS42" i="96"/>
  <c r="B42" i="96"/>
  <c r="H42" i="96"/>
  <c r="F42" i="96"/>
  <c r="E42" i="96"/>
  <c r="D42" i="96"/>
  <c r="C42" i="96"/>
  <c r="I42" i="96"/>
  <c r="J42" i="96"/>
  <c r="EE42" i="96"/>
  <c r="D35" i="211"/>
  <c r="Z42" i="96"/>
  <c r="AC42" i="96"/>
  <c r="AF42" i="96"/>
  <c r="AH42" i="96"/>
  <c r="AI42" i="96"/>
  <c r="AL42" i="96"/>
  <c r="AO42" i="96"/>
  <c r="AR42" i="96"/>
  <c r="AQ42" i="96"/>
  <c r="EG42" i="96"/>
  <c r="EB42" i="96"/>
  <c r="C35" i="211"/>
  <c r="B35" i="211"/>
  <c r="AP41" i="96"/>
  <c r="AS41" i="96"/>
  <c r="B41" i="96"/>
  <c r="H41" i="96"/>
  <c r="F41" i="96"/>
  <c r="E41" i="96"/>
  <c r="D41" i="96"/>
  <c r="C41" i="96"/>
  <c r="I41" i="96"/>
  <c r="J41" i="96"/>
  <c r="EE41" i="96"/>
  <c r="D34" i="211"/>
  <c r="Z41" i="96"/>
  <c r="AC41" i="96"/>
  <c r="AF41" i="96"/>
  <c r="AH41" i="96"/>
  <c r="AI41" i="96"/>
  <c r="AL41" i="96"/>
  <c r="AO41" i="96"/>
  <c r="AR41" i="96"/>
  <c r="AQ41" i="96"/>
  <c r="EG41" i="96"/>
  <c r="EB41" i="96"/>
  <c r="C34" i="211"/>
  <c r="B34" i="211"/>
  <c r="AP40" i="96"/>
  <c r="AS40" i="96"/>
  <c r="B40" i="96"/>
  <c r="H40" i="96"/>
  <c r="F40" i="96"/>
  <c r="E40" i="96"/>
  <c r="D40" i="96"/>
  <c r="C40" i="96"/>
  <c r="I40" i="96"/>
  <c r="J40" i="96"/>
  <c r="EE40" i="96"/>
  <c r="D33" i="211"/>
  <c r="Z40" i="96"/>
  <c r="AC40" i="96"/>
  <c r="AF40" i="96"/>
  <c r="AH40" i="96"/>
  <c r="AI40" i="96"/>
  <c r="AK40" i="96"/>
  <c r="AL40" i="96"/>
  <c r="AN40" i="96"/>
  <c r="AO40" i="96"/>
  <c r="AR40" i="96"/>
  <c r="AQ40" i="96"/>
  <c r="EG40" i="96"/>
  <c r="EB40" i="96"/>
  <c r="C33" i="211"/>
  <c r="B33" i="211"/>
  <c r="AP39" i="96"/>
  <c r="AS39" i="96"/>
  <c r="B39" i="96"/>
  <c r="H39" i="96"/>
  <c r="F39" i="96"/>
  <c r="E39" i="96"/>
  <c r="D39" i="96"/>
  <c r="C39" i="96"/>
  <c r="I39" i="96"/>
  <c r="J39" i="96"/>
  <c r="EE39" i="96"/>
  <c r="D32" i="211"/>
  <c r="Z39" i="96"/>
  <c r="AC39" i="96"/>
  <c r="AF39" i="96"/>
  <c r="AI39" i="96"/>
  <c r="AL39" i="96"/>
  <c r="AO39" i="96"/>
  <c r="AR39" i="96"/>
  <c r="AQ39" i="96"/>
  <c r="EG39" i="96"/>
  <c r="EB39" i="96"/>
  <c r="C32" i="211"/>
  <c r="B32" i="211"/>
  <c r="W38" i="96"/>
  <c r="AM38" i="96"/>
  <c r="AJ38" i="96"/>
  <c r="AG38" i="96"/>
  <c r="AD38" i="96"/>
  <c r="AA38" i="96"/>
  <c r="X38" i="96"/>
  <c r="AP38" i="96"/>
  <c r="AS38" i="96"/>
  <c r="AU38" i="96"/>
  <c r="B38" i="96"/>
  <c r="H38" i="96"/>
  <c r="F38" i="96"/>
  <c r="E38" i="96"/>
  <c r="D38" i="96"/>
  <c r="C38" i="96"/>
  <c r="I38" i="96"/>
  <c r="J38" i="96"/>
  <c r="EE38" i="96"/>
  <c r="D31" i="211"/>
  <c r="Z38" i="96"/>
  <c r="AC38" i="96"/>
  <c r="FV34" i="96"/>
  <c r="FV39" i="96"/>
  <c r="FV35" i="96"/>
  <c r="FV36" i="96"/>
  <c r="FV37" i="96"/>
  <c r="FV38" i="96"/>
  <c r="FT38" i="96"/>
  <c r="AE27" i="96"/>
  <c r="HA27" i="96"/>
  <c r="HA39" i="96"/>
  <c r="HA28" i="96"/>
  <c r="HA29" i="96"/>
  <c r="HA30" i="96"/>
  <c r="HA31" i="96"/>
  <c r="HA32" i="96"/>
  <c r="HA33" i="96"/>
  <c r="HA34" i="96"/>
  <c r="HA35" i="96"/>
  <c r="HA36" i="96"/>
  <c r="HA37" i="96"/>
  <c r="HA38" i="96"/>
  <c r="AE38" i="96"/>
  <c r="AF38" i="96"/>
  <c r="FY34" i="96"/>
  <c r="FY39" i="96"/>
  <c r="FY35" i="96"/>
  <c r="FY36" i="96"/>
  <c r="FY37" i="96"/>
  <c r="FY38" i="96"/>
  <c r="FX38" i="96"/>
  <c r="AH27" i="96"/>
  <c r="HC27" i="96"/>
  <c r="HC39" i="96"/>
  <c r="HC28" i="96"/>
  <c r="HC29" i="96"/>
  <c r="HC30" i="96"/>
  <c r="HC31" i="96"/>
  <c r="HC32" i="96"/>
  <c r="HC33" i="96"/>
  <c r="HC34" i="96"/>
  <c r="HC35" i="96"/>
  <c r="HC36" i="96"/>
  <c r="HC37" i="96"/>
  <c r="HC38" i="96"/>
  <c r="AH38" i="96"/>
  <c r="AI38" i="96"/>
  <c r="GC34" i="96"/>
  <c r="GC39" i="96"/>
  <c r="GC35" i="96"/>
  <c r="GC36" i="96"/>
  <c r="GC37" i="96"/>
  <c r="GC38" i="96"/>
  <c r="GA38" i="96"/>
  <c r="AK27" i="96"/>
  <c r="HE27" i="96"/>
  <c r="HE39" i="96"/>
  <c r="HE28" i="96"/>
  <c r="HE29" i="96"/>
  <c r="HE30" i="96"/>
  <c r="HE31" i="96"/>
  <c r="HE32" i="96"/>
  <c r="HE33" i="96"/>
  <c r="HE34" i="96"/>
  <c r="HE35" i="96"/>
  <c r="HE36" i="96"/>
  <c r="HE37" i="96"/>
  <c r="HE38" i="96"/>
  <c r="AK38" i="96"/>
  <c r="AL38" i="96"/>
  <c r="GF34" i="96"/>
  <c r="GF39" i="96"/>
  <c r="GF35" i="96"/>
  <c r="GF36" i="96"/>
  <c r="GF37" i="96"/>
  <c r="GF38" i="96"/>
  <c r="GE38" i="96"/>
  <c r="AN38" i="96"/>
  <c r="AO38" i="96"/>
  <c r="AR38" i="96"/>
  <c r="AQ38" i="96"/>
  <c r="EG38" i="96"/>
  <c r="EB38" i="96"/>
  <c r="C31" i="211"/>
  <c r="B31" i="211"/>
  <c r="W37" i="96"/>
  <c r="AM37" i="96"/>
  <c r="AJ37" i="96"/>
  <c r="AG37" i="96"/>
  <c r="AD37" i="96"/>
  <c r="AA37" i="96"/>
  <c r="X37" i="96"/>
  <c r="AP37" i="96"/>
  <c r="AS37" i="96"/>
  <c r="AU37" i="96"/>
  <c r="B37" i="96"/>
  <c r="H37" i="96"/>
  <c r="F37" i="96"/>
  <c r="E37" i="96"/>
  <c r="D37" i="96"/>
  <c r="C37" i="96"/>
  <c r="I37" i="96"/>
  <c r="J37" i="96"/>
  <c r="EE37" i="96"/>
  <c r="D30" i="211"/>
  <c r="Z37" i="96"/>
  <c r="AC37" i="96"/>
  <c r="FT37" i="96"/>
  <c r="AE37" i="96"/>
  <c r="AF37" i="96"/>
  <c r="FX37" i="96"/>
  <c r="AH37" i="96"/>
  <c r="AI37" i="96"/>
  <c r="GA37" i="96"/>
  <c r="AK37" i="96"/>
  <c r="AL37" i="96"/>
  <c r="GE37" i="96"/>
  <c r="AN37" i="96"/>
  <c r="AO37" i="96"/>
  <c r="AR37" i="96"/>
  <c r="AQ37" i="96"/>
  <c r="EG37" i="96"/>
  <c r="EB37" i="96"/>
  <c r="C30" i="211"/>
  <c r="B30" i="211"/>
  <c r="W36" i="96"/>
  <c r="AM36" i="96"/>
  <c r="AJ36" i="96"/>
  <c r="AG36" i="96"/>
  <c r="AD36" i="96"/>
  <c r="AA36" i="96"/>
  <c r="X36" i="96"/>
  <c r="AP36" i="96"/>
  <c r="AS36" i="96"/>
  <c r="AU36" i="96"/>
  <c r="B36" i="96"/>
  <c r="H36" i="96"/>
  <c r="F36" i="96"/>
  <c r="E36" i="96"/>
  <c r="D36" i="96"/>
  <c r="C36" i="96"/>
  <c r="I36" i="96"/>
  <c r="J36" i="96"/>
  <c r="EE36" i="96"/>
  <c r="D29" i="211"/>
  <c r="Z36" i="96"/>
  <c r="AC36" i="96"/>
  <c r="FT36" i="96"/>
  <c r="AE36" i="96"/>
  <c r="AF36" i="96"/>
  <c r="FX36" i="96"/>
  <c r="AH36" i="96"/>
  <c r="AI36" i="96"/>
  <c r="GA36" i="96"/>
  <c r="AK36" i="96"/>
  <c r="AL36" i="96"/>
  <c r="GE36" i="96"/>
  <c r="AN36" i="96"/>
  <c r="AO36" i="96"/>
  <c r="AR36" i="96"/>
  <c r="AQ36" i="96"/>
  <c r="EG36" i="96"/>
  <c r="EB36" i="96"/>
  <c r="C29" i="211"/>
  <c r="B29" i="211"/>
  <c r="FJ35" i="96"/>
  <c r="W35" i="96"/>
  <c r="AM35" i="96"/>
  <c r="AJ35" i="96"/>
  <c r="AG35" i="96"/>
  <c r="AD35" i="96"/>
  <c r="AA35" i="96"/>
  <c r="X35" i="96"/>
  <c r="AP35" i="96"/>
  <c r="AS35" i="96"/>
  <c r="AU35" i="96"/>
  <c r="B35" i="96"/>
  <c r="H35" i="96"/>
  <c r="F35" i="96"/>
  <c r="E35" i="96"/>
  <c r="D35" i="96"/>
  <c r="C35" i="96"/>
  <c r="I35" i="96"/>
  <c r="J35" i="96"/>
  <c r="EE35" i="96"/>
  <c r="D28" i="211"/>
  <c r="Z35" i="96"/>
  <c r="AC35" i="96"/>
  <c r="FT35" i="96"/>
  <c r="AE35" i="96"/>
  <c r="AF35" i="96"/>
  <c r="FX35" i="96"/>
  <c r="AH35" i="96"/>
  <c r="AI35" i="96"/>
  <c r="GA35" i="96"/>
  <c r="AK35" i="96"/>
  <c r="AL35" i="96"/>
  <c r="GE35" i="96"/>
  <c r="AN35" i="96"/>
  <c r="AO35" i="96"/>
  <c r="AR35" i="96"/>
  <c r="AQ35" i="96"/>
  <c r="EG35" i="96"/>
  <c r="EB35" i="96"/>
  <c r="C28" i="211"/>
  <c r="B28" i="211"/>
  <c r="W34" i="96"/>
  <c r="AM34" i="96"/>
  <c r="AJ34" i="96"/>
  <c r="AG34" i="96"/>
  <c r="AD34" i="96"/>
  <c r="AA34" i="96"/>
  <c r="X34" i="96"/>
  <c r="AP34" i="96"/>
  <c r="AS34" i="96"/>
  <c r="AU34" i="96"/>
  <c r="B34" i="96"/>
  <c r="H34" i="96"/>
  <c r="F34" i="96"/>
  <c r="E34" i="96"/>
  <c r="D34" i="96"/>
  <c r="C34" i="96"/>
  <c r="I34" i="96"/>
  <c r="J34" i="96"/>
  <c r="EE34" i="96"/>
  <c r="D27" i="211"/>
  <c r="Y34" i="96"/>
  <c r="Z34" i="96"/>
  <c r="AB34" i="96"/>
  <c r="AC34" i="96"/>
  <c r="AE34" i="96"/>
  <c r="AF34" i="96"/>
  <c r="AH34" i="96"/>
  <c r="AI34" i="96"/>
  <c r="AK34" i="96"/>
  <c r="AL34" i="96"/>
  <c r="AN34" i="96"/>
  <c r="AO34" i="96"/>
  <c r="AR34" i="96"/>
  <c r="AQ34" i="96"/>
  <c r="EG34" i="96"/>
  <c r="EB34" i="96"/>
  <c r="C27" i="211"/>
  <c r="B27" i="211"/>
  <c r="W33" i="96"/>
  <c r="AM33" i="96"/>
  <c r="AJ33" i="96"/>
  <c r="AG33" i="96"/>
  <c r="AD33" i="96"/>
  <c r="AA33" i="96"/>
  <c r="X33" i="96"/>
  <c r="AP33" i="96"/>
  <c r="AS33" i="96"/>
  <c r="AU33" i="96"/>
  <c r="B33" i="96"/>
  <c r="E63" i="92"/>
  <c r="H33" i="96"/>
  <c r="F33" i="96"/>
  <c r="E33" i="96"/>
  <c r="D33" i="96"/>
  <c r="C33" i="96"/>
  <c r="I33" i="96"/>
  <c r="J33" i="96"/>
  <c r="EE33" i="96"/>
  <c r="D26" i="211"/>
  <c r="FO27" i="96"/>
  <c r="FO34" i="96"/>
  <c r="FO28" i="96"/>
  <c r="FO29" i="96"/>
  <c r="FO30" i="96"/>
  <c r="FO31" i="96"/>
  <c r="FO32" i="96"/>
  <c r="FO33" i="96"/>
  <c r="FN33" i="96"/>
  <c r="Y33" i="96"/>
  <c r="Z33" i="96"/>
  <c r="FQ33" i="96"/>
  <c r="AB33" i="96"/>
  <c r="AC33" i="96"/>
  <c r="FV27" i="96"/>
  <c r="FV28" i="96"/>
  <c r="FV29" i="96"/>
  <c r="FV30" i="96"/>
  <c r="FV31" i="96"/>
  <c r="FV32" i="96"/>
  <c r="FV33" i="96"/>
  <c r="FT33" i="96"/>
  <c r="AE33" i="96"/>
  <c r="AF33" i="96"/>
  <c r="FY27" i="96"/>
  <c r="FY28" i="96"/>
  <c r="FY29" i="96"/>
  <c r="FY30" i="96"/>
  <c r="FY31" i="96"/>
  <c r="FY32" i="96"/>
  <c r="FY33" i="96"/>
  <c r="FX33" i="96"/>
  <c r="AH33" i="96"/>
  <c r="AI33" i="96"/>
  <c r="GC27" i="96"/>
  <c r="GC28" i="96"/>
  <c r="GC29" i="96"/>
  <c r="GC30" i="96"/>
  <c r="GC31" i="96"/>
  <c r="GC32" i="96"/>
  <c r="GC33" i="96"/>
  <c r="GA33" i="96"/>
  <c r="AK33" i="96"/>
  <c r="AL33" i="96"/>
  <c r="GF27" i="96"/>
  <c r="GF28" i="96"/>
  <c r="GF29" i="96"/>
  <c r="GF30" i="96"/>
  <c r="GF31" i="96"/>
  <c r="GF32" i="96"/>
  <c r="GF33" i="96"/>
  <c r="GE33" i="96"/>
  <c r="AN33" i="96"/>
  <c r="AO33" i="96"/>
  <c r="AR33" i="96"/>
  <c r="AQ33" i="96"/>
  <c r="EG33" i="96"/>
  <c r="EB33" i="96"/>
  <c r="C26" i="211"/>
  <c r="B26" i="211"/>
  <c r="W32" i="96"/>
  <c r="AM32" i="96"/>
  <c r="AJ32" i="96"/>
  <c r="AG32" i="96"/>
  <c r="AD32" i="96"/>
  <c r="AA32" i="96"/>
  <c r="X32" i="96"/>
  <c r="AP32" i="96"/>
  <c r="AS32" i="96"/>
  <c r="AU32" i="96"/>
  <c r="B32" i="96"/>
  <c r="H32" i="96"/>
  <c r="F32" i="96"/>
  <c r="E32" i="96"/>
  <c r="D32" i="96"/>
  <c r="C32" i="96"/>
  <c r="I32" i="96"/>
  <c r="J32" i="96"/>
  <c r="EE32" i="96"/>
  <c r="D25" i="211"/>
  <c r="FN32" i="96"/>
  <c r="Y32" i="96"/>
  <c r="Z32" i="96"/>
  <c r="FQ32" i="96"/>
  <c r="AB32" i="96"/>
  <c r="AC32" i="96"/>
  <c r="FT32" i="96"/>
  <c r="AE32" i="96"/>
  <c r="AF32" i="96"/>
  <c r="FX32" i="96"/>
  <c r="AH32" i="96"/>
  <c r="AI32" i="96"/>
  <c r="GA32" i="96"/>
  <c r="AK32" i="96"/>
  <c r="AL32" i="96"/>
  <c r="GE32" i="96"/>
  <c r="AN32" i="96"/>
  <c r="AO32" i="96"/>
  <c r="AR32" i="96"/>
  <c r="AQ32" i="96"/>
  <c r="EG32" i="96"/>
  <c r="EB32" i="96"/>
  <c r="C25" i="211"/>
  <c r="B25" i="211"/>
  <c r="W31" i="96"/>
  <c r="AM31" i="96"/>
  <c r="AJ31" i="96"/>
  <c r="AG31" i="96"/>
  <c r="AD31" i="96"/>
  <c r="AA31" i="96"/>
  <c r="X31" i="96"/>
  <c r="AP31" i="96"/>
  <c r="AS31" i="96"/>
  <c r="AU31" i="96"/>
  <c r="B31" i="96"/>
  <c r="H31" i="96"/>
  <c r="F31" i="96"/>
  <c r="E31" i="96"/>
  <c r="D31" i="96"/>
  <c r="C31" i="96"/>
  <c r="I31" i="96"/>
  <c r="J31" i="96"/>
  <c r="EE31" i="96"/>
  <c r="D24" i="211"/>
  <c r="FN31" i="96"/>
  <c r="Y31" i="96"/>
  <c r="Z31" i="96"/>
  <c r="FQ31" i="96"/>
  <c r="AB31" i="96"/>
  <c r="AC31" i="96"/>
  <c r="FT31" i="96"/>
  <c r="AE31" i="96"/>
  <c r="AF31" i="96"/>
  <c r="FX31" i="96"/>
  <c r="AH31" i="96"/>
  <c r="AI31" i="96"/>
  <c r="GA31" i="96"/>
  <c r="AK31" i="96"/>
  <c r="AL31" i="96"/>
  <c r="GE31" i="96"/>
  <c r="AN31" i="96"/>
  <c r="AO31" i="96"/>
  <c r="AR31" i="96"/>
  <c r="AQ31" i="96"/>
  <c r="EG31" i="96"/>
  <c r="EB31" i="96"/>
  <c r="C24" i="211"/>
  <c r="B24" i="211"/>
  <c r="W30" i="96"/>
  <c r="AM30" i="96"/>
  <c r="AJ30" i="96"/>
  <c r="AG30" i="96"/>
  <c r="AD30" i="96"/>
  <c r="AA30" i="96"/>
  <c r="X30" i="96"/>
  <c r="AP30" i="96"/>
  <c r="AS30" i="96"/>
  <c r="AU30" i="96"/>
  <c r="I30" i="96"/>
  <c r="J30" i="96"/>
  <c r="EE30" i="96"/>
  <c r="D23" i="211"/>
  <c r="FN30" i="96"/>
  <c r="Y30" i="96"/>
  <c r="Z30" i="96"/>
  <c r="FQ30" i="96"/>
  <c r="AB30" i="96"/>
  <c r="AC30" i="96"/>
  <c r="FT30" i="96"/>
  <c r="AE30" i="96"/>
  <c r="AF30" i="96"/>
  <c r="FX30" i="96"/>
  <c r="AH30" i="96"/>
  <c r="AI30" i="96"/>
  <c r="GA30" i="96"/>
  <c r="AK30" i="96"/>
  <c r="AL30" i="96"/>
  <c r="GE30" i="96"/>
  <c r="AN30" i="96"/>
  <c r="AO30" i="96"/>
  <c r="AR30" i="96"/>
  <c r="AQ30" i="96"/>
  <c r="EG30" i="96"/>
  <c r="EB30" i="96"/>
  <c r="C23" i="211"/>
  <c r="B23" i="211"/>
  <c r="W29" i="96"/>
  <c r="AM29" i="96"/>
  <c r="AJ29" i="96"/>
  <c r="AG29" i="96"/>
  <c r="AD29" i="96"/>
  <c r="AA29" i="96"/>
  <c r="X29" i="96"/>
  <c r="AP29" i="96"/>
  <c r="AS29" i="96"/>
  <c r="AU29" i="96"/>
  <c r="I29" i="96"/>
  <c r="J29" i="96"/>
  <c r="EE29" i="96"/>
  <c r="D22" i="211"/>
  <c r="FN29" i="96"/>
  <c r="Y29" i="96"/>
  <c r="Z29" i="96"/>
  <c r="FQ29" i="96"/>
  <c r="AB29" i="96"/>
  <c r="AC29" i="96"/>
  <c r="FT29" i="96"/>
  <c r="AE29" i="96"/>
  <c r="AF29" i="96"/>
  <c r="FX29" i="96"/>
  <c r="AH29" i="96"/>
  <c r="AI29" i="96"/>
  <c r="GA29" i="96"/>
  <c r="AK29" i="96"/>
  <c r="AL29" i="96"/>
  <c r="GE29" i="96"/>
  <c r="AN27" i="96"/>
  <c r="HG27" i="96"/>
  <c r="AM28" i="96"/>
  <c r="HF28" i="96"/>
  <c r="AM27" i="96"/>
  <c r="HF27" i="96"/>
  <c r="HG28" i="96"/>
  <c r="HF29" i="96"/>
  <c r="HG29" i="96"/>
  <c r="AN29" i="96"/>
  <c r="AO29" i="96"/>
  <c r="AR29" i="96"/>
  <c r="AQ29" i="96"/>
  <c r="EG29" i="96"/>
  <c r="EB29" i="96"/>
  <c r="C22" i="211"/>
  <c r="B22" i="211"/>
  <c r="W28" i="96"/>
  <c r="AJ28" i="96"/>
  <c r="AG28" i="96"/>
  <c r="AD28" i="96"/>
  <c r="AA28" i="96"/>
  <c r="X28" i="96"/>
  <c r="AP28" i="96"/>
  <c r="AS28" i="96"/>
  <c r="AU28" i="96"/>
  <c r="I28" i="96"/>
  <c r="J28" i="96"/>
  <c r="EE28" i="96"/>
  <c r="D21" i="211"/>
  <c r="FN28" i="96"/>
  <c r="Y28" i="96"/>
  <c r="Z28" i="96"/>
  <c r="FQ28" i="96"/>
  <c r="AB28" i="96"/>
  <c r="AC28" i="96"/>
  <c r="FT28" i="96"/>
  <c r="AE28" i="96"/>
  <c r="AF28" i="96"/>
  <c r="FX28" i="96"/>
  <c r="AH28" i="96"/>
  <c r="AI28" i="96"/>
  <c r="GA28" i="96"/>
  <c r="AK28" i="96"/>
  <c r="AL28" i="96"/>
  <c r="GE28" i="96"/>
  <c r="AN28" i="96"/>
  <c r="AO28" i="96"/>
  <c r="AR28" i="96"/>
  <c r="AQ28" i="96"/>
  <c r="EG28" i="96"/>
  <c r="EB28" i="96"/>
  <c r="C21" i="211"/>
  <c r="B21" i="211"/>
  <c r="IM27" i="96"/>
  <c r="W27" i="96"/>
  <c r="IR27" i="96"/>
  <c r="AJ27" i="96"/>
  <c r="IQ27" i="96"/>
  <c r="AG27" i="96"/>
  <c r="IP27" i="96"/>
  <c r="AD27" i="96"/>
  <c r="AA27" i="96"/>
  <c r="IN27" i="96"/>
  <c r="X27" i="96"/>
  <c r="AP27" i="96"/>
  <c r="AS27" i="96"/>
  <c r="IV27" i="96"/>
  <c r="AU27" i="96"/>
  <c r="I27" i="96"/>
  <c r="J27" i="96"/>
  <c r="EE27" i="96"/>
  <c r="D20" i="211"/>
  <c r="Y27" i="96"/>
  <c r="Z27" i="96"/>
  <c r="AB27" i="96"/>
  <c r="AC27" i="96"/>
  <c r="AF27" i="96"/>
  <c r="AI27" i="96"/>
  <c r="AL27" i="96"/>
  <c r="AO27" i="96"/>
  <c r="AR27" i="96"/>
  <c r="AQ27" i="96"/>
  <c r="EG27" i="96"/>
  <c r="EB27" i="96"/>
  <c r="C20" i="211"/>
  <c r="B20" i="211"/>
  <c r="IM22" i="96"/>
  <c r="W22" i="96"/>
  <c r="BW22" i="96"/>
  <c r="BW23" i="96"/>
  <c r="BW24" i="96"/>
  <c r="BW25" i="96"/>
  <c r="BW26" i="96"/>
  <c r="IS22" i="96"/>
  <c r="AM22" i="96"/>
  <c r="CM22" i="96"/>
  <c r="DB22" i="96"/>
  <c r="CM27" i="96"/>
  <c r="BW27" i="96"/>
  <c r="DB27" i="96"/>
  <c r="DB23" i="96"/>
  <c r="DB24" i="96"/>
  <c r="DB25" i="96"/>
  <c r="DB26" i="96"/>
  <c r="CM26" i="96"/>
  <c r="IR22" i="96"/>
  <c r="AJ22" i="96"/>
  <c r="CJ22" i="96"/>
  <c r="CZ22" i="96"/>
  <c r="KK69" i="9"/>
  <c r="IM70" i="9"/>
  <c r="IK70" i="9"/>
  <c r="KK70" i="9"/>
  <c r="GB70" i="9"/>
  <c r="FA70" i="9"/>
  <c r="KB74" i="9" a="1"/>
  <c r="KB74" i="9"/>
  <c r="IF74" i="9" a="1"/>
  <c r="IF74" i="9"/>
  <c r="KB73" i="9"/>
  <c r="KB72" i="9"/>
  <c r="KB71" i="9"/>
  <c r="KB70" i="9"/>
  <c r="KG59" i="9"/>
  <c r="KG60" i="9"/>
  <c r="KG61" i="9"/>
  <c r="KG62" i="9"/>
  <c r="KG63" i="9"/>
  <c r="KG64" i="9"/>
  <c r="KG65" i="9"/>
  <c r="KG66" i="9"/>
  <c r="KG67" i="9"/>
  <c r="KG68" i="9"/>
  <c r="KG69" i="9"/>
  <c r="KG70" i="9"/>
  <c r="KH59" i="9"/>
  <c r="KH60" i="9"/>
  <c r="KH61" i="9"/>
  <c r="KH62" i="9"/>
  <c r="KH63" i="9"/>
  <c r="KH64" i="9"/>
  <c r="KH65" i="9"/>
  <c r="KH66" i="9"/>
  <c r="KH67" i="9"/>
  <c r="KH68" i="9"/>
  <c r="KH69" i="9"/>
  <c r="KH70" i="9"/>
  <c r="KI59" i="9"/>
  <c r="KI60" i="9"/>
  <c r="KI61" i="9"/>
  <c r="KI62" i="9"/>
  <c r="KI63" i="9"/>
  <c r="KI64" i="9"/>
  <c r="KI65" i="9"/>
  <c r="KI66" i="9"/>
  <c r="KI67" i="9"/>
  <c r="KI68" i="9"/>
  <c r="KI69" i="9"/>
  <c r="KI70" i="9"/>
  <c r="KJ59" i="9"/>
  <c r="KJ60" i="9"/>
  <c r="KJ61" i="9"/>
  <c r="KJ62" i="9"/>
  <c r="KJ63" i="9"/>
  <c r="KJ64" i="9"/>
  <c r="KJ65" i="9"/>
  <c r="KJ66" i="9"/>
  <c r="KJ67" i="9"/>
  <c r="KJ68" i="9"/>
  <c r="KJ69" i="9"/>
  <c r="KJ70" i="9"/>
  <c r="KP59" i="9"/>
  <c r="KP60" i="9"/>
  <c r="KP61" i="9"/>
  <c r="KP62" i="9"/>
  <c r="KP63" i="9"/>
  <c r="KP64" i="9"/>
  <c r="KP65" i="9"/>
  <c r="KP66" i="9"/>
  <c r="KP67" i="9"/>
  <c r="KP68" i="9"/>
  <c r="KP69" i="9"/>
  <c r="KP70" i="9"/>
  <c r="KQ70" i="9"/>
  <c r="KR70" i="9"/>
  <c r="CQ74" i="9" a="1"/>
  <c r="CQ74" i="9"/>
  <c r="KC74" i="9" a="1"/>
  <c r="KC74" i="9"/>
  <c r="OI74" i="9"/>
  <c r="OI73" i="9"/>
  <c r="OI72" i="9"/>
  <c r="OI71" i="9"/>
  <c r="OI70" i="9"/>
  <c r="GG70" i="9"/>
  <c r="OI69" i="9"/>
  <c r="OI68" i="9"/>
  <c r="OI67" i="9"/>
  <c r="OI66" i="9"/>
  <c r="OJ66" i="9"/>
  <c r="CR74" i="9" a="1"/>
  <c r="CR74" i="9"/>
  <c r="KD74" i="9" a="1"/>
  <c r="KD74" i="9"/>
  <c r="OJ74" i="9"/>
  <c r="OJ67" i="9"/>
  <c r="OJ68" i="9"/>
  <c r="OJ69" i="9"/>
  <c r="OJ70" i="9"/>
  <c r="FX70" i="9"/>
  <c r="FY70" i="9"/>
  <c r="FZ70" i="9"/>
  <c r="GA70" i="9"/>
  <c r="GE70" i="9"/>
  <c r="GF70" i="9"/>
  <c r="FW70" i="9"/>
  <c r="ER70" i="9"/>
  <c r="FK70" i="9"/>
  <c r="DA23" i="96"/>
  <c r="GB69" i="9"/>
  <c r="FA69" i="9"/>
  <c r="KB69" i="9"/>
  <c r="KQ69" i="9"/>
  <c r="KR69" i="9"/>
  <c r="GG69" i="9"/>
  <c r="FX69" i="9"/>
  <c r="FY69" i="9"/>
  <c r="FZ69" i="9"/>
  <c r="GA69" i="9"/>
  <c r="GE69" i="9"/>
  <c r="GF69" i="9"/>
  <c r="FW69" i="9"/>
  <c r="ER69" i="9"/>
  <c r="FK69" i="9"/>
  <c r="DA22" i="96"/>
  <c r="CZ23" i="96"/>
  <c r="IM71" i="9"/>
  <c r="IK71" i="9"/>
  <c r="KK71" i="9"/>
  <c r="GB71" i="9"/>
  <c r="FA71" i="9"/>
  <c r="KG71" i="9"/>
  <c r="KH71" i="9"/>
  <c r="KI71" i="9"/>
  <c r="KJ71" i="9"/>
  <c r="KP71" i="9"/>
  <c r="KQ71" i="9"/>
  <c r="KR71" i="9"/>
  <c r="GG71" i="9"/>
  <c r="OJ71" i="9"/>
  <c r="FX71" i="9"/>
  <c r="FY71" i="9"/>
  <c r="FZ71" i="9"/>
  <c r="GA71" i="9"/>
  <c r="GE71" i="9"/>
  <c r="GF71" i="9"/>
  <c r="FW71" i="9"/>
  <c r="ER71" i="9"/>
  <c r="FK71" i="9"/>
  <c r="DA24" i="96"/>
  <c r="CZ24" i="96"/>
  <c r="IM72" i="9"/>
  <c r="IK72" i="9"/>
  <c r="KK72" i="9"/>
  <c r="GB72" i="9"/>
  <c r="FA72" i="9"/>
  <c r="KG72" i="9"/>
  <c r="KH72" i="9"/>
  <c r="KI72" i="9"/>
  <c r="KJ72" i="9"/>
  <c r="KP72" i="9"/>
  <c r="KQ72" i="9"/>
  <c r="KR72" i="9"/>
  <c r="GG72" i="9"/>
  <c r="OJ72" i="9"/>
  <c r="FX72" i="9"/>
  <c r="FY72" i="9"/>
  <c r="FZ72" i="9"/>
  <c r="GA72" i="9"/>
  <c r="GE72" i="9"/>
  <c r="GF72" i="9"/>
  <c r="FW72" i="9"/>
  <c r="ER72" i="9"/>
  <c r="FK72" i="9"/>
  <c r="DA25" i="96"/>
  <c r="CZ25" i="96"/>
  <c r="IM73" i="9"/>
  <c r="IK73" i="9"/>
  <c r="KK73" i="9"/>
  <c r="GB73" i="9"/>
  <c r="FA73" i="9"/>
  <c r="KG73" i="9"/>
  <c r="KH73" i="9"/>
  <c r="KI73" i="9"/>
  <c r="KJ73" i="9"/>
  <c r="KP73" i="9"/>
  <c r="KQ73" i="9"/>
  <c r="KR73" i="9"/>
  <c r="GG73" i="9"/>
  <c r="OJ73" i="9"/>
  <c r="FX73" i="9"/>
  <c r="FY73" i="9"/>
  <c r="FZ73" i="9"/>
  <c r="GA73" i="9"/>
  <c r="GE73" i="9"/>
  <c r="GF73" i="9"/>
  <c r="FW73" i="9"/>
  <c r="ER73" i="9"/>
  <c r="FK73" i="9"/>
  <c r="DA26" i="96"/>
  <c r="CZ26" i="96"/>
  <c r="CJ26" i="96"/>
  <c r="IQ22" i="96"/>
  <c r="AG22" i="96"/>
  <c r="CG22" i="96"/>
  <c r="CY22" i="96"/>
  <c r="CG27" i="96"/>
  <c r="CY27" i="96"/>
  <c r="CY23" i="96"/>
  <c r="CY24" i="96"/>
  <c r="CY25" i="96"/>
  <c r="CY26" i="96"/>
  <c r="CG26" i="96"/>
  <c r="IP22" i="96"/>
  <c r="AD22" i="96"/>
  <c r="CD22" i="96"/>
  <c r="CX22" i="96"/>
  <c r="CD27" i="96"/>
  <c r="CX27" i="96"/>
  <c r="CX23" i="96"/>
  <c r="CX24" i="96"/>
  <c r="CX25" i="96"/>
  <c r="CX26" i="96"/>
  <c r="CD26" i="96"/>
  <c r="IO22" i="96"/>
  <c r="AA22" i="96"/>
  <c r="CA22" i="96"/>
  <c r="CW22" i="96"/>
  <c r="CA27" i="96"/>
  <c r="CW27" i="96"/>
  <c r="CW23" i="96"/>
  <c r="CW24" i="96"/>
  <c r="CW25" i="96"/>
  <c r="CW26" i="96"/>
  <c r="CA26" i="96"/>
  <c r="IN22" i="96"/>
  <c r="X22" i="96"/>
  <c r="BX22" i="96"/>
  <c r="CV22" i="96"/>
  <c r="BX27" i="96"/>
  <c r="CV27" i="96"/>
  <c r="CV23" i="96"/>
  <c r="CV24" i="96"/>
  <c r="CV25" i="96"/>
  <c r="CV26" i="96"/>
  <c r="BX26" i="96"/>
  <c r="CP26" i="96"/>
  <c r="CR26" i="96"/>
  <c r="BA72" i="9"/>
  <c r="AW72" i="9"/>
  <c r="GK25" i="96"/>
  <c r="GK26" i="96"/>
  <c r="AZ72" i="9"/>
  <c r="AV72" i="9"/>
  <c r="GO25" i="96"/>
  <c r="HF22" i="96"/>
  <c r="HF23" i="96"/>
  <c r="HF24" i="96"/>
  <c r="HF25" i="96"/>
  <c r="HF26" i="96"/>
  <c r="GD26" i="96"/>
  <c r="HD22" i="96"/>
  <c r="HD27" i="96"/>
  <c r="HD23" i="96"/>
  <c r="HD24" i="96"/>
  <c r="HD25" i="96"/>
  <c r="HD26" i="96"/>
  <c r="FZ26" i="96"/>
  <c r="HB22" i="96"/>
  <c r="HB27" i="96"/>
  <c r="HB23" i="96"/>
  <c r="HB24" i="96"/>
  <c r="HB25" i="96"/>
  <c r="HB26" i="96"/>
  <c r="FW26" i="96"/>
  <c r="GZ22" i="96"/>
  <c r="GZ27" i="96"/>
  <c r="GZ23" i="96"/>
  <c r="GZ24" i="96"/>
  <c r="GZ25" i="96"/>
  <c r="GZ26" i="96"/>
  <c r="FS26" i="96"/>
  <c r="GX22" i="96"/>
  <c r="GX27" i="96"/>
  <c r="GX23" i="96"/>
  <c r="GX24" i="96"/>
  <c r="GX25" i="96"/>
  <c r="GX26" i="96"/>
  <c r="FP26" i="96"/>
  <c r="GV22" i="96"/>
  <c r="GV27" i="96"/>
  <c r="GV23" i="96"/>
  <c r="GV24" i="96"/>
  <c r="GV25" i="96"/>
  <c r="GV26" i="96"/>
  <c r="FM26" i="96"/>
  <c r="GG26" i="96"/>
  <c r="FH26" i="96"/>
  <c r="FG26" i="96"/>
  <c r="DE26" i="96"/>
  <c r="AU26" i="96"/>
  <c r="P22" i="96"/>
  <c r="P27" i="96"/>
  <c r="P23" i="96"/>
  <c r="P24" i="96"/>
  <c r="P25" i="96"/>
  <c r="P26" i="96"/>
  <c r="B26" i="96"/>
  <c r="V22" i="96"/>
  <c r="V27" i="96"/>
  <c r="V23" i="96"/>
  <c r="V24" i="96"/>
  <c r="V25" i="96"/>
  <c r="V26" i="96"/>
  <c r="H26" i="96"/>
  <c r="U22" i="96"/>
  <c r="U27" i="96"/>
  <c r="U23" i="96"/>
  <c r="U24" i="96"/>
  <c r="U25" i="96"/>
  <c r="U26" i="96"/>
  <c r="G26" i="96"/>
  <c r="T22" i="96"/>
  <c r="T27" i="96"/>
  <c r="T23" i="96"/>
  <c r="T24" i="96"/>
  <c r="T25" i="96"/>
  <c r="T26" i="96"/>
  <c r="F26" i="96"/>
  <c r="S22" i="96"/>
  <c r="S27" i="96"/>
  <c r="S23" i="96"/>
  <c r="S24" i="96"/>
  <c r="S25" i="96"/>
  <c r="S26" i="96"/>
  <c r="E26" i="96"/>
  <c r="R22" i="96"/>
  <c r="R27" i="96"/>
  <c r="R23" i="96"/>
  <c r="R24" i="96"/>
  <c r="R25" i="96"/>
  <c r="R26" i="96"/>
  <c r="D26" i="96"/>
  <c r="Q22" i="96"/>
  <c r="Q27" i="96"/>
  <c r="Q23" i="96"/>
  <c r="Q24" i="96"/>
  <c r="Q25" i="96"/>
  <c r="Q26" i="96"/>
  <c r="C26" i="96"/>
  <c r="I26" i="96"/>
  <c r="J26" i="96"/>
  <c r="N27" i="96"/>
  <c r="N26" i="96"/>
  <c r="L26" i="96"/>
  <c r="EE26" i="96"/>
  <c r="D19" i="211"/>
  <c r="X26" i="96"/>
  <c r="FN26" i="96"/>
  <c r="Y26" i="96"/>
  <c r="Z26" i="96"/>
  <c r="AA26" i="96"/>
  <c r="FR27" i="96"/>
  <c r="FR22" i="96"/>
  <c r="FR24" i="96"/>
  <c r="FR25" i="96"/>
  <c r="FR26" i="96"/>
  <c r="FQ26" i="96"/>
  <c r="AB26" i="96"/>
  <c r="AC26" i="96"/>
  <c r="AD26" i="96"/>
  <c r="FV25" i="96"/>
  <c r="FV26" i="96"/>
  <c r="FT26" i="96"/>
  <c r="AE26" i="96"/>
  <c r="AF26" i="96"/>
  <c r="AG26" i="96"/>
  <c r="FX26" i="96"/>
  <c r="HC26" i="96"/>
  <c r="AH26" i="96"/>
  <c r="AI26" i="96"/>
  <c r="AJ26" i="96"/>
  <c r="GC25" i="96"/>
  <c r="GC26" i="96"/>
  <c r="GA26" i="96"/>
  <c r="AK26" i="96"/>
  <c r="AL26" i="96"/>
  <c r="AM26" i="96"/>
  <c r="GE26" i="96"/>
  <c r="AN22" i="96"/>
  <c r="HG22" i="96"/>
  <c r="HG23" i="96"/>
  <c r="HG24" i="96"/>
  <c r="HG25" i="96"/>
  <c r="HG26" i="96"/>
  <c r="AN26" i="96"/>
  <c r="AO26" i="96"/>
  <c r="AR26" i="96"/>
  <c r="AQ26" i="96"/>
  <c r="EG26" i="96"/>
  <c r="EB26" i="96"/>
  <c r="C19" i="211"/>
  <c r="B19" i="211"/>
  <c r="CM25" i="96"/>
  <c r="CJ25" i="96"/>
  <c r="CG25" i="96"/>
  <c r="CD25" i="96"/>
  <c r="CA25" i="96"/>
  <c r="BX25" i="96"/>
  <c r="CP25" i="96"/>
  <c r="CR25" i="96"/>
  <c r="FJ25" i="96"/>
  <c r="GD25" i="96"/>
  <c r="FZ25" i="96"/>
  <c r="FW25" i="96"/>
  <c r="FS25" i="96"/>
  <c r="FP25" i="96"/>
  <c r="FM25" i="96"/>
  <c r="GG25" i="96"/>
  <c r="GI25" i="96"/>
  <c r="AS25" i="96"/>
  <c r="FH25" i="96"/>
  <c r="FG25" i="96"/>
  <c r="DE25" i="96"/>
  <c r="AU25" i="96"/>
  <c r="B25" i="96"/>
  <c r="H25" i="96"/>
  <c r="G25" i="96"/>
  <c r="F25" i="96"/>
  <c r="E25" i="96"/>
  <c r="D25" i="96"/>
  <c r="C25" i="96"/>
  <c r="I25" i="96"/>
  <c r="J25" i="96"/>
  <c r="N22" i="96"/>
  <c r="N23" i="96"/>
  <c r="N24" i="96"/>
  <c r="N25" i="96"/>
  <c r="L25" i="96"/>
  <c r="EE25" i="96"/>
  <c r="D18" i="211"/>
  <c r="X25" i="96"/>
  <c r="FN25" i="96"/>
  <c r="Y25" i="96"/>
  <c r="Z25" i="96"/>
  <c r="AA25" i="96"/>
  <c r="FQ25" i="96"/>
  <c r="AB25" i="96"/>
  <c r="AC25" i="96"/>
  <c r="AD25" i="96"/>
  <c r="FT25" i="96"/>
  <c r="AE25" i="96"/>
  <c r="AF25" i="96"/>
  <c r="AG25" i="96"/>
  <c r="FX25" i="96"/>
  <c r="HC25" i="96"/>
  <c r="AH25" i="96"/>
  <c r="AI25" i="96"/>
  <c r="AJ25" i="96"/>
  <c r="GA25" i="96"/>
  <c r="AK25" i="96"/>
  <c r="AL25" i="96"/>
  <c r="AM25" i="96"/>
  <c r="GE25" i="96"/>
  <c r="AN25" i="96"/>
  <c r="AO25" i="96"/>
  <c r="AR25" i="96"/>
  <c r="AQ25" i="96"/>
  <c r="EG25" i="96"/>
  <c r="EB25" i="96"/>
  <c r="C18" i="211"/>
  <c r="B18" i="211"/>
  <c r="CM24" i="96"/>
  <c r="CJ24" i="96"/>
  <c r="CG24" i="96"/>
  <c r="CD24" i="96"/>
  <c r="CA24" i="96"/>
  <c r="BX24" i="96"/>
  <c r="CP24" i="96"/>
  <c r="CR24" i="96"/>
  <c r="AW70" i="9"/>
  <c r="AT71" i="9"/>
  <c r="AT70" i="9"/>
  <c r="AW71" i="9"/>
  <c r="GK24" i="96"/>
  <c r="AV71" i="9"/>
  <c r="GO24" i="96"/>
  <c r="FJ24" i="96"/>
  <c r="GD24" i="96"/>
  <c r="FZ24" i="96"/>
  <c r="FW24" i="96"/>
  <c r="FS24" i="96"/>
  <c r="FP24" i="96"/>
  <c r="FM24" i="96"/>
  <c r="GG24" i="96"/>
  <c r="GI24" i="96"/>
  <c r="AS24" i="96"/>
  <c r="FH24" i="96"/>
  <c r="FG24" i="96"/>
  <c r="DE24" i="96"/>
  <c r="AU24" i="96"/>
  <c r="B24" i="96"/>
  <c r="H24" i="96"/>
  <c r="G24" i="96"/>
  <c r="F24" i="96"/>
  <c r="E24" i="96"/>
  <c r="D24" i="96"/>
  <c r="C24" i="96"/>
  <c r="I24" i="96"/>
  <c r="J24" i="96"/>
  <c r="L24" i="96"/>
  <c r="EE24" i="96"/>
  <c r="D17" i="211"/>
  <c r="X24" i="96"/>
  <c r="FN24" i="96"/>
  <c r="Y24" i="96"/>
  <c r="Z24" i="96"/>
  <c r="AA24" i="96"/>
  <c r="FQ24" i="96"/>
  <c r="AB24" i="96"/>
  <c r="AC24" i="96"/>
  <c r="AD24" i="96"/>
  <c r="FT24" i="96"/>
  <c r="AE24" i="96"/>
  <c r="AF24" i="96"/>
  <c r="AG24" i="96"/>
  <c r="FX24" i="96"/>
  <c r="HC24" i="96"/>
  <c r="AH24" i="96"/>
  <c r="AI24" i="96"/>
  <c r="AJ24" i="96"/>
  <c r="GA24" i="96"/>
  <c r="AK24" i="96"/>
  <c r="AL24" i="96"/>
  <c r="AM24" i="96"/>
  <c r="GE24" i="96"/>
  <c r="AN24" i="96"/>
  <c r="AO24" i="96"/>
  <c r="AR24" i="96"/>
  <c r="AQ24" i="96"/>
  <c r="EG24" i="96"/>
  <c r="EB24" i="96"/>
  <c r="C17" i="211"/>
  <c r="B17" i="211"/>
  <c r="CM23" i="96"/>
  <c r="CJ23" i="96"/>
  <c r="CG23" i="96"/>
  <c r="CD23" i="96"/>
  <c r="CA23" i="96"/>
  <c r="BX23" i="96"/>
  <c r="CP23" i="96"/>
  <c r="CR23" i="96"/>
  <c r="GK23" i="96"/>
  <c r="GO23" i="96"/>
  <c r="FJ23" i="96"/>
  <c r="GD23" i="96"/>
  <c r="FZ23" i="96"/>
  <c r="FW23" i="96"/>
  <c r="FS23" i="96"/>
  <c r="FP23" i="96"/>
  <c r="FM23" i="96"/>
  <c r="GG23" i="96"/>
  <c r="GI23" i="96"/>
  <c r="AS23" i="96"/>
  <c r="FH23" i="96"/>
  <c r="FG23" i="96"/>
  <c r="DE23" i="96"/>
  <c r="AU23" i="96"/>
  <c r="B23" i="96"/>
  <c r="H23" i="96"/>
  <c r="G23" i="96"/>
  <c r="F23" i="96"/>
  <c r="E23" i="96"/>
  <c r="D23" i="96"/>
  <c r="C23" i="96"/>
  <c r="I23" i="96"/>
  <c r="J23" i="96"/>
  <c r="L23" i="96"/>
  <c r="EE23" i="96"/>
  <c r="D16" i="211"/>
  <c r="X23" i="96"/>
  <c r="FN23" i="96"/>
  <c r="Y23" i="96"/>
  <c r="Z23" i="96"/>
  <c r="AA23" i="96"/>
  <c r="FR23" i="96"/>
  <c r="FQ23" i="96"/>
  <c r="AB23" i="96"/>
  <c r="AC23" i="96"/>
  <c r="AD23" i="96"/>
  <c r="FT23" i="96"/>
  <c r="AE22" i="96"/>
  <c r="HA22" i="96"/>
  <c r="HA23" i="96"/>
  <c r="AE23" i="96"/>
  <c r="AF23" i="96"/>
  <c r="AG23" i="96"/>
  <c r="FY22" i="96"/>
  <c r="FY23" i="96"/>
  <c r="FX23" i="96"/>
  <c r="HC23" i="96"/>
  <c r="AH23" i="96"/>
  <c r="AI23" i="96"/>
  <c r="AJ23" i="96"/>
  <c r="GA23" i="96"/>
  <c r="AK23" i="96"/>
  <c r="AL23" i="96"/>
  <c r="AM23" i="96"/>
  <c r="GE23" i="96"/>
  <c r="AN23" i="96"/>
  <c r="AO23" i="96"/>
  <c r="AR23" i="96"/>
  <c r="AQ23" i="96"/>
  <c r="EG23" i="96"/>
  <c r="EB23" i="96"/>
  <c r="C16" i="211"/>
  <c r="B16" i="211"/>
  <c r="AP22" i="96"/>
  <c r="AS22" i="96"/>
  <c r="IV22" i="96"/>
  <c r="AU22" i="96"/>
  <c r="I22" i="96"/>
  <c r="J22" i="96"/>
  <c r="EE22" i="96"/>
  <c r="D15" i="211"/>
  <c r="Y22" i="96"/>
  <c r="Z22" i="96"/>
  <c r="AB22" i="96"/>
  <c r="AC22" i="96"/>
  <c r="AF22" i="96"/>
  <c r="HC22" i="96"/>
  <c r="AH22" i="96"/>
  <c r="AI22" i="96"/>
  <c r="GA22" i="96"/>
  <c r="AK22" i="96"/>
  <c r="AL22" i="96"/>
  <c r="AO22" i="96"/>
  <c r="AR22" i="96"/>
  <c r="AQ22" i="96"/>
  <c r="EG22" i="96"/>
  <c r="EB22" i="96"/>
  <c r="C15" i="211"/>
  <c r="B15" i="211"/>
  <c r="BW21" i="96"/>
  <c r="GE68" i="9"/>
  <c r="FD68" i="9"/>
  <c r="FN68" i="9"/>
  <c r="FD69" i="9"/>
  <c r="FN69" i="9"/>
  <c r="DB21" i="96"/>
  <c r="CM21" i="96"/>
  <c r="KK67" i="9"/>
  <c r="GB67" i="9"/>
  <c r="FA67" i="9"/>
  <c r="FK67" i="9"/>
  <c r="DA20" i="96"/>
  <c r="DA21" i="96"/>
  <c r="CZ21" i="96"/>
  <c r="CJ21" i="96"/>
  <c r="GA68" i="9"/>
  <c r="EZ68" i="9"/>
  <c r="FJ68" i="9"/>
  <c r="EZ69" i="9"/>
  <c r="FJ69" i="9"/>
  <c r="CY21" i="96"/>
  <c r="CG21" i="96"/>
  <c r="FY68" i="9"/>
  <c r="EX68" i="9"/>
  <c r="FH68" i="9"/>
  <c r="EX69" i="9"/>
  <c r="FH69" i="9"/>
  <c r="CX21" i="96"/>
  <c r="CD21" i="96"/>
  <c r="FZ68" i="9"/>
  <c r="EY68" i="9"/>
  <c r="EY69" i="9"/>
  <c r="CW21" i="96"/>
  <c r="CA21" i="96"/>
  <c r="FJ64" i="96"/>
  <c r="HP64" i="96"/>
  <c r="W64" i="96"/>
  <c r="FM64" i="96"/>
  <c r="HQ64" i="96"/>
  <c r="X64" i="96"/>
  <c r="X11" i="96"/>
  <c r="FM11" i="96"/>
  <c r="BX11" i="96"/>
  <c r="W11" i="96"/>
  <c r="FJ11" i="96"/>
  <c r="BW11" i="96"/>
  <c r="CV11" i="96"/>
  <c r="OI65" i="9"/>
  <c r="OI64" i="9"/>
  <c r="OI63" i="9"/>
  <c r="OI62" i="9"/>
  <c r="OI61" i="9"/>
  <c r="OI60" i="9"/>
  <c r="OI59" i="9"/>
  <c r="OJ59" i="9"/>
  <c r="FY59" i="9"/>
  <c r="EX59" i="9"/>
  <c r="FH59" i="9"/>
  <c r="OI58" i="9"/>
  <c r="OJ58" i="9"/>
  <c r="FY58" i="9"/>
  <c r="EX58" i="9"/>
  <c r="FH58" i="9"/>
  <c r="CV12" i="96"/>
  <c r="OJ60" i="9"/>
  <c r="FY60" i="9"/>
  <c r="EX60" i="9"/>
  <c r="FH60" i="9"/>
  <c r="CV13" i="96"/>
  <c r="OJ61" i="9"/>
  <c r="FY61" i="9"/>
  <c r="EX61" i="9"/>
  <c r="FH61" i="9"/>
  <c r="CV14" i="96"/>
  <c r="OJ62" i="9"/>
  <c r="FY62" i="9"/>
  <c r="EX62" i="9"/>
  <c r="FH62" i="9"/>
  <c r="CV15" i="96"/>
  <c r="OJ63" i="9"/>
  <c r="FY63" i="9"/>
  <c r="EX63" i="9"/>
  <c r="FH63" i="9"/>
  <c r="CV16" i="96"/>
  <c r="OJ64" i="9"/>
  <c r="FY64" i="9"/>
  <c r="EX64" i="9"/>
  <c r="FH64" i="9"/>
  <c r="CV17" i="96"/>
  <c r="OJ65" i="9"/>
  <c r="FY65" i="9"/>
  <c r="EX65" i="9"/>
  <c r="FH65" i="9"/>
  <c r="CV18" i="96"/>
  <c r="FY66" i="9"/>
  <c r="EX66" i="9"/>
  <c r="FH66" i="9"/>
  <c r="CV19" i="96"/>
  <c r="FY67" i="9"/>
  <c r="EX67" i="9"/>
  <c r="FH67" i="9"/>
  <c r="CV20" i="96"/>
  <c r="CV21" i="96"/>
  <c r="BX21" i="96"/>
  <c r="CP21" i="96"/>
  <c r="CR21" i="96"/>
  <c r="AV68" i="9"/>
  <c r="BA68" i="9"/>
  <c r="AZ68" i="9"/>
  <c r="AW68" i="9"/>
  <c r="GO21" i="96"/>
  <c r="GK21" i="96"/>
  <c r="FJ21" i="96"/>
  <c r="GD11" i="96"/>
  <c r="ER63" i="96"/>
  <c r="ER64" i="96"/>
  <c r="EZ64" i="96"/>
  <c r="HV64" i="96"/>
  <c r="AM64" i="96"/>
  <c r="AM11" i="96"/>
  <c r="HF11" i="96"/>
  <c r="HF12" i="96"/>
  <c r="HF13" i="96"/>
  <c r="HF14" i="96"/>
  <c r="HF15" i="96"/>
  <c r="HF16" i="96"/>
  <c r="HF17" i="96"/>
  <c r="HF18" i="96"/>
  <c r="HF19" i="96"/>
  <c r="HF20" i="96"/>
  <c r="HF21" i="96"/>
  <c r="GD21" i="96"/>
  <c r="FZ63" i="96"/>
  <c r="FZ64" i="96"/>
  <c r="FZ11" i="96"/>
  <c r="EX64" i="96"/>
  <c r="HU63" i="96"/>
  <c r="EX63" i="96"/>
  <c r="HU64" i="96"/>
  <c r="AJ64" i="96"/>
  <c r="AJ11" i="96"/>
  <c r="HD11" i="96"/>
  <c r="HD12" i="96"/>
  <c r="HD13" i="96"/>
  <c r="HD14" i="96"/>
  <c r="HD15" i="96"/>
  <c r="HD16" i="96"/>
  <c r="HD17" i="96"/>
  <c r="HD18" i="96"/>
  <c r="HD19" i="96"/>
  <c r="HD20" i="96"/>
  <c r="HD21" i="96"/>
  <c r="FZ21" i="96"/>
  <c r="FW64" i="96"/>
  <c r="FW11" i="96"/>
  <c r="HT64" i="96"/>
  <c r="AG64" i="96"/>
  <c r="AG11" i="96"/>
  <c r="HB11" i="96"/>
  <c r="HB12" i="96"/>
  <c r="HB13" i="96"/>
  <c r="HB14" i="96"/>
  <c r="HB15" i="96"/>
  <c r="HB16" i="96"/>
  <c r="HB17" i="96"/>
  <c r="HB18" i="96"/>
  <c r="HB19" i="96"/>
  <c r="HB20" i="96"/>
  <c r="HB21" i="96"/>
  <c r="FW21" i="96"/>
  <c r="FS11" i="96"/>
  <c r="HS64" i="96"/>
  <c r="AD64" i="96"/>
  <c r="AD11" i="96"/>
  <c r="GZ11" i="96"/>
  <c r="GZ12" i="96"/>
  <c r="GZ13" i="96"/>
  <c r="GZ14" i="96"/>
  <c r="GZ15" i="96"/>
  <c r="GZ16" i="96"/>
  <c r="GZ17" i="96"/>
  <c r="GZ18" i="96"/>
  <c r="GZ19" i="96"/>
  <c r="GZ20" i="96"/>
  <c r="GZ21" i="96"/>
  <c r="FS21" i="96"/>
  <c r="FP11" i="96"/>
  <c r="HR64" i="96"/>
  <c r="AA64" i="96"/>
  <c r="AA11" i="96"/>
  <c r="GX11" i="96"/>
  <c r="GX12" i="96"/>
  <c r="GX13" i="96"/>
  <c r="GX14" i="96"/>
  <c r="GX15" i="96"/>
  <c r="GX16" i="96"/>
  <c r="GX17" i="96"/>
  <c r="GX18" i="96"/>
  <c r="GX19" i="96"/>
  <c r="GX20" i="96"/>
  <c r="GX21" i="96"/>
  <c r="FP21" i="96"/>
  <c r="GV11" i="96"/>
  <c r="GV12" i="96"/>
  <c r="GV13" i="96"/>
  <c r="GV14" i="96"/>
  <c r="GV15" i="96"/>
  <c r="GV16" i="96"/>
  <c r="GV17" i="96"/>
  <c r="GV18" i="96"/>
  <c r="GV19" i="96"/>
  <c r="GV20" i="96"/>
  <c r="GV21" i="96"/>
  <c r="FM21" i="96"/>
  <c r="GG21" i="96"/>
  <c r="GI21" i="96"/>
  <c r="AS21" i="96"/>
  <c r="FH21" i="96"/>
  <c r="FG21" i="96"/>
  <c r="DE21" i="96"/>
  <c r="AU21" i="96"/>
  <c r="B15" i="96"/>
  <c r="P15" i="96"/>
  <c r="B11" i="96"/>
  <c r="P11" i="96"/>
  <c r="P12" i="96"/>
  <c r="P13" i="96"/>
  <c r="P14" i="96"/>
  <c r="P16" i="96"/>
  <c r="P17" i="96"/>
  <c r="P18" i="96"/>
  <c r="P19" i="96"/>
  <c r="P20" i="96"/>
  <c r="P21" i="96"/>
  <c r="B21" i="96"/>
  <c r="H63" i="96"/>
  <c r="H64" i="96"/>
  <c r="H11" i="96"/>
  <c r="V11" i="96"/>
  <c r="V12" i="96"/>
  <c r="V13" i="96"/>
  <c r="V14" i="96"/>
  <c r="V15" i="96"/>
  <c r="V16" i="96"/>
  <c r="V17" i="96"/>
  <c r="V18" i="96"/>
  <c r="V19" i="96"/>
  <c r="V20" i="96"/>
  <c r="V21" i="96"/>
  <c r="H21" i="96"/>
  <c r="G64" i="96"/>
  <c r="G11" i="96"/>
  <c r="U11" i="96"/>
  <c r="U12" i="96"/>
  <c r="U13" i="96"/>
  <c r="U14" i="96"/>
  <c r="U15" i="96"/>
  <c r="U16" i="96"/>
  <c r="U17" i="96"/>
  <c r="U18" i="96"/>
  <c r="U19" i="96"/>
  <c r="U20" i="96"/>
  <c r="U21" i="96"/>
  <c r="G21" i="96"/>
  <c r="F11" i="96"/>
  <c r="T11" i="96"/>
  <c r="T12" i="96"/>
  <c r="T13" i="96"/>
  <c r="T14" i="96"/>
  <c r="T15" i="96"/>
  <c r="T16" i="96"/>
  <c r="T17" i="96"/>
  <c r="T18" i="96"/>
  <c r="T19" i="96"/>
  <c r="T20" i="96"/>
  <c r="T21" i="96"/>
  <c r="F21" i="96"/>
  <c r="E11" i="96"/>
  <c r="S11" i="96"/>
  <c r="S12" i="96"/>
  <c r="S13" i="96"/>
  <c r="S14" i="96"/>
  <c r="S15" i="96"/>
  <c r="S16" i="96"/>
  <c r="S17" i="96"/>
  <c r="S18" i="96"/>
  <c r="S19" i="96"/>
  <c r="S20" i="96"/>
  <c r="S21" i="96"/>
  <c r="E21" i="96"/>
  <c r="D63" i="96"/>
  <c r="D64" i="96"/>
  <c r="D11" i="96"/>
  <c r="R11" i="96"/>
  <c r="R12" i="96"/>
  <c r="R13" i="96"/>
  <c r="R14" i="96"/>
  <c r="R15" i="96"/>
  <c r="R16" i="96"/>
  <c r="R17" i="96"/>
  <c r="R18" i="96"/>
  <c r="R19" i="96"/>
  <c r="R20" i="96"/>
  <c r="R21" i="96"/>
  <c r="D21" i="96"/>
  <c r="C11" i="96"/>
  <c r="Q11" i="96"/>
  <c r="Q12" i="96"/>
  <c r="Q13" i="96"/>
  <c r="Q14" i="96"/>
  <c r="Q15" i="96"/>
  <c r="Q16" i="96"/>
  <c r="Q17" i="96"/>
  <c r="Q18" i="96"/>
  <c r="Q19" i="96"/>
  <c r="Q20" i="96"/>
  <c r="Q21" i="96"/>
  <c r="C21" i="96"/>
  <c r="I21" i="96"/>
  <c r="J21" i="96"/>
  <c r="L15" i="96"/>
  <c r="N15" i="96"/>
  <c r="N16" i="96"/>
  <c r="N17" i="96"/>
  <c r="N18" i="96"/>
  <c r="N19" i="96"/>
  <c r="N20" i="96"/>
  <c r="N21" i="96"/>
  <c r="L21" i="96"/>
  <c r="EE21" i="96"/>
  <c r="D14" i="211"/>
  <c r="X21" i="96"/>
  <c r="FN21" i="96"/>
  <c r="Y21" i="96"/>
  <c r="Z21" i="96"/>
  <c r="AA21" i="96"/>
  <c r="FR21" i="96"/>
  <c r="FQ21" i="96"/>
  <c r="AB21" i="96"/>
  <c r="AC21" i="96"/>
  <c r="AD21" i="96"/>
  <c r="FT21" i="96"/>
  <c r="HA21" i="96"/>
  <c r="AE21" i="96"/>
  <c r="AF21" i="96"/>
  <c r="AG21" i="96"/>
  <c r="FX64" i="96"/>
  <c r="FX11" i="96"/>
  <c r="FY11" i="96"/>
  <c r="FY21" i="96"/>
  <c r="FX21" i="96"/>
  <c r="HC21" i="96"/>
  <c r="AH21" i="96"/>
  <c r="AI21" i="96"/>
  <c r="AJ21" i="96"/>
  <c r="GC22" i="96"/>
  <c r="GC21" i="96"/>
  <c r="GA21" i="96"/>
  <c r="AK21" i="96"/>
  <c r="AL21" i="96"/>
  <c r="AM21" i="96"/>
  <c r="GE21" i="96"/>
  <c r="AN21" i="96"/>
  <c r="AO21" i="96"/>
  <c r="AR21" i="96"/>
  <c r="AQ21" i="96"/>
  <c r="EG21" i="96"/>
  <c r="EB21" i="96"/>
  <c r="C14" i="211"/>
  <c r="B14" i="211"/>
  <c r="BW20" i="96"/>
  <c r="GE67" i="9"/>
  <c r="FD67" i="9"/>
  <c r="FN67" i="9"/>
  <c r="DB20" i="96"/>
  <c r="CM20" i="96"/>
  <c r="CZ20" i="96"/>
  <c r="CJ20" i="96"/>
  <c r="GA67" i="9"/>
  <c r="EZ67" i="9"/>
  <c r="FJ67" i="9"/>
  <c r="CY20" i="96"/>
  <c r="CG20" i="96"/>
  <c r="CX20" i="96"/>
  <c r="CD20" i="96"/>
  <c r="FZ67" i="9"/>
  <c r="EY67" i="9"/>
  <c r="CW20" i="96"/>
  <c r="CA20" i="96"/>
  <c r="BX20" i="96"/>
  <c r="CP20" i="96"/>
  <c r="CR20" i="96"/>
  <c r="AZ66" i="9"/>
  <c r="AZ67" i="9"/>
  <c r="AV67" i="9"/>
  <c r="BA66" i="9"/>
  <c r="BA67" i="9"/>
  <c r="AW67" i="9"/>
  <c r="GO20" i="96"/>
  <c r="GK20" i="96"/>
  <c r="FJ20" i="96"/>
  <c r="GD20" i="96"/>
  <c r="FZ20" i="96"/>
  <c r="FW20" i="96"/>
  <c r="FS20" i="96"/>
  <c r="FP20" i="96"/>
  <c r="FM20" i="96"/>
  <c r="GG20" i="96"/>
  <c r="GI20" i="96"/>
  <c r="AS20" i="96"/>
  <c r="FH20" i="96"/>
  <c r="FG20" i="96"/>
  <c r="DE20" i="96"/>
  <c r="AU20" i="96"/>
  <c r="B20" i="96"/>
  <c r="H20" i="96"/>
  <c r="G20" i="96"/>
  <c r="F20" i="96"/>
  <c r="E20" i="96"/>
  <c r="D20" i="96"/>
  <c r="C20" i="96"/>
  <c r="I20" i="96"/>
  <c r="J20" i="96"/>
  <c r="L20" i="96"/>
  <c r="EE20" i="96"/>
  <c r="D13" i="211"/>
  <c r="X20" i="96"/>
  <c r="FN20" i="96"/>
  <c r="Y20" i="96"/>
  <c r="Z20" i="96"/>
  <c r="AA20" i="96"/>
  <c r="FR20" i="96"/>
  <c r="FQ20" i="96"/>
  <c r="AB20" i="96"/>
  <c r="AC20" i="96"/>
  <c r="AD20" i="96"/>
  <c r="FT20" i="96"/>
  <c r="HA20" i="96"/>
  <c r="AE20" i="96"/>
  <c r="AF20" i="96"/>
  <c r="AG20" i="96"/>
  <c r="FX20" i="96"/>
  <c r="HC20" i="96"/>
  <c r="AH20" i="96"/>
  <c r="AI20" i="96"/>
  <c r="AJ20" i="96"/>
  <c r="GA20" i="96"/>
  <c r="AK20" i="96"/>
  <c r="AL20" i="96"/>
  <c r="AM20" i="96"/>
  <c r="GE20" i="96"/>
  <c r="AN20" i="96"/>
  <c r="AO20" i="96"/>
  <c r="AR20" i="96"/>
  <c r="AQ20" i="96"/>
  <c r="EG20" i="96"/>
  <c r="EB20" i="96"/>
  <c r="C13" i="211"/>
  <c r="B13" i="211"/>
  <c r="BW19" i="96"/>
  <c r="GE66" i="9"/>
  <c r="FD66" i="9"/>
  <c r="FN66" i="9"/>
  <c r="DB19" i="96"/>
  <c r="CM19" i="96"/>
  <c r="KK66" i="9"/>
  <c r="GB66" i="9"/>
  <c r="FA66" i="9"/>
  <c r="FK66" i="9"/>
  <c r="DA19" i="96"/>
  <c r="CZ19" i="96"/>
  <c r="CJ19" i="96"/>
  <c r="GA66" i="9"/>
  <c r="EZ66" i="9"/>
  <c r="FJ66" i="9"/>
  <c r="CY19" i="96"/>
  <c r="CG19" i="96"/>
  <c r="CX19" i="96"/>
  <c r="CD19" i="96"/>
  <c r="FZ66" i="9"/>
  <c r="EY66" i="9"/>
  <c r="CW19" i="96"/>
  <c r="CA19" i="96"/>
  <c r="BX19" i="96"/>
  <c r="CP19" i="96"/>
  <c r="CR19" i="96"/>
  <c r="AV66" i="9"/>
  <c r="AW66" i="9"/>
  <c r="GO19" i="96"/>
  <c r="GK19" i="96"/>
  <c r="FJ19" i="96"/>
  <c r="GD19" i="96"/>
  <c r="FZ19" i="96"/>
  <c r="FW19" i="96"/>
  <c r="FS19" i="96"/>
  <c r="FP19" i="96"/>
  <c r="FM19" i="96"/>
  <c r="GG19" i="96"/>
  <c r="GI19" i="96"/>
  <c r="AS19" i="96"/>
  <c r="CI52" i="9" a="1"/>
  <c r="CI66" i="9"/>
  <c r="CZ66" i="9"/>
  <c r="CI65" i="9"/>
  <c r="CZ65" i="9"/>
  <c r="DA66" i="9"/>
  <c r="FH19" i="96"/>
  <c r="FG19" i="96"/>
  <c r="DE19" i="96"/>
  <c r="AU19" i="96"/>
  <c r="B19" i="96"/>
  <c r="H19" i="96"/>
  <c r="G19" i="96"/>
  <c r="F19" i="96"/>
  <c r="E19" i="96"/>
  <c r="D19" i="96"/>
  <c r="C19" i="96"/>
  <c r="I19" i="96"/>
  <c r="J19" i="96"/>
  <c r="L19" i="96"/>
  <c r="EE19" i="96"/>
  <c r="D12" i="211"/>
  <c r="X19" i="96"/>
  <c r="FN19" i="96"/>
  <c r="Y19" i="96"/>
  <c r="Z19" i="96"/>
  <c r="AA19" i="96"/>
  <c r="FR19" i="96"/>
  <c r="FQ19" i="96"/>
  <c r="AB19" i="96"/>
  <c r="AC19" i="96"/>
  <c r="AD19" i="96"/>
  <c r="FT19" i="96"/>
  <c r="AE19" i="96"/>
  <c r="AF19" i="96"/>
  <c r="AG19" i="96"/>
  <c r="FX19" i="96"/>
  <c r="HC19" i="96"/>
  <c r="AH19" i="96"/>
  <c r="AI19" i="96"/>
  <c r="AJ19" i="96"/>
  <c r="GA19" i="96"/>
  <c r="AK19" i="96"/>
  <c r="AL19" i="96"/>
  <c r="AM19" i="96"/>
  <c r="GE19" i="96"/>
  <c r="AN19" i="96"/>
  <c r="AO19" i="96"/>
  <c r="AR19" i="96"/>
  <c r="AQ19" i="96"/>
  <c r="EG19" i="96"/>
  <c r="EB19" i="96"/>
  <c r="C12" i="211"/>
  <c r="B12" i="211"/>
  <c r="BW18" i="96"/>
  <c r="GE65" i="9"/>
  <c r="FD65" i="9"/>
  <c r="FN65" i="9"/>
  <c r="DB18" i="96"/>
  <c r="CM18" i="96"/>
  <c r="KK65" i="9"/>
  <c r="GB65" i="9"/>
  <c r="FA65" i="9"/>
  <c r="FK65" i="9"/>
  <c r="DA18" i="96"/>
  <c r="CZ18" i="96"/>
  <c r="CJ18" i="96"/>
  <c r="GA65" i="9"/>
  <c r="EZ65" i="9"/>
  <c r="FJ65" i="9"/>
  <c r="CY18" i="96"/>
  <c r="CG18" i="96"/>
  <c r="CX18" i="96"/>
  <c r="CD18" i="96"/>
  <c r="FZ65" i="9"/>
  <c r="EY65" i="9"/>
  <c r="CW18" i="96"/>
  <c r="CA18" i="96"/>
  <c r="BX18" i="96"/>
  <c r="CP18" i="96"/>
  <c r="CR18" i="96"/>
  <c r="AZ64" i="9"/>
  <c r="AR21" i="9" a="1"/>
  <c r="AR65" i="9"/>
  <c r="AS65" i="9"/>
  <c r="AZ65" i="9"/>
  <c r="AV65" i="9"/>
  <c r="BA64" i="9"/>
  <c r="BA65" i="9"/>
  <c r="AW65" i="9"/>
  <c r="GO18" i="96"/>
  <c r="GK18" i="96"/>
  <c r="FJ18" i="96"/>
  <c r="GD18" i="96"/>
  <c r="FZ18" i="96"/>
  <c r="FW18" i="96"/>
  <c r="FS18" i="96"/>
  <c r="FP18" i="96"/>
  <c r="FM18" i="96"/>
  <c r="GG18" i="96"/>
  <c r="GI18" i="96"/>
  <c r="AS18" i="96"/>
  <c r="FH18" i="96"/>
  <c r="FG18" i="96"/>
  <c r="DE18" i="96"/>
  <c r="AU18" i="96"/>
  <c r="B18" i="96"/>
  <c r="H18" i="96"/>
  <c r="G18" i="96"/>
  <c r="F18" i="96"/>
  <c r="E18" i="96"/>
  <c r="D18" i="96"/>
  <c r="C18" i="96"/>
  <c r="I18" i="96"/>
  <c r="J18" i="96"/>
  <c r="L18" i="96"/>
  <c r="EE18" i="96"/>
  <c r="D11" i="211"/>
  <c r="X18" i="96"/>
  <c r="FN18" i="96"/>
  <c r="Y18" i="96"/>
  <c r="Z18" i="96"/>
  <c r="AA18" i="96"/>
  <c r="FR18" i="96"/>
  <c r="FQ18" i="96"/>
  <c r="AB18" i="96"/>
  <c r="AC18" i="96"/>
  <c r="AD18" i="96"/>
  <c r="FT18" i="96"/>
  <c r="HJ18" i="96"/>
  <c r="HA18" i="96"/>
  <c r="AE18" i="96"/>
  <c r="AF18" i="96"/>
  <c r="AG18" i="96"/>
  <c r="FX18" i="96"/>
  <c r="HC18" i="96"/>
  <c r="AH18" i="96"/>
  <c r="AI18" i="96"/>
  <c r="AJ18" i="96"/>
  <c r="GA18" i="96"/>
  <c r="AK18" i="96"/>
  <c r="AL18" i="96"/>
  <c r="AM18" i="96"/>
  <c r="GE18" i="96"/>
  <c r="AN18" i="96"/>
  <c r="AO18" i="96"/>
  <c r="AR18" i="96"/>
  <c r="AQ18" i="96"/>
  <c r="EG18" i="96"/>
  <c r="EB18" i="96"/>
  <c r="C11" i="211"/>
  <c r="B11" i="211"/>
  <c r="BW17" i="96"/>
  <c r="GE64" i="9"/>
  <c r="FD64" i="9"/>
  <c r="FN64" i="9"/>
  <c r="DB17" i="96"/>
  <c r="CM17" i="96"/>
  <c r="KK64" i="9"/>
  <c r="GB64" i="9"/>
  <c r="FA64" i="9"/>
  <c r="FK64" i="9"/>
  <c r="DA17" i="96"/>
  <c r="CZ17" i="96"/>
  <c r="CJ17" i="96"/>
  <c r="GA64" i="9"/>
  <c r="EZ64" i="9"/>
  <c r="FJ64" i="9"/>
  <c r="CY17" i="96"/>
  <c r="CG17" i="96"/>
  <c r="CX17" i="96"/>
  <c r="CD17" i="96"/>
  <c r="FZ64" i="9"/>
  <c r="EY64" i="9"/>
  <c r="CW17" i="96"/>
  <c r="CA17" i="96"/>
  <c r="BX17" i="96"/>
  <c r="CP17" i="96"/>
  <c r="CR17" i="96"/>
  <c r="AV64" i="9"/>
  <c r="AW64" i="9"/>
  <c r="GO17" i="96"/>
  <c r="GK17" i="96"/>
  <c r="FJ17" i="96"/>
  <c r="GD17" i="96"/>
  <c r="FZ17" i="96"/>
  <c r="FW17" i="96"/>
  <c r="FS17" i="96"/>
  <c r="FP17" i="96"/>
  <c r="FM17" i="96"/>
  <c r="GG17" i="96"/>
  <c r="GI17" i="96"/>
  <c r="AS17" i="96"/>
  <c r="FH17" i="96"/>
  <c r="FG17" i="96"/>
  <c r="DE17" i="96"/>
  <c r="AU17" i="96"/>
  <c r="B17" i="96"/>
  <c r="H17" i="96"/>
  <c r="G17" i="96"/>
  <c r="F17" i="96"/>
  <c r="E17" i="96"/>
  <c r="D17" i="96"/>
  <c r="C17" i="96"/>
  <c r="I17" i="96"/>
  <c r="J17" i="96"/>
  <c r="L17" i="96"/>
  <c r="EE17" i="96"/>
  <c r="D10" i="211"/>
  <c r="X17" i="96"/>
  <c r="FN64" i="96"/>
  <c r="FN11" i="96"/>
  <c r="FO11" i="96"/>
  <c r="FO22" i="96"/>
  <c r="FO12" i="96"/>
  <c r="FO13" i="96"/>
  <c r="FO14" i="96"/>
  <c r="FO15" i="96"/>
  <c r="FO16" i="96"/>
  <c r="FO17" i="96"/>
  <c r="FN17" i="96"/>
  <c r="Y17" i="96"/>
  <c r="Z17" i="96"/>
  <c r="AA17" i="96"/>
  <c r="FQ17" i="96"/>
  <c r="AB17" i="96"/>
  <c r="AC17" i="96"/>
  <c r="AD17" i="96"/>
  <c r="FT63" i="96"/>
  <c r="FT64" i="96"/>
  <c r="FT11" i="96"/>
  <c r="FV11" i="96"/>
  <c r="FV17" i="96"/>
  <c r="FT17" i="96"/>
  <c r="HJ17" i="96"/>
  <c r="HA17" i="96"/>
  <c r="AE17" i="96"/>
  <c r="AF17" i="96"/>
  <c r="AG17" i="96"/>
  <c r="FY12" i="96"/>
  <c r="FY13" i="96"/>
  <c r="FY14" i="96"/>
  <c r="FY15" i="96"/>
  <c r="FY16" i="96"/>
  <c r="FY17" i="96"/>
  <c r="FX17" i="96"/>
  <c r="HC17" i="96"/>
  <c r="AH17" i="96"/>
  <c r="AI17" i="96"/>
  <c r="AJ17" i="96"/>
  <c r="GA63" i="96"/>
  <c r="GA64" i="96"/>
  <c r="GA11" i="96"/>
  <c r="GC11" i="96"/>
  <c r="GC12" i="96"/>
  <c r="GC13" i="96"/>
  <c r="GC14" i="96"/>
  <c r="GC15" i="96"/>
  <c r="GC16" i="96"/>
  <c r="GC17" i="96"/>
  <c r="GA17" i="96"/>
  <c r="AK17" i="96"/>
  <c r="AL17" i="96"/>
  <c r="AM17" i="96"/>
  <c r="GE64" i="96"/>
  <c r="GE11" i="96"/>
  <c r="GF11" i="96"/>
  <c r="GF12" i="96"/>
  <c r="GF13" i="96"/>
  <c r="GF14" i="96"/>
  <c r="GF15" i="96"/>
  <c r="GF16" i="96"/>
  <c r="GF17" i="96"/>
  <c r="GE17" i="96"/>
  <c r="AN17" i="96"/>
  <c r="AO17" i="96"/>
  <c r="AR17" i="96"/>
  <c r="AQ17" i="96"/>
  <c r="EG17" i="96"/>
  <c r="EB17" i="96"/>
  <c r="C10" i="211"/>
  <c r="B10" i="211"/>
  <c r="BW16" i="96"/>
  <c r="GE63" i="9"/>
  <c r="FD63" i="9"/>
  <c r="FN63" i="9"/>
  <c r="DB16" i="96"/>
  <c r="CM16" i="96"/>
  <c r="KK63" i="9"/>
  <c r="GB63" i="9"/>
  <c r="FA63" i="9"/>
  <c r="FK63" i="9"/>
  <c r="DA16" i="96"/>
  <c r="CZ16" i="96"/>
  <c r="CJ16" i="96"/>
  <c r="GA63" i="9"/>
  <c r="EZ63" i="9"/>
  <c r="FJ63" i="9"/>
  <c r="CY16" i="96"/>
  <c r="CG16" i="96"/>
  <c r="CX16" i="96"/>
  <c r="CD16" i="96"/>
  <c r="FZ63" i="9"/>
  <c r="EY63" i="9"/>
  <c r="CW16" i="96"/>
  <c r="CA16" i="96"/>
  <c r="BX16" i="96"/>
  <c r="CP16" i="96"/>
  <c r="CR16" i="96"/>
  <c r="BA62" i="9"/>
  <c r="BA63" i="9"/>
  <c r="AZ62" i="9"/>
  <c r="BB62" i="9"/>
  <c r="BB64" i="9"/>
  <c r="BB63" i="9"/>
  <c r="AZ63" i="9"/>
  <c r="AV63" i="9"/>
  <c r="AW63" i="9"/>
  <c r="GO16" i="96"/>
  <c r="GK16" i="96"/>
  <c r="FJ16" i="96"/>
  <c r="GD16" i="96"/>
  <c r="FZ16" i="96"/>
  <c r="FW16" i="96"/>
  <c r="FS16" i="96"/>
  <c r="FP16" i="96"/>
  <c r="FM16" i="96"/>
  <c r="GG16" i="96"/>
  <c r="GI16" i="96"/>
  <c r="AS16" i="96"/>
  <c r="FH16" i="96"/>
  <c r="FG16" i="96"/>
  <c r="DE16" i="96"/>
  <c r="AU16" i="96"/>
  <c r="B16" i="96"/>
  <c r="H16" i="96"/>
  <c r="G16" i="96"/>
  <c r="F16" i="96"/>
  <c r="E16" i="96"/>
  <c r="D16" i="96"/>
  <c r="C16" i="96"/>
  <c r="I16" i="96"/>
  <c r="J16" i="96"/>
  <c r="L16" i="96"/>
  <c r="EE16" i="96"/>
  <c r="D9" i="211"/>
  <c r="X16" i="96"/>
  <c r="FN16" i="96"/>
  <c r="Y16" i="96"/>
  <c r="Z16" i="96"/>
  <c r="AA16" i="96"/>
  <c r="FQ16" i="96"/>
  <c r="AB16" i="96"/>
  <c r="AC16" i="96"/>
  <c r="AD16" i="96"/>
  <c r="FV16" i="96"/>
  <c r="FT16" i="96"/>
  <c r="HJ16" i="96"/>
  <c r="HA16" i="96"/>
  <c r="AE16" i="96"/>
  <c r="AF16" i="96"/>
  <c r="AG16" i="96"/>
  <c r="FX16" i="96"/>
  <c r="HC16" i="96"/>
  <c r="AH16" i="96"/>
  <c r="AI16" i="96"/>
  <c r="AJ16" i="96"/>
  <c r="GA16" i="96"/>
  <c r="AK16" i="96"/>
  <c r="AL16" i="96"/>
  <c r="AM16" i="96"/>
  <c r="GE16" i="96"/>
  <c r="AN16" i="96"/>
  <c r="AO16" i="96"/>
  <c r="AR16" i="96"/>
  <c r="AQ16" i="96"/>
  <c r="EG16" i="96"/>
  <c r="EB16" i="96"/>
  <c r="C9" i="211"/>
  <c r="B9" i="211"/>
  <c r="W66" i="96"/>
  <c r="W65" i="96"/>
  <c r="W15" i="96"/>
  <c r="FJ15" i="96"/>
  <c r="BW15" i="96"/>
  <c r="GE62" i="9"/>
  <c r="FD62" i="9"/>
  <c r="FN62" i="9"/>
  <c r="DB15" i="96"/>
  <c r="CM15" i="96"/>
  <c r="KK62" i="9"/>
  <c r="GB62" i="9"/>
  <c r="FA62" i="9"/>
  <c r="FK62" i="9"/>
  <c r="DA15" i="96"/>
  <c r="CZ15" i="96"/>
  <c r="CJ15" i="96"/>
  <c r="GA62" i="9"/>
  <c r="EZ62" i="9"/>
  <c r="FJ62" i="9"/>
  <c r="CY15" i="96"/>
  <c r="CG15" i="96"/>
  <c r="CX15" i="96"/>
  <c r="CD15" i="96"/>
  <c r="FZ62" i="9"/>
  <c r="EY62" i="9"/>
  <c r="CW15" i="96"/>
  <c r="CA15" i="96"/>
  <c r="BX15" i="96"/>
  <c r="CP15" i="96"/>
  <c r="CR15" i="96"/>
  <c r="GD15" i="96"/>
  <c r="FZ15" i="96"/>
  <c r="FW15" i="96"/>
  <c r="FS15" i="96"/>
  <c r="FP15" i="96"/>
  <c r="FM15" i="96"/>
  <c r="GG15" i="96"/>
  <c r="GI15" i="96"/>
  <c r="AS15" i="96"/>
  <c r="FE15" i="96"/>
  <c r="HY64" i="96"/>
  <c r="HY15" i="96"/>
  <c r="FG15" i="96"/>
  <c r="DE15" i="96"/>
  <c r="GK64" i="96"/>
  <c r="GK15" i="96"/>
  <c r="AU15" i="96"/>
  <c r="H15" i="96"/>
  <c r="G15" i="96"/>
  <c r="F15" i="96"/>
  <c r="E15" i="96"/>
  <c r="D15" i="96"/>
  <c r="C15" i="96"/>
  <c r="I15" i="96"/>
  <c r="J15" i="96"/>
  <c r="EE15" i="96"/>
  <c r="D8" i="211"/>
  <c r="X15" i="96"/>
  <c r="FN15" i="96"/>
  <c r="Y15" i="96"/>
  <c r="Z15" i="96"/>
  <c r="AA15" i="96"/>
  <c r="FQ15" i="96"/>
  <c r="AB15" i="96"/>
  <c r="AC15" i="96"/>
  <c r="AD15" i="96"/>
  <c r="FV15" i="96"/>
  <c r="FT15" i="96"/>
  <c r="HJ15" i="96"/>
  <c r="HA15" i="96"/>
  <c r="AE15" i="96"/>
  <c r="AF15" i="96"/>
  <c r="AG15" i="96"/>
  <c r="FX15" i="96"/>
  <c r="HC15" i="96"/>
  <c r="AH15" i="96"/>
  <c r="AI15" i="96"/>
  <c r="AJ15" i="96"/>
  <c r="GA15" i="96"/>
  <c r="AK15" i="96"/>
  <c r="AL15" i="96"/>
  <c r="AM15" i="96"/>
  <c r="GE15" i="96"/>
  <c r="AN15" i="96"/>
  <c r="AO15" i="96"/>
  <c r="AR15" i="96"/>
  <c r="AQ15" i="96"/>
  <c r="EG15" i="96"/>
  <c r="EB15" i="96"/>
  <c r="C8" i="211"/>
  <c r="B8" i="211"/>
  <c r="BW14" i="96"/>
  <c r="CM11" i="96"/>
  <c r="DB11" i="96"/>
  <c r="DB12" i="96"/>
  <c r="DB13" i="96"/>
  <c r="DB14" i="96"/>
  <c r="CM14" i="96"/>
  <c r="CJ11" i="96"/>
  <c r="CZ11" i="96"/>
  <c r="CZ12" i="96"/>
  <c r="CZ13" i="96"/>
  <c r="CZ14" i="96"/>
  <c r="CJ14" i="96"/>
  <c r="CG11" i="96"/>
  <c r="CY11" i="96"/>
  <c r="CY12" i="96"/>
  <c r="CY13" i="96"/>
  <c r="CY14" i="96"/>
  <c r="CG14" i="96"/>
  <c r="CX14" i="96"/>
  <c r="CD14" i="96"/>
  <c r="CA11" i="96"/>
  <c r="CW11" i="96"/>
  <c r="CW12" i="96"/>
  <c r="CW13" i="96"/>
  <c r="CW14" i="96"/>
  <c r="CA14" i="96"/>
  <c r="BX14" i="96"/>
  <c r="CP14" i="96"/>
  <c r="CR14" i="96"/>
  <c r="AZ61" i="9"/>
  <c r="AV61" i="9"/>
  <c r="BA61" i="9"/>
  <c r="AW61" i="9"/>
  <c r="GO14" i="96"/>
  <c r="GK14" i="96"/>
  <c r="FJ14" i="96"/>
  <c r="GD14" i="96"/>
  <c r="FZ14" i="96"/>
  <c r="FW14" i="96"/>
  <c r="FS14" i="96"/>
  <c r="FP14" i="96"/>
  <c r="FM14" i="96"/>
  <c r="GG14" i="96"/>
  <c r="GI14" i="96"/>
  <c r="AS14" i="96"/>
  <c r="FH14" i="96"/>
  <c r="FG14" i="96"/>
  <c r="DE14" i="96"/>
  <c r="AU14" i="96"/>
  <c r="B14" i="96"/>
  <c r="H14" i="96"/>
  <c r="G14" i="96"/>
  <c r="F14" i="96"/>
  <c r="E14" i="96"/>
  <c r="D14" i="96"/>
  <c r="C14" i="96"/>
  <c r="I14" i="96"/>
  <c r="J14" i="96"/>
  <c r="L11" i="96"/>
  <c r="N11" i="96"/>
  <c r="N12" i="96"/>
  <c r="N13" i="96"/>
  <c r="N14" i="96"/>
  <c r="L14" i="96"/>
  <c r="EE14" i="96"/>
  <c r="D7" i="211"/>
  <c r="X14" i="96"/>
  <c r="FN14" i="96"/>
  <c r="Y14" i="96"/>
  <c r="Z14" i="96"/>
  <c r="AA14" i="96"/>
  <c r="FQ14" i="96"/>
  <c r="AB14" i="96"/>
  <c r="AC14" i="96"/>
  <c r="AD14" i="96"/>
  <c r="FV14" i="96"/>
  <c r="FT14" i="96"/>
  <c r="HJ14" i="96"/>
  <c r="HA14" i="96"/>
  <c r="AE14" i="96"/>
  <c r="AF14" i="96"/>
  <c r="AG14" i="96"/>
  <c r="FX14" i="96"/>
  <c r="HC14" i="96"/>
  <c r="AH14" i="96"/>
  <c r="AI14" i="96"/>
  <c r="AJ14" i="96"/>
  <c r="GA14" i="96"/>
  <c r="AK14" i="96"/>
  <c r="AL14" i="96"/>
  <c r="AM14" i="96"/>
  <c r="GE14" i="96"/>
  <c r="AN14" i="96"/>
  <c r="AO14" i="96"/>
  <c r="AR14" i="96"/>
  <c r="AQ14" i="96"/>
  <c r="EG14" i="96"/>
  <c r="EB14" i="96"/>
  <c r="C7" i="211"/>
  <c r="B7" i="211"/>
  <c r="BW13" i="96"/>
  <c r="CM13" i="96"/>
  <c r="CJ13" i="96"/>
  <c r="CG13" i="96"/>
  <c r="CX13" i="96"/>
  <c r="CD13" i="96"/>
  <c r="CA13" i="96"/>
  <c r="BX13" i="96"/>
  <c r="CP13" i="96"/>
  <c r="CR13" i="96"/>
  <c r="AZ60" i="9"/>
  <c r="AV60" i="9"/>
  <c r="BA60" i="9"/>
  <c r="AW60" i="9"/>
  <c r="GO13" i="96"/>
  <c r="GK13" i="96"/>
  <c r="FJ13" i="96"/>
  <c r="GD13" i="96"/>
  <c r="FZ13" i="96"/>
  <c r="FW13" i="96"/>
  <c r="FS13" i="96"/>
  <c r="FP13" i="96"/>
  <c r="FM13" i="96"/>
  <c r="GG13" i="96"/>
  <c r="GI13" i="96"/>
  <c r="AS13" i="96"/>
  <c r="FH13" i="96"/>
  <c r="FG13" i="96"/>
  <c r="DE13" i="96"/>
  <c r="AU13" i="96"/>
  <c r="B13" i="96"/>
  <c r="H13" i="96"/>
  <c r="G13" i="96"/>
  <c r="F13" i="96"/>
  <c r="E13" i="96"/>
  <c r="D13" i="96"/>
  <c r="C13" i="96"/>
  <c r="I13" i="96"/>
  <c r="J13" i="96"/>
  <c r="L13" i="96"/>
  <c r="EE13" i="96"/>
  <c r="D6" i="211"/>
  <c r="X13" i="96"/>
  <c r="FN13" i="96"/>
  <c r="Y13" i="96"/>
  <c r="Z13" i="96"/>
  <c r="AA13" i="96"/>
  <c r="FQ13" i="96"/>
  <c r="AB13" i="96"/>
  <c r="AC13" i="96"/>
  <c r="AD13" i="96"/>
  <c r="FV13" i="96"/>
  <c r="FT13" i="96"/>
  <c r="HJ13" i="96"/>
  <c r="HA13" i="96"/>
  <c r="AE13" i="96"/>
  <c r="AF13" i="96"/>
  <c r="AG13" i="96"/>
  <c r="FX13" i="96"/>
  <c r="HC13" i="96"/>
  <c r="AH13" i="96"/>
  <c r="AI13" i="96"/>
  <c r="AJ13" i="96"/>
  <c r="GA13" i="96"/>
  <c r="AK13" i="96"/>
  <c r="AL13" i="96"/>
  <c r="AM13" i="96"/>
  <c r="GE13" i="96"/>
  <c r="AN13" i="96"/>
  <c r="AO13" i="96"/>
  <c r="AR13" i="96"/>
  <c r="AQ13" i="96"/>
  <c r="EG13" i="96"/>
  <c r="EB13" i="96"/>
  <c r="C6" i="211"/>
  <c r="B6" i="211"/>
  <c r="BW12" i="96"/>
  <c r="CM12" i="96"/>
  <c r="CJ12" i="96"/>
  <c r="CG12" i="96"/>
  <c r="CX12" i="96"/>
  <c r="CD12" i="96"/>
  <c r="CA12" i="96"/>
  <c r="BX12" i="96"/>
  <c r="CP12" i="96"/>
  <c r="CR12" i="96"/>
  <c r="BA58" i="9"/>
  <c r="BA59" i="9"/>
  <c r="AZ58" i="9"/>
  <c r="BB58" i="9"/>
  <c r="BB60" i="9"/>
  <c r="BB59" i="9"/>
  <c r="AZ59" i="9"/>
  <c r="AV59" i="9"/>
  <c r="AW59" i="9"/>
  <c r="GO12" i="96"/>
  <c r="GK12" i="96"/>
  <c r="FJ12" i="96"/>
  <c r="GD12" i="96"/>
  <c r="FZ12" i="96"/>
  <c r="FW12" i="96"/>
  <c r="FS12" i="96"/>
  <c r="FP12" i="96"/>
  <c r="FM12" i="96"/>
  <c r="GG12" i="96"/>
  <c r="GI12" i="96"/>
  <c r="AS12" i="96"/>
  <c r="FH12" i="96"/>
  <c r="FG12" i="96"/>
  <c r="DE12" i="96"/>
  <c r="AU12" i="96"/>
  <c r="B12" i="96"/>
  <c r="H12" i="96"/>
  <c r="G12" i="96"/>
  <c r="F12" i="96"/>
  <c r="E12" i="96"/>
  <c r="D12" i="96"/>
  <c r="C12" i="96"/>
  <c r="I12" i="96"/>
  <c r="J12" i="96"/>
  <c r="L12" i="96"/>
  <c r="EE12" i="96"/>
  <c r="D5" i="211"/>
  <c r="X12" i="96"/>
  <c r="FN12" i="96"/>
  <c r="Y12" i="96"/>
  <c r="Z12" i="96"/>
  <c r="AA12" i="96"/>
  <c r="FQ12" i="96"/>
  <c r="AB12" i="96"/>
  <c r="AC12" i="96"/>
  <c r="AD12" i="96"/>
  <c r="FV12" i="96"/>
  <c r="FT12" i="96"/>
  <c r="HJ12" i="96"/>
  <c r="HA12" i="96"/>
  <c r="AE12" i="96"/>
  <c r="AF12" i="96"/>
  <c r="AG12" i="96"/>
  <c r="FX12" i="96"/>
  <c r="HC12" i="96"/>
  <c r="AH12" i="96"/>
  <c r="AI12" i="96"/>
  <c r="AJ12" i="96"/>
  <c r="GA12" i="96"/>
  <c r="AK12" i="96"/>
  <c r="AL12" i="96"/>
  <c r="AM12" i="96"/>
  <c r="GE12" i="96"/>
  <c r="AN12" i="96"/>
  <c r="AO12" i="96"/>
  <c r="AR12" i="96"/>
  <c r="AQ12" i="96"/>
  <c r="EG12" i="96"/>
  <c r="EB12" i="96"/>
  <c r="C5" i="211"/>
  <c r="B5" i="211"/>
  <c r="AP11" i="96"/>
  <c r="AS11" i="96"/>
  <c r="FE11" i="96"/>
  <c r="HY11" i="96"/>
  <c r="FG11" i="96"/>
  <c r="DE11" i="96"/>
  <c r="GK11" i="96"/>
  <c r="AU11" i="96"/>
  <c r="I64" i="96"/>
  <c r="J64" i="96"/>
  <c r="J11" i="96"/>
  <c r="EE11" i="96"/>
  <c r="D4" i="211"/>
  <c r="Y11" i="96"/>
  <c r="Z11" i="96"/>
  <c r="FQ64" i="96"/>
  <c r="FQ11" i="96"/>
  <c r="AB11" i="96"/>
  <c r="AC11" i="96"/>
  <c r="HJ11" i="96"/>
  <c r="HA11" i="96"/>
  <c r="AE11" i="96"/>
  <c r="AF11" i="96"/>
  <c r="HC11" i="96"/>
  <c r="AH11" i="96"/>
  <c r="AI11" i="96"/>
  <c r="AK11" i="96"/>
  <c r="AL11" i="96"/>
  <c r="AN11" i="96"/>
  <c r="AO11" i="96"/>
  <c r="AR11" i="96"/>
  <c r="I11" i="96"/>
  <c r="AQ11" i="96"/>
  <c r="EG11" i="96"/>
  <c r="EB11" i="96"/>
  <c r="C4" i="211"/>
  <c r="B4" i="211"/>
  <c r="BV12" i="96"/>
  <c r="D11" i="131"/>
  <c r="E11" i="131"/>
  <c r="R11" i="131"/>
  <c r="BV13" i="96"/>
  <c r="D12" i="131"/>
  <c r="E12" i="131"/>
  <c r="R12" i="131"/>
  <c r="BV14" i="96"/>
  <c r="D13" i="131"/>
  <c r="E13" i="131"/>
  <c r="R13" i="131"/>
  <c r="BV15" i="96"/>
  <c r="D14" i="131"/>
  <c r="E14" i="131"/>
  <c r="R14" i="131"/>
  <c r="BV16" i="96"/>
  <c r="D15" i="131"/>
  <c r="E15" i="131"/>
  <c r="R15" i="131"/>
  <c r="BV17" i="96"/>
  <c r="D16" i="131"/>
  <c r="E16" i="131"/>
  <c r="R16" i="131"/>
  <c r="BV22" i="96"/>
  <c r="BV18" i="96"/>
  <c r="D17" i="131"/>
  <c r="E17" i="131"/>
  <c r="R17" i="131"/>
  <c r="BV19" i="96"/>
  <c r="D18" i="131"/>
  <c r="E18" i="131"/>
  <c r="R18" i="131"/>
  <c r="BV20" i="96"/>
  <c r="D19" i="131"/>
  <c r="E19" i="131"/>
  <c r="R19" i="131"/>
  <c r="BV21" i="96"/>
  <c r="D20" i="131"/>
  <c r="E20" i="131"/>
  <c r="R20" i="131"/>
  <c r="D21" i="131"/>
  <c r="E21" i="131"/>
  <c r="B21" i="131"/>
  <c r="R21" i="131"/>
  <c r="BV27" i="96"/>
  <c r="BV23" i="96"/>
  <c r="D22" i="131"/>
  <c r="E22" i="131"/>
  <c r="KO23" i="96"/>
  <c r="B22" i="131"/>
  <c r="R22" i="131"/>
  <c r="BV24" i="96"/>
  <c r="D23" i="131"/>
  <c r="E23" i="131"/>
  <c r="KO24" i="96"/>
  <c r="B23" i="131"/>
  <c r="R23" i="131"/>
  <c r="BV25" i="96"/>
  <c r="D24" i="131"/>
  <c r="E24" i="131"/>
  <c r="KO25" i="96"/>
  <c r="B24" i="131"/>
  <c r="R24" i="131"/>
  <c r="BV26" i="96"/>
  <c r="D25" i="131"/>
  <c r="E25" i="131"/>
  <c r="KO26" i="96"/>
  <c r="B25" i="131"/>
  <c r="R25" i="131"/>
  <c r="D26" i="131"/>
  <c r="E26" i="131"/>
  <c r="B26" i="131"/>
  <c r="R26" i="131"/>
  <c r="BV34" i="96"/>
  <c r="BV28" i="96"/>
  <c r="D27" i="131"/>
  <c r="E27" i="131"/>
  <c r="B27" i="131"/>
  <c r="R27" i="131"/>
  <c r="BV29" i="96"/>
  <c r="D28" i="131"/>
  <c r="E28" i="131"/>
  <c r="B28" i="131"/>
  <c r="R28" i="131"/>
  <c r="BV30" i="96"/>
  <c r="D29" i="131"/>
  <c r="E29" i="131"/>
  <c r="B29" i="131"/>
  <c r="R29" i="131"/>
  <c r="BV31" i="96"/>
  <c r="D30" i="131"/>
  <c r="E30" i="131"/>
  <c r="B30" i="131"/>
  <c r="R30" i="131"/>
  <c r="BV32" i="96"/>
  <c r="D31" i="131"/>
  <c r="E31" i="131"/>
  <c r="B31" i="131"/>
  <c r="R31" i="131"/>
  <c r="BV33" i="96"/>
  <c r="D32" i="131"/>
  <c r="E32" i="131"/>
  <c r="B32" i="131"/>
  <c r="R32" i="131"/>
  <c r="D33" i="131"/>
  <c r="E33" i="131"/>
  <c r="B33" i="131"/>
  <c r="R33" i="131"/>
  <c r="BV35" i="96"/>
  <c r="D34" i="131"/>
  <c r="E34" i="131"/>
  <c r="B34" i="131"/>
  <c r="R34" i="131"/>
  <c r="BV36" i="96"/>
  <c r="D35" i="131"/>
  <c r="E35" i="131"/>
  <c r="B35" i="131"/>
  <c r="R35" i="131"/>
  <c r="BV37" i="96"/>
  <c r="D36" i="131"/>
  <c r="E36" i="131"/>
  <c r="B36" i="131"/>
  <c r="R36" i="131"/>
  <c r="BV38" i="96"/>
  <c r="D37" i="131"/>
  <c r="E37" i="131"/>
  <c r="B37" i="131"/>
  <c r="R37" i="131"/>
  <c r="D38" i="131"/>
  <c r="E38" i="131"/>
  <c r="B38" i="131"/>
  <c r="R38" i="131"/>
  <c r="D39" i="131"/>
  <c r="E39" i="131"/>
  <c r="B39" i="131"/>
  <c r="R39" i="131"/>
  <c r="D40" i="131"/>
  <c r="E40" i="131"/>
  <c r="B40" i="131"/>
  <c r="R40" i="131"/>
  <c r="BV42" i="96"/>
  <c r="D41" i="131"/>
  <c r="E41" i="131"/>
  <c r="B41" i="131"/>
  <c r="R41" i="131"/>
  <c r="D42" i="131"/>
  <c r="E42" i="131"/>
  <c r="B42" i="131"/>
  <c r="R42" i="131"/>
  <c r="D43" i="131"/>
  <c r="E43" i="131"/>
  <c r="B43" i="131"/>
  <c r="R43" i="131"/>
  <c r="D44" i="131"/>
  <c r="E44" i="131"/>
  <c r="B44" i="131"/>
  <c r="R44" i="131"/>
  <c r="D45" i="131"/>
  <c r="E45" i="131"/>
  <c r="B45" i="131"/>
  <c r="R45" i="131"/>
  <c r="D46" i="131"/>
  <c r="E46" i="131"/>
  <c r="B46" i="131"/>
  <c r="R46" i="131"/>
  <c r="D47" i="131"/>
  <c r="E47" i="131"/>
  <c r="B47" i="131"/>
  <c r="R47" i="131"/>
  <c r="D48" i="131"/>
  <c r="E48" i="131"/>
  <c r="B48" i="131"/>
  <c r="R48" i="131"/>
  <c r="D49" i="131"/>
  <c r="E49" i="131"/>
  <c r="B49" i="131"/>
  <c r="R49" i="131"/>
  <c r="D50" i="131"/>
  <c r="E50" i="131"/>
  <c r="B50" i="131"/>
  <c r="R50" i="131"/>
  <c r="D51" i="131"/>
  <c r="E51" i="131"/>
  <c r="B51" i="131"/>
  <c r="R51" i="131"/>
  <c r="D52" i="131"/>
  <c r="E52" i="131"/>
  <c r="B52" i="131"/>
  <c r="R52" i="131"/>
  <c r="BV54" i="96"/>
  <c r="D53" i="131"/>
  <c r="E53" i="131"/>
  <c r="B53" i="131"/>
  <c r="R53" i="131"/>
  <c r="D54" i="131"/>
  <c r="E54" i="131"/>
  <c r="B54" i="131"/>
  <c r="R54" i="131"/>
  <c r="BV56" i="96"/>
  <c r="D55" i="131"/>
  <c r="E55" i="131"/>
  <c r="B55" i="131"/>
  <c r="R55" i="131"/>
  <c r="D56" i="131"/>
  <c r="E56" i="131"/>
  <c r="B56" i="131"/>
  <c r="R56" i="131"/>
  <c r="D57" i="131"/>
  <c r="E57" i="131"/>
  <c r="B57" i="131"/>
  <c r="R57" i="131"/>
  <c r="D58" i="131"/>
  <c r="E58" i="131"/>
  <c r="B58" i="131"/>
  <c r="R58" i="131"/>
  <c r="R59" i="131"/>
  <c r="D10" i="131"/>
  <c r="E10" i="131"/>
  <c r="R10" i="131"/>
  <c r="L25" i="197"/>
  <c r="S30" i="152"/>
  <c r="S31" i="152"/>
  <c r="S32" i="152"/>
  <c r="S33" i="152"/>
  <c r="S22" i="152"/>
  <c r="S23" i="152"/>
  <c r="S24" i="152"/>
  <c r="S25" i="152"/>
  <c r="R30" i="152"/>
  <c r="R31" i="152"/>
  <c r="R32" i="152"/>
  <c r="R33" i="152"/>
  <c r="E10" i="203"/>
  <c r="F10" i="203"/>
  <c r="L10" i="203"/>
  <c r="M10" i="203"/>
  <c r="P10" i="203"/>
  <c r="Q10" i="203"/>
  <c r="E11" i="203"/>
  <c r="F11" i="203"/>
  <c r="L11" i="203"/>
  <c r="M11" i="203"/>
  <c r="P11" i="203"/>
  <c r="Q11" i="203"/>
  <c r="E12" i="203"/>
  <c r="F12" i="203"/>
  <c r="L12" i="203"/>
  <c r="M12" i="203"/>
  <c r="P12" i="203"/>
  <c r="Q12" i="203"/>
  <c r="E13" i="203"/>
  <c r="F13" i="203"/>
  <c r="L13" i="203"/>
  <c r="M13" i="203"/>
  <c r="P13" i="203"/>
  <c r="Q13" i="203"/>
  <c r="E14" i="203"/>
  <c r="F14" i="203"/>
  <c r="Q14" i="203"/>
  <c r="E15" i="203"/>
  <c r="F15" i="203"/>
  <c r="L15" i="203"/>
  <c r="M15" i="203"/>
  <c r="P15" i="203"/>
  <c r="Q15" i="203"/>
  <c r="E16" i="203"/>
  <c r="F16" i="203"/>
  <c r="L16" i="203"/>
  <c r="M16" i="203"/>
  <c r="P16" i="203"/>
  <c r="Q16" i="203"/>
  <c r="E17" i="203"/>
  <c r="F17" i="203"/>
  <c r="L17" i="203"/>
  <c r="M17" i="203"/>
  <c r="P17" i="203"/>
  <c r="Q17" i="203"/>
  <c r="E18" i="203"/>
  <c r="F18" i="203"/>
  <c r="L18" i="203"/>
  <c r="M18" i="203"/>
  <c r="Q18" i="203"/>
  <c r="E19" i="203"/>
  <c r="F19" i="203"/>
  <c r="L19" i="203"/>
  <c r="M19" i="203"/>
  <c r="P19" i="203"/>
  <c r="Q19" i="203"/>
  <c r="E20" i="203"/>
  <c r="F20" i="203"/>
  <c r="L20" i="203"/>
  <c r="M20" i="203"/>
  <c r="P20" i="203"/>
  <c r="Q20" i="203"/>
  <c r="E21" i="203"/>
  <c r="F21" i="203"/>
  <c r="L21" i="203"/>
  <c r="M21" i="203"/>
  <c r="P21" i="203"/>
  <c r="Q21" i="203"/>
  <c r="E22" i="203"/>
  <c r="F22" i="203"/>
  <c r="L22" i="203"/>
  <c r="M22" i="203"/>
  <c r="P22" i="203"/>
  <c r="Q22" i="203"/>
  <c r="E23" i="203"/>
  <c r="F23" i="203"/>
  <c r="L23" i="203"/>
  <c r="M23" i="203"/>
  <c r="P23" i="203"/>
  <c r="Q23" i="203"/>
  <c r="E24" i="203"/>
  <c r="F24" i="203"/>
  <c r="L24" i="203"/>
  <c r="M24" i="203"/>
  <c r="P24" i="203"/>
  <c r="Q24" i="203"/>
  <c r="E25" i="203"/>
  <c r="F25" i="203"/>
  <c r="L25" i="203"/>
  <c r="M25" i="203"/>
  <c r="P25" i="203"/>
  <c r="Q25" i="203"/>
  <c r="E26" i="203"/>
  <c r="F26" i="203"/>
  <c r="L26" i="203"/>
  <c r="M26" i="203"/>
  <c r="P26" i="203"/>
  <c r="Q26" i="203"/>
  <c r="E27" i="203"/>
  <c r="F27" i="203"/>
  <c r="L27" i="203"/>
  <c r="M27" i="203"/>
  <c r="P27" i="203"/>
  <c r="Q27" i="203"/>
  <c r="E28" i="203"/>
  <c r="F28" i="203"/>
  <c r="E29" i="203"/>
  <c r="F29" i="203"/>
  <c r="L29" i="203"/>
  <c r="M29" i="203"/>
  <c r="P29" i="203"/>
  <c r="Q29" i="203"/>
  <c r="E30" i="203"/>
  <c r="F30" i="203"/>
  <c r="L30" i="203"/>
  <c r="M30" i="203"/>
  <c r="P30" i="203"/>
  <c r="Q30" i="203"/>
  <c r="E31" i="203"/>
  <c r="F31" i="203"/>
  <c r="L31" i="203"/>
  <c r="M31" i="203"/>
  <c r="P31" i="203"/>
  <c r="Q31" i="203"/>
  <c r="E32" i="203"/>
  <c r="F32" i="203"/>
  <c r="L32" i="203"/>
  <c r="M32" i="203"/>
  <c r="P32" i="203"/>
  <c r="Q32" i="203"/>
  <c r="E33" i="203"/>
  <c r="F33" i="203"/>
  <c r="L33" i="203"/>
  <c r="M33" i="203"/>
  <c r="E34" i="203"/>
  <c r="F34" i="203"/>
  <c r="L34" i="203"/>
  <c r="M34" i="203"/>
  <c r="P34" i="203"/>
  <c r="Q34" i="203"/>
  <c r="L35" i="203"/>
  <c r="M35" i="203"/>
  <c r="P35" i="203"/>
  <c r="E36" i="203"/>
  <c r="F36" i="203"/>
  <c r="L36" i="203"/>
  <c r="M36" i="203"/>
  <c r="P36" i="203"/>
  <c r="Q36" i="203"/>
  <c r="E37" i="203"/>
  <c r="F37" i="203"/>
  <c r="L37" i="203"/>
  <c r="M37" i="203"/>
  <c r="P37" i="203"/>
  <c r="Q37" i="203"/>
  <c r="E38" i="203"/>
  <c r="F38" i="203"/>
  <c r="L38" i="203"/>
  <c r="M38" i="203"/>
  <c r="P38" i="203"/>
  <c r="Q38" i="203"/>
  <c r="E39" i="203"/>
  <c r="F39" i="203"/>
  <c r="L39" i="203"/>
  <c r="M39" i="203"/>
  <c r="P39" i="203"/>
  <c r="Q39" i="203"/>
  <c r="E40" i="203"/>
  <c r="F40" i="203"/>
  <c r="L40" i="203"/>
  <c r="M40" i="203"/>
  <c r="P40" i="203"/>
  <c r="Q40" i="203"/>
  <c r="E41" i="203"/>
  <c r="F41" i="203"/>
  <c r="L41" i="203"/>
  <c r="M41" i="203"/>
  <c r="E42" i="203"/>
  <c r="F42" i="203"/>
  <c r="L42" i="203"/>
  <c r="M42" i="203"/>
  <c r="P42" i="203"/>
  <c r="Q42" i="203"/>
  <c r="E43" i="203"/>
  <c r="F43" i="203"/>
  <c r="L43" i="203"/>
  <c r="M43" i="203"/>
  <c r="P43" i="203"/>
  <c r="Q43" i="203"/>
  <c r="E44" i="203"/>
  <c r="F44" i="203"/>
  <c r="L44" i="203"/>
  <c r="M44" i="203"/>
  <c r="P44" i="203"/>
  <c r="Q44" i="203"/>
  <c r="E45" i="203"/>
  <c r="F45" i="203"/>
  <c r="L45" i="203"/>
  <c r="M45" i="203"/>
  <c r="P45" i="203"/>
  <c r="Q45" i="203"/>
  <c r="F8" i="200"/>
  <c r="F9" i="200"/>
  <c r="F10" i="200"/>
  <c r="F11" i="200"/>
  <c r="L8" i="199"/>
  <c r="M8" i="199"/>
  <c r="N8" i="199"/>
  <c r="O8" i="199"/>
  <c r="P8" i="199"/>
  <c r="Q8" i="199"/>
  <c r="L9" i="199"/>
  <c r="M9" i="199"/>
  <c r="N9" i="199"/>
  <c r="O9" i="199"/>
  <c r="P9" i="199"/>
  <c r="Q9" i="199"/>
  <c r="L10" i="199"/>
  <c r="M10" i="199"/>
  <c r="N10" i="199"/>
  <c r="O10" i="199"/>
  <c r="P10" i="199"/>
  <c r="Q10" i="199"/>
  <c r="L11" i="199"/>
  <c r="M11" i="199"/>
  <c r="N11" i="199"/>
  <c r="O11" i="199"/>
  <c r="P11" i="199"/>
  <c r="Q11" i="199"/>
  <c r="J12" i="198"/>
  <c r="K12" i="198"/>
  <c r="L12" i="198"/>
  <c r="M12" i="198"/>
  <c r="L10" i="197"/>
  <c r="L12" i="197"/>
  <c r="L14" i="197"/>
  <c r="L15" i="197"/>
  <c r="L16" i="197"/>
  <c r="L17" i="197"/>
  <c r="L18" i="197"/>
  <c r="L19" i="197"/>
  <c r="L20" i="197"/>
  <c r="L22" i="197"/>
  <c r="L23" i="197"/>
  <c r="L24" i="197"/>
  <c r="L26" i="197"/>
  <c r="L27" i="197"/>
  <c r="L28" i="197"/>
  <c r="L30" i="197"/>
  <c r="L31" i="197"/>
  <c r="L32" i="197"/>
  <c r="L33" i="197"/>
  <c r="L34" i="197"/>
  <c r="L35" i="197"/>
  <c r="L36" i="197"/>
  <c r="L37" i="197"/>
  <c r="L38" i="197"/>
  <c r="L39" i="197"/>
  <c r="L40" i="197"/>
  <c r="L41" i="197"/>
  <c r="L42" i="197"/>
  <c r="L43" i="197"/>
  <c r="L44" i="197"/>
  <c r="L45" i="197"/>
  <c r="L46" i="197"/>
  <c r="L47" i="197"/>
  <c r="L48" i="197"/>
  <c r="L49" i="197"/>
  <c r="L50" i="197"/>
  <c r="L51" i="197"/>
  <c r="L52" i="197"/>
  <c r="L53" i="197"/>
  <c r="L54" i="197"/>
  <c r="L55" i="197"/>
  <c r="L56" i="197"/>
  <c r="L57" i="197"/>
  <c r="L58" i="197"/>
  <c r="L59" i="197"/>
  <c r="L60" i="197"/>
  <c r="L61" i="197"/>
  <c r="L62" i="197"/>
  <c r="L63" i="197"/>
  <c r="L64" i="197"/>
  <c r="L65" i="197"/>
  <c r="L66" i="197"/>
  <c r="L67" i="197"/>
  <c r="L68" i="197"/>
  <c r="L69" i="197"/>
  <c r="L70" i="197"/>
  <c r="L71" i="197"/>
  <c r="L72" i="197"/>
  <c r="L73" i="197"/>
  <c r="L74" i="197"/>
  <c r="L75" i="197"/>
  <c r="L76" i="197"/>
  <c r="L77" i="197"/>
  <c r="L78" i="197"/>
  <c r="L79" i="197"/>
  <c r="L80" i="197"/>
  <c r="L81" i="197"/>
  <c r="L82" i="197"/>
  <c r="L83" i="197"/>
  <c r="L84" i="197"/>
  <c r="L85" i="197"/>
  <c r="L86" i="197"/>
  <c r="L87" i="197"/>
  <c r="L88" i="197"/>
  <c r="L89" i="197"/>
  <c r="L90" i="197"/>
  <c r="L91" i="197"/>
  <c r="L92" i="197"/>
  <c r="L93" i="197"/>
  <c r="L94" i="197"/>
  <c r="L95" i="197"/>
  <c r="L96" i="197"/>
  <c r="L97" i="197"/>
  <c r="L8" i="196"/>
  <c r="M8" i="196"/>
  <c r="L9" i="196"/>
  <c r="M9" i="196"/>
  <c r="L10" i="196"/>
  <c r="M10" i="196"/>
  <c r="L11" i="196"/>
  <c r="M11" i="196"/>
  <c r="L12" i="196"/>
  <c r="M12" i="196"/>
  <c r="L13" i="196"/>
  <c r="M13" i="196"/>
  <c r="L14" i="196"/>
  <c r="M14" i="196"/>
  <c r="L15" i="196"/>
  <c r="M15" i="196"/>
  <c r="M16" i="196"/>
  <c r="L17" i="196"/>
  <c r="M17" i="196"/>
  <c r="L18" i="196"/>
  <c r="M18" i="196"/>
  <c r="L19" i="196"/>
  <c r="M19" i="196"/>
  <c r="L20" i="196"/>
  <c r="M20" i="196"/>
  <c r="L21" i="196"/>
  <c r="M21" i="196"/>
  <c r="L22" i="196"/>
  <c r="M22" i="196"/>
  <c r="L23" i="196"/>
  <c r="M23" i="196"/>
  <c r="L24" i="196"/>
  <c r="M24" i="196"/>
  <c r="L25" i="196"/>
  <c r="M25" i="196"/>
  <c r="L26" i="196"/>
  <c r="M26" i="196"/>
  <c r="L27" i="196"/>
  <c r="M27" i="196"/>
  <c r="L28" i="196"/>
  <c r="M28" i="196"/>
  <c r="L29" i="196"/>
  <c r="M29" i="196"/>
  <c r="L30" i="196"/>
  <c r="M30" i="196"/>
  <c r="L31" i="196"/>
  <c r="M31" i="196"/>
  <c r="L32" i="196"/>
  <c r="M32" i="196"/>
  <c r="L33" i="196"/>
  <c r="M33" i="196"/>
  <c r="L34" i="196"/>
  <c r="M34" i="196"/>
  <c r="L35" i="196"/>
  <c r="M35" i="196"/>
  <c r="L36" i="196"/>
  <c r="M36" i="196"/>
  <c r="L37" i="196"/>
  <c r="M37" i="196"/>
  <c r="L38" i="196"/>
  <c r="M38" i="196"/>
  <c r="L39" i="196"/>
  <c r="M39" i="196"/>
  <c r="B10" i="115"/>
  <c r="C10" i="121"/>
  <c r="MI58" i="9"/>
  <c r="MI68" i="9"/>
  <c r="MI69" i="9"/>
  <c r="KK68" i="9"/>
  <c r="KB68" i="9"/>
  <c r="MI67" i="9"/>
  <c r="KB67" i="9"/>
  <c r="MI66" i="9"/>
  <c r="KB66" i="9"/>
  <c r="MI65" i="9"/>
  <c r="KB65" i="9"/>
  <c r="MI64" i="9"/>
  <c r="KB64" i="9"/>
  <c r="MI63" i="9"/>
  <c r="KB63" i="9"/>
  <c r="MI62" i="9"/>
  <c r="KB62" i="9"/>
  <c r="MI61" i="9"/>
  <c r="KB61" i="9"/>
  <c r="MI60" i="9"/>
  <c r="KB60" i="9"/>
  <c r="MI59" i="9"/>
  <c r="KB59" i="9"/>
  <c r="KB58" i="9"/>
  <c r="MS58" i="9"/>
  <c r="MM58" i="9"/>
  <c r="C9" i="122"/>
  <c r="B4" i="191"/>
  <c r="AM52" i="83" a="1"/>
  <c r="AM58" i="83"/>
  <c r="CS58" i="83"/>
  <c r="BU58" i="83"/>
  <c r="B10" i="116"/>
  <c r="H10" i="121"/>
  <c r="GS58" i="83"/>
  <c r="EF74" i="83" a="1"/>
  <c r="EF74" i="83"/>
  <c r="DF72" i="83" a="1"/>
  <c r="DF74" i="83"/>
  <c r="EF73" i="83"/>
  <c r="DF73" i="83"/>
  <c r="EF72" i="83"/>
  <c r="DF72" i="83"/>
  <c r="EF71" i="83"/>
  <c r="GS70" i="83"/>
  <c r="GS71" i="83"/>
  <c r="EF70" i="83"/>
  <c r="GS69" i="83"/>
  <c r="EF69" i="83"/>
  <c r="GS68" i="83"/>
  <c r="EF68" i="83"/>
  <c r="GS67" i="83"/>
  <c r="EF67" i="83"/>
  <c r="GS66" i="83"/>
  <c r="EF66" i="83"/>
  <c r="GS65" i="83"/>
  <c r="EF65" i="83"/>
  <c r="GS64" i="83"/>
  <c r="EF64" i="83"/>
  <c r="GS63" i="83"/>
  <c r="EF63" i="83"/>
  <c r="GS62" i="83"/>
  <c r="EF62" i="83"/>
  <c r="GS61" i="83"/>
  <c r="EF61" i="83"/>
  <c r="GS60" i="83"/>
  <c r="EF60" i="83"/>
  <c r="GS59" i="83"/>
  <c r="EF59" i="83"/>
  <c r="EF58" i="83"/>
  <c r="GL58" i="83"/>
  <c r="GT58" i="83"/>
  <c r="H9" i="122"/>
  <c r="D4" i="191"/>
  <c r="F4" i="191"/>
  <c r="B11" i="115"/>
  <c r="C11" i="121"/>
  <c r="MS59" i="9"/>
  <c r="MM59" i="9"/>
  <c r="C10" i="122"/>
  <c r="B5" i="191"/>
  <c r="AM59" i="83"/>
  <c r="CS59" i="83"/>
  <c r="BU59" i="83"/>
  <c r="B11" i="116"/>
  <c r="H11" i="121"/>
  <c r="GL59" i="83"/>
  <c r="GT59" i="83"/>
  <c r="H10" i="122"/>
  <c r="D5" i="191"/>
  <c r="F5" i="191"/>
  <c r="B12" i="115"/>
  <c r="C12" i="121"/>
  <c r="MS60" i="9"/>
  <c r="MM60" i="9"/>
  <c r="C11" i="122"/>
  <c r="B6" i="191"/>
  <c r="AM60" i="83"/>
  <c r="CS60" i="83"/>
  <c r="BU60" i="83"/>
  <c r="B12" i="116"/>
  <c r="H12" i="121"/>
  <c r="GL60" i="83"/>
  <c r="GT60" i="83"/>
  <c r="H11" i="122"/>
  <c r="D6" i="191"/>
  <c r="F6" i="191"/>
  <c r="B13" i="115"/>
  <c r="C13" i="121"/>
  <c r="MS61" i="9"/>
  <c r="MM61" i="9"/>
  <c r="C12" i="122"/>
  <c r="B7" i="191"/>
  <c r="AM61" i="83"/>
  <c r="CS61" i="83"/>
  <c r="BU61" i="83"/>
  <c r="B13" i="116"/>
  <c r="H13" i="121"/>
  <c r="GL61" i="83"/>
  <c r="GT61" i="83"/>
  <c r="H12" i="122"/>
  <c r="D7" i="191"/>
  <c r="F7" i="191"/>
  <c r="B14" i="115"/>
  <c r="C14" i="121"/>
  <c r="MS62" i="9"/>
  <c r="MM62" i="9"/>
  <c r="C13" i="122"/>
  <c r="B8" i="191"/>
  <c r="AM62" i="83"/>
  <c r="CS62" i="83"/>
  <c r="BU62" i="83"/>
  <c r="B14" i="116"/>
  <c r="H14" i="121"/>
  <c r="GL62" i="83"/>
  <c r="GT62" i="83"/>
  <c r="H13" i="122"/>
  <c r="D8" i="191"/>
  <c r="F8" i="191"/>
  <c r="B15" i="115"/>
  <c r="C15" i="121"/>
  <c r="MS63" i="9"/>
  <c r="MM63" i="9"/>
  <c r="C14" i="122"/>
  <c r="B9" i="191"/>
  <c r="AM63" i="83"/>
  <c r="CS63" i="83"/>
  <c r="BU63" i="83"/>
  <c r="B15" i="116"/>
  <c r="H15" i="121"/>
  <c r="GL63" i="83"/>
  <c r="GT63" i="83"/>
  <c r="H14" i="122"/>
  <c r="D9" i="191"/>
  <c r="F9" i="191"/>
  <c r="B16" i="115"/>
  <c r="C16" i="121"/>
  <c r="MS64" i="9"/>
  <c r="MM64" i="9"/>
  <c r="C15" i="122"/>
  <c r="B10" i="191"/>
  <c r="AM64" i="83"/>
  <c r="CS64" i="83"/>
  <c r="BU64" i="83"/>
  <c r="B16" i="116"/>
  <c r="H16" i="121"/>
  <c r="GL64" i="83"/>
  <c r="GT64" i="83"/>
  <c r="H15" i="122"/>
  <c r="D10" i="191"/>
  <c r="F10" i="191"/>
  <c r="B17" i="115"/>
  <c r="C17" i="121"/>
  <c r="MS65" i="9"/>
  <c r="MM65" i="9"/>
  <c r="C16" i="122"/>
  <c r="B11" i="191"/>
  <c r="AM65" i="83"/>
  <c r="CS65" i="83"/>
  <c r="BU65" i="83"/>
  <c r="B17" i="116"/>
  <c r="H17" i="121"/>
  <c r="GL65" i="83"/>
  <c r="GT65" i="83"/>
  <c r="H16" i="122"/>
  <c r="D11" i="191"/>
  <c r="F11" i="191"/>
  <c r="B18" i="115"/>
  <c r="C18" i="121"/>
  <c r="MS66" i="9"/>
  <c r="MM66" i="9"/>
  <c r="C17" i="122"/>
  <c r="B12" i="191"/>
  <c r="AM66" i="83"/>
  <c r="CS66" i="83"/>
  <c r="BU66" i="83"/>
  <c r="B18" i="116"/>
  <c r="H18" i="121"/>
  <c r="GL66" i="83"/>
  <c r="GT66" i="83"/>
  <c r="H17" i="122"/>
  <c r="D12" i="191"/>
  <c r="F12" i="191"/>
  <c r="B19" i="115"/>
  <c r="C19" i="121"/>
  <c r="MS67" i="9"/>
  <c r="MM67" i="9"/>
  <c r="C18" i="122"/>
  <c r="B13" i="191"/>
  <c r="AM67" i="83"/>
  <c r="CS67" i="83"/>
  <c r="BU67" i="83"/>
  <c r="B19" i="116"/>
  <c r="H19" i="121"/>
  <c r="GL67" i="83"/>
  <c r="GT67" i="83"/>
  <c r="H18" i="122"/>
  <c r="D13" i="191"/>
  <c r="F13" i="191"/>
  <c r="B20" i="115"/>
  <c r="C20" i="121"/>
  <c r="MS68" i="9"/>
  <c r="MM68" i="9"/>
  <c r="C19" i="122"/>
  <c r="B14" i="191"/>
  <c r="AM68" i="83"/>
  <c r="CS68" i="83"/>
  <c r="BU68" i="83"/>
  <c r="B20" i="116"/>
  <c r="H20" i="121"/>
  <c r="GL68" i="83"/>
  <c r="GT68" i="83"/>
  <c r="H19" i="122"/>
  <c r="D14" i="191"/>
  <c r="F14" i="191"/>
  <c r="B21" i="115"/>
  <c r="C21" i="121"/>
  <c r="MS69" i="9"/>
  <c r="MM69" i="9"/>
  <c r="C20" i="122"/>
  <c r="B15" i="191"/>
  <c r="AM69" i="83"/>
  <c r="CS69" i="83"/>
  <c r="BU69" i="83"/>
  <c r="B21" i="116"/>
  <c r="H21" i="121"/>
  <c r="GL69" i="83"/>
  <c r="GT69" i="83"/>
  <c r="H20" i="122"/>
  <c r="D15" i="191"/>
  <c r="F15" i="191"/>
  <c r="B22" i="115"/>
  <c r="C22" i="121"/>
  <c r="MI70" i="9"/>
  <c r="MS70" i="9"/>
  <c r="MM70" i="9"/>
  <c r="C21" i="122"/>
  <c r="B16" i="191"/>
  <c r="AM70" i="83"/>
  <c r="X52" i="83" a="1"/>
  <c r="X70" i="83"/>
  <c r="AA74" i="83" a="1"/>
  <c r="AA74" i="83"/>
  <c r="AK40" i="83" a="1"/>
  <c r="AK74" i="83"/>
  <c r="AL74" i="83"/>
  <c r="AL70" i="83"/>
  <c r="AK70" i="83"/>
  <c r="AA70" i="83"/>
  <c r="AB40" i="83" a="1"/>
  <c r="AB70" i="83"/>
  <c r="Z70" i="83"/>
  <c r="AC70" i="83"/>
  <c r="CS70" i="83"/>
  <c r="BU70" i="83"/>
  <c r="B22" i="116"/>
  <c r="H22" i="121"/>
  <c r="GL70" i="83"/>
  <c r="GT70" i="83"/>
  <c r="H21" i="122"/>
  <c r="D16" i="191"/>
  <c r="F16" i="191"/>
  <c r="B23" i="115"/>
  <c r="C23" i="121"/>
  <c r="MI71" i="9"/>
  <c r="MS71" i="9"/>
  <c r="MM71" i="9"/>
  <c r="C22" i="122"/>
  <c r="B17" i="191"/>
  <c r="AM71" i="83"/>
  <c r="X71" i="83"/>
  <c r="AL71" i="83"/>
  <c r="AK71" i="83"/>
  <c r="AA71" i="83"/>
  <c r="AB71" i="83"/>
  <c r="Z71" i="83"/>
  <c r="AC71" i="83"/>
  <c r="CS71" i="83"/>
  <c r="BU71" i="83"/>
  <c r="B23" i="116"/>
  <c r="H23" i="121"/>
  <c r="GL71" i="83"/>
  <c r="GT71" i="83"/>
  <c r="H22" i="122"/>
  <c r="D17" i="191"/>
  <c r="F17" i="191"/>
  <c r="B24" i="115"/>
  <c r="C24" i="121"/>
  <c r="MI72" i="9"/>
  <c r="MS72" i="9"/>
  <c r="MM72" i="9"/>
  <c r="C23" i="122"/>
  <c r="B18" i="191"/>
  <c r="AM72" i="83" a="1"/>
  <c r="AM72" i="83"/>
  <c r="X72" i="83"/>
  <c r="AL72" i="83"/>
  <c r="AK72" i="83"/>
  <c r="AA72" i="83"/>
  <c r="AB72" i="83"/>
  <c r="Z72" i="83"/>
  <c r="AC72" i="83"/>
  <c r="CS72" i="83"/>
  <c r="BU72" i="83"/>
  <c r="B24" i="116"/>
  <c r="H24" i="121"/>
  <c r="GS72" i="83"/>
  <c r="GL72" i="83"/>
  <c r="GT72" i="83"/>
  <c r="H23" i="122"/>
  <c r="D18" i="191"/>
  <c r="F18" i="191"/>
  <c r="B25" i="115"/>
  <c r="C25" i="121"/>
  <c r="MI73" i="9"/>
  <c r="MS73" i="9"/>
  <c r="MM73" i="9"/>
  <c r="C24" i="122"/>
  <c r="B19" i="191"/>
  <c r="AM73" i="83"/>
  <c r="X73" i="83"/>
  <c r="AL73" i="83"/>
  <c r="AK73" i="83"/>
  <c r="AA73" i="83"/>
  <c r="AB73" i="83"/>
  <c r="Z73" i="83"/>
  <c r="AC73" i="83"/>
  <c r="CS73" i="83"/>
  <c r="BU73" i="83"/>
  <c r="B25" i="116"/>
  <c r="H25" i="121"/>
  <c r="GS73" i="83"/>
  <c r="GL73" i="83"/>
  <c r="GT73" i="83"/>
  <c r="H24" i="122"/>
  <c r="D19" i="191"/>
  <c r="F19" i="191"/>
  <c r="DI74" i="9" a="1"/>
  <c r="DI74" i="9"/>
  <c r="CP74" i="9" a="1"/>
  <c r="CP74" i="9"/>
  <c r="FW74" i="9"/>
  <c r="ER74" i="9"/>
  <c r="B26" i="115"/>
  <c r="C26" i="121"/>
  <c r="MI74" i="9"/>
  <c r="MS74" i="9"/>
  <c r="MM74" i="9"/>
  <c r="C25" i="122"/>
  <c r="B20" i="191"/>
  <c r="AM74" i="83"/>
  <c r="CS74" i="83" a="1"/>
  <c r="CS74" i="83"/>
  <c r="BU74" i="83"/>
  <c r="B26" i="116"/>
  <c r="H26" i="121"/>
  <c r="GS74" i="83"/>
  <c r="GL74" i="83"/>
  <c r="GT74" i="83"/>
  <c r="H25" i="122"/>
  <c r="D20" i="191"/>
  <c r="F20" i="191"/>
  <c r="DI75" i="9"/>
  <c r="CP75" i="9"/>
  <c r="FW75" i="9"/>
  <c r="ER75" i="9"/>
  <c r="B27" i="115"/>
  <c r="C27" i="121"/>
  <c r="MI75" i="9"/>
  <c r="KB75" i="9"/>
  <c r="MS75" i="9"/>
  <c r="MM75" i="9"/>
  <c r="C26" i="122"/>
  <c r="B21" i="191"/>
  <c r="AM75" i="83"/>
  <c r="CS75" i="83"/>
  <c r="BU75" i="83"/>
  <c r="B27" i="116"/>
  <c r="H27" i="121"/>
  <c r="GS75" i="83"/>
  <c r="EF75" i="83"/>
  <c r="GL75" i="83"/>
  <c r="GT75" i="83"/>
  <c r="H26" i="122"/>
  <c r="D21" i="191"/>
  <c r="F21" i="191"/>
  <c r="DI76" i="9"/>
  <c r="CP76" i="9"/>
  <c r="FW76" i="9"/>
  <c r="ER76" i="9"/>
  <c r="B28" i="115"/>
  <c r="C28" i="121"/>
  <c r="MI76" i="9"/>
  <c r="KB76" i="9"/>
  <c r="MS76" i="9"/>
  <c r="MM76" i="9"/>
  <c r="C27" i="122"/>
  <c r="B22" i="191"/>
  <c r="AM76" i="83"/>
  <c r="CS76" i="83"/>
  <c r="BU76" i="83"/>
  <c r="B28" i="116"/>
  <c r="H28" i="121"/>
  <c r="GS76" i="83"/>
  <c r="EF76" i="83"/>
  <c r="GL76" i="83"/>
  <c r="GT76" i="83"/>
  <c r="H27" i="122"/>
  <c r="D22" i="191"/>
  <c r="F22" i="191"/>
  <c r="DI77" i="9"/>
  <c r="CP77" i="9"/>
  <c r="FW77" i="9"/>
  <c r="ER77" i="9"/>
  <c r="B29" i="115"/>
  <c r="C29" i="121"/>
  <c r="MI77" i="9"/>
  <c r="KB77" i="9"/>
  <c r="MS77" i="9"/>
  <c r="MM77" i="9"/>
  <c r="C28" i="122"/>
  <c r="B23" i="191"/>
  <c r="AM77" i="83"/>
  <c r="CS77" i="83"/>
  <c r="BU77" i="83"/>
  <c r="B29" i="116"/>
  <c r="H29" i="121"/>
  <c r="GS77" i="83"/>
  <c r="EF77" i="83"/>
  <c r="GL77" i="83"/>
  <c r="GT77" i="83"/>
  <c r="H28" i="122"/>
  <c r="D23" i="191"/>
  <c r="F23" i="191"/>
  <c r="DI78" i="9"/>
  <c r="CP78" i="9"/>
  <c r="FW78" i="9"/>
  <c r="ER78" i="9"/>
  <c r="B30" i="115"/>
  <c r="C30" i="121"/>
  <c r="MI78" i="9"/>
  <c r="KB78" i="9"/>
  <c r="MS78" i="9"/>
  <c r="MM78" i="9"/>
  <c r="C29" i="122"/>
  <c r="B24" i="191"/>
  <c r="AM78" i="83"/>
  <c r="CS78" i="83"/>
  <c r="BU78" i="83"/>
  <c r="B30" i="116"/>
  <c r="H30" i="121"/>
  <c r="GS78" i="83"/>
  <c r="EF78" i="83"/>
  <c r="GL78" i="83"/>
  <c r="GT78" i="83"/>
  <c r="H29" i="122"/>
  <c r="D24" i="191"/>
  <c r="F24" i="191"/>
  <c r="DI79" i="9"/>
  <c r="CP79" i="9"/>
  <c r="FW79" i="9"/>
  <c r="ER79" i="9"/>
  <c r="B31" i="115"/>
  <c r="C31" i="121"/>
  <c r="MI79" i="9"/>
  <c r="KB79" i="9"/>
  <c r="MS79" i="9"/>
  <c r="MM79" i="9"/>
  <c r="C30" i="122"/>
  <c r="B25" i="191"/>
  <c r="AM79" i="83"/>
  <c r="CS79" i="83"/>
  <c r="BU79" i="83"/>
  <c r="B31" i="116"/>
  <c r="H31" i="121"/>
  <c r="GS79" i="83"/>
  <c r="EF79" i="83"/>
  <c r="GL79" i="83"/>
  <c r="GT79" i="83"/>
  <c r="H30" i="122"/>
  <c r="D25" i="191"/>
  <c r="F25" i="191"/>
  <c r="DI80" i="9"/>
  <c r="CP80" i="9"/>
  <c r="FW80" i="9"/>
  <c r="ER80" i="9"/>
  <c r="B32" i="115"/>
  <c r="C32" i="121"/>
  <c r="MI80" i="9"/>
  <c r="KB80" i="9"/>
  <c r="MS80" i="9"/>
  <c r="MM80" i="9"/>
  <c r="C31" i="122"/>
  <c r="B26" i="191"/>
  <c r="AM80" i="83"/>
  <c r="CS80" i="83"/>
  <c r="BU80" i="83"/>
  <c r="B32" i="116"/>
  <c r="H32" i="121"/>
  <c r="GS80" i="83"/>
  <c r="EF80" i="83"/>
  <c r="GL80" i="83"/>
  <c r="GT80" i="83"/>
  <c r="H31" i="122"/>
  <c r="D26" i="191"/>
  <c r="F26" i="191"/>
  <c r="DI81" i="9"/>
  <c r="CP81" i="9"/>
  <c r="FW81" i="9"/>
  <c r="ER81" i="9"/>
  <c r="B33" i="115"/>
  <c r="C33" i="121"/>
  <c r="MI81" i="9"/>
  <c r="KB81" i="9"/>
  <c r="MS81" i="9"/>
  <c r="MM81" i="9"/>
  <c r="C32" i="122"/>
  <c r="B27" i="191"/>
  <c r="AM81" i="83"/>
  <c r="CS81" i="83"/>
  <c r="BU81" i="83"/>
  <c r="B33" i="116"/>
  <c r="H33" i="121"/>
  <c r="GS81" i="83"/>
  <c r="EF81" i="83"/>
  <c r="GL81" i="83"/>
  <c r="GT81" i="83"/>
  <c r="H32" i="122"/>
  <c r="D27" i="191"/>
  <c r="F27" i="191"/>
  <c r="DI82" i="9"/>
  <c r="CP82" i="9"/>
  <c r="FW82" i="9"/>
  <c r="ER82" i="9"/>
  <c r="B34" i="115"/>
  <c r="C34" i="121"/>
  <c r="MI82" i="9"/>
  <c r="KB82" i="9"/>
  <c r="MS82" i="9"/>
  <c r="MM82" i="9"/>
  <c r="C33" i="122"/>
  <c r="B28" i="191"/>
  <c r="AM82" i="83"/>
  <c r="CS82" i="83"/>
  <c r="BU82" i="83"/>
  <c r="B34" i="116"/>
  <c r="H34" i="121"/>
  <c r="GS82" i="83"/>
  <c r="EF82" i="83"/>
  <c r="GL82" i="83"/>
  <c r="GT82" i="83"/>
  <c r="H33" i="122"/>
  <c r="D28" i="191"/>
  <c r="F28" i="191"/>
  <c r="DI83" i="9"/>
  <c r="CP83" i="9"/>
  <c r="FW83" i="9"/>
  <c r="ER83" i="9"/>
  <c r="B35" i="115"/>
  <c r="C35" i="121"/>
  <c r="MI83" i="9"/>
  <c r="KB83" i="9"/>
  <c r="MS83" i="9"/>
  <c r="MM83" i="9"/>
  <c r="C34" i="122"/>
  <c r="B29" i="191"/>
  <c r="AM83" i="83"/>
  <c r="CS83" i="83"/>
  <c r="BU83" i="83"/>
  <c r="B35" i="116"/>
  <c r="H35" i="121"/>
  <c r="GS83" i="83"/>
  <c r="EF83" i="83"/>
  <c r="GL83" i="83"/>
  <c r="GT83" i="83"/>
  <c r="H34" i="122"/>
  <c r="D29" i="191"/>
  <c r="F29" i="191"/>
  <c r="DI84" i="9"/>
  <c r="CP84" i="9"/>
  <c r="FW84" i="9"/>
  <c r="ER84" i="9"/>
  <c r="B36" i="115"/>
  <c r="C36" i="121"/>
  <c r="MI84" i="9"/>
  <c r="KB84" i="9"/>
  <c r="MS84" i="9"/>
  <c r="MM84" i="9"/>
  <c r="C35" i="122"/>
  <c r="B30" i="191"/>
  <c r="AM84" i="83"/>
  <c r="CS84" i="83"/>
  <c r="BU84" i="83"/>
  <c r="B36" i="116"/>
  <c r="H36" i="121"/>
  <c r="GS84" i="83"/>
  <c r="EF84" i="83"/>
  <c r="GL84" i="83"/>
  <c r="GT84" i="83"/>
  <c r="H35" i="122"/>
  <c r="D30" i="191"/>
  <c r="F30" i="191"/>
  <c r="DI85" i="9"/>
  <c r="CP85" i="9"/>
  <c r="FW85" i="9"/>
  <c r="ER85" i="9"/>
  <c r="B37" i="115"/>
  <c r="C37" i="121"/>
  <c r="MI85" i="9"/>
  <c r="KB85" i="9"/>
  <c r="MS85" i="9"/>
  <c r="MM85" i="9"/>
  <c r="C36" i="122"/>
  <c r="B31" i="191"/>
  <c r="AM85" i="83"/>
  <c r="CS85" i="83"/>
  <c r="BU85" i="83"/>
  <c r="B37" i="116"/>
  <c r="H37" i="121"/>
  <c r="GS85" i="83"/>
  <c r="EF85" i="83"/>
  <c r="GL85" i="83"/>
  <c r="GT85" i="83"/>
  <c r="H36" i="122"/>
  <c r="D31" i="191"/>
  <c r="F31" i="191"/>
  <c r="DI86" i="9"/>
  <c r="CP86" i="9"/>
  <c r="FW86" i="9"/>
  <c r="ER86" i="9"/>
  <c r="B38" i="115"/>
  <c r="C38" i="121"/>
  <c r="MI86" i="9"/>
  <c r="KB86" i="9"/>
  <c r="MS86" i="9"/>
  <c r="MM86" i="9"/>
  <c r="C37" i="122"/>
  <c r="B32" i="191"/>
  <c r="AM86" i="83"/>
  <c r="CS86" i="83"/>
  <c r="BU86" i="83"/>
  <c r="B38" i="116"/>
  <c r="H38" i="121"/>
  <c r="GS86" i="83"/>
  <c r="EF86" i="83"/>
  <c r="GL86" i="83"/>
  <c r="GT86" i="83"/>
  <c r="H37" i="122"/>
  <c r="D32" i="191"/>
  <c r="F32" i="191"/>
  <c r="DI87" i="9"/>
  <c r="CP87" i="9"/>
  <c r="FW87" i="9"/>
  <c r="ER87" i="9"/>
  <c r="B39" i="115"/>
  <c r="C39" i="121"/>
  <c r="MI87" i="9"/>
  <c r="KB87" i="9"/>
  <c r="MS87" i="9"/>
  <c r="MM87" i="9"/>
  <c r="C38" i="122"/>
  <c r="B33" i="191"/>
  <c r="AM87" i="83"/>
  <c r="CS87" i="83"/>
  <c r="BU87" i="83"/>
  <c r="B39" i="116"/>
  <c r="H39" i="121"/>
  <c r="GS87" i="83"/>
  <c r="EF87" i="83"/>
  <c r="GL87" i="83"/>
  <c r="GT87" i="83"/>
  <c r="H38" i="122"/>
  <c r="D33" i="191"/>
  <c r="F33" i="191"/>
  <c r="DI88" i="9"/>
  <c r="CP88" i="9"/>
  <c r="FW88" i="9"/>
  <c r="ER88" i="9"/>
  <c r="B40" i="115"/>
  <c r="C40" i="121"/>
  <c r="MI88" i="9"/>
  <c r="KB88" i="9"/>
  <c r="MS88" i="9"/>
  <c r="MM88" i="9"/>
  <c r="C39" i="122"/>
  <c r="B34" i="191"/>
  <c r="AM88" i="83"/>
  <c r="CS88" i="83"/>
  <c r="BU88" i="83"/>
  <c r="B40" i="116"/>
  <c r="H40" i="121"/>
  <c r="GS88" i="83"/>
  <c r="EF88" i="83"/>
  <c r="GL88" i="83"/>
  <c r="GT88" i="83"/>
  <c r="H39" i="122"/>
  <c r="D34" i="191"/>
  <c r="F34" i="191"/>
  <c r="DI89" i="9"/>
  <c r="CP89" i="9"/>
  <c r="FW89" i="9"/>
  <c r="ER89" i="9"/>
  <c r="B41" i="115"/>
  <c r="C41" i="121"/>
  <c r="MI89" i="9"/>
  <c r="KB89" i="9"/>
  <c r="MS89" i="9"/>
  <c r="MM89" i="9"/>
  <c r="C40" i="122"/>
  <c r="B35" i="191"/>
  <c r="AM89" i="83"/>
  <c r="CS89" i="83"/>
  <c r="BU89" i="83"/>
  <c r="B41" i="116"/>
  <c r="H41" i="121"/>
  <c r="GS89" i="83"/>
  <c r="EF89" i="83"/>
  <c r="GL89" i="83"/>
  <c r="GT89" i="83"/>
  <c r="H40" i="122"/>
  <c r="D35" i="191"/>
  <c r="F35" i="191"/>
  <c r="DI90" i="9"/>
  <c r="CP90" i="9"/>
  <c r="FW90" i="9"/>
  <c r="ER90" i="9"/>
  <c r="B42" i="115"/>
  <c r="C42" i="121"/>
  <c r="MI90" i="9"/>
  <c r="KB90" i="9"/>
  <c r="MS90" i="9"/>
  <c r="MM90" i="9"/>
  <c r="C41" i="122"/>
  <c r="B36" i="191"/>
  <c r="AM90" i="83"/>
  <c r="CS90" i="83"/>
  <c r="BU90" i="83"/>
  <c r="B42" i="116"/>
  <c r="H42" i="121"/>
  <c r="GS90" i="83"/>
  <c r="EF90" i="83"/>
  <c r="GL90" i="83"/>
  <c r="GT90" i="83"/>
  <c r="H41" i="122"/>
  <c r="D36" i="191"/>
  <c r="F36" i="191"/>
  <c r="DI91" i="9"/>
  <c r="CP91" i="9"/>
  <c r="FW91" i="9"/>
  <c r="ER91" i="9"/>
  <c r="B43" i="115"/>
  <c r="C43" i="121"/>
  <c r="MI91" i="9"/>
  <c r="KB91" i="9"/>
  <c r="MS91" i="9"/>
  <c r="MM91" i="9"/>
  <c r="C42" i="122"/>
  <c r="B37" i="191"/>
  <c r="AM91" i="83"/>
  <c r="CS91" i="83"/>
  <c r="BU91" i="83"/>
  <c r="B43" i="116"/>
  <c r="H43" i="121"/>
  <c r="GS91" i="83"/>
  <c r="EF91" i="83"/>
  <c r="GL91" i="83"/>
  <c r="GT91" i="83"/>
  <c r="H42" i="122"/>
  <c r="D37" i="191"/>
  <c r="F37" i="191"/>
  <c r="DI92" i="9"/>
  <c r="CP92" i="9"/>
  <c r="FW92" i="9"/>
  <c r="ER92" i="9"/>
  <c r="B44" i="115"/>
  <c r="C44" i="121"/>
  <c r="MI92" i="9"/>
  <c r="KB92" i="9"/>
  <c r="MS92" i="9"/>
  <c r="MM92" i="9"/>
  <c r="C43" i="122"/>
  <c r="B38" i="191"/>
  <c r="AM92" i="83"/>
  <c r="CS92" i="83"/>
  <c r="BU92" i="83"/>
  <c r="B44" i="116"/>
  <c r="H44" i="121"/>
  <c r="GS92" i="83"/>
  <c r="EF92" i="83"/>
  <c r="GL92" i="83"/>
  <c r="GT92" i="83"/>
  <c r="H43" i="122"/>
  <c r="D38" i="191"/>
  <c r="F38" i="191"/>
  <c r="DI93" i="9"/>
  <c r="CP93" i="9"/>
  <c r="FW93" i="9"/>
  <c r="ER93" i="9"/>
  <c r="B45" i="115"/>
  <c r="C45" i="121"/>
  <c r="MI93" i="9"/>
  <c r="KB93" i="9"/>
  <c r="MS93" i="9"/>
  <c r="MM93" i="9"/>
  <c r="C44" i="122"/>
  <c r="B39" i="191"/>
  <c r="AM93" i="83"/>
  <c r="CS93" i="83"/>
  <c r="BU93" i="83"/>
  <c r="B45" i="116"/>
  <c r="H45" i="121"/>
  <c r="GS93" i="83"/>
  <c r="EF93" i="83"/>
  <c r="GL93" i="83"/>
  <c r="GT93" i="83"/>
  <c r="H44" i="122"/>
  <c r="D39" i="191"/>
  <c r="F39" i="191"/>
  <c r="DI94" i="9"/>
  <c r="CP94" i="9"/>
  <c r="FW94" i="9"/>
  <c r="ER94" i="9"/>
  <c r="B46" i="115"/>
  <c r="C46" i="121"/>
  <c r="MI94" i="9"/>
  <c r="KB94" i="9"/>
  <c r="MS94" i="9"/>
  <c r="MM94" i="9"/>
  <c r="C45" i="122"/>
  <c r="B40" i="191"/>
  <c r="AM94" i="83"/>
  <c r="CS94" i="83"/>
  <c r="BU94" i="83"/>
  <c r="B46" i="116"/>
  <c r="H46" i="121"/>
  <c r="GS94" i="83"/>
  <c r="EF94" i="83"/>
  <c r="GL94" i="83"/>
  <c r="GT94" i="83"/>
  <c r="H45" i="122"/>
  <c r="D40" i="191"/>
  <c r="F40" i="191"/>
  <c r="DI95" i="9"/>
  <c r="CP95" i="9"/>
  <c r="FW95" i="9"/>
  <c r="ER95" i="9"/>
  <c r="B47" i="115"/>
  <c r="C47" i="121"/>
  <c r="MI95" i="9"/>
  <c r="KB95" i="9"/>
  <c r="MS95" i="9"/>
  <c r="MM95" i="9"/>
  <c r="C46" i="122"/>
  <c r="B41" i="191"/>
  <c r="AM95" i="83"/>
  <c r="CS95" i="83"/>
  <c r="BU95" i="83"/>
  <c r="B47" i="116"/>
  <c r="H47" i="121"/>
  <c r="GS95" i="83"/>
  <c r="EF95" i="83"/>
  <c r="GL95" i="83"/>
  <c r="GT95" i="83"/>
  <c r="H46" i="122"/>
  <c r="D41" i="191"/>
  <c r="F41" i="191"/>
  <c r="DI96" i="9"/>
  <c r="CP96" i="9"/>
  <c r="FW96" i="9"/>
  <c r="ER96" i="9"/>
  <c r="B48" i="115"/>
  <c r="C48" i="121"/>
  <c r="MI96" i="9"/>
  <c r="KB96" i="9"/>
  <c r="MS96" i="9"/>
  <c r="MM96" i="9"/>
  <c r="C47" i="122"/>
  <c r="B42" i="191"/>
  <c r="AM96" i="83"/>
  <c r="CS96" i="83"/>
  <c r="BU96" i="83"/>
  <c r="B48" i="116"/>
  <c r="H48" i="121"/>
  <c r="GS96" i="83"/>
  <c r="EF96" i="83"/>
  <c r="GL96" i="83"/>
  <c r="GT96" i="83"/>
  <c r="H47" i="122"/>
  <c r="D42" i="191"/>
  <c r="F42" i="191"/>
  <c r="DI97" i="9"/>
  <c r="CP97" i="9"/>
  <c r="FW97" i="9"/>
  <c r="ER97" i="9"/>
  <c r="B49" i="115"/>
  <c r="C49" i="121"/>
  <c r="MI97" i="9"/>
  <c r="KB97" i="9"/>
  <c r="MS97" i="9"/>
  <c r="MM97" i="9"/>
  <c r="C48" i="122"/>
  <c r="B43" i="191"/>
  <c r="AM97" i="83"/>
  <c r="CS97" i="83"/>
  <c r="BU97" i="83"/>
  <c r="B49" i="116"/>
  <c r="H49" i="121"/>
  <c r="GS97" i="83"/>
  <c r="EF97" i="83"/>
  <c r="GL97" i="83"/>
  <c r="GT97" i="83"/>
  <c r="H48" i="122"/>
  <c r="D43" i="191"/>
  <c r="F43" i="191"/>
  <c r="DI98" i="9"/>
  <c r="CP98" i="9"/>
  <c r="FW98" i="9"/>
  <c r="ER98" i="9"/>
  <c r="B50" i="115"/>
  <c r="C50" i="121"/>
  <c r="MI98" i="9"/>
  <c r="KB98" i="9"/>
  <c r="MS98" i="9"/>
  <c r="MM98" i="9"/>
  <c r="C49" i="122"/>
  <c r="B44" i="191"/>
  <c r="AM98" i="83"/>
  <c r="CS98" i="83"/>
  <c r="BU98" i="83"/>
  <c r="B50" i="116"/>
  <c r="H50" i="121"/>
  <c r="GS98" i="83"/>
  <c r="EF98" i="83"/>
  <c r="GL98" i="83"/>
  <c r="GT98" i="83"/>
  <c r="H49" i="122"/>
  <c r="D44" i="191"/>
  <c r="F44" i="191"/>
  <c r="DI99" i="9"/>
  <c r="CP99" i="9"/>
  <c r="FW99" i="9"/>
  <c r="ER99" i="9"/>
  <c r="B51" i="115"/>
  <c r="C51" i="121"/>
  <c r="MI99" i="9"/>
  <c r="KB99" i="9"/>
  <c r="MS99" i="9"/>
  <c r="MM99" i="9"/>
  <c r="C50" i="122"/>
  <c r="B45" i="191"/>
  <c r="AM99" i="83"/>
  <c r="CS99" i="83"/>
  <c r="BU99" i="83"/>
  <c r="B51" i="116"/>
  <c r="H51" i="121"/>
  <c r="GS99" i="83"/>
  <c r="EF99" i="83"/>
  <c r="GL99" i="83"/>
  <c r="GT99" i="83"/>
  <c r="H50" i="122"/>
  <c r="D45" i="191"/>
  <c r="F45" i="191"/>
  <c r="DI100" i="9"/>
  <c r="CP100" i="9"/>
  <c r="FW100" i="9"/>
  <c r="ER100" i="9"/>
  <c r="B52" i="115"/>
  <c r="C52" i="121"/>
  <c r="MI100" i="9"/>
  <c r="KB100" i="9"/>
  <c r="MS100" i="9"/>
  <c r="MM100" i="9"/>
  <c r="C51" i="122"/>
  <c r="B46" i="191"/>
  <c r="AM100" i="83"/>
  <c r="CS100" i="83"/>
  <c r="BU100" i="83"/>
  <c r="B52" i="116"/>
  <c r="H52" i="121"/>
  <c r="GS100" i="83"/>
  <c r="EF100" i="83"/>
  <c r="GL100" i="83"/>
  <c r="GT100" i="83"/>
  <c r="H51" i="122"/>
  <c r="D46" i="191"/>
  <c r="F46" i="191"/>
  <c r="DI101" i="9"/>
  <c r="CP101" i="9"/>
  <c r="FW101" i="9"/>
  <c r="ER101" i="9"/>
  <c r="B53" i="115"/>
  <c r="C53" i="121"/>
  <c r="MI101" i="9"/>
  <c r="KB101" i="9"/>
  <c r="MS101" i="9"/>
  <c r="MM101" i="9"/>
  <c r="C52" i="122"/>
  <c r="B47" i="191"/>
  <c r="AM101" i="83"/>
  <c r="CS101" i="83"/>
  <c r="BU101" i="83"/>
  <c r="B53" i="116"/>
  <c r="H53" i="121"/>
  <c r="GS101" i="83"/>
  <c r="EF101" i="83"/>
  <c r="GL101" i="83"/>
  <c r="GT101" i="83"/>
  <c r="H52" i="122"/>
  <c r="D47" i="191"/>
  <c r="F47" i="191"/>
  <c r="DI102" i="9"/>
  <c r="CP102" i="9"/>
  <c r="FW102" i="9"/>
  <c r="ER102" i="9"/>
  <c r="B54" i="115"/>
  <c r="C54" i="121"/>
  <c r="MI102" i="9"/>
  <c r="KB102" i="9"/>
  <c r="MS102" i="9"/>
  <c r="MM102" i="9"/>
  <c r="C53" i="122"/>
  <c r="B48" i="191"/>
  <c r="AM102" i="83"/>
  <c r="CS102" i="83"/>
  <c r="BU102" i="83"/>
  <c r="B54" i="116"/>
  <c r="H54" i="121"/>
  <c r="GS102" i="83"/>
  <c r="EF102" i="83"/>
  <c r="GL102" i="83"/>
  <c r="GT102" i="83"/>
  <c r="H53" i="122"/>
  <c r="D48" i="191"/>
  <c r="F48" i="191"/>
  <c r="DI103" i="9"/>
  <c r="CP103" i="9"/>
  <c r="FW103" i="9"/>
  <c r="ER103" i="9"/>
  <c r="B55" i="115"/>
  <c r="C55" i="121"/>
  <c r="MI103" i="9"/>
  <c r="KB103" i="9"/>
  <c r="MS103" i="9"/>
  <c r="MM103" i="9"/>
  <c r="C54" i="122"/>
  <c r="B49" i="191"/>
  <c r="AM103" i="83"/>
  <c r="CS103" i="83"/>
  <c r="BU103" i="83"/>
  <c r="B55" i="116"/>
  <c r="H55" i="121"/>
  <c r="GS103" i="83"/>
  <c r="EF103" i="83"/>
  <c r="GL103" i="83"/>
  <c r="GT103" i="83"/>
  <c r="H54" i="122"/>
  <c r="D49" i="191"/>
  <c r="F49" i="191"/>
  <c r="DI104" i="9"/>
  <c r="CP104" i="9"/>
  <c r="FW104" i="9"/>
  <c r="ER104" i="9"/>
  <c r="B56" i="115"/>
  <c r="C56" i="121"/>
  <c r="MI104" i="9"/>
  <c r="KB104" i="9"/>
  <c r="MS104" i="9"/>
  <c r="MM104" i="9"/>
  <c r="C55" i="122"/>
  <c r="B50" i="191"/>
  <c r="AM104" i="83"/>
  <c r="CS104" i="83"/>
  <c r="BU104" i="83"/>
  <c r="B56" i="116"/>
  <c r="H56" i="121"/>
  <c r="GS104" i="83"/>
  <c r="EF104" i="83"/>
  <c r="GL104" i="83"/>
  <c r="GT104" i="83"/>
  <c r="H55" i="122"/>
  <c r="D50" i="191"/>
  <c r="F50" i="191"/>
  <c r="DI105" i="9"/>
  <c r="CP105" i="9"/>
  <c r="FW105" i="9"/>
  <c r="ER105" i="9"/>
  <c r="B57" i="115"/>
  <c r="C57" i="121"/>
  <c r="MI105" i="9"/>
  <c r="KB105" i="9"/>
  <c r="MS105" i="9"/>
  <c r="MM105" i="9"/>
  <c r="C56" i="122"/>
  <c r="B51" i="191"/>
  <c r="AM105" i="83"/>
  <c r="CS105" i="83"/>
  <c r="BU105" i="83"/>
  <c r="B57" i="116"/>
  <c r="H57" i="121"/>
  <c r="GS105" i="83"/>
  <c r="EF105" i="83"/>
  <c r="GL105" i="83"/>
  <c r="GT105" i="83"/>
  <c r="H56" i="122"/>
  <c r="D51" i="191"/>
  <c r="F51" i="191"/>
  <c r="DI106" i="9"/>
  <c r="CP106" i="9"/>
  <c r="FW106" i="9"/>
  <c r="ER106" i="9"/>
  <c r="B58" i="115"/>
  <c r="C58" i="121"/>
  <c r="MI106" i="9"/>
  <c r="KB106" i="9"/>
  <c r="MS106" i="9"/>
  <c r="MM106" i="9"/>
  <c r="C57" i="122"/>
  <c r="B52" i="191"/>
  <c r="AM106" i="83"/>
  <c r="CS106" i="83"/>
  <c r="BU106" i="83"/>
  <c r="B58" i="116"/>
  <c r="H58" i="121"/>
  <c r="GS106" i="83"/>
  <c r="EF106" i="83"/>
  <c r="GL106" i="83"/>
  <c r="GT106" i="83"/>
  <c r="H57" i="122"/>
  <c r="D52" i="191"/>
  <c r="F52" i="191"/>
  <c r="DI107" i="9"/>
  <c r="CP107" i="9"/>
  <c r="FW107" i="9"/>
  <c r="ER107" i="9"/>
  <c r="C59" i="121"/>
  <c r="MI107" i="9"/>
  <c r="KB107" i="9"/>
  <c r="MS107" i="9"/>
  <c r="MM107" i="9"/>
  <c r="C58" i="122"/>
  <c r="B53" i="191"/>
  <c r="AM107" i="83"/>
  <c r="CS107" i="83"/>
  <c r="BU107" i="83"/>
  <c r="B59" i="116"/>
  <c r="H59" i="121"/>
  <c r="GS107" i="83"/>
  <c r="EF107" i="83"/>
  <c r="GL107" i="83"/>
  <c r="GT107" i="83"/>
  <c r="H58" i="122"/>
  <c r="D53" i="191"/>
  <c r="F53" i="191"/>
  <c r="DI108" i="9"/>
  <c r="CP108" i="9"/>
  <c r="FW108" i="9"/>
  <c r="ER108" i="9"/>
  <c r="C60" i="121"/>
  <c r="MI108" i="9"/>
  <c r="KB108" i="9"/>
  <c r="MS108" i="9"/>
  <c r="MM108" i="9"/>
  <c r="C59" i="122"/>
  <c r="B54" i="191"/>
  <c r="AM108" i="83"/>
  <c r="CS108" i="83"/>
  <c r="BU108" i="83"/>
  <c r="B60" i="116"/>
  <c r="H60" i="121"/>
  <c r="GS108" i="83"/>
  <c r="EF108" i="83"/>
  <c r="GL108" i="83"/>
  <c r="GT108" i="83"/>
  <c r="H59" i="122"/>
  <c r="D54" i="191"/>
  <c r="F54" i="191"/>
  <c r="F57" i="191"/>
  <c r="L59" i="166"/>
  <c r="G54" i="191"/>
  <c r="H59" i="166"/>
  <c r="AH74" i="83" a="1"/>
  <c r="AH108" i="83"/>
  <c r="I59" i="166"/>
  <c r="J59" i="166"/>
  <c r="K59" i="166"/>
  <c r="G59" i="166"/>
  <c r="E54" i="191"/>
  <c r="C59" i="166"/>
  <c r="CU74" i="9" a="1"/>
  <c r="CU108" i="9"/>
  <c r="D59" i="166"/>
  <c r="E59" i="166"/>
  <c r="F59" i="166"/>
  <c r="B59" i="166"/>
  <c r="C54" i="191"/>
  <c r="L58" i="166"/>
  <c r="G53" i="191"/>
  <c r="H58" i="166"/>
  <c r="AH107" i="83"/>
  <c r="I58" i="166"/>
  <c r="J58" i="166"/>
  <c r="K58" i="166"/>
  <c r="G58" i="166"/>
  <c r="E53" i="191"/>
  <c r="C58" i="166"/>
  <c r="CU107" i="9"/>
  <c r="D58" i="166"/>
  <c r="E58" i="166"/>
  <c r="F58" i="166"/>
  <c r="B58" i="166"/>
  <c r="C53" i="191"/>
  <c r="L57" i="166"/>
  <c r="G52" i="191"/>
  <c r="H57" i="166"/>
  <c r="AH106" i="83"/>
  <c r="I57" i="166"/>
  <c r="J57" i="166"/>
  <c r="K57" i="166"/>
  <c r="G57" i="166"/>
  <c r="E52" i="191"/>
  <c r="C57" i="166"/>
  <c r="CU106" i="9"/>
  <c r="D57" i="166"/>
  <c r="E57" i="166"/>
  <c r="F57" i="166"/>
  <c r="B57" i="166"/>
  <c r="C52" i="191"/>
  <c r="L56" i="166"/>
  <c r="G51" i="191"/>
  <c r="H56" i="166"/>
  <c r="AH105" i="83"/>
  <c r="I56" i="166"/>
  <c r="J56" i="166"/>
  <c r="K56" i="166"/>
  <c r="G56" i="166"/>
  <c r="E51" i="191"/>
  <c r="C56" i="166"/>
  <c r="CU105" i="9"/>
  <c r="D56" i="166"/>
  <c r="E56" i="166"/>
  <c r="F56" i="166"/>
  <c r="B56" i="166"/>
  <c r="C51" i="191"/>
  <c r="L55" i="166"/>
  <c r="G50" i="191"/>
  <c r="H55" i="166"/>
  <c r="AH104" i="83"/>
  <c r="I55" i="166"/>
  <c r="J55" i="166"/>
  <c r="K55" i="166"/>
  <c r="G55" i="166"/>
  <c r="E50" i="191"/>
  <c r="C55" i="166"/>
  <c r="CU104" i="9"/>
  <c r="D55" i="166"/>
  <c r="E55" i="166"/>
  <c r="F55" i="166"/>
  <c r="B55" i="166"/>
  <c r="C50" i="191"/>
  <c r="L54" i="166"/>
  <c r="G49" i="191"/>
  <c r="H54" i="166"/>
  <c r="AH103" i="83"/>
  <c r="I54" i="166"/>
  <c r="J54" i="166"/>
  <c r="K54" i="166"/>
  <c r="G54" i="166"/>
  <c r="E49" i="191"/>
  <c r="C54" i="166"/>
  <c r="CU103" i="9"/>
  <c r="D54" i="166"/>
  <c r="E54" i="166"/>
  <c r="F54" i="166"/>
  <c r="B54" i="166"/>
  <c r="C49" i="191"/>
  <c r="L53" i="166"/>
  <c r="G48" i="191"/>
  <c r="H53" i="166"/>
  <c r="AH102" i="83"/>
  <c r="I53" i="166"/>
  <c r="J53" i="166"/>
  <c r="K53" i="166"/>
  <c r="G53" i="166"/>
  <c r="E48" i="191"/>
  <c r="C53" i="166"/>
  <c r="CU102" i="9"/>
  <c r="D53" i="166"/>
  <c r="E53" i="166"/>
  <c r="F53" i="166"/>
  <c r="B53" i="166"/>
  <c r="C48" i="191"/>
  <c r="L52" i="166"/>
  <c r="G47" i="191"/>
  <c r="H52" i="166"/>
  <c r="AH101" i="83"/>
  <c r="I52" i="166"/>
  <c r="J52" i="166"/>
  <c r="K52" i="166"/>
  <c r="G52" i="166"/>
  <c r="E47" i="191"/>
  <c r="C52" i="166"/>
  <c r="CU101" i="9"/>
  <c r="D52" i="166"/>
  <c r="E52" i="166"/>
  <c r="F52" i="166"/>
  <c r="B52" i="166"/>
  <c r="C47" i="191"/>
  <c r="L51" i="166"/>
  <c r="G46" i="191"/>
  <c r="H51" i="166"/>
  <c r="AH100" i="83"/>
  <c r="I51" i="166"/>
  <c r="J51" i="166"/>
  <c r="K51" i="166"/>
  <c r="G51" i="166"/>
  <c r="E46" i="191"/>
  <c r="C51" i="166"/>
  <c r="CU100" i="9"/>
  <c r="D51" i="166"/>
  <c r="E51" i="166"/>
  <c r="F51" i="166"/>
  <c r="B51" i="166"/>
  <c r="C46" i="191"/>
  <c r="L50" i="166"/>
  <c r="G45" i="191"/>
  <c r="H50" i="166"/>
  <c r="AH99" i="83"/>
  <c r="I50" i="166"/>
  <c r="J50" i="166"/>
  <c r="K50" i="166"/>
  <c r="G50" i="166"/>
  <c r="E45" i="191"/>
  <c r="C50" i="166"/>
  <c r="CU99" i="9"/>
  <c r="D50" i="166"/>
  <c r="E50" i="166"/>
  <c r="F50" i="166"/>
  <c r="B50" i="166"/>
  <c r="C45" i="191"/>
  <c r="L49" i="166"/>
  <c r="G44" i="191"/>
  <c r="H49" i="166"/>
  <c r="AH98" i="83"/>
  <c r="I49" i="166"/>
  <c r="J49" i="166"/>
  <c r="K49" i="166"/>
  <c r="G49" i="166"/>
  <c r="E44" i="191"/>
  <c r="C49" i="166"/>
  <c r="CU98" i="9"/>
  <c r="D49" i="166"/>
  <c r="E49" i="166"/>
  <c r="F49" i="166"/>
  <c r="B49" i="166"/>
  <c r="C44" i="191"/>
  <c r="L48" i="166"/>
  <c r="G43" i="191"/>
  <c r="H48" i="166"/>
  <c r="AH97" i="83"/>
  <c r="I48" i="166"/>
  <c r="J48" i="166"/>
  <c r="K48" i="166"/>
  <c r="G48" i="166"/>
  <c r="E43" i="191"/>
  <c r="C48" i="166"/>
  <c r="CU97" i="9"/>
  <c r="D48" i="166"/>
  <c r="E48" i="166"/>
  <c r="F48" i="166"/>
  <c r="B48" i="166"/>
  <c r="C43" i="191"/>
  <c r="L47" i="166"/>
  <c r="G42" i="191"/>
  <c r="H47" i="166"/>
  <c r="AH96" i="83"/>
  <c r="I47" i="166"/>
  <c r="J47" i="166"/>
  <c r="K47" i="166"/>
  <c r="G47" i="166"/>
  <c r="E42" i="191"/>
  <c r="C47" i="166"/>
  <c r="CU96" i="9"/>
  <c r="D47" i="166"/>
  <c r="E47" i="166"/>
  <c r="F47" i="166"/>
  <c r="B47" i="166"/>
  <c r="C42" i="191"/>
  <c r="L46" i="166"/>
  <c r="G41" i="191"/>
  <c r="H46" i="166"/>
  <c r="AH95" i="83"/>
  <c r="I46" i="166"/>
  <c r="J46" i="166"/>
  <c r="K46" i="166"/>
  <c r="G46" i="166"/>
  <c r="E41" i="191"/>
  <c r="C46" i="166"/>
  <c r="CU95" i="9"/>
  <c r="D46" i="166"/>
  <c r="E46" i="166"/>
  <c r="F46" i="166"/>
  <c r="B46" i="166"/>
  <c r="C41" i="191"/>
  <c r="L45" i="166"/>
  <c r="G40" i="191"/>
  <c r="H45" i="166"/>
  <c r="AH94" i="83"/>
  <c r="I45" i="166"/>
  <c r="J45" i="166"/>
  <c r="K45" i="166"/>
  <c r="G45" i="166"/>
  <c r="E40" i="191"/>
  <c r="C45" i="166"/>
  <c r="CU94" i="9"/>
  <c r="D45" i="166"/>
  <c r="E45" i="166"/>
  <c r="F45" i="166"/>
  <c r="B45" i="166"/>
  <c r="C40" i="191"/>
  <c r="L44" i="166"/>
  <c r="G39" i="191"/>
  <c r="H44" i="166"/>
  <c r="AH93" i="83"/>
  <c r="I44" i="166"/>
  <c r="J44" i="166"/>
  <c r="K44" i="166"/>
  <c r="G44" i="166"/>
  <c r="E39" i="191"/>
  <c r="C44" i="166"/>
  <c r="CU93" i="9"/>
  <c r="D44" i="166"/>
  <c r="E44" i="166"/>
  <c r="F44" i="166"/>
  <c r="B44" i="166"/>
  <c r="C39" i="191"/>
  <c r="L43" i="166"/>
  <c r="G38" i="191"/>
  <c r="H43" i="166"/>
  <c r="AH92" i="83"/>
  <c r="I43" i="166"/>
  <c r="J43" i="166"/>
  <c r="K43" i="166"/>
  <c r="G43" i="166"/>
  <c r="E38" i="191"/>
  <c r="C43" i="166"/>
  <c r="CU92" i="9"/>
  <c r="D43" i="166"/>
  <c r="E43" i="166"/>
  <c r="F43" i="166"/>
  <c r="B43" i="166"/>
  <c r="C38" i="191"/>
  <c r="L42" i="166"/>
  <c r="G37" i="191"/>
  <c r="H42" i="166"/>
  <c r="AH91" i="83"/>
  <c r="I42" i="166"/>
  <c r="J42" i="166"/>
  <c r="K42" i="166"/>
  <c r="G42" i="166"/>
  <c r="E37" i="191"/>
  <c r="C42" i="166"/>
  <c r="CU91" i="9"/>
  <c r="D42" i="166"/>
  <c r="E42" i="166"/>
  <c r="F42" i="166"/>
  <c r="B42" i="166"/>
  <c r="C37" i="191"/>
  <c r="L41" i="166"/>
  <c r="G36" i="191"/>
  <c r="H41" i="166"/>
  <c r="AH90" i="83"/>
  <c r="I41" i="166"/>
  <c r="J41" i="166"/>
  <c r="K41" i="166"/>
  <c r="G41" i="166"/>
  <c r="E36" i="191"/>
  <c r="C41" i="166"/>
  <c r="CU90" i="9"/>
  <c r="D41" i="166"/>
  <c r="E41" i="166"/>
  <c r="F41" i="166"/>
  <c r="B41" i="166"/>
  <c r="C36" i="191"/>
  <c r="L40" i="166"/>
  <c r="G35" i="191"/>
  <c r="H40" i="166"/>
  <c r="AH89" i="83"/>
  <c r="I40" i="166"/>
  <c r="J40" i="166"/>
  <c r="K40" i="166"/>
  <c r="G40" i="166"/>
  <c r="E35" i="191"/>
  <c r="C40" i="166"/>
  <c r="CU89" i="9"/>
  <c r="D40" i="166"/>
  <c r="E40" i="166"/>
  <c r="F40" i="166"/>
  <c r="B40" i="166"/>
  <c r="C35" i="191"/>
  <c r="L39" i="166"/>
  <c r="G34" i="191"/>
  <c r="H39" i="166"/>
  <c r="AH88" i="83"/>
  <c r="I39" i="166"/>
  <c r="J39" i="166"/>
  <c r="K39" i="166"/>
  <c r="G39" i="166"/>
  <c r="E34" i="191"/>
  <c r="C39" i="166"/>
  <c r="CU88" i="9"/>
  <c r="D39" i="166"/>
  <c r="E39" i="166"/>
  <c r="F39" i="166"/>
  <c r="B39" i="166"/>
  <c r="C34" i="191"/>
  <c r="L38" i="166"/>
  <c r="G33" i="191"/>
  <c r="H38" i="166"/>
  <c r="AH87" i="83"/>
  <c r="I38" i="166"/>
  <c r="J38" i="166"/>
  <c r="K38" i="166"/>
  <c r="G38" i="166"/>
  <c r="E33" i="191"/>
  <c r="C38" i="166"/>
  <c r="CU87" i="9"/>
  <c r="D38" i="166"/>
  <c r="E38" i="166"/>
  <c r="F38" i="166"/>
  <c r="B38" i="166"/>
  <c r="C33" i="191"/>
  <c r="L37" i="166"/>
  <c r="G32" i="191"/>
  <c r="H37" i="166"/>
  <c r="AH86" i="83"/>
  <c r="I37" i="166"/>
  <c r="J37" i="166"/>
  <c r="K37" i="166"/>
  <c r="G37" i="166"/>
  <c r="E32" i="191"/>
  <c r="C37" i="166"/>
  <c r="CU86" i="9"/>
  <c r="D37" i="166"/>
  <c r="E37" i="166"/>
  <c r="F37" i="166"/>
  <c r="B37" i="166"/>
  <c r="C32" i="191"/>
  <c r="L36" i="166"/>
  <c r="G31" i="191"/>
  <c r="H36" i="166"/>
  <c r="AH85" i="83"/>
  <c r="I36" i="166"/>
  <c r="J36" i="166"/>
  <c r="K36" i="166"/>
  <c r="G36" i="166"/>
  <c r="E31" i="191"/>
  <c r="C36" i="166"/>
  <c r="CU85" i="9"/>
  <c r="D36" i="166"/>
  <c r="E36" i="166"/>
  <c r="F36" i="166"/>
  <c r="B36" i="166"/>
  <c r="C31" i="191"/>
  <c r="L35" i="166"/>
  <c r="G30" i="191"/>
  <c r="H35" i="166"/>
  <c r="AH84" i="83"/>
  <c r="I35" i="166"/>
  <c r="J35" i="166"/>
  <c r="K35" i="166"/>
  <c r="G35" i="166"/>
  <c r="E30" i="191"/>
  <c r="C35" i="166"/>
  <c r="CU84" i="9"/>
  <c r="D35" i="166"/>
  <c r="E35" i="166"/>
  <c r="F35" i="166"/>
  <c r="B35" i="166"/>
  <c r="C30" i="191"/>
  <c r="L34" i="166"/>
  <c r="G29" i="191"/>
  <c r="H34" i="166"/>
  <c r="AH83" i="83"/>
  <c r="I34" i="166"/>
  <c r="J34" i="166"/>
  <c r="K34" i="166"/>
  <c r="G34" i="166"/>
  <c r="E29" i="191"/>
  <c r="C34" i="166"/>
  <c r="CU83" i="9"/>
  <c r="D34" i="166"/>
  <c r="E34" i="166"/>
  <c r="F34" i="166"/>
  <c r="B34" i="166"/>
  <c r="C29" i="191"/>
  <c r="L33" i="166"/>
  <c r="G28" i="191"/>
  <c r="H33" i="166"/>
  <c r="AH82" i="83"/>
  <c r="I33" i="166"/>
  <c r="J33" i="166"/>
  <c r="K33" i="166"/>
  <c r="G33" i="166"/>
  <c r="E28" i="191"/>
  <c r="C33" i="166"/>
  <c r="CU82" i="9"/>
  <c r="D33" i="166"/>
  <c r="E33" i="166"/>
  <c r="F33" i="166"/>
  <c r="B33" i="166"/>
  <c r="C28" i="191"/>
  <c r="L32" i="166"/>
  <c r="G27" i="191"/>
  <c r="H32" i="166"/>
  <c r="AH81" i="83"/>
  <c r="I32" i="166"/>
  <c r="J32" i="166"/>
  <c r="K32" i="166"/>
  <c r="G32" i="166"/>
  <c r="E27" i="191"/>
  <c r="C32" i="166"/>
  <c r="CU81" i="9"/>
  <c r="D32" i="166"/>
  <c r="E32" i="166"/>
  <c r="F32" i="166"/>
  <c r="B32" i="166"/>
  <c r="C27" i="191"/>
  <c r="L31" i="166"/>
  <c r="G26" i="191"/>
  <c r="H31" i="166"/>
  <c r="AH80" i="83"/>
  <c r="I31" i="166"/>
  <c r="J31" i="166"/>
  <c r="K31" i="166"/>
  <c r="G31" i="166"/>
  <c r="E26" i="191"/>
  <c r="C31" i="166"/>
  <c r="CU80" i="9"/>
  <c r="D31" i="166"/>
  <c r="E31" i="166"/>
  <c r="F31" i="166"/>
  <c r="B31" i="166"/>
  <c r="C26" i="191"/>
  <c r="L30" i="166"/>
  <c r="G25" i="191"/>
  <c r="H30" i="166"/>
  <c r="AH79" i="83"/>
  <c r="I30" i="166"/>
  <c r="J30" i="166"/>
  <c r="K30" i="166"/>
  <c r="G30" i="166"/>
  <c r="E25" i="191"/>
  <c r="C30" i="166"/>
  <c r="CU79" i="9"/>
  <c r="D30" i="166"/>
  <c r="E30" i="166"/>
  <c r="F30" i="166"/>
  <c r="B30" i="166"/>
  <c r="C25" i="191"/>
  <c r="L29" i="166"/>
  <c r="G24" i="191"/>
  <c r="H29" i="166"/>
  <c r="AH78" i="83"/>
  <c r="I29" i="166"/>
  <c r="J29" i="166"/>
  <c r="K29" i="166"/>
  <c r="G29" i="166"/>
  <c r="E24" i="191"/>
  <c r="C29" i="166"/>
  <c r="CU78" i="9"/>
  <c r="D29" i="166"/>
  <c r="E29" i="166"/>
  <c r="F29" i="166"/>
  <c r="B29" i="166"/>
  <c r="C24" i="191"/>
  <c r="L28" i="166"/>
  <c r="G23" i="191"/>
  <c r="H28" i="166"/>
  <c r="AH77" i="83"/>
  <c r="I28" i="166"/>
  <c r="J28" i="166"/>
  <c r="K28" i="166"/>
  <c r="G28" i="166"/>
  <c r="E23" i="191"/>
  <c r="C28" i="166"/>
  <c r="CU77" i="9"/>
  <c r="D28" i="166"/>
  <c r="E28" i="166"/>
  <c r="F28" i="166"/>
  <c r="B28" i="166"/>
  <c r="C23" i="191"/>
  <c r="L27" i="166"/>
  <c r="G22" i="191"/>
  <c r="H27" i="166"/>
  <c r="AH76" i="83"/>
  <c r="I27" i="166"/>
  <c r="J27" i="166"/>
  <c r="K27" i="166"/>
  <c r="G27" i="166"/>
  <c r="E22" i="191"/>
  <c r="C27" i="166"/>
  <c r="CU76" i="9"/>
  <c r="D27" i="166"/>
  <c r="E27" i="166"/>
  <c r="F27" i="166"/>
  <c r="B27" i="166"/>
  <c r="C22" i="191"/>
  <c r="L26" i="166"/>
  <c r="G21" i="191"/>
  <c r="H26" i="166"/>
  <c r="AH75" i="83"/>
  <c r="I26" i="166"/>
  <c r="J26" i="166"/>
  <c r="K26" i="166"/>
  <c r="G26" i="166"/>
  <c r="E21" i="191"/>
  <c r="C26" i="166"/>
  <c r="CU75" i="9"/>
  <c r="D26" i="166"/>
  <c r="E26" i="166"/>
  <c r="F26" i="166"/>
  <c r="B26" i="166"/>
  <c r="C21" i="191"/>
  <c r="L25" i="166"/>
  <c r="G20" i="191"/>
  <c r="H25" i="166"/>
  <c r="AH74" i="83"/>
  <c r="I25" i="166"/>
  <c r="J25" i="166"/>
  <c r="K25" i="166"/>
  <c r="G25" i="166"/>
  <c r="E20" i="191"/>
  <c r="C25" i="166"/>
  <c r="CU74" i="9"/>
  <c r="D25" i="166"/>
  <c r="E25" i="166"/>
  <c r="F25" i="166"/>
  <c r="B25" i="166"/>
  <c r="C20" i="191"/>
  <c r="L24" i="166"/>
  <c r="G19" i="191"/>
  <c r="H24" i="166"/>
  <c r="K24" i="166"/>
  <c r="I24" i="166"/>
  <c r="J24" i="166"/>
  <c r="G24" i="166"/>
  <c r="E19" i="191"/>
  <c r="C24" i="166"/>
  <c r="F24" i="166"/>
  <c r="D24" i="166"/>
  <c r="E24" i="166"/>
  <c r="B24" i="166"/>
  <c r="C19" i="191"/>
  <c r="L23" i="166"/>
  <c r="G18" i="191"/>
  <c r="H23" i="166"/>
  <c r="K23" i="166"/>
  <c r="I23" i="166"/>
  <c r="J23" i="166"/>
  <c r="G23" i="166"/>
  <c r="E18" i="191"/>
  <c r="C23" i="166"/>
  <c r="F23" i="166"/>
  <c r="D23" i="166"/>
  <c r="E23" i="166"/>
  <c r="B23" i="166"/>
  <c r="C18" i="191"/>
  <c r="L22" i="166"/>
  <c r="G17" i="191"/>
  <c r="H22" i="166"/>
  <c r="K22" i="166"/>
  <c r="I22" i="166"/>
  <c r="J22" i="166"/>
  <c r="G22" i="166"/>
  <c r="E17" i="191"/>
  <c r="C22" i="166"/>
  <c r="F22" i="166"/>
  <c r="D22" i="166"/>
  <c r="E22" i="166"/>
  <c r="B22" i="166"/>
  <c r="C17" i="191"/>
  <c r="L21" i="166"/>
  <c r="G16" i="191"/>
  <c r="H21" i="166"/>
  <c r="K21" i="166"/>
  <c r="I21" i="166"/>
  <c r="J21" i="166"/>
  <c r="G21" i="166"/>
  <c r="E16" i="191"/>
  <c r="C21" i="166"/>
  <c r="F21" i="166"/>
  <c r="D21" i="166"/>
  <c r="E21" i="166"/>
  <c r="B21" i="166"/>
  <c r="C16" i="191"/>
  <c r="L20" i="166"/>
  <c r="G15" i="191"/>
  <c r="H20" i="166"/>
  <c r="K20" i="166"/>
  <c r="I20" i="166"/>
  <c r="J20" i="166"/>
  <c r="G20" i="166"/>
  <c r="E15" i="191"/>
  <c r="C20" i="166"/>
  <c r="F20" i="166"/>
  <c r="D20" i="166"/>
  <c r="E20" i="166"/>
  <c r="B20" i="166"/>
  <c r="C15" i="191"/>
  <c r="L19" i="166"/>
  <c r="G14" i="191"/>
  <c r="H19" i="166"/>
  <c r="K19" i="166"/>
  <c r="I19" i="166"/>
  <c r="J19" i="166"/>
  <c r="G19" i="166"/>
  <c r="E14" i="191"/>
  <c r="C19" i="166"/>
  <c r="F19" i="166"/>
  <c r="D19" i="166"/>
  <c r="E19" i="166"/>
  <c r="B19" i="166"/>
  <c r="C14" i="191"/>
  <c r="L18" i="166"/>
  <c r="G13" i="191"/>
  <c r="H18" i="166"/>
  <c r="K18" i="166"/>
  <c r="I18" i="166"/>
  <c r="J18" i="166"/>
  <c r="G18" i="166"/>
  <c r="E13" i="191"/>
  <c r="C18" i="166"/>
  <c r="F18" i="166"/>
  <c r="D18" i="166"/>
  <c r="E18" i="166"/>
  <c r="B18" i="166"/>
  <c r="C13" i="191"/>
  <c r="L17" i="166"/>
  <c r="G12" i="191"/>
  <c r="H17" i="166"/>
  <c r="K17" i="166"/>
  <c r="I17" i="166"/>
  <c r="J17" i="166"/>
  <c r="G17" i="166"/>
  <c r="E12" i="191"/>
  <c r="C17" i="166"/>
  <c r="F17" i="166"/>
  <c r="D17" i="166"/>
  <c r="E17" i="166"/>
  <c r="B17" i="166"/>
  <c r="C12" i="191"/>
  <c r="L16" i="166"/>
  <c r="G11" i="191"/>
  <c r="H16" i="166"/>
  <c r="K16" i="166"/>
  <c r="I16" i="166"/>
  <c r="J16" i="166"/>
  <c r="G16" i="166"/>
  <c r="E11" i="191"/>
  <c r="C16" i="166"/>
  <c r="F16" i="166"/>
  <c r="D16" i="166"/>
  <c r="E16" i="166"/>
  <c r="B16" i="166"/>
  <c r="C11" i="191"/>
  <c r="L15" i="166"/>
  <c r="G10" i="191"/>
  <c r="H15" i="166"/>
  <c r="K15" i="166"/>
  <c r="I15" i="166"/>
  <c r="J15" i="166"/>
  <c r="G15" i="166"/>
  <c r="E10" i="191"/>
  <c r="C15" i="166"/>
  <c r="F15" i="166"/>
  <c r="D15" i="166"/>
  <c r="E15" i="166"/>
  <c r="B15" i="166"/>
  <c r="C10" i="191"/>
  <c r="L14" i="166"/>
  <c r="G9" i="191"/>
  <c r="H14" i="166"/>
  <c r="K14" i="166"/>
  <c r="I14" i="166"/>
  <c r="J14" i="166"/>
  <c r="G14" i="166"/>
  <c r="E9" i="191"/>
  <c r="C14" i="166"/>
  <c r="F14" i="166"/>
  <c r="D14" i="166"/>
  <c r="E14" i="166"/>
  <c r="B14" i="166"/>
  <c r="C9" i="191"/>
  <c r="L13" i="166"/>
  <c r="G8" i="191"/>
  <c r="H13" i="166"/>
  <c r="K13" i="166"/>
  <c r="I13" i="166"/>
  <c r="J13" i="166"/>
  <c r="G13" i="166"/>
  <c r="E8" i="191"/>
  <c r="C13" i="166"/>
  <c r="F13" i="166"/>
  <c r="D13" i="166"/>
  <c r="E13" i="166"/>
  <c r="B13" i="166"/>
  <c r="C8" i="191"/>
  <c r="L12" i="166"/>
  <c r="G7" i="191"/>
  <c r="H12" i="166"/>
  <c r="K12" i="166"/>
  <c r="I12" i="166"/>
  <c r="J12" i="166"/>
  <c r="G12" i="166"/>
  <c r="E7" i="191"/>
  <c r="C12" i="166"/>
  <c r="F12" i="166"/>
  <c r="D12" i="166"/>
  <c r="E12" i="166"/>
  <c r="B12" i="166"/>
  <c r="C7" i="191"/>
  <c r="L11" i="166"/>
  <c r="G6" i="191"/>
  <c r="H11" i="166"/>
  <c r="K11" i="166"/>
  <c r="I11" i="166"/>
  <c r="J11" i="166"/>
  <c r="G11" i="166"/>
  <c r="E6" i="191"/>
  <c r="C11" i="166"/>
  <c r="F11" i="166"/>
  <c r="D11" i="166"/>
  <c r="E11" i="166"/>
  <c r="B11" i="166"/>
  <c r="C6" i="191"/>
  <c r="L10" i="166"/>
  <c r="G5" i="191"/>
  <c r="H10" i="166"/>
  <c r="K10" i="166"/>
  <c r="I10" i="166"/>
  <c r="J10" i="166"/>
  <c r="G10" i="166"/>
  <c r="E5" i="191"/>
  <c r="C10" i="166"/>
  <c r="F10" i="166"/>
  <c r="D10" i="166"/>
  <c r="E10" i="166"/>
  <c r="B10" i="166"/>
  <c r="C5" i="191"/>
  <c r="L9" i="166"/>
  <c r="G4" i="191"/>
  <c r="H9" i="166"/>
  <c r="K9" i="166"/>
  <c r="I9" i="166"/>
  <c r="J9" i="166"/>
  <c r="G9" i="166"/>
  <c r="E4" i="191"/>
  <c r="C9" i="166"/>
  <c r="F9" i="166"/>
  <c r="D9" i="166"/>
  <c r="E9" i="166"/>
  <c r="B9" i="166"/>
  <c r="C4" i="191"/>
  <c r="R22" i="152"/>
  <c r="R23" i="152"/>
  <c r="R24" i="152"/>
  <c r="R25" i="152"/>
  <c r="G35" i="152"/>
  <c r="G36" i="152"/>
  <c r="G37" i="152"/>
  <c r="G38" i="152"/>
  <c r="R8" i="152"/>
  <c r="R9" i="152"/>
  <c r="R10" i="152"/>
  <c r="R12" i="152"/>
  <c r="L26" i="152"/>
  <c r="L27" i="152"/>
  <c r="L28" i="152"/>
  <c r="L29" i="152"/>
  <c r="E26" i="152"/>
  <c r="F26" i="152"/>
  <c r="M26" i="152"/>
  <c r="E27" i="152"/>
  <c r="F27" i="152"/>
  <c r="M27" i="152"/>
  <c r="E28" i="152"/>
  <c r="F28" i="152"/>
  <c r="M28" i="152"/>
  <c r="M29" i="152"/>
  <c r="N26" i="152"/>
  <c r="N27" i="152"/>
  <c r="N28" i="152"/>
  <c r="N29" i="152"/>
  <c r="K26" i="152"/>
  <c r="K27" i="152"/>
  <c r="K28" i="152"/>
  <c r="K29" i="152"/>
  <c r="Q32" i="152"/>
  <c r="Q22" i="152"/>
  <c r="CT74" i="83" a="1"/>
  <c r="CT74" i="83"/>
  <c r="B26" i="121"/>
  <c r="MG74" i="9"/>
  <c r="LX74" i="9" a="1"/>
  <c r="LX74" i="9"/>
  <c r="B25" i="122"/>
  <c r="CQ75" i="9"/>
  <c r="CT75" i="83"/>
  <c r="B27" i="121"/>
  <c r="KC75" i="9"/>
  <c r="MG75" i="9"/>
  <c r="LX75" i="9"/>
  <c r="B26" i="122"/>
  <c r="CQ76" i="9"/>
  <c r="CT76" i="83"/>
  <c r="B28" i="121"/>
  <c r="KC76" i="9"/>
  <c r="MG76" i="9"/>
  <c r="LX76" i="9"/>
  <c r="B27" i="122"/>
  <c r="CQ77" i="9"/>
  <c r="CT77" i="83"/>
  <c r="B29" i="121"/>
  <c r="KC77" i="9"/>
  <c r="MG77" i="9"/>
  <c r="LX77" i="9"/>
  <c r="B28" i="122"/>
  <c r="CQ78" i="9"/>
  <c r="CT78" i="83"/>
  <c r="B30" i="121"/>
  <c r="KC78" i="9"/>
  <c r="MG78" i="9"/>
  <c r="LX78" i="9"/>
  <c r="B29" i="122"/>
  <c r="CQ79" i="9"/>
  <c r="CT79" i="83"/>
  <c r="B31" i="121"/>
  <c r="KC79" i="9"/>
  <c r="MG79" i="9"/>
  <c r="LX79" i="9"/>
  <c r="B30" i="122"/>
  <c r="CQ80" i="9"/>
  <c r="CT80" i="83"/>
  <c r="B32" i="121"/>
  <c r="KC80" i="9"/>
  <c r="MG80" i="9"/>
  <c r="LX80" i="9"/>
  <c r="B31" i="122"/>
  <c r="CQ81" i="9"/>
  <c r="CT81" i="83"/>
  <c r="B33" i="121"/>
  <c r="KC81" i="9"/>
  <c r="MG81" i="9"/>
  <c r="LX81" i="9"/>
  <c r="B32" i="122"/>
  <c r="CQ82" i="9"/>
  <c r="CT82" i="83"/>
  <c r="B34" i="121"/>
  <c r="KC82" i="9"/>
  <c r="MG82" i="9"/>
  <c r="LX82" i="9"/>
  <c r="B33" i="122"/>
  <c r="CQ83" i="9"/>
  <c r="CT83" i="83"/>
  <c r="B35" i="121"/>
  <c r="KC83" i="9"/>
  <c r="MG83" i="9"/>
  <c r="LX83" i="9"/>
  <c r="B34" i="122"/>
  <c r="CQ84" i="9"/>
  <c r="CT84" i="83"/>
  <c r="B36" i="121"/>
  <c r="KC84" i="9"/>
  <c r="MG84" i="9"/>
  <c r="LX84" i="9"/>
  <c r="B35" i="122"/>
  <c r="CQ85" i="9"/>
  <c r="CT85" i="83"/>
  <c r="B37" i="121"/>
  <c r="KC85" i="9"/>
  <c r="MG85" i="9"/>
  <c r="LX85" i="9"/>
  <c r="B36" i="122"/>
  <c r="CQ86" i="9"/>
  <c r="CT86" i="83"/>
  <c r="B38" i="121"/>
  <c r="KC86" i="9"/>
  <c r="MG86" i="9"/>
  <c r="LX86" i="9"/>
  <c r="B37" i="122"/>
  <c r="CQ87" i="9"/>
  <c r="CT87" i="83"/>
  <c r="B39" i="121"/>
  <c r="KC87" i="9"/>
  <c r="MG87" i="9"/>
  <c r="LX87" i="9"/>
  <c r="B38" i="122"/>
  <c r="CQ88" i="9"/>
  <c r="CT88" i="83"/>
  <c r="B40" i="121"/>
  <c r="KC88" i="9"/>
  <c r="MG88" i="9"/>
  <c r="LX88" i="9"/>
  <c r="B39" i="122"/>
  <c r="CQ89" i="9"/>
  <c r="CT89" i="83"/>
  <c r="B41" i="121"/>
  <c r="KC89" i="9"/>
  <c r="MG89" i="9"/>
  <c r="LX89" i="9"/>
  <c r="B40" i="122"/>
  <c r="CQ90" i="9"/>
  <c r="CT90" i="83"/>
  <c r="B42" i="121"/>
  <c r="KC90" i="9"/>
  <c r="MG90" i="9"/>
  <c r="LX90" i="9"/>
  <c r="B41" i="122"/>
  <c r="CQ91" i="9"/>
  <c r="CT91" i="83"/>
  <c r="B43" i="121"/>
  <c r="KC91" i="9"/>
  <c r="MG91" i="9"/>
  <c r="LX91" i="9"/>
  <c r="B42" i="122"/>
  <c r="CQ92" i="9"/>
  <c r="CT92" i="83"/>
  <c r="B44" i="121"/>
  <c r="KC92" i="9"/>
  <c r="MG92" i="9"/>
  <c r="LX92" i="9"/>
  <c r="B43" i="122"/>
  <c r="CQ93" i="9"/>
  <c r="CT93" i="83"/>
  <c r="B45" i="121"/>
  <c r="KC93" i="9"/>
  <c r="MG93" i="9"/>
  <c r="LX93" i="9"/>
  <c r="B44" i="122"/>
  <c r="CQ94" i="9"/>
  <c r="CT94" i="83"/>
  <c r="B46" i="121"/>
  <c r="KC94" i="9"/>
  <c r="MG94" i="9"/>
  <c r="LX94" i="9"/>
  <c r="B45" i="122"/>
  <c r="CQ95" i="9"/>
  <c r="CT95" i="83"/>
  <c r="B47" i="121"/>
  <c r="KC95" i="9"/>
  <c r="MG95" i="9"/>
  <c r="LX95" i="9"/>
  <c r="B46" i="122"/>
  <c r="CQ96" i="9"/>
  <c r="CT96" i="83"/>
  <c r="B48" i="121"/>
  <c r="KC96" i="9"/>
  <c r="MG96" i="9"/>
  <c r="LX96" i="9"/>
  <c r="B47" i="122"/>
  <c r="CQ97" i="9"/>
  <c r="CT97" i="83"/>
  <c r="B49" i="121"/>
  <c r="KC97" i="9"/>
  <c r="MG97" i="9"/>
  <c r="LX97" i="9"/>
  <c r="B48" i="122"/>
  <c r="CQ98" i="9"/>
  <c r="CT98" i="83"/>
  <c r="B50" i="121"/>
  <c r="KC98" i="9"/>
  <c r="MG98" i="9"/>
  <c r="LX98" i="9"/>
  <c r="B49" i="122"/>
  <c r="CQ99" i="9"/>
  <c r="CT99" i="83"/>
  <c r="B51" i="121"/>
  <c r="KC99" i="9"/>
  <c r="MG99" i="9"/>
  <c r="LX99" i="9"/>
  <c r="B50" i="122"/>
  <c r="CQ100" i="9"/>
  <c r="CT100" i="83"/>
  <c r="B52" i="121"/>
  <c r="KC100" i="9"/>
  <c r="MG100" i="9"/>
  <c r="LX100" i="9"/>
  <c r="B51" i="122"/>
  <c r="CQ101" i="9"/>
  <c r="CT101" i="83"/>
  <c r="B53" i="121"/>
  <c r="KC101" i="9"/>
  <c r="MG101" i="9"/>
  <c r="LX101" i="9"/>
  <c r="B52" i="122"/>
  <c r="CQ102" i="9"/>
  <c r="CT102" i="83"/>
  <c r="B54" i="121"/>
  <c r="KC102" i="9"/>
  <c r="MG102" i="9"/>
  <c r="LX102" i="9"/>
  <c r="B53" i="122"/>
  <c r="CQ103" i="9"/>
  <c r="CT103" i="83"/>
  <c r="B55" i="121"/>
  <c r="KC103" i="9"/>
  <c r="MG103" i="9"/>
  <c r="LX103" i="9"/>
  <c r="B54" i="122"/>
  <c r="CQ104" i="9"/>
  <c r="CT104" i="83"/>
  <c r="B56" i="121"/>
  <c r="KC104" i="9"/>
  <c r="MG104" i="9"/>
  <c r="LX104" i="9"/>
  <c r="B55" i="122"/>
  <c r="CQ105" i="9"/>
  <c r="CT105" i="83"/>
  <c r="B57" i="121"/>
  <c r="KC105" i="9"/>
  <c r="MG105" i="9"/>
  <c r="LX105" i="9"/>
  <c r="B56" i="122"/>
  <c r="CQ106" i="9"/>
  <c r="CT106" i="83"/>
  <c r="B58" i="121"/>
  <c r="KC106" i="9"/>
  <c r="MG106" i="9"/>
  <c r="LX106" i="9"/>
  <c r="B57" i="122"/>
  <c r="CQ107" i="9"/>
  <c r="CT107" i="83"/>
  <c r="B59" i="121"/>
  <c r="KC107" i="9"/>
  <c r="MG107" i="9"/>
  <c r="LX107" i="9"/>
  <c r="B58" i="122"/>
  <c r="CQ108" i="9"/>
  <c r="CT108" i="83"/>
  <c r="B60" i="121"/>
  <c r="KC108" i="9"/>
  <c r="MG108" i="9"/>
  <c r="LX108" i="9"/>
  <c r="B59" i="122"/>
  <c r="C45" i="167"/>
  <c r="F45" i="167"/>
  <c r="D45" i="167"/>
  <c r="G45" i="167"/>
  <c r="L45" i="167"/>
  <c r="AV28" i="96"/>
  <c r="D27" i="167"/>
  <c r="G27" i="167"/>
  <c r="C27" i="167"/>
  <c r="F27" i="167"/>
  <c r="E27" i="167"/>
  <c r="AV29" i="96"/>
  <c r="D28" i="167"/>
  <c r="G28" i="167"/>
  <c r="C28" i="167"/>
  <c r="F28" i="167"/>
  <c r="E28" i="167"/>
  <c r="AV30" i="96"/>
  <c r="D29" i="167"/>
  <c r="G29" i="167"/>
  <c r="C29" i="167"/>
  <c r="F29" i="167"/>
  <c r="E29" i="167"/>
  <c r="AV31" i="96"/>
  <c r="D30" i="167"/>
  <c r="G30" i="167"/>
  <c r="C30" i="167"/>
  <c r="F30" i="167"/>
  <c r="E30" i="167"/>
  <c r="AV32" i="96"/>
  <c r="D31" i="167"/>
  <c r="G31" i="167"/>
  <c r="C31" i="167"/>
  <c r="F31" i="167"/>
  <c r="E31" i="167"/>
  <c r="AV33" i="96"/>
  <c r="D32" i="167"/>
  <c r="G32" i="167"/>
  <c r="C32" i="167"/>
  <c r="F32" i="167"/>
  <c r="E32" i="167"/>
  <c r="AV34" i="96"/>
  <c r="D33" i="167"/>
  <c r="G33" i="167"/>
  <c r="C33" i="167"/>
  <c r="F33" i="167"/>
  <c r="E33" i="167"/>
  <c r="AV35" i="96"/>
  <c r="D34" i="167"/>
  <c r="G34" i="167"/>
  <c r="C34" i="167"/>
  <c r="F34" i="167"/>
  <c r="E34" i="167"/>
  <c r="AV36" i="96"/>
  <c r="D35" i="167"/>
  <c r="G35" i="167"/>
  <c r="C35" i="167"/>
  <c r="F35" i="167"/>
  <c r="E35" i="167"/>
  <c r="AV37" i="96"/>
  <c r="D36" i="167"/>
  <c r="G36" i="167"/>
  <c r="C36" i="167"/>
  <c r="F36" i="167"/>
  <c r="E36" i="167"/>
  <c r="AV38" i="96"/>
  <c r="D37" i="167"/>
  <c r="G37" i="167"/>
  <c r="C37" i="167"/>
  <c r="F37" i="167"/>
  <c r="E37" i="167"/>
  <c r="D38" i="167"/>
  <c r="G38" i="167"/>
  <c r="C38" i="167"/>
  <c r="F38" i="167"/>
  <c r="E38" i="167"/>
  <c r="D39" i="167"/>
  <c r="G39" i="167"/>
  <c r="C39" i="167"/>
  <c r="F39" i="167"/>
  <c r="E39" i="167"/>
  <c r="D40" i="167"/>
  <c r="G40" i="167"/>
  <c r="C40" i="167"/>
  <c r="F40" i="167"/>
  <c r="E40" i="167"/>
  <c r="D41" i="167"/>
  <c r="G41" i="167"/>
  <c r="C41" i="167"/>
  <c r="F41" i="167"/>
  <c r="E41" i="167"/>
  <c r="D42" i="167"/>
  <c r="G42" i="167"/>
  <c r="C42" i="167"/>
  <c r="F42" i="167"/>
  <c r="E42" i="167"/>
  <c r="D43" i="167"/>
  <c r="G43" i="167"/>
  <c r="C43" i="167"/>
  <c r="F43" i="167"/>
  <c r="E43" i="167"/>
  <c r="D44" i="167"/>
  <c r="G44" i="167"/>
  <c r="C44" i="167"/>
  <c r="F44" i="167"/>
  <c r="E44" i="167"/>
  <c r="E45" i="167"/>
  <c r="D46" i="167"/>
  <c r="G46" i="167"/>
  <c r="C46" i="167"/>
  <c r="F46" i="167"/>
  <c r="E46" i="167"/>
  <c r="D47" i="167"/>
  <c r="G47" i="167"/>
  <c r="C47" i="167"/>
  <c r="F47" i="167"/>
  <c r="E47" i="167"/>
  <c r="D48" i="167"/>
  <c r="G48" i="167"/>
  <c r="C48" i="167"/>
  <c r="F48" i="167"/>
  <c r="E48" i="167"/>
  <c r="D49" i="167"/>
  <c r="G49" i="167"/>
  <c r="C49" i="167"/>
  <c r="F49" i="167"/>
  <c r="E49" i="167"/>
  <c r="D50" i="167"/>
  <c r="G50" i="167"/>
  <c r="C50" i="167"/>
  <c r="F50" i="167"/>
  <c r="E50" i="167"/>
  <c r="D51" i="167"/>
  <c r="G51" i="167"/>
  <c r="C51" i="167"/>
  <c r="F51" i="167"/>
  <c r="E51" i="167"/>
  <c r="D52" i="167"/>
  <c r="G52" i="167"/>
  <c r="C52" i="167"/>
  <c r="F52" i="167"/>
  <c r="E52" i="167"/>
  <c r="D53" i="167"/>
  <c r="G53" i="167"/>
  <c r="C53" i="167"/>
  <c r="F53" i="167"/>
  <c r="E53" i="167"/>
  <c r="D54" i="167"/>
  <c r="G54" i="167"/>
  <c r="C54" i="167"/>
  <c r="F54" i="167"/>
  <c r="E54" i="167"/>
  <c r="D55" i="167"/>
  <c r="G55" i="167"/>
  <c r="C55" i="167"/>
  <c r="F55" i="167"/>
  <c r="E55" i="167"/>
  <c r="D56" i="167"/>
  <c r="G56" i="167"/>
  <c r="C56" i="167"/>
  <c r="F56" i="167"/>
  <c r="E56" i="167"/>
  <c r="D57" i="167"/>
  <c r="G57" i="167"/>
  <c r="C57" i="167"/>
  <c r="F57" i="167"/>
  <c r="E57" i="167"/>
  <c r="D58" i="167"/>
  <c r="G58" i="167"/>
  <c r="C58" i="167"/>
  <c r="F58" i="167"/>
  <c r="E58" i="167"/>
  <c r="D59" i="167"/>
  <c r="G59" i="167"/>
  <c r="C59" i="167"/>
  <c r="F59" i="167"/>
  <c r="E59" i="167"/>
  <c r="IW27" i="96"/>
  <c r="AV27" i="96"/>
  <c r="D26" i="167"/>
  <c r="G26" i="167"/>
  <c r="C26" i="167"/>
  <c r="F26" i="167"/>
  <c r="E26" i="167"/>
  <c r="FG22" i="96"/>
  <c r="DE22" i="96"/>
  <c r="IW22" i="96"/>
  <c r="AV22" i="96"/>
  <c r="D21" i="167"/>
  <c r="G21" i="167"/>
  <c r="C21" i="167"/>
  <c r="F21" i="167"/>
  <c r="E21" i="167"/>
  <c r="B21" i="167"/>
  <c r="B26" i="167"/>
  <c r="B27" i="167"/>
  <c r="B28" i="167"/>
  <c r="B29" i="167"/>
  <c r="B30" i="167"/>
  <c r="B31" i="167"/>
  <c r="B32" i="167"/>
  <c r="B33" i="167"/>
  <c r="B34" i="167"/>
  <c r="B35" i="167"/>
  <c r="B36" i="167"/>
  <c r="B37" i="167"/>
  <c r="B38" i="167"/>
  <c r="B39" i="167"/>
  <c r="B40" i="167"/>
  <c r="B41" i="167"/>
  <c r="B42" i="167"/>
  <c r="B43" i="167"/>
  <c r="B44" i="167"/>
  <c r="B45" i="167"/>
  <c r="B46" i="167"/>
  <c r="B47" i="167"/>
  <c r="B48" i="167"/>
  <c r="B49" i="167"/>
  <c r="B50" i="167"/>
  <c r="B51" i="167"/>
  <c r="B52" i="167"/>
  <c r="B53" i="167"/>
  <c r="B54" i="167"/>
  <c r="B55" i="167"/>
  <c r="B56" i="167"/>
  <c r="B57" i="167"/>
  <c r="B58" i="167"/>
  <c r="B59" i="167"/>
  <c r="L59" i="167"/>
  <c r="J60" i="167"/>
  <c r="I59" i="167"/>
  <c r="H59" i="167"/>
  <c r="K59" i="167"/>
  <c r="J59" i="167"/>
  <c r="L58" i="167"/>
  <c r="K58" i="167"/>
  <c r="J58" i="167"/>
  <c r="I58" i="167"/>
  <c r="H58" i="167"/>
  <c r="L57" i="167"/>
  <c r="K57" i="167"/>
  <c r="J57" i="167"/>
  <c r="I57" i="167"/>
  <c r="H57" i="167"/>
  <c r="L56" i="167"/>
  <c r="K56" i="167"/>
  <c r="J56" i="167"/>
  <c r="I56" i="167"/>
  <c r="H56" i="167"/>
  <c r="L55" i="167"/>
  <c r="K55" i="167"/>
  <c r="J55" i="167"/>
  <c r="I55" i="167"/>
  <c r="H55" i="167"/>
  <c r="L54" i="167"/>
  <c r="K54" i="167"/>
  <c r="J54" i="167"/>
  <c r="I54" i="167"/>
  <c r="H54" i="167"/>
  <c r="L53" i="167"/>
  <c r="K53" i="167"/>
  <c r="J53" i="167"/>
  <c r="I53" i="167"/>
  <c r="H53" i="167"/>
  <c r="L52" i="167"/>
  <c r="K52" i="167"/>
  <c r="J52" i="167"/>
  <c r="I52" i="167"/>
  <c r="H52" i="167"/>
  <c r="L51" i="167"/>
  <c r="K51" i="167"/>
  <c r="J51" i="167"/>
  <c r="I51" i="167"/>
  <c r="H51" i="167"/>
  <c r="L50" i="167"/>
  <c r="K50" i="167"/>
  <c r="J50" i="167"/>
  <c r="I50" i="167"/>
  <c r="H50" i="167"/>
  <c r="L49" i="167"/>
  <c r="K49" i="167"/>
  <c r="J49" i="167"/>
  <c r="I49" i="167"/>
  <c r="H49" i="167"/>
  <c r="L48" i="167"/>
  <c r="K48" i="167"/>
  <c r="J48" i="167"/>
  <c r="I48" i="167"/>
  <c r="H48" i="167"/>
  <c r="L47" i="167"/>
  <c r="K47" i="167"/>
  <c r="J47" i="167"/>
  <c r="I47" i="167"/>
  <c r="H47" i="167"/>
  <c r="L46" i="167"/>
  <c r="K46" i="167"/>
  <c r="J46" i="167"/>
  <c r="I46" i="167"/>
  <c r="H46" i="167"/>
  <c r="L44" i="167"/>
  <c r="K45" i="167"/>
  <c r="J45" i="167"/>
  <c r="I45" i="167"/>
  <c r="H45" i="167"/>
  <c r="K44" i="167"/>
  <c r="J44" i="167"/>
  <c r="I44" i="167"/>
  <c r="H44" i="167"/>
  <c r="L43" i="167"/>
  <c r="K43" i="167"/>
  <c r="J43" i="167"/>
  <c r="I43" i="167"/>
  <c r="H43" i="167"/>
  <c r="L42" i="167"/>
  <c r="K42" i="167"/>
  <c r="J42" i="167"/>
  <c r="I42" i="167"/>
  <c r="H42" i="167"/>
  <c r="L41" i="167"/>
  <c r="K41" i="167"/>
  <c r="J41" i="167"/>
  <c r="I41" i="167"/>
  <c r="H41" i="167"/>
  <c r="L40" i="167"/>
  <c r="K40" i="167"/>
  <c r="J40" i="167"/>
  <c r="I40" i="167"/>
  <c r="H40" i="167"/>
  <c r="L39" i="167"/>
  <c r="K39" i="167"/>
  <c r="J39" i="167"/>
  <c r="I39" i="167"/>
  <c r="H39" i="167"/>
  <c r="L38" i="167"/>
  <c r="K38" i="167"/>
  <c r="J38" i="167"/>
  <c r="I38" i="167"/>
  <c r="H38" i="167"/>
  <c r="L37" i="167"/>
  <c r="K37" i="167"/>
  <c r="J37" i="167"/>
  <c r="I37" i="167"/>
  <c r="H37" i="167"/>
  <c r="L36" i="167"/>
  <c r="K36" i="167"/>
  <c r="J36" i="167"/>
  <c r="I36" i="167"/>
  <c r="H36" i="167"/>
  <c r="L35" i="167"/>
  <c r="K35" i="167"/>
  <c r="J35" i="167"/>
  <c r="I35" i="167"/>
  <c r="H35" i="167"/>
  <c r="L34" i="167"/>
  <c r="K34" i="167"/>
  <c r="J34" i="167"/>
  <c r="I34" i="167"/>
  <c r="H34" i="167"/>
  <c r="L33" i="167"/>
  <c r="K33" i="167"/>
  <c r="J33" i="167"/>
  <c r="I33" i="167"/>
  <c r="H33" i="167"/>
  <c r="L32" i="167"/>
  <c r="K32" i="167"/>
  <c r="J32" i="167"/>
  <c r="I32" i="167"/>
  <c r="H32" i="167"/>
  <c r="L31" i="167"/>
  <c r="K31" i="167"/>
  <c r="J31" i="167"/>
  <c r="I31" i="167"/>
  <c r="H31" i="167"/>
  <c r="L30" i="167"/>
  <c r="K30" i="167"/>
  <c r="J30" i="167"/>
  <c r="I30" i="167"/>
  <c r="H30" i="167"/>
  <c r="L29" i="167"/>
  <c r="K29" i="167"/>
  <c r="J29" i="167"/>
  <c r="I29" i="167"/>
  <c r="H29" i="167"/>
  <c r="L28" i="167"/>
  <c r="K28" i="167"/>
  <c r="J28" i="167"/>
  <c r="I28" i="167"/>
  <c r="H28" i="167"/>
  <c r="L27" i="167"/>
  <c r="K27" i="167"/>
  <c r="J27" i="167"/>
  <c r="I27" i="167"/>
  <c r="H27" i="167"/>
  <c r="L26" i="167"/>
  <c r="K26" i="167"/>
  <c r="J26" i="167"/>
  <c r="I26" i="167"/>
  <c r="H26" i="167"/>
  <c r="L21" i="167"/>
  <c r="K21" i="167"/>
  <c r="J21" i="167"/>
  <c r="I21" i="167"/>
  <c r="H21" i="167"/>
  <c r="HL27" i="96"/>
  <c r="HL28" i="96"/>
  <c r="HL29" i="96"/>
  <c r="HL30" i="96"/>
  <c r="HL31" i="96"/>
  <c r="HL32" i="96"/>
  <c r="HL33" i="96"/>
  <c r="HL34" i="96"/>
  <c r="HL35" i="96"/>
  <c r="HL36" i="96"/>
  <c r="HL37" i="96"/>
  <c r="HL38" i="96"/>
  <c r="HL39" i="96"/>
  <c r="HL40" i="96"/>
  <c r="HL41" i="96"/>
  <c r="HL42" i="96"/>
  <c r="HL43" i="96"/>
  <c r="HL44" i="96"/>
  <c r="HL45" i="96"/>
  <c r="HL46" i="96"/>
  <c r="HL47" i="96"/>
  <c r="HL48" i="96"/>
  <c r="HL49" i="96"/>
  <c r="HL50" i="96"/>
  <c r="HL51" i="96"/>
  <c r="HL52" i="96"/>
  <c r="HL53" i="96"/>
  <c r="HL54" i="96"/>
  <c r="HL55" i="96"/>
  <c r="HL56" i="96"/>
  <c r="HL57" i="96"/>
  <c r="HL58" i="96"/>
  <c r="HL59" i="96"/>
  <c r="HL60" i="96"/>
  <c r="HL22" i="96"/>
  <c r="HK27" i="96"/>
  <c r="HK28" i="96"/>
  <c r="HK29" i="96"/>
  <c r="HK30" i="96"/>
  <c r="HK31" i="96"/>
  <c r="HK32" i="96"/>
  <c r="HK33" i="96"/>
  <c r="HK34" i="96"/>
  <c r="HK35" i="96"/>
  <c r="HK36" i="96"/>
  <c r="HK37" i="96"/>
  <c r="HK38" i="96"/>
  <c r="HK39" i="96"/>
  <c r="HK40" i="96"/>
  <c r="HK41" i="96"/>
  <c r="HK42" i="96"/>
  <c r="HK43" i="96"/>
  <c r="HK44" i="96"/>
  <c r="HK45" i="96"/>
  <c r="HK46" i="96"/>
  <c r="HK47" i="96"/>
  <c r="HK48" i="96"/>
  <c r="HK49" i="96"/>
  <c r="HK50" i="96"/>
  <c r="HK51" i="96"/>
  <c r="HK52" i="96"/>
  <c r="HK53" i="96"/>
  <c r="HK54" i="96"/>
  <c r="HK55" i="96"/>
  <c r="HK56" i="96"/>
  <c r="HK57" i="96"/>
  <c r="HK58" i="96"/>
  <c r="HK59" i="96"/>
  <c r="HK60" i="96"/>
  <c r="HK22" i="96"/>
  <c r="AW22" i="96"/>
  <c r="AW28" i="96"/>
  <c r="AW29" i="96"/>
  <c r="AW30" i="96"/>
  <c r="AW31" i="96"/>
  <c r="AW32" i="96"/>
  <c r="AW33" i="96"/>
  <c r="AW34" i="96"/>
  <c r="AW35" i="96"/>
  <c r="AW36" i="96"/>
  <c r="AW37" i="96"/>
  <c r="AW38" i="96"/>
  <c r="AW39" i="96"/>
  <c r="AW40" i="96"/>
  <c r="AW41" i="96"/>
  <c r="AW42" i="96"/>
  <c r="AW43" i="96"/>
  <c r="AW44" i="96"/>
  <c r="AW45" i="96"/>
  <c r="AW46" i="96"/>
  <c r="AW47" i="96"/>
  <c r="AW48" i="96"/>
  <c r="AW49" i="96"/>
  <c r="AW50" i="96"/>
  <c r="AW51" i="96"/>
  <c r="AW52" i="96"/>
  <c r="AW53" i="96"/>
  <c r="AW54" i="96"/>
  <c r="AW55" i="96"/>
  <c r="AW56" i="96"/>
  <c r="AW57" i="96"/>
  <c r="AW58" i="96"/>
  <c r="AW59" i="96"/>
  <c r="AW60" i="96"/>
  <c r="AW27" i="96"/>
  <c r="F27" i="126"/>
  <c r="JT28" i="96"/>
  <c r="G27" i="126"/>
  <c r="E27" i="126"/>
  <c r="JY28" i="96"/>
  <c r="Q27" i="137"/>
  <c r="F28" i="126"/>
  <c r="JT29" i="96"/>
  <c r="G28" i="126"/>
  <c r="E28" i="126"/>
  <c r="JY29" i="96"/>
  <c r="Q28" i="137"/>
  <c r="F29" i="126"/>
  <c r="JT30" i="96"/>
  <c r="G29" i="126"/>
  <c r="E29" i="126"/>
  <c r="JY30" i="96"/>
  <c r="Q29" i="137"/>
  <c r="F30" i="126"/>
  <c r="JT31" i="96"/>
  <c r="G30" i="126"/>
  <c r="E30" i="126"/>
  <c r="JY31" i="96"/>
  <c r="Q30" i="137"/>
  <c r="F31" i="126"/>
  <c r="JT32" i="96"/>
  <c r="G31" i="126"/>
  <c r="E31" i="126"/>
  <c r="JY32" i="96"/>
  <c r="Q31" i="137"/>
  <c r="F32" i="126"/>
  <c r="JT33" i="96"/>
  <c r="G32" i="126"/>
  <c r="E32" i="126"/>
  <c r="JY33" i="96"/>
  <c r="Q32" i="137"/>
  <c r="F33" i="126"/>
  <c r="G33" i="126"/>
  <c r="E33" i="126"/>
  <c r="Q33" i="137"/>
  <c r="F34" i="126"/>
  <c r="JT35" i="96"/>
  <c r="G34" i="126"/>
  <c r="E34" i="126"/>
  <c r="JY35" i="96"/>
  <c r="Q34" i="137"/>
  <c r="F35" i="126"/>
  <c r="JT36" i="96"/>
  <c r="G35" i="126"/>
  <c r="E35" i="126"/>
  <c r="JY36" i="96"/>
  <c r="Q35" i="137"/>
  <c r="F36" i="126"/>
  <c r="JT37" i="96"/>
  <c r="G36" i="126"/>
  <c r="E36" i="126"/>
  <c r="JY37" i="96"/>
  <c r="Q36" i="137"/>
  <c r="F37" i="126"/>
  <c r="JT38" i="96"/>
  <c r="G37" i="126"/>
  <c r="E37" i="126"/>
  <c r="JY38" i="96"/>
  <c r="Q37" i="137"/>
  <c r="F38" i="126"/>
  <c r="G38" i="126"/>
  <c r="E38" i="126"/>
  <c r="Q38" i="137"/>
  <c r="F39" i="126"/>
  <c r="G39" i="126"/>
  <c r="E39" i="126"/>
  <c r="Q39" i="137"/>
  <c r="F40" i="126"/>
  <c r="G40" i="126"/>
  <c r="E40" i="126"/>
  <c r="Q40" i="137"/>
  <c r="F41" i="126"/>
  <c r="G41" i="126"/>
  <c r="E41" i="126"/>
  <c r="Q41" i="137"/>
  <c r="Q42" i="137"/>
  <c r="Q43" i="137"/>
  <c r="Q44" i="137"/>
  <c r="Q45" i="137"/>
  <c r="Q46" i="137"/>
  <c r="Q47" i="137"/>
  <c r="Q48" i="137"/>
  <c r="Q49" i="137"/>
  <c r="Q50" i="137"/>
  <c r="Q51" i="137"/>
  <c r="Q52" i="137"/>
  <c r="Q53" i="137"/>
  <c r="Q54" i="137"/>
  <c r="Q55" i="137"/>
  <c r="Q56" i="137"/>
  <c r="Q57" i="137"/>
  <c r="Q58" i="137"/>
  <c r="Q59" i="137"/>
  <c r="F26" i="126"/>
  <c r="G26" i="126"/>
  <c r="E26" i="126"/>
  <c r="Q26" i="137"/>
  <c r="F21" i="126"/>
  <c r="G21" i="126"/>
  <c r="E21" i="126"/>
  <c r="Q21" i="137"/>
  <c r="JP22" i="96"/>
  <c r="F21" i="137"/>
  <c r="I21" i="126"/>
  <c r="D21" i="138"/>
  <c r="KA22" i="96"/>
  <c r="G21" i="137"/>
  <c r="J21" i="126"/>
  <c r="E21" i="138"/>
  <c r="C21" i="138"/>
  <c r="I21" i="137"/>
  <c r="G21" i="138"/>
  <c r="J21" i="137"/>
  <c r="H21" i="138"/>
  <c r="F21" i="138"/>
  <c r="I21" i="138"/>
  <c r="JR74" i="9" a="1"/>
  <c r="JR108" i="9"/>
  <c r="JO74" i="9" a="1"/>
  <c r="JO108" i="9"/>
  <c r="JP74" i="9" a="1"/>
  <c r="JP108" i="9"/>
  <c r="JN108" i="9"/>
  <c r="JM74" i="9" a="1"/>
  <c r="JM108" i="9"/>
  <c r="JL74" i="9" a="1"/>
  <c r="JL108" i="9"/>
  <c r="JK74" i="9" a="1"/>
  <c r="JK108" i="9"/>
  <c r="JJ74" i="9" a="1"/>
  <c r="JJ108" i="9"/>
  <c r="JS108" i="9"/>
  <c r="KQ108" i="9"/>
  <c r="LE108" i="9"/>
  <c r="C60" i="137"/>
  <c r="KU74" i="9" a="1"/>
  <c r="KU108" i="9"/>
  <c r="E60" i="124"/>
  <c r="B60" i="126"/>
  <c r="B60" i="137"/>
  <c r="P60" i="137"/>
  <c r="O47" i="131"/>
  <c r="O46" i="131"/>
  <c r="IL96" i="83"/>
  <c r="IN96" i="83"/>
  <c r="O48" i="131"/>
  <c r="IL97" i="83"/>
  <c r="IN97" i="83"/>
  <c r="O49" i="131"/>
  <c r="O55" i="131"/>
  <c r="O56" i="131"/>
  <c r="O57" i="131"/>
  <c r="O58" i="131"/>
  <c r="O59" i="131"/>
  <c r="O50" i="131"/>
  <c r="O51" i="131"/>
  <c r="O52" i="131"/>
  <c r="O53" i="131"/>
  <c r="O54" i="131"/>
  <c r="O42" i="131"/>
  <c r="O43" i="131"/>
  <c r="O44" i="131"/>
  <c r="O45" i="131"/>
  <c r="O41" i="131"/>
  <c r="BW35" i="96"/>
  <c r="BW36" i="96"/>
  <c r="BW37" i="96"/>
  <c r="BW38" i="96"/>
  <c r="BW39" i="96"/>
  <c r="BW40" i="96"/>
  <c r="BW41" i="96"/>
  <c r="BW42" i="96"/>
  <c r="L68" i="115"/>
  <c r="E68" i="116"/>
  <c r="L69" i="115"/>
  <c r="E69" i="116"/>
  <c r="L70" i="115"/>
  <c r="E70" i="116"/>
  <c r="BW28" i="96"/>
  <c r="BW29" i="96"/>
  <c r="BW30" i="96"/>
  <c r="BW31" i="96"/>
  <c r="BW32" i="96"/>
  <c r="BW33" i="96"/>
  <c r="BW34" i="96"/>
  <c r="L67" i="115"/>
  <c r="E67" i="116"/>
  <c r="H34" i="116"/>
  <c r="F34" i="116"/>
  <c r="G34" i="116"/>
  <c r="E34" i="116"/>
  <c r="I34" i="116"/>
  <c r="K34" i="116"/>
  <c r="C34" i="116"/>
  <c r="H35" i="116"/>
  <c r="F35" i="116"/>
  <c r="G35" i="116"/>
  <c r="E35" i="116"/>
  <c r="I35" i="116"/>
  <c r="K35" i="116"/>
  <c r="C35" i="116"/>
  <c r="H36" i="116"/>
  <c r="F36" i="116"/>
  <c r="G36" i="116"/>
  <c r="E36" i="116"/>
  <c r="I36" i="116"/>
  <c r="K36" i="116"/>
  <c r="C36" i="116"/>
  <c r="H37" i="116"/>
  <c r="F37" i="116"/>
  <c r="G37" i="116"/>
  <c r="E37" i="116"/>
  <c r="I37" i="116"/>
  <c r="K37" i="116"/>
  <c r="C37" i="116"/>
  <c r="H38" i="116"/>
  <c r="F38" i="116"/>
  <c r="G38" i="116"/>
  <c r="E38" i="116"/>
  <c r="I38" i="116"/>
  <c r="K38" i="116"/>
  <c r="C38" i="116"/>
  <c r="H39" i="116"/>
  <c r="F39" i="116"/>
  <c r="G39" i="116"/>
  <c r="E39" i="116"/>
  <c r="I39" i="116"/>
  <c r="K39" i="116"/>
  <c r="C39" i="116"/>
  <c r="H40" i="116"/>
  <c r="F40" i="116"/>
  <c r="G40" i="116"/>
  <c r="E40" i="116"/>
  <c r="I40" i="116"/>
  <c r="K40" i="116"/>
  <c r="C40" i="116"/>
  <c r="H41" i="116"/>
  <c r="F41" i="116"/>
  <c r="G41" i="116"/>
  <c r="E41" i="116"/>
  <c r="I41" i="116"/>
  <c r="K41" i="116"/>
  <c r="C41" i="116"/>
  <c r="H42" i="116"/>
  <c r="F42" i="116"/>
  <c r="G42" i="116"/>
  <c r="E42" i="116"/>
  <c r="I42" i="116"/>
  <c r="K42" i="116"/>
  <c r="C42" i="116"/>
  <c r="H43" i="116"/>
  <c r="F43" i="116"/>
  <c r="G43" i="116"/>
  <c r="E43" i="116"/>
  <c r="I43" i="116"/>
  <c r="K43" i="116"/>
  <c r="C43" i="116"/>
  <c r="D34" i="116"/>
  <c r="D35" i="116"/>
  <c r="D36" i="116"/>
  <c r="D37" i="116"/>
  <c r="D38" i="116"/>
  <c r="D39" i="116"/>
  <c r="D40" i="116"/>
  <c r="D41" i="116"/>
  <c r="D42" i="116"/>
  <c r="D43" i="116"/>
  <c r="C68" i="116"/>
  <c r="H22" i="116"/>
  <c r="F22" i="116"/>
  <c r="G22" i="116"/>
  <c r="E22" i="116"/>
  <c r="I22" i="116"/>
  <c r="J22" i="116"/>
  <c r="H23" i="116"/>
  <c r="F23" i="116"/>
  <c r="G23" i="116"/>
  <c r="E23" i="116"/>
  <c r="I23" i="116"/>
  <c r="J23" i="116"/>
  <c r="H24" i="116"/>
  <c r="F24" i="116"/>
  <c r="G24" i="116"/>
  <c r="E24" i="116"/>
  <c r="I24" i="116"/>
  <c r="JC72" i="83"/>
  <c r="J24" i="116"/>
  <c r="H25" i="116"/>
  <c r="F25" i="116"/>
  <c r="G25" i="116"/>
  <c r="E25" i="116"/>
  <c r="I25" i="116"/>
  <c r="J25" i="116"/>
  <c r="H26" i="116"/>
  <c r="F26" i="116"/>
  <c r="G26" i="116"/>
  <c r="E26" i="116"/>
  <c r="I26" i="116"/>
  <c r="J26" i="116"/>
  <c r="H27" i="116"/>
  <c r="F27" i="116"/>
  <c r="G27" i="116"/>
  <c r="E27" i="116"/>
  <c r="I27" i="116"/>
  <c r="J27" i="116"/>
  <c r="H28" i="116"/>
  <c r="F28" i="116"/>
  <c r="G28" i="116"/>
  <c r="E28" i="116"/>
  <c r="I28" i="116"/>
  <c r="J28" i="116"/>
  <c r="H29" i="116"/>
  <c r="F29" i="116"/>
  <c r="G29" i="116"/>
  <c r="E29" i="116"/>
  <c r="I29" i="116"/>
  <c r="J29" i="116"/>
  <c r="H30" i="116"/>
  <c r="F30" i="116"/>
  <c r="G30" i="116"/>
  <c r="E30" i="116"/>
  <c r="I30" i="116"/>
  <c r="J30" i="116"/>
  <c r="H31" i="116"/>
  <c r="F31" i="116"/>
  <c r="G31" i="116"/>
  <c r="E31" i="116"/>
  <c r="I31" i="116"/>
  <c r="J31" i="116"/>
  <c r="H32" i="116"/>
  <c r="F32" i="116"/>
  <c r="G32" i="116"/>
  <c r="E32" i="116"/>
  <c r="I32" i="116"/>
  <c r="J32" i="116"/>
  <c r="H33" i="116"/>
  <c r="F33" i="116"/>
  <c r="G33" i="116"/>
  <c r="E33" i="116"/>
  <c r="I33" i="116"/>
  <c r="J33" i="116"/>
  <c r="J34" i="116"/>
  <c r="J35" i="116"/>
  <c r="J36" i="116"/>
  <c r="J37" i="116"/>
  <c r="J38" i="116"/>
  <c r="J39" i="116"/>
  <c r="J40" i="116"/>
  <c r="J41" i="116"/>
  <c r="J42" i="116"/>
  <c r="J43" i="116"/>
  <c r="H44" i="116"/>
  <c r="F44" i="116"/>
  <c r="G44" i="116"/>
  <c r="E44" i="116"/>
  <c r="I44" i="116"/>
  <c r="J44" i="116"/>
  <c r="H45" i="116"/>
  <c r="F45" i="116"/>
  <c r="G45" i="116"/>
  <c r="E45" i="116"/>
  <c r="I45" i="116"/>
  <c r="J45" i="116"/>
  <c r="H46" i="116"/>
  <c r="F46" i="116"/>
  <c r="G46" i="116"/>
  <c r="E46" i="116"/>
  <c r="I46" i="116"/>
  <c r="J46" i="116"/>
  <c r="H47" i="116"/>
  <c r="F47" i="116"/>
  <c r="G47" i="116"/>
  <c r="E47" i="116"/>
  <c r="I47" i="116"/>
  <c r="J47" i="116"/>
  <c r="H48" i="116"/>
  <c r="F48" i="116"/>
  <c r="G48" i="116"/>
  <c r="E48" i="116"/>
  <c r="I48" i="116"/>
  <c r="J48" i="116"/>
  <c r="H49" i="116"/>
  <c r="F49" i="116"/>
  <c r="G49" i="116"/>
  <c r="E49" i="116"/>
  <c r="I49" i="116"/>
  <c r="J49" i="116"/>
  <c r="H50" i="116"/>
  <c r="F50" i="116"/>
  <c r="G50" i="116"/>
  <c r="E50" i="116"/>
  <c r="I50" i="116"/>
  <c r="J50" i="116"/>
  <c r="H51" i="116"/>
  <c r="F51" i="116"/>
  <c r="G51" i="116"/>
  <c r="E51" i="116"/>
  <c r="I51" i="116"/>
  <c r="J51" i="116"/>
  <c r="H52" i="116"/>
  <c r="F52" i="116"/>
  <c r="G52" i="116"/>
  <c r="E52" i="116"/>
  <c r="I52" i="116"/>
  <c r="J52" i="116"/>
  <c r="H53" i="116"/>
  <c r="F53" i="116"/>
  <c r="G53" i="116"/>
  <c r="E53" i="116"/>
  <c r="I53" i="116"/>
  <c r="J53" i="116"/>
  <c r="H54" i="116"/>
  <c r="F54" i="116"/>
  <c r="G54" i="116"/>
  <c r="E54" i="116"/>
  <c r="I54" i="116"/>
  <c r="J54" i="116"/>
  <c r="H55" i="116"/>
  <c r="F55" i="116"/>
  <c r="G55" i="116"/>
  <c r="E55" i="116"/>
  <c r="I55" i="116"/>
  <c r="J55" i="116"/>
  <c r="H56" i="116"/>
  <c r="F56" i="116"/>
  <c r="G56" i="116"/>
  <c r="E56" i="116"/>
  <c r="I56" i="116"/>
  <c r="J56" i="116"/>
  <c r="H57" i="116"/>
  <c r="F57" i="116"/>
  <c r="G57" i="116"/>
  <c r="E57" i="116"/>
  <c r="I57" i="116"/>
  <c r="J57" i="116"/>
  <c r="H58" i="116"/>
  <c r="F58" i="116"/>
  <c r="G58" i="116"/>
  <c r="E58" i="116"/>
  <c r="I58" i="116"/>
  <c r="J58" i="116"/>
  <c r="H59" i="116"/>
  <c r="F59" i="116"/>
  <c r="G59" i="116"/>
  <c r="E59" i="116"/>
  <c r="I59" i="116"/>
  <c r="J59" i="116"/>
  <c r="H21" i="116"/>
  <c r="F21" i="116"/>
  <c r="G21" i="116"/>
  <c r="E21" i="116"/>
  <c r="I21" i="116"/>
  <c r="J21" i="116"/>
  <c r="FO39" i="96"/>
  <c r="FO40" i="96"/>
  <c r="FO41" i="96"/>
  <c r="FO42" i="96"/>
  <c r="FO43" i="96"/>
  <c r="FO44" i="96"/>
  <c r="FO45" i="96"/>
  <c r="FO46" i="96"/>
  <c r="FO47" i="96"/>
  <c r="FO48" i="96"/>
  <c r="FO49" i="96"/>
  <c r="FO50" i="96"/>
  <c r="FO51" i="96"/>
  <c r="FO52" i="96"/>
  <c r="FO53" i="96"/>
  <c r="FO54" i="96"/>
  <c r="FO55" i="96"/>
  <c r="FO56" i="96"/>
  <c r="FO57" i="96"/>
  <c r="FO58" i="96"/>
  <c r="FO59" i="96"/>
  <c r="FO60" i="96"/>
  <c r="CR60" i="96"/>
  <c r="EM60" i="96"/>
  <c r="EL60" i="96"/>
  <c r="EK60" i="96"/>
  <c r="CR58" i="96"/>
  <c r="EM58" i="96"/>
  <c r="EL58" i="96"/>
  <c r="EK58" i="96"/>
  <c r="CR108" i="9"/>
  <c r="KD108" i="9"/>
  <c r="LW108" i="9"/>
  <c r="AD74" i="83" a="1"/>
  <c r="AD108" i="83"/>
  <c r="MF74" i="9" a="1"/>
  <c r="MF108" i="9"/>
  <c r="CR107" i="9"/>
  <c r="KD107" i="9"/>
  <c r="LW107" i="9"/>
  <c r="AD107" i="83"/>
  <c r="MF107" i="9"/>
  <c r="CR106" i="9"/>
  <c r="KD106" i="9"/>
  <c r="LW106" i="9"/>
  <c r="AD106" i="83"/>
  <c r="MF106" i="9"/>
  <c r="CR105" i="9"/>
  <c r="KD105" i="9"/>
  <c r="LW105" i="9"/>
  <c r="AD105" i="83"/>
  <c r="MF105" i="9"/>
  <c r="CR104" i="9"/>
  <c r="KD104" i="9"/>
  <c r="LW104" i="9"/>
  <c r="AD104" i="83"/>
  <c r="MF104" i="9"/>
  <c r="CR103" i="9"/>
  <c r="KD103" i="9"/>
  <c r="LW103" i="9"/>
  <c r="AD103" i="83"/>
  <c r="MF103" i="9"/>
  <c r="CR102" i="9"/>
  <c r="KD102" i="9"/>
  <c r="LW102" i="9"/>
  <c r="AD102" i="83"/>
  <c r="MF102" i="9"/>
  <c r="CR101" i="9"/>
  <c r="KD101" i="9"/>
  <c r="LW101" i="9"/>
  <c r="AD101" i="83"/>
  <c r="MF101" i="9"/>
  <c r="CR100" i="9"/>
  <c r="KD100" i="9"/>
  <c r="LW100" i="9"/>
  <c r="AD100" i="83"/>
  <c r="MF100" i="9"/>
  <c r="CR99" i="9"/>
  <c r="KD99" i="9"/>
  <c r="LW99" i="9"/>
  <c r="AD99" i="83"/>
  <c r="MF99" i="9"/>
  <c r="CR98" i="9"/>
  <c r="KD98" i="9"/>
  <c r="LW98" i="9"/>
  <c r="AD98" i="83"/>
  <c r="MF98" i="9"/>
  <c r="CR97" i="9"/>
  <c r="KD97" i="9"/>
  <c r="LW97" i="9"/>
  <c r="AD97" i="83"/>
  <c r="MF97" i="9"/>
  <c r="CR96" i="9"/>
  <c r="KD96" i="9"/>
  <c r="LW96" i="9"/>
  <c r="AD96" i="83"/>
  <c r="MF96" i="9"/>
  <c r="CR95" i="9"/>
  <c r="KD95" i="9"/>
  <c r="LW95" i="9"/>
  <c r="AD95" i="83"/>
  <c r="MF95" i="9"/>
  <c r="CR94" i="9"/>
  <c r="KD94" i="9"/>
  <c r="LW94" i="9"/>
  <c r="AD94" i="83"/>
  <c r="MF94" i="9"/>
  <c r="CR93" i="9"/>
  <c r="KD93" i="9"/>
  <c r="LW93" i="9"/>
  <c r="AD93" i="83"/>
  <c r="MF93" i="9"/>
  <c r="CR92" i="9"/>
  <c r="KD92" i="9"/>
  <c r="LW92" i="9"/>
  <c r="AD92" i="83"/>
  <c r="MF92" i="9"/>
  <c r="CR91" i="9"/>
  <c r="KD91" i="9"/>
  <c r="LW91" i="9"/>
  <c r="AD91" i="83"/>
  <c r="MF91" i="9"/>
  <c r="CR90" i="9"/>
  <c r="KD90" i="9"/>
  <c r="LW90" i="9"/>
  <c r="AD90" i="83"/>
  <c r="MF90" i="9"/>
  <c r="CR89" i="9"/>
  <c r="KD89" i="9"/>
  <c r="LW89" i="9"/>
  <c r="AD89" i="83"/>
  <c r="MF89" i="9"/>
  <c r="CR88" i="9"/>
  <c r="KD88" i="9"/>
  <c r="LW88" i="9"/>
  <c r="AD88" i="83"/>
  <c r="MF88" i="9"/>
  <c r="CR87" i="9"/>
  <c r="KD87" i="9"/>
  <c r="LW87" i="9"/>
  <c r="AD87" i="83"/>
  <c r="MF87" i="9"/>
  <c r="CR86" i="9"/>
  <c r="KD86" i="9"/>
  <c r="LW86" i="9"/>
  <c r="AD86" i="83"/>
  <c r="MF86" i="9"/>
  <c r="CR85" i="9"/>
  <c r="KD85" i="9"/>
  <c r="LW85" i="9"/>
  <c r="AD85" i="83"/>
  <c r="MF85" i="9"/>
  <c r="CR84" i="9"/>
  <c r="KD84" i="9"/>
  <c r="LW84" i="9"/>
  <c r="AD84" i="83"/>
  <c r="MF84" i="9"/>
  <c r="CR83" i="9"/>
  <c r="KD83" i="9"/>
  <c r="LW83" i="9"/>
  <c r="AD83" i="83"/>
  <c r="MF83" i="9"/>
  <c r="CR82" i="9"/>
  <c r="KD82" i="9"/>
  <c r="LW82" i="9"/>
  <c r="AD82" i="83"/>
  <c r="MF82" i="9"/>
  <c r="CR81" i="9"/>
  <c r="KD81" i="9"/>
  <c r="LW81" i="9"/>
  <c r="AD81" i="83"/>
  <c r="MF81" i="9"/>
  <c r="CR80" i="9"/>
  <c r="KD80" i="9"/>
  <c r="LW80" i="9"/>
  <c r="AD80" i="83"/>
  <c r="MF80" i="9"/>
  <c r="CR79" i="9"/>
  <c r="KD79" i="9"/>
  <c r="LW79" i="9"/>
  <c r="AD79" i="83"/>
  <c r="MF79" i="9"/>
  <c r="CR78" i="9"/>
  <c r="KD78" i="9"/>
  <c r="LW78" i="9"/>
  <c r="AD78" i="83"/>
  <c r="MF78" i="9"/>
  <c r="CR77" i="9"/>
  <c r="KD77" i="9"/>
  <c r="LW77" i="9"/>
  <c r="AD77" i="83"/>
  <c r="MF77" i="9"/>
  <c r="CR76" i="9"/>
  <c r="KD76" i="9"/>
  <c r="LW76" i="9"/>
  <c r="AD76" i="83"/>
  <c r="MF76" i="9"/>
  <c r="CR75" i="9"/>
  <c r="KD75" i="9"/>
  <c r="LW75" i="9"/>
  <c r="AD75" i="83"/>
  <c r="MF75" i="9"/>
  <c r="LW74" i="9"/>
  <c r="AD74" i="83"/>
  <c r="MF74" i="9"/>
  <c r="MC73" i="9"/>
  <c r="LY74" i="9"/>
  <c r="LY73" i="9"/>
  <c r="LX73" i="9"/>
  <c r="MF73" i="9"/>
  <c r="IM74" i="9" a="1"/>
  <c r="IM74" i="9"/>
  <c r="KD73" i="9"/>
  <c r="LW73" i="9"/>
  <c r="KC73" i="9"/>
  <c r="MG73" i="9"/>
  <c r="MC72" i="9"/>
  <c r="LY72" i="9"/>
  <c r="LX72" i="9"/>
  <c r="MF72" i="9"/>
  <c r="KD72" i="9"/>
  <c r="LW72" i="9"/>
  <c r="KC72" i="9"/>
  <c r="MG72" i="9"/>
  <c r="MC71" i="9"/>
  <c r="LY71" i="9"/>
  <c r="LX71" i="9"/>
  <c r="MF71" i="9"/>
  <c r="KD71" i="9"/>
  <c r="LW71" i="9"/>
  <c r="KC71" i="9"/>
  <c r="MG71" i="9"/>
  <c r="MC70" i="9"/>
  <c r="LY70" i="9"/>
  <c r="LX70" i="9"/>
  <c r="MF70" i="9"/>
  <c r="KD70" i="9"/>
  <c r="LW70" i="9"/>
  <c r="KC70" i="9"/>
  <c r="MG70" i="9"/>
  <c r="MC69" i="9"/>
  <c r="LY69" i="9"/>
  <c r="LX69" i="9"/>
  <c r="MF69" i="9"/>
  <c r="KD69" i="9"/>
  <c r="LW69" i="9"/>
  <c r="KC69" i="9"/>
  <c r="MG69" i="9"/>
  <c r="MC68" i="9"/>
  <c r="LY68" i="9"/>
  <c r="LX68" i="9"/>
  <c r="MF68" i="9"/>
  <c r="KD68" i="9"/>
  <c r="LW68" i="9"/>
  <c r="KC68" i="9"/>
  <c r="MG68" i="9"/>
  <c r="MC67" i="9"/>
  <c r="LY67" i="9"/>
  <c r="LX67" i="9"/>
  <c r="MF67" i="9"/>
  <c r="KD67" i="9"/>
  <c r="LW67" i="9"/>
  <c r="KC67" i="9"/>
  <c r="MG67" i="9"/>
  <c r="MC66" i="9"/>
  <c r="LY66" i="9"/>
  <c r="LX66" i="9"/>
  <c r="MF66" i="9"/>
  <c r="KD66" i="9"/>
  <c r="LW66" i="9"/>
  <c r="KC66" i="9"/>
  <c r="MG66" i="9"/>
  <c r="MC65" i="9"/>
  <c r="LY65" i="9"/>
  <c r="LX65" i="9"/>
  <c r="MF65" i="9"/>
  <c r="KD65" i="9"/>
  <c r="LW65" i="9"/>
  <c r="KC65" i="9"/>
  <c r="MG65" i="9"/>
  <c r="MC64" i="9"/>
  <c r="LY64" i="9"/>
  <c r="LX64" i="9"/>
  <c r="MF64" i="9"/>
  <c r="KD64" i="9"/>
  <c r="LW64" i="9"/>
  <c r="KC64" i="9"/>
  <c r="MG64" i="9"/>
  <c r="MC63" i="9"/>
  <c r="LY63" i="9"/>
  <c r="LX63" i="9"/>
  <c r="MF63" i="9"/>
  <c r="KD63" i="9"/>
  <c r="LW63" i="9"/>
  <c r="KC63" i="9"/>
  <c r="MG63" i="9"/>
  <c r="MC62" i="9"/>
  <c r="LY62" i="9"/>
  <c r="LX62" i="9"/>
  <c r="MF62" i="9"/>
  <c r="KD62" i="9"/>
  <c r="LW62" i="9"/>
  <c r="KC62" i="9"/>
  <c r="MG62" i="9"/>
  <c r="MC61" i="9"/>
  <c r="LY61" i="9"/>
  <c r="LX61" i="9"/>
  <c r="MF61" i="9"/>
  <c r="KD61" i="9"/>
  <c r="LW61" i="9"/>
  <c r="KC61" i="9"/>
  <c r="MG61" i="9"/>
  <c r="MC60" i="9"/>
  <c r="LY60" i="9"/>
  <c r="LX60" i="9"/>
  <c r="MF60" i="9"/>
  <c r="KD60" i="9"/>
  <c r="LW60" i="9"/>
  <c r="KC60" i="9"/>
  <c r="MG60" i="9"/>
  <c r="MC59" i="9"/>
  <c r="LY59" i="9"/>
  <c r="LX59" i="9"/>
  <c r="MF59" i="9"/>
  <c r="KD59" i="9"/>
  <c r="LW59" i="9"/>
  <c r="KC59" i="9"/>
  <c r="MG59" i="9"/>
  <c r="MC58" i="9"/>
  <c r="LY58" i="9"/>
  <c r="LX58" i="9"/>
  <c r="MF58" i="9"/>
  <c r="KD58" i="9"/>
  <c r="LW58" i="9"/>
  <c r="KC58" i="9"/>
  <c r="MG58" i="9"/>
  <c r="J11" i="117"/>
  <c r="J12" i="117"/>
  <c r="J13" i="117"/>
  <c r="J14" i="117"/>
  <c r="J15" i="117"/>
  <c r="J16" i="117"/>
  <c r="J17" i="117"/>
  <c r="J18" i="117"/>
  <c r="J19" i="117"/>
  <c r="J20" i="117"/>
  <c r="J21" i="117"/>
  <c r="J22" i="117"/>
  <c r="J23" i="117"/>
  <c r="J24" i="117"/>
  <c r="J25" i="117"/>
  <c r="J26" i="117"/>
  <c r="J27" i="117"/>
  <c r="J28" i="117"/>
  <c r="J29" i="117"/>
  <c r="J30" i="117"/>
  <c r="J31" i="117"/>
  <c r="J32" i="117"/>
  <c r="J33" i="117"/>
  <c r="J34" i="117"/>
  <c r="J35" i="117"/>
  <c r="J36" i="117"/>
  <c r="J37" i="117"/>
  <c r="J38" i="117"/>
  <c r="J39" i="117"/>
  <c r="J40" i="117"/>
  <c r="J41" i="117"/>
  <c r="J42" i="117"/>
  <c r="J43" i="117"/>
  <c r="J44" i="117"/>
  <c r="J45" i="117"/>
  <c r="J46" i="117"/>
  <c r="J47" i="117"/>
  <c r="J48" i="117"/>
  <c r="J49" i="117"/>
  <c r="J50" i="117"/>
  <c r="J51" i="117"/>
  <c r="J52" i="117"/>
  <c r="J53" i="117"/>
  <c r="J54" i="117"/>
  <c r="J55" i="117"/>
  <c r="J56" i="117"/>
  <c r="J57" i="117"/>
  <c r="J58" i="117"/>
  <c r="J59" i="117"/>
  <c r="J60" i="117"/>
  <c r="J10" i="117"/>
  <c r="CD11" i="96"/>
  <c r="CP11" i="96"/>
  <c r="BY11" i="96"/>
  <c r="CB11" i="96"/>
  <c r="CE11" i="96"/>
  <c r="CH11" i="96"/>
  <c r="CK11" i="96"/>
  <c r="CN11" i="96"/>
  <c r="CQ11" i="96"/>
  <c r="BY12" i="96"/>
  <c r="CB12" i="96"/>
  <c r="CE12" i="96"/>
  <c r="CH12" i="96"/>
  <c r="CK12" i="96"/>
  <c r="CN12" i="96"/>
  <c r="CQ12" i="96"/>
  <c r="BY13" i="96"/>
  <c r="CB13" i="96"/>
  <c r="CE13" i="96"/>
  <c r="CH13" i="96"/>
  <c r="CK13" i="96"/>
  <c r="CN13" i="96"/>
  <c r="CQ13" i="96"/>
  <c r="BY14" i="96"/>
  <c r="CB14" i="96"/>
  <c r="CE14" i="96"/>
  <c r="CH14" i="96"/>
  <c r="CK14" i="96"/>
  <c r="CN14" i="96"/>
  <c r="CQ14" i="96"/>
  <c r="BY15" i="96"/>
  <c r="CB15" i="96"/>
  <c r="CE15" i="96"/>
  <c r="CH15" i="96"/>
  <c r="CK15" i="96"/>
  <c r="CN15" i="96"/>
  <c r="CQ15" i="96"/>
  <c r="BY16" i="96"/>
  <c r="CB16" i="96"/>
  <c r="CE16" i="96"/>
  <c r="CH16" i="96"/>
  <c r="CK16" i="96"/>
  <c r="CN16" i="96"/>
  <c r="CQ16" i="96"/>
  <c r="BY17" i="96"/>
  <c r="CB17" i="96"/>
  <c r="CE17" i="96"/>
  <c r="CH17" i="96"/>
  <c r="CK17" i="96"/>
  <c r="CN17" i="96"/>
  <c r="CQ17" i="96"/>
  <c r="BY18" i="96"/>
  <c r="CB18" i="96"/>
  <c r="CE18" i="96"/>
  <c r="CH18" i="96"/>
  <c r="CK18" i="96"/>
  <c r="CN18" i="96"/>
  <c r="CQ18" i="96"/>
  <c r="BY19" i="96"/>
  <c r="CB19" i="96"/>
  <c r="CE19" i="96"/>
  <c r="CH19" i="96"/>
  <c r="CK19" i="96"/>
  <c r="CN19" i="96"/>
  <c r="CQ19" i="96"/>
  <c r="BY20" i="96"/>
  <c r="CB20" i="96"/>
  <c r="CE20" i="96"/>
  <c r="CH20" i="96"/>
  <c r="CK20" i="96"/>
  <c r="CN20" i="96"/>
  <c r="CQ20" i="96"/>
  <c r="BY21" i="96"/>
  <c r="CB21" i="96"/>
  <c r="CE21" i="96"/>
  <c r="CH21" i="96"/>
  <c r="CK21" i="96"/>
  <c r="CN21" i="96"/>
  <c r="CQ21" i="96"/>
  <c r="CP22" i="96"/>
  <c r="BY22" i="96"/>
  <c r="CB22" i="96"/>
  <c r="CE22" i="96"/>
  <c r="CH22" i="96"/>
  <c r="CK22" i="96"/>
  <c r="CN22" i="96"/>
  <c r="CQ22" i="96"/>
  <c r="BY23" i="96"/>
  <c r="CB23" i="96"/>
  <c r="CE23" i="96"/>
  <c r="CH23" i="96"/>
  <c r="CK23" i="96"/>
  <c r="CN23" i="96"/>
  <c r="CQ23" i="96"/>
  <c r="BY24" i="96"/>
  <c r="CB24" i="96"/>
  <c r="CE24" i="96"/>
  <c r="CH24" i="96"/>
  <c r="CK24" i="96"/>
  <c r="CN24" i="96"/>
  <c r="CQ24" i="96"/>
  <c r="BY25" i="96"/>
  <c r="CB25" i="96"/>
  <c r="CE25" i="96"/>
  <c r="CH25" i="96"/>
  <c r="CK25" i="96"/>
  <c r="CN25" i="96"/>
  <c r="CQ25" i="96"/>
  <c r="BY26" i="96"/>
  <c r="CB26" i="96"/>
  <c r="CE26" i="96"/>
  <c r="CH26" i="96"/>
  <c r="CK26" i="96"/>
  <c r="CN26" i="96"/>
  <c r="CQ26" i="96"/>
  <c r="CJ27" i="96"/>
  <c r="CP27" i="96"/>
  <c r="BY27" i="96"/>
  <c r="CB27" i="96"/>
  <c r="CE27" i="96"/>
  <c r="CH27" i="96"/>
  <c r="CK27" i="96"/>
  <c r="CN27" i="96"/>
  <c r="CQ27" i="96"/>
  <c r="CM28" i="96"/>
  <c r="CJ28" i="96"/>
  <c r="CG28" i="96"/>
  <c r="CD28" i="96"/>
  <c r="CA28" i="96"/>
  <c r="BX28" i="96"/>
  <c r="CP28" i="96"/>
  <c r="BY28" i="96"/>
  <c r="CB28" i="96"/>
  <c r="CE28" i="96"/>
  <c r="CH28" i="96"/>
  <c r="CK28" i="96"/>
  <c r="CN28" i="96"/>
  <c r="CQ28" i="96"/>
  <c r="CM29" i="96"/>
  <c r="CJ29" i="96"/>
  <c r="CG29" i="96"/>
  <c r="CD29" i="96"/>
  <c r="CA29" i="96"/>
  <c r="BX29" i="96"/>
  <c r="CP29" i="96"/>
  <c r="BY29" i="96"/>
  <c r="CB29" i="96"/>
  <c r="CE29" i="96"/>
  <c r="CH29" i="96"/>
  <c r="CK29" i="96"/>
  <c r="CN29" i="96"/>
  <c r="CQ29" i="96"/>
  <c r="CM30" i="96"/>
  <c r="CJ30" i="96"/>
  <c r="CG30" i="96"/>
  <c r="CD30" i="96"/>
  <c r="CA30" i="96"/>
  <c r="BX30" i="96"/>
  <c r="CP30" i="96"/>
  <c r="BY30" i="96"/>
  <c r="CB30" i="96"/>
  <c r="CE30" i="96"/>
  <c r="CH30" i="96"/>
  <c r="CK30" i="96"/>
  <c r="CN30" i="96"/>
  <c r="CQ30" i="96"/>
  <c r="CM31" i="96"/>
  <c r="CJ31" i="96"/>
  <c r="CG31" i="96"/>
  <c r="CD31" i="96"/>
  <c r="CA31" i="96"/>
  <c r="BX31" i="96"/>
  <c r="CP31" i="96"/>
  <c r="BY31" i="96"/>
  <c r="CB31" i="96"/>
  <c r="CE31" i="96"/>
  <c r="CH31" i="96"/>
  <c r="CK31" i="96"/>
  <c r="CN31" i="96"/>
  <c r="CQ31" i="96"/>
  <c r="CM32" i="96"/>
  <c r="CJ32" i="96"/>
  <c r="CG32" i="96"/>
  <c r="CD32" i="96"/>
  <c r="CA32" i="96"/>
  <c r="BX32" i="96"/>
  <c r="CP32" i="96"/>
  <c r="BY32" i="96"/>
  <c r="CB32" i="96"/>
  <c r="CE32" i="96"/>
  <c r="CH32" i="96"/>
  <c r="CK32" i="96"/>
  <c r="CN32" i="96"/>
  <c r="CQ32" i="96"/>
  <c r="CM33" i="96"/>
  <c r="CJ33" i="96"/>
  <c r="CG33" i="96"/>
  <c r="CD33" i="96"/>
  <c r="CA33" i="96"/>
  <c r="BX33" i="96"/>
  <c r="CP33" i="96"/>
  <c r="BY33" i="96"/>
  <c r="CB33" i="96"/>
  <c r="CE33" i="96"/>
  <c r="CH33" i="96"/>
  <c r="CK33" i="96"/>
  <c r="CN33" i="96"/>
  <c r="CQ33" i="96"/>
  <c r="CM34" i="96"/>
  <c r="CJ34" i="96"/>
  <c r="CG34" i="96"/>
  <c r="CD34" i="96"/>
  <c r="CA34" i="96"/>
  <c r="BX34" i="96"/>
  <c r="CP34" i="96"/>
  <c r="BY34" i="96"/>
  <c r="CB34" i="96"/>
  <c r="CE34" i="96"/>
  <c r="CH34" i="96"/>
  <c r="CK34" i="96"/>
  <c r="CN34" i="96"/>
  <c r="CQ34" i="96"/>
  <c r="CM35" i="96"/>
  <c r="CJ35" i="96"/>
  <c r="CG35" i="96"/>
  <c r="CD35" i="96"/>
  <c r="CA35" i="96"/>
  <c r="BX35" i="96"/>
  <c r="CP35" i="96"/>
  <c r="FN35" i="96"/>
  <c r="BY35" i="96"/>
  <c r="FQ35" i="96"/>
  <c r="CB35" i="96"/>
  <c r="CE35" i="96"/>
  <c r="CH35" i="96"/>
  <c r="CK35" i="96"/>
  <c r="CN35" i="96"/>
  <c r="CQ35" i="96"/>
  <c r="CM36" i="96"/>
  <c r="CJ36" i="96"/>
  <c r="CG36" i="96"/>
  <c r="CD36" i="96"/>
  <c r="CA36" i="96"/>
  <c r="BX36" i="96"/>
  <c r="CP36" i="96"/>
  <c r="FN36" i="96"/>
  <c r="BY36" i="96"/>
  <c r="FQ36" i="96"/>
  <c r="CB36" i="96"/>
  <c r="CE36" i="96"/>
  <c r="CH36" i="96"/>
  <c r="CK36" i="96"/>
  <c r="CN36" i="96"/>
  <c r="CQ36" i="96"/>
  <c r="CM37" i="96"/>
  <c r="CJ37" i="96"/>
  <c r="CG37" i="96"/>
  <c r="CD37" i="96"/>
  <c r="CA37" i="96"/>
  <c r="BX37" i="96"/>
  <c r="CP37" i="96"/>
  <c r="FN37" i="96"/>
  <c r="BY37" i="96"/>
  <c r="FQ37" i="96"/>
  <c r="CB37" i="96"/>
  <c r="CE37" i="96"/>
  <c r="CH37" i="96"/>
  <c r="CK37" i="96"/>
  <c r="CN37" i="96"/>
  <c r="CQ37" i="96"/>
  <c r="CM38" i="96"/>
  <c r="CJ38" i="96"/>
  <c r="CG38" i="96"/>
  <c r="CD38" i="96"/>
  <c r="CA38" i="96"/>
  <c r="BX38" i="96"/>
  <c r="CP38" i="96"/>
  <c r="FN38" i="96"/>
  <c r="BY38" i="96"/>
  <c r="FQ38" i="96"/>
  <c r="CB38" i="96"/>
  <c r="CE38" i="96"/>
  <c r="CH38" i="96"/>
  <c r="CK38" i="96"/>
  <c r="CN38" i="96"/>
  <c r="CQ38" i="96"/>
  <c r="CM39" i="96"/>
  <c r="CJ39" i="96"/>
  <c r="CG39" i="96"/>
  <c r="CD39" i="96"/>
  <c r="CA39" i="96"/>
  <c r="BX39" i="96"/>
  <c r="CP39" i="96"/>
  <c r="BY39" i="96"/>
  <c r="CB39" i="96"/>
  <c r="CE39" i="96"/>
  <c r="CH39" i="96"/>
  <c r="CK39" i="96"/>
  <c r="CN39" i="96"/>
  <c r="CQ39" i="96"/>
  <c r="FN40" i="96"/>
  <c r="BY40" i="96"/>
  <c r="FQ40" i="96"/>
  <c r="CB40" i="96"/>
  <c r="CH40" i="96"/>
  <c r="CK40" i="96"/>
  <c r="CN40" i="96"/>
  <c r="CM40" i="96"/>
  <c r="CJ40" i="96"/>
  <c r="CG40" i="96"/>
  <c r="CD40" i="96"/>
  <c r="CA40" i="96"/>
  <c r="BX40" i="96"/>
  <c r="CP40" i="96"/>
  <c r="FN41" i="96"/>
  <c r="BY41" i="96"/>
  <c r="FQ41" i="96"/>
  <c r="CB41" i="96"/>
  <c r="CH41" i="96"/>
  <c r="CK41" i="96"/>
  <c r="CM41" i="96"/>
  <c r="CJ41" i="96"/>
  <c r="CG41" i="96"/>
  <c r="CD41" i="96"/>
  <c r="CA41" i="96"/>
  <c r="BX41" i="96"/>
  <c r="CP41" i="96"/>
  <c r="FN42" i="96"/>
  <c r="BY42" i="96"/>
  <c r="FQ42" i="96"/>
  <c r="CB42" i="96"/>
  <c r="CH42" i="96"/>
  <c r="CK42" i="96"/>
  <c r="CM42" i="96"/>
  <c r="CJ42" i="96"/>
  <c r="CG42" i="96"/>
  <c r="CD42" i="96"/>
  <c r="CA42" i="96"/>
  <c r="BX42" i="96"/>
  <c r="CP42" i="96"/>
  <c r="CH43" i="96"/>
  <c r="CR59" i="96"/>
  <c r="EM59" i="96"/>
  <c r="EL59" i="96"/>
  <c r="EK59" i="96"/>
  <c r="CR57" i="96"/>
  <c r="EM57" i="96"/>
  <c r="EL57" i="96"/>
  <c r="EK57" i="96"/>
  <c r="CR56" i="96"/>
  <c r="EM56" i="96"/>
  <c r="EL56" i="96"/>
  <c r="EK56" i="96"/>
  <c r="CR55" i="96"/>
  <c r="EM55" i="96"/>
  <c r="EL55" i="96"/>
  <c r="EK55" i="96"/>
  <c r="CR54" i="96"/>
  <c r="EM54" i="96"/>
  <c r="EL54" i="96"/>
  <c r="EK54" i="96"/>
  <c r="CR53" i="96"/>
  <c r="EM53" i="96"/>
  <c r="EL53" i="96"/>
  <c r="EK53" i="96"/>
  <c r="CR52" i="96"/>
  <c r="EM52" i="96"/>
  <c r="EL52" i="96"/>
  <c r="EK52" i="96"/>
  <c r="CR51" i="96"/>
  <c r="EM51" i="96"/>
  <c r="EL51" i="96"/>
  <c r="EK51" i="96"/>
  <c r="CR50" i="96"/>
  <c r="EM50" i="96"/>
  <c r="EL50" i="96"/>
  <c r="EK50" i="96"/>
  <c r="CR49" i="96"/>
  <c r="EM49" i="96"/>
  <c r="EL49" i="96"/>
  <c r="EK49" i="96"/>
  <c r="CR48" i="96"/>
  <c r="EM48" i="96"/>
  <c r="EL48" i="96"/>
  <c r="EK48" i="96"/>
  <c r="CR47" i="96"/>
  <c r="EM47" i="96"/>
  <c r="EL47" i="96"/>
  <c r="EK47" i="96"/>
  <c r="CR46" i="96"/>
  <c r="EM46" i="96"/>
  <c r="EL46" i="96"/>
  <c r="EK46" i="96"/>
  <c r="CR45" i="96"/>
  <c r="EM45" i="96"/>
  <c r="EL45" i="96"/>
  <c r="EK45" i="96"/>
  <c r="CR44" i="96"/>
  <c r="EM44" i="96"/>
  <c r="EL44" i="96"/>
  <c r="EK44" i="96"/>
  <c r="CR43" i="96"/>
  <c r="EM43" i="96"/>
  <c r="EL43" i="96"/>
  <c r="EK43" i="96"/>
  <c r="CR42" i="96"/>
  <c r="EM42" i="96"/>
  <c r="EL42" i="96"/>
  <c r="EK42" i="96"/>
  <c r="CR41" i="96"/>
  <c r="EM41" i="96"/>
  <c r="EL41" i="96"/>
  <c r="EK41" i="96"/>
  <c r="CR40" i="96"/>
  <c r="EM40" i="96"/>
  <c r="EL40" i="96"/>
  <c r="EK40" i="96"/>
  <c r="CR39" i="96"/>
  <c r="EM39" i="96"/>
  <c r="EL39" i="96"/>
  <c r="EK39" i="96"/>
  <c r="CR38" i="96"/>
  <c r="EM38" i="96"/>
  <c r="EL38" i="96"/>
  <c r="EK38" i="96"/>
  <c r="CR37" i="96"/>
  <c r="EM37" i="96"/>
  <c r="EL37" i="96"/>
  <c r="EK37" i="96"/>
  <c r="CR36" i="96"/>
  <c r="EM36" i="96"/>
  <c r="EL36" i="96"/>
  <c r="EK36" i="96"/>
  <c r="CR35" i="96"/>
  <c r="EM35" i="96"/>
  <c r="EL35" i="96"/>
  <c r="EK35" i="96"/>
  <c r="CR34" i="96"/>
  <c r="EM34" i="96"/>
  <c r="EL34" i="96"/>
  <c r="EK34" i="96"/>
  <c r="CR33" i="96"/>
  <c r="EM33" i="96"/>
  <c r="EL33" i="96"/>
  <c r="EK33" i="96"/>
  <c r="CR32" i="96"/>
  <c r="EM32" i="96"/>
  <c r="EL32" i="96"/>
  <c r="EK32" i="96"/>
  <c r="CR31" i="96"/>
  <c r="EM31" i="96"/>
  <c r="EL31" i="96"/>
  <c r="EK31" i="96"/>
  <c r="EM26" i="96"/>
  <c r="EL26" i="96"/>
  <c r="EK26" i="96"/>
  <c r="EM25" i="96"/>
  <c r="EL25" i="96"/>
  <c r="EK25" i="96"/>
  <c r="EM24" i="96"/>
  <c r="EL24" i="96"/>
  <c r="EK24" i="96"/>
  <c r="EM23" i="96"/>
  <c r="EL23" i="96"/>
  <c r="EK23" i="96"/>
  <c r="EM21" i="96"/>
  <c r="EL21" i="96"/>
  <c r="EK21" i="96"/>
  <c r="EM20" i="96"/>
  <c r="EL20" i="96"/>
  <c r="EK20" i="96"/>
  <c r="EM19" i="96"/>
  <c r="EL19" i="96"/>
  <c r="EK19" i="96"/>
  <c r="EM18" i="96"/>
  <c r="EL18" i="96"/>
  <c r="EK18" i="96"/>
  <c r="EM17" i="96"/>
  <c r="EL17" i="96"/>
  <c r="EK17" i="96"/>
  <c r="EM16" i="96"/>
  <c r="EL16" i="96"/>
  <c r="EK16" i="96"/>
  <c r="EM15" i="96"/>
  <c r="EL15" i="96"/>
  <c r="EK15" i="96"/>
  <c r="EM14" i="96"/>
  <c r="EL14" i="96"/>
  <c r="EK14" i="96"/>
  <c r="EM13" i="96"/>
  <c r="EL13" i="96"/>
  <c r="EK13" i="96"/>
  <c r="EM12" i="96"/>
  <c r="EL12" i="96"/>
  <c r="EK12" i="96"/>
  <c r="CR11" i="96"/>
  <c r="EM11" i="96"/>
  <c r="EL11" i="96"/>
  <c r="EK11" i="96"/>
  <c r="Y33" i="127"/>
  <c r="K59" i="116"/>
  <c r="Y34" i="127"/>
  <c r="Y35" i="127"/>
  <c r="GG11" i="96"/>
  <c r="GH11" i="96"/>
  <c r="H21" i="126"/>
  <c r="KV69" i="9"/>
  <c r="F21" i="124"/>
  <c r="C21" i="126"/>
  <c r="P21" i="126"/>
  <c r="I26" i="126"/>
  <c r="J26" i="126"/>
  <c r="H26" i="126"/>
  <c r="KV74" i="9"/>
  <c r="F26" i="124"/>
  <c r="C26" i="126"/>
  <c r="P26" i="126"/>
  <c r="P10" i="126"/>
  <c r="KU69" i="9"/>
  <c r="E21" i="124"/>
  <c r="B21" i="126"/>
  <c r="L21" i="126"/>
  <c r="KU74" i="9"/>
  <c r="E26" i="124"/>
  <c r="B26" i="126"/>
  <c r="L26" i="126"/>
  <c r="L10" i="126"/>
  <c r="KV58" i="9"/>
  <c r="F10" i="124"/>
  <c r="C10" i="126"/>
  <c r="KU58" i="9"/>
  <c r="E10" i="124"/>
  <c r="B10" i="126"/>
  <c r="K10" i="126"/>
  <c r="B10" i="124"/>
  <c r="K9" i="123"/>
  <c r="N9" i="123"/>
  <c r="L9" i="123"/>
  <c r="GH12" i="96"/>
  <c r="P11" i="126"/>
  <c r="L11" i="126"/>
  <c r="KV59" i="9"/>
  <c r="F11" i="124"/>
  <c r="C11" i="126"/>
  <c r="KU59" i="9"/>
  <c r="E11" i="124"/>
  <c r="B11" i="126"/>
  <c r="K11" i="126"/>
  <c r="B11" i="124"/>
  <c r="K10" i="123"/>
  <c r="N10" i="123"/>
  <c r="L10" i="123"/>
  <c r="GH13" i="96"/>
  <c r="P12" i="126"/>
  <c r="L12" i="126"/>
  <c r="KV60" i="9"/>
  <c r="F12" i="124"/>
  <c r="C12" i="126"/>
  <c r="KU60" i="9"/>
  <c r="E12" i="124"/>
  <c r="B12" i="126"/>
  <c r="K12" i="126"/>
  <c r="B12" i="124"/>
  <c r="K11" i="123"/>
  <c r="N11" i="123"/>
  <c r="L11" i="123"/>
  <c r="GH14" i="96"/>
  <c r="P13" i="126"/>
  <c r="L13" i="126"/>
  <c r="KV61" i="9"/>
  <c r="F13" i="124"/>
  <c r="C13" i="126"/>
  <c r="KU61" i="9"/>
  <c r="E13" i="124"/>
  <c r="B13" i="126"/>
  <c r="K13" i="126"/>
  <c r="B13" i="124"/>
  <c r="K12" i="123"/>
  <c r="N12" i="123"/>
  <c r="L12" i="123"/>
  <c r="GH15" i="96"/>
  <c r="P14" i="126"/>
  <c r="L14" i="126"/>
  <c r="KV62" i="9"/>
  <c r="F14" i="124"/>
  <c r="C14" i="126"/>
  <c r="KU62" i="9"/>
  <c r="E14" i="124"/>
  <c r="B14" i="126"/>
  <c r="K14" i="126"/>
  <c r="B14" i="124"/>
  <c r="K13" i="123"/>
  <c r="N13" i="123"/>
  <c r="L13" i="123"/>
  <c r="GH16" i="96"/>
  <c r="P15" i="126"/>
  <c r="L15" i="126"/>
  <c r="KV63" i="9"/>
  <c r="F15" i="124"/>
  <c r="C15" i="126"/>
  <c r="KU63" i="9"/>
  <c r="E15" i="124"/>
  <c r="B15" i="126"/>
  <c r="K15" i="126"/>
  <c r="B15" i="124"/>
  <c r="K14" i="123"/>
  <c r="N14" i="123"/>
  <c r="L14" i="123"/>
  <c r="GH17" i="96"/>
  <c r="P16" i="126"/>
  <c r="L16" i="126"/>
  <c r="KV64" i="9"/>
  <c r="F16" i="124"/>
  <c r="C16" i="126"/>
  <c r="KU64" i="9"/>
  <c r="E16" i="124"/>
  <c r="B16" i="126"/>
  <c r="K16" i="126"/>
  <c r="B16" i="124"/>
  <c r="K15" i="123"/>
  <c r="N15" i="123"/>
  <c r="L15" i="123"/>
  <c r="GH18" i="96"/>
  <c r="P17" i="126"/>
  <c r="L17" i="126"/>
  <c r="KV65" i="9"/>
  <c r="F17" i="124"/>
  <c r="C17" i="126"/>
  <c r="KU65" i="9"/>
  <c r="E17" i="124"/>
  <c r="B17" i="126"/>
  <c r="K17" i="126"/>
  <c r="B17" i="124"/>
  <c r="K16" i="123"/>
  <c r="N16" i="123"/>
  <c r="L16" i="123"/>
  <c r="GH19" i="96"/>
  <c r="P18" i="126"/>
  <c r="L18" i="126"/>
  <c r="KV66" i="9"/>
  <c r="F18" i="124"/>
  <c r="C18" i="126"/>
  <c r="KU66" i="9"/>
  <c r="E18" i="124"/>
  <c r="B18" i="126"/>
  <c r="K18" i="126"/>
  <c r="B18" i="124"/>
  <c r="N17" i="123"/>
  <c r="L17" i="123"/>
  <c r="GH20" i="96"/>
  <c r="P19" i="126"/>
  <c r="L19" i="126"/>
  <c r="KV67" i="9"/>
  <c r="F19" i="124"/>
  <c r="C19" i="126"/>
  <c r="KU67" i="9"/>
  <c r="E19" i="124"/>
  <c r="B19" i="126"/>
  <c r="K19" i="126"/>
  <c r="B19" i="124"/>
  <c r="N18" i="123"/>
  <c r="L18" i="123"/>
  <c r="GH21" i="96"/>
  <c r="P20" i="126"/>
  <c r="L20" i="126"/>
  <c r="KV68" i="9"/>
  <c r="F20" i="124"/>
  <c r="C20" i="126"/>
  <c r="KU68" i="9"/>
  <c r="E20" i="124"/>
  <c r="B20" i="126"/>
  <c r="K20" i="126"/>
  <c r="B20" i="124"/>
  <c r="N19" i="123"/>
  <c r="L19" i="123"/>
  <c r="GG22" i="96"/>
  <c r="GH22" i="96"/>
  <c r="K21" i="126"/>
  <c r="B21" i="124"/>
  <c r="N20" i="123"/>
  <c r="L20" i="123"/>
  <c r="GH23" i="96"/>
  <c r="P22" i="126"/>
  <c r="L22" i="126"/>
  <c r="KV70" i="9"/>
  <c r="F22" i="124"/>
  <c r="C22" i="126"/>
  <c r="KU70" i="9"/>
  <c r="E22" i="124"/>
  <c r="B22" i="126"/>
  <c r="K22" i="126"/>
  <c r="B22" i="124"/>
  <c r="N21" i="123"/>
  <c r="L21" i="123"/>
  <c r="GH24" i="96"/>
  <c r="P23" i="126"/>
  <c r="L23" i="126"/>
  <c r="KV71" i="9"/>
  <c r="F23" i="124"/>
  <c r="C23" i="126"/>
  <c r="KU71" i="9"/>
  <c r="E23" i="124"/>
  <c r="B23" i="126"/>
  <c r="K23" i="126"/>
  <c r="B23" i="124"/>
  <c r="N22" i="123"/>
  <c r="L22" i="123"/>
  <c r="GH25" i="96"/>
  <c r="P24" i="126"/>
  <c r="L24" i="126"/>
  <c r="KV72" i="9"/>
  <c r="F24" i="124"/>
  <c r="C24" i="126"/>
  <c r="KU72" i="9"/>
  <c r="E24" i="124"/>
  <c r="B24" i="126"/>
  <c r="K24" i="126"/>
  <c r="B24" i="124"/>
  <c r="N23" i="123"/>
  <c r="L23" i="123"/>
  <c r="GH26" i="96"/>
  <c r="P25" i="126"/>
  <c r="L25" i="126"/>
  <c r="KV73" i="9"/>
  <c r="F25" i="124"/>
  <c r="C25" i="126"/>
  <c r="KU73" i="9"/>
  <c r="E25" i="124"/>
  <c r="B25" i="126"/>
  <c r="K25" i="126"/>
  <c r="B25" i="124"/>
  <c r="N24" i="123"/>
  <c r="GG27" i="96"/>
  <c r="GH27" i="96"/>
  <c r="K26" i="126"/>
  <c r="B26" i="124"/>
  <c r="N25" i="123"/>
  <c r="GG28" i="96"/>
  <c r="GH28" i="96"/>
  <c r="I27" i="126"/>
  <c r="KD28" i="96"/>
  <c r="J27" i="126"/>
  <c r="H27" i="126"/>
  <c r="KV75" i="9"/>
  <c r="F27" i="124"/>
  <c r="C27" i="126"/>
  <c r="P27" i="126"/>
  <c r="KU75" i="9"/>
  <c r="E27" i="124"/>
  <c r="B27" i="126"/>
  <c r="L27" i="126"/>
  <c r="K27" i="126"/>
  <c r="B27" i="124"/>
  <c r="N26" i="123"/>
  <c r="GG29" i="96"/>
  <c r="GH29" i="96"/>
  <c r="I28" i="126"/>
  <c r="KD29" i="96"/>
  <c r="J28" i="126"/>
  <c r="H28" i="126"/>
  <c r="KV76" i="9"/>
  <c r="F28" i="124"/>
  <c r="C28" i="126"/>
  <c r="P28" i="126"/>
  <c r="KU76" i="9"/>
  <c r="E28" i="124"/>
  <c r="B28" i="126"/>
  <c r="L28" i="126"/>
  <c r="K28" i="126"/>
  <c r="B28" i="124"/>
  <c r="N27" i="123"/>
  <c r="GG30" i="96"/>
  <c r="GH30" i="96"/>
  <c r="I29" i="126"/>
  <c r="KD30" i="96"/>
  <c r="J29" i="126"/>
  <c r="H29" i="126"/>
  <c r="KV77" i="9"/>
  <c r="F29" i="124"/>
  <c r="C29" i="126"/>
  <c r="P29" i="126"/>
  <c r="KU77" i="9"/>
  <c r="E29" i="124"/>
  <c r="B29" i="126"/>
  <c r="L29" i="126"/>
  <c r="K29" i="126"/>
  <c r="B29" i="124"/>
  <c r="N28" i="123"/>
  <c r="GG31" i="96"/>
  <c r="GH31" i="96"/>
  <c r="I30" i="126"/>
  <c r="KD31" i="96"/>
  <c r="J30" i="126"/>
  <c r="H30" i="126"/>
  <c r="KV78" i="9"/>
  <c r="F30" i="124"/>
  <c r="C30" i="126"/>
  <c r="P30" i="126"/>
  <c r="KU78" i="9"/>
  <c r="E30" i="124"/>
  <c r="B30" i="126"/>
  <c r="L30" i="126"/>
  <c r="K30" i="126"/>
  <c r="B30" i="124"/>
  <c r="N29" i="123"/>
  <c r="GG32" i="96"/>
  <c r="GH32" i="96"/>
  <c r="I31" i="126"/>
  <c r="KD32" i="96"/>
  <c r="J31" i="126"/>
  <c r="H31" i="126"/>
  <c r="KV79" i="9"/>
  <c r="F31" i="124"/>
  <c r="C31" i="126"/>
  <c r="P31" i="126"/>
  <c r="KU79" i="9"/>
  <c r="E31" i="124"/>
  <c r="B31" i="126"/>
  <c r="L31" i="126"/>
  <c r="K31" i="126"/>
  <c r="B31" i="124"/>
  <c r="N30" i="123"/>
  <c r="GG33" i="96"/>
  <c r="GH33" i="96"/>
  <c r="I32" i="126"/>
  <c r="KD33" i="96"/>
  <c r="J32" i="126"/>
  <c r="H32" i="126"/>
  <c r="KV80" i="9"/>
  <c r="F32" i="124"/>
  <c r="C32" i="126"/>
  <c r="P32" i="126"/>
  <c r="KU80" i="9"/>
  <c r="E32" i="124"/>
  <c r="B32" i="126"/>
  <c r="L32" i="126"/>
  <c r="K32" i="126"/>
  <c r="B32" i="124"/>
  <c r="N31" i="123"/>
  <c r="GG34" i="96"/>
  <c r="GH34" i="96"/>
  <c r="I33" i="126"/>
  <c r="J33" i="126"/>
  <c r="H33" i="126"/>
  <c r="KV81" i="9"/>
  <c r="F33" i="124"/>
  <c r="C33" i="126"/>
  <c r="P33" i="126"/>
  <c r="KU81" i="9"/>
  <c r="E33" i="124"/>
  <c r="B33" i="126"/>
  <c r="L33" i="126"/>
  <c r="K33" i="126"/>
  <c r="B33" i="124"/>
  <c r="N32" i="123"/>
  <c r="GG35" i="96"/>
  <c r="GH35" i="96"/>
  <c r="I34" i="126"/>
  <c r="KD35" i="96"/>
  <c r="J34" i="126"/>
  <c r="H34" i="126"/>
  <c r="JI91" i="9" a="1"/>
  <c r="JI91" i="9"/>
  <c r="JI82" i="9"/>
  <c r="KV82" i="9"/>
  <c r="F34" i="124"/>
  <c r="C34" i="126"/>
  <c r="P34" i="126"/>
  <c r="KU82" i="9"/>
  <c r="E34" i="124"/>
  <c r="B34" i="126"/>
  <c r="L34" i="126"/>
  <c r="K34" i="126"/>
  <c r="B34" i="124"/>
  <c r="N33" i="123"/>
  <c r="GG36" i="96"/>
  <c r="GH36" i="96"/>
  <c r="I35" i="126"/>
  <c r="KD36" i="96"/>
  <c r="J35" i="126"/>
  <c r="H35" i="126"/>
  <c r="JI83" i="9"/>
  <c r="KV83" i="9"/>
  <c r="F35" i="124"/>
  <c r="C35" i="126"/>
  <c r="P35" i="126"/>
  <c r="KU83" i="9"/>
  <c r="E35" i="124"/>
  <c r="B35" i="126"/>
  <c r="L35" i="126"/>
  <c r="K35" i="126"/>
  <c r="B35" i="124"/>
  <c r="N34" i="123"/>
  <c r="GG37" i="96"/>
  <c r="GH37" i="96"/>
  <c r="I36" i="126"/>
  <c r="KD37" i="96"/>
  <c r="J36" i="126"/>
  <c r="H36" i="126"/>
  <c r="JI84" i="9"/>
  <c r="KV84" i="9"/>
  <c r="F36" i="124"/>
  <c r="C36" i="126"/>
  <c r="P36" i="126"/>
  <c r="KU84" i="9"/>
  <c r="E36" i="124"/>
  <c r="B36" i="126"/>
  <c r="L36" i="126"/>
  <c r="K36" i="126"/>
  <c r="B36" i="124"/>
  <c r="N35" i="123"/>
  <c r="GG38" i="96"/>
  <c r="GH38" i="96"/>
  <c r="I37" i="126"/>
  <c r="KD38" i="96"/>
  <c r="J37" i="126"/>
  <c r="H37" i="126"/>
  <c r="JI85" i="9"/>
  <c r="KV85" i="9"/>
  <c r="F37" i="124"/>
  <c r="C37" i="126"/>
  <c r="P37" i="126"/>
  <c r="KU85" i="9"/>
  <c r="E37" i="124"/>
  <c r="B37" i="126"/>
  <c r="L37" i="126"/>
  <c r="K37" i="126"/>
  <c r="B37" i="124"/>
  <c r="N36" i="123"/>
  <c r="GG39" i="96"/>
  <c r="GH39" i="96"/>
  <c r="I38" i="126"/>
  <c r="J38" i="126"/>
  <c r="H38" i="126"/>
  <c r="JI86" i="9"/>
  <c r="KV86" i="9"/>
  <c r="F38" i="124"/>
  <c r="C38" i="126"/>
  <c r="P38" i="126"/>
  <c r="KU86" i="9"/>
  <c r="E38" i="124"/>
  <c r="B38" i="126"/>
  <c r="L38" i="126"/>
  <c r="K38" i="126"/>
  <c r="B38" i="124"/>
  <c r="N37" i="123"/>
  <c r="GG40" i="96"/>
  <c r="GH40" i="96"/>
  <c r="I39" i="126"/>
  <c r="J39" i="126"/>
  <c r="H39" i="126"/>
  <c r="JI87" i="9"/>
  <c r="KV87" i="9"/>
  <c r="F39" i="124"/>
  <c r="C39" i="126"/>
  <c r="P39" i="126"/>
  <c r="KU87" i="9"/>
  <c r="E39" i="124"/>
  <c r="B39" i="126"/>
  <c r="L39" i="126"/>
  <c r="K39" i="126"/>
  <c r="B39" i="124"/>
  <c r="N38" i="123"/>
  <c r="GG41" i="96"/>
  <c r="I40" i="126"/>
  <c r="J40" i="126"/>
  <c r="H40" i="126"/>
  <c r="JI88" i="9"/>
  <c r="KV88" i="9"/>
  <c r="F40" i="124"/>
  <c r="C40" i="126"/>
  <c r="P40" i="126"/>
  <c r="KU88" i="9"/>
  <c r="E40" i="124"/>
  <c r="B40" i="126"/>
  <c r="L40" i="126"/>
  <c r="K40" i="126"/>
  <c r="B40" i="124"/>
  <c r="N39" i="123"/>
  <c r="GG42" i="96"/>
  <c r="I41" i="126"/>
  <c r="J41" i="126"/>
  <c r="H41" i="126"/>
  <c r="JI89" i="9"/>
  <c r="KV89" i="9"/>
  <c r="F41" i="124"/>
  <c r="C41" i="126"/>
  <c r="P41" i="126"/>
  <c r="KU89" i="9"/>
  <c r="E41" i="124"/>
  <c r="B41" i="126"/>
  <c r="L41" i="126"/>
  <c r="K41" i="126"/>
  <c r="B41" i="124"/>
  <c r="N40" i="123"/>
  <c r="JI90" i="9"/>
  <c r="KV90" i="9"/>
  <c r="F42" i="124"/>
  <c r="C42" i="126"/>
  <c r="KU90" i="9"/>
  <c r="E42" i="124"/>
  <c r="B42" i="126"/>
  <c r="B42" i="124"/>
  <c r="N41" i="123"/>
  <c r="KV91" i="9"/>
  <c r="F43" i="124"/>
  <c r="C43" i="126"/>
  <c r="KU91" i="9"/>
  <c r="E43" i="124"/>
  <c r="B43" i="126"/>
  <c r="B43" i="124"/>
  <c r="N42" i="123"/>
  <c r="JI92" i="9"/>
  <c r="KV92" i="9"/>
  <c r="F44" i="124"/>
  <c r="C44" i="126"/>
  <c r="KU92" i="9"/>
  <c r="E44" i="124"/>
  <c r="B44" i="126"/>
  <c r="B44" i="124"/>
  <c r="N43" i="123"/>
  <c r="D50" i="125"/>
  <c r="JI93" i="9"/>
  <c r="KV93" i="9"/>
  <c r="F45" i="124"/>
  <c r="C45" i="126"/>
  <c r="KU93" i="9"/>
  <c r="E45" i="124"/>
  <c r="B45" i="126"/>
  <c r="B45" i="124"/>
  <c r="N44" i="123"/>
  <c r="E50" i="125"/>
  <c r="JI94" i="9"/>
  <c r="KV94" i="9"/>
  <c r="F46" i="124"/>
  <c r="C46" i="126"/>
  <c r="KU94" i="9"/>
  <c r="E46" i="124"/>
  <c r="B46" i="126"/>
  <c r="B46" i="124"/>
  <c r="N45" i="123"/>
  <c r="F50" i="125"/>
  <c r="JI95" i="9"/>
  <c r="KV95" i="9"/>
  <c r="F47" i="124"/>
  <c r="C47" i="126"/>
  <c r="KU95" i="9"/>
  <c r="E47" i="124"/>
  <c r="B47" i="126"/>
  <c r="B47" i="124"/>
  <c r="N46" i="123"/>
  <c r="G50" i="125"/>
  <c r="JI96" i="9"/>
  <c r="KV96" i="9"/>
  <c r="F48" i="124"/>
  <c r="C48" i="126"/>
  <c r="KU96" i="9"/>
  <c r="E48" i="124"/>
  <c r="B48" i="126"/>
  <c r="B48" i="124"/>
  <c r="N47" i="123"/>
  <c r="H50" i="125"/>
  <c r="JI97" i="9"/>
  <c r="KV97" i="9"/>
  <c r="F49" i="124"/>
  <c r="C49" i="126"/>
  <c r="KU97" i="9"/>
  <c r="E49" i="124"/>
  <c r="B49" i="126"/>
  <c r="B49" i="124"/>
  <c r="N48" i="123"/>
  <c r="I50" i="125"/>
  <c r="JI98" i="9"/>
  <c r="KV98" i="9"/>
  <c r="F50" i="124"/>
  <c r="C50" i="126"/>
  <c r="KU98" i="9"/>
  <c r="E50" i="124"/>
  <c r="B50" i="126"/>
  <c r="B50" i="124"/>
  <c r="N49" i="123"/>
  <c r="J50" i="125"/>
  <c r="JI99" i="9"/>
  <c r="KV99" i="9"/>
  <c r="F51" i="124"/>
  <c r="C51" i="126"/>
  <c r="KU99" i="9"/>
  <c r="E51" i="124"/>
  <c r="B51" i="126"/>
  <c r="B51" i="124"/>
  <c r="N50" i="123"/>
  <c r="K50" i="125"/>
  <c r="JI100" i="9"/>
  <c r="KV100" i="9"/>
  <c r="F52" i="124"/>
  <c r="C52" i="126"/>
  <c r="KU100" i="9"/>
  <c r="E52" i="124"/>
  <c r="B52" i="126"/>
  <c r="B52" i="124"/>
  <c r="N51" i="123"/>
  <c r="L50" i="125"/>
  <c r="JI101" i="9"/>
  <c r="KV101" i="9"/>
  <c r="F53" i="124"/>
  <c r="C53" i="126"/>
  <c r="KU101" i="9"/>
  <c r="E53" i="124"/>
  <c r="B53" i="126"/>
  <c r="B53" i="124"/>
  <c r="N52" i="123"/>
  <c r="M50" i="125"/>
  <c r="JI102" i="9"/>
  <c r="KV102" i="9"/>
  <c r="F54" i="124"/>
  <c r="C54" i="126"/>
  <c r="KU102" i="9"/>
  <c r="E54" i="124"/>
  <c r="B54" i="126"/>
  <c r="B54" i="124"/>
  <c r="N53" i="123"/>
  <c r="N50" i="125"/>
  <c r="JI103" i="9"/>
  <c r="KV103" i="9"/>
  <c r="F55" i="124"/>
  <c r="C55" i="126"/>
  <c r="KU103" i="9"/>
  <c r="E55" i="124"/>
  <c r="B55" i="126"/>
  <c r="B55" i="124"/>
  <c r="N54" i="123"/>
  <c r="O50" i="125"/>
  <c r="JI104" i="9"/>
  <c r="KV104" i="9"/>
  <c r="F56" i="124"/>
  <c r="C56" i="126"/>
  <c r="KU104" i="9"/>
  <c r="E56" i="124"/>
  <c r="B56" i="126"/>
  <c r="B56" i="124"/>
  <c r="N55" i="123"/>
  <c r="P50" i="125"/>
  <c r="JI105" i="9"/>
  <c r="KV105" i="9"/>
  <c r="F57" i="124"/>
  <c r="C57" i="126"/>
  <c r="KU105" i="9"/>
  <c r="E57" i="124"/>
  <c r="B57" i="126"/>
  <c r="B57" i="124"/>
  <c r="N56" i="123"/>
  <c r="Q50" i="125"/>
  <c r="JI106" i="9"/>
  <c r="KV106" i="9"/>
  <c r="F58" i="124"/>
  <c r="C58" i="126"/>
  <c r="KU106" i="9"/>
  <c r="E58" i="124"/>
  <c r="B58" i="126"/>
  <c r="B58" i="124"/>
  <c r="N57" i="123"/>
  <c r="R50" i="125"/>
  <c r="JI107" i="9"/>
  <c r="KV107" i="9"/>
  <c r="F59" i="124"/>
  <c r="C59" i="126"/>
  <c r="KU107" i="9"/>
  <c r="E59" i="124"/>
  <c r="B59" i="126"/>
  <c r="B59" i="124"/>
  <c r="N58" i="123"/>
  <c r="B60" i="124"/>
  <c r="N59" i="123"/>
  <c r="C32" i="124"/>
  <c r="C9" i="123"/>
  <c r="C10" i="123"/>
  <c r="C11" i="123"/>
  <c r="C12" i="123"/>
  <c r="C13" i="123"/>
  <c r="C14" i="123"/>
  <c r="C15" i="123"/>
  <c r="C16" i="123"/>
  <c r="C17" i="123"/>
  <c r="C18" i="123"/>
  <c r="C19" i="123"/>
  <c r="C20" i="123"/>
  <c r="C21" i="123"/>
  <c r="C22" i="123"/>
  <c r="C23" i="123"/>
  <c r="C24" i="123"/>
  <c r="C25" i="123"/>
  <c r="C26" i="123"/>
  <c r="C27" i="123"/>
  <c r="C28" i="123"/>
  <c r="C29" i="123"/>
  <c r="C30" i="123"/>
  <c r="C31" i="123"/>
  <c r="C32" i="123"/>
  <c r="C33" i="123"/>
  <c r="C34" i="123"/>
  <c r="C35" i="123"/>
  <c r="C36" i="123"/>
  <c r="C37" i="123"/>
  <c r="C38" i="123"/>
  <c r="C39" i="123"/>
  <c r="C40" i="123"/>
  <c r="C41" i="123"/>
  <c r="C42" i="123"/>
  <c r="C43" i="123"/>
  <c r="C44" i="123"/>
  <c r="C45" i="123"/>
  <c r="C46" i="123"/>
  <c r="C47" i="123"/>
  <c r="C48" i="123"/>
  <c r="C49" i="123"/>
  <c r="C50" i="123"/>
  <c r="C51" i="123"/>
  <c r="C52" i="123"/>
  <c r="C53" i="123"/>
  <c r="C54" i="123"/>
  <c r="C55" i="123"/>
  <c r="C56" i="123"/>
  <c r="C57" i="123"/>
  <c r="C58" i="123"/>
  <c r="C10" i="124"/>
  <c r="C11" i="124"/>
  <c r="C12" i="124"/>
  <c r="C13" i="124"/>
  <c r="C14" i="124"/>
  <c r="C15" i="124"/>
  <c r="C16" i="124"/>
  <c r="C17" i="124"/>
  <c r="C18" i="124"/>
  <c r="C19" i="124"/>
  <c r="C20" i="124"/>
  <c r="C21" i="124"/>
  <c r="C22" i="124"/>
  <c r="C23" i="124"/>
  <c r="C24" i="124"/>
  <c r="C25" i="124"/>
  <c r="C26" i="124"/>
  <c r="C27" i="124"/>
  <c r="C28" i="124"/>
  <c r="C29" i="124"/>
  <c r="C30" i="124"/>
  <c r="C31" i="124"/>
  <c r="C33" i="124"/>
  <c r="C34" i="124"/>
  <c r="C35" i="124"/>
  <c r="C36" i="124"/>
  <c r="C37" i="124"/>
  <c r="C38" i="124"/>
  <c r="C39" i="124"/>
  <c r="C40" i="124"/>
  <c r="C41" i="124"/>
  <c r="C42" i="124"/>
  <c r="C43" i="124"/>
  <c r="C44" i="124"/>
  <c r="C45" i="124"/>
  <c r="C46" i="124"/>
  <c r="C47" i="124"/>
  <c r="C48" i="124"/>
  <c r="C49" i="124"/>
  <c r="C50" i="124"/>
  <c r="C51" i="124"/>
  <c r="C52" i="124"/>
  <c r="C53" i="124"/>
  <c r="C54" i="124"/>
  <c r="C55" i="124"/>
  <c r="C56" i="124"/>
  <c r="C57" i="124"/>
  <c r="C58" i="124"/>
  <c r="C59" i="124"/>
  <c r="S50" i="125"/>
  <c r="JI108" i="9"/>
  <c r="KV108" i="9"/>
  <c r="F60" i="124"/>
  <c r="C60" i="126"/>
  <c r="C60" i="124"/>
  <c r="L29" i="122"/>
  <c r="L30" i="122"/>
  <c r="L31" i="122"/>
  <c r="L32" i="122"/>
  <c r="L33" i="122"/>
  <c r="L34" i="122"/>
  <c r="L35" i="122"/>
  <c r="L36" i="122"/>
  <c r="L37" i="122"/>
  <c r="L38" i="122"/>
  <c r="L39" i="122"/>
  <c r="L40" i="122"/>
  <c r="L41" i="122"/>
  <c r="L42" i="122"/>
  <c r="L43" i="122"/>
  <c r="L44" i="122"/>
  <c r="L45" i="122"/>
  <c r="L46" i="122"/>
  <c r="L47" i="122"/>
  <c r="L48" i="122"/>
  <c r="L49" i="122"/>
  <c r="L50" i="122"/>
  <c r="L51" i="122"/>
  <c r="L52" i="122"/>
  <c r="L53" i="122"/>
  <c r="L54" i="122"/>
  <c r="L55" i="122"/>
  <c r="L56" i="122"/>
  <c r="L57" i="122"/>
  <c r="L58" i="122"/>
  <c r="L59" i="122"/>
  <c r="L65" i="122"/>
  <c r="L9" i="122"/>
  <c r="L10" i="122"/>
  <c r="L11" i="122"/>
  <c r="L12" i="122"/>
  <c r="L13" i="122"/>
  <c r="L14" i="122"/>
  <c r="L15" i="122"/>
  <c r="L16" i="122"/>
  <c r="L17" i="122"/>
  <c r="L18" i="122"/>
  <c r="L19" i="122"/>
  <c r="L20" i="122"/>
  <c r="L21" i="122"/>
  <c r="L22" i="122"/>
  <c r="L23" i="122"/>
  <c r="L24" i="122"/>
  <c r="L25" i="122"/>
  <c r="L26" i="122"/>
  <c r="L27" i="122"/>
  <c r="L28" i="122"/>
  <c r="L64" i="122"/>
  <c r="D21" i="126"/>
  <c r="B21" i="138"/>
  <c r="J21" i="138"/>
  <c r="D26" i="126"/>
  <c r="B26" i="138"/>
  <c r="JP27" i="96"/>
  <c r="F26" i="137"/>
  <c r="D26" i="138"/>
  <c r="KA27" i="96"/>
  <c r="G26" i="137"/>
  <c r="E26" i="138"/>
  <c r="C26" i="138"/>
  <c r="I26" i="137"/>
  <c r="G26" i="138"/>
  <c r="J26" i="137"/>
  <c r="H26" i="138"/>
  <c r="F26" i="138"/>
  <c r="J26" i="138"/>
  <c r="J10" i="138"/>
  <c r="J11" i="138"/>
  <c r="J12" i="138"/>
  <c r="J13" i="138"/>
  <c r="J14" i="138"/>
  <c r="J15" i="138"/>
  <c r="J16" i="138"/>
  <c r="J17" i="138"/>
  <c r="J18" i="138"/>
  <c r="J19" i="138"/>
  <c r="J20" i="138"/>
  <c r="J22" i="138"/>
  <c r="J23" i="138"/>
  <c r="J24" i="138"/>
  <c r="J25" i="138"/>
  <c r="I26" i="138"/>
  <c r="JP28" i="96"/>
  <c r="F27" i="137"/>
  <c r="D27" i="138"/>
  <c r="JU28" i="96"/>
  <c r="JV28" i="96"/>
  <c r="JW28" i="96"/>
  <c r="JX28" i="96"/>
  <c r="JZ28" i="96"/>
  <c r="KA28" i="96"/>
  <c r="G27" i="137"/>
  <c r="E27" i="138"/>
  <c r="C27" i="138"/>
  <c r="I27" i="137"/>
  <c r="G27" i="138"/>
  <c r="J27" i="137"/>
  <c r="H27" i="138"/>
  <c r="F27" i="138"/>
  <c r="I27" i="138"/>
  <c r="JP29" i="96"/>
  <c r="F28" i="137"/>
  <c r="D28" i="138"/>
  <c r="JU29" i="96"/>
  <c r="JV29" i="96"/>
  <c r="JW29" i="96"/>
  <c r="JX29" i="96"/>
  <c r="JZ29" i="96"/>
  <c r="KA29" i="96"/>
  <c r="G28" i="137"/>
  <c r="E28" i="138"/>
  <c r="C28" i="138"/>
  <c r="I28" i="137"/>
  <c r="G28" i="138"/>
  <c r="J28" i="137"/>
  <c r="H28" i="138"/>
  <c r="F28" i="138"/>
  <c r="I28" i="138"/>
  <c r="JP30" i="96"/>
  <c r="F29" i="137"/>
  <c r="D29" i="138"/>
  <c r="JU30" i="96"/>
  <c r="JV30" i="96"/>
  <c r="JW30" i="96"/>
  <c r="JX30" i="96"/>
  <c r="JZ30" i="96"/>
  <c r="KA30" i="96"/>
  <c r="G29" i="137"/>
  <c r="E29" i="138"/>
  <c r="C29" i="138"/>
  <c r="I29" i="137"/>
  <c r="G29" i="138"/>
  <c r="J29" i="137"/>
  <c r="H29" i="138"/>
  <c r="F29" i="138"/>
  <c r="I29" i="138"/>
  <c r="JP31" i="96"/>
  <c r="F30" i="137"/>
  <c r="D30" i="138"/>
  <c r="JU31" i="96"/>
  <c r="JV31" i="96"/>
  <c r="JW31" i="96"/>
  <c r="JX31" i="96"/>
  <c r="JZ31" i="96"/>
  <c r="KA31" i="96"/>
  <c r="G30" i="137"/>
  <c r="E30" i="138"/>
  <c r="C30" i="138"/>
  <c r="I30" i="137"/>
  <c r="G30" i="138"/>
  <c r="J30" i="137"/>
  <c r="H30" i="138"/>
  <c r="F30" i="138"/>
  <c r="I30" i="138"/>
  <c r="JP32" i="96"/>
  <c r="F31" i="137"/>
  <c r="D31" i="138"/>
  <c r="JU32" i="96"/>
  <c r="JV32" i="96"/>
  <c r="JW32" i="96"/>
  <c r="JX32" i="96"/>
  <c r="JZ32" i="96"/>
  <c r="KA32" i="96"/>
  <c r="G31" i="137"/>
  <c r="E31" i="138"/>
  <c r="C31" i="138"/>
  <c r="I31" i="137"/>
  <c r="G31" i="138"/>
  <c r="J31" i="137"/>
  <c r="H31" i="138"/>
  <c r="F31" i="138"/>
  <c r="I31" i="138"/>
  <c r="JP33" i="96"/>
  <c r="F32" i="137"/>
  <c r="D32" i="138"/>
  <c r="JU33" i="96"/>
  <c r="JV33" i="96"/>
  <c r="JW33" i="96"/>
  <c r="JX33" i="96"/>
  <c r="JZ33" i="96"/>
  <c r="KA33" i="96"/>
  <c r="G32" i="137"/>
  <c r="E32" i="138"/>
  <c r="C32" i="138"/>
  <c r="I32" i="137"/>
  <c r="G32" i="138"/>
  <c r="J32" i="137"/>
  <c r="H32" i="138"/>
  <c r="F32" i="138"/>
  <c r="I32" i="138"/>
  <c r="JP34" i="96"/>
  <c r="F33" i="137"/>
  <c r="D33" i="138"/>
  <c r="KA34" i="96"/>
  <c r="G33" i="137"/>
  <c r="E33" i="138"/>
  <c r="C33" i="138"/>
  <c r="I33" i="137"/>
  <c r="G33" i="138"/>
  <c r="J33" i="137"/>
  <c r="H33" i="138"/>
  <c r="F33" i="138"/>
  <c r="I33" i="138"/>
  <c r="JP35" i="96"/>
  <c r="F34" i="137"/>
  <c r="D34" i="138"/>
  <c r="JU35" i="96"/>
  <c r="JV35" i="96"/>
  <c r="JW35" i="96"/>
  <c r="JX35" i="96"/>
  <c r="JZ35" i="96"/>
  <c r="KA35" i="96"/>
  <c r="G34" i="137"/>
  <c r="E34" i="138"/>
  <c r="C34" i="138"/>
  <c r="I34" i="137"/>
  <c r="G34" i="138"/>
  <c r="J34" i="137"/>
  <c r="H34" i="138"/>
  <c r="F34" i="138"/>
  <c r="I34" i="138"/>
  <c r="JP36" i="96"/>
  <c r="F35" i="137"/>
  <c r="D35" i="138"/>
  <c r="JU36" i="96"/>
  <c r="JV36" i="96"/>
  <c r="JW36" i="96"/>
  <c r="JX36" i="96"/>
  <c r="JZ36" i="96"/>
  <c r="KA36" i="96"/>
  <c r="G35" i="137"/>
  <c r="E35" i="138"/>
  <c r="C35" i="138"/>
  <c r="I35" i="137"/>
  <c r="G35" i="138"/>
  <c r="J35" i="137"/>
  <c r="H35" i="138"/>
  <c r="F35" i="138"/>
  <c r="I35" i="138"/>
  <c r="JP37" i="96"/>
  <c r="F36" i="137"/>
  <c r="D36" i="138"/>
  <c r="JU37" i="96"/>
  <c r="JV37" i="96"/>
  <c r="JW37" i="96"/>
  <c r="JX37" i="96"/>
  <c r="JZ37" i="96"/>
  <c r="KA37" i="96"/>
  <c r="G36" i="137"/>
  <c r="E36" i="138"/>
  <c r="C36" i="138"/>
  <c r="I36" i="137"/>
  <c r="G36" i="138"/>
  <c r="J36" i="137"/>
  <c r="H36" i="138"/>
  <c r="F36" i="138"/>
  <c r="I36" i="138"/>
  <c r="JP38" i="96"/>
  <c r="F37" i="137"/>
  <c r="D37" i="138"/>
  <c r="JU38" i="96"/>
  <c r="JV38" i="96"/>
  <c r="JW38" i="96"/>
  <c r="JX38" i="96"/>
  <c r="JZ38" i="96"/>
  <c r="KA38" i="96"/>
  <c r="G37" i="137"/>
  <c r="E37" i="138"/>
  <c r="C37" i="138"/>
  <c r="I37" i="137"/>
  <c r="G37" i="138"/>
  <c r="J37" i="137"/>
  <c r="H37" i="138"/>
  <c r="F37" i="138"/>
  <c r="I37" i="138"/>
  <c r="B28" i="137"/>
  <c r="E28" i="137"/>
  <c r="H28" i="137"/>
  <c r="L28" i="137"/>
  <c r="JR76" i="9"/>
  <c r="JO76" i="9"/>
  <c r="JP76" i="9"/>
  <c r="JN76" i="9"/>
  <c r="JM76" i="9"/>
  <c r="JL76" i="9"/>
  <c r="JK76" i="9"/>
  <c r="JJ76" i="9"/>
  <c r="JS76" i="9"/>
  <c r="IG74" i="9" a="1"/>
  <c r="IG74" i="9"/>
  <c r="KG74" i="9"/>
  <c r="IG75" i="9"/>
  <c r="KG75" i="9"/>
  <c r="IG76" i="9"/>
  <c r="KG76" i="9"/>
  <c r="IH74" i="9" a="1"/>
  <c r="IH74" i="9"/>
  <c r="KH74" i="9"/>
  <c r="IH75" i="9"/>
  <c r="KH75" i="9"/>
  <c r="IH76" i="9"/>
  <c r="KH76" i="9"/>
  <c r="II74" i="9" a="1"/>
  <c r="II74" i="9"/>
  <c r="KI74" i="9"/>
  <c r="C22" i="25"/>
  <c r="II75" i="9"/>
  <c r="KI75" i="9"/>
  <c r="II76" i="9"/>
  <c r="KI76" i="9"/>
  <c r="IJ74" i="9" a="1"/>
  <c r="IJ74" i="9"/>
  <c r="KJ74" i="9"/>
  <c r="IJ75" i="9"/>
  <c r="KJ75" i="9"/>
  <c r="IJ76" i="9"/>
  <c r="KJ76" i="9"/>
  <c r="IK74" i="9" a="1"/>
  <c r="IK74" i="9"/>
  <c r="KK74" i="9"/>
  <c r="IK75" i="9"/>
  <c r="KK75" i="9"/>
  <c r="IK76" i="9"/>
  <c r="KK76" i="9"/>
  <c r="IN74" i="9" a="1"/>
  <c r="IN74" i="9"/>
  <c r="KP74" i="9"/>
  <c r="IN75" i="9"/>
  <c r="KP75" i="9"/>
  <c r="IN76" i="9"/>
  <c r="KP76" i="9"/>
  <c r="KQ76" i="9"/>
  <c r="LE76" i="9"/>
  <c r="C28" i="137"/>
  <c r="O28" i="137"/>
  <c r="K28" i="137"/>
  <c r="B29" i="137"/>
  <c r="E29" i="137"/>
  <c r="H29" i="137"/>
  <c r="L29" i="137"/>
  <c r="JR77" i="9"/>
  <c r="JO77" i="9"/>
  <c r="JP77" i="9"/>
  <c r="JN77" i="9"/>
  <c r="JM77" i="9"/>
  <c r="JL77" i="9"/>
  <c r="JK77" i="9"/>
  <c r="JJ77" i="9"/>
  <c r="JS77" i="9"/>
  <c r="IG77" i="9"/>
  <c r="KG77" i="9"/>
  <c r="IH77" i="9"/>
  <c r="KH77" i="9"/>
  <c r="II77" i="9"/>
  <c r="KI77" i="9"/>
  <c r="IJ77" i="9"/>
  <c r="KJ77" i="9"/>
  <c r="IK77" i="9"/>
  <c r="KK77" i="9"/>
  <c r="IN77" i="9"/>
  <c r="KP77" i="9"/>
  <c r="KQ77" i="9"/>
  <c r="LE77" i="9"/>
  <c r="C29" i="137"/>
  <c r="O29" i="137"/>
  <c r="K29" i="137"/>
  <c r="B30" i="137"/>
  <c r="E30" i="137"/>
  <c r="H30" i="137"/>
  <c r="L30" i="137"/>
  <c r="JR78" i="9"/>
  <c r="JO78" i="9"/>
  <c r="JP78" i="9"/>
  <c r="JN78" i="9"/>
  <c r="JM78" i="9"/>
  <c r="JL78" i="9"/>
  <c r="JK78" i="9"/>
  <c r="JJ78" i="9"/>
  <c r="JS78" i="9"/>
  <c r="IG78" i="9"/>
  <c r="KG78" i="9"/>
  <c r="F11" i="25"/>
  <c r="F23" i="25"/>
  <c r="IH78" i="9"/>
  <c r="KH78" i="9"/>
  <c r="II78" i="9"/>
  <c r="KI78" i="9"/>
  <c r="IJ78" i="9"/>
  <c r="KJ78" i="9"/>
  <c r="IK78" i="9"/>
  <c r="KK78" i="9"/>
  <c r="IN78" i="9"/>
  <c r="KP78" i="9"/>
  <c r="KQ78" i="9"/>
  <c r="LE78" i="9"/>
  <c r="C30" i="137"/>
  <c r="O30" i="137"/>
  <c r="K30" i="137"/>
  <c r="B31" i="137"/>
  <c r="E31" i="137"/>
  <c r="H31" i="137"/>
  <c r="L31" i="137"/>
  <c r="JR79" i="9"/>
  <c r="JO79" i="9"/>
  <c r="JP79" i="9"/>
  <c r="JN79" i="9"/>
  <c r="JM79" i="9"/>
  <c r="JL79" i="9"/>
  <c r="JK79" i="9"/>
  <c r="JJ79" i="9"/>
  <c r="JS79" i="9"/>
  <c r="G20" i="25"/>
  <c r="IG79" i="9"/>
  <c r="KG79" i="9"/>
  <c r="IH79" i="9"/>
  <c r="KH79" i="9"/>
  <c r="II79" i="9"/>
  <c r="KI79" i="9"/>
  <c r="IJ79" i="9"/>
  <c r="KJ79" i="9"/>
  <c r="IK79" i="9"/>
  <c r="KK79" i="9"/>
  <c r="IN79" i="9"/>
  <c r="KP79" i="9"/>
  <c r="KQ79" i="9"/>
  <c r="LE79" i="9"/>
  <c r="C31" i="137"/>
  <c r="O31" i="137"/>
  <c r="K31" i="137"/>
  <c r="B32" i="137"/>
  <c r="E32" i="137"/>
  <c r="H32" i="137"/>
  <c r="L32" i="137"/>
  <c r="JR80" i="9"/>
  <c r="JO80" i="9"/>
  <c r="JP80" i="9"/>
  <c r="JN80" i="9"/>
  <c r="JM80" i="9"/>
  <c r="JL80" i="9"/>
  <c r="JK80" i="9"/>
  <c r="JJ80" i="9"/>
  <c r="JS80" i="9"/>
  <c r="IG80" i="9"/>
  <c r="KG80" i="9"/>
  <c r="IH80" i="9"/>
  <c r="KH80" i="9"/>
  <c r="II80" i="9"/>
  <c r="KI80" i="9"/>
  <c r="IJ80" i="9"/>
  <c r="KJ80" i="9"/>
  <c r="IK80" i="9"/>
  <c r="KK80" i="9"/>
  <c r="IN80" i="9"/>
  <c r="KP80" i="9"/>
  <c r="KQ80" i="9"/>
  <c r="LE80" i="9"/>
  <c r="C32" i="137"/>
  <c r="O32" i="137"/>
  <c r="K32" i="137"/>
  <c r="B33" i="137"/>
  <c r="E33" i="137"/>
  <c r="H33" i="137"/>
  <c r="L33" i="137"/>
  <c r="JR81" i="9"/>
  <c r="JO81" i="9"/>
  <c r="JP81" i="9"/>
  <c r="JN81" i="9"/>
  <c r="JM81" i="9"/>
  <c r="JL81" i="9"/>
  <c r="JK81" i="9"/>
  <c r="JJ81" i="9"/>
  <c r="JS81" i="9"/>
  <c r="IG81" i="9"/>
  <c r="KG81" i="9"/>
  <c r="IH81" i="9"/>
  <c r="KH81" i="9"/>
  <c r="II81" i="9"/>
  <c r="KI81" i="9"/>
  <c r="IJ81" i="9"/>
  <c r="KJ81" i="9"/>
  <c r="IK81" i="9"/>
  <c r="KK81" i="9"/>
  <c r="IN81" i="9"/>
  <c r="KP81" i="9"/>
  <c r="KQ81" i="9"/>
  <c r="LE81" i="9"/>
  <c r="C33" i="137"/>
  <c r="O33" i="137"/>
  <c r="K33" i="137"/>
  <c r="B34" i="137"/>
  <c r="E34" i="137"/>
  <c r="H34" i="137"/>
  <c r="L34" i="137"/>
  <c r="JR82" i="9"/>
  <c r="JO82" i="9"/>
  <c r="JP82" i="9"/>
  <c r="JN82" i="9"/>
  <c r="JM82" i="9"/>
  <c r="JL82" i="9"/>
  <c r="JK82" i="9"/>
  <c r="JJ82" i="9"/>
  <c r="JS82" i="9"/>
  <c r="IG82" i="9"/>
  <c r="KG82" i="9"/>
  <c r="IH82" i="9"/>
  <c r="KH82" i="9"/>
  <c r="II82" i="9"/>
  <c r="KI82" i="9"/>
  <c r="IJ82" i="9"/>
  <c r="KJ82" i="9"/>
  <c r="IK82" i="9"/>
  <c r="KK82" i="9"/>
  <c r="IN82" i="9"/>
  <c r="KP82" i="9"/>
  <c r="KQ82" i="9"/>
  <c r="LE82" i="9"/>
  <c r="C34" i="137"/>
  <c r="O34" i="137"/>
  <c r="K34" i="137"/>
  <c r="B35" i="137"/>
  <c r="E35" i="137"/>
  <c r="H35" i="137"/>
  <c r="L35" i="137"/>
  <c r="JR83" i="9"/>
  <c r="JO83" i="9"/>
  <c r="JP83" i="9"/>
  <c r="JN83" i="9"/>
  <c r="JM83" i="9"/>
  <c r="JL83" i="9"/>
  <c r="JK83" i="9"/>
  <c r="JJ83" i="9"/>
  <c r="JS83" i="9"/>
  <c r="IG83" i="9"/>
  <c r="KG83" i="9"/>
  <c r="IH83" i="9"/>
  <c r="KH83" i="9"/>
  <c r="II83" i="9"/>
  <c r="KI83" i="9"/>
  <c r="IJ83" i="9"/>
  <c r="KJ83" i="9"/>
  <c r="IK83" i="9"/>
  <c r="KK83" i="9"/>
  <c r="IN83" i="9"/>
  <c r="KP83" i="9"/>
  <c r="KQ83" i="9"/>
  <c r="LE83" i="9"/>
  <c r="C35" i="137"/>
  <c r="O35" i="137"/>
  <c r="K35" i="137"/>
  <c r="B36" i="137"/>
  <c r="E36" i="137"/>
  <c r="H36" i="137"/>
  <c r="L36" i="137"/>
  <c r="JR84" i="9"/>
  <c r="JO84" i="9"/>
  <c r="JP84" i="9"/>
  <c r="JN84" i="9"/>
  <c r="JM84" i="9"/>
  <c r="JL84" i="9"/>
  <c r="JK84" i="9"/>
  <c r="JJ84" i="9"/>
  <c r="JS84" i="9"/>
  <c r="IG84" i="9"/>
  <c r="KG84" i="9"/>
  <c r="L23" i="25"/>
  <c r="IH84" i="9"/>
  <c r="KH84" i="9"/>
  <c r="II84" i="9"/>
  <c r="KI84" i="9"/>
  <c r="IJ84" i="9"/>
  <c r="KJ84" i="9"/>
  <c r="IK84" i="9"/>
  <c r="KK84" i="9"/>
  <c r="IN84" i="9"/>
  <c r="KP84" i="9"/>
  <c r="KQ84" i="9"/>
  <c r="LE84" i="9"/>
  <c r="C36" i="137"/>
  <c r="O36" i="137"/>
  <c r="K36" i="137"/>
  <c r="B37" i="137"/>
  <c r="E37" i="137"/>
  <c r="H37" i="137"/>
  <c r="L37" i="137"/>
  <c r="JR85" i="9"/>
  <c r="JO85" i="9"/>
  <c r="JP85" i="9"/>
  <c r="JN85" i="9"/>
  <c r="JM85" i="9"/>
  <c r="JL85" i="9"/>
  <c r="JK85" i="9"/>
  <c r="JJ85" i="9"/>
  <c r="JS85" i="9"/>
  <c r="IG85" i="9"/>
  <c r="KG85" i="9"/>
  <c r="IH85" i="9"/>
  <c r="KH85" i="9"/>
  <c r="M11" i="25"/>
  <c r="M14" i="25"/>
  <c r="M24" i="25"/>
  <c r="M29" i="25"/>
  <c r="M22" i="25"/>
  <c r="II85" i="9"/>
  <c r="KI85" i="9"/>
  <c r="IJ85" i="9"/>
  <c r="KJ85" i="9"/>
  <c r="IK85" i="9"/>
  <c r="KK85" i="9"/>
  <c r="IN85" i="9"/>
  <c r="KP85" i="9"/>
  <c r="KQ85" i="9"/>
  <c r="LE85" i="9"/>
  <c r="C37" i="137"/>
  <c r="O37" i="137"/>
  <c r="K37" i="137"/>
  <c r="B38" i="137"/>
  <c r="JP39" i="96"/>
  <c r="F38" i="137"/>
  <c r="KA39" i="96"/>
  <c r="G38" i="137"/>
  <c r="E38" i="137"/>
  <c r="I38" i="137"/>
  <c r="J38" i="137"/>
  <c r="H38" i="137"/>
  <c r="L38" i="137"/>
  <c r="JR86" i="9"/>
  <c r="JO86" i="9"/>
  <c r="JP86" i="9"/>
  <c r="JN86" i="9"/>
  <c r="JM86" i="9"/>
  <c r="JL86" i="9"/>
  <c r="JK86" i="9"/>
  <c r="JJ86" i="9"/>
  <c r="JS86" i="9"/>
  <c r="IG86" i="9"/>
  <c r="KG86" i="9"/>
  <c r="IH86" i="9"/>
  <c r="KH86" i="9"/>
  <c r="II86" i="9"/>
  <c r="KI86" i="9"/>
  <c r="N30" i="25"/>
  <c r="IJ86" i="9"/>
  <c r="KJ86" i="9"/>
  <c r="IK86" i="9"/>
  <c r="KK86" i="9"/>
  <c r="IN86" i="9"/>
  <c r="KP86" i="9"/>
  <c r="KQ86" i="9"/>
  <c r="LE86" i="9"/>
  <c r="C38" i="137"/>
  <c r="O38" i="137"/>
  <c r="K38" i="137"/>
  <c r="B39" i="137"/>
  <c r="JP40" i="96"/>
  <c r="F39" i="137"/>
  <c r="KA40" i="96"/>
  <c r="G39" i="137"/>
  <c r="E39" i="137"/>
  <c r="I39" i="137"/>
  <c r="J39" i="137"/>
  <c r="H39" i="137"/>
  <c r="L39" i="137"/>
  <c r="JR87" i="9"/>
  <c r="JO87" i="9"/>
  <c r="JP87" i="9"/>
  <c r="JN87" i="9"/>
  <c r="JM87" i="9"/>
  <c r="JL87" i="9"/>
  <c r="JK87" i="9"/>
  <c r="JJ87" i="9"/>
  <c r="JS87" i="9"/>
  <c r="IG87" i="9"/>
  <c r="KG87" i="9"/>
  <c r="IH87" i="9"/>
  <c r="KH87" i="9"/>
  <c r="II87" i="9"/>
  <c r="KI87" i="9"/>
  <c r="IJ87" i="9"/>
  <c r="KJ87" i="9"/>
  <c r="IK87" i="9"/>
  <c r="KK87" i="9"/>
  <c r="IN87" i="9"/>
  <c r="KP87" i="9"/>
  <c r="KQ87" i="9"/>
  <c r="LE87" i="9"/>
  <c r="C39" i="137"/>
  <c r="O39" i="137"/>
  <c r="K39" i="137"/>
  <c r="B40" i="137"/>
  <c r="JP41" i="96"/>
  <c r="F40" i="137"/>
  <c r="KA41" i="96"/>
  <c r="G40" i="137"/>
  <c r="E40" i="137"/>
  <c r="I40" i="137"/>
  <c r="J40" i="137"/>
  <c r="H40" i="137"/>
  <c r="L40" i="137"/>
  <c r="JR88" i="9"/>
  <c r="JO88" i="9"/>
  <c r="JP88" i="9"/>
  <c r="JN88" i="9"/>
  <c r="JM88" i="9"/>
  <c r="JL88" i="9"/>
  <c r="JK88" i="9"/>
  <c r="JJ88" i="9"/>
  <c r="JS88" i="9"/>
  <c r="IG88" i="9"/>
  <c r="KG88" i="9"/>
  <c r="IH88" i="9"/>
  <c r="KH88" i="9"/>
  <c r="II88" i="9"/>
  <c r="KI88" i="9"/>
  <c r="IJ88" i="9"/>
  <c r="KJ88" i="9"/>
  <c r="IK88" i="9"/>
  <c r="KK88" i="9"/>
  <c r="IN88" i="9"/>
  <c r="KP88" i="9"/>
  <c r="KQ88" i="9"/>
  <c r="LE88" i="9"/>
  <c r="C40" i="137"/>
  <c r="O40" i="137"/>
  <c r="K40" i="137"/>
  <c r="B41" i="137"/>
  <c r="JP42" i="96"/>
  <c r="F41" i="137"/>
  <c r="KA42" i="96"/>
  <c r="G41" i="137"/>
  <c r="E41" i="137"/>
  <c r="I41" i="137"/>
  <c r="J41" i="137"/>
  <c r="H41" i="137"/>
  <c r="L41" i="137"/>
  <c r="JR89" i="9"/>
  <c r="JO89" i="9"/>
  <c r="JP89" i="9"/>
  <c r="JN89" i="9"/>
  <c r="JM89" i="9"/>
  <c r="JL89" i="9"/>
  <c r="JK89" i="9"/>
  <c r="JJ89" i="9"/>
  <c r="JS89" i="9"/>
  <c r="IG89" i="9"/>
  <c r="KG89" i="9"/>
  <c r="IH89" i="9"/>
  <c r="KH89" i="9"/>
  <c r="II89" i="9"/>
  <c r="KI89" i="9"/>
  <c r="IJ89" i="9"/>
  <c r="KJ89" i="9"/>
  <c r="IK89" i="9"/>
  <c r="KK89" i="9"/>
  <c r="IN89" i="9"/>
  <c r="KP89" i="9"/>
  <c r="KQ89" i="9"/>
  <c r="LE89" i="9"/>
  <c r="C41" i="137"/>
  <c r="O41" i="137"/>
  <c r="K41" i="137"/>
  <c r="B42" i="137"/>
  <c r="JP43" i="96"/>
  <c r="F42" i="137"/>
  <c r="KA43" i="96"/>
  <c r="G42" i="137"/>
  <c r="E42" i="137"/>
  <c r="I42" i="137"/>
  <c r="J42" i="137"/>
  <c r="H42" i="137"/>
  <c r="L42" i="137"/>
  <c r="JR90" i="9"/>
  <c r="JO90" i="9"/>
  <c r="JP90" i="9"/>
  <c r="JN90" i="9"/>
  <c r="JM90" i="9"/>
  <c r="JL90" i="9"/>
  <c r="JK90" i="9"/>
  <c r="JJ90" i="9"/>
  <c r="JS90" i="9"/>
  <c r="IG90" i="9"/>
  <c r="KG90" i="9"/>
  <c r="IH90" i="9"/>
  <c r="KH90" i="9"/>
  <c r="II90" i="9"/>
  <c r="KI90" i="9"/>
  <c r="IJ90" i="9"/>
  <c r="KJ90" i="9"/>
  <c r="IK90" i="9"/>
  <c r="KK90" i="9"/>
  <c r="IN90" i="9"/>
  <c r="KP90" i="9"/>
  <c r="KQ90" i="9"/>
  <c r="LE90" i="9"/>
  <c r="C42" i="137"/>
  <c r="O42" i="137"/>
  <c r="K42" i="137"/>
  <c r="B43" i="137"/>
  <c r="JP44" i="96"/>
  <c r="F43" i="137"/>
  <c r="KA44" i="96"/>
  <c r="G43" i="137"/>
  <c r="E43" i="137"/>
  <c r="I43" i="137"/>
  <c r="J43" i="137"/>
  <c r="H43" i="137"/>
  <c r="L43" i="137"/>
  <c r="JR91" i="9"/>
  <c r="JO91" i="9"/>
  <c r="JP91" i="9"/>
  <c r="JN91" i="9"/>
  <c r="JM91" i="9"/>
  <c r="JL91" i="9"/>
  <c r="JK91" i="9"/>
  <c r="JJ91" i="9"/>
  <c r="JS91" i="9"/>
  <c r="IG91" i="9"/>
  <c r="KG91" i="9"/>
  <c r="IH91" i="9"/>
  <c r="KH91" i="9"/>
  <c r="II91" i="9"/>
  <c r="KI91" i="9"/>
  <c r="IJ91" i="9"/>
  <c r="KJ91" i="9"/>
  <c r="IK91" i="9"/>
  <c r="KK91" i="9"/>
  <c r="IN91" i="9"/>
  <c r="KP91" i="9"/>
  <c r="KQ91" i="9"/>
  <c r="LE91" i="9"/>
  <c r="C43" i="137"/>
  <c r="O43" i="137"/>
  <c r="K43" i="137"/>
  <c r="B44" i="137"/>
  <c r="JP45" i="96"/>
  <c r="F44" i="137"/>
  <c r="KA45" i="96"/>
  <c r="G44" i="137"/>
  <c r="E44" i="137"/>
  <c r="I44" i="137"/>
  <c r="J44" i="137"/>
  <c r="H44" i="137"/>
  <c r="L44" i="137"/>
  <c r="JR92" i="9"/>
  <c r="JO92" i="9"/>
  <c r="JP92" i="9"/>
  <c r="JN92" i="9"/>
  <c r="JM92" i="9"/>
  <c r="JL92" i="9"/>
  <c r="JK92" i="9"/>
  <c r="JJ92" i="9"/>
  <c r="JS92" i="9"/>
  <c r="IG92" i="9"/>
  <c r="KG92" i="9"/>
  <c r="IH92" i="9"/>
  <c r="KH92" i="9"/>
  <c r="T11" i="25"/>
  <c r="T22" i="25"/>
  <c r="II92" i="9"/>
  <c r="KI92" i="9"/>
  <c r="IJ92" i="9"/>
  <c r="KJ92" i="9"/>
  <c r="IK92" i="9"/>
  <c r="KK92" i="9"/>
  <c r="IN92" i="9"/>
  <c r="KP92" i="9"/>
  <c r="KQ92" i="9"/>
  <c r="LE92" i="9"/>
  <c r="C44" i="137"/>
  <c r="O44" i="137"/>
  <c r="K44" i="137"/>
  <c r="B45" i="137"/>
  <c r="JP46" i="96"/>
  <c r="F45" i="137"/>
  <c r="KA46" i="96"/>
  <c r="G45" i="137"/>
  <c r="E45" i="137"/>
  <c r="I45" i="137"/>
  <c r="J45" i="137"/>
  <c r="H45" i="137"/>
  <c r="L45" i="137"/>
  <c r="JR93" i="9"/>
  <c r="JO93" i="9"/>
  <c r="JP93" i="9"/>
  <c r="JN93" i="9"/>
  <c r="JM93" i="9"/>
  <c r="JL93" i="9"/>
  <c r="JK93" i="9"/>
  <c r="JJ93" i="9"/>
  <c r="JS93" i="9"/>
  <c r="IG93" i="9"/>
  <c r="KG93" i="9"/>
  <c r="IH93" i="9"/>
  <c r="KH93" i="9"/>
  <c r="II93" i="9"/>
  <c r="KI93" i="9"/>
  <c r="IJ93" i="9"/>
  <c r="KJ93" i="9"/>
  <c r="U51" i="25"/>
  <c r="IK93" i="9"/>
  <c r="KK93" i="9"/>
  <c r="IN93" i="9"/>
  <c r="KP93" i="9"/>
  <c r="KQ93" i="9"/>
  <c r="LE93" i="9"/>
  <c r="C45" i="137"/>
  <c r="O45" i="137"/>
  <c r="K45" i="137"/>
  <c r="B46" i="137"/>
  <c r="JP47" i="96"/>
  <c r="F46" i="137"/>
  <c r="KA47" i="96"/>
  <c r="G46" i="137"/>
  <c r="E46" i="137"/>
  <c r="I46" i="137"/>
  <c r="J46" i="137"/>
  <c r="H46" i="137"/>
  <c r="L46" i="137"/>
  <c r="JR94" i="9"/>
  <c r="JO94" i="9"/>
  <c r="JP94" i="9"/>
  <c r="JN94" i="9"/>
  <c r="JM94" i="9"/>
  <c r="JL94" i="9"/>
  <c r="JK94" i="9"/>
  <c r="JJ94" i="9"/>
  <c r="JS94" i="9"/>
  <c r="IG94" i="9"/>
  <c r="KG94" i="9"/>
  <c r="IH94" i="9"/>
  <c r="KH94" i="9"/>
  <c r="II94" i="9"/>
  <c r="KI94" i="9"/>
  <c r="IJ94" i="9"/>
  <c r="KJ94" i="9"/>
  <c r="IK94" i="9"/>
  <c r="KK94" i="9"/>
  <c r="IN94" i="9"/>
  <c r="KP94" i="9"/>
  <c r="KQ94" i="9"/>
  <c r="LE94" i="9"/>
  <c r="C46" i="137"/>
  <c r="O46" i="137"/>
  <c r="K46" i="137"/>
  <c r="B47" i="137"/>
  <c r="JP48" i="96"/>
  <c r="F47" i="137"/>
  <c r="KA48" i="96"/>
  <c r="G47" i="137"/>
  <c r="E47" i="137"/>
  <c r="I47" i="137"/>
  <c r="J47" i="137"/>
  <c r="H47" i="137"/>
  <c r="L47" i="137"/>
  <c r="JR95" i="9"/>
  <c r="JO95" i="9"/>
  <c r="JP95" i="9"/>
  <c r="JN95" i="9"/>
  <c r="JM95" i="9"/>
  <c r="JL95" i="9"/>
  <c r="JK95" i="9"/>
  <c r="JJ95" i="9"/>
  <c r="JS95" i="9"/>
  <c r="IG95" i="9"/>
  <c r="KG95" i="9"/>
  <c r="IH95" i="9"/>
  <c r="KH95" i="9"/>
  <c r="II95" i="9"/>
  <c r="KI95" i="9"/>
  <c r="W30" i="25"/>
  <c r="IJ95" i="9"/>
  <c r="KJ95" i="9"/>
  <c r="IK95" i="9"/>
  <c r="KK95" i="9"/>
  <c r="IN95" i="9"/>
  <c r="KP95" i="9"/>
  <c r="KQ95" i="9"/>
  <c r="LE95" i="9"/>
  <c r="C47" i="137"/>
  <c r="O47" i="137"/>
  <c r="K47" i="137"/>
  <c r="B48" i="137"/>
  <c r="JP49" i="96"/>
  <c r="F48" i="137"/>
  <c r="KA49" i="96"/>
  <c r="G48" i="137"/>
  <c r="E48" i="137"/>
  <c r="I48" i="137"/>
  <c r="J48" i="137"/>
  <c r="H48" i="137"/>
  <c r="L48" i="137"/>
  <c r="JR96" i="9"/>
  <c r="JO96" i="9"/>
  <c r="JP96" i="9"/>
  <c r="JN96" i="9"/>
  <c r="JM96" i="9"/>
  <c r="JL96" i="9"/>
  <c r="JK96" i="9"/>
  <c r="JJ96" i="9"/>
  <c r="JS96" i="9"/>
  <c r="IG96" i="9"/>
  <c r="KG96" i="9"/>
  <c r="IH96" i="9"/>
  <c r="KH96" i="9"/>
  <c r="II96" i="9"/>
  <c r="KI96" i="9"/>
  <c r="IJ96" i="9"/>
  <c r="KJ96" i="9"/>
  <c r="IK96" i="9"/>
  <c r="KK96" i="9"/>
  <c r="IN96" i="9"/>
  <c r="KP96" i="9"/>
  <c r="KQ96" i="9"/>
  <c r="LE96" i="9"/>
  <c r="C48" i="137"/>
  <c r="O48" i="137"/>
  <c r="K48" i="137"/>
  <c r="B49" i="137"/>
  <c r="JP50" i="96"/>
  <c r="F49" i="137"/>
  <c r="KA50" i="96"/>
  <c r="G49" i="137"/>
  <c r="E49" i="137"/>
  <c r="I49" i="137"/>
  <c r="J49" i="137"/>
  <c r="H49" i="137"/>
  <c r="L49" i="137"/>
  <c r="JR97" i="9"/>
  <c r="JO97" i="9"/>
  <c r="JP97" i="9"/>
  <c r="JN97" i="9"/>
  <c r="JM97" i="9"/>
  <c r="JL97" i="9"/>
  <c r="JK97" i="9"/>
  <c r="JJ97" i="9"/>
  <c r="JS97" i="9"/>
  <c r="IG97" i="9"/>
  <c r="KG97" i="9"/>
  <c r="IH97" i="9"/>
  <c r="KH97" i="9"/>
  <c r="II97" i="9"/>
  <c r="KI97" i="9"/>
  <c r="IJ97" i="9"/>
  <c r="KJ97" i="9"/>
  <c r="IK97" i="9"/>
  <c r="KK97" i="9"/>
  <c r="IN97" i="9"/>
  <c r="KP97" i="9"/>
  <c r="KQ97" i="9"/>
  <c r="LE97" i="9"/>
  <c r="C49" i="137"/>
  <c r="O49" i="137"/>
  <c r="K49" i="137"/>
  <c r="B50" i="137"/>
  <c r="JP51" i="96"/>
  <c r="F50" i="137"/>
  <c r="KA51" i="96"/>
  <c r="G50" i="137"/>
  <c r="E50" i="137"/>
  <c r="I50" i="137"/>
  <c r="J50" i="137"/>
  <c r="H50" i="137"/>
  <c r="L50" i="137"/>
  <c r="JR98" i="9"/>
  <c r="JO98" i="9"/>
  <c r="JP98" i="9"/>
  <c r="JN98" i="9"/>
  <c r="JM98" i="9"/>
  <c r="JL98" i="9"/>
  <c r="JK98" i="9"/>
  <c r="JJ98" i="9"/>
  <c r="JS98" i="9"/>
  <c r="IG98" i="9"/>
  <c r="KG98" i="9"/>
  <c r="IH98" i="9"/>
  <c r="KH98" i="9"/>
  <c r="II98" i="9"/>
  <c r="KI98" i="9"/>
  <c r="IJ98" i="9"/>
  <c r="KJ98" i="9"/>
  <c r="IK98" i="9"/>
  <c r="KK98" i="9"/>
  <c r="Z82" i="25"/>
  <c r="IN98" i="9"/>
  <c r="KP98" i="9"/>
  <c r="KQ98" i="9"/>
  <c r="LE98" i="9"/>
  <c r="C50" i="137"/>
  <c r="O50" i="137"/>
  <c r="K50" i="137"/>
  <c r="B51" i="137"/>
  <c r="JP52" i="96"/>
  <c r="F51" i="137"/>
  <c r="KA52" i="96"/>
  <c r="G51" i="137"/>
  <c r="E51" i="137"/>
  <c r="I51" i="137"/>
  <c r="J51" i="137"/>
  <c r="H51" i="137"/>
  <c r="L51" i="137"/>
  <c r="JR99" i="9"/>
  <c r="JO99" i="9"/>
  <c r="JP99" i="9"/>
  <c r="JN99" i="9"/>
  <c r="JM99" i="9"/>
  <c r="JL99" i="9"/>
  <c r="JK99" i="9"/>
  <c r="JJ99" i="9"/>
  <c r="JS99" i="9"/>
  <c r="KG99" i="9"/>
  <c r="KH99" i="9"/>
  <c r="KI99" i="9"/>
  <c r="KJ99" i="9"/>
  <c r="KK99" i="9"/>
  <c r="KP99" i="9"/>
  <c r="KQ99" i="9"/>
  <c r="LE99" i="9"/>
  <c r="C51" i="137"/>
  <c r="O51" i="137"/>
  <c r="K51" i="137"/>
  <c r="B52" i="137"/>
  <c r="JP53" i="96"/>
  <c r="F52" i="137"/>
  <c r="KA53" i="96"/>
  <c r="G52" i="137"/>
  <c r="E52" i="137"/>
  <c r="I52" i="137"/>
  <c r="J52" i="137"/>
  <c r="H52" i="137"/>
  <c r="L52" i="137"/>
  <c r="JR100" i="9"/>
  <c r="JO100" i="9"/>
  <c r="JP100" i="9"/>
  <c r="JN100" i="9"/>
  <c r="JM100" i="9"/>
  <c r="JL100" i="9"/>
  <c r="JK100" i="9"/>
  <c r="JJ100" i="9"/>
  <c r="JS100" i="9"/>
  <c r="KG100" i="9"/>
  <c r="KH100" i="9"/>
  <c r="KI100" i="9"/>
  <c r="KJ100" i="9"/>
  <c r="KK100" i="9"/>
  <c r="KP100" i="9"/>
  <c r="KQ100" i="9"/>
  <c r="LE100" i="9"/>
  <c r="C52" i="137"/>
  <c r="O52" i="137"/>
  <c r="K52" i="137"/>
  <c r="B53" i="137"/>
  <c r="JP54" i="96"/>
  <c r="F53" i="137"/>
  <c r="KA54" i="96"/>
  <c r="G53" i="137"/>
  <c r="E53" i="137"/>
  <c r="I53" i="137"/>
  <c r="J53" i="137"/>
  <c r="H53" i="137"/>
  <c r="L53" i="137"/>
  <c r="JR101" i="9"/>
  <c r="JO101" i="9"/>
  <c r="JP101" i="9"/>
  <c r="JN101" i="9"/>
  <c r="JM101" i="9"/>
  <c r="JL101" i="9"/>
  <c r="JK101" i="9"/>
  <c r="JJ101" i="9"/>
  <c r="JS101" i="9"/>
  <c r="KQ101" i="9"/>
  <c r="LE101" i="9"/>
  <c r="C53" i="137"/>
  <c r="O53" i="137"/>
  <c r="K53" i="137"/>
  <c r="B54" i="137"/>
  <c r="JP55" i="96"/>
  <c r="F54" i="137"/>
  <c r="KA55" i="96"/>
  <c r="G54" i="137"/>
  <c r="E54" i="137"/>
  <c r="I54" i="137"/>
  <c r="J54" i="137"/>
  <c r="H54" i="137"/>
  <c r="L54" i="137"/>
  <c r="JR102" i="9"/>
  <c r="JO102" i="9"/>
  <c r="JP102" i="9"/>
  <c r="JN102" i="9"/>
  <c r="JM102" i="9"/>
  <c r="JL102" i="9"/>
  <c r="JK102" i="9"/>
  <c r="JJ102" i="9"/>
  <c r="JS102" i="9"/>
  <c r="KQ102" i="9"/>
  <c r="LE102" i="9"/>
  <c r="C54" i="137"/>
  <c r="O54" i="137"/>
  <c r="K54" i="137"/>
  <c r="B55" i="137"/>
  <c r="JP56" i="96"/>
  <c r="F55" i="137"/>
  <c r="KA56" i="96"/>
  <c r="G55" i="137"/>
  <c r="E55" i="137"/>
  <c r="I55" i="137"/>
  <c r="J55" i="137"/>
  <c r="H55" i="137"/>
  <c r="L55" i="137"/>
  <c r="JR103" i="9"/>
  <c r="JO103" i="9"/>
  <c r="JP103" i="9"/>
  <c r="JN103" i="9"/>
  <c r="JM103" i="9"/>
  <c r="JL103" i="9"/>
  <c r="JK103" i="9"/>
  <c r="JJ103" i="9"/>
  <c r="JS103" i="9"/>
  <c r="KQ103" i="9"/>
  <c r="LE103" i="9"/>
  <c r="C55" i="137"/>
  <c r="O55" i="137"/>
  <c r="K55" i="137"/>
  <c r="B56" i="137"/>
  <c r="JP57" i="96"/>
  <c r="F56" i="137"/>
  <c r="KA57" i="96"/>
  <c r="G56" i="137"/>
  <c r="E56" i="137"/>
  <c r="I56" i="137"/>
  <c r="J56" i="137"/>
  <c r="H56" i="137"/>
  <c r="L56" i="137"/>
  <c r="JR104" i="9"/>
  <c r="JO104" i="9"/>
  <c r="JP104" i="9"/>
  <c r="JN104" i="9"/>
  <c r="JM104" i="9"/>
  <c r="JL104" i="9"/>
  <c r="JK104" i="9"/>
  <c r="JJ104" i="9"/>
  <c r="JS104" i="9"/>
  <c r="KQ104" i="9"/>
  <c r="LE104" i="9"/>
  <c r="C56" i="137"/>
  <c r="O56" i="137"/>
  <c r="K56" i="137"/>
  <c r="B57" i="137"/>
  <c r="JP58" i="96"/>
  <c r="F57" i="137"/>
  <c r="KA58" i="96"/>
  <c r="G57" i="137"/>
  <c r="E57" i="137"/>
  <c r="I57" i="137"/>
  <c r="J57" i="137"/>
  <c r="H57" i="137"/>
  <c r="L57" i="137"/>
  <c r="JR105" i="9"/>
  <c r="JO105" i="9"/>
  <c r="JP105" i="9"/>
  <c r="JN105" i="9"/>
  <c r="JM105" i="9"/>
  <c r="JL105" i="9"/>
  <c r="JK105" i="9"/>
  <c r="JJ105" i="9"/>
  <c r="JS105" i="9"/>
  <c r="KQ105" i="9"/>
  <c r="LE105" i="9"/>
  <c r="C57" i="137"/>
  <c r="O57" i="137"/>
  <c r="K57" i="137"/>
  <c r="B58" i="137"/>
  <c r="JP59" i="96"/>
  <c r="F58" i="137"/>
  <c r="KA59" i="96"/>
  <c r="G58" i="137"/>
  <c r="E58" i="137"/>
  <c r="I58" i="137"/>
  <c r="J58" i="137"/>
  <c r="H58" i="137"/>
  <c r="L58" i="137"/>
  <c r="JR106" i="9"/>
  <c r="JO106" i="9"/>
  <c r="JP106" i="9"/>
  <c r="JN106" i="9"/>
  <c r="JM106" i="9"/>
  <c r="JL106" i="9"/>
  <c r="JK106" i="9"/>
  <c r="JJ106" i="9"/>
  <c r="JS106" i="9"/>
  <c r="KQ106" i="9"/>
  <c r="LE106" i="9"/>
  <c r="C58" i="137"/>
  <c r="O58" i="137"/>
  <c r="K58" i="137"/>
  <c r="B59" i="137"/>
  <c r="JP60" i="96"/>
  <c r="F59" i="137"/>
  <c r="KA60" i="96"/>
  <c r="G59" i="137"/>
  <c r="E59" i="137"/>
  <c r="I59" i="137"/>
  <c r="J59" i="137"/>
  <c r="H59" i="137"/>
  <c r="L59" i="137"/>
  <c r="JR107" i="9"/>
  <c r="JO107" i="9"/>
  <c r="JP107" i="9"/>
  <c r="JN107" i="9"/>
  <c r="JM107" i="9"/>
  <c r="JL107" i="9"/>
  <c r="JK107" i="9"/>
  <c r="JJ107" i="9"/>
  <c r="JS107" i="9"/>
  <c r="KQ107" i="9"/>
  <c r="LE107" i="9"/>
  <c r="C59" i="137"/>
  <c r="O59" i="137"/>
  <c r="K59" i="137"/>
  <c r="B22" i="137"/>
  <c r="B21" i="137"/>
  <c r="E21" i="137"/>
  <c r="H21" i="137"/>
  <c r="L21" i="137"/>
  <c r="B26" i="137"/>
  <c r="E26" i="137"/>
  <c r="H26" i="137"/>
  <c r="L26" i="137"/>
  <c r="L22" i="137"/>
  <c r="JS69" i="9"/>
  <c r="LE69" i="9"/>
  <c r="C21" i="137"/>
  <c r="O21" i="137"/>
  <c r="JR74" i="9"/>
  <c r="JO74" i="9"/>
  <c r="JP74" i="9"/>
  <c r="JN74" i="9"/>
  <c r="JM74" i="9"/>
  <c r="JL74" i="9"/>
  <c r="JK74" i="9"/>
  <c r="JJ74" i="9"/>
  <c r="JS74" i="9"/>
  <c r="KQ74" i="9"/>
  <c r="LE74" i="9"/>
  <c r="C26" i="137"/>
  <c r="O26" i="137"/>
  <c r="O22" i="137"/>
  <c r="JS70" i="9"/>
  <c r="LE70" i="9"/>
  <c r="C22" i="137"/>
  <c r="K22" i="137"/>
  <c r="B23" i="137"/>
  <c r="L23" i="137"/>
  <c r="O23" i="137"/>
  <c r="JS71" i="9"/>
  <c r="LE71" i="9"/>
  <c r="C23" i="137"/>
  <c r="K23" i="137"/>
  <c r="B24" i="137"/>
  <c r="L24" i="137"/>
  <c r="O24" i="137"/>
  <c r="JS72" i="9"/>
  <c r="LE72" i="9"/>
  <c r="C24" i="137"/>
  <c r="K24" i="137"/>
  <c r="B25" i="137"/>
  <c r="L25" i="137"/>
  <c r="O25" i="137"/>
  <c r="JS73" i="9"/>
  <c r="LE73" i="9"/>
  <c r="C25" i="137"/>
  <c r="K25" i="137"/>
  <c r="K26" i="137"/>
  <c r="B27" i="137"/>
  <c r="E27" i="137"/>
  <c r="H27" i="137"/>
  <c r="L27" i="137"/>
  <c r="JR75" i="9"/>
  <c r="JO75" i="9"/>
  <c r="JP75" i="9"/>
  <c r="JN75" i="9"/>
  <c r="JM75" i="9"/>
  <c r="JL75" i="9"/>
  <c r="JK75" i="9"/>
  <c r="JJ75" i="9"/>
  <c r="JS75" i="9"/>
  <c r="KQ75" i="9"/>
  <c r="LE75" i="9"/>
  <c r="C27" i="137"/>
  <c r="O27" i="137"/>
  <c r="K27" i="137"/>
  <c r="B11" i="137"/>
  <c r="L11" i="137"/>
  <c r="O11" i="137"/>
  <c r="JS59" i="9"/>
  <c r="KK59" i="9"/>
  <c r="KQ59" i="9"/>
  <c r="LE59" i="9"/>
  <c r="C11" i="137"/>
  <c r="K11" i="137"/>
  <c r="B12" i="137"/>
  <c r="L12" i="137"/>
  <c r="O12" i="137"/>
  <c r="JS60" i="9"/>
  <c r="KK60" i="9"/>
  <c r="KQ60" i="9"/>
  <c r="LE60" i="9"/>
  <c r="C12" i="137"/>
  <c r="K12" i="137"/>
  <c r="B13" i="137"/>
  <c r="L13" i="137"/>
  <c r="O13" i="137"/>
  <c r="JS61" i="9"/>
  <c r="KK61" i="9"/>
  <c r="KQ61" i="9"/>
  <c r="LE61" i="9"/>
  <c r="C13" i="137"/>
  <c r="K13" i="137"/>
  <c r="B14" i="137"/>
  <c r="L14" i="137"/>
  <c r="O14" i="137"/>
  <c r="JS62" i="9"/>
  <c r="KQ62" i="9"/>
  <c r="LE62" i="9"/>
  <c r="C14" i="137"/>
  <c r="K14" i="137"/>
  <c r="B15" i="137"/>
  <c r="L15" i="137"/>
  <c r="O15" i="137"/>
  <c r="JS63" i="9"/>
  <c r="KQ63" i="9"/>
  <c r="LE63" i="9"/>
  <c r="C15" i="137"/>
  <c r="K15" i="137"/>
  <c r="B16" i="137"/>
  <c r="L16" i="137"/>
  <c r="O16" i="137"/>
  <c r="JS64" i="9"/>
  <c r="KQ64" i="9"/>
  <c r="LE64" i="9"/>
  <c r="C16" i="137"/>
  <c r="K16" i="137"/>
  <c r="B17" i="137"/>
  <c r="L17" i="137"/>
  <c r="O17" i="137"/>
  <c r="JS65" i="9"/>
  <c r="KQ65" i="9"/>
  <c r="LE65" i="9"/>
  <c r="C17" i="137"/>
  <c r="K17" i="137"/>
  <c r="B18" i="137"/>
  <c r="L18" i="137"/>
  <c r="O18" i="137"/>
  <c r="JS66" i="9"/>
  <c r="KQ66" i="9"/>
  <c r="LE66" i="9"/>
  <c r="C18" i="137"/>
  <c r="K18" i="137"/>
  <c r="B19" i="137"/>
  <c r="L19" i="137"/>
  <c r="O19" i="137"/>
  <c r="JS67" i="9"/>
  <c r="KQ67" i="9"/>
  <c r="LE67" i="9"/>
  <c r="C19" i="137"/>
  <c r="K19" i="137"/>
  <c r="B20" i="137"/>
  <c r="L20" i="137"/>
  <c r="O20" i="137"/>
  <c r="JS68" i="9"/>
  <c r="KQ68" i="9"/>
  <c r="LE68" i="9"/>
  <c r="C20" i="137"/>
  <c r="K20" i="137"/>
  <c r="K21" i="137"/>
  <c r="B10" i="137"/>
  <c r="L10" i="137"/>
  <c r="O10" i="137"/>
  <c r="JS58" i="9"/>
  <c r="KK58" i="9"/>
  <c r="KQ58" i="9"/>
  <c r="LE58" i="9"/>
  <c r="C10" i="137"/>
  <c r="K10" i="137"/>
  <c r="Q10" i="126"/>
  <c r="Q11" i="126"/>
  <c r="Q12" i="126"/>
  <c r="Q13" i="126"/>
  <c r="Q14" i="126"/>
  <c r="Q15" i="126"/>
  <c r="Q16" i="126"/>
  <c r="Q17" i="126"/>
  <c r="Q18" i="126"/>
  <c r="Q19" i="126"/>
  <c r="Q20" i="126"/>
  <c r="Q21" i="126"/>
  <c r="Q22" i="126"/>
  <c r="Q23" i="126"/>
  <c r="K40" i="156"/>
  <c r="EV55" i="159"/>
  <c r="GD55" i="159"/>
  <c r="BG55" i="159"/>
  <c r="CM55" i="159"/>
  <c r="IH55" i="159"/>
  <c r="BG48" i="159"/>
  <c r="BG49" i="159"/>
  <c r="BG50" i="159"/>
  <c r="BG51" i="159"/>
  <c r="BG52" i="159"/>
  <c r="BG53" i="159"/>
  <c r="BG54" i="159"/>
  <c r="BG56" i="159"/>
  <c r="BG57" i="159"/>
  <c r="BG58" i="159"/>
  <c r="BG59" i="159"/>
  <c r="BG60" i="159"/>
  <c r="BG61" i="159"/>
  <c r="BG63" i="159"/>
  <c r="EV61" i="159"/>
  <c r="GD61" i="159"/>
  <c r="CM61" i="159"/>
  <c r="IH61" i="159"/>
  <c r="CC48" i="159"/>
  <c r="FT48" i="159"/>
  <c r="HP48" i="159"/>
  <c r="CC49" i="159"/>
  <c r="FT49" i="159"/>
  <c r="HP49" i="159"/>
  <c r="CC50" i="159"/>
  <c r="FT50" i="159"/>
  <c r="HP50" i="159"/>
  <c r="CC51" i="159"/>
  <c r="FT51" i="159"/>
  <c r="HP51" i="159"/>
  <c r="CC52" i="159"/>
  <c r="FT52" i="159"/>
  <c r="HP52" i="159"/>
  <c r="CC53" i="159"/>
  <c r="FT53" i="159"/>
  <c r="HP53" i="159"/>
  <c r="CC54" i="159"/>
  <c r="FT54" i="159"/>
  <c r="HP54" i="159"/>
  <c r="CC55" i="159"/>
  <c r="FT55" i="159"/>
  <c r="HP55" i="159"/>
  <c r="CC56" i="159"/>
  <c r="FT56" i="159"/>
  <c r="HP56" i="159"/>
  <c r="CC57" i="159"/>
  <c r="FT57" i="159"/>
  <c r="HP57" i="159"/>
  <c r="CC58" i="159"/>
  <c r="FT58" i="159"/>
  <c r="HP58" i="159"/>
  <c r="CC59" i="159"/>
  <c r="FT59" i="159"/>
  <c r="HP59" i="159"/>
  <c r="CC60" i="159"/>
  <c r="FT60" i="159"/>
  <c r="HP60" i="159"/>
  <c r="CC61" i="159"/>
  <c r="FT61" i="159"/>
  <c r="HP61" i="159"/>
  <c r="HP63" i="159"/>
  <c r="BD48" i="159"/>
  <c r="CJ48" i="159"/>
  <c r="ES48" i="159"/>
  <c r="GA48" i="159"/>
  <c r="IE48" i="159"/>
  <c r="BD49" i="159"/>
  <c r="CJ49" i="159"/>
  <c r="ES49" i="159"/>
  <c r="GA49" i="159"/>
  <c r="IE49" i="159"/>
  <c r="BD50" i="159"/>
  <c r="CJ50" i="159"/>
  <c r="ES50" i="159"/>
  <c r="GA50" i="159"/>
  <c r="IE50" i="159"/>
  <c r="BD51" i="159"/>
  <c r="CJ51" i="159"/>
  <c r="ES51" i="159"/>
  <c r="GA51" i="159"/>
  <c r="IE51" i="159"/>
  <c r="BD52" i="159"/>
  <c r="CJ52" i="159"/>
  <c r="ES52" i="159"/>
  <c r="GA52" i="159"/>
  <c r="IE52" i="159"/>
  <c r="BD53" i="159"/>
  <c r="CJ53" i="159"/>
  <c r="ES53" i="159"/>
  <c r="GA53" i="159"/>
  <c r="IE53" i="159"/>
  <c r="BD54" i="159"/>
  <c r="CJ54" i="159"/>
  <c r="ES54" i="159"/>
  <c r="GA54" i="159"/>
  <c r="IE54" i="159"/>
  <c r="BD55" i="159"/>
  <c r="CJ55" i="159"/>
  <c r="ES55" i="159"/>
  <c r="GA55" i="159"/>
  <c r="IE55" i="159"/>
  <c r="BD56" i="159"/>
  <c r="CJ56" i="159"/>
  <c r="ES56" i="159"/>
  <c r="GA56" i="159"/>
  <c r="IE56" i="159"/>
  <c r="BD57" i="159"/>
  <c r="CJ57" i="159"/>
  <c r="ES57" i="159"/>
  <c r="GA57" i="159"/>
  <c r="IE57" i="159"/>
  <c r="BD58" i="159"/>
  <c r="CJ58" i="159"/>
  <c r="ES58" i="159"/>
  <c r="GA58" i="159"/>
  <c r="IE58" i="159"/>
  <c r="BD59" i="159"/>
  <c r="CJ59" i="159"/>
  <c r="ES59" i="159"/>
  <c r="GA59" i="159"/>
  <c r="IE59" i="159"/>
  <c r="BD60" i="159"/>
  <c r="CJ60" i="159"/>
  <c r="ES60" i="159"/>
  <c r="GA60" i="159"/>
  <c r="IE60" i="159"/>
  <c r="BD61" i="159"/>
  <c r="CJ61" i="159"/>
  <c r="ES61" i="159"/>
  <c r="GA61" i="159"/>
  <c r="IE61" i="159"/>
  <c r="IE66" i="159"/>
  <c r="CM48" i="159"/>
  <c r="EV48" i="159"/>
  <c r="GD48" i="159"/>
  <c r="IH48" i="159"/>
  <c r="CM49" i="159"/>
  <c r="EV49" i="159"/>
  <c r="GD49" i="159"/>
  <c r="IH49" i="159"/>
  <c r="CM50" i="159"/>
  <c r="EV50" i="159"/>
  <c r="GD50" i="159"/>
  <c r="IH50" i="159"/>
  <c r="CM51" i="159"/>
  <c r="EV51" i="159"/>
  <c r="GD51" i="159"/>
  <c r="IH51" i="159"/>
  <c r="CM52" i="159"/>
  <c r="EV52" i="159"/>
  <c r="GD52" i="159"/>
  <c r="IH52" i="159"/>
  <c r="CM53" i="159"/>
  <c r="EV53" i="159"/>
  <c r="GD53" i="159"/>
  <c r="IH53" i="159"/>
  <c r="CM54" i="159"/>
  <c r="EV54" i="159"/>
  <c r="GD54" i="159"/>
  <c r="IH54" i="159"/>
  <c r="CM56" i="159"/>
  <c r="EV56" i="159"/>
  <c r="GD56" i="159"/>
  <c r="IH56" i="159"/>
  <c r="CM57" i="159"/>
  <c r="EV57" i="159"/>
  <c r="GD57" i="159"/>
  <c r="IH57" i="159"/>
  <c r="CM58" i="159"/>
  <c r="EV58" i="159"/>
  <c r="GD58" i="159"/>
  <c r="IH58" i="159"/>
  <c r="CM59" i="159"/>
  <c r="EV59" i="159"/>
  <c r="GD59" i="159"/>
  <c r="IH59" i="159"/>
  <c r="CM60" i="159"/>
  <c r="EV60" i="159"/>
  <c r="GD60" i="159"/>
  <c r="IH60" i="159"/>
  <c r="IF66" i="159"/>
  <c r="BJ48" i="159"/>
  <c r="CP48" i="159"/>
  <c r="EY48" i="159"/>
  <c r="GG48" i="159"/>
  <c r="IK48" i="159"/>
  <c r="BJ49" i="159"/>
  <c r="CP49" i="159"/>
  <c r="EY49" i="159"/>
  <c r="GG49" i="159"/>
  <c r="IK49" i="159"/>
  <c r="BJ50" i="159"/>
  <c r="CP50" i="159"/>
  <c r="EY50" i="159"/>
  <c r="GG50" i="159"/>
  <c r="IK50" i="159"/>
  <c r="BJ51" i="159"/>
  <c r="CP51" i="159"/>
  <c r="EY51" i="159"/>
  <c r="GG51" i="159"/>
  <c r="IK51" i="159"/>
  <c r="BJ52" i="159"/>
  <c r="CP52" i="159"/>
  <c r="EY52" i="159"/>
  <c r="GG52" i="159"/>
  <c r="IK52" i="159"/>
  <c r="BJ53" i="159"/>
  <c r="CP53" i="159"/>
  <c r="EY53" i="159"/>
  <c r="GG53" i="159"/>
  <c r="IK53" i="159"/>
  <c r="BJ54" i="159"/>
  <c r="CP54" i="159"/>
  <c r="EY54" i="159"/>
  <c r="GG54" i="159"/>
  <c r="IK54" i="159"/>
  <c r="BJ55" i="159"/>
  <c r="CP55" i="159"/>
  <c r="EY55" i="159"/>
  <c r="GG55" i="159"/>
  <c r="IK55" i="159"/>
  <c r="BJ56" i="159"/>
  <c r="CP56" i="159"/>
  <c r="EY56" i="159"/>
  <c r="GG56" i="159"/>
  <c r="IK56" i="159"/>
  <c r="BJ57" i="159"/>
  <c r="CP57" i="159"/>
  <c r="EY57" i="159"/>
  <c r="GG57" i="159"/>
  <c r="IK57" i="159"/>
  <c r="BJ58" i="159"/>
  <c r="CP58" i="159"/>
  <c r="EY58" i="159"/>
  <c r="GG58" i="159"/>
  <c r="IK58" i="159"/>
  <c r="BJ59" i="159"/>
  <c r="CP59" i="159"/>
  <c r="EY59" i="159"/>
  <c r="GG59" i="159"/>
  <c r="IK59" i="159"/>
  <c r="BJ60" i="159"/>
  <c r="CP60" i="159"/>
  <c r="EY60" i="159"/>
  <c r="GG60" i="159"/>
  <c r="IK60" i="159"/>
  <c r="BJ61" i="159"/>
  <c r="CP61" i="159"/>
  <c r="EY61" i="159"/>
  <c r="GG61" i="159"/>
  <c r="IK61" i="159"/>
  <c r="IG66" i="159"/>
  <c r="BC48" i="159"/>
  <c r="H47" i="159"/>
  <c r="CI48" i="159"/>
  <c r="ER48" i="159"/>
  <c r="CV47" i="159"/>
  <c r="FZ48" i="159"/>
  <c r="ID48" i="159"/>
  <c r="BC49" i="159"/>
  <c r="H48" i="159"/>
  <c r="CI49" i="159"/>
  <c r="ER49" i="159"/>
  <c r="CV48" i="159"/>
  <c r="FZ49" i="159"/>
  <c r="ID49" i="159"/>
  <c r="BC50" i="159"/>
  <c r="H49" i="159"/>
  <c r="CI50" i="159"/>
  <c r="ER50" i="159"/>
  <c r="CV49" i="159"/>
  <c r="FZ50" i="159"/>
  <c r="ID50" i="159"/>
  <c r="BC51" i="159"/>
  <c r="H50" i="159"/>
  <c r="CI51" i="159"/>
  <c r="ER51" i="159"/>
  <c r="CV50" i="159"/>
  <c r="FZ51" i="159"/>
  <c r="ID51" i="159"/>
  <c r="BC52" i="159"/>
  <c r="H51" i="159"/>
  <c r="CI52" i="159"/>
  <c r="ER52" i="159"/>
  <c r="CV51" i="159"/>
  <c r="FZ52" i="159"/>
  <c r="ID52" i="159"/>
  <c r="BC53" i="159"/>
  <c r="H52" i="159"/>
  <c r="CI53" i="159"/>
  <c r="ER53" i="159"/>
  <c r="CV52" i="159"/>
  <c r="FZ53" i="159"/>
  <c r="ID53" i="159"/>
  <c r="BC54" i="159"/>
  <c r="H53" i="159"/>
  <c r="CI54" i="159"/>
  <c r="ER54" i="159"/>
  <c r="CV53" i="159"/>
  <c r="FZ54" i="159"/>
  <c r="ID54" i="159"/>
  <c r="BC55" i="159"/>
  <c r="H54" i="159"/>
  <c r="CI55" i="159"/>
  <c r="ER55" i="159"/>
  <c r="CV54" i="159"/>
  <c r="FZ55" i="159"/>
  <c r="ID55" i="159"/>
  <c r="BC56" i="159"/>
  <c r="H55" i="159"/>
  <c r="CI56" i="159"/>
  <c r="ER56" i="159"/>
  <c r="CV55" i="159"/>
  <c r="FZ56" i="159"/>
  <c r="ID56" i="159"/>
  <c r="BC57" i="159"/>
  <c r="H56" i="159"/>
  <c r="CI57" i="159"/>
  <c r="ER57" i="159"/>
  <c r="CV56" i="159"/>
  <c r="FZ57" i="159"/>
  <c r="ID57" i="159"/>
  <c r="BC58" i="159"/>
  <c r="H57" i="159"/>
  <c r="CI58" i="159"/>
  <c r="ER58" i="159"/>
  <c r="CV57" i="159"/>
  <c r="FZ58" i="159"/>
  <c r="ID58" i="159"/>
  <c r="BC59" i="159"/>
  <c r="H58" i="159"/>
  <c r="CI59" i="159"/>
  <c r="ER59" i="159"/>
  <c r="CV58" i="159"/>
  <c r="FZ59" i="159"/>
  <c r="ID59" i="159"/>
  <c r="BC60" i="159"/>
  <c r="H59" i="159"/>
  <c r="CI60" i="159"/>
  <c r="ER60" i="159"/>
  <c r="CV59" i="159"/>
  <c r="FZ60" i="159"/>
  <c r="ID60" i="159"/>
  <c r="BC61" i="159"/>
  <c r="H60" i="159"/>
  <c r="CI61" i="159"/>
  <c r="ER61" i="159"/>
  <c r="CV60" i="159"/>
  <c r="FZ61" i="159"/>
  <c r="ID61" i="159"/>
  <c r="ID66" i="159"/>
  <c r="BH65" i="159"/>
  <c r="FW62" i="159"/>
  <c r="FV62" i="159"/>
  <c r="FU62" i="159"/>
  <c r="FT62" i="159"/>
  <c r="FS62" i="159"/>
  <c r="FR62" i="159"/>
  <c r="FQ62" i="159"/>
  <c r="CV61" i="159"/>
  <c r="FP62" i="159"/>
  <c r="DO62" i="159"/>
  <c r="EO62" i="159"/>
  <c r="EN62" i="159"/>
  <c r="EM62" i="159"/>
  <c r="DL62" i="159"/>
  <c r="EL62" i="159"/>
  <c r="EK62" i="159"/>
  <c r="EJ62" i="159"/>
  <c r="DI62" i="159"/>
  <c r="EI62" i="159"/>
  <c r="CV62" i="159"/>
  <c r="DH62" i="159"/>
  <c r="EG62" i="159"/>
  <c r="AA62" i="159"/>
  <c r="AZ62" i="159"/>
  <c r="AY62" i="159"/>
  <c r="AX62" i="159"/>
  <c r="X62" i="159"/>
  <c r="AW62" i="159"/>
  <c r="AV62" i="159"/>
  <c r="AU62" i="159"/>
  <c r="U62" i="159"/>
  <c r="AT62" i="159"/>
  <c r="H62" i="159"/>
  <c r="H61" i="159"/>
  <c r="T62" i="159"/>
  <c r="AR62" i="159"/>
  <c r="AB62" i="159"/>
  <c r="HW61" i="159"/>
  <c r="HV61" i="159"/>
  <c r="CF61" i="159"/>
  <c r="FW61" i="159"/>
  <c r="HS61" i="159"/>
  <c r="CE61" i="159"/>
  <c r="FV61" i="159"/>
  <c r="HR61" i="159"/>
  <c r="CD61" i="159"/>
  <c r="FU61" i="159"/>
  <c r="HQ61" i="159"/>
  <c r="FS61" i="159"/>
  <c r="HO61" i="159"/>
  <c r="CA61" i="159"/>
  <c r="FR61" i="159"/>
  <c r="HN61" i="159"/>
  <c r="BZ61" i="159"/>
  <c r="FQ61" i="159"/>
  <c r="HM61" i="159"/>
  <c r="BY61" i="159"/>
  <c r="FP61" i="159"/>
  <c r="HL61" i="159"/>
  <c r="HE61" i="159"/>
  <c r="HD61" i="159"/>
  <c r="HC61" i="159"/>
  <c r="HB61" i="159"/>
  <c r="HA61" i="159"/>
  <c r="GZ61" i="159"/>
  <c r="GY61" i="159"/>
  <c r="GX61" i="159"/>
  <c r="GW61" i="159"/>
  <c r="GV61" i="159"/>
  <c r="GQ61" i="159"/>
  <c r="GP61" i="159"/>
  <c r="GO61" i="159"/>
  <c r="GN61" i="159"/>
  <c r="GM61" i="159"/>
  <c r="GL61" i="159"/>
  <c r="GK61" i="159"/>
  <c r="GJ61" i="159"/>
  <c r="EX61" i="159"/>
  <c r="GF61" i="159"/>
  <c r="EW61" i="159"/>
  <c r="GE61" i="159"/>
  <c r="ET61" i="159"/>
  <c r="GB61" i="159"/>
  <c r="DO61" i="159"/>
  <c r="EO61" i="159"/>
  <c r="EN61" i="159"/>
  <c r="EM61" i="159"/>
  <c r="DL61" i="159"/>
  <c r="EL61" i="159"/>
  <c r="EK61" i="159"/>
  <c r="EJ61" i="159"/>
  <c r="DI61" i="159"/>
  <c r="EI61" i="159"/>
  <c r="DH61" i="159"/>
  <c r="EG61" i="159"/>
  <c r="BI61" i="159"/>
  <c r="CO61" i="159"/>
  <c r="BH61" i="159"/>
  <c r="CN61" i="159"/>
  <c r="BF61" i="159"/>
  <c r="CL61" i="159"/>
  <c r="BE61" i="159"/>
  <c r="CK61" i="159"/>
  <c r="BX61" i="159"/>
  <c r="BQ61" i="159"/>
  <c r="BP61" i="159"/>
  <c r="BO61" i="159"/>
  <c r="BN61" i="159"/>
  <c r="BK61" i="159"/>
  <c r="AA61" i="159"/>
  <c r="AZ61" i="159"/>
  <c r="AY61" i="159"/>
  <c r="AX61" i="159"/>
  <c r="X61" i="159"/>
  <c r="AW61" i="159"/>
  <c r="AV61" i="159"/>
  <c r="AU61" i="159"/>
  <c r="U61" i="159"/>
  <c r="AT61" i="159"/>
  <c r="T61" i="159"/>
  <c r="AR61" i="159"/>
  <c r="AB61" i="159"/>
  <c r="HW60" i="159"/>
  <c r="HV60" i="159"/>
  <c r="CF60" i="159"/>
  <c r="FW60" i="159"/>
  <c r="HS60" i="159"/>
  <c r="CE60" i="159"/>
  <c r="FV60" i="159"/>
  <c r="HR60" i="159"/>
  <c r="CD60" i="159"/>
  <c r="FU60" i="159"/>
  <c r="HQ60" i="159"/>
  <c r="FS60" i="159"/>
  <c r="HO60" i="159"/>
  <c r="CA60" i="159"/>
  <c r="FR60" i="159"/>
  <c r="HN60" i="159"/>
  <c r="BZ60" i="159"/>
  <c r="FQ60" i="159"/>
  <c r="HM60" i="159"/>
  <c r="BY60" i="159"/>
  <c r="FP60" i="159"/>
  <c r="HL60" i="159"/>
  <c r="HE60" i="159"/>
  <c r="HD60" i="159"/>
  <c r="HC60" i="159"/>
  <c r="HB60" i="159"/>
  <c r="HA60" i="159"/>
  <c r="GZ60" i="159"/>
  <c r="GY60" i="159"/>
  <c r="GX60" i="159"/>
  <c r="GW60" i="159"/>
  <c r="GV60" i="159"/>
  <c r="GQ60" i="159"/>
  <c r="GP60" i="159"/>
  <c r="GO60" i="159"/>
  <c r="GN60" i="159"/>
  <c r="GM60" i="159"/>
  <c r="GL60" i="159"/>
  <c r="GK60" i="159"/>
  <c r="GJ60" i="159"/>
  <c r="EX60" i="159"/>
  <c r="GF60" i="159"/>
  <c r="EW60" i="159"/>
  <c r="GE60" i="159"/>
  <c r="ET60" i="159"/>
  <c r="GB60" i="159"/>
  <c r="DO60" i="159"/>
  <c r="EO60" i="159"/>
  <c r="EN60" i="159"/>
  <c r="EM60" i="159"/>
  <c r="DL60" i="159"/>
  <c r="EL60" i="159"/>
  <c r="EK60" i="159"/>
  <c r="EJ60" i="159"/>
  <c r="DI60" i="159"/>
  <c r="EI60" i="159"/>
  <c r="DH60" i="159"/>
  <c r="EG60" i="159"/>
  <c r="BI60" i="159"/>
  <c r="CO60" i="159"/>
  <c r="BH60" i="159"/>
  <c r="CN60" i="159"/>
  <c r="BF60" i="159"/>
  <c r="CL60" i="159"/>
  <c r="BE60" i="159"/>
  <c r="CK60" i="159"/>
  <c r="BX60" i="159"/>
  <c r="BQ60" i="159"/>
  <c r="BP60" i="159"/>
  <c r="BO60" i="159"/>
  <c r="BN60" i="159"/>
  <c r="BK60" i="159"/>
  <c r="AA60" i="159"/>
  <c r="AZ60" i="159"/>
  <c r="AY60" i="159"/>
  <c r="AX60" i="159"/>
  <c r="X60" i="159"/>
  <c r="AW60" i="159"/>
  <c r="AV60" i="159"/>
  <c r="AU60" i="159"/>
  <c r="U60" i="159"/>
  <c r="AT60" i="159"/>
  <c r="T60" i="159"/>
  <c r="AR60" i="159"/>
  <c r="AB60" i="159"/>
  <c r="HW59" i="159"/>
  <c r="HV59" i="159"/>
  <c r="CF59" i="159"/>
  <c r="FW59" i="159"/>
  <c r="HS59" i="159"/>
  <c r="CE59" i="159"/>
  <c r="FV59" i="159"/>
  <c r="HR59" i="159"/>
  <c r="CD59" i="159"/>
  <c r="FU59" i="159"/>
  <c r="HQ59" i="159"/>
  <c r="FS59" i="159"/>
  <c r="HO59" i="159"/>
  <c r="CA59" i="159"/>
  <c r="FR59" i="159"/>
  <c r="HN59" i="159"/>
  <c r="BZ59" i="159"/>
  <c r="FQ59" i="159"/>
  <c r="HM59" i="159"/>
  <c r="BY59" i="159"/>
  <c r="FP59" i="159"/>
  <c r="HL59" i="159"/>
  <c r="HE59" i="159"/>
  <c r="HD59" i="159"/>
  <c r="HC59" i="159"/>
  <c r="HB59" i="159"/>
  <c r="HA59" i="159"/>
  <c r="GZ59" i="159"/>
  <c r="GY59" i="159"/>
  <c r="GX59" i="159"/>
  <c r="GW59" i="159"/>
  <c r="GV59" i="159"/>
  <c r="GQ59" i="159"/>
  <c r="GP59" i="159"/>
  <c r="GO59" i="159"/>
  <c r="GN59" i="159"/>
  <c r="GM59" i="159"/>
  <c r="GL59" i="159"/>
  <c r="GK59" i="159"/>
  <c r="GJ59" i="159"/>
  <c r="EX59" i="159"/>
  <c r="GF59" i="159"/>
  <c r="EW59" i="159"/>
  <c r="GE59" i="159"/>
  <c r="ET59" i="159"/>
  <c r="GB59" i="159"/>
  <c r="DO59" i="159"/>
  <c r="EO59" i="159"/>
  <c r="EN59" i="159"/>
  <c r="EM59" i="159"/>
  <c r="DL59" i="159"/>
  <c r="EL59" i="159"/>
  <c r="EK59" i="159"/>
  <c r="EJ59" i="159"/>
  <c r="DI59" i="159"/>
  <c r="EI59" i="159"/>
  <c r="DH59" i="159"/>
  <c r="EG59" i="159"/>
  <c r="BI59" i="159"/>
  <c r="CO59" i="159"/>
  <c r="BH59" i="159"/>
  <c r="CN59" i="159"/>
  <c r="BF59" i="159"/>
  <c r="CL59" i="159"/>
  <c r="BE59" i="159"/>
  <c r="CK59" i="159"/>
  <c r="BX59" i="159"/>
  <c r="BQ59" i="159"/>
  <c r="BP59" i="159"/>
  <c r="BO59" i="159"/>
  <c r="BN59" i="159"/>
  <c r="BK59" i="159"/>
  <c r="AA59" i="159"/>
  <c r="AZ59" i="159"/>
  <c r="AY59" i="159"/>
  <c r="AX59" i="159"/>
  <c r="X59" i="159"/>
  <c r="AW59" i="159"/>
  <c r="AV59" i="159"/>
  <c r="AU59" i="159"/>
  <c r="U59" i="159"/>
  <c r="AT59" i="159"/>
  <c r="T59" i="159"/>
  <c r="AR59" i="159"/>
  <c r="AB59" i="159"/>
  <c r="HW58" i="159"/>
  <c r="HV58" i="159"/>
  <c r="CF58" i="159"/>
  <c r="FW58" i="159"/>
  <c r="HS58" i="159"/>
  <c r="CE58" i="159"/>
  <c r="FV58" i="159"/>
  <c r="HR58" i="159"/>
  <c r="CD58" i="159"/>
  <c r="FU58" i="159"/>
  <c r="HQ58" i="159"/>
  <c r="CB58" i="159"/>
  <c r="FS58" i="159"/>
  <c r="HO58" i="159"/>
  <c r="CA58" i="159"/>
  <c r="FR58" i="159"/>
  <c r="HN58" i="159"/>
  <c r="BZ58" i="159"/>
  <c r="FQ58" i="159"/>
  <c r="HM58" i="159"/>
  <c r="BY58" i="159"/>
  <c r="FP58" i="159"/>
  <c r="HL58" i="159"/>
  <c r="HE58" i="159"/>
  <c r="HD58" i="159"/>
  <c r="HC58" i="159"/>
  <c r="HB58" i="159"/>
  <c r="HA58" i="159"/>
  <c r="GZ58" i="159"/>
  <c r="GY58" i="159"/>
  <c r="GX58" i="159"/>
  <c r="GW58" i="159"/>
  <c r="GV58" i="159"/>
  <c r="GQ58" i="159"/>
  <c r="GP58" i="159"/>
  <c r="GO58" i="159"/>
  <c r="GN58" i="159"/>
  <c r="GM58" i="159"/>
  <c r="GL58" i="159"/>
  <c r="GK58" i="159"/>
  <c r="GJ58" i="159"/>
  <c r="EX58" i="159"/>
  <c r="GF58" i="159"/>
  <c r="EW58" i="159"/>
  <c r="GE58" i="159"/>
  <c r="ET58" i="159"/>
  <c r="GB58" i="159"/>
  <c r="DO58" i="159"/>
  <c r="EO58" i="159"/>
  <c r="EN58" i="159"/>
  <c r="EM58" i="159"/>
  <c r="DL58" i="159"/>
  <c r="EL58" i="159"/>
  <c r="EK58" i="159"/>
  <c r="EJ58" i="159"/>
  <c r="DI58" i="159"/>
  <c r="EI58" i="159"/>
  <c r="DH58" i="159"/>
  <c r="EG58" i="159"/>
  <c r="BI58" i="159"/>
  <c r="CO58" i="159"/>
  <c r="BH58" i="159"/>
  <c r="CN58" i="159"/>
  <c r="BF58" i="159"/>
  <c r="CL58" i="159"/>
  <c r="BE58" i="159"/>
  <c r="CK58" i="159"/>
  <c r="BX58" i="159"/>
  <c r="BQ58" i="159"/>
  <c r="BP58" i="159"/>
  <c r="BO58" i="159"/>
  <c r="BN58" i="159"/>
  <c r="BK58" i="159"/>
  <c r="AA58" i="159"/>
  <c r="AZ58" i="159"/>
  <c r="AY58" i="159"/>
  <c r="AX58" i="159"/>
  <c r="X58" i="159"/>
  <c r="AW58" i="159"/>
  <c r="AV58" i="159"/>
  <c r="AU58" i="159"/>
  <c r="U58" i="159"/>
  <c r="AT58" i="159"/>
  <c r="T58" i="159"/>
  <c r="AR58" i="159"/>
  <c r="AB58" i="159"/>
  <c r="HW57" i="159"/>
  <c r="HV57" i="159"/>
  <c r="CF57" i="159"/>
  <c r="FW57" i="159"/>
  <c r="HS57" i="159"/>
  <c r="CE57" i="159"/>
  <c r="FV57" i="159"/>
  <c r="HR57" i="159"/>
  <c r="CD57" i="159"/>
  <c r="FU57" i="159"/>
  <c r="HQ57" i="159"/>
  <c r="CB57" i="159"/>
  <c r="FS57" i="159"/>
  <c r="HO57" i="159"/>
  <c r="CA57" i="159"/>
  <c r="FR57" i="159"/>
  <c r="HN57" i="159"/>
  <c r="BZ57" i="159"/>
  <c r="FQ57" i="159"/>
  <c r="HM57" i="159"/>
  <c r="BY57" i="159"/>
  <c r="FP57" i="159"/>
  <c r="HL57" i="159"/>
  <c r="HE57" i="159"/>
  <c r="HD57" i="159"/>
  <c r="HC57" i="159"/>
  <c r="HB57" i="159"/>
  <c r="HA57" i="159"/>
  <c r="GZ57" i="159"/>
  <c r="GY57" i="159"/>
  <c r="GX57" i="159"/>
  <c r="GW57" i="159"/>
  <c r="GV57" i="159"/>
  <c r="GQ57" i="159"/>
  <c r="GP57" i="159"/>
  <c r="GO57" i="159"/>
  <c r="GN57" i="159"/>
  <c r="GM57" i="159"/>
  <c r="GL57" i="159"/>
  <c r="GK57" i="159"/>
  <c r="GJ57" i="159"/>
  <c r="EX57" i="159"/>
  <c r="GF57" i="159"/>
  <c r="EW57" i="159"/>
  <c r="GE57" i="159"/>
  <c r="ET57" i="159"/>
  <c r="GB57" i="159"/>
  <c r="DO57" i="159"/>
  <c r="EO57" i="159"/>
  <c r="EN57" i="159"/>
  <c r="EM57" i="159"/>
  <c r="DL57" i="159"/>
  <c r="EL57" i="159"/>
  <c r="EK57" i="159"/>
  <c r="EJ57" i="159"/>
  <c r="DI57" i="159"/>
  <c r="EI57" i="159"/>
  <c r="DH57" i="159"/>
  <c r="EG57" i="159"/>
  <c r="BI57" i="159"/>
  <c r="CO57" i="159"/>
  <c r="BH57" i="159"/>
  <c r="CN57" i="159"/>
  <c r="BF57" i="159"/>
  <c r="CL57" i="159"/>
  <c r="BE57" i="159"/>
  <c r="CK57" i="159"/>
  <c r="BX57" i="159"/>
  <c r="BQ57" i="159"/>
  <c r="BP57" i="159"/>
  <c r="BO57" i="159"/>
  <c r="BN57" i="159"/>
  <c r="BK57" i="159"/>
  <c r="AA57" i="159"/>
  <c r="AZ57" i="159"/>
  <c r="AY57" i="159"/>
  <c r="AX57" i="159"/>
  <c r="X57" i="159"/>
  <c r="AW57" i="159"/>
  <c r="AV57" i="159"/>
  <c r="AU57" i="159"/>
  <c r="U57" i="159"/>
  <c r="AT57" i="159"/>
  <c r="T57" i="159"/>
  <c r="AR57" i="159"/>
  <c r="AB57" i="159"/>
  <c r="HW56" i="159"/>
  <c r="HV56" i="159"/>
  <c r="CF56" i="159"/>
  <c r="FW56" i="159"/>
  <c r="HS56" i="159"/>
  <c r="CE56" i="159"/>
  <c r="FV56" i="159"/>
  <c r="HR56" i="159"/>
  <c r="CD56" i="159"/>
  <c r="FU56" i="159"/>
  <c r="HQ56" i="159"/>
  <c r="CB56" i="159"/>
  <c r="FS56" i="159"/>
  <c r="HO56" i="159"/>
  <c r="CA56" i="159"/>
  <c r="FR56" i="159"/>
  <c r="HN56" i="159"/>
  <c r="BZ56" i="159"/>
  <c r="FQ56" i="159"/>
  <c r="HM56" i="159"/>
  <c r="BY56" i="159"/>
  <c r="FP56" i="159"/>
  <c r="HL56" i="159"/>
  <c r="HE56" i="159"/>
  <c r="HD56" i="159"/>
  <c r="HC56" i="159"/>
  <c r="HB56" i="159"/>
  <c r="HA56" i="159"/>
  <c r="GZ56" i="159"/>
  <c r="GY56" i="159"/>
  <c r="GX56" i="159"/>
  <c r="GW56" i="159"/>
  <c r="GV56" i="159"/>
  <c r="GQ56" i="159"/>
  <c r="GP56" i="159"/>
  <c r="GO56" i="159"/>
  <c r="GN56" i="159"/>
  <c r="GM56" i="159"/>
  <c r="GL56" i="159"/>
  <c r="GK56" i="159"/>
  <c r="GJ56" i="159"/>
  <c r="EX56" i="159"/>
  <c r="GF56" i="159"/>
  <c r="EW56" i="159"/>
  <c r="GE56" i="159"/>
  <c r="ET56" i="159"/>
  <c r="GB56" i="159"/>
  <c r="DO56" i="159"/>
  <c r="EO56" i="159"/>
  <c r="EN56" i="159"/>
  <c r="EM56" i="159"/>
  <c r="DL56" i="159"/>
  <c r="EL56" i="159"/>
  <c r="EK56" i="159"/>
  <c r="EJ56" i="159"/>
  <c r="DI56" i="159"/>
  <c r="EI56" i="159"/>
  <c r="DH56" i="159"/>
  <c r="EG56" i="159"/>
  <c r="BI56" i="159"/>
  <c r="CO56" i="159"/>
  <c r="BH56" i="159"/>
  <c r="CN56" i="159"/>
  <c r="BF56" i="159"/>
  <c r="CL56" i="159"/>
  <c r="BE56" i="159"/>
  <c r="CK56" i="159"/>
  <c r="BX56" i="159"/>
  <c r="BQ56" i="159"/>
  <c r="BP56" i="159"/>
  <c r="BO56" i="159"/>
  <c r="BN56" i="159"/>
  <c r="BK56" i="159"/>
  <c r="AA56" i="159"/>
  <c r="AZ56" i="159"/>
  <c r="AY56" i="159"/>
  <c r="AX56" i="159"/>
  <c r="X56" i="159"/>
  <c r="AW56" i="159"/>
  <c r="AV56" i="159"/>
  <c r="AU56" i="159"/>
  <c r="U56" i="159"/>
  <c r="AT56" i="159"/>
  <c r="T56" i="159"/>
  <c r="AR56" i="159"/>
  <c r="AB56" i="159"/>
  <c r="HW55" i="159"/>
  <c r="HV55" i="159"/>
  <c r="CF55" i="159"/>
  <c r="FW55" i="159"/>
  <c r="HS55" i="159"/>
  <c r="CE55" i="159"/>
  <c r="FV55" i="159"/>
  <c r="HR55" i="159"/>
  <c r="CD55" i="159"/>
  <c r="FU55" i="159"/>
  <c r="HQ55" i="159"/>
  <c r="CB55" i="159"/>
  <c r="FS55" i="159"/>
  <c r="HO55" i="159"/>
  <c r="CA55" i="159"/>
  <c r="FR55" i="159"/>
  <c r="HN55" i="159"/>
  <c r="BZ55" i="159"/>
  <c r="FQ55" i="159"/>
  <c r="HM55" i="159"/>
  <c r="BY55" i="159"/>
  <c r="FP55" i="159"/>
  <c r="HL55" i="159"/>
  <c r="HE55" i="159"/>
  <c r="HD55" i="159"/>
  <c r="HC55" i="159"/>
  <c r="HB55" i="159"/>
  <c r="HA55" i="159"/>
  <c r="GZ55" i="159"/>
  <c r="GY55" i="159"/>
  <c r="GX55" i="159"/>
  <c r="GW55" i="159"/>
  <c r="GV55" i="159"/>
  <c r="GQ55" i="159"/>
  <c r="GP55" i="159"/>
  <c r="GO55" i="159"/>
  <c r="GN55" i="159"/>
  <c r="GM55" i="159"/>
  <c r="GL55" i="159"/>
  <c r="GK55" i="159"/>
  <c r="GJ55" i="159"/>
  <c r="EX55" i="159"/>
  <c r="GF55" i="159"/>
  <c r="EW55" i="159"/>
  <c r="GE55" i="159"/>
  <c r="ET55" i="159"/>
  <c r="GB55" i="159"/>
  <c r="DO55" i="159"/>
  <c r="EO55" i="159"/>
  <c r="EN55" i="159"/>
  <c r="EM55" i="159"/>
  <c r="DL55" i="159"/>
  <c r="EL55" i="159"/>
  <c r="EK55" i="159"/>
  <c r="EJ55" i="159"/>
  <c r="DI55" i="159"/>
  <c r="EI55" i="159"/>
  <c r="DH55" i="159"/>
  <c r="EG55" i="159"/>
  <c r="BI55" i="159"/>
  <c r="CO55" i="159"/>
  <c r="BH55" i="159"/>
  <c r="CN55" i="159"/>
  <c r="BF55" i="159"/>
  <c r="CL55" i="159"/>
  <c r="BE55" i="159"/>
  <c r="CK55" i="159"/>
  <c r="BX55" i="159"/>
  <c r="BQ55" i="159"/>
  <c r="BP55" i="159"/>
  <c r="BO55" i="159"/>
  <c r="BN55" i="159"/>
  <c r="BK55" i="159"/>
  <c r="AA55" i="159"/>
  <c r="AZ55" i="159"/>
  <c r="AY55" i="159"/>
  <c r="AX55" i="159"/>
  <c r="X55" i="159"/>
  <c r="AW55" i="159"/>
  <c r="AV55" i="159"/>
  <c r="AU55" i="159"/>
  <c r="U55" i="159"/>
  <c r="AT55" i="159"/>
  <c r="T55" i="159"/>
  <c r="AR55" i="159"/>
  <c r="AB55" i="159"/>
  <c r="HW54" i="159"/>
  <c r="HV54" i="159"/>
  <c r="CF54" i="159"/>
  <c r="FW54" i="159"/>
  <c r="HS54" i="159"/>
  <c r="CE54" i="159"/>
  <c r="FV54" i="159"/>
  <c r="HR54" i="159"/>
  <c r="CD54" i="159"/>
  <c r="FU54" i="159"/>
  <c r="HQ54" i="159"/>
  <c r="CB54" i="159"/>
  <c r="FS54" i="159"/>
  <c r="HO54" i="159"/>
  <c r="CA54" i="159"/>
  <c r="FR54" i="159"/>
  <c r="HN54" i="159"/>
  <c r="BZ54" i="159"/>
  <c r="FQ54" i="159"/>
  <c r="HM54" i="159"/>
  <c r="BY54" i="159"/>
  <c r="FP54" i="159"/>
  <c r="HL54" i="159"/>
  <c r="HE54" i="159"/>
  <c r="HD54" i="159"/>
  <c r="HC54" i="159"/>
  <c r="HB54" i="159"/>
  <c r="HA54" i="159"/>
  <c r="GZ54" i="159"/>
  <c r="GY54" i="159"/>
  <c r="GX54" i="159"/>
  <c r="GW54" i="159"/>
  <c r="GV54" i="159"/>
  <c r="GQ54" i="159"/>
  <c r="GP54" i="159"/>
  <c r="GO54" i="159"/>
  <c r="GN54" i="159"/>
  <c r="GM54" i="159"/>
  <c r="GL54" i="159"/>
  <c r="GK54" i="159"/>
  <c r="GJ54" i="159"/>
  <c r="EX54" i="159"/>
  <c r="GF54" i="159"/>
  <c r="EW54" i="159"/>
  <c r="GE54" i="159"/>
  <c r="ET54" i="159"/>
  <c r="GB54" i="159"/>
  <c r="DO54" i="159"/>
  <c r="EO54" i="159"/>
  <c r="EN54" i="159"/>
  <c r="EM54" i="159"/>
  <c r="DL54" i="159"/>
  <c r="EL54" i="159"/>
  <c r="EK54" i="159"/>
  <c r="EJ54" i="159"/>
  <c r="DI54" i="159"/>
  <c r="EI54" i="159"/>
  <c r="DH54" i="159"/>
  <c r="EG54" i="159"/>
  <c r="BI54" i="159"/>
  <c r="CO54" i="159"/>
  <c r="BH54" i="159"/>
  <c r="CN54" i="159"/>
  <c r="BF54" i="159"/>
  <c r="CL54" i="159"/>
  <c r="BE54" i="159"/>
  <c r="CK54" i="159"/>
  <c r="BX54" i="159"/>
  <c r="BQ54" i="159"/>
  <c r="BP54" i="159"/>
  <c r="BO54" i="159"/>
  <c r="BN54" i="159"/>
  <c r="BK54" i="159"/>
  <c r="AA54" i="159"/>
  <c r="AZ54" i="159"/>
  <c r="AY54" i="159"/>
  <c r="AX54" i="159"/>
  <c r="X54" i="159"/>
  <c r="AW54" i="159"/>
  <c r="AV54" i="159"/>
  <c r="AU54" i="159"/>
  <c r="U54" i="159"/>
  <c r="AT54" i="159"/>
  <c r="T54" i="159"/>
  <c r="AR54" i="159"/>
  <c r="AB54" i="159"/>
  <c r="HW53" i="159"/>
  <c r="HV53" i="159"/>
  <c r="CF53" i="159"/>
  <c r="FW53" i="159"/>
  <c r="HS53" i="159"/>
  <c r="CE53" i="159"/>
  <c r="FV53" i="159"/>
  <c r="HR53" i="159"/>
  <c r="CD53" i="159"/>
  <c r="FU53" i="159"/>
  <c r="HQ53" i="159"/>
  <c r="CB53" i="159"/>
  <c r="FS53" i="159"/>
  <c r="HO53" i="159"/>
  <c r="CA53" i="159"/>
  <c r="FR53" i="159"/>
  <c r="HN53" i="159"/>
  <c r="BZ53" i="159"/>
  <c r="FQ53" i="159"/>
  <c r="HM53" i="159"/>
  <c r="BY53" i="159"/>
  <c r="FP53" i="159"/>
  <c r="HL53" i="159"/>
  <c r="HE53" i="159"/>
  <c r="HD53" i="159"/>
  <c r="HC53" i="159"/>
  <c r="HB53" i="159"/>
  <c r="HA53" i="159"/>
  <c r="GZ53" i="159"/>
  <c r="GY53" i="159"/>
  <c r="GX53" i="159"/>
  <c r="GW53" i="159"/>
  <c r="GV53" i="159"/>
  <c r="GQ53" i="159"/>
  <c r="GP53" i="159"/>
  <c r="GO53" i="159"/>
  <c r="GN53" i="159"/>
  <c r="GM53" i="159"/>
  <c r="GL53" i="159"/>
  <c r="GK53" i="159"/>
  <c r="GJ53" i="159"/>
  <c r="EX53" i="159"/>
  <c r="GF53" i="159"/>
  <c r="EW53" i="159"/>
  <c r="GE53" i="159"/>
  <c r="ET53" i="159"/>
  <c r="GB53" i="159"/>
  <c r="DO53" i="159"/>
  <c r="EO53" i="159"/>
  <c r="EN53" i="159"/>
  <c r="EM53" i="159"/>
  <c r="DL53" i="159"/>
  <c r="EL53" i="159"/>
  <c r="EK53" i="159"/>
  <c r="EJ53" i="159"/>
  <c r="DI53" i="159"/>
  <c r="EI53" i="159"/>
  <c r="DH53" i="159"/>
  <c r="EG53" i="159"/>
  <c r="BI53" i="159"/>
  <c r="CO53" i="159"/>
  <c r="BH53" i="159"/>
  <c r="CN53" i="159"/>
  <c r="BF53" i="159"/>
  <c r="CL53" i="159"/>
  <c r="BE53" i="159"/>
  <c r="CK53" i="159"/>
  <c r="BX53" i="159"/>
  <c r="BQ53" i="159"/>
  <c r="BP53" i="159"/>
  <c r="BO53" i="159"/>
  <c r="BN53" i="159"/>
  <c r="BK53" i="159"/>
  <c r="AA53" i="159"/>
  <c r="AZ53" i="159"/>
  <c r="AY53" i="159"/>
  <c r="AX53" i="159"/>
  <c r="X53" i="159"/>
  <c r="AW53" i="159"/>
  <c r="AV53" i="159"/>
  <c r="AU53" i="159"/>
  <c r="U53" i="159"/>
  <c r="AT53" i="159"/>
  <c r="T53" i="159"/>
  <c r="AR53" i="159"/>
  <c r="AB53" i="159"/>
  <c r="HW52" i="159"/>
  <c r="HV52" i="159"/>
  <c r="CF52" i="159"/>
  <c r="FW52" i="159"/>
  <c r="HS52" i="159"/>
  <c r="CE52" i="159"/>
  <c r="FV52" i="159"/>
  <c r="HR52" i="159"/>
  <c r="CD52" i="159"/>
  <c r="FU52" i="159"/>
  <c r="HQ52" i="159"/>
  <c r="CB52" i="159"/>
  <c r="FS52" i="159"/>
  <c r="HO52" i="159"/>
  <c r="CA52" i="159"/>
  <c r="FR52" i="159"/>
  <c r="HN52" i="159"/>
  <c r="BZ52" i="159"/>
  <c r="FQ52" i="159"/>
  <c r="HM52" i="159"/>
  <c r="BY52" i="159"/>
  <c r="FP52" i="159"/>
  <c r="HL52" i="159"/>
  <c r="HE52" i="159"/>
  <c r="HD52" i="159"/>
  <c r="HC52" i="159"/>
  <c r="HB52" i="159"/>
  <c r="HA52" i="159"/>
  <c r="GZ52" i="159"/>
  <c r="GY52" i="159"/>
  <c r="GX52" i="159"/>
  <c r="GW52" i="159"/>
  <c r="GV52" i="159"/>
  <c r="GQ52" i="159"/>
  <c r="GP52" i="159"/>
  <c r="GO52" i="159"/>
  <c r="GN52" i="159"/>
  <c r="GM52" i="159"/>
  <c r="GL52" i="159"/>
  <c r="GK52" i="159"/>
  <c r="GJ52" i="159"/>
  <c r="EX52" i="159"/>
  <c r="GF52" i="159"/>
  <c r="EW52" i="159"/>
  <c r="GE52" i="159"/>
  <c r="ET52" i="159"/>
  <c r="GB52" i="159"/>
  <c r="DO52" i="159"/>
  <c r="EO52" i="159"/>
  <c r="EN52" i="159"/>
  <c r="EM52" i="159"/>
  <c r="DL52" i="159"/>
  <c r="EL52" i="159"/>
  <c r="EK52" i="159"/>
  <c r="EJ52" i="159"/>
  <c r="DI52" i="159"/>
  <c r="EI52" i="159"/>
  <c r="DH52" i="159"/>
  <c r="EG52" i="159"/>
  <c r="BI52" i="159"/>
  <c r="CO52" i="159"/>
  <c r="BH52" i="159"/>
  <c r="CN52" i="159"/>
  <c r="BF52" i="159"/>
  <c r="CL52" i="159"/>
  <c r="BE52" i="159"/>
  <c r="CK52" i="159"/>
  <c r="BX52" i="159"/>
  <c r="BQ52" i="159"/>
  <c r="BP52" i="159"/>
  <c r="BO52" i="159"/>
  <c r="BN52" i="159"/>
  <c r="BK52" i="159"/>
  <c r="AA52" i="159"/>
  <c r="AZ52" i="159"/>
  <c r="AY52" i="159"/>
  <c r="AX52" i="159"/>
  <c r="X52" i="159"/>
  <c r="AW52" i="159"/>
  <c r="AV52" i="159"/>
  <c r="AU52" i="159"/>
  <c r="U52" i="159"/>
  <c r="AT52" i="159"/>
  <c r="T52" i="159"/>
  <c r="AR52" i="159"/>
  <c r="AB52" i="159"/>
  <c r="HW51" i="159"/>
  <c r="HV51" i="159"/>
  <c r="CF51" i="159"/>
  <c r="FW51" i="159"/>
  <c r="HS51" i="159"/>
  <c r="CE51" i="159"/>
  <c r="FV51" i="159"/>
  <c r="HR51" i="159"/>
  <c r="CD51" i="159"/>
  <c r="FU51" i="159"/>
  <c r="HQ51" i="159"/>
  <c r="CB51" i="159"/>
  <c r="FS51" i="159"/>
  <c r="HO51" i="159"/>
  <c r="CA51" i="159"/>
  <c r="FR51" i="159"/>
  <c r="HN51" i="159"/>
  <c r="BZ51" i="159"/>
  <c r="FQ51" i="159"/>
  <c r="HM51" i="159"/>
  <c r="BY51" i="159"/>
  <c r="FP51" i="159"/>
  <c r="HL51" i="159"/>
  <c r="HE51" i="159"/>
  <c r="HD51" i="159"/>
  <c r="HC51" i="159"/>
  <c r="HB51" i="159"/>
  <c r="HA51" i="159"/>
  <c r="GZ51" i="159"/>
  <c r="GY51" i="159"/>
  <c r="GX51" i="159"/>
  <c r="GW51" i="159"/>
  <c r="GV51" i="159"/>
  <c r="GQ51" i="159"/>
  <c r="GP51" i="159"/>
  <c r="GO51" i="159"/>
  <c r="GN51" i="159"/>
  <c r="GM51" i="159"/>
  <c r="GL51" i="159"/>
  <c r="GK51" i="159"/>
  <c r="GJ51" i="159"/>
  <c r="EX51" i="159"/>
  <c r="GF51" i="159"/>
  <c r="EW51" i="159"/>
  <c r="GE51" i="159"/>
  <c r="ET51" i="159"/>
  <c r="GB51" i="159"/>
  <c r="DO51" i="159"/>
  <c r="EO51" i="159"/>
  <c r="EN51" i="159"/>
  <c r="EM51" i="159"/>
  <c r="DL51" i="159"/>
  <c r="EL51" i="159"/>
  <c r="EK51" i="159"/>
  <c r="EJ51" i="159"/>
  <c r="DI51" i="159"/>
  <c r="EI51" i="159"/>
  <c r="DH51" i="159"/>
  <c r="EG51" i="159"/>
  <c r="BI51" i="159"/>
  <c r="CO51" i="159"/>
  <c r="BH51" i="159"/>
  <c r="CN51" i="159"/>
  <c r="BF51" i="159"/>
  <c r="CL51" i="159"/>
  <c r="BE51" i="159"/>
  <c r="CK51" i="159"/>
  <c r="BX51" i="159"/>
  <c r="BQ51" i="159"/>
  <c r="BP51" i="159"/>
  <c r="BO51" i="159"/>
  <c r="BN51" i="159"/>
  <c r="BK51" i="159"/>
  <c r="AA51" i="159"/>
  <c r="AZ51" i="159"/>
  <c r="AY51" i="159"/>
  <c r="AX51" i="159"/>
  <c r="X51" i="159"/>
  <c r="AW51" i="159"/>
  <c r="AV51" i="159"/>
  <c r="AU51" i="159"/>
  <c r="U51" i="159"/>
  <c r="AT51" i="159"/>
  <c r="T51" i="159"/>
  <c r="AR51" i="159"/>
  <c r="AB51" i="159"/>
  <c r="HW50" i="159"/>
  <c r="HV50" i="159"/>
  <c r="CF50" i="159"/>
  <c r="FW50" i="159"/>
  <c r="HS50" i="159"/>
  <c r="CE50" i="159"/>
  <c r="FV50" i="159"/>
  <c r="HR50" i="159"/>
  <c r="CD50" i="159"/>
  <c r="FU50" i="159"/>
  <c r="HQ50" i="159"/>
  <c r="CB50" i="159"/>
  <c r="FS50" i="159"/>
  <c r="HO50" i="159"/>
  <c r="CA50" i="159"/>
  <c r="FR50" i="159"/>
  <c r="HN50" i="159"/>
  <c r="BZ50" i="159"/>
  <c r="FQ50" i="159"/>
  <c r="HM50" i="159"/>
  <c r="BY50" i="159"/>
  <c r="FP50" i="159"/>
  <c r="HL50" i="159"/>
  <c r="HE50" i="159"/>
  <c r="HD50" i="159"/>
  <c r="HC50" i="159"/>
  <c r="HB50" i="159"/>
  <c r="HA50" i="159"/>
  <c r="GZ50" i="159"/>
  <c r="GY50" i="159"/>
  <c r="GX50" i="159"/>
  <c r="GW50" i="159"/>
  <c r="GV50" i="159"/>
  <c r="GQ50" i="159"/>
  <c r="GP50" i="159"/>
  <c r="GO50" i="159"/>
  <c r="GN50" i="159"/>
  <c r="GM50" i="159"/>
  <c r="GL50" i="159"/>
  <c r="GK50" i="159"/>
  <c r="GJ50" i="159"/>
  <c r="EX50" i="159"/>
  <c r="GF50" i="159"/>
  <c r="EW50" i="159"/>
  <c r="GE50" i="159"/>
  <c r="ET50" i="159"/>
  <c r="GB50" i="159"/>
  <c r="DO50" i="159"/>
  <c r="EO50" i="159"/>
  <c r="EN50" i="159"/>
  <c r="EM50" i="159"/>
  <c r="DL50" i="159"/>
  <c r="EL50" i="159"/>
  <c r="EK50" i="159"/>
  <c r="EJ50" i="159"/>
  <c r="DI50" i="159"/>
  <c r="EI50" i="159"/>
  <c r="DH50" i="159"/>
  <c r="EG50" i="159"/>
  <c r="BI50" i="159"/>
  <c r="CO50" i="159"/>
  <c r="BH50" i="159"/>
  <c r="CN50" i="159"/>
  <c r="BF50" i="159"/>
  <c r="CL50" i="159"/>
  <c r="BE50" i="159"/>
  <c r="CK50" i="159"/>
  <c r="BX50" i="159"/>
  <c r="BQ50" i="159"/>
  <c r="BP50" i="159"/>
  <c r="BO50" i="159"/>
  <c r="BN50" i="159"/>
  <c r="BK50" i="159"/>
  <c r="AA50" i="159"/>
  <c r="AZ50" i="159"/>
  <c r="AY50" i="159"/>
  <c r="AX50" i="159"/>
  <c r="X50" i="159"/>
  <c r="AW50" i="159"/>
  <c r="AV50" i="159"/>
  <c r="AU50" i="159"/>
  <c r="U50" i="159"/>
  <c r="AT50" i="159"/>
  <c r="T50" i="159"/>
  <c r="AR50" i="159"/>
  <c r="AB50" i="159"/>
  <c r="HW49" i="159"/>
  <c r="HV49" i="159"/>
  <c r="CF49" i="159"/>
  <c r="FW49" i="159"/>
  <c r="HS49" i="159"/>
  <c r="CE49" i="159"/>
  <c r="FV49" i="159"/>
  <c r="HR49" i="159"/>
  <c r="CD49" i="159"/>
  <c r="FU49" i="159"/>
  <c r="HQ49" i="159"/>
  <c r="CB49" i="159"/>
  <c r="FS49" i="159"/>
  <c r="HO49" i="159"/>
  <c r="CA49" i="159"/>
  <c r="FR49" i="159"/>
  <c r="HN49" i="159"/>
  <c r="BZ49" i="159"/>
  <c r="FQ49" i="159"/>
  <c r="HM49" i="159"/>
  <c r="BY49" i="159"/>
  <c r="FP49" i="159"/>
  <c r="HL49" i="159"/>
  <c r="HE49" i="159"/>
  <c r="HD49" i="159"/>
  <c r="HC49" i="159"/>
  <c r="HB49" i="159"/>
  <c r="HA49" i="159"/>
  <c r="GZ49" i="159"/>
  <c r="GY49" i="159"/>
  <c r="GX49" i="159"/>
  <c r="GW49" i="159"/>
  <c r="GV49" i="159"/>
  <c r="GQ49" i="159"/>
  <c r="GP49" i="159"/>
  <c r="GO49" i="159"/>
  <c r="GN49" i="159"/>
  <c r="GM49" i="159"/>
  <c r="GL49" i="159"/>
  <c r="GK49" i="159"/>
  <c r="GJ49" i="159"/>
  <c r="EX49" i="159"/>
  <c r="GF49" i="159"/>
  <c r="EW49" i="159"/>
  <c r="GE49" i="159"/>
  <c r="ET49" i="159"/>
  <c r="GB49" i="159"/>
  <c r="DO49" i="159"/>
  <c r="EO49" i="159"/>
  <c r="EN49" i="159"/>
  <c r="EM49" i="159"/>
  <c r="DL49" i="159"/>
  <c r="EL49" i="159"/>
  <c r="EK49" i="159"/>
  <c r="EJ49" i="159"/>
  <c r="DI49" i="159"/>
  <c r="EI49" i="159"/>
  <c r="DH49" i="159"/>
  <c r="EG49" i="159"/>
  <c r="BI49" i="159"/>
  <c r="CO49" i="159"/>
  <c r="BH49" i="159"/>
  <c r="CN49" i="159"/>
  <c r="BF49" i="159"/>
  <c r="CL49" i="159"/>
  <c r="BE49" i="159"/>
  <c r="CK49" i="159"/>
  <c r="BX49" i="159"/>
  <c r="BQ49" i="159"/>
  <c r="BP49" i="159"/>
  <c r="BO49" i="159"/>
  <c r="BN49" i="159"/>
  <c r="BK49" i="159"/>
  <c r="AA49" i="159"/>
  <c r="AZ49" i="159"/>
  <c r="AY49" i="159"/>
  <c r="AX49" i="159"/>
  <c r="X49" i="159"/>
  <c r="AW49" i="159"/>
  <c r="AV49" i="159"/>
  <c r="AU49" i="159"/>
  <c r="U49" i="159"/>
  <c r="AT49" i="159"/>
  <c r="T49" i="159"/>
  <c r="AR49" i="159"/>
  <c r="AB49" i="159"/>
  <c r="HW48" i="159"/>
  <c r="HV48" i="159"/>
  <c r="CF48" i="159"/>
  <c r="FW48" i="159"/>
  <c r="HS48" i="159"/>
  <c r="CE48" i="159"/>
  <c r="FV48" i="159"/>
  <c r="HR48" i="159"/>
  <c r="CD48" i="159"/>
  <c r="FU48" i="159"/>
  <c r="HQ48" i="159"/>
  <c r="CB48" i="159"/>
  <c r="FS48" i="159"/>
  <c r="HO48" i="159"/>
  <c r="CA48" i="159"/>
  <c r="FR48" i="159"/>
  <c r="HN48" i="159"/>
  <c r="BZ48" i="159"/>
  <c r="FQ48" i="159"/>
  <c r="HM48" i="159"/>
  <c r="BY48" i="159"/>
  <c r="FP48" i="159"/>
  <c r="HL48" i="159"/>
  <c r="HE48" i="159"/>
  <c r="HD48" i="159"/>
  <c r="HC48" i="159"/>
  <c r="HB48" i="159"/>
  <c r="HA48" i="159"/>
  <c r="GZ48" i="159"/>
  <c r="GY48" i="159"/>
  <c r="GX48" i="159"/>
  <c r="GW48" i="159"/>
  <c r="GV48" i="159"/>
  <c r="GQ48" i="159"/>
  <c r="GP48" i="159"/>
  <c r="GO48" i="159"/>
  <c r="GN48" i="159"/>
  <c r="GM48" i="159"/>
  <c r="GL48" i="159"/>
  <c r="GK48" i="159"/>
  <c r="GJ48" i="159"/>
  <c r="EX48" i="159"/>
  <c r="GF48" i="159"/>
  <c r="EW48" i="159"/>
  <c r="GE48" i="159"/>
  <c r="ET48" i="159"/>
  <c r="GB48" i="159"/>
  <c r="DO48" i="159"/>
  <c r="EO48" i="159"/>
  <c r="EN48" i="159"/>
  <c r="EM48" i="159"/>
  <c r="DL48" i="159"/>
  <c r="EL48" i="159"/>
  <c r="EK48" i="159"/>
  <c r="EJ48" i="159"/>
  <c r="DI48" i="159"/>
  <c r="EI48" i="159"/>
  <c r="DH48" i="159"/>
  <c r="EG48" i="159"/>
  <c r="BI48" i="159"/>
  <c r="CO48" i="159"/>
  <c r="BH48" i="159"/>
  <c r="CN48" i="159"/>
  <c r="BF48" i="159"/>
  <c r="CL48" i="159"/>
  <c r="BE48" i="159"/>
  <c r="CK48" i="159"/>
  <c r="BX48" i="159"/>
  <c r="BQ48" i="159"/>
  <c r="BP48" i="159"/>
  <c r="BO48" i="159"/>
  <c r="BN48" i="159"/>
  <c r="BK48" i="159"/>
  <c r="AA48" i="159"/>
  <c r="AZ48" i="159"/>
  <c r="AY48" i="159"/>
  <c r="AX48" i="159"/>
  <c r="X48" i="159"/>
  <c r="AW48" i="159"/>
  <c r="AV48" i="159"/>
  <c r="AU48" i="159"/>
  <c r="U48" i="159"/>
  <c r="AT48" i="159"/>
  <c r="T48" i="159"/>
  <c r="AR48" i="159"/>
  <c r="AB48" i="159"/>
  <c r="H46" i="159"/>
  <c r="CV46" i="159"/>
  <c r="HW47" i="159"/>
  <c r="HV47" i="159"/>
  <c r="CF47" i="159"/>
  <c r="FW47" i="159"/>
  <c r="HS47" i="159"/>
  <c r="CE47" i="159"/>
  <c r="FV47" i="159"/>
  <c r="HR47" i="159"/>
  <c r="CD47" i="159"/>
  <c r="FU47" i="159"/>
  <c r="HQ47" i="159"/>
  <c r="CC47" i="159"/>
  <c r="FT47" i="159"/>
  <c r="HP47" i="159"/>
  <c r="CB47" i="159"/>
  <c r="FS47" i="159"/>
  <c r="HO47" i="159"/>
  <c r="CA47" i="159"/>
  <c r="FR47" i="159"/>
  <c r="HN47" i="159"/>
  <c r="BZ47" i="159"/>
  <c r="FQ47" i="159"/>
  <c r="HM47" i="159"/>
  <c r="BY47" i="159"/>
  <c r="FP47" i="159"/>
  <c r="HL47" i="159"/>
  <c r="HE47" i="159"/>
  <c r="HD47" i="159"/>
  <c r="HC47" i="159"/>
  <c r="HB47" i="159"/>
  <c r="HA47" i="159"/>
  <c r="GZ47" i="159"/>
  <c r="GY47" i="159"/>
  <c r="GX47" i="159"/>
  <c r="GW47" i="159"/>
  <c r="GV47" i="159"/>
  <c r="GQ47" i="159"/>
  <c r="GP47" i="159"/>
  <c r="GO47" i="159"/>
  <c r="GN47" i="159"/>
  <c r="GM47" i="159"/>
  <c r="GL47" i="159"/>
  <c r="GK47" i="159"/>
  <c r="GJ47" i="159"/>
  <c r="DO47" i="159"/>
  <c r="EO47" i="159"/>
  <c r="EN47" i="159"/>
  <c r="EM47" i="159"/>
  <c r="DL47" i="159"/>
  <c r="EL47" i="159"/>
  <c r="EK47" i="159"/>
  <c r="EJ47" i="159"/>
  <c r="DI47" i="159"/>
  <c r="EI47" i="159"/>
  <c r="DH47" i="159"/>
  <c r="EG47" i="159"/>
  <c r="BX47" i="159"/>
  <c r="AA47" i="159"/>
  <c r="AZ47" i="159"/>
  <c r="AY47" i="159"/>
  <c r="AX47" i="159"/>
  <c r="X47" i="159"/>
  <c r="AW47" i="159"/>
  <c r="AV47" i="159"/>
  <c r="AU47" i="159"/>
  <c r="U47" i="159"/>
  <c r="AT47" i="159"/>
  <c r="T47" i="159"/>
  <c r="AR47" i="159"/>
  <c r="AB47" i="159"/>
  <c r="H45" i="159"/>
  <c r="CV45" i="159"/>
  <c r="HW46" i="159"/>
  <c r="HV46" i="159"/>
  <c r="CF46" i="159"/>
  <c r="FW46" i="159"/>
  <c r="HS46" i="159"/>
  <c r="CE46" i="159"/>
  <c r="FV46" i="159"/>
  <c r="HR46" i="159"/>
  <c r="CD46" i="159"/>
  <c r="FU46" i="159"/>
  <c r="HQ46" i="159"/>
  <c r="CC46" i="159"/>
  <c r="FT46" i="159"/>
  <c r="HP46" i="159"/>
  <c r="CB46" i="159"/>
  <c r="FS46" i="159"/>
  <c r="HO46" i="159"/>
  <c r="CA46" i="159"/>
  <c r="FR46" i="159"/>
  <c r="HN46" i="159"/>
  <c r="BZ46" i="159"/>
  <c r="FQ46" i="159"/>
  <c r="HM46" i="159"/>
  <c r="BY46" i="159"/>
  <c r="FP46" i="159"/>
  <c r="HL46" i="159"/>
  <c r="HE46" i="159"/>
  <c r="HD46" i="159"/>
  <c r="HC46" i="159"/>
  <c r="HB46" i="159"/>
  <c r="HA46" i="159"/>
  <c r="GZ46" i="159"/>
  <c r="GY46" i="159"/>
  <c r="GX46" i="159"/>
  <c r="GW46" i="159"/>
  <c r="GV46" i="159"/>
  <c r="GQ46" i="159"/>
  <c r="GP46" i="159"/>
  <c r="GO46" i="159"/>
  <c r="GN46" i="159"/>
  <c r="GM46" i="159"/>
  <c r="GL46" i="159"/>
  <c r="GK46" i="159"/>
  <c r="GJ46" i="159"/>
  <c r="DO46" i="159"/>
  <c r="EO46" i="159"/>
  <c r="EN46" i="159"/>
  <c r="EM46" i="159"/>
  <c r="DL46" i="159"/>
  <c r="EL46" i="159"/>
  <c r="EK46" i="159"/>
  <c r="EJ46" i="159"/>
  <c r="DI46" i="159"/>
  <c r="EI46" i="159"/>
  <c r="DH46" i="159"/>
  <c r="EG46" i="159"/>
  <c r="BX46" i="159"/>
  <c r="AA46" i="159"/>
  <c r="AZ46" i="159"/>
  <c r="AY46" i="159"/>
  <c r="AX46" i="159"/>
  <c r="X46" i="159"/>
  <c r="AW46" i="159"/>
  <c r="AV46" i="159"/>
  <c r="AU46" i="159"/>
  <c r="U46" i="159"/>
  <c r="AT46" i="159"/>
  <c r="T46" i="159"/>
  <c r="AR46" i="159"/>
  <c r="AB46" i="159"/>
  <c r="H44" i="159"/>
  <c r="CV44" i="159"/>
  <c r="HW45" i="159"/>
  <c r="HV45" i="159"/>
  <c r="CF45" i="159"/>
  <c r="FW45" i="159"/>
  <c r="HS45" i="159"/>
  <c r="CE45" i="159"/>
  <c r="FV45" i="159"/>
  <c r="HR45" i="159"/>
  <c r="CD45" i="159"/>
  <c r="FU45" i="159"/>
  <c r="HQ45" i="159"/>
  <c r="CC45" i="159"/>
  <c r="FT45" i="159"/>
  <c r="HP45" i="159"/>
  <c r="CB45" i="159"/>
  <c r="FS45" i="159"/>
  <c r="HO45" i="159"/>
  <c r="CA45" i="159"/>
  <c r="FR45" i="159"/>
  <c r="HN45" i="159"/>
  <c r="BZ45" i="159"/>
  <c r="FQ45" i="159"/>
  <c r="HM45" i="159"/>
  <c r="BY45" i="159"/>
  <c r="FP45" i="159"/>
  <c r="HL45" i="159"/>
  <c r="HE45" i="159"/>
  <c r="HD45" i="159"/>
  <c r="HC45" i="159"/>
  <c r="HB45" i="159"/>
  <c r="HA45" i="159"/>
  <c r="GZ45" i="159"/>
  <c r="GY45" i="159"/>
  <c r="GX45" i="159"/>
  <c r="GW45" i="159"/>
  <c r="GV45" i="159"/>
  <c r="GQ45" i="159"/>
  <c r="GP45" i="159"/>
  <c r="GO45" i="159"/>
  <c r="GN45" i="159"/>
  <c r="GM45" i="159"/>
  <c r="GL45" i="159"/>
  <c r="GK45" i="159"/>
  <c r="GJ45" i="159"/>
  <c r="DO45" i="159"/>
  <c r="EO45" i="159"/>
  <c r="EN45" i="159"/>
  <c r="EM45" i="159"/>
  <c r="DL45" i="159"/>
  <c r="EL45" i="159"/>
  <c r="EK45" i="159"/>
  <c r="EJ45" i="159"/>
  <c r="DI45" i="159"/>
  <c r="EI45" i="159"/>
  <c r="DH45" i="159"/>
  <c r="EG45" i="159"/>
  <c r="BX45" i="159"/>
  <c r="AA45" i="159"/>
  <c r="AZ45" i="159"/>
  <c r="AY45" i="159"/>
  <c r="AX45" i="159"/>
  <c r="X45" i="159"/>
  <c r="AW45" i="159"/>
  <c r="AV45" i="159"/>
  <c r="AU45" i="159"/>
  <c r="U45" i="159"/>
  <c r="AT45" i="159"/>
  <c r="T45" i="159"/>
  <c r="AR45" i="159"/>
  <c r="AB45" i="159"/>
  <c r="H43" i="159"/>
  <c r="CV43" i="159"/>
  <c r="HW44" i="159"/>
  <c r="HV44" i="159"/>
  <c r="CF44" i="159"/>
  <c r="FW44" i="159"/>
  <c r="HS44" i="159"/>
  <c r="CE44" i="159"/>
  <c r="FV44" i="159"/>
  <c r="HR44" i="159"/>
  <c r="CD44" i="159"/>
  <c r="FU44" i="159"/>
  <c r="HQ44" i="159"/>
  <c r="CC44" i="159"/>
  <c r="FT44" i="159"/>
  <c r="HP44" i="159"/>
  <c r="CB44" i="159"/>
  <c r="FS44" i="159"/>
  <c r="HO44" i="159"/>
  <c r="CA44" i="159"/>
  <c r="FR44" i="159"/>
  <c r="HN44" i="159"/>
  <c r="BZ44" i="159"/>
  <c r="FQ44" i="159"/>
  <c r="HM44" i="159"/>
  <c r="BY44" i="159"/>
  <c r="FP44" i="159"/>
  <c r="HL44" i="159"/>
  <c r="HE44" i="159"/>
  <c r="HD44" i="159"/>
  <c r="HC44" i="159"/>
  <c r="HB44" i="159"/>
  <c r="HA44" i="159"/>
  <c r="GZ44" i="159"/>
  <c r="GY44" i="159"/>
  <c r="GX44" i="159"/>
  <c r="GW44" i="159"/>
  <c r="GV44" i="159"/>
  <c r="GQ44" i="159"/>
  <c r="GP44" i="159"/>
  <c r="GO44" i="159"/>
  <c r="GN44" i="159"/>
  <c r="GM44" i="159"/>
  <c r="GL44" i="159"/>
  <c r="GK44" i="159"/>
  <c r="GJ44" i="159"/>
  <c r="DO44" i="159"/>
  <c r="EO44" i="159"/>
  <c r="EN44" i="159"/>
  <c r="EM44" i="159"/>
  <c r="DL44" i="159"/>
  <c r="EL44" i="159"/>
  <c r="EK44" i="159"/>
  <c r="EJ44" i="159"/>
  <c r="DI44" i="159"/>
  <c r="EI44" i="159"/>
  <c r="DH44" i="159"/>
  <c r="EG44" i="159"/>
  <c r="BX44" i="159"/>
  <c r="AA44" i="159"/>
  <c r="AZ44" i="159"/>
  <c r="AY44" i="159"/>
  <c r="AX44" i="159"/>
  <c r="X44" i="159"/>
  <c r="AW44" i="159"/>
  <c r="AV44" i="159"/>
  <c r="AU44" i="159"/>
  <c r="U44" i="159"/>
  <c r="AT44" i="159"/>
  <c r="T44" i="159"/>
  <c r="AR44" i="159"/>
  <c r="AB44" i="159"/>
  <c r="H42" i="159"/>
  <c r="CV42" i="159"/>
  <c r="HW43" i="159"/>
  <c r="HV43" i="159"/>
  <c r="CF43" i="159"/>
  <c r="FW43" i="159"/>
  <c r="HS43" i="159"/>
  <c r="CE43" i="159"/>
  <c r="FV43" i="159"/>
  <c r="HR43" i="159"/>
  <c r="CD43" i="159"/>
  <c r="FU43" i="159"/>
  <c r="HQ43" i="159"/>
  <c r="CC43" i="159"/>
  <c r="FT43" i="159"/>
  <c r="HP43" i="159"/>
  <c r="CB43" i="159"/>
  <c r="FS43" i="159"/>
  <c r="HO43" i="159"/>
  <c r="CA43" i="159"/>
  <c r="FR43" i="159"/>
  <c r="HN43" i="159"/>
  <c r="BZ43" i="159"/>
  <c r="FQ43" i="159"/>
  <c r="HM43" i="159"/>
  <c r="BY43" i="159"/>
  <c r="FP43" i="159"/>
  <c r="HL43" i="159"/>
  <c r="HE43" i="159"/>
  <c r="HD43" i="159"/>
  <c r="HC43" i="159"/>
  <c r="HB43" i="159"/>
  <c r="HA43" i="159"/>
  <c r="GZ43" i="159"/>
  <c r="GY43" i="159"/>
  <c r="GX43" i="159"/>
  <c r="GW43" i="159"/>
  <c r="GV43" i="159"/>
  <c r="GQ43" i="159"/>
  <c r="GP43" i="159"/>
  <c r="GO43" i="159"/>
  <c r="GN43" i="159"/>
  <c r="GM43" i="159"/>
  <c r="GL43" i="159"/>
  <c r="GK43" i="159"/>
  <c r="GJ43" i="159"/>
  <c r="DO43" i="159"/>
  <c r="EO43" i="159"/>
  <c r="EN43" i="159"/>
  <c r="EM43" i="159"/>
  <c r="DL43" i="159"/>
  <c r="EL43" i="159"/>
  <c r="EK43" i="159"/>
  <c r="EJ43" i="159"/>
  <c r="DI43" i="159"/>
  <c r="EI43" i="159"/>
  <c r="DH43" i="159"/>
  <c r="EG43" i="159"/>
  <c r="BX43" i="159"/>
  <c r="AA43" i="159"/>
  <c r="AZ43" i="159"/>
  <c r="AY43" i="159"/>
  <c r="AX43" i="159"/>
  <c r="X43" i="159"/>
  <c r="AW43" i="159"/>
  <c r="AV43" i="159"/>
  <c r="AU43" i="159"/>
  <c r="U43" i="159"/>
  <c r="AT43" i="159"/>
  <c r="T43" i="159"/>
  <c r="AR43" i="159"/>
  <c r="AB43" i="159"/>
  <c r="H41" i="159"/>
  <c r="CV41" i="159"/>
  <c r="HW42" i="159"/>
  <c r="HV42" i="159"/>
  <c r="CF42" i="159"/>
  <c r="FW42" i="159"/>
  <c r="HS42" i="159"/>
  <c r="CE42" i="159"/>
  <c r="FV42" i="159"/>
  <c r="HR42" i="159"/>
  <c r="CD42" i="159"/>
  <c r="FU42" i="159"/>
  <c r="HQ42" i="159"/>
  <c r="CC42" i="159"/>
  <c r="FT42" i="159"/>
  <c r="HP42" i="159"/>
  <c r="CB42" i="159"/>
  <c r="FS42" i="159"/>
  <c r="HO42" i="159"/>
  <c r="CA42" i="159"/>
  <c r="FR42" i="159"/>
  <c r="HN42" i="159"/>
  <c r="BZ42" i="159"/>
  <c r="FQ42" i="159"/>
  <c r="HM42" i="159"/>
  <c r="BY42" i="159"/>
  <c r="FP42" i="159"/>
  <c r="HL42" i="159"/>
  <c r="HE42" i="159"/>
  <c r="HD42" i="159"/>
  <c r="HC42" i="159"/>
  <c r="HB42" i="159"/>
  <c r="HA42" i="159"/>
  <c r="GZ42" i="159"/>
  <c r="GY42" i="159"/>
  <c r="GX42" i="159"/>
  <c r="GW42" i="159"/>
  <c r="GV42" i="159"/>
  <c r="GQ42" i="159"/>
  <c r="GP42" i="159"/>
  <c r="GO42" i="159"/>
  <c r="GN42" i="159"/>
  <c r="GM42" i="159"/>
  <c r="GL42" i="159"/>
  <c r="GK42" i="159"/>
  <c r="GJ42" i="159"/>
  <c r="DO42" i="159"/>
  <c r="EO42" i="159"/>
  <c r="EN42" i="159"/>
  <c r="EM42" i="159"/>
  <c r="DL42" i="159"/>
  <c r="EL42" i="159"/>
  <c r="EK42" i="159"/>
  <c r="EJ42" i="159"/>
  <c r="DI42" i="159"/>
  <c r="EI42" i="159"/>
  <c r="DH42" i="159"/>
  <c r="EG42" i="159"/>
  <c r="BX42" i="159"/>
  <c r="AA42" i="159"/>
  <c r="AZ42" i="159"/>
  <c r="AY42" i="159"/>
  <c r="AX42" i="159"/>
  <c r="X42" i="159"/>
  <c r="AW42" i="159"/>
  <c r="AV42" i="159"/>
  <c r="AU42" i="159"/>
  <c r="U42" i="159"/>
  <c r="AT42" i="159"/>
  <c r="T42" i="159"/>
  <c r="AR42" i="159"/>
  <c r="AB42" i="159"/>
  <c r="H40" i="159"/>
  <c r="CV40" i="159"/>
  <c r="HW41" i="159"/>
  <c r="HV41" i="159"/>
  <c r="CF41" i="159"/>
  <c r="FW41" i="159"/>
  <c r="HS41" i="159"/>
  <c r="CE41" i="159"/>
  <c r="FV41" i="159"/>
  <c r="HR41" i="159"/>
  <c r="CD41" i="159"/>
  <c r="FU41" i="159"/>
  <c r="HQ41" i="159"/>
  <c r="CC41" i="159"/>
  <c r="FT41" i="159"/>
  <c r="HP41" i="159"/>
  <c r="CB41" i="159"/>
  <c r="FS41" i="159"/>
  <c r="HO41" i="159"/>
  <c r="CA41" i="159"/>
  <c r="FR41" i="159"/>
  <c r="HN41" i="159"/>
  <c r="BZ41" i="159"/>
  <c r="FQ41" i="159"/>
  <c r="HM41" i="159"/>
  <c r="BY41" i="159"/>
  <c r="FP41" i="159"/>
  <c r="HL41" i="159"/>
  <c r="HE41" i="159"/>
  <c r="HD41" i="159"/>
  <c r="HC41" i="159"/>
  <c r="HB41" i="159"/>
  <c r="HA41" i="159"/>
  <c r="GZ41" i="159"/>
  <c r="GY41" i="159"/>
  <c r="GX41" i="159"/>
  <c r="GW41" i="159"/>
  <c r="GV41" i="159"/>
  <c r="GQ41" i="159"/>
  <c r="GP41" i="159"/>
  <c r="GO41" i="159"/>
  <c r="GN41" i="159"/>
  <c r="GM41" i="159"/>
  <c r="GL41" i="159"/>
  <c r="GK41" i="159"/>
  <c r="GJ41" i="159"/>
  <c r="DO41" i="159"/>
  <c r="EO41" i="159"/>
  <c r="EN41" i="159"/>
  <c r="EM41" i="159"/>
  <c r="DL41" i="159"/>
  <c r="EL41" i="159"/>
  <c r="EK41" i="159"/>
  <c r="EJ41" i="159"/>
  <c r="DI41" i="159"/>
  <c r="EI41" i="159"/>
  <c r="DH41" i="159"/>
  <c r="EG41" i="159"/>
  <c r="BX41" i="159"/>
  <c r="AA41" i="159"/>
  <c r="AZ41" i="159"/>
  <c r="AY41" i="159"/>
  <c r="AX41" i="159"/>
  <c r="X41" i="159"/>
  <c r="AW41" i="159"/>
  <c r="AV41" i="159"/>
  <c r="AU41" i="159"/>
  <c r="U41" i="159"/>
  <c r="AT41" i="159"/>
  <c r="T41" i="159"/>
  <c r="AR41" i="159"/>
  <c r="AB41" i="159"/>
  <c r="H39" i="159"/>
  <c r="CV39" i="159"/>
  <c r="HW40" i="159"/>
  <c r="HV40" i="159"/>
  <c r="CF40" i="159"/>
  <c r="FW40" i="159"/>
  <c r="HS40" i="159"/>
  <c r="CE40" i="159"/>
  <c r="FV40" i="159"/>
  <c r="HR40" i="159"/>
  <c r="CD40" i="159"/>
  <c r="FU40" i="159"/>
  <c r="HQ40" i="159"/>
  <c r="CC40" i="159"/>
  <c r="FT40" i="159"/>
  <c r="HP40" i="159"/>
  <c r="CB40" i="159"/>
  <c r="FS40" i="159"/>
  <c r="HO40" i="159"/>
  <c r="CA40" i="159"/>
  <c r="FR40" i="159"/>
  <c r="HN40" i="159"/>
  <c r="BZ40" i="159"/>
  <c r="FQ40" i="159"/>
  <c r="HM40" i="159"/>
  <c r="BY40" i="159"/>
  <c r="FP40" i="159"/>
  <c r="HL40" i="159"/>
  <c r="HE40" i="159"/>
  <c r="HD40" i="159"/>
  <c r="HC40" i="159"/>
  <c r="HB40" i="159"/>
  <c r="HA40" i="159"/>
  <c r="GZ40" i="159"/>
  <c r="GY40" i="159"/>
  <c r="GX40" i="159"/>
  <c r="GW40" i="159"/>
  <c r="GV40" i="159"/>
  <c r="GQ40" i="159"/>
  <c r="GP40" i="159"/>
  <c r="GO40" i="159"/>
  <c r="GN40" i="159"/>
  <c r="GM40" i="159"/>
  <c r="GL40" i="159"/>
  <c r="GK40" i="159"/>
  <c r="GJ40" i="159"/>
  <c r="DO40" i="159"/>
  <c r="EO40" i="159"/>
  <c r="EN40" i="159"/>
  <c r="EM40" i="159"/>
  <c r="DL40" i="159"/>
  <c r="EL40" i="159"/>
  <c r="EK40" i="159"/>
  <c r="EJ40" i="159"/>
  <c r="DI40" i="159"/>
  <c r="EI40" i="159"/>
  <c r="DH40" i="159"/>
  <c r="EG40" i="159"/>
  <c r="BX40" i="159"/>
  <c r="AA40" i="159"/>
  <c r="AZ40" i="159"/>
  <c r="AY40" i="159"/>
  <c r="AX40" i="159"/>
  <c r="X40" i="159"/>
  <c r="AW40" i="159"/>
  <c r="AV40" i="159"/>
  <c r="AU40" i="159"/>
  <c r="U40" i="159"/>
  <c r="AT40" i="159"/>
  <c r="T40" i="159"/>
  <c r="AR40" i="159"/>
  <c r="AB40" i="159"/>
  <c r="H38" i="159"/>
  <c r="CV38" i="159"/>
  <c r="HW39" i="159"/>
  <c r="HV39" i="159"/>
  <c r="CF39" i="159"/>
  <c r="FW39" i="159"/>
  <c r="HS39" i="159"/>
  <c r="CE39" i="159"/>
  <c r="FV39" i="159"/>
  <c r="HR39" i="159"/>
  <c r="CD39" i="159"/>
  <c r="FU39" i="159"/>
  <c r="HQ39" i="159"/>
  <c r="CC39" i="159"/>
  <c r="FT39" i="159"/>
  <c r="HP39" i="159"/>
  <c r="CB39" i="159"/>
  <c r="FS39" i="159"/>
  <c r="HO39" i="159"/>
  <c r="CA39" i="159"/>
  <c r="FR39" i="159"/>
  <c r="HN39" i="159"/>
  <c r="BZ39" i="159"/>
  <c r="FQ39" i="159"/>
  <c r="HM39" i="159"/>
  <c r="BY39" i="159"/>
  <c r="FP39" i="159"/>
  <c r="HL39" i="159"/>
  <c r="HE39" i="159"/>
  <c r="HD39" i="159"/>
  <c r="HC39" i="159"/>
  <c r="HB39" i="159"/>
  <c r="HA39" i="159"/>
  <c r="GZ39" i="159"/>
  <c r="GY39" i="159"/>
  <c r="GX39" i="159"/>
  <c r="GW39" i="159"/>
  <c r="GV39" i="159"/>
  <c r="GQ39" i="159"/>
  <c r="GP39" i="159"/>
  <c r="GO39" i="159"/>
  <c r="GN39" i="159"/>
  <c r="GM39" i="159"/>
  <c r="GL39" i="159"/>
  <c r="GK39" i="159"/>
  <c r="GJ39" i="159"/>
  <c r="DO39" i="159"/>
  <c r="EO39" i="159"/>
  <c r="EN39" i="159"/>
  <c r="EM39" i="159"/>
  <c r="DL39" i="159"/>
  <c r="EL39" i="159"/>
  <c r="EK39" i="159"/>
  <c r="EJ39" i="159"/>
  <c r="DI39" i="159"/>
  <c r="EI39" i="159"/>
  <c r="DH39" i="159"/>
  <c r="EG39" i="159"/>
  <c r="BX39" i="159"/>
  <c r="AA39" i="159"/>
  <c r="AZ39" i="159"/>
  <c r="AY39" i="159"/>
  <c r="AX39" i="159"/>
  <c r="X39" i="159"/>
  <c r="AW39" i="159"/>
  <c r="AV39" i="159"/>
  <c r="AU39" i="159"/>
  <c r="U39" i="159"/>
  <c r="AT39" i="159"/>
  <c r="T39" i="159"/>
  <c r="AR39" i="159"/>
  <c r="AB39" i="159"/>
  <c r="H37" i="159"/>
  <c r="CV37" i="159"/>
  <c r="HW38" i="159"/>
  <c r="HV38" i="159"/>
  <c r="CF38" i="159"/>
  <c r="FW38" i="159"/>
  <c r="HS38" i="159"/>
  <c r="CE38" i="159"/>
  <c r="FV38" i="159"/>
  <c r="HR38" i="159"/>
  <c r="CD38" i="159"/>
  <c r="FU38" i="159"/>
  <c r="HQ38" i="159"/>
  <c r="CC38" i="159"/>
  <c r="FT38" i="159"/>
  <c r="HP38" i="159"/>
  <c r="CB38" i="159"/>
  <c r="FS38" i="159"/>
  <c r="HO38" i="159"/>
  <c r="CA38" i="159"/>
  <c r="FR38" i="159"/>
  <c r="HN38" i="159"/>
  <c r="BZ38" i="159"/>
  <c r="FQ38" i="159"/>
  <c r="HM38" i="159"/>
  <c r="BY38" i="159"/>
  <c r="FP38" i="159"/>
  <c r="HL38" i="159"/>
  <c r="HE38" i="159"/>
  <c r="HD38" i="159"/>
  <c r="HC38" i="159"/>
  <c r="HB38" i="159"/>
  <c r="HA38" i="159"/>
  <c r="GZ38" i="159"/>
  <c r="GY38" i="159"/>
  <c r="GX38" i="159"/>
  <c r="GW38" i="159"/>
  <c r="GV38" i="159"/>
  <c r="GQ38" i="159"/>
  <c r="GP38" i="159"/>
  <c r="GO38" i="159"/>
  <c r="GN38" i="159"/>
  <c r="GM38" i="159"/>
  <c r="GL38" i="159"/>
  <c r="GK38" i="159"/>
  <c r="GJ38" i="159"/>
  <c r="DO38" i="159"/>
  <c r="EO38" i="159"/>
  <c r="EN38" i="159"/>
  <c r="EM38" i="159"/>
  <c r="DL38" i="159"/>
  <c r="EL38" i="159"/>
  <c r="EK38" i="159"/>
  <c r="EJ38" i="159"/>
  <c r="DI38" i="159"/>
  <c r="EI38" i="159"/>
  <c r="DH38" i="159"/>
  <c r="EG38" i="159"/>
  <c r="BX38" i="159"/>
  <c r="AA38" i="159"/>
  <c r="AZ38" i="159"/>
  <c r="AY38" i="159"/>
  <c r="AX38" i="159"/>
  <c r="X38" i="159"/>
  <c r="AW38" i="159"/>
  <c r="AV38" i="159"/>
  <c r="AU38" i="159"/>
  <c r="U38" i="159"/>
  <c r="AT38" i="159"/>
  <c r="T38" i="159"/>
  <c r="AR38" i="159"/>
  <c r="AB38" i="159"/>
  <c r="H36" i="159"/>
  <c r="CV36" i="159"/>
  <c r="HW37" i="159"/>
  <c r="HV37" i="159"/>
  <c r="CF37" i="159"/>
  <c r="FW37" i="159"/>
  <c r="HS37" i="159"/>
  <c r="CE37" i="159"/>
  <c r="FV37" i="159"/>
  <c r="HR37" i="159"/>
  <c r="CD37" i="159"/>
  <c r="FU37" i="159"/>
  <c r="HQ37" i="159"/>
  <c r="CC37" i="159"/>
  <c r="FT37" i="159"/>
  <c r="HP37" i="159"/>
  <c r="CB37" i="159"/>
  <c r="FS37" i="159"/>
  <c r="HO37" i="159"/>
  <c r="CA37" i="159"/>
  <c r="FR37" i="159"/>
  <c r="HN37" i="159"/>
  <c r="BZ37" i="159"/>
  <c r="FQ37" i="159"/>
  <c r="HM37" i="159"/>
  <c r="BY37" i="159"/>
  <c r="FP37" i="159"/>
  <c r="HL37" i="159"/>
  <c r="HE37" i="159"/>
  <c r="HD37" i="159"/>
  <c r="HC37" i="159"/>
  <c r="HB37" i="159"/>
  <c r="HA37" i="159"/>
  <c r="GZ37" i="159"/>
  <c r="GY37" i="159"/>
  <c r="GX37" i="159"/>
  <c r="GW37" i="159"/>
  <c r="GV37" i="159"/>
  <c r="GQ37" i="159"/>
  <c r="GP37" i="159"/>
  <c r="GO37" i="159"/>
  <c r="GN37" i="159"/>
  <c r="GM37" i="159"/>
  <c r="GL37" i="159"/>
  <c r="GK37" i="159"/>
  <c r="GJ37" i="159"/>
  <c r="DO37" i="159"/>
  <c r="EO37" i="159"/>
  <c r="EN37" i="159"/>
  <c r="EM37" i="159"/>
  <c r="DL37" i="159"/>
  <c r="EL37" i="159"/>
  <c r="EK37" i="159"/>
  <c r="EJ37" i="159"/>
  <c r="DI37" i="159"/>
  <c r="EI37" i="159"/>
  <c r="DH37" i="159"/>
  <c r="EG37" i="159"/>
  <c r="BX37" i="159"/>
  <c r="AA37" i="159"/>
  <c r="AZ37" i="159"/>
  <c r="AY37" i="159"/>
  <c r="AX37" i="159"/>
  <c r="X37" i="159"/>
  <c r="AW37" i="159"/>
  <c r="AV37" i="159"/>
  <c r="AU37" i="159"/>
  <c r="U37" i="159"/>
  <c r="AT37" i="159"/>
  <c r="T37" i="159"/>
  <c r="AR37" i="159"/>
  <c r="AB37" i="159"/>
  <c r="H35" i="159"/>
  <c r="CV35" i="159"/>
  <c r="HW36" i="159"/>
  <c r="HV36" i="159"/>
  <c r="CF36" i="159"/>
  <c r="FW36" i="159"/>
  <c r="HS36" i="159"/>
  <c r="CE36" i="159"/>
  <c r="FV36" i="159"/>
  <c r="HR36" i="159"/>
  <c r="CD36" i="159"/>
  <c r="FU36" i="159"/>
  <c r="HQ36" i="159"/>
  <c r="CC36" i="159"/>
  <c r="FT36" i="159"/>
  <c r="HP36" i="159"/>
  <c r="CB36" i="159"/>
  <c r="FS36" i="159"/>
  <c r="HO36" i="159"/>
  <c r="CA36" i="159"/>
  <c r="FR36" i="159"/>
  <c r="HN36" i="159"/>
  <c r="BZ36" i="159"/>
  <c r="FQ36" i="159"/>
  <c r="HM36" i="159"/>
  <c r="BY36" i="159"/>
  <c r="FP36" i="159"/>
  <c r="HL36" i="159"/>
  <c r="HE36" i="159"/>
  <c r="HD36" i="159"/>
  <c r="HC36" i="159"/>
  <c r="HB36" i="159"/>
  <c r="HA36" i="159"/>
  <c r="GZ36" i="159"/>
  <c r="GY36" i="159"/>
  <c r="GX36" i="159"/>
  <c r="GW36" i="159"/>
  <c r="GV36" i="159"/>
  <c r="GQ36" i="159"/>
  <c r="GP36" i="159"/>
  <c r="GO36" i="159"/>
  <c r="GN36" i="159"/>
  <c r="GM36" i="159"/>
  <c r="GL36" i="159"/>
  <c r="GK36" i="159"/>
  <c r="GJ36" i="159"/>
  <c r="DO36" i="159"/>
  <c r="EO36" i="159"/>
  <c r="EN36" i="159"/>
  <c r="EM36" i="159"/>
  <c r="DL36" i="159"/>
  <c r="EL36" i="159"/>
  <c r="EK36" i="159"/>
  <c r="EJ36" i="159"/>
  <c r="DI36" i="159"/>
  <c r="EI36" i="159"/>
  <c r="DH36" i="159"/>
  <c r="EG36" i="159"/>
  <c r="BX36" i="159"/>
  <c r="AA36" i="159"/>
  <c r="AZ36" i="159"/>
  <c r="AY36" i="159"/>
  <c r="AX36" i="159"/>
  <c r="X36" i="159"/>
  <c r="AW36" i="159"/>
  <c r="AV36" i="159"/>
  <c r="AU36" i="159"/>
  <c r="U36" i="159"/>
  <c r="AT36" i="159"/>
  <c r="T36" i="159"/>
  <c r="AR36" i="159"/>
  <c r="AB36" i="159"/>
  <c r="H34" i="159"/>
  <c r="CV34" i="159"/>
  <c r="HW35" i="159"/>
  <c r="HV35" i="159"/>
  <c r="CF35" i="159"/>
  <c r="FW35" i="159"/>
  <c r="HS35" i="159"/>
  <c r="CE35" i="159"/>
  <c r="FV35" i="159"/>
  <c r="HR35" i="159"/>
  <c r="CD35" i="159"/>
  <c r="FU35" i="159"/>
  <c r="HQ35" i="159"/>
  <c r="CC35" i="159"/>
  <c r="FT35" i="159"/>
  <c r="HP35" i="159"/>
  <c r="CB35" i="159"/>
  <c r="FS35" i="159"/>
  <c r="HO35" i="159"/>
  <c r="CA35" i="159"/>
  <c r="FR35" i="159"/>
  <c r="HN35" i="159"/>
  <c r="BZ35" i="159"/>
  <c r="FQ35" i="159"/>
  <c r="HM35" i="159"/>
  <c r="BY35" i="159"/>
  <c r="FP35" i="159"/>
  <c r="HL35" i="159"/>
  <c r="HE35" i="159"/>
  <c r="HD35" i="159"/>
  <c r="HC35" i="159"/>
  <c r="HB35" i="159"/>
  <c r="HA35" i="159"/>
  <c r="GZ35" i="159"/>
  <c r="GY35" i="159"/>
  <c r="GX35" i="159"/>
  <c r="GW35" i="159"/>
  <c r="GV35" i="159"/>
  <c r="GQ35" i="159"/>
  <c r="GP35" i="159"/>
  <c r="GO35" i="159"/>
  <c r="GN35" i="159"/>
  <c r="GM35" i="159"/>
  <c r="GL35" i="159"/>
  <c r="GK35" i="159"/>
  <c r="GJ35" i="159"/>
  <c r="DO35" i="159"/>
  <c r="EO35" i="159"/>
  <c r="EN35" i="159"/>
  <c r="EM35" i="159"/>
  <c r="DL35" i="159"/>
  <c r="EL35" i="159"/>
  <c r="EK35" i="159"/>
  <c r="EJ35" i="159"/>
  <c r="DI35" i="159"/>
  <c r="EI35" i="159"/>
  <c r="DH35" i="159"/>
  <c r="EG35" i="159"/>
  <c r="BX35" i="159"/>
  <c r="AA35" i="159"/>
  <c r="AZ35" i="159"/>
  <c r="AY35" i="159"/>
  <c r="AX35" i="159"/>
  <c r="X35" i="159"/>
  <c r="AW35" i="159"/>
  <c r="AV35" i="159"/>
  <c r="AU35" i="159"/>
  <c r="U35" i="159"/>
  <c r="AT35" i="159"/>
  <c r="T35" i="159"/>
  <c r="AR35" i="159"/>
  <c r="AB35" i="159"/>
  <c r="H33" i="159"/>
  <c r="CV33" i="159"/>
  <c r="HW34" i="159"/>
  <c r="HV34" i="159"/>
  <c r="CF34" i="159"/>
  <c r="FW34" i="159"/>
  <c r="HS34" i="159"/>
  <c r="CE34" i="159"/>
  <c r="FV34" i="159"/>
  <c r="HR34" i="159"/>
  <c r="CD34" i="159"/>
  <c r="FU34" i="159"/>
  <c r="HQ34" i="159"/>
  <c r="CC34" i="159"/>
  <c r="FT34" i="159"/>
  <c r="HP34" i="159"/>
  <c r="CB34" i="159"/>
  <c r="FS34" i="159"/>
  <c r="HO34" i="159"/>
  <c r="CA34" i="159"/>
  <c r="FR34" i="159"/>
  <c r="HN34" i="159"/>
  <c r="BZ34" i="159"/>
  <c r="FQ34" i="159"/>
  <c r="HM34" i="159"/>
  <c r="BY34" i="159"/>
  <c r="FP34" i="159"/>
  <c r="HL34" i="159"/>
  <c r="HE34" i="159"/>
  <c r="HD34" i="159"/>
  <c r="HC34" i="159"/>
  <c r="HB34" i="159"/>
  <c r="HA34" i="159"/>
  <c r="GZ34" i="159"/>
  <c r="GY34" i="159"/>
  <c r="GX34" i="159"/>
  <c r="GW34" i="159"/>
  <c r="GV34" i="159"/>
  <c r="GQ34" i="159"/>
  <c r="GP34" i="159"/>
  <c r="GO34" i="159"/>
  <c r="GN34" i="159"/>
  <c r="GM34" i="159"/>
  <c r="GL34" i="159"/>
  <c r="GK34" i="159"/>
  <c r="GJ34" i="159"/>
  <c r="DO34" i="159"/>
  <c r="EO34" i="159"/>
  <c r="EN34" i="159"/>
  <c r="EM34" i="159"/>
  <c r="DL34" i="159"/>
  <c r="EL34" i="159"/>
  <c r="EK34" i="159"/>
  <c r="EJ34" i="159"/>
  <c r="DI34" i="159"/>
  <c r="EI34" i="159"/>
  <c r="DH34" i="159"/>
  <c r="EG34" i="159"/>
  <c r="BX34" i="159"/>
  <c r="AA34" i="159"/>
  <c r="AZ34" i="159"/>
  <c r="AY34" i="159"/>
  <c r="AX34" i="159"/>
  <c r="X34" i="159"/>
  <c r="AW34" i="159"/>
  <c r="AV34" i="159"/>
  <c r="AU34" i="159"/>
  <c r="U34" i="159"/>
  <c r="AT34" i="159"/>
  <c r="T34" i="159"/>
  <c r="AR34" i="159"/>
  <c r="AB34" i="159"/>
  <c r="H32" i="159"/>
  <c r="CV32" i="159"/>
  <c r="HW33" i="159"/>
  <c r="HV33" i="159"/>
  <c r="CF33" i="159"/>
  <c r="FW33" i="159"/>
  <c r="HS33" i="159"/>
  <c r="CE33" i="159"/>
  <c r="FV33" i="159"/>
  <c r="HR33" i="159"/>
  <c r="CD33" i="159"/>
  <c r="FU33" i="159"/>
  <c r="HQ33" i="159"/>
  <c r="CC33" i="159"/>
  <c r="FT33" i="159"/>
  <c r="HP33" i="159"/>
  <c r="CB33" i="159"/>
  <c r="FS33" i="159"/>
  <c r="HO33" i="159"/>
  <c r="CA33" i="159"/>
  <c r="FR33" i="159"/>
  <c r="HN33" i="159"/>
  <c r="BZ33" i="159"/>
  <c r="FQ33" i="159"/>
  <c r="HM33" i="159"/>
  <c r="BY33" i="159"/>
  <c r="FP33" i="159"/>
  <c r="HL33" i="159"/>
  <c r="HE33" i="159"/>
  <c r="HD33" i="159"/>
  <c r="HC33" i="159"/>
  <c r="HB33" i="159"/>
  <c r="HA33" i="159"/>
  <c r="GZ33" i="159"/>
  <c r="GY33" i="159"/>
  <c r="GX33" i="159"/>
  <c r="GW33" i="159"/>
  <c r="GV33" i="159"/>
  <c r="GQ33" i="159"/>
  <c r="GP33" i="159"/>
  <c r="GO33" i="159"/>
  <c r="GN33" i="159"/>
  <c r="GM33" i="159"/>
  <c r="GL33" i="159"/>
  <c r="GK33" i="159"/>
  <c r="GJ33" i="159"/>
  <c r="DO33" i="159"/>
  <c r="EO33" i="159"/>
  <c r="EN33" i="159"/>
  <c r="EM33" i="159"/>
  <c r="DL33" i="159"/>
  <c r="EL33" i="159"/>
  <c r="EK33" i="159"/>
  <c r="EJ33" i="159"/>
  <c r="DI33" i="159"/>
  <c r="EI33" i="159"/>
  <c r="DH33" i="159"/>
  <c r="EG33" i="159"/>
  <c r="BX33" i="159"/>
  <c r="AA33" i="159"/>
  <c r="AZ33" i="159"/>
  <c r="AY33" i="159"/>
  <c r="AX33" i="159"/>
  <c r="X33" i="159"/>
  <c r="AW33" i="159"/>
  <c r="AV33" i="159"/>
  <c r="AU33" i="159"/>
  <c r="U33" i="159"/>
  <c r="AT33" i="159"/>
  <c r="T33" i="159"/>
  <c r="AR33" i="159"/>
  <c r="AB33" i="159"/>
  <c r="H31" i="159"/>
  <c r="CV31" i="159"/>
  <c r="HW32" i="159"/>
  <c r="HV32" i="159"/>
  <c r="CF32" i="159"/>
  <c r="FW32" i="159"/>
  <c r="HS32" i="159"/>
  <c r="CE32" i="159"/>
  <c r="FV32" i="159"/>
  <c r="HR32" i="159"/>
  <c r="CD32" i="159"/>
  <c r="FU32" i="159"/>
  <c r="HQ32" i="159"/>
  <c r="CC32" i="159"/>
  <c r="FT32" i="159"/>
  <c r="HP32" i="159"/>
  <c r="CB32" i="159"/>
  <c r="FS32" i="159"/>
  <c r="HO32" i="159"/>
  <c r="CA32" i="159"/>
  <c r="FR32" i="159"/>
  <c r="HN32" i="159"/>
  <c r="BZ32" i="159"/>
  <c r="FQ32" i="159"/>
  <c r="HM32" i="159"/>
  <c r="BY32" i="159"/>
  <c r="FP32" i="159"/>
  <c r="HL32" i="159"/>
  <c r="HE32" i="159"/>
  <c r="HD32" i="159"/>
  <c r="HC32" i="159"/>
  <c r="HB32" i="159"/>
  <c r="HA32" i="159"/>
  <c r="GZ32" i="159"/>
  <c r="GY32" i="159"/>
  <c r="GX32" i="159"/>
  <c r="GW32" i="159"/>
  <c r="GV32" i="159"/>
  <c r="GQ32" i="159"/>
  <c r="GP32" i="159"/>
  <c r="GO32" i="159"/>
  <c r="GN32" i="159"/>
  <c r="GM32" i="159"/>
  <c r="GL32" i="159"/>
  <c r="GK32" i="159"/>
  <c r="GJ32" i="159"/>
  <c r="DO32" i="159"/>
  <c r="EO32" i="159"/>
  <c r="EN32" i="159"/>
  <c r="EM32" i="159"/>
  <c r="DL32" i="159"/>
  <c r="EL32" i="159"/>
  <c r="EK32" i="159"/>
  <c r="EJ32" i="159"/>
  <c r="DI32" i="159"/>
  <c r="EI32" i="159"/>
  <c r="DH32" i="159"/>
  <c r="EG32" i="159"/>
  <c r="BX32" i="159"/>
  <c r="AA32" i="159"/>
  <c r="AZ32" i="159"/>
  <c r="AY32" i="159"/>
  <c r="AX32" i="159"/>
  <c r="X32" i="159"/>
  <c r="AW32" i="159"/>
  <c r="AV32" i="159"/>
  <c r="AU32" i="159"/>
  <c r="U32" i="159"/>
  <c r="AT32" i="159"/>
  <c r="T32" i="159"/>
  <c r="AR32" i="159"/>
  <c r="AB32" i="159"/>
  <c r="H30" i="159"/>
  <c r="CV30" i="159"/>
  <c r="HW31" i="159"/>
  <c r="HV31" i="159"/>
  <c r="CF31" i="159"/>
  <c r="FW31" i="159"/>
  <c r="HS31" i="159"/>
  <c r="CE31" i="159"/>
  <c r="FV31" i="159"/>
  <c r="HR31" i="159"/>
  <c r="CD31" i="159"/>
  <c r="FU31" i="159"/>
  <c r="HQ31" i="159"/>
  <c r="CC31" i="159"/>
  <c r="FT31" i="159"/>
  <c r="HP31" i="159"/>
  <c r="CB31" i="159"/>
  <c r="FS31" i="159"/>
  <c r="HO31" i="159"/>
  <c r="CA31" i="159"/>
  <c r="FR31" i="159"/>
  <c r="HN31" i="159"/>
  <c r="BZ31" i="159"/>
  <c r="FQ31" i="159"/>
  <c r="HM31" i="159"/>
  <c r="BY31" i="159"/>
  <c r="FP31" i="159"/>
  <c r="HL31" i="159"/>
  <c r="HE31" i="159"/>
  <c r="HD31" i="159"/>
  <c r="HC31" i="159"/>
  <c r="HB31" i="159"/>
  <c r="HA31" i="159"/>
  <c r="GZ31" i="159"/>
  <c r="GY31" i="159"/>
  <c r="GX31" i="159"/>
  <c r="GW31" i="159"/>
  <c r="GV31" i="159"/>
  <c r="GQ31" i="159"/>
  <c r="GP31" i="159"/>
  <c r="GO31" i="159"/>
  <c r="GN31" i="159"/>
  <c r="GM31" i="159"/>
  <c r="GL31" i="159"/>
  <c r="GK31" i="159"/>
  <c r="GJ31" i="159"/>
  <c r="DO31" i="159"/>
  <c r="EO31" i="159"/>
  <c r="EN31" i="159"/>
  <c r="EM31" i="159"/>
  <c r="DL31" i="159"/>
  <c r="EL31" i="159"/>
  <c r="EK31" i="159"/>
  <c r="EJ31" i="159"/>
  <c r="DI31" i="159"/>
  <c r="EI31" i="159"/>
  <c r="DH31" i="159"/>
  <c r="EG31" i="159"/>
  <c r="BX31" i="159"/>
  <c r="AA31" i="159"/>
  <c r="AZ31" i="159"/>
  <c r="AY31" i="159"/>
  <c r="AX31" i="159"/>
  <c r="X31" i="159"/>
  <c r="AW31" i="159"/>
  <c r="AV31" i="159"/>
  <c r="AU31" i="159"/>
  <c r="U31" i="159"/>
  <c r="AT31" i="159"/>
  <c r="T31" i="159"/>
  <c r="AR31" i="159"/>
  <c r="AB31" i="159"/>
  <c r="H29" i="159"/>
  <c r="CV29" i="159"/>
  <c r="HV30" i="159"/>
  <c r="CF30" i="159"/>
  <c r="FW30" i="159"/>
  <c r="HS30" i="159"/>
  <c r="CB30" i="159"/>
  <c r="HO30" i="159"/>
  <c r="CA30" i="159"/>
  <c r="FR30" i="159"/>
  <c r="HN30" i="159"/>
  <c r="BZ30" i="159"/>
  <c r="FQ30" i="159"/>
  <c r="HM30" i="159"/>
  <c r="BY30" i="159"/>
  <c r="FP30" i="159"/>
  <c r="HL30" i="159"/>
  <c r="HE30" i="159"/>
  <c r="GZ30" i="159"/>
  <c r="GY30" i="159"/>
  <c r="GX30" i="159"/>
  <c r="GW30" i="159"/>
  <c r="GV30" i="159"/>
  <c r="GQ30" i="159"/>
  <c r="GP30" i="159"/>
  <c r="GO30" i="159"/>
  <c r="GN30" i="159"/>
  <c r="GM30" i="159"/>
  <c r="GL30" i="159"/>
  <c r="GK30" i="159"/>
  <c r="GJ30" i="159"/>
  <c r="DO30" i="159"/>
  <c r="EO30" i="159"/>
  <c r="EN30" i="159"/>
  <c r="EM30" i="159"/>
  <c r="DL30" i="159"/>
  <c r="EL30" i="159"/>
  <c r="EK30" i="159"/>
  <c r="EJ30" i="159"/>
  <c r="DI30" i="159"/>
  <c r="EI30" i="159"/>
  <c r="DH30" i="159"/>
  <c r="EG30" i="159"/>
  <c r="BX30" i="159"/>
  <c r="AA30" i="159"/>
  <c r="AZ30" i="159"/>
  <c r="AY30" i="159"/>
  <c r="AX30" i="159"/>
  <c r="X30" i="159"/>
  <c r="AW30" i="159"/>
  <c r="AV30" i="159"/>
  <c r="AU30" i="159"/>
  <c r="U30" i="159"/>
  <c r="AT30" i="159"/>
  <c r="T30" i="159"/>
  <c r="AR30" i="159"/>
  <c r="AB30" i="159"/>
  <c r="H28" i="159"/>
  <c r="CV28" i="159"/>
  <c r="HV29" i="159"/>
  <c r="CF29" i="159"/>
  <c r="FW29" i="159"/>
  <c r="HS29" i="159"/>
  <c r="CB29" i="159"/>
  <c r="HO29" i="159"/>
  <c r="CA29" i="159"/>
  <c r="FR29" i="159"/>
  <c r="HN29" i="159"/>
  <c r="BZ29" i="159"/>
  <c r="FQ29" i="159"/>
  <c r="HM29" i="159"/>
  <c r="BY29" i="159"/>
  <c r="FP29" i="159"/>
  <c r="HL29" i="159"/>
  <c r="HE29" i="159"/>
  <c r="GZ29" i="159"/>
  <c r="GY29" i="159"/>
  <c r="GX29" i="159"/>
  <c r="GW29" i="159"/>
  <c r="GV29" i="159"/>
  <c r="GQ29" i="159"/>
  <c r="GP29" i="159"/>
  <c r="GO29" i="159"/>
  <c r="GN29" i="159"/>
  <c r="GM29" i="159"/>
  <c r="GL29" i="159"/>
  <c r="GK29" i="159"/>
  <c r="GJ29" i="159"/>
  <c r="DO29" i="159"/>
  <c r="EO29" i="159"/>
  <c r="EN29" i="159"/>
  <c r="EM29" i="159"/>
  <c r="DL29" i="159"/>
  <c r="EL29" i="159"/>
  <c r="EK29" i="159"/>
  <c r="EJ29" i="159"/>
  <c r="DI29" i="159"/>
  <c r="EI29" i="159"/>
  <c r="DH29" i="159"/>
  <c r="EG29" i="159"/>
  <c r="BX29" i="159"/>
  <c r="AA29" i="159"/>
  <c r="AZ29" i="159"/>
  <c r="AY29" i="159"/>
  <c r="AX29" i="159"/>
  <c r="X29" i="159"/>
  <c r="AW29" i="159"/>
  <c r="AV29" i="159"/>
  <c r="AU29" i="159"/>
  <c r="U29" i="159"/>
  <c r="AT29" i="159"/>
  <c r="T29" i="159"/>
  <c r="AR29" i="159"/>
  <c r="AB29" i="159"/>
  <c r="H27" i="159"/>
  <c r="CV27" i="159"/>
  <c r="HV28" i="159"/>
  <c r="CF28" i="159"/>
  <c r="FW28" i="159"/>
  <c r="HS28" i="159"/>
  <c r="CB28" i="159"/>
  <c r="HO28" i="159"/>
  <c r="CA28" i="159"/>
  <c r="FR28" i="159"/>
  <c r="HN28" i="159"/>
  <c r="BZ28" i="159"/>
  <c r="FQ28" i="159"/>
  <c r="HM28" i="159"/>
  <c r="BY28" i="159"/>
  <c r="FP28" i="159"/>
  <c r="HL28" i="159"/>
  <c r="HE28" i="159"/>
  <c r="GZ28" i="159"/>
  <c r="GY28" i="159"/>
  <c r="GX28" i="159"/>
  <c r="GW28" i="159"/>
  <c r="GV28" i="159"/>
  <c r="GQ28" i="159"/>
  <c r="GP28" i="159"/>
  <c r="GO28" i="159"/>
  <c r="GN28" i="159"/>
  <c r="GM28" i="159"/>
  <c r="GL28" i="159"/>
  <c r="GK28" i="159"/>
  <c r="GJ28" i="159"/>
  <c r="DO28" i="159"/>
  <c r="EO28" i="159"/>
  <c r="EN28" i="159"/>
  <c r="EM28" i="159"/>
  <c r="DL28" i="159"/>
  <c r="EL28" i="159"/>
  <c r="EK28" i="159"/>
  <c r="EJ28" i="159"/>
  <c r="DI28" i="159"/>
  <c r="EI28" i="159"/>
  <c r="DH28" i="159"/>
  <c r="EG28" i="159"/>
  <c r="BX28" i="159"/>
  <c r="AA28" i="159"/>
  <c r="AZ28" i="159"/>
  <c r="AY28" i="159"/>
  <c r="AX28" i="159"/>
  <c r="X28" i="159"/>
  <c r="AW28" i="159"/>
  <c r="AV28" i="159"/>
  <c r="AU28" i="159"/>
  <c r="U28" i="159"/>
  <c r="AT28" i="159"/>
  <c r="T28" i="159"/>
  <c r="AR28" i="159"/>
  <c r="AB28" i="159"/>
  <c r="H26" i="159"/>
  <c r="CV26" i="159"/>
  <c r="HV27" i="159"/>
  <c r="CF27" i="159"/>
  <c r="FW27" i="159"/>
  <c r="HS27" i="159"/>
  <c r="BZ27" i="159"/>
  <c r="FQ27" i="159"/>
  <c r="HM27" i="159"/>
  <c r="BY27" i="159"/>
  <c r="FP27" i="159"/>
  <c r="HL27" i="159"/>
  <c r="HE27" i="159"/>
  <c r="GZ27" i="159"/>
  <c r="GY27" i="159"/>
  <c r="GX27" i="159"/>
  <c r="GW27" i="159"/>
  <c r="GV27" i="159"/>
  <c r="GQ27" i="159"/>
  <c r="GP27" i="159"/>
  <c r="GO27" i="159"/>
  <c r="GN27" i="159"/>
  <c r="GM27" i="159"/>
  <c r="GL27" i="159"/>
  <c r="GK27" i="159"/>
  <c r="GJ27" i="159"/>
  <c r="DO27" i="159"/>
  <c r="EO27" i="159"/>
  <c r="EN27" i="159"/>
  <c r="EM27" i="159"/>
  <c r="DL27" i="159"/>
  <c r="EL27" i="159"/>
  <c r="DI27" i="159"/>
  <c r="EI27" i="159"/>
  <c r="DH27" i="159"/>
  <c r="EG27" i="159"/>
  <c r="BX27" i="159"/>
  <c r="AA27" i="159"/>
  <c r="AZ27" i="159"/>
  <c r="AY27" i="159"/>
  <c r="AX27" i="159"/>
  <c r="X27" i="159"/>
  <c r="AW27" i="159"/>
  <c r="U27" i="159"/>
  <c r="AT27" i="159"/>
  <c r="T27" i="159"/>
  <c r="AR27" i="159"/>
  <c r="AB27" i="159"/>
  <c r="H25" i="159"/>
  <c r="CV25" i="159"/>
  <c r="HV26" i="159"/>
  <c r="CF26" i="159"/>
  <c r="FW26" i="159"/>
  <c r="HS26" i="159"/>
  <c r="BZ26" i="159"/>
  <c r="FQ26" i="159"/>
  <c r="HM26" i="159"/>
  <c r="BY26" i="159"/>
  <c r="FP26" i="159"/>
  <c r="HL26" i="159"/>
  <c r="HE26" i="159"/>
  <c r="GZ26" i="159"/>
  <c r="GY26" i="159"/>
  <c r="GX26" i="159"/>
  <c r="GW26" i="159"/>
  <c r="GV26" i="159"/>
  <c r="GQ26" i="159"/>
  <c r="GP26" i="159"/>
  <c r="GO26" i="159"/>
  <c r="GN26" i="159"/>
  <c r="GK26" i="159"/>
  <c r="GJ26" i="159"/>
  <c r="DO26" i="159"/>
  <c r="EO26" i="159"/>
  <c r="EN26" i="159"/>
  <c r="EM26" i="159"/>
  <c r="DL26" i="159"/>
  <c r="EL26" i="159"/>
  <c r="DI26" i="159"/>
  <c r="EI26" i="159"/>
  <c r="DH26" i="159"/>
  <c r="EG26" i="159"/>
  <c r="BX26" i="159"/>
  <c r="AA26" i="159"/>
  <c r="AZ26" i="159"/>
  <c r="AY26" i="159"/>
  <c r="AX26" i="159"/>
  <c r="X26" i="159"/>
  <c r="AW26" i="159"/>
  <c r="U26" i="159"/>
  <c r="AT26" i="159"/>
  <c r="T26" i="159"/>
  <c r="AR26" i="159"/>
  <c r="AB26" i="159"/>
  <c r="H24" i="159"/>
  <c r="CV24" i="159"/>
  <c r="HV25" i="159"/>
  <c r="CF25" i="159"/>
  <c r="FW25" i="159"/>
  <c r="HS25" i="159"/>
  <c r="BZ25" i="159"/>
  <c r="FQ25" i="159"/>
  <c r="HM25" i="159"/>
  <c r="BY25" i="159"/>
  <c r="FP25" i="159"/>
  <c r="HL25" i="159"/>
  <c r="HE25" i="159"/>
  <c r="GZ25" i="159"/>
  <c r="GY25" i="159"/>
  <c r="GX25" i="159"/>
  <c r="GW25" i="159"/>
  <c r="GV25" i="159"/>
  <c r="GQ25" i="159"/>
  <c r="GP25" i="159"/>
  <c r="GO25" i="159"/>
  <c r="GN25" i="159"/>
  <c r="GK25" i="159"/>
  <c r="GJ25" i="159"/>
  <c r="DO25" i="159"/>
  <c r="EO25" i="159"/>
  <c r="EN25" i="159"/>
  <c r="EM25" i="159"/>
  <c r="DL25" i="159"/>
  <c r="EL25" i="159"/>
  <c r="DI25" i="159"/>
  <c r="EI25" i="159"/>
  <c r="DH25" i="159"/>
  <c r="EG25" i="159"/>
  <c r="BX25" i="159"/>
  <c r="AA25" i="159"/>
  <c r="AZ25" i="159"/>
  <c r="AY25" i="159"/>
  <c r="AX25" i="159"/>
  <c r="X25" i="159"/>
  <c r="AW25" i="159"/>
  <c r="U25" i="159"/>
  <c r="AT25" i="159"/>
  <c r="T25" i="159"/>
  <c r="AR25" i="159"/>
  <c r="AB25" i="159"/>
  <c r="B25" i="159"/>
  <c r="H23" i="159"/>
  <c r="CV23" i="159"/>
  <c r="HV24" i="159"/>
  <c r="CF24" i="159"/>
  <c r="FW24" i="159"/>
  <c r="HS24" i="159"/>
  <c r="BZ24" i="159"/>
  <c r="FQ24" i="159"/>
  <c r="HM24" i="159"/>
  <c r="BY24" i="159"/>
  <c r="FP24" i="159"/>
  <c r="HL24" i="159"/>
  <c r="HE24" i="159"/>
  <c r="GZ24" i="159"/>
  <c r="GY24" i="159"/>
  <c r="GX24" i="159"/>
  <c r="GW24" i="159"/>
  <c r="GV24" i="159"/>
  <c r="GQ24" i="159"/>
  <c r="GP24" i="159"/>
  <c r="GO24" i="159"/>
  <c r="GN24" i="159"/>
  <c r="GK24" i="159"/>
  <c r="GJ24" i="159"/>
  <c r="DO24" i="159"/>
  <c r="EO24" i="159"/>
  <c r="EN24" i="159"/>
  <c r="EM24" i="159"/>
  <c r="DL24" i="159"/>
  <c r="EL24" i="159"/>
  <c r="DI24" i="159"/>
  <c r="EI24" i="159"/>
  <c r="DH24" i="159"/>
  <c r="EG24" i="159"/>
  <c r="BX24" i="159"/>
  <c r="AA24" i="159"/>
  <c r="AZ24" i="159"/>
  <c r="AY24" i="159"/>
  <c r="AX24" i="159"/>
  <c r="X24" i="159"/>
  <c r="AW24" i="159"/>
  <c r="U24" i="159"/>
  <c r="AT24" i="159"/>
  <c r="T24" i="159"/>
  <c r="AR24" i="159"/>
  <c r="AB24" i="159"/>
  <c r="H22" i="159"/>
  <c r="CV22" i="159"/>
  <c r="HV23" i="159"/>
  <c r="CF23" i="159"/>
  <c r="FW23" i="159"/>
  <c r="HS23" i="159"/>
  <c r="BZ23" i="159"/>
  <c r="FQ23" i="159"/>
  <c r="HM23" i="159"/>
  <c r="BY23" i="159"/>
  <c r="FP23" i="159"/>
  <c r="HL23" i="159"/>
  <c r="HE23" i="159"/>
  <c r="GZ23" i="159"/>
  <c r="GY23" i="159"/>
  <c r="GX23" i="159"/>
  <c r="GW23" i="159"/>
  <c r="GV23" i="159"/>
  <c r="GQ23" i="159"/>
  <c r="GP23" i="159"/>
  <c r="GO23" i="159"/>
  <c r="GN23" i="159"/>
  <c r="GK23" i="159"/>
  <c r="GJ23" i="159"/>
  <c r="DO23" i="159"/>
  <c r="EO23" i="159"/>
  <c r="EN23" i="159"/>
  <c r="EM23" i="159"/>
  <c r="DL23" i="159"/>
  <c r="EL23" i="159"/>
  <c r="DI23" i="159"/>
  <c r="EI23" i="159"/>
  <c r="DH23" i="159"/>
  <c r="EG23" i="159"/>
  <c r="BX23" i="159"/>
  <c r="AA23" i="159"/>
  <c r="AZ23" i="159"/>
  <c r="AY23" i="159"/>
  <c r="AX23" i="159"/>
  <c r="X23" i="159"/>
  <c r="AW23" i="159"/>
  <c r="U23" i="159"/>
  <c r="AT23" i="159"/>
  <c r="T23" i="159"/>
  <c r="AR23" i="159"/>
  <c r="AB23" i="159"/>
  <c r="H21" i="159"/>
  <c r="CV21" i="159"/>
  <c r="HV22" i="159"/>
  <c r="CF22" i="159"/>
  <c r="FW22" i="159"/>
  <c r="HS22" i="159"/>
  <c r="BZ22" i="159"/>
  <c r="FQ22" i="159"/>
  <c r="HM22" i="159"/>
  <c r="BY22" i="159"/>
  <c r="FP22" i="159"/>
  <c r="HL22" i="159"/>
  <c r="HE22" i="159"/>
  <c r="GZ22" i="159"/>
  <c r="GY22" i="159"/>
  <c r="GX22" i="159"/>
  <c r="GW22" i="159"/>
  <c r="GV22" i="159"/>
  <c r="GQ22" i="159"/>
  <c r="GP22" i="159"/>
  <c r="GO22" i="159"/>
  <c r="GN22" i="159"/>
  <c r="GK22" i="159"/>
  <c r="GJ22" i="159"/>
  <c r="DO22" i="159"/>
  <c r="EO22" i="159"/>
  <c r="EN22" i="159"/>
  <c r="EM22" i="159"/>
  <c r="DL22" i="159"/>
  <c r="EL22" i="159"/>
  <c r="DI22" i="159"/>
  <c r="EI22" i="159"/>
  <c r="DH22" i="159"/>
  <c r="EG22" i="159"/>
  <c r="BX22" i="159"/>
  <c r="AA22" i="159"/>
  <c r="AZ22" i="159"/>
  <c r="AY22" i="159"/>
  <c r="AX22" i="159"/>
  <c r="X22" i="159"/>
  <c r="AW22" i="159"/>
  <c r="U22" i="159"/>
  <c r="AT22" i="159"/>
  <c r="T22" i="159"/>
  <c r="AR22" i="159"/>
  <c r="AB22" i="159"/>
  <c r="HE21" i="159"/>
  <c r="GZ21" i="159"/>
  <c r="GY21" i="159"/>
  <c r="GX21" i="159"/>
  <c r="GW21" i="159"/>
  <c r="GV21" i="159"/>
  <c r="GQ21" i="159"/>
  <c r="GP21" i="159"/>
  <c r="GO21" i="159"/>
  <c r="GN21" i="159"/>
  <c r="GK21" i="159"/>
  <c r="GJ21" i="159"/>
  <c r="DO21" i="159"/>
  <c r="DL21" i="159"/>
  <c r="DI21" i="159"/>
  <c r="DH21" i="159"/>
  <c r="AB21" i="159"/>
  <c r="AA21" i="159"/>
  <c r="X21" i="159"/>
  <c r="U21" i="159"/>
  <c r="T21" i="159"/>
  <c r="HE20" i="159"/>
  <c r="GZ20" i="159"/>
  <c r="GY20" i="159"/>
  <c r="GX20" i="159"/>
  <c r="GW20" i="159"/>
  <c r="GV20" i="159"/>
  <c r="DO20" i="159"/>
  <c r="DL20" i="159"/>
  <c r="DI20" i="159"/>
  <c r="DH20" i="159"/>
  <c r="AB20" i="159"/>
  <c r="AA20" i="159"/>
  <c r="X20" i="159"/>
  <c r="U20" i="159"/>
  <c r="T20" i="159"/>
  <c r="HE19" i="159"/>
  <c r="GZ19" i="159"/>
  <c r="GY19" i="159"/>
  <c r="GX19" i="159"/>
  <c r="GW19" i="159"/>
  <c r="GV19" i="159"/>
  <c r="DO19" i="159"/>
  <c r="DL19" i="159"/>
  <c r="DI19" i="159"/>
  <c r="DH19" i="159"/>
  <c r="AB19" i="159"/>
  <c r="AA19" i="159"/>
  <c r="X19" i="159"/>
  <c r="U19" i="159"/>
  <c r="T19" i="159"/>
  <c r="HE18" i="159"/>
  <c r="GZ18" i="159"/>
  <c r="GY18" i="159"/>
  <c r="GX18" i="159"/>
  <c r="GW18" i="159"/>
  <c r="GV18" i="159"/>
  <c r="DO18" i="159"/>
  <c r="DL18" i="159"/>
  <c r="DI18" i="159"/>
  <c r="DH18" i="159"/>
  <c r="AB18" i="159"/>
  <c r="AA18" i="159"/>
  <c r="X18" i="159"/>
  <c r="U18" i="159"/>
  <c r="T18" i="159"/>
  <c r="HE17" i="159"/>
  <c r="GZ17" i="159"/>
  <c r="GY17" i="159"/>
  <c r="GX17" i="159"/>
  <c r="GW17" i="159"/>
  <c r="GV17" i="159"/>
  <c r="DO17" i="159"/>
  <c r="DL17" i="159"/>
  <c r="DI17" i="159"/>
  <c r="DH17" i="159"/>
  <c r="AB17" i="159"/>
  <c r="AA17" i="159"/>
  <c r="X17" i="159"/>
  <c r="U17" i="159"/>
  <c r="T17" i="159"/>
  <c r="HE16" i="159"/>
  <c r="GZ16" i="159"/>
  <c r="GY16" i="159"/>
  <c r="GX16" i="159"/>
  <c r="GW16" i="159"/>
  <c r="GV16" i="159"/>
  <c r="DO16" i="159"/>
  <c r="DL16" i="159"/>
  <c r="DI16" i="159"/>
  <c r="DH16" i="159"/>
  <c r="AB16" i="159"/>
  <c r="AA16" i="159"/>
  <c r="X16" i="159"/>
  <c r="U16" i="159"/>
  <c r="T16" i="159"/>
  <c r="HE15" i="159"/>
  <c r="GZ15" i="159"/>
  <c r="GY15" i="159"/>
  <c r="GX15" i="159"/>
  <c r="GW15" i="159"/>
  <c r="GV15" i="159"/>
  <c r="DO15" i="159"/>
  <c r="DL15" i="159"/>
  <c r="DI15" i="159"/>
  <c r="DH15" i="159"/>
  <c r="AB15" i="159"/>
  <c r="AA15" i="159"/>
  <c r="X15" i="159"/>
  <c r="U15" i="159"/>
  <c r="T15" i="159"/>
  <c r="DO14" i="159"/>
  <c r="DL14" i="159"/>
  <c r="DI14" i="159"/>
  <c r="DH14" i="159"/>
  <c r="AB14" i="159"/>
  <c r="AA14" i="159"/>
  <c r="X14" i="159"/>
  <c r="U14" i="159"/>
  <c r="T14" i="159"/>
  <c r="DO13" i="159"/>
  <c r="DL13" i="159"/>
  <c r="DI13" i="159"/>
  <c r="DH13" i="159"/>
  <c r="AB13" i="159"/>
  <c r="AA13" i="159"/>
  <c r="X13" i="159"/>
  <c r="U13" i="159"/>
  <c r="T13" i="159"/>
  <c r="DO12" i="159"/>
  <c r="DL12" i="159"/>
  <c r="DI12" i="159"/>
  <c r="DH12" i="159"/>
  <c r="AB12" i="159"/>
  <c r="AA12" i="159"/>
  <c r="X12" i="159"/>
  <c r="U12" i="159"/>
  <c r="T12" i="159"/>
  <c r="DO11" i="159"/>
  <c r="DL11" i="159"/>
  <c r="DI11" i="159"/>
  <c r="DH11" i="159"/>
  <c r="AB11" i="159"/>
  <c r="AA11" i="159"/>
  <c r="X11" i="159"/>
  <c r="U11" i="159"/>
  <c r="T11" i="159"/>
  <c r="DO10" i="159"/>
  <c r="DL10" i="159"/>
  <c r="DI10" i="159"/>
  <c r="DH10" i="159"/>
  <c r="AB10" i="159"/>
  <c r="AA10" i="159"/>
  <c r="X10" i="159"/>
  <c r="U10" i="159"/>
  <c r="T10" i="159"/>
  <c r="DO9" i="159"/>
  <c r="DL9" i="159"/>
  <c r="DI9" i="159"/>
  <c r="DH9" i="159"/>
  <c r="AB9" i="159"/>
  <c r="AA9" i="159"/>
  <c r="X9" i="159"/>
  <c r="U9" i="159"/>
  <c r="T9" i="159"/>
  <c r="DO8" i="159"/>
  <c r="DL8" i="159"/>
  <c r="DI8" i="159"/>
  <c r="DH8" i="159"/>
  <c r="AB8" i="159"/>
  <c r="AA8" i="159"/>
  <c r="X8" i="159"/>
  <c r="U8" i="159"/>
  <c r="T8" i="159"/>
  <c r="DO7" i="159"/>
  <c r="DL7" i="159"/>
  <c r="DI7" i="159"/>
  <c r="DH7" i="159"/>
  <c r="AB7" i="159"/>
  <c r="AA7" i="159"/>
  <c r="X7" i="159"/>
  <c r="U7" i="159"/>
  <c r="T7" i="159"/>
  <c r="DO6" i="159"/>
  <c r="DL6" i="159"/>
  <c r="DI6" i="159"/>
  <c r="DH6" i="159"/>
  <c r="AB6" i="159"/>
  <c r="AA6" i="159"/>
  <c r="X6" i="159"/>
  <c r="U6" i="159"/>
  <c r="T6" i="159"/>
  <c r="DO5" i="159"/>
  <c r="DL5" i="159"/>
  <c r="DI5" i="159"/>
  <c r="DH5" i="159"/>
  <c r="AB5" i="159"/>
  <c r="AA5" i="159"/>
  <c r="X5" i="159"/>
  <c r="U5" i="159"/>
  <c r="T5" i="159"/>
  <c r="AK96" i="158"/>
  <c r="AJ96" i="158"/>
  <c r="AK95" i="158"/>
  <c r="AJ95" i="158"/>
  <c r="AK94" i="158"/>
  <c r="AJ94" i="158"/>
  <c r="AK93" i="158"/>
  <c r="AJ93" i="158"/>
  <c r="AK92" i="158"/>
  <c r="AJ92" i="158"/>
  <c r="AK91" i="158"/>
  <c r="AJ91" i="158"/>
  <c r="AK90" i="158"/>
  <c r="AJ90" i="158"/>
  <c r="AK89" i="158"/>
  <c r="AJ89" i="158"/>
  <c r="AK88" i="158"/>
  <c r="AJ88" i="158"/>
  <c r="AK87" i="158"/>
  <c r="AJ87" i="158"/>
  <c r="AK86" i="158"/>
  <c r="AJ86" i="158"/>
  <c r="AK85" i="158"/>
  <c r="AJ85" i="158"/>
  <c r="AK84" i="158"/>
  <c r="AJ84" i="158"/>
  <c r="AK83" i="158"/>
  <c r="AJ83" i="158"/>
  <c r="AK82" i="158"/>
  <c r="AJ82" i="158"/>
  <c r="AK81" i="158"/>
  <c r="AJ81" i="158"/>
  <c r="AK80" i="158"/>
  <c r="AJ80" i="158"/>
  <c r="AK79" i="158"/>
  <c r="AJ79" i="158"/>
  <c r="AK78" i="158"/>
  <c r="AJ78" i="158"/>
  <c r="AK77" i="158"/>
  <c r="AJ77" i="158"/>
  <c r="AK76" i="158"/>
  <c r="AJ76" i="158"/>
  <c r="AK75" i="158"/>
  <c r="AJ75" i="158"/>
  <c r="AK74" i="158"/>
  <c r="AJ74" i="158"/>
  <c r="AK73" i="158"/>
  <c r="AJ73" i="158"/>
  <c r="AK72" i="158"/>
  <c r="AJ72" i="158"/>
  <c r="AK71" i="158"/>
  <c r="AJ71" i="158"/>
  <c r="AK70" i="158"/>
  <c r="AJ70" i="158"/>
  <c r="AK69" i="158"/>
  <c r="AJ69" i="158"/>
  <c r="AK68" i="158"/>
  <c r="AJ68" i="158"/>
  <c r="AK67" i="158"/>
  <c r="AJ67" i="158"/>
  <c r="AK66" i="158"/>
  <c r="AJ66" i="158"/>
  <c r="AK65" i="158"/>
  <c r="AJ65" i="158"/>
  <c r="AK64" i="158"/>
  <c r="AJ64" i="158"/>
  <c r="AK63" i="158"/>
  <c r="AJ63" i="158"/>
  <c r="AK62" i="158"/>
  <c r="AJ62" i="158"/>
  <c r="AK61" i="158"/>
  <c r="AJ61" i="158"/>
  <c r="AK60" i="158"/>
  <c r="AJ60" i="158"/>
  <c r="AK59" i="158"/>
  <c r="AJ59" i="158"/>
  <c r="AK58" i="158"/>
  <c r="AJ58" i="158"/>
  <c r="AK57" i="158"/>
  <c r="AJ57" i="158"/>
  <c r="AK56" i="158"/>
  <c r="AJ56" i="158"/>
  <c r="AK55" i="158"/>
  <c r="AJ55" i="158"/>
  <c r="AK54" i="158"/>
  <c r="AJ54" i="158"/>
  <c r="AK53" i="158"/>
  <c r="AJ53" i="158"/>
  <c r="AK52" i="158"/>
  <c r="AJ52" i="158"/>
  <c r="AK51" i="158"/>
  <c r="AJ51" i="158"/>
  <c r="AK50" i="158"/>
  <c r="AJ50" i="158"/>
  <c r="AK49" i="158"/>
  <c r="AJ49" i="158"/>
  <c r="AK48" i="158"/>
  <c r="AJ48" i="158"/>
  <c r="AK47" i="158"/>
  <c r="AJ47" i="158"/>
  <c r="AK46" i="158"/>
  <c r="AJ46" i="158"/>
  <c r="AK45" i="158"/>
  <c r="AJ45" i="158"/>
  <c r="AK44" i="158"/>
  <c r="AJ44" i="158"/>
  <c r="AK43" i="158"/>
  <c r="AJ43" i="158"/>
  <c r="AK42" i="158"/>
  <c r="AJ42" i="158"/>
  <c r="AK41" i="158"/>
  <c r="AJ41" i="158"/>
  <c r="AK40" i="158"/>
  <c r="AJ40" i="158"/>
  <c r="AK39" i="158"/>
  <c r="AJ39" i="158"/>
  <c r="AK38" i="158"/>
  <c r="AJ38" i="158"/>
  <c r="AK37" i="158"/>
  <c r="AJ37" i="158"/>
  <c r="AK36" i="158"/>
  <c r="AJ36" i="158"/>
  <c r="AK35" i="158"/>
  <c r="AJ35" i="158"/>
  <c r="AK34" i="158"/>
  <c r="AJ34" i="158"/>
  <c r="AK33" i="158"/>
  <c r="AJ33" i="158"/>
  <c r="AK32" i="158"/>
  <c r="AJ32" i="158"/>
  <c r="AK31" i="158"/>
  <c r="AJ31" i="158"/>
  <c r="AK30" i="158"/>
  <c r="AJ30" i="158"/>
  <c r="AK29" i="158"/>
  <c r="AJ29" i="158"/>
  <c r="AK28" i="158"/>
  <c r="AJ28" i="158"/>
  <c r="AK27" i="158"/>
  <c r="AJ27" i="158"/>
  <c r="AK26" i="158"/>
  <c r="AJ26" i="158"/>
  <c r="AK25" i="158"/>
  <c r="AJ25" i="158"/>
  <c r="AK24" i="158"/>
  <c r="AJ24" i="158"/>
  <c r="AK23" i="158"/>
  <c r="AJ23" i="158"/>
  <c r="AK22" i="158"/>
  <c r="AJ22" i="158"/>
  <c r="AK21" i="158"/>
  <c r="AJ21" i="158"/>
  <c r="AK20" i="158"/>
  <c r="AJ20" i="158"/>
  <c r="AK19" i="158"/>
  <c r="AJ19" i="158"/>
  <c r="AK18" i="158"/>
  <c r="AJ18" i="158"/>
  <c r="AK17" i="158"/>
  <c r="AJ17" i="158"/>
  <c r="AK16" i="158"/>
  <c r="AJ16" i="158"/>
  <c r="AK15" i="158"/>
  <c r="AJ15" i="158"/>
  <c r="AK14" i="158"/>
  <c r="AJ14" i="158"/>
  <c r="AK13" i="158"/>
  <c r="AJ13" i="158"/>
  <c r="AK12" i="158"/>
  <c r="AJ12" i="158"/>
  <c r="AK11" i="158"/>
  <c r="AJ11" i="158"/>
  <c r="AK10" i="158"/>
  <c r="AJ10" i="158"/>
  <c r="AK9" i="158"/>
  <c r="AJ9" i="158"/>
  <c r="AK8" i="158"/>
  <c r="AJ8" i="158"/>
  <c r="AK7" i="158"/>
  <c r="AJ7" i="158"/>
  <c r="F3" i="157"/>
  <c r="F465" i="157"/>
  <c r="D10" i="156"/>
  <c r="E10" i="156"/>
  <c r="K10" i="156"/>
  <c r="K11" i="156"/>
  <c r="K12" i="156"/>
  <c r="K13" i="156"/>
  <c r="K14" i="156"/>
  <c r="D15" i="156"/>
  <c r="E15" i="156"/>
  <c r="K15" i="156"/>
  <c r="D16" i="156"/>
  <c r="E16" i="156"/>
  <c r="K16" i="156"/>
  <c r="K17" i="156"/>
  <c r="D18" i="156"/>
  <c r="E18" i="156"/>
  <c r="K18" i="156"/>
  <c r="D19" i="156"/>
  <c r="E19" i="156"/>
  <c r="K19" i="156"/>
  <c r="D20" i="156"/>
  <c r="E20" i="156"/>
  <c r="K20" i="156"/>
  <c r="D21" i="156"/>
  <c r="E21" i="156"/>
  <c r="K21" i="156"/>
  <c r="D22" i="156"/>
  <c r="E22" i="156"/>
  <c r="K22" i="156"/>
  <c r="K23" i="156"/>
  <c r="K24" i="156"/>
  <c r="D25" i="156"/>
  <c r="E25" i="156"/>
  <c r="K25" i="156"/>
  <c r="D26" i="156"/>
  <c r="E26" i="156"/>
  <c r="K26" i="156"/>
  <c r="D27" i="156"/>
  <c r="E27" i="156"/>
  <c r="K27" i="156"/>
  <c r="K28" i="156"/>
  <c r="K29" i="156"/>
  <c r="K30" i="156"/>
  <c r="K31" i="156"/>
  <c r="K32" i="156"/>
  <c r="D33" i="156"/>
  <c r="E33" i="156"/>
  <c r="K33" i="156"/>
  <c r="K34" i="156"/>
  <c r="D35" i="156"/>
  <c r="E35" i="156"/>
  <c r="K35" i="156"/>
  <c r="D36" i="156"/>
  <c r="E36" i="156"/>
  <c r="K36" i="156"/>
  <c r="D37" i="156"/>
  <c r="E37" i="156"/>
  <c r="K37" i="156"/>
  <c r="K38" i="156"/>
  <c r="D39" i="156"/>
  <c r="E39" i="156"/>
  <c r="K39" i="156"/>
  <c r="K41" i="156"/>
  <c r="D42" i="156"/>
  <c r="E42" i="156"/>
  <c r="K42" i="156"/>
  <c r="D43" i="156"/>
  <c r="E43" i="156"/>
  <c r="K43" i="156"/>
  <c r="K44" i="156"/>
  <c r="K45" i="156"/>
  <c r="D46" i="156"/>
  <c r="E46" i="156"/>
  <c r="K46" i="156"/>
  <c r="K47" i="156"/>
  <c r="D48" i="156"/>
  <c r="E48" i="156"/>
  <c r="K48" i="156"/>
  <c r="D49" i="156"/>
  <c r="E49" i="156"/>
  <c r="K49" i="156"/>
  <c r="C67" i="156"/>
  <c r="R37" i="152"/>
  <c r="Q31" i="152"/>
  <c r="Q30" i="152"/>
  <c r="Q24" i="152"/>
  <c r="Q23" i="152"/>
  <c r="X8" i="152"/>
  <c r="X9" i="152"/>
  <c r="X10" i="152"/>
  <c r="X12" i="152"/>
  <c r="W8" i="152"/>
  <c r="W9" i="152"/>
  <c r="W10" i="152"/>
  <c r="W12" i="152"/>
  <c r="V8" i="152"/>
  <c r="V9" i="152"/>
  <c r="V10" i="152"/>
  <c r="V12" i="152"/>
  <c r="S8" i="152"/>
  <c r="S9" i="152"/>
  <c r="S10" i="152"/>
  <c r="S12" i="152"/>
  <c r="Q8" i="152"/>
  <c r="Q9" i="152"/>
  <c r="Q10" i="152"/>
  <c r="Q12" i="152"/>
  <c r="KL22" i="96"/>
  <c r="B21" i="128"/>
  <c r="C21" i="128"/>
  <c r="H21" i="128"/>
  <c r="KM22" i="96"/>
  <c r="B21" i="129"/>
  <c r="C21" i="129"/>
  <c r="H21" i="129"/>
  <c r="B21" i="130"/>
  <c r="KL27" i="96"/>
  <c r="KL23" i="96"/>
  <c r="B22" i="128"/>
  <c r="C22" i="128"/>
  <c r="H22" i="128"/>
  <c r="KM27" i="96"/>
  <c r="KM23" i="96"/>
  <c r="B22" i="129"/>
  <c r="C22" i="129"/>
  <c r="H22" i="129"/>
  <c r="B22" i="130"/>
  <c r="KL24" i="96"/>
  <c r="B23" i="128"/>
  <c r="C23" i="128"/>
  <c r="H23" i="128"/>
  <c r="KM24" i="96"/>
  <c r="B23" i="129"/>
  <c r="C23" i="129"/>
  <c r="H23" i="129"/>
  <c r="B23" i="130"/>
  <c r="KL25" i="96"/>
  <c r="B24" i="128"/>
  <c r="C24" i="128"/>
  <c r="H24" i="128"/>
  <c r="KM25" i="96"/>
  <c r="B24" i="129"/>
  <c r="C24" i="129"/>
  <c r="H24" i="129"/>
  <c r="B24" i="130"/>
  <c r="KL26" i="96"/>
  <c r="B25" i="128"/>
  <c r="C25" i="128"/>
  <c r="H25" i="128"/>
  <c r="KM26" i="96"/>
  <c r="B25" i="129"/>
  <c r="C25" i="129"/>
  <c r="H25" i="129"/>
  <c r="B25" i="130"/>
  <c r="B20" i="130"/>
  <c r="B19" i="130"/>
  <c r="B18" i="130"/>
  <c r="B17" i="130"/>
  <c r="B16" i="130"/>
  <c r="B15" i="130"/>
  <c r="B14" i="130"/>
  <c r="B13" i="130"/>
  <c r="B12" i="130"/>
  <c r="B11" i="130"/>
  <c r="B10" i="130"/>
  <c r="E9" i="127"/>
  <c r="E10" i="127"/>
  <c r="E11" i="127"/>
  <c r="E12" i="127"/>
  <c r="E13" i="127"/>
  <c r="E14" i="127"/>
  <c r="E15" i="127"/>
  <c r="E16" i="127"/>
  <c r="E17" i="127"/>
  <c r="E18" i="127"/>
  <c r="E19" i="127"/>
  <c r="E20" i="127"/>
  <c r="E21" i="127"/>
  <c r="E22" i="127"/>
  <c r="E23" i="127"/>
  <c r="E24" i="127"/>
  <c r="B46" i="127"/>
  <c r="C46" i="127"/>
  <c r="L47" i="120"/>
  <c r="M47" i="120"/>
  <c r="D46" i="127"/>
  <c r="E46" i="127"/>
  <c r="F46" i="127"/>
  <c r="G46" i="127"/>
  <c r="H46" i="127"/>
  <c r="I46" i="127"/>
  <c r="J46" i="127"/>
  <c r="L46" i="127"/>
  <c r="M46" i="123"/>
  <c r="B47" i="127"/>
  <c r="C47" i="127"/>
  <c r="L48" i="120"/>
  <c r="M48" i="120"/>
  <c r="D47" i="127"/>
  <c r="E47" i="127"/>
  <c r="F47" i="127"/>
  <c r="G47" i="127"/>
  <c r="H47" i="127"/>
  <c r="I47" i="127"/>
  <c r="J47" i="127"/>
  <c r="L47" i="127"/>
  <c r="M47" i="123"/>
  <c r="B48" i="127"/>
  <c r="C48" i="127"/>
  <c r="L49" i="120"/>
  <c r="M49" i="120"/>
  <c r="D48" i="127"/>
  <c r="E48" i="127"/>
  <c r="F48" i="127"/>
  <c r="G48" i="127"/>
  <c r="H48" i="127"/>
  <c r="I48" i="127"/>
  <c r="J48" i="127"/>
  <c r="L48" i="127"/>
  <c r="M48" i="123"/>
  <c r="B49" i="127"/>
  <c r="C49" i="127"/>
  <c r="L50" i="120"/>
  <c r="M50" i="120"/>
  <c r="D49" i="127"/>
  <c r="E49" i="127"/>
  <c r="F49" i="127"/>
  <c r="G49" i="127"/>
  <c r="H49" i="127"/>
  <c r="I49" i="127"/>
  <c r="J49" i="127"/>
  <c r="L49" i="127"/>
  <c r="M49" i="123"/>
  <c r="B50" i="127"/>
  <c r="C50" i="127"/>
  <c r="L51" i="120"/>
  <c r="M51" i="120"/>
  <c r="D50" i="127"/>
  <c r="E50" i="127"/>
  <c r="F50" i="127"/>
  <c r="G50" i="127"/>
  <c r="H50" i="127"/>
  <c r="I50" i="127"/>
  <c r="J50" i="127"/>
  <c r="L50" i="127"/>
  <c r="M50" i="123"/>
  <c r="B51" i="127"/>
  <c r="C51" i="127"/>
  <c r="L52" i="120"/>
  <c r="M52" i="120"/>
  <c r="D51" i="127"/>
  <c r="E51" i="127"/>
  <c r="F51" i="127"/>
  <c r="G51" i="127"/>
  <c r="H51" i="127"/>
  <c r="I51" i="127"/>
  <c r="J51" i="127"/>
  <c r="L51" i="127"/>
  <c r="M51" i="123"/>
  <c r="B52" i="127"/>
  <c r="C52" i="127"/>
  <c r="L53" i="120"/>
  <c r="M53" i="120"/>
  <c r="D52" i="127"/>
  <c r="E52" i="127"/>
  <c r="F52" i="127"/>
  <c r="G52" i="127"/>
  <c r="H52" i="127"/>
  <c r="I52" i="127"/>
  <c r="J52" i="127"/>
  <c r="L52" i="127"/>
  <c r="M52" i="123"/>
  <c r="B53" i="127"/>
  <c r="C53" i="127"/>
  <c r="L54" i="120"/>
  <c r="M54" i="120"/>
  <c r="D53" i="127"/>
  <c r="E53" i="127"/>
  <c r="F53" i="127"/>
  <c r="G53" i="127"/>
  <c r="H53" i="127"/>
  <c r="I53" i="127"/>
  <c r="J53" i="127"/>
  <c r="L53" i="127"/>
  <c r="M53" i="123"/>
  <c r="B54" i="127"/>
  <c r="C54" i="127"/>
  <c r="L55" i="120"/>
  <c r="M55" i="120"/>
  <c r="D54" i="127"/>
  <c r="E54" i="127"/>
  <c r="F54" i="127"/>
  <c r="G54" i="127"/>
  <c r="H54" i="127"/>
  <c r="I54" i="127"/>
  <c r="J54" i="127"/>
  <c r="L54" i="127"/>
  <c r="M54" i="123"/>
  <c r="B55" i="127"/>
  <c r="C55" i="127"/>
  <c r="L56" i="120"/>
  <c r="M56" i="120"/>
  <c r="D55" i="127"/>
  <c r="E55" i="127"/>
  <c r="F55" i="127"/>
  <c r="G55" i="127"/>
  <c r="H55" i="127"/>
  <c r="I55" i="127"/>
  <c r="J55" i="127"/>
  <c r="L55" i="127"/>
  <c r="M55" i="123"/>
  <c r="B56" i="127"/>
  <c r="C56" i="127"/>
  <c r="L57" i="120"/>
  <c r="M57" i="120"/>
  <c r="D56" i="127"/>
  <c r="E56" i="127"/>
  <c r="F56" i="127"/>
  <c r="G56" i="127"/>
  <c r="H56" i="127"/>
  <c r="I56" i="127"/>
  <c r="J56" i="127"/>
  <c r="L56" i="127"/>
  <c r="M56" i="123"/>
  <c r="B57" i="127"/>
  <c r="C57" i="127"/>
  <c r="L58" i="120"/>
  <c r="M58" i="120"/>
  <c r="D57" i="127"/>
  <c r="E57" i="127"/>
  <c r="F57" i="127"/>
  <c r="G57" i="127"/>
  <c r="H57" i="127"/>
  <c r="I57" i="127"/>
  <c r="J57" i="127"/>
  <c r="L57" i="127"/>
  <c r="M57" i="123"/>
  <c r="B58" i="127"/>
  <c r="C58" i="127"/>
  <c r="L59" i="120"/>
  <c r="M59" i="120"/>
  <c r="D58" i="127"/>
  <c r="E58" i="127"/>
  <c r="F58" i="127"/>
  <c r="G58" i="127"/>
  <c r="H58" i="127"/>
  <c r="I58" i="127"/>
  <c r="J58" i="127"/>
  <c r="L58" i="127"/>
  <c r="M58" i="123"/>
  <c r="B59" i="127"/>
  <c r="C59" i="127"/>
  <c r="L60" i="120"/>
  <c r="M60" i="120"/>
  <c r="D59" i="127"/>
  <c r="E59" i="127"/>
  <c r="F59" i="127"/>
  <c r="G59" i="127"/>
  <c r="H59" i="127"/>
  <c r="I59" i="127"/>
  <c r="J59" i="127"/>
  <c r="L59" i="127"/>
  <c r="M59" i="123"/>
  <c r="K30" i="121"/>
  <c r="K30" i="120"/>
  <c r="K29" i="122"/>
  <c r="K31" i="121"/>
  <c r="K31" i="120"/>
  <c r="K30" i="122"/>
  <c r="K32" i="121"/>
  <c r="K32" i="120"/>
  <c r="K31" i="122"/>
  <c r="K33" i="121"/>
  <c r="K33" i="120"/>
  <c r="K32" i="122"/>
  <c r="K34" i="121"/>
  <c r="K34" i="120"/>
  <c r="K33" i="122"/>
  <c r="K35" i="121"/>
  <c r="K35" i="120"/>
  <c r="K34" i="122"/>
  <c r="K36" i="121"/>
  <c r="K36" i="120"/>
  <c r="K35" i="122"/>
  <c r="K37" i="121"/>
  <c r="K37" i="120"/>
  <c r="K36" i="122"/>
  <c r="K38" i="121"/>
  <c r="K38" i="120"/>
  <c r="K37" i="122"/>
  <c r="K39" i="121"/>
  <c r="K39" i="120"/>
  <c r="K38" i="122"/>
  <c r="K40" i="121"/>
  <c r="K40" i="120"/>
  <c r="K39" i="122"/>
  <c r="K41" i="121"/>
  <c r="K41" i="120"/>
  <c r="K40" i="122"/>
  <c r="K42" i="121"/>
  <c r="K42" i="120"/>
  <c r="K41" i="122"/>
  <c r="K43" i="121"/>
  <c r="K43" i="120"/>
  <c r="K42" i="122"/>
  <c r="K44" i="121"/>
  <c r="K44" i="120"/>
  <c r="K43" i="122"/>
  <c r="K45" i="121"/>
  <c r="K45" i="120"/>
  <c r="K44" i="122"/>
  <c r="K46" i="121"/>
  <c r="K46" i="120"/>
  <c r="K45" i="122"/>
  <c r="K47" i="121"/>
  <c r="K47" i="120"/>
  <c r="K46" i="122"/>
  <c r="K48" i="121"/>
  <c r="K48" i="120"/>
  <c r="K47" i="122"/>
  <c r="K49" i="121"/>
  <c r="K49" i="120"/>
  <c r="K48" i="122"/>
  <c r="K50" i="121"/>
  <c r="K50" i="120"/>
  <c r="K49" i="122"/>
  <c r="K51" i="121"/>
  <c r="K51" i="120"/>
  <c r="K50" i="122"/>
  <c r="K52" i="121"/>
  <c r="K52" i="120"/>
  <c r="K51" i="122"/>
  <c r="K53" i="121"/>
  <c r="K53" i="120"/>
  <c r="K52" i="122"/>
  <c r="K54" i="121"/>
  <c r="K54" i="120"/>
  <c r="K53" i="122"/>
  <c r="K55" i="121"/>
  <c r="K55" i="120"/>
  <c r="K54" i="122"/>
  <c r="K56" i="121"/>
  <c r="K56" i="120"/>
  <c r="K55" i="122"/>
  <c r="K57" i="121"/>
  <c r="K57" i="120"/>
  <c r="K56" i="122"/>
  <c r="K58" i="121"/>
  <c r="K58" i="120"/>
  <c r="K57" i="122"/>
  <c r="K59" i="121"/>
  <c r="K59" i="120"/>
  <c r="K58" i="122"/>
  <c r="K60" i="121"/>
  <c r="K60" i="120"/>
  <c r="K59" i="122"/>
  <c r="K65" i="122"/>
  <c r="J65" i="122"/>
  <c r="I65" i="122"/>
  <c r="H65" i="122"/>
  <c r="G30" i="121"/>
  <c r="G29" i="122"/>
  <c r="G31" i="121"/>
  <c r="G30" i="122"/>
  <c r="G32" i="121"/>
  <c r="G31" i="122"/>
  <c r="G33" i="121"/>
  <c r="G32" i="122"/>
  <c r="G34" i="121"/>
  <c r="G33" i="122"/>
  <c r="G35" i="121"/>
  <c r="G34" i="122"/>
  <c r="G36" i="121"/>
  <c r="G35" i="122"/>
  <c r="G37" i="121"/>
  <c r="G36" i="122"/>
  <c r="G38" i="121"/>
  <c r="G37" i="122"/>
  <c r="G39" i="121"/>
  <c r="G38" i="122"/>
  <c r="G40" i="121"/>
  <c r="G39" i="122"/>
  <c r="G41" i="121"/>
  <c r="G40" i="122"/>
  <c r="G42" i="121"/>
  <c r="G41" i="122"/>
  <c r="G43" i="121"/>
  <c r="G42" i="122"/>
  <c r="G44" i="121"/>
  <c r="G43" i="122"/>
  <c r="G45" i="121"/>
  <c r="G44" i="122"/>
  <c r="G46" i="121"/>
  <c r="G45" i="122"/>
  <c r="G47" i="121"/>
  <c r="G46" i="122"/>
  <c r="G48" i="121"/>
  <c r="G47" i="122"/>
  <c r="G49" i="121"/>
  <c r="G48" i="122"/>
  <c r="G50" i="121"/>
  <c r="G49" i="122"/>
  <c r="G51" i="121"/>
  <c r="G50" i="122"/>
  <c r="G52" i="121"/>
  <c r="G51" i="122"/>
  <c r="G53" i="121"/>
  <c r="G52" i="122"/>
  <c r="G54" i="121"/>
  <c r="G53" i="122"/>
  <c r="G55" i="121"/>
  <c r="G54" i="122"/>
  <c r="G56" i="121"/>
  <c r="G55" i="122"/>
  <c r="G57" i="121"/>
  <c r="G56" i="122"/>
  <c r="G58" i="121"/>
  <c r="G57" i="122"/>
  <c r="G59" i="121"/>
  <c r="G58" i="122"/>
  <c r="G60" i="121"/>
  <c r="G59" i="122"/>
  <c r="G65" i="122"/>
  <c r="F30" i="121"/>
  <c r="F30" i="120"/>
  <c r="F29" i="122"/>
  <c r="F31" i="121"/>
  <c r="F31" i="120"/>
  <c r="F30" i="122"/>
  <c r="F32" i="121"/>
  <c r="F32" i="120"/>
  <c r="F31" i="122"/>
  <c r="F33" i="121"/>
  <c r="F33" i="120"/>
  <c r="F32" i="122"/>
  <c r="F34" i="121"/>
  <c r="F34" i="120"/>
  <c r="F33" i="122"/>
  <c r="F35" i="121"/>
  <c r="F35" i="120"/>
  <c r="F34" i="122"/>
  <c r="F36" i="121"/>
  <c r="F36" i="120"/>
  <c r="F35" i="122"/>
  <c r="F37" i="121"/>
  <c r="F37" i="120"/>
  <c r="F36" i="122"/>
  <c r="F38" i="121"/>
  <c r="F38" i="120"/>
  <c r="F37" i="122"/>
  <c r="F39" i="121"/>
  <c r="F39" i="120"/>
  <c r="F38" i="122"/>
  <c r="F40" i="121"/>
  <c r="F40" i="120"/>
  <c r="F39" i="122"/>
  <c r="F41" i="121"/>
  <c r="F41" i="120"/>
  <c r="F40" i="122"/>
  <c r="F42" i="121"/>
  <c r="F42" i="120"/>
  <c r="F41" i="122"/>
  <c r="F43" i="121"/>
  <c r="F43" i="120"/>
  <c r="F42" i="122"/>
  <c r="F44" i="121"/>
  <c r="F44" i="120"/>
  <c r="F43" i="122"/>
  <c r="F45" i="121"/>
  <c r="F45" i="120"/>
  <c r="F44" i="122"/>
  <c r="F46" i="121"/>
  <c r="F46" i="120"/>
  <c r="F45" i="122"/>
  <c r="F47" i="121"/>
  <c r="F47" i="120"/>
  <c r="F46" i="122"/>
  <c r="F48" i="121"/>
  <c r="F48" i="120"/>
  <c r="F47" i="122"/>
  <c r="F49" i="121"/>
  <c r="F49" i="120"/>
  <c r="F48" i="122"/>
  <c r="F50" i="121"/>
  <c r="F50" i="120"/>
  <c r="F49" i="122"/>
  <c r="F51" i="121"/>
  <c r="F51" i="120"/>
  <c r="F50" i="122"/>
  <c r="F52" i="121"/>
  <c r="F52" i="120"/>
  <c r="F51" i="122"/>
  <c r="F53" i="121"/>
  <c r="F53" i="120"/>
  <c r="F52" i="122"/>
  <c r="F54" i="121"/>
  <c r="F54" i="120"/>
  <c r="F53" i="122"/>
  <c r="F55" i="121"/>
  <c r="F55" i="120"/>
  <c r="F54" i="122"/>
  <c r="F56" i="121"/>
  <c r="F56" i="120"/>
  <c r="F55" i="122"/>
  <c r="F57" i="121"/>
  <c r="F57" i="120"/>
  <c r="F56" i="122"/>
  <c r="F58" i="121"/>
  <c r="F58" i="120"/>
  <c r="F57" i="122"/>
  <c r="F59" i="121"/>
  <c r="F59" i="120"/>
  <c r="F58" i="122"/>
  <c r="F60" i="121"/>
  <c r="F60" i="120"/>
  <c r="F59" i="122"/>
  <c r="F65" i="122"/>
  <c r="E65" i="122"/>
  <c r="D65" i="122"/>
  <c r="C65" i="122"/>
  <c r="B65" i="122"/>
  <c r="K10" i="121"/>
  <c r="K10" i="120"/>
  <c r="K9" i="122"/>
  <c r="K11" i="121"/>
  <c r="K11" i="120"/>
  <c r="K10" i="122"/>
  <c r="K12" i="121"/>
  <c r="K12" i="120"/>
  <c r="K11" i="122"/>
  <c r="K13" i="121"/>
  <c r="K13" i="120"/>
  <c r="K12" i="122"/>
  <c r="K14" i="121"/>
  <c r="K14" i="120"/>
  <c r="K13" i="122"/>
  <c r="K15" i="121"/>
  <c r="K15" i="120"/>
  <c r="K14" i="122"/>
  <c r="K16" i="121"/>
  <c r="K16" i="120"/>
  <c r="K15" i="122"/>
  <c r="K17" i="121"/>
  <c r="K17" i="120"/>
  <c r="K16" i="122"/>
  <c r="K18" i="121"/>
  <c r="K18" i="120"/>
  <c r="K17" i="122"/>
  <c r="K19" i="121"/>
  <c r="K19" i="120"/>
  <c r="K18" i="122"/>
  <c r="K20" i="121"/>
  <c r="K20" i="120"/>
  <c r="K19" i="122"/>
  <c r="K21" i="121"/>
  <c r="K21" i="120"/>
  <c r="K20" i="122"/>
  <c r="K22" i="121"/>
  <c r="K22" i="120"/>
  <c r="K21" i="122"/>
  <c r="K23" i="121"/>
  <c r="K23" i="120"/>
  <c r="K22" i="122"/>
  <c r="K24" i="121"/>
  <c r="K24" i="120"/>
  <c r="K23" i="122"/>
  <c r="K25" i="121"/>
  <c r="K25" i="120"/>
  <c r="K24" i="122"/>
  <c r="K26" i="121"/>
  <c r="K26" i="120"/>
  <c r="K25" i="122"/>
  <c r="K27" i="121"/>
  <c r="K27" i="120"/>
  <c r="K26" i="122"/>
  <c r="K28" i="121"/>
  <c r="K28" i="120"/>
  <c r="K27" i="122"/>
  <c r="K29" i="121"/>
  <c r="K29" i="120"/>
  <c r="K28" i="122"/>
  <c r="K64" i="122"/>
  <c r="J64" i="122"/>
  <c r="I64" i="122"/>
  <c r="F10" i="121"/>
  <c r="F10" i="120"/>
  <c r="F9" i="122"/>
  <c r="F11" i="121"/>
  <c r="F11" i="120"/>
  <c r="F10" i="122"/>
  <c r="F12" i="121"/>
  <c r="F12" i="120"/>
  <c r="F11" i="122"/>
  <c r="F13" i="121"/>
  <c r="F13" i="120"/>
  <c r="F12" i="122"/>
  <c r="F14" i="121"/>
  <c r="F14" i="120"/>
  <c r="F13" i="122"/>
  <c r="F15" i="121"/>
  <c r="F15" i="120"/>
  <c r="F14" i="122"/>
  <c r="F16" i="121"/>
  <c r="F16" i="120"/>
  <c r="F15" i="122"/>
  <c r="F17" i="121"/>
  <c r="F17" i="120"/>
  <c r="F16" i="122"/>
  <c r="F18" i="121"/>
  <c r="F18" i="120"/>
  <c r="F17" i="122"/>
  <c r="F19" i="121"/>
  <c r="F19" i="120"/>
  <c r="F18" i="122"/>
  <c r="F20" i="121"/>
  <c r="F20" i="120"/>
  <c r="F19" i="122"/>
  <c r="F21" i="121"/>
  <c r="F21" i="120"/>
  <c r="F20" i="122"/>
  <c r="F22" i="121"/>
  <c r="F22" i="120"/>
  <c r="F21" i="122"/>
  <c r="F23" i="121"/>
  <c r="F23" i="120"/>
  <c r="F22" i="122"/>
  <c r="F24" i="121"/>
  <c r="F24" i="120"/>
  <c r="F23" i="122"/>
  <c r="F25" i="121"/>
  <c r="F25" i="120"/>
  <c r="F24" i="122"/>
  <c r="F26" i="121"/>
  <c r="F26" i="120"/>
  <c r="F25" i="122"/>
  <c r="F27" i="121"/>
  <c r="F27" i="120"/>
  <c r="F26" i="122"/>
  <c r="F28" i="121"/>
  <c r="F28" i="120"/>
  <c r="F27" i="122"/>
  <c r="F29" i="121"/>
  <c r="F29" i="120"/>
  <c r="F28" i="122"/>
  <c r="F64" i="122"/>
  <c r="E64" i="122"/>
  <c r="D64" i="122"/>
  <c r="G26" i="121"/>
  <c r="G25" i="122"/>
  <c r="G27" i="121"/>
  <c r="G26" i="122"/>
  <c r="G28" i="121"/>
  <c r="G27" i="122"/>
  <c r="G29" i="121"/>
  <c r="G28" i="122"/>
  <c r="G64" i="122"/>
  <c r="B64" i="122"/>
  <c r="H64" i="122"/>
  <c r="C64" i="122"/>
  <c r="MV74" i="9" a="1"/>
  <c r="MV99" i="9"/>
  <c r="MW74" i="9" a="1"/>
  <c r="MW99" i="9"/>
  <c r="MX99" i="9"/>
  <c r="MV79" i="9"/>
  <c r="MW79" i="9"/>
  <c r="MX79" i="9"/>
  <c r="MV80" i="9"/>
  <c r="MW80" i="9"/>
  <c r="MX80" i="9"/>
  <c r="MV81" i="9"/>
  <c r="MW81" i="9"/>
  <c r="MX81" i="9"/>
  <c r="MV82" i="9"/>
  <c r="MW82" i="9"/>
  <c r="MX82" i="9"/>
  <c r="MV83" i="9"/>
  <c r="MW83" i="9"/>
  <c r="MX83" i="9"/>
  <c r="MV84" i="9"/>
  <c r="MW84" i="9"/>
  <c r="MX84" i="9"/>
  <c r="MV85" i="9"/>
  <c r="MW85" i="9"/>
  <c r="MX85" i="9"/>
  <c r="MV86" i="9"/>
  <c r="MW86" i="9"/>
  <c r="MX86" i="9"/>
  <c r="MV87" i="9"/>
  <c r="MW87" i="9"/>
  <c r="MX87" i="9"/>
  <c r="MV88" i="9"/>
  <c r="MW88" i="9"/>
  <c r="MX88" i="9"/>
  <c r="MV89" i="9"/>
  <c r="MW89" i="9"/>
  <c r="MX89" i="9"/>
  <c r="MV90" i="9"/>
  <c r="MW90" i="9"/>
  <c r="MX90" i="9"/>
  <c r="MV91" i="9"/>
  <c r="MW91" i="9"/>
  <c r="MX91" i="9"/>
  <c r="MV92" i="9"/>
  <c r="MW92" i="9"/>
  <c r="MX92" i="9"/>
  <c r="MV93" i="9"/>
  <c r="MW93" i="9"/>
  <c r="MX93" i="9"/>
  <c r="MV94" i="9"/>
  <c r="MW94" i="9"/>
  <c r="MX94" i="9"/>
  <c r="MV95" i="9"/>
  <c r="MW95" i="9"/>
  <c r="MX95" i="9"/>
  <c r="MV96" i="9"/>
  <c r="MW96" i="9"/>
  <c r="MX96" i="9"/>
  <c r="MV97" i="9"/>
  <c r="MW97" i="9"/>
  <c r="MX97" i="9"/>
  <c r="MV98" i="9"/>
  <c r="MW98" i="9"/>
  <c r="MX98" i="9"/>
  <c r="MV100" i="9"/>
  <c r="MW100" i="9"/>
  <c r="MX100" i="9"/>
  <c r="MV101" i="9"/>
  <c r="MW101" i="9"/>
  <c r="MX101" i="9"/>
  <c r="MV102" i="9"/>
  <c r="MW102" i="9"/>
  <c r="MX102" i="9"/>
  <c r="MV103" i="9"/>
  <c r="MW103" i="9"/>
  <c r="MX103" i="9"/>
  <c r="MV104" i="9"/>
  <c r="MW104" i="9"/>
  <c r="MX104" i="9"/>
  <c r="MV105" i="9"/>
  <c r="MW105" i="9"/>
  <c r="MX105" i="9"/>
  <c r="MV106" i="9"/>
  <c r="MW106" i="9"/>
  <c r="MX106" i="9"/>
  <c r="MV107" i="9"/>
  <c r="MW107" i="9"/>
  <c r="MX107" i="9"/>
  <c r="MV108" i="9"/>
  <c r="MW108" i="9"/>
  <c r="MX108" i="9"/>
  <c r="MV75" i="9"/>
  <c r="MW75" i="9"/>
  <c r="MX75" i="9"/>
  <c r="MV76" i="9"/>
  <c r="MW76" i="9"/>
  <c r="MX76" i="9"/>
  <c r="MV77" i="9"/>
  <c r="MW77" i="9"/>
  <c r="MX77" i="9"/>
  <c r="MV78" i="9"/>
  <c r="MW78" i="9"/>
  <c r="MX78" i="9"/>
  <c r="MV74" i="9"/>
  <c r="MW74" i="9"/>
  <c r="MX74" i="9"/>
  <c r="MP74" i="9" a="1"/>
  <c r="MP75" i="9"/>
  <c r="MR75" i="9"/>
  <c r="MP76" i="9"/>
  <c r="MR76" i="9"/>
  <c r="MP77" i="9"/>
  <c r="MR77" i="9"/>
  <c r="MP78" i="9"/>
  <c r="MR78" i="9"/>
  <c r="MP79" i="9"/>
  <c r="MR79" i="9"/>
  <c r="MP80" i="9"/>
  <c r="MR80" i="9"/>
  <c r="MP81" i="9"/>
  <c r="MR81" i="9"/>
  <c r="MP82" i="9"/>
  <c r="MR82" i="9"/>
  <c r="MP83" i="9"/>
  <c r="MR83" i="9"/>
  <c r="MP84" i="9"/>
  <c r="MR84" i="9"/>
  <c r="MP85" i="9"/>
  <c r="MR85" i="9"/>
  <c r="MP86" i="9"/>
  <c r="MR86" i="9"/>
  <c r="MP87" i="9"/>
  <c r="MR87" i="9"/>
  <c r="MP88" i="9"/>
  <c r="MR88" i="9"/>
  <c r="MP89" i="9"/>
  <c r="MR89" i="9"/>
  <c r="MP90" i="9"/>
  <c r="MR90" i="9"/>
  <c r="MP91" i="9"/>
  <c r="MR91" i="9"/>
  <c r="MP92" i="9"/>
  <c r="MR92" i="9"/>
  <c r="MP93" i="9"/>
  <c r="MR93" i="9"/>
  <c r="MP94" i="9"/>
  <c r="MR94" i="9"/>
  <c r="MP95" i="9"/>
  <c r="MR95" i="9"/>
  <c r="MP96" i="9"/>
  <c r="MR96" i="9"/>
  <c r="MP97" i="9"/>
  <c r="MR97" i="9"/>
  <c r="MP98" i="9"/>
  <c r="MR98" i="9"/>
  <c r="MP99" i="9"/>
  <c r="MR99" i="9"/>
  <c r="MP100" i="9"/>
  <c r="MR100" i="9"/>
  <c r="MP101" i="9"/>
  <c r="MR101" i="9"/>
  <c r="MP102" i="9"/>
  <c r="MR102" i="9"/>
  <c r="MP103" i="9"/>
  <c r="MR103" i="9"/>
  <c r="MP104" i="9"/>
  <c r="MR104" i="9"/>
  <c r="MP105" i="9"/>
  <c r="MR105" i="9"/>
  <c r="MP106" i="9"/>
  <c r="MR106" i="9"/>
  <c r="MP107" i="9"/>
  <c r="MR107" i="9"/>
  <c r="MP108" i="9"/>
  <c r="MR108" i="9"/>
  <c r="MP74" i="9"/>
  <c r="MR74" i="9"/>
  <c r="MH74" i="9"/>
  <c r="MQ74" i="9"/>
  <c r="N10" i="124"/>
  <c r="BR22" i="96"/>
  <c r="BQ22" i="96"/>
  <c r="BP22" i="96"/>
  <c r="BO22" i="96"/>
  <c r="BN22" i="96"/>
  <c r="BM22" i="96"/>
  <c r="BS22" i="96"/>
  <c r="D21" i="134"/>
  <c r="B21" i="134"/>
  <c r="I21" i="134"/>
  <c r="AT22" i="96"/>
  <c r="BL22" i="96"/>
  <c r="BT22" i="96"/>
  <c r="BU22" i="96"/>
  <c r="D21" i="135"/>
  <c r="B21" i="135"/>
  <c r="I21" i="135"/>
  <c r="I21" i="130"/>
  <c r="C21" i="134"/>
  <c r="H21" i="134"/>
  <c r="C21" i="135"/>
  <c r="H21" i="135"/>
  <c r="H21" i="130"/>
  <c r="BS11" i="96"/>
  <c r="D10" i="134"/>
  <c r="E10" i="134"/>
  <c r="C10" i="134"/>
  <c r="M10" i="134"/>
  <c r="AT11" i="96"/>
  <c r="BT11" i="96"/>
  <c r="BU11" i="96"/>
  <c r="D10" i="135"/>
  <c r="E10" i="135"/>
  <c r="C10" i="135"/>
  <c r="M10" i="135"/>
  <c r="M10" i="130"/>
  <c r="L10" i="134"/>
  <c r="L10" i="135"/>
  <c r="L10" i="130"/>
  <c r="B26" i="128"/>
  <c r="B26" i="134"/>
  <c r="C26" i="134"/>
  <c r="H26" i="134"/>
  <c r="B26" i="129"/>
  <c r="B26" i="135"/>
  <c r="C26" i="135"/>
  <c r="H26" i="135"/>
  <c r="H26" i="130"/>
  <c r="H10" i="130"/>
  <c r="I10" i="130"/>
  <c r="BR12" i="96"/>
  <c r="BQ12" i="96"/>
  <c r="BP12" i="96"/>
  <c r="BO12" i="96"/>
  <c r="BN12" i="96"/>
  <c r="BM12" i="96"/>
  <c r="BS12" i="96"/>
  <c r="D11" i="134"/>
  <c r="E11" i="134"/>
  <c r="C11" i="134"/>
  <c r="M11" i="134"/>
  <c r="AT12" i="96"/>
  <c r="BT12" i="96"/>
  <c r="BU12" i="96"/>
  <c r="D11" i="135"/>
  <c r="E11" i="135"/>
  <c r="C11" i="135"/>
  <c r="M11" i="135"/>
  <c r="M11" i="130"/>
  <c r="L11" i="134"/>
  <c r="L11" i="135"/>
  <c r="L11" i="130"/>
  <c r="H11" i="130"/>
  <c r="I11" i="130"/>
  <c r="BR13" i="96"/>
  <c r="BQ13" i="96"/>
  <c r="BP13" i="96"/>
  <c r="BO13" i="96"/>
  <c r="BN13" i="96"/>
  <c r="BM13" i="96"/>
  <c r="BS13" i="96"/>
  <c r="D12" i="134"/>
  <c r="E12" i="134"/>
  <c r="C12" i="134"/>
  <c r="M12" i="134"/>
  <c r="AT13" i="96"/>
  <c r="BT13" i="96"/>
  <c r="BU13" i="96"/>
  <c r="D12" i="135"/>
  <c r="E12" i="135"/>
  <c r="C12" i="135"/>
  <c r="M12" i="135"/>
  <c r="M12" i="130"/>
  <c r="L12" i="134"/>
  <c r="L12" i="135"/>
  <c r="L12" i="130"/>
  <c r="H12" i="130"/>
  <c r="I12" i="130"/>
  <c r="BR14" i="96"/>
  <c r="BQ14" i="96"/>
  <c r="BP14" i="96"/>
  <c r="BO14" i="96"/>
  <c r="BN14" i="96"/>
  <c r="BM14" i="96"/>
  <c r="BS14" i="96"/>
  <c r="D13" i="134"/>
  <c r="E13" i="134"/>
  <c r="C13" i="134"/>
  <c r="M13" i="134"/>
  <c r="AT14" i="96"/>
  <c r="BT14" i="96"/>
  <c r="BU14" i="96"/>
  <c r="D13" i="135"/>
  <c r="E13" i="135"/>
  <c r="C13" i="135"/>
  <c r="M13" i="135"/>
  <c r="M13" i="130"/>
  <c r="L13" i="134"/>
  <c r="L13" i="135"/>
  <c r="L13" i="130"/>
  <c r="H13" i="130"/>
  <c r="I13" i="130"/>
  <c r="BR15" i="96"/>
  <c r="BQ15" i="96"/>
  <c r="BP15" i="96"/>
  <c r="BO15" i="96"/>
  <c r="BN15" i="96"/>
  <c r="BM15" i="96"/>
  <c r="BS15" i="96"/>
  <c r="D14" i="134"/>
  <c r="E14" i="134"/>
  <c r="C14" i="134"/>
  <c r="M14" i="134"/>
  <c r="AT15" i="96"/>
  <c r="BT15" i="96"/>
  <c r="BU15" i="96"/>
  <c r="D14" i="135"/>
  <c r="E14" i="135"/>
  <c r="C14" i="135"/>
  <c r="M14" i="135"/>
  <c r="M14" i="130"/>
  <c r="L14" i="134"/>
  <c r="L14" i="135"/>
  <c r="L14" i="130"/>
  <c r="H14" i="130"/>
  <c r="I14" i="130"/>
  <c r="BR16" i="96"/>
  <c r="BQ16" i="96"/>
  <c r="BP16" i="96"/>
  <c r="BO16" i="96"/>
  <c r="BN16" i="96"/>
  <c r="BM16" i="96"/>
  <c r="BS16" i="96"/>
  <c r="D15" i="134"/>
  <c r="E15" i="134"/>
  <c r="C15" i="134"/>
  <c r="M15" i="134"/>
  <c r="AT16" i="96"/>
  <c r="BT16" i="96"/>
  <c r="BU16" i="96"/>
  <c r="D15" i="135"/>
  <c r="E15" i="135"/>
  <c r="C15" i="135"/>
  <c r="M15" i="135"/>
  <c r="M15" i="130"/>
  <c r="L15" i="134"/>
  <c r="L15" i="135"/>
  <c r="L15" i="130"/>
  <c r="H15" i="130"/>
  <c r="I15" i="130"/>
  <c r="BR17" i="96"/>
  <c r="BQ17" i="96"/>
  <c r="BP17" i="96"/>
  <c r="BO17" i="96"/>
  <c r="BN17" i="96"/>
  <c r="BM17" i="96"/>
  <c r="BS17" i="96"/>
  <c r="D16" i="134"/>
  <c r="E16" i="134"/>
  <c r="C16" i="134"/>
  <c r="M16" i="134"/>
  <c r="AT17" i="96"/>
  <c r="BT17" i="96"/>
  <c r="BU17" i="96"/>
  <c r="D16" i="135"/>
  <c r="E16" i="135"/>
  <c r="C16" i="135"/>
  <c r="M16" i="135"/>
  <c r="M16" i="130"/>
  <c r="L16" i="134"/>
  <c r="L16" i="135"/>
  <c r="L16" i="130"/>
  <c r="H16" i="130"/>
  <c r="I16" i="130"/>
  <c r="BR18" i="96"/>
  <c r="BQ18" i="96"/>
  <c r="BP18" i="96"/>
  <c r="BO18" i="96"/>
  <c r="BN18" i="96"/>
  <c r="BM18" i="96"/>
  <c r="BS18" i="96"/>
  <c r="D17" i="134"/>
  <c r="E17" i="134"/>
  <c r="C17" i="134"/>
  <c r="M17" i="134"/>
  <c r="AT18" i="96"/>
  <c r="BT18" i="96"/>
  <c r="BU18" i="96"/>
  <c r="D17" i="135"/>
  <c r="E17" i="135"/>
  <c r="C17" i="135"/>
  <c r="M17" i="135"/>
  <c r="M17" i="130"/>
  <c r="L17" i="134"/>
  <c r="L17" i="135"/>
  <c r="L17" i="130"/>
  <c r="H17" i="130"/>
  <c r="I17" i="130"/>
  <c r="BR19" i="96"/>
  <c r="BQ19" i="96"/>
  <c r="BP19" i="96"/>
  <c r="BO19" i="96"/>
  <c r="BN19" i="96"/>
  <c r="BM19" i="96"/>
  <c r="BS19" i="96"/>
  <c r="D18" i="134"/>
  <c r="E18" i="134"/>
  <c r="C18" i="134"/>
  <c r="M18" i="134"/>
  <c r="AT19" i="96"/>
  <c r="BT19" i="96"/>
  <c r="BU19" i="96"/>
  <c r="D18" i="135"/>
  <c r="E18" i="135"/>
  <c r="C18" i="135"/>
  <c r="M18" i="135"/>
  <c r="M18" i="130"/>
  <c r="L18" i="134"/>
  <c r="L18" i="135"/>
  <c r="L18" i="130"/>
  <c r="H18" i="130"/>
  <c r="I18" i="130"/>
  <c r="BR20" i="96"/>
  <c r="BQ20" i="96"/>
  <c r="BP20" i="96"/>
  <c r="BO20" i="96"/>
  <c r="BN20" i="96"/>
  <c r="BM20" i="96"/>
  <c r="BS20" i="96"/>
  <c r="D19" i="134"/>
  <c r="E19" i="134"/>
  <c r="C19" i="134"/>
  <c r="M19" i="134"/>
  <c r="AT20" i="96"/>
  <c r="BT20" i="96"/>
  <c r="BU20" i="96"/>
  <c r="D19" i="135"/>
  <c r="E19" i="135"/>
  <c r="C19" i="135"/>
  <c r="M19" i="135"/>
  <c r="M19" i="130"/>
  <c r="L19" i="134"/>
  <c r="L19" i="135"/>
  <c r="L19" i="130"/>
  <c r="H19" i="130"/>
  <c r="I19" i="130"/>
  <c r="BR21" i="96"/>
  <c r="BQ21" i="96"/>
  <c r="BP21" i="96"/>
  <c r="BO21" i="96"/>
  <c r="BN21" i="96"/>
  <c r="BM21" i="96"/>
  <c r="BS21" i="96"/>
  <c r="D20" i="134"/>
  <c r="E20" i="134"/>
  <c r="C20" i="134"/>
  <c r="M20" i="134"/>
  <c r="AT21" i="96"/>
  <c r="BT21" i="96"/>
  <c r="BU21" i="96"/>
  <c r="D20" i="135"/>
  <c r="E20" i="135"/>
  <c r="C20" i="135"/>
  <c r="M20" i="135"/>
  <c r="M20" i="130"/>
  <c r="L20" i="134"/>
  <c r="L20" i="135"/>
  <c r="L20" i="130"/>
  <c r="H20" i="130"/>
  <c r="I20" i="130"/>
  <c r="BR27" i="96"/>
  <c r="BR23" i="96"/>
  <c r="BQ27" i="96"/>
  <c r="BQ23" i="96"/>
  <c r="BP27" i="96"/>
  <c r="BP23" i="96"/>
  <c r="BO27" i="96"/>
  <c r="BO23" i="96"/>
  <c r="BN27" i="96"/>
  <c r="BN23" i="96"/>
  <c r="BM27" i="96"/>
  <c r="BM23" i="96"/>
  <c r="BS23" i="96"/>
  <c r="D22" i="134"/>
  <c r="E22" i="134"/>
  <c r="C22" i="134"/>
  <c r="M22" i="134"/>
  <c r="AT23" i="96"/>
  <c r="BL27" i="96"/>
  <c r="BS27" i="96"/>
  <c r="BT27" i="96"/>
  <c r="BT23" i="96"/>
  <c r="BU23" i="96"/>
  <c r="D22" i="135"/>
  <c r="E22" i="135"/>
  <c r="C22" i="135"/>
  <c r="M22" i="135"/>
  <c r="M22" i="130"/>
  <c r="L22" i="134"/>
  <c r="L22" i="135"/>
  <c r="L22" i="130"/>
  <c r="H22" i="130"/>
  <c r="I22" i="130"/>
  <c r="BR24" i="96"/>
  <c r="BQ24" i="96"/>
  <c r="BP24" i="96"/>
  <c r="BO24" i="96"/>
  <c r="BN24" i="96"/>
  <c r="BM24" i="96"/>
  <c r="BS24" i="96"/>
  <c r="D23" i="134"/>
  <c r="E23" i="134"/>
  <c r="C23" i="134"/>
  <c r="M23" i="134"/>
  <c r="AT24" i="96"/>
  <c r="BT24" i="96"/>
  <c r="BU24" i="96"/>
  <c r="D23" i="135"/>
  <c r="E23" i="135"/>
  <c r="C23" i="135"/>
  <c r="M23" i="135"/>
  <c r="M23" i="130"/>
  <c r="L23" i="134"/>
  <c r="L23" i="135"/>
  <c r="L23" i="130"/>
  <c r="H23" i="130"/>
  <c r="I23" i="130"/>
  <c r="BR25" i="96"/>
  <c r="BQ25" i="96"/>
  <c r="BP25" i="96"/>
  <c r="BO25" i="96"/>
  <c r="BN25" i="96"/>
  <c r="BM25" i="96"/>
  <c r="BS25" i="96"/>
  <c r="D24" i="134"/>
  <c r="E24" i="134"/>
  <c r="C24" i="134"/>
  <c r="M24" i="134"/>
  <c r="AT25" i="96"/>
  <c r="BT25" i="96"/>
  <c r="BU25" i="96"/>
  <c r="D24" i="135"/>
  <c r="E24" i="135"/>
  <c r="C24" i="135"/>
  <c r="M24" i="135"/>
  <c r="M24" i="130"/>
  <c r="L24" i="134"/>
  <c r="L24" i="135"/>
  <c r="L24" i="130"/>
  <c r="H24" i="130"/>
  <c r="I24" i="130"/>
  <c r="D26" i="134"/>
  <c r="I26" i="134"/>
  <c r="AT27" i="96"/>
  <c r="BU27" i="96"/>
  <c r="D26" i="135"/>
  <c r="I26" i="135"/>
  <c r="I26" i="130"/>
  <c r="BR26" i="96"/>
  <c r="BQ26" i="96"/>
  <c r="BP26" i="96"/>
  <c r="BO26" i="96"/>
  <c r="BN26" i="96"/>
  <c r="BM26" i="96"/>
  <c r="BS26" i="96"/>
  <c r="D25" i="134"/>
  <c r="E25" i="134"/>
  <c r="C25" i="134"/>
  <c r="M25" i="134"/>
  <c r="AT26" i="96"/>
  <c r="BT26" i="96"/>
  <c r="BU26" i="96"/>
  <c r="D25" i="135"/>
  <c r="E25" i="135"/>
  <c r="C25" i="135"/>
  <c r="M25" i="135"/>
  <c r="M25" i="130"/>
  <c r="L25" i="134"/>
  <c r="L25" i="135"/>
  <c r="L25" i="130"/>
  <c r="H25" i="130"/>
  <c r="I25" i="130"/>
  <c r="D21" i="128"/>
  <c r="I21" i="128"/>
  <c r="D21" i="129"/>
  <c r="I21" i="129"/>
  <c r="C21" i="130"/>
  <c r="KB22" i="96"/>
  <c r="KC22" i="96"/>
  <c r="D26" i="128"/>
  <c r="I26" i="128"/>
  <c r="D26" i="129"/>
  <c r="I26" i="129"/>
  <c r="C26" i="130"/>
  <c r="BR34" i="96"/>
  <c r="BR28" i="96"/>
  <c r="BQ34" i="96"/>
  <c r="BQ28" i="96"/>
  <c r="BP34" i="96"/>
  <c r="BP28" i="96"/>
  <c r="BO34" i="96"/>
  <c r="BO28" i="96"/>
  <c r="BN34" i="96"/>
  <c r="BN28" i="96"/>
  <c r="BM34" i="96"/>
  <c r="BM28" i="96"/>
  <c r="BS28" i="96"/>
  <c r="D27" i="128"/>
  <c r="KL28" i="96"/>
  <c r="B27" i="128"/>
  <c r="I27" i="128"/>
  <c r="BL34" i="96"/>
  <c r="BS34" i="96"/>
  <c r="BT34" i="96"/>
  <c r="BT28" i="96"/>
  <c r="D27" i="129"/>
  <c r="KM28" i="96"/>
  <c r="B27" i="129"/>
  <c r="I27" i="129"/>
  <c r="C27" i="130"/>
  <c r="BR29" i="96"/>
  <c r="BQ29" i="96"/>
  <c r="BP29" i="96"/>
  <c r="BO29" i="96"/>
  <c r="BN29" i="96"/>
  <c r="BM29" i="96"/>
  <c r="BS29" i="96"/>
  <c r="D28" i="128"/>
  <c r="KL29" i="96"/>
  <c r="B28" i="128"/>
  <c r="I28" i="128"/>
  <c r="BT29" i="96"/>
  <c r="D28" i="129"/>
  <c r="KM29" i="96"/>
  <c r="B28" i="129"/>
  <c r="I28" i="129"/>
  <c r="C28" i="130"/>
  <c r="BR30" i="96"/>
  <c r="BQ30" i="96"/>
  <c r="BP30" i="96"/>
  <c r="BO30" i="96"/>
  <c r="BN30" i="96"/>
  <c r="BM30" i="96"/>
  <c r="BS30" i="96"/>
  <c r="D29" i="128"/>
  <c r="KL30" i="96"/>
  <c r="B29" i="128"/>
  <c r="I29" i="128"/>
  <c r="BT30" i="96"/>
  <c r="D29" i="129"/>
  <c r="KM30" i="96"/>
  <c r="B29" i="129"/>
  <c r="I29" i="129"/>
  <c r="C29" i="130"/>
  <c r="BR31" i="96"/>
  <c r="BQ31" i="96"/>
  <c r="BP31" i="96"/>
  <c r="BO31" i="96"/>
  <c r="BN31" i="96"/>
  <c r="BM31" i="96"/>
  <c r="BS31" i="96"/>
  <c r="D30" i="128"/>
  <c r="KL31" i="96"/>
  <c r="B30" i="128"/>
  <c r="I30" i="128"/>
  <c r="BT31" i="96"/>
  <c r="D30" i="129"/>
  <c r="KM31" i="96"/>
  <c r="B30" i="129"/>
  <c r="I30" i="129"/>
  <c r="C30" i="130"/>
  <c r="BR32" i="96"/>
  <c r="BQ32" i="96"/>
  <c r="BP32" i="96"/>
  <c r="BO32" i="96"/>
  <c r="BN32" i="96"/>
  <c r="BM32" i="96"/>
  <c r="BS32" i="96"/>
  <c r="D31" i="128"/>
  <c r="KL32" i="96"/>
  <c r="B31" i="128"/>
  <c r="I31" i="128"/>
  <c r="BT32" i="96"/>
  <c r="D31" i="129"/>
  <c r="KM32" i="96"/>
  <c r="B31" i="129"/>
  <c r="I31" i="129"/>
  <c r="C31" i="130"/>
  <c r="BR33" i="96"/>
  <c r="BQ33" i="96"/>
  <c r="BP33" i="96"/>
  <c r="BO33" i="96"/>
  <c r="BN33" i="96"/>
  <c r="BM33" i="96"/>
  <c r="BS33" i="96"/>
  <c r="D32" i="128"/>
  <c r="KL33" i="96"/>
  <c r="B32" i="128"/>
  <c r="I32" i="128"/>
  <c r="BT33" i="96"/>
  <c r="D32" i="129"/>
  <c r="KM33" i="96"/>
  <c r="B32" i="129"/>
  <c r="I32" i="129"/>
  <c r="C32" i="130"/>
  <c r="C26" i="128"/>
  <c r="H26" i="128"/>
  <c r="C26" i="129"/>
  <c r="H26" i="129"/>
  <c r="B26" i="130"/>
  <c r="C27" i="128"/>
  <c r="H27" i="128"/>
  <c r="C27" i="129"/>
  <c r="H27" i="129"/>
  <c r="B27" i="130"/>
  <c r="C28" i="128"/>
  <c r="H28" i="128"/>
  <c r="C28" i="129"/>
  <c r="H28" i="129"/>
  <c r="B28" i="130"/>
  <c r="C29" i="128"/>
  <c r="H29" i="128"/>
  <c r="C29" i="129"/>
  <c r="H29" i="129"/>
  <c r="B29" i="130"/>
  <c r="C30" i="128"/>
  <c r="H30" i="128"/>
  <c r="C30" i="129"/>
  <c r="H30" i="129"/>
  <c r="B30" i="130"/>
  <c r="C31" i="128"/>
  <c r="H31" i="128"/>
  <c r="C31" i="129"/>
  <c r="H31" i="129"/>
  <c r="B31" i="130"/>
  <c r="C32" i="128"/>
  <c r="H32" i="128"/>
  <c r="C32" i="129"/>
  <c r="H32" i="129"/>
  <c r="B32" i="130"/>
  <c r="KL34" i="96"/>
  <c r="B33" i="128"/>
  <c r="C33" i="128"/>
  <c r="H33" i="128"/>
  <c r="KM34" i="96"/>
  <c r="B33" i="129"/>
  <c r="C33" i="129"/>
  <c r="H33" i="129"/>
  <c r="B33" i="130"/>
  <c r="D33" i="128"/>
  <c r="I33" i="128"/>
  <c r="D33" i="129"/>
  <c r="I33" i="129"/>
  <c r="C33" i="130"/>
  <c r="KL35" i="96"/>
  <c r="B34" i="128"/>
  <c r="C34" i="128"/>
  <c r="H34" i="128"/>
  <c r="KM35" i="96"/>
  <c r="B34" i="129"/>
  <c r="C34" i="129"/>
  <c r="H34" i="129"/>
  <c r="B34" i="130"/>
  <c r="BR35" i="96"/>
  <c r="BQ35" i="96"/>
  <c r="BP35" i="96"/>
  <c r="BO35" i="96"/>
  <c r="BN35" i="96"/>
  <c r="BM35" i="96"/>
  <c r="BS35" i="96"/>
  <c r="D34" i="128"/>
  <c r="I34" i="128"/>
  <c r="BS39" i="96"/>
  <c r="BT39" i="96"/>
  <c r="BT35" i="96"/>
  <c r="D34" i="129"/>
  <c r="I34" i="129"/>
  <c r="C34" i="130"/>
  <c r="KL36" i="96"/>
  <c r="B35" i="128"/>
  <c r="C35" i="128"/>
  <c r="H35" i="128"/>
  <c r="KM36" i="96"/>
  <c r="B35" i="129"/>
  <c r="C35" i="129"/>
  <c r="H35" i="129"/>
  <c r="B35" i="130"/>
  <c r="BR36" i="96"/>
  <c r="BQ36" i="96"/>
  <c r="BP36" i="96"/>
  <c r="BO36" i="96"/>
  <c r="BN36" i="96"/>
  <c r="BM36" i="96"/>
  <c r="BS36" i="96"/>
  <c r="D35" i="128"/>
  <c r="I35" i="128"/>
  <c r="BT36" i="96"/>
  <c r="D35" i="129"/>
  <c r="I35" i="129"/>
  <c r="C35" i="130"/>
  <c r="KL37" i="96"/>
  <c r="B36" i="128"/>
  <c r="C36" i="128"/>
  <c r="H36" i="128"/>
  <c r="KM37" i="96"/>
  <c r="B36" i="129"/>
  <c r="C36" i="129"/>
  <c r="H36" i="129"/>
  <c r="B36" i="130"/>
  <c r="BR37" i="96"/>
  <c r="BQ37" i="96"/>
  <c r="BP37" i="96"/>
  <c r="BO37" i="96"/>
  <c r="BN37" i="96"/>
  <c r="BM37" i="96"/>
  <c r="BS37" i="96"/>
  <c r="D36" i="128"/>
  <c r="I36" i="128"/>
  <c r="BT37" i="96"/>
  <c r="D36" i="129"/>
  <c r="I36" i="129"/>
  <c r="C36" i="130"/>
  <c r="KL38" i="96"/>
  <c r="B37" i="128"/>
  <c r="C37" i="128"/>
  <c r="H37" i="128"/>
  <c r="KM38" i="96"/>
  <c r="B37" i="129"/>
  <c r="C37" i="129"/>
  <c r="H37" i="129"/>
  <c r="B37" i="130"/>
  <c r="BR38" i="96"/>
  <c r="BQ38" i="96"/>
  <c r="BP38" i="96"/>
  <c r="BO38" i="96"/>
  <c r="BN38" i="96"/>
  <c r="BM38" i="96"/>
  <c r="BS38" i="96"/>
  <c r="D37" i="128"/>
  <c r="I37" i="128"/>
  <c r="BT38" i="96"/>
  <c r="D37" i="129"/>
  <c r="I37" i="129"/>
  <c r="C37" i="130"/>
  <c r="KL39" i="96"/>
  <c r="B38" i="128"/>
  <c r="C38" i="128"/>
  <c r="H38" i="128"/>
  <c r="KM39" i="96"/>
  <c r="B38" i="129"/>
  <c r="C38" i="129"/>
  <c r="H38" i="129"/>
  <c r="B38" i="130"/>
  <c r="D38" i="128"/>
  <c r="I38" i="128"/>
  <c r="D38" i="129"/>
  <c r="I38" i="129"/>
  <c r="C38" i="130"/>
  <c r="KB35" i="96"/>
  <c r="KC35" i="96"/>
  <c r="KB36" i="96"/>
  <c r="KC36" i="96"/>
  <c r="KB37" i="96"/>
  <c r="KC37" i="96"/>
  <c r="KB38" i="96"/>
  <c r="KC38" i="96"/>
  <c r="KB28" i="96"/>
  <c r="KC28" i="96"/>
  <c r="KB29" i="96"/>
  <c r="KC29" i="96"/>
  <c r="KB30" i="96"/>
  <c r="KC30" i="96"/>
  <c r="KB31" i="96"/>
  <c r="KC31" i="96"/>
  <c r="KB32" i="96"/>
  <c r="KC32" i="96"/>
  <c r="KB33" i="96"/>
  <c r="KC33" i="96"/>
  <c r="KB27" i="96"/>
  <c r="KC27" i="96"/>
  <c r="KL16" i="96"/>
  <c r="KM16" i="96"/>
  <c r="KN16" i="96"/>
  <c r="KL17" i="96"/>
  <c r="KM17" i="96"/>
  <c r="KN17" i="96"/>
  <c r="KL18" i="96"/>
  <c r="KM18" i="96"/>
  <c r="KN18" i="96"/>
  <c r="KL19" i="96"/>
  <c r="KM19" i="96"/>
  <c r="KN19" i="96"/>
  <c r="KL20" i="96"/>
  <c r="KM20" i="96"/>
  <c r="KN20" i="96"/>
  <c r="KL21" i="96"/>
  <c r="KM21" i="96"/>
  <c r="KN21" i="96"/>
  <c r="KN22" i="96"/>
  <c r="KN23" i="96"/>
  <c r="KN24" i="96"/>
  <c r="KN25" i="96"/>
  <c r="KN26" i="96"/>
  <c r="KN27" i="96"/>
  <c r="KN28" i="96"/>
  <c r="KN29" i="96"/>
  <c r="KN30" i="96"/>
  <c r="KN31" i="96"/>
  <c r="KN32" i="96"/>
  <c r="KN33" i="96"/>
  <c r="KB34" i="96"/>
  <c r="KC34" i="96"/>
  <c r="KN34" i="96"/>
  <c r="KN35" i="96"/>
  <c r="KN36" i="96"/>
  <c r="KN37" i="96"/>
  <c r="KN38" i="96"/>
  <c r="KN39" i="96"/>
  <c r="KB39" i="96"/>
  <c r="KC39" i="96"/>
  <c r="KL40" i="96"/>
  <c r="KM40" i="96"/>
  <c r="B39" i="129"/>
  <c r="C39" i="129"/>
  <c r="H39" i="129"/>
  <c r="B39" i="128"/>
  <c r="C39" i="128"/>
  <c r="H39" i="128"/>
  <c r="B39" i="130"/>
  <c r="D10" i="128"/>
  <c r="E10" i="128"/>
  <c r="C10" i="128"/>
  <c r="M10" i="128"/>
  <c r="D10" i="129"/>
  <c r="E10" i="129"/>
  <c r="C10" i="129"/>
  <c r="M10" i="129"/>
  <c r="G10" i="130"/>
  <c r="L10" i="128"/>
  <c r="L10" i="129"/>
  <c r="F10" i="130"/>
  <c r="C10" i="130"/>
  <c r="AP12" i="96"/>
  <c r="D11" i="128"/>
  <c r="E11" i="128"/>
  <c r="C11" i="128"/>
  <c r="M11" i="128"/>
  <c r="D11" i="129"/>
  <c r="E11" i="129"/>
  <c r="C11" i="129"/>
  <c r="M11" i="129"/>
  <c r="G11" i="130"/>
  <c r="L11" i="128"/>
  <c r="L11" i="129"/>
  <c r="F11" i="130"/>
  <c r="C11" i="130"/>
  <c r="AP13" i="96"/>
  <c r="D12" i="128"/>
  <c r="E12" i="128"/>
  <c r="C12" i="128"/>
  <c r="M12" i="128"/>
  <c r="D12" i="129"/>
  <c r="E12" i="129"/>
  <c r="C12" i="129"/>
  <c r="M12" i="129"/>
  <c r="G12" i="130"/>
  <c r="L12" i="128"/>
  <c r="L12" i="129"/>
  <c r="F12" i="130"/>
  <c r="C12" i="130"/>
  <c r="AP14" i="96"/>
  <c r="D13" i="128"/>
  <c r="E13" i="128"/>
  <c r="C13" i="128"/>
  <c r="M13" i="128"/>
  <c r="D13" i="129"/>
  <c r="E13" i="129"/>
  <c r="C13" i="129"/>
  <c r="M13" i="129"/>
  <c r="G13" i="130"/>
  <c r="L13" i="128"/>
  <c r="L13" i="129"/>
  <c r="F13" i="130"/>
  <c r="C13" i="130"/>
  <c r="AP15" i="96"/>
  <c r="D14" i="128"/>
  <c r="E14" i="128"/>
  <c r="C14" i="128"/>
  <c r="M14" i="128"/>
  <c r="D14" i="129"/>
  <c r="E14" i="129"/>
  <c r="C14" i="129"/>
  <c r="M14" i="129"/>
  <c r="G14" i="130"/>
  <c r="L14" i="128"/>
  <c r="L14" i="129"/>
  <c r="F14" i="130"/>
  <c r="C14" i="130"/>
  <c r="AP16" i="96"/>
  <c r="D15" i="128"/>
  <c r="E15" i="128"/>
  <c r="C15" i="128"/>
  <c r="M15" i="128"/>
  <c r="D15" i="129"/>
  <c r="E15" i="129"/>
  <c r="C15" i="129"/>
  <c r="M15" i="129"/>
  <c r="G15" i="130"/>
  <c r="L15" i="128"/>
  <c r="L15" i="129"/>
  <c r="F15" i="130"/>
  <c r="C15" i="130"/>
  <c r="AP17" i="96"/>
  <c r="D16" i="128"/>
  <c r="E16" i="128"/>
  <c r="C16" i="128"/>
  <c r="M16" i="128"/>
  <c r="D16" i="129"/>
  <c r="E16" i="129"/>
  <c r="C16" i="129"/>
  <c r="M16" i="129"/>
  <c r="G16" i="130"/>
  <c r="L16" i="128"/>
  <c r="L16" i="129"/>
  <c r="F16" i="130"/>
  <c r="C16" i="130"/>
  <c r="AP18" i="96"/>
  <c r="D17" i="128"/>
  <c r="E17" i="128"/>
  <c r="C17" i="128"/>
  <c r="M17" i="128"/>
  <c r="D17" i="129"/>
  <c r="E17" i="129"/>
  <c r="C17" i="129"/>
  <c r="M17" i="129"/>
  <c r="G17" i="130"/>
  <c r="L17" i="128"/>
  <c r="L17" i="129"/>
  <c r="F17" i="130"/>
  <c r="C17" i="130"/>
  <c r="AP19" i="96"/>
  <c r="D18" i="128"/>
  <c r="E18" i="128"/>
  <c r="C18" i="128"/>
  <c r="M18" i="128"/>
  <c r="D18" i="129"/>
  <c r="E18" i="129"/>
  <c r="C18" i="129"/>
  <c r="M18" i="129"/>
  <c r="G18" i="130"/>
  <c r="L18" i="128"/>
  <c r="L18" i="129"/>
  <c r="F18" i="130"/>
  <c r="C18" i="130"/>
  <c r="AP20" i="96"/>
  <c r="D19" i="128"/>
  <c r="E19" i="128"/>
  <c r="C19" i="128"/>
  <c r="M19" i="128"/>
  <c r="D19" i="129"/>
  <c r="E19" i="129"/>
  <c r="C19" i="129"/>
  <c r="M19" i="129"/>
  <c r="G19" i="130"/>
  <c r="L19" i="128"/>
  <c r="L19" i="129"/>
  <c r="F19" i="130"/>
  <c r="C19" i="130"/>
  <c r="AP21" i="96"/>
  <c r="D20" i="128"/>
  <c r="E20" i="128"/>
  <c r="C20" i="128"/>
  <c r="M20" i="128"/>
  <c r="D20" i="129"/>
  <c r="E20" i="129"/>
  <c r="C20" i="129"/>
  <c r="M20" i="129"/>
  <c r="G20" i="130"/>
  <c r="L20" i="128"/>
  <c r="L20" i="129"/>
  <c r="F20" i="130"/>
  <c r="AP23" i="96"/>
  <c r="D22" i="128"/>
  <c r="E22" i="128"/>
  <c r="M22" i="128"/>
  <c r="D22" i="129"/>
  <c r="E22" i="129"/>
  <c r="M22" i="129"/>
  <c r="G22" i="130"/>
  <c r="L22" i="128"/>
  <c r="L22" i="129"/>
  <c r="F22" i="130"/>
  <c r="C22" i="130"/>
  <c r="AP24" i="96"/>
  <c r="D23" i="128"/>
  <c r="E23" i="128"/>
  <c r="M23" i="128"/>
  <c r="D23" i="129"/>
  <c r="E23" i="129"/>
  <c r="M23" i="129"/>
  <c r="G23" i="130"/>
  <c r="L23" i="128"/>
  <c r="L23" i="129"/>
  <c r="F23" i="130"/>
  <c r="C23" i="130"/>
  <c r="AP25" i="96"/>
  <c r="D24" i="128"/>
  <c r="E24" i="128"/>
  <c r="M24" i="128"/>
  <c r="D24" i="129"/>
  <c r="E24" i="129"/>
  <c r="M24" i="129"/>
  <c r="G24" i="130"/>
  <c r="L24" i="128"/>
  <c r="L24" i="129"/>
  <c r="F24" i="130"/>
  <c r="C24" i="130"/>
  <c r="AP26" i="96"/>
  <c r="D25" i="128"/>
  <c r="E25" i="128"/>
  <c r="M25" i="128"/>
  <c r="D25" i="129"/>
  <c r="E25" i="129"/>
  <c r="M25" i="129"/>
  <c r="G25" i="130"/>
  <c r="L25" i="128"/>
  <c r="L25" i="129"/>
  <c r="F25" i="130"/>
  <c r="C25" i="130"/>
  <c r="BS40" i="96"/>
  <c r="BT40" i="96"/>
  <c r="D39" i="129"/>
  <c r="I39" i="129"/>
  <c r="D39" i="128"/>
  <c r="I39" i="128"/>
  <c r="C39" i="130"/>
  <c r="C19" i="139"/>
  <c r="D19" i="139"/>
  <c r="C20" i="139"/>
  <c r="D20" i="139"/>
  <c r="C21" i="139"/>
  <c r="IX69" i="83"/>
  <c r="D21" i="139"/>
  <c r="C22" i="139"/>
  <c r="IX70" i="83"/>
  <c r="D22" i="139"/>
  <c r="C23" i="139"/>
  <c r="IX71" i="83"/>
  <c r="D23" i="139"/>
  <c r="C24" i="139"/>
  <c r="IX72" i="83"/>
  <c r="D24" i="139"/>
  <c r="C25" i="139"/>
  <c r="IX73" i="83"/>
  <c r="D25" i="139"/>
  <c r="C26" i="139"/>
  <c r="IX74" i="83"/>
  <c r="D26" i="139"/>
  <c r="C27" i="139"/>
  <c r="IX75" i="83"/>
  <c r="D27" i="139"/>
  <c r="C28" i="139"/>
  <c r="IX76" i="83"/>
  <c r="D28" i="139"/>
  <c r="C29" i="139"/>
  <c r="IX77" i="83"/>
  <c r="D29" i="139"/>
  <c r="C30" i="139"/>
  <c r="IX78" i="83"/>
  <c r="D30" i="139"/>
  <c r="C31" i="139"/>
  <c r="IX79" i="83"/>
  <c r="D31" i="139"/>
  <c r="C32" i="139"/>
  <c r="IX80" i="83"/>
  <c r="D32" i="139"/>
  <c r="C33" i="139"/>
  <c r="IX81" i="83"/>
  <c r="D33" i="139"/>
  <c r="C34" i="139"/>
  <c r="IX82" i="83"/>
  <c r="D34" i="139"/>
  <c r="C35" i="139"/>
  <c r="IX83" i="83"/>
  <c r="D35" i="139"/>
  <c r="C36" i="139"/>
  <c r="D36" i="139"/>
  <c r="C37" i="139"/>
  <c r="D37" i="139"/>
  <c r="C38" i="139"/>
  <c r="D38" i="139"/>
  <c r="C39" i="139"/>
  <c r="D39" i="139"/>
  <c r="C40" i="139"/>
  <c r="D40" i="139"/>
  <c r="M21" i="139"/>
  <c r="M22" i="139"/>
  <c r="M23" i="139"/>
  <c r="M24" i="139"/>
  <c r="M25" i="139"/>
  <c r="M26" i="139"/>
  <c r="M27" i="139"/>
  <c r="M28" i="139"/>
  <c r="M29" i="139"/>
  <c r="M30" i="139"/>
  <c r="M31" i="139"/>
  <c r="M32" i="139"/>
  <c r="M33" i="139"/>
  <c r="M34" i="139"/>
  <c r="M35" i="139"/>
  <c r="M36" i="139"/>
  <c r="M37" i="139"/>
  <c r="M38" i="139"/>
  <c r="M39" i="139"/>
  <c r="M40" i="139"/>
  <c r="M41" i="139"/>
  <c r="M42" i="139"/>
  <c r="M43" i="139"/>
  <c r="M44" i="139"/>
  <c r="M45" i="139"/>
  <c r="M46" i="139"/>
  <c r="M47" i="139"/>
  <c r="M48" i="139"/>
  <c r="M49" i="139"/>
  <c r="M50" i="139"/>
  <c r="M51" i="139"/>
  <c r="M52" i="139"/>
  <c r="M53" i="139"/>
  <c r="M54" i="139"/>
  <c r="D55" i="139"/>
  <c r="C55" i="139"/>
  <c r="M55" i="139"/>
  <c r="D56" i="139"/>
  <c r="C56" i="139"/>
  <c r="M56" i="139"/>
  <c r="D57" i="139"/>
  <c r="C57" i="139"/>
  <c r="M57" i="139"/>
  <c r="D58" i="139"/>
  <c r="C58" i="139"/>
  <c r="M58" i="139"/>
  <c r="D59" i="139"/>
  <c r="C59" i="139"/>
  <c r="M59" i="139"/>
  <c r="E36" i="139"/>
  <c r="E37" i="139"/>
  <c r="E38" i="139"/>
  <c r="E39" i="139"/>
  <c r="E40" i="139"/>
  <c r="E41" i="139"/>
  <c r="E42" i="139"/>
  <c r="E43" i="139"/>
  <c r="E44" i="139"/>
  <c r="E45" i="139"/>
  <c r="E46" i="139"/>
  <c r="E47" i="139"/>
  <c r="E48" i="139"/>
  <c r="E49" i="139"/>
  <c r="E50" i="139"/>
  <c r="E51" i="139"/>
  <c r="E52" i="139"/>
  <c r="E53" i="139"/>
  <c r="E54" i="139"/>
  <c r="E55" i="139"/>
  <c r="E56" i="139"/>
  <c r="E57" i="139"/>
  <c r="E58" i="139"/>
  <c r="E59" i="139"/>
  <c r="L59" i="139"/>
  <c r="J59" i="139"/>
  <c r="K59" i="139"/>
  <c r="L58" i="139"/>
  <c r="J58" i="139"/>
  <c r="K58" i="139"/>
  <c r="Q58" i="139"/>
  <c r="L57" i="139"/>
  <c r="J57" i="139"/>
  <c r="K57" i="139"/>
  <c r="Q57" i="139"/>
  <c r="L56" i="139"/>
  <c r="J56" i="139"/>
  <c r="K56" i="139"/>
  <c r="Q56" i="139"/>
  <c r="L55" i="139"/>
  <c r="J55" i="139"/>
  <c r="K55" i="139"/>
  <c r="Q55" i="139"/>
  <c r="L54" i="139"/>
  <c r="J54" i="139"/>
  <c r="K54" i="139"/>
  <c r="Q54" i="139"/>
  <c r="L53" i="139"/>
  <c r="J53" i="139"/>
  <c r="K53" i="139"/>
  <c r="Q53" i="139"/>
  <c r="L52" i="139"/>
  <c r="J52" i="139"/>
  <c r="K52" i="139"/>
  <c r="Q52" i="139"/>
  <c r="L51" i="139"/>
  <c r="J51" i="139"/>
  <c r="K51" i="139"/>
  <c r="Q51" i="139"/>
  <c r="L50" i="139"/>
  <c r="J50" i="139"/>
  <c r="K50" i="139"/>
  <c r="Q50" i="139"/>
  <c r="L49" i="139"/>
  <c r="J49" i="139"/>
  <c r="K49" i="139"/>
  <c r="Q49" i="139"/>
  <c r="L48" i="139"/>
  <c r="J48" i="139"/>
  <c r="K48" i="139"/>
  <c r="Q48" i="139"/>
  <c r="L47" i="139"/>
  <c r="J47" i="139"/>
  <c r="K47" i="139"/>
  <c r="Q47" i="139"/>
  <c r="L46" i="139"/>
  <c r="J46" i="139"/>
  <c r="K46" i="139"/>
  <c r="Q46" i="139"/>
  <c r="L45" i="139"/>
  <c r="J45" i="139"/>
  <c r="K45" i="139"/>
  <c r="Q45" i="139"/>
  <c r="L44" i="139"/>
  <c r="J44" i="139"/>
  <c r="K44" i="139"/>
  <c r="Q44" i="139"/>
  <c r="L43" i="139"/>
  <c r="J43" i="139"/>
  <c r="K43" i="139"/>
  <c r="Q43" i="139"/>
  <c r="L42" i="139"/>
  <c r="J42" i="139"/>
  <c r="K42" i="139"/>
  <c r="Q42" i="139"/>
  <c r="L41" i="139"/>
  <c r="J41" i="139"/>
  <c r="K41" i="139"/>
  <c r="Q41" i="139"/>
  <c r="L40" i="139"/>
  <c r="J40" i="139"/>
  <c r="K40" i="139"/>
  <c r="Q40" i="139"/>
  <c r="L39" i="139"/>
  <c r="J39" i="139"/>
  <c r="K39" i="139"/>
  <c r="Q39" i="139"/>
  <c r="L38" i="139"/>
  <c r="J38" i="139"/>
  <c r="K38" i="139"/>
  <c r="Q38" i="139"/>
  <c r="L37" i="139"/>
  <c r="J37" i="139"/>
  <c r="K37" i="139"/>
  <c r="Q37" i="139"/>
  <c r="L36" i="139"/>
  <c r="J36" i="139"/>
  <c r="K36" i="139"/>
  <c r="Q36" i="139"/>
  <c r="L35" i="139"/>
  <c r="J35" i="139"/>
  <c r="K35" i="139"/>
  <c r="Q35" i="139"/>
  <c r="L34" i="139"/>
  <c r="J34" i="139"/>
  <c r="K34" i="139"/>
  <c r="Q34" i="139"/>
  <c r="L33" i="139"/>
  <c r="J33" i="139"/>
  <c r="K33" i="139"/>
  <c r="Q33" i="139"/>
  <c r="L32" i="139"/>
  <c r="J32" i="139"/>
  <c r="K32" i="139"/>
  <c r="Q32" i="139"/>
  <c r="L31" i="139"/>
  <c r="J31" i="139"/>
  <c r="K31" i="139"/>
  <c r="Q31" i="139"/>
  <c r="L30" i="139"/>
  <c r="J30" i="139"/>
  <c r="K30" i="139"/>
  <c r="Q30" i="139"/>
  <c r="L29" i="139"/>
  <c r="J29" i="139"/>
  <c r="K29" i="139"/>
  <c r="Q29" i="139"/>
  <c r="L28" i="139"/>
  <c r="J28" i="139"/>
  <c r="K28" i="139"/>
  <c r="Q28" i="139"/>
  <c r="L27" i="139"/>
  <c r="J27" i="139"/>
  <c r="K27" i="139"/>
  <c r="Q27" i="139"/>
  <c r="L26" i="139"/>
  <c r="J26" i="139"/>
  <c r="K26" i="139"/>
  <c r="Q26" i="139"/>
  <c r="L25" i="139"/>
  <c r="J25" i="139"/>
  <c r="K25" i="139"/>
  <c r="Q25" i="139"/>
  <c r="L24" i="139"/>
  <c r="J24" i="139"/>
  <c r="K24" i="139"/>
  <c r="Q24" i="139"/>
  <c r="L23" i="139"/>
  <c r="J23" i="139"/>
  <c r="K23" i="139"/>
  <c r="Q23" i="139"/>
  <c r="L22" i="139"/>
  <c r="J22" i="139"/>
  <c r="K22" i="139"/>
  <c r="Q22" i="139"/>
  <c r="L21" i="139"/>
  <c r="J21" i="139"/>
  <c r="K21" i="139"/>
  <c r="Q21" i="139"/>
  <c r="Q20" i="139"/>
  <c r="Q19" i="139"/>
  <c r="Q18" i="139"/>
  <c r="Q17" i="139"/>
  <c r="Q16" i="139"/>
  <c r="Q15" i="139"/>
  <c r="Q14" i="139"/>
  <c r="Q13" i="139"/>
  <c r="Q12" i="139"/>
  <c r="Q11" i="139"/>
  <c r="Q10" i="139"/>
  <c r="N11" i="124"/>
  <c r="N12" i="124"/>
  <c r="N13" i="124"/>
  <c r="N14" i="124"/>
  <c r="N15" i="124"/>
  <c r="N16" i="124"/>
  <c r="N17" i="124"/>
  <c r="N18" i="124"/>
  <c r="N19" i="124"/>
  <c r="N20" i="124"/>
  <c r="N21" i="124"/>
  <c r="N22" i="124"/>
  <c r="N23" i="124"/>
  <c r="N24" i="124"/>
  <c r="N25" i="124"/>
  <c r="N26" i="124"/>
  <c r="N27" i="124"/>
  <c r="N28" i="124"/>
  <c r="N29" i="124"/>
  <c r="N30" i="124"/>
  <c r="N31" i="124"/>
  <c r="N32" i="124"/>
  <c r="N33" i="124"/>
  <c r="N34" i="124"/>
  <c r="N35" i="124"/>
  <c r="N36" i="124"/>
  <c r="N37" i="124"/>
  <c r="N38" i="124"/>
  <c r="N39" i="124"/>
  <c r="N40" i="124"/>
  <c r="N41" i="124"/>
  <c r="N42" i="124"/>
  <c r="N43" i="124"/>
  <c r="N44" i="124"/>
  <c r="N45" i="124"/>
  <c r="N46" i="124"/>
  <c r="N47" i="124"/>
  <c r="N48" i="124"/>
  <c r="N49" i="124"/>
  <c r="N50" i="124"/>
  <c r="N51" i="124"/>
  <c r="N52" i="124"/>
  <c r="N53" i="124"/>
  <c r="N54" i="124"/>
  <c r="N55" i="124"/>
  <c r="N56" i="124"/>
  <c r="N57" i="124"/>
  <c r="N58" i="124"/>
  <c r="N59" i="124"/>
  <c r="N60" i="124"/>
  <c r="JP12" i="96"/>
  <c r="JP13" i="96"/>
  <c r="JP14" i="96"/>
  <c r="JP15" i="96"/>
  <c r="JP16" i="96"/>
  <c r="JP17" i="96"/>
  <c r="JP18" i="96"/>
  <c r="JP19" i="96"/>
  <c r="JP20" i="96"/>
  <c r="JP21" i="96"/>
  <c r="E21" i="136"/>
  <c r="K21" i="136"/>
  <c r="JP23" i="96"/>
  <c r="JP24" i="96"/>
  <c r="JP25" i="96"/>
  <c r="JP26" i="96"/>
  <c r="E26" i="136"/>
  <c r="K26" i="136"/>
  <c r="D27" i="134"/>
  <c r="E27" i="136"/>
  <c r="K27" i="136"/>
  <c r="D28" i="134"/>
  <c r="E28" i="136"/>
  <c r="K28" i="136"/>
  <c r="D29" i="134"/>
  <c r="E29" i="136"/>
  <c r="K29" i="136"/>
  <c r="D30" i="134"/>
  <c r="E30" i="136"/>
  <c r="K30" i="136"/>
  <c r="D31" i="134"/>
  <c r="E31" i="136"/>
  <c r="K31" i="136"/>
  <c r="D32" i="134"/>
  <c r="E32" i="136"/>
  <c r="K32" i="136"/>
  <c r="D33" i="134"/>
  <c r="E33" i="136"/>
  <c r="K33" i="136"/>
  <c r="D34" i="134"/>
  <c r="E34" i="136"/>
  <c r="K34" i="136"/>
  <c r="D35" i="134"/>
  <c r="E35" i="136"/>
  <c r="K35" i="136"/>
  <c r="D36" i="134"/>
  <c r="E36" i="136"/>
  <c r="K36" i="136"/>
  <c r="D37" i="134"/>
  <c r="E37" i="136"/>
  <c r="K37" i="136"/>
  <c r="D38" i="138"/>
  <c r="E38" i="138"/>
  <c r="C38" i="138"/>
  <c r="D38" i="134"/>
  <c r="E38" i="136"/>
  <c r="K38" i="136"/>
  <c r="D39" i="134"/>
  <c r="D39" i="138"/>
  <c r="E39" i="138"/>
  <c r="C39" i="138"/>
  <c r="E39" i="136"/>
  <c r="K39" i="136"/>
  <c r="BM41" i="96"/>
  <c r="BS41" i="96"/>
  <c r="D40" i="134"/>
  <c r="D40" i="138"/>
  <c r="E40" i="138"/>
  <c r="C40" i="138"/>
  <c r="E40" i="136"/>
  <c r="K40" i="136"/>
  <c r="BM42" i="96"/>
  <c r="BS42" i="96"/>
  <c r="D41" i="134"/>
  <c r="D41" i="138"/>
  <c r="E41" i="138"/>
  <c r="C41" i="138"/>
  <c r="E41" i="136"/>
  <c r="K41" i="136"/>
  <c r="BM43" i="96"/>
  <c r="BS43" i="96"/>
  <c r="D42" i="134"/>
  <c r="D42" i="138"/>
  <c r="E42" i="138"/>
  <c r="C42" i="138"/>
  <c r="E42" i="136"/>
  <c r="K42" i="136"/>
  <c r="BS44" i="96"/>
  <c r="D43" i="134"/>
  <c r="D43" i="138"/>
  <c r="E43" i="138"/>
  <c r="C43" i="138"/>
  <c r="E43" i="136"/>
  <c r="K43" i="136"/>
  <c r="BS45" i="96"/>
  <c r="D44" i="134"/>
  <c r="D44" i="138"/>
  <c r="E44" i="138"/>
  <c r="C44" i="138"/>
  <c r="E44" i="136"/>
  <c r="K44" i="136"/>
  <c r="BS46" i="96"/>
  <c r="D45" i="134"/>
  <c r="D45" i="138"/>
  <c r="E45" i="138"/>
  <c r="C45" i="138"/>
  <c r="E45" i="136"/>
  <c r="K45" i="136"/>
  <c r="BS47" i="96"/>
  <c r="D46" i="134"/>
  <c r="D46" i="138"/>
  <c r="E46" i="138"/>
  <c r="C46" i="138"/>
  <c r="E46" i="136"/>
  <c r="K46" i="136"/>
  <c r="BS48" i="96"/>
  <c r="D47" i="134"/>
  <c r="D47" i="138"/>
  <c r="E47" i="138"/>
  <c r="C47" i="138"/>
  <c r="E47" i="136"/>
  <c r="K47" i="136"/>
  <c r="BS49" i="96"/>
  <c r="D48" i="134"/>
  <c r="D48" i="138"/>
  <c r="E48" i="138"/>
  <c r="C48" i="138"/>
  <c r="E48" i="136"/>
  <c r="K48" i="136"/>
  <c r="BS50" i="96"/>
  <c r="D49" i="134"/>
  <c r="D49" i="138"/>
  <c r="E49" i="138"/>
  <c r="C49" i="138"/>
  <c r="E49" i="136"/>
  <c r="K49" i="136"/>
  <c r="BS51" i="96"/>
  <c r="D50" i="134"/>
  <c r="D50" i="138"/>
  <c r="E50" i="138"/>
  <c r="C50" i="138"/>
  <c r="E50" i="136"/>
  <c r="K50" i="136"/>
  <c r="BS52" i="96"/>
  <c r="D51" i="134"/>
  <c r="D51" i="138"/>
  <c r="E51" i="138"/>
  <c r="C51" i="138"/>
  <c r="E51" i="136"/>
  <c r="K51" i="136"/>
  <c r="BS53" i="96"/>
  <c r="D52" i="134"/>
  <c r="D52" i="138"/>
  <c r="E52" i="138"/>
  <c r="C52" i="138"/>
  <c r="E52" i="136"/>
  <c r="K52" i="136"/>
  <c r="BQ54" i="96"/>
  <c r="BS54" i="96"/>
  <c r="D53" i="134"/>
  <c r="D53" i="138"/>
  <c r="E53" i="138"/>
  <c r="C53" i="138"/>
  <c r="E53" i="136"/>
  <c r="K53" i="136"/>
  <c r="BS55" i="96"/>
  <c r="D54" i="134"/>
  <c r="D54" i="138"/>
  <c r="E54" i="138"/>
  <c r="C54" i="138"/>
  <c r="E54" i="136"/>
  <c r="K54" i="136"/>
  <c r="BS56" i="96"/>
  <c r="D55" i="134"/>
  <c r="D55" i="138"/>
  <c r="E55" i="138"/>
  <c r="C55" i="138"/>
  <c r="E55" i="136"/>
  <c r="K55" i="136"/>
  <c r="BS57" i="96"/>
  <c r="D56" i="134"/>
  <c r="D56" i="138"/>
  <c r="E56" i="138"/>
  <c r="C56" i="138"/>
  <c r="E56" i="136"/>
  <c r="K56" i="136"/>
  <c r="BS58" i="96"/>
  <c r="D57" i="134"/>
  <c r="D57" i="138"/>
  <c r="E57" i="138"/>
  <c r="C57" i="138"/>
  <c r="E57" i="136"/>
  <c r="K57" i="136"/>
  <c r="BS59" i="96"/>
  <c r="D58" i="134"/>
  <c r="D58" i="138"/>
  <c r="E58" i="138"/>
  <c r="C58" i="138"/>
  <c r="E58" i="136"/>
  <c r="K58" i="136"/>
  <c r="BS60" i="96"/>
  <c r="D59" i="134"/>
  <c r="D59" i="138"/>
  <c r="E59" i="138"/>
  <c r="C59" i="138"/>
  <c r="E59" i="136"/>
  <c r="K59" i="136"/>
  <c r="JP11" i="96"/>
  <c r="F21" i="136"/>
  <c r="L21" i="136"/>
  <c r="F26" i="136"/>
  <c r="L26" i="136"/>
  <c r="AT28" i="96"/>
  <c r="BU28" i="96"/>
  <c r="D27" i="135"/>
  <c r="F27" i="136"/>
  <c r="L27" i="136"/>
  <c r="AT29" i="96"/>
  <c r="BU29" i="96"/>
  <c r="D28" i="135"/>
  <c r="F28" i="136"/>
  <c r="L28" i="136"/>
  <c r="AT30" i="96"/>
  <c r="BU30" i="96"/>
  <c r="D29" i="135"/>
  <c r="F29" i="136"/>
  <c r="L29" i="136"/>
  <c r="AT31" i="96"/>
  <c r="BU31" i="96"/>
  <c r="D30" i="135"/>
  <c r="F30" i="136"/>
  <c r="L30" i="136"/>
  <c r="AT32" i="96"/>
  <c r="BU32" i="96"/>
  <c r="D31" i="135"/>
  <c r="F31" i="136"/>
  <c r="L31" i="136"/>
  <c r="AT33" i="96"/>
  <c r="BU33" i="96"/>
  <c r="D32" i="135"/>
  <c r="F32" i="136"/>
  <c r="L32" i="136"/>
  <c r="AT34" i="96"/>
  <c r="BU34" i="96"/>
  <c r="D33" i="135"/>
  <c r="F33" i="136"/>
  <c r="L33" i="136"/>
  <c r="AT35" i="96"/>
  <c r="BU35" i="96"/>
  <c r="D34" i="135"/>
  <c r="F34" i="136"/>
  <c r="L34" i="136"/>
  <c r="AT36" i="96"/>
  <c r="BU36" i="96"/>
  <c r="D35" i="135"/>
  <c r="F35" i="136"/>
  <c r="L35" i="136"/>
  <c r="AT37" i="96"/>
  <c r="BU37" i="96"/>
  <c r="D36" i="135"/>
  <c r="F36" i="136"/>
  <c r="L36" i="136"/>
  <c r="AT38" i="96"/>
  <c r="BU38" i="96"/>
  <c r="D37" i="135"/>
  <c r="F37" i="136"/>
  <c r="L37" i="136"/>
  <c r="AT39" i="96"/>
  <c r="BU39" i="96"/>
  <c r="D38" i="135"/>
  <c r="G38" i="138"/>
  <c r="H38" i="138"/>
  <c r="F38" i="138"/>
  <c r="F38" i="136"/>
  <c r="L38" i="136"/>
  <c r="AT40" i="96"/>
  <c r="BU40" i="96"/>
  <c r="D39" i="135"/>
  <c r="G39" i="138"/>
  <c r="H39" i="138"/>
  <c r="F39" i="138"/>
  <c r="F39" i="136"/>
  <c r="L39" i="136"/>
  <c r="AT41" i="96"/>
  <c r="BT41" i="96"/>
  <c r="BU41" i="96"/>
  <c r="D40" i="135"/>
  <c r="G40" i="138"/>
  <c r="H40" i="138"/>
  <c r="F40" i="138"/>
  <c r="F40" i="136"/>
  <c r="L40" i="136"/>
  <c r="AT42" i="96"/>
  <c r="BT42" i="96"/>
  <c r="BU42" i="96"/>
  <c r="D41" i="135"/>
  <c r="G41" i="138"/>
  <c r="H41" i="138"/>
  <c r="F41" i="138"/>
  <c r="F41" i="136"/>
  <c r="L41" i="136"/>
  <c r="AT43" i="96"/>
  <c r="BT43" i="96"/>
  <c r="BU43" i="96"/>
  <c r="D42" i="135"/>
  <c r="G42" i="138"/>
  <c r="H42" i="138"/>
  <c r="F42" i="138"/>
  <c r="F42" i="136"/>
  <c r="L42" i="136"/>
  <c r="AT44" i="96"/>
  <c r="BT44" i="96"/>
  <c r="BU44" i="96"/>
  <c r="D43" i="135"/>
  <c r="G43" i="138"/>
  <c r="H43" i="138"/>
  <c r="F43" i="138"/>
  <c r="F43" i="136"/>
  <c r="L43" i="136"/>
  <c r="AT45" i="96"/>
  <c r="BT45" i="96"/>
  <c r="BU45" i="96"/>
  <c r="D44" i="135"/>
  <c r="G44" i="138"/>
  <c r="H44" i="138"/>
  <c r="F44" i="138"/>
  <c r="F44" i="136"/>
  <c r="L44" i="136"/>
  <c r="AT46" i="96"/>
  <c r="BT46" i="96"/>
  <c r="BU46" i="96"/>
  <c r="D45" i="135"/>
  <c r="G45" i="138"/>
  <c r="H45" i="138"/>
  <c r="F45" i="138"/>
  <c r="F45" i="136"/>
  <c r="L45" i="136"/>
  <c r="AT47" i="96"/>
  <c r="BT47" i="96"/>
  <c r="BU47" i="96"/>
  <c r="D46" i="135"/>
  <c r="G46" i="138"/>
  <c r="H46" i="138"/>
  <c r="F46" i="138"/>
  <c r="F46" i="136"/>
  <c r="L46" i="136"/>
  <c r="AT48" i="96"/>
  <c r="BT48" i="96"/>
  <c r="BU48" i="96"/>
  <c r="D47" i="135"/>
  <c r="G47" i="138"/>
  <c r="H47" i="138"/>
  <c r="F47" i="138"/>
  <c r="F47" i="136"/>
  <c r="L47" i="136"/>
  <c r="AT49" i="96"/>
  <c r="BT49" i="96"/>
  <c r="BU49" i="96"/>
  <c r="D48" i="135"/>
  <c r="G48" i="138"/>
  <c r="H48" i="138"/>
  <c r="F48" i="138"/>
  <c r="F48" i="136"/>
  <c r="L48" i="136"/>
  <c r="AT50" i="96"/>
  <c r="BT50" i="96"/>
  <c r="BU50" i="96"/>
  <c r="D49" i="135"/>
  <c r="G49" i="138"/>
  <c r="H49" i="138"/>
  <c r="F49" i="138"/>
  <c r="F49" i="136"/>
  <c r="L49" i="136"/>
  <c r="AT51" i="96"/>
  <c r="BT51" i="96"/>
  <c r="BU51" i="96"/>
  <c r="D50" i="135"/>
  <c r="G50" i="138"/>
  <c r="H50" i="138"/>
  <c r="F50" i="138"/>
  <c r="F50" i="136"/>
  <c r="L50" i="136"/>
  <c r="AT52" i="96"/>
  <c r="BT52" i="96"/>
  <c r="BU52" i="96"/>
  <c r="D51" i="135"/>
  <c r="G51" i="138"/>
  <c r="H51" i="138"/>
  <c r="F51" i="138"/>
  <c r="F51" i="136"/>
  <c r="L51" i="136"/>
  <c r="AT53" i="96"/>
  <c r="BT53" i="96"/>
  <c r="BU53" i="96"/>
  <c r="D52" i="135"/>
  <c r="G52" i="138"/>
  <c r="H52" i="138"/>
  <c r="F52" i="138"/>
  <c r="F52" i="136"/>
  <c r="L52" i="136"/>
  <c r="AT54" i="96"/>
  <c r="BT54" i="96"/>
  <c r="BU54" i="96"/>
  <c r="D53" i="135"/>
  <c r="G53" i="138"/>
  <c r="H53" i="138"/>
  <c r="F53" i="138"/>
  <c r="F53" i="136"/>
  <c r="L53" i="136"/>
  <c r="AT55" i="96"/>
  <c r="BT55" i="96"/>
  <c r="BU55" i="96"/>
  <c r="D54" i="135"/>
  <c r="G54" i="138"/>
  <c r="H54" i="138"/>
  <c r="F54" i="138"/>
  <c r="F54" i="136"/>
  <c r="L54" i="136"/>
  <c r="AT56" i="96"/>
  <c r="BT56" i="96"/>
  <c r="BU56" i="96"/>
  <c r="D55" i="135"/>
  <c r="G55" i="138"/>
  <c r="H55" i="138"/>
  <c r="F55" i="138"/>
  <c r="F55" i="136"/>
  <c r="L55" i="136"/>
  <c r="AT57" i="96"/>
  <c r="BT57" i="96"/>
  <c r="BU57" i="96"/>
  <c r="D56" i="135"/>
  <c r="G56" i="138"/>
  <c r="H56" i="138"/>
  <c r="F56" i="138"/>
  <c r="F56" i="136"/>
  <c r="L56" i="136"/>
  <c r="AT58" i="96"/>
  <c r="BT58" i="96"/>
  <c r="BU58" i="96"/>
  <c r="D57" i="135"/>
  <c r="G57" i="138"/>
  <c r="H57" i="138"/>
  <c r="F57" i="138"/>
  <c r="F57" i="136"/>
  <c r="L57" i="136"/>
  <c r="AT59" i="96"/>
  <c r="BT59" i="96"/>
  <c r="BU59" i="96"/>
  <c r="D58" i="135"/>
  <c r="G58" i="138"/>
  <c r="H58" i="138"/>
  <c r="F58" i="138"/>
  <c r="F58" i="136"/>
  <c r="L58" i="136"/>
  <c r="AT60" i="96"/>
  <c r="BT60" i="96"/>
  <c r="BU60" i="96"/>
  <c r="D59" i="135"/>
  <c r="G59" i="138"/>
  <c r="H59" i="138"/>
  <c r="F59" i="138"/>
  <c r="F59" i="136"/>
  <c r="L59" i="136"/>
  <c r="G21" i="136"/>
  <c r="M21" i="136"/>
  <c r="G26" i="136"/>
  <c r="M26" i="136"/>
  <c r="G27" i="136"/>
  <c r="M27" i="136"/>
  <c r="G28" i="136"/>
  <c r="M28" i="136"/>
  <c r="G29" i="136"/>
  <c r="M29" i="136"/>
  <c r="G30" i="136"/>
  <c r="M30" i="136"/>
  <c r="G31" i="136"/>
  <c r="M31" i="136"/>
  <c r="G32" i="136"/>
  <c r="M32" i="136"/>
  <c r="G33" i="136"/>
  <c r="M33" i="136"/>
  <c r="G34" i="136"/>
  <c r="M34" i="136"/>
  <c r="G35" i="136"/>
  <c r="M35" i="136"/>
  <c r="G36" i="136"/>
  <c r="M36" i="136"/>
  <c r="G37" i="136"/>
  <c r="M37" i="136"/>
  <c r="G38" i="136"/>
  <c r="M38" i="136"/>
  <c r="G39" i="136"/>
  <c r="M39" i="136"/>
  <c r="D40" i="128"/>
  <c r="G40" i="136"/>
  <c r="M40" i="136"/>
  <c r="D41" i="128"/>
  <c r="G41" i="136"/>
  <c r="M41" i="136"/>
  <c r="D42" i="128"/>
  <c r="G42" i="136"/>
  <c r="M42" i="136"/>
  <c r="D43" i="128"/>
  <c r="G43" i="136"/>
  <c r="M43" i="136"/>
  <c r="D44" i="128"/>
  <c r="G44" i="136"/>
  <c r="M44" i="136"/>
  <c r="D45" i="128"/>
  <c r="G45" i="136"/>
  <c r="M45" i="136"/>
  <c r="D46" i="128"/>
  <c r="G46" i="136"/>
  <c r="M46" i="136"/>
  <c r="D47" i="128"/>
  <c r="G47" i="136"/>
  <c r="M47" i="136"/>
  <c r="D48" i="128"/>
  <c r="G48" i="136"/>
  <c r="M48" i="136"/>
  <c r="D49" i="128"/>
  <c r="G49" i="136"/>
  <c r="M49" i="136"/>
  <c r="D50" i="128"/>
  <c r="G50" i="136"/>
  <c r="M50" i="136"/>
  <c r="D51" i="128"/>
  <c r="G51" i="136"/>
  <c r="M51" i="136"/>
  <c r="D52" i="128"/>
  <c r="G52" i="136"/>
  <c r="M52" i="136"/>
  <c r="D53" i="128"/>
  <c r="G53" i="136"/>
  <c r="M53" i="136"/>
  <c r="D54" i="128"/>
  <c r="G54" i="136"/>
  <c r="M54" i="136"/>
  <c r="D55" i="128"/>
  <c r="G55" i="136"/>
  <c r="M55" i="136"/>
  <c r="D56" i="128"/>
  <c r="G56" i="136"/>
  <c r="M56" i="136"/>
  <c r="D57" i="128"/>
  <c r="G57" i="136"/>
  <c r="M57" i="136"/>
  <c r="D58" i="128"/>
  <c r="G58" i="136"/>
  <c r="M58" i="136"/>
  <c r="D59" i="128"/>
  <c r="G59" i="136"/>
  <c r="M59" i="136"/>
  <c r="M11" i="138"/>
  <c r="M12" i="138"/>
  <c r="M13" i="138"/>
  <c r="M14" i="138"/>
  <c r="M15" i="138"/>
  <c r="M16" i="138"/>
  <c r="M17" i="138"/>
  <c r="M18" i="138"/>
  <c r="M19" i="138"/>
  <c r="M20" i="138"/>
  <c r="M21" i="138"/>
  <c r="M22" i="138"/>
  <c r="M23" i="138"/>
  <c r="M24" i="138"/>
  <c r="M25" i="138"/>
  <c r="M26" i="138"/>
  <c r="M27" i="138"/>
  <c r="M28" i="138"/>
  <c r="M29" i="138"/>
  <c r="M30" i="138"/>
  <c r="M31" i="138"/>
  <c r="M32" i="138"/>
  <c r="M33" i="138"/>
  <c r="M34" i="138"/>
  <c r="M35" i="138"/>
  <c r="M36" i="138"/>
  <c r="M37" i="138"/>
  <c r="M38" i="138"/>
  <c r="M39" i="138"/>
  <c r="M40" i="138"/>
  <c r="M41" i="138"/>
  <c r="M42" i="138"/>
  <c r="M43" i="138"/>
  <c r="M44" i="138"/>
  <c r="M45" i="138"/>
  <c r="M46" i="138"/>
  <c r="M47" i="138"/>
  <c r="M48" i="138"/>
  <c r="M49" i="138"/>
  <c r="M50" i="138"/>
  <c r="M51" i="138"/>
  <c r="M52" i="138"/>
  <c r="M53" i="138"/>
  <c r="M54" i="138"/>
  <c r="M55" i="138"/>
  <c r="M56" i="138"/>
  <c r="M57" i="138"/>
  <c r="M58" i="138"/>
  <c r="M59" i="138"/>
  <c r="M60" i="138"/>
  <c r="M10" i="138"/>
  <c r="D11" i="126"/>
  <c r="B11" i="138"/>
  <c r="D12" i="126"/>
  <c r="B12" i="138"/>
  <c r="D13" i="126"/>
  <c r="B13" i="138"/>
  <c r="D14" i="126"/>
  <c r="B14" i="138"/>
  <c r="D15" i="126"/>
  <c r="B15" i="138"/>
  <c r="D16" i="126"/>
  <c r="B16" i="138"/>
  <c r="D17" i="126"/>
  <c r="B17" i="138"/>
  <c r="D18" i="126"/>
  <c r="B18" i="138"/>
  <c r="D19" i="126"/>
  <c r="B19" i="138"/>
  <c r="D20" i="126"/>
  <c r="B20" i="138"/>
  <c r="D22" i="126"/>
  <c r="B22" i="138"/>
  <c r="D23" i="126"/>
  <c r="B23" i="138"/>
  <c r="D24" i="126"/>
  <c r="B24" i="138"/>
  <c r="D25" i="126"/>
  <c r="B25" i="138"/>
  <c r="D27" i="126"/>
  <c r="B27" i="138"/>
  <c r="D28" i="126"/>
  <c r="B28" i="138"/>
  <c r="D29" i="126"/>
  <c r="B29" i="138"/>
  <c r="D30" i="126"/>
  <c r="B30" i="138"/>
  <c r="D31" i="126"/>
  <c r="B31" i="138"/>
  <c r="D32" i="126"/>
  <c r="B32" i="138"/>
  <c r="D33" i="126"/>
  <c r="B33" i="138"/>
  <c r="D34" i="126"/>
  <c r="B34" i="138"/>
  <c r="D35" i="126"/>
  <c r="B35" i="138"/>
  <c r="D36" i="126"/>
  <c r="B36" i="138"/>
  <c r="D37" i="126"/>
  <c r="B37" i="138"/>
  <c r="D38" i="126"/>
  <c r="B38" i="138"/>
  <c r="D39" i="126"/>
  <c r="B39" i="138"/>
  <c r="D40" i="126"/>
  <c r="B40" i="138"/>
  <c r="D41" i="126"/>
  <c r="B41" i="138"/>
  <c r="D42" i="126"/>
  <c r="B42" i="138"/>
  <c r="D43" i="126"/>
  <c r="B43" i="138"/>
  <c r="D44" i="126"/>
  <c r="B44" i="138"/>
  <c r="D45" i="126"/>
  <c r="B45" i="138"/>
  <c r="D46" i="126"/>
  <c r="B46" i="138"/>
  <c r="D47" i="126"/>
  <c r="B47" i="138"/>
  <c r="D48" i="126"/>
  <c r="B48" i="138"/>
  <c r="D49" i="126"/>
  <c r="B49" i="138"/>
  <c r="D50" i="126"/>
  <c r="B50" i="138"/>
  <c r="D51" i="126"/>
  <c r="B51" i="138"/>
  <c r="D52" i="126"/>
  <c r="B52" i="138"/>
  <c r="D53" i="126"/>
  <c r="B53" i="138"/>
  <c r="D54" i="126"/>
  <c r="B54" i="138"/>
  <c r="D55" i="126"/>
  <c r="B55" i="138"/>
  <c r="D56" i="126"/>
  <c r="B56" i="138"/>
  <c r="D57" i="126"/>
  <c r="B57" i="138"/>
  <c r="D58" i="126"/>
  <c r="B58" i="138"/>
  <c r="D59" i="126"/>
  <c r="B59" i="138"/>
  <c r="D60" i="126"/>
  <c r="B60" i="138"/>
  <c r="D10" i="126"/>
  <c r="B10" i="138"/>
  <c r="J59" i="138"/>
  <c r="I59" i="138"/>
  <c r="J58" i="138"/>
  <c r="I58" i="138"/>
  <c r="J57" i="138"/>
  <c r="I57" i="138"/>
  <c r="J56" i="138"/>
  <c r="I56" i="138"/>
  <c r="J55" i="138"/>
  <c r="I55" i="138"/>
  <c r="J54" i="138"/>
  <c r="I54" i="138"/>
  <c r="J53" i="138"/>
  <c r="I53" i="138"/>
  <c r="J52" i="138"/>
  <c r="I52" i="138"/>
  <c r="J51" i="138"/>
  <c r="I51" i="138"/>
  <c r="J50" i="138"/>
  <c r="I50" i="138"/>
  <c r="J49" i="138"/>
  <c r="I49" i="138"/>
  <c r="J48" i="138"/>
  <c r="I48" i="138"/>
  <c r="J47" i="138"/>
  <c r="I47" i="138"/>
  <c r="J46" i="138"/>
  <c r="I46" i="138"/>
  <c r="J45" i="138"/>
  <c r="I45" i="138"/>
  <c r="J44" i="138"/>
  <c r="I44" i="138"/>
  <c r="J43" i="138"/>
  <c r="I43" i="138"/>
  <c r="J42" i="138"/>
  <c r="I42" i="138"/>
  <c r="J41" i="138"/>
  <c r="I41" i="138"/>
  <c r="J40" i="138"/>
  <c r="I40" i="138"/>
  <c r="J39" i="138"/>
  <c r="I39" i="138"/>
  <c r="J38" i="138"/>
  <c r="I38" i="138"/>
  <c r="J37" i="138"/>
  <c r="J36" i="138"/>
  <c r="J35" i="138"/>
  <c r="J34" i="138"/>
  <c r="J33" i="138"/>
  <c r="J32" i="138"/>
  <c r="J31" i="138"/>
  <c r="J30" i="138"/>
  <c r="J29" i="138"/>
  <c r="J28" i="138"/>
  <c r="J27" i="138"/>
  <c r="D60" i="137"/>
  <c r="P59" i="137"/>
  <c r="D59" i="137"/>
  <c r="P58" i="137"/>
  <c r="D58" i="137"/>
  <c r="P57" i="137"/>
  <c r="D57" i="137"/>
  <c r="P56" i="137"/>
  <c r="D56" i="137"/>
  <c r="P55" i="137"/>
  <c r="D55" i="137"/>
  <c r="P54" i="137"/>
  <c r="D54" i="137"/>
  <c r="P53" i="137"/>
  <c r="D53" i="137"/>
  <c r="P52" i="137"/>
  <c r="D52" i="137"/>
  <c r="P51" i="137"/>
  <c r="D51" i="137"/>
  <c r="P50" i="137"/>
  <c r="D50" i="137"/>
  <c r="P49" i="137"/>
  <c r="D49" i="137"/>
  <c r="P48" i="137"/>
  <c r="D48" i="137"/>
  <c r="P47" i="137"/>
  <c r="D47" i="137"/>
  <c r="P46" i="137"/>
  <c r="D46" i="137"/>
  <c r="P45" i="137"/>
  <c r="D45" i="137"/>
  <c r="P44" i="137"/>
  <c r="D44" i="137"/>
  <c r="P43" i="137"/>
  <c r="D43" i="137"/>
  <c r="P42" i="137"/>
  <c r="D42" i="137"/>
  <c r="P41" i="137"/>
  <c r="D41" i="137"/>
  <c r="P40" i="137"/>
  <c r="D40" i="137"/>
  <c r="P39" i="137"/>
  <c r="D39" i="137"/>
  <c r="P38" i="137"/>
  <c r="D38" i="137"/>
  <c r="P37" i="137"/>
  <c r="D37" i="137"/>
  <c r="P36" i="137"/>
  <c r="D36" i="137"/>
  <c r="P35" i="137"/>
  <c r="D35" i="137"/>
  <c r="P34" i="137"/>
  <c r="D34" i="137"/>
  <c r="P33" i="137"/>
  <c r="D33" i="137"/>
  <c r="P32" i="137"/>
  <c r="D32" i="137"/>
  <c r="P31" i="137"/>
  <c r="D31" i="137"/>
  <c r="P30" i="137"/>
  <c r="D30" i="137"/>
  <c r="P29" i="137"/>
  <c r="D29" i="137"/>
  <c r="P28" i="137"/>
  <c r="D28" i="137"/>
  <c r="P27" i="137"/>
  <c r="D27" i="137"/>
  <c r="P26" i="137"/>
  <c r="D26" i="137"/>
  <c r="P25" i="137"/>
  <c r="D25" i="137"/>
  <c r="P24" i="137"/>
  <c r="D24" i="137"/>
  <c r="D23" i="137"/>
  <c r="D22" i="137"/>
  <c r="D21" i="137"/>
  <c r="D20" i="137"/>
  <c r="D19" i="137"/>
  <c r="D18" i="137"/>
  <c r="D17" i="137"/>
  <c r="D16" i="137"/>
  <c r="D15" i="137"/>
  <c r="D14" i="137"/>
  <c r="D13" i="137"/>
  <c r="D12" i="137"/>
  <c r="D11" i="137"/>
  <c r="D10" i="137"/>
  <c r="W12" i="96"/>
  <c r="BL12" i="96"/>
  <c r="D11" i="132"/>
  <c r="W13" i="96"/>
  <c r="BL13" i="96"/>
  <c r="D12" i="132"/>
  <c r="W14" i="96"/>
  <c r="BL14" i="96"/>
  <c r="D13" i="132"/>
  <c r="BL15" i="96"/>
  <c r="D14" i="132"/>
  <c r="W16" i="96"/>
  <c r="BL16" i="96"/>
  <c r="D15" i="132"/>
  <c r="W17" i="96"/>
  <c r="BL17" i="96"/>
  <c r="D16" i="132"/>
  <c r="W18" i="96"/>
  <c r="BL18" i="96"/>
  <c r="D17" i="132"/>
  <c r="W19" i="96"/>
  <c r="BL19" i="96"/>
  <c r="D18" i="132"/>
  <c r="W20" i="96"/>
  <c r="BL20" i="96"/>
  <c r="D19" i="132"/>
  <c r="W21" i="96"/>
  <c r="BL21" i="96"/>
  <c r="D20" i="132"/>
  <c r="D21" i="132"/>
  <c r="D21" i="136"/>
  <c r="W23" i="96"/>
  <c r="BL23" i="96"/>
  <c r="D22" i="132"/>
  <c r="W24" i="96"/>
  <c r="BL24" i="96"/>
  <c r="D23" i="132"/>
  <c r="W25" i="96"/>
  <c r="BL25" i="96"/>
  <c r="D24" i="132"/>
  <c r="BL26" i="96"/>
  <c r="D26" i="132"/>
  <c r="D26" i="136"/>
  <c r="BL28" i="96"/>
  <c r="D27" i="132"/>
  <c r="D27" i="136"/>
  <c r="BL29" i="96"/>
  <c r="D28" i="132"/>
  <c r="D28" i="136"/>
  <c r="BL30" i="96"/>
  <c r="D29" i="132"/>
  <c r="D29" i="136"/>
  <c r="BL31" i="96"/>
  <c r="D30" i="132"/>
  <c r="D30" i="136"/>
  <c r="BL32" i="96"/>
  <c r="D31" i="132"/>
  <c r="D31" i="136"/>
  <c r="BL33" i="96"/>
  <c r="D32" i="132"/>
  <c r="D32" i="136"/>
  <c r="D33" i="132"/>
  <c r="D33" i="136"/>
  <c r="BL35" i="96"/>
  <c r="D34" i="132"/>
  <c r="D34" i="136"/>
  <c r="BL36" i="96"/>
  <c r="D35" i="132"/>
  <c r="D35" i="136"/>
  <c r="BL37" i="96"/>
  <c r="D36" i="132"/>
  <c r="D36" i="136"/>
  <c r="BL38" i="96"/>
  <c r="D37" i="132"/>
  <c r="D37" i="136"/>
  <c r="D38" i="132"/>
  <c r="D38" i="136"/>
  <c r="D39" i="132"/>
  <c r="D39" i="136"/>
  <c r="D40" i="132"/>
  <c r="D40" i="136"/>
  <c r="D41" i="132"/>
  <c r="D41" i="136"/>
  <c r="D42" i="132"/>
  <c r="D42" i="136"/>
  <c r="D43" i="132"/>
  <c r="D43" i="136"/>
  <c r="D44" i="132"/>
  <c r="D44" i="136"/>
  <c r="D45" i="132"/>
  <c r="D45" i="136"/>
  <c r="D46" i="132"/>
  <c r="D46" i="136"/>
  <c r="D47" i="132"/>
  <c r="D47" i="136"/>
  <c r="D48" i="132"/>
  <c r="D48" i="136"/>
  <c r="D49" i="132"/>
  <c r="D49" i="136"/>
  <c r="D50" i="132"/>
  <c r="D50" i="136"/>
  <c r="D51" i="132"/>
  <c r="D51" i="136"/>
  <c r="D52" i="132"/>
  <c r="D52" i="136"/>
  <c r="D53" i="132"/>
  <c r="D53" i="136"/>
  <c r="D54" i="132"/>
  <c r="D54" i="136"/>
  <c r="D55" i="132"/>
  <c r="D55" i="136"/>
  <c r="D56" i="132"/>
  <c r="D56" i="136"/>
  <c r="D57" i="132"/>
  <c r="D57" i="136"/>
  <c r="D58" i="132"/>
  <c r="D58" i="136"/>
  <c r="D59" i="136"/>
  <c r="D10" i="132"/>
  <c r="J21" i="136"/>
  <c r="J26" i="136"/>
  <c r="J27" i="136"/>
  <c r="J28" i="136"/>
  <c r="J29" i="136"/>
  <c r="J30" i="136"/>
  <c r="J31" i="136"/>
  <c r="J32" i="136"/>
  <c r="J33" i="136"/>
  <c r="J34" i="136"/>
  <c r="J35" i="136"/>
  <c r="J36" i="136"/>
  <c r="J37" i="136"/>
  <c r="J38" i="136"/>
  <c r="J39" i="136"/>
  <c r="J40" i="136"/>
  <c r="J41" i="136"/>
  <c r="J42" i="136"/>
  <c r="J43" i="136"/>
  <c r="J44" i="136"/>
  <c r="J45" i="136"/>
  <c r="J46" i="136"/>
  <c r="J47" i="136"/>
  <c r="J48" i="136"/>
  <c r="J49" i="136"/>
  <c r="J50" i="136"/>
  <c r="J51" i="136"/>
  <c r="J52" i="136"/>
  <c r="J53" i="136"/>
  <c r="J54" i="136"/>
  <c r="J55" i="136"/>
  <c r="J56" i="136"/>
  <c r="J57" i="136"/>
  <c r="J58" i="136"/>
  <c r="J59" i="136"/>
  <c r="L11" i="115"/>
  <c r="L12" i="115"/>
  <c r="L13" i="115"/>
  <c r="L14" i="115"/>
  <c r="L15" i="115"/>
  <c r="L16" i="115"/>
  <c r="L17" i="115"/>
  <c r="L18" i="115"/>
  <c r="L19" i="115"/>
  <c r="L20" i="115"/>
  <c r="B21" i="136"/>
  <c r="L21" i="115"/>
  <c r="H21" i="136"/>
  <c r="C21" i="136"/>
  <c r="I21" i="136"/>
  <c r="L22" i="115"/>
  <c r="L23" i="115"/>
  <c r="L24" i="115"/>
  <c r="L25" i="115"/>
  <c r="B26" i="136"/>
  <c r="L26" i="115"/>
  <c r="H26" i="136"/>
  <c r="C26" i="136"/>
  <c r="I26" i="136"/>
  <c r="B27" i="136"/>
  <c r="L27" i="115"/>
  <c r="H27" i="136"/>
  <c r="C27" i="136"/>
  <c r="I27" i="136"/>
  <c r="B28" i="136"/>
  <c r="L28" i="115"/>
  <c r="H28" i="136"/>
  <c r="C28" i="136"/>
  <c r="I28" i="136"/>
  <c r="B29" i="136"/>
  <c r="L29" i="115"/>
  <c r="H29" i="136"/>
  <c r="C29" i="136"/>
  <c r="I29" i="136"/>
  <c r="B30" i="136"/>
  <c r="L30" i="115"/>
  <c r="H30" i="136"/>
  <c r="C30" i="136"/>
  <c r="I30" i="136"/>
  <c r="B31" i="136"/>
  <c r="L31" i="115"/>
  <c r="H31" i="136"/>
  <c r="C31" i="136"/>
  <c r="I31" i="136"/>
  <c r="B32" i="136"/>
  <c r="L32" i="115"/>
  <c r="H32" i="136"/>
  <c r="C32" i="136"/>
  <c r="I32" i="136"/>
  <c r="B33" i="136"/>
  <c r="L33" i="115"/>
  <c r="H33" i="136"/>
  <c r="C33" i="136"/>
  <c r="I33" i="136"/>
  <c r="B34" i="136"/>
  <c r="L34" i="115"/>
  <c r="H34" i="136"/>
  <c r="C34" i="136"/>
  <c r="I34" i="136"/>
  <c r="B35" i="136"/>
  <c r="L35" i="115"/>
  <c r="H35" i="136"/>
  <c r="C35" i="136"/>
  <c r="I35" i="136"/>
  <c r="B36" i="136"/>
  <c r="L36" i="115"/>
  <c r="H36" i="136"/>
  <c r="C36" i="136"/>
  <c r="I36" i="136"/>
  <c r="B37" i="136"/>
  <c r="L37" i="115"/>
  <c r="H37" i="136"/>
  <c r="C37" i="136"/>
  <c r="I37" i="136"/>
  <c r="B38" i="136"/>
  <c r="L38" i="115"/>
  <c r="H38" i="136"/>
  <c r="C38" i="136"/>
  <c r="I38" i="136"/>
  <c r="B39" i="136"/>
  <c r="L39" i="115"/>
  <c r="H39" i="136"/>
  <c r="C39" i="136"/>
  <c r="I39" i="136"/>
  <c r="B40" i="136"/>
  <c r="L40" i="115"/>
  <c r="H40" i="136"/>
  <c r="C40" i="136"/>
  <c r="I40" i="136"/>
  <c r="B41" i="136"/>
  <c r="L41" i="115"/>
  <c r="H41" i="136"/>
  <c r="C41" i="136"/>
  <c r="I41" i="136"/>
  <c r="B42" i="136"/>
  <c r="L42" i="115"/>
  <c r="H42" i="136"/>
  <c r="C42" i="136"/>
  <c r="I42" i="136"/>
  <c r="B43" i="136"/>
  <c r="L43" i="115"/>
  <c r="H43" i="136"/>
  <c r="C43" i="136"/>
  <c r="I43" i="136"/>
  <c r="B44" i="136"/>
  <c r="L44" i="115"/>
  <c r="H44" i="136"/>
  <c r="C44" i="136"/>
  <c r="I44" i="136"/>
  <c r="B45" i="136"/>
  <c r="L45" i="115"/>
  <c r="H45" i="136"/>
  <c r="C45" i="136"/>
  <c r="I45" i="136"/>
  <c r="B46" i="136"/>
  <c r="L46" i="115"/>
  <c r="H46" i="136"/>
  <c r="C46" i="136"/>
  <c r="I46" i="136"/>
  <c r="B47" i="136"/>
  <c r="L47" i="115"/>
  <c r="H47" i="136"/>
  <c r="C47" i="136"/>
  <c r="I47" i="136"/>
  <c r="B48" i="136"/>
  <c r="L48" i="115"/>
  <c r="H48" i="136"/>
  <c r="C48" i="136"/>
  <c r="I48" i="136"/>
  <c r="B49" i="136"/>
  <c r="L49" i="115"/>
  <c r="H49" i="136"/>
  <c r="C49" i="136"/>
  <c r="I49" i="136"/>
  <c r="B50" i="136"/>
  <c r="L50" i="115"/>
  <c r="H50" i="136"/>
  <c r="C50" i="136"/>
  <c r="I50" i="136"/>
  <c r="B51" i="136"/>
  <c r="L51" i="115"/>
  <c r="H51" i="136"/>
  <c r="C51" i="136"/>
  <c r="I51" i="136"/>
  <c r="B52" i="136"/>
  <c r="L52" i="115"/>
  <c r="H52" i="136"/>
  <c r="C52" i="136"/>
  <c r="I52" i="136"/>
  <c r="B53" i="136"/>
  <c r="L53" i="115"/>
  <c r="H53" i="136"/>
  <c r="C53" i="136"/>
  <c r="I53" i="136"/>
  <c r="B54" i="136"/>
  <c r="L54" i="115"/>
  <c r="H54" i="136"/>
  <c r="C54" i="136"/>
  <c r="I54" i="136"/>
  <c r="B55" i="136"/>
  <c r="L55" i="115"/>
  <c r="H55" i="136"/>
  <c r="C55" i="136"/>
  <c r="I55" i="136"/>
  <c r="B56" i="136"/>
  <c r="L56" i="115"/>
  <c r="H56" i="136"/>
  <c r="C56" i="136"/>
  <c r="I56" i="136"/>
  <c r="B57" i="136"/>
  <c r="L57" i="115"/>
  <c r="H57" i="136"/>
  <c r="C57" i="136"/>
  <c r="I57" i="136"/>
  <c r="B58" i="136"/>
  <c r="L58" i="115"/>
  <c r="H58" i="136"/>
  <c r="C58" i="136"/>
  <c r="I58" i="136"/>
  <c r="B59" i="136"/>
  <c r="H59" i="136"/>
  <c r="C59" i="136"/>
  <c r="I59" i="136"/>
  <c r="L10" i="115"/>
  <c r="I22" i="129"/>
  <c r="I23" i="129"/>
  <c r="I24" i="129"/>
  <c r="I25" i="129"/>
  <c r="B22" i="134"/>
  <c r="H22" i="134"/>
  <c r="I22" i="134"/>
  <c r="B23" i="134"/>
  <c r="H23" i="134"/>
  <c r="I23" i="134"/>
  <c r="B24" i="134"/>
  <c r="H24" i="134"/>
  <c r="I24" i="134"/>
  <c r="B25" i="134"/>
  <c r="H25" i="134"/>
  <c r="I25" i="134"/>
  <c r="C27" i="134"/>
  <c r="B27" i="134"/>
  <c r="H27" i="134"/>
  <c r="I27" i="134"/>
  <c r="C28" i="134"/>
  <c r="B28" i="134"/>
  <c r="H28" i="134"/>
  <c r="I28" i="134"/>
  <c r="C29" i="134"/>
  <c r="B29" i="134"/>
  <c r="H29" i="134"/>
  <c r="I29" i="134"/>
  <c r="C30" i="134"/>
  <c r="B30" i="134"/>
  <c r="H30" i="134"/>
  <c r="I30" i="134"/>
  <c r="C31" i="134"/>
  <c r="B31" i="134"/>
  <c r="H31" i="134"/>
  <c r="I31" i="134"/>
  <c r="C32" i="134"/>
  <c r="B32" i="134"/>
  <c r="H32" i="134"/>
  <c r="I32" i="134"/>
  <c r="C33" i="134"/>
  <c r="B33" i="134"/>
  <c r="H33" i="134"/>
  <c r="I33" i="134"/>
  <c r="C34" i="134"/>
  <c r="B34" i="134"/>
  <c r="H34" i="134"/>
  <c r="I34" i="134"/>
  <c r="C35" i="134"/>
  <c r="B35" i="134"/>
  <c r="H35" i="134"/>
  <c r="I35" i="134"/>
  <c r="C36" i="134"/>
  <c r="B36" i="134"/>
  <c r="H36" i="134"/>
  <c r="I36" i="134"/>
  <c r="C37" i="134"/>
  <c r="B37" i="134"/>
  <c r="H37" i="134"/>
  <c r="I37" i="134"/>
  <c r="C38" i="134"/>
  <c r="B38" i="134"/>
  <c r="H38" i="134"/>
  <c r="I38" i="134"/>
  <c r="I22" i="128"/>
  <c r="I23" i="128"/>
  <c r="I24" i="128"/>
  <c r="I25" i="128"/>
  <c r="C10" i="132"/>
  <c r="C11" i="132"/>
  <c r="C12" i="132"/>
  <c r="C13" i="132"/>
  <c r="C14" i="132"/>
  <c r="C15" i="132"/>
  <c r="C16" i="132"/>
  <c r="C17" i="132"/>
  <c r="C18" i="132"/>
  <c r="C19" i="132"/>
  <c r="C20" i="132"/>
  <c r="B21" i="132"/>
  <c r="C21" i="132"/>
  <c r="H21" i="132"/>
  <c r="I21" i="132"/>
  <c r="C22" i="132"/>
  <c r="C23" i="132"/>
  <c r="C24" i="132"/>
  <c r="C25" i="132"/>
  <c r="B26" i="132"/>
  <c r="C26" i="132"/>
  <c r="H26" i="132"/>
  <c r="I26" i="132"/>
  <c r="B27" i="132"/>
  <c r="C27" i="132"/>
  <c r="H27" i="132"/>
  <c r="I27" i="132"/>
  <c r="B28" i="132"/>
  <c r="C28" i="132"/>
  <c r="H28" i="132"/>
  <c r="I28" i="132"/>
  <c r="B29" i="132"/>
  <c r="C29" i="132"/>
  <c r="H29" i="132"/>
  <c r="I29" i="132"/>
  <c r="B30" i="132"/>
  <c r="C30" i="132"/>
  <c r="H30" i="132"/>
  <c r="I30" i="132"/>
  <c r="B31" i="132"/>
  <c r="C31" i="132"/>
  <c r="H31" i="132"/>
  <c r="I31" i="132"/>
  <c r="B32" i="132"/>
  <c r="C32" i="132"/>
  <c r="H32" i="132"/>
  <c r="I32" i="132"/>
  <c r="B33" i="132"/>
  <c r="C33" i="132"/>
  <c r="H33" i="132"/>
  <c r="I33" i="132"/>
  <c r="B34" i="132"/>
  <c r="C34" i="132"/>
  <c r="H34" i="132"/>
  <c r="I34" i="132"/>
  <c r="B35" i="132"/>
  <c r="C35" i="132"/>
  <c r="H35" i="132"/>
  <c r="I35" i="132"/>
  <c r="B36" i="132"/>
  <c r="C36" i="132"/>
  <c r="H36" i="132"/>
  <c r="I36" i="132"/>
  <c r="B37" i="132"/>
  <c r="C37" i="132"/>
  <c r="H37" i="132"/>
  <c r="I37" i="132"/>
  <c r="B38" i="132"/>
  <c r="C38" i="132"/>
  <c r="H38" i="132"/>
  <c r="I38" i="132"/>
  <c r="KL41" i="96"/>
  <c r="KM41" i="96"/>
  <c r="B40" i="129"/>
  <c r="C40" i="129"/>
  <c r="H40" i="129"/>
  <c r="B40" i="128"/>
  <c r="C40" i="128"/>
  <c r="H40" i="128"/>
  <c r="B40" i="130"/>
  <c r="D40" i="129"/>
  <c r="I40" i="129"/>
  <c r="I40" i="128"/>
  <c r="C40" i="130"/>
  <c r="KL42" i="96"/>
  <c r="KM42" i="96"/>
  <c r="B41" i="129"/>
  <c r="C41" i="129"/>
  <c r="H41" i="129"/>
  <c r="B41" i="128"/>
  <c r="C41" i="128"/>
  <c r="H41" i="128"/>
  <c r="B41" i="130"/>
  <c r="D41" i="129"/>
  <c r="I41" i="129"/>
  <c r="I41" i="128"/>
  <c r="C41" i="130"/>
  <c r="KL43" i="96"/>
  <c r="B42" i="128"/>
  <c r="C42" i="128"/>
  <c r="H42" i="128"/>
  <c r="KM43" i="96"/>
  <c r="B42" i="129"/>
  <c r="C42" i="129"/>
  <c r="H42" i="129"/>
  <c r="B42" i="130"/>
  <c r="I42" i="128"/>
  <c r="D42" i="129"/>
  <c r="I42" i="129"/>
  <c r="C42" i="130"/>
  <c r="KL44" i="96"/>
  <c r="B43" i="128"/>
  <c r="C43" i="128"/>
  <c r="H43" i="128"/>
  <c r="KM44" i="96"/>
  <c r="B43" i="129"/>
  <c r="C43" i="129"/>
  <c r="H43" i="129"/>
  <c r="B43" i="130"/>
  <c r="I43" i="128"/>
  <c r="D43" i="129"/>
  <c r="I43" i="129"/>
  <c r="C43" i="130"/>
  <c r="KL45" i="96"/>
  <c r="B44" i="128"/>
  <c r="C44" i="128"/>
  <c r="H44" i="128"/>
  <c r="KM45" i="96"/>
  <c r="B44" i="129"/>
  <c r="C44" i="129"/>
  <c r="H44" i="129"/>
  <c r="B44" i="130"/>
  <c r="I44" i="128"/>
  <c r="D44" i="129"/>
  <c r="I44" i="129"/>
  <c r="C44" i="130"/>
  <c r="KL46" i="96"/>
  <c r="B45" i="128"/>
  <c r="C45" i="128"/>
  <c r="H45" i="128"/>
  <c r="KM46" i="96"/>
  <c r="B45" i="129"/>
  <c r="C45" i="129"/>
  <c r="H45" i="129"/>
  <c r="B45" i="130"/>
  <c r="I45" i="128"/>
  <c r="D45" i="129"/>
  <c r="I45" i="129"/>
  <c r="C45" i="130"/>
  <c r="KL47" i="96"/>
  <c r="B46" i="128"/>
  <c r="C46" i="128"/>
  <c r="H46" i="128"/>
  <c r="KM47" i="96"/>
  <c r="B46" i="129"/>
  <c r="C46" i="129"/>
  <c r="H46" i="129"/>
  <c r="B46" i="130"/>
  <c r="I46" i="128"/>
  <c r="D46" i="129"/>
  <c r="I46" i="129"/>
  <c r="C46" i="130"/>
  <c r="KL48" i="96"/>
  <c r="B47" i="128"/>
  <c r="C47" i="128"/>
  <c r="H47" i="128"/>
  <c r="KM48" i="96"/>
  <c r="B47" i="129"/>
  <c r="C47" i="129"/>
  <c r="H47" i="129"/>
  <c r="B47" i="130"/>
  <c r="I47" i="128"/>
  <c r="D47" i="129"/>
  <c r="I47" i="129"/>
  <c r="C47" i="130"/>
  <c r="KL49" i="96"/>
  <c r="B48" i="128"/>
  <c r="C48" i="128"/>
  <c r="H48" i="128"/>
  <c r="KM49" i="96"/>
  <c r="B48" i="129"/>
  <c r="C48" i="129"/>
  <c r="H48" i="129"/>
  <c r="B48" i="130"/>
  <c r="I48" i="128"/>
  <c r="D48" i="129"/>
  <c r="I48" i="129"/>
  <c r="C48" i="130"/>
  <c r="KL50" i="96"/>
  <c r="B49" i="128"/>
  <c r="C49" i="128"/>
  <c r="H49" i="128"/>
  <c r="KM50" i="96"/>
  <c r="B49" i="129"/>
  <c r="C49" i="129"/>
  <c r="H49" i="129"/>
  <c r="B49" i="130"/>
  <c r="I49" i="128"/>
  <c r="D49" i="129"/>
  <c r="I49" i="129"/>
  <c r="C49" i="130"/>
  <c r="KL51" i="96"/>
  <c r="B50" i="128"/>
  <c r="C50" i="128"/>
  <c r="H50" i="128"/>
  <c r="KM51" i="96"/>
  <c r="B50" i="129"/>
  <c r="C50" i="129"/>
  <c r="H50" i="129"/>
  <c r="B50" i="130"/>
  <c r="I50" i="128"/>
  <c r="D50" i="129"/>
  <c r="I50" i="129"/>
  <c r="C50" i="130"/>
  <c r="KL52" i="96"/>
  <c r="B51" i="128"/>
  <c r="C51" i="128"/>
  <c r="H51" i="128"/>
  <c r="KM52" i="96"/>
  <c r="B51" i="129"/>
  <c r="C51" i="129"/>
  <c r="H51" i="129"/>
  <c r="B51" i="130"/>
  <c r="I51" i="128"/>
  <c r="D51" i="129"/>
  <c r="I51" i="129"/>
  <c r="C51" i="130"/>
  <c r="KL53" i="96"/>
  <c r="B52" i="128"/>
  <c r="C52" i="128"/>
  <c r="H52" i="128"/>
  <c r="KM53" i="96"/>
  <c r="B52" i="129"/>
  <c r="C52" i="129"/>
  <c r="H52" i="129"/>
  <c r="B52" i="130"/>
  <c r="I52" i="128"/>
  <c r="D52" i="129"/>
  <c r="I52" i="129"/>
  <c r="C52" i="130"/>
  <c r="KL54" i="96"/>
  <c r="B53" i="128"/>
  <c r="C53" i="128"/>
  <c r="H53" i="128"/>
  <c r="KM54" i="96"/>
  <c r="B53" i="129"/>
  <c r="C53" i="129"/>
  <c r="H53" i="129"/>
  <c r="B53" i="130"/>
  <c r="I53" i="128"/>
  <c r="D53" i="129"/>
  <c r="I53" i="129"/>
  <c r="C53" i="130"/>
  <c r="KL55" i="96"/>
  <c r="B54" i="128"/>
  <c r="C54" i="128"/>
  <c r="H54" i="128"/>
  <c r="KM55" i="96"/>
  <c r="B54" i="129"/>
  <c r="C54" i="129"/>
  <c r="H54" i="129"/>
  <c r="B54" i="130"/>
  <c r="I54" i="128"/>
  <c r="D54" i="129"/>
  <c r="I54" i="129"/>
  <c r="C54" i="130"/>
  <c r="KL56" i="96"/>
  <c r="B55" i="128"/>
  <c r="C55" i="128"/>
  <c r="H55" i="128"/>
  <c r="KM56" i="96"/>
  <c r="B55" i="129"/>
  <c r="C55" i="129"/>
  <c r="H55" i="129"/>
  <c r="B55" i="130"/>
  <c r="I55" i="128"/>
  <c r="D55" i="129"/>
  <c r="I55" i="129"/>
  <c r="C55" i="130"/>
  <c r="KL57" i="96"/>
  <c r="B56" i="128"/>
  <c r="C56" i="128"/>
  <c r="H56" i="128"/>
  <c r="KM57" i="96"/>
  <c r="B56" i="129"/>
  <c r="C56" i="129"/>
  <c r="H56" i="129"/>
  <c r="B56" i="130"/>
  <c r="I56" i="128"/>
  <c r="D56" i="129"/>
  <c r="I56" i="129"/>
  <c r="C56" i="130"/>
  <c r="KL58" i="96"/>
  <c r="B57" i="128"/>
  <c r="C57" i="128"/>
  <c r="H57" i="128"/>
  <c r="KM58" i="96"/>
  <c r="B57" i="129"/>
  <c r="C57" i="129"/>
  <c r="H57" i="129"/>
  <c r="B57" i="130"/>
  <c r="I57" i="128"/>
  <c r="D57" i="129"/>
  <c r="I57" i="129"/>
  <c r="C57" i="130"/>
  <c r="C10" i="131"/>
  <c r="C10" i="133"/>
  <c r="D10" i="133"/>
  <c r="C11" i="131"/>
  <c r="C11" i="133"/>
  <c r="D11" i="133"/>
  <c r="C12" i="131"/>
  <c r="C12" i="133"/>
  <c r="D12" i="133"/>
  <c r="C13" i="131"/>
  <c r="C13" i="133"/>
  <c r="D13" i="133"/>
  <c r="C14" i="131"/>
  <c r="C14" i="133"/>
  <c r="D14" i="133"/>
  <c r="C15" i="131"/>
  <c r="C15" i="133"/>
  <c r="D15" i="133"/>
  <c r="C16" i="131"/>
  <c r="C16" i="133"/>
  <c r="D16" i="133"/>
  <c r="C17" i="131"/>
  <c r="C17" i="133"/>
  <c r="D17" i="133"/>
  <c r="C18" i="131"/>
  <c r="C18" i="133"/>
  <c r="D18" i="133"/>
  <c r="C19" i="131"/>
  <c r="C19" i="133"/>
  <c r="D19" i="133"/>
  <c r="C20" i="131"/>
  <c r="C20" i="133"/>
  <c r="D20" i="133"/>
  <c r="B21" i="133"/>
  <c r="C21" i="131"/>
  <c r="C21" i="133"/>
  <c r="H21" i="133"/>
  <c r="D21" i="133"/>
  <c r="I21" i="133"/>
  <c r="B22" i="133"/>
  <c r="C22" i="131"/>
  <c r="C22" i="133"/>
  <c r="H22" i="133"/>
  <c r="D22" i="133"/>
  <c r="I22" i="133"/>
  <c r="B23" i="133"/>
  <c r="C23" i="131"/>
  <c r="C23" i="133"/>
  <c r="H23" i="133"/>
  <c r="D23" i="133"/>
  <c r="I23" i="133"/>
  <c r="C24" i="131"/>
  <c r="C24" i="133"/>
  <c r="H24" i="133"/>
  <c r="D24" i="133"/>
  <c r="I24" i="133"/>
  <c r="C25" i="131"/>
  <c r="C25" i="133"/>
  <c r="H25" i="133"/>
  <c r="D25" i="133"/>
  <c r="I25" i="133"/>
  <c r="B26" i="133"/>
  <c r="C26" i="131"/>
  <c r="C26" i="133"/>
  <c r="H26" i="133"/>
  <c r="D26" i="133"/>
  <c r="I26" i="133"/>
  <c r="B27" i="133"/>
  <c r="C27" i="131"/>
  <c r="C27" i="133"/>
  <c r="H27" i="133"/>
  <c r="D27" i="133"/>
  <c r="I27" i="133"/>
  <c r="B28" i="133"/>
  <c r="C28" i="131"/>
  <c r="C28" i="133"/>
  <c r="H28" i="133"/>
  <c r="D28" i="133"/>
  <c r="I28" i="133"/>
  <c r="B29" i="133"/>
  <c r="C29" i="131"/>
  <c r="C29" i="133"/>
  <c r="H29" i="133"/>
  <c r="D29" i="133"/>
  <c r="I29" i="133"/>
  <c r="B30" i="133"/>
  <c r="C30" i="131"/>
  <c r="C30" i="133"/>
  <c r="H30" i="133"/>
  <c r="D30" i="133"/>
  <c r="I30" i="133"/>
  <c r="B31" i="133"/>
  <c r="C31" i="131"/>
  <c r="C31" i="133"/>
  <c r="H31" i="133"/>
  <c r="D31" i="133"/>
  <c r="I31" i="133"/>
  <c r="B32" i="133"/>
  <c r="C32" i="131"/>
  <c r="C32" i="133"/>
  <c r="H32" i="133"/>
  <c r="D32" i="133"/>
  <c r="I32" i="133"/>
  <c r="B33" i="133"/>
  <c r="C33" i="131"/>
  <c r="C33" i="133"/>
  <c r="H33" i="133"/>
  <c r="D33" i="133"/>
  <c r="I33" i="133"/>
  <c r="B34" i="133"/>
  <c r="C34" i="131"/>
  <c r="C34" i="133"/>
  <c r="H34" i="133"/>
  <c r="D34" i="133"/>
  <c r="I34" i="133"/>
  <c r="B35" i="133"/>
  <c r="C35" i="131"/>
  <c r="C35" i="133"/>
  <c r="H35" i="133"/>
  <c r="D35" i="133"/>
  <c r="I35" i="133"/>
  <c r="B36" i="133"/>
  <c r="C36" i="131"/>
  <c r="C36" i="133"/>
  <c r="H36" i="133"/>
  <c r="D36" i="133"/>
  <c r="I36" i="133"/>
  <c r="B37" i="133"/>
  <c r="C37" i="131"/>
  <c r="C37" i="133"/>
  <c r="H37" i="133"/>
  <c r="D37" i="133"/>
  <c r="I37" i="133"/>
  <c r="B38" i="133"/>
  <c r="C38" i="131"/>
  <c r="C38" i="133"/>
  <c r="H38" i="133"/>
  <c r="D38" i="133"/>
  <c r="I38" i="133"/>
  <c r="B39" i="132"/>
  <c r="B39" i="133"/>
  <c r="C39" i="132"/>
  <c r="C39" i="131"/>
  <c r="C39" i="133"/>
  <c r="H39" i="133"/>
  <c r="D39" i="133"/>
  <c r="I39" i="133"/>
  <c r="B40" i="132"/>
  <c r="B40" i="133"/>
  <c r="C40" i="132"/>
  <c r="C40" i="131"/>
  <c r="C40" i="133"/>
  <c r="H40" i="133"/>
  <c r="D40" i="133"/>
  <c r="I40" i="133"/>
  <c r="B41" i="132"/>
  <c r="B41" i="133"/>
  <c r="C41" i="132"/>
  <c r="C41" i="131"/>
  <c r="C41" i="133"/>
  <c r="H41" i="133"/>
  <c r="D41" i="133"/>
  <c r="I41" i="133"/>
  <c r="B42" i="132"/>
  <c r="B42" i="133"/>
  <c r="C42" i="131"/>
  <c r="C42" i="132"/>
  <c r="C42" i="133"/>
  <c r="H42" i="133"/>
  <c r="D42" i="133"/>
  <c r="I42" i="133"/>
  <c r="B43" i="132"/>
  <c r="B43" i="133"/>
  <c r="C43" i="131"/>
  <c r="C43" i="132"/>
  <c r="C43" i="133"/>
  <c r="H43" i="133"/>
  <c r="D43" i="133"/>
  <c r="I43" i="133"/>
  <c r="B44" i="132"/>
  <c r="B44" i="133"/>
  <c r="C44" i="131"/>
  <c r="C44" i="132"/>
  <c r="C44" i="133"/>
  <c r="H44" i="133"/>
  <c r="D44" i="133"/>
  <c r="I44" i="133"/>
  <c r="B45" i="132"/>
  <c r="B45" i="133"/>
  <c r="C45" i="131"/>
  <c r="C45" i="132"/>
  <c r="C45" i="133"/>
  <c r="H45" i="133"/>
  <c r="D45" i="133"/>
  <c r="I45" i="133"/>
  <c r="B46" i="132"/>
  <c r="B46" i="133"/>
  <c r="C46" i="131"/>
  <c r="C46" i="132"/>
  <c r="C46" i="133"/>
  <c r="H46" i="133"/>
  <c r="D46" i="133"/>
  <c r="I46" i="133"/>
  <c r="B47" i="132"/>
  <c r="B47" i="133"/>
  <c r="C47" i="131"/>
  <c r="C47" i="132"/>
  <c r="C47" i="133"/>
  <c r="H47" i="133"/>
  <c r="D47" i="133"/>
  <c r="I47" i="133"/>
  <c r="B48" i="132"/>
  <c r="B48" i="133"/>
  <c r="C48" i="131"/>
  <c r="C48" i="132"/>
  <c r="C48" i="133"/>
  <c r="H48" i="133"/>
  <c r="D48" i="133"/>
  <c r="I48" i="133"/>
  <c r="B49" i="132"/>
  <c r="B49" i="133"/>
  <c r="C49" i="131"/>
  <c r="C49" i="132"/>
  <c r="C49" i="133"/>
  <c r="H49" i="133"/>
  <c r="D49" i="133"/>
  <c r="I49" i="133"/>
  <c r="B50" i="132"/>
  <c r="B50" i="133"/>
  <c r="C50" i="131"/>
  <c r="C50" i="132"/>
  <c r="C50" i="133"/>
  <c r="H50" i="133"/>
  <c r="D50" i="133"/>
  <c r="I50" i="133"/>
  <c r="B51" i="132"/>
  <c r="B51" i="133"/>
  <c r="C51" i="131"/>
  <c r="C51" i="132"/>
  <c r="C51" i="133"/>
  <c r="H51" i="133"/>
  <c r="D51" i="133"/>
  <c r="I51" i="133"/>
  <c r="B52" i="132"/>
  <c r="B52" i="133"/>
  <c r="C52" i="131"/>
  <c r="C52" i="132"/>
  <c r="C52" i="133"/>
  <c r="H52" i="133"/>
  <c r="D52" i="133"/>
  <c r="I52" i="133"/>
  <c r="B53" i="132"/>
  <c r="B53" i="133"/>
  <c r="C53" i="132"/>
  <c r="C53" i="131"/>
  <c r="C53" i="133"/>
  <c r="H53" i="133"/>
  <c r="D53" i="133"/>
  <c r="I53" i="133"/>
  <c r="B54" i="132"/>
  <c r="B54" i="133"/>
  <c r="C54" i="131"/>
  <c r="C54" i="132"/>
  <c r="C54" i="133"/>
  <c r="H54" i="133"/>
  <c r="D54" i="133"/>
  <c r="I54" i="133"/>
  <c r="B55" i="132"/>
  <c r="B55" i="133"/>
  <c r="C55" i="131"/>
  <c r="C55" i="132"/>
  <c r="C55" i="133"/>
  <c r="H55" i="133"/>
  <c r="D55" i="133"/>
  <c r="I55" i="133"/>
  <c r="B56" i="132"/>
  <c r="B56" i="133"/>
  <c r="C56" i="131"/>
  <c r="C56" i="132"/>
  <c r="C56" i="133"/>
  <c r="H56" i="133"/>
  <c r="D56" i="133"/>
  <c r="I56" i="133"/>
  <c r="B57" i="132"/>
  <c r="B57" i="133"/>
  <c r="C57" i="131"/>
  <c r="C57" i="132"/>
  <c r="C57" i="133"/>
  <c r="H57" i="133"/>
  <c r="D57" i="133"/>
  <c r="I57" i="133"/>
  <c r="H21" i="131"/>
  <c r="I21" i="131"/>
  <c r="H22" i="131"/>
  <c r="I22" i="131"/>
  <c r="H23" i="131"/>
  <c r="I23" i="131"/>
  <c r="H24" i="131"/>
  <c r="I24" i="131"/>
  <c r="H25" i="131"/>
  <c r="I25" i="131"/>
  <c r="H26" i="131"/>
  <c r="I26" i="131"/>
  <c r="H27" i="131"/>
  <c r="I27" i="131"/>
  <c r="H28" i="131"/>
  <c r="I28" i="131"/>
  <c r="H29" i="131"/>
  <c r="I29" i="131"/>
  <c r="H30" i="131"/>
  <c r="I30" i="131"/>
  <c r="H31" i="131"/>
  <c r="I31" i="131"/>
  <c r="H32" i="131"/>
  <c r="I32" i="131"/>
  <c r="H33" i="131"/>
  <c r="I33" i="131"/>
  <c r="H34" i="131"/>
  <c r="I34" i="131"/>
  <c r="H35" i="131"/>
  <c r="I35" i="131"/>
  <c r="H36" i="131"/>
  <c r="I36" i="131"/>
  <c r="H37" i="131"/>
  <c r="I37" i="131"/>
  <c r="H38" i="131"/>
  <c r="I38" i="131"/>
  <c r="H39" i="131"/>
  <c r="I39" i="131"/>
  <c r="H40" i="131"/>
  <c r="I40" i="131"/>
  <c r="H41" i="131"/>
  <c r="I41" i="131"/>
  <c r="H42" i="131"/>
  <c r="I42" i="131"/>
  <c r="H43" i="131"/>
  <c r="I43" i="131"/>
  <c r="H44" i="131"/>
  <c r="I44" i="131"/>
  <c r="H45" i="131"/>
  <c r="I45" i="131"/>
  <c r="H46" i="131"/>
  <c r="I46" i="131"/>
  <c r="H47" i="131"/>
  <c r="I47" i="131"/>
  <c r="H48" i="131"/>
  <c r="I48" i="131"/>
  <c r="H49" i="131"/>
  <c r="I49" i="131"/>
  <c r="H50" i="131"/>
  <c r="I50" i="131"/>
  <c r="H51" i="131"/>
  <c r="I51" i="131"/>
  <c r="H52" i="131"/>
  <c r="I52" i="131"/>
  <c r="H53" i="131"/>
  <c r="I53" i="131"/>
  <c r="H54" i="131"/>
  <c r="I54" i="131"/>
  <c r="H55" i="131"/>
  <c r="I55" i="131"/>
  <c r="H56" i="131"/>
  <c r="I56" i="131"/>
  <c r="H57" i="131"/>
  <c r="I57" i="131"/>
  <c r="B22" i="135"/>
  <c r="B23" i="135"/>
  <c r="B24" i="135"/>
  <c r="B25" i="135"/>
  <c r="B27" i="135"/>
  <c r="B28" i="135"/>
  <c r="B29" i="135"/>
  <c r="B30" i="135"/>
  <c r="B31" i="135"/>
  <c r="B32" i="135"/>
  <c r="B33" i="135"/>
  <c r="B34" i="135"/>
  <c r="B35" i="135"/>
  <c r="B36" i="135"/>
  <c r="B37" i="135"/>
  <c r="B38" i="135"/>
  <c r="H10" i="135"/>
  <c r="H11" i="135"/>
  <c r="H12" i="135"/>
  <c r="H13" i="135"/>
  <c r="H14" i="135"/>
  <c r="H15" i="135"/>
  <c r="H16" i="135"/>
  <c r="H17" i="135"/>
  <c r="H18" i="135"/>
  <c r="H19" i="135"/>
  <c r="H20" i="135"/>
  <c r="H22" i="135"/>
  <c r="I22" i="135"/>
  <c r="H23" i="135"/>
  <c r="I23" i="135"/>
  <c r="H24" i="135"/>
  <c r="I24" i="135"/>
  <c r="H25" i="135"/>
  <c r="I25" i="135"/>
  <c r="C27" i="135"/>
  <c r="H27" i="135"/>
  <c r="I27" i="135"/>
  <c r="C28" i="135"/>
  <c r="H28" i="135"/>
  <c r="I28" i="135"/>
  <c r="C29" i="135"/>
  <c r="H29" i="135"/>
  <c r="I29" i="135"/>
  <c r="C30" i="135"/>
  <c r="H30" i="135"/>
  <c r="I30" i="135"/>
  <c r="C31" i="135"/>
  <c r="H31" i="135"/>
  <c r="I31" i="135"/>
  <c r="C32" i="135"/>
  <c r="H32" i="135"/>
  <c r="I32" i="135"/>
  <c r="C33" i="135"/>
  <c r="H33" i="135"/>
  <c r="I33" i="135"/>
  <c r="C34" i="135"/>
  <c r="H34" i="135"/>
  <c r="I34" i="135"/>
  <c r="C35" i="135"/>
  <c r="H35" i="135"/>
  <c r="I35" i="135"/>
  <c r="C36" i="135"/>
  <c r="H36" i="135"/>
  <c r="I36" i="135"/>
  <c r="C37" i="135"/>
  <c r="H37" i="135"/>
  <c r="I37" i="135"/>
  <c r="C38" i="135"/>
  <c r="H38" i="135"/>
  <c r="I38" i="135"/>
  <c r="B39" i="135"/>
  <c r="C39" i="135"/>
  <c r="H39" i="135"/>
  <c r="I39" i="135"/>
  <c r="B40" i="135"/>
  <c r="C40" i="135"/>
  <c r="H40" i="135"/>
  <c r="I40" i="135"/>
  <c r="B41" i="135"/>
  <c r="C41" i="135"/>
  <c r="H41" i="135"/>
  <c r="I41" i="135"/>
  <c r="B42" i="135"/>
  <c r="C42" i="135"/>
  <c r="H42" i="135"/>
  <c r="I42" i="135"/>
  <c r="B43" i="135"/>
  <c r="C43" i="135"/>
  <c r="H43" i="135"/>
  <c r="I43" i="135"/>
  <c r="B44" i="135"/>
  <c r="C44" i="135"/>
  <c r="H44" i="135"/>
  <c r="I44" i="135"/>
  <c r="B45" i="135"/>
  <c r="C45" i="135"/>
  <c r="H45" i="135"/>
  <c r="I45" i="135"/>
  <c r="B46" i="135"/>
  <c r="C46" i="135"/>
  <c r="H46" i="135"/>
  <c r="I46" i="135"/>
  <c r="B47" i="135"/>
  <c r="C47" i="135"/>
  <c r="H47" i="135"/>
  <c r="I47" i="135"/>
  <c r="B48" i="135"/>
  <c r="C48" i="135"/>
  <c r="H48" i="135"/>
  <c r="I48" i="135"/>
  <c r="B49" i="135"/>
  <c r="C49" i="135"/>
  <c r="H49" i="135"/>
  <c r="I49" i="135"/>
  <c r="B50" i="135"/>
  <c r="C50" i="135"/>
  <c r="H50" i="135"/>
  <c r="I50" i="135"/>
  <c r="B51" i="135"/>
  <c r="C51" i="135"/>
  <c r="H51" i="135"/>
  <c r="I51" i="135"/>
  <c r="B52" i="135"/>
  <c r="C52" i="135"/>
  <c r="H52" i="135"/>
  <c r="I52" i="135"/>
  <c r="B53" i="135"/>
  <c r="C53" i="135"/>
  <c r="H53" i="135"/>
  <c r="I53" i="135"/>
  <c r="B54" i="135"/>
  <c r="C54" i="135"/>
  <c r="H54" i="135"/>
  <c r="I54" i="135"/>
  <c r="B55" i="135"/>
  <c r="C55" i="135"/>
  <c r="H55" i="135"/>
  <c r="I55" i="135"/>
  <c r="B56" i="135"/>
  <c r="C56" i="135"/>
  <c r="H56" i="135"/>
  <c r="I56" i="135"/>
  <c r="B57" i="135"/>
  <c r="C57" i="135"/>
  <c r="H57" i="135"/>
  <c r="I57" i="135"/>
  <c r="H39" i="132"/>
  <c r="H40" i="132"/>
  <c r="H41" i="132"/>
  <c r="H42" i="132"/>
  <c r="H43" i="132"/>
  <c r="H44" i="132"/>
  <c r="H45" i="132"/>
  <c r="H46" i="132"/>
  <c r="H47" i="132"/>
  <c r="H48" i="132"/>
  <c r="H49" i="132"/>
  <c r="H50" i="132"/>
  <c r="H51" i="132"/>
  <c r="H52" i="132"/>
  <c r="H53" i="132"/>
  <c r="H54" i="132"/>
  <c r="H55" i="132"/>
  <c r="H56" i="132"/>
  <c r="H57" i="132"/>
  <c r="B39" i="134"/>
  <c r="C39" i="134"/>
  <c r="H39" i="134"/>
  <c r="I39" i="134"/>
  <c r="B40" i="134"/>
  <c r="C40" i="134"/>
  <c r="H40" i="134"/>
  <c r="I40" i="134"/>
  <c r="B41" i="134"/>
  <c r="C41" i="134"/>
  <c r="H41" i="134"/>
  <c r="I41" i="134"/>
  <c r="B42" i="134"/>
  <c r="C42" i="134"/>
  <c r="H42" i="134"/>
  <c r="I42" i="134"/>
  <c r="B43" i="134"/>
  <c r="C43" i="134"/>
  <c r="H43" i="134"/>
  <c r="I43" i="134"/>
  <c r="B44" i="134"/>
  <c r="C44" i="134"/>
  <c r="H44" i="134"/>
  <c r="I44" i="134"/>
  <c r="B45" i="134"/>
  <c r="C45" i="134"/>
  <c r="H45" i="134"/>
  <c r="I45" i="134"/>
  <c r="B46" i="134"/>
  <c r="C46" i="134"/>
  <c r="H46" i="134"/>
  <c r="I46" i="134"/>
  <c r="B47" i="134"/>
  <c r="C47" i="134"/>
  <c r="H47" i="134"/>
  <c r="I47" i="134"/>
  <c r="B48" i="134"/>
  <c r="C48" i="134"/>
  <c r="H48" i="134"/>
  <c r="I48" i="134"/>
  <c r="B49" i="134"/>
  <c r="C49" i="134"/>
  <c r="H49" i="134"/>
  <c r="I49" i="134"/>
  <c r="B50" i="134"/>
  <c r="C50" i="134"/>
  <c r="H50" i="134"/>
  <c r="I50" i="134"/>
  <c r="B51" i="134"/>
  <c r="C51" i="134"/>
  <c r="H51" i="134"/>
  <c r="I51" i="134"/>
  <c r="B52" i="134"/>
  <c r="C52" i="134"/>
  <c r="H52" i="134"/>
  <c r="I52" i="134"/>
  <c r="B53" i="134"/>
  <c r="C53" i="134"/>
  <c r="H53" i="134"/>
  <c r="I53" i="134"/>
  <c r="B54" i="134"/>
  <c r="C54" i="134"/>
  <c r="H54" i="134"/>
  <c r="I54" i="134"/>
  <c r="B55" i="134"/>
  <c r="C55" i="134"/>
  <c r="H55" i="134"/>
  <c r="I55" i="134"/>
  <c r="B56" i="134"/>
  <c r="C56" i="134"/>
  <c r="H56" i="134"/>
  <c r="I56" i="134"/>
  <c r="B57" i="134"/>
  <c r="C57" i="134"/>
  <c r="H57" i="134"/>
  <c r="I57" i="134"/>
  <c r="I39" i="132"/>
  <c r="I40" i="132"/>
  <c r="I41" i="132"/>
  <c r="I42" i="132"/>
  <c r="I43" i="132"/>
  <c r="I44" i="132"/>
  <c r="I45" i="132"/>
  <c r="I46" i="132"/>
  <c r="I47" i="132"/>
  <c r="I48" i="132"/>
  <c r="I49" i="132"/>
  <c r="I50" i="132"/>
  <c r="I51" i="132"/>
  <c r="I52" i="132"/>
  <c r="I53" i="132"/>
  <c r="I54" i="132"/>
  <c r="I55" i="132"/>
  <c r="I56" i="132"/>
  <c r="I57" i="132"/>
  <c r="KN40" i="96"/>
  <c r="KB40" i="96"/>
  <c r="KC40" i="96"/>
  <c r="KN41" i="96"/>
  <c r="KB41" i="96"/>
  <c r="KC41" i="96"/>
  <c r="Q44" i="126"/>
  <c r="Q45" i="126"/>
  <c r="Q46" i="126"/>
  <c r="Q47" i="126"/>
  <c r="KN42" i="96"/>
  <c r="KB42" i="96"/>
  <c r="KC42" i="96"/>
  <c r="KW42" i="96"/>
  <c r="KX42" i="96"/>
  <c r="KZ42" i="96"/>
  <c r="KY42" i="96"/>
  <c r="KW43" i="96"/>
  <c r="KX43" i="96"/>
  <c r="KY43" i="96"/>
  <c r="KN43" i="96"/>
  <c r="KB43" i="96"/>
  <c r="KC43" i="96"/>
  <c r="KN44" i="96"/>
  <c r="KB44" i="96"/>
  <c r="KC44" i="96"/>
  <c r="KW44" i="96"/>
  <c r="KX44" i="96"/>
  <c r="KZ44" i="96"/>
  <c r="KY44" i="96"/>
  <c r="KW45" i="96"/>
  <c r="KX45" i="96"/>
  <c r="KY45" i="96"/>
  <c r="KN45" i="96"/>
  <c r="KB45" i="96"/>
  <c r="KC45" i="96"/>
  <c r="JQ45" i="96"/>
  <c r="JR45" i="96"/>
  <c r="KW46" i="96"/>
  <c r="KX46" i="96"/>
  <c r="KY46" i="96"/>
  <c r="KN46" i="96"/>
  <c r="KB46" i="96"/>
  <c r="KC46" i="96"/>
  <c r="JQ46" i="96"/>
  <c r="JR46" i="96"/>
  <c r="KW47" i="96"/>
  <c r="KX47" i="96"/>
  <c r="KY47" i="96"/>
  <c r="KN47" i="96"/>
  <c r="KB47" i="96"/>
  <c r="KC47" i="96"/>
  <c r="JQ47" i="96"/>
  <c r="JR47" i="96"/>
  <c r="KW48" i="96"/>
  <c r="KX48" i="96"/>
  <c r="KY48" i="96"/>
  <c r="KN48" i="96"/>
  <c r="KB48" i="96"/>
  <c r="KC48" i="96"/>
  <c r="KN49" i="96"/>
  <c r="KB49" i="96"/>
  <c r="KC49" i="96"/>
  <c r="KW49" i="96"/>
  <c r="KX49" i="96"/>
  <c r="KY49" i="96"/>
  <c r="JQ49" i="96"/>
  <c r="JR49" i="96"/>
  <c r="KW50" i="96"/>
  <c r="KX50" i="96"/>
  <c r="KY50" i="96"/>
  <c r="KN50" i="96"/>
  <c r="KB50" i="96"/>
  <c r="KC50" i="96"/>
  <c r="JQ50" i="96"/>
  <c r="JR50" i="96"/>
  <c r="KW51" i="96"/>
  <c r="KX51" i="96"/>
  <c r="KY51" i="96"/>
  <c r="KN51" i="96"/>
  <c r="KB51" i="96"/>
  <c r="KC51" i="96"/>
  <c r="JQ51" i="96"/>
  <c r="JR51" i="96"/>
  <c r="KW52" i="96"/>
  <c r="KX52" i="96"/>
  <c r="KY52" i="96"/>
  <c r="KN52" i="96"/>
  <c r="KB52" i="96"/>
  <c r="KC52" i="96"/>
  <c r="JQ52" i="96"/>
  <c r="JR52" i="96"/>
  <c r="JH52" i="96"/>
  <c r="JF52" i="96"/>
  <c r="JG52" i="96"/>
  <c r="JE52" i="96"/>
  <c r="JD52" i="96"/>
  <c r="JC52" i="96"/>
  <c r="JB52" i="96"/>
  <c r="JA52" i="96"/>
  <c r="IZ52" i="96"/>
  <c r="IY52" i="96"/>
  <c r="IX52" i="96"/>
  <c r="KW53" i="96"/>
  <c r="KX53" i="96"/>
  <c r="KY53" i="96"/>
  <c r="KN53" i="96"/>
  <c r="KB53" i="96"/>
  <c r="KC53" i="96"/>
  <c r="KW54" i="96"/>
  <c r="KX54" i="96"/>
  <c r="KY54" i="96"/>
  <c r="KN54" i="96"/>
  <c r="KB54" i="96"/>
  <c r="KC54" i="96"/>
  <c r="IX11" i="96"/>
  <c r="IX12" i="96"/>
  <c r="IX13" i="96"/>
  <c r="IX14" i="96"/>
  <c r="IX15" i="96"/>
  <c r="IX16" i="96"/>
  <c r="IX17" i="96"/>
  <c r="IX18" i="96"/>
  <c r="IX19" i="96"/>
  <c r="IX20" i="96"/>
  <c r="IX21" i="96"/>
  <c r="IX22" i="96"/>
  <c r="IX23" i="96"/>
  <c r="IX24" i="96"/>
  <c r="IX25" i="96"/>
  <c r="IX26" i="96"/>
  <c r="IX27" i="96"/>
  <c r="IX28" i="96"/>
  <c r="IX29" i="96"/>
  <c r="IX30" i="96"/>
  <c r="IX31" i="96"/>
  <c r="IX32" i="96"/>
  <c r="IX33" i="96"/>
  <c r="IX34" i="96"/>
  <c r="IX35" i="96"/>
  <c r="IX36" i="96"/>
  <c r="IX37" i="96"/>
  <c r="IX38" i="96"/>
  <c r="IX39" i="96"/>
  <c r="IX40" i="96"/>
  <c r="IX41" i="96"/>
  <c r="IX42" i="96"/>
  <c r="IX43" i="96"/>
  <c r="IX44" i="96"/>
  <c r="IX45" i="96"/>
  <c r="IX46" i="96"/>
  <c r="IX47" i="96"/>
  <c r="IX48" i="96"/>
  <c r="IX49" i="96"/>
  <c r="IX50" i="96"/>
  <c r="IX51" i="96"/>
  <c r="IX53" i="96"/>
  <c r="IX54" i="96"/>
  <c r="IX55" i="96"/>
  <c r="IX56" i="96"/>
  <c r="IX57" i="96"/>
  <c r="IX58" i="96"/>
  <c r="IX59" i="96"/>
  <c r="KW55" i="96"/>
  <c r="KX55" i="96"/>
  <c r="KY55" i="96"/>
  <c r="KN55" i="96"/>
  <c r="KB55" i="96"/>
  <c r="KC55" i="96"/>
  <c r="KW56" i="96"/>
  <c r="KX56" i="96"/>
  <c r="KY56" i="96"/>
  <c r="KN56" i="96"/>
  <c r="KB56" i="96"/>
  <c r="KC56" i="96"/>
  <c r="KW57" i="96"/>
  <c r="KX57" i="96"/>
  <c r="KY57" i="96"/>
  <c r="KN57" i="96"/>
  <c r="KB57" i="96"/>
  <c r="KC57" i="96"/>
  <c r="IX60" i="96"/>
  <c r="LA11" i="96"/>
  <c r="IY11" i="96"/>
  <c r="LB11" i="96"/>
  <c r="IZ11" i="96"/>
  <c r="LC11" i="96"/>
  <c r="JA11" i="96"/>
  <c r="LD11" i="96"/>
  <c r="JB11" i="96"/>
  <c r="LE11" i="96"/>
  <c r="JC11" i="96"/>
  <c r="LF11" i="96"/>
  <c r="JD11" i="96"/>
  <c r="LG11" i="96"/>
  <c r="JE11" i="96"/>
  <c r="LH11" i="96"/>
  <c r="JQ11" i="96"/>
  <c r="JF11" i="96"/>
  <c r="LI11" i="96"/>
  <c r="JH11" i="96"/>
  <c r="LK11" i="96"/>
  <c r="LJ11" i="96"/>
  <c r="LA12" i="96"/>
  <c r="IY12" i="96"/>
  <c r="LB12" i="96"/>
  <c r="IZ12" i="96"/>
  <c r="LC12" i="96"/>
  <c r="JA12" i="96"/>
  <c r="LD12" i="96"/>
  <c r="JB12" i="96"/>
  <c r="LE12" i="96"/>
  <c r="JC12" i="96"/>
  <c r="LF12" i="96"/>
  <c r="JD12" i="96"/>
  <c r="LG12" i="96"/>
  <c r="JE12" i="96"/>
  <c r="LH12" i="96"/>
  <c r="JQ12" i="96"/>
  <c r="JF12" i="96"/>
  <c r="LI12" i="96"/>
  <c r="JH12" i="96"/>
  <c r="LK12" i="96"/>
  <c r="LJ12" i="96"/>
  <c r="LA13" i="96"/>
  <c r="IY13" i="96"/>
  <c r="LB13" i="96"/>
  <c r="IZ13" i="96"/>
  <c r="LC13" i="96"/>
  <c r="JA13" i="96"/>
  <c r="LD13" i="96"/>
  <c r="JB13" i="96"/>
  <c r="LE13" i="96"/>
  <c r="JC13" i="96"/>
  <c r="LF13" i="96"/>
  <c r="JD13" i="96"/>
  <c r="LG13" i="96"/>
  <c r="JE13" i="96"/>
  <c r="LH13" i="96"/>
  <c r="JQ13" i="96"/>
  <c r="JF13" i="96"/>
  <c r="LI13" i="96"/>
  <c r="JH13" i="96"/>
  <c r="LK13" i="96"/>
  <c r="LJ13" i="96"/>
  <c r="LA14" i="96"/>
  <c r="IY14" i="96"/>
  <c r="LB14" i="96"/>
  <c r="IZ14" i="96"/>
  <c r="LC14" i="96"/>
  <c r="JA14" i="96"/>
  <c r="LD14" i="96"/>
  <c r="JB14" i="96"/>
  <c r="LE14" i="96"/>
  <c r="JC14" i="96"/>
  <c r="LF14" i="96"/>
  <c r="JD14" i="96"/>
  <c r="LG14" i="96"/>
  <c r="JE14" i="96"/>
  <c r="LH14" i="96"/>
  <c r="JQ14" i="96"/>
  <c r="JF14" i="96"/>
  <c r="LI14" i="96"/>
  <c r="JH14" i="96"/>
  <c r="LK14" i="96"/>
  <c r="LJ14" i="96"/>
  <c r="LA15" i="96"/>
  <c r="IY15" i="96"/>
  <c r="LB15" i="96"/>
  <c r="IZ15" i="96"/>
  <c r="LC15" i="96"/>
  <c r="JA15" i="96"/>
  <c r="LD15" i="96"/>
  <c r="JB15" i="96"/>
  <c r="LE15" i="96"/>
  <c r="JC15" i="96"/>
  <c r="LF15" i="96"/>
  <c r="JD15" i="96"/>
  <c r="LG15" i="96"/>
  <c r="JE15" i="96"/>
  <c r="LH15" i="96"/>
  <c r="JQ15" i="96"/>
  <c r="JF15" i="96"/>
  <c r="LI15" i="96"/>
  <c r="JH15" i="96"/>
  <c r="LK15" i="96"/>
  <c r="LJ15" i="96"/>
  <c r="LA16" i="96"/>
  <c r="IY16" i="96"/>
  <c r="LB16" i="96"/>
  <c r="IZ16" i="96"/>
  <c r="LC16" i="96"/>
  <c r="JA16" i="96"/>
  <c r="LD16" i="96"/>
  <c r="JB16" i="96"/>
  <c r="LE16" i="96"/>
  <c r="JC16" i="96"/>
  <c r="LF16" i="96"/>
  <c r="JD16" i="96"/>
  <c r="LG16" i="96"/>
  <c r="JE16" i="96"/>
  <c r="LH16" i="96"/>
  <c r="JQ16" i="96"/>
  <c r="JF16" i="96"/>
  <c r="LI16" i="96"/>
  <c r="JH16" i="96"/>
  <c r="LK16" i="96"/>
  <c r="LJ16" i="96"/>
  <c r="LA17" i="96"/>
  <c r="IY17" i="96"/>
  <c r="LB17" i="96"/>
  <c r="IZ17" i="96"/>
  <c r="LC17" i="96"/>
  <c r="JA17" i="96"/>
  <c r="LD17" i="96"/>
  <c r="JB17" i="96"/>
  <c r="LE17" i="96"/>
  <c r="JC17" i="96"/>
  <c r="LF17" i="96"/>
  <c r="JD17" i="96"/>
  <c r="LG17" i="96"/>
  <c r="JE17" i="96"/>
  <c r="LH17" i="96"/>
  <c r="JQ17" i="96"/>
  <c r="JF17" i="96"/>
  <c r="LI17" i="96"/>
  <c r="JH17" i="96"/>
  <c r="LK17" i="96"/>
  <c r="LJ17" i="96"/>
  <c r="LA18" i="96"/>
  <c r="IY18" i="96"/>
  <c r="LB18" i="96"/>
  <c r="IZ18" i="96"/>
  <c r="LC18" i="96"/>
  <c r="JA18" i="96"/>
  <c r="LD18" i="96"/>
  <c r="JB18" i="96"/>
  <c r="LE18" i="96"/>
  <c r="JC18" i="96"/>
  <c r="LF18" i="96"/>
  <c r="JD18" i="96"/>
  <c r="LG18" i="96"/>
  <c r="JE18" i="96"/>
  <c r="LH18" i="96"/>
  <c r="JQ18" i="96"/>
  <c r="JF18" i="96"/>
  <c r="LI18" i="96"/>
  <c r="JH18" i="96"/>
  <c r="LK18" i="96"/>
  <c r="LJ18" i="96"/>
  <c r="LA19" i="96"/>
  <c r="IY19" i="96"/>
  <c r="LB19" i="96"/>
  <c r="IZ19" i="96"/>
  <c r="LC19" i="96"/>
  <c r="JA19" i="96"/>
  <c r="LD19" i="96"/>
  <c r="JB19" i="96"/>
  <c r="LE19" i="96"/>
  <c r="JC19" i="96"/>
  <c r="LF19" i="96"/>
  <c r="JD19" i="96"/>
  <c r="LG19" i="96"/>
  <c r="JE19" i="96"/>
  <c r="LH19" i="96"/>
  <c r="JQ19" i="96"/>
  <c r="JF19" i="96"/>
  <c r="LI19" i="96"/>
  <c r="JH19" i="96"/>
  <c r="LK19" i="96"/>
  <c r="LJ19" i="96"/>
  <c r="LA20" i="96"/>
  <c r="IY20" i="96"/>
  <c r="LB20" i="96"/>
  <c r="IZ20" i="96"/>
  <c r="LC20" i="96"/>
  <c r="JA20" i="96"/>
  <c r="LD20" i="96"/>
  <c r="JB20" i="96"/>
  <c r="LE20" i="96"/>
  <c r="JC20" i="96"/>
  <c r="LF20" i="96"/>
  <c r="JD20" i="96"/>
  <c r="LG20" i="96"/>
  <c r="JE20" i="96"/>
  <c r="LH20" i="96"/>
  <c r="JQ20" i="96"/>
  <c r="JF20" i="96"/>
  <c r="LI20" i="96"/>
  <c r="JH20" i="96"/>
  <c r="LK20" i="96"/>
  <c r="LJ20" i="96"/>
  <c r="LA21" i="96"/>
  <c r="IY21" i="96"/>
  <c r="LB21" i="96"/>
  <c r="IZ21" i="96"/>
  <c r="LC21" i="96"/>
  <c r="JA21" i="96"/>
  <c r="LD21" i="96"/>
  <c r="JB21" i="96"/>
  <c r="LE21" i="96"/>
  <c r="JC21" i="96"/>
  <c r="LF21" i="96"/>
  <c r="JD21" i="96"/>
  <c r="LG21" i="96"/>
  <c r="JE21" i="96"/>
  <c r="LH21" i="96"/>
  <c r="JQ21" i="96"/>
  <c r="JF21" i="96"/>
  <c r="LI21" i="96"/>
  <c r="JH21" i="96"/>
  <c r="LK21" i="96"/>
  <c r="LJ21" i="96"/>
  <c r="LA22" i="96"/>
  <c r="IY22" i="96"/>
  <c r="LB22" i="96"/>
  <c r="IZ22" i="96"/>
  <c r="LC22" i="96"/>
  <c r="JA22" i="96"/>
  <c r="LD22" i="96"/>
  <c r="JB22" i="96"/>
  <c r="LE22" i="96"/>
  <c r="JC22" i="96"/>
  <c r="LF22" i="96"/>
  <c r="JD22" i="96"/>
  <c r="LG22" i="96"/>
  <c r="JE22" i="96"/>
  <c r="LH22" i="96"/>
  <c r="JQ22" i="96"/>
  <c r="JF22" i="96"/>
  <c r="LI22" i="96"/>
  <c r="JH22" i="96"/>
  <c r="LK22" i="96"/>
  <c r="LJ22" i="96"/>
  <c r="LA23" i="96"/>
  <c r="IY23" i="96"/>
  <c r="LB23" i="96"/>
  <c r="IZ23" i="96"/>
  <c r="LC23" i="96"/>
  <c r="JA23" i="96"/>
  <c r="LD23" i="96"/>
  <c r="JB23" i="96"/>
  <c r="LE23" i="96"/>
  <c r="JC23" i="96"/>
  <c r="LF23" i="96"/>
  <c r="JD23" i="96"/>
  <c r="LG23" i="96"/>
  <c r="JE23" i="96"/>
  <c r="LH23" i="96"/>
  <c r="JQ23" i="96"/>
  <c r="JF23" i="96"/>
  <c r="LI23" i="96"/>
  <c r="JH23" i="96"/>
  <c r="LK23" i="96"/>
  <c r="LJ23" i="96"/>
  <c r="LA24" i="96"/>
  <c r="IY24" i="96"/>
  <c r="LB24" i="96"/>
  <c r="IZ24" i="96"/>
  <c r="LC24" i="96"/>
  <c r="JA24" i="96"/>
  <c r="LD24" i="96"/>
  <c r="JB24" i="96"/>
  <c r="LE24" i="96"/>
  <c r="JC24" i="96"/>
  <c r="LF24" i="96"/>
  <c r="JD24" i="96"/>
  <c r="LG24" i="96"/>
  <c r="JE24" i="96"/>
  <c r="LH24" i="96"/>
  <c r="JQ24" i="96"/>
  <c r="JF24" i="96"/>
  <c r="LI24" i="96"/>
  <c r="JH24" i="96"/>
  <c r="LK24" i="96"/>
  <c r="LJ24" i="96"/>
  <c r="LA25" i="96"/>
  <c r="IY25" i="96"/>
  <c r="LB25" i="96"/>
  <c r="IZ25" i="96"/>
  <c r="LC25" i="96"/>
  <c r="JA25" i="96"/>
  <c r="LD25" i="96"/>
  <c r="JB25" i="96"/>
  <c r="LE25" i="96"/>
  <c r="JC25" i="96"/>
  <c r="LF25" i="96"/>
  <c r="JD25" i="96"/>
  <c r="LG25" i="96"/>
  <c r="JE25" i="96"/>
  <c r="LH25" i="96"/>
  <c r="JQ25" i="96"/>
  <c r="JF25" i="96"/>
  <c r="LI25" i="96"/>
  <c r="JH25" i="96"/>
  <c r="LK25" i="96"/>
  <c r="LJ25" i="96"/>
  <c r="LA26" i="96"/>
  <c r="IY26" i="96"/>
  <c r="LB26" i="96"/>
  <c r="IZ26" i="96"/>
  <c r="LC26" i="96"/>
  <c r="JA26" i="96"/>
  <c r="LD26" i="96"/>
  <c r="JB26" i="96"/>
  <c r="LE26" i="96"/>
  <c r="JC26" i="96"/>
  <c r="LF26" i="96"/>
  <c r="JD26" i="96"/>
  <c r="LG26" i="96"/>
  <c r="JE26" i="96"/>
  <c r="LH26" i="96"/>
  <c r="JQ26" i="96"/>
  <c r="JF26" i="96"/>
  <c r="LI26" i="96"/>
  <c r="JH26" i="96"/>
  <c r="LK26" i="96"/>
  <c r="LJ26" i="96"/>
  <c r="LA27" i="96"/>
  <c r="IY27" i="96"/>
  <c r="LB27" i="96"/>
  <c r="IZ27" i="96"/>
  <c r="LC27" i="96"/>
  <c r="JA27" i="96"/>
  <c r="LD27" i="96"/>
  <c r="JB27" i="96"/>
  <c r="LE27" i="96"/>
  <c r="JC27" i="96"/>
  <c r="LF27" i="96"/>
  <c r="JD27" i="96"/>
  <c r="LG27" i="96"/>
  <c r="JE27" i="96"/>
  <c r="LH27" i="96"/>
  <c r="JQ27" i="96"/>
  <c r="JF27" i="96"/>
  <c r="LI27" i="96"/>
  <c r="JH27" i="96"/>
  <c r="LK27" i="96"/>
  <c r="LJ27" i="96"/>
  <c r="LA28" i="96"/>
  <c r="IY28" i="96"/>
  <c r="LB28" i="96"/>
  <c r="IZ28" i="96"/>
  <c r="LC28" i="96"/>
  <c r="JA28" i="96"/>
  <c r="LD28" i="96"/>
  <c r="JB28" i="96"/>
  <c r="LE28" i="96"/>
  <c r="JC28" i="96"/>
  <c r="LF28" i="96"/>
  <c r="JD28" i="96"/>
  <c r="LG28" i="96"/>
  <c r="JE28" i="96"/>
  <c r="LH28" i="96"/>
  <c r="JQ28" i="96"/>
  <c r="JF28" i="96"/>
  <c r="LI28" i="96"/>
  <c r="JH28" i="96"/>
  <c r="LK28" i="96"/>
  <c r="LJ28" i="96"/>
  <c r="LA29" i="96"/>
  <c r="IY29" i="96"/>
  <c r="LB29" i="96"/>
  <c r="IZ29" i="96"/>
  <c r="LC29" i="96"/>
  <c r="JA29" i="96"/>
  <c r="LD29" i="96"/>
  <c r="JB29" i="96"/>
  <c r="LE29" i="96"/>
  <c r="JC29" i="96"/>
  <c r="LF29" i="96"/>
  <c r="JD29" i="96"/>
  <c r="LG29" i="96"/>
  <c r="JE29" i="96"/>
  <c r="LH29" i="96"/>
  <c r="JQ29" i="96"/>
  <c r="JF29" i="96"/>
  <c r="LI29" i="96"/>
  <c r="JH29" i="96"/>
  <c r="LK29" i="96"/>
  <c r="LJ29" i="96"/>
  <c r="LA30" i="96"/>
  <c r="IY30" i="96"/>
  <c r="LB30" i="96"/>
  <c r="IZ30" i="96"/>
  <c r="LC30" i="96"/>
  <c r="JA30" i="96"/>
  <c r="LD30" i="96"/>
  <c r="JB30" i="96"/>
  <c r="LE30" i="96"/>
  <c r="JC30" i="96"/>
  <c r="LF30" i="96"/>
  <c r="JD30" i="96"/>
  <c r="LG30" i="96"/>
  <c r="JE30" i="96"/>
  <c r="LH30" i="96"/>
  <c r="JQ30" i="96"/>
  <c r="JF30" i="96"/>
  <c r="LI30" i="96"/>
  <c r="JH30" i="96"/>
  <c r="LK30" i="96"/>
  <c r="LJ30" i="96"/>
  <c r="LA31" i="96"/>
  <c r="IY31" i="96"/>
  <c r="LB31" i="96"/>
  <c r="IZ31" i="96"/>
  <c r="LC31" i="96"/>
  <c r="JA31" i="96"/>
  <c r="LD31" i="96"/>
  <c r="JB31" i="96"/>
  <c r="LE31" i="96"/>
  <c r="JC31" i="96"/>
  <c r="LF31" i="96"/>
  <c r="JD31" i="96"/>
  <c r="LG31" i="96"/>
  <c r="JE31" i="96"/>
  <c r="LH31" i="96"/>
  <c r="JQ31" i="96"/>
  <c r="JF31" i="96"/>
  <c r="LI31" i="96"/>
  <c r="JH31" i="96"/>
  <c r="LK31" i="96"/>
  <c r="LJ31" i="96"/>
  <c r="LA32" i="96"/>
  <c r="IY32" i="96"/>
  <c r="LB32" i="96"/>
  <c r="IZ32" i="96"/>
  <c r="LC32" i="96"/>
  <c r="JA32" i="96"/>
  <c r="LD32" i="96"/>
  <c r="JB32" i="96"/>
  <c r="LE32" i="96"/>
  <c r="JC32" i="96"/>
  <c r="LF32" i="96"/>
  <c r="JD32" i="96"/>
  <c r="LG32" i="96"/>
  <c r="JE32" i="96"/>
  <c r="LH32" i="96"/>
  <c r="JQ32" i="96"/>
  <c r="JF32" i="96"/>
  <c r="LI32" i="96"/>
  <c r="JH32" i="96"/>
  <c r="LK32" i="96"/>
  <c r="LJ32" i="96"/>
  <c r="LA33" i="96"/>
  <c r="IY33" i="96"/>
  <c r="LB33" i="96"/>
  <c r="IZ33" i="96"/>
  <c r="LC33" i="96"/>
  <c r="JA33" i="96"/>
  <c r="LD33" i="96"/>
  <c r="JB33" i="96"/>
  <c r="LE33" i="96"/>
  <c r="JC33" i="96"/>
  <c r="LF33" i="96"/>
  <c r="JD33" i="96"/>
  <c r="LG33" i="96"/>
  <c r="JE33" i="96"/>
  <c r="LH33" i="96"/>
  <c r="JQ33" i="96"/>
  <c r="JF33" i="96"/>
  <c r="LI33" i="96"/>
  <c r="JH33" i="96"/>
  <c r="LK33" i="96"/>
  <c r="LJ33" i="96"/>
  <c r="LA34" i="96"/>
  <c r="IY34" i="96"/>
  <c r="LB34" i="96"/>
  <c r="IZ34" i="96"/>
  <c r="LC34" i="96"/>
  <c r="JA34" i="96"/>
  <c r="LD34" i="96"/>
  <c r="JB34" i="96"/>
  <c r="LE34" i="96"/>
  <c r="JC34" i="96"/>
  <c r="LF34" i="96"/>
  <c r="JD34" i="96"/>
  <c r="LG34" i="96"/>
  <c r="JE34" i="96"/>
  <c r="LH34" i="96"/>
  <c r="JQ34" i="96"/>
  <c r="JF34" i="96"/>
  <c r="LI34" i="96"/>
  <c r="JH34" i="96"/>
  <c r="LK34" i="96"/>
  <c r="LJ34" i="96"/>
  <c r="LA35" i="96"/>
  <c r="IY35" i="96"/>
  <c r="LB35" i="96"/>
  <c r="IZ35" i="96"/>
  <c r="LC35" i="96"/>
  <c r="JA35" i="96"/>
  <c r="LD35" i="96"/>
  <c r="JB35" i="96"/>
  <c r="LE35" i="96"/>
  <c r="JC35" i="96"/>
  <c r="LF35" i="96"/>
  <c r="JD35" i="96"/>
  <c r="LG35" i="96"/>
  <c r="JE35" i="96"/>
  <c r="LH35" i="96"/>
  <c r="JQ35" i="96"/>
  <c r="JF35" i="96"/>
  <c r="LI35" i="96"/>
  <c r="JH35" i="96"/>
  <c r="LK35" i="96"/>
  <c r="LJ35" i="96"/>
  <c r="LA36" i="96"/>
  <c r="IY36" i="96"/>
  <c r="LB36" i="96"/>
  <c r="IZ36" i="96"/>
  <c r="LC36" i="96"/>
  <c r="JA36" i="96"/>
  <c r="LD36" i="96"/>
  <c r="JB36" i="96"/>
  <c r="LE36" i="96"/>
  <c r="JC36" i="96"/>
  <c r="LF36" i="96"/>
  <c r="JD36" i="96"/>
  <c r="LG36" i="96"/>
  <c r="JE36" i="96"/>
  <c r="LH36" i="96"/>
  <c r="JQ36" i="96"/>
  <c r="JF36" i="96"/>
  <c r="LI36" i="96"/>
  <c r="JH36" i="96"/>
  <c r="LK36" i="96"/>
  <c r="LJ36" i="96"/>
  <c r="LA37" i="96"/>
  <c r="IY37" i="96"/>
  <c r="LB37" i="96"/>
  <c r="IZ37" i="96"/>
  <c r="LC37" i="96"/>
  <c r="JA37" i="96"/>
  <c r="LD37" i="96"/>
  <c r="JB37" i="96"/>
  <c r="LE37" i="96"/>
  <c r="JC37" i="96"/>
  <c r="LF37" i="96"/>
  <c r="JD37" i="96"/>
  <c r="LG37" i="96"/>
  <c r="JE37" i="96"/>
  <c r="LH37" i="96"/>
  <c r="JQ37" i="96"/>
  <c r="JF37" i="96"/>
  <c r="LI37" i="96"/>
  <c r="JH37" i="96"/>
  <c r="LK37" i="96"/>
  <c r="LJ37" i="96"/>
  <c r="LA38" i="96"/>
  <c r="IY38" i="96"/>
  <c r="LB38" i="96"/>
  <c r="IZ38" i="96"/>
  <c r="LC38" i="96"/>
  <c r="JA38" i="96"/>
  <c r="LD38" i="96"/>
  <c r="JB38" i="96"/>
  <c r="LE38" i="96"/>
  <c r="JC38" i="96"/>
  <c r="LF38" i="96"/>
  <c r="JD38" i="96"/>
  <c r="LG38" i="96"/>
  <c r="JE38" i="96"/>
  <c r="LH38" i="96"/>
  <c r="JQ38" i="96"/>
  <c r="JF38" i="96"/>
  <c r="LI38" i="96"/>
  <c r="JH38" i="96"/>
  <c r="LK38" i="96"/>
  <c r="LJ38" i="96"/>
  <c r="LA39" i="96"/>
  <c r="IY39" i="96"/>
  <c r="LB39" i="96"/>
  <c r="IZ39" i="96"/>
  <c r="LC39" i="96"/>
  <c r="JA39" i="96"/>
  <c r="LD39" i="96"/>
  <c r="JB39" i="96"/>
  <c r="LE39" i="96"/>
  <c r="JC39" i="96"/>
  <c r="LF39" i="96"/>
  <c r="JD39" i="96"/>
  <c r="LG39" i="96"/>
  <c r="JE39" i="96"/>
  <c r="LH39" i="96"/>
  <c r="JQ39" i="96"/>
  <c r="JF39" i="96"/>
  <c r="LI39" i="96"/>
  <c r="JH39" i="96"/>
  <c r="LK39" i="96"/>
  <c r="LJ39" i="96"/>
  <c r="LA40" i="96"/>
  <c r="IY40" i="96"/>
  <c r="LB40" i="96"/>
  <c r="IZ40" i="96"/>
  <c r="LC40" i="96"/>
  <c r="JA40" i="96"/>
  <c r="LD40" i="96"/>
  <c r="JB40" i="96"/>
  <c r="LE40" i="96"/>
  <c r="JC40" i="96"/>
  <c r="LF40" i="96"/>
  <c r="JD40" i="96"/>
  <c r="LG40" i="96"/>
  <c r="JE40" i="96"/>
  <c r="LH40" i="96"/>
  <c r="JQ40" i="96"/>
  <c r="JF40" i="96"/>
  <c r="LI40" i="96"/>
  <c r="JH40" i="96"/>
  <c r="LK40" i="96"/>
  <c r="LJ40" i="96"/>
  <c r="LA41" i="96"/>
  <c r="IY41" i="96"/>
  <c r="LB41" i="96"/>
  <c r="IZ41" i="96"/>
  <c r="LC41" i="96"/>
  <c r="JA41" i="96"/>
  <c r="LD41" i="96"/>
  <c r="JB41" i="96"/>
  <c r="LE41" i="96"/>
  <c r="JC41" i="96"/>
  <c r="LF41" i="96"/>
  <c r="JD41" i="96"/>
  <c r="LG41" i="96"/>
  <c r="JE41" i="96"/>
  <c r="LH41" i="96"/>
  <c r="JQ41" i="96"/>
  <c r="JF41" i="96"/>
  <c r="LI41" i="96"/>
  <c r="JH41" i="96"/>
  <c r="LK41" i="96"/>
  <c r="LJ41" i="96"/>
  <c r="LA42" i="96"/>
  <c r="IY42" i="96"/>
  <c r="LB42" i="96"/>
  <c r="IZ42" i="96"/>
  <c r="LC42" i="96"/>
  <c r="JA42" i="96"/>
  <c r="LD42" i="96"/>
  <c r="JB42" i="96"/>
  <c r="LE42" i="96"/>
  <c r="JC42" i="96"/>
  <c r="LF42" i="96"/>
  <c r="JD42" i="96"/>
  <c r="LG42" i="96"/>
  <c r="JE42" i="96"/>
  <c r="LH42" i="96"/>
  <c r="JQ42" i="96"/>
  <c r="JF42" i="96"/>
  <c r="LI42" i="96"/>
  <c r="JH42" i="96"/>
  <c r="LK42" i="96"/>
  <c r="LJ42" i="96"/>
  <c r="LA43" i="96"/>
  <c r="IY43" i="96"/>
  <c r="LB43" i="96"/>
  <c r="IZ43" i="96"/>
  <c r="LC43" i="96"/>
  <c r="JA43" i="96"/>
  <c r="LD43" i="96"/>
  <c r="JB43" i="96"/>
  <c r="LE43" i="96"/>
  <c r="JC43" i="96"/>
  <c r="LF43" i="96"/>
  <c r="JD43" i="96"/>
  <c r="LG43" i="96"/>
  <c r="JE43" i="96"/>
  <c r="LH43" i="96"/>
  <c r="JQ43" i="96"/>
  <c r="JF43" i="96"/>
  <c r="LI43" i="96"/>
  <c r="JH43" i="96"/>
  <c r="LK43" i="96"/>
  <c r="LJ43" i="96"/>
  <c r="LA44" i="96"/>
  <c r="IY44" i="96"/>
  <c r="LB44" i="96"/>
  <c r="IZ44" i="96"/>
  <c r="LC44" i="96"/>
  <c r="JA44" i="96"/>
  <c r="LD44" i="96"/>
  <c r="JB44" i="96"/>
  <c r="LE44" i="96"/>
  <c r="JC44" i="96"/>
  <c r="LF44" i="96"/>
  <c r="JD44" i="96"/>
  <c r="LG44" i="96"/>
  <c r="JE44" i="96"/>
  <c r="LH44" i="96"/>
  <c r="JQ44" i="96"/>
  <c r="JF44" i="96"/>
  <c r="LI44" i="96"/>
  <c r="JH44" i="96"/>
  <c r="LK44" i="96"/>
  <c r="LJ44" i="96"/>
  <c r="LA45" i="96"/>
  <c r="IY45" i="96"/>
  <c r="LB45" i="96"/>
  <c r="IZ45" i="96"/>
  <c r="LC45" i="96"/>
  <c r="JA45" i="96"/>
  <c r="LD45" i="96"/>
  <c r="JB45" i="96"/>
  <c r="LE45" i="96"/>
  <c r="JC45" i="96"/>
  <c r="LF45" i="96"/>
  <c r="JD45" i="96"/>
  <c r="LG45" i="96"/>
  <c r="JE45" i="96"/>
  <c r="LH45" i="96"/>
  <c r="JF45" i="96"/>
  <c r="LI45" i="96"/>
  <c r="JH45" i="96"/>
  <c r="LK45" i="96"/>
  <c r="LJ45" i="96"/>
  <c r="LA46" i="96"/>
  <c r="IY46" i="96"/>
  <c r="LB46" i="96"/>
  <c r="IZ46" i="96"/>
  <c r="LC46" i="96"/>
  <c r="JA46" i="96"/>
  <c r="LD46" i="96"/>
  <c r="JB46" i="96"/>
  <c r="LE46" i="96"/>
  <c r="JC46" i="96"/>
  <c r="LF46" i="96"/>
  <c r="JD46" i="96"/>
  <c r="LG46" i="96"/>
  <c r="JE46" i="96"/>
  <c r="LH46" i="96"/>
  <c r="JF46" i="96"/>
  <c r="LI46" i="96"/>
  <c r="JH46" i="96"/>
  <c r="LK46" i="96"/>
  <c r="LJ46" i="96"/>
  <c r="LA47" i="96"/>
  <c r="IY47" i="96"/>
  <c r="LB47" i="96"/>
  <c r="IZ47" i="96"/>
  <c r="LC47" i="96"/>
  <c r="JA47" i="96"/>
  <c r="LD47" i="96"/>
  <c r="JB47" i="96"/>
  <c r="LE47" i="96"/>
  <c r="JC47" i="96"/>
  <c r="LF47" i="96"/>
  <c r="JD47" i="96"/>
  <c r="LG47" i="96"/>
  <c r="JE47" i="96"/>
  <c r="LH47" i="96"/>
  <c r="JF47" i="96"/>
  <c r="LI47" i="96"/>
  <c r="JH47" i="96"/>
  <c r="LK47" i="96"/>
  <c r="LJ47" i="96"/>
  <c r="LA48" i="96"/>
  <c r="IY48" i="96"/>
  <c r="LB48" i="96"/>
  <c r="IZ48" i="96"/>
  <c r="LC48" i="96"/>
  <c r="JA48" i="96"/>
  <c r="LD48" i="96"/>
  <c r="JB48" i="96"/>
  <c r="LE48" i="96"/>
  <c r="JC48" i="96"/>
  <c r="LF48" i="96"/>
  <c r="JD48" i="96"/>
  <c r="LG48" i="96"/>
  <c r="JE48" i="96"/>
  <c r="LH48" i="96"/>
  <c r="JQ48" i="96"/>
  <c r="JF48" i="96"/>
  <c r="LI48" i="96"/>
  <c r="JH48" i="96"/>
  <c r="LK48" i="96"/>
  <c r="LJ48" i="96"/>
  <c r="LA49" i="96"/>
  <c r="IY49" i="96"/>
  <c r="LB49" i="96"/>
  <c r="IZ49" i="96"/>
  <c r="LC49" i="96"/>
  <c r="JA49" i="96"/>
  <c r="LD49" i="96"/>
  <c r="JB49" i="96"/>
  <c r="LE49" i="96"/>
  <c r="JC49" i="96"/>
  <c r="LF49" i="96"/>
  <c r="JD49" i="96"/>
  <c r="LG49" i="96"/>
  <c r="JE49" i="96"/>
  <c r="LH49" i="96"/>
  <c r="JF49" i="96"/>
  <c r="LI49" i="96"/>
  <c r="JH49" i="96"/>
  <c r="LK49" i="96"/>
  <c r="LJ49" i="96"/>
  <c r="LA50" i="96"/>
  <c r="IY50" i="96"/>
  <c r="LB50" i="96"/>
  <c r="IZ50" i="96"/>
  <c r="LC50" i="96"/>
  <c r="JA50" i="96"/>
  <c r="LD50" i="96"/>
  <c r="JB50" i="96"/>
  <c r="LE50" i="96"/>
  <c r="JC50" i="96"/>
  <c r="LF50" i="96"/>
  <c r="JD50" i="96"/>
  <c r="LG50" i="96"/>
  <c r="JE50" i="96"/>
  <c r="LH50" i="96"/>
  <c r="JF50" i="96"/>
  <c r="LI50" i="96"/>
  <c r="JH50" i="96"/>
  <c r="LK50" i="96"/>
  <c r="LJ50" i="96"/>
  <c r="LA51" i="96"/>
  <c r="IY51" i="96"/>
  <c r="LB51" i="96"/>
  <c r="IZ51" i="96"/>
  <c r="LC51" i="96"/>
  <c r="JA51" i="96"/>
  <c r="LD51" i="96"/>
  <c r="JB51" i="96"/>
  <c r="LE51" i="96"/>
  <c r="JC51" i="96"/>
  <c r="LF51" i="96"/>
  <c r="JD51" i="96"/>
  <c r="LG51" i="96"/>
  <c r="JE51" i="96"/>
  <c r="LH51" i="96"/>
  <c r="JF51" i="96"/>
  <c r="LI51" i="96"/>
  <c r="JH51" i="96"/>
  <c r="LK51" i="96"/>
  <c r="LJ51" i="96"/>
  <c r="LA52" i="96"/>
  <c r="LB52" i="96"/>
  <c r="LC52" i="96"/>
  <c r="LD52" i="96"/>
  <c r="LE52" i="96"/>
  <c r="LF52" i="96"/>
  <c r="LG52" i="96"/>
  <c r="LH52" i="96"/>
  <c r="LI52" i="96"/>
  <c r="LK52" i="96"/>
  <c r="LJ52" i="96"/>
  <c r="LA53" i="96"/>
  <c r="IY53" i="96"/>
  <c r="LB53" i="96"/>
  <c r="IZ53" i="96"/>
  <c r="LC53" i="96"/>
  <c r="JA53" i="96"/>
  <c r="LD53" i="96"/>
  <c r="JB53" i="96"/>
  <c r="LE53" i="96"/>
  <c r="JC53" i="96"/>
  <c r="LF53" i="96"/>
  <c r="JD53" i="96"/>
  <c r="LG53" i="96"/>
  <c r="JE53" i="96"/>
  <c r="LH53" i="96"/>
  <c r="JQ53" i="96"/>
  <c r="JF53" i="96"/>
  <c r="LI53" i="96"/>
  <c r="JH53" i="96"/>
  <c r="LK53" i="96"/>
  <c r="LJ53" i="96"/>
  <c r="LA54" i="96"/>
  <c r="IY54" i="96"/>
  <c r="LB54" i="96"/>
  <c r="IZ54" i="96"/>
  <c r="LC54" i="96"/>
  <c r="JA54" i="96"/>
  <c r="LD54" i="96"/>
  <c r="JB54" i="96"/>
  <c r="LE54" i="96"/>
  <c r="JC54" i="96"/>
  <c r="LF54" i="96"/>
  <c r="JD54" i="96"/>
  <c r="LG54" i="96"/>
  <c r="JE54" i="96"/>
  <c r="LH54" i="96"/>
  <c r="JQ54" i="96"/>
  <c r="JF54" i="96"/>
  <c r="LI54" i="96"/>
  <c r="JH54" i="96"/>
  <c r="LK54" i="96"/>
  <c r="LJ54" i="96"/>
  <c r="LA55" i="96"/>
  <c r="IY55" i="96"/>
  <c r="LB55" i="96"/>
  <c r="IZ55" i="96"/>
  <c r="LC55" i="96"/>
  <c r="JA55" i="96"/>
  <c r="LD55" i="96"/>
  <c r="JB55" i="96"/>
  <c r="LE55" i="96"/>
  <c r="JC55" i="96"/>
  <c r="LF55" i="96"/>
  <c r="JD55" i="96"/>
  <c r="LG55" i="96"/>
  <c r="JE55" i="96"/>
  <c r="LH55" i="96"/>
  <c r="JQ55" i="96"/>
  <c r="JF55" i="96"/>
  <c r="LI55" i="96"/>
  <c r="JH55" i="96"/>
  <c r="LK55" i="96"/>
  <c r="LJ55" i="96"/>
  <c r="LA56" i="96"/>
  <c r="IY56" i="96"/>
  <c r="LB56" i="96"/>
  <c r="IZ56" i="96"/>
  <c r="LC56" i="96"/>
  <c r="JA56" i="96"/>
  <c r="LD56" i="96"/>
  <c r="JB56" i="96"/>
  <c r="LE56" i="96"/>
  <c r="JC56" i="96"/>
  <c r="LF56" i="96"/>
  <c r="JD56" i="96"/>
  <c r="LG56" i="96"/>
  <c r="JE56" i="96"/>
  <c r="LH56" i="96"/>
  <c r="JQ56" i="96"/>
  <c r="JF56" i="96"/>
  <c r="LI56" i="96"/>
  <c r="JH56" i="96"/>
  <c r="LK56" i="96"/>
  <c r="LJ56" i="96"/>
  <c r="LA57" i="96"/>
  <c r="IY57" i="96"/>
  <c r="LB57" i="96"/>
  <c r="IZ57" i="96"/>
  <c r="LC57" i="96"/>
  <c r="JA57" i="96"/>
  <c r="LD57" i="96"/>
  <c r="JB57" i="96"/>
  <c r="LE57" i="96"/>
  <c r="JC57" i="96"/>
  <c r="LF57" i="96"/>
  <c r="JD57" i="96"/>
  <c r="LG57" i="96"/>
  <c r="JE57" i="96"/>
  <c r="LH57" i="96"/>
  <c r="JQ57" i="96"/>
  <c r="JF57" i="96"/>
  <c r="LI57" i="96"/>
  <c r="JH57" i="96"/>
  <c r="LK57" i="96"/>
  <c r="LJ57" i="96"/>
  <c r="LA58" i="96"/>
  <c r="IY58" i="96"/>
  <c r="LB58" i="96"/>
  <c r="IZ58" i="96"/>
  <c r="LC58" i="96"/>
  <c r="JA58" i="96"/>
  <c r="LD58" i="96"/>
  <c r="JB58" i="96"/>
  <c r="LE58" i="96"/>
  <c r="JC58" i="96"/>
  <c r="LF58" i="96"/>
  <c r="JD58" i="96"/>
  <c r="LG58" i="96"/>
  <c r="JE58" i="96"/>
  <c r="KW58" i="96"/>
  <c r="LH58" i="96"/>
  <c r="KB58" i="96"/>
  <c r="JQ58" i="96"/>
  <c r="JF58" i="96"/>
  <c r="KX58" i="96"/>
  <c r="LI58" i="96"/>
  <c r="JH58" i="96"/>
  <c r="LK58" i="96"/>
  <c r="LJ58" i="96"/>
  <c r="KY58" i="96"/>
  <c r="KN58" i="96"/>
  <c r="KC58" i="96"/>
  <c r="JR11" i="96"/>
  <c r="JR12" i="96"/>
  <c r="JR13" i="96"/>
  <c r="JR14" i="96"/>
  <c r="JR15" i="96"/>
  <c r="JR16" i="96"/>
  <c r="JR17" i="96"/>
  <c r="JR18" i="96"/>
  <c r="JR19" i="96"/>
  <c r="JR20" i="96"/>
  <c r="JR21" i="96"/>
  <c r="JR22" i="96"/>
  <c r="JR23" i="96"/>
  <c r="JR24" i="96"/>
  <c r="JR25" i="96"/>
  <c r="JR26" i="96"/>
  <c r="JR27" i="96"/>
  <c r="JR28" i="96"/>
  <c r="JR29" i="96"/>
  <c r="JR30" i="96"/>
  <c r="JR31" i="96"/>
  <c r="JR32" i="96"/>
  <c r="JR33" i="96"/>
  <c r="JR34" i="96"/>
  <c r="JR35" i="96"/>
  <c r="JR36" i="96"/>
  <c r="JR37" i="96"/>
  <c r="JR38" i="96"/>
  <c r="JR39" i="96"/>
  <c r="JR40" i="96"/>
  <c r="JR41" i="96"/>
  <c r="JR42" i="96"/>
  <c r="JR43" i="96"/>
  <c r="JR44" i="96"/>
  <c r="JR48" i="96"/>
  <c r="JR53" i="96"/>
  <c r="JR54" i="96"/>
  <c r="JR55" i="96"/>
  <c r="JR56" i="96"/>
  <c r="JR57" i="96"/>
  <c r="JR58" i="96"/>
  <c r="LY11" i="96"/>
  <c r="LZ11" i="96"/>
  <c r="MA11" i="96"/>
  <c r="MB11" i="96"/>
  <c r="MC11" i="96"/>
  <c r="MD11" i="96"/>
  <c r="MF11" i="96"/>
  <c r="MG11" i="96"/>
  <c r="MH11" i="96"/>
  <c r="MI11" i="96"/>
  <c r="MJ11" i="96"/>
  <c r="LW11" i="96"/>
  <c r="MK11" i="96"/>
  <c r="LX11" i="96"/>
  <c r="ML11" i="96"/>
  <c r="LY12" i="96"/>
  <c r="LZ12" i="96"/>
  <c r="MA12" i="96"/>
  <c r="MB12" i="96"/>
  <c r="MC12" i="96"/>
  <c r="MD12" i="96"/>
  <c r="MF12" i="96"/>
  <c r="MG12" i="96"/>
  <c r="MH12" i="96"/>
  <c r="MI12" i="96"/>
  <c r="MJ12" i="96"/>
  <c r="LW12" i="96"/>
  <c r="MK12" i="96"/>
  <c r="LX12" i="96"/>
  <c r="ML12" i="96"/>
  <c r="LY13" i="96"/>
  <c r="LZ13" i="96"/>
  <c r="MA13" i="96"/>
  <c r="MB13" i="96"/>
  <c r="MC13" i="96"/>
  <c r="MD13" i="96"/>
  <c r="MF13" i="96"/>
  <c r="MG13" i="96"/>
  <c r="MH13" i="96"/>
  <c r="MI13" i="96"/>
  <c r="MJ13" i="96"/>
  <c r="LW13" i="96"/>
  <c r="MK13" i="96"/>
  <c r="LX13" i="96"/>
  <c r="ML13" i="96"/>
  <c r="LY14" i="96"/>
  <c r="LZ14" i="96"/>
  <c r="MA14" i="96"/>
  <c r="MB14" i="96"/>
  <c r="MC14" i="96"/>
  <c r="MD14" i="96"/>
  <c r="MF14" i="96"/>
  <c r="MG14" i="96"/>
  <c r="MH14" i="96"/>
  <c r="MI14" i="96"/>
  <c r="MJ14" i="96"/>
  <c r="LW14" i="96"/>
  <c r="MK14" i="96"/>
  <c r="LX14" i="96"/>
  <c r="ML14" i="96"/>
  <c r="LY15" i="96"/>
  <c r="LZ15" i="96"/>
  <c r="MA15" i="96"/>
  <c r="MB15" i="96"/>
  <c r="MC15" i="96"/>
  <c r="MD15" i="96"/>
  <c r="MF15" i="96"/>
  <c r="MG15" i="96"/>
  <c r="MH15" i="96"/>
  <c r="MI15" i="96"/>
  <c r="MJ15" i="96"/>
  <c r="LW15" i="96"/>
  <c r="MK15" i="96"/>
  <c r="LX15" i="96"/>
  <c r="ML15" i="96"/>
  <c r="LY16" i="96"/>
  <c r="LZ16" i="96"/>
  <c r="MA16" i="96"/>
  <c r="MB16" i="96"/>
  <c r="MC16" i="96"/>
  <c r="MD16" i="96"/>
  <c r="MF16" i="96"/>
  <c r="MG16" i="96"/>
  <c r="MH16" i="96"/>
  <c r="MI16" i="96"/>
  <c r="MJ16" i="96"/>
  <c r="LW16" i="96"/>
  <c r="MK16" i="96"/>
  <c r="LX16" i="96"/>
  <c r="ML16" i="96"/>
  <c r="LY17" i="96"/>
  <c r="LZ17" i="96"/>
  <c r="MA17" i="96"/>
  <c r="MB17" i="96"/>
  <c r="MC17" i="96"/>
  <c r="MD17" i="96"/>
  <c r="MF17" i="96"/>
  <c r="MG17" i="96"/>
  <c r="MH17" i="96"/>
  <c r="MI17" i="96"/>
  <c r="MJ17" i="96"/>
  <c r="LW17" i="96"/>
  <c r="MK17" i="96"/>
  <c r="LX17" i="96"/>
  <c r="ML17" i="96"/>
  <c r="LY18" i="96"/>
  <c r="LZ18" i="96"/>
  <c r="MA18" i="96"/>
  <c r="MB18" i="96"/>
  <c r="MC18" i="96"/>
  <c r="MD18" i="96"/>
  <c r="MF18" i="96"/>
  <c r="MG18" i="96"/>
  <c r="MH18" i="96"/>
  <c r="MI18" i="96"/>
  <c r="MJ18" i="96"/>
  <c r="LW18" i="96"/>
  <c r="MK18" i="96"/>
  <c r="LX18" i="96"/>
  <c r="ML18" i="96"/>
  <c r="LY19" i="96"/>
  <c r="LZ19" i="96"/>
  <c r="MA19" i="96"/>
  <c r="MB19" i="96"/>
  <c r="MC19" i="96"/>
  <c r="MD19" i="96"/>
  <c r="MF19" i="96"/>
  <c r="MG19" i="96"/>
  <c r="MH19" i="96"/>
  <c r="MI19" i="96"/>
  <c r="MJ19" i="96"/>
  <c r="LW19" i="96"/>
  <c r="MK19" i="96"/>
  <c r="LX19" i="96"/>
  <c r="ML19" i="96"/>
  <c r="LY20" i="96"/>
  <c r="LZ20" i="96"/>
  <c r="MA20" i="96"/>
  <c r="MB20" i="96"/>
  <c r="MC20" i="96"/>
  <c r="MD20" i="96"/>
  <c r="MF20" i="96"/>
  <c r="MG20" i="96"/>
  <c r="MH20" i="96"/>
  <c r="MI20" i="96"/>
  <c r="MJ20" i="96"/>
  <c r="LW20" i="96"/>
  <c r="MK20" i="96"/>
  <c r="LX20" i="96"/>
  <c r="ML20" i="96"/>
  <c r="LY21" i="96"/>
  <c r="LZ21" i="96"/>
  <c r="MA21" i="96"/>
  <c r="MB21" i="96"/>
  <c r="MC21" i="96"/>
  <c r="MD21" i="96"/>
  <c r="MF21" i="96"/>
  <c r="MG21" i="96"/>
  <c r="MH21" i="96"/>
  <c r="MI21" i="96"/>
  <c r="MJ21" i="96"/>
  <c r="LW21" i="96"/>
  <c r="MK21" i="96"/>
  <c r="LX21" i="96"/>
  <c r="ML21" i="96"/>
  <c r="LY22" i="96"/>
  <c r="LZ22" i="96"/>
  <c r="MA22" i="96"/>
  <c r="MB22" i="96"/>
  <c r="MC22" i="96"/>
  <c r="MD22" i="96"/>
  <c r="MF22" i="96"/>
  <c r="IT22" i="96"/>
  <c r="MG22" i="96"/>
  <c r="MH22" i="96"/>
  <c r="MI22" i="96"/>
  <c r="IU22" i="96"/>
  <c r="MJ22" i="96"/>
  <c r="LW22" i="96"/>
  <c r="MK22" i="96"/>
  <c r="LX22" i="96"/>
  <c r="ML22" i="96"/>
  <c r="LY23" i="96"/>
  <c r="LZ23" i="96"/>
  <c r="MA23" i="96"/>
  <c r="MB23" i="96"/>
  <c r="MC23" i="96"/>
  <c r="MD23" i="96"/>
  <c r="MF23" i="96"/>
  <c r="MG23" i="96"/>
  <c r="MH23" i="96"/>
  <c r="MI23" i="96"/>
  <c r="MJ23" i="96"/>
  <c r="LW23" i="96"/>
  <c r="MK23" i="96"/>
  <c r="LX23" i="96"/>
  <c r="ML23" i="96"/>
  <c r="LY24" i="96"/>
  <c r="LZ24" i="96"/>
  <c r="MA24" i="96"/>
  <c r="MB24" i="96"/>
  <c r="MC24" i="96"/>
  <c r="MD24" i="96"/>
  <c r="MF24" i="96"/>
  <c r="MG24" i="96"/>
  <c r="MH24" i="96"/>
  <c r="MI24" i="96"/>
  <c r="MJ24" i="96"/>
  <c r="LW24" i="96"/>
  <c r="MK24" i="96"/>
  <c r="LX24" i="96"/>
  <c r="ML24" i="96"/>
  <c r="LY25" i="96"/>
  <c r="LZ25" i="96"/>
  <c r="MA25" i="96"/>
  <c r="MB25" i="96"/>
  <c r="MC25" i="96"/>
  <c r="MD25" i="96"/>
  <c r="MF25" i="96"/>
  <c r="MG25" i="96"/>
  <c r="MH25" i="96"/>
  <c r="MI25" i="96"/>
  <c r="MJ25" i="96"/>
  <c r="LW25" i="96"/>
  <c r="MK25" i="96"/>
  <c r="LX25" i="96"/>
  <c r="ML25" i="96"/>
  <c r="LY26" i="96"/>
  <c r="LZ26" i="96"/>
  <c r="MA26" i="96"/>
  <c r="MB26" i="96"/>
  <c r="MC26" i="96"/>
  <c r="MD26" i="96"/>
  <c r="MF26" i="96"/>
  <c r="MG26" i="96"/>
  <c r="MH26" i="96"/>
  <c r="MI26" i="96"/>
  <c r="MJ26" i="96"/>
  <c r="LW26" i="96"/>
  <c r="MK26" i="96"/>
  <c r="LX26" i="96"/>
  <c r="ML26" i="96"/>
  <c r="LY27" i="96"/>
  <c r="LZ27" i="96"/>
  <c r="MA27" i="96"/>
  <c r="MB27" i="96"/>
  <c r="MC27" i="96"/>
  <c r="MD27" i="96"/>
  <c r="MF27" i="96"/>
  <c r="IT27" i="96"/>
  <c r="MG27" i="96"/>
  <c r="MH27" i="96"/>
  <c r="MI27" i="96"/>
  <c r="IU27" i="96"/>
  <c r="MJ27" i="96"/>
  <c r="LW27" i="96"/>
  <c r="MK27" i="96"/>
  <c r="LX27" i="96"/>
  <c r="ML27" i="96"/>
  <c r="LY28" i="96"/>
  <c r="LZ28" i="96"/>
  <c r="MA28" i="96"/>
  <c r="MB28" i="96"/>
  <c r="MC28" i="96"/>
  <c r="MD28" i="96"/>
  <c r="MF28" i="96"/>
  <c r="IT28" i="96"/>
  <c r="MG28" i="96"/>
  <c r="MH28" i="96"/>
  <c r="MI28" i="96"/>
  <c r="IU28" i="96"/>
  <c r="MJ28" i="96"/>
  <c r="LW28" i="96"/>
  <c r="MK28" i="96"/>
  <c r="LX28" i="96"/>
  <c r="ML28" i="96"/>
  <c r="LY29" i="96"/>
  <c r="LZ29" i="96"/>
  <c r="MA29" i="96"/>
  <c r="MB29" i="96"/>
  <c r="MC29" i="96"/>
  <c r="MD29" i="96"/>
  <c r="MF29" i="96"/>
  <c r="IT29" i="96"/>
  <c r="MG29" i="96"/>
  <c r="MH29" i="96"/>
  <c r="MI29" i="96"/>
  <c r="IU29" i="96"/>
  <c r="MJ29" i="96"/>
  <c r="LW29" i="96"/>
  <c r="MK29" i="96"/>
  <c r="LX29" i="96"/>
  <c r="ML29" i="96"/>
  <c r="LY30" i="96"/>
  <c r="LZ30" i="96"/>
  <c r="MA30" i="96"/>
  <c r="MB30" i="96"/>
  <c r="MC30" i="96"/>
  <c r="MD30" i="96"/>
  <c r="MF30" i="96"/>
  <c r="IT30" i="96"/>
  <c r="MG30" i="96"/>
  <c r="MH30" i="96"/>
  <c r="MI30" i="96"/>
  <c r="IU30" i="96"/>
  <c r="MJ30" i="96"/>
  <c r="LW30" i="96"/>
  <c r="MK30" i="96"/>
  <c r="LX30" i="96"/>
  <c r="ML30" i="96"/>
  <c r="LY31" i="96"/>
  <c r="LZ31" i="96"/>
  <c r="MA31" i="96"/>
  <c r="MB31" i="96"/>
  <c r="MC31" i="96"/>
  <c r="MD31" i="96"/>
  <c r="MF31" i="96"/>
  <c r="IT31" i="96"/>
  <c r="MG31" i="96"/>
  <c r="MH31" i="96"/>
  <c r="MI31" i="96"/>
  <c r="IU31" i="96"/>
  <c r="MJ31" i="96"/>
  <c r="LW31" i="96"/>
  <c r="MK31" i="96"/>
  <c r="LX31" i="96"/>
  <c r="ML31" i="96"/>
  <c r="LY32" i="96"/>
  <c r="LZ32" i="96"/>
  <c r="MA32" i="96"/>
  <c r="MB32" i="96"/>
  <c r="MC32" i="96"/>
  <c r="MD32" i="96"/>
  <c r="MF32" i="96"/>
  <c r="IT32" i="96"/>
  <c r="MG32" i="96"/>
  <c r="MH32" i="96"/>
  <c r="MI32" i="96"/>
  <c r="IU32" i="96"/>
  <c r="MJ32" i="96"/>
  <c r="LW32" i="96"/>
  <c r="MK32" i="96"/>
  <c r="LX32" i="96"/>
  <c r="ML32" i="96"/>
  <c r="LY33" i="96"/>
  <c r="LZ33" i="96"/>
  <c r="MA33" i="96"/>
  <c r="MB33" i="96"/>
  <c r="MC33" i="96"/>
  <c r="MD33" i="96"/>
  <c r="MF33" i="96"/>
  <c r="IT33" i="96"/>
  <c r="MG33" i="96"/>
  <c r="MH33" i="96"/>
  <c r="MI33" i="96"/>
  <c r="IU33" i="96"/>
  <c r="MJ33" i="96"/>
  <c r="LW33" i="96"/>
  <c r="MK33" i="96"/>
  <c r="LX33" i="96"/>
  <c r="ML33" i="96"/>
  <c r="LY34" i="96"/>
  <c r="LZ34" i="96"/>
  <c r="MA34" i="96"/>
  <c r="MB34" i="96"/>
  <c r="MC34" i="96"/>
  <c r="MD34" i="96"/>
  <c r="MF34" i="96"/>
  <c r="IT34" i="96"/>
  <c r="MG34" i="96"/>
  <c r="MH34" i="96"/>
  <c r="MI34" i="96"/>
  <c r="IU34" i="96"/>
  <c r="MJ34" i="96"/>
  <c r="LW34" i="96"/>
  <c r="MK34" i="96"/>
  <c r="LX34" i="96"/>
  <c r="ML34" i="96"/>
  <c r="LY35" i="96"/>
  <c r="LZ35" i="96"/>
  <c r="MA35" i="96"/>
  <c r="MB35" i="96"/>
  <c r="MC35" i="96"/>
  <c r="MD35" i="96"/>
  <c r="MF35" i="96"/>
  <c r="IT35" i="96"/>
  <c r="MG35" i="96"/>
  <c r="MH35" i="96"/>
  <c r="MI35" i="96"/>
  <c r="IU35" i="96"/>
  <c r="MJ35" i="96"/>
  <c r="LW35" i="96"/>
  <c r="MK35" i="96"/>
  <c r="LX35" i="96"/>
  <c r="ML35" i="96"/>
  <c r="LY36" i="96"/>
  <c r="LZ36" i="96"/>
  <c r="MA36" i="96"/>
  <c r="MB36" i="96"/>
  <c r="MC36" i="96"/>
  <c r="MD36" i="96"/>
  <c r="MF36" i="96"/>
  <c r="IT36" i="96"/>
  <c r="MG36" i="96"/>
  <c r="MH36" i="96"/>
  <c r="MI36" i="96"/>
  <c r="IU36" i="96"/>
  <c r="MJ36" i="96"/>
  <c r="LW36" i="96"/>
  <c r="MK36" i="96"/>
  <c r="LX36" i="96"/>
  <c r="ML36" i="96"/>
  <c r="LY37" i="96"/>
  <c r="LZ37" i="96"/>
  <c r="MA37" i="96"/>
  <c r="MB37" i="96"/>
  <c r="MC37" i="96"/>
  <c r="MD37" i="96"/>
  <c r="MF37" i="96"/>
  <c r="IT37" i="96"/>
  <c r="MG37" i="96"/>
  <c r="MH37" i="96"/>
  <c r="MI37" i="96"/>
  <c r="IU37" i="96"/>
  <c r="MJ37" i="96"/>
  <c r="LW37" i="96"/>
  <c r="MK37" i="96"/>
  <c r="LX37" i="96"/>
  <c r="ML37" i="96"/>
  <c r="LY38" i="96"/>
  <c r="LZ38" i="96"/>
  <c r="MA38" i="96"/>
  <c r="MB38" i="96"/>
  <c r="MC38" i="96"/>
  <c r="MD38" i="96"/>
  <c r="MF38" i="96"/>
  <c r="IT38" i="96"/>
  <c r="MG38" i="96"/>
  <c r="MH38" i="96"/>
  <c r="MI38" i="96"/>
  <c r="IU38" i="96"/>
  <c r="MJ38" i="96"/>
  <c r="LW38" i="96"/>
  <c r="MK38" i="96"/>
  <c r="LX38" i="96"/>
  <c r="ML38" i="96"/>
  <c r="LY39" i="96"/>
  <c r="LZ39" i="96"/>
  <c r="MA39" i="96"/>
  <c r="MB39" i="96"/>
  <c r="MC39" i="96"/>
  <c r="MD39" i="96"/>
  <c r="MF39" i="96"/>
  <c r="MG39" i="96"/>
  <c r="MH39" i="96"/>
  <c r="MI39" i="96"/>
  <c r="MJ39" i="96"/>
  <c r="LW39" i="96"/>
  <c r="MK39" i="96"/>
  <c r="LX39" i="96"/>
  <c r="ML39" i="96"/>
  <c r="LY40" i="96"/>
  <c r="LZ40" i="96"/>
  <c r="MA40" i="96"/>
  <c r="MB40" i="96"/>
  <c r="MC40" i="96"/>
  <c r="MD40" i="96"/>
  <c r="MF40" i="96"/>
  <c r="MG40" i="96"/>
  <c r="MH40" i="96"/>
  <c r="MI40" i="96"/>
  <c r="MJ40" i="96"/>
  <c r="LW40" i="96"/>
  <c r="MK40" i="96"/>
  <c r="LX40" i="96"/>
  <c r="ML40" i="96"/>
  <c r="LY41" i="96"/>
  <c r="LZ41" i="96"/>
  <c r="MA41" i="96"/>
  <c r="MB41" i="96"/>
  <c r="MC41" i="96"/>
  <c r="MD41" i="96"/>
  <c r="MF41" i="96"/>
  <c r="MG41" i="96"/>
  <c r="MH41" i="96"/>
  <c r="MI41" i="96"/>
  <c r="MJ41" i="96"/>
  <c r="LW41" i="96"/>
  <c r="MK41" i="96"/>
  <c r="LX41" i="96"/>
  <c r="ML41" i="96"/>
  <c r="LY42" i="96"/>
  <c r="LZ42" i="96"/>
  <c r="MA42" i="96"/>
  <c r="MB42" i="96"/>
  <c r="MC42" i="96"/>
  <c r="MD42" i="96"/>
  <c r="MF42" i="96"/>
  <c r="MG42" i="96"/>
  <c r="MH42" i="96"/>
  <c r="MI42" i="96"/>
  <c r="MJ42" i="96"/>
  <c r="LW42" i="96"/>
  <c r="MK42" i="96"/>
  <c r="LX42" i="96"/>
  <c r="ML42" i="96"/>
  <c r="LY43" i="96"/>
  <c r="LZ43" i="96"/>
  <c r="MA43" i="96"/>
  <c r="MB43" i="96"/>
  <c r="MC43" i="96"/>
  <c r="MD43" i="96"/>
  <c r="MF43" i="96"/>
  <c r="MG43" i="96"/>
  <c r="MH43" i="96"/>
  <c r="MI43" i="96"/>
  <c r="MJ43" i="96"/>
  <c r="LW43" i="96"/>
  <c r="MK43" i="96"/>
  <c r="LX43" i="96"/>
  <c r="ML43" i="96"/>
  <c r="LY44" i="96"/>
  <c r="LZ44" i="96"/>
  <c r="MA44" i="96"/>
  <c r="MB44" i="96"/>
  <c r="MC44" i="96"/>
  <c r="MD44" i="96"/>
  <c r="MF44" i="96"/>
  <c r="MG44" i="96"/>
  <c r="MH44" i="96"/>
  <c r="MI44" i="96"/>
  <c r="MJ44" i="96"/>
  <c r="LW44" i="96"/>
  <c r="MK44" i="96"/>
  <c r="LX44" i="96"/>
  <c r="ML44" i="96"/>
  <c r="LY45" i="96"/>
  <c r="LZ45" i="96"/>
  <c r="MA45" i="96"/>
  <c r="MB45" i="96"/>
  <c r="MC45" i="96"/>
  <c r="MD45" i="96"/>
  <c r="MF45" i="96"/>
  <c r="MG45" i="96"/>
  <c r="MH45" i="96"/>
  <c r="MI45" i="96"/>
  <c r="MJ45" i="96"/>
  <c r="LW45" i="96"/>
  <c r="MK45" i="96"/>
  <c r="LX45" i="96"/>
  <c r="ML45" i="96"/>
  <c r="LY46" i="96"/>
  <c r="LZ46" i="96"/>
  <c r="MA46" i="96"/>
  <c r="MB46" i="96"/>
  <c r="MC46" i="96"/>
  <c r="MD46" i="96"/>
  <c r="MF46" i="96"/>
  <c r="MG46" i="96"/>
  <c r="MH46" i="96"/>
  <c r="MI46" i="96"/>
  <c r="MJ46" i="96"/>
  <c r="LW46" i="96"/>
  <c r="MK46" i="96"/>
  <c r="LX46" i="96"/>
  <c r="ML46" i="96"/>
  <c r="LY47" i="96"/>
  <c r="LZ47" i="96"/>
  <c r="MA47" i="96"/>
  <c r="MB47" i="96"/>
  <c r="MC47" i="96"/>
  <c r="MD47" i="96"/>
  <c r="MF47" i="96"/>
  <c r="MG47" i="96"/>
  <c r="MH47" i="96"/>
  <c r="MI47" i="96"/>
  <c r="MJ47" i="96"/>
  <c r="LW47" i="96"/>
  <c r="MK47" i="96"/>
  <c r="LX47" i="96"/>
  <c r="ML47" i="96"/>
  <c r="LY48" i="96"/>
  <c r="LZ48" i="96"/>
  <c r="MA48" i="96"/>
  <c r="MB48" i="96"/>
  <c r="MC48" i="96"/>
  <c r="MD48" i="96"/>
  <c r="MF48" i="96"/>
  <c r="MG48" i="96"/>
  <c r="MH48" i="96"/>
  <c r="MI48" i="96"/>
  <c r="MJ48" i="96"/>
  <c r="LW48" i="96"/>
  <c r="MK48" i="96"/>
  <c r="LX48" i="96"/>
  <c r="ML48" i="96"/>
  <c r="LY49" i="96"/>
  <c r="LZ49" i="96"/>
  <c r="MA49" i="96"/>
  <c r="MB49" i="96"/>
  <c r="MC49" i="96"/>
  <c r="MD49" i="96"/>
  <c r="MF49" i="96"/>
  <c r="MG49" i="96"/>
  <c r="MH49" i="96"/>
  <c r="MI49" i="96"/>
  <c r="MJ49" i="96"/>
  <c r="LW49" i="96"/>
  <c r="MK49" i="96"/>
  <c r="LX49" i="96"/>
  <c r="ML49" i="96"/>
  <c r="LY50" i="96"/>
  <c r="LZ50" i="96"/>
  <c r="MA50" i="96"/>
  <c r="MB50" i="96"/>
  <c r="MC50" i="96"/>
  <c r="MD50" i="96"/>
  <c r="MF50" i="96"/>
  <c r="MG50" i="96"/>
  <c r="MH50" i="96"/>
  <c r="MI50" i="96"/>
  <c r="MJ50" i="96"/>
  <c r="LW50" i="96"/>
  <c r="MK50" i="96"/>
  <c r="LX50" i="96"/>
  <c r="ML50" i="96"/>
  <c r="LY51" i="96"/>
  <c r="LZ51" i="96"/>
  <c r="MA51" i="96"/>
  <c r="MB51" i="96"/>
  <c r="MC51" i="96"/>
  <c r="MD51" i="96"/>
  <c r="MF51" i="96"/>
  <c r="MG51" i="96"/>
  <c r="MH51" i="96"/>
  <c r="MI51" i="96"/>
  <c r="MJ51" i="96"/>
  <c r="LW51" i="96"/>
  <c r="MK51" i="96"/>
  <c r="LX51" i="96"/>
  <c r="ML51" i="96"/>
  <c r="LY52" i="96"/>
  <c r="LZ52" i="96"/>
  <c r="MA52" i="96"/>
  <c r="MB52" i="96"/>
  <c r="MC52" i="96"/>
  <c r="MD52" i="96"/>
  <c r="MF52" i="96"/>
  <c r="MG52" i="96"/>
  <c r="MH52" i="96"/>
  <c r="MI52" i="96"/>
  <c r="MJ52" i="96"/>
  <c r="LW52" i="96"/>
  <c r="MK52" i="96"/>
  <c r="LX52" i="96"/>
  <c r="ML52" i="96"/>
  <c r="LY53" i="96"/>
  <c r="LZ53" i="96"/>
  <c r="MA53" i="96"/>
  <c r="MB53" i="96"/>
  <c r="MC53" i="96"/>
  <c r="MD53" i="96"/>
  <c r="MF53" i="96"/>
  <c r="MG53" i="96"/>
  <c r="MH53" i="96"/>
  <c r="MI53" i="96"/>
  <c r="MJ53" i="96"/>
  <c r="LW53" i="96"/>
  <c r="MK53" i="96"/>
  <c r="LX53" i="96"/>
  <c r="ML53" i="96"/>
  <c r="LY54" i="96"/>
  <c r="LZ54" i="96"/>
  <c r="MA54" i="96"/>
  <c r="MB54" i="96"/>
  <c r="MC54" i="96"/>
  <c r="MD54" i="96"/>
  <c r="MF54" i="96"/>
  <c r="MG54" i="96"/>
  <c r="MH54" i="96"/>
  <c r="MI54" i="96"/>
  <c r="MJ54" i="96"/>
  <c r="LW54" i="96"/>
  <c r="MK54" i="96"/>
  <c r="LX54" i="96"/>
  <c r="ML54" i="96"/>
  <c r="LY55" i="96"/>
  <c r="LZ55" i="96"/>
  <c r="MA55" i="96"/>
  <c r="MB55" i="96"/>
  <c r="MC55" i="96"/>
  <c r="MD55" i="96"/>
  <c r="MF55" i="96"/>
  <c r="MG55" i="96"/>
  <c r="MH55" i="96"/>
  <c r="MI55" i="96"/>
  <c r="MJ55" i="96"/>
  <c r="LW55" i="96"/>
  <c r="MK55" i="96"/>
  <c r="LX55" i="96"/>
  <c r="ML55" i="96"/>
  <c r="LY56" i="96"/>
  <c r="LZ56" i="96"/>
  <c r="MA56" i="96"/>
  <c r="MB56" i="96"/>
  <c r="MC56" i="96"/>
  <c r="MD56" i="96"/>
  <c r="MF56" i="96"/>
  <c r="MG56" i="96"/>
  <c r="MH56" i="96"/>
  <c r="MI56" i="96"/>
  <c r="MJ56" i="96"/>
  <c r="LW56" i="96"/>
  <c r="MK56" i="96"/>
  <c r="LX56" i="96"/>
  <c r="ML56" i="96"/>
  <c r="LY57" i="96"/>
  <c r="LZ57" i="96"/>
  <c r="MA57" i="96"/>
  <c r="MB57" i="96"/>
  <c r="MC57" i="96"/>
  <c r="MD57" i="96"/>
  <c r="MF57" i="96"/>
  <c r="MG57" i="96"/>
  <c r="MH57" i="96"/>
  <c r="MI57" i="96"/>
  <c r="MJ57" i="96"/>
  <c r="LW57" i="96"/>
  <c r="MK57" i="96"/>
  <c r="LX57" i="96"/>
  <c r="ML57" i="96"/>
  <c r="LY58" i="96"/>
  <c r="LZ58" i="96"/>
  <c r="MA58" i="96"/>
  <c r="MB58" i="96"/>
  <c r="MC58" i="96"/>
  <c r="MD58" i="96"/>
  <c r="MF58" i="96"/>
  <c r="MG58" i="96"/>
  <c r="MH58" i="96"/>
  <c r="MI58" i="96"/>
  <c r="MJ58" i="96"/>
  <c r="LW58" i="96"/>
  <c r="MK58" i="96"/>
  <c r="LX58" i="96"/>
  <c r="ML58" i="96"/>
  <c r="LY60" i="96"/>
  <c r="IY60" i="96"/>
  <c r="LZ60" i="96"/>
  <c r="IZ60" i="96"/>
  <c r="MA60" i="96"/>
  <c r="JA60" i="96"/>
  <c r="MB60" i="96"/>
  <c r="JB60" i="96"/>
  <c r="MC60" i="96"/>
  <c r="JC60" i="96"/>
  <c r="MD60" i="96"/>
  <c r="JD60" i="96"/>
  <c r="MF60" i="96"/>
  <c r="JE60" i="96"/>
  <c r="MG60" i="96"/>
  <c r="MH60" i="96"/>
  <c r="MI60" i="96"/>
  <c r="KB60" i="96"/>
  <c r="JQ60" i="96"/>
  <c r="JF60" i="96"/>
  <c r="MJ60" i="96"/>
  <c r="JH60" i="96"/>
  <c r="LW60" i="96"/>
  <c r="MK60" i="96"/>
  <c r="LX60" i="96"/>
  <c r="ML60" i="96"/>
  <c r="LL11" i="96"/>
  <c r="LM11" i="96"/>
  <c r="LN11" i="96"/>
  <c r="LO11" i="96"/>
  <c r="LP11" i="96"/>
  <c r="LQ11" i="96"/>
  <c r="LR11" i="96"/>
  <c r="LS11" i="96"/>
  <c r="LT11" i="96"/>
  <c r="LU11" i="96"/>
  <c r="LV11" i="96"/>
  <c r="LL12" i="96"/>
  <c r="LM12" i="96"/>
  <c r="LN12" i="96"/>
  <c r="LO12" i="96"/>
  <c r="LP12" i="96"/>
  <c r="LQ12" i="96"/>
  <c r="LR12" i="96"/>
  <c r="LS12" i="96"/>
  <c r="LT12" i="96"/>
  <c r="LU12" i="96"/>
  <c r="LV12" i="96"/>
  <c r="LL13" i="96"/>
  <c r="LM13" i="96"/>
  <c r="LN13" i="96"/>
  <c r="LO13" i="96"/>
  <c r="LP13" i="96"/>
  <c r="LQ13" i="96"/>
  <c r="LR13" i="96"/>
  <c r="LS13" i="96"/>
  <c r="LT13" i="96"/>
  <c r="LU13" i="96"/>
  <c r="LV13" i="96"/>
  <c r="LL14" i="96"/>
  <c r="LM14" i="96"/>
  <c r="LN14" i="96"/>
  <c r="LO14" i="96"/>
  <c r="LP14" i="96"/>
  <c r="LQ14" i="96"/>
  <c r="LR14" i="96"/>
  <c r="LS14" i="96"/>
  <c r="LT14" i="96"/>
  <c r="LU14" i="96"/>
  <c r="LV14" i="96"/>
  <c r="LL15" i="96"/>
  <c r="LM15" i="96"/>
  <c r="LN15" i="96"/>
  <c r="LO15" i="96"/>
  <c r="LP15" i="96"/>
  <c r="LQ15" i="96"/>
  <c r="LR15" i="96"/>
  <c r="LS15" i="96"/>
  <c r="LT15" i="96"/>
  <c r="LU15" i="96"/>
  <c r="LV15" i="96"/>
  <c r="LL16" i="96"/>
  <c r="LM16" i="96"/>
  <c r="LN16" i="96"/>
  <c r="LO16" i="96"/>
  <c r="LP16" i="96"/>
  <c r="LQ16" i="96"/>
  <c r="LR16" i="96"/>
  <c r="LS16" i="96"/>
  <c r="LT16" i="96"/>
  <c r="LU16" i="96"/>
  <c r="LV16" i="96"/>
  <c r="LL17" i="96"/>
  <c r="LM17" i="96"/>
  <c r="LN17" i="96"/>
  <c r="LO17" i="96"/>
  <c r="LP17" i="96"/>
  <c r="LQ17" i="96"/>
  <c r="LR17" i="96"/>
  <c r="LS17" i="96"/>
  <c r="LT17" i="96"/>
  <c r="LU17" i="96"/>
  <c r="LV17" i="96"/>
  <c r="LL18" i="96"/>
  <c r="LM18" i="96"/>
  <c r="LN18" i="96"/>
  <c r="LO18" i="96"/>
  <c r="LP18" i="96"/>
  <c r="LQ18" i="96"/>
  <c r="LR18" i="96"/>
  <c r="LS18" i="96"/>
  <c r="LT18" i="96"/>
  <c r="LU18" i="96"/>
  <c r="LV18" i="96"/>
  <c r="LL19" i="96"/>
  <c r="LM19" i="96"/>
  <c r="LN19" i="96"/>
  <c r="LO19" i="96"/>
  <c r="LP19" i="96"/>
  <c r="LQ19" i="96"/>
  <c r="LR19" i="96"/>
  <c r="LS19" i="96"/>
  <c r="LT19" i="96"/>
  <c r="LU19" i="96"/>
  <c r="LV19" i="96"/>
  <c r="LL20" i="96"/>
  <c r="LM20" i="96"/>
  <c r="LN20" i="96"/>
  <c r="LO20" i="96"/>
  <c r="LP20" i="96"/>
  <c r="LQ20" i="96"/>
  <c r="LR20" i="96"/>
  <c r="LS20" i="96"/>
  <c r="LT20" i="96"/>
  <c r="LU20" i="96"/>
  <c r="LV20" i="96"/>
  <c r="LL21" i="96"/>
  <c r="LM21" i="96"/>
  <c r="LN21" i="96"/>
  <c r="LO21" i="96"/>
  <c r="LP21" i="96"/>
  <c r="LQ21" i="96"/>
  <c r="LR21" i="96"/>
  <c r="LS21" i="96"/>
  <c r="LT21" i="96"/>
  <c r="LU21" i="96"/>
  <c r="LV21" i="96"/>
  <c r="LL22" i="96"/>
  <c r="LM22" i="96"/>
  <c r="LN22" i="96"/>
  <c r="LO22" i="96"/>
  <c r="LP22" i="96"/>
  <c r="LQ22" i="96"/>
  <c r="LR22" i="96"/>
  <c r="LS22" i="96"/>
  <c r="LT22" i="96"/>
  <c r="LU22" i="96"/>
  <c r="LV22" i="96"/>
  <c r="LL23" i="96"/>
  <c r="LM23" i="96"/>
  <c r="LN23" i="96"/>
  <c r="LO23" i="96"/>
  <c r="LP23" i="96"/>
  <c r="LQ23" i="96"/>
  <c r="LR23" i="96"/>
  <c r="LS23" i="96"/>
  <c r="LT23" i="96"/>
  <c r="LU23" i="96"/>
  <c r="LV23" i="96"/>
  <c r="LL24" i="96"/>
  <c r="LM24" i="96"/>
  <c r="LN24" i="96"/>
  <c r="LO24" i="96"/>
  <c r="LP24" i="96"/>
  <c r="LQ24" i="96"/>
  <c r="LR24" i="96"/>
  <c r="LS24" i="96"/>
  <c r="LT24" i="96"/>
  <c r="LU24" i="96"/>
  <c r="LV24" i="96"/>
  <c r="LL25" i="96"/>
  <c r="LM25" i="96"/>
  <c r="LN25" i="96"/>
  <c r="LO25" i="96"/>
  <c r="LP25" i="96"/>
  <c r="LQ25" i="96"/>
  <c r="LR25" i="96"/>
  <c r="LS25" i="96"/>
  <c r="LT25" i="96"/>
  <c r="LU25" i="96"/>
  <c r="LV25" i="96"/>
  <c r="LL26" i="96"/>
  <c r="LM26" i="96"/>
  <c r="LN26" i="96"/>
  <c r="LO26" i="96"/>
  <c r="LP26" i="96"/>
  <c r="LQ26" i="96"/>
  <c r="LR26" i="96"/>
  <c r="LS26" i="96"/>
  <c r="LT26" i="96"/>
  <c r="LU26" i="96"/>
  <c r="LV26" i="96"/>
  <c r="LL27" i="96"/>
  <c r="LM27" i="96"/>
  <c r="LN27" i="96"/>
  <c r="LO27" i="96"/>
  <c r="LP27" i="96"/>
  <c r="LQ27" i="96"/>
  <c r="LR27" i="96"/>
  <c r="LS27" i="96"/>
  <c r="LT27" i="96"/>
  <c r="LU27" i="96"/>
  <c r="LV27" i="96"/>
  <c r="LL28" i="96"/>
  <c r="LM28" i="96"/>
  <c r="LN28" i="96"/>
  <c r="LO28" i="96"/>
  <c r="LP28" i="96"/>
  <c r="LQ28" i="96"/>
  <c r="LR28" i="96"/>
  <c r="LS28" i="96"/>
  <c r="LT28" i="96"/>
  <c r="LU28" i="96"/>
  <c r="LV28" i="96"/>
  <c r="LL29" i="96"/>
  <c r="LM29" i="96"/>
  <c r="LN29" i="96"/>
  <c r="LO29" i="96"/>
  <c r="LP29" i="96"/>
  <c r="LQ29" i="96"/>
  <c r="LR29" i="96"/>
  <c r="LS29" i="96"/>
  <c r="LT29" i="96"/>
  <c r="LU29" i="96"/>
  <c r="LV29" i="96"/>
  <c r="LL30" i="96"/>
  <c r="LM30" i="96"/>
  <c r="LN30" i="96"/>
  <c r="LO30" i="96"/>
  <c r="LP30" i="96"/>
  <c r="LQ30" i="96"/>
  <c r="LR30" i="96"/>
  <c r="LS30" i="96"/>
  <c r="LT30" i="96"/>
  <c r="LU30" i="96"/>
  <c r="LV30" i="96"/>
  <c r="LL31" i="96"/>
  <c r="LM31" i="96"/>
  <c r="LN31" i="96"/>
  <c r="LO31" i="96"/>
  <c r="LP31" i="96"/>
  <c r="LQ31" i="96"/>
  <c r="LR31" i="96"/>
  <c r="LS31" i="96"/>
  <c r="LT31" i="96"/>
  <c r="LU31" i="96"/>
  <c r="LV31" i="96"/>
  <c r="LL32" i="96"/>
  <c r="LM32" i="96"/>
  <c r="LN32" i="96"/>
  <c r="LO32" i="96"/>
  <c r="LP32" i="96"/>
  <c r="LQ32" i="96"/>
  <c r="LR32" i="96"/>
  <c r="LS32" i="96"/>
  <c r="LT32" i="96"/>
  <c r="LU32" i="96"/>
  <c r="LV32" i="96"/>
  <c r="LL33" i="96"/>
  <c r="LM33" i="96"/>
  <c r="LN33" i="96"/>
  <c r="LO33" i="96"/>
  <c r="LP33" i="96"/>
  <c r="LQ33" i="96"/>
  <c r="LR33" i="96"/>
  <c r="LS33" i="96"/>
  <c r="LT33" i="96"/>
  <c r="LU33" i="96"/>
  <c r="LV33" i="96"/>
  <c r="LL34" i="96"/>
  <c r="LM34" i="96"/>
  <c r="LN34" i="96"/>
  <c r="LO34" i="96"/>
  <c r="LP34" i="96"/>
  <c r="LQ34" i="96"/>
  <c r="LR34" i="96"/>
  <c r="LS34" i="96"/>
  <c r="LT34" i="96"/>
  <c r="LU34" i="96"/>
  <c r="LV34" i="96"/>
  <c r="LL35" i="96"/>
  <c r="LM35" i="96"/>
  <c r="LN35" i="96"/>
  <c r="LO35" i="96"/>
  <c r="LP35" i="96"/>
  <c r="LQ35" i="96"/>
  <c r="LR35" i="96"/>
  <c r="LS35" i="96"/>
  <c r="LT35" i="96"/>
  <c r="LU35" i="96"/>
  <c r="LV35" i="96"/>
  <c r="LL36" i="96"/>
  <c r="LM36" i="96"/>
  <c r="LN36" i="96"/>
  <c r="LO36" i="96"/>
  <c r="LP36" i="96"/>
  <c r="LQ36" i="96"/>
  <c r="LR36" i="96"/>
  <c r="LS36" i="96"/>
  <c r="LT36" i="96"/>
  <c r="LU36" i="96"/>
  <c r="LV36" i="96"/>
  <c r="LL37" i="96"/>
  <c r="LM37" i="96"/>
  <c r="LN37" i="96"/>
  <c r="LO37" i="96"/>
  <c r="LP37" i="96"/>
  <c r="LQ37" i="96"/>
  <c r="LR37" i="96"/>
  <c r="LS37" i="96"/>
  <c r="LT37" i="96"/>
  <c r="LU37" i="96"/>
  <c r="LV37" i="96"/>
  <c r="LL38" i="96"/>
  <c r="LM38" i="96"/>
  <c r="LN38" i="96"/>
  <c r="LO38" i="96"/>
  <c r="LP38" i="96"/>
  <c r="LQ38" i="96"/>
  <c r="LR38" i="96"/>
  <c r="LS38" i="96"/>
  <c r="LT38" i="96"/>
  <c r="LU38" i="96"/>
  <c r="LV38" i="96"/>
  <c r="LL39" i="96"/>
  <c r="LM39" i="96"/>
  <c r="LN39" i="96"/>
  <c r="LO39" i="96"/>
  <c r="LP39" i="96"/>
  <c r="LQ39" i="96"/>
  <c r="LR39" i="96"/>
  <c r="LS39" i="96"/>
  <c r="LT39" i="96"/>
  <c r="LU39" i="96"/>
  <c r="LV39" i="96"/>
  <c r="LL40" i="96"/>
  <c r="LM40" i="96"/>
  <c r="LN40" i="96"/>
  <c r="LO40" i="96"/>
  <c r="LP40" i="96"/>
  <c r="LQ40" i="96"/>
  <c r="LR40" i="96"/>
  <c r="LS40" i="96"/>
  <c r="LT40" i="96"/>
  <c r="LU40" i="96"/>
  <c r="LV40" i="96"/>
  <c r="LL41" i="96"/>
  <c r="LM41" i="96"/>
  <c r="LN41" i="96"/>
  <c r="LO41" i="96"/>
  <c r="LP41" i="96"/>
  <c r="LQ41" i="96"/>
  <c r="LR41" i="96"/>
  <c r="LS41" i="96"/>
  <c r="LT41" i="96"/>
  <c r="LU41" i="96"/>
  <c r="LV41" i="96"/>
  <c r="LL42" i="96"/>
  <c r="LM42" i="96"/>
  <c r="LN42" i="96"/>
  <c r="LO42" i="96"/>
  <c r="LP42" i="96"/>
  <c r="LQ42" i="96"/>
  <c r="LR42" i="96"/>
  <c r="LS42" i="96"/>
  <c r="LT42" i="96"/>
  <c r="LU42" i="96"/>
  <c r="LV42" i="96"/>
  <c r="LL43" i="96"/>
  <c r="LM43" i="96"/>
  <c r="LN43" i="96"/>
  <c r="LO43" i="96"/>
  <c r="LP43" i="96"/>
  <c r="LQ43" i="96"/>
  <c r="LR43" i="96"/>
  <c r="LS43" i="96"/>
  <c r="LT43" i="96"/>
  <c r="LU43" i="96"/>
  <c r="LV43" i="96"/>
  <c r="LL44" i="96"/>
  <c r="LM44" i="96"/>
  <c r="LN44" i="96"/>
  <c r="LO44" i="96"/>
  <c r="LP44" i="96"/>
  <c r="LQ44" i="96"/>
  <c r="LR44" i="96"/>
  <c r="LS44" i="96"/>
  <c r="LT44" i="96"/>
  <c r="LU44" i="96"/>
  <c r="LV44" i="96"/>
  <c r="LL45" i="96"/>
  <c r="LM45" i="96"/>
  <c r="LN45" i="96"/>
  <c r="LO45" i="96"/>
  <c r="LP45" i="96"/>
  <c r="LQ45" i="96"/>
  <c r="LR45" i="96"/>
  <c r="LS45" i="96"/>
  <c r="LT45" i="96"/>
  <c r="LU45" i="96"/>
  <c r="LV45" i="96"/>
  <c r="LL46" i="96"/>
  <c r="LM46" i="96"/>
  <c r="LN46" i="96"/>
  <c r="LO46" i="96"/>
  <c r="LP46" i="96"/>
  <c r="LQ46" i="96"/>
  <c r="LR46" i="96"/>
  <c r="LS46" i="96"/>
  <c r="LT46" i="96"/>
  <c r="LU46" i="96"/>
  <c r="LV46" i="96"/>
  <c r="LL47" i="96"/>
  <c r="LM47" i="96"/>
  <c r="LN47" i="96"/>
  <c r="LO47" i="96"/>
  <c r="LP47" i="96"/>
  <c r="LQ47" i="96"/>
  <c r="LR47" i="96"/>
  <c r="LS47" i="96"/>
  <c r="LT47" i="96"/>
  <c r="LU47" i="96"/>
  <c r="LV47" i="96"/>
  <c r="LL48" i="96"/>
  <c r="LM48" i="96"/>
  <c r="LN48" i="96"/>
  <c r="LO48" i="96"/>
  <c r="LP48" i="96"/>
  <c r="LQ48" i="96"/>
  <c r="LR48" i="96"/>
  <c r="LS48" i="96"/>
  <c r="LT48" i="96"/>
  <c r="LU48" i="96"/>
  <c r="LV48" i="96"/>
  <c r="LL49" i="96"/>
  <c r="LM49" i="96"/>
  <c r="LN49" i="96"/>
  <c r="LO49" i="96"/>
  <c r="LP49" i="96"/>
  <c r="LQ49" i="96"/>
  <c r="LR49" i="96"/>
  <c r="LS49" i="96"/>
  <c r="LT49" i="96"/>
  <c r="LU49" i="96"/>
  <c r="LV49" i="96"/>
  <c r="LL50" i="96"/>
  <c r="LM50" i="96"/>
  <c r="LN50" i="96"/>
  <c r="LO50" i="96"/>
  <c r="LP50" i="96"/>
  <c r="LQ50" i="96"/>
  <c r="LR50" i="96"/>
  <c r="LS50" i="96"/>
  <c r="LT50" i="96"/>
  <c r="LU50" i="96"/>
  <c r="LV50" i="96"/>
  <c r="LL51" i="96"/>
  <c r="LM51" i="96"/>
  <c r="LN51" i="96"/>
  <c r="LO51" i="96"/>
  <c r="LP51" i="96"/>
  <c r="LQ51" i="96"/>
  <c r="LR51" i="96"/>
  <c r="LS51" i="96"/>
  <c r="LT51" i="96"/>
  <c r="LU51" i="96"/>
  <c r="LV51" i="96"/>
  <c r="LL52" i="96"/>
  <c r="LM52" i="96"/>
  <c r="LN52" i="96"/>
  <c r="LO52" i="96"/>
  <c r="LP52" i="96"/>
  <c r="LQ52" i="96"/>
  <c r="LR52" i="96"/>
  <c r="LS52" i="96"/>
  <c r="LT52" i="96"/>
  <c r="LU52" i="96"/>
  <c r="LV52" i="96"/>
  <c r="LL53" i="96"/>
  <c r="LM53" i="96"/>
  <c r="LN53" i="96"/>
  <c r="LO53" i="96"/>
  <c r="LP53" i="96"/>
  <c r="LQ53" i="96"/>
  <c r="LR53" i="96"/>
  <c r="LS53" i="96"/>
  <c r="LT53" i="96"/>
  <c r="LU53" i="96"/>
  <c r="LV53" i="96"/>
  <c r="LL54" i="96"/>
  <c r="LM54" i="96"/>
  <c r="LN54" i="96"/>
  <c r="LO54" i="96"/>
  <c r="LP54" i="96"/>
  <c r="LQ54" i="96"/>
  <c r="LR54" i="96"/>
  <c r="LS54" i="96"/>
  <c r="LT54" i="96"/>
  <c r="LU54" i="96"/>
  <c r="LV54" i="96"/>
  <c r="LL55" i="96"/>
  <c r="LM55" i="96"/>
  <c r="LN55" i="96"/>
  <c r="LO55" i="96"/>
  <c r="LP55" i="96"/>
  <c r="LQ55" i="96"/>
  <c r="LR55" i="96"/>
  <c r="LS55" i="96"/>
  <c r="LT55" i="96"/>
  <c r="LU55" i="96"/>
  <c r="LV55" i="96"/>
  <c r="LL56" i="96"/>
  <c r="LM56" i="96"/>
  <c r="LN56" i="96"/>
  <c r="LO56" i="96"/>
  <c r="LP56" i="96"/>
  <c r="LQ56" i="96"/>
  <c r="LR56" i="96"/>
  <c r="LS56" i="96"/>
  <c r="LT56" i="96"/>
  <c r="LU56" i="96"/>
  <c r="LV56" i="96"/>
  <c r="LL57" i="96"/>
  <c r="LM57" i="96"/>
  <c r="LN57" i="96"/>
  <c r="LO57" i="96"/>
  <c r="LP57" i="96"/>
  <c r="LQ57" i="96"/>
  <c r="LR57" i="96"/>
  <c r="LS57" i="96"/>
  <c r="LT57" i="96"/>
  <c r="LU57" i="96"/>
  <c r="LV57" i="96"/>
  <c r="LL58" i="96"/>
  <c r="LM58" i="96"/>
  <c r="LN58" i="96"/>
  <c r="LO58" i="96"/>
  <c r="LP58" i="96"/>
  <c r="LQ58" i="96"/>
  <c r="LR58" i="96"/>
  <c r="LS58" i="96"/>
  <c r="LT58" i="96"/>
  <c r="LU58" i="96"/>
  <c r="LV58" i="96"/>
  <c r="LL60" i="96"/>
  <c r="LM60" i="96"/>
  <c r="LN60" i="96"/>
  <c r="LO60" i="96"/>
  <c r="LP60" i="96"/>
  <c r="LQ60" i="96"/>
  <c r="LR60" i="96"/>
  <c r="LS60" i="96"/>
  <c r="LT60" i="96"/>
  <c r="LU60" i="96"/>
  <c r="LV60" i="96"/>
  <c r="LB60" i="96"/>
  <c r="LC60" i="96"/>
  <c r="LD60" i="96"/>
  <c r="LE60" i="96"/>
  <c r="LF60" i="96"/>
  <c r="LG60" i="96"/>
  <c r="KW60" i="96"/>
  <c r="LH60" i="96"/>
  <c r="KM60" i="96"/>
  <c r="KX60" i="96"/>
  <c r="LI60" i="96"/>
  <c r="LK60" i="96"/>
  <c r="LJ60" i="96"/>
  <c r="KY60" i="96"/>
  <c r="JG11" i="96"/>
  <c r="JG12" i="96"/>
  <c r="JG13" i="96"/>
  <c r="JG14" i="96"/>
  <c r="JG15" i="96"/>
  <c r="JG16" i="96"/>
  <c r="JG17" i="96"/>
  <c r="JG18" i="96"/>
  <c r="JG19" i="96"/>
  <c r="JG20" i="96"/>
  <c r="JG21" i="96"/>
  <c r="JG22" i="96"/>
  <c r="JG23" i="96"/>
  <c r="JG24" i="96"/>
  <c r="JG25" i="96"/>
  <c r="JG26" i="96"/>
  <c r="JG27" i="96"/>
  <c r="JG28" i="96"/>
  <c r="JG29" i="96"/>
  <c r="JG30" i="96"/>
  <c r="JG31" i="96"/>
  <c r="JG32" i="96"/>
  <c r="JG33" i="96"/>
  <c r="JG34" i="96"/>
  <c r="JG35" i="96"/>
  <c r="JG36" i="96"/>
  <c r="JG37" i="96"/>
  <c r="JG38" i="96"/>
  <c r="JG39" i="96"/>
  <c r="JG40" i="96"/>
  <c r="JG41" i="96"/>
  <c r="JG42" i="96"/>
  <c r="JG43" i="96"/>
  <c r="JG44" i="96"/>
  <c r="JG45" i="96"/>
  <c r="JG46" i="96"/>
  <c r="JG47" i="96"/>
  <c r="JG48" i="96"/>
  <c r="JG49" i="96"/>
  <c r="JG50" i="96"/>
  <c r="JG51" i="96"/>
  <c r="JG53" i="96"/>
  <c r="JG54" i="96"/>
  <c r="JG55" i="96"/>
  <c r="JG56" i="96"/>
  <c r="JG57" i="96"/>
  <c r="JG58" i="96"/>
  <c r="JG60" i="96"/>
  <c r="KC60" i="96"/>
  <c r="JR60" i="96"/>
  <c r="G11" i="124"/>
  <c r="G12" i="124"/>
  <c r="G13" i="124"/>
  <c r="G14" i="124"/>
  <c r="G15" i="124"/>
  <c r="G16" i="124"/>
  <c r="G17" i="124"/>
  <c r="G18" i="124"/>
  <c r="G19" i="124"/>
  <c r="G20" i="124"/>
  <c r="G21" i="124"/>
  <c r="G22" i="124"/>
  <c r="G23" i="124"/>
  <c r="G24" i="124"/>
  <c r="G25" i="124"/>
  <c r="G26" i="124"/>
  <c r="G27" i="124"/>
  <c r="G28" i="124"/>
  <c r="G29" i="124"/>
  <c r="G30" i="124"/>
  <c r="G31" i="124"/>
  <c r="G32" i="124"/>
  <c r="G33" i="124"/>
  <c r="G34" i="124"/>
  <c r="G35" i="124"/>
  <c r="G36" i="124"/>
  <c r="G37" i="124"/>
  <c r="G38" i="124"/>
  <c r="G39" i="124"/>
  <c r="G40" i="124"/>
  <c r="G41" i="124"/>
  <c r="G42" i="124"/>
  <c r="G43" i="124"/>
  <c r="G44" i="124"/>
  <c r="G45" i="124"/>
  <c r="G46" i="124"/>
  <c r="G47" i="124"/>
  <c r="G48" i="124"/>
  <c r="G49" i="124"/>
  <c r="G50" i="124"/>
  <c r="G51" i="124"/>
  <c r="G52" i="124"/>
  <c r="G53" i="124"/>
  <c r="G54" i="124"/>
  <c r="G55" i="124"/>
  <c r="G56" i="124"/>
  <c r="G57" i="124"/>
  <c r="G58" i="124"/>
  <c r="G59" i="124"/>
  <c r="G60" i="124"/>
  <c r="G10" i="124"/>
  <c r="J11" i="134"/>
  <c r="J11" i="135"/>
  <c r="J12" i="134"/>
  <c r="J12" i="135"/>
  <c r="J13" i="134"/>
  <c r="J13" i="135"/>
  <c r="J14" i="134"/>
  <c r="J14" i="135"/>
  <c r="J15" i="134"/>
  <c r="J15" i="135"/>
  <c r="J16" i="134"/>
  <c r="J16" i="135"/>
  <c r="J17" i="134"/>
  <c r="J17" i="135"/>
  <c r="J18" i="134"/>
  <c r="J18" i="135"/>
  <c r="J19" i="134"/>
  <c r="J19" i="135"/>
  <c r="J20" i="134"/>
  <c r="J20" i="135"/>
  <c r="J21" i="134"/>
  <c r="J21" i="135"/>
  <c r="J22" i="134"/>
  <c r="J22" i="135"/>
  <c r="J23" i="134"/>
  <c r="J23" i="135"/>
  <c r="J24" i="134"/>
  <c r="J24" i="135"/>
  <c r="J25" i="134"/>
  <c r="J25" i="135"/>
  <c r="J26" i="134"/>
  <c r="J26" i="135"/>
  <c r="J27" i="134"/>
  <c r="J27" i="135"/>
  <c r="J28" i="134"/>
  <c r="J28" i="135"/>
  <c r="J29" i="134"/>
  <c r="J29" i="135"/>
  <c r="J30" i="134"/>
  <c r="J30" i="135"/>
  <c r="J31" i="134"/>
  <c r="J31" i="135"/>
  <c r="J32" i="134"/>
  <c r="J32" i="135"/>
  <c r="J33" i="134"/>
  <c r="J33" i="135"/>
  <c r="J34" i="134"/>
  <c r="J34" i="135"/>
  <c r="J35" i="134"/>
  <c r="J35" i="135"/>
  <c r="J36" i="134"/>
  <c r="J36" i="135"/>
  <c r="J37" i="134"/>
  <c r="J37" i="135"/>
  <c r="J38" i="134"/>
  <c r="J38" i="135"/>
  <c r="J39" i="134"/>
  <c r="J39" i="135"/>
  <c r="J40" i="134"/>
  <c r="J40" i="135"/>
  <c r="J41" i="134"/>
  <c r="J41" i="135"/>
  <c r="J42" i="134"/>
  <c r="J42" i="135"/>
  <c r="J43" i="134"/>
  <c r="J43" i="135"/>
  <c r="J44" i="134"/>
  <c r="J44" i="135"/>
  <c r="J45" i="134"/>
  <c r="J45" i="135"/>
  <c r="J46" i="134"/>
  <c r="J46" i="135"/>
  <c r="J47" i="134"/>
  <c r="J47" i="135"/>
  <c r="J48" i="134"/>
  <c r="J48" i="135"/>
  <c r="J49" i="134"/>
  <c r="J49" i="135"/>
  <c r="J50" i="134"/>
  <c r="J50" i="135"/>
  <c r="J51" i="134"/>
  <c r="J51" i="135"/>
  <c r="J52" i="134"/>
  <c r="J52" i="135"/>
  <c r="J53" i="134"/>
  <c r="J53" i="135"/>
  <c r="J54" i="134"/>
  <c r="J54" i="135"/>
  <c r="J55" i="134"/>
  <c r="J55" i="135"/>
  <c r="J56" i="134"/>
  <c r="J56" i="135"/>
  <c r="J57" i="134"/>
  <c r="J57" i="135"/>
  <c r="C58" i="134"/>
  <c r="J58" i="134"/>
  <c r="C58" i="135"/>
  <c r="J58" i="135"/>
  <c r="C59" i="134"/>
  <c r="J59" i="134"/>
  <c r="C59" i="135"/>
  <c r="J59" i="135"/>
  <c r="J10" i="134"/>
  <c r="J10" i="135"/>
  <c r="E21" i="135"/>
  <c r="M21" i="135"/>
  <c r="E26" i="135"/>
  <c r="M26" i="135"/>
  <c r="E27" i="135"/>
  <c r="M27" i="135"/>
  <c r="E28" i="135"/>
  <c r="M28" i="135"/>
  <c r="E29" i="135"/>
  <c r="M29" i="135"/>
  <c r="E30" i="135"/>
  <c r="M30" i="135"/>
  <c r="E31" i="135"/>
  <c r="M31" i="135"/>
  <c r="E32" i="135"/>
  <c r="M32" i="135"/>
  <c r="E33" i="135"/>
  <c r="M33" i="135"/>
  <c r="E34" i="135"/>
  <c r="M34" i="135"/>
  <c r="E35" i="135"/>
  <c r="M35" i="135"/>
  <c r="E36" i="135"/>
  <c r="M36" i="135"/>
  <c r="E37" i="135"/>
  <c r="M37" i="135"/>
  <c r="E38" i="135"/>
  <c r="M38" i="135"/>
  <c r="E39" i="135"/>
  <c r="M39" i="135"/>
  <c r="E40" i="135"/>
  <c r="M40" i="135"/>
  <c r="E41" i="135"/>
  <c r="M41" i="135"/>
  <c r="E42" i="135"/>
  <c r="M42" i="135"/>
  <c r="E43" i="135"/>
  <c r="M43" i="135"/>
  <c r="E44" i="135"/>
  <c r="M44" i="135"/>
  <c r="E45" i="135"/>
  <c r="M45" i="135"/>
  <c r="E46" i="135"/>
  <c r="M46" i="135"/>
  <c r="E47" i="135"/>
  <c r="M47" i="135"/>
  <c r="E48" i="135"/>
  <c r="M48" i="135"/>
  <c r="E49" i="135"/>
  <c r="M49" i="135"/>
  <c r="E50" i="135"/>
  <c r="M50" i="135"/>
  <c r="E51" i="135"/>
  <c r="M51" i="135"/>
  <c r="E52" i="135"/>
  <c r="M52" i="135"/>
  <c r="E53" i="135"/>
  <c r="M53" i="135"/>
  <c r="E54" i="135"/>
  <c r="M54" i="135"/>
  <c r="E55" i="135"/>
  <c r="M55" i="135"/>
  <c r="E56" i="135"/>
  <c r="M56" i="135"/>
  <c r="E57" i="135"/>
  <c r="M57" i="135"/>
  <c r="E58" i="135"/>
  <c r="M58" i="135"/>
  <c r="E59" i="135"/>
  <c r="M59" i="135"/>
  <c r="E21" i="134"/>
  <c r="M21" i="134"/>
  <c r="E26" i="134"/>
  <c r="M26" i="134"/>
  <c r="E27" i="134"/>
  <c r="M27" i="134"/>
  <c r="E28" i="134"/>
  <c r="M28" i="134"/>
  <c r="E29" i="134"/>
  <c r="M29" i="134"/>
  <c r="E30" i="134"/>
  <c r="M30" i="134"/>
  <c r="E31" i="134"/>
  <c r="M31" i="134"/>
  <c r="E32" i="134"/>
  <c r="M32" i="134"/>
  <c r="E33" i="134"/>
  <c r="M33" i="134"/>
  <c r="E34" i="134"/>
  <c r="M34" i="134"/>
  <c r="E35" i="134"/>
  <c r="M35" i="134"/>
  <c r="E36" i="134"/>
  <c r="M36" i="134"/>
  <c r="E37" i="134"/>
  <c r="M37" i="134"/>
  <c r="E38" i="134"/>
  <c r="M38" i="134"/>
  <c r="E39" i="134"/>
  <c r="M39" i="134"/>
  <c r="E40" i="134"/>
  <c r="M40" i="134"/>
  <c r="E41" i="134"/>
  <c r="M41" i="134"/>
  <c r="E42" i="134"/>
  <c r="M42" i="134"/>
  <c r="E43" i="134"/>
  <c r="M43" i="134"/>
  <c r="E44" i="134"/>
  <c r="M44" i="134"/>
  <c r="E45" i="134"/>
  <c r="M45" i="134"/>
  <c r="E46" i="134"/>
  <c r="M46" i="134"/>
  <c r="E47" i="134"/>
  <c r="M47" i="134"/>
  <c r="E48" i="134"/>
  <c r="M48" i="134"/>
  <c r="E49" i="134"/>
  <c r="M49" i="134"/>
  <c r="E50" i="134"/>
  <c r="M50" i="134"/>
  <c r="E51" i="134"/>
  <c r="M51" i="134"/>
  <c r="E52" i="134"/>
  <c r="M52" i="134"/>
  <c r="E53" i="134"/>
  <c r="M53" i="134"/>
  <c r="E54" i="134"/>
  <c r="M54" i="134"/>
  <c r="E55" i="134"/>
  <c r="M55" i="134"/>
  <c r="E56" i="134"/>
  <c r="M56" i="134"/>
  <c r="E57" i="134"/>
  <c r="M57" i="134"/>
  <c r="E58" i="134"/>
  <c r="M58" i="134"/>
  <c r="E59" i="134"/>
  <c r="M59" i="134"/>
  <c r="E59" i="128"/>
  <c r="C59" i="128"/>
  <c r="M59" i="128"/>
  <c r="D59" i="129"/>
  <c r="E59" i="129"/>
  <c r="C59" i="129"/>
  <c r="M59" i="129"/>
  <c r="G59" i="130"/>
  <c r="L59" i="128"/>
  <c r="L59" i="129"/>
  <c r="F59" i="130"/>
  <c r="J59" i="128"/>
  <c r="K59" i="128"/>
  <c r="J59" i="129"/>
  <c r="K59" i="129"/>
  <c r="E59" i="130"/>
  <c r="I59" i="128"/>
  <c r="B59" i="129"/>
  <c r="I59" i="129"/>
  <c r="C59" i="130"/>
  <c r="H59" i="128"/>
  <c r="H59" i="129"/>
  <c r="B59" i="130"/>
  <c r="B59" i="135"/>
  <c r="I59" i="135"/>
  <c r="R51" i="135"/>
  <c r="R52" i="135"/>
  <c r="R53" i="135"/>
  <c r="R54" i="135"/>
  <c r="R55" i="135"/>
  <c r="R56" i="135"/>
  <c r="R57" i="135"/>
  <c r="KL59" i="96"/>
  <c r="KM59" i="96"/>
  <c r="B58" i="129"/>
  <c r="B58" i="135"/>
  <c r="B58" i="128"/>
  <c r="B58" i="134"/>
  <c r="B58" i="132"/>
  <c r="R58" i="135"/>
  <c r="R59" i="135"/>
  <c r="J10" i="130"/>
  <c r="K10" i="134"/>
  <c r="K10" i="135"/>
  <c r="K10" i="130"/>
  <c r="J11" i="130"/>
  <c r="K11" i="134"/>
  <c r="K11" i="135"/>
  <c r="K11" i="130"/>
  <c r="J12" i="130"/>
  <c r="K12" i="134"/>
  <c r="K12" i="135"/>
  <c r="K12" i="130"/>
  <c r="J13" i="130"/>
  <c r="K13" i="134"/>
  <c r="K13" i="135"/>
  <c r="K13" i="130"/>
  <c r="J14" i="130"/>
  <c r="K14" i="134"/>
  <c r="K14" i="135"/>
  <c r="K14" i="130"/>
  <c r="J15" i="130"/>
  <c r="K15" i="134"/>
  <c r="K15" i="135"/>
  <c r="K15" i="130"/>
  <c r="J16" i="130"/>
  <c r="K16" i="134"/>
  <c r="K16" i="135"/>
  <c r="K16" i="130"/>
  <c r="J17" i="130"/>
  <c r="K17" i="134"/>
  <c r="K17" i="135"/>
  <c r="K17" i="130"/>
  <c r="J18" i="130"/>
  <c r="K18" i="134"/>
  <c r="K18" i="135"/>
  <c r="K18" i="130"/>
  <c r="J19" i="130"/>
  <c r="K19" i="134"/>
  <c r="K19" i="135"/>
  <c r="K19" i="130"/>
  <c r="J20" i="130"/>
  <c r="K20" i="134"/>
  <c r="K20" i="135"/>
  <c r="K20" i="130"/>
  <c r="J21" i="130"/>
  <c r="K21" i="134"/>
  <c r="K21" i="135"/>
  <c r="K21" i="130"/>
  <c r="L21" i="134"/>
  <c r="L21" i="135"/>
  <c r="L21" i="130"/>
  <c r="J22" i="130"/>
  <c r="K22" i="134"/>
  <c r="K22" i="135"/>
  <c r="K22" i="130"/>
  <c r="J23" i="130"/>
  <c r="K23" i="134"/>
  <c r="K23" i="135"/>
  <c r="K23" i="130"/>
  <c r="J24" i="130"/>
  <c r="K24" i="134"/>
  <c r="K24" i="135"/>
  <c r="K24" i="130"/>
  <c r="J25" i="130"/>
  <c r="K25" i="134"/>
  <c r="K25" i="135"/>
  <c r="K25" i="130"/>
  <c r="J26" i="130"/>
  <c r="K26" i="134"/>
  <c r="K26" i="135"/>
  <c r="K26" i="130"/>
  <c r="L26" i="134"/>
  <c r="L26" i="135"/>
  <c r="L26" i="130"/>
  <c r="H27" i="130"/>
  <c r="I27" i="130"/>
  <c r="J27" i="130"/>
  <c r="K27" i="134"/>
  <c r="K27" i="135"/>
  <c r="K27" i="130"/>
  <c r="L27" i="134"/>
  <c r="L27" i="135"/>
  <c r="L27" i="130"/>
  <c r="H28" i="130"/>
  <c r="I28" i="130"/>
  <c r="J28" i="130"/>
  <c r="K28" i="134"/>
  <c r="K28" i="135"/>
  <c r="K28" i="130"/>
  <c r="L28" i="134"/>
  <c r="L28" i="135"/>
  <c r="L28" i="130"/>
  <c r="H29" i="130"/>
  <c r="I29" i="130"/>
  <c r="J29" i="130"/>
  <c r="K29" i="134"/>
  <c r="K29" i="135"/>
  <c r="K29" i="130"/>
  <c r="L29" i="134"/>
  <c r="L29" i="135"/>
  <c r="L29" i="130"/>
  <c r="H30" i="130"/>
  <c r="I30" i="130"/>
  <c r="J30" i="130"/>
  <c r="K30" i="134"/>
  <c r="K30" i="135"/>
  <c r="K30" i="130"/>
  <c r="L30" i="134"/>
  <c r="L30" i="135"/>
  <c r="L30" i="130"/>
  <c r="H31" i="130"/>
  <c r="I31" i="130"/>
  <c r="J31" i="130"/>
  <c r="K31" i="134"/>
  <c r="K31" i="135"/>
  <c r="K31" i="130"/>
  <c r="L31" i="134"/>
  <c r="L31" i="135"/>
  <c r="L31" i="130"/>
  <c r="H32" i="130"/>
  <c r="I32" i="130"/>
  <c r="J32" i="130"/>
  <c r="K32" i="134"/>
  <c r="K32" i="135"/>
  <c r="K32" i="130"/>
  <c r="L32" i="134"/>
  <c r="L32" i="135"/>
  <c r="L32" i="130"/>
  <c r="H33" i="130"/>
  <c r="I33" i="130"/>
  <c r="J33" i="130"/>
  <c r="K33" i="134"/>
  <c r="K33" i="135"/>
  <c r="K33" i="130"/>
  <c r="L33" i="134"/>
  <c r="L33" i="135"/>
  <c r="L33" i="130"/>
  <c r="H34" i="130"/>
  <c r="I34" i="130"/>
  <c r="J34" i="130"/>
  <c r="K34" i="134"/>
  <c r="K34" i="135"/>
  <c r="K34" i="130"/>
  <c r="L34" i="134"/>
  <c r="L34" i="135"/>
  <c r="L34" i="130"/>
  <c r="H35" i="130"/>
  <c r="I35" i="130"/>
  <c r="J35" i="130"/>
  <c r="K35" i="134"/>
  <c r="K35" i="135"/>
  <c r="K35" i="130"/>
  <c r="L35" i="134"/>
  <c r="L35" i="135"/>
  <c r="L35" i="130"/>
  <c r="H36" i="130"/>
  <c r="I36" i="130"/>
  <c r="J36" i="130"/>
  <c r="K36" i="134"/>
  <c r="K36" i="135"/>
  <c r="K36" i="130"/>
  <c r="L36" i="134"/>
  <c r="L36" i="135"/>
  <c r="L36" i="130"/>
  <c r="H37" i="130"/>
  <c r="I37" i="130"/>
  <c r="J37" i="130"/>
  <c r="K37" i="134"/>
  <c r="K37" i="135"/>
  <c r="K37" i="130"/>
  <c r="L37" i="134"/>
  <c r="L37" i="135"/>
  <c r="L37" i="130"/>
  <c r="H38" i="130"/>
  <c r="I38" i="130"/>
  <c r="J38" i="130"/>
  <c r="K38" i="134"/>
  <c r="K38" i="135"/>
  <c r="K38" i="130"/>
  <c r="L38" i="134"/>
  <c r="L38" i="135"/>
  <c r="L38" i="130"/>
  <c r="H39" i="130"/>
  <c r="I39" i="130"/>
  <c r="J39" i="130"/>
  <c r="K39" i="134"/>
  <c r="K39" i="135"/>
  <c r="K39" i="130"/>
  <c r="L39" i="134"/>
  <c r="L39" i="135"/>
  <c r="L39" i="130"/>
  <c r="H40" i="130"/>
  <c r="I40" i="130"/>
  <c r="J40" i="130"/>
  <c r="K40" i="134"/>
  <c r="K40" i="135"/>
  <c r="K40" i="130"/>
  <c r="L40" i="134"/>
  <c r="L40" i="135"/>
  <c r="L40" i="130"/>
  <c r="H41" i="130"/>
  <c r="I41" i="130"/>
  <c r="J41" i="130"/>
  <c r="K41" i="134"/>
  <c r="K41" i="135"/>
  <c r="K41" i="130"/>
  <c r="L41" i="134"/>
  <c r="L41" i="135"/>
  <c r="L41" i="130"/>
  <c r="H42" i="130"/>
  <c r="I42" i="130"/>
  <c r="J42" i="130"/>
  <c r="K42" i="134"/>
  <c r="K42" i="135"/>
  <c r="K42" i="130"/>
  <c r="L42" i="134"/>
  <c r="L42" i="135"/>
  <c r="L42" i="130"/>
  <c r="H43" i="130"/>
  <c r="I43" i="130"/>
  <c r="J43" i="130"/>
  <c r="K43" i="134"/>
  <c r="K43" i="135"/>
  <c r="K43" i="130"/>
  <c r="L43" i="134"/>
  <c r="L43" i="135"/>
  <c r="L43" i="130"/>
  <c r="H44" i="130"/>
  <c r="I44" i="130"/>
  <c r="J44" i="130"/>
  <c r="K44" i="134"/>
  <c r="K44" i="135"/>
  <c r="K44" i="130"/>
  <c r="L44" i="134"/>
  <c r="L44" i="135"/>
  <c r="L44" i="130"/>
  <c r="H45" i="130"/>
  <c r="I45" i="130"/>
  <c r="J45" i="130"/>
  <c r="K45" i="134"/>
  <c r="K45" i="135"/>
  <c r="K45" i="130"/>
  <c r="L45" i="134"/>
  <c r="L45" i="135"/>
  <c r="L45" i="130"/>
  <c r="H46" i="130"/>
  <c r="I46" i="130"/>
  <c r="J46" i="130"/>
  <c r="K46" i="134"/>
  <c r="K46" i="135"/>
  <c r="K46" i="130"/>
  <c r="L46" i="134"/>
  <c r="L46" i="135"/>
  <c r="L46" i="130"/>
  <c r="H47" i="130"/>
  <c r="I47" i="130"/>
  <c r="J47" i="130"/>
  <c r="K47" i="134"/>
  <c r="K47" i="135"/>
  <c r="K47" i="130"/>
  <c r="L47" i="134"/>
  <c r="L47" i="135"/>
  <c r="L47" i="130"/>
  <c r="H48" i="130"/>
  <c r="I48" i="130"/>
  <c r="J48" i="130"/>
  <c r="K48" i="134"/>
  <c r="K48" i="135"/>
  <c r="K48" i="130"/>
  <c r="L48" i="134"/>
  <c r="L48" i="135"/>
  <c r="L48" i="130"/>
  <c r="H49" i="130"/>
  <c r="I49" i="130"/>
  <c r="J49" i="130"/>
  <c r="K49" i="134"/>
  <c r="K49" i="135"/>
  <c r="K49" i="130"/>
  <c r="L49" i="134"/>
  <c r="L49" i="135"/>
  <c r="L49" i="130"/>
  <c r="H50" i="130"/>
  <c r="I50" i="130"/>
  <c r="J50" i="130"/>
  <c r="K50" i="134"/>
  <c r="K50" i="135"/>
  <c r="K50" i="130"/>
  <c r="L50" i="134"/>
  <c r="L50" i="135"/>
  <c r="L50" i="130"/>
  <c r="H51" i="130"/>
  <c r="I51" i="130"/>
  <c r="J51" i="130"/>
  <c r="K51" i="134"/>
  <c r="K51" i="135"/>
  <c r="K51" i="130"/>
  <c r="L51" i="134"/>
  <c r="L51" i="135"/>
  <c r="L51" i="130"/>
  <c r="H52" i="130"/>
  <c r="I52" i="130"/>
  <c r="J52" i="130"/>
  <c r="K52" i="134"/>
  <c r="K52" i="135"/>
  <c r="K52" i="130"/>
  <c r="L52" i="134"/>
  <c r="L52" i="135"/>
  <c r="L52" i="130"/>
  <c r="H53" i="130"/>
  <c r="I53" i="130"/>
  <c r="J53" i="130"/>
  <c r="K53" i="134"/>
  <c r="K53" i="135"/>
  <c r="K53" i="130"/>
  <c r="L53" i="134"/>
  <c r="L53" i="135"/>
  <c r="L53" i="130"/>
  <c r="H54" i="130"/>
  <c r="I54" i="130"/>
  <c r="J54" i="130"/>
  <c r="K54" i="134"/>
  <c r="K54" i="135"/>
  <c r="K54" i="130"/>
  <c r="L54" i="134"/>
  <c r="L54" i="135"/>
  <c r="L54" i="130"/>
  <c r="H55" i="130"/>
  <c r="I55" i="130"/>
  <c r="J55" i="130"/>
  <c r="K55" i="134"/>
  <c r="K55" i="135"/>
  <c r="K55" i="130"/>
  <c r="L55" i="134"/>
  <c r="L55" i="135"/>
  <c r="L55" i="130"/>
  <c r="H56" i="130"/>
  <c r="I56" i="130"/>
  <c r="J56" i="130"/>
  <c r="K56" i="134"/>
  <c r="K56" i="135"/>
  <c r="K56" i="130"/>
  <c r="L56" i="134"/>
  <c r="L56" i="135"/>
  <c r="L56" i="130"/>
  <c r="H57" i="130"/>
  <c r="I57" i="130"/>
  <c r="J57" i="130"/>
  <c r="K57" i="134"/>
  <c r="K57" i="135"/>
  <c r="K57" i="130"/>
  <c r="L57" i="134"/>
  <c r="L57" i="135"/>
  <c r="L57" i="130"/>
  <c r="H58" i="134"/>
  <c r="H58" i="135"/>
  <c r="H58" i="130"/>
  <c r="I58" i="134"/>
  <c r="I58" i="135"/>
  <c r="I58" i="130"/>
  <c r="J58" i="130"/>
  <c r="K58" i="134"/>
  <c r="K58" i="135"/>
  <c r="K58" i="130"/>
  <c r="L58" i="134"/>
  <c r="L58" i="135"/>
  <c r="L58" i="130"/>
  <c r="H59" i="134"/>
  <c r="H59" i="135"/>
  <c r="H59" i="130"/>
  <c r="I59" i="134"/>
  <c r="I59" i="130"/>
  <c r="J59" i="130"/>
  <c r="K59" i="134"/>
  <c r="K59" i="135"/>
  <c r="K59" i="130"/>
  <c r="L59" i="134"/>
  <c r="L59" i="135"/>
  <c r="L59" i="130"/>
  <c r="M21" i="130"/>
  <c r="M26" i="130"/>
  <c r="M27" i="130"/>
  <c r="M28" i="130"/>
  <c r="M29" i="130"/>
  <c r="M30" i="130"/>
  <c r="M31" i="130"/>
  <c r="M32" i="130"/>
  <c r="M33" i="130"/>
  <c r="M34" i="130"/>
  <c r="M35" i="130"/>
  <c r="M36" i="130"/>
  <c r="M37" i="130"/>
  <c r="M38" i="130"/>
  <c r="M39" i="130"/>
  <c r="M40" i="130"/>
  <c r="M41" i="130"/>
  <c r="M42" i="130"/>
  <c r="M43" i="130"/>
  <c r="M44" i="130"/>
  <c r="M45" i="130"/>
  <c r="M46" i="130"/>
  <c r="M47" i="130"/>
  <c r="M48" i="130"/>
  <c r="M49" i="130"/>
  <c r="M50" i="130"/>
  <c r="M51" i="130"/>
  <c r="M52" i="130"/>
  <c r="M53" i="130"/>
  <c r="M54" i="130"/>
  <c r="M55" i="130"/>
  <c r="M56" i="130"/>
  <c r="M57" i="130"/>
  <c r="M58" i="130"/>
  <c r="M59" i="130"/>
  <c r="D59" i="133"/>
  <c r="I59" i="133"/>
  <c r="C59" i="131"/>
  <c r="C59" i="133"/>
  <c r="H59" i="133"/>
  <c r="B58" i="133"/>
  <c r="C58" i="132"/>
  <c r="C58" i="131"/>
  <c r="C58" i="133"/>
  <c r="H58" i="133"/>
  <c r="I59" i="131"/>
  <c r="H59" i="131"/>
  <c r="H58" i="131"/>
  <c r="H58" i="132"/>
  <c r="C58" i="128"/>
  <c r="H58" i="128"/>
  <c r="C58" i="129"/>
  <c r="H58" i="129"/>
  <c r="H59" i="132"/>
  <c r="KN60" i="96"/>
  <c r="Q59" i="135"/>
  <c r="Q58" i="135"/>
  <c r="Q57" i="135"/>
  <c r="Q56" i="135"/>
  <c r="Q55" i="135"/>
  <c r="Q54" i="135"/>
  <c r="Q53" i="135"/>
  <c r="Q52" i="135"/>
  <c r="Q51" i="135"/>
  <c r="Q50" i="135"/>
  <c r="Q49" i="135"/>
  <c r="Q48" i="135"/>
  <c r="Q47" i="135"/>
  <c r="Q46" i="135"/>
  <c r="Q45" i="135"/>
  <c r="Q44" i="135"/>
  <c r="Q43" i="135"/>
  <c r="Q42" i="135"/>
  <c r="Q41" i="135"/>
  <c r="Q40" i="135"/>
  <c r="Q39" i="135"/>
  <c r="Q38" i="135"/>
  <c r="Q37" i="135"/>
  <c r="Q36" i="135"/>
  <c r="Q35" i="135"/>
  <c r="Q34" i="135"/>
  <c r="Q33" i="135"/>
  <c r="Q32" i="135"/>
  <c r="Q31" i="135"/>
  <c r="Q30" i="135"/>
  <c r="Q29" i="135"/>
  <c r="Q28" i="135"/>
  <c r="Q27" i="135"/>
  <c r="Q26" i="135"/>
  <c r="Q25" i="135"/>
  <c r="Q24" i="135"/>
  <c r="Q23" i="135"/>
  <c r="Q22" i="135"/>
  <c r="Q21" i="135"/>
  <c r="Q20" i="135"/>
  <c r="Q19" i="135"/>
  <c r="Q18" i="135"/>
  <c r="Q17" i="135"/>
  <c r="Q16" i="135"/>
  <c r="Q15" i="135"/>
  <c r="Q14" i="135"/>
  <c r="Q13" i="135"/>
  <c r="Q12" i="135"/>
  <c r="Q11" i="135"/>
  <c r="Q10" i="135"/>
  <c r="Q58" i="134"/>
  <c r="Q57" i="134"/>
  <c r="Q56" i="134"/>
  <c r="Q55" i="134"/>
  <c r="Q54" i="134"/>
  <c r="Q53" i="134"/>
  <c r="Q52" i="134"/>
  <c r="Q51" i="134"/>
  <c r="Q50" i="134"/>
  <c r="Q49" i="134"/>
  <c r="Q48" i="134"/>
  <c r="Q47" i="134"/>
  <c r="Q46" i="134"/>
  <c r="Q45" i="134"/>
  <c r="Q44" i="134"/>
  <c r="Q43" i="134"/>
  <c r="Q42" i="134"/>
  <c r="Q41" i="134"/>
  <c r="Q40" i="134"/>
  <c r="Q39" i="134"/>
  <c r="Q38" i="134"/>
  <c r="Q37" i="134"/>
  <c r="Q36" i="134"/>
  <c r="Q35" i="134"/>
  <c r="Q34" i="134"/>
  <c r="Q33" i="134"/>
  <c r="Q32" i="134"/>
  <c r="Q31" i="134"/>
  <c r="Q30" i="134"/>
  <c r="Q29" i="134"/>
  <c r="Q28" i="134"/>
  <c r="Q27" i="134"/>
  <c r="Q26" i="134"/>
  <c r="Q25" i="134"/>
  <c r="Q24" i="134"/>
  <c r="Q23" i="134"/>
  <c r="Q22" i="134"/>
  <c r="Q21" i="134"/>
  <c r="Q20" i="134"/>
  <c r="Q19" i="134"/>
  <c r="Q18" i="134"/>
  <c r="Q17" i="134"/>
  <c r="Q16" i="134"/>
  <c r="Q15" i="134"/>
  <c r="Q14" i="134"/>
  <c r="Q13" i="134"/>
  <c r="Q12" i="134"/>
  <c r="Q11" i="134"/>
  <c r="Q10" i="134"/>
  <c r="J10" i="128"/>
  <c r="J10" i="129"/>
  <c r="D10" i="130"/>
  <c r="K10" i="128"/>
  <c r="K10" i="129"/>
  <c r="E10" i="130"/>
  <c r="J11" i="128"/>
  <c r="J11" i="129"/>
  <c r="D11" i="130"/>
  <c r="K11" i="128"/>
  <c r="K11" i="129"/>
  <c r="E11" i="130"/>
  <c r="J12" i="128"/>
  <c r="J12" i="129"/>
  <c r="D12" i="130"/>
  <c r="K12" i="128"/>
  <c r="K12" i="129"/>
  <c r="E12" i="130"/>
  <c r="J13" i="128"/>
  <c r="J13" i="129"/>
  <c r="D13" i="130"/>
  <c r="K13" i="128"/>
  <c r="K13" i="129"/>
  <c r="E13" i="130"/>
  <c r="J14" i="128"/>
  <c r="J14" i="129"/>
  <c r="D14" i="130"/>
  <c r="K14" i="128"/>
  <c r="K14" i="129"/>
  <c r="E14" i="130"/>
  <c r="J15" i="128"/>
  <c r="J15" i="129"/>
  <c r="D15" i="130"/>
  <c r="K15" i="128"/>
  <c r="K15" i="129"/>
  <c r="E15" i="130"/>
  <c r="J16" i="128"/>
  <c r="J16" i="129"/>
  <c r="D16" i="130"/>
  <c r="K16" i="128"/>
  <c r="K16" i="129"/>
  <c r="E16" i="130"/>
  <c r="J17" i="128"/>
  <c r="J17" i="129"/>
  <c r="D17" i="130"/>
  <c r="K17" i="128"/>
  <c r="K17" i="129"/>
  <c r="E17" i="130"/>
  <c r="J18" i="128"/>
  <c r="J18" i="129"/>
  <c r="D18" i="130"/>
  <c r="K18" i="128"/>
  <c r="K18" i="129"/>
  <c r="E18" i="130"/>
  <c r="J19" i="128"/>
  <c r="J19" i="129"/>
  <c r="D19" i="130"/>
  <c r="K19" i="128"/>
  <c r="K19" i="129"/>
  <c r="E19" i="130"/>
  <c r="J20" i="128"/>
  <c r="J20" i="129"/>
  <c r="D20" i="130"/>
  <c r="K20" i="128"/>
  <c r="K20" i="129"/>
  <c r="E20" i="130"/>
  <c r="J21" i="128"/>
  <c r="J21" i="129"/>
  <c r="D21" i="130"/>
  <c r="K21" i="128"/>
  <c r="K21" i="129"/>
  <c r="E21" i="130"/>
  <c r="E21" i="128"/>
  <c r="L21" i="128"/>
  <c r="E21" i="129"/>
  <c r="L21" i="129"/>
  <c r="F21" i="130"/>
  <c r="M21" i="128"/>
  <c r="M21" i="129"/>
  <c r="G21" i="130"/>
  <c r="J22" i="128"/>
  <c r="J22" i="129"/>
  <c r="D22" i="130"/>
  <c r="K22" i="128"/>
  <c r="K22" i="129"/>
  <c r="E22" i="130"/>
  <c r="J23" i="128"/>
  <c r="J23" i="129"/>
  <c r="D23" i="130"/>
  <c r="K23" i="128"/>
  <c r="K23" i="129"/>
  <c r="E23" i="130"/>
  <c r="J24" i="128"/>
  <c r="J24" i="129"/>
  <c r="D24" i="130"/>
  <c r="K24" i="128"/>
  <c r="K24" i="129"/>
  <c r="E24" i="130"/>
  <c r="J25" i="128"/>
  <c r="J25" i="129"/>
  <c r="D25" i="130"/>
  <c r="K25" i="128"/>
  <c r="K25" i="129"/>
  <c r="E25" i="130"/>
  <c r="J26" i="128"/>
  <c r="J26" i="129"/>
  <c r="D26" i="130"/>
  <c r="K26" i="128"/>
  <c r="K26" i="129"/>
  <c r="E26" i="130"/>
  <c r="E26" i="128"/>
  <c r="L26" i="128"/>
  <c r="E26" i="129"/>
  <c r="L26" i="129"/>
  <c r="F26" i="130"/>
  <c r="M26" i="128"/>
  <c r="M26" i="129"/>
  <c r="G26" i="130"/>
  <c r="J27" i="128"/>
  <c r="J27" i="129"/>
  <c r="D27" i="130"/>
  <c r="K27" i="128"/>
  <c r="K27" i="129"/>
  <c r="E27" i="130"/>
  <c r="E27" i="128"/>
  <c r="L27" i="128"/>
  <c r="E27" i="129"/>
  <c r="L27" i="129"/>
  <c r="F27" i="130"/>
  <c r="M27" i="128"/>
  <c r="M27" i="129"/>
  <c r="G27" i="130"/>
  <c r="J28" i="128"/>
  <c r="J28" i="129"/>
  <c r="D28" i="130"/>
  <c r="K28" i="128"/>
  <c r="K28" i="129"/>
  <c r="E28" i="130"/>
  <c r="E28" i="128"/>
  <c r="L28" i="128"/>
  <c r="E28" i="129"/>
  <c r="L28" i="129"/>
  <c r="F28" i="130"/>
  <c r="M28" i="128"/>
  <c r="M28" i="129"/>
  <c r="G28" i="130"/>
  <c r="J29" i="128"/>
  <c r="J29" i="129"/>
  <c r="D29" i="130"/>
  <c r="K29" i="128"/>
  <c r="K29" i="129"/>
  <c r="E29" i="130"/>
  <c r="E29" i="128"/>
  <c r="L29" i="128"/>
  <c r="E29" i="129"/>
  <c r="L29" i="129"/>
  <c r="F29" i="130"/>
  <c r="M29" i="128"/>
  <c r="M29" i="129"/>
  <c r="G29" i="130"/>
  <c r="J30" i="128"/>
  <c r="J30" i="129"/>
  <c r="D30" i="130"/>
  <c r="K30" i="128"/>
  <c r="K30" i="129"/>
  <c r="E30" i="130"/>
  <c r="E30" i="128"/>
  <c r="L30" i="128"/>
  <c r="E30" i="129"/>
  <c r="L30" i="129"/>
  <c r="F30" i="130"/>
  <c r="M30" i="128"/>
  <c r="M30" i="129"/>
  <c r="G30" i="130"/>
  <c r="J31" i="128"/>
  <c r="J31" i="129"/>
  <c r="D31" i="130"/>
  <c r="K31" i="128"/>
  <c r="K31" i="129"/>
  <c r="E31" i="130"/>
  <c r="E31" i="128"/>
  <c r="L31" i="128"/>
  <c r="E31" i="129"/>
  <c r="L31" i="129"/>
  <c r="F31" i="130"/>
  <c r="M31" i="128"/>
  <c r="M31" i="129"/>
  <c r="G31" i="130"/>
  <c r="J32" i="128"/>
  <c r="J32" i="129"/>
  <c r="D32" i="130"/>
  <c r="K32" i="128"/>
  <c r="K32" i="129"/>
  <c r="E32" i="130"/>
  <c r="E32" i="128"/>
  <c r="L32" i="128"/>
  <c r="E32" i="129"/>
  <c r="L32" i="129"/>
  <c r="F32" i="130"/>
  <c r="M32" i="128"/>
  <c r="M32" i="129"/>
  <c r="G32" i="130"/>
  <c r="J33" i="128"/>
  <c r="J33" i="129"/>
  <c r="D33" i="130"/>
  <c r="K33" i="128"/>
  <c r="K33" i="129"/>
  <c r="E33" i="130"/>
  <c r="E33" i="128"/>
  <c r="L33" i="128"/>
  <c r="E33" i="129"/>
  <c r="L33" i="129"/>
  <c r="F33" i="130"/>
  <c r="M33" i="128"/>
  <c r="M33" i="129"/>
  <c r="G33" i="130"/>
  <c r="J34" i="128"/>
  <c r="J34" i="129"/>
  <c r="D34" i="130"/>
  <c r="K34" i="128"/>
  <c r="K34" i="129"/>
  <c r="E34" i="130"/>
  <c r="E34" i="128"/>
  <c r="L34" i="128"/>
  <c r="E34" i="129"/>
  <c r="L34" i="129"/>
  <c r="F34" i="130"/>
  <c r="M34" i="128"/>
  <c r="M34" i="129"/>
  <c r="G34" i="130"/>
  <c r="J35" i="128"/>
  <c r="J35" i="129"/>
  <c r="D35" i="130"/>
  <c r="K35" i="128"/>
  <c r="K35" i="129"/>
  <c r="E35" i="130"/>
  <c r="E35" i="128"/>
  <c r="L35" i="128"/>
  <c r="E35" i="129"/>
  <c r="L35" i="129"/>
  <c r="F35" i="130"/>
  <c r="M35" i="128"/>
  <c r="M35" i="129"/>
  <c r="G35" i="130"/>
  <c r="J36" i="128"/>
  <c r="J36" i="129"/>
  <c r="D36" i="130"/>
  <c r="K36" i="128"/>
  <c r="K36" i="129"/>
  <c r="E36" i="130"/>
  <c r="E36" i="128"/>
  <c r="L36" i="128"/>
  <c r="E36" i="129"/>
  <c r="L36" i="129"/>
  <c r="F36" i="130"/>
  <c r="M36" i="128"/>
  <c r="M36" i="129"/>
  <c r="G36" i="130"/>
  <c r="J37" i="128"/>
  <c r="J37" i="129"/>
  <c r="D37" i="130"/>
  <c r="K37" i="128"/>
  <c r="K37" i="129"/>
  <c r="E37" i="130"/>
  <c r="E37" i="128"/>
  <c r="L37" i="128"/>
  <c r="E37" i="129"/>
  <c r="L37" i="129"/>
  <c r="F37" i="130"/>
  <c r="M37" i="128"/>
  <c r="M37" i="129"/>
  <c r="G37" i="130"/>
  <c r="J38" i="128"/>
  <c r="J38" i="129"/>
  <c r="D38" i="130"/>
  <c r="K38" i="128"/>
  <c r="K38" i="129"/>
  <c r="E38" i="130"/>
  <c r="E38" i="128"/>
  <c r="L38" i="128"/>
  <c r="E38" i="129"/>
  <c r="L38" i="129"/>
  <c r="F38" i="130"/>
  <c r="M38" i="128"/>
  <c r="M38" i="129"/>
  <c r="G38" i="130"/>
  <c r="J39" i="128"/>
  <c r="J39" i="129"/>
  <c r="D39" i="130"/>
  <c r="K39" i="128"/>
  <c r="K39" i="129"/>
  <c r="E39" i="130"/>
  <c r="E39" i="128"/>
  <c r="L39" i="128"/>
  <c r="E39" i="129"/>
  <c r="L39" i="129"/>
  <c r="F39" i="130"/>
  <c r="M39" i="128"/>
  <c r="M39" i="129"/>
  <c r="G39" i="130"/>
  <c r="J40" i="128"/>
  <c r="J40" i="129"/>
  <c r="D40" i="130"/>
  <c r="K40" i="128"/>
  <c r="K40" i="129"/>
  <c r="E40" i="130"/>
  <c r="E40" i="128"/>
  <c r="L40" i="128"/>
  <c r="E40" i="129"/>
  <c r="L40" i="129"/>
  <c r="F40" i="130"/>
  <c r="M40" i="128"/>
  <c r="M40" i="129"/>
  <c r="G40" i="130"/>
  <c r="J41" i="128"/>
  <c r="J41" i="129"/>
  <c r="D41" i="130"/>
  <c r="K41" i="128"/>
  <c r="K41" i="129"/>
  <c r="E41" i="130"/>
  <c r="E41" i="128"/>
  <c r="L41" i="128"/>
  <c r="E41" i="129"/>
  <c r="L41" i="129"/>
  <c r="F41" i="130"/>
  <c r="M41" i="128"/>
  <c r="M41" i="129"/>
  <c r="G41" i="130"/>
  <c r="J42" i="128"/>
  <c r="J42" i="129"/>
  <c r="D42" i="130"/>
  <c r="K42" i="128"/>
  <c r="K42" i="129"/>
  <c r="E42" i="130"/>
  <c r="E42" i="128"/>
  <c r="L42" i="128"/>
  <c r="E42" i="129"/>
  <c r="L42" i="129"/>
  <c r="F42" i="130"/>
  <c r="M42" i="128"/>
  <c r="M42" i="129"/>
  <c r="G42" i="130"/>
  <c r="J43" i="128"/>
  <c r="J43" i="129"/>
  <c r="D43" i="130"/>
  <c r="K43" i="128"/>
  <c r="K43" i="129"/>
  <c r="E43" i="130"/>
  <c r="E43" i="128"/>
  <c r="L43" i="128"/>
  <c r="E43" i="129"/>
  <c r="L43" i="129"/>
  <c r="F43" i="130"/>
  <c r="M43" i="128"/>
  <c r="M43" i="129"/>
  <c r="G43" i="130"/>
  <c r="J44" i="128"/>
  <c r="J44" i="129"/>
  <c r="D44" i="130"/>
  <c r="K44" i="128"/>
  <c r="K44" i="129"/>
  <c r="E44" i="130"/>
  <c r="E44" i="128"/>
  <c r="L44" i="128"/>
  <c r="E44" i="129"/>
  <c r="L44" i="129"/>
  <c r="F44" i="130"/>
  <c r="M44" i="128"/>
  <c r="M44" i="129"/>
  <c r="G44" i="130"/>
  <c r="J45" i="128"/>
  <c r="J45" i="129"/>
  <c r="D45" i="130"/>
  <c r="K45" i="128"/>
  <c r="K45" i="129"/>
  <c r="E45" i="130"/>
  <c r="E45" i="128"/>
  <c r="L45" i="128"/>
  <c r="E45" i="129"/>
  <c r="L45" i="129"/>
  <c r="F45" i="130"/>
  <c r="M45" i="128"/>
  <c r="M45" i="129"/>
  <c r="G45" i="130"/>
  <c r="J46" i="128"/>
  <c r="J46" i="129"/>
  <c r="D46" i="130"/>
  <c r="K46" i="128"/>
  <c r="K46" i="129"/>
  <c r="E46" i="130"/>
  <c r="E46" i="128"/>
  <c r="L46" i="128"/>
  <c r="E46" i="129"/>
  <c r="L46" i="129"/>
  <c r="F46" i="130"/>
  <c r="M46" i="128"/>
  <c r="M46" i="129"/>
  <c r="G46" i="130"/>
  <c r="J47" i="128"/>
  <c r="J47" i="129"/>
  <c r="D47" i="130"/>
  <c r="K47" i="128"/>
  <c r="K47" i="129"/>
  <c r="E47" i="130"/>
  <c r="E47" i="128"/>
  <c r="L47" i="128"/>
  <c r="E47" i="129"/>
  <c r="L47" i="129"/>
  <c r="F47" i="130"/>
  <c r="M47" i="128"/>
  <c r="M47" i="129"/>
  <c r="G47" i="130"/>
  <c r="J48" i="128"/>
  <c r="J48" i="129"/>
  <c r="D48" i="130"/>
  <c r="K48" i="128"/>
  <c r="K48" i="129"/>
  <c r="E48" i="130"/>
  <c r="E48" i="128"/>
  <c r="L48" i="128"/>
  <c r="E48" i="129"/>
  <c r="L48" i="129"/>
  <c r="F48" i="130"/>
  <c r="M48" i="128"/>
  <c r="M48" i="129"/>
  <c r="G48" i="130"/>
  <c r="J49" i="128"/>
  <c r="J49" i="129"/>
  <c r="D49" i="130"/>
  <c r="K49" i="128"/>
  <c r="K49" i="129"/>
  <c r="E49" i="130"/>
  <c r="E49" i="128"/>
  <c r="L49" i="128"/>
  <c r="E49" i="129"/>
  <c r="L49" i="129"/>
  <c r="F49" i="130"/>
  <c r="M49" i="128"/>
  <c r="M49" i="129"/>
  <c r="G49" i="130"/>
  <c r="J50" i="128"/>
  <c r="J50" i="129"/>
  <c r="D50" i="130"/>
  <c r="K50" i="128"/>
  <c r="K50" i="129"/>
  <c r="E50" i="130"/>
  <c r="E50" i="128"/>
  <c r="L50" i="128"/>
  <c r="E50" i="129"/>
  <c r="L50" i="129"/>
  <c r="F50" i="130"/>
  <c r="M50" i="128"/>
  <c r="M50" i="129"/>
  <c r="G50" i="130"/>
  <c r="J51" i="128"/>
  <c r="J51" i="129"/>
  <c r="D51" i="130"/>
  <c r="K51" i="128"/>
  <c r="K51" i="129"/>
  <c r="E51" i="130"/>
  <c r="E51" i="128"/>
  <c r="L51" i="128"/>
  <c r="E51" i="129"/>
  <c r="L51" i="129"/>
  <c r="F51" i="130"/>
  <c r="M51" i="128"/>
  <c r="M51" i="129"/>
  <c r="G51" i="130"/>
  <c r="J52" i="128"/>
  <c r="J52" i="129"/>
  <c r="D52" i="130"/>
  <c r="K52" i="128"/>
  <c r="K52" i="129"/>
  <c r="E52" i="130"/>
  <c r="E52" i="128"/>
  <c r="L52" i="128"/>
  <c r="E52" i="129"/>
  <c r="L52" i="129"/>
  <c r="F52" i="130"/>
  <c r="M52" i="128"/>
  <c r="M52" i="129"/>
  <c r="G52" i="130"/>
  <c r="J53" i="128"/>
  <c r="J53" i="129"/>
  <c r="D53" i="130"/>
  <c r="K53" i="128"/>
  <c r="K53" i="129"/>
  <c r="E53" i="130"/>
  <c r="E53" i="128"/>
  <c r="L53" i="128"/>
  <c r="E53" i="129"/>
  <c r="L53" i="129"/>
  <c r="F53" i="130"/>
  <c r="M53" i="128"/>
  <c r="M53" i="129"/>
  <c r="G53" i="130"/>
  <c r="J54" i="128"/>
  <c r="J54" i="129"/>
  <c r="D54" i="130"/>
  <c r="K54" i="128"/>
  <c r="K54" i="129"/>
  <c r="E54" i="130"/>
  <c r="E54" i="128"/>
  <c r="L54" i="128"/>
  <c r="E54" i="129"/>
  <c r="L54" i="129"/>
  <c r="F54" i="130"/>
  <c r="M54" i="128"/>
  <c r="M54" i="129"/>
  <c r="G54" i="130"/>
  <c r="J55" i="128"/>
  <c r="J55" i="129"/>
  <c r="D55" i="130"/>
  <c r="K55" i="128"/>
  <c r="K55" i="129"/>
  <c r="E55" i="130"/>
  <c r="E55" i="128"/>
  <c r="L55" i="128"/>
  <c r="E55" i="129"/>
  <c r="L55" i="129"/>
  <c r="F55" i="130"/>
  <c r="M55" i="128"/>
  <c r="M55" i="129"/>
  <c r="G55" i="130"/>
  <c r="J56" i="128"/>
  <c r="J56" i="129"/>
  <c r="D56" i="130"/>
  <c r="K56" i="128"/>
  <c r="K56" i="129"/>
  <c r="E56" i="130"/>
  <c r="E56" i="128"/>
  <c r="L56" i="128"/>
  <c r="E56" i="129"/>
  <c r="L56" i="129"/>
  <c r="F56" i="130"/>
  <c r="M56" i="128"/>
  <c r="M56" i="129"/>
  <c r="G56" i="130"/>
  <c r="J57" i="128"/>
  <c r="J57" i="129"/>
  <c r="D57" i="130"/>
  <c r="K57" i="128"/>
  <c r="K57" i="129"/>
  <c r="E57" i="130"/>
  <c r="E57" i="128"/>
  <c r="L57" i="128"/>
  <c r="E57" i="129"/>
  <c r="L57" i="129"/>
  <c r="F57" i="130"/>
  <c r="M57" i="128"/>
  <c r="M57" i="129"/>
  <c r="G57" i="130"/>
  <c r="D59" i="130"/>
  <c r="E10" i="132"/>
  <c r="E10" i="133"/>
  <c r="M10" i="133"/>
  <c r="L10" i="133"/>
  <c r="J10" i="133"/>
  <c r="K10" i="133"/>
  <c r="Q10" i="133"/>
  <c r="E11" i="132"/>
  <c r="E11" i="133"/>
  <c r="M11" i="133"/>
  <c r="L11" i="133"/>
  <c r="J11" i="133"/>
  <c r="K11" i="133"/>
  <c r="Q11" i="133"/>
  <c r="E12" i="132"/>
  <c r="E12" i="133"/>
  <c r="M12" i="133"/>
  <c r="L12" i="133"/>
  <c r="J12" i="133"/>
  <c r="K12" i="133"/>
  <c r="Q12" i="133"/>
  <c r="E13" i="132"/>
  <c r="E13" i="133"/>
  <c r="M13" i="133"/>
  <c r="L13" i="133"/>
  <c r="J13" i="133"/>
  <c r="K13" i="133"/>
  <c r="Q13" i="133"/>
  <c r="E14" i="132"/>
  <c r="E14" i="133"/>
  <c r="M14" i="133"/>
  <c r="L14" i="133"/>
  <c r="J14" i="133"/>
  <c r="K14" i="133"/>
  <c r="Q14" i="133"/>
  <c r="E15" i="132"/>
  <c r="E15" i="133"/>
  <c r="M15" i="133"/>
  <c r="L15" i="133"/>
  <c r="J15" i="133"/>
  <c r="K15" i="133"/>
  <c r="Q15" i="133"/>
  <c r="E16" i="132"/>
  <c r="E16" i="133"/>
  <c r="M16" i="133"/>
  <c r="L16" i="133"/>
  <c r="J16" i="133"/>
  <c r="K16" i="133"/>
  <c r="Q16" i="133"/>
  <c r="E17" i="132"/>
  <c r="E17" i="133"/>
  <c r="M17" i="133"/>
  <c r="L17" i="133"/>
  <c r="J17" i="133"/>
  <c r="K17" i="133"/>
  <c r="Q17" i="133"/>
  <c r="E18" i="132"/>
  <c r="E18" i="133"/>
  <c r="M18" i="133"/>
  <c r="L18" i="133"/>
  <c r="J18" i="133"/>
  <c r="K18" i="133"/>
  <c r="Q18" i="133"/>
  <c r="E19" i="132"/>
  <c r="E19" i="133"/>
  <c r="M19" i="133"/>
  <c r="L19" i="133"/>
  <c r="J19" i="133"/>
  <c r="K19" i="133"/>
  <c r="Q19" i="133"/>
  <c r="E20" i="132"/>
  <c r="E20" i="133"/>
  <c r="M20" i="133"/>
  <c r="L20" i="133"/>
  <c r="J20" i="133"/>
  <c r="K20" i="133"/>
  <c r="Q20" i="133"/>
  <c r="E21" i="132"/>
  <c r="E21" i="133"/>
  <c r="M21" i="133"/>
  <c r="L21" i="133"/>
  <c r="J21" i="133"/>
  <c r="K21" i="133"/>
  <c r="Q21" i="133"/>
  <c r="E22" i="132"/>
  <c r="E22" i="133"/>
  <c r="M22" i="133"/>
  <c r="L22" i="133"/>
  <c r="J22" i="133"/>
  <c r="K22" i="133"/>
  <c r="Q22" i="133"/>
  <c r="E23" i="132"/>
  <c r="E23" i="133"/>
  <c r="M23" i="133"/>
  <c r="L23" i="133"/>
  <c r="J23" i="133"/>
  <c r="K23" i="133"/>
  <c r="Q23" i="133"/>
  <c r="E24" i="132"/>
  <c r="E24" i="133"/>
  <c r="M24" i="133"/>
  <c r="L24" i="133"/>
  <c r="J24" i="133"/>
  <c r="K24" i="133"/>
  <c r="Q24" i="133"/>
  <c r="E25" i="132"/>
  <c r="E25" i="133"/>
  <c r="M25" i="133"/>
  <c r="L25" i="133"/>
  <c r="J25" i="133"/>
  <c r="K25" i="133"/>
  <c r="Q25" i="133"/>
  <c r="E26" i="132"/>
  <c r="E26" i="133"/>
  <c r="M26" i="133"/>
  <c r="L26" i="133"/>
  <c r="J26" i="133"/>
  <c r="K26" i="133"/>
  <c r="Q26" i="133"/>
  <c r="E27" i="132"/>
  <c r="E27" i="133"/>
  <c r="M27" i="133"/>
  <c r="L27" i="133"/>
  <c r="J27" i="133"/>
  <c r="K27" i="133"/>
  <c r="Q27" i="133"/>
  <c r="E28" i="132"/>
  <c r="E28" i="133"/>
  <c r="M28" i="133"/>
  <c r="L28" i="133"/>
  <c r="J28" i="133"/>
  <c r="K28" i="133"/>
  <c r="Q28" i="133"/>
  <c r="E29" i="132"/>
  <c r="E29" i="133"/>
  <c r="M29" i="133"/>
  <c r="L29" i="133"/>
  <c r="J29" i="133"/>
  <c r="K29" i="133"/>
  <c r="Q29" i="133"/>
  <c r="E30" i="132"/>
  <c r="E30" i="133"/>
  <c r="M30" i="133"/>
  <c r="L30" i="133"/>
  <c r="J30" i="133"/>
  <c r="K30" i="133"/>
  <c r="Q30" i="133"/>
  <c r="E31" i="132"/>
  <c r="E31" i="133"/>
  <c r="M31" i="133"/>
  <c r="L31" i="133"/>
  <c r="J31" i="133"/>
  <c r="K31" i="133"/>
  <c r="Q31" i="133"/>
  <c r="E32" i="132"/>
  <c r="E32" i="133"/>
  <c r="M32" i="133"/>
  <c r="L32" i="133"/>
  <c r="J32" i="133"/>
  <c r="K32" i="133"/>
  <c r="Q32" i="133"/>
  <c r="E33" i="132"/>
  <c r="E33" i="133"/>
  <c r="M33" i="133"/>
  <c r="L33" i="133"/>
  <c r="J33" i="133"/>
  <c r="K33" i="133"/>
  <c r="Q33" i="133"/>
  <c r="E34" i="132"/>
  <c r="E34" i="133"/>
  <c r="M34" i="133"/>
  <c r="L34" i="133"/>
  <c r="J34" i="133"/>
  <c r="K34" i="133"/>
  <c r="Q34" i="133"/>
  <c r="E35" i="132"/>
  <c r="E35" i="133"/>
  <c r="M35" i="133"/>
  <c r="L35" i="133"/>
  <c r="J35" i="133"/>
  <c r="K35" i="133"/>
  <c r="Q35" i="133"/>
  <c r="E36" i="132"/>
  <c r="E36" i="133"/>
  <c r="M36" i="133"/>
  <c r="L36" i="133"/>
  <c r="J36" i="133"/>
  <c r="K36" i="133"/>
  <c r="Q36" i="133"/>
  <c r="E37" i="132"/>
  <c r="E37" i="133"/>
  <c r="M37" i="133"/>
  <c r="L37" i="133"/>
  <c r="J37" i="133"/>
  <c r="K37" i="133"/>
  <c r="Q37" i="133"/>
  <c r="E38" i="132"/>
  <c r="E38" i="133"/>
  <c r="M38" i="133"/>
  <c r="L38" i="133"/>
  <c r="J38" i="133"/>
  <c r="K38" i="133"/>
  <c r="Q38" i="133"/>
  <c r="E39" i="132"/>
  <c r="E39" i="133"/>
  <c r="M39" i="133"/>
  <c r="L39" i="133"/>
  <c r="J39" i="133"/>
  <c r="K39" i="133"/>
  <c r="Q39" i="133"/>
  <c r="E40" i="132"/>
  <c r="E40" i="133"/>
  <c r="M40" i="133"/>
  <c r="L40" i="133"/>
  <c r="J40" i="133"/>
  <c r="K40" i="133"/>
  <c r="Q40" i="133"/>
  <c r="E41" i="132"/>
  <c r="E41" i="133"/>
  <c r="M41" i="133"/>
  <c r="L41" i="133"/>
  <c r="J41" i="133"/>
  <c r="K41" i="133"/>
  <c r="Q41" i="133"/>
  <c r="E42" i="132"/>
  <c r="E42" i="133"/>
  <c r="M42" i="133"/>
  <c r="L42" i="133"/>
  <c r="J42" i="133"/>
  <c r="K42" i="133"/>
  <c r="Q42" i="133"/>
  <c r="E43" i="132"/>
  <c r="E43" i="133"/>
  <c r="M43" i="133"/>
  <c r="L43" i="133"/>
  <c r="J43" i="133"/>
  <c r="K43" i="133"/>
  <c r="Q43" i="133"/>
  <c r="E44" i="132"/>
  <c r="E44" i="133"/>
  <c r="M44" i="133"/>
  <c r="L44" i="133"/>
  <c r="J44" i="133"/>
  <c r="K44" i="133"/>
  <c r="Q44" i="133"/>
  <c r="E45" i="132"/>
  <c r="E45" i="133"/>
  <c r="M45" i="133"/>
  <c r="L45" i="133"/>
  <c r="J45" i="133"/>
  <c r="K45" i="133"/>
  <c r="Q45" i="133"/>
  <c r="E46" i="132"/>
  <c r="E46" i="133"/>
  <c r="M46" i="133"/>
  <c r="L46" i="133"/>
  <c r="J46" i="133"/>
  <c r="K46" i="133"/>
  <c r="Q46" i="133"/>
  <c r="E47" i="132"/>
  <c r="E47" i="133"/>
  <c r="M47" i="133"/>
  <c r="L47" i="133"/>
  <c r="J47" i="133"/>
  <c r="K47" i="133"/>
  <c r="Q47" i="133"/>
  <c r="E48" i="132"/>
  <c r="E48" i="133"/>
  <c r="M48" i="133"/>
  <c r="L48" i="133"/>
  <c r="J48" i="133"/>
  <c r="K48" i="133"/>
  <c r="Q48" i="133"/>
  <c r="E49" i="132"/>
  <c r="E49" i="133"/>
  <c r="M49" i="133"/>
  <c r="L49" i="133"/>
  <c r="J49" i="133"/>
  <c r="K49" i="133"/>
  <c r="Q49" i="133"/>
  <c r="E50" i="132"/>
  <c r="E50" i="133"/>
  <c r="M50" i="133"/>
  <c r="L50" i="133"/>
  <c r="J50" i="133"/>
  <c r="K50" i="133"/>
  <c r="Q50" i="133"/>
  <c r="E51" i="132"/>
  <c r="E51" i="133"/>
  <c r="M51" i="133"/>
  <c r="L51" i="133"/>
  <c r="J51" i="133"/>
  <c r="K51" i="133"/>
  <c r="Q51" i="133"/>
  <c r="E52" i="132"/>
  <c r="E52" i="133"/>
  <c r="M52" i="133"/>
  <c r="L52" i="133"/>
  <c r="J52" i="133"/>
  <c r="K52" i="133"/>
  <c r="Q52" i="133"/>
  <c r="E53" i="132"/>
  <c r="E53" i="133"/>
  <c r="M53" i="133"/>
  <c r="L53" i="133"/>
  <c r="J53" i="133"/>
  <c r="K53" i="133"/>
  <c r="Q53" i="133"/>
  <c r="E54" i="132"/>
  <c r="E54" i="133"/>
  <c r="M54" i="133"/>
  <c r="L54" i="133"/>
  <c r="J54" i="133"/>
  <c r="K54" i="133"/>
  <c r="Q54" i="133"/>
  <c r="E55" i="132"/>
  <c r="E55" i="133"/>
  <c r="M55" i="133"/>
  <c r="L55" i="133"/>
  <c r="J55" i="133"/>
  <c r="K55" i="133"/>
  <c r="Q55" i="133"/>
  <c r="E56" i="132"/>
  <c r="E56" i="133"/>
  <c r="M56" i="133"/>
  <c r="L56" i="133"/>
  <c r="J56" i="133"/>
  <c r="K56" i="133"/>
  <c r="Q56" i="133"/>
  <c r="E57" i="132"/>
  <c r="E57" i="133"/>
  <c r="M57" i="133"/>
  <c r="L57" i="133"/>
  <c r="J57" i="133"/>
  <c r="K57" i="133"/>
  <c r="Q57" i="133"/>
  <c r="E59" i="133"/>
  <c r="M59" i="133"/>
  <c r="L59" i="133"/>
  <c r="J59" i="133"/>
  <c r="K59" i="133"/>
  <c r="Q59" i="133"/>
  <c r="D58" i="133"/>
  <c r="E58" i="132"/>
  <c r="E58" i="133"/>
  <c r="M58" i="133"/>
  <c r="L58" i="133"/>
  <c r="J58" i="133"/>
  <c r="K58" i="133"/>
  <c r="Q10" i="129"/>
  <c r="Q11" i="129"/>
  <c r="Q12" i="129"/>
  <c r="Q13" i="129"/>
  <c r="Q14" i="129"/>
  <c r="Q15" i="129"/>
  <c r="Q16" i="129"/>
  <c r="Q17" i="129"/>
  <c r="Q18" i="129"/>
  <c r="Q19" i="129"/>
  <c r="Q20" i="129"/>
  <c r="Q21" i="129"/>
  <c r="Q22" i="129"/>
  <c r="Q23" i="129"/>
  <c r="Q24" i="129"/>
  <c r="Q25" i="129"/>
  <c r="Q26" i="129"/>
  <c r="Q27" i="129"/>
  <c r="Q28" i="129"/>
  <c r="Q29" i="129"/>
  <c r="Q30" i="129"/>
  <c r="Q31" i="129"/>
  <c r="Q32" i="129"/>
  <c r="Q33" i="129"/>
  <c r="Q34" i="129"/>
  <c r="Q35" i="129"/>
  <c r="Q36" i="129"/>
  <c r="Q37" i="129"/>
  <c r="Q38" i="129"/>
  <c r="Q39" i="129"/>
  <c r="Q40" i="129"/>
  <c r="Q41" i="129"/>
  <c r="Q42" i="129"/>
  <c r="Q43" i="129"/>
  <c r="Q44" i="129"/>
  <c r="Q45" i="129"/>
  <c r="Q46" i="129"/>
  <c r="Q47" i="129"/>
  <c r="Q48" i="129"/>
  <c r="Q49" i="129"/>
  <c r="Q50" i="129"/>
  <c r="Q51" i="129"/>
  <c r="Q52" i="129"/>
  <c r="Q53" i="129"/>
  <c r="Q54" i="129"/>
  <c r="Q55" i="129"/>
  <c r="Q56" i="129"/>
  <c r="Q57" i="129"/>
  <c r="Q59" i="129"/>
  <c r="M10" i="131"/>
  <c r="L10" i="131"/>
  <c r="J10" i="131"/>
  <c r="K10" i="131"/>
  <c r="Q10" i="131"/>
  <c r="M11" i="131"/>
  <c r="L11" i="131"/>
  <c r="J11" i="131"/>
  <c r="K11" i="131"/>
  <c r="Q11" i="131"/>
  <c r="M12" i="131"/>
  <c r="L12" i="131"/>
  <c r="J12" i="131"/>
  <c r="K12" i="131"/>
  <c r="Q12" i="131"/>
  <c r="M13" i="131"/>
  <c r="L13" i="131"/>
  <c r="J13" i="131"/>
  <c r="K13" i="131"/>
  <c r="Q13" i="131"/>
  <c r="M14" i="131"/>
  <c r="L14" i="131"/>
  <c r="J14" i="131"/>
  <c r="K14" i="131"/>
  <c r="Q14" i="131"/>
  <c r="M15" i="131"/>
  <c r="L15" i="131"/>
  <c r="J15" i="131"/>
  <c r="K15" i="131"/>
  <c r="Q15" i="131"/>
  <c r="M16" i="131"/>
  <c r="L16" i="131"/>
  <c r="J16" i="131"/>
  <c r="K16" i="131"/>
  <c r="Q16" i="131"/>
  <c r="M17" i="131"/>
  <c r="L17" i="131"/>
  <c r="J17" i="131"/>
  <c r="K17" i="131"/>
  <c r="Q17" i="131"/>
  <c r="M18" i="131"/>
  <c r="L18" i="131"/>
  <c r="J18" i="131"/>
  <c r="K18" i="131"/>
  <c r="Q18" i="131"/>
  <c r="M19" i="131"/>
  <c r="L19" i="131"/>
  <c r="J19" i="131"/>
  <c r="K19" i="131"/>
  <c r="Q19" i="131"/>
  <c r="M20" i="131"/>
  <c r="L20" i="131"/>
  <c r="J20" i="131"/>
  <c r="K20" i="131"/>
  <c r="Q20" i="131"/>
  <c r="M21" i="131"/>
  <c r="L21" i="131"/>
  <c r="J21" i="131"/>
  <c r="K21" i="131"/>
  <c r="Q21" i="131"/>
  <c r="M22" i="131"/>
  <c r="L22" i="131"/>
  <c r="J22" i="131"/>
  <c r="K22" i="131"/>
  <c r="Q22" i="131"/>
  <c r="M23" i="131"/>
  <c r="L23" i="131"/>
  <c r="J23" i="131"/>
  <c r="K23" i="131"/>
  <c r="Q23" i="131"/>
  <c r="M24" i="131"/>
  <c r="L24" i="131"/>
  <c r="J24" i="131"/>
  <c r="K24" i="131"/>
  <c r="Q24" i="131"/>
  <c r="M25" i="131"/>
  <c r="L25" i="131"/>
  <c r="J25" i="131"/>
  <c r="K25" i="131"/>
  <c r="Q25" i="131"/>
  <c r="M26" i="131"/>
  <c r="L26" i="131"/>
  <c r="J26" i="131"/>
  <c r="K26" i="131"/>
  <c r="Q26" i="131"/>
  <c r="M27" i="131"/>
  <c r="L27" i="131"/>
  <c r="J27" i="131"/>
  <c r="K27" i="131"/>
  <c r="Q27" i="131"/>
  <c r="M28" i="131"/>
  <c r="L28" i="131"/>
  <c r="J28" i="131"/>
  <c r="K28" i="131"/>
  <c r="Q28" i="131"/>
  <c r="M29" i="131"/>
  <c r="L29" i="131"/>
  <c r="J29" i="131"/>
  <c r="K29" i="131"/>
  <c r="Q29" i="131"/>
  <c r="M30" i="131"/>
  <c r="L30" i="131"/>
  <c r="J30" i="131"/>
  <c r="K30" i="131"/>
  <c r="Q30" i="131"/>
  <c r="M31" i="131"/>
  <c r="L31" i="131"/>
  <c r="J31" i="131"/>
  <c r="K31" i="131"/>
  <c r="Q31" i="131"/>
  <c r="M32" i="131"/>
  <c r="L32" i="131"/>
  <c r="J32" i="131"/>
  <c r="K32" i="131"/>
  <c r="Q32" i="131"/>
  <c r="M33" i="131"/>
  <c r="L33" i="131"/>
  <c r="J33" i="131"/>
  <c r="K33" i="131"/>
  <c r="Q33" i="131"/>
  <c r="M34" i="131"/>
  <c r="L34" i="131"/>
  <c r="J34" i="131"/>
  <c r="K34" i="131"/>
  <c r="Q34" i="131"/>
  <c r="M35" i="131"/>
  <c r="L35" i="131"/>
  <c r="J35" i="131"/>
  <c r="K35" i="131"/>
  <c r="Q35" i="131"/>
  <c r="M36" i="131"/>
  <c r="L36" i="131"/>
  <c r="J36" i="131"/>
  <c r="K36" i="131"/>
  <c r="Q36" i="131"/>
  <c r="M37" i="131"/>
  <c r="L37" i="131"/>
  <c r="J37" i="131"/>
  <c r="K37" i="131"/>
  <c r="Q37" i="131"/>
  <c r="M38" i="131"/>
  <c r="L38" i="131"/>
  <c r="J38" i="131"/>
  <c r="K38" i="131"/>
  <c r="Q38" i="131"/>
  <c r="M39" i="131"/>
  <c r="L39" i="131"/>
  <c r="J39" i="131"/>
  <c r="K39" i="131"/>
  <c r="Q39" i="131"/>
  <c r="M40" i="131"/>
  <c r="L40" i="131"/>
  <c r="J40" i="131"/>
  <c r="K40" i="131"/>
  <c r="Q40" i="131"/>
  <c r="M41" i="131"/>
  <c r="L41" i="131"/>
  <c r="J41" i="131"/>
  <c r="K41" i="131"/>
  <c r="Q41" i="131"/>
  <c r="M42" i="131"/>
  <c r="L42" i="131"/>
  <c r="J42" i="131"/>
  <c r="K42" i="131"/>
  <c r="Q42" i="131"/>
  <c r="M43" i="131"/>
  <c r="L43" i="131"/>
  <c r="J43" i="131"/>
  <c r="K43" i="131"/>
  <c r="Q43" i="131"/>
  <c r="M44" i="131"/>
  <c r="L44" i="131"/>
  <c r="J44" i="131"/>
  <c r="K44" i="131"/>
  <c r="Q44" i="131"/>
  <c r="M45" i="131"/>
  <c r="L45" i="131"/>
  <c r="J45" i="131"/>
  <c r="K45" i="131"/>
  <c r="Q45" i="131"/>
  <c r="M46" i="131"/>
  <c r="L46" i="131"/>
  <c r="J46" i="131"/>
  <c r="K46" i="131"/>
  <c r="Q46" i="131"/>
  <c r="M47" i="131"/>
  <c r="L47" i="131"/>
  <c r="J47" i="131"/>
  <c r="K47" i="131"/>
  <c r="Q47" i="131"/>
  <c r="M48" i="131"/>
  <c r="L48" i="131"/>
  <c r="J48" i="131"/>
  <c r="K48" i="131"/>
  <c r="Q48" i="131"/>
  <c r="M49" i="131"/>
  <c r="L49" i="131"/>
  <c r="J49" i="131"/>
  <c r="K49" i="131"/>
  <c r="Q49" i="131"/>
  <c r="M50" i="131"/>
  <c r="L50" i="131"/>
  <c r="J50" i="131"/>
  <c r="K50" i="131"/>
  <c r="Q50" i="131"/>
  <c r="M51" i="131"/>
  <c r="L51" i="131"/>
  <c r="J51" i="131"/>
  <c r="K51" i="131"/>
  <c r="Q51" i="131"/>
  <c r="M52" i="131"/>
  <c r="L52" i="131"/>
  <c r="J52" i="131"/>
  <c r="K52" i="131"/>
  <c r="Q52" i="131"/>
  <c r="M53" i="131"/>
  <c r="L53" i="131"/>
  <c r="J53" i="131"/>
  <c r="K53" i="131"/>
  <c r="Q53" i="131"/>
  <c r="M54" i="131"/>
  <c r="L54" i="131"/>
  <c r="J54" i="131"/>
  <c r="K54" i="131"/>
  <c r="Q54" i="131"/>
  <c r="M55" i="131"/>
  <c r="L55" i="131"/>
  <c r="J55" i="131"/>
  <c r="K55" i="131"/>
  <c r="Q55" i="131"/>
  <c r="M56" i="131"/>
  <c r="L56" i="131"/>
  <c r="J56" i="131"/>
  <c r="K56" i="131"/>
  <c r="Q56" i="131"/>
  <c r="M57" i="131"/>
  <c r="L57" i="131"/>
  <c r="J57" i="131"/>
  <c r="K57" i="131"/>
  <c r="Q57" i="131"/>
  <c r="M59" i="131"/>
  <c r="L59" i="131"/>
  <c r="J59" i="131"/>
  <c r="K59" i="131"/>
  <c r="Q59" i="131"/>
  <c r="M58" i="131"/>
  <c r="L58" i="131"/>
  <c r="J58" i="131"/>
  <c r="K58" i="131"/>
  <c r="D58" i="129"/>
  <c r="E58" i="129"/>
  <c r="M58" i="129"/>
  <c r="L58" i="129"/>
  <c r="J58" i="129"/>
  <c r="K58" i="129"/>
  <c r="M10" i="132"/>
  <c r="L10" i="132"/>
  <c r="J10" i="132"/>
  <c r="K10" i="132"/>
  <c r="Q10" i="132"/>
  <c r="M11" i="132"/>
  <c r="L11" i="132"/>
  <c r="J11" i="132"/>
  <c r="K11" i="132"/>
  <c r="Q11" i="132"/>
  <c r="M12" i="132"/>
  <c r="L12" i="132"/>
  <c r="J12" i="132"/>
  <c r="K12" i="132"/>
  <c r="Q12" i="132"/>
  <c r="M13" i="132"/>
  <c r="L13" i="132"/>
  <c r="J13" i="132"/>
  <c r="K13" i="132"/>
  <c r="Q13" i="132"/>
  <c r="M14" i="132"/>
  <c r="L14" i="132"/>
  <c r="J14" i="132"/>
  <c r="K14" i="132"/>
  <c r="Q14" i="132"/>
  <c r="M15" i="132"/>
  <c r="L15" i="132"/>
  <c r="J15" i="132"/>
  <c r="K15" i="132"/>
  <c r="Q15" i="132"/>
  <c r="M16" i="132"/>
  <c r="L16" i="132"/>
  <c r="J16" i="132"/>
  <c r="K16" i="132"/>
  <c r="Q16" i="132"/>
  <c r="M17" i="132"/>
  <c r="L17" i="132"/>
  <c r="J17" i="132"/>
  <c r="K17" i="132"/>
  <c r="Q17" i="132"/>
  <c r="M18" i="132"/>
  <c r="L18" i="132"/>
  <c r="J18" i="132"/>
  <c r="K18" i="132"/>
  <c r="Q18" i="132"/>
  <c r="M19" i="132"/>
  <c r="L19" i="132"/>
  <c r="J19" i="132"/>
  <c r="K19" i="132"/>
  <c r="Q19" i="132"/>
  <c r="M20" i="132"/>
  <c r="L20" i="132"/>
  <c r="J20" i="132"/>
  <c r="K20" i="132"/>
  <c r="Q20" i="132"/>
  <c r="M21" i="132"/>
  <c r="L21" i="132"/>
  <c r="J21" i="132"/>
  <c r="K21" i="132"/>
  <c r="Q21" i="132"/>
  <c r="M22" i="132"/>
  <c r="L22" i="132"/>
  <c r="J22" i="132"/>
  <c r="K22" i="132"/>
  <c r="Q22" i="132"/>
  <c r="M23" i="132"/>
  <c r="L23" i="132"/>
  <c r="J23" i="132"/>
  <c r="K23" i="132"/>
  <c r="Q23" i="132"/>
  <c r="M24" i="132"/>
  <c r="L24" i="132"/>
  <c r="J24" i="132"/>
  <c r="K24" i="132"/>
  <c r="Q24" i="132"/>
  <c r="M25" i="132"/>
  <c r="L25" i="132"/>
  <c r="J25" i="132"/>
  <c r="K25" i="132"/>
  <c r="Q25" i="132"/>
  <c r="M26" i="132"/>
  <c r="L26" i="132"/>
  <c r="J26" i="132"/>
  <c r="K26" i="132"/>
  <c r="Q26" i="132"/>
  <c r="M27" i="132"/>
  <c r="L27" i="132"/>
  <c r="J27" i="132"/>
  <c r="K27" i="132"/>
  <c r="Q27" i="132"/>
  <c r="M28" i="132"/>
  <c r="L28" i="132"/>
  <c r="J28" i="132"/>
  <c r="K28" i="132"/>
  <c r="Q28" i="132"/>
  <c r="M29" i="132"/>
  <c r="L29" i="132"/>
  <c r="J29" i="132"/>
  <c r="K29" i="132"/>
  <c r="Q29" i="132"/>
  <c r="M30" i="132"/>
  <c r="L30" i="132"/>
  <c r="J30" i="132"/>
  <c r="K30" i="132"/>
  <c r="Q30" i="132"/>
  <c r="M31" i="132"/>
  <c r="L31" i="132"/>
  <c r="J31" i="132"/>
  <c r="K31" i="132"/>
  <c r="Q31" i="132"/>
  <c r="M32" i="132"/>
  <c r="L32" i="132"/>
  <c r="J32" i="132"/>
  <c r="K32" i="132"/>
  <c r="Q32" i="132"/>
  <c r="M33" i="132"/>
  <c r="L33" i="132"/>
  <c r="J33" i="132"/>
  <c r="K33" i="132"/>
  <c r="Q33" i="132"/>
  <c r="M34" i="132"/>
  <c r="L34" i="132"/>
  <c r="J34" i="132"/>
  <c r="K34" i="132"/>
  <c r="Q34" i="132"/>
  <c r="M35" i="132"/>
  <c r="L35" i="132"/>
  <c r="J35" i="132"/>
  <c r="K35" i="132"/>
  <c r="Q35" i="132"/>
  <c r="M36" i="132"/>
  <c r="L36" i="132"/>
  <c r="J36" i="132"/>
  <c r="K36" i="132"/>
  <c r="Q36" i="132"/>
  <c r="M37" i="132"/>
  <c r="L37" i="132"/>
  <c r="J37" i="132"/>
  <c r="K37" i="132"/>
  <c r="Q37" i="132"/>
  <c r="M38" i="132"/>
  <c r="L38" i="132"/>
  <c r="J38" i="132"/>
  <c r="K38" i="132"/>
  <c r="Q38" i="132"/>
  <c r="M39" i="132"/>
  <c r="L39" i="132"/>
  <c r="J39" i="132"/>
  <c r="K39" i="132"/>
  <c r="Q39" i="132"/>
  <c r="M40" i="132"/>
  <c r="L40" i="132"/>
  <c r="J40" i="132"/>
  <c r="K40" i="132"/>
  <c r="Q40" i="132"/>
  <c r="M41" i="132"/>
  <c r="L41" i="132"/>
  <c r="J41" i="132"/>
  <c r="K41" i="132"/>
  <c r="Q41" i="132"/>
  <c r="M42" i="132"/>
  <c r="L42" i="132"/>
  <c r="J42" i="132"/>
  <c r="K42" i="132"/>
  <c r="Q42" i="132"/>
  <c r="M43" i="132"/>
  <c r="L43" i="132"/>
  <c r="J43" i="132"/>
  <c r="K43" i="132"/>
  <c r="Q43" i="132"/>
  <c r="M44" i="132"/>
  <c r="L44" i="132"/>
  <c r="J44" i="132"/>
  <c r="K44" i="132"/>
  <c r="Q44" i="132"/>
  <c r="M45" i="132"/>
  <c r="L45" i="132"/>
  <c r="J45" i="132"/>
  <c r="K45" i="132"/>
  <c r="Q45" i="132"/>
  <c r="M46" i="132"/>
  <c r="L46" i="132"/>
  <c r="J46" i="132"/>
  <c r="K46" i="132"/>
  <c r="Q46" i="132"/>
  <c r="M47" i="132"/>
  <c r="L47" i="132"/>
  <c r="J47" i="132"/>
  <c r="K47" i="132"/>
  <c r="Q47" i="132"/>
  <c r="M48" i="132"/>
  <c r="L48" i="132"/>
  <c r="J48" i="132"/>
  <c r="K48" i="132"/>
  <c r="Q48" i="132"/>
  <c r="M49" i="132"/>
  <c r="L49" i="132"/>
  <c r="J49" i="132"/>
  <c r="K49" i="132"/>
  <c r="Q49" i="132"/>
  <c r="M50" i="132"/>
  <c r="L50" i="132"/>
  <c r="J50" i="132"/>
  <c r="K50" i="132"/>
  <c r="Q50" i="132"/>
  <c r="M51" i="132"/>
  <c r="L51" i="132"/>
  <c r="J51" i="132"/>
  <c r="K51" i="132"/>
  <c r="Q51" i="132"/>
  <c r="M52" i="132"/>
  <c r="L52" i="132"/>
  <c r="J52" i="132"/>
  <c r="K52" i="132"/>
  <c r="Q52" i="132"/>
  <c r="M53" i="132"/>
  <c r="L53" i="132"/>
  <c r="J53" i="132"/>
  <c r="K53" i="132"/>
  <c r="Q53" i="132"/>
  <c r="M54" i="132"/>
  <c r="L54" i="132"/>
  <c r="J54" i="132"/>
  <c r="K54" i="132"/>
  <c r="Q54" i="132"/>
  <c r="M55" i="132"/>
  <c r="L55" i="132"/>
  <c r="J55" i="132"/>
  <c r="K55" i="132"/>
  <c r="Q55" i="132"/>
  <c r="M56" i="132"/>
  <c r="L56" i="132"/>
  <c r="J56" i="132"/>
  <c r="K56" i="132"/>
  <c r="Q56" i="132"/>
  <c r="M57" i="132"/>
  <c r="L57" i="132"/>
  <c r="J57" i="132"/>
  <c r="K57" i="132"/>
  <c r="Q57" i="132"/>
  <c r="Q10" i="128"/>
  <c r="Q11" i="128"/>
  <c r="Q12" i="128"/>
  <c r="Q13" i="128"/>
  <c r="Q14" i="128"/>
  <c r="Q15" i="128"/>
  <c r="Q16" i="128"/>
  <c r="Q17" i="128"/>
  <c r="Q18" i="128"/>
  <c r="Q19" i="128"/>
  <c r="Q20" i="128"/>
  <c r="Q21" i="128"/>
  <c r="Q22" i="128"/>
  <c r="Q23" i="128"/>
  <c r="Q24" i="128"/>
  <c r="Q25" i="128"/>
  <c r="Q26" i="128"/>
  <c r="Q27" i="128"/>
  <c r="Q28" i="128"/>
  <c r="Q29" i="128"/>
  <c r="Q30" i="128"/>
  <c r="Q31" i="128"/>
  <c r="Q32" i="128"/>
  <c r="Q33" i="128"/>
  <c r="Q34" i="128"/>
  <c r="Q35" i="128"/>
  <c r="Q36" i="128"/>
  <c r="Q37" i="128"/>
  <c r="Q38" i="128"/>
  <c r="Q39" i="128"/>
  <c r="Q40" i="128"/>
  <c r="Q41" i="128"/>
  <c r="Q42" i="128"/>
  <c r="Q43" i="128"/>
  <c r="Q44" i="128"/>
  <c r="Q45" i="128"/>
  <c r="Q46" i="128"/>
  <c r="Q47" i="128"/>
  <c r="Q48" i="128"/>
  <c r="Q49" i="128"/>
  <c r="Q50" i="128"/>
  <c r="Q51" i="128"/>
  <c r="Q52" i="128"/>
  <c r="Q53" i="128"/>
  <c r="Q54" i="128"/>
  <c r="Q55" i="128"/>
  <c r="Q56" i="128"/>
  <c r="Q57" i="128"/>
  <c r="E58" i="128"/>
  <c r="M58" i="128"/>
  <c r="L58" i="128"/>
  <c r="J58" i="128"/>
  <c r="K58" i="128"/>
  <c r="I59" i="132"/>
  <c r="M58" i="132"/>
  <c r="J58" i="132"/>
  <c r="I58" i="131"/>
  <c r="I58" i="133"/>
  <c r="F58" i="131"/>
  <c r="G58" i="131"/>
  <c r="F58" i="132"/>
  <c r="F58" i="133"/>
  <c r="G58" i="132"/>
  <c r="G58" i="133"/>
  <c r="Q58" i="133"/>
  <c r="L58" i="132"/>
  <c r="K58" i="132"/>
  <c r="Q58" i="132"/>
  <c r="I58" i="132"/>
  <c r="Q58" i="131"/>
  <c r="MT59" i="96"/>
  <c r="MU59" i="96"/>
  <c r="F58" i="129"/>
  <c r="G58" i="129"/>
  <c r="I58" i="129"/>
  <c r="I58" i="128"/>
  <c r="C58" i="130"/>
  <c r="F58" i="128"/>
  <c r="G58" i="128"/>
  <c r="D58" i="130"/>
  <c r="E58" i="130"/>
  <c r="F58" i="130"/>
  <c r="G58" i="130"/>
  <c r="B58" i="130"/>
  <c r="Q58" i="129"/>
  <c r="Q58" i="128"/>
  <c r="EL22" i="96"/>
  <c r="EK22" i="96"/>
  <c r="CR22" i="96"/>
  <c r="EM22" i="96"/>
  <c r="EL27" i="96"/>
  <c r="EK27" i="96"/>
  <c r="EL28" i="96"/>
  <c r="EK28" i="96"/>
  <c r="CR28" i="96"/>
  <c r="EM28" i="96"/>
  <c r="EL29" i="96"/>
  <c r="EK29" i="96"/>
  <c r="CR29" i="96"/>
  <c r="EM29" i="96"/>
  <c r="EL30" i="96"/>
  <c r="EK30" i="96"/>
  <c r="CR30" i="96"/>
  <c r="EM30" i="96"/>
  <c r="CR27" i="96"/>
  <c r="EM27" i="96"/>
  <c r="R55" i="123"/>
  <c r="MH82" i="9"/>
  <c r="H34" i="124"/>
  <c r="B33" i="127"/>
  <c r="C33" i="127"/>
  <c r="L34" i="120"/>
  <c r="M34" i="120"/>
  <c r="D33" i="127"/>
  <c r="E33" i="127"/>
  <c r="F33" i="127"/>
  <c r="G33" i="127"/>
  <c r="H33" i="127"/>
  <c r="I33" i="127"/>
  <c r="J33" i="127"/>
  <c r="K34" i="124"/>
  <c r="I34" i="124"/>
  <c r="MH83" i="9"/>
  <c r="H35" i="124"/>
  <c r="B34" i="127"/>
  <c r="C34" i="127"/>
  <c r="L35" i="120"/>
  <c r="M35" i="120"/>
  <c r="D34" i="127"/>
  <c r="E34" i="127"/>
  <c r="F34" i="127"/>
  <c r="G34" i="127"/>
  <c r="H34" i="127"/>
  <c r="I34" i="127"/>
  <c r="J34" i="127"/>
  <c r="K35" i="124"/>
  <c r="I35" i="124"/>
  <c r="MH84" i="9"/>
  <c r="H36" i="124"/>
  <c r="B35" i="127"/>
  <c r="C35" i="127"/>
  <c r="L36" i="120"/>
  <c r="M36" i="120"/>
  <c r="D35" i="127"/>
  <c r="E35" i="127"/>
  <c r="F35" i="127"/>
  <c r="G35" i="127"/>
  <c r="H35" i="127"/>
  <c r="I35" i="127"/>
  <c r="J35" i="127"/>
  <c r="K36" i="124"/>
  <c r="I36" i="124"/>
  <c r="MH85" i="9"/>
  <c r="H37" i="124"/>
  <c r="B36" i="127"/>
  <c r="C36" i="127"/>
  <c r="L37" i="120"/>
  <c r="M37" i="120"/>
  <c r="D36" i="127"/>
  <c r="E36" i="127"/>
  <c r="F36" i="127"/>
  <c r="G36" i="127"/>
  <c r="H36" i="127"/>
  <c r="I36" i="127"/>
  <c r="J36" i="127"/>
  <c r="K37" i="124"/>
  <c r="I37" i="124"/>
  <c r="H38" i="124"/>
  <c r="B37" i="127"/>
  <c r="C37" i="127"/>
  <c r="L38" i="120"/>
  <c r="M38" i="120"/>
  <c r="D37" i="127"/>
  <c r="E37" i="127"/>
  <c r="F37" i="127"/>
  <c r="G37" i="127"/>
  <c r="H37" i="127"/>
  <c r="I37" i="127"/>
  <c r="J37" i="127"/>
  <c r="K38" i="124"/>
  <c r="I38" i="124"/>
  <c r="H39" i="124"/>
  <c r="B38" i="127"/>
  <c r="C38" i="127"/>
  <c r="L39" i="120"/>
  <c r="M39" i="120"/>
  <c r="D38" i="127"/>
  <c r="E38" i="127"/>
  <c r="F38" i="127"/>
  <c r="G38" i="127"/>
  <c r="H38" i="127"/>
  <c r="I38" i="127"/>
  <c r="J38" i="127"/>
  <c r="K39" i="124"/>
  <c r="I39" i="124"/>
  <c r="H40" i="124"/>
  <c r="B39" i="127"/>
  <c r="C39" i="127"/>
  <c r="L40" i="120"/>
  <c r="M40" i="120"/>
  <c r="D39" i="127"/>
  <c r="E39" i="127"/>
  <c r="F39" i="127"/>
  <c r="G39" i="127"/>
  <c r="H39" i="127"/>
  <c r="I39" i="127"/>
  <c r="J39" i="127"/>
  <c r="K40" i="124"/>
  <c r="I40" i="124"/>
  <c r="H41" i="124"/>
  <c r="B40" i="127"/>
  <c r="C40" i="127"/>
  <c r="L41" i="120"/>
  <c r="M41" i="120"/>
  <c r="D40" i="127"/>
  <c r="E40" i="127"/>
  <c r="F40" i="127"/>
  <c r="G40" i="127"/>
  <c r="H40" i="127"/>
  <c r="I40" i="127"/>
  <c r="J40" i="127"/>
  <c r="K41" i="124"/>
  <c r="I41" i="124"/>
  <c r="H42" i="124"/>
  <c r="B41" i="127"/>
  <c r="C41" i="127"/>
  <c r="L42" i="120"/>
  <c r="M42" i="120"/>
  <c r="D41" i="127"/>
  <c r="E41" i="127"/>
  <c r="F41" i="127"/>
  <c r="G41" i="127"/>
  <c r="H41" i="127"/>
  <c r="I41" i="127"/>
  <c r="J41" i="127"/>
  <c r="K42" i="124"/>
  <c r="I42" i="124"/>
  <c r="H43" i="124"/>
  <c r="B42" i="127"/>
  <c r="C42" i="127"/>
  <c r="L43" i="120"/>
  <c r="M43" i="120"/>
  <c r="D42" i="127"/>
  <c r="E42" i="127"/>
  <c r="F42" i="127"/>
  <c r="G42" i="127"/>
  <c r="H42" i="127"/>
  <c r="I42" i="127"/>
  <c r="J42" i="127"/>
  <c r="K43" i="124"/>
  <c r="I43" i="124"/>
  <c r="H44" i="124"/>
  <c r="B43" i="127"/>
  <c r="C43" i="127"/>
  <c r="L44" i="120"/>
  <c r="M44" i="120"/>
  <c r="D43" i="127"/>
  <c r="E43" i="127"/>
  <c r="F43" i="127"/>
  <c r="G43" i="127"/>
  <c r="H43" i="127"/>
  <c r="I43" i="127"/>
  <c r="J43" i="127"/>
  <c r="K44" i="124"/>
  <c r="I44" i="124"/>
  <c r="H45" i="124"/>
  <c r="B44" i="127"/>
  <c r="C44" i="127"/>
  <c r="L45" i="120"/>
  <c r="M45" i="120"/>
  <c r="D44" i="127"/>
  <c r="E44" i="127"/>
  <c r="F44" i="127"/>
  <c r="G44" i="127"/>
  <c r="H44" i="127"/>
  <c r="I44" i="127"/>
  <c r="J44" i="127"/>
  <c r="K45" i="124"/>
  <c r="I45" i="124"/>
  <c r="H46" i="124"/>
  <c r="B45" i="127"/>
  <c r="C45" i="127"/>
  <c r="L46" i="120"/>
  <c r="M46" i="120"/>
  <c r="D45" i="127"/>
  <c r="E45" i="127"/>
  <c r="F45" i="127"/>
  <c r="G45" i="127"/>
  <c r="H45" i="127"/>
  <c r="I45" i="127"/>
  <c r="J45" i="127"/>
  <c r="K46" i="124"/>
  <c r="I46" i="124"/>
  <c r="H47" i="124"/>
  <c r="K47" i="124"/>
  <c r="I47" i="124"/>
  <c r="H48" i="124"/>
  <c r="K48" i="124"/>
  <c r="I48" i="124"/>
  <c r="H49" i="124"/>
  <c r="K49" i="124"/>
  <c r="I49" i="124"/>
  <c r="H50" i="124"/>
  <c r="K50" i="124"/>
  <c r="I50" i="124"/>
  <c r="H51" i="124"/>
  <c r="K51" i="124"/>
  <c r="I51" i="124"/>
  <c r="H52" i="124"/>
  <c r="K52" i="124"/>
  <c r="I52" i="124"/>
  <c r="H53" i="124"/>
  <c r="K53" i="124"/>
  <c r="I53" i="124"/>
  <c r="H54" i="124"/>
  <c r="K54" i="124"/>
  <c r="I54" i="124"/>
  <c r="H55" i="124"/>
  <c r="K55" i="124"/>
  <c r="I55" i="124"/>
  <c r="H56" i="124"/>
  <c r="K56" i="124"/>
  <c r="I56" i="124"/>
  <c r="H57" i="124"/>
  <c r="K57" i="124"/>
  <c r="I57" i="124"/>
  <c r="H58" i="124"/>
  <c r="K58" i="124"/>
  <c r="I58" i="124"/>
  <c r="H59" i="124"/>
  <c r="K59" i="124"/>
  <c r="I59" i="124"/>
  <c r="H60" i="124"/>
  <c r="K60" i="124"/>
  <c r="I60" i="124"/>
  <c r="H26" i="124"/>
  <c r="B25" i="127"/>
  <c r="C25" i="127"/>
  <c r="L26" i="120"/>
  <c r="M26" i="120"/>
  <c r="D25" i="127"/>
  <c r="E25" i="127"/>
  <c r="F25" i="127"/>
  <c r="G25" i="127"/>
  <c r="H25" i="127"/>
  <c r="I25" i="127"/>
  <c r="J25" i="127"/>
  <c r="K26" i="124"/>
  <c r="I26" i="124"/>
  <c r="MH75" i="9"/>
  <c r="H27" i="124"/>
  <c r="B26" i="127"/>
  <c r="C26" i="127"/>
  <c r="L27" i="120"/>
  <c r="M27" i="120"/>
  <c r="D26" i="127"/>
  <c r="E26" i="127"/>
  <c r="F26" i="127"/>
  <c r="G26" i="127"/>
  <c r="H26" i="127"/>
  <c r="I26" i="127"/>
  <c r="J26" i="127"/>
  <c r="K27" i="124"/>
  <c r="I27" i="124"/>
  <c r="MH76" i="9"/>
  <c r="H28" i="124"/>
  <c r="B27" i="127"/>
  <c r="C27" i="127"/>
  <c r="L28" i="120"/>
  <c r="M28" i="120"/>
  <c r="D27" i="127"/>
  <c r="E27" i="127"/>
  <c r="F27" i="127"/>
  <c r="G27" i="127"/>
  <c r="H27" i="127"/>
  <c r="I27" i="127"/>
  <c r="J27" i="127"/>
  <c r="K28" i="124"/>
  <c r="I28" i="124"/>
  <c r="MH77" i="9"/>
  <c r="H29" i="124"/>
  <c r="B28" i="127"/>
  <c r="C28" i="127"/>
  <c r="L29" i="120"/>
  <c r="M29" i="120"/>
  <c r="D28" i="127"/>
  <c r="E28" i="127"/>
  <c r="F28" i="127"/>
  <c r="G28" i="127"/>
  <c r="H28" i="127"/>
  <c r="I28" i="127"/>
  <c r="J28" i="127"/>
  <c r="K29" i="124"/>
  <c r="I29" i="124"/>
  <c r="MH78" i="9"/>
  <c r="H30" i="124"/>
  <c r="B29" i="127"/>
  <c r="C29" i="127"/>
  <c r="L30" i="120"/>
  <c r="M30" i="120"/>
  <c r="D29" i="127"/>
  <c r="E29" i="127"/>
  <c r="F29" i="127"/>
  <c r="G29" i="127"/>
  <c r="H29" i="127"/>
  <c r="I29" i="127"/>
  <c r="J29" i="127"/>
  <c r="K30" i="124"/>
  <c r="I30" i="124"/>
  <c r="MH79" i="9"/>
  <c r="H31" i="124"/>
  <c r="B30" i="127"/>
  <c r="C30" i="127"/>
  <c r="L31" i="120"/>
  <c r="M31" i="120"/>
  <c r="D30" i="127"/>
  <c r="E30" i="127"/>
  <c r="F30" i="127"/>
  <c r="G30" i="127"/>
  <c r="H30" i="127"/>
  <c r="I30" i="127"/>
  <c r="J30" i="127"/>
  <c r="K31" i="124"/>
  <c r="I31" i="124"/>
  <c r="MH80" i="9"/>
  <c r="H32" i="124"/>
  <c r="B31" i="127"/>
  <c r="C31" i="127"/>
  <c r="L32" i="120"/>
  <c r="M32" i="120"/>
  <c r="D31" i="127"/>
  <c r="E31" i="127"/>
  <c r="F31" i="127"/>
  <c r="G31" i="127"/>
  <c r="H31" i="127"/>
  <c r="I31" i="127"/>
  <c r="J31" i="127"/>
  <c r="K32" i="124"/>
  <c r="I32" i="124"/>
  <c r="MH81" i="9"/>
  <c r="H33" i="124"/>
  <c r="B32" i="127"/>
  <c r="C32" i="127"/>
  <c r="L33" i="120"/>
  <c r="M33" i="120"/>
  <c r="D32" i="127"/>
  <c r="E32" i="127"/>
  <c r="F32" i="127"/>
  <c r="G32" i="127"/>
  <c r="H32" i="127"/>
  <c r="I32" i="127"/>
  <c r="J32" i="127"/>
  <c r="K33" i="124"/>
  <c r="I33" i="124"/>
  <c r="L33" i="127"/>
  <c r="L34" i="127"/>
  <c r="L35" i="127"/>
  <c r="L36" i="127"/>
  <c r="L37" i="127"/>
  <c r="L38" i="127"/>
  <c r="L39" i="127"/>
  <c r="L40" i="127"/>
  <c r="L41" i="127"/>
  <c r="L42" i="127"/>
  <c r="L43" i="127"/>
  <c r="L44" i="127"/>
  <c r="L45" i="127"/>
  <c r="L64" i="127"/>
  <c r="MH58" i="9"/>
  <c r="B9" i="127"/>
  <c r="J9" i="127"/>
  <c r="L9" i="127"/>
  <c r="MH59" i="9"/>
  <c r="B10" i="127"/>
  <c r="J10" i="127"/>
  <c r="L10" i="127"/>
  <c r="MH60" i="9"/>
  <c r="B11" i="127"/>
  <c r="J11" i="127"/>
  <c r="L11" i="127"/>
  <c r="MH61" i="9"/>
  <c r="B12" i="127"/>
  <c r="J12" i="127"/>
  <c r="L12" i="127"/>
  <c r="MH62" i="9"/>
  <c r="B13" i="127"/>
  <c r="J13" i="127"/>
  <c r="L13" i="127"/>
  <c r="MH63" i="9"/>
  <c r="B14" i="127"/>
  <c r="J14" i="127"/>
  <c r="L14" i="127"/>
  <c r="MH64" i="9"/>
  <c r="B15" i="127"/>
  <c r="J15" i="127"/>
  <c r="L15" i="127"/>
  <c r="MH65" i="9"/>
  <c r="B16" i="127"/>
  <c r="J16" i="127"/>
  <c r="L16" i="127"/>
  <c r="MH66" i="9"/>
  <c r="B17" i="127"/>
  <c r="J17" i="127"/>
  <c r="L17" i="127"/>
  <c r="MH67" i="9"/>
  <c r="B18" i="127"/>
  <c r="J18" i="127"/>
  <c r="L18" i="127"/>
  <c r="MH68" i="9"/>
  <c r="B19" i="127"/>
  <c r="J19" i="127"/>
  <c r="L19" i="127"/>
  <c r="MH69" i="9"/>
  <c r="B20" i="127"/>
  <c r="J20" i="127"/>
  <c r="L20" i="127"/>
  <c r="MH70" i="9"/>
  <c r="B21" i="127"/>
  <c r="J21" i="127"/>
  <c r="L21" i="127"/>
  <c r="MH71" i="9"/>
  <c r="B22" i="127"/>
  <c r="J22" i="127"/>
  <c r="L22" i="127"/>
  <c r="MH72" i="9"/>
  <c r="B23" i="127"/>
  <c r="J23" i="127"/>
  <c r="L23" i="127"/>
  <c r="MH73" i="9"/>
  <c r="B24" i="127"/>
  <c r="J24" i="127"/>
  <c r="L24" i="127"/>
  <c r="L25" i="127"/>
  <c r="L26" i="127"/>
  <c r="L27" i="127"/>
  <c r="L28" i="127"/>
  <c r="L29" i="127"/>
  <c r="L30" i="127"/>
  <c r="L31" i="127"/>
  <c r="L32" i="127"/>
  <c r="L63" i="127"/>
  <c r="L62" i="127"/>
  <c r="I11" i="124"/>
  <c r="I12" i="124"/>
  <c r="I13" i="124"/>
  <c r="I14" i="124"/>
  <c r="I15" i="124"/>
  <c r="I16" i="124"/>
  <c r="I17" i="124"/>
  <c r="I18" i="124"/>
  <c r="I19" i="124"/>
  <c r="I20" i="124"/>
  <c r="I21" i="124"/>
  <c r="I22" i="124"/>
  <c r="I23" i="124"/>
  <c r="I24" i="124"/>
  <c r="I25" i="124"/>
  <c r="I10" i="124"/>
  <c r="I64" i="127"/>
  <c r="E64" i="127"/>
  <c r="I9" i="127"/>
  <c r="I10" i="127"/>
  <c r="I11" i="127"/>
  <c r="I12" i="127"/>
  <c r="I13" i="127"/>
  <c r="I14" i="127"/>
  <c r="I15" i="127"/>
  <c r="I16" i="127"/>
  <c r="I17" i="127"/>
  <c r="I18" i="127"/>
  <c r="I19" i="127"/>
  <c r="I20" i="127"/>
  <c r="I21" i="127"/>
  <c r="I22" i="127"/>
  <c r="I23" i="127"/>
  <c r="I24" i="127"/>
  <c r="I63" i="127"/>
  <c r="E63" i="127"/>
  <c r="I62" i="127"/>
  <c r="E62" i="127"/>
  <c r="R10" i="123"/>
  <c r="R11" i="123"/>
  <c r="R12" i="123"/>
  <c r="R13" i="123"/>
  <c r="R14" i="123"/>
  <c r="R15" i="123"/>
  <c r="R16" i="123"/>
  <c r="R17" i="123"/>
  <c r="R18" i="123"/>
  <c r="R19" i="123"/>
  <c r="R20" i="123"/>
  <c r="R21" i="123"/>
  <c r="R22" i="123"/>
  <c r="R23" i="123"/>
  <c r="R24" i="123"/>
  <c r="R25" i="123"/>
  <c r="R26" i="123"/>
  <c r="R27" i="123"/>
  <c r="R28" i="123"/>
  <c r="R29" i="123"/>
  <c r="R30" i="123"/>
  <c r="R31" i="123"/>
  <c r="R32" i="123"/>
  <c r="R33" i="123"/>
  <c r="R34" i="123"/>
  <c r="R35" i="123"/>
  <c r="R36" i="123"/>
  <c r="R37" i="123"/>
  <c r="R38" i="123"/>
  <c r="R39" i="123"/>
  <c r="R40" i="123"/>
  <c r="R41" i="123"/>
  <c r="R42" i="123"/>
  <c r="R43" i="123"/>
  <c r="R44" i="123"/>
  <c r="R45" i="123"/>
  <c r="R46" i="123"/>
  <c r="R47" i="123"/>
  <c r="R48" i="123"/>
  <c r="R49" i="123"/>
  <c r="R50" i="123"/>
  <c r="R51" i="123"/>
  <c r="R52" i="123"/>
  <c r="R53" i="123"/>
  <c r="R54" i="123"/>
  <c r="R56" i="123"/>
  <c r="R57" i="123"/>
  <c r="R58" i="123"/>
  <c r="R59" i="123"/>
  <c r="R9" i="123"/>
  <c r="MH86" i="9"/>
  <c r="MH87" i="9"/>
  <c r="MH88" i="9"/>
  <c r="MH89" i="9"/>
  <c r="MH90" i="9"/>
  <c r="MH91" i="9"/>
  <c r="MH92" i="9"/>
  <c r="MH93" i="9"/>
  <c r="MH94" i="9"/>
  <c r="MH95" i="9"/>
  <c r="MH96" i="9"/>
  <c r="MH97" i="9"/>
  <c r="MH98" i="9"/>
  <c r="MH99" i="9"/>
  <c r="MH100" i="9"/>
  <c r="MH101" i="9"/>
  <c r="MH102" i="9"/>
  <c r="MH103" i="9"/>
  <c r="MH104" i="9"/>
  <c r="MH105" i="9"/>
  <c r="MH106" i="9"/>
  <c r="MH107" i="9"/>
  <c r="MH108" i="9"/>
  <c r="Q24" i="126"/>
  <c r="Q25" i="126"/>
  <c r="Q26" i="126"/>
  <c r="Q27" i="126"/>
  <c r="Q28" i="126"/>
  <c r="Q29" i="126"/>
  <c r="Q30" i="126"/>
  <c r="Q31" i="126"/>
  <c r="Q32" i="126"/>
  <c r="Q33" i="126"/>
  <c r="Q34" i="126"/>
  <c r="Q35" i="126"/>
  <c r="Q36" i="126"/>
  <c r="Q37" i="126"/>
  <c r="M10" i="123"/>
  <c r="M11" i="123"/>
  <c r="M12" i="123"/>
  <c r="M13" i="123"/>
  <c r="M14" i="123"/>
  <c r="M15" i="123"/>
  <c r="M16" i="123"/>
  <c r="M17" i="123"/>
  <c r="M18" i="123"/>
  <c r="M19" i="123"/>
  <c r="M20" i="123"/>
  <c r="M21" i="123"/>
  <c r="M22" i="123"/>
  <c r="M23" i="123"/>
  <c r="M24" i="123"/>
  <c r="M25" i="123"/>
  <c r="M26" i="123"/>
  <c r="M27" i="123"/>
  <c r="M28" i="123"/>
  <c r="M29" i="123"/>
  <c r="M30" i="123"/>
  <c r="M31" i="123"/>
  <c r="M32" i="123"/>
  <c r="M33" i="123"/>
  <c r="M34" i="123"/>
  <c r="M35" i="123"/>
  <c r="M36" i="123"/>
  <c r="M37" i="123"/>
  <c r="M38" i="123"/>
  <c r="M39" i="123"/>
  <c r="M40" i="123"/>
  <c r="M41" i="123"/>
  <c r="M42" i="123"/>
  <c r="M43" i="123"/>
  <c r="M44" i="123"/>
  <c r="M45" i="123"/>
  <c r="M9" i="123"/>
  <c r="J59" i="123"/>
  <c r="J33" i="123"/>
  <c r="J34" i="123"/>
  <c r="J35" i="123"/>
  <c r="J36" i="123"/>
  <c r="J37" i="123"/>
  <c r="J38" i="123"/>
  <c r="J39" i="123"/>
  <c r="J40" i="123"/>
  <c r="J41" i="123"/>
  <c r="J42" i="123"/>
  <c r="J43" i="123"/>
  <c r="J44" i="123"/>
  <c r="J45" i="123"/>
  <c r="J46" i="123"/>
  <c r="J47" i="123"/>
  <c r="J48" i="123"/>
  <c r="J49" i="123"/>
  <c r="J50" i="123"/>
  <c r="J51" i="123"/>
  <c r="J52" i="123"/>
  <c r="J53" i="123"/>
  <c r="J54" i="123"/>
  <c r="J55" i="123"/>
  <c r="J56" i="123"/>
  <c r="J57" i="123"/>
  <c r="J58" i="123"/>
  <c r="J66" i="123"/>
  <c r="J9" i="123"/>
  <c r="J10" i="123"/>
  <c r="J11" i="123"/>
  <c r="J12" i="123"/>
  <c r="J13" i="123"/>
  <c r="J14" i="123"/>
  <c r="J15" i="123"/>
  <c r="J16" i="123"/>
  <c r="J17" i="123"/>
  <c r="J18" i="123"/>
  <c r="J19" i="123"/>
  <c r="J20" i="123"/>
  <c r="J21" i="123"/>
  <c r="J22" i="123"/>
  <c r="J23" i="123"/>
  <c r="J24" i="123"/>
  <c r="J25" i="123"/>
  <c r="J26" i="123"/>
  <c r="J27" i="123"/>
  <c r="J28" i="123"/>
  <c r="J29" i="123"/>
  <c r="J30" i="123"/>
  <c r="J31" i="123"/>
  <c r="J32" i="123"/>
  <c r="J65" i="123"/>
  <c r="J64" i="123"/>
  <c r="M66" i="123"/>
  <c r="M65" i="123"/>
  <c r="M64" i="123"/>
  <c r="Q55" i="126"/>
  <c r="Q56" i="126"/>
  <c r="Q57" i="126"/>
  <c r="Q58" i="126"/>
  <c r="Q59" i="126"/>
  <c r="Q49" i="126"/>
  <c r="Q50" i="126"/>
  <c r="Q51" i="126"/>
  <c r="Q52" i="126"/>
  <c r="Q53" i="126"/>
  <c r="Q54" i="126"/>
  <c r="Q39" i="126"/>
  <c r="Q40" i="126"/>
  <c r="Q41" i="126"/>
  <c r="Q42" i="126"/>
  <c r="Q48" i="126"/>
  <c r="Q43" i="126"/>
  <c r="Q38" i="126"/>
  <c r="D11" i="124"/>
  <c r="D12" i="124"/>
  <c r="D13" i="124"/>
  <c r="D14" i="124"/>
  <c r="D15" i="124"/>
  <c r="D16" i="124"/>
  <c r="D17" i="124"/>
  <c r="D18" i="124"/>
  <c r="D19" i="124"/>
  <c r="D20" i="124"/>
  <c r="D21" i="124"/>
  <c r="D22" i="124"/>
  <c r="D23" i="124"/>
  <c r="D24" i="124"/>
  <c r="D25" i="124"/>
  <c r="D26" i="124"/>
  <c r="D27" i="124"/>
  <c r="D28" i="124"/>
  <c r="D29" i="124"/>
  <c r="D30" i="124"/>
  <c r="D31" i="124"/>
  <c r="D32" i="124"/>
  <c r="D33" i="124"/>
  <c r="D34" i="124"/>
  <c r="D35" i="124"/>
  <c r="D36" i="124"/>
  <c r="D37" i="124"/>
  <c r="D38" i="124"/>
  <c r="D39" i="124"/>
  <c r="D40" i="124"/>
  <c r="D41" i="124"/>
  <c r="D42" i="124"/>
  <c r="D43" i="124"/>
  <c r="D44" i="124"/>
  <c r="D45" i="124"/>
  <c r="D46" i="124"/>
  <c r="D47" i="124"/>
  <c r="D48" i="124"/>
  <c r="D49" i="124"/>
  <c r="D50" i="124"/>
  <c r="D51" i="124"/>
  <c r="D52" i="124"/>
  <c r="D53" i="124"/>
  <c r="D54" i="124"/>
  <c r="D55" i="124"/>
  <c r="D56" i="124"/>
  <c r="D57" i="124"/>
  <c r="D58" i="124"/>
  <c r="D59" i="124"/>
  <c r="D60" i="124"/>
  <c r="D10" i="124"/>
  <c r="E10" i="123"/>
  <c r="E11" i="123"/>
  <c r="E12" i="123"/>
  <c r="E13" i="123"/>
  <c r="E14" i="123"/>
  <c r="E15" i="123"/>
  <c r="E16" i="123"/>
  <c r="E17" i="123"/>
  <c r="E18" i="123"/>
  <c r="E19" i="123"/>
  <c r="E20" i="123"/>
  <c r="E21" i="123"/>
  <c r="E22" i="123"/>
  <c r="E23" i="123"/>
  <c r="E24" i="123"/>
  <c r="E25" i="123"/>
  <c r="E26" i="123"/>
  <c r="E27" i="123"/>
  <c r="E28" i="123"/>
  <c r="E29" i="123"/>
  <c r="E30" i="123"/>
  <c r="E31" i="123"/>
  <c r="E32" i="123"/>
  <c r="E33" i="123"/>
  <c r="E34" i="123"/>
  <c r="E35" i="123"/>
  <c r="E36" i="123"/>
  <c r="E37" i="123"/>
  <c r="E38" i="123"/>
  <c r="E39" i="123"/>
  <c r="E40" i="123"/>
  <c r="E41" i="123"/>
  <c r="E42" i="123"/>
  <c r="E43" i="123"/>
  <c r="E44" i="123"/>
  <c r="E45" i="123"/>
  <c r="E46" i="123"/>
  <c r="E47" i="123"/>
  <c r="E48" i="123"/>
  <c r="E49" i="123"/>
  <c r="E50" i="123"/>
  <c r="E51" i="123"/>
  <c r="E52" i="123"/>
  <c r="E53" i="123"/>
  <c r="E54" i="123"/>
  <c r="E55" i="123"/>
  <c r="E56" i="123"/>
  <c r="E57" i="123"/>
  <c r="E58" i="123"/>
  <c r="E9" i="123"/>
  <c r="I59" i="117"/>
  <c r="GS57" i="83"/>
  <c r="EF57" i="83"/>
  <c r="GS56" i="83"/>
  <c r="EF56" i="83"/>
  <c r="GS55" i="83"/>
  <c r="EF55" i="83"/>
  <c r="GS54" i="83"/>
  <c r="EF54" i="83"/>
  <c r="GS53" i="83"/>
  <c r="EF53" i="83"/>
  <c r="GS52" i="83"/>
  <c r="EF52" i="83"/>
  <c r="GS51" i="83"/>
  <c r="EF51" i="83"/>
  <c r="GS50" i="83"/>
  <c r="EF50" i="83"/>
  <c r="GS49" i="83"/>
  <c r="EF49" i="83"/>
  <c r="GS48" i="83"/>
  <c r="EF48" i="83"/>
  <c r="GS47" i="83"/>
  <c r="EF47" i="83"/>
  <c r="GS46" i="83"/>
  <c r="EF46" i="83"/>
  <c r="GS45" i="83"/>
  <c r="EF45" i="83"/>
  <c r="GS44" i="83"/>
  <c r="EF44" i="83"/>
  <c r="GS43" i="83"/>
  <c r="EF43" i="83"/>
  <c r="GS42" i="83"/>
  <c r="EF42" i="83"/>
  <c r="MK39" i="9"/>
  <c r="MK40" i="9"/>
  <c r="MK41" i="9"/>
  <c r="MK42" i="9"/>
  <c r="MK43" i="9"/>
  <c r="MK44" i="9"/>
  <c r="MK45" i="9"/>
  <c r="MK46" i="9"/>
  <c r="MK47" i="9"/>
  <c r="MK48" i="9"/>
  <c r="MK49" i="9"/>
  <c r="MK50" i="9"/>
  <c r="MK51" i="9"/>
  <c r="MK52" i="9"/>
  <c r="MK53" i="9"/>
  <c r="MK54" i="9"/>
  <c r="MK55" i="9"/>
  <c r="MK56" i="9"/>
  <c r="MK57" i="9"/>
  <c r="MK58" i="9"/>
  <c r="MK59" i="9"/>
  <c r="MK60" i="9"/>
  <c r="MK61" i="9"/>
  <c r="MK62" i="9"/>
  <c r="MK63" i="9"/>
  <c r="MK64" i="9"/>
  <c r="MK65" i="9"/>
  <c r="MK66" i="9"/>
  <c r="MK67" i="9"/>
  <c r="MK68" i="9"/>
  <c r="MK69" i="9"/>
  <c r="MK70" i="9"/>
  <c r="MK71" i="9"/>
  <c r="MK72" i="9"/>
  <c r="MK73" i="9"/>
  <c r="MK74" i="9"/>
  <c r="MK75" i="9"/>
  <c r="MK76" i="9"/>
  <c r="MK77" i="9"/>
  <c r="MK78" i="9"/>
  <c r="MK79" i="9"/>
  <c r="MK80" i="9"/>
  <c r="MK81" i="9"/>
  <c r="MK82" i="9"/>
  <c r="MK83" i="9"/>
  <c r="MK84" i="9"/>
  <c r="MK85" i="9"/>
  <c r="MK86" i="9"/>
  <c r="MK87" i="9"/>
  <c r="MK88" i="9"/>
  <c r="MK89" i="9"/>
  <c r="MK90" i="9"/>
  <c r="MK91" i="9"/>
  <c r="MK92" i="9"/>
  <c r="MK93" i="9"/>
  <c r="MK94" i="9"/>
  <c r="MK95" i="9"/>
  <c r="MK96" i="9"/>
  <c r="MK97" i="9"/>
  <c r="MK98" i="9"/>
  <c r="MK99" i="9"/>
  <c r="MK100" i="9"/>
  <c r="MK101" i="9"/>
  <c r="MK102" i="9"/>
  <c r="MK103" i="9"/>
  <c r="MK104" i="9"/>
  <c r="MK105" i="9"/>
  <c r="MK106" i="9"/>
  <c r="MK107" i="9"/>
  <c r="MK108" i="9"/>
  <c r="MK38" i="9"/>
  <c r="MI39" i="9"/>
  <c r="MI40" i="9"/>
  <c r="MI41" i="9"/>
  <c r="MI42" i="9"/>
  <c r="MI43" i="9"/>
  <c r="MI44" i="9"/>
  <c r="MI45" i="9"/>
  <c r="MI46" i="9"/>
  <c r="MI47" i="9"/>
  <c r="MI48" i="9"/>
  <c r="MI49" i="9"/>
  <c r="MI50" i="9"/>
  <c r="MI51" i="9"/>
  <c r="MI52" i="9"/>
  <c r="MI53" i="9"/>
  <c r="MI54" i="9"/>
  <c r="MI55" i="9"/>
  <c r="MI56" i="9"/>
  <c r="MI57" i="9"/>
  <c r="MI109" i="9"/>
  <c r="MI38" i="9"/>
  <c r="GV39" i="83"/>
  <c r="GV40" i="83"/>
  <c r="GV41" i="83"/>
  <c r="GV42" i="83"/>
  <c r="GV43" i="83"/>
  <c r="GV44" i="83"/>
  <c r="GV45" i="83"/>
  <c r="GV46" i="83"/>
  <c r="GV47" i="83"/>
  <c r="GV48" i="83"/>
  <c r="GV49" i="83"/>
  <c r="GV50" i="83"/>
  <c r="GV51" i="83"/>
  <c r="GV52" i="83"/>
  <c r="GV53" i="83"/>
  <c r="GV54" i="83"/>
  <c r="GV55" i="83"/>
  <c r="GV56" i="83"/>
  <c r="GV57" i="83"/>
  <c r="GV58" i="83"/>
  <c r="GV59" i="83"/>
  <c r="GV60" i="83"/>
  <c r="GV61" i="83"/>
  <c r="GV62" i="83"/>
  <c r="GV63" i="83"/>
  <c r="GV64" i="83"/>
  <c r="GV65" i="83"/>
  <c r="GV66" i="83"/>
  <c r="GV67" i="83"/>
  <c r="GV68" i="83"/>
  <c r="GV69" i="83"/>
  <c r="GV70" i="83"/>
  <c r="GV71" i="83"/>
  <c r="GV72" i="83"/>
  <c r="GV73" i="83"/>
  <c r="GV74" i="83"/>
  <c r="GV75" i="83"/>
  <c r="GV76" i="83"/>
  <c r="GV77" i="83"/>
  <c r="GV78" i="83"/>
  <c r="GV79" i="83"/>
  <c r="GV80" i="83"/>
  <c r="GV81" i="83"/>
  <c r="GV82" i="83"/>
  <c r="GV83" i="83"/>
  <c r="GV84" i="83"/>
  <c r="GV85" i="83"/>
  <c r="GV86" i="83"/>
  <c r="GV87" i="83"/>
  <c r="GV88" i="83"/>
  <c r="GV89" i="83"/>
  <c r="GV90" i="83"/>
  <c r="GV91" i="83"/>
  <c r="GV92" i="83"/>
  <c r="GV93" i="83"/>
  <c r="GV94" i="83"/>
  <c r="GV95" i="83"/>
  <c r="GV96" i="83"/>
  <c r="GV97" i="83"/>
  <c r="GV98" i="83"/>
  <c r="GV99" i="83"/>
  <c r="GV100" i="83"/>
  <c r="GV101" i="83"/>
  <c r="GV102" i="83"/>
  <c r="GV103" i="83"/>
  <c r="GV104" i="83"/>
  <c r="GV105" i="83"/>
  <c r="GV106" i="83"/>
  <c r="GV107" i="83"/>
  <c r="GV108" i="83"/>
  <c r="GV109" i="83"/>
  <c r="GV38" i="83"/>
  <c r="GS39" i="83"/>
  <c r="GS40" i="83"/>
  <c r="GS41" i="83"/>
  <c r="GS109" i="83"/>
  <c r="GS38" i="83"/>
  <c r="ML39" i="9"/>
  <c r="ML40" i="9"/>
  <c r="ML41" i="9"/>
  <c r="ML42" i="9"/>
  <c r="ML43" i="9"/>
  <c r="ML44" i="9"/>
  <c r="ML45" i="9"/>
  <c r="ML46" i="9"/>
  <c r="ML47" i="9"/>
  <c r="ML48" i="9"/>
  <c r="ML49" i="9"/>
  <c r="ML50" i="9"/>
  <c r="ML51" i="9"/>
  <c r="ML52" i="9"/>
  <c r="ML53" i="9"/>
  <c r="ML54" i="9"/>
  <c r="ML55" i="9"/>
  <c r="ML56" i="9"/>
  <c r="ML57" i="9"/>
  <c r="MJ74" i="9" a="1"/>
  <c r="MJ74" i="9"/>
  <c r="MJ75" i="9"/>
  <c r="MJ76" i="9"/>
  <c r="MJ77" i="9"/>
  <c r="MJ78" i="9"/>
  <c r="MJ79" i="9"/>
  <c r="MJ80" i="9"/>
  <c r="MJ81" i="9"/>
  <c r="MJ82" i="9"/>
  <c r="MJ83" i="9"/>
  <c r="MJ84" i="9"/>
  <c r="MJ85" i="9"/>
  <c r="MJ86" i="9"/>
  <c r="MJ87" i="9"/>
  <c r="MJ88" i="9"/>
  <c r="MJ89" i="9"/>
  <c r="MJ90" i="9"/>
  <c r="MJ91" i="9"/>
  <c r="MJ92" i="9"/>
  <c r="MJ93" i="9"/>
  <c r="MJ94" i="9"/>
  <c r="MJ95" i="9"/>
  <c r="MJ96" i="9"/>
  <c r="MJ97" i="9"/>
  <c r="MJ98" i="9"/>
  <c r="MJ99" i="9"/>
  <c r="MJ100" i="9"/>
  <c r="MJ101" i="9"/>
  <c r="MJ102" i="9"/>
  <c r="MJ103" i="9"/>
  <c r="MJ104" i="9"/>
  <c r="MJ105" i="9"/>
  <c r="MJ106" i="9"/>
  <c r="MJ107" i="9"/>
  <c r="MJ108" i="9"/>
  <c r="ML59" i="9"/>
  <c r="ML60" i="9"/>
  <c r="ML61" i="9"/>
  <c r="ML62" i="9"/>
  <c r="ML63" i="9"/>
  <c r="ML64" i="9"/>
  <c r="ML65" i="9"/>
  <c r="ML66" i="9"/>
  <c r="ML67" i="9"/>
  <c r="ML68" i="9"/>
  <c r="ML69" i="9"/>
  <c r="ML70" i="9"/>
  <c r="ML71" i="9"/>
  <c r="ML72" i="9"/>
  <c r="ML73" i="9"/>
  <c r="ML74" i="9"/>
  <c r="ML75" i="9"/>
  <c r="ML76" i="9"/>
  <c r="ML77" i="9"/>
  <c r="ML78" i="9"/>
  <c r="ML79" i="9"/>
  <c r="ML80" i="9"/>
  <c r="ML81" i="9"/>
  <c r="ML82" i="9"/>
  <c r="ML83" i="9"/>
  <c r="ML84" i="9"/>
  <c r="ML85" i="9"/>
  <c r="ML86" i="9"/>
  <c r="ML87" i="9"/>
  <c r="ML88" i="9"/>
  <c r="ML89" i="9"/>
  <c r="ML90" i="9"/>
  <c r="ML91" i="9"/>
  <c r="ML92" i="9"/>
  <c r="ML93" i="9"/>
  <c r="ML94" i="9"/>
  <c r="ML95" i="9"/>
  <c r="ML96" i="9"/>
  <c r="ML97" i="9"/>
  <c r="ML98" i="9"/>
  <c r="ML99" i="9"/>
  <c r="ML100" i="9"/>
  <c r="ML101" i="9"/>
  <c r="ML102" i="9"/>
  <c r="ML103" i="9"/>
  <c r="ML104" i="9"/>
  <c r="ML105" i="9"/>
  <c r="ML106" i="9"/>
  <c r="ML107" i="9"/>
  <c r="ML108" i="9"/>
  <c r="ML58" i="9"/>
  <c r="GW44" i="83"/>
  <c r="GW45" i="83"/>
  <c r="GW46" i="83"/>
  <c r="GW47" i="83"/>
  <c r="GW48" i="83"/>
  <c r="GW49" i="83"/>
  <c r="GW50" i="83"/>
  <c r="GW51" i="83"/>
  <c r="GW52" i="83"/>
  <c r="GW53" i="83"/>
  <c r="GW54" i="83"/>
  <c r="GW55" i="83"/>
  <c r="GW56" i="83"/>
  <c r="GW57" i="83"/>
  <c r="GW58" i="83"/>
  <c r="GW59" i="83"/>
  <c r="GW60" i="83"/>
  <c r="GW61" i="83"/>
  <c r="GW62" i="83"/>
  <c r="GW63" i="83"/>
  <c r="GW64" i="83"/>
  <c r="GW65" i="83"/>
  <c r="GW66" i="83"/>
  <c r="GW67" i="83"/>
  <c r="GW68" i="83"/>
  <c r="GW69" i="83"/>
  <c r="GW70" i="83"/>
  <c r="GW71" i="83"/>
  <c r="GW72" i="83"/>
  <c r="GW73" i="83"/>
  <c r="GW74" i="83"/>
  <c r="GW75" i="83"/>
  <c r="GW76" i="83"/>
  <c r="GW77" i="83"/>
  <c r="GW78" i="83"/>
  <c r="GW79" i="83"/>
  <c r="GW80" i="83"/>
  <c r="GW81" i="83"/>
  <c r="GW82" i="83"/>
  <c r="GW83" i="83"/>
  <c r="GW84" i="83"/>
  <c r="GW85" i="83"/>
  <c r="GW86" i="83"/>
  <c r="GW87" i="83"/>
  <c r="GW88" i="83"/>
  <c r="GW89" i="83"/>
  <c r="GW90" i="83"/>
  <c r="GW91" i="83"/>
  <c r="GW92" i="83"/>
  <c r="GW93" i="83"/>
  <c r="GW94" i="83"/>
  <c r="GW95" i="83"/>
  <c r="GW96" i="83"/>
  <c r="GW97" i="83"/>
  <c r="GW98" i="83"/>
  <c r="GW99" i="83"/>
  <c r="GW100" i="83"/>
  <c r="GW101" i="83"/>
  <c r="GW102" i="83"/>
  <c r="GW103" i="83"/>
  <c r="GW104" i="83"/>
  <c r="GW105" i="83"/>
  <c r="GW106" i="83"/>
  <c r="GW107" i="83"/>
  <c r="GW108" i="83"/>
  <c r="GW43" i="83"/>
  <c r="GL42" i="83"/>
  <c r="GT42" i="83"/>
  <c r="GL43" i="83"/>
  <c r="GT43" i="83"/>
  <c r="IM69" i="9"/>
  <c r="LZ59" i="9"/>
  <c r="LZ60" i="9"/>
  <c r="LZ61" i="9"/>
  <c r="LZ62" i="9"/>
  <c r="LZ63" i="9"/>
  <c r="LZ64" i="9"/>
  <c r="LZ65" i="9"/>
  <c r="LZ66" i="9"/>
  <c r="LZ67" i="9"/>
  <c r="LZ68" i="9"/>
  <c r="LZ69" i="9"/>
  <c r="LZ70" i="9"/>
  <c r="LZ71" i="9"/>
  <c r="LZ72" i="9"/>
  <c r="LZ73" i="9"/>
  <c r="LZ74" i="9"/>
  <c r="LZ75" i="9"/>
  <c r="LZ76" i="9"/>
  <c r="LZ77" i="9"/>
  <c r="LZ78" i="9"/>
  <c r="LZ79" i="9"/>
  <c r="LZ80" i="9"/>
  <c r="LZ81" i="9"/>
  <c r="LZ82" i="9"/>
  <c r="LZ83" i="9"/>
  <c r="LZ84" i="9"/>
  <c r="LZ85" i="9"/>
  <c r="LZ86" i="9"/>
  <c r="LZ87" i="9"/>
  <c r="LZ88" i="9"/>
  <c r="LZ89" i="9"/>
  <c r="LZ90" i="9"/>
  <c r="LZ91" i="9"/>
  <c r="LZ92" i="9"/>
  <c r="LZ93" i="9"/>
  <c r="LZ94" i="9"/>
  <c r="LZ95" i="9"/>
  <c r="LZ96" i="9"/>
  <c r="LZ97" i="9"/>
  <c r="LZ98" i="9"/>
  <c r="LZ99" i="9"/>
  <c r="LZ100" i="9"/>
  <c r="LZ101" i="9"/>
  <c r="LZ102" i="9"/>
  <c r="LZ103" i="9"/>
  <c r="LZ104" i="9"/>
  <c r="LZ105" i="9"/>
  <c r="LZ106" i="9"/>
  <c r="LZ107" i="9"/>
  <c r="LZ108" i="9"/>
  <c r="LZ58" i="9"/>
  <c r="L10" i="120"/>
  <c r="M10" i="120"/>
  <c r="L11" i="120"/>
  <c r="M11" i="120"/>
  <c r="L12" i="120"/>
  <c r="M12" i="120"/>
  <c r="L13" i="120"/>
  <c r="M13" i="120"/>
  <c r="L14" i="120"/>
  <c r="M14" i="120"/>
  <c r="L15" i="120"/>
  <c r="M15" i="120"/>
  <c r="L16" i="120"/>
  <c r="M16" i="120"/>
  <c r="L17" i="120"/>
  <c r="M17" i="120"/>
  <c r="L18" i="120"/>
  <c r="M18" i="120"/>
  <c r="L19" i="120"/>
  <c r="M19" i="120"/>
  <c r="L20" i="120"/>
  <c r="M20" i="120"/>
  <c r="L21" i="120"/>
  <c r="M21" i="120"/>
  <c r="L22" i="120"/>
  <c r="M22" i="120"/>
  <c r="L23" i="120"/>
  <c r="M23" i="120"/>
  <c r="L24" i="120"/>
  <c r="M24" i="120"/>
  <c r="L25" i="120"/>
  <c r="M25" i="120"/>
  <c r="GL44" i="83"/>
  <c r="GL45" i="83"/>
  <c r="GL46" i="83"/>
  <c r="GL47" i="83"/>
  <c r="GL48" i="83"/>
  <c r="GL49" i="83"/>
  <c r="GL50" i="83"/>
  <c r="GL51" i="83"/>
  <c r="GL52" i="83"/>
  <c r="GL53" i="83"/>
  <c r="GL54" i="83"/>
  <c r="GL55" i="83"/>
  <c r="GL56" i="83"/>
  <c r="GL57" i="83"/>
  <c r="KE59" i="9"/>
  <c r="KE60" i="9"/>
  <c r="KE61" i="9"/>
  <c r="KE62" i="9"/>
  <c r="KE63" i="9"/>
  <c r="KE64" i="9"/>
  <c r="KE65" i="9"/>
  <c r="KE66" i="9"/>
  <c r="KE67" i="9"/>
  <c r="KE68" i="9"/>
  <c r="KE69" i="9"/>
  <c r="KE70" i="9"/>
  <c r="KE71" i="9"/>
  <c r="KE72" i="9"/>
  <c r="KE73" i="9"/>
  <c r="KE74" i="9"/>
  <c r="KE75" i="9"/>
  <c r="KE76" i="9"/>
  <c r="KE77" i="9"/>
  <c r="KE78" i="9"/>
  <c r="KE79" i="9"/>
  <c r="KE80" i="9"/>
  <c r="KE81" i="9"/>
  <c r="KE82" i="9"/>
  <c r="KE83" i="9"/>
  <c r="KE84" i="9"/>
  <c r="KE85" i="9"/>
  <c r="KE86" i="9"/>
  <c r="KE87" i="9"/>
  <c r="KE88" i="9"/>
  <c r="KE89" i="9"/>
  <c r="KE90" i="9"/>
  <c r="KE91" i="9"/>
  <c r="KE92" i="9"/>
  <c r="KE93" i="9"/>
  <c r="KE94" i="9"/>
  <c r="KE95" i="9"/>
  <c r="KE96" i="9"/>
  <c r="KE97" i="9"/>
  <c r="KE98" i="9"/>
  <c r="KE99" i="9"/>
  <c r="KE100" i="9"/>
  <c r="KE101" i="9"/>
  <c r="KE102" i="9"/>
  <c r="KE103" i="9"/>
  <c r="KE104" i="9"/>
  <c r="KE105" i="9"/>
  <c r="KE106" i="9"/>
  <c r="KE107" i="9"/>
  <c r="KE108" i="9"/>
  <c r="KE58" i="9"/>
  <c r="GT44" i="83"/>
  <c r="GT45" i="83"/>
  <c r="GT46" i="83"/>
  <c r="GT47" i="83"/>
  <c r="GT48" i="83"/>
  <c r="GT49" i="83"/>
  <c r="GT50" i="83"/>
  <c r="GT51" i="83"/>
  <c r="GT52" i="83"/>
  <c r="GT53" i="83"/>
  <c r="GT54" i="83"/>
  <c r="GT55" i="83"/>
  <c r="GT56" i="83"/>
  <c r="GT57" i="83"/>
  <c r="LY75" i="9"/>
  <c r="LY76" i="9"/>
  <c r="LY77" i="9"/>
  <c r="LY78" i="9"/>
  <c r="LY79" i="9"/>
  <c r="LY80" i="9"/>
  <c r="LY81" i="9"/>
  <c r="LY82" i="9"/>
  <c r="LY83" i="9"/>
  <c r="LY84" i="9"/>
  <c r="LY85" i="9"/>
  <c r="LY86" i="9"/>
  <c r="LY87" i="9"/>
  <c r="LY88" i="9"/>
  <c r="LY89" i="9"/>
  <c r="LY90" i="9"/>
  <c r="LY91" i="9"/>
  <c r="LY92" i="9"/>
  <c r="LY93" i="9"/>
  <c r="LY94" i="9"/>
  <c r="LY95" i="9"/>
  <c r="LY96" i="9"/>
  <c r="LY97" i="9"/>
  <c r="LY98" i="9"/>
  <c r="LY99" i="9"/>
  <c r="LY100" i="9"/>
  <c r="LY101" i="9"/>
  <c r="LY102" i="9"/>
  <c r="LY103" i="9"/>
  <c r="LY104" i="9"/>
  <c r="LY105" i="9"/>
  <c r="LY106" i="9"/>
  <c r="LY107" i="9"/>
  <c r="LY108" i="9"/>
  <c r="IQ60" i="9"/>
  <c r="IF60" i="9"/>
  <c r="IW60" i="9"/>
  <c r="IV60" i="9"/>
  <c r="IQ61" i="9"/>
  <c r="IF61" i="9"/>
  <c r="IW61" i="9"/>
  <c r="IV61" i="9"/>
  <c r="IQ62" i="9"/>
  <c r="IF62" i="9"/>
  <c r="IW62" i="9"/>
  <c r="IV62" i="9"/>
  <c r="IQ63" i="9"/>
  <c r="IF63" i="9"/>
  <c r="IW63" i="9"/>
  <c r="IV63" i="9"/>
  <c r="IQ64" i="9"/>
  <c r="IF64" i="9"/>
  <c r="IW64" i="9"/>
  <c r="IV64" i="9"/>
  <c r="IQ65" i="9"/>
  <c r="IF65" i="9"/>
  <c r="IW65" i="9"/>
  <c r="IV65" i="9"/>
  <c r="IQ66" i="9"/>
  <c r="IF66" i="9"/>
  <c r="IW66" i="9"/>
  <c r="IV66" i="9"/>
  <c r="IQ67" i="9"/>
  <c r="IF67" i="9"/>
  <c r="IW67" i="9"/>
  <c r="IV67" i="9"/>
  <c r="IQ68" i="9"/>
  <c r="IF68" i="9"/>
  <c r="IW68" i="9"/>
  <c r="IV68" i="9"/>
  <c r="IW69" i="9"/>
  <c r="IV69" i="9"/>
  <c r="IW70" i="9"/>
  <c r="IV70" i="9"/>
  <c r="IW71" i="9"/>
  <c r="IV71" i="9"/>
  <c r="IW72" i="9"/>
  <c r="IV72" i="9"/>
  <c r="IW73" i="9"/>
  <c r="IV73" i="9"/>
  <c r="IR59" i="9"/>
  <c r="IR58" i="9"/>
  <c r="IS59" i="9"/>
  <c r="IU59" i="9"/>
  <c r="IQ59" i="9"/>
  <c r="IF59" i="9"/>
  <c r="IW59" i="9"/>
  <c r="IV59" i="9"/>
  <c r="IX59" i="9"/>
  <c r="IR60" i="9"/>
  <c r="IS60" i="9"/>
  <c r="IU60" i="9"/>
  <c r="IX60" i="9"/>
  <c r="IR61" i="9"/>
  <c r="IS61" i="9"/>
  <c r="IU61" i="9"/>
  <c r="IX61" i="9"/>
  <c r="IR62" i="9"/>
  <c r="IS62" i="9"/>
  <c r="IU62" i="9"/>
  <c r="IX62" i="9"/>
  <c r="IR63" i="9"/>
  <c r="IS63" i="9"/>
  <c r="IU63" i="9"/>
  <c r="IX63" i="9"/>
  <c r="IR64" i="9"/>
  <c r="IS64" i="9"/>
  <c r="IU64" i="9"/>
  <c r="IX64" i="9"/>
  <c r="IR65" i="9"/>
  <c r="IS65" i="9"/>
  <c r="IU65" i="9"/>
  <c r="IX65" i="9"/>
  <c r="IR66" i="9"/>
  <c r="IS66" i="9"/>
  <c r="IU66" i="9"/>
  <c r="IX66" i="9"/>
  <c r="IR67" i="9"/>
  <c r="IS67" i="9"/>
  <c r="IU67" i="9"/>
  <c r="IX67" i="9"/>
  <c r="IR68" i="9"/>
  <c r="IS68" i="9"/>
  <c r="IU68" i="9"/>
  <c r="IX68" i="9"/>
  <c r="IR69" i="9"/>
  <c r="IS69" i="9"/>
  <c r="IU69" i="9"/>
  <c r="IX69" i="9"/>
  <c r="IR70" i="9"/>
  <c r="IS70" i="9"/>
  <c r="IU70" i="9"/>
  <c r="IX70" i="9"/>
  <c r="IR71" i="9"/>
  <c r="IS71" i="9"/>
  <c r="IU71" i="9"/>
  <c r="IX71" i="9"/>
  <c r="IR72" i="9"/>
  <c r="IS72" i="9"/>
  <c r="IU72" i="9"/>
  <c r="IX72" i="9"/>
  <c r="IR73" i="9"/>
  <c r="IS73" i="9"/>
  <c r="IU73" i="9"/>
  <c r="IX73" i="9"/>
  <c r="JH74" i="9" a="1"/>
  <c r="JH74" i="9"/>
  <c r="IR74" i="9"/>
  <c r="IS74" i="9"/>
  <c r="EG74" i="9" a="1"/>
  <c r="EG74" i="9"/>
  <c r="IU74" i="9"/>
  <c r="HT74" i="9" a="1"/>
  <c r="HT74" i="9"/>
  <c r="IV74" i="9"/>
  <c r="IW74" i="9" a="1"/>
  <c r="IW74" i="9"/>
  <c r="IX74" i="9"/>
  <c r="IU42" i="9"/>
  <c r="C21" i="9" a="1"/>
  <c r="C42" i="9"/>
  <c r="JE42" i="9"/>
  <c r="IU43" i="9"/>
  <c r="C43" i="9"/>
  <c r="JE43" i="9"/>
  <c r="IU44" i="9"/>
  <c r="C44" i="9"/>
  <c r="JE44" i="9"/>
  <c r="IU45" i="9"/>
  <c r="C45" i="9"/>
  <c r="JE45" i="9"/>
  <c r="IU46" i="9"/>
  <c r="C46" i="9"/>
  <c r="JE46" i="9"/>
  <c r="IU47" i="9"/>
  <c r="C47" i="9"/>
  <c r="JE47" i="9"/>
  <c r="IU48" i="9"/>
  <c r="C48" i="9"/>
  <c r="JE48" i="9"/>
  <c r="IU49" i="9"/>
  <c r="C49" i="9"/>
  <c r="JE49" i="9"/>
  <c r="IU50" i="9"/>
  <c r="C50" i="9"/>
  <c r="JE50" i="9"/>
  <c r="IU51" i="9"/>
  <c r="C51" i="9"/>
  <c r="JE51" i="9"/>
  <c r="IU52" i="9"/>
  <c r="C52" i="9"/>
  <c r="JE52" i="9"/>
  <c r="IU53" i="9"/>
  <c r="C53" i="9"/>
  <c r="JE53" i="9"/>
  <c r="IU54" i="9"/>
  <c r="C54" i="9"/>
  <c r="JE54" i="9"/>
  <c r="IU55" i="9"/>
  <c r="C55" i="9"/>
  <c r="JE55" i="9"/>
  <c r="IU56" i="9"/>
  <c r="C56" i="9"/>
  <c r="JE56" i="9"/>
  <c r="IU57" i="9"/>
  <c r="C57" i="9"/>
  <c r="JE57" i="9"/>
  <c r="IU58" i="9"/>
  <c r="C58" i="9"/>
  <c r="JE58" i="9"/>
  <c r="C59" i="9"/>
  <c r="JE59" i="9"/>
  <c r="C60" i="9"/>
  <c r="JE60" i="9"/>
  <c r="C61" i="9"/>
  <c r="JE61" i="9"/>
  <c r="C62" i="9"/>
  <c r="JE62" i="9"/>
  <c r="C63" i="9"/>
  <c r="JE63" i="9"/>
  <c r="C64" i="9"/>
  <c r="JE64" i="9"/>
  <c r="C65" i="9"/>
  <c r="JE65" i="9"/>
  <c r="C66" i="9"/>
  <c r="JE66" i="9"/>
  <c r="C67" i="9"/>
  <c r="JE67" i="9"/>
  <c r="C68" i="9"/>
  <c r="JE68" i="9"/>
  <c r="C69" i="9"/>
  <c r="JE69" i="9"/>
  <c r="C70" i="9"/>
  <c r="JE70" i="9"/>
  <c r="C71" i="9"/>
  <c r="JE71" i="9"/>
  <c r="C72" i="9"/>
  <c r="JE72" i="9"/>
  <c r="C73" i="9"/>
  <c r="JE73" i="9"/>
  <c r="EG75" i="9"/>
  <c r="IU75" i="9"/>
  <c r="EG76" i="9"/>
  <c r="IU76" i="9"/>
  <c r="EG77" i="9"/>
  <c r="IU77" i="9"/>
  <c r="EG78" i="9"/>
  <c r="IU78" i="9"/>
  <c r="EG79" i="9"/>
  <c r="IU79" i="9"/>
  <c r="EG80" i="9"/>
  <c r="IU80" i="9"/>
  <c r="EG81" i="9"/>
  <c r="IU81" i="9"/>
  <c r="EG82" i="9"/>
  <c r="IU82" i="9"/>
  <c r="EG83" i="9"/>
  <c r="IU83" i="9"/>
  <c r="EG84" i="9"/>
  <c r="IU84" i="9"/>
  <c r="EG85" i="9"/>
  <c r="IU85" i="9"/>
  <c r="EG86" i="9"/>
  <c r="IU86" i="9"/>
  <c r="EG87" i="9"/>
  <c r="IU87" i="9"/>
  <c r="EG88" i="9"/>
  <c r="IU88" i="9"/>
  <c r="EG89" i="9"/>
  <c r="IU89" i="9"/>
  <c r="EG90" i="9"/>
  <c r="IU90" i="9"/>
  <c r="EG91" i="9"/>
  <c r="IU91" i="9"/>
  <c r="EG92" i="9"/>
  <c r="IU92" i="9"/>
  <c r="EG93" i="9"/>
  <c r="IU93" i="9"/>
  <c r="EG94" i="9"/>
  <c r="IU94" i="9"/>
  <c r="EG95" i="9"/>
  <c r="IU95" i="9"/>
  <c r="EG96" i="9"/>
  <c r="IU96" i="9"/>
  <c r="EG97" i="9"/>
  <c r="IU97" i="9"/>
  <c r="EG98" i="9"/>
  <c r="IU98" i="9"/>
  <c r="EG99" i="9"/>
  <c r="IU99" i="9"/>
  <c r="EG100" i="9"/>
  <c r="IU100" i="9"/>
  <c r="EG101" i="9"/>
  <c r="IU101" i="9"/>
  <c r="EG102" i="9"/>
  <c r="IU102" i="9"/>
  <c r="EG103" i="9"/>
  <c r="IU103" i="9"/>
  <c r="EG104" i="9"/>
  <c r="IU104" i="9"/>
  <c r="EG105" i="9"/>
  <c r="IU105" i="9"/>
  <c r="EG106" i="9"/>
  <c r="IU106" i="9"/>
  <c r="EG107" i="9"/>
  <c r="IU107" i="9"/>
  <c r="EG108" i="9"/>
  <c r="IU108" i="9"/>
  <c r="IS43" i="9"/>
  <c r="IS44" i="9"/>
  <c r="IS45" i="9"/>
  <c r="IS46" i="9"/>
  <c r="IS47" i="9"/>
  <c r="IS48" i="9"/>
  <c r="IS49" i="9"/>
  <c r="IS50" i="9"/>
  <c r="IS51" i="9"/>
  <c r="IS52" i="9"/>
  <c r="IS53" i="9"/>
  <c r="IS54" i="9"/>
  <c r="IS55" i="9"/>
  <c r="IS56" i="9"/>
  <c r="IS57" i="9"/>
  <c r="IS58" i="9"/>
  <c r="GW42" i="9"/>
  <c r="GH42" i="9"/>
  <c r="GW43" i="9"/>
  <c r="GH43" i="9"/>
  <c r="GW44" i="9"/>
  <c r="GH44" i="9"/>
  <c r="GW45" i="9"/>
  <c r="GH45" i="9"/>
  <c r="GW46" i="9"/>
  <c r="GH46" i="9"/>
  <c r="GW47" i="9"/>
  <c r="GH47" i="9"/>
  <c r="GW48" i="9"/>
  <c r="GH48" i="9"/>
  <c r="GW49" i="9"/>
  <c r="GH49" i="9"/>
  <c r="GW50" i="9"/>
  <c r="GH50" i="9"/>
  <c r="GW51" i="9"/>
  <c r="GH51" i="9"/>
  <c r="GW52" i="9"/>
  <c r="GH52" i="9"/>
  <c r="GW53" i="9"/>
  <c r="GH53" i="9"/>
  <c r="GW54" i="9"/>
  <c r="GH54" i="9"/>
  <c r="GW55" i="9"/>
  <c r="GH55" i="9"/>
  <c r="GW56" i="9"/>
  <c r="GH56" i="9"/>
  <c r="GW57" i="9"/>
  <c r="GH57" i="9"/>
  <c r="GW58" i="9"/>
  <c r="GW59" i="9"/>
  <c r="GW60" i="9"/>
  <c r="GW61" i="9"/>
  <c r="GW62" i="9"/>
  <c r="GW63" i="9"/>
  <c r="GW64" i="9"/>
  <c r="GW65" i="9"/>
  <c r="GW66" i="9"/>
  <c r="GW67" i="9"/>
  <c r="GW68" i="9"/>
  <c r="GW69" i="9"/>
  <c r="GW70" i="9"/>
  <c r="GW71" i="9"/>
  <c r="GW72" i="9"/>
  <c r="GW73" i="9"/>
  <c r="DF71" i="83"/>
  <c r="OA59" i="9"/>
  <c r="OA60" i="9"/>
  <c r="OA61" i="9"/>
  <c r="OA62" i="9"/>
  <c r="OA63" i="9"/>
  <c r="OA64" i="9"/>
  <c r="OA65" i="9"/>
  <c r="OA66" i="9"/>
  <c r="OA67" i="9"/>
  <c r="OA68" i="9"/>
  <c r="OA69" i="9"/>
  <c r="OA70" i="9"/>
  <c r="OA71" i="9"/>
  <c r="OA72" i="9"/>
  <c r="OA73" i="9"/>
  <c r="FO74" i="83" a="1"/>
  <c r="FO74" i="83"/>
  <c r="GR74" i="83"/>
  <c r="OA74" i="9"/>
  <c r="FO75" i="83"/>
  <c r="GR75" i="83"/>
  <c r="OA75" i="9"/>
  <c r="FO76" i="83"/>
  <c r="GR76" i="83"/>
  <c r="OA76" i="9"/>
  <c r="FO77" i="83"/>
  <c r="GR77" i="83"/>
  <c r="OA77" i="9"/>
  <c r="FO78" i="83"/>
  <c r="GR78" i="83"/>
  <c r="OA78" i="9"/>
  <c r="FO79" i="83"/>
  <c r="GR79" i="83"/>
  <c r="OA79" i="9"/>
  <c r="FO80" i="83"/>
  <c r="GR80" i="83"/>
  <c r="OA80" i="9"/>
  <c r="FO81" i="83"/>
  <c r="GR81" i="83"/>
  <c r="OA81" i="9"/>
  <c r="FO82" i="83"/>
  <c r="GR82" i="83"/>
  <c r="OA82" i="9"/>
  <c r="FO83" i="83"/>
  <c r="GR83" i="83"/>
  <c r="OA83" i="9"/>
  <c r="FO84" i="83"/>
  <c r="GR84" i="83"/>
  <c r="OA84" i="9"/>
  <c r="FO85" i="83"/>
  <c r="GR85" i="83"/>
  <c r="OA85" i="9"/>
  <c r="FO86" i="83"/>
  <c r="GR86" i="83"/>
  <c r="OA86" i="9"/>
  <c r="FO87" i="83"/>
  <c r="GR87" i="83"/>
  <c r="OA87" i="9"/>
  <c r="FO88" i="83"/>
  <c r="GR88" i="83"/>
  <c r="OA88" i="9"/>
  <c r="FO89" i="83"/>
  <c r="GR89" i="83"/>
  <c r="OA89" i="9"/>
  <c r="FO90" i="83"/>
  <c r="GR90" i="83"/>
  <c r="OA90" i="9"/>
  <c r="FO91" i="83"/>
  <c r="GR91" i="83"/>
  <c r="OA91" i="9"/>
  <c r="FO92" i="83"/>
  <c r="GR92" i="83"/>
  <c r="OA92" i="9"/>
  <c r="FO93" i="83"/>
  <c r="GR93" i="83"/>
  <c r="OA93" i="9"/>
  <c r="FO94" i="83"/>
  <c r="GR94" i="83"/>
  <c r="OA94" i="9"/>
  <c r="FO95" i="83"/>
  <c r="GR95" i="83"/>
  <c r="OA95" i="9"/>
  <c r="FO96" i="83"/>
  <c r="GR96" i="83"/>
  <c r="OA96" i="9"/>
  <c r="FO97" i="83"/>
  <c r="GR97" i="83"/>
  <c r="OA97" i="9"/>
  <c r="FO98" i="83"/>
  <c r="GR98" i="83"/>
  <c r="OA98" i="9"/>
  <c r="FO99" i="83"/>
  <c r="GR99" i="83"/>
  <c r="OA99" i="9"/>
  <c r="FO100" i="83"/>
  <c r="GR100" i="83"/>
  <c r="OA100" i="9"/>
  <c r="FO101" i="83"/>
  <c r="GR101" i="83"/>
  <c r="OA101" i="9"/>
  <c r="FO102" i="83"/>
  <c r="GR102" i="83"/>
  <c r="OA102" i="9"/>
  <c r="FO103" i="83"/>
  <c r="GR103" i="83"/>
  <c r="OA103" i="9"/>
  <c r="FO104" i="83"/>
  <c r="GR104" i="83"/>
  <c r="OA104" i="9"/>
  <c r="FO105" i="83"/>
  <c r="GR105" i="83"/>
  <c r="OA105" i="9"/>
  <c r="FO106" i="83"/>
  <c r="GR106" i="83"/>
  <c r="OA106" i="9"/>
  <c r="FO107" i="83"/>
  <c r="GR107" i="83"/>
  <c r="OA107" i="9"/>
  <c r="FO108" i="83"/>
  <c r="GR108" i="83"/>
  <c r="OA108" i="9"/>
  <c r="OA58" i="9"/>
  <c r="M11" i="115"/>
  <c r="NX59" i="9"/>
  <c r="M12" i="115"/>
  <c r="NX60" i="9"/>
  <c r="M13" i="115"/>
  <c r="NX61" i="9"/>
  <c r="M14" i="115"/>
  <c r="NX62" i="9"/>
  <c r="M15" i="115"/>
  <c r="NX63" i="9"/>
  <c r="M16" i="115"/>
  <c r="NX64" i="9"/>
  <c r="M17" i="115"/>
  <c r="NX65" i="9"/>
  <c r="M18" i="115"/>
  <c r="NX66" i="9"/>
  <c r="M19" i="115"/>
  <c r="NX67" i="9"/>
  <c r="M20" i="115"/>
  <c r="NX68" i="9"/>
  <c r="M21" i="115"/>
  <c r="NX69" i="9"/>
  <c r="M22" i="115"/>
  <c r="NX70" i="9"/>
  <c r="M23" i="115"/>
  <c r="NX71" i="9"/>
  <c r="M24" i="115"/>
  <c r="NX72" i="9"/>
  <c r="M25" i="115"/>
  <c r="NX73" i="9"/>
  <c r="M26" i="115"/>
  <c r="NX74" i="9"/>
  <c r="M27" i="115"/>
  <c r="NX75" i="9"/>
  <c r="M28" i="115"/>
  <c r="NX76" i="9"/>
  <c r="M29" i="115"/>
  <c r="NX77" i="9"/>
  <c r="M30" i="115"/>
  <c r="NX78" i="9"/>
  <c r="M31" i="115"/>
  <c r="NX79" i="9"/>
  <c r="M32" i="115"/>
  <c r="NX80" i="9"/>
  <c r="M33" i="115"/>
  <c r="NX81" i="9"/>
  <c r="M34" i="115"/>
  <c r="NX82" i="9"/>
  <c r="M35" i="115"/>
  <c r="NX83" i="9"/>
  <c r="M36" i="115"/>
  <c r="NX84" i="9"/>
  <c r="M37" i="115"/>
  <c r="NX85" i="9"/>
  <c r="M38" i="115"/>
  <c r="NX86" i="9"/>
  <c r="M39" i="115"/>
  <c r="NX87" i="9"/>
  <c r="M40" i="115"/>
  <c r="NX88" i="9"/>
  <c r="M41" i="115"/>
  <c r="NX89" i="9"/>
  <c r="M42" i="115"/>
  <c r="NX90" i="9"/>
  <c r="M43" i="115"/>
  <c r="NX91" i="9"/>
  <c r="M44" i="115"/>
  <c r="NX92" i="9"/>
  <c r="M45" i="115"/>
  <c r="NX93" i="9"/>
  <c r="M46" i="115"/>
  <c r="NX94" i="9"/>
  <c r="M47" i="115"/>
  <c r="NX95" i="9"/>
  <c r="M48" i="115"/>
  <c r="NX96" i="9"/>
  <c r="M49" i="115"/>
  <c r="NX97" i="9"/>
  <c r="M50" i="115"/>
  <c r="NX98" i="9"/>
  <c r="M51" i="115"/>
  <c r="NX99" i="9"/>
  <c r="M52" i="115"/>
  <c r="NX100" i="9"/>
  <c r="M53" i="115"/>
  <c r="NX101" i="9"/>
  <c r="M54" i="115"/>
  <c r="NX102" i="9"/>
  <c r="M55" i="115"/>
  <c r="NX103" i="9"/>
  <c r="M56" i="115"/>
  <c r="NX104" i="9"/>
  <c r="M57" i="115"/>
  <c r="NX105" i="9"/>
  <c r="M58" i="115"/>
  <c r="NX106" i="9"/>
  <c r="NX107" i="9"/>
  <c r="NX108" i="9"/>
  <c r="M10" i="115"/>
  <c r="NX58" i="9"/>
  <c r="NU59" i="9"/>
  <c r="NU60" i="9"/>
  <c r="NU61" i="9"/>
  <c r="NU62" i="9"/>
  <c r="NU63" i="9"/>
  <c r="NU64" i="9"/>
  <c r="NU65" i="9"/>
  <c r="NU66" i="9"/>
  <c r="NU67" i="9"/>
  <c r="NU68" i="9"/>
  <c r="NU69" i="9"/>
  <c r="NU70" i="9"/>
  <c r="NU71" i="9"/>
  <c r="NU72" i="9"/>
  <c r="NU73" i="9"/>
  <c r="NU74" i="9"/>
  <c r="NU75" i="9"/>
  <c r="NU76" i="9"/>
  <c r="NU77" i="9"/>
  <c r="NU78" i="9"/>
  <c r="NU79" i="9"/>
  <c r="NU80" i="9"/>
  <c r="NU81" i="9"/>
  <c r="NU82" i="9"/>
  <c r="NU83" i="9"/>
  <c r="NU84" i="9"/>
  <c r="NU85" i="9"/>
  <c r="NU86" i="9"/>
  <c r="NU87" i="9"/>
  <c r="NU88" i="9"/>
  <c r="NU89" i="9"/>
  <c r="NU90" i="9"/>
  <c r="NU91" i="9"/>
  <c r="NU92" i="9"/>
  <c r="NU93" i="9"/>
  <c r="NU94" i="9"/>
  <c r="NU95" i="9"/>
  <c r="NU96" i="9"/>
  <c r="NU97" i="9"/>
  <c r="NU98" i="9"/>
  <c r="NU99" i="9"/>
  <c r="NU100" i="9"/>
  <c r="NU101" i="9"/>
  <c r="NU102" i="9"/>
  <c r="NU103" i="9"/>
  <c r="NU104" i="9"/>
  <c r="NU105" i="9"/>
  <c r="NU106" i="9"/>
  <c r="NU107" i="9"/>
  <c r="NU108" i="9"/>
  <c r="NU58" i="9"/>
  <c r="GY74" i="83" a="1"/>
  <c r="GY74" i="83"/>
  <c r="NY74" i="9"/>
  <c r="CU74" i="83" a="1"/>
  <c r="CU74" i="83"/>
  <c r="GY75" i="83"/>
  <c r="NY75" i="9"/>
  <c r="CU75" i="83"/>
  <c r="GY76" i="83"/>
  <c r="NY76" i="9"/>
  <c r="CU76" i="83"/>
  <c r="GY77" i="83"/>
  <c r="NY77" i="9"/>
  <c r="CU77" i="83"/>
  <c r="GY78" i="83"/>
  <c r="NY78" i="9"/>
  <c r="CU78" i="83"/>
  <c r="GY79" i="83"/>
  <c r="NY79" i="9"/>
  <c r="CU79" i="83"/>
  <c r="GY80" i="83"/>
  <c r="NY80" i="9"/>
  <c r="CU80" i="83"/>
  <c r="GY81" i="83"/>
  <c r="NY81" i="9"/>
  <c r="CU81" i="83"/>
  <c r="GY82" i="83"/>
  <c r="NY82" i="9"/>
  <c r="CU82" i="83"/>
  <c r="GY83" i="83"/>
  <c r="NY83" i="9"/>
  <c r="CU83" i="83"/>
  <c r="GY84" i="83"/>
  <c r="NY84" i="9"/>
  <c r="CU84" i="83"/>
  <c r="GY85" i="83"/>
  <c r="NY85" i="9"/>
  <c r="CU85" i="83"/>
  <c r="GY86" i="83"/>
  <c r="NY86" i="9"/>
  <c r="CU86" i="83"/>
  <c r="GY87" i="83"/>
  <c r="NY87" i="9"/>
  <c r="CU87" i="83"/>
  <c r="GY88" i="83"/>
  <c r="NY88" i="9"/>
  <c r="CU88" i="83"/>
  <c r="GY89" i="83"/>
  <c r="NY89" i="9"/>
  <c r="CU89" i="83"/>
  <c r="GY90" i="83"/>
  <c r="NY90" i="9"/>
  <c r="CU90" i="83"/>
  <c r="GY91" i="83"/>
  <c r="NY91" i="9"/>
  <c r="CU91" i="83"/>
  <c r="GY92" i="83"/>
  <c r="NY92" i="9"/>
  <c r="CU92" i="83"/>
  <c r="GY93" i="83"/>
  <c r="NY93" i="9"/>
  <c r="CU93" i="83"/>
  <c r="GY94" i="83"/>
  <c r="NY94" i="9"/>
  <c r="CU94" i="83"/>
  <c r="GY95" i="83"/>
  <c r="NY95" i="9"/>
  <c r="CU95" i="83"/>
  <c r="GY96" i="83"/>
  <c r="NY96" i="9"/>
  <c r="CU96" i="83"/>
  <c r="GY97" i="83"/>
  <c r="NY97" i="9"/>
  <c r="CU97" i="83"/>
  <c r="GY98" i="83"/>
  <c r="NY98" i="9"/>
  <c r="CU98" i="83"/>
  <c r="GY99" i="83"/>
  <c r="NY99" i="9"/>
  <c r="CU99" i="83"/>
  <c r="GY100" i="83"/>
  <c r="NY100" i="9"/>
  <c r="CU100" i="83"/>
  <c r="GY101" i="83"/>
  <c r="NY101" i="9"/>
  <c r="CU101" i="83"/>
  <c r="GY102" i="83"/>
  <c r="NY102" i="9"/>
  <c r="CU102" i="83"/>
  <c r="GY103" i="83"/>
  <c r="NY103" i="9"/>
  <c r="CU103" i="83"/>
  <c r="GY104" i="83"/>
  <c r="NY104" i="9"/>
  <c r="CU104" i="83"/>
  <c r="GY105" i="83"/>
  <c r="NY105" i="9"/>
  <c r="CU105" i="83"/>
  <c r="GY106" i="83"/>
  <c r="NY106" i="9"/>
  <c r="CU106" i="83"/>
  <c r="GY107" i="83"/>
  <c r="NY107" i="9"/>
  <c r="CU107" i="83"/>
  <c r="GY108" i="83"/>
  <c r="NY108" i="9"/>
  <c r="CU108" i="83"/>
  <c r="NY70" i="9"/>
  <c r="NY71" i="9"/>
  <c r="NY72" i="9"/>
  <c r="NY73" i="9"/>
  <c r="NY69" i="9"/>
  <c r="H45" i="119"/>
  <c r="NY58" i="9"/>
  <c r="NY59" i="9"/>
  <c r="NY60" i="9"/>
  <c r="NY61" i="9"/>
  <c r="NY62" i="9"/>
  <c r="NY63" i="9"/>
  <c r="NY64" i="9"/>
  <c r="NY65" i="9"/>
  <c r="NY66" i="9"/>
  <c r="NY67" i="9"/>
  <c r="NY68" i="9"/>
  <c r="I45" i="119"/>
  <c r="J45" i="119"/>
  <c r="EM74" i="9" a="1"/>
  <c r="EM75" i="9"/>
  <c r="EL74" i="9" a="1"/>
  <c r="EL75" i="9"/>
  <c r="EK74" i="9" a="1"/>
  <c r="EK75" i="9"/>
  <c r="EJ74" i="9" a="1"/>
  <c r="EJ75" i="9"/>
  <c r="EI74" i="9" a="1"/>
  <c r="EI75" i="9"/>
  <c r="EH74" i="9" a="1"/>
  <c r="EH75" i="9"/>
  <c r="EN75" i="9"/>
  <c r="EM76" i="9"/>
  <c r="EL76" i="9"/>
  <c r="EK76" i="9"/>
  <c r="EJ76" i="9"/>
  <c r="EI76" i="9"/>
  <c r="EH76" i="9"/>
  <c r="EN76" i="9"/>
  <c r="EM77" i="9"/>
  <c r="EL77" i="9"/>
  <c r="EK77" i="9"/>
  <c r="EJ77" i="9"/>
  <c r="EI77" i="9"/>
  <c r="EH77" i="9"/>
  <c r="EN77" i="9"/>
  <c r="EM78" i="9"/>
  <c r="EL78" i="9"/>
  <c r="EK78" i="9"/>
  <c r="EJ78" i="9"/>
  <c r="EI78" i="9"/>
  <c r="EH78" i="9"/>
  <c r="EN78" i="9"/>
  <c r="EM79" i="9"/>
  <c r="EL79" i="9"/>
  <c r="EK79" i="9"/>
  <c r="EJ79" i="9"/>
  <c r="EI79" i="9"/>
  <c r="EH79" i="9"/>
  <c r="EN79" i="9"/>
  <c r="EM80" i="9"/>
  <c r="EL80" i="9"/>
  <c r="EK80" i="9"/>
  <c r="EJ80" i="9"/>
  <c r="EI80" i="9"/>
  <c r="EH80" i="9"/>
  <c r="EN80" i="9"/>
  <c r="EM81" i="9"/>
  <c r="EL81" i="9"/>
  <c r="EK81" i="9"/>
  <c r="EJ81" i="9"/>
  <c r="EI81" i="9"/>
  <c r="EH81" i="9"/>
  <c r="EN81" i="9"/>
  <c r="EM82" i="9"/>
  <c r="EL82" i="9"/>
  <c r="EK82" i="9"/>
  <c r="EJ82" i="9"/>
  <c r="EI82" i="9"/>
  <c r="EH82" i="9"/>
  <c r="EN82" i="9"/>
  <c r="EM83" i="9"/>
  <c r="EL83" i="9"/>
  <c r="EK83" i="9"/>
  <c r="EJ83" i="9"/>
  <c r="EI83" i="9"/>
  <c r="EH83" i="9"/>
  <c r="EN83" i="9"/>
  <c r="EM84" i="9"/>
  <c r="EL84" i="9"/>
  <c r="EK84" i="9"/>
  <c r="EJ84" i="9"/>
  <c r="EI84" i="9"/>
  <c r="EH84" i="9"/>
  <c r="EN84" i="9"/>
  <c r="EM85" i="9"/>
  <c r="EL85" i="9"/>
  <c r="EK85" i="9"/>
  <c r="EJ85" i="9"/>
  <c r="EI85" i="9"/>
  <c r="EH85" i="9"/>
  <c r="EN85" i="9"/>
  <c r="EM86" i="9"/>
  <c r="EL86" i="9"/>
  <c r="EK86" i="9"/>
  <c r="EJ86" i="9"/>
  <c r="EI86" i="9"/>
  <c r="EH86" i="9"/>
  <c r="EN86" i="9"/>
  <c r="EM87" i="9"/>
  <c r="EL87" i="9"/>
  <c r="EK87" i="9"/>
  <c r="EJ87" i="9"/>
  <c r="EI87" i="9"/>
  <c r="EH87" i="9"/>
  <c r="EN87" i="9"/>
  <c r="EM88" i="9"/>
  <c r="EL88" i="9"/>
  <c r="EK88" i="9"/>
  <c r="EJ88" i="9"/>
  <c r="EI88" i="9"/>
  <c r="EH88" i="9"/>
  <c r="EN88" i="9"/>
  <c r="EM89" i="9"/>
  <c r="EL89" i="9"/>
  <c r="EK89" i="9"/>
  <c r="EJ89" i="9"/>
  <c r="EI89" i="9"/>
  <c r="EH89" i="9"/>
  <c r="EN89" i="9"/>
  <c r="EM90" i="9"/>
  <c r="EL90" i="9"/>
  <c r="EK90" i="9"/>
  <c r="EJ90" i="9"/>
  <c r="EI90" i="9"/>
  <c r="EH90" i="9"/>
  <c r="EN90" i="9"/>
  <c r="EM91" i="9"/>
  <c r="EL91" i="9"/>
  <c r="EK91" i="9"/>
  <c r="EJ91" i="9"/>
  <c r="EI91" i="9"/>
  <c r="EH91" i="9"/>
  <c r="EN91" i="9"/>
  <c r="EM92" i="9"/>
  <c r="EL92" i="9"/>
  <c r="EK92" i="9"/>
  <c r="EJ92" i="9"/>
  <c r="EI92" i="9"/>
  <c r="EH92" i="9"/>
  <c r="EN92" i="9"/>
  <c r="EM93" i="9"/>
  <c r="EL93" i="9"/>
  <c r="EK93" i="9"/>
  <c r="EJ93" i="9"/>
  <c r="EI93" i="9"/>
  <c r="EH93" i="9"/>
  <c r="EN93" i="9"/>
  <c r="EM94" i="9"/>
  <c r="EL94" i="9"/>
  <c r="EK94" i="9"/>
  <c r="EJ94" i="9"/>
  <c r="EI94" i="9"/>
  <c r="EH94" i="9"/>
  <c r="EN94" i="9"/>
  <c r="EM95" i="9"/>
  <c r="EL95" i="9"/>
  <c r="EK95" i="9"/>
  <c r="EJ95" i="9"/>
  <c r="EI95" i="9"/>
  <c r="EH95" i="9"/>
  <c r="EN95" i="9"/>
  <c r="EM96" i="9"/>
  <c r="EL96" i="9"/>
  <c r="EK96" i="9"/>
  <c r="EJ96" i="9"/>
  <c r="EI96" i="9"/>
  <c r="EH96" i="9"/>
  <c r="EN96" i="9"/>
  <c r="EM97" i="9"/>
  <c r="EL97" i="9"/>
  <c r="EK97" i="9"/>
  <c r="EJ97" i="9"/>
  <c r="EI97" i="9"/>
  <c r="EH97" i="9"/>
  <c r="EN97" i="9"/>
  <c r="EM98" i="9"/>
  <c r="EL98" i="9"/>
  <c r="EK98" i="9"/>
  <c r="EJ98" i="9"/>
  <c r="EI98" i="9"/>
  <c r="EH98" i="9"/>
  <c r="EN98" i="9"/>
  <c r="EM99" i="9"/>
  <c r="EL99" i="9"/>
  <c r="EK99" i="9"/>
  <c r="EJ99" i="9"/>
  <c r="EI99" i="9"/>
  <c r="EH99" i="9"/>
  <c r="EN99" i="9"/>
  <c r="EM100" i="9"/>
  <c r="EL100" i="9"/>
  <c r="EK100" i="9"/>
  <c r="EJ100" i="9"/>
  <c r="EI100" i="9"/>
  <c r="EH100" i="9"/>
  <c r="EN100" i="9"/>
  <c r="EM101" i="9"/>
  <c r="EL101" i="9"/>
  <c r="EK101" i="9"/>
  <c r="EJ101" i="9"/>
  <c r="EI101" i="9"/>
  <c r="EH101" i="9"/>
  <c r="EN101" i="9"/>
  <c r="EM102" i="9"/>
  <c r="EL102" i="9"/>
  <c r="EK102" i="9"/>
  <c r="EJ102" i="9"/>
  <c r="EI102" i="9"/>
  <c r="EH102" i="9"/>
  <c r="EN102" i="9"/>
  <c r="EM103" i="9"/>
  <c r="EL103" i="9"/>
  <c r="EK103" i="9"/>
  <c r="EJ103" i="9"/>
  <c r="EI103" i="9"/>
  <c r="EH103" i="9"/>
  <c r="EN103" i="9"/>
  <c r="EM104" i="9"/>
  <c r="EL104" i="9"/>
  <c r="EK104" i="9"/>
  <c r="EJ104" i="9"/>
  <c r="EI104" i="9"/>
  <c r="EH104" i="9"/>
  <c r="EN104" i="9"/>
  <c r="EM105" i="9"/>
  <c r="EL105" i="9"/>
  <c r="EK105" i="9"/>
  <c r="EJ105" i="9"/>
  <c r="EI105" i="9"/>
  <c r="EH105" i="9"/>
  <c r="EN105" i="9"/>
  <c r="EM106" i="9"/>
  <c r="EL106" i="9"/>
  <c r="EK106" i="9"/>
  <c r="EJ106" i="9"/>
  <c r="EI106" i="9"/>
  <c r="EH106" i="9"/>
  <c r="EN106" i="9"/>
  <c r="AI82" i="23"/>
  <c r="EM107" i="9"/>
  <c r="EL107" i="9"/>
  <c r="EK107" i="9"/>
  <c r="EJ107" i="9"/>
  <c r="EI107" i="9"/>
  <c r="EH107" i="9"/>
  <c r="EN107" i="9"/>
  <c r="EM108" i="9"/>
  <c r="EL108" i="9"/>
  <c r="EK108" i="9"/>
  <c r="EJ108" i="9"/>
  <c r="EI108" i="9"/>
  <c r="EH108" i="9"/>
  <c r="EN108" i="9"/>
  <c r="EM74" i="9"/>
  <c r="EL74" i="9"/>
  <c r="EK74" i="9"/>
  <c r="EJ74" i="9"/>
  <c r="EI74" i="9"/>
  <c r="EH74" i="9"/>
  <c r="EN74" i="9"/>
  <c r="CI74" i="9" a="1"/>
  <c r="CI74" i="9"/>
  <c r="CK74" i="9"/>
  <c r="CI75" i="9"/>
  <c r="CK75" i="9"/>
  <c r="CI76" i="9"/>
  <c r="CK76" i="9"/>
  <c r="CI77" i="9"/>
  <c r="CK77" i="9"/>
  <c r="CI78" i="9"/>
  <c r="CK78" i="9"/>
  <c r="CI79" i="9"/>
  <c r="CK79" i="9"/>
  <c r="CI80" i="9"/>
  <c r="CK80" i="9"/>
  <c r="CI81" i="9"/>
  <c r="CK81" i="9"/>
  <c r="CI82" i="9"/>
  <c r="CK82" i="9"/>
  <c r="CI83" i="9"/>
  <c r="CK83" i="9"/>
  <c r="CI84" i="9"/>
  <c r="CK84" i="9"/>
  <c r="CI85" i="9"/>
  <c r="CK85" i="9"/>
  <c r="CI86" i="9"/>
  <c r="CK86" i="9"/>
  <c r="CI87" i="9"/>
  <c r="CK87" i="9"/>
  <c r="CI88" i="9"/>
  <c r="CK88" i="9"/>
  <c r="CI89" i="9"/>
  <c r="CK89" i="9"/>
  <c r="CI90" i="9"/>
  <c r="CK90" i="9"/>
  <c r="CF91" i="9" a="1"/>
  <c r="CF91" i="9"/>
  <c r="CK91" i="9"/>
  <c r="CF92" i="9"/>
  <c r="CK92" i="9"/>
  <c r="CF93" i="9"/>
  <c r="CK93" i="9"/>
  <c r="CF94" i="9"/>
  <c r="CK94" i="9"/>
  <c r="CF95" i="9"/>
  <c r="CK95" i="9"/>
  <c r="CF96" i="9"/>
  <c r="CK96" i="9"/>
  <c r="CF97" i="9"/>
  <c r="CK97" i="9"/>
  <c r="CF98" i="9"/>
  <c r="CK98" i="9"/>
  <c r="CF99" i="9"/>
  <c r="CK99" i="9"/>
  <c r="CF100" i="9"/>
  <c r="CK100" i="9"/>
  <c r="CF101" i="9"/>
  <c r="CK101" i="9"/>
  <c r="CF102" i="9"/>
  <c r="CK102" i="9"/>
  <c r="CF103" i="9"/>
  <c r="CK103" i="9"/>
  <c r="CF104" i="9"/>
  <c r="CK104" i="9"/>
  <c r="CF105" i="9"/>
  <c r="CK105" i="9"/>
  <c r="CF106" i="9"/>
  <c r="CK106" i="9"/>
  <c r="CF107" i="9"/>
  <c r="CK107" i="9"/>
  <c r="CF108" i="9"/>
  <c r="CK108" i="9"/>
  <c r="CM74" i="9" a="1"/>
  <c r="CM75" i="9"/>
  <c r="CM76" i="9"/>
  <c r="CM77" i="9"/>
  <c r="CM78" i="9"/>
  <c r="CM79" i="9"/>
  <c r="CM80" i="9"/>
  <c r="CM81" i="9"/>
  <c r="CM82" i="9"/>
  <c r="CM83" i="9"/>
  <c r="CM84" i="9"/>
  <c r="CM85" i="9"/>
  <c r="CM86" i="9"/>
  <c r="CM87" i="9"/>
  <c r="CM88" i="9"/>
  <c r="CM89" i="9"/>
  <c r="CM90" i="9"/>
  <c r="CM91" i="9"/>
  <c r="CM92" i="9"/>
  <c r="CM93" i="9"/>
  <c r="CM94" i="9"/>
  <c r="CM95" i="9"/>
  <c r="CM96" i="9"/>
  <c r="CM97" i="9"/>
  <c r="CM98" i="9"/>
  <c r="CM99" i="9"/>
  <c r="CM100" i="9"/>
  <c r="CM101" i="9"/>
  <c r="CM102" i="9"/>
  <c r="CM103" i="9"/>
  <c r="CM104" i="9"/>
  <c r="CM105" i="9"/>
  <c r="CM106" i="9"/>
  <c r="CM107" i="9"/>
  <c r="CM108" i="9"/>
  <c r="CM74" i="9"/>
  <c r="ND59" i="9"/>
  <c r="ND60" i="9"/>
  <c r="ND61" i="9"/>
  <c r="ND62" i="9"/>
  <c r="ND63" i="9"/>
  <c r="ND64" i="9"/>
  <c r="ND65" i="9"/>
  <c r="ND66" i="9"/>
  <c r="ND67" i="9"/>
  <c r="ND68" i="9"/>
  <c r="ND69" i="9"/>
  <c r="ND70" i="9"/>
  <c r="ND71" i="9"/>
  <c r="ND72" i="9"/>
  <c r="ND73" i="9"/>
  <c r="NA68" i="9" a="1"/>
  <c r="NA74" i="9"/>
  <c r="NB68" i="9" a="1"/>
  <c r="NB74" i="9"/>
  <c r="NI68" i="9" a="1"/>
  <c r="NI74" i="9"/>
  <c r="MY74" i="9"/>
  <c r="NC74" i="9"/>
  <c r="C74" i="9"/>
  <c r="ND74" i="9"/>
  <c r="NA75" i="9"/>
  <c r="NB75" i="9"/>
  <c r="NI75" i="9"/>
  <c r="MY75" i="9"/>
  <c r="NC75" i="9"/>
  <c r="C75" i="9"/>
  <c r="ND75" i="9"/>
  <c r="NA76" i="9"/>
  <c r="NB76" i="9"/>
  <c r="NI76" i="9"/>
  <c r="MY76" i="9"/>
  <c r="NC76" i="9"/>
  <c r="C76" i="9"/>
  <c r="ND76" i="9"/>
  <c r="NA77" i="9"/>
  <c r="NB77" i="9"/>
  <c r="NI77" i="9"/>
  <c r="MY77" i="9"/>
  <c r="NC77" i="9"/>
  <c r="C77" i="9"/>
  <c r="ND77" i="9"/>
  <c r="NA78" i="9"/>
  <c r="NB78" i="9"/>
  <c r="NI78" i="9"/>
  <c r="MY78" i="9"/>
  <c r="NC78" i="9"/>
  <c r="C78" i="9"/>
  <c r="ND78" i="9"/>
  <c r="NA79" i="9"/>
  <c r="NB79" i="9"/>
  <c r="NI79" i="9"/>
  <c r="MY79" i="9"/>
  <c r="NC79" i="9"/>
  <c r="C79" i="9"/>
  <c r="ND79" i="9"/>
  <c r="NA80" i="9"/>
  <c r="NB80" i="9"/>
  <c r="NI80" i="9"/>
  <c r="MY80" i="9"/>
  <c r="NC80" i="9"/>
  <c r="C80" i="9"/>
  <c r="ND80" i="9"/>
  <c r="NA81" i="9"/>
  <c r="NB81" i="9"/>
  <c r="NI81" i="9"/>
  <c r="MY81" i="9"/>
  <c r="NC81" i="9"/>
  <c r="C81" i="9"/>
  <c r="ND81" i="9"/>
  <c r="NA82" i="9"/>
  <c r="NB82" i="9"/>
  <c r="NI82" i="9"/>
  <c r="MY82" i="9"/>
  <c r="NC82" i="9"/>
  <c r="C82" i="9"/>
  <c r="ND82" i="9"/>
  <c r="NA83" i="9"/>
  <c r="NB83" i="9"/>
  <c r="NI83" i="9"/>
  <c r="MY83" i="9"/>
  <c r="NC83" i="9"/>
  <c r="C83" i="9"/>
  <c r="ND83" i="9"/>
  <c r="NA84" i="9"/>
  <c r="NB84" i="9"/>
  <c r="NI84" i="9"/>
  <c r="MY84" i="9"/>
  <c r="NC84" i="9"/>
  <c r="C84" i="9"/>
  <c r="ND84" i="9"/>
  <c r="NA85" i="9"/>
  <c r="NB85" i="9"/>
  <c r="NI85" i="9"/>
  <c r="MY85" i="9"/>
  <c r="NC85" i="9"/>
  <c r="C85" i="9"/>
  <c r="ND85" i="9"/>
  <c r="NA86" i="9"/>
  <c r="NB86" i="9"/>
  <c r="NI86" i="9"/>
  <c r="MY86" i="9"/>
  <c r="NC86" i="9"/>
  <c r="C86" i="9"/>
  <c r="ND86" i="9"/>
  <c r="NA87" i="9"/>
  <c r="NB87" i="9"/>
  <c r="NI87" i="9"/>
  <c r="MY87" i="9"/>
  <c r="NC87" i="9"/>
  <c r="C87" i="9"/>
  <c r="ND87" i="9"/>
  <c r="NA88" i="9"/>
  <c r="NB88" i="9"/>
  <c r="NI88" i="9"/>
  <c r="MY88" i="9"/>
  <c r="NC88" i="9"/>
  <c r="C88" i="9"/>
  <c r="ND88" i="9"/>
  <c r="NA89" i="9"/>
  <c r="NB89" i="9"/>
  <c r="NI89" i="9"/>
  <c r="MY89" i="9"/>
  <c r="NC89" i="9"/>
  <c r="C89" i="9"/>
  <c r="ND89" i="9"/>
  <c r="NA90" i="9"/>
  <c r="NB90" i="9"/>
  <c r="NI90" i="9"/>
  <c r="MY90" i="9"/>
  <c r="NC90" i="9"/>
  <c r="C90" i="9"/>
  <c r="ND90" i="9"/>
  <c r="NA91" i="9"/>
  <c r="NB91" i="9"/>
  <c r="NI91" i="9"/>
  <c r="MY91" i="9"/>
  <c r="NC91" i="9"/>
  <c r="C91" i="9"/>
  <c r="ND91" i="9"/>
  <c r="NA92" i="9"/>
  <c r="NB92" i="9"/>
  <c r="NI92" i="9"/>
  <c r="MY92" i="9"/>
  <c r="NC92" i="9"/>
  <c r="C92" i="9"/>
  <c r="ND92" i="9"/>
  <c r="NA93" i="9"/>
  <c r="NB93" i="9"/>
  <c r="NI93" i="9"/>
  <c r="MY93" i="9"/>
  <c r="NC93" i="9"/>
  <c r="C93" i="9"/>
  <c r="ND93" i="9"/>
  <c r="NA94" i="9"/>
  <c r="NB94" i="9"/>
  <c r="NI94" i="9"/>
  <c r="MY94" i="9"/>
  <c r="NC94" i="9"/>
  <c r="C94" i="9"/>
  <c r="ND94" i="9"/>
  <c r="NA95" i="9"/>
  <c r="NB95" i="9"/>
  <c r="NI95" i="9"/>
  <c r="MY95" i="9"/>
  <c r="NC95" i="9"/>
  <c r="C95" i="9"/>
  <c r="ND95" i="9"/>
  <c r="NA96" i="9"/>
  <c r="NB96" i="9"/>
  <c r="NI96" i="9"/>
  <c r="MY96" i="9"/>
  <c r="NC96" i="9"/>
  <c r="C96" i="9"/>
  <c r="ND96" i="9"/>
  <c r="NA97" i="9"/>
  <c r="NB97" i="9"/>
  <c r="NI97" i="9"/>
  <c r="MY97" i="9"/>
  <c r="NC97" i="9"/>
  <c r="C97" i="9"/>
  <c r="ND97" i="9"/>
  <c r="NA98" i="9"/>
  <c r="NB98" i="9"/>
  <c r="NI98" i="9"/>
  <c r="MY98" i="9"/>
  <c r="NC98" i="9"/>
  <c r="C98" i="9"/>
  <c r="ND98" i="9"/>
  <c r="NA99" i="9"/>
  <c r="NB99" i="9"/>
  <c r="NI99" i="9"/>
  <c r="MY99" i="9"/>
  <c r="NC99" i="9"/>
  <c r="C99" i="9"/>
  <c r="ND99" i="9"/>
  <c r="NA100" i="9"/>
  <c r="NB100" i="9"/>
  <c r="NI100" i="9"/>
  <c r="MY100" i="9"/>
  <c r="NC100" i="9"/>
  <c r="C100" i="9"/>
  <c r="ND100" i="9"/>
  <c r="NA101" i="9"/>
  <c r="NB101" i="9"/>
  <c r="NI101" i="9"/>
  <c r="MY101" i="9"/>
  <c r="NC101" i="9"/>
  <c r="C101" i="9"/>
  <c r="ND101" i="9"/>
  <c r="NA102" i="9"/>
  <c r="NB102" i="9"/>
  <c r="NI102" i="9"/>
  <c r="MY102" i="9"/>
  <c r="NC102" i="9"/>
  <c r="C102" i="9"/>
  <c r="ND102" i="9"/>
  <c r="NA103" i="9"/>
  <c r="NB103" i="9"/>
  <c r="NI103" i="9"/>
  <c r="MY103" i="9"/>
  <c r="NC103" i="9"/>
  <c r="C103" i="9"/>
  <c r="ND103" i="9"/>
  <c r="NA104" i="9"/>
  <c r="NB104" i="9"/>
  <c r="NI104" i="9"/>
  <c r="MY104" i="9"/>
  <c r="NC104" i="9"/>
  <c r="C104" i="9"/>
  <c r="ND104" i="9"/>
  <c r="NA105" i="9"/>
  <c r="NB105" i="9"/>
  <c r="NI105" i="9"/>
  <c r="MY105" i="9"/>
  <c r="NC105" i="9"/>
  <c r="C105" i="9"/>
  <c r="ND105" i="9"/>
  <c r="NA106" i="9"/>
  <c r="NB106" i="9"/>
  <c r="NI106" i="9"/>
  <c r="MY106" i="9"/>
  <c r="NC106" i="9"/>
  <c r="C106" i="9"/>
  <c r="ND106" i="9"/>
  <c r="NA107" i="9"/>
  <c r="NB107" i="9"/>
  <c r="NI107" i="9"/>
  <c r="MY107" i="9"/>
  <c r="NC107" i="9"/>
  <c r="C107" i="9"/>
  <c r="ND107" i="9"/>
  <c r="NA108" i="9"/>
  <c r="NB108" i="9"/>
  <c r="NI108" i="9"/>
  <c r="MY108" i="9"/>
  <c r="NC108" i="9"/>
  <c r="C108" i="9"/>
  <c r="ND108" i="9"/>
  <c r="ND58" i="9"/>
  <c r="NP52" i="9" a="1"/>
  <c r="NP59" i="9"/>
  <c r="NQ52" i="9" a="1"/>
  <c r="NQ59" i="9"/>
  <c r="NO59" i="9"/>
  <c r="NR59" i="9"/>
  <c r="NP60" i="9"/>
  <c r="NQ60" i="9"/>
  <c r="NO60" i="9"/>
  <c r="NR60" i="9"/>
  <c r="NP61" i="9"/>
  <c r="NQ61" i="9"/>
  <c r="NO61" i="9"/>
  <c r="NR61" i="9"/>
  <c r="NP62" i="9"/>
  <c r="NQ62" i="9"/>
  <c r="NO62" i="9"/>
  <c r="NR62" i="9"/>
  <c r="NP63" i="9"/>
  <c r="NQ63" i="9"/>
  <c r="NO63" i="9"/>
  <c r="NR63" i="9"/>
  <c r="NP64" i="9"/>
  <c r="NQ64" i="9"/>
  <c r="NO64" i="9"/>
  <c r="NR64" i="9"/>
  <c r="NP65" i="9"/>
  <c r="NQ65" i="9"/>
  <c r="NO65" i="9"/>
  <c r="NR65" i="9"/>
  <c r="NP66" i="9"/>
  <c r="NQ66" i="9"/>
  <c r="NO66" i="9"/>
  <c r="NR66" i="9"/>
  <c r="NP67" i="9"/>
  <c r="NQ67" i="9"/>
  <c r="NO67" i="9"/>
  <c r="NR67" i="9"/>
  <c r="NP68" i="9"/>
  <c r="NQ68" i="9"/>
  <c r="NO68" i="9"/>
  <c r="NR68" i="9"/>
  <c r="NP69" i="9"/>
  <c r="NQ69" i="9"/>
  <c r="NO69" i="9"/>
  <c r="NR69" i="9"/>
  <c r="NP70" i="9"/>
  <c r="NQ70" i="9"/>
  <c r="NO70" i="9"/>
  <c r="NR70" i="9"/>
  <c r="NP71" i="9"/>
  <c r="NQ71" i="9"/>
  <c r="NO71" i="9"/>
  <c r="NR71" i="9"/>
  <c r="NP72" i="9"/>
  <c r="NQ72" i="9"/>
  <c r="NO72" i="9"/>
  <c r="NR72" i="9"/>
  <c r="NP73" i="9"/>
  <c r="NQ73" i="9"/>
  <c r="NO73" i="9"/>
  <c r="NR73" i="9"/>
  <c r="NP74" i="9"/>
  <c r="NQ74" i="9"/>
  <c r="NO74" i="9"/>
  <c r="NR74" i="9"/>
  <c r="NP75" i="9"/>
  <c r="NQ75" i="9"/>
  <c r="NO75" i="9"/>
  <c r="NR75" i="9"/>
  <c r="NP76" i="9"/>
  <c r="NQ76" i="9"/>
  <c r="NO76" i="9"/>
  <c r="NR76" i="9"/>
  <c r="NP77" i="9"/>
  <c r="NQ77" i="9"/>
  <c r="NO77" i="9"/>
  <c r="NR77" i="9"/>
  <c r="NP78" i="9"/>
  <c r="NQ78" i="9"/>
  <c r="NO78" i="9"/>
  <c r="NR78" i="9"/>
  <c r="NP79" i="9"/>
  <c r="NQ79" i="9"/>
  <c r="NO79" i="9"/>
  <c r="NR79" i="9"/>
  <c r="NP80" i="9"/>
  <c r="NQ80" i="9"/>
  <c r="NO80" i="9"/>
  <c r="NR80" i="9"/>
  <c r="NP81" i="9"/>
  <c r="NQ81" i="9"/>
  <c r="NO81" i="9"/>
  <c r="NR81" i="9"/>
  <c r="NP82" i="9"/>
  <c r="NQ82" i="9"/>
  <c r="NO82" i="9"/>
  <c r="NR82" i="9"/>
  <c r="NP83" i="9"/>
  <c r="NQ83" i="9"/>
  <c r="NO83" i="9"/>
  <c r="NR83" i="9"/>
  <c r="NP84" i="9"/>
  <c r="NQ84" i="9"/>
  <c r="NO84" i="9"/>
  <c r="NR84" i="9"/>
  <c r="NP85" i="9"/>
  <c r="NQ85" i="9"/>
  <c r="NO85" i="9"/>
  <c r="NR85" i="9"/>
  <c r="NP86" i="9"/>
  <c r="NQ86" i="9"/>
  <c r="NO86" i="9"/>
  <c r="NR86" i="9"/>
  <c r="NP87" i="9"/>
  <c r="NQ87" i="9"/>
  <c r="NO87" i="9"/>
  <c r="NR87" i="9"/>
  <c r="NP88" i="9"/>
  <c r="NQ88" i="9"/>
  <c r="NO88" i="9"/>
  <c r="NR88" i="9"/>
  <c r="NP89" i="9"/>
  <c r="NQ89" i="9"/>
  <c r="NO89" i="9"/>
  <c r="NR89" i="9"/>
  <c r="NP90" i="9"/>
  <c r="NQ90" i="9"/>
  <c r="NO90" i="9"/>
  <c r="NR90" i="9"/>
  <c r="NP91" i="9"/>
  <c r="NQ91" i="9"/>
  <c r="NO91" i="9"/>
  <c r="NR91" i="9"/>
  <c r="NP92" i="9"/>
  <c r="NQ92" i="9"/>
  <c r="NO92" i="9"/>
  <c r="NR92" i="9"/>
  <c r="NP93" i="9"/>
  <c r="NQ93" i="9"/>
  <c r="NO93" i="9"/>
  <c r="NR93" i="9"/>
  <c r="NP94" i="9"/>
  <c r="NQ94" i="9"/>
  <c r="NO94" i="9"/>
  <c r="NR94" i="9"/>
  <c r="NP95" i="9"/>
  <c r="NQ95" i="9"/>
  <c r="NO95" i="9"/>
  <c r="NR95" i="9"/>
  <c r="NP96" i="9"/>
  <c r="NQ96" i="9"/>
  <c r="NO96" i="9"/>
  <c r="NR96" i="9"/>
  <c r="NP97" i="9"/>
  <c r="NQ97" i="9"/>
  <c r="NO97" i="9"/>
  <c r="NR97" i="9"/>
  <c r="NP98" i="9"/>
  <c r="NQ98" i="9"/>
  <c r="NO98" i="9"/>
  <c r="NR98" i="9"/>
  <c r="NP99" i="9"/>
  <c r="NQ99" i="9"/>
  <c r="NO99" i="9"/>
  <c r="NR99" i="9"/>
  <c r="NP100" i="9"/>
  <c r="NQ100" i="9"/>
  <c r="NO100" i="9"/>
  <c r="NR100" i="9"/>
  <c r="NP101" i="9"/>
  <c r="NQ101" i="9"/>
  <c r="NO101" i="9"/>
  <c r="NR101" i="9"/>
  <c r="NP102" i="9"/>
  <c r="NQ102" i="9"/>
  <c r="NO102" i="9"/>
  <c r="NR102" i="9"/>
  <c r="NP103" i="9"/>
  <c r="NQ103" i="9"/>
  <c r="NO103" i="9"/>
  <c r="NR103" i="9"/>
  <c r="NP104" i="9"/>
  <c r="NQ104" i="9"/>
  <c r="NO104" i="9"/>
  <c r="NR104" i="9"/>
  <c r="NP105" i="9"/>
  <c r="NQ105" i="9"/>
  <c r="NO105" i="9"/>
  <c r="NR105" i="9"/>
  <c r="NP106" i="9"/>
  <c r="NQ106" i="9"/>
  <c r="NO106" i="9"/>
  <c r="NR106" i="9"/>
  <c r="NP107" i="9"/>
  <c r="NQ107" i="9"/>
  <c r="NO107" i="9"/>
  <c r="NR107" i="9"/>
  <c r="NP108" i="9"/>
  <c r="NQ108" i="9"/>
  <c r="NO108" i="9"/>
  <c r="NR108" i="9"/>
  <c r="NP58" i="9"/>
  <c r="NQ58" i="9"/>
  <c r="NO58" i="9"/>
  <c r="NR58" i="9"/>
  <c r="MY59" i="9"/>
  <c r="MZ59" i="9"/>
  <c r="MY60" i="9"/>
  <c r="MZ60" i="9"/>
  <c r="MY61" i="9"/>
  <c r="MZ61" i="9"/>
  <c r="MY62" i="9"/>
  <c r="MZ62" i="9"/>
  <c r="NI63" i="9"/>
  <c r="MY63" i="9"/>
  <c r="MZ63" i="9"/>
  <c r="NI64" i="9"/>
  <c r="MY64" i="9"/>
  <c r="MZ64" i="9"/>
  <c r="NI68" i="9"/>
  <c r="NI65" i="9"/>
  <c r="MY65" i="9"/>
  <c r="MZ65" i="9"/>
  <c r="NI66" i="9"/>
  <c r="MY66" i="9"/>
  <c r="MZ66" i="9"/>
  <c r="NI67" i="9"/>
  <c r="MY67" i="9"/>
  <c r="MZ67" i="9"/>
  <c r="NA68" i="9"/>
  <c r="NB68" i="9"/>
  <c r="MY68" i="9"/>
  <c r="MZ68" i="9"/>
  <c r="NA69" i="9"/>
  <c r="NB69" i="9"/>
  <c r="NI69" i="9"/>
  <c r="MY69" i="9"/>
  <c r="MZ69" i="9"/>
  <c r="NA70" i="9"/>
  <c r="NB70" i="9"/>
  <c r="NI70" i="9"/>
  <c r="MY70" i="9"/>
  <c r="MZ70" i="9"/>
  <c r="NA71" i="9"/>
  <c r="NB71" i="9"/>
  <c r="NI71" i="9"/>
  <c r="MY71" i="9"/>
  <c r="MZ71" i="9"/>
  <c r="NA72" i="9"/>
  <c r="NB72" i="9"/>
  <c r="NI72" i="9"/>
  <c r="MY72" i="9"/>
  <c r="MZ72" i="9"/>
  <c r="NA73" i="9"/>
  <c r="NB73" i="9"/>
  <c r="NI73" i="9"/>
  <c r="MY73" i="9"/>
  <c r="MZ73" i="9"/>
  <c r="MZ74" i="9"/>
  <c r="MZ75" i="9"/>
  <c r="MZ76" i="9"/>
  <c r="MZ77" i="9"/>
  <c r="MZ78" i="9"/>
  <c r="MZ79" i="9"/>
  <c r="MZ80" i="9"/>
  <c r="MZ81" i="9"/>
  <c r="MZ82" i="9"/>
  <c r="MZ83" i="9"/>
  <c r="MZ84" i="9"/>
  <c r="MZ85" i="9"/>
  <c r="MZ86" i="9"/>
  <c r="MZ87" i="9"/>
  <c r="MZ88" i="9"/>
  <c r="MZ89" i="9"/>
  <c r="MZ90" i="9"/>
  <c r="MZ91" i="9"/>
  <c r="MZ92" i="9"/>
  <c r="MZ93" i="9"/>
  <c r="MZ94" i="9"/>
  <c r="MZ95" i="9"/>
  <c r="MZ96" i="9"/>
  <c r="MZ97" i="9"/>
  <c r="MZ98" i="9"/>
  <c r="MZ99" i="9"/>
  <c r="MZ100" i="9"/>
  <c r="MZ101" i="9"/>
  <c r="MZ102" i="9"/>
  <c r="MZ103" i="9"/>
  <c r="MZ104" i="9"/>
  <c r="MZ105" i="9"/>
  <c r="MZ106" i="9"/>
  <c r="MZ107" i="9"/>
  <c r="MZ108" i="9"/>
  <c r="MY58" i="9"/>
  <c r="MZ58" i="9"/>
  <c r="M26" i="122"/>
  <c r="M27" i="122"/>
  <c r="M28" i="122"/>
  <c r="M29" i="122"/>
  <c r="M30" i="122"/>
  <c r="M31" i="122"/>
  <c r="M32" i="122"/>
  <c r="M33" i="122"/>
  <c r="M34" i="122"/>
  <c r="M35" i="122"/>
  <c r="M36" i="122"/>
  <c r="M37" i="122"/>
  <c r="M38" i="122"/>
  <c r="M39" i="122"/>
  <c r="M40" i="122"/>
  <c r="M41" i="122"/>
  <c r="M42" i="122"/>
  <c r="M43" i="122"/>
  <c r="M44" i="122"/>
  <c r="M45" i="122"/>
  <c r="M46" i="122"/>
  <c r="M47" i="122"/>
  <c r="M48" i="122"/>
  <c r="M49" i="122"/>
  <c r="M50" i="122"/>
  <c r="M51" i="122"/>
  <c r="M52" i="122"/>
  <c r="M53" i="122"/>
  <c r="M54" i="122"/>
  <c r="M55" i="122"/>
  <c r="M56" i="122"/>
  <c r="M57" i="122"/>
  <c r="M58" i="122"/>
  <c r="M59" i="122"/>
  <c r="M25" i="122"/>
  <c r="K60" i="116"/>
  <c r="C60" i="116"/>
  <c r="D60" i="116"/>
  <c r="C60" i="115"/>
  <c r="D60" i="115"/>
  <c r="F11" i="119"/>
  <c r="G11" i="119"/>
  <c r="F12" i="119"/>
  <c r="G12" i="119"/>
  <c r="F13" i="119"/>
  <c r="G13" i="119"/>
  <c r="F14" i="119"/>
  <c r="G14" i="119"/>
  <c r="F15" i="119"/>
  <c r="G15" i="119"/>
  <c r="F16" i="119"/>
  <c r="G16" i="119"/>
  <c r="F17" i="119"/>
  <c r="G17" i="119"/>
  <c r="F18" i="119"/>
  <c r="G18" i="119"/>
  <c r="F19" i="119"/>
  <c r="G19" i="119"/>
  <c r="F20" i="119"/>
  <c r="G20" i="119"/>
  <c r="F21" i="119"/>
  <c r="G21" i="119"/>
  <c r="F22" i="119"/>
  <c r="G22" i="119"/>
  <c r="F23" i="119"/>
  <c r="G23" i="119"/>
  <c r="F24" i="119"/>
  <c r="G24" i="119"/>
  <c r="F25" i="119"/>
  <c r="G25" i="119"/>
  <c r="F26" i="119"/>
  <c r="G26" i="119"/>
  <c r="F27" i="119"/>
  <c r="G27" i="119"/>
  <c r="F28" i="119"/>
  <c r="G28" i="119"/>
  <c r="F29" i="119"/>
  <c r="G29" i="119"/>
  <c r="F30" i="119"/>
  <c r="G30" i="119"/>
  <c r="F31" i="119"/>
  <c r="G31" i="119"/>
  <c r="F32" i="119"/>
  <c r="G32" i="119"/>
  <c r="F33" i="119"/>
  <c r="G33" i="119"/>
  <c r="F34" i="119"/>
  <c r="G34" i="119"/>
  <c r="F35" i="119"/>
  <c r="G35" i="119"/>
  <c r="F36" i="119"/>
  <c r="G36" i="119"/>
  <c r="F37" i="119"/>
  <c r="G37" i="119"/>
  <c r="F38" i="119"/>
  <c r="G38" i="119"/>
  <c r="F39" i="119"/>
  <c r="G39" i="119"/>
  <c r="F40" i="119"/>
  <c r="G40" i="119"/>
  <c r="F41" i="119"/>
  <c r="G41" i="119"/>
  <c r="F42" i="119"/>
  <c r="G42" i="119"/>
  <c r="F43" i="119"/>
  <c r="G43" i="119"/>
  <c r="F44" i="119"/>
  <c r="G44" i="119"/>
  <c r="F45" i="119"/>
  <c r="G45" i="119"/>
  <c r="F46" i="119"/>
  <c r="G46" i="119"/>
  <c r="F47" i="119"/>
  <c r="G47" i="119"/>
  <c r="F48" i="119"/>
  <c r="G48" i="119"/>
  <c r="F49" i="119"/>
  <c r="G49" i="119"/>
  <c r="F50" i="119"/>
  <c r="G50" i="119"/>
  <c r="F51" i="119"/>
  <c r="G51" i="119"/>
  <c r="F52" i="119"/>
  <c r="G52" i="119"/>
  <c r="F53" i="119"/>
  <c r="G53" i="119"/>
  <c r="F54" i="119"/>
  <c r="G54" i="119"/>
  <c r="F55" i="119"/>
  <c r="G55" i="119"/>
  <c r="F56" i="119"/>
  <c r="G56" i="119"/>
  <c r="F57" i="119"/>
  <c r="G57" i="119"/>
  <c r="F58" i="119"/>
  <c r="G58" i="119"/>
  <c r="F59" i="119"/>
  <c r="G59" i="119"/>
  <c r="G10" i="119"/>
  <c r="F10" i="119"/>
  <c r="HH12" i="96"/>
  <c r="HH13" i="96"/>
  <c r="HH14" i="96"/>
  <c r="HH15" i="96"/>
  <c r="HH16" i="96"/>
  <c r="HH17" i="96"/>
  <c r="HH18" i="96"/>
  <c r="HH19" i="96"/>
  <c r="HH20" i="96"/>
  <c r="HH21" i="96"/>
  <c r="HH22" i="96"/>
  <c r="HH23" i="96"/>
  <c r="HH24" i="96"/>
  <c r="HH25" i="96"/>
  <c r="HH26" i="96"/>
  <c r="HH27" i="96"/>
  <c r="HH28" i="96"/>
  <c r="HH29" i="96"/>
  <c r="HH30" i="96"/>
  <c r="HH31" i="96"/>
  <c r="HH32" i="96"/>
  <c r="HH33" i="96"/>
  <c r="HH34" i="96"/>
  <c r="HH35" i="96"/>
  <c r="HH36" i="96"/>
  <c r="HH37" i="96"/>
  <c r="HH38" i="96"/>
  <c r="HH39" i="96"/>
  <c r="HH40" i="96"/>
  <c r="HH41" i="96"/>
  <c r="HH42" i="96"/>
  <c r="HH43" i="96"/>
  <c r="HH44" i="96"/>
  <c r="HH45" i="96"/>
  <c r="HH46" i="96"/>
  <c r="HH47" i="96"/>
  <c r="HH48" i="96"/>
  <c r="HH49" i="96"/>
  <c r="HH50" i="96"/>
  <c r="HH51" i="96"/>
  <c r="HH52" i="96"/>
  <c r="HH53" i="96"/>
  <c r="HH54" i="96"/>
  <c r="HH55" i="96"/>
  <c r="HH56" i="96"/>
  <c r="HH57" i="96"/>
  <c r="HH58" i="96"/>
  <c r="HH59" i="96"/>
  <c r="HH60" i="96"/>
  <c r="M11" i="119"/>
  <c r="M12" i="119"/>
  <c r="M13" i="119"/>
  <c r="M14" i="119"/>
  <c r="M15" i="119"/>
  <c r="M16" i="119"/>
  <c r="M17" i="119"/>
  <c r="M18" i="119"/>
  <c r="M19" i="119"/>
  <c r="M20" i="119"/>
  <c r="M21" i="119"/>
  <c r="M22" i="119"/>
  <c r="M23" i="119"/>
  <c r="M24" i="119"/>
  <c r="M25" i="119"/>
  <c r="M26" i="119"/>
  <c r="M27" i="119"/>
  <c r="M28" i="119"/>
  <c r="M29" i="119"/>
  <c r="M30" i="119"/>
  <c r="M31" i="119"/>
  <c r="M32" i="119"/>
  <c r="M33" i="119"/>
  <c r="M34" i="119"/>
  <c r="M35" i="119"/>
  <c r="M36" i="119"/>
  <c r="M37" i="119"/>
  <c r="M38" i="119"/>
  <c r="M39" i="119"/>
  <c r="M40" i="119"/>
  <c r="M41" i="119"/>
  <c r="M42" i="119"/>
  <c r="M43" i="119"/>
  <c r="M44" i="119"/>
  <c r="M45" i="119"/>
  <c r="M46" i="119"/>
  <c r="M47" i="119"/>
  <c r="M48" i="119"/>
  <c r="M49" i="119"/>
  <c r="M50" i="119"/>
  <c r="M51" i="119"/>
  <c r="M52" i="119"/>
  <c r="M53" i="119"/>
  <c r="M54" i="119"/>
  <c r="M55" i="119"/>
  <c r="M56" i="119"/>
  <c r="M57" i="119"/>
  <c r="M58" i="119"/>
  <c r="M59" i="119"/>
  <c r="M10" i="119"/>
  <c r="I11" i="117"/>
  <c r="I12" i="117"/>
  <c r="I13" i="117"/>
  <c r="I14" i="117"/>
  <c r="I15" i="117"/>
  <c r="I16" i="117"/>
  <c r="I17" i="117"/>
  <c r="I18" i="117"/>
  <c r="I19" i="117"/>
  <c r="I20" i="117"/>
  <c r="I21" i="117"/>
  <c r="I22" i="117"/>
  <c r="I23" i="117"/>
  <c r="I24" i="117"/>
  <c r="I25" i="117"/>
  <c r="I26" i="117"/>
  <c r="I27" i="117"/>
  <c r="I28" i="117"/>
  <c r="I29" i="117"/>
  <c r="I30" i="117"/>
  <c r="I31" i="117"/>
  <c r="I32" i="117"/>
  <c r="I33" i="117"/>
  <c r="I34" i="117"/>
  <c r="I35" i="117"/>
  <c r="I36" i="117"/>
  <c r="I37" i="117"/>
  <c r="I38" i="117"/>
  <c r="I39" i="117"/>
  <c r="I40" i="117"/>
  <c r="I41" i="117"/>
  <c r="I42" i="117"/>
  <c r="I43" i="117"/>
  <c r="I44" i="117"/>
  <c r="I45" i="117"/>
  <c r="I46" i="117"/>
  <c r="I47" i="117"/>
  <c r="I48" i="117"/>
  <c r="I49" i="117"/>
  <c r="I50" i="117"/>
  <c r="I51" i="117"/>
  <c r="I52" i="117"/>
  <c r="I53" i="117"/>
  <c r="I54" i="117"/>
  <c r="I55" i="117"/>
  <c r="I56" i="117"/>
  <c r="I57" i="117"/>
  <c r="I58" i="117"/>
  <c r="I10" i="117"/>
  <c r="R11" i="119"/>
  <c r="R12" i="119"/>
  <c r="R13" i="119"/>
  <c r="R14" i="119"/>
  <c r="R15" i="119"/>
  <c r="R16" i="119"/>
  <c r="R17" i="119"/>
  <c r="R18" i="119"/>
  <c r="R19" i="119"/>
  <c r="R20" i="119"/>
  <c r="R21" i="119"/>
  <c r="R22" i="119"/>
  <c r="R23" i="119"/>
  <c r="R24" i="119"/>
  <c r="R25" i="119"/>
  <c r="R26" i="119"/>
  <c r="R27" i="119"/>
  <c r="R28" i="119"/>
  <c r="R29" i="119"/>
  <c r="R30" i="119"/>
  <c r="R31" i="119"/>
  <c r="R32" i="119"/>
  <c r="R33" i="119"/>
  <c r="R34" i="119"/>
  <c r="R35" i="119"/>
  <c r="R36" i="119"/>
  <c r="R37" i="119"/>
  <c r="R38" i="119"/>
  <c r="R39" i="119"/>
  <c r="R40" i="119"/>
  <c r="R41" i="119"/>
  <c r="R42" i="119"/>
  <c r="R43" i="119"/>
  <c r="R44" i="119"/>
  <c r="R45" i="119"/>
  <c r="R46" i="119"/>
  <c r="R47" i="119"/>
  <c r="R48" i="119"/>
  <c r="R49" i="119"/>
  <c r="R50" i="119"/>
  <c r="R51" i="119"/>
  <c r="R52" i="119"/>
  <c r="R53" i="119"/>
  <c r="R54" i="119"/>
  <c r="R55" i="119"/>
  <c r="R56" i="119"/>
  <c r="R57" i="119"/>
  <c r="R58" i="119"/>
  <c r="R59" i="119"/>
  <c r="R10" i="119"/>
  <c r="DH19" i="96"/>
  <c r="BJ19" i="96"/>
  <c r="BA19" i="96"/>
  <c r="MO68" i="9" a="1"/>
  <c r="MO68" i="9"/>
  <c r="MO69" i="9"/>
  <c r="MO70" i="9"/>
  <c r="MO71" i="9"/>
  <c r="MO72" i="9"/>
  <c r="MO73" i="9"/>
  <c r="MO74" i="9"/>
  <c r="MO75" i="9"/>
  <c r="MO76" i="9"/>
  <c r="MO77" i="9"/>
  <c r="MO78" i="9"/>
  <c r="MO79" i="9"/>
  <c r="MO80" i="9"/>
  <c r="MO81" i="9"/>
  <c r="MO82" i="9"/>
  <c r="MO83" i="9"/>
  <c r="MO84" i="9"/>
  <c r="MO85" i="9"/>
  <c r="MO86" i="9"/>
  <c r="MO87" i="9"/>
  <c r="MO88" i="9"/>
  <c r="MO89" i="9"/>
  <c r="MO90" i="9"/>
  <c r="MO91" i="9"/>
  <c r="MO92" i="9"/>
  <c r="MO93" i="9"/>
  <c r="MO94" i="9"/>
  <c r="MO95" i="9"/>
  <c r="MO96" i="9"/>
  <c r="MO97" i="9"/>
  <c r="MO98" i="9"/>
  <c r="MO99" i="9"/>
  <c r="MO100" i="9"/>
  <c r="MO101" i="9"/>
  <c r="MO102" i="9"/>
  <c r="MO103" i="9"/>
  <c r="MO104" i="9"/>
  <c r="MO105" i="9"/>
  <c r="MO106" i="9"/>
  <c r="MO107" i="9"/>
  <c r="MO108" i="9"/>
  <c r="K44" i="116"/>
  <c r="C44" i="116"/>
  <c r="K45" i="116"/>
  <c r="C45" i="116"/>
  <c r="D44" i="116"/>
  <c r="D45" i="116"/>
  <c r="L68" i="117"/>
  <c r="D68" i="116"/>
  <c r="L69" i="117"/>
  <c r="D69" i="116"/>
  <c r="L70" i="117"/>
  <c r="D70" i="116"/>
  <c r="L67" i="117"/>
  <c r="D67" i="116"/>
  <c r="K66" i="117"/>
  <c r="K65" i="117"/>
  <c r="L66" i="117"/>
  <c r="L65" i="117"/>
  <c r="K70" i="117"/>
  <c r="K69" i="117"/>
  <c r="K68" i="117"/>
  <c r="K67" i="117"/>
  <c r="K22" i="116"/>
  <c r="C22" i="116"/>
  <c r="K23" i="116"/>
  <c r="C23" i="116"/>
  <c r="K24" i="116"/>
  <c r="C24" i="116"/>
  <c r="K25" i="116"/>
  <c r="C25" i="116"/>
  <c r="K26" i="116"/>
  <c r="C26" i="116"/>
  <c r="K27" i="116"/>
  <c r="C27" i="116"/>
  <c r="K28" i="116"/>
  <c r="C28" i="116"/>
  <c r="K29" i="116"/>
  <c r="C29" i="116"/>
  <c r="K30" i="116"/>
  <c r="C30" i="116"/>
  <c r="K31" i="116"/>
  <c r="C31" i="116"/>
  <c r="K32" i="116"/>
  <c r="C32" i="116"/>
  <c r="K33" i="116"/>
  <c r="C33" i="116"/>
  <c r="K46" i="116"/>
  <c r="C46" i="116"/>
  <c r="K47" i="116"/>
  <c r="C47" i="116"/>
  <c r="K48" i="116"/>
  <c r="C48" i="116"/>
  <c r="K49" i="116"/>
  <c r="C49" i="116"/>
  <c r="K50" i="116"/>
  <c r="C50" i="116"/>
  <c r="K51" i="116"/>
  <c r="C51" i="116"/>
  <c r="K52" i="116"/>
  <c r="C52" i="116"/>
  <c r="K53" i="116"/>
  <c r="C53" i="116"/>
  <c r="K54" i="116"/>
  <c r="C54" i="116"/>
  <c r="K55" i="116"/>
  <c r="C55" i="116"/>
  <c r="K56" i="116"/>
  <c r="C56" i="116"/>
  <c r="K57" i="116"/>
  <c r="C57" i="116"/>
  <c r="K58" i="116"/>
  <c r="C58" i="116"/>
  <c r="C59" i="116"/>
  <c r="K21" i="116"/>
  <c r="C21" i="116"/>
  <c r="D24" i="116"/>
  <c r="D25" i="116"/>
  <c r="D26" i="116"/>
  <c r="D27" i="116"/>
  <c r="D28" i="116"/>
  <c r="D29" i="116"/>
  <c r="D30" i="116"/>
  <c r="D31" i="116"/>
  <c r="D32" i="116"/>
  <c r="D33" i="116"/>
  <c r="C67" i="116"/>
  <c r="D46" i="116"/>
  <c r="D47" i="116"/>
  <c r="D48" i="116"/>
  <c r="D49" i="116"/>
  <c r="D50" i="116"/>
  <c r="D51" i="116"/>
  <c r="D52" i="116"/>
  <c r="D53" i="116"/>
  <c r="C69" i="116"/>
  <c r="D54" i="116"/>
  <c r="D55" i="116"/>
  <c r="D56" i="116"/>
  <c r="D57" i="116"/>
  <c r="D58" i="116"/>
  <c r="D59" i="116"/>
  <c r="C70" i="116"/>
  <c r="L65" i="115"/>
  <c r="L66" i="115"/>
  <c r="K67" i="116"/>
  <c r="C11" i="115"/>
  <c r="C12" i="115"/>
  <c r="C13" i="115"/>
  <c r="C14" i="115"/>
  <c r="C15" i="115"/>
  <c r="C16" i="115"/>
  <c r="C17" i="115"/>
  <c r="C18" i="115"/>
  <c r="C19" i="115"/>
  <c r="C20" i="115"/>
  <c r="C21" i="115"/>
  <c r="C22" i="115"/>
  <c r="C23" i="115"/>
  <c r="C24" i="115"/>
  <c r="C25" i="115"/>
  <c r="C26" i="115"/>
  <c r="C27" i="115"/>
  <c r="C28" i="115"/>
  <c r="C29" i="115"/>
  <c r="C30" i="115"/>
  <c r="C31" i="115"/>
  <c r="C32" i="115"/>
  <c r="C33" i="115"/>
  <c r="C34" i="115"/>
  <c r="C35" i="115"/>
  <c r="C36" i="115"/>
  <c r="C37" i="115"/>
  <c r="C38" i="115"/>
  <c r="C39" i="115"/>
  <c r="C40" i="115"/>
  <c r="C41" i="115"/>
  <c r="C42" i="115"/>
  <c r="C43" i="115"/>
  <c r="C44" i="115"/>
  <c r="C45" i="115"/>
  <c r="C46" i="115"/>
  <c r="C47" i="115"/>
  <c r="C48" i="115"/>
  <c r="C49" i="115"/>
  <c r="C50" i="115"/>
  <c r="C51" i="115"/>
  <c r="C52" i="115"/>
  <c r="C53" i="115"/>
  <c r="C54" i="115"/>
  <c r="C55" i="115"/>
  <c r="C56" i="115"/>
  <c r="C57" i="115"/>
  <c r="C58" i="115"/>
  <c r="C59" i="115"/>
  <c r="C10" i="115"/>
  <c r="D54" i="115"/>
  <c r="D55" i="115"/>
  <c r="D56" i="115"/>
  <c r="D57" i="115"/>
  <c r="D58" i="115"/>
  <c r="D59" i="115"/>
  <c r="D44" i="115"/>
  <c r="D45" i="115"/>
  <c r="D46" i="115"/>
  <c r="D47" i="115"/>
  <c r="D48" i="115"/>
  <c r="D49" i="115"/>
  <c r="D50" i="115"/>
  <c r="D51" i="115"/>
  <c r="D52" i="115"/>
  <c r="D53" i="115"/>
  <c r="D34" i="115"/>
  <c r="D35" i="115"/>
  <c r="D36" i="115"/>
  <c r="D37" i="115"/>
  <c r="D38" i="115"/>
  <c r="D39" i="115"/>
  <c r="D40" i="115"/>
  <c r="D41" i="115"/>
  <c r="D42" i="115"/>
  <c r="D43" i="115"/>
  <c r="K70" i="116"/>
  <c r="K69" i="116"/>
  <c r="K68" i="116"/>
  <c r="L21" i="116"/>
  <c r="L22" i="116"/>
  <c r="L23" i="116"/>
  <c r="L24" i="116"/>
  <c r="L25" i="116"/>
  <c r="L26" i="116"/>
  <c r="L27" i="116"/>
  <c r="L28" i="116"/>
  <c r="L29" i="116"/>
  <c r="L30" i="116"/>
  <c r="L31" i="116"/>
  <c r="L32" i="116"/>
  <c r="L33" i="116"/>
  <c r="L34" i="116"/>
  <c r="L35" i="116"/>
  <c r="L36" i="116"/>
  <c r="L37" i="116"/>
  <c r="L38" i="116"/>
  <c r="L39" i="116"/>
  <c r="L40" i="116"/>
  <c r="L41" i="116"/>
  <c r="L42" i="116"/>
  <c r="L43" i="116"/>
  <c r="L44" i="116"/>
  <c r="L45" i="116"/>
  <c r="L46" i="116"/>
  <c r="L47" i="116"/>
  <c r="L48" i="116"/>
  <c r="L49" i="116"/>
  <c r="L50" i="116"/>
  <c r="L51" i="116"/>
  <c r="L52" i="116"/>
  <c r="L53" i="116"/>
  <c r="L54" i="116"/>
  <c r="L55" i="116"/>
  <c r="L56" i="116"/>
  <c r="L57" i="116"/>
  <c r="L58" i="116"/>
  <c r="IQ89" i="83"/>
  <c r="IQ90" i="83"/>
  <c r="IQ91" i="83"/>
  <c r="L59" i="116"/>
  <c r="D23" i="116"/>
  <c r="D22" i="116"/>
  <c r="D21" i="116"/>
  <c r="HP39" i="96"/>
  <c r="EO15" i="96"/>
  <c r="F14" i="115"/>
  <c r="HP15" i="96"/>
  <c r="G14" i="115"/>
  <c r="I14" i="115"/>
  <c r="F21" i="115"/>
  <c r="G21" i="115"/>
  <c r="H21" i="115"/>
  <c r="I21" i="115"/>
  <c r="F26" i="115"/>
  <c r="G26" i="115"/>
  <c r="H26" i="115"/>
  <c r="I26" i="115"/>
  <c r="F27" i="115"/>
  <c r="G27" i="115"/>
  <c r="H27" i="115"/>
  <c r="I27" i="115"/>
  <c r="F28" i="115"/>
  <c r="G28" i="115"/>
  <c r="H28" i="115"/>
  <c r="I28" i="115"/>
  <c r="F29" i="115"/>
  <c r="G29" i="115"/>
  <c r="H29" i="115"/>
  <c r="I29" i="115"/>
  <c r="F30" i="115"/>
  <c r="G30" i="115"/>
  <c r="H30" i="115"/>
  <c r="I30" i="115"/>
  <c r="F31" i="115"/>
  <c r="G31" i="115"/>
  <c r="H31" i="115"/>
  <c r="I31" i="115"/>
  <c r="F32" i="115"/>
  <c r="G32" i="115"/>
  <c r="H32" i="115"/>
  <c r="I32" i="115"/>
  <c r="F33" i="115"/>
  <c r="G33" i="115"/>
  <c r="H33" i="115"/>
  <c r="I33" i="115"/>
  <c r="F34" i="115"/>
  <c r="G34" i="115"/>
  <c r="H34" i="115"/>
  <c r="I34" i="115"/>
  <c r="F35" i="115"/>
  <c r="G35" i="115"/>
  <c r="H35" i="115"/>
  <c r="I35" i="115"/>
  <c r="F36" i="115"/>
  <c r="G36" i="115"/>
  <c r="H36" i="115"/>
  <c r="I36" i="115"/>
  <c r="F37" i="115"/>
  <c r="G37" i="115"/>
  <c r="H37" i="115"/>
  <c r="I37" i="115"/>
  <c r="G38" i="115"/>
  <c r="H38" i="115"/>
  <c r="F38" i="115"/>
  <c r="I38" i="115"/>
  <c r="H39" i="115"/>
  <c r="G39" i="115"/>
  <c r="F39" i="115"/>
  <c r="I39" i="115"/>
  <c r="G40" i="115"/>
  <c r="H40" i="115"/>
  <c r="F40" i="115"/>
  <c r="I40" i="115"/>
  <c r="H41" i="115"/>
  <c r="G41" i="115"/>
  <c r="EO42" i="96" a="1"/>
  <c r="EO42" i="96"/>
  <c r="F41" i="115"/>
  <c r="I41" i="115"/>
  <c r="G42" i="115"/>
  <c r="H42" i="115"/>
  <c r="EO43" i="96"/>
  <c r="F42" i="115"/>
  <c r="I42" i="115"/>
  <c r="G43" i="115"/>
  <c r="H43" i="115"/>
  <c r="EO44" i="96"/>
  <c r="F43" i="115"/>
  <c r="I43" i="115"/>
  <c r="G44" i="115"/>
  <c r="H44" i="115"/>
  <c r="EO45" i="96"/>
  <c r="F44" i="115"/>
  <c r="I44" i="115"/>
  <c r="G45" i="115"/>
  <c r="EO46" i="96"/>
  <c r="F45" i="115"/>
  <c r="H45" i="115"/>
  <c r="I45" i="115"/>
  <c r="G46" i="115"/>
  <c r="H46" i="115"/>
  <c r="EO47" i="96"/>
  <c r="F46" i="115"/>
  <c r="I46" i="115"/>
  <c r="G47" i="115"/>
  <c r="H47" i="115"/>
  <c r="EO48" i="96"/>
  <c r="F47" i="115"/>
  <c r="I47" i="115"/>
  <c r="G48" i="115"/>
  <c r="H48" i="115"/>
  <c r="EO49" i="96"/>
  <c r="F48" i="115"/>
  <c r="I48" i="115"/>
  <c r="G49" i="115"/>
  <c r="H49" i="115"/>
  <c r="EO50" i="96"/>
  <c r="F49" i="115"/>
  <c r="I49" i="115"/>
  <c r="G50" i="115"/>
  <c r="H50" i="115"/>
  <c r="EO51" i="96"/>
  <c r="F50" i="115"/>
  <c r="I50" i="115"/>
  <c r="G51" i="115"/>
  <c r="H51" i="115"/>
  <c r="EO52" i="96"/>
  <c r="F51" i="115"/>
  <c r="I51" i="115"/>
  <c r="G52" i="115"/>
  <c r="H52" i="115"/>
  <c r="EO53" i="96"/>
  <c r="F52" i="115"/>
  <c r="I52" i="115"/>
  <c r="G53" i="115"/>
  <c r="H53" i="115"/>
  <c r="EO54" i="96" a="1"/>
  <c r="EO54" i="96"/>
  <c r="F53" i="115"/>
  <c r="I53" i="115"/>
  <c r="G54" i="115"/>
  <c r="H54" i="115"/>
  <c r="EO55" i="96"/>
  <c r="F54" i="115"/>
  <c r="I54" i="115"/>
  <c r="G55" i="115"/>
  <c r="H55" i="115"/>
  <c r="EO56" i="96"/>
  <c r="F55" i="115"/>
  <c r="I55" i="115"/>
  <c r="G56" i="115"/>
  <c r="H56" i="115"/>
  <c r="EO57" i="96"/>
  <c r="F56" i="115"/>
  <c r="I56" i="115"/>
  <c r="G57" i="115"/>
  <c r="H57" i="115"/>
  <c r="EO58" i="96"/>
  <c r="F57" i="115"/>
  <c r="I57" i="115"/>
  <c r="EO59" i="96"/>
  <c r="F58" i="115"/>
  <c r="G58" i="115"/>
  <c r="H58" i="115"/>
  <c r="I58" i="115"/>
  <c r="EO60" i="96"/>
  <c r="F59" i="115"/>
  <c r="G59" i="115"/>
  <c r="H59" i="115"/>
  <c r="I59" i="115"/>
  <c r="EO11" i="96"/>
  <c r="F10" i="115"/>
  <c r="HP11" i="96"/>
  <c r="G10" i="115"/>
  <c r="I10" i="115"/>
  <c r="D11" i="115"/>
  <c r="D12" i="115"/>
  <c r="D13" i="115"/>
  <c r="D14" i="115"/>
  <c r="D15" i="115"/>
  <c r="D16" i="115"/>
  <c r="D17" i="115"/>
  <c r="D18" i="115"/>
  <c r="D19" i="115"/>
  <c r="D20" i="115"/>
  <c r="D21" i="115"/>
  <c r="D22" i="115"/>
  <c r="D23" i="115"/>
  <c r="D24" i="115"/>
  <c r="D25" i="115"/>
  <c r="D26" i="115"/>
  <c r="D27" i="115"/>
  <c r="D28" i="115"/>
  <c r="D29" i="115"/>
  <c r="D30" i="115"/>
  <c r="D31" i="115"/>
  <c r="D32" i="115"/>
  <c r="D33" i="115"/>
  <c r="D10" i="115"/>
  <c r="AA87" i="83"/>
  <c r="AB74" i="83" a="1"/>
  <c r="AB87" i="83"/>
  <c r="Z87" i="83"/>
  <c r="X74" i="83" a="1"/>
  <c r="X87" i="83"/>
  <c r="AI87" i="83"/>
  <c r="AJ87" i="83"/>
  <c r="GU87" i="83"/>
  <c r="HV87" i="83"/>
  <c r="OG87" i="9"/>
  <c r="OE87" i="9"/>
  <c r="OH87" i="9"/>
  <c r="AA88" i="83"/>
  <c r="AB88" i="83"/>
  <c r="Z88" i="83"/>
  <c r="X88" i="83"/>
  <c r="AI88" i="83"/>
  <c r="AJ88" i="83"/>
  <c r="GU88" i="83"/>
  <c r="HV88" i="83"/>
  <c r="OG88" i="9"/>
  <c r="OE88" i="9"/>
  <c r="OH88" i="9"/>
  <c r="AA89" i="83"/>
  <c r="AB89" i="83"/>
  <c r="Z89" i="83"/>
  <c r="X89" i="83"/>
  <c r="AI89" i="83"/>
  <c r="AJ89" i="83"/>
  <c r="GU89" i="83"/>
  <c r="HV89" i="83"/>
  <c r="OG89" i="9"/>
  <c r="OE89" i="9"/>
  <c r="OH89" i="9"/>
  <c r="AA90" i="83"/>
  <c r="AB90" i="83"/>
  <c r="Z90" i="83"/>
  <c r="X90" i="83"/>
  <c r="AI90" i="83"/>
  <c r="AJ90" i="83"/>
  <c r="GU90" i="83"/>
  <c r="HV90" i="83"/>
  <c r="OG90" i="9"/>
  <c r="OE90" i="9"/>
  <c r="OH90" i="9"/>
  <c r="AA91" i="83"/>
  <c r="AB91" i="83"/>
  <c r="Z91" i="83"/>
  <c r="X91" i="83"/>
  <c r="AI91" i="83"/>
  <c r="AJ91" i="83"/>
  <c r="GU91" i="83"/>
  <c r="HV91" i="83"/>
  <c r="OG91" i="9"/>
  <c r="OE91" i="9"/>
  <c r="OH91" i="9"/>
  <c r="AA92" i="83"/>
  <c r="AB92" i="83"/>
  <c r="Z92" i="83"/>
  <c r="X92" i="83"/>
  <c r="AI92" i="83"/>
  <c r="AJ92" i="83"/>
  <c r="GU92" i="83"/>
  <c r="HV92" i="83"/>
  <c r="OG92" i="9"/>
  <c r="OE92" i="9"/>
  <c r="OH92" i="9"/>
  <c r="AA93" i="83"/>
  <c r="AB93" i="83"/>
  <c r="Z93" i="83"/>
  <c r="X93" i="83"/>
  <c r="AI93" i="83"/>
  <c r="AJ93" i="83"/>
  <c r="GU93" i="83"/>
  <c r="HV93" i="83"/>
  <c r="OG93" i="9"/>
  <c r="OE93" i="9"/>
  <c r="OH93" i="9"/>
  <c r="AA94" i="83"/>
  <c r="AB94" i="83"/>
  <c r="Z94" i="83"/>
  <c r="X94" i="83"/>
  <c r="AI94" i="83"/>
  <c r="AJ94" i="83"/>
  <c r="GU94" i="83"/>
  <c r="HV94" i="83"/>
  <c r="OG94" i="9"/>
  <c r="OE94" i="9"/>
  <c r="OH94" i="9"/>
  <c r="AA95" i="83"/>
  <c r="AB95" i="83"/>
  <c r="Z95" i="83"/>
  <c r="X95" i="83"/>
  <c r="AI95" i="83"/>
  <c r="AJ95" i="83"/>
  <c r="GU95" i="83"/>
  <c r="HV95" i="83"/>
  <c r="OG95" i="9"/>
  <c r="OE95" i="9"/>
  <c r="OH95" i="9"/>
  <c r="AA96" i="83"/>
  <c r="AB96" i="83"/>
  <c r="Z96" i="83"/>
  <c r="X96" i="83"/>
  <c r="AI96" i="83"/>
  <c r="AJ96" i="83"/>
  <c r="GU96" i="83"/>
  <c r="HV96" i="83"/>
  <c r="OG96" i="9"/>
  <c r="OE96" i="9"/>
  <c r="OH96" i="9"/>
  <c r="AA97" i="83"/>
  <c r="AB97" i="83"/>
  <c r="Z97" i="83"/>
  <c r="X97" i="83"/>
  <c r="AI97" i="83"/>
  <c r="AJ97" i="83"/>
  <c r="GU97" i="83"/>
  <c r="HV97" i="83"/>
  <c r="OG97" i="9"/>
  <c r="OE97" i="9"/>
  <c r="OH97" i="9"/>
  <c r="AA98" i="83"/>
  <c r="AB98" i="83"/>
  <c r="Z98" i="83"/>
  <c r="X98" i="83"/>
  <c r="AI98" i="83"/>
  <c r="AJ98" i="83"/>
  <c r="GU98" i="83"/>
  <c r="HV98" i="83"/>
  <c r="OG98" i="9"/>
  <c r="OE98" i="9"/>
  <c r="OH98" i="9"/>
  <c r="AA99" i="83"/>
  <c r="AB99" i="83"/>
  <c r="Z99" i="83"/>
  <c r="X99" i="83"/>
  <c r="AI99" i="83"/>
  <c r="AJ99" i="83"/>
  <c r="GU99" i="83"/>
  <c r="HV99" i="83"/>
  <c r="OG99" i="9"/>
  <c r="OE99" i="9"/>
  <c r="OH99" i="9"/>
  <c r="AA100" i="83"/>
  <c r="AB100" i="83"/>
  <c r="Z100" i="83"/>
  <c r="X100" i="83"/>
  <c r="AI100" i="83"/>
  <c r="AJ100" i="83"/>
  <c r="GU100" i="83"/>
  <c r="HV100" i="83"/>
  <c r="OG100" i="9"/>
  <c r="OE100" i="9"/>
  <c r="OH100" i="9"/>
  <c r="AA101" i="83"/>
  <c r="AB101" i="83"/>
  <c r="Z101" i="83"/>
  <c r="X101" i="83"/>
  <c r="AI101" i="83"/>
  <c r="AJ101" i="83"/>
  <c r="GU101" i="83"/>
  <c r="HV101" i="83"/>
  <c r="OG101" i="9"/>
  <c r="OE101" i="9"/>
  <c r="OH101" i="9"/>
  <c r="AA102" i="83"/>
  <c r="AB102" i="83"/>
  <c r="Z102" i="83"/>
  <c r="X102" i="83"/>
  <c r="AI102" i="83"/>
  <c r="AJ102" i="83"/>
  <c r="GU102" i="83"/>
  <c r="HV102" i="83"/>
  <c r="OG102" i="9"/>
  <c r="OE102" i="9"/>
  <c r="OH102" i="9"/>
  <c r="AA103" i="83"/>
  <c r="AB103" i="83"/>
  <c r="Z103" i="83"/>
  <c r="X103" i="83"/>
  <c r="AI103" i="83"/>
  <c r="AJ103" i="83"/>
  <c r="GU103" i="83"/>
  <c r="HV103" i="83"/>
  <c r="OG103" i="9"/>
  <c r="OE103" i="9"/>
  <c r="OH103" i="9"/>
  <c r="AA104" i="83"/>
  <c r="AB104" i="83"/>
  <c r="Z104" i="83"/>
  <c r="X104" i="83"/>
  <c r="AI104" i="83"/>
  <c r="AJ104" i="83"/>
  <c r="GU104" i="83"/>
  <c r="HV104" i="83"/>
  <c r="OG104" i="9"/>
  <c r="OE104" i="9"/>
  <c r="OH104" i="9"/>
  <c r="AA105" i="83"/>
  <c r="AB105" i="83"/>
  <c r="Z105" i="83"/>
  <c r="X105" i="83"/>
  <c r="AI105" i="83"/>
  <c r="AJ105" i="83"/>
  <c r="GU105" i="83"/>
  <c r="HV105" i="83"/>
  <c r="OG105" i="9"/>
  <c r="OE105" i="9"/>
  <c r="OH105" i="9"/>
  <c r="AA106" i="83"/>
  <c r="AB106" i="83"/>
  <c r="Z106" i="83"/>
  <c r="X106" i="83"/>
  <c r="AI106" i="83"/>
  <c r="AJ106" i="83"/>
  <c r="GU106" i="83"/>
  <c r="HV106" i="83"/>
  <c r="OG106" i="9"/>
  <c r="OE106" i="9"/>
  <c r="OH106" i="9"/>
  <c r="AA107" i="83"/>
  <c r="AB107" i="83"/>
  <c r="Z107" i="83"/>
  <c r="X107" i="83"/>
  <c r="AI107" i="83"/>
  <c r="AJ107" i="83"/>
  <c r="GU107" i="83"/>
  <c r="HV107" i="83"/>
  <c r="OG107" i="9"/>
  <c r="OE107" i="9"/>
  <c r="OH107" i="9"/>
  <c r="AA108" i="83"/>
  <c r="AB108" i="83"/>
  <c r="Z108" i="83"/>
  <c r="X108" i="83"/>
  <c r="AI108" i="83"/>
  <c r="AJ108" i="83"/>
  <c r="GU108" i="83"/>
  <c r="HV108" i="83"/>
  <c r="OG108" i="9"/>
  <c r="OE108" i="9"/>
  <c r="OH108" i="9"/>
  <c r="AA86" i="83"/>
  <c r="AB86" i="83"/>
  <c r="Z86" i="83"/>
  <c r="X86" i="83"/>
  <c r="AI86" i="83"/>
  <c r="AJ86" i="83"/>
  <c r="GU86" i="83"/>
  <c r="HV86" i="83"/>
  <c r="OG86" i="9"/>
  <c r="OE86" i="9"/>
  <c r="OH86" i="9"/>
  <c r="GU40" i="96"/>
  <c r="OF87" i="9"/>
  <c r="GU41" i="96"/>
  <c r="OF88" i="9"/>
  <c r="GU42" i="96"/>
  <c r="OF89" i="9"/>
  <c r="GU43" i="96"/>
  <c r="OF90" i="9"/>
  <c r="GU44" i="96"/>
  <c r="OF91" i="9"/>
  <c r="GU45" i="96"/>
  <c r="OF92" i="9"/>
  <c r="GU46" i="96"/>
  <c r="OF93" i="9"/>
  <c r="GU47" i="96"/>
  <c r="OF94" i="9"/>
  <c r="GU48" i="96"/>
  <c r="OF95" i="9"/>
  <c r="GU49" i="96"/>
  <c r="OF96" i="9"/>
  <c r="GU50" i="96"/>
  <c r="OF97" i="9"/>
  <c r="GU51" i="96"/>
  <c r="OF98" i="9"/>
  <c r="GU52" i="96"/>
  <c r="OF99" i="9"/>
  <c r="GU53" i="96"/>
  <c r="OF100" i="9"/>
  <c r="GU54" i="96"/>
  <c r="OF101" i="9"/>
  <c r="GU55" i="96"/>
  <c r="OF102" i="9"/>
  <c r="GU56" i="96"/>
  <c r="OF103" i="9"/>
  <c r="GU57" i="96"/>
  <c r="OF104" i="9"/>
  <c r="GU58" i="96"/>
  <c r="OF105" i="9"/>
  <c r="GU59" i="96"/>
  <c r="OF106" i="9"/>
  <c r="GU60" i="96"/>
  <c r="OF107" i="9"/>
  <c r="OF108" i="9"/>
  <c r="GU39" i="96"/>
  <c r="OF86" i="9"/>
  <c r="AA83" i="83"/>
  <c r="AB83" i="83"/>
  <c r="Z83" i="83"/>
  <c r="X83" i="83"/>
  <c r="AI83" i="83"/>
  <c r="AJ83" i="83"/>
  <c r="GU83" i="83"/>
  <c r="HV83" i="83"/>
  <c r="OG83" i="9"/>
  <c r="AA84" i="83"/>
  <c r="AB84" i="83"/>
  <c r="Z84" i="83"/>
  <c r="X84" i="83"/>
  <c r="AI84" i="83"/>
  <c r="AJ84" i="83"/>
  <c r="GU84" i="83"/>
  <c r="HV84" i="83"/>
  <c r="OG84" i="9"/>
  <c r="AA85" i="83"/>
  <c r="AB85" i="83"/>
  <c r="Z85" i="83"/>
  <c r="X85" i="83"/>
  <c r="AI85" i="83"/>
  <c r="AJ85" i="83"/>
  <c r="GU85" i="83"/>
  <c r="HV85" i="83"/>
  <c r="OG85" i="9"/>
  <c r="AA82" i="83"/>
  <c r="AB82" i="83"/>
  <c r="Z82" i="83"/>
  <c r="X82" i="83"/>
  <c r="AI82" i="83"/>
  <c r="AJ82" i="83"/>
  <c r="GU82" i="83"/>
  <c r="HV82" i="83"/>
  <c r="OG82" i="9"/>
  <c r="OG59" i="9"/>
  <c r="OG60" i="9"/>
  <c r="OG61" i="9"/>
  <c r="OG62" i="9"/>
  <c r="OG63" i="9"/>
  <c r="OG64" i="9"/>
  <c r="OG65" i="9"/>
  <c r="OG66" i="9"/>
  <c r="OG67" i="9"/>
  <c r="OG68" i="9"/>
  <c r="OG69" i="9"/>
  <c r="OG70" i="9"/>
  <c r="OG71" i="9"/>
  <c r="OG72" i="9"/>
  <c r="OG73" i="9"/>
  <c r="OG74" i="9"/>
  <c r="AA75" i="83"/>
  <c r="AB75" i="83"/>
  <c r="Z75" i="83"/>
  <c r="X75" i="83"/>
  <c r="AI75" i="83"/>
  <c r="AJ75" i="83"/>
  <c r="GU75" i="83"/>
  <c r="HV75" i="83"/>
  <c r="OG75" i="9"/>
  <c r="AA76" i="83"/>
  <c r="AB76" i="83"/>
  <c r="Z76" i="83"/>
  <c r="X76" i="83"/>
  <c r="AI76" i="83"/>
  <c r="AJ76" i="83"/>
  <c r="GU76" i="83"/>
  <c r="HV76" i="83"/>
  <c r="OG76" i="9"/>
  <c r="AA77" i="83"/>
  <c r="AB77" i="83"/>
  <c r="Z77" i="83"/>
  <c r="X77" i="83"/>
  <c r="AI77" i="83"/>
  <c r="AJ77" i="83"/>
  <c r="GU77" i="83"/>
  <c r="HV77" i="83"/>
  <c r="OG77" i="9"/>
  <c r="AA78" i="83"/>
  <c r="AB78" i="83"/>
  <c r="Z78" i="83"/>
  <c r="X78" i="83"/>
  <c r="AI78" i="83"/>
  <c r="AJ78" i="83"/>
  <c r="GU78" i="83"/>
  <c r="HV78" i="83"/>
  <c r="OG78" i="9"/>
  <c r="AA79" i="83"/>
  <c r="AB79" i="83"/>
  <c r="Z79" i="83"/>
  <c r="X79" i="83"/>
  <c r="AI79" i="83"/>
  <c r="AJ79" i="83"/>
  <c r="GU79" i="83"/>
  <c r="HV79" i="83"/>
  <c r="OG79" i="9"/>
  <c r="AA80" i="83"/>
  <c r="AB80" i="83"/>
  <c r="Z80" i="83"/>
  <c r="X80" i="83"/>
  <c r="AI80" i="83"/>
  <c r="AJ80" i="83"/>
  <c r="GU80" i="83"/>
  <c r="HV80" i="83"/>
  <c r="OG80" i="9"/>
  <c r="AA81" i="83"/>
  <c r="AB81" i="83"/>
  <c r="Z81" i="83"/>
  <c r="X81" i="83"/>
  <c r="AI81" i="83"/>
  <c r="AJ81" i="83"/>
  <c r="GU81" i="83"/>
  <c r="HV81" i="83"/>
  <c r="OG81" i="9"/>
  <c r="OG58" i="9"/>
  <c r="CI59" i="9"/>
  <c r="CZ59" i="9"/>
  <c r="FW59" i="9"/>
  <c r="CP59" i="9"/>
  <c r="CK59" i="9"/>
  <c r="OE59" i="9"/>
  <c r="GU12" i="96"/>
  <c r="OF59" i="9"/>
  <c r="CI60" i="9"/>
  <c r="CZ60" i="9"/>
  <c r="FW60" i="9"/>
  <c r="CP60" i="9"/>
  <c r="CK60" i="9"/>
  <c r="OE60" i="9"/>
  <c r="GU13" i="96"/>
  <c r="OF60" i="9"/>
  <c r="CI61" i="9"/>
  <c r="CZ61" i="9"/>
  <c r="FW61" i="9"/>
  <c r="CP61" i="9"/>
  <c r="CK61" i="9"/>
  <c r="OE61" i="9"/>
  <c r="GU14" i="96"/>
  <c r="OF61" i="9"/>
  <c r="CI62" i="9"/>
  <c r="CZ62" i="9"/>
  <c r="FW62" i="9"/>
  <c r="CP62" i="9"/>
  <c r="CK62" i="9"/>
  <c r="OE62" i="9"/>
  <c r="GU15" i="96"/>
  <c r="OF62" i="9"/>
  <c r="CI63" i="9"/>
  <c r="CZ63" i="9"/>
  <c r="FW63" i="9"/>
  <c r="CP63" i="9"/>
  <c r="CK63" i="9"/>
  <c r="OE63" i="9"/>
  <c r="GU16" i="96"/>
  <c r="OF63" i="9"/>
  <c r="CI64" i="9"/>
  <c r="CZ64" i="9"/>
  <c r="FW64" i="9"/>
  <c r="CP64" i="9"/>
  <c r="CK64" i="9"/>
  <c r="OE64" i="9"/>
  <c r="GU17" i="96"/>
  <c r="OF64" i="9"/>
  <c r="FW65" i="9"/>
  <c r="CP65" i="9"/>
  <c r="CK65" i="9"/>
  <c r="OE65" i="9"/>
  <c r="GU18" i="96"/>
  <c r="OF65" i="9"/>
  <c r="FW66" i="9"/>
  <c r="CP66" i="9"/>
  <c r="CK66" i="9"/>
  <c r="OE66" i="9"/>
  <c r="GU19" i="96"/>
  <c r="OF66" i="9"/>
  <c r="CI67" i="9"/>
  <c r="CZ67" i="9"/>
  <c r="FW67" i="9"/>
  <c r="CP67" i="9"/>
  <c r="CK67" i="9"/>
  <c r="OE67" i="9"/>
  <c r="GU20" i="96"/>
  <c r="OF67" i="9"/>
  <c r="CI68" i="9"/>
  <c r="CZ68" i="9"/>
  <c r="FW68" i="9"/>
  <c r="CP68" i="9"/>
  <c r="CK68" i="9"/>
  <c r="OE68" i="9"/>
  <c r="GU21" i="96"/>
  <c r="OF68" i="9"/>
  <c r="CI69" i="9"/>
  <c r="CP69" i="9"/>
  <c r="CK69" i="9"/>
  <c r="OE69" i="9"/>
  <c r="GU22" i="96"/>
  <c r="OF69" i="9"/>
  <c r="CI70" i="9"/>
  <c r="CP70" i="9"/>
  <c r="CK70" i="9"/>
  <c r="OE70" i="9"/>
  <c r="GU23" i="96"/>
  <c r="OF70" i="9"/>
  <c r="CI71" i="9"/>
  <c r="CP71" i="9"/>
  <c r="CK71" i="9"/>
  <c r="OE71" i="9"/>
  <c r="GU24" i="96"/>
  <c r="OF71" i="9"/>
  <c r="CI72" i="9"/>
  <c r="CP72" i="9"/>
  <c r="CK72" i="9"/>
  <c r="OE72" i="9"/>
  <c r="GU25" i="96"/>
  <c r="OF72" i="9"/>
  <c r="CI73" i="9"/>
  <c r="CP73" i="9"/>
  <c r="CK73" i="9"/>
  <c r="OE73" i="9"/>
  <c r="GU26" i="96"/>
  <c r="OF73" i="9"/>
  <c r="OE74" i="9"/>
  <c r="GU27" i="96"/>
  <c r="OF74" i="9"/>
  <c r="OE75" i="9"/>
  <c r="GU28" i="96"/>
  <c r="OF75" i="9"/>
  <c r="OE76" i="9"/>
  <c r="GU29" i="96"/>
  <c r="OF76" i="9"/>
  <c r="OE77" i="9"/>
  <c r="GU30" i="96"/>
  <c r="OF77" i="9"/>
  <c r="OE78" i="9"/>
  <c r="GU31" i="96"/>
  <c r="OF78" i="9"/>
  <c r="OE79" i="9"/>
  <c r="GU32" i="96"/>
  <c r="OF79" i="9"/>
  <c r="OE80" i="9"/>
  <c r="GU33" i="96"/>
  <c r="OF80" i="9"/>
  <c r="OE81" i="9"/>
  <c r="GU34" i="96"/>
  <c r="OF81" i="9"/>
  <c r="OE82" i="9"/>
  <c r="GU35" i="96"/>
  <c r="OF82" i="9"/>
  <c r="OE83" i="9"/>
  <c r="GU36" i="96"/>
  <c r="OF83" i="9"/>
  <c r="OE84" i="9"/>
  <c r="GU37" i="96"/>
  <c r="OF84" i="9"/>
  <c r="OE85" i="9"/>
  <c r="GU38" i="96"/>
  <c r="OF85" i="9"/>
  <c r="CI58" i="9"/>
  <c r="CZ58" i="9"/>
  <c r="FW58" i="9"/>
  <c r="CP58" i="9"/>
  <c r="CK58" i="9"/>
  <c r="OE58" i="9"/>
  <c r="GU11" i="96"/>
  <c r="OF58" i="9"/>
  <c r="PK85" i="9"/>
  <c r="GO38" i="96"/>
  <c r="PL85" i="9"/>
  <c r="PM85" i="9"/>
  <c r="PK86" i="9"/>
  <c r="GO39" i="96"/>
  <c r="PL86" i="9"/>
  <c r="PM86" i="9"/>
  <c r="PK87" i="9"/>
  <c r="GO40" i="96"/>
  <c r="PL87" i="9"/>
  <c r="PM87" i="9"/>
  <c r="PK88" i="9"/>
  <c r="GO41" i="96"/>
  <c r="PL88" i="9"/>
  <c r="PM88" i="9"/>
  <c r="PK89" i="9"/>
  <c r="GO42" i="96"/>
  <c r="PL89" i="9"/>
  <c r="PM89" i="9"/>
  <c r="PK90" i="9"/>
  <c r="PL90" i="9"/>
  <c r="PM90" i="9"/>
  <c r="PK91" i="9"/>
  <c r="PL91" i="9"/>
  <c r="PM91" i="9"/>
  <c r="PK92" i="9"/>
  <c r="PL92" i="9"/>
  <c r="PM92" i="9"/>
  <c r="PK93" i="9"/>
  <c r="PL93" i="9"/>
  <c r="PM93" i="9"/>
  <c r="PK94" i="9"/>
  <c r="PL94" i="9"/>
  <c r="PM94" i="9"/>
  <c r="PK95" i="9"/>
  <c r="PL95" i="9"/>
  <c r="PM95" i="9"/>
  <c r="PK96" i="9"/>
  <c r="PL96" i="9"/>
  <c r="PM96" i="9"/>
  <c r="PK97" i="9"/>
  <c r="PL97" i="9"/>
  <c r="PM97" i="9"/>
  <c r="PK98" i="9"/>
  <c r="PL98" i="9"/>
  <c r="PM98" i="9"/>
  <c r="PK99" i="9"/>
  <c r="PL99" i="9"/>
  <c r="PM99" i="9"/>
  <c r="PK100" i="9"/>
  <c r="PL100" i="9"/>
  <c r="PM100" i="9"/>
  <c r="PK101" i="9"/>
  <c r="PL101" i="9"/>
  <c r="PM101" i="9"/>
  <c r="PK102" i="9"/>
  <c r="PL102" i="9"/>
  <c r="PM102" i="9"/>
  <c r="PK103" i="9"/>
  <c r="PL103" i="9"/>
  <c r="PM103" i="9"/>
  <c r="PK104" i="9"/>
  <c r="PL104" i="9"/>
  <c r="PM104" i="9"/>
  <c r="PK105" i="9"/>
  <c r="PL105" i="9"/>
  <c r="PM105" i="9"/>
  <c r="PK106" i="9"/>
  <c r="PL106" i="9"/>
  <c r="PM106" i="9"/>
  <c r="PK107" i="9"/>
  <c r="PL107" i="9"/>
  <c r="PM107" i="9"/>
  <c r="PL108" i="9"/>
  <c r="PM108" i="9"/>
  <c r="PK84" i="9"/>
  <c r="GO37" i="96"/>
  <c r="PL84" i="9"/>
  <c r="PM84" i="9"/>
  <c r="PL59" i="9"/>
  <c r="PL60" i="9"/>
  <c r="PL61" i="9"/>
  <c r="GO15" i="96"/>
  <c r="PL62" i="9"/>
  <c r="PL63" i="9"/>
  <c r="PL64" i="9"/>
  <c r="PL65" i="9"/>
  <c r="PL66" i="9"/>
  <c r="PL67" i="9"/>
  <c r="PL68" i="9"/>
  <c r="GO22" i="96"/>
  <c r="PL69" i="9"/>
  <c r="PL70" i="9"/>
  <c r="PL71" i="9"/>
  <c r="PL72" i="9"/>
  <c r="PL73" i="9"/>
  <c r="PL74" i="9"/>
  <c r="GO28" i="96"/>
  <c r="PL75" i="9"/>
  <c r="GO29" i="96"/>
  <c r="PL76" i="9"/>
  <c r="GO30" i="96"/>
  <c r="PL77" i="9"/>
  <c r="GO31" i="96"/>
  <c r="PL78" i="9"/>
  <c r="GO32" i="96"/>
  <c r="PL79" i="9"/>
  <c r="GO33" i="96"/>
  <c r="PL80" i="9"/>
  <c r="GO34" i="96"/>
  <c r="PL81" i="9"/>
  <c r="GO35" i="96"/>
  <c r="PL82" i="9"/>
  <c r="GO36" i="96"/>
  <c r="PL83" i="9"/>
  <c r="HM12" i="96"/>
  <c r="PI59" i="9"/>
  <c r="PJ59" i="9"/>
  <c r="HM13" i="96"/>
  <c r="PI60" i="9"/>
  <c r="PJ60" i="9"/>
  <c r="HM14" i="96"/>
  <c r="PI61" i="9"/>
  <c r="PJ61" i="9"/>
  <c r="HM15" i="96"/>
  <c r="PI62" i="9"/>
  <c r="PJ62" i="9"/>
  <c r="HM16" i="96"/>
  <c r="PI63" i="9"/>
  <c r="PJ63" i="9"/>
  <c r="HM17" i="96"/>
  <c r="PI64" i="9"/>
  <c r="PJ64" i="9"/>
  <c r="HM18" i="96"/>
  <c r="PI65" i="9"/>
  <c r="PJ65" i="9"/>
  <c r="HM19" i="96"/>
  <c r="PI66" i="9"/>
  <c r="PJ66" i="9"/>
  <c r="HM20" i="96"/>
  <c r="PI67" i="9"/>
  <c r="PJ67" i="9"/>
  <c r="HM21" i="96"/>
  <c r="PI68" i="9"/>
  <c r="PJ68" i="9"/>
  <c r="HM22" i="96"/>
  <c r="PI69" i="9"/>
  <c r="PJ69" i="9"/>
  <c r="HM23" i="96"/>
  <c r="PI70" i="9"/>
  <c r="PJ70" i="9"/>
  <c r="HM24" i="96"/>
  <c r="PI71" i="9"/>
  <c r="PJ71" i="9"/>
  <c r="HM25" i="96"/>
  <c r="PI72" i="9"/>
  <c r="PJ72" i="9"/>
  <c r="HM26" i="96"/>
  <c r="PI73" i="9"/>
  <c r="PJ73" i="9"/>
  <c r="HM27" i="96"/>
  <c r="PI74" i="9"/>
  <c r="PJ74" i="9"/>
  <c r="HM28" i="96"/>
  <c r="PI75" i="9"/>
  <c r="PJ75" i="9"/>
  <c r="HM29" i="96"/>
  <c r="PI76" i="9"/>
  <c r="PJ76" i="9"/>
  <c r="HM30" i="96"/>
  <c r="PI77" i="9"/>
  <c r="PJ77" i="9"/>
  <c r="HM31" i="96"/>
  <c r="PI78" i="9"/>
  <c r="PJ78" i="9"/>
  <c r="HM32" i="96"/>
  <c r="PI79" i="9"/>
  <c r="PJ79" i="9"/>
  <c r="HM33" i="96"/>
  <c r="PI80" i="9"/>
  <c r="PJ80" i="9"/>
  <c r="HM34" i="96"/>
  <c r="PI81" i="9"/>
  <c r="PJ81" i="9"/>
  <c r="HM35" i="96"/>
  <c r="PI82" i="9"/>
  <c r="PJ82" i="9"/>
  <c r="HM36" i="96"/>
  <c r="PI83" i="9"/>
  <c r="PJ83" i="9"/>
  <c r="HM37" i="96"/>
  <c r="PI84" i="9"/>
  <c r="PJ84" i="9"/>
  <c r="HM38" i="96"/>
  <c r="PI85" i="9"/>
  <c r="PJ85" i="9"/>
  <c r="HM39" i="96"/>
  <c r="PI86" i="9"/>
  <c r="PJ86" i="9"/>
  <c r="HM40" i="96"/>
  <c r="PI87" i="9"/>
  <c r="PJ87" i="9"/>
  <c r="HM41" i="96"/>
  <c r="PI88" i="9"/>
  <c r="PJ88" i="9"/>
  <c r="HM42" i="96"/>
  <c r="PI89" i="9"/>
  <c r="PJ89" i="9"/>
  <c r="HM43" i="96"/>
  <c r="PI90" i="9"/>
  <c r="PJ90" i="9"/>
  <c r="HM44" i="96"/>
  <c r="PI91" i="9"/>
  <c r="PJ91" i="9"/>
  <c r="HM45" i="96"/>
  <c r="PI92" i="9"/>
  <c r="PJ92" i="9"/>
  <c r="HM46" i="96"/>
  <c r="PI93" i="9"/>
  <c r="PJ93" i="9"/>
  <c r="HM47" i="96"/>
  <c r="PI94" i="9"/>
  <c r="PJ94" i="9"/>
  <c r="HM48" i="96"/>
  <c r="PI95" i="9"/>
  <c r="PJ95" i="9"/>
  <c r="HM49" i="96"/>
  <c r="PI96" i="9"/>
  <c r="PJ96" i="9"/>
  <c r="HM50" i="96"/>
  <c r="PI97" i="9"/>
  <c r="PJ97" i="9"/>
  <c r="HM51" i="96"/>
  <c r="PI98" i="9"/>
  <c r="PJ98" i="9"/>
  <c r="HM52" i="96"/>
  <c r="PI99" i="9"/>
  <c r="PJ99" i="9"/>
  <c r="HM53" i="96"/>
  <c r="PI100" i="9"/>
  <c r="PJ100" i="9"/>
  <c r="HM54" i="96"/>
  <c r="PI101" i="9"/>
  <c r="PJ101" i="9"/>
  <c r="HM55" i="96"/>
  <c r="PI102" i="9"/>
  <c r="PJ102" i="9"/>
  <c r="HM56" i="96"/>
  <c r="PI103" i="9"/>
  <c r="PJ103" i="9"/>
  <c r="HM57" i="96"/>
  <c r="PI104" i="9"/>
  <c r="PJ104" i="9"/>
  <c r="HM58" i="96"/>
  <c r="PI105" i="9"/>
  <c r="PJ105" i="9"/>
  <c r="HM59" i="96"/>
  <c r="PI106" i="9"/>
  <c r="PJ106" i="9"/>
  <c r="HM60" i="96"/>
  <c r="PI107" i="9"/>
  <c r="PJ107" i="9"/>
  <c r="PH59" i="9"/>
  <c r="PH60" i="9"/>
  <c r="PH61" i="9"/>
  <c r="PH62" i="9"/>
  <c r="PH63" i="9"/>
  <c r="PH64" i="9"/>
  <c r="PH65" i="9"/>
  <c r="PH66" i="9"/>
  <c r="PH67" i="9"/>
  <c r="PH68" i="9"/>
  <c r="PH69" i="9"/>
  <c r="PH70" i="9"/>
  <c r="PH71" i="9"/>
  <c r="PH72" i="9"/>
  <c r="PH73" i="9"/>
  <c r="PH74" i="9"/>
  <c r="PH75" i="9"/>
  <c r="PH76" i="9"/>
  <c r="PH77" i="9"/>
  <c r="PH78" i="9"/>
  <c r="PH79" i="9"/>
  <c r="PH80" i="9"/>
  <c r="PH81" i="9"/>
  <c r="PH82" i="9"/>
  <c r="PH83" i="9"/>
  <c r="PH84" i="9"/>
  <c r="PH85" i="9"/>
  <c r="PH86" i="9"/>
  <c r="PH87" i="9"/>
  <c r="PH88" i="9"/>
  <c r="PH89" i="9"/>
  <c r="PH90" i="9"/>
  <c r="PH91" i="9"/>
  <c r="PH92" i="9"/>
  <c r="PH93" i="9"/>
  <c r="PH94" i="9"/>
  <c r="PH95" i="9"/>
  <c r="PH96" i="9"/>
  <c r="PH97" i="9"/>
  <c r="PH98" i="9"/>
  <c r="PH99" i="9"/>
  <c r="PH100" i="9"/>
  <c r="PH101" i="9"/>
  <c r="PH102" i="9"/>
  <c r="PH103" i="9"/>
  <c r="PH104" i="9"/>
  <c r="PH105" i="9"/>
  <c r="PH106" i="9"/>
  <c r="PH107" i="9"/>
  <c r="PH58" i="9"/>
  <c r="HJ19" i="96"/>
  <c r="HJ20" i="96"/>
  <c r="HJ21" i="96"/>
  <c r="HJ23" i="96"/>
  <c r="HJ24" i="96"/>
  <c r="HJ25" i="96"/>
  <c r="HJ26" i="96"/>
  <c r="ES69" i="9"/>
  <c r="ES70" i="9"/>
  <c r="ES71" i="9"/>
  <c r="ES72" i="9"/>
  <c r="ES73" i="9"/>
  <c r="DA74" i="9"/>
  <c r="ES74" i="9"/>
  <c r="AU66" i="96"/>
  <c r="DE66" i="96"/>
  <c r="FH27" i="96"/>
  <c r="FG27" i="96"/>
  <c r="FI27" i="96"/>
  <c r="FH22" i="96"/>
  <c r="FI22" i="96"/>
  <c r="FH15" i="96"/>
  <c r="FI15" i="96"/>
  <c r="FH11" i="96"/>
  <c r="FI11" i="96"/>
  <c r="IA22" i="96"/>
  <c r="IA15" i="96"/>
  <c r="IA11" i="96"/>
  <c r="CZ75" i="9"/>
  <c r="DA75" i="9"/>
  <c r="FH28" i="96"/>
  <c r="FK12" i="96"/>
  <c r="FK13" i="96"/>
  <c r="FK14" i="96"/>
  <c r="AV62" i="9"/>
  <c r="FK15" i="96"/>
  <c r="FK16" i="96"/>
  <c r="FK17" i="96"/>
  <c r="FK18" i="96"/>
  <c r="FK19" i="96"/>
  <c r="FK20" i="96"/>
  <c r="FK21" i="96"/>
  <c r="AV69" i="9"/>
  <c r="FK22" i="96"/>
  <c r="FK23" i="96"/>
  <c r="FK24" i="96"/>
  <c r="FK25" i="96"/>
  <c r="FK26" i="96"/>
  <c r="FK27" i="96"/>
  <c r="FK28" i="96"/>
  <c r="AV76" i="9"/>
  <c r="FK29" i="96"/>
  <c r="FK30" i="96"/>
  <c r="AV78" i="9"/>
  <c r="FK31" i="96"/>
  <c r="FK32" i="96"/>
  <c r="AV80" i="9"/>
  <c r="FK33" i="96"/>
  <c r="FK34" i="96"/>
  <c r="FK35" i="96"/>
  <c r="FK36" i="96"/>
  <c r="FK37" i="96"/>
  <c r="FK38" i="96"/>
  <c r="FK39" i="96"/>
  <c r="FK40" i="96"/>
  <c r="FK41" i="96"/>
  <c r="FK42" i="96"/>
  <c r="FK43" i="96"/>
  <c r="FK44" i="96"/>
  <c r="FK45" i="96"/>
  <c r="FK46" i="96"/>
  <c r="FK47" i="96"/>
  <c r="FK48" i="96"/>
  <c r="FK49" i="96"/>
  <c r="FK50" i="96"/>
  <c r="FK51" i="96"/>
  <c r="FK52" i="96"/>
  <c r="FK53" i="96"/>
  <c r="FK54" i="96"/>
  <c r="FK55" i="96"/>
  <c r="FK56" i="96"/>
  <c r="FK57" i="96"/>
  <c r="FK58" i="96"/>
  <c r="FK59" i="96"/>
  <c r="FK60" i="96"/>
  <c r="AV58" i="9"/>
  <c r="FK11" i="96"/>
  <c r="HJ22" i="96"/>
  <c r="AW62" i="9"/>
  <c r="GM15" i="96"/>
  <c r="AW69" i="9"/>
  <c r="GM22" i="96"/>
  <c r="AW74" i="9"/>
  <c r="GM27" i="96"/>
  <c r="GM28" i="96"/>
  <c r="AW76" i="9"/>
  <c r="GM29" i="96"/>
  <c r="GM30" i="96"/>
  <c r="AW78" i="9"/>
  <c r="GM31" i="96"/>
  <c r="GM32" i="96"/>
  <c r="AW80" i="9"/>
  <c r="GM33" i="96"/>
  <c r="GM34" i="96"/>
  <c r="GM35" i="96"/>
  <c r="AW83" i="9"/>
  <c r="GM36" i="96"/>
  <c r="GM37" i="96"/>
  <c r="GM38" i="96"/>
  <c r="GM39" i="96"/>
  <c r="AY86" i="9"/>
  <c r="AY88" i="9"/>
  <c r="AY87" i="9"/>
  <c r="AW87" i="9"/>
  <c r="GM40" i="96"/>
  <c r="GM41" i="96"/>
  <c r="GM42" i="96"/>
  <c r="GM43" i="96"/>
  <c r="GM44" i="96"/>
  <c r="GM45" i="96"/>
  <c r="GM46" i="96"/>
  <c r="GM47" i="96"/>
  <c r="GM48" i="96"/>
  <c r="GM49" i="96"/>
  <c r="GM50" i="96"/>
  <c r="GM51" i="96"/>
  <c r="GM52" i="96"/>
  <c r="GM53" i="96"/>
  <c r="GM54" i="96"/>
  <c r="GM55" i="96"/>
  <c r="GM56" i="96"/>
  <c r="GM57" i="96"/>
  <c r="GM58" i="96"/>
  <c r="AY105" i="9"/>
  <c r="AY106" i="9"/>
  <c r="AW106" i="9"/>
  <c r="GM59" i="96"/>
  <c r="GM60" i="96"/>
  <c r="AX84" i="9"/>
  <c r="AX85" i="9"/>
  <c r="AX86" i="9"/>
  <c r="AX87" i="9"/>
  <c r="AX88" i="9"/>
  <c r="AX89" i="9"/>
  <c r="AX90" i="9"/>
  <c r="AX91" i="9"/>
  <c r="AX92" i="9"/>
  <c r="AX93" i="9"/>
  <c r="AX94" i="9"/>
  <c r="AX95" i="9"/>
  <c r="AX96" i="9"/>
  <c r="AX97" i="9"/>
  <c r="AX98" i="9"/>
  <c r="AX99" i="9"/>
  <c r="AX100" i="9"/>
  <c r="AX101" i="9"/>
  <c r="AX102" i="9"/>
  <c r="AX103" i="9"/>
  <c r="AX104" i="9"/>
  <c r="AX105" i="9"/>
  <c r="AX106" i="9"/>
  <c r="AX83" i="9"/>
  <c r="AX80" i="9"/>
  <c r="AX78" i="9"/>
  <c r="AX76" i="9"/>
  <c r="AX74" i="9"/>
  <c r="AZ57" i="9"/>
  <c r="AV57" i="9"/>
  <c r="BA57" i="9"/>
  <c r="AW57" i="9"/>
  <c r="AX57" i="9"/>
  <c r="AW58" i="9"/>
  <c r="AX58" i="9"/>
  <c r="AX59" i="9"/>
  <c r="AX60" i="9"/>
  <c r="AX61" i="9"/>
  <c r="AX62" i="9"/>
  <c r="AX63" i="9"/>
  <c r="AX64" i="9"/>
  <c r="AX65" i="9"/>
  <c r="AX66" i="9"/>
  <c r="AX67" i="9"/>
  <c r="AX68" i="9"/>
  <c r="AX69" i="9"/>
  <c r="AX70" i="9"/>
  <c r="AX71" i="9"/>
  <c r="AX72" i="9"/>
  <c r="AZ56" i="9"/>
  <c r="AV56" i="9"/>
  <c r="BA56" i="9"/>
  <c r="AW56" i="9"/>
  <c r="AX56" i="9"/>
  <c r="AY56" i="9"/>
  <c r="AY57" i="9"/>
  <c r="AY58" i="9"/>
  <c r="AY59" i="9"/>
  <c r="AY60" i="9"/>
  <c r="AY61" i="9"/>
  <c r="AY62" i="9"/>
  <c r="AY63" i="9"/>
  <c r="AY64" i="9"/>
  <c r="AY65" i="9"/>
  <c r="AY66" i="9"/>
  <c r="AY67" i="9"/>
  <c r="BA70" i="9"/>
  <c r="AY68" i="9"/>
  <c r="AY70" i="9"/>
  <c r="AY71" i="9"/>
  <c r="AY72" i="9"/>
  <c r="AY76" i="9"/>
  <c r="AY78" i="9"/>
  <c r="AY80" i="9"/>
  <c r="AY83" i="9"/>
  <c r="AY84" i="9"/>
  <c r="AY85" i="9"/>
  <c r="AY89" i="9"/>
  <c r="AY90" i="9"/>
  <c r="AY91" i="9"/>
  <c r="AY92" i="9"/>
  <c r="AY93" i="9"/>
  <c r="AY94" i="9"/>
  <c r="AY95" i="9"/>
  <c r="AY96" i="9"/>
  <c r="AY97" i="9"/>
  <c r="AY98" i="9"/>
  <c r="AY99" i="9"/>
  <c r="AY100" i="9"/>
  <c r="AY101" i="9"/>
  <c r="AY102" i="9"/>
  <c r="AY103" i="9"/>
  <c r="AY104" i="9"/>
  <c r="HJ27" i="96"/>
  <c r="HJ28" i="96"/>
  <c r="HJ29" i="96"/>
  <c r="HJ30" i="96"/>
  <c r="GP15" i="96"/>
  <c r="GP22" i="96"/>
  <c r="GP29" i="96"/>
  <c r="GP31" i="96"/>
  <c r="GP33" i="96"/>
  <c r="GP36" i="96"/>
  <c r="GP37" i="96"/>
  <c r="GP38" i="96"/>
  <c r="GP39" i="96"/>
  <c r="GP40" i="96"/>
  <c r="GP41" i="96"/>
  <c r="GP42" i="96"/>
  <c r="GP43" i="96"/>
  <c r="GP44" i="96"/>
  <c r="GP45" i="96"/>
  <c r="GP46" i="96"/>
  <c r="GP47" i="96"/>
  <c r="GP48" i="96"/>
  <c r="GP49" i="96"/>
  <c r="GP50" i="96"/>
  <c r="GP51" i="96"/>
  <c r="GP52" i="96"/>
  <c r="GP53" i="96"/>
  <c r="GP54" i="96"/>
  <c r="GP55" i="96"/>
  <c r="GP56" i="96"/>
  <c r="GP57" i="96"/>
  <c r="GP58" i="96"/>
  <c r="GP59" i="96"/>
  <c r="GP60" i="96"/>
  <c r="BA22" i="96"/>
  <c r="BA35" i="96"/>
  <c r="BA40" i="96"/>
  <c r="BA41" i="96"/>
  <c r="BA42" i="96"/>
  <c r="BA43" i="96"/>
  <c r="BA44" i="96"/>
  <c r="BA45" i="96"/>
  <c r="BA46" i="96"/>
  <c r="BA47" i="96"/>
  <c r="BA48" i="96"/>
  <c r="BA49" i="96"/>
  <c r="BA50" i="96"/>
  <c r="BA51" i="96"/>
  <c r="BA52" i="96"/>
  <c r="BA53" i="96"/>
  <c r="BA54" i="96"/>
  <c r="BA55" i="96"/>
  <c r="BA56" i="96"/>
  <c r="BA57" i="96"/>
  <c r="BA58" i="96"/>
  <c r="BA59" i="96"/>
  <c r="BA60" i="96"/>
  <c r="BJ11" i="96"/>
  <c r="BJ22" i="96"/>
  <c r="AZ35" i="96"/>
  <c r="BJ35" i="96"/>
  <c r="AZ40" i="96"/>
  <c r="AZ41" i="96"/>
  <c r="AZ42" i="96"/>
  <c r="AZ43" i="96"/>
  <c r="BJ43" i="96"/>
  <c r="AZ44" i="96"/>
  <c r="BJ44" i="96"/>
  <c r="AZ45" i="96"/>
  <c r="BJ45" i="96"/>
  <c r="AZ46" i="96"/>
  <c r="BJ46" i="96"/>
  <c r="AZ47" i="96"/>
  <c r="BJ47" i="96"/>
  <c r="AZ48" i="96"/>
  <c r="BJ48" i="96"/>
  <c r="AZ49" i="96"/>
  <c r="BJ49" i="96"/>
  <c r="AZ50" i="96"/>
  <c r="BJ50" i="96"/>
  <c r="AZ51" i="96"/>
  <c r="BJ51" i="96"/>
  <c r="AZ52" i="96"/>
  <c r="BJ52" i="96"/>
  <c r="AZ53" i="96"/>
  <c r="BJ53" i="96"/>
  <c r="AZ54" i="96"/>
  <c r="BJ54" i="96"/>
  <c r="AZ55" i="96"/>
  <c r="BJ55" i="96"/>
  <c r="AZ56" i="96"/>
  <c r="BJ56" i="96"/>
  <c r="AZ57" i="96"/>
  <c r="BJ57" i="96"/>
  <c r="AZ58" i="96"/>
  <c r="BJ58" i="96"/>
  <c r="AZ59" i="96"/>
  <c r="BJ59" i="96"/>
  <c r="AZ60" i="96"/>
  <c r="BJ60" i="96"/>
  <c r="DH11" i="96"/>
  <c r="CS19" i="96"/>
  <c r="CS20" i="96"/>
  <c r="CS21" i="96"/>
  <c r="CS22" i="96"/>
  <c r="DH22" i="96"/>
  <c r="CS35" i="96"/>
  <c r="DH35" i="96"/>
  <c r="CS40" i="96"/>
  <c r="CS41" i="96"/>
  <c r="CS42" i="96"/>
  <c r="CS43" i="96"/>
  <c r="DH43" i="96"/>
  <c r="CS44" i="96"/>
  <c r="DH44" i="96"/>
  <c r="CS45" i="96"/>
  <c r="DH45" i="96"/>
  <c r="CS46" i="96"/>
  <c r="DH46" i="96"/>
  <c r="CS47" i="96"/>
  <c r="DH47" i="96"/>
  <c r="CS48" i="96"/>
  <c r="DH48" i="96"/>
  <c r="CS49" i="96"/>
  <c r="DH49" i="96"/>
  <c r="CS50" i="96"/>
  <c r="DH50" i="96"/>
  <c r="CS51" i="96"/>
  <c r="DH51" i="96"/>
  <c r="CS52" i="96"/>
  <c r="DH52" i="96"/>
  <c r="CS53" i="96"/>
  <c r="DH53" i="96"/>
  <c r="CS54" i="96"/>
  <c r="DH54" i="96"/>
  <c r="CS55" i="96"/>
  <c r="DH55" i="96"/>
  <c r="CS56" i="96"/>
  <c r="DH56" i="96"/>
  <c r="CS57" i="96"/>
  <c r="DH57" i="96"/>
  <c r="CS58" i="96"/>
  <c r="DH58" i="96"/>
  <c r="CS59" i="96"/>
  <c r="DH59" i="96"/>
  <c r="CS60" i="96"/>
  <c r="DH60" i="96"/>
  <c r="AZ74" i="9"/>
  <c r="CZ74" i="9"/>
  <c r="DI27" i="96"/>
  <c r="BD75" i="9"/>
  <c r="BE75" i="9"/>
  <c r="BA78" i="9"/>
  <c r="AZ78" i="9"/>
  <c r="BB78" i="9"/>
  <c r="BA76" i="9"/>
  <c r="AZ76" i="9"/>
  <c r="BB76" i="9"/>
  <c r="BD76" i="9"/>
  <c r="BE76" i="9"/>
  <c r="BD77" i="9"/>
  <c r="BE77" i="9"/>
  <c r="BD78" i="9"/>
  <c r="BE78" i="9"/>
  <c r="BD79" i="9"/>
  <c r="BE79" i="9"/>
  <c r="BA80" i="9"/>
  <c r="AZ80" i="9"/>
  <c r="BB80" i="9"/>
  <c r="AZ83" i="9"/>
  <c r="BA83" i="9"/>
  <c r="BB83" i="9"/>
  <c r="BA102" i="9"/>
  <c r="BB102" i="9"/>
  <c r="BA101" i="9"/>
  <c r="BB101" i="9"/>
  <c r="BA100" i="9"/>
  <c r="BB100" i="9"/>
  <c r="BD97" i="9"/>
  <c r="BE97" i="9"/>
  <c r="BD62" i="9"/>
  <c r="BE62" i="9"/>
  <c r="BD69" i="9"/>
  <c r="BE6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8" i="9"/>
  <c r="BE98" i="9"/>
  <c r="BD99" i="9"/>
  <c r="BE99" i="9"/>
  <c r="BD100" i="9"/>
  <c r="BE100" i="9"/>
  <c r="BD101" i="9"/>
  <c r="BE101" i="9"/>
  <c r="BD102" i="9"/>
  <c r="BE102" i="9"/>
  <c r="BD103" i="9"/>
  <c r="BE103" i="9"/>
  <c r="BD104" i="9"/>
  <c r="BE104" i="9"/>
  <c r="BD105" i="9"/>
  <c r="BE105" i="9"/>
  <c r="BD106" i="9"/>
  <c r="BE106" i="9"/>
  <c r="BA99" i="9"/>
  <c r="BB99" i="9"/>
  <c r="BB98" i="9"/>
  <c r="AZ87" i="9"/>
  <c r="BA87" i="9"/>
  <c r="BB87" i="9"/>
  <c r="BA88" i="9"/>
  <c r="BB88" i="9"/>
  <c r="BA89" i="9"/>
  <c r="BB89" i="9"/>
  <c r="BA90" i="9"/>
  <c r="BB90" i="9"/>
  <c r="BA91" i="9"/>
  <c r="BB91" i="9"/>
  <c r="BA92" i="9"/>
  <c r="BB92" i="9"/>
  <c r="BA93" i="9"/>
  <c r="BB93" i="9"/>
  <c r="BA94" i="9"/>
  <c r="BB94" i="9"/>
  <c r="BA95" i="9"/>
  <c r="BB95" i="9"/>
  <c r="BA96" i="9"/>
  <c r="BB96" i="9"/>
  <c r="BB97" i="9"/>
  <c r="BA85" i="9"/>
  <c r="BB85" i="9"/>
  <c r="BA86" i="9"/>
  <c r="BB86" i="9"/>
  <c r="BA84" i="9"/>
  <c r="BB84" i="9"/>
  <c r="BD58" i="9"/>
  <c r="BE58" i="9"/>
  <c r="BB67" i="9"/>
  <c r="AR67" i="9"/>
  <c r="AS67" i="9"/>
  <c r="BB65" i="9"/>
  <c r="AR63" i="9"/>
  <c r="AS63" i="9"/>
  <c r="AR59" i="9"/>
  <c r="AS59" i="9"/>
  <c r="AV47" i="9"/>
  <c r="AV52" i="9"/>
  <c r="AT72" i="9"/>
  <c r="AU71" i="9"/>
  <c r="AU70" i="9"/>
  <c r="AT69" i="9"/>
  <c r="AU69" i="9"/>
  <c r="AZ70" i="9"/>
  <c r="D21" i="9" a="1"/>
  <c r="D68" i="9"/>
  <c r="O68" i="9"/>
  <c r="AH21" i="9" a="1"/>
  <c r="AH68" i="9"/>
  <c r="AQ68" i="9"/>
  <c r="D69" i="9"/>
  <c r="O69" i="9"/>
  <c r="AH69" i="9"/>
  <c r="AQ69" i="9"/>
  <c r="BB57" i="9"/>
  <c r="BB61" i="9"/>
  <c r="AT60" i="9"/>
  <c r="AT76" i="9"/>
  <c r="AT78" i="9"/>
  <c r="AT80" i="9"/>
  <c r="AT83" i="9"/>
  <c r="AS87" i="9"/>
  <c r="AS60" i="9"/>
  <c r="BC66" i="9"/>
  <c r="BB66" i="9"/>
  <c r="AU60" i="9"/>
  <c r="AT62" i="9"/>
  <c r="AU62" i="9"/>
  <c r="AT64" i="9"/>
  <c r="AU64" i="9"/>
  <c r="AT66" i="9"/>
  <c r="AU66" i="9"/>
  <c r="AT58" i="9"/>
  <c r="BB56" i="9"/>
  <c r="HV11" i="96"/>
  <c r="HU11" i="96"/>
  <c r="HT11" i="96"/>
  <c r="HS11" i="96"/>
  <c r="HR11" i="96"/>
  <c r="HQ11" i="96"/>
  <c r="HW11" i="96"/>
  <c r="HX11" i="96"/>
  <c r="HV15" i="96"/>
  <c r="HU15" i="96"/>
  <c r="HT15" i="96"/>
  <c r="HS15" i="96"/>
  <c r="HR15" i="96"/>
  <c r="HQ15" i="96"/>
  <c r="HW15" i="96"/>
  <c r="HX15" i="96"/>
  <c r="EJ16" i="96"/>
  <c r="EJ17" i="96"/>
  <c r="EJ18" i="96"/>
  <c r="EJ19" i="96"/>
  <c r="EJ20" i="96"/>
  <c r="EJ21" i="96"/>
  <c r="EJ22" i="96"/>
  <c r="EJ23" i="96"/>
  <c r="EJ24" i="96"/>
  <c r="EJ25" i="96"/>
  <c r="EJ26" i="96"/>
  <c r="EJ28" i="96"/>
  <c r="EJ29" i="96"/>
  <c r="EJ30" i="96"/>
  <c r="EJ31" i="96"/>
  <c r="EJ32" i="96"/>
  <c r="EJ33" i="96"/>
  <c r="EJ34" i="96"/>
  <c r="EJ35" i="96"/>
  <c r="EJ36" i="96"/>
  <c r="EJ37" i="96"/>
  <c r="EJ38" i="96"/>
  <c r="EJ39" i="96"/>
  <c r="EJ40" i="96"/>
  <c r="EJ41" i="96"/>
  <c r="EJ42" i="96"/>
  <c r="EJ43" i="96"/>
  <c r="EJ44" i="96"/>
  <c r="EJ45" i="96"/>
  <c r="EJ46" i="96"/>
  <c r="EJ47" i="96"/>
  <c r="EJ48" i="96"/>
  <c r="EJ49" i="96"/>
  <c r="EJ50" i="96"/>
  <c r="EJ51" i="96"/>
  <c r="EJ52" i="96"/>
  <c r="EJ53" i="96"/>
  <c r="EJ54" i="96"/>
  <c r="EJ55" i="96"/>
  <c r="EJ56" i="96"/>
  <c r="EJ57" i="96"/>
  <c r="EJ58" i="96"/>
  <c r="EJ59" i="96"/>
  <c r="EJ60" i="96"/>
  <c r="EJ11" i="96"/>
  <c r="CS28" i="96"/>
  <c r="DH28" i="96"/>
  <c r="CS29" i="96"/>
  <c r="DH29" i="96"/>
  <c r="CS30" i="96"/>
  <c r="DH30" i="96"/>
  <c r="CS31" i="96"/>
  <c r="DH31" i="96"/>
  <c r="CS32" i="96"/>
  <c r="DH32" i="96"/>
  <c r="CS33" i="96"/>
  <c r="DH33" i="96"/>
  <c r="CS34" i="96"/>
  <c r="DH34" i="96"/>
  <c r="CS36" i="96"/>
  <c r="DH36" i="96"/>
  <c r="CS37" i="96"/>
  <c r="DH37" i="96"/>
  <c r="CS38" i="96"/>
  <c r="DH38" i="96"/>
  <c r="CS39" i="96"/>
  <c r="DH39" i="96"/>
  <c r="DH40" i="96"/>
  <c r="DH41" i="96"/>
  <c r="DH42" i="96"/>
  <c r="BK22" i="96"/>
  <c r="BK28" i="96"/>
  <c r="BK29" i="96"/>
  <c r="BK30" i="96"/>
  <c r="BK31" i="96"/>
  <c r="BK32" i="96"/>
  <c r="BK33" i="96"/>
  <c r="BK34" i="96"/>
  <c r="BK35" i="96"/>
  <c r="BK36" i="96"/>
  <c r="BK37" i="96"/>
  <c r="BK38" i="96"/>
  <c r="BK39" i="96"/>
  <c r="BK40" i="96"/>
  <c r="BK41" i="96"/>
  <c r="BK42" i="96"/>
  <c r="BK43" i="96"/>
  <c r="BK44" i="96"/>
  <c r="BK45" i="96"/>
  <c r="BK46" i="96"/>
  <c r="BK47" i="96"/>
  <c r="BK48" i="96"/>
  <c r="BK49" i="96"/>
  <c r="BK50" i="96"/>
  <c r="BK51" i="96"/>
  <c r="BK52" i="96"/>
  <c r="BK53" i="96"/>
  <c r="BK54" i="96"/>
  <c r="BK55" i="96"/>
  <c r="BK56" i="96"/>
  <c r="BK57" i="96"/>
  <c r="BK58" i="96"/>
  <c r="BK59" i="96"/>
  <c r="BK60" i="96"/>
  <c r="AR74" i="9"/>
  <c r="BB72" i="9"/>
  <c r="AR75" i="9"/>
  <c r="AR76" i="9"/>
  <c r="CZ76" i="9"/>
  <c r="AR77" i="9"/>
  <c r="CZ77" i="9"/>
  <c r="AR78" i="9"/>
  <c r="CZ78" i="9"/>
  <c r="AR79" i="9"/>
  <c r="CZ79" i="9"/>
  <c r="AR80" i="9"/>
  <c r="CZ80" i="9"/>
  <c r="AR81" i="9"/>
  <c r="CZ81" i="9"/>
  <c r="AR82" i="9"/>
  <c r="CZ82" i="9"/>
  <c r="AR83" i="9"/>
  <c r="CZ83" i="9"/>
  <c r="AR84" i="9"/>
  <c r="CZ84" i="9"/>
  <c r="AR85" i="9"/>
  <c r="CZ85" i="9"/>
  <c r="AR86" i="9"/>
  <c r="CZ86" i="9"/>
  <c r="AR87" i="9"/>
  <c r="CZ87" i="9"/>
  <c r="AR88" i="9"/>
  <c r="CZ88" i="9"/>
  <c r="AR89" i="9"/>
  <c r="CZ89" i="9"/>
  <c r="AR90" i="9"/>
  <c r="CZ90" i="9"/>
  <c r="AR91" i="9"/>
  <c r="CI91" i="9"/>
  <c r="CZ91" i="9"/>
  <c r="DB91" i="9" a="1"/>
  <c r="DB91" i="9"/>
  <c r="DC91" i="9" a="1"/>
  <c r="DC91" i="9"/>
  <c r="DD91" i="9" a="1"/>
  <c r="DD91" i="9"/>
  <c r="DE91" i="9" a="1"/>
  <c r="DE91" i="9"/>
  <c r="DA93" i="9" a="1"/>
  <c r="DA93" i="9"/>
  <c r="DB93" i="9"/>
  <c r="DC93" i="9"/>
  <c r="DD93" i="9" a="1"/>
  <c r="DD93" i="9"/>
  <c r="DE93" i="9"/>
  <c r="DF93" i="9"/>
  <c r="DB92" i="9"/>
  <c r="DC92" i="9"/>
  <c r="DD92" i="9"/>
  <c r="DE92" i="9"/>
  <c r="DF92" i="9"/>
  <c r="DF91" i="9"/>
  <c r="DA91" i="9"/>
  <c r="AR92" i="9"/>
  <c r="CI92" i="9"/>
  <c r="CZ92" i="9"/>
  <c r="DA92" i="9"/>
  <c r="AR93" i="9"/>
  <c r="CI93" i="9"/>
  <c r="CZ93" i="9"/>
  <c r="AR94" i="9"/>
  <c r="CI94" i="9"/>
  <c r="CZ94" i="9"/>
  <c r="DA94" i="9"/>
  <c r="AR95" i="9"/>
  <c r="CI95" i="9"/>
  <c r="CZ95" i="9"/>
  <c r="DA95" i="9"/>
  <c r="AR96" i="9"/>
  <c r="CI96" i="9"/>
  <c r="CZ96" i="9"/>
  <c r="DA96" i="9"/>
  <c r="AR97" i="9"/>
  <c r="CI97" i="9"/>
  <c r="CZ97" i="9"/>
  <c r="DA97" i="9"/>
  <c r="AR98" i="9"/>
  <c r="CI98" i="9"/>
  <c r="CZ98" i="9"/>
  <c r="DA98" i="9"/>
  <c r="AR99" i="9"/>
  <c r="CI99" i="9"/>
  <c r="CZ99" i="9"/>
  <c r="DA99" i="9"/>
  <c r="AR100" i="9"/>
  <c r="CI100" i="9"/>
  <c r="CZ100" i="9"/>
  <c r="DA100" i="9"/>
  <c r="AR101" i="9"/>
  <c r="CI101" i="9"/>
  <c r="CZ101" i="9"/>
  <c r="DA101" i="9"/>
  <c r="AR102" i="9"/>
  <c r="CI102" i="9"/>
  <c r="CZ102" i="9"/>
  <c r="DA102" i="9"/>
  <c r="AR103" i="9"/>
  <c r="CI103" i="9"/>
  <c r="CZ103" i="9"/>
  <c r="DA103" i="9"/>
  <c r="AR104" i="9"/>
  <c r="CI104" i="9"/>
  <c r="CZ104" i="9"/>
  <c r="DA104" i="9"/>
  <c r="AR105" i="9"/>
  <c r="CI105" i="9"/>
  <c r="CZ105" i="9"/>
  <c r="DA105" i="9"/>
  <c r="AR106" i="9"/>
  <c r="CI106" i="9"/>
  <c r="CZ106" i="9"/>
  <c r="DA106" i="9"/>
  <c r="AR107" i="9"/>
  <c r="CI107" i="9"/>
  <c r="CZ107" i="9"/>
  <c r="DA107" i="9"/>
  <c r="AR108" i="9"/>
  <c r="CI108" i="9"/>
  <c r="CZ108" i="9"/>
  <c r="DA108" i="9"/>
  <c r="OB59" i="9"/>
  <c r="NV59" i="9"/>
  <c r="NZ59" i="9"/>
  <c r="OC59" i="9"/>
  <c r="OB60" i="9"/>
  <c r="NV60" i="9"/>
  <c r="NZ60" i="9"/>
  <c r="OC60" i="9"/>
  <c r="OB61" i="9"/>
  <c r="NV61" i="9"/>
  <c r="NZ61" i="9"/>
  <c r="OC61" i="9"/>
  <c r="OB62" i="9"/>
  <c r="NV62" i="9"/>
  <c r="NZ62" i="9"/>
  <c r="OC62" i="9"/>
  <c r="OB63" i="9"/>
  <c r="NV63" i="9"/>
  <c r="NZ63" i="9"/>
  <c r="OC63" i="9"/>
  <c r="OB64" i="9"/>
  <c r="NV64" i="9"/>
  <c r="NZ64" i="9"/>
  <c r="OC64" i="9"/>
  <c r="OB65" i="9"/>
  <c r="NV65" i="9"/>
  <c r="NZ65" i="9"/>
  <c r="OC65" i="9"/>
  <c r="OB66" i="9"/>
  <c r="NV66" i="9"/>
  <c r="NZ66" i="9"/>
  <c r="OC66" i="9"/>
  <c r="OB67" i="9"/>
  <c r="NV67" i="9"/>
  <c r="NZ67" i="9"/>
  <c r="OC67" i="9"/>
  <c r="GX68" i="83" a="1"/>
  <c r="GX68" i="83"/>
  <c r="OB68" i="9"/>
  <c r="NV68" i="9"/>
  <c r="NZ68" i="9"/>
  <c r="OC68" i="9"/>
  <c r="GX69" i="83"/>
  <c r="OB69" i="9"/>
  <c r="NV69" i="9"/>
  <c r="NZ69" i="9"/>
  <c r="OC69" i="9"/>
  <c r="GX70" i="83"/>
  <c r="OB70" i="9"/>
  <c r="NV70" i="9"/>
  <c r="NZ70" i="9"/>
  <c r="OC70" i="9"/>
  <c r="GX71" i="83"/>
  <c r="OB71" i="9"/>
  <c r="NV71" i="9"/>
  <c r="NZ71" i="9"/>
  <c r="OC71" i="9"/>
  <c r="GX72" i="83"/>
  <c r="OB72" i="9"/>
  <c r="NV72" i="9"/>
  <c r="NZ72" i="9"/>
  <c r="OC72" i="9"/>
  <c r="GX73" i="83"/>
  <c r="OB73" i="9"/>
  <c r="NV73" i="9"/>
  <c r="NZ73" i="9"/>
  <c r="OC73" i="9"/>
  <c r="GX74" i="83"/>
  <c r="OB74" i="9"/>
  <c r="NV74" i="9"/>
  <c r="NZ74" i="9"/>
  <c r="OC74" i="9"/>
  <c r="GX75" i="83"/>
  <c r="OB75" i="9"/>
  <c r="NV75" i="9"/>
  <c r="NZ75" i="9"/>
  <c r="OC75" i="9"/>
  <c r="GX76" i="83"/>
  <c r="OB76" i="9"/>
  <c r="NV76" i="9"/>
  <c r="NZ76" i="9"/>
  <c r="OC76" i="9"/>
  <c r="GX77" i="83"/>
  <c r="OB77" i="9"/>
  <c r="NV77" i="9"/>
  <c r="NZ77" i="9"/>
  <c r="OC77" i="9"/>
  <c r="GX78" i="83"/>
  <c r="OB78" i="9"/>
  <c r="NV78" i="9"/>
  <c r="NZ78" i="9"/>
  <c r="OC78" i="9"/>
  <c r="GX79" i="83"/>
  <c r="OB79" i="9"/>
  <c r="NV79" i="9"/>
  <c r="NZ79" i="9"/>
  <c r="OC79" i="9"/>
  <c r="GX80" i="83"/>
  <c r="OB80" i="9"/>
  <c r="NV80" i="9"/>
  <c r="NZ80" i="9"/>
  <c r="OC80" i="9"/>
  <c r="GX81" i="83"/>
  <c r="OB81" i="9"/>
  <c r="NV81" i="9"/>
  <c r="NZ81" i="9"/>
  <c r="OC81" i="9"/>
  <c r="GX82" i="83"/>
  <c r="OB82" i="9"/>
  <c r="NV82" i="9"/>
  <c r="NZ82" i="9"/>
  <c r="OC82" i="9"/>
  <c r="GX83" i="83"/>
  <c r="OB83" i="9"/>
  <c r="NV83" i="9"/>
  <c r="NZ83" i="9"/>
  <c r="OC83" i="9"/>
  <c r="GX84" i="83"/>
  <c r="OB84" i="9"/>
  <c r="NV84" i="9"/>
  <c r="NZ84" i="9"/>
  <c r="OC84" i="9"/>
  <c r="GX85" i="83"/>
  <c r="OB85" i="9"/>
  <c r="NV85" i="9"/>
  <c r="NZ85" i="9"/>
  <c r="OC85" i="9"/>
  <c r="GX86" i="83"/>
  <c r="OB86" i="9"/>
  <c r="NV86" i="9"/>
  <c r="NZ86" i="9"/>
  <c r="OC86" i="9"/>
  <c r="GX87" i="83"/>
  <c r="OB87" i="9"/>
  <c r="NV87" i="9"/>
  <c r="NZ87" i="9"/>
  <c r="OC87" i="9"/>
  <c r="GX88" i="83"/>
  <c r="OB88" i="9"/>
  <c r="NV88" i="9"/>
  <c r="NZ88" i="9"/>
  <c r="OC88" i="9"/>
  <c r="GX89" i="83"/>
  <c r="OB89" i="9"/>
  <c r="NV89" i="9"/>
  <c r="NZ89" i="9"/>
  <c r="OC89" i="9"/>
  <c r="GX90" i="83"/>
  <c r="OB90" i="9"/>
  <c r="NV90" i="9"/>
  <c r="NZ90" i="9"/>
  <c r="OC90" i="9"/>
  <c r="GX91" i="83"/>
  <c r="OB91" i="9"/>
  <c r="NV91" i="9"/>
  <c r="NZ91" i="9"/>
  <c r="OC91" i="9"/>
  <c r="GX92" i="83"/>
  <c r="OB92" i="9"/>
  <c r="NV92" i="9"/>
  <c r="NZ92" i="9"/>
  <c r="OC92" i="9"/>
  <c r="GX93" i="83"/>
  <c r="OB93" i="9"/>
  <c r="NV93" i="9"/>
  <c r="NZ93" i="9"/>
  <c r="OC93" i="9"/>
  <c r="GX94" i="83"/>
  <c r="OB94" i="9"/>
  <c r="NV94" i="9"/>
  <c r="NZ94" i="9"/>
  <c r="OC94" i="9"/>
  <c r="GX95" i="83"/>
  <c r="OB95" i="9"/>
  <c r="NV95" i="9"/>
  <c r="NZ95" i="9"/>
  <c r="OC95" i="9"/>
  <c r="GX96" i="83"/>
  <c r="OB96" i="9"/>
  <c r="NV96" i="9"/>
  <c r="NZ96" i="9"/>
  <c r="OC96" i="9"/>
  <c r="GX97" i="83"/>
  <c r="OB97" i="9"/>
  <c r="NV97" i="9"/>
  <c r="NZ97" i="9"/>
  <c r="OC97" i="9"/>
  <c r="GX98" i="83"/>
  <c r="OB98" i="9"/>
  <c r="NV98" i="9"/>
  <c r="NZ98" i="9"/>
  <c r="OC98" i="9"/>
  <c r="GX99" i="83"/>
  <c r="OB99" i="9"/>
  <c r="NV99" i="9"/>
  <c r="NZ99" i="9"/>
  <c r="OC99" i="9"/>
  <c r="GX100" i="83"/>
  <c r="OB100" i="9"/>
  <c r="NV100" i="9"/>
  <c r="NZ100" i="9"/>
  <c r="OC100" i="9"/>
  <c r="GX101" i="83"/>
  <c r="OB101" i="9"/>
  <c r="NV101" i="9"/>
  <c r="NZ101" i="9"/>
  <c r="OC101" i="9"/>
  <c r="GX102" i="83"/>
  <c r="OB102" i="9"/>
  <c r="NV102" i="9"/>
  <c r="NZ102" i="9"/>
  <c r="OC102" i="9"/>
  <c r="GX103" i="83"/>
  <c r="OB103" i="9"/>
  <c r="NV103" i="9"/>
  <c r="NZ103" i="9"/>
  <c r="OC103" i="9"/>
  <c r="GX104" i="83"/>
  <c r="OB104" i="9"/>
  <c r="NV104" i="9"/>
  <c r="NZ104" i="9"/>
  <c r="OC104" i="9"/>
  <c r="GX105" i="83"/>
  <c r="OB105" i="9"/>
  <c r="NV105" i="9"/>
  <c r="NZ105" i="9"/>
  <c r="OC105" i="9"/>
  <c r="GX106" i="83"/>
  <c r="OB106" i="9"/>
  <c r="NV106" i="9"/>
  <c r="NZ106" i="9"/>
  <c r="OC106" i="9"/>
  <c r="GX107" i="83"/>
  <c r="OB107" i="9"/>
  <c r="NV107" i="9"/>
  <c r="NZ107" i="9"/>
  <c r="OC107" i="9"/>
  <c r="GX108" i="83"/>
  <c r="OB108" i="9"/>
  <c r="NV108" i="9"/>
  <c r="NZ108" i="9"/>
  <c r="OC108" i="9"/>
  <c r="NV58" i="9"/>
  <c r="NZ58" i="9"/>
  <c r="OC58" i="9"/>
  <c r="OB58" i="9"/>
  <c r="NZ192" i="9"/>
  <c r="NZ182" i="9"/>
  <c r="NZ172" i="9"/>
  <c r="NZ162" i="9"/>
  <c r="NZ152" i="9"/>
  <c r="NZ142" i="9"/>
  <c r="NY192" i="9"/>
  <c r="NY182" i="9"/>
  <c r="NY172" i="9"/>
  <c r="NY162" i="9"/>
  <c r="NY152" i="9"/>
  <c r="NY142" i="9"/>
  <c r="NW58" i="9"/>
  <c r="CS53" i="83"/>
  <c r="CS54" i="83"/>
  <c r="CS55" i="83"/>
  <c r="CS56" i="83"/>
  <c r="CS57" i="83"/>
  <c r="CS52" i="83"/>
  <c r="CN40" i="9" a="1"/>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74" i="9"/>
  <c r="CO74" i="9"/>
  <c r="CN40" i="9"/>
  <c r="CN41" i="9"/>
  <c r="CN42" i="9"/>
  <c r="CN43" i="9"/>
  <c r="CN44" i="9"/>
  <c r="CN45" i="9"/>
  <c r="CN46" i="9"/>
  <c r="CN47" i="9"/>
  <c r="CN48" i="9"/>
  <c r="CN49" i="9"/>
  <c r="CN50" i="9"/>
  <c r="CN51" i="9"/>
  <c r="CN52" i="9"/>
  <c r="CN53" i="9"/>
  <c r="CN54" i="9"/>
  <c r="CN55" i="9"/>
  <c r="CN56" i="9"/>
  <c r="CN57" i="9"/>
  <c r="CN58" i="9"/>
  <c r="CN59" i="9"/>
  <c r="CN60" i="9"/>
  <c r="CN61" i="9"/>
  <c r="CN62" i="9"/>
  <c r="CN63" i="9"/>
  <c r="CN64" i="9"/>
  <c r="CN65" i="9"/>
  <c r="CN66" i="9"/>
  <c r="CN67" i="9"/>
  <c r="CN68" i="9"/>
  <c r="CN69" i="9"/>
  <c r="CN70" i="9"/>
  <c r="CN71" i="9"/>
  <c r="CN72" i="9"/>
  <c r="CN73" i="9"/>
  <c r="X52" i="83"/>
  <c r="AB52" i="83"/>
  <c r="AA52" i="83"/>
  <c r="AK52" i="83"/>
  <c r="AL52" i="83"/>
  <c r="X53" i="83"/>
  <c r="AB53" i="83"/>
  <c r="AA53" i="83"/>
  <c r="AK53" i="83"/>
  <c r="AL53" i="83"/>
  <c r="X54" i="83"/>
  <c r="AB54" i="83"/>
  <c r="AA54" i="83"/>
  <c r="AK54" i="83"/>
  <c r="AL54" i="83"/>
  <c r="X55" i="83"/>
  <c r="AB55" i="83"/>
  <c r="AA55" i="83"/>
  <c r="AK55" i="83"/>
  <c r="AL55" i="83"/>
  <c r="X56" i="83"/>
  <c r="AB56" i="83"/>
  <c r="AA56" i="83"/>
  <c r="AK56" i="83"/>
  <c r="AL56" i="83"/>
  <c r="X57" i="83"/>
  <c r="AB57" i="83"/>
  <c r="AA57" i="83"/>
  <c r="AK57" i="83"/>
  <c r="AL57" i="83"/>
  <c r="X58" i="83"/>
  <c r="AB58" i="83"/>
  <c r="AA58" i="83"/>
  <c r="AK58" i="83"/>
  <c r="AL58" i="83"/>
  <c r="X59" i="83"/>
  <c r="AB59" i="83"/>
  <c r="AA59" i="83"/>
  <c r="AK59" i="83"/>
  <c r="AL59" i="83"/>
  <c r="X60" i="83"/>
  <c r="AB60" i="83"/>
  <c r="AA60" i="83"/>
  <c r="AK60" i="83"/>
  <c r="AL60" i="83"/>
  <c r="X61" i="83"/>
  <c r="AB61" i="83"/>
  <c r="AA61" i="83"/>
  <c r="AK61" i="83"/>
  <c r="AL61" i="83"/>
  <c r="X62" i="83"/>
  <c r="AB62" i="83"/>
  <c r="AA62" i="83"/>
  <c r="AK62" i="83"/>
  <c r="AL62" i="83"/>
  <c r="X63" i="83"/>
  <c r="AB63" i="83"/>
  <c r="AA63" i="83"/>
  <c r="AK63" i="83"/>
  <c r="AL63" i="83"/>
  <c r="X64" i="83"/>
  <c r="AB64" i="83"/>
  <c r="AA64" i="83"/>
  <c r="AK64" i="83"/>
  <c r="AL64" i="83"/>
  <c r="X65" i="83"/>
  <c r="AB65" i="83"/>
  <c r="AA65" i="83"/>
  <c r="AK65" i="83"/>
  <c r="AL65" i="83"/>
  <c r="X66" i="83"/>
  <c r="AB66" i="83"/>
  <c r="AA66" i="83"/>
  <c r="AK66" i="83"/>
  <c r="AL66" i="83"/>
  <c r="X67" i="83"/>
  <c r="AB67" i="83"/>
  <c r="AA67" i="83"/>
  <c r="AK67" i="83"/>
  <c r="AL67" i="83"/>
  <c r="X68" i="83"/>
  <c r="AB68" i="83"/>
  <c r="AA68" i="83"/>
  <c r="AK68" i="83"/>
  <c r="AL68" i="83"/>
  <c r="X69" i="83"/>
  <c r="AB69" i="83"/>
  <c r="AA69" i="83"/>
  <c r="AK69" i="83"/>
  <c r="AL69" i="83"/>
  <c r="AB74" i="83"/>
  <c r="Z74" i="83"/>
  <c r="Z60" i="83"/>
  <c r="Z61" i="83"/>
  <c r="Z62" i="83"/>
  <c r="Z63" i="83"/>
  <c r="Z64" i="83"/>
  <c r="Z65" i="83"/>
  <c r="Z66" i="83"/>
  <c r="Z67" i="83"/>
  <c r="Z68" i="83"/>
  <c r="Z69" i="83"/>
  <c r="Z59" i="83"/>
  <c r="Z58" i="83"/>
  <c r="BJ74" i="83" a="1"/>
  <c r="BJ107" i="83"/>
  <c r="BJ106" i="83"/>
  <c r="BJ105" i="83"/>
  <c r="BJ104" i="83"/>
  <c r="BJ103" i="83"/>
  <c r="BJ102" i="83"/>
  <c r="BJ101" i="83"/>
  <c r="BJ100" i="83"/>
  <c r="BJ99" i="83"/>
  <c r="BJ98" i="83"/>
  <c r="BJ97" i="83"/>
  <c r="BJ96" i="83"/>
  <c r="BJ95" i="83"/>
  <c r="BJ94" i="83"/>
  <c r="BJ93" i="83"/>
  <c r="BJ92" i="83"/>
  <c r="BJ91" i="83"/>
  <c r="BJ90" i="83"/>
  <c r="BJ89" i="83"/>
  <c r="BJ88" i="83"/>
  <c r="BJ87" i="83"/>
  <c r="BJ86" i="83"/>
  <c r="BJ85" i="83"/>
  <c r="BJ84" i="83"/>
  <c r="BJ83" i="83"/>
  <c r="BJ82" i="83"/>
  <c r="BJ81" i="83"/>
  <c r="BJ80" i="83"/>
  <c r="BJ79" i="83"/>
  <c r="BJ78" i="83"/>
  <c r="BJ77" i="83"/>
  <c r="BJ76" i="83"/>
  <c r="BJ75" i="83"/>
  <c r="BJ74" i="83"/>
  <c r="BJ108" i="83"/>
  <c r="Z52" i="83"/>
  <c r="Z53" i="83"/>
  <c r="Z54" i="83"/>
  <c r="Z55" i="83"/>
  <c r="Z56" i="83"/>
  <c r="Z57" i="83"/>
  <c r="AK40" i="83"/>
  <c r="AB40" i="83"/>
  <c r="AK41" i="83"/>
  <c r="AB41" i="83"/>
  <c r="AK42" i="83"/>
  <c r="AB42" i="83"/>
  <c r="AK43" i="83"/>
  <c r="AB43" i="83"/>
  <c r="AK44" i="83"/>
  <c r="AB44" i="83"/>
  <c r="AK45" i="83"/>
  <c r="AB45" i="83"/>
  <c r="AK46" i="83"/>
  <c r="AB46" i="83"/>
  <c r="AK47" i="83"/>
  <c r="AB47" i="83"/>
  <c r="AK48" i="83"/>
  <c r="AB48" i="83"/>
  <c r="AK49" i="83"/>
  <c r="AB49" i="83"/>
  <c r="AK50" i="83"/>
  <c r="AB50" i="83"/>
  <c r="AK51" i="83"/>
  <c r="AB51" i="83"/>
  <c r="AM57" i="83"/>
  <c r="AM56" i="83"/>
  <c r="AM55" i="83"/>
  <c r="AM54" i="83"/>
  <c r="AM53" i="83"/>
  <c r="AM52" i="83"/>
  <c r="AK75" i="83"/>
  <c r="AL75" i="83"/>
  <c r="AK76" i="83"/>
  <c r="AL76" i="83"/>
  <c r="AK77" i="83"/>
  <c r="AL77" i="83"/>
  <c r="AK78" i="83"/>
  <c r="AL78" i="83"/>
  <c r="AK79" i="83"/>
  <c r="AL79" i="83"/>
  <c r="AK80" i="83"/>
  <c r="AL80" i="83"/>
  <c r="AK81" i="83"/>
  <c r="AL81" i="83"/>
  <c r="AK82" i="83"/>
  <c r="AL82" i="83"/>
  <c r="AK83" i="83"/>
  <c r="AL83" i="83"/>
  <c r="AK84" i="83"/>
  <c r="AL84" i="83"/>
  <c r="AK85" i="83"/>
  <c r="AL85" i="83"/>
  <c r="AK86" i="83"/>
  <c r="AL86" i="83"/>
  <c r="AK87" i="83"/>
  <c r="AL87" i="83"/>
  <c r="AK88" i="83"/>
  <c r="AL88" i="83"/>
  <c r="AK89" i="83"/>
  <c r="AL89" i="83"/>
  <c r="AK90" i="83"/>
  <c r="AL90" i="83"/>
  <c r="AK91" i="83"/>
  <c r="AL91" i="83"/>
  <c r="AK92" i="83"/>
  <c r="AL92" i="83"/>
  <c r="AK93" i="83"/>
  <c r="AL93" i="83"/>
  <c r="AK94" i="83"/>
  <c r="AL94" i="83"/>
  <c r="AK95" i="83"/>
  <c r="AL95" i="83"/>
  <c r="AK96" i="83"/>
  <c r="AL96" i="83"/>
  <c r="AK97" i="83"/>
  <c r="AL97" i="83"/>
  <c r="AK98" i="83"/>
  <c r="AL98" i="83"/>
  <c r="AK99" i="83"/>
  <c r="AL99" i="83"/>
  <c r="AK100" i="83"/>
  <c r="AL100" i="83"/>
  <c r="AK101" i="83"/>
  <c r="AL101" i="83"/>
  <c r="AK102" i="83"/>
  <c r="AL102" i="83"/>
  <c r="AK103" i="83"/>
  <c r="AL103" i="83"/>
  <c r="AK104" i="83"/>
  <c r="AL104" i="83"/>
  <c r="AK105" i="83"/>
  <c r="AL105" i="83"/>
  <c r="AK106" i="83"/>
  <c r="AL106" i="83"/>
  <c r="AK107" i="83"/>
  <c r="AL107" i="83"/>
  <c r="AK108" i="83"/>
  <c r="AL108" i="83"/>
  <c r="NW60" i="9"/>
  <c r="NW61" i="9"/>
  <c r="NW62" i="9"/>
  <c r="NW63" i="9"/>
  <c r="NW64" i="9"/>
  <c r="NW65" i="9"/>
  <c r="NW66" i="9"/>
  <c r="NW67" i="9"/>
  <c r="NW68" i="9"/>
  <c r="NW69" i="9"/>
  <c r="NW70" i="9"/>
  <c r="NW71" i="9"/>
  <c r="NW72" i="9"/>
  <c r="NW73" i="9"/>
  <c r="NW74" i="9"/>
  <c r="NW75" i="9"/>
  <c r="NW76" i="9"/>
  <c r="NW77" i="9"/>
  <c r="NW78" i="9"/>
  <c r="NW79" i="9"/>
  <c r="NW80" i="9"/>
  <c r="NW81" i="9"/>
  <c r="NW82" i="9"/>
  <c r="NW83" i="9"/>
  <c r="NW84" i="9"/>
  <c r="NW85" i="9"/>
  <c r="NW86" i="9"/>
  <c r="NW87" i="9"/>
  <c r="NW88" i="9"/>
  <c r="NW89" i="9"/>
  <c r="NW90" i="9"/>
  <c r="NW91" i="9"/>
  <c r="NW92" i="9"/>
  <c r="NW93" i="9"/>
  <c r="NW94" i="9"/>
  <c r="NW95" i="9"/>
  <c r="NW96" i="9"/>
  <c r="NW97" i="9"/>
  <c r="NW98" i="9"/>
  <c r="NW99" i="9"/>
  <c r="NW100" i="9"/>
  <c r="NW101" i="9"/>
  <c r="NW102" i="9"/>
  <c r="NW103" i="9"/>
  <c r="NW104" i="9"/>
  <c r="NW105" i="9"/>
  <c r="NW106" i="9"/>
  <c r="NW107" i="9"/>
  <c r="NW108" i="9"/>
  <c r="NW59" i="9"/>
  <c r="NW192" i="9"/>
  <c r="NW182" i="9"/>
  <c r="NW172" i="9"/>
  <c r="NW162" i="9"/>
  <c r="NW152" i="9"/>
  <c r="NW142" i="9"/>
  <c r="NV192" i="9"/>
  <c r="NV182" i="9"/>
  <c r="NV172" i="9"/>
  <c r="NV162" i="9"/>
  <c r="NV152" i="9"/>
  <c r="NV142" i="9"/>
  <c r="NU152" i="9"/>
  <c r="NU142" i="9"/>
  <c r="OL75" i="9"/>
  <c r="OL76" i="9"/>
  <c r="OL77" i="9"/>
  <c r="OL78" i="9"/>
  <c r="OL79" i="9"/>
  <c r="OL80" i="9"/>
  <c r="OL81" i="9"/>
  <c r="OL82" i="9"/>
  <c r="OL83" i="9"/>
  <c r="OL84" i="9"/>
  <c r="OL85" i="9"/>
  <c r="OL86" i="9"/>
  <c r="OL87" i="9"/>
  <c r="OL88" i="9"/>
  <c r="OL89" i="9"/>
  <c r="OL90" i="9"/>
  <c r="OL91" i="9"/>
  <c r="OL92" i="9"/>
  <c r="OL93" i="9"/>
  <c r="OL94" i="9"/>
  <c r="OL95" i="9"/>
  <c r="OL96" i="9"/>
  <c r="OL97" i="9"/>
  <c r="OL98" i="9"/>
  <c r="OL99" i="9"/>
  <c r="OL100" i="9"/>
  <c r="OL101" i="9"/>
  <c r="OL102" i="9"/>
  <c r="OL103" i="9"/>
  <c r="OL104" i="9"/>
  <c r="OL105" i="9"/>
  <c r="OL106" i="9"/>
  <c r="OL107" i="9"/>
  <c r="OL108" i="9"/>
  <c r="OL74" i="9"/>
  <c r="OK75" i="9"/>
  <c r="OK76" i="9"/>
  <c r="OK77" i="9"/>
  <c r="OK78" i="9"/>
  <c r="OK79" i="9"/>
  <c r="OK80" i="9"/>
  <c r="OK81" i="9"/>
  <c r="OK82" i="9"/>
  <c r="OK83" i="9"/>
  <c r="OK84" i="9"/>
  <c r="OK85" i="9"/>
  <c r="OK86" i="9"/>
  <c r="OK87" i="9"/>
  <c r="OK88" i="9"/>
  <c r="OK89" i="9"/>
  <c r="OK90" i="9"/>
  <c r="OK91" i="9"/>
  <c r="OK92" i="9"/>
  <c r="OK93" i="9"/>
  <c r="OK94" i="9"/>
  <c r="OK95" i="9"/>
  <c r="OK96" i="9"/>
  <c r="OK97" i="9"/>
  <c r="OK98" i="9"/>
  <c r="OK99" i="9"/>
  <c r="OK100" i="9"/>
  <c r="OK101" i="9"/>
  <c r="OK102" i="9"/>
  <c r="OK103" i="9"/>
  <c r="OK104" i="9"/>
  <c r="OK105" i="9"/>
  <c r="OK106" i="9"/>
  <c r="OK107" i="9"/>
  <c r="OK108" i="9"/>
  <c r="OK74" i="9"/>
  <c r="CZ42" i="9"/>
  <c r="DB42" i="9"/>
  <c r="CZ43" i="9"/>
  <c r="DB43" i="9"/>
  <c r="CZ44" i="9"/>
  <c r="DB44" i="9"/>
  <c r="CZ45" i="9"/>
  <c r="DB45" i="9"/>
  <c r="CZ46" i="9"/>
  <c r="DB46" i="9"/>
  <c r="CZ47" i="9"/>
  <c r="DB47" i="9"/>
  <c r="CZ48" i="9"/>
  <c r="DB48" i="9"/>
  <c r="CZ49" i="9"/>
  <c r="DB49" i="9"/>
  <c r="CZ50" i="9"/>
  <c r="DB50" i="9"/>
  <c r="CZ51" i="9"/>
  <c r="DB51" i="9"/>
  <c r="CI52" i="9"/>
  <c r="CZ52" i="9"/>
  <c r="DB52" i="9"/>
  <c r="CI53" i="9"/>
  <c r="CZ53" i="9"/>
  <c r="DB53" i="9"/>
  <c r="CI54" i="9"/>
  <c r="CZ54" i="9"/>
  <c r="DB54" i="9"/>
  <c r="CI55" i="9"/>
  <c r="CZ55" i="9"/>
  <c r="DB55" i="9"/>
  <c r="CI56" i="9"/>
  <c r="CZ56" i="9"/>
  <c r="DB56" i="9"/>
  <c r="CI57" i="9"/>
  <c r="CZ57" i="9"/>
  <c r="DB57" i="9"/>
  <c r="DB58" i="9"/>
  <c r="DB59" i="9"/>
  <c r="DB60" i="9"/>
  <c r="DB61" i="9"/>
  <c r="DB62" i="9"/>
  <c r="DB63" i="9"/>
  <c r="NU192" i="9"/>
  <c r="NU182" i="9"/>
  <c r="NU172" i="9"/>
  <c r="NU162" i="9"/>
  <c r="CX74" i="9"/>
  <c r="CY74" i="9"/>
  <c r="MN74" i="9"/>
  <c r="OO74" i="9"/>
  <c r="FW57" i="9"/>
  <c r="CP57" i="9"/>
  <c r="CK57" i="9"/>
  <c r="MN58" i="9"/>
  <c r="OO58" i="9"/>
  <c r="MN59" i="9"/>
  <c r="OO59" i="9"/>
  <c r="MN60" i="9"/>
  <c r="OO60" i="9"/>
  <c r="MN61" i="9"/>
  <c r="OO61" i="9"/>
  <c r="MN62" i="9"/>
  <c r="OO62" i="9"/>
  <c r="MN63" i="9"/>
  <c r="OO63" i="9"/>
  <c r="MN64" i="9"/>
  <c r="OO64" i="9"/>
  <c r="MN65" i="9"/>
  <c r="OO65" i="9"/>
  <c r="MN66" i="9"/>
  <c r="OO66" i="9"/>
  <c r="MN67" i="9"/>
  <c r="OO67" i="9"/>
  <c r="MN68" i="9"/>
  <c r="OO68" i="9"/>
  <c r="MN69" i="9"/>
  <c r="OO69" i="9"/>
  <c r="MN70" i="9"/>
  <c r="OO70" i="9"/>
  <c r="MN71" i="9"/>
  <c r="OO71" i="9"/>
  <c r="MN72" i="9"/>
  <c r="OO72" i="9"/>
  <c r="MN73" i="9"/>
  <c r="OO73" i="9"/>
  <c r="BF15" i="9"/>
  <c r="AE84" i="9"/>
  <c r="D84" i="9"/>
  <c r="AG84" i="9"/>
  <c r="AE85" i="9"/>
  <c r="D85" i="9"/>
  <c r="AG85" i="9"/>
  <c r="AE86" i="9"/>
  <c r="D86" i="9"/>
  <c r="AG86" i="9"/>
  <c r="AE87" i="9"/>
  <c r="D87" i="9"/>
  <c r="AG87" i="9"/>
  <c r="AE88" i="9"/>
  <c r="D88" i="9"/>
  <c r="AG88" i="9"/>
  <c r="AE89" i="9"/>
  <c r="D89" i="9"/>
  <c r="AG89" i="9"/>
  <c r="AE90" i="9"/>
  <c r="D90" i="9"/>
  <c r="AG90" i="9"/>
  <c r="AE91" i="9"/>
  <c r="D91" i="9"/>
  <c r="AG91" i="9"/>
  <c r="AE92" i="9"/>
  <c r="D92" i="9"/>
  <c r="AG92" i="9"/>
  <c r="AE93" i="9"/>
  <c r="D93" i="9"/>
  <c r="AG93" i="9"/>
  <c r="AE94" i="9"/>
  <c r="D94" i="9"/>
  <c r="AG94" i="9"/>
  <c r="AE95" i="9"/>
  <c r="D95" i="9"/>
  <c r="AG95" i="9"/>
  <c r="AE96" i="9"/>
  <c r="D96" i="9"/>
  <c r="AG96" i="9"/>
  <c r="AE97" i="9"/>
  <c r="D97" i="9"/>
  <c r="AG97" i="9"/>
  <c r="AE98" i="9"/>
  <c r="D98" i="9"/>
  <c r="AG98" i="9"/>
  <c r="AE99" i="9"/>
  <c r="D99" i="9"/>
  <c r="AG99" i="9"/>
  <c r="AE100" i="9"/>
  <c r="D100" i="9"/>
  <c r="AG100" i="9"/>
  <c r="AE101" i="9"/>
  <c r="D101" i="9"/>
  <c r="AG101" i="9"/>
  <c r="AE102" i="9"/>
  <c r="D102" i="9"/>
  <c r="AG102" i="9"/>
  <c r="AE103" i="9"/>
  <c r="D103" i="9"/>
  <c r="AG103" i="9"/>
  <c r="AE104" i="9"/>
  <c r="D104" i="9"/>
  <c r="AG104" i="9"/>
  <c r="AE105" i="9"/>
  <c r="D105" i="9"/>
  <c r="AG105" i="9"/>
  <c r="AE106" i="9"/>
  <c r="D106" i="9"/>
  <c r="AG106" i="9"/>
  <c r="D107" i="9"/>
  <c r="AG107" i="9"/>
  <c r="AE108" i="9"/>
  <c r="D108" i="9"/>
  <c r="AG108" i="9"/>
  <c r="AE83" i="9"/>
  <c r="D83" i="9"/>
  <c r="AG83" i="9"/>
  <c r="H27" i="45"/>
  <c r="G27" i="45"/>
  <c r="F27" i="45"/>
  <c r="E27" i="45"/>
  <c r="H26" i="45"/>
  <c r="G26" i="45"/>
  <c r="F26" i="45"/>
  <c r="E26" i="45"/>
  <c r="H25" i="45"/>
  <c r="G25" i="45"/>
  <c r="F25" i="45"/>
  <c r="E25" i="45"/>
  <c r="H24" i="45"/>
  <c r="G24" i="45"/>
  <c r="F24" i="45"/>
  <c r="E24" i="45"/>
  <c r="H23" i="45"/>
  <c r="G23" i="45"/>
  <c r="F23" i="45"/>
  <c r="E23" i="45"/>
  <c r="H22" i="45"/>
  <c r="G22" i="45"/>
  <c r="F22" i="45"/>
  <c r="E22" i="45"/>
  <c r="H21" i="45"/>
  <c r="G21" i="45"/>
  <c r="F21" i="45"/>
  <c r="E21" i="45"/>
  <c r="H20" i="45"/>
  <c r="G20" i="45"/>
  <c r="F20" i="45"/>
  <c r="E20" i="45"/>
  <c r="H19" i="45"/>
  <c r="G19" i="45"/>
  <c r="F19" i="45"/>
  <c r="E19" i="45"/>
  <c r="H18" i="45"/>
  <c r="G18" i="45"/>
  <c r="F18" i="45"/>
  <c r="E18" i="45"/>
  <c r="H17" i="45"/>
  <c r="G17" i="45"/>
  <c r="F17" i="45"/>
  <c r="E17" i="45"/>
  <c r="H16" i="45"/>
  <c r="G16" i="45"/>
  <c r="F16" i="45"/>
  <c r="E16" i="45"/>
  <c r="H15" i="45"/>
  <c r="G15" i="45"/>
  <c r="F15" i="45"/>
  <c r="E15" i="45"/>
  <c r="H14" i="45"/>
  <c r="G14" i="45"/>
  <c r="F14" i="45"/>
  <c r="E14" i="45"/>
  <c r="H13" i="45"/>
  <c r="G13" i="45"/>
  <c r="F13" i="45"/>
  <c r="E13" i="45"/>
  <c r="H12" i="45"/>
  <c r="G12" i="45"/>
  <c r="F12" i="45"/>
  <c r="E12" i="45"/>
  <c r="H11" i="45"/>
  <c r="G11" i="45"/>
  <c r="F11" i="45"/>
  <c r="E11" i="45"/>
  <c r="H10" i="45"/>
  <c r="G10" i="45"/>
  <c r="F10" i="45"/>
  <c r="E10" i="45"/>
  <c r="H9" i="45"/>
  <c r="G9" i="45"/>
  <c r="F9" i="45"/>
  <c r="E9" i="45"/>
  <c r="H8" i="45"/>
  <c r="G8" i="45"/>
  <c r="F8" i="45"/>
  <c r="E8" i="45"/>
  <c r="H7" i="45"/>
  <c r="G7" i="45"/>
  <c r="F7" i="45"/>
  <c r="E7" i="45"/>
  <c r="H6" i="45"/>
  <c r="G6" i="45"/>
  <c r="F6" i="45"/>
  <c r="E6" i="45"/>
  <c r="H5" i="45"/>
  <c r="G5" i="45"/>
  <c r="F5" i="45"/>
  <c r="E5" i="45"/>
  <c r="H4" i="45"/>
  <c r="DG91" i="9" a="1"/>
  <c r="DG92" i="9"/>
  <c r="DH92" i="9"/>
  <c r="DG93" i="9" a="1"/>
  <c r="DG93" i="9"/>
  <c r="DH93" i="9"/>
  <c r="DG94" i="9"/>
  <c r="DH94" i="9"/>
  <c r="DG95" i="9"/>
  <c r="DH95" i="9"/>
  <c r="DG96" i="9"/>
  <c r="DH96" i="9"/>
  <c r="DG97" i="9"/>
  <c r="DH97" i="9"/>
  <c r="DG98" i="9"/>
  <c r="DH98" i="9"/>
  <c r="DG99" i="9"/>
  <c r="DH99" i="9"/>
  <c r="DG100" i="9"/>
  <c r="DH100" i="9"/>
  <c r="DG101" i="9"/>
  <c r="DH101" i="9"/>
  <c r="DG102" i="9"/>
  <c r="DH102" i="9"/>
  <c r="DG103" i="9"/>
  <c r="DH103" i="9"/>
  <c r="DG104" i="9"/>
  <c r="DH104" i="9"/>
  <c r="DG105" i="9"/>
  <c r="DH105" i="9"/>
  <c r="DG106" i="9"/>
  <c r="DH106" i="9"/>
  <c r="DG107" i="9"/>
  <c r="DH107" i="9"/>
  <c r="DG108" i="9"/>
  <c r="DH108" i="9"/>
  <c r="DG91" i="9"/>
  <c r="DH91" i="9"/>
  <c r="L40" i="9" a="1"/>
  <c r="L102" i="9"/>
  <c r="CC102" i="9"/>
  <c r="CH102" i="9"/>
  <c r="L103" i="9"/>
  <c r="CC103" i="9"/>
  <c r="CH103" i="9"/>
  <c r="L104" i="9"/>
  <c r="CC104" i="9"/>
  <c r="CH104" i="9"/>
  <c r="L105" i="9"/>
  <c r="CC105" i="9"/>
  <c r="CH105" i="9"/>
  <c r="L106" i="9"/>
  <c r="CC106" i="9"/>
  <c r="CH106" i="9"/>
  <c r="L107" i="9"/>
  <c r="CC107" i="9"/>
  <c r="CH107" i="9"/>
  <c r="L108" i="9"/>
  <c r="CC108" i="9"/>
  <c r="CH108" i="9"/>
  <c r="CH192" i="9"/>
  <c r="N102" i="9"/>
  <c r="N103" i="9"/>
  <c r="N104" i="9"/>
  <c r="N105" i="9"/>
  <c r="N106" i="9"/>
  <c r="N107" i="9"/>
  <c r="N108" i="9"/>
  <c r="N192" i="9"/>
  <c r="CI192" i="9"/>
  <c r="L92" i="9"/>
  <c r="CC92" i="9"/>
  <c r="CH92" i="9"/>
  <c r="L93" i="9"/>
  <c r="CC93" i="9"/>
  <c r="CH93" i="9"/>
  <c r="L94" i="9"/>
  <c r="CC94" i="9"/>
  <c r="CH94" i="9"/>
  <c r="L95" i="9"/>
  <c r="CC95" i="9"/>
  <c r="CH95" i="9"/>
  <c r="L96" i="9"/>
  <c r="CC96" i="9"/>
  <c r="CH96" i="9"/>
  <c r="L97" i="9"/>
  <c r="CC97" i="9"/>
  <c r="CH97" i="9"/>
  <c r="L98" i="9"/>
  <c r="CC98" i="9"/>
  <c r="CH98" i="9"/>
  <c r="L99" i="9"/>
  <c r="CC99" i="9"/>
  <c r="CH99" i="9"/>
  <c r="L100" i="9"/>
  <c r="CC100" i="9"/>
  <c r="CH100" i="9"/>
  <c r="L101" i="9"/>
  <c r="CC101" i="9"/>
  <c r="CH101" i="9"/>
  <c r="CH182" i="9"/>
  <c r="N92" i="9"/>
  <c r="N93" i="9"/>
  <c r="N94" i="9"/>
  <c r="N95" i="9"/>
  <c r="N96" i="9"/>
  <c r="N97" i="9"/>
  <c r="N98" i="9"/>
  <c r="N99" i="9"/>
  <c r="N100" i="9"/>
  <c r="N101" i="9"/>
  <c r="N182" i="9"/>
  <c r="CI182" i="9"/>
  <c r="CF82" i="9"/>
  <c r="L82" i="9"/>
  <c r="CC82" i="9"/>
  <c r="CH82" i="9"/>
  <c r="CF83" i="9"/>
  <c r="L83" i="9"/>
  <c r="CC83" i="9"/>
  <c r="CH83" i="9"/>
  <c r="CF84" i="9"/>
  <c r="L84" i="9"/>
  <c r="CC84" i="9"/>
  <c r="CH84" i="9"/>
  <c r="CF85" i="9"/>
  <c r="L85" i="9"/>
  <c r="CC85" i="9"/>
  <c r="CH85" i="9"/>
  <c r="CF86" i="9"/>
  <c r="L86" i="9"/>
  <c r="CC86" i="9"/>
  <c r="CH86" i="9"/>
  <c r="CF87" i="9"/>
  <c r="L87" i="9"/>
  <c r="CC87" i="9"/>
  <c r="CH87" i="9"/>
  <c r="CF88" i="9"/>
  <c r="L88" i="9"/>
  <c r="CC88" i="9"/>
  <c r="CH88" i="9"/>
  <c r="CF89" i="9"/>
  <c r="L89" i="9"/>
  <c r="CC89" i="9"/>
  <c r="CH89" i="9"/>
  <c r="CF90" i="9"/>
  <c r="L90" i="9"/>
  <c r="CC90" i="9"/>
  <c r="CH90" i="9"/>
  <c r="L91" i="9"/>
  <c r="CC91" i="9"/>
  <c r="CH91" i="9"/>
  <c r="CH172" i="9"/>
  <c r="D82" i="9"/>
  <c r="N82" i="9"/>
  <c r="N83" i="9"/>
  <c r="N84" i="9"/>
  <c r="N85" i="9"/>
  <c r="N86" i="9"/>
  <c r="N87" i="9"/>
  <c r="N88" i="9"/>
  <c r="N89" i="9"/>
  <c r="N90" i="9"/>
  <c r="N91" i="9"/>
  <c r="N172" i="9"/>
  <c r="CI172" i="9"/>
  <c r="CF72" i="9"/>
  <c r="L72" i="9"/>
  <c r="CC72" i="9"/>
  <c r="CH72" i="9"/>
  <c r="CF73" i="9"/>
  <c r="L73" i="9"/>
  <c r="CC73" i="9"/>
  <c r="CH73" i="9"/>
  <c r="CF74" i="9"/>
  <c r="L74" i="9"/>
  <c r="CC74" i="9"/>
  <c r="CH74" i="9"/>
  <c r="CF75" i="9"/>
  <c r="L75" i="9"/>
  <c r="CC75" i="9"/>
  <c r="CH75" i="9"/>
  <c r="CF76" i="9"/>
  <c r="L76" i="9"/>
  <c r="CC76" i="9"/>
  <c r="CH76" i="9"/>
  <c r="CF77" i="9"/>
  <c r="L77" i="9"/>
  <c r="CC77" i="9"/>
  <c r="CH77" i="9"/>
  <c r="CF78" i="9"/>
  <c r="L78" i="9"/>
  <c r="CC78" i="9"/>
  <c r="CH78" i="9"/>
  <c r="CF79" i="9"/>
  <c r="L79" i="9"/>
  <c r="CC79" i="9"/>
  <c r="CH79" i="9"/>
  <c r="CF80" i="9"/>
  <c r="L80" i="9"/>
  <c r="CC80" i="9"/>
  <c r="CH80" i="9"/>
  <c r="CF81" i="9"/>
  <c r="L81" i="9"/>
  <c r="CC81" i="9"/>
  <c r="CH81" i="9"/>
  <c r="CH162" i="9"/>
  <c r="D72" i="9"/>
  <c r="N72" i="9"/>
  <c r="D73" i="9"/>
  <c r="N73" i="9"/>
  <c r="D74" i="9"/>
  <c r="N74" i="9"/>
  <c r="D75" i="9"/>
  <c r="N75" i="9"/>
  <c r="D76" i="9"/>
  <c r="N76" i="9"/>
  <c r="D77" i="9"/>
  <c r="N77" i="9"/>
  <c r="D78" i="9"/>
  <c r="N78" i="9"/>
  <c r="D79" i="9"/>
  <c r="N79" i="9"/>
  <c r="D80" i="9"/>
  <c r="N80" i="9"/>
  <c r="D81" i="9"/>
  <c r="N81" i="9"/>
  <c r="N162" i="9"/>
  <c r="CI162" i="9"/>
  <c r="CF62" i="9"/>
  <c r="L62" i="9"/>
  <c r="CC62" i="9"/>
  <c r="CH62" i="9"/>
  <c r="CF63" i="9"/>
  <c r="L63" i="9"/>
  <c r="CC63" i="9"/>
  <c r="CH63" i="9"/>
  <c r="CF64" i="9"/>
  <c r="L64" i="9"/>
  <c r="CC64" i="9"/>
  <c r="CH64" i="9"/>
  <c r="CF65" i="9"/>
  <c r="L65" i="9"/>
  <c r="CC65" i="9"/>
  <c r="CH65" i="9"/>
  <c r="CF66" i="9"/>
  <c r="L66" i="9"/>
  <c r="CC66" i="9"/>
  <c r="CH66" i="9"/>
  <c r="CF67" i="9"/>
  <c r="L67" i="9"/>
  <c r="CC67" i="9"/>
  <c r="CH67" i="9"/>
  <c r="CF68" i="9"/>
  <c r="L68" i="9"/>
  <c r="CC68" i="9"/>
  <c r="CH68" i="9"/>
  <c r="CF69" i="9"/>
  <c r="L69" i="9"/>
  <c r="CC69" i="9"/>
  <c r="CH69" i="9"/>
  <c r="CF70" i="9"/>
  <c r="L70" i="9"/>
  <c r="CC70" i="9"/>
  <c r="CH70" i="9"/>
  <c r="CF71" i="9"/>
  <c r="L71" i="9"/>
  <c r="CC71" i="9"/>
  <c r="CH71" i="9"/>
  <c r="CH152" i="9"/>
  <c r="D62" i="9"/>
  <c r="N62" i="9"/>
  <c r="D63" i="9"/>
  <c r="N63" i="9"/>
  <c r="D64" i="9"/>
  <c r="N64" i="9"/>
  <c r="D65" i="9"/>
  <c r="N65" i="9"/>
  <c r="D66" i="9"/>
  <c r="N66" i="9"/>
  <c r="D67" i="9"/>
  <c r="N67" i="9"/>
  <c r="N68" i="9"/>
  <c r="N69" i="9"/>
  <c r="D70" i="9"/>
  <c r="N70" i="9"/>
  <c r="D71" i="9"/>
  <c r="N71" i="9"/>
  <c r="N152" i="9"/>
  <c r="CI152" i="9"/>
  <c r="FW52" i="9"/>
  <c r="CP52" i="9"/>
  <c r="CK52" i="9"/>
  <c r="CF52" i="9"/>
  <c r="L52" i="9"/>
  <c r="CC52" i="9"/>
  <c r="CH52" i="9"/>
  <c r="FW53" i="9"/>
  <c r="CP53" i="9"/>
  <c r="CK53" i="9"/>
  <c r="CF53" i="9"/>
  <c r="L53" i="9"/>
  <c r="CC53" i="9"/>
  <c r="CH53" i="9"/>
  <c r="FW54" i="9"/>
  <c r="CP54" i="9"/>
  <c r="CK54" i="9"/>
  <c r="CF54" i="9"/>
  <c r="L54" i="9"/>
  <c r="CC54" i="9"/>
  <c r="CH54" i="9"/>
  <c r="FW55" i="9"/>
  <c r="CP55" i="9"/>
  <c r="CK55" i="9"/>
  <c r="CF55" i="9"/>
  <c r="L55" i="9"/>
  <c r="CC55" i="9"/>
  <c r="CH55" i="9"/>
  <c r="FW56" i="9"/>
  <c r="CP56" i="9"/>
  <c r="CK56" i="9"/>
  <c r="CF56" i="9"/>
  <c r="L56" i="9"/>
  <c r="CC56" i="9"/>
  <c r="CH56" i="9"/>
  <c r="CF57" i="9"/>
  <c r="L57" i="9"/>
  <c r="CC57" i="9"/>
  <c r="CH57" i="9"/>
  <c r="CF58" i="9"/>
  <c r="L58" i="9"/>
  <c r="CC58" i="9"/>
  <c r="CH58" i="9"/>
  <c r="CF59" i="9"/>
  <c r="L59" i="9"/>
  <c r="CC59" i="9"/>
  <c r="CH59" i="9"/>
  <c r="CF60" i="9"/>
  <c r="L60" i="9"/>
  <c r="CC60" i="9"/>
  <c r="CH60" i="9"/>
  <c r="CF61" i="9"/>
  <c r="L61" i="9"/>
  <c r="CC61" i="9"/>
  <c r="CH61" i="9"/>
  <c r="CH142" i="9"/>
  <c r="D52" i="9"/>
  <c r="N52" i="9"/>
  <c r="D53" i="9"/>
  <c r="N53" i="9"/>
  <c r="D54" i="9"/>
  <c r="N54" i="9"/>
  <c r="D55" i="9"/>
  <c r="N55" i="9"/>
  <c r="D56" i="9"/>
  <c r="N56" i="9"/>
  <c r="D57" i="9"/>
  <c r="N57" i="9"/>
  <c r="D58" i="9"/>
  <c r="N58" i="9"/>
  <c r="D59" i="9"/>
  <c r="N59" i="9"/>
  <c r="D60" i="9"/>
  <c r="N60" i="9"/>
  <c r="D61" i="9"/>
  <c r="N61" i="9"/>
  <c r="N142" i="9"/>
  <c r="CI142" i="9"/>
  <c r="CH42" i="9"/>
  <c r="CH43" i="9"/>
  <c r="CH44" i="9"/>
  <c r="CH45" i="9"/>
  <c r="CH46" i="9"/>
  <c r="CH47" i="9"/>
  <c r="CH48" i="9"/>
  <c r="CH49" i="9"/>
  <c r="CH50" i="9"/>
  <c r="CH51" i="9"/>
  <c r="CH132" i="9"/>
  <c r="L42" i="9"/>
  <c r="D42" i="9"/>
  <c r="N42" i="9"/>
  <c r="L43" i="9"/>
  <c r="D43" i="9"/>
  <c r="N43" i="9"/>
  <c r="L44" i="9"/>
  <c r="D44" i="9"/>
  <c r="N44" i="9"/>
  <c r="L45" i="9"/>
  <c r="D45" i="9"/>
  <c r="N45" i="9"/>
  <c r="L46" i="9"/>
  <c r="D46" i="9"/>
  <c r="N46" i="9"/>
  <c r="L47" i="9"/>
  <c r="D47" i="9"/>
  <c r="N47" i="9"/>
  <c r="L48" i="9"/>
  <c r="D48" i="9"/>
  <c r="N48" i="9"/>
  <c r="L49" i="9"/>
  <c r="D49" i="9"/>
  <c r="N49" i="9"/>
  <c r="L50" i="9"/>
  <c r="D50" i="9"/>
  <c r="N50" i="9"/>
  <c r="L51" i="9"/>
  <c r="D51" i="9"/>
  <c r="N51" i="9"/>
  <c r="N132" i="9"/>
  <c r="CI132" i="9"/>
  <c r="L40" i="9"/>
  <c r="I21" i="9" a="1"/>
  <c r="I39" i="9"/>
  <c r="I40" i="9"/>
  <c r="L39" i="9"/>
  <c r="I38" i="9"/>
  <c r="L38" i="9"/>
  <c r="I37" i="9"/>
  <c r="L37" i="9"/>
  <c r="I36" i="9"/>
  <c r="L36" i="9"/>
  <c r="I35" i="9"/>
  <c r="L35" i="9"/>
  <c r="I34" i="9"/>
  <c r="L34" i="9"/>
  <c r="I33" i="9"/>
  <c r="L33" i="9"/>
  <c r="I32" i="9"/>
  <c r="L32" i="9"/>
  <c r="D32" i="9"/>
  <c r="N32" i="9"/>
  <c r="D33" i="9"/>
  <c r="N33" i="9"/>
  <c r="D34" i="9"/>
  <c r="N34" i="9"/>
  <c r="D35" i="9"/>
  <c r="N35" i="9"/>
  <c r="D36" i="9"/>
  <c r="N36" i="9"/>
  <c r="D37" i="9"/>
  <c r="N37" i="9"/>
  <c r="D38" i="9"/>
  <c r="N38" i="9"/>
  <c r="D39" i="9"/>
  <c r="N39" i="9"/>
  <c r="D40" i="9"/>
  <c r="N40" i="9"/>
  <c r="L41" i="9"/>
  <c r="D41" i="9"/>
  <c r="N41" i="9"/>
  <c r="N122" i="9"/>
  <c r="CH32" i="9"/>
  <c r="CH33" i="9"/>
  <c r="CH34" i="9"/>
  <c r="CH35" i="9"/>
  <c r="CH36" i="9"/>
  <c r="CH37" i="9"/>
  <c r="CH38" i="9"/>
  <c r="CH39" i="9"/>
  <c r="CH40" i="9"/>
  <c r="CH41" i="9"/>
  <c r="CH122" i="9"/>
  <c r="CI122" i="9"/>
  <c r="I22" i="9"/>
  <c r="L22" i="9"/>
  <c r="D22" i="9"/>
  <c r="N22" i="9"/>
  <c r="I23" i="9"/>
  <c r="L23" i="9"/>
  <c r="D23" i="9"/>
  <c r="N23" i="9"/>
  <c r="I24" i="9"/>
  <c r="L24" i="9"/>
  <c r="D24" i="9"/>
  <c r="N24" i="9"/>
  <c r="I31" i="9"/>
  <c r="L31" i="9"/>
  <c r="I30" i="9"/>
  <c r="L30" i="9"/>
  <c r="I29" i="9"/>
  <c r="L29" i="9"/>
  <c r="I28" i="9"/>
  <c r="L28" i="9"/>
  <c r="I27" i="9"/>
  <c r="L27" i="9"/>
  <c r="I26" i="9"/>
  <c r="L26" i="9"/>
  <c r="I25" i="9"/>
  <c r="L25" i="9"/>
  <c r="D25" i="9"/>
  <c r="N25" i="9"/>
  <c r="D26" i="9"/>
  <c r="N26" i="9"/>
  <c r="D27" i="9"/>
  <c r="N27" i="9"/>
  <c r="D28" i="9"/>
  <c r="N28" i="9"/>
  <c r="D29" i="9"/>
  <c r="N29" i="9"/>
  <c r="D30" i="9"/>
  <c r="N30" i="9"/>
  <c r="D31" i="9"/>
  <c r="N31" i="9"/>
  <c r="N112" i="9"/>
  <c r="CH22" i="9"/>
  <c r="CH23" i="9"/>
  <c r="CH24" i="9"/>
  <c r="CH25" i="9"/>
  <c r="CH26" i="9"/>
  <c r="CH27" i="9"/>
  <c r="CH28" i="9"/>
  <c r="CH29" i="9"/>
  <c r="CH30" i="9"/>
  <c r="CH31" i="9"/>
  <c r="CH112" i="9"/>
  <c r="CI112" i="9"/>
  <c r="GB78" i="9"/>
  <c r="GB80" i="9"/>
  <c r="DN74" i="9" a="1"/>
  <c r="DN78" i="9"/>
  <c r="FA78" i="9"/>
  <c r="FK78" i="9"/>
  <c r="DN79" i="9"/>
  <c r="GB79" i="9"/>
  <c r="FA79" i="9"/>
  <c r="FK79" i="9"/>
  <c r="DN80" i="9"/>
  <c r="FA80" i="9"/>
  <c r="FK80" i="9"/>
  <c r="DN81" i="9"/>
  <c r="OJ81" i="9"/>
  <c r="GB81" i="9"/>
  <c r="FA81" i="9"/>
  <c r="FK81" i="9"/>
  <c r="HJ2" i="96"/>
  <c r="HM2" i="96"/>
  <c r="GI60" i="96"/>
  <c r="HN60" i="96"/>
  <c r="GI51" i="96"/>
  <c r="HN51" i="96"/>
  <c r="GI52" i="96"/>
  <c r="HN52" i="96"/>
  <c r="GI53" i="96"/>
  <c r="HN53" i="96"/>
  <c r="GI54" i="96"/>
  <c r="HN54" i="96"/>
  <c r="GI55" i="96"/>
  <c r="HN55" i="96"/>
  <c r="GI56" i="96"/>
  <c r="HN56" i="96"/>
  <c r="GI57" i="96"/>
  <c r="HN57" i="96"/>
  <c r="GI58" i="96"/>
  <c r="HN58" i="96"/>
  <c r="GI59" i="96"/>
  <c r="HN59" i="96"/>
  <c r="HN2" i="96"/>
  <c r="GQ60" i="96"/>
  <c r="HO60" i="96"/>
  <c r="GQ51" i="96"/>
  <c r="HO51" i="96"/>
  <c r="GQ52" i="96"/>
  <c r="HO52" i="96"/>
  <c r="GQ53" i="96"/>
  <c r="HO53" i="96"/>
  <c r="GQ54" i="96"/>
  <c r="HO54" i="96"/>
  <c r="GQ55" i="96"/>
  <c r="HO55" i="96"/>
  <c r="GQ56" i="96"/>
  <c r="HO56" i="96"/>
  <c r="GQ57" i="96"/>
  <c r="HO57" i="96"/>
  <c r="GQ58" i="96"/>
  <c r="HO58" i="96"/>
  <c r="GQ59" i="96"/>
  <c r="HO59" i="96"/>
  <c r="HO2" i="96"/>
  <c r="HI60" i="96"/>
  <c r="HI51" i="96"/>
  <c r="HI52" i="96"/>
  <c r="HI53" i="96"/>
  <c r="HI54" i="96"/>
  <c r="HI55" i="96"/>
  <c r="HI56" i="96"/>
  <c r="HI57" i="96"/>
  <c r="HI58" i="96"/>
  <c r="HI59" i="96"/>
  <c r="HI2" i="96"/>
  <c r="JA192" i="83"/>
  <c r="IX192" i="83"/>
  <c r="IZ192" i="83"/>
  <c r="JA182" i="83"/>
  <c r="IX182" i="83"/>
  <c r="IZ182" i="83"/>
  <c r="JA172" i="83"/>
  <c r="IX172" i="83"/>
  <c r="IZ172" i="83"/>
  <c r="IV192" i="83"/>
  <c r="JL192" i="83"/>
  <c r="IV182" i="83"/>
  <c r="JL182" i="83"/>
  <c r="IV172" i="83"/>
  <c r="JL172" i="83"/>
  <c r="JK192" i="83"/>
  <c r="JK182" i="83"/>
  <c r="JK172" i="83"/>
  <c r="JJ192" i="83"/>
  <c r="JJ182" i="83"/>
  <c r="JJ172" i="83"/>
  <c r="JA207" i="83"/>
  <c r="JA204" i="83"/>
  <c r="JA205" i="83"/>
  <c r="JA203" i="83"/>
  <c r="IZ206" i="83"/>
  <c r="JK84" i="83"/>
  <c r="JL84" i="83"/>
  <c r="JM84" i="83"/>
  <c r="JK85" i="83"/>
  <c r="JL85" i="83"/>
  <c r="JM85" i="83"/>
  <c r="JK86" i="83"/>
  <c r="JL86" i="83"/>
  <c r="JM86" i="83"/>
  <c r="JK87" i="83"/>
  <c r="JL87" i="83"/>
  <c r="JM87" i="83"/>
  <c r="JK88" i="83"/>
  <c r="JL88" i="83"/>
  <c r="JM88" i="83"/>
  <c r="JK90" i="83"/>
  <c r="JL90" i="83"/>
  <c r="JM90" i="83"/>
  <c r="JK91" i="83"/>
  <c r="JL91" i="83"/>
  <c r="JM91" i="83"/>
  <c r="JK92" i="83"/>
  <c r="JL92" i="83"/>
  <c r="JM92" i="83"/>
  <c r="JK93" i="83"/>
  <c r="JL93" i="83"/>
  <c r="JM93" i="83"/>
  <c r="JK94" i="83"/>
  <c r="JL94" i="83"/>
  <c r="JM94" i="83"/>
  <c r="JK95" i="83"/>
  <c r="JL95" i="83"/>
  <c r="JM95" i="83"/>
  <c r="JK96" i="83"/>
  <c r="JL96" i="83"/>
  <c r="JM96" i="83"/>
  <c r="JK97" i="83"/>
  <c r="JL97" i="83"/>
  <c r="JM97" i="83"/>
  <c r="JK98" i="83"/>
  <c r="JL98" i="83"/>
  <c r="JM98" i="83"/>
  <c r="JK99" i="83"/>
  <c r="JL99" i="83"/>
  <c r="JM99" i="83"/>
  <c r="JK100" i="83"/>
  <c r="JL100" i="83"/>
  <c r="JM100" i="83"/>
  <c r="JK101" i="83"/>
  <c r="JL101" i="83"/>
  <c r="JM101" i="83"/>
  <c r="JK102" i="83"/>
  <c r="JL102" i="83"/>
  <c r="JM102" i="83"/>
  <c r="JK103" i="83"/>
  <c r="JL103" i="83"/>
  <c r="JM103" i="83"/>
  <c r="JK104" i="83"/>
  <c r="JL104" i="83"/>
  <c r="JM104" i="83"/>
  <c r="JK105" i="83"/>
  <c r="JL105" i="83"/>
  <c r="JM105" i="83"/>
  <c r="JK106" i="83"/>
  <c r="JL106" i="83"/>
  <c r="JM106" i="83"/>
  <c r="JK107" i="83"/>
  <c r="JL107" i="83"/>
  <c r="JM107" i="83"/>
  <c r="JK89" i="83"/>
  <c r="JL89" i="83"/>
  <c r="JM89" i="83"/>
  <c r="NE59" i="96"/>
  <c r="K59" i="96"/>
  <c r="MV59" i="96"/>
  <c r="NG59" i="96"/>
  <c r="NF59" i="96"/>
  <c r="KN59" i="96"/>
  <c r="EC59" i="96"/>
  <c r="EA59" i="96"/>
  <c r="DW59" i="96"/>
  <c r="DU59" i="96"/>
  <c r="DS59" i="96"/>
  <c r="DQ59" i="96"/>
  <c r="DO59" i="96"/>
  <c r="DM59" i="96"/>
  <c r="DL59" i="96"/>
  <c r="MY59" i="96"/>
  <c r="MZ59" i="96"/>
  <c r="NA59" i="96"/>
  <c r="NB59" i="96"/>
  <c r="NC59" i="96"/>
  <c r="ND59" i="96"/>
  <c r="NH59" i="96"/>
  <c r="MX59" i="96"/>
  <c r="KW59" i="96"/>
  <c r="KX59" i="96"/>
  <c r="KY59" i="96"/>
  <c r="MQ106" i="9"/>
  <c r="JQ59" i="96"/>
  <c r="KB59" i="96"/>
  <c r="JF59" i="96"/>
  <c r="JH59" i="96"/>
  <c r="IZ59" i="96"/>
  <c r="JA59" i="96"/>
  <c r="JB59" i="96"/>
  <c r="JC59" i="96"/>
  <c r="JD59" i="96"/>
  <c r="JE59" i="96"/>
  <c r="IY59" i="96"/>
  <c r="LI59" i="96"/>
  <c r="LK59" i="96"/>
  <c r="LJ59" i="96"/>
  <c r="KC59" i="96"/>
  <c r="JR59" i="96"/>
  <c r="JG59" i="96"/>
  <c r="AU64" i="96"/>
  <c r="AU65" i="96"/>
  <c r="HI19" i="96"/>
  <c r="HI20" i="96"/>
  <c r="HI21" i="96"/>
  <c r="HI22" i="96"/>
  <c r="HI27" i="96"/>
  <c r="HI28" i="96"/>
  <c r="HI29" i="96"/>
  <c r="HI30" i="96"/>
  <c r="HI31" i="96"/>
  <c r="HI32" i="96"/>
  <c r="HI33" i="96"/>
  <c r="HI34" i="96"/>
  <c r="HI35" i="96"/>
  <c r="HI36" i="96"/>
  <c r="HI37" i="96"/>
  <c r="HI38" i="96"/>
  <c r="HI39" i="96"/>
  <c r="HI40" i="96"/>
  <c r="HI41" i="96"/>
  <c r="HI42" i="96"/>
  <c r="HI43" i="96"/>
  <c r="HI44" i="96"/>
  <c r="HI45" i="96"/>
  <c r="HI46" i="96"/>
  <c r="HI47" i="96"/>
  <c r="HI48" i="96"/>
  <c r="HI49" i="96"/>
  <c r="HI50" i="96"/>
  <c r="DZ19" i="96"/>
  <c r="DZ20" i="96"/>
  <c r="DZ21" i="96"/>
  <c r="DZ22" i="96"/>
  <c r="DZ27" i="96"/>
  <c r="DZ28" i="96"/>
  <c r="DZ29" i="96"/>
  <c r="DZ30" i="96"/>
  <c r="DZ31" i="96"/>
  <c r="DZ32" i="96"/>
  <c r="DZ33" i="96"/>
  <c r="DZ34" i="96"/>
  <c r="DZ35" i="96"/>
  <c r="DZ36" i="96"/>
  <c r="DZ37" i="96"/>
  <c r="DZ38" i="96"/>
  <c r="DZ39" i="96"/>
  <c r="DZ40" i="96"/>
  <c r="DZ41" i="96"/>
  <c r="DZ42" i="96"/>
  <c r="DZ43" i="96"/>
  <c r="DZ44" i="96"/>
  <c r="DZ45" i="96"/>
  <c r="DZ46" i="96"/>
  <c r="DZ47" i="96"/>
  <c r="DZ48" i="96"/>
  <c r="DZ49" i="96"/>
  <c r="DZ50" i="96"/>
  <c r="DZ51" i="96"/>
  <c r="DZ52" i="96"/>
  <c r="DZ53" i="96"/>
  <c r="DZ54" i="96"/>
  <c r="DZ55" i="96"/>
  <c r="DZ56" i="96"/>
  <c r="DZ57" i="96"/>
  <c r="DZ58" i="96"/>
  <c r="DZ59" i="96"/>
  <c r="DZ60" i="96"/>
  <c r="DY16" i="96"/>
  <c r="DY17" i="96"/>
  <c r="DY18" i="96"/>
  <c r="DY19" i="96"/>
  <c r="DY20" i="96"/>
  <c r="DY21" i="96"/>
  <c r="DY22" i="96"/>
  <c r="DY27" i="96"/>
  <c r="DY28" i="96"/>
  <c r="DY29" i="96"/>
  <c r="DY30" i="96"/>
  <c r="DY31" i="96"/>
  <c r="DY32" i="96"/>
  <c r="DY33" i="96"/>
  <c r="DY34" i="96"/>
  <c r="DY35" i="96"/>
  <c r="DY36" i="96"/>
  <c r="DY37" i="96"/>
  <c r="DY38" i="96"/>
  <c r="DY39" i="96"/>
  <c r="DY40" i="96"/>
  <c r="DY41" i="96"/>
  <c r="DY42" i="96"/>
  <c r="DY43" i="96"/>
  <c r="DY44" i="96"/>
  <c r="DY45" i="96"/>
  <c r="DY46" i="96"/>
  <c r="DY47" i="96"/>
  <c r="DY48" i="96"/>
  <c r="DY49" i="96"/>
  <c r="DY50" i="96"/>
  <c r="DY51" i="96"/>
  <c r="DY52" i="96"/>
  <c r="DY53" i="96"/>
  <c r="DY54" i="96"/>
  <c r="DY55" i="96"/>
  <c r="DY56" i="96"/>
  <c r="DY57" i="96"/>
  <c r="DY58" i="96"/>
  <c r="DY59" i="96"/>
  <c r="DY60" i="96"/>
  <c r="DY11" i="96"/>
  <c r="DR19" i="96"/>
  <c r="DR20" i="96"/>
  <c r="DR21" i="96"/>
  <c r="DR22" i="96"/>
  <c r="DR27" i="96"/>
  <c r="DR28" i="96"/>
  <c r="DR29" i="96"/>
  <c r="DR30" i="96"/>
  <c r="DR31" i="96"/>
  <c r="DR32" i="96"/>
  <c r="DR33" i="96"/>
  <c r="DR34" i="96"/>
  <c r="DR35" i="96"/>
  <c r="DR36" i="96"/>
  <c r="DR37" i="96"/>
  <c r="DR38" i="96"/>
  <c r="DR39" i="96"/>
  <c r="DR40" i="96"/>
  <c r="DR41" i="96"/>
  <c r="DR42" i="96"/>
  <c r="DR43" i="96"/>
  <c r="DR44" i="96"/>
  <c r="DR45" i="96"/>
  <c r="DR46" i="96"/>
  <c r="DR47" i="96"/>
  <c r="DR48" i="96"/>
  <c r="DR49" i="96"/>
  <c r="DR50" i="96"/>
  <c r="DR51" i="96"/>
  <c r="DR52" i="96"/>
  <c r="DR53" i="96"/>
  <c r="DR54" i="96"/>
  <c r="DR55" i="96"/>
  <c r="DR56" i="96"/>
  <c r="DR57" i="96"/>
  <c r="DR58" i="96"/>
  <c r="DR59" i="96"/>
  <c r="DR60" i="96"/>
  <c r="DX16" i="96"/>
  <c r="DX17" i="96"/>
  <c r="DX18" i="96"/>
  <c r="DX19" i="96"/>
  <c r="DX20" i="96"/>
  <c r="DX21" i="96"/>
  <c r="DX22" i="96"/>
  <c r="DX27" i="96"/>
  <c r="DX28" i="96"/>
  <c r="DX29" i="96"/>
  <c r="DX30" i="96"/>
  <c r="DX31" i="96"/>
  <c r="DX32" i="96"/>
  <c r="DX33" i="96"/>
  <c r="DX34" i="96"/>
  <c r="DX35" i="96"/>
  <c r="DX36" i="96"/>
  <c r="DX37" i="96"/>
  <c r="DX38" i="96"/>
  <c r="DX39" i="96"/>
  <c r="DX40" i="96"/>
  <c r="DX41" i="96"/>
  <c r="DX42" i="96"/>
  <c r="DX43" i="96"/>
  <c r="DX44" i="96"/>
  <c r="DX45" i="96"/>
  <c r="DX46" i="96"/>
  <c r="DX47" i="96"/>
  <c r="DX48" i="96"/>
  <c r="DX49" i="96"/>
  <c r="DX50" i="96"/>
  <c r="DX51" i="96"/>
  <c r="DX52" i="96"/>
  <c r="DX53" i="96"/>
  <c r="DX54" i="96"/>
  <c r="DX55" i="96"/>
  <c r="DX56" i="96"/>
  <c r="DX57" i="96"/>
  <c r="DX58" i="96"/>
  <c r="DX59" i="96"/>
  <c r="DX60" i="96"/>
  <c r="DX11" i="96"/>
  <c r="DT16" i="96"/>
  <c r="DT17" i="96"/>
  <c r="DT18" i="96"/>
  <c r="DT19" i="96"/>
  <c r="DT20" i="96"/>
  <c r="DT21" i="96"/>
  <c r="DT22" i="96"/>
  <c r="DT27" i="96"/>
  <c r="DT28" i="96"/>
  <c r="DT29" i="96"/>
  <c r="DT30" i="96"/>
  <c r="DT31" i="96"/>
  <c r="DT32" i="96"/>
  <c r="DT33" i="96"/>
  <c r="DT34" i="96"/>
  <c r="DT35" i="96"/>
  <c r="DT36" i="96"/>
  <c r="DT37" i="96"/>
  <c r="DT38" i="96"/>
  <c r="DT39" i="96"/>
  <c r="DT40" i="96"/>
  <c r="DT41" i="96"/>
  <c r="DT42" i="96"/>
  <c r="DT43" i="96"/>
  <c r="DT44" i="96"/>
  <c r="DT45" i="96"/>
  <c r="DT46" i="96"/>
  <c r="DT47" i="96"/>
  <c r="DT48" i="96"/>
  <c r="DT49" i="96"/>
  <c r="DT50" i="96"/>
  <c r="DT51" i="96"/>
  <c r="DT52" i="96"/>
  <c r="DT53" i="96"/>
  <c r="DT54" i="96"/>
  <c r="DT55" i="96"/>
  <c r="DT56" i="96"/>
  <c r="DT57" i="96"/>
  <c r="DT58" i="96"/>
  <c r="DT59" i="96"/>
  <c r="DT60" i="96"/>
  <c r="DN16" i="96"/>
  <c r="DN17" i="96"/>
  <c r="DN18" i="96"/>
  <c r="DN19" i="96"/>
  <c r="DN20" i="96"/>
  <c r="DN21" i="96"/>
  <c r="DN22" i="96"/>
  <c r="DN27" i="96"/>
  <c r="DN28" i="96"/>
  <c r="DN29" i="96"/>
  <c r="DN30" i="96"/>
  <c r="DN31" i="96"/>
  <c r="DN32" i="96"/>
  <c r="DN33" i="96"/>
  <c r="DN34" i="96"/>
  <c r="DN35" i="96"/>
  <c r="DN36" i="96"/>
  <c r="DN37" i="96"/>
  <c r="DN38" i="96"/>
  <c r="DN39" i="96"/>
  <c r="DN40" i="96"/>
  <c r="DN41" i="96"/>
  <c r="DN42" i="96"/>
  <c r="DN43" i="96"/>
  <c r="DN44" i="96"/>
  <c r="DN45" i="96"/>
  <c r="DN46" i="96"/>
  <c r="DN47" i="96"/>
  <c r="DN48" i="96"/>
  <c r="DN49" i="96"/>
  <c r="DN50" i="96"/>
  <c r="DN51" i="96"/>
  <c r="DN52" i="96"/>
  <c r="DN53" i="96"/>
  <c r="DN54" i="96"/>
  <c r="DN55" i="96"/>
  <c r="DN56" i="96"/>
  <c r="DN57" i="96"/>
  <c r="DN58" i="96"/>
  <c r="DN59" i="96"/>
  <c r="DN60" i="96"/>
  <c r="DN11" i="96"/>
  <c r="DT11" i="96"/>
  <c r="DV16" i="96"/>
  <c r="DV17" i="96"/>
  <c r="DV18" i="96"/>
  <c r="DV19" i="96"/>
  <c r="DV20" i="96"/>
  <c r="DV21" i="96"/>
  <c r="DV22" i="96"/>
  <c r="DV23" i="96"/>
  <c r="DV24" i="96"/>
  <c r="DV25" i="96"/>
  <c r="DV26" i="96"/>
  <c r="DV27" i="96"/>
  <c r="DV28" i="96"/>
  <c r="DV29" i="96"/>
  <c r="DV30" i="96"/>
  <c r="DV31" i="96"/>
  <c r="DV32" i="96"/>
  <c r="DV33" i="96"/>
  <c r="DV34" i="96"/>
  <c r="DV35" i="96"/>
  <c r="DV36" i="96"/>
  <c r="DV37" i="96"/>
  <c r="DV38" i="96"/>
  <c r="DV39" i="96"/>
  <c r="DV40" i="96"/>
  <c r="DV41" i="96"/>
  <c r="DV42" i="96"/>
  <c r="DV43" i="96"/>
  <c r="DV44" i="96"/>
  <c r="DV45" i="96"/>
  <c r="DV46" i="96"/>
  <c r="DV47" i="96"/>
  <c r="DV48" i="96"/>
  <c r="DV49" i="96"/>
  <c r="DV50" i="96"/>
  <c r="DV51" i="96"/>
  <c r="DV52" i="96"/>
  <c r="DV53" i="96"/>
  <c r="DV54" i="96"/>
  <c r="DV55" i="96"/>
  <c r="DV56" i="96"/>
  <c r="DV57" i="96"/>
  <c r="DV58" i="96"/>
  <c r="DV59" i="96"/>
  <c r="DV60" i="96"/>
  <c r="DV11" i="96"/>
  <c r="DP16" i="96"/>
  <c r="DP17" i="96"/>
  <c r="DP18" i="96"/>
  <c r="DP19" i="96"/>
  <c r="DP20" i="96"/>
  <c r="DP21" i="96"/>
  <c r="DP22" i="96"/>
  <c r="DP27" i="96"/>
  <c r="DP28" i="96"/>
  <c r="DP29" i="96"/>
  <c r="DP30" i="96"/>
  <c r="DP31" i="96"/>
  <c r="DP32" i="96"/>
  <c r="DP33" i="96"/>
  <c r="DP34" i="96"/>
  <c r="DP35" i="96"/>
  <c r="DP36" i="96"/>
  <c r="DP37" i="96"/>
  <c r="DP38" i="96"/>
  <c r="DP39" i="96"/>
  <c r="DP40" i="96"/>
  <c r="DP41" i="96"/>
  <c r="DP42" i="96"/>
  <c r="DP43" i="96"/>
  <c r="DP44" i="96"/>
  <c r="DP45" i="96"/>
  <c r="DP46" i="96"/>
  <c r="DP47" i="96"/>
  <c r="DP48" i="96"/>
  <c r="DP49" i="96"/>
  <c r="DP50" i="96"/>
  <c r="DP51" i="96"/>
  <c r="DP52" i="96"/>
  <c r="DP53" i="96"/>
  <c r="DP54" i="96"/>
  <c r="DP55" i="96"/>
  <c r="DP56" i="96"/>
  <c r="DP57" i="96"/>
  <c r="DP58" i="96"/>
  <c r="DP59" i="96"/>
  <c r="DP60" i="96"/>
  <c r="DP11" i="96"/>
  <c r="AZ22" i="96"/>
  <c r="AZ28" i="96"/>
  <c r="AZ29" i="96"/>
  <c r="AZ30" i="96"/>
  <c r="AZ31" i="96"/>
  <c r="AZ32" i="96"/>
  <c r="AZ33" i="96"/>
  <c r="AZ34" i="96"/>
  <c r="AZ36" i="96"/>
  <c r="AZ37" i="96"/>
  <c r="AZ38" i="96"/>
  <c r="AZ39" i="96"/>
  <c r="AX22" i="96"/>
  <c r="BC22" i="96"/>
  <c r="BD22" i="96"/>
  <c r="BH22" i="96"/>
  <c r="AX28" i="96"/>
  <c r="BC28" i="96"/>
  <c r="BD28" i="96"/>
  <c r="BH28" i="96"/>
  <c r="AX29" i="96"/>
  <c r="BC29" i="96"/>
  <c r="BD29" i="96"/>
  <c r="BH29" i="96"/>
  <c r="AX30" i="96"/>
  <c r="BC30" i="96"/>
  <c r="BD30" i="96"/>
  <c r="BH30" i="96"/>
  <c r="AX31" i="96"/>
  <c r="BC31" i="96"/>
  <c r="BD31" i="96"/>
  <c r="BH31" i="96"/>
  <c r="AX32" i="96"/>
  <c r="BC32" i="96"/>
  <c r="BD32" i="96"/>
  <c r="BH32" i="96"/>
  <c r="AX33" i="96"/>
  <c r="BC33" i="96"/>
  <c r="BD33" i="96"/>
  <c r="BH33" i="96"/>
  <c r="AX34" i="96"/>
  <c r="BC34" i="96"/>
  <c r="BD34" i="96"/>
  <c r="BH34" i="96"/>
  <c r="AX35" i="96"/>
  <c r="BC35" i="96"/>
  <c r="BD35" i="96"/>
  <c r="BH35" i="96"/>
  <c r="AX36" i="96"/>
  <c r="BC36" i="96"/>
  <c r="BD36" i="96"/>
  <c r="BH36" i="96"/>
  <c r="AX37" i="96"/>
  <c r="BC37" i="96"/>
  <c r="BD37" i="96"/>
  <c r="BH37" i="96"/>
  <c r="AX38" i="96"/>
  <c r="BC38" i="96"/>
  <c r="BD38" i="96"/>
  <c r="BH38" i="96"/>
  <c r="AX39" i="96"/>
  <c r="BC39" i="96"/>
  <c r="BD39" i="96"/>
  <c r="BH39" i="96"/>
  <c r="AX40" i="96"/>
  <c r="BC40" i="96"/>
  <c r="BD40" i="96"/>
  <c r="BH40" i="96"/>
  <c r="AX41" i="96"/>
  <c r="BC41" i="96"/>
  <c r="BD41" i="96"/>
  <c r="BH41" i="96"/>
  <c r="AX42" i="96"/>
  <c r="BC42" i="96"/>
  <c r="BD42" i="96"/>
  <c r="BH42" i="96"/>
  <c r="AX43" i="96"/>
  <c r="BC43" i="96"/>
  <c r="BD43" i="96"/>
  <c r="BH43" i="96"/>
  <c r="AX44" i="96"/>
  <c r="BC44" i="96"/>
  <c r="BD44" i="96"/>
  <c r="BH44" i="96"/>
  <c r="AX45" i="96"/>
  <c r="BC45" i="96"/>
  <c r="BD45" i="96"/>
  <c r="BH45" i="96"/>
  <c r="AX46" i="96"/>
  <c r="BC46" i="96"/>
  <c r="BD46" i="96"/>
  <c r="BH46" i="96"/>
  <c r="AX47" i="96"/>
  <c r="BC47" i="96"/>
  <c r="BD47" i="96"/>
  <c r="BH47" i="96"/>
  <c r="AX48" i="96"/>
  <c r="BC48" i="96"/>
  <c r="BD48" i="96"/>
  <c r="BH48" i="96"/>
  <c r="AX49" i="96"/>
  <c r="BC49" i="96"/>
  <c r="BD49" i="96"/>
  <c r="BH49" i="96"/>
  <c r="AX50" i="96"/>
  <c r="BC50" i="96"/>
  <c r="BD50" i="96"/>
  <c r="BH50" i="96"/>
  <c r="AX51" i="96"/>
  <c r="BC51" i="96"/>
  <c r="BD51" i="96"/>
  <c r="BH51" i="96"/>
  <c r="AX52" i="96"/>
  <c r="BC52" i="96"/>
  <c r="BD52" i="96"/>
  <c r="BH52" i="96"/>
  <c r="AX53" i="96"/>
  <c r="BC53" i="96"/>
  <c r="BD53" i="96"/>
  <c r="BH53" i="96"/>
  <c r="AX54" i="96"/>
  <c r="BC54" i="96"/>
  <c r="BD54" i="96"/>
  <c r="BH54" i="96"/>
  <c r="AX55" i="96"/>
  <c r="BC55" i="96"/>
  <c r="BD55" i="96"/>
  <c r="BH55" i="96"/>
  <c r="AX56" i="96"/>
  <c r="BC56" i="96"/>
  <c r="BD56" i="96"/>
  <c r="BH56" i="96"/>
  <c r="AX57" i="96"/>
  <c r="BC57" i="96"/>
  <c r="BD57" i="96"/>
  <c r="BH57" i="96"/>
  <c r="AX58" i="96"/>
  <c r="BC58" i="96"/>
  <c r="BD58" i="96"/>
  <c r="BH58" i="96"/>
  <c r="AX59" i="96"/>
  <c r="BC59" i="96"/>
  <c r="BD59" i="96"/>
  <c r="BH59" i="96"/>
  <c r="AX60" i="96"/>
  <c r="BC60" i="96"/>
  <c r="BD60" i="96"/>
  <c r="BH60" i="96"/>
  <c r="AX11" i="96"/>
  <c r="BC11" i="96"/>
  <c r="BB22" i="96"/>
  <c r="BE22" i="96"/>
  <c r="BF22" i="96"/>
  <c r="BG22" i="96"/>
  <c r="BB28" i="96"/>
  <c r="BE28" i="96"/>
  <c r="BF28" i="96"/>
  <c r="BG28" i="96"/>
  <c r="BB29" i="96"/>
  <c r="BE29" i="96"/>
  <c r="BF29" i="96"/>
  <c r="BG29" i="96"/>
  <c r="BB30" i="96"/>
  <c r="BE30" i="96"/>
  <c r="BF30" i="96"/>
  <c r="BG30" i="96"/>
  <c r="BB31" i="96"/>
  <c r="BE31" i="96"/>
  <c r="BF31" i="96"/>
  <c r="BG31" i="96"/>
  <c r="BB32" i="96"/>
  <c r="BE32" i="96"/>
  <c r="BF32" i="96"/>
  <c r="BG32" i="96"/>
  <c r="BB33" i="96"/>
  <c r="BE33" i="96"/>
  <c r="BF33" i="96"/>
  <c r="BG33" i="96"/>
  <c r="BB34" i="96"/>
  <c r="BE34" i="96"/>
  <c r="BF34" i="96"/>
  <c r="BG34" i="96"/>
  <c r="BB35" i="96"/>
  <c r="BE35" i="96"/>
  <c r="BF35" i="96"/>
  <c r="BG35" i="96"/>
  <c r="BB36" i="96"/>
  <c r="BE36" i="96"/>
  <c r="BF36" i="96"/>
  <c r="BG36" i="96"/>
  <c r="BB37" i="96"/>
  <c r="BE37" i="96"/>
  <c r="BF37" i="96"/>
  <c r="BG37" i="96"/>
  <c r="BB38" i="96"/>
  <c r="BE38" i="96"/>
  <c r="BF38" i="96"/>
  <c r="BG38" i="96"/>
  <c r="BB39" i="96"/>
  <c r="BE39" i="96"/>
  <c r="BF39" i="96"/>
  <c r="BG39" i="96"/>
  <c r="BB40" i="96"/>
  <c r="BE40" i="96"/>
  <c r="BF40" i="96"/>
  <c r="BG40" i="96"/>
  <c r="BB41" i="96"/>
  <c r="BE41" i="96"/>
  <c r="BF41" i="96"/>
  <c r="BG41" i="96"/>
  <c r="BB42" i="96"/>
  <c r="BE42" i="96"/>
  <c r="BF42" i="96"/>
  <c r="BG42" i="96"/>
  <c r="BB43" i="96"/>
  <c r="BE43" i="96"/>
  <c r="BF43" i="96"/>
  <c r="BG43" i="96"/>
  <c r="BB44" i="96"/>
  <c r="BE44" i="96"/>
  <c r="BF44" i="96"/>
  <c r="BG44" i="96"/>
  <c r="BB45" i="96"/>
  <c r="BE45" i="96"/>
  <c r="BF45" i="96"/>
  <c r="BG45" i="96"/>
  <c r="BB46" i="96"/>
  <c r="BE46" i="96"/>
  <c r="BF46" i="96"/>
  <c r="BG46" i="96"/>
  <c r="BB47" i="96"/>
  <c r="BE47" i="96"/>
  <c r="BF47" i="96"/>
  <c r="BG47" i="96"/>
  <c r="BB48" i="96"/>
  <c r="BE48" i="96"/>
  <c r="BF48" i="96"/>
  <c r="BG48" i="96"/>
  <c r="BB49" i="96"/>
  <c r="BE49" i="96"/>
  <c r="BF49" i="96"/>
  <c r="BG49" i="96"/>
  <c r="BB50" i="96"/>
  <c r="BE50" i="96"/>
  <c r="BF50" i="96"/>
  <c r="BG50" i="96"/>
  <c r="BB51" i="96"/>
  <c r="BE51" i="96"/>
  <c r="BF51" i="96"/>
  <c r="BG51" i="96"/>
  <c r="BB52" i="96"/>
  <c r="BE52" i="96"/>
  <c r="BF52" i="96"/>
  <c r="BG52" i="96"/>
  <c r="BB53" i="96"/>
  <c r="BE53" i="96"/>
  <c r="BF53" i="96"/>
  <c r="BG53" i="96"/>
  <c r="BB54" i="96"/>
  <c r="BE54" i="96"/>
  <c r="BF54" i="96"/>
  <c r="BG54" i="96"/>
  <c r="BB55" i="96"/>
  <c r="BE55" i="96"/>
  <c r="BF55" i="96"/>
  <c r="BG55" i="96"/>
  <c r="BB56" i="96"/>
  <c r="BE56" i="96"/>
  <c r="BF56" i="96"/>
  <c r="BG56" i="96"/>
  <c r="BB57" i="96"/>
  <c r="BE57" i="96"/>
  <c r="BF57" i="96"/>
  <c r="BG57" i="96"/>
  <c r="BB58" i="96"/>
  <c r="BE58" i="96"/>
  <c r="BF58" i="96"/>
  <c r="BG58" i="96"/>
  <c r="BB59" i="96"/>
  <c r="BE59" i="96"/>
  <c r="BF59" i="96"/>
  <c r="BG59" i="96"/>
  <c r="BB60" i="96"/>
  <c r="BE60" i="96"/>
  <c r="BF60" i="96"/>
  <c r="BG60" i="96"/>
  <c r="BG11" i="96"/>
  <c r="BF11" i="96"/>
  <c r="BE11" i="96"/>
  <c r="BB11" i="96"/>
  <c r="GF22" i="96"/>
  <c r="DC22" i="96"/>
  <c r="DC28" i="96"/>
  <c r="DC29" i="96"/>
  <c r="HG39" i="96"/>
  <c r="DC30" i="96"/>
  <c r="DC31" i="96"/>
  <c r="DC32" i="96"/>
  <c r="DC33" i="96"/>
  <c r="DC34" i="96"/>
  <c r="DC35" i="96"/>
  <c r="DC36" i="96"/>
  <c r="DC37" i="96"/>
  <c r="DC38" i="96"/>
  <c r="DC39" i="96"/>
  <c r="DC40" i="96"/>
  <c r="DC41" i="96"/>
  <c r="DC42" i="96"/>
  <c r="DC43" i="96"/>
  <c r="DC44" i="96"/>
  <c r="DC45" i="96"/>
  <c r="DC46" i="96"/>
  <c r="DC47" i="96"/>
  <c r="DC48" i="96"/>
  <c r="DC49" i="96"/>
  <c r="DC50" i="96"/>
  <c r="DC51" i="96"/>
  <c r="DC52" i="96"/>
  <c r="DC53" i="96"/>
  <c r="DC54" i="96"/>
  <c r="DC55" i="96"/>
  <c r="DC56" i="96"/>
  <c r="DC57" i="96"/>
  <c r="DC58" i="96"/>
  <c r="DC59" i="96"/>
  <c r="DC60" i="96"/>
  <c r="GB16" i="96"/>
  <c r="GB17" i="96"/>
  <c r="GB18" i="96"/>
  <c r="GB19" i="96"/>
  <c r="GB20" i="96"/>
  <c r="GB21" i="96"/>
  <c r="GB22" i="96"/>
  <c r="GB23" i="96"/>
  <c r="GB24" i="96"/>
  <c r="GB25" i="96"/>
  <c r="GB26" i="96"/>
  <c r="GB27" i="96"/>
  <c r="GB28" i="96"/>
  <c r="GB29" i="96"/>
  <c r="GB30" i="96"/>
  <c r="GB31" i="96"/>
  <c r="GB32" i="96"/>
  <c r="GB33" i="96"/>
  <c r="GB34" i="96"/>
  <c r="GB35" i="96"/>
  <c r="GB36" i="96"/>
  <c r="GB37" i="96"/>
  <c r="GB38" i="96"/>
  <c r="GB39" i="96"/>
  <c r="GB40" i="96"/>
  <c r="GB41" i="96"/>
  <c r="GB42" i="96"/>
  <c r="GB43" i="96"/>
  <c r="GB44" i="96"/>
  <c r="GB45" i="96"/>
  <c r="GB46" i="96"/>
  <c r="GB47" i="96"/>
  <c r="GB48" i="96"/>
  <c r="GB49" i="96"/>
  <c r="GB50" i="96"/>
  <c r="GB51" i="96"/>
  <c r="GB52" i="96"/>
  <c r="GB53" i="96"/>
  <c r="GB54" i="96"/>
  <c r="GB55" i="96"/>
  <c r="GB56" i="96"/>
  <c r="GB57" i="96"/>
  <c r="GB58" i="96"/>
  <c r="GB59" i="96"/>
  <c r="GB60" i="96"/>
  <c r="GB11" i="96"/>
  <c r="BA28" i="96"/>
  <c r="BA29" i="96"/>
  <c r="BA30" i="96"/>
  <c r="BA31" i="96"/>
  <c r="BA32" i="96"/>
  <c r="BA33" i="96"/>
  <c r="BA34" i="96"/>
  <c r="BA36" i="96"/>
  <c r="BA37" i="96"/>
  <c r="BA38" i="96"/>
  <c r="BA39" i="96"/>
  <c r="CL16" i="96"/>
  <c r="CL17" i="96"/>
  <c r="CL18" i="96"/>
  <c r="CL19" i="96"/>
  <c r="CL20" i="96"/>
  <c r="CL21" i="96"/>
  <c r="CL22" i="96"/>
  <c r="CL23" i="96"/>
  <c r="CL24" i="96"/>
  <c r="CL25" i="96"/>
  <c r="CL26" i="96"/>
  <c r="CL28" i="96"/>
  <c r="CL29" i="96"/>
  <c r="CL30" i="96"/>
  <c r="CL31" i="96"/>
  <c r="CL32" i="96"/>
  <c r="CL33" i="96"/>
  <c r="CL34" i="96"/>
  <c r="CL35" i="96"/>
  <c r="CL36" i="96"/>
  <c r="CL37" i="96"/>
  <c r="CL38" i="96"/>
  <c r="CL39" i="96"/>
  <c r="CL40" i="96"/>
  <c r="CL41" i="96"/>
  <c r="CL42" i="96"/>
  <c r="CL43" i="96"/>
  <c r="CL44" i="96"/>
  <c r="CL45" i="96"/>
  <c r="CL46" i="96"/>
  <c r="CL47" i="96"/>
  <c r="CL48" i="96"/>
  <c r="CL49" i="96"/>
  <c r="CL50" i="96"/>
  <c r="CL51" i="96"/>
  <c r="CL52" i="96"/>
  <c r="CL53" i="96"/>
  <c r="CL54" i="96"/>
  <c r="CL55" i="96"/>
  <c r="CL56" i="96"/>
  <c r="CL57" i="96"/>
  <c r="CL58" i="96"/>
  <c r="CL59" i="96"/>
  <c r="CL60" i="96"/>
  <c r="CL11" i="96"/>
  <c r="HE22" i="96"/>
  <c r="CO16" i="96"/>
  <c r="CO17" i="96"/>
  <c r="CO18" i="96"/>
  <c r="CO19" i="96"/>
  <c r="CO20" i="96"/>
  <c r="CO21" i="96"/>
  <c r="CO22" i="96"/>
  <c r="CO28" i="96"/>
  <c r="CO29" i="96"/>
  <c r="CO30" i="96"/>
  <c r="CO31" i="96"/>
  <c r="CO32" i="96"/>
  <c r="CO33" i="96"/>
  <c r="CO34" i="96"/>
  <c r="CO35" i="96"/>
  <c r="CO36" i="96"/>
  <c r="CO37" i="96"/>
  <c r="CO38" i="96"/>
  <c r="CO39" i="96"/>
  <c r="CO40" i="96"/>
  <c r="CO41" i="96"/>
  <c r="CO42" i="96"/>
  <c r="CO43" i="96"/>
  <c r="CO44" i="96"/>
  <c r="CO45" i="96"/>
  <c r="CO46" i="96"/>
  <c r="CO47" i="96"/>
  <c r="CO48" i="96"/>
  <c r="CO49" i="96"/>
  <c r="CO50" i="96"/>
  <c r="CO51" i="96"/>
  <c r="CO52" i="96"/>
  <c r="CO53" i="96"/>
  <c r="CO54" i="96"/>
  <c r="CO55" i="96"/>
  <c r="CO56" i="96"/>
  <c r="CO57" i="96"/>
  <c r="CO58" i="96"/>
  <c r="CO59" i="96"/>
  <c r="CO60" i="96"/>
  <c r="CO11" i="96"/>
  <c r="BZ16" i="96"/>
  <c r="BZ17" i="96"/>
  <c r="BZ18" i="96"/>
  <c r="BZ19" i="96"/>
  <c r="BZ20" i="96"/>
  <c r="BZ21" i="96"/>
  <c r="BZ22" i="96"/>
  <c r="BZ28" i="96"/>
  <c r="BZ29" i="96"/>
  <c r="BZ30" i="96"/>
  <c r="BZ31" i="96"/>
  <c r="BZ32" i="96"/>
  <c r="BZ33" i="96"/>
  <c r="BZ34" i="96"/>
  <c r="BZ35" i="96"/>
  <c r="BZ36" i="96"/>
  <c r="BZ37" i="96"/>
  <c r="BZ38" i="96"/>
  <c r="BZ39" i="96"/>
  <c r="BZ40" i="96"/>
  <c r="BZ41" i="96"/>
  <c r="BZ42" i="96"/>
  <c r="BZ43" i="96"/>
  <c r="BZ44" i="96"/>
  <c r="BZ45" i="96"/>
  <c r="BZ46" i="96"/>
  <c r="BZ47" i="96"/>
  <c r="BZ48" i="96"/>
  <c r="BZ49" i="96"/>
  <c r="BZ50" i="96"/>
  <c r="BZ51" i="96"/>
  <c r="BZ52" i="96"/>
  <c r="BZ53" i="96"/>
  <c r="BZ54" i="96"/>
  <c r="BZ55" i="96"/>
  <c r="BZ56" i="96"/>
  <c r="BZ57" i="96"/>
  <c r="BZ58" i="96"/>
  <c r="BZ59" i="96"/>
  <c r="BZ60" i="96"/>
  <c r="BZ11" i="96"/>
  <c r="CI16" i="96"/>
  <c r="CI17" i="96"/>
  <c r="CI18" i="96"/>
  <c r="CI19" i="96"/>
  <c r="CI20" i="96"/>
  <c r="CI21" i="96"/>
  <c r="CI22" i="96"/>
  <c r="CI28" i="96"/>
  <c r="CI29" i="96"/>
  <c r="CI30" i="96"/>
  <c r="CI31" i="96"/>
  <c r="CI32" i="96"/>
  <c r="CI33" i="96"/>
  <c r="CI34" i="96"/>
  <c r="CI35" i="96"/>
  <c r="CI36" i="96"/>
  <c r="CI37" i="96"/>
  <c r="CI38" i="96"/>
  <c r="CI39" i="96"/>
  <c r="CI40" i="96"/>
  <c r="CI41" i="96"/>
  <c r="CI42" i="96"/>
  <c r="CI43" i="96"/>
  <c r="CI44" i="96"/>
  <c r="CI45" i="96"/>
  <c r="CI46" i="96"/>
  <c r="CI47" i="96"/>
  <c r="CI48" i="96"/>
  <c r="CI49" i="96"/>
  <c r="CI50" i="96"/>
  <c r="CI51" i="96"/>
  <c r="CI52" i="96"/>
  <c r="CI53" i="96"/>
  <c r="CI54" i="96"/>
  <c r="CI55" i="96"/>
  <c r="CI56" i="96"/>
  <c r="CI57" i="96"/>
  <c r="CI58" i="96"/>
  <c r="CI59" i="96"/>
  <c r="CI60" i="96"/>
  <c r="CI11" i="96"/>
  <c r="CF19" i="96"/>
  <c r="CF20" i="96"/>
  <c r="CF21" i="96"/>
  <c r="CF22" i="96"/>
  <c r="CF28" i="96"/>
  <c r="CF29" i="96"/>
  <c r="CF30" i="96"/>
  <c r="CF31" i="96"/>
  <c r="CF32" i="96"/>
  <c r="CF33" i="96"/>
  <c r="CF34" i="96"/>
  <c r="CF35" i="96"/>
  <c r="CF36" i="96"/>
  <c r="CF37" i="96"/>
  <c r="CF38" i="96"/>
  <c r="CF39" i="96"/>
  <c r="CF40" i="96"/>
  <c r="CF41" i="96"/>
  <c r="CF42" i="96"/>
  <c r="CF43" i="96"/>
  <c r="CF44" i="96"/>
  <c r="CF45" i="96"/>
  <c r="CF46" i="96"/>
  <c r="CF47" i="96"/>
  <c r="CF48" i="96"/>
  <c r="CF49" i="96"/>
  <c r="CF50" i="96"/>
  <c r="CF51" i="96"/>
  <c r="CF52" i="96"/>
  <c r="CF53" i="96"/>
  <c r="CF54" i="96"/>
  <c r="CF55" i="96"/>
  <c r="CF56" i="96"/>
  <c r="CF57" i="96"/>
  <c r="CF58" i="96"/>
  <c r="CF59" i="96"/>
  <c r="CF60" i="96"/>
  <c r="FU16" i="96"/>
  <c r="FU17" i="96"/>
  <c r="FU18" i="96"/>
  <c r="FU19" i="96"/>
  <c r="FU20" i="96"/>
  <c r="FU21" i="96"/>
  <c r="FU22" i="96"/>
  <c r="FU27" i="96"/>
  <c r="FU28" i="96"/>
  <c r="FU29" i="96"/>
  <c r="FU30" i="96"/>
  <c r="FU31" i="96"/>
  <c r="FU32" i="96"/>
  <c r="FU33" i="96"/>
  <c r="FU34" i="96"/>
  <c r="FU35" i="96"/>
  <c r="FU36" i="96"/>
  <c r="FU37" i="96"/>
  <c r="FU38" i="96"/>
  <c r="FU39" i="96"/>
  <c r="FU40" i="96"/>
  <c r="FU41" i="96"/>
  <c r="FU42" i="96"/>
  <c r="FU43" i="96"/>
  <c r="FU44" i="96"/>
  <c r="FU45" i="96"/>
  <c r="FU46" i="96"/>
  <c r="FU47" i="96"/>
  <c r="FU48" i="96"/>
  <c r="FU49" i="96"/>
  <c r="FU50" i="96"/>
  <c r="FU51" i="96"/>
  <c r="FU52" i="96"/>
  <c r="FU53" i="96"/>
  <c r="FU54" i="96"/>
  <c r="FU55" i="96"/>
  <c r="FU56" i="96"/>
  <c r="FU57" i="96"/>
  <c r="FU58" i="96"/>
  <c r="FU59" i="96"/>
  <c r="FU60" i="96"/>
  <c r="FU11" i="96"/>
  <c r="CC16" i="96"/>
  <c r="CC17" i="96"/>
  <c r="CC18" i="96"/>
  <c r="CC19" i="96"/>
  <c r="CC20" i="96"/>
  <c r="CC21" i="96"/>
  <c r="CC22" i="96"/>
  <c r="CC28" i="96"/>
  <c r="CC29" i="96"/>
  <c r="CC30" i="96"/>
  <c r="CC31" i="96"/>
  <c r="CC32" i="96"/>
  <c r="CC33" i="96"/>
  <c r="CC34" i="96"/>
  <c r="CC35" i="96"/>
  <c r="CC36" i="96"/>
  <c r="CC37" i="96"/>
  <c r="CC38" i="96"/>
  <c r="CC39" i="96"/>
  <c r="CC40" i="96"/>
  <c r="CC41" i="96"/>
  <c r="CC42" i="96"/>
  <c r="CC43" i="96"/>
  <c r="CC44" i="96"/>
  <c r="CC45" i="96"/>
  <c r="CC46" i="96"/>
  <c r="CC47" i="96"/>
  <c r="CC48" i="96"/>
  <c r="CC49" i="96"/>
  <c r="CC50" i="96"/>
  <c r="CC51" i="96"/>
  <c r="CC52" i="96"/>
  <c r="CC53" i="96"/>
  <c r="CC54" i="96"/>
  <c r="CC55" i="96"/>
  <c r="CC56" i="96"/>
  <c r="CC57" i="96"/>
  <c r="CC58" i="96"/>
  <c r="CC59" i="96"/>
  <c r="CC60" i="96"/>
  <c r="CC11" i="96"/>
  <c r="GT12" i="96"/>
  <c r="GT13" i="96"/>
  <c r="GT14" i="96"/>
  <c r="GS16" i="96"/>
  <c r="GS17" i="96"/>
  <c r="GS18" i="96"/>
  <c r="GS19" i="96"/>
  <c r="GS20" i="96"/>
  <c r="GS21" i="96"/>
  <c r="GS22" i="96"/>
  <c r="GS27" i="96"/>
  <c r="GS28" i="96"/>
  <c r="GS29" i="96"/>
  <c r="GS30" i="96"/>
  <c r="GS31" i="96"/>
  <c r="GS32" i="96"/>
  <c r="GS33" i="96"/>
  <c r="GS34" i="96"/>
  <c r="GS35" i="96"/>
  <c r="GS36" i="96"/>
  <c r="GS37" i="96"/>
  <c r="GS38" i="96"/>
  <c r="GS39" i="96"/>
  <c r="GS40" i="96"/>
  <c r="GS41" i="96"/>
  <c r="GS42" i="96"/>
  <c r="GS43" i="96"/>
  <c r="GS44" i="96"/>
  <c r="GS45" i="96"/>
  <c r="GS46" i="96"/>
  <c r="GS47" i="96"/>
  <c r="GS48" i="96"/>
  <c r="GS49" i="96"/>
  <c r="GS50" i="96"/>
  <c r="GS51" i="96"/>
  <c r="GS52" i="96"/>
  <c r="GS53" i="96"/>
  <c r="GS54" i="96"/>
  <c r="GS55" i="96"/>
  <c r="GS56" i="96"/>
  <c r="GS57" i="96"/>
  <c r="GS58" i="96"/>
  <c r="GS59" i="96"/>
  <c r="GS60" i="96"/>
  <c r="GT11" i="96"/>
  <c r="GS11" i="96"/>
  <c r="HE40" i="96"/>
  <c r="HE41" i="96"/>
  <c r="HE42" i="96"/>
  <c r="HE43" i="96"/>
  <c r="HD43" i="96"/>
  <c r="HD44" i="96"/>
  <c r="HD45" i="96"/>
  <c r="HD46" i="96"/>
  <c r="HD47" i="96"/>
  <c r="HD48" i="96"/>
  <c r="HD49" i="96"/>
  <c r="HD50" i="96"/>
  <c r="HD51" i="96"/>
  <c r="HD52" i="96"/>
  <c r="HD53" i="96"/>
  <c r="HD54" i="96"/>
  <c r="HD55" i="96"/>
  <c r="HD56" i="96"/>
  <c r="HD57" i="96"/>
  <c r="HD58" i="96"/>
  <c r="HD59" i="96"/>
  <c r="HD60" i="96"/>
  <c r="HH11" i="96"/>
  <c r="HF30" i="96"/>
  <c r="HF31" i="96"/>
  <c r="HF32" i="96"/>
  <c r="HF33" i="96"/>
  <c r="HF34" i="96"/>
  <c r="HF35" i="96"/>
  <c r="HF36" i="96"/>
  <c r="HF37" i="96"/>
  <c r="HF38" i="96"/>
  <c r="HF39" i="96"/>
  <c r="HF40" i="96"/>
  <c r="HF41" i="96"/>
  <c r="HF42" i="96"/>
  <c r="HF43" i="96"/>
  <c r="HF44" i="96"/>
  <c r="HF45" i="96"/>
  <c r="HF46" i="96"/>
  <c r="HF47" i="96"/>
  <c r="HF48" i="96"/>
  <c r="HF49" i="96"/>
  <c r="HF50" i="96"/>
  <c r="HF51" i="96"/>
  <c r="HF52" i="96"/>
  <c r="HF53" i="96"/>
  <c r="HF54" i="96"/>
  <c r="HF55" i="96"/>
  <c r="HF56" i="96"/>
  <c r="HF57" i="96"/>
  <c r="HF58" i="96"/>
  <c r="HF59" i="96"/>
  <c r="HF60" i="96"/>
  <c r="HD28" i="96"/>
  <c r="HD29" i="96"/>
  <c r="HD30" i="96"/>
  <c r="HD31" i="96"/>
  <c r="HD32" i="96"/>
  <c r="HD33" i="96"/>
  <c r="HD34" i="96"/>
  <c r="HD35" i="96"/>
  <c r="HD36" i="96"/>
  <c r="HD37" i="96"/>
  <c r="HD38" i="96"/>
  <c r="HD39" i="96"/>
  <c r="HD40" i="96"/>
  <c r="HD41" i="96"/>
  <c r="HD42" i="96"/>
  <c r="HB28" i="96"/>
  <c r="HB29" i="96"/>
  <c r="HB30" i="96"/>
  <c r="HB31" i="96"/>
  <c r="HB32" i="96"/>
  <c r="HB33" i="96"/>
  <c r="HB34" i="96"/>
  <c r="HB35" i="96"/>
  <c r="HB36" i="96"/>
  <c r="HB37" i="96"/>
  <c r="HB38" i="96"/>
  <c r="HB39" i="96"/>
  <c r="HB40" i="96"/>
  <c r="HB41" i="96"/>
  <c r="HB42" i="96"/>
  <c r="HB43" i="96"/>
  <c r="HB44" i="96"/>
  <c r="HB45" i="96"/>
  <c r="HB46" i="96"/>
  <c r="HB47" i="96"/>
  <c r="HB48" i="96"/>
  <c r="HB49" i="96"/>
  <c r="HB50" i="96"/>
  <c r="HB51" i="96"/>
  <c r="HB52" i="96"/>
  <c r="HB53" i="96"/>
  <c r="HB54" i="96"/>
  <c r="HB55" i="96"/>
  <c r="HB56" i="96"/>
  <c r="HB57" i="96"/>
  <c r="HB58" i="96"/>
  <c r="HB59" i="96"/>
  <c r="HB60" i="96"/>
  <c r="GZ28" i="96"/>
  <c r="GZ29" i="96"/>
  <c r="GZ30" i="96"/>
  <c r="GZ31" i="96"/>
  <c r="GZ32" i="96"/>
  <c r="GZ33" i="96"/>
  <c r="GZ34" i="96"/>
  <c r="GZ35" i="96"/>
  <c r="GZ36" i="96"/>
  <c r="GZ37" i="96"/>
  <c r="GZ38" i="96"/>
  <c r="GZ39" i="96"/>
  <c r="GZ40" i="96"/>
  <c r="GZ41" i="96"/>
  <c r="GZ42" i="96"/>
  <c r="GZ43" i="96"/>
  <c r="GZ44" i="96"/>
  <c r="GZ45" i="96"/>
  <c r="GZ46" i="96"/>
  <c r="GZ47" i="96"/>
  <c r="GZ48" i="96"/>
  <c r="GZ49" i="96"/>
  <c r="GZ50" i="96"/>
  <c r="GZ51" i="96"/>
  <c r="GZ52" i="96"/>
  <c r="GZ53" i="96"/>
  <c r="GZ54" i="96"/>
  <c r="GZ55" i="96"/>
  <c r="GZ56" i="96"/>
  <c r="GZ57" i="96"/>
  <c r="GZ58" i="96"/>
  <c r="GZ59" i="96"/>
  <c r="GZ60" i="96"/>
  <c r="GX28" i="96"/>
  <c r="GX29" i="96"/>
  <c r="GX30" i="96"/>
  <c r="GX31" i="96"/>
  <c r="GX32" i="96"/>
  <c r="GX33" i="96"/>
  <c r="GX34" i="96"/>
  <c r="GX35" i="96"/>
  <c r="GX36" i="96"/>
  <c r="GX37" i="96"/>
  <c r="GX38" i="96"/>
  <c r="GX39" i="96"/>
  <c r="GX40" i="96"/>
  <c r="GX41" i="96"/>
  <c r="GX42" i="96"/>
  <c r="GX43" i="96"/>
  <c r="GX44" i="96"/>
  <c r="GX45" i="96"/>
  <c r="GX46" i="96"/>
  <c r="GX47" i="96"/>
  <c r="GX48" i="96"/>
  <c r="GX49" i="96"/>
  <c r="GX50" i="96"/>
  <c r="GX51" i="96"/>
  <c r="GX52" i="96"/>
  <c r="GX53" i="96"/>
  <c r="GX54" i="96"/>
  <c r="GX55" i="96"/>
  <c r="GX56" i="96"/>
  <c r="GX57" i="96"/>
  <c r="GX58" i="96"/>
  <c r="GX59" i="96"/>
  <c r="GX60" i="96"/>
  <c r="GV28" i="96"/>
  <c r="GV29" i="96"/>
  <c r="GV30" i="96"/>
  <c r="GV31" i="96"/>
  <c r="GV32" i="96"/>
  <c r="GV33" i="96"/>
  <c r="GV34" i="96"/>
  <c r="GV35" i="96"/>
  <c r="GV36" i="96"/>
  <c r="GV37" i="96"/>
  <c r="GV38" i="96"/>
  <c r="GV39" i="96"/>
  <c r="GV40" i="96"/>
  <c r="GV41" i="96"/>
  <c r="GV42" i="96"/>
  <c r="GV43" i="96"/>
  <c r="GV44" i="96"/>
  <c r="GV45" i="96"/>
  <c r="GV46" i="96"/>
  <c r="GV47" i="96"/>
  <c r="GV48" i="96"/>
  <c r="GV49" i="96"/>
  <c r="GV50" i="96"/>
  <c r="GV51" i="96"/>
  <c r="GV52" i="96"/>
  <c r="GV53" i="96"/>
  <c r="GV54" i="96"/>
  <c r="GV55" i="96"/>
  <c r="GV56" i="96"/>
  <c r="GV57" i="96"/>
  <c r="GV58" i="96"/>
  <c r="GV59" i="96"/>
  <c r="GV60" i="96"/>
  <c r="FV22" i="96"/>
  <c r="HJ31" i="96"/>
  <c r="HJ32" i="96"/>
  <c r="HJ33" i="96"/>
  <c r="HJ34" i="96"/>
  <c r="HJ35" i="96"/>
  <c r="HJ36" i="96"/>
  <c r="HJ37" i="96"/>
  <c r="HJ38" i="96"/>
  <c r="HJ39" i="96"/>
  <c r="FY45" i="96"/>
  <c r="FY46" i="96"/>
  <c r="FY47" i="96"/>
  <c r="FY48" i="96"/>
  <c r="FY49" i="96"/>
  <c r="FY50" i="96"/>
  <c r="FY51" i="96"/>
  <c r="FY52" i="96"/>
  <c r="FY53" i="96"/>
  <c r="FY54" i="96"/>
  <c r="FY55" i="96"/>
  <c r="FY56" i="96"/>
  <c r="FY57" i="96"/>
  <c r="FY58" i="96"/>
  <c r="FY59" i="96"/>
  <c r="FY60" i="96"/>
  <c r="FY43" i="96"/>
  <c r="FY44" i="96"/>
  <c r="FY42" i="96"/>
  <c r="FY41" i="96"/>
  <c r="FY40" i="96"/>
  <c r="GF40" i="96"/>
  <c r="GF41" i="96"/>
  <c r="GF42" i="96"/>
  <c r="GF43" i="96"/>
  <c r="GF44" i="96"/>
  <c r="GF45" i="96"/>
  <c r="GF46" i="96"/>
  <c r="GF47" i="96"/>
  <c r="GF48" i="96"/>
  <c r="GF49" i="96"/>
  <c r="GF50" i="96"/>
  <c r="GF51" i="96"/>
  <c r="GF52" i="96"/>
  <c r="GF53" i="96"/>
  <c r="GF54" i="96"/>
  <c r="GF55" i="96"/>
  <c r="GF56" i="96"/>
  <c r="GF57" i="96"/>
  <c r="GF58" i="96"/>
  <c r="GF59" i="96"/>
  <c r="GF60" i="96"/>
  <c r="FV41" i="96"/>
  <c r="FV42" i="96"/>
  <c r="FV43" i="96"/>
  <c r="FV44" i="96"/>
  <c r="FV45" i="96"/>
  <c r="FV46" i="96"/>
  <c r="FV47" i="96"/>
  <c r="FV48" i="96"/>
  <c r="FV49" i="96"/>
  <c r="FV50" i="96"/>
  <c r="FV51" i="96"/>
  <c r="FV52" i="96"/>
  <c r="FV53" i="96"/>
  <c r="FV54" i="96"/>
  <c r="FV55" i="96"/>
  <c r="FV56" i="96"/>
  <c r="FV57" i="96"/>
  <c r="FV58" i="96"/>
  <c r="FV59" i="96"/>
  <c r="FV60" i="96"/>
  <c r="GC40" i="96"/>
  <c r="GC41" i="96"/>
  <c r="GC42" i="96"/>
  <c r="GC43" i="96"/>
  <c r="GC44" i="96"/>
  <c r="GC45" i="96"/>
  <c r="GC46" i="96"/>
  <c r="GC47" i="96"/>
  <c r="GC48" i="96"/>
  <c r="GC49" i="96"/>
  <c r="GC50" i="96"/>
  <c r="GC51" i="96"/>
  <c r="GC52" i="96"/>
  <c r="GC53" i="96"/>
  <c r="GC54" i="96"/>
  <c r="GC55" i="96"/>
  <c r="GC56" i="96"/>
  <c r="GC57" i="96"/>
  <c r="GC58" i="96"/>
  <c r="GC59" i="96"/>
  <c r="GC60" i="96"/>
  <c r="FR39" i="96"/>
  <c r="FR34" i="96"/>
  <c r="FR11" i="96"/>
  <c r="LX59" i="96"/>
  <c r="DG45" i="96"/>
  <c r="DG46" i="96"/>
  <c r="DG47" i="96"/>
  <c r="DG48" i="96"/>
  <c r="DG49" i="96"/>
  <c r="DG50" i="96"/>
  <c r="DG51" i="96"/>
  <c r="DG52" i="96"/>
  <c r="DG53" i="96"/>
  <c r="DG54" i="96"/>
  <c r="DG55" i="96"/>
  <c r="DG56" i="96"/>
  <c r="DG57" i="96"/>
  <c r="DG58" i="96"/>
  <c r="DG59" i="96"/>
  <c r="DG60" i="96"/>
  <c r="DG44" i="96"/>
  <c r="DG29" i="96"/>
  <c r="DG30" i="96"/>
  <c r="DG31" i="96"/>
  <c r="DG32" i="96"/>
  <c r="DG33" i="96"/>
  <c r="DG34" i="96"/>
  <c r="DG35" i="96"/>
  <c r="DG36" i="96"/>
  <c r="DG37" i="96"/>
  <c r="DG38" i="96"/>
  <c r="DG39" i="96"/>
  <c r="DG40" i="96"/>
  <c r="DG41" i="96"/>
  <c r="DG42" i="96"/>
  <c r="DG43" i="96"/>
  <c r="DG28" i="96"/>
  <c r="DF27" i="96"/>
  <c r="DF22" i="96"/>
  <c r="DF23" i="96"/>
  <c r="DF24" i="96"/>
  <c r="DF25" i="96"/>
  <c r="DF26" i="96"/>
  <c r="GN22" i="96"/>
  <c r="GN28" i="96"/>
  <c r="GN29" i="96"/>
  <c r="GN30" i="96"/>
  <c r="GN31" i="96"/>
  <c r="GN32" i="96"/>
  <c r="GN33" i="96"/>
  <c r="GN34" i="96"/>
  <c r="GN35" i="96"/>
  <c r="GN36" i="96"/>
  <c r="GN37" i="96"/>
  <c r="GN38" i="96"/>
  <c r="GN39" i="96"/>
  <c r="GN40" i="96"/>
  <c r="GN41" i="96"/>
  <c r="GN42" i="96"/>
  <c r="GN43" i="96"/>
  <c r="GN44" i="96"/>
  <c r="GN45" i="96"/>
  <c r="GN46" i="96"/>
  <c r="GN47" i="96"/>
  <c r="GN48" i="96"/>
  <c r="GN49" i="96"/>
  <c r="GN50" i="96"/>
  <c r="GN51" i="96"/>
  <c r="GN52" i="96"/>
  <c r="GN53" i="96"/>
  <c r="GN54" i="96"/>
  <c r="GN55" i="96"/>
  <c r="GN56" i="96"/>
  <c r="GN57" i="96"/>
  <c r="GN58" i="96"/>
  <c r="GN59" i="96"/>
  <c r="GN60" i="96"/>
  <c r="ED22" i="96"/>
  <c r="ED28" i="96"/>
  <c r="ED29" i="96"/>
  <c r="ED30" i="96"/>
  <c r="ED31" i="96"/>
  <c r="ED32" i="96"/>
  <c r="ED33" i="96"/>
  <c r="ED34" i="96"/>
  <c r="ED35" i="96"/>
  <c r="ED36" i="96"/>
  <c r="ED37" i="96"/>
  <c r="ED38" i="96"/>
  <c r="ED39" i="96"/>
  <c r="ED40" i="96"/>
  <c r="ED41" i="96"/>
  <c r="ED42" i="96"/>
  <c r="ED43" i="96"/>
  <c r="ED44" i="96"/>
  <c r="ED45" i="96"/>
  <c r="ED46" i="96"/>
  <c r="ED47" i="96"/>
  <c r="ED48" i="96"/>
  <c r="ED49" i="96"/>
  <c r="ED50" i="96"/>
  <c r="ED51" i="96"/>
  <c r="ED52" i="96"/>
  <c r="ED53" i="96"/>
  <c r="ED54" i="96"/>
  <c r="ED55" i="96"/>
  <c r="ED56" i="96"/>
  <c r="ED57" i="96"/>
  <c r="ED58" i="96"/>
  <c r="ED59" i="96"/>
  <c r="ED60" i="96"/>
  <c r="ED11" i="96"/>
  <c r="DF21" i="96"/>
  <c r="DG22" i="96"/>
  <c r="DG21" i="96"/>
  <c r="DF20" i="96"/>
  <c r="DF19" i="96"/>
  <c r="DF18" i="96"/>
  <c r="DF17" i="96"/>
  <c r="DF16" i="96"/>
  <c r="DF15" i="96"/>
  <c r="DF14" i="96"/>
  <c r="DF13" i="96"/>
  <c r="DF12" i="96"/>
  <c r="DD22" i="96"/>
  <c r="DD28" i="96"/>
  <c r="DD29" i="96"/>
  <c r="DD30" i="96"/>
  <c r="DD31" i="96"/>
  <c r="DD32" i="96"/>
  <c r="DD33" i="96"/>
  <c r="DD34" i="96"/>
  <c r="DD35" i="96"/>
  <c r="DD36" i="96"/>
  <c r="DD37" i="96"/>
  <c r="DD38" i="96"/>
  <c r="DD39" i="96"/>
  <c r="DD40" i="96"/>
  <c r="DD41" i="96"/>
  <c r="DD42" i="96"/>
  <c r="DD43" i="96"/>
  <c r="DD44" i="96"/>
  <c r="DD45" i="96"/>
  <c r="DD46" i="96"/>
  <c r="DD47" i="96"/>
  <c r="DD48" i="96"/>
  <c r="DD49" i="96"/>
  <c r="DD50" i="96"/>
  <c r="DD51" i="96"/>
  <c r="DD52" i="96"/>
  <c r="DD53" i="96"/>
  <c r="DD54" i="96"/>
  <c r="DD55" i="96"/>
  <c r="DD56" i="96"/>
  <c r="DD57" i="96"/>
  <c r="DD58" i="96"/>
  <c r="DD59" i="96"/>
  <c r="DD60" i="96"/>
  <c r="DF11" i="96"/>
  <c r="DD11" i="96"/>
  <c r="BW64" i="96"/>
  <c r="BW65" i="96"/>
  <c r="BW66" i="96"/>
  <c r="BW63" i="96"/>
  <c r="GI22" i="96"/>
  <c r="HN22" i="96"/>
  <c r="GI28" i="96"/>
  <c r="HN28" i="96"/>
  <c r="GI29" i="96"/>
  <c r="HN29" i="96"/>
  <c r="GI30" i="96"/>
  <c r="HN30" i="96"/>
  <c r="GI31" i="96"/>
  <c r="HN31" i="96"/>
  <c r="GI32" i="96"/>
  <c r="HN32" i="96"/>
  <c r="GI33" i="96"/>
  <c r="HN33" i="96"/>
  <c r="GI34" i="96"/>
  <c r="HN34" i="96"/>
  <c r="GI35" i="96"/>
  <c r="HN35" i="96"/>
  <c r="GI36" i="96"/>
  <c r="HN36" i="96"/>
  <c r="GI37" i="96"/>
  <c r="HN37" i="96"/>
  <c r="GI38" i="96"/>
  <c r="HN38" i="96"/>
  <c r="GI39" i="96"/>
  <c r="HN39" i="96"/>
  <c r="GI40" i="96"/>
  <c r="HN40" i="96"/>
  <c r="GI41" i="96"/>
  <c r="HN41" i="96"/>
  <c r="GI42" i="96"/>
  <c r="HN42" i="96"/>
  <c r="GI43" i="96"/>
  <c r="HN43" i="96"/>
  <c r="GI44" i="96"/>
  <c r="HN44" i="96"/>
  <c r="GI45" i="96"/>
  <c r="HN45" i="96"/>
  <c r="GI46" i="96"/>
  <c r="HN46" i="96"/>
  <c r="GI47" i="96"/>
  <c r="HN47" i="96"/>
  <c r="GI48" i="96"/>
  <c r="HN48" i="96"/>
  <c r="GI49" i="96"/>
  <c r="HN49" i="96"/>
  <c r="GI50" i="96"/>
  <c r="HN50" i="96"/>
  <c r="GQ22" i="96"/>
  <c r="HO22" i="96"/>
  <c r="GQ28" i="96"/>
  <c r="HO28" i="96"/>
  <c r="GQ29" i="96"/>
  <c r="HO29" i="96"/>
  <c r="GQ30" i="96"/>
  <c r="HO30" i="96"/>
  <c r="GQ31" i="96"/>
  <c r="HO31" i="96"/>
  <c r="GQ32" i="96"/>
  <c r="HO32" i="96"/>
  <c r="GQ33" i="96"/>
  <c r="HO33" i="96"/>
  <c r="GQ34" i="96"/>
  <c r="HO34" i="96"/>
  <c r="GQ35" i="96"/>
  <c r="HO35" i="96"/>
  <c r="GQ36" i="96"/>
  <c r="HO36" i="96"/>
  <c r="GQ37" i="96"/>
  <c r="HO37" i="96"/>
  <c r="GQ38" i="96"/>
  <c r="HO38" i="96"/>
  <c r="GQ39" i="96"/>
  <c r="HO39" i="96"/>
  <c r="GQ40" i="96"/>
  <c r="HO40" i="96"/>
  <c r="GQ41" i="96"/>
  <c r="HO41" i="96"/>
  <c r="GQ42" i="96"/>
  <c r="HO42" i="96"/>
  <c r="GQ43" i="96"/>
  <c r="HO43" i="96"/>
  <c r="GQ44" i="96"/>
  <c r="HO44" i="96"/>
  <c r="GQ45" i="96"/>
  <c r="HO45" i="96"/>
  <c r="GQ46" i="96"/>
  <c r="HO46" i="96"/>
  <c r="GQ47" i="96"/>
  <c r="HO47" i="96"/>
  <c r="GQ48" i="96"/>
  <c r="HO48" i="96"/>
  <c r="GQ49" i="96"/>
  <c r="HO49" i="96"/>
  <c r="GQ50" i="96"/>
  <c r="HO50" i="96"/>
  <c r="EC22" i="96"/>
  <c r="EC28" i="96"/>
  <c r="EC29" i="96"/>
  <c r="EC30" i="96"/>
  <c r="EC31" i="96"/>
  <c r="EC32" i="96"/>
  <c r="EC33" i="96"/>
  <c r="EC34" i="96"/>
  <c r="EC35" i="96"/>
  <c r="EC36" i="96"/>
  <c r="EC37" i="96"/>
  <c r="EC38" i="96"/>
  <c r="EC39" i="96"/>
  <c r="EC40" i="96"/>
  <c r="EC41" i="96"/>
  <c r="EC42" i="96"/>
  <c r="EC43" i="96"/>
  <c r="EC44" i="96"/>
  <c r="EC45" i="96"/>
  <c r="EC46" i="96"/>
  <c r="EC47" i="96"/>
  <c r="EC48" i="96"/>
  <c r="EC49" i="96"/>
  <c r="EC50" i="96"/>
  <c r="EC51" i="96"/>
  <c r="EC52" i="96"/>
  <c r="EC53" i="96"/>
  <c r="EC54" i="96"/>
  <c r="EC55" i="96"/>
  <c r="EC56" i="96"/>
  <c r="EC57" i="96"/>
  <c r="EC58" i="96"/>
  <c r="EC60" i="96"/>
  <c r="EA22" i="96"/>
  <c r="EA27" i="96"/>
  <c r="EA28" i="96"/>
  <c r="EA29" i="96"/>
  <c r="EA30" i="96"/>
  <c r="EA31" i="96"/>
  <c r="EA32" i="96"/>
  <c r="EA33" i="96"/>
  <c r="EA34" i="96"/>
  <c r="EA35" i="96"/>
  <c r="EA36" i="96"/>
  <c r="EA37" i="96"/>
  <c r="EA38" i="96"/>
  <c r="EA39" i="96"/>
  <c r="EA40" i="96"/>
  <c r="EA41" i="96"/>
  <c r="EA42" i="96"/>
  <c r="EA43" i="96"/>
  <c r="EA44" i="96"/>
  <c r="EA45" i="96"/>
  <c r="EA46" i="96"/>
  <c r="EA47" i="96"/>
  <c r="EA48" i="96"/>
  <c r="EA49" i="96"/>
  <c r="EA50" i="96"/>
  <c r="EA51" i="96"/>
  <c r="EA52" i="96"/>
  <c r="EA53" i="96"/>
  <c r="EA54" i="96"/>
  <c r="EA55" i="96"/>
  <c r="EA56" i="96"/>
  <c r="EA57" i="96"/>
  <c r="EA58" i="96"/>
  <c r="EA60" i="96"/>
  <c r="DW16" i="96"/>
  <c r="DW17" i="96"/>
  <c r="DW22" i="96"/>
  <c r="DW27" i="96"/>
  <c r="DW28" i="96"/>
  <c r="DW29" i="96"/>
  <c r="DW30" i="96"/>
  <c r="DW31" i="96"/>
  <c r="DW32" i="96"/>
  <c r="DW33" i="96"/>
  <c r="DW34" i="96"/>
  <c r="DW35" i="96"/>
  <c r="DW36" i="96"/>
  <c r="DW37" i="96"/>
  <c r="DW38" i="96"/>
  <c r="DW39" i="96"/>
  <c r="DW40" i="96"/>
  <c r="DW41" i="96"/>
  <c r="DW42" i="96"/>
  <c r="DW43" i="96"/>
  <c r="DW44" i="96"/>
  <c r="DW45" i="96"/>
  <c r="DW46" i="96"/>
  <c r="DW47" i="96"/>
  <c r="DW48" i="96"/>
  <c r="DW49" i="96"/>
  <c r="DW50" i="96"/>
  <c r="DW51" i="96"/>
  <c r="DW52" i="96"/>
  <c r="DW53" i="96"/>
  <c r="DW54" i="96"/>
  <c r="DW55" i="96"/>
  <c r="DW56" i="96"/>
  <c r="DW57" i="96"/>
  <c r="DW58" i="96"/>
  <c r="DW60" i="96"/>
  <c r="DU22" i="96"/>
  <c r="DU27" i="96"/>
  <c r="DU28" i="96"/>
  <c r="DU29" i="96"/>
  <c r="DU30" i="96"/>
  <c r="DU31" i="96"/>
  <c r="DU32" i="96"/>
  <c r="DU33" i="96"/>
  <c r="DU34" i="96"/>
  <c r="DU35" i="96"/>
  <c r="DU36" i="96"/>
  <c r="DU37" i="96"/>
  <c r="DU38" i="96"/>
  <c r="DU39" i="96"/>
  <c r="DU40" i="96"/>
  <c r="DU41" i="96"/>
  <c r="DU42" i="96"/>
  <c r="DU43" i="96"/>
  <c r="DU44" i="96"/>
  <c r="DU45" i="96"/>
  <c r="DU46" i="96"/>
  <c r="DU47" i="96"/>
  <c r="DU48" i="96"/>
  <c r="DU49" i="96"/>
  <c r="DU50" i="96"/>
  <c r="DU51" i="96"/>
  <c r="DU52" i="96"/>
  <c r="DU53" i="96"/>
  <c r="DU54" i="96"/>
  <c r="DU55" i="96"/>
  <c r="DU56" i="96"/>
  <c r="DU57" i="96"/>
  <c r="DU58" i="96"/>
  <c r="DU60" i="96"/>
  <c r="DS16" i="96"/>
  <c r="DS17" i="96"/>
  <c r="DS18" i="96"/>
  <c r="DS19" i="96"/>
  <c r="DS20" i="96"/>
  <c r="DS21" i="96"/>
  <c r="DS22" i="96"/>
  <c r="DS27" i="96"/>
  <c r="DS28" i="96"/>
  <c r="DS29" i="96"/>
  <c r="DS30" i="96"/>
  <c r="DS31" i="96"/>
  <c r="DS32" i="96"/>
  <c r="DS33" i="96"/>
  <c r="DS34" i="96"/>
  <c r="DS35" i="96"/>
  <c r="DS36" i="96"/>
  <c r="DS37" i="96"/>
  <c r="DS38" i="96"/>
  <c r="DS39" i="96"/>
  <c r="DS40" i="96"/>
  <c r="DS41" i="96"/>
  <c r="DS42" i="96"/>
  <c r="DS43" i="96"/>
  <c r="DS44" i="96"/>
  <c r="DS45" i="96"/>
  <c r="DS46" i="96"/>
  <c r="DS47" i="96"/>
  <c r="DS48" i="96"/>
  <c r="DS49" i="96"/>
  <c r="DS50" i="96"/>
  <c r="DS51" i="96"/>
  <c r="DS52" i="96"/>
  <c r="DS53" i="96"/>
  <c r="DS54" i="96"/>
  <c r="DS55" i="96"/>
  <c r="DS56" i="96"/>
  <c r="DS57" i="96"/>
  <c r="DS58" i="96"/>
  <c r="DS60" i="96"/>
  <c r="DQ16" i="96"/>
  <c r="DQ17" i="96"/>
  <c r="DQ18" i="96"/>
  <c r="DQ19" i="96"/>
  <c r="DQ20" i="96"/>
  <c r="DQ21" i="96"/>
  <c r="DQ22" i="96"/>
  <c r="DQ27" i="96"/>
  <c r="DQ28" i="96"/>
  <c r="DQ29" i="96"/>
  <c r="DQ30" i="96"/>
  <c r="DQ31" i="96"/>
  <c r="DQ32" i="96"/>
  <c r="DQ33" i="96"/>
  <c r="DQ34" i="96"/>
  <c r="DQ35" i="96"/>
  <c r="DQ36" i="96"/>
  <c r="DQ37" i="96"/>
  <c r="DQ38" i="96"/>
  <c r="DQ39" i="96"/>
  <c r="DQ40" i="96"/>
  <c r="DQ41" i="96"/>
  <c r="DQ42" i="96"/>
  <c r="DQ43" i="96"/>
  <c r="DQ44" i="96"/>
  <c r="DQ45" i="96"/>
  <c r="DQ46" i="96"/>
  <c r="DQ47" i="96"/>
  <c r="DQ48" i="96"/>
  <c r="DQ49" i="96"/>
  <c r="DQ50" i="96"/>
  <c r="DQ51" i="96"/>
  <c r="DQ52" i="96"/>
  <c r="DQ53" i="96"/>
  <c r="DQ54" i="96"/>
  <c r="DQ55" i="96"/>
  <c r="DQ56" i="96"/>
  <c r="DQ57" i="96"/>
  <c r="DQ58" i="96"/>
  <c r="DQ60" i="96"/>
  <c r="DO16" i="96"/>
  <c r="DO17" i="96"/>
  <c r="DO18" i="96"/>
  <c r="DO19" i="96"/>
  <c r="DO20" i="96"/>
  <c r="DO21" i="96"/>
  <c r="DO22" i="96"/>
  <c r="DO27" i="96"/>
  <c r="DO28" i="96"/>
  <c r="DO29" i="96"/>
  <c r="DO30" i="96"/>
  <c r="DO31" i="96"/>
  <c r="DO32" i="96"/>
  <c r="DO33" i="96"/>
  <c r="DO34" i="96"/>
  <c r="DO35" i="96"/>
  <c r="DO36" i="96"/>
  <c r="DO37" i="96"/>
  <c r="DO38" i="96"/>
  <c r="DO39" i="96"/>
  <c r="DO40" i="96"/>
  <c r="DO41" i="96"/>
  <c r="DO42" i="96"/>
  <c r="DO43" i="96"/>
  <c r="DO44" i="96"/>
  <c r="DO45" i="96"/>
  <c r="DO46" i="96"/>
  <c r="DO47" i="96"/>
  <c r="DO48" i="96"/>
  <c r="DO49" i="96"/>
  <c r="DO50" i="96"/>
  <c r="DO51" i="96"/>
  <c r="DO52" i="96"/>
  <c r="DO53" i="96"/>
  <c r="DO54" i="96"/>
  <c r="DO55" i="96"/>
  <c r="DO56" i="96"/>
  <c r="DO57" i="96"/>
  <c r="DO58" i="96"/>
  <c r="DO60" i="96"/>
  <c r="DM16" i="96"/>
  <c r="DM17" i="96"/>
  <c r="DM22" i="96"/>
  <c r="DM27" i="96"/>
  <c r="DM28" i="96"/>
  <c r="DM29" i="96"/>
  <c r="DM30" i="96"/>
  <c r="DM31" i="96"/>
  <c r="DM32" i="96"/>
  <c r="DM33" i="96"/>
  <c r="DM34" i="96"/>
  <c r="DM35" i="96"/>
  <c r="DM36" i="96"/>
  <c r="DM37" i="96"/>
  <c r="DM38" i="96"/>
  <c r="DM39" i="96"/>
  <c r="DM40" i="96"/>
  <c r="DM41" i="96"/>
  <c r="DM42" i="96"/>
  <c r="DM43" i="96"/>
  <c r="DM44" i="96"/>
  <c r="DM45" i="96"/>
  <c r="DM46" i="96"/>
  <c r="DM47" i="96"/>
  <c r="DM48" i="96"/>
  <c r="DM49" i="96"/>
  <c r="DM50" i="96"/>
  <c r="DM51" i="96"/>
  <c r="DM52" i="96"/>
  <c r="DM53" i="96"/>
  <c r="DM54" i="96"/>
  <c r="DM55" i="96"/>
  <c r="DM56" i="96"/>
  <c r="DM57" i="96"/>
  <c r="DM58" i="96"/>
  <c r="DM60" i="96"/>
  <c r="DM11" i="96"/>
  <c r="DO11" i="96"/>
  <c r="DQ11" i="96"/>
  <c r="DS11" i="96"/>
  <c r="DU11" i="96"/>
  <c r="DW11" i="96"/>
  <c r="EA11" i="96"/>
  <c r="AP64" i="96"/>
  <c r="AS64" i="96"/>
  <c r="GG64" i="96"/>
  <c r="GJ64" i="96"/>
  <c r="GI64" i="96"/>
  <c r="AA63" i="96"/>
  <c r="AM63" i="96"/>
  <c r="AJ63" i="96"/>
  <c r="AP63" i="96"/>
  <c r="AS63" i="96"/>
  <c r="FP63" i="96"/>
  <c r="EZ11" i="96"/>
  <c r="EX11" i="96"/>
  <c r="EV11" i="96"/>
  <c r="ET11" i="96"/>
  <c r="ER11" i="96"/>
  <c r="EP11" i="96"/>
  <c r="FB11" i="96"/>
  <c r="FD11" i="96"/>
  <c r="FC11" i="96"/>
  <c r="HW64" i="96"/>
  <c r="HX64" i="96"/>
  <c r="HW63" i="96"/>
  <c r="HX63" i="96"/>
  <c r="K12" i="96"/>
  <c r="K13" i="96"/>
  <c r="K14" i="96"/>
  <c r="K15" i="96"/>
  <c r="K16" i="96"/>
  <c r="K17" i="96"/>
  <c r="K18" i="96"/>
  <c r="K19" i="96"/>
  <c r="K20" i="96"/>
  <c r="K21" i="96"/>
  <c r="CZ70" i="9"/>
  <c r="DI23" i="96"/>
  <c r="CZ71" i="9"/>
  <c r="DI24" i="96"/>
  <c r="CZ72" i="9"/>
  <c r="DI25" i="96"/>
  <c r="CZ73" i="9"/>
  <c r="DI26" i="96"/>
  <c r="CZ69" i="9"/>
  <c r="DI22" i="96"/>
  <c r="DI6" i="96"/>
  <c r="DI7" i="96"/>
  <c r="DI8" i="96"/>
  <c r="DI9" i="96"/>
  <c r="DI10" i="96"/>
  <c r="DI11" i="96"/>
  <c r="DI12" i="96"/>
  <c r="DI13" i="96"/>
  <c r="DI14" i="96"/>
  <c r="DI15" i="96"/>
  <c r="DI16" i="96"/>
  <c r="DI17" i="96"/>
  <c r="DI18" i="96"/>
  <c r="DI19" i="96"/>
  <c r="DI20" i="96"/>
  <c r="DI21" i="96"/>
  <c r="DI5" i="96"/>
  <c r="DB64" i="9"/>
  <c r="DB65" i="9"/>
  <c r="DB66" i="9"/>
  <c r="DB67" i="9"/>
  <c r="DB68" i="9"/>
  <c r="DB69" i="9"/>
  <c r="DB70" i="9"/>
  <c r="DB71" i="9"/>
  <c r="DB72" i="9"/>
  <c r="DB73" i="9"/>
  <c r="DB74" i="9"/>
  <c r="DF10" i="96"/>
  <c r="DF9" i="96"/>
  <c r="DF8" i="96"/>
  <c r="DF7" i="96"/>
  <c r="DF6" i="96"/>
  <c r="DF5" i="96"/>
  <c r="DG5" i="96"/>
  <c r="DG6" i="96"/>
  <c r="DG7" i="96"/>
  <c r="DG8" i="96"/>
  <c r="DG23" i="96"/>
  <c r="DG24" i="96"/>
  <c r="DG25" i="96"/>
  <c r="DG26" i="96"/>
  <c r="DG27" i="96"/>
  <c r="DG9" i="96"/>
  <c r="DG10" i="96"/>
  <c r="DG11" i="96"/>
  <c r="DG12" i="96"/>
  <c r="DG13" i="96"/>
  <c r="DG14" i="96"/>
  <c r="DG15" i="96"/>
  <c r="DG16" i="96"/>
  <c r="DG17" i="96"/>
  <c r="DG18" i="96"/>
  <c r="DG19" i="96"/>
  <c r="DG20" i="96"/>
  <c r="FX68" i="9"/>
  <c r="GB68" i="9"/>
  <c r="GF68" i="9"/>
  <c r="GG68" i="9"/>
  <c r="FX60" i="9"/>
  <c r="FZ60" i="9"/>
  <c r="GA60" i="9"/>
  <c r="GB60" i="9"/>
  <c r="GE60" i="9"/>
  <c r="GF60" i="9"/>
  <c r="GG60" i="9"/>
  <c r="FX61" i="9"/>
  <c r="FZ61" i="9"/>
  <c r="GA61" i="9"/>
  <c r="GB61" i="9"/>
  <c r="GE61" i="9"/>
  <c r="GF61" i="9"/>
  <c r="GG61" i="9"/>
  <c r="FX62" i="9"/>
  <c r="GF62" i="9"/>
  <c r="GG62" i="9"/>
  <c r="FX63" i="9"/>
  <c r="GF63" i="9"/>
  <c r="GG63" i="9"/>
  <c r="FX64" i="9"/>
  <c r="GF64" i="9"/>
  <c r="GG64" i="9"/>
  <c r="FX65" i="9"/>
  <c r="GF65" i="9"/>
  <c r="GG65" i="9"/>
  <c r="FX66" i="9"/>
  <c r="GF66" i="9"/>
  <c r="GG66" i="9"/>
  <c r="FX67" i="9"/>
  <c r="GF67" i="9"/>
  <c r="GG67" i="9"/>
  <c r="FX59" i="9"/>
  <c r="FZ59" i="9"/>
  <c r="GA59" i="9"/>
  <c r="GB59" i="9"/>
  <c r="GE59" i="9"/>
  <c r="GF59" i="9"/>
  <c r="GG59" i="9"/>
  <c r="FX58" i="9"/>
  <c r="FZ58" i="9"/>
  <c r="GA58" i="9"/>
  <c r="GB58" i="9"/>
  <c r="GE58" i="9"/>
  <c r="GF58" i="9"/>
  <c r="GG58" i="9"/>
  <c r="DN74" i="9"/>
  <c r="GB74" i="9"/>
  <c r="FA74" i="9"/>
  <c r="FK74" i="9"/>
  <c r="DA27" i="96"/>
  <c r="CZ28" i="96"/>
  <c r="CZ29" i="96"/>
  <c r="CZ30" i="96"/>
  <c r="FA58" i="9"/>
  <c r="KR58" i="9"/>
  <c r="FK58" i="9"/>
  <c r="DA11" i="96"/>
  <c r="FA59" i="9"/>
  <c r="KR59" i="9"/>
  <c r="FK59" i="9"/>
  <c r="DA12" i="96"/>
  <c r="FA60" i="9"/>
  <c r="KR60" i="9"/>
  <c r="FK60" i="9"/>
  <c r="DA13" i="96"/>
  <c r="FA61" i="9"/>
  <c r="KR61" i="9"/>
  <c r="FK61" i="9"/>
  <c r="DA14" i="96"/>
  <c r="KR62" i="9"/>
  <c r="KR63" i="9"/>
  <c r="KR64" i="9"/>
  <c r="KR65" i="9"/>
  <c r="KR66" i="9"/>
  <c r="KR67" i="9"/>
  <c r="DN75" i="9"/>
  <c r="GB75" i="9"/>
  <c r="FA75" i="9"/>
  <c r="FK75" i="9"/>
  <c r="DA28" i="96"/>
  <c r="DN76" i="9"/>
  <c r="GB76" i="9"/>
  <c r="FA76" i="9"/>
  <c r="FK76" i="9"/>
  <c r="DA29" i="96"/>
  <c r="DN77" i="9"/>
  <c r="GB77" i="9"/>
  <c r="FA77" i="9"/>
  <c r="FK77" i="9"/>
  <c r="DA30" i="96"/>
  <c r="DA31" i="96"/>
  <c r="DA32" i="96"/>
  <c r="DA33" i="96"/>
  <c r="DA34" i="96"/>
  <c r="DN82" i="9"/>
  <c r="OJ82" i="9"/>
  <c r="GB82" i="9"/>
  <c r="FA82" i="9"/>
  <c r="FK82" i="9"/>
  <c r="DA35" i="96"/>
  <c r="DN83" i="9"/>
  <c r="OJ83" i="9"/>
  <c r="GB83" i="9"/>
  <c r="FA83" i="9"/>
  <c r="FK83" i="9"/>
  <c r="DA36" i="96"/>
  <c r="DN84" i="9"/>
  <c r="OJ84" i="9"/>
  <c r="GB84" i="9"/>
  <c r="FA84" i="9"/>
  <c r="FK84" i="9"/>
  <c r="DA37" i="96"/>
  <c r="DN85" i="9"/>
  <c r="OJ85" i="9"/>
  <c r="GB85" i="9"/>
  <c r="FA85" i="9"/>
  <c r="FK85" i="9"/>
  <c r="DA38" i="96"/>
  <c r="DN86" i="9"/>
  <c r="OI86" i="9"/>
  <c r="GB86" i="9"/>
  <c r="FA86" i="9"/>
  <c r="FK86" i="9"/>
  <c r="DA39" i="96"/>
  <c r="DN87" i="9"/>
  <c r="OI87" i="9"/>
  <c r="GB87" i="9"/>
  <c r="FA87" i="9"/>
  <c r="FK87" i="9"/>
  <c r="DA40" i="96"/>
  <c r="DN88" i="9"/>
  <c r="OI88" i="9"/>
  <c r="GB88" i="9"/>
  <c r="FA88" i="9"/>
  <c r="FK88" i="9"/>
  <c r="DA41" i="96"/>
  <c r="DN89" i="9"/>
  <c r="OI89" i="9"/>
  <c r="GB89" i="9"/>
  <c r="FA89" i="9"/>
  <c r="FK89" i="9"/>
  <c r="DA42" i="96"/>
  <c r="DN90" i="9"/>
  <c r="OI90" i="9"/>
  <c r="GB90" i="9"/>
  <c r="FA90" i="9"/>
  <c r="FK90" i="9"/>
  <c r="DA43" i="96"/>
  <c r="DN91" i="9"/>
  <c r="OI91" i="9"/>
  <c r="GB91" i="9"/>
  <c r="FA91" i="9"/>
  <c r="FK91" i="9"/>
  <c r="DA44" i="96"/>
  <c r="DN92" i="9"/>
  <c r="OI92" i="9"/>
  <c r="GB92" i="9"/>
  <c r="FA92" i="9"/>
  <c r="FK92" i="9"/>
  <c r="DA45" i="96"/>
  <c r="DN93" i="9"/>
  <c r="OI93" i="9"/>
  <c r="GB93" i="9"/>
  <c r="FA93" i="9"/>
  <c r="FK93" i="9"/>
  <c r="DA46" i="96"/>
  <c r="DN94" i="9"/>
  <c r="OI94" i="9"/>
  <c r="GB94" i="9"/>
  <c r="FA94" i="9"/>
  <c r="FK94" i="9"/>
  <c r="DA47" i="96"/>
  <c r="DN95" i="9"/>
  <c r="OI95" i="9"/>
  <c r="GB95" i="9"/>
  <c r="FA95" i="9"/>
  <c r="FK95" i="9"/>
  <c r="DA48" i="96"/>
  <c r="DN96" i="9"/>
  <c r="OI96" i="9"/>
  <c r="GB96" i="9"/>
  <c r="FA96" i="9"/>
  <c r="FK96" i="9"/>
  <c r="DA49" i="96"/>
  <c r="DN97" i="9"/>
  <c r="OI97" i="9"/>
  <c r="GB97" i="9"/>
  <c r="FA97" i="9"/>
  <c r="FK97" i="9"/>
  <c r="DA50" i="96"/>
  <c r="DN98" i="9"/>
  <c r="OI98" i="9"/>
  <c r="GB98" i="9"/>
  <c r="FA98" i="9"/>
  <c r="FK98" i="9"/>
  <c r="DA51" i="96"/>
  <c r="DN99" i="9"/>
  <c r="OI99" i="9"/>
  <c r="DN100" i="9"/>
  <c r="OI100" i="9"/>
  <c r="DN101" i="9"/>
  <c r="OI101" i="9"/>
  <c r="DN102" i="9"/>
  <c r="OI102" i="9"/>
  <c r="GB102" i="9"/>
  <c r="FA102" i="9"/>
  <c r="FK102" i="9"/>
  <c r="DA55" i="96"/>
  <c r="DN103" i="9"/>
  <c r="OI103" i="9"/>
  <c r="GB103" i="9"/>
  <c r="FA103" i="9"/>
  <c r="FK103" i="9"/>
  <c r="DA56" i="96"/>
  <c r="DN104" i="9"/>
  <c r="OI104" i="9"/>
  <c r="GB104" i="9"/>
  <c r="FA104" i="9"/>
  <c r="FK104" i="9"/>
  <c r="DA57" i="96"/>
  <c r="DN105" i="9"/>
  <c r="OI105" i="9"/>
  <c r="GB105" i="9"/>
  <c r="FA105" i="9"/>
  <c r="FK105" i="9"/>
  <c r="DA58" i="96"/>
  <c r="DN106" i="9"/>
  <c r="OI106" i="9"/>
  <c r="GB106" i="9"/>
  <c r="FA106" i="9"/>
  <c r="FK106" i="9"/>
  <c r="DA59" i="96"/>
  <c r="DN107" i="9"/>
  <c r="OI107" i="9"/>
  <c r="GB107" i="9"/>
  <c r="FA107" i="9"/>
  <c r="FK107" i="9"/>
  <c r="DA60" i="96"/>
  <c r="CZ31" i="96"/>
  <c r="K27" i="96"/>
  <c r="K23" i="96"/>
  <c r="K24" i="96"/>
  <c r="K25" i="96"/>
  <c r="K26" i="96"/>
  <c r="M12" i="96"/>
  <c r="M13" i="96"/>
  <c r="M14" i="96"/>
  <c r="M15" i="96"/>
  <c r="M16" i="96"/>
  <c r="M17" i="96"/>
  <c r="M18" i="96"/>
  <c r="M19" i="96"/>
  <c r="M20" i="96"/>
  <c r="M21" i="96"/>
  <c r="Q28" i="96"/>
  <c r="R28" i="96"/>
  <c r="S28" i="96"/>
  <c r="T28" i="96"/>
  <c r="U28" i="96"/>
  <c r="V28" i="96"/>
  <c r="Q29" i="96"/>
  <c r="R29" i="96"/>
  <c r="S29" i="96"/>
  <c r="T29" i="96"/>
  <c r="U29" i="96"/>
  <c r="V29" i="96"/>
  <c r="Q30" i="96"/>
  <c r="R30" i="96"/>
  <c r="S30" i="96"/>
  <c r="T30" i="96"/>
  <c r="U30" i="96"/>
  <c r="V30" i="96"/>
  <c r="Q31" i="96"/>
  <c r="R31" i="96"/>
  <c r="S31" i="96"/>
  <c r="T31" i="96"/>
  <c r="U31" i="96"/>
  <c r="V31" i="96"/>
  <c r="Q32" i="96"/>
  <c r="R32" i="96"/>
  <c r="S32" i="96"/>
  <c r="T32" i="96"/>
  <c r="U32" i="96"/>
  <c r="V32" i="96"/>
  <c r="Q33" i="96"/>
  <c r="R33" i="96"/>
  <c r="S33" i="96"/>
  <c r="T33" i="96"/>
  <c r="U33" i="96"/>
  <c r="V33" i="96"/>
  <c r="Q34" i="96"/>
  <c r="R34" i="96"/>
  <c r="S34" i="96"/>
  <c r="T34" i="96"/>
  <c r="U34" i="96"/>
  <c r="V34" i="96"/>
  <c r="Q35" i="96"/>
  <c r="R35" i="96"/>
  <c r="S35" i="96"/>
  <c r="T35" i="96"/>
  <c r="U35" i="96"/>
  <c r="V35" i="96"/>
  <c r="Q36" i="96"/>
  <c r="R36" i="96"/>
  <c r="S36" i="96"/>
  <c r="T36" i="96"/>
  <c r="U36" i="96"/>
  <c r="V36" i="96"/>
  <c r="Q37" i="96"/>
  <c r="R37" i="96"/>
  <c r="S37" i="96"/>
  <c r="T37" i="96"/>
  <c r="U37" i="96"/>
  <c r="V37" i="96"/>
  <c r="Q38" i="96"/>
  <c r="R38" i="96"/>
  <c r="S38" i="96"/>
  <c r="T38" i="96"/>
  <c r="U38" i="96"/>
  <c r="V38" i="96"/>
  <c r="Q39" i="96"/>
  <c r="R39" i="96"/>
  <c r="S39" i="96"/>
  <c r="T39" i="96"/>
  <c r="U39" i="96"/>
  <c r="V39" i="96"/>
  <c r="Q40" i="96"/>
  <c r="R40" i="96"/>
  <c r="S40" i="96"/>
  <c r="T40" i="96"/>
  <c r="U40" i="96"/>
  <c r="V40" i="96"/>
  <c r="Q41" i="96"/>
  <c r="R41" i="96"/>
  <c r="S41" i="96"/>
  <c r="T41" i="96"/>
  <c r="U41" i="96"/>
  <c r="V41" i="96"/>
  <c r="Q42" i="96"/>
  <c r="R42" i="96"/>
  <c r="S42" i="96"/>
  <c r="T42" i="96"/>
  <c r="U42" i="96"/>
  <c r="V42" i="96"/>
  <c r="Q43" i="96"/>
  <c r="R43" i="96"/>
  <c r="S43" i="96"/>
  <c r="T43" i="96"/>
  <c r="U43" i="96"/>
  <c r="V43" i="96"/>
  <c r="Q44" i="96"/>
  <c r="R44" i="96"/>
  <c r="S44" i="96"/>
  <c r="T44" i="96"/>
  <c r="U44" i="96"/>
  <c r="V44" i="96"/>
  <c r="Q45" i="96"/>
  <c r="R45" i="96"/>
  <c r="S45" i="96"/>
  <c r="T45" i="96"/>
  <c r="U45" i="96"/>
  <c r="V45" i="96"/>
  <c r="Q46" i="96"/>
  <c r="R46" i="96"/>
  <c r="S46" i="96"/>
  <c r="T46" i="96"/>
  <c r="U46" i="96"/>
  <c r="V46" i="96"/>
  <c r="Q47" i="96"/>
  <c r="R47" i="96"/>
  <c r="S47" i="96"/>
  <c r="T47" i="96"/>
  <c r="U47" i="96"/>
  <c r="V47" i="96"/>
  <c r="Q48" i="96"/>
  <c r="R48" i="96"/>
  <c r="S48" i="96"/>
  <c r="T48" i="96"/>
  <c r="U48" i="96"/>
  <c r="V48" i="96"/>
  <c r="Q49" i="96"/>
  <c r="R49" i="96"/>
  <c r="S49" i="96"/>
  <c r="T49" i="96"/>
  <c r="U49" i="96"/>
  <c r="V49" i="96"/>
  <c r="Q50" i="96"/>
  <c r="R50" i="96"/>
  <c r="S50" i="96"/>
  <c r="T50" i="96"/>
  <c r="U50" i="96"/>
  <c r="V50" i="96"/>
  <c r="Q51" i="96"/>
  <c r="R51" i="96"/>
  <c r="S51" i="96"/>
  <c r="T51" i="96"/>
  <c r="U51" i="96"/>
  <c r="V51" i="96"/>
  <c r="Q52" i="96"/>
  <c r="R52" i="96"/>
  <c r="S52" i="96"/>
  <c r="T52" i="96"/>
  <c r="U52" i="96"/>
  <c r="V52" i="96"/>
  <c r="Q53" i="96"/>
  <c r="R53" i="96"/>
  <c r="S53" i="96"/>
  <c r="T53" i="96"/>
  <c r="U53" i="96"/>
  <c r="V53" i="96"/>
  <c r="Q54" i="96"/>
  <c r="R54" i="96"/>
  <c r="S54" i="96"/>
  <c r="T54" i="96"/>
  <c r="U54" i="96"/>
  <c r="V54" i="96"/>
  <c r="Q55" i="96"/>
  <c r="R55" i="96"/>
  <c r="S55" i="96"/>
  <c r="T55" i="96"/>
  <c r="U55" i="96"/>
  <c r="V55" i="96"/>
  <c r="Q56" i="96"/>
  <c r="R56" i="96"/>
  <c r="S56" i="96"/>
  <c r="T56" i="96"/>
  <c r="U56" i="96"/>
  <c r="V56" i="96"/>
  <c r="Q57" i="96"/>
  <c r="R57" i="96"/>
  <c r="S57" i="96"/>
  <c r="T57" i="96"/>
  <c r="U57" i="96"/>
  <c r="V57" i="96"/>
  <c r="Q58" i="96"/>
  <c r="R58" i="96"/>
  <c r="S58" i="96"/>
  <c r="T58" i="96"/>
  <c r="U58" i="96"/>
  <c r="V58" i="96"/>
  <c r="Q59" i="96"/>
  <c r="R59" i="96"/>
  <c r="S59" i="96"/>
  <c r="T59" i="96"/>
  <c r="U59" i="96"/>
  <c r="V59" i="96"/>
  <c r="Q60" i="96"/>
  <c r="R60" i="96"/>
  <c r="S60" i="96"/>
  <c r="T60" i="96"/>
  <c r="U60" i="96"/>
  <c r="V60" i="96"/>
  <c r="K64" i="96"/>
  <c r="K11" i="96"/>
  <c r="G63" i="96"/>
  <c r="I63" i="96"/>
  <c r="J63" i="96"/>
  <c r="K63" i="96"/>
  <c r="P28" i="96"/>
  <c r="P29" i="96"/>
  <c r="P30" i="96"/>
  <c r="P31" i="96"/>
  <c r="P32" i="96"/>
  <c r="P33" i="96"/>
  <c r="P34" i="96"/>
  <c r="P35" i="96"/>
  <c r="P36" i="96"/>
  <c r="P37" i="96"/>
  <c r="P38" i="96"/>
  <c r="P39" i="96"/>
  <c r="P40" i="96"/>
  <c r="P41" i="96"/>
  <c r="P42" i="96"/>
  <c r="P43" i="96"/>
  <c r="P44" i="96"/>
  <c r="P45" i="96"/>
  <c r="P46" i="96"/>
  <c r="P47" i="96"/>
  <c r="P48" i="96"/>
  <c r="P49" i="96"/>
  <c r="P50" i="96"/>
  <c r="P51" i="96"/>
  <c r="P52" i="96"/>
  <c r="P53" i="96"/>
  <c r="P54" i="96"/>
  <c r="P55" i="96"/>
  <c r="P56" i="96"/>
  <c r="P57" i="96"/>
  <c r="P58" i="96"/>
  <c r="P59" i="96"/>
  <c r="P60" i="96"/>
  <c r="K60" i="96"/>
  <c r="K22" i="96"/>
  <c r="K28" i="96"/>
  <c r="K29" i="96"/>
  <c r="K30" i="96"/>
  <c r="K31" i="96"/>
  <c r="K32" i="96"/>
  <c r="K33" i="96"/>
  <c r="K34" i="96"/>
  <c r="K35" i="96"/>
  <c r="K36" i="96"/>
  <c r="K37" i="96"/>
  <c r="K38" i="96"/>
  <c r="K58" i="96"/>
  <c r="K57" i="96"/>
  <c r="K56" i="96"/>
  <c r="K55" i="96"/>
  <c r="K54" i="96"/>
  <c r="K53" i="96"/>
  <c r="K52" i="96"/>
  <c r="K51" i="96"/>
  <c r="K50" i="96"/>
  <c r="K49" i="96"/>
  <c r="K48" i="96"/>
  <c r="K47" i="96"/>
  <c r="K46" i="96"/>
  <c r="K45" i="96"/>
  <c r="K44" i="96"/>
  <c r="K43" i="96"/>
  <c r="K42" i="96"/>
  <c r="K41" i="96"/>
  <c r="K40" i="96"/>
  <c r="K39" i="96"/>
  <c r="PN60" i="96"/>
  <c r="PV60" i="96"/>
  <c r="PU60" i="96"/>
  <c r="QD60" i="96"/>
  <c r="QL60" i="96"/>
  <c r="QT60" i="96"/>
  <c r="RB60" i="96"/>
  <c r="RJ60" i="96"/>
  <c r="RR60" i="96"/>
  <c r="NI60" i="96"/>
  <c r="NQ60" i="96"/>
  <c r="NP60" i="96"/>
  <c r="NY60" i="96"/>
  <c r="OG60" i="96"/>
  <c r="OO60" i="96"/>
  <c r="OW60" i="96"/>
  <c r="PE60" i="96"/>
  <c r="PM60" i="96"/>
  <c r="LM59" i="96"/>
  <c r="LN59" i="96"/>
  <c r="LO59" i="96"/>
  <c r="LP59" i="96"/>
  <c r="LQ59" i="96"/>
  <c r="LR59" i="96"/>
  <c r="LW59" i="96"/>
  <c r="LS59" i="96"/>
  <c r="LV59" i="96"/>
  <c r="LL59" i="96"/>
  <c r="MF59" i="96"/>
  <c r="MF86" i="96"/>
  <c r="LZ59" i="96"/>
  <c r="MF88" i="96"/>
  <c r="MC59" i="96"/>
  <c r="MF87" i="96"/>
  <c r="MB59" i="96"/>
  <c r="MF85" i="96"/>
  <c r="MA59" i="96"/>
  <c r="MF84" i="96"/>
  <c r="MD59" i="96"/>
  <c r="MF83" i="96"/>
  <c r="MF82" i="96"/>
  <c r="ML59" i="96"/>
  <c r="MF81" i="96"/>
  <c r="MK59" i="96"/>
  <c r="MF79" i="96"/>
  <c r="MH59" i="96"/>
  <c r="MF80" i="96"/>
  <c r="MI59" i="96"/>
  <c r="MF78" i="96"/>
  <c r="MF77" i="96"/>
  <c r="IJ59" i="96"/>
  <c r="IK59" i="96"/>
  <c r="IT59" i="96"/>
  <c r="IU59" i="96"/>
  <c r="MJ59" i="96"/>
  <c r="MG59" i="96"/>
  <c r="LY59" i="96"/>
  <c r="HW59" i="96"/>
  <c r="IB59" i="96"/>
  <c r="HX59" i="96"/>
  <c r="U91" i="83" a="1"/>
  <c r="U106" i="83"/>
  <c r="LU59" i="96"/>
  <c r="LT59" i="96"/>
  <c r="LB59" i="96"/>
  <c r="LC59" i="96"/>
  <c r="LD59" i="96"/>
  <c r="LE59" i="96"/>
  <c r="LF59" i="96"/>
  <c r="LG59" i="96"/>
  <c r="LH59" i="96"/>
  <c r="LA60" i="96"/>
  <c r="LA59" i="96"/>
  <c r="BI28" i="96"/>
  <c r="BI29" i="96"/>
  <c r="BI30" i="96"/>
  <c r="BI31" i="96"/>
  <c r="AY28" i="96"/>
  <c r="EW68" i="9"/>
  <c r="KR68" i="9"/>
  <c r="FG68" i="9"/>
  <c r="EW69" i="9"/>
  <c r="EW67" i="9"/>
  <c r="FG67" i="9"/>
  <c r="EW66" i="9"/>
  <c r="FG66" i="9"/>
  <c r="EW65" i="9"/>
  <c r="FG65" i="9"/>
  <c r="EW64" i="9"/>
  <c r="FG64" i="9"/>
  <c r="EW63" i="9"/>
  <c r="FG63" i="9"/>
  <c r="EW62" i="9"/>
  <c r="FG62" i="9"/>
  <c r="EW61" i="9"/>
  <c r="FG61" i="9"/>
  <c r="EW60" i="9"/>
  <c r="FG60" i="9"/>
  <c r="EW59" i="9"/>
  <c r="FG59" i="9"/>
  <c r="EW58" i="9"/>
  <c r="FG58" i="9"/>
  <c r="FI68" i="9"/>
  <c r="FI67" i="9"/>
  <c r="FI66" i="9"/>
  <c r="FI65" i="9"/>
  <c r="FI64" i="9"/>
  <c r="FI63" i="9"/>
  <c r="FI62" i="9"/>
  <c r="EY61" i="9"/>
  <c r="FI61" i="9"/>
  <c r="EY60" i="9"/>
  <c r="FI60" i="9"/>
  <c r="EY59" i="9"/>
  <c r="FI59" i="9"/>
  <c r="EY58" i="9"/>
  <c r="FI58" i="9"/>
  <c r="EZ61" i="9"/>
  <c r="FJ61" i="9"/>
  <c r="EZ60" i="9"/>
  <c r="FJ60" i="9"/>
  <c r="EZ59" i="9"/>
  <c r="FJ59" i="9"/>
  <c r="EZ58" i="9"/>
  <c r="FJ58" i="9"/>
  <c r="FD61" i="9"/>
  <c r="FN61" i="9"/>
  <c r="FD60" i="9"/>
  <c r="FN60" i="9"/>
  <c r="FD59" i="9"/>
  <c r="FN59" i="9"/>
  <c r="FD58" i="9"/>
  <c r="FN58" i="9"/>
  <c r="CV28" i="96"/>
  <c r="CW28" i="96"/>
  <c r="CX28" i="96"/>
  <c r="CY28" i="96"/>
  <c r="DB28" i="96"/>
  <c r="CV29" i="96"/>
  <c r="CW29" i="96"/>
  <c r="CX29" i="96"/>
  <c r="CY29" i="96"/>
  <c r="DB29" i="96"/>
  <c r="CV30" i="96"/>
  <c r="CW30" i="96"/>
  <c r="CX30" i="96"/>
  <c r="CY30" i="96"/>
  <c r="DB30" i="96"/>
  <c r="CV31" i="96"/>
  <c r="CW31" i="96"/>
  <c r="CX31" i="96"/>
  <c r="CY31" i="96"/>
  <c r="DB31" i="96"/>
  <c r="CV32" i="96"/>
  <c r="CW32" i="96"/>
  <c r="CX32" i="96"/>
  <c r="CY32" i="96"/>
  <c r="CZ32" i="96"/>
  <c r="DB32" i="96"/>
  <c r="CT32" i="96"/>
  <c r="CU32" i="96"/>
  <c r="CV33" i="96"/>
  <c r="CW33" i="96"/>
  <c r="CX33" i="96"/>
  <c r="CY33" i="96"/>
  <c r="CZ33" i="96"/>
  <c r="DB33" i="96"/>
  <c r="CT33" i="96"/>
  <c r="CU33" i="96"/>
  <c r="CV34" i="96"/>
  <c r="CW34" i="96"/>
  <c r="CX34" i="96"/>
  <c r="CY34" i="96"/>
  <c r="CZ34" i="96"/>
  <c r="DB34" i="96"/>
  <c r="CT34" i="96"/>
  <c r="CU34" i="96"/>
  <c r="CV35" i="96"/>
  <c r="CW35" i="96"/>
  <c r="CX35" i="96"/>
  <c r="CY35" i="96"/>
  <c r="CZ35" i="96"/>
  <c r="DB35" i="96"/>
  <c r="CT35" i="96"/>
  <c r="CU35" i="96"/>
  <c r="CV36" i="96"/>
  <c r="CW36" i="96"/>
  <c r="CX36" i="96"/>
  <c r="CY36" i="96"/>
  <c r="CZ36" i="96"/>
  <c r="DB36" i="96"/>
  <c r="CT36" i="96"/>
  <c r="CU36" i="96"/>
  <c r="CV37" i="96"/>
  <c r="CW37" i="96"/>
  <c r="CX37" i="96"/>
  <c r="CY37" i="96"/>
  <c r="CZ37" i="96"/>
  <c r="DB37" i="96"/>
  <c r="CT37" i="96"/>
  <c r="CU37" i="96"/>
  <c r="CV38" i="96"/>
  <c r="CW38" i="96"/>
  <c r="CX38" i="96"/>
  <c r="CY38" i="96"/>
  <c r="CZ38" i="96"/>
  <c r="DB38" i="96"/>
  <c r="CT38" i="96"/>
  <c r="CU38" i="96"/>
  <c r="CV39" i="96"/>
  <c r="CW39" i="96"/>
  <c r="CX39" i="96"/>
  <c r="CY39" i="96"/>
  <c r="CZ39" i="96"/>
  <c r="DB39" i="96"/>
  <c r="CT39" i="96"/>
  <c r="CU39" i="96"/>
  <c r="CV40" i="96"/>
  <c r="CW40" i="96"/>
  <c r="CX40" i="96"/>
  <c r="CY40" i="96"/>
  <c r="CZ40" i="96"/>
  <c r="DB40" i="96"/>
  <c r="CT40" i="96"/>
  <c r="CU40" i="96"/>
  <c r="CV41" i="96"/>
  <c r="CW41" i="96"/>
  <c r="CX41" i="96"/>
  <c r="CY41" i="96"/>
  <c r="CZ41" i="96"/>
  <c r="DB41" i="96"/>
  <c r="CT41" i="96"/>
  <c r="CU41" i="96"/>
  <c r="CV42" i="96"/>
  <c r="CW42" i="96"/>
  <c r="CX42" i="96"/>
  <c r="CY42" i="96"/>
  <c r="CZ42" i="96"/>
  <c r="DB42" i="96"/>
  <c r="CT42" i="96"/>
  <c r="CU42" i="96"/>
  <c r="CV43" i="96"/>
  <c r="CW43" i="96"/>
  <c r="CX43" i="96"/>
  <c r="CY43" i="96"/>
  <c r="CZ43" i="96"/>
  <c r="DB43" i="96"/>
  <c r="CT43" i="96"/>
  <c r="CU43" i="96"/>
  <c r="CV44" i="96"/>
  <c r="CW44" i="96"/>
  <c r="CX44" i="96"/>
  <c r="CY44" i="96"/>
  <c r="CZ44" i="96"/>
  <c r="DB44" i="96"/>
  <c r="CT44" i="96"/>
  <c r="CU44" i="96"/>
  <c r="CV45" i="96"/>
  <c r="CW45" i="96"/>
  <c r="CX45" i="96"/>
  <c r="CY45" i="96"/>
  <c r="CZ45" i="96"/>
  <c r="DB45" i="96"/>
  <c r="CT45" i="96"/>
  <c r="CU45" i="96"/>
  <c r="CV46" i="96"/>
  <c r="CW46" i="96"/>
  <c r="CX46" i="96"/>
  <c r="CY46" i="96"/>
  <c r="CZ46" i="96"/>
  <c r="DB46" i="96"/>
  <c r="CT46" i="96"/>
  <c r="CU46" i="96"/>
  <c r="CV47" i="96"/>
  <c r="CW47" i="96"/>
  <c r="CX47" i="96"/>
  <c r="CY47" i="96"/>
  <c r="CZ47" i="96"/>
  <c r="DB47" i="96"/>
  <c r="CT47" i="96"/>
  <c r="CU47" i="96"/>
  <c r="CV48" i="96"/>
  <c r="CW48" i="96"/>
  <c r="CX48" i="96"/>
  <c r="CY48" i="96"/>
  <c r="CZ48" i="96"/>
  <c r="DB48" i="96"/>
  <c r="CT48" i="96"/>
  <c r="CU48" i="96"/>
  <c r="CV49" i="96"/>
  <c r="CW49" i="96"/>
  <c r="CX49" i="96"/>
  <c r="CY49" i="96"/>
  <c r="CZ49" i="96"/>
  <c r="DB49" i="96"/>
  <c r="CT49" i="96"/>
  <c r="CU49" i="96"/>
  <c r="CV50" i="96"/>
  <c r="CW50" i="96"/>
  <c r="CX50" i="96"/>
  <c r="CY50" i="96"/>
  <c r="CZ50" i="96"/>
  <c r="DB50" i="96"/>
  <c r="CT50" i="96"/>
  <c r="CU50" i="96"/>
  <c r="CV51" i="96"/>
  <c r="CW51" i="96"/>
  <c r="CX51" i="96"/>
  <c r="CY51" i="96"/>
  <c r="CZ51" i="96"/>
  <c r="DB51" i="96"/>
  <c r="CT51" i="96"/>
  <c r="CU51" i="96"/>
  <c r="CV52" i="96"/>
  <c r="CW52" i="96"/>
  <c r="CX52" i="96"/>
  <c r="CY52" i="96"/>
  <c r="CZ52" i="96"/>
  <c r="DB52" i="96"/>
  <c r="CT52" i="96"/>
  <c r="CU52" i="96"/>
  <c r="CV53" i="96"/>
  <c r="CW53" i="96"/>
  <c r="CX53" i="96"/>
  <c r="CY53" i="96"/>
  <c r="CZ53" i="96"/>
  <c r="DB53" i="96"/>
  <c r="CT53" i="96"/>
  <c r="CU53" i="96"/>
  <c r="CV54" i="96"/>
  <c r="CW54" i="96"/>
  <c r="CX54" i="96"/>
  <c r="CY54" i="96"/>
  <c r="CZ54" i="96"/>
  <c r="DB54" i="96"/>
  <c r="CT54" i="96"/>
  <c r="CU54" i="96"/>
  <c r="CV55" i="96"/>
  <c r="CW55" i="96"/>
  <c r="CX55" i="96"/>
  <c r="CY55" i="96"/>
  <c r="CZ55" i="96"/>
  <c r="DB55" i="96"/>
  <c r="CT55" i="96"/>
  <c r="CU55" i="96"/>
  <c r="CV56" i="96"/>
  <c r="CW56" i="96"/>
  <c r="CX56" i="96"/>
  <c r="CY56" i="96"/>
  <c r="CZ56" i="96"/>
  <c r="DB56" i="96"/>
  <c r="CT56" i="96"/>
  <c r="CU56" i="96"/>
  <c r="CV57" i="96"/>
  <c r="CW57" i="96"/>
  <c r="CX57" i="96"/>
  <c r="CY57" i="96"/>
  <c r="CZ57" i="96"/>
  <c r="DB57" i="96"/>
  <c r="CT57" i="96"/>
  <c r="CU57" i="96"/>
  <c r="CV58" i="96"/>
  <c r="CW58" i="96"/>
  <c r="CX58" i="96"/>
  <c r="CY58" i="96"/>
  <c r="CZ58" i="96"/>
  <c r="DB58" i="96"/>
  <c r="CT58" i="96"/>
  <c r="CU58" i="96"/>
  <c r="CV59" i="96"/>
  <c r="CW59" i="96"/>
  <c r="CX59" i="96"/>
  <c r="CY59" i="96"/>
  <c r="CZ59" i="96"/>
  <c r="DB59" i="96"/>
  <c r="CT59" i="96"/>
  <c r="CU59" i="96"/>
  <c r="CV60" i="96"/>
  <c r="CW60" i="96"/>
  <c r="CX60" i="96"/>
  <c r="CY60" i="96"/>
  <c r="CZ60" i="96"/>
  <c r="DB60" i="96"/>
  <c r="CT60" i="96"/>
  <c r="CU60" i="96"/>
  <c r="DJ34" i="96"/>
  <c r="DJ35" i="96"/>
  <c r="DJ36" i="96"/>
  <c r="DJ37" i="96"/>
  <c r="DJ38" i="96"/>
  <c r="DJ39" i="96"/>
  <c r="DJ40" i="96"/>
  <c r="DJ41" i="96"/>
  <c r="DJ42" i="96"/>
  <c r="DJ43" i="96"/>
  <c r="DJ44" i="96"/>
  <c r="DJ45" i="96"/>
  <c r="DJ46" i="96"/>
  <c r="DJ47" i="96"/>
  <c r="DJ48" i="96"/>
  <c r="DJ49" i="96"/>
  <c r="DJ50" i="96"/>
  <c r="DJ51" i="96"/>
  <c r="DJ52" i="96"/>
  <c r="DJ53" i="96"/>
  <c r="DJ54" i="96"/>
  <c r="DJ55" i="96"/>
  <c r="DJ56" i="96"/>
  <c r="DJ57" i="96"/>
  <c r="DJ58" i="96"/>
  <c r="DJ59" i="96"/>
  <c r="DJ60" i="96"/>
  <c r="KO59" i="9"/>
  <c r="KO60" i="9"/>
  <c r="KO61" i="9"/>
  <c r="KO62" i="9"/>
  <c r="KO63" i="9"/>
  <c r="KO64" i="9"/>
  <c r="KO65" i="9"/>
  <c r="KO66" i="9"/>
  <c r="KO67" i="9"/>
  <c r="KO68" i="9"/>
  <c r="KO69" i="9"/>
  <c r="GD69" i="9"/>
  <c r="KO70" i="9"/>
  <c r="GD70" i="9"/>
  <c r="KO71" i="9"/>
  <c r="GD71" i="9"/>
  <c r="KO72" i="9"/>
  <c r="GD72" i="9"/>
  <c r="KO73" i="9"/>
  <c r="GD73" i="9"/>
  <c r="KO74" i="9"/>
  <c r="GD74" i="9"/>
  <c r="IM75" i="9"/>
  <c r="KO75" i="9"/>
  <c r="IM76" i="9"/>
  <c r="KO76" i="9"/>
  <c r="IM77" i="9"/>
  <c r="KO77" i="9"/>
  <c r="IM78" i="9"/>
  <c r="KO78" i="9"/>
  <c r="IM79" i="9"/>
  <c r="KO79" i="9"/>
  <c r="IM80" i="9"/>
  <c r="KO80" i="9"/>
  <c r="IM81" i="9"/>
  <c r="KO81" i="9"/>
  <c r="IM82" i="9"/>
  <c r="KO82" i="9"/>
  <c r="IM83" i="9"/>
  <c r="KO83" i="9"/>
  <c r="GD83" i="9"/>
  <c r="GD82" i="9"/>
  <c r="GD81" i="9"/>
  <c r="GD80" i="9"/>
  <c r="GD79" i="9"/>
  <c r="GD77" i="9"/>
  <c r="GD78" i="9"/>
  <c r="GD75" i="9"/>
  <c r="GD76" i="9"/>
  <c r="KL59" i="9"/>
  <c r="KL60" i="9"/>
  <c r="KL61" i="9"/>
  <c r="KL62" i="9"/>
  <c r="KL63" i="9"/>
  <c r="KL64" i="9"/>
  <c r="KL65" i="9"/>
  <c r="KL66" i="9"/>
  <c r="KL67" i="9"/>
  <c r="KL68" i="9"/>
  <c r="KL69" i="9"/>
  <c r="KL70" i="9"/>
  <c r="KL71" i="9"/>
  <c r="KL72" i="9"/>
  <c r="KL73" i="9"/>
  <c r="GC73" i="9"/>
  <c r="IL74" i="9" a="1"/>
  <c r="IL74" i="9"/>
  <c r="KL74" i="9"/>
  <c r="GC74" i="9"/>
  <c r="OJ75" i="9"/>
  <c r="IL75" i="9"/>
  <c r="KL75" i="9"/>
  <c r="GC75" i="9"/>
  <c r="OJ76" i="9"/>
  <c r="IL76" i="9"/>
  <c r="KL76" i="9"/>
  <c r="GC76" i="9"/>
  <c r="OJ77" i="9"/>
  <c r="IL77" i="9"/>
  <c r="KL77" i="9"/>
  <c r="GC77" i="9"/>
  <c r="OJ78" i="9"/>
  <c r="IL78" i="9"/>
  <c r="KL78" i="9"/>
  <c r="GC78" i="9"/>
  <c r="IM84" i="9"/>
  <c r="KO84" i="9"/>
  <c r="GD84" i="9"/>
  <c r="IM85" i="9"/>
  <c r="KO85" i="9"/>
  <c r="GD85" i="9"/>
  <c r="FO58" i="9"/>
  <c r="DK11" i="96"/>
  <c r="FO59" i="9"/>
  <c r="DK12" i="96"/>
  <c r="FO60" i="9"/>
  <c r="DK13" i="96"/>
  <c r="FO61" i="9"/>
  <c r="DK14" i="96"/>
  <c r="FO62" i="9"/>
  <c r="DK15" i="96"/>
  <c r="FO63" i="9"/>
  <c r="DK16" i="96"/>
  <c r="FO64" i="9"/>
  <c r="DK17" i="96"/>
  <c r="FO65" i="9"/>
  <c r="DK18" i="96"/>
  <c r="FO66" i="9"/>
  <c r="DK19" i="96"/>
  <c r="FO67" i="9"/>
  <c r="DK20" i="96"/>
  <c r="FA68" i="9"/>
  <c r="FK68" i="9"/>
  <c r="FO68" i="9"/>
  <c r="DK21" i="96"/>
  <c r="FD70" i="9"/>
  <c r="EZ70" i="9"/>
  <c r="EY70" i="9"/>
  <c r="EX70" i="9"/>
  <c r="EW70" i="9"/>
  <c r="FD71" i="9"/>
  <c r="FN71" i="9"/>
  <c r="EZ71" i="9"/>
  <c r="FJ71" i="9"/>
  <c r="EY71" i="9"/>
  <c r="FI71" i="9"/>
  <c r="EX71" i="9"/>
  <c r="FH71" i="9"/>
  <c r="EW71" i="9"/>
  <c r="FG71" i="9"/>
  <c r="FO71" i="9"/>
  <c r="DK24" i="96"/>
  <c r="FD72" i="9"/>
  <c r="FN72" i="9"/>
  <c r="EZ72" i="9"/>
  <c r="FJ72" i="9"/>
  <c r="EY72" i="9"/>
  <c r="FI72" i="9"/>
  <c r="EX72" i="9"/>
  <c r="FH72" i="9"/>
  <c r="EW72" i="9"/>
  <c r="FG72" i="9"/>
  <c r="FO72" i="9"/>
  <c r="DK25" i="96"/>
  <c r="FD73" i="9"/>
  <c r="FN73" i="9"/>
  <c r="EZ73" i="9"/>
  <c r="FJ73" i="9"/>
  <c r="EY73" i="9"/>
  <c r="FI73" i="9"/>
  <c r="EX73" i="9"/>
  <c r="FH73" i="9"/>
  <c r="EW73" i="9"/>
  <c r="FG73" i="9"/>
  <c r="FO73" i="9"/>
  <c r="DK26" i="96"/>
  <c r="DQ74" i="9" a="1"/>
  <c r="DQ75" i="9"/>
  <c r="GE75" i="9"/>
  <c r="FD75" i="9"/>
  <c r="FN75" i="9"/>
  <c r="DM74" i="9" a="1"/>
  <c r="DM75" i="9"/>
  <c r="GA75" i="9"/>
  <c r="EZ75" i="9"/>
  <c r="FJ75" i="9"/>
  <c r="DL74" i="9" a="1"/>
  <c r="DL75" i="9"/>
  <c r="FZ75" i="9"/>
  <c r="EY75" i="9"/>
  <c r="FI75" i="9"/>
  <c r="DK74" i="9" a="1"/>
  <c r="DK75" i="9"/>
  <c r="FY75" i="9"/>
  <c r="EX75" i="9"/>
  <c r="FH75" i="9"/>
  <c r="DJ74" i="9" a="1"/>
  <c r="DJ75" i="9"/>
  <c r="FX75" i="9"/>
  <c r="EW75" i="9"/>
  <c r="FG75" i="9"/>
  <c r="FO75" i="9"/>
  <c r="DK28" i="96"/>
  <c r="DQ76" i="9"/>
  <c r="GE76" i="9"/>
  <c r="FD76" i="9"/>
  <c r="FN76" i="9"/>
  <c r="DM76" i="9"/>
  <c r="GA76" i="9"/>
  <c r="EZ76" i="9"/>
  <c r="FJ76" i="9"/>
  <c r="DL76" i="9"/>
  <c r="FZ76" i="9"/>
  <c r="EY76" i="9"/>
  <c r="FI76" i="9"/>
  <c r="DK76" i="9"/>
  <c r="FY76" i="9"/>
  <c r="EX76" i="9"/>
  <c r="FH76" i="9"/>
  <c r="DJ76" i="9"/>
  <c r="FX76" i="9"/>
  <c r="EW76" i="9"/>
  <c r="FG76" i="9"/>
  <c r="FO76" i="9"/>
  <c r="DK29" i="96"/>
  <c r="DQ77" i="9"/>
  <c r="GE77" i="9"/>
  <c r="FD77" i="9"/>
  <c r="FN77" i="9"/>
  <c r="DM77" i="9"/>
  <c r="GA77" i="9"/>
  <c r="EZ77" i="9"/>
  <c r="FJ77" i="9"/>
  <c r="DL77" i="9"/>
  <c r="FZ77" i="9"/>
  <c r="EY77" i="9"/>
  <c r="FI77" i="9"/>
  <c r="DK77" i="9"/>
  <c r="FY77" i="9"/>
  <c r="EX77" i="9"/>
  <c r="FH77" i="9"/>
  <c r="DJ77" i="9"/>
  <c r="FX77" i="9"/>
  <c r="EW77" i="9"/>
  <c r="FG77" i="9"/>
  <c r="FO77" i="9"/>
  <c r="DK30" i="96"/>
  <c r="DQ78" i="9"/>
  <c r="GE78" i="9"/>
  <c r="FD78" i="9"/>
  <c r="FN78" i="9"/>
  <c r="DM78" i="9"/>
  <c r="GA78" i="9"/>
  <c r="EZ78" i="9"/>
  <c r="FJ78" i="9"/>
  <c r="DL78" i="9"/>
  <c r="FZ78" i="9"/>
  <c r="EY78" i="9"/>
  <c r="FI78" i="9"/>
  <c r="DK78" i="9"/>
  <c r="FY78" i="9"/>
  <c r="EX78" i="9"/>
  <c r="FH78" i="9"/>
  <c r="DJ78" i="9"/>
  <c r="FX78" i="9"/>
  <c r="EW78" i="9"/>
  <c r="FG78" i="9"/>
  <c r="FO78" i="9"/>
  <c r="DK31" i="96"/>
  <c r="DQ79" i="9"/>
  <c r="OJ79" i="9"/>
  <c r="GE79" i="9"/>
  <c r="FD79" i="9"/>
  <c r="FN79" i="9"/>
  <c r="DM79" i="9"/>
  <c r="GA79" i="9"/>
  <c r="EZ79" i="9"/>
  <c r="FJ79" i="9"/>
  <c r="DL79" i="9"/>
  <c r="FZ79" i="9"/>
  <c r="EY79" i="9"/>
  <c r="FI79" i="9"/>
  <c r="DK79" i="9"/>
  <c r="FY79" i="9"/>
  <c r="EX79" i="9"/>
  <c r="FH79" i="9"/>
  <c r="DJ79" i="9"/>
  <c r="FX79" i="9"/>
  <c r="EW79" i="9"/>
  <c r="FG79" i="9"/>
  <c r="FO79" i="9"/>
  <c r="DK32" i="96"/>
  <c r="DQ80" i="9"/>
  <c r="OJ80" i="9"/>
  <c r="GE80" i="9"/>
  <c r="FD80" i="9"/>
  <c r="FN80" i="9"/>
  <c r="DM80" i="9"/>
  <c r="GA80" i="9"/>
  <c r="EZ80" i="9"/>
  <c r="FJ80" i="9"/>
  <c r="DL80" i="9"/>
  <c r="FZ80" i="9"/>
  <c r="EY80" i="9"/>
  <c r="FI80" i="9"/>
  <c r="DK80" i="9"/>
  <c r="FY80" i="9"/>
  <c r="EX80" i="9"/>
  <c r="FH80" i="9"/>
  <c r="DJ80" i="9"/>
  <c r="FX80" i="9"/>
  <c r="EW80" i="9"/>
  <c r="FG80" i="9"/>
  <c r="FO80" i="9"/>
  <c r="DK33" i="96"/>
  <c r="DQ81" i="9"/>
  <c r="GE81" i="9"/>
  <c r="FD81" i="9"/>
  <c r="FN81" i="9"/>
  <c r="DM81" i="9"/>
  <c r="GA81" i="9"/>
  <c r="EZ81" i="9"/>
  <c r="FJ81" i="9"/>
  <c r="DL81" i="9"/>
  <c r="FZ81" i="9"/>
  <c r="EY81" i="9"/>
  <c r="FI81" i="9"/>
  <c r="DK81" i="9"/>
  <c r="FY81" i="9"/>
  <c r="EX81" i="9"/>
  <c r="FH81" i="9"/>
  <c r="DJ81" i="9"/>
  <c r="FX81" i="9"/>
  <c r="EW81" i="9"/>
  <c r="FG81" i="9"/>
  <c r="FO81" i="9"/>
  <c r="DK34" i="96"/>
  <c r="DQ82" i="9"/>
  <c r="GE82" i="9"/>
  <c r="FD82" i="9"/>
  <c r="FN82" i="9"/>
  <c r="DM82" i="9"/>
  <c r="GA82" i="9"/>
  <c r="EZ82" i="9"/>
  <c r="FJ82" i="9"/>
  <c r="DL82" i="9"/>
  <c r="FZ82" i="9"/>
  <c r="EY82" i="9"/>
  <c r="FI82" i="9"/>
  <c r="DK82" i="9"/>
  <c r="FY82" i="9"/>
  <c r="EX82" i="9"/>
  <c r="FH82" i="9"/>
  <c r="DJ82" i="9"/>
  <c r="FX82" i="9"/>
  <c r="EW82" i="9"/>
  <c r="FG82" i="9"/>
  <c r="FO82" i="9"/>
  <c r="DK35" i="96"/>
  <c r="DQ83" i="9"/>
  <c r="GE83" i="9"/>
  <c r="FD83" i="9"/>
  <c r="FN83" i="9"/>
  <c r="DM83" i="9"/>
  <c r="GA83" i="9"/>
  <c r="EZ83" i="9"/>
  <c r="FJ83" i="9"/>
  <c r="DL83" i="9"/>
  <c r="FZ83" i="9"/>
  <c r="EY83" i="9"/>
  <c r="FI83" i="9"/>
  <c r="DK83" i="9"/>
  <c r="FY83" i="9"/>
  <c r="EX83" i="9"/>
  <c r="FH83" i="9"/>
  <c r="DJ83" i="9"/>
  <c r="FX83" i="9"/>
  <c r="EW83" i="9"/>
  <c r="FG83" i="9"/>
  <c r="FO83" i="9"/>
  <c r="DK36" i="96"/>
  <c r="DQ84" i="9"/>
  <c r="GE84" i="9"/>
  <c r="FD84" i="9"/>
  <c r="FN84" i="9"/>
  <c r="DM84" i="9"/>
  <c r="GA84" i="9"/>
  <c r="EZ84" i="9"/>
  <c r="FJ84" i="9"/>
  <c r="DL84" i="9"/>
  <c r="FZ84" i="9"/>
  <c r="EY84" i="9"/>
  <c r="FI84" i="9"/>
  <c r="DK84" i="9"/>
  <c r="FY84" i="9"/>
  <c r="EX84" i="9"/>
  <c r="FH84" i="9"/>
  <c r="DJ84" i="9"/>
  <c r="FX84" i="9"/>
  <c r="EW84" i="9"/>
  <c r="FG84" i="9"/>
  <c r="FO84" i="9"/>
  <c r="DK37" i="96"/>
  <c r="DQ85" i="9"/>
  <c r="GE85" i="9"/>
  <c r="FD85" i="9"/>
  <c r="FN85" i="9"/>
  <c r="DM85" i="9"/>
  <c r="GA85" i="9"/>
  <c r="EZ85" i="9"/>
  <c r="FJ85" i="9"/>
  <c r="DL85" i="9"/>
  <c r="FZ85" i="9"/>
  <c r="EY85" i="9"/>
  <c r="FI85" i="9"/>
  <c r="DK85" i="9"/>
  <c r="FY85" i="9"/>
  <c r="EX85" i="9"/>
  <c r="FH85" i="9"/>
  <c r="DJ85" i="9"/>
  <c r="FX85" i="9"/>
  <c r="EW85" i="9"/>
  <c r="FG85" i="9"/>
  <c r="FO85" i="9"/>
  <c r="DK38" i="96"/>
  <c r="DQ86" i="9"/>
  <c r="GE86" i="9"/>
  <c r="FD86" i="9"/>
  <c r="FN86" i="9"/>
  <c r="DM86" i="9"/>
  <c r="GA86" i="9"/>
  <c r="EZ86" i="9"/>
  <c r="FJ86" i="9"/>
  <c r="DL86" i="9"/>
  <c r="FZ86" i="9"/>
  <c r="EY86" i="9"/>
  <c r="FI86" i="9"/>
  <c r="DK86" i="9"/>
  <c r="FY86" i="9"/>
  <c r="EX86" i="9"/>
  <c r="FH86" i="9"/>
  <c r="DJ86" i="9"/>
  <c r="FX86" i="9"/>
  <c r="EW86" i="9"/>
  <c r="FG86" i="9"/>
  <c r="FO86" i="9"/>
  <c r="DK39" i="96"/>
  <c r="DQ87" i="9"/>
  <c r="GE87" i="9"/>
  <c r="FD87" i="9"/>
  <c r="FN87" i="9"/>
  <c r="DM87" i="9"/>
  <c r="GA87" i="9"/>
  <c r="EZ87" i="9"/>
  <c r="FJ87" i="9"/>
  <c r="DL87" i="9"/>
  <c r="FZ87" i="9"/>
  <c r="EY87" i="9"/>
  <c r="FI87" i="9"/>
  <c r="DK87" i="9"/>
  <c r="FY87" i="9"/>
  <c r="EX87" i="9"/>
  <c r="FH87" i="9"/>
  <c r="DJ87" i="9"/>
  <c r="FX87" i="9"/>
  <c r="EW87" i="9"/>
  <c r="FG87" i="9"/>
  <c r="FO87" i="9"/>
  <c r="DK40" i="96"/>
  <c r="DQ88" i="9"/>
  <c r="GE88" i="9"/>
  <c r="FD88" i="9"/>
  <c r="FN88" i="9"/>
  <c r="DM88" i="9"/>
  <c r="GA88" i="9"/>
  <c r="EZ88" i="9"/>
  <c r="FJ88" i="9"/>
  <c r="DL88" i="9"/>
  <c r="FZ88" i="9"/>
  <c r="EY88" i="9"/>
  <c r="FI88" i="9"/>
  <c r="DK88" i="9"/>
  <c r="FY88" i="9"/>
  <c r="EX88" i="9"/>
  <c r="FH88" i="9"/>
  <c r="DJ88" i="9"/>
  <c r="FX88" i="9"/>
  <c r="EW88" i="9"/>
  <c r="FG88" i="9"/>
  <c r="FO88" i="9"/>
  <c r="DK41" i="96"/>
  <c r="DQ89" i="9"/>
  <c r="GE89" i="9"/>
  <c r="FD89" i="9"/>
  <c r="FN89" i="9"/>
  <c r="DM89" i="9"/>
  <c r="GA89" i="9"/>
  <c r="EZ89" i="9"/>
  <c r="FJ89" i="9"/>
  <c r="DL89" i="9"/>
  <c r="FZ89" i="9"/>
  <c r="EY89" i="9"/>
  <c r="FI89" i="9"/>
  <c r="DK89" i="9"/>
  <c r="FY89" i="9"/>
  <c r="EX89" i="9"/>
  <c r="FH89" i="9"/>
  <c r="DJ89" i="9"/>
  <c r="FX89" i="9"/>
  <c r="EW89" i="9"/>
  <c r="FG89" i="9"/>
  <c r="FO89" i="9"/>
  <c r="DK42" i="96"/>
  <c r="DQ90" i="9"/>
  <c r="GE90" i="9"/>
  <c r="FD90" i="9"/>
  <c r="FN90" i="9"/>
  <c r="DM90" i="9"/>
  <c r="GA90" i="9"/>
  <c r="EZ90" i="9"/>
  <c r="FJ90" i="9"/>
  <c r="DL90" i="9"/>
  <c r="FZ90" i="9"/>
  <c r="EY90" i="9"/>
  <c r="FI90" i="9"/>
  <c r="DK90" i="9"/>
  <c r="FY90" i="9"/>
  <c r="EX90" i="9"/>
  <c r="FH90" i="9"/>
  <c r="DJ90" i="9"/>
  <c r="FX90" i="9"/>
  <c r="EW90" i="9"/>
  <c r="FG90" i="9"/>
  <c r="FO90" i="9"/>
  <c r="DK43" i="96"/>
  <c r="DQ91" i="9"/>
  <c r="GE91" i="9"/>
  <c r="FD91" i="9"/>
  <c r="FN91" i="9"/>
  <c r="DM91" i="9"/>
  <c r="GA91" i="9"/>
  <c r="EZ91" i="9"/>
  <c r="FJ91" i="9"/>
  <c r="DL91" i="9"/>
  <c r="FZ91" i="9"/>
  <c r="EY91" i="9"/>
  <c r="FI91" i="9"/>
  <c r="DK91" i="9"/>
  <c r="FY91" i="9"/>
  <c r="EX91" i="9"/>
  <c r="FH91" i="9"/>
  <c r="DJ91" i="9"/>
  <c r="FX91" i="9"/>
  <c r="EW91" i="9"/>
  <c r="FG91" i="9"/>
  <c r="FO91" i="9"/>
  <c r="DK44" i="96"/>
  <c r="DQ92" i="9"/>
  <c r="GE92" i="9"/>
  <c r="FD92" i="9"/>
  <c r="FN92" i="9"/>
  <c r="DM92" i="9"/>
  <c r="GA92" i="9"/>
  <c r="EZ92" i="9"/>
  <c r="FJ92" i="9"/>
  <c r="DL92" i="9"/>
  <c r="FZ92" i="9"/>
  <c r="EY92" i="9"/>
  <c r="FI92" i="9"/>
  <c r="DK92" i="9"/>
  <c r="FY92" i="9"/>
  <c r="EX92" i="9"/>
  <c r="FH92" i="9"/>
  <c r="DJ92" i="9"/>
  <c r="FX92" i="9"/>
  <c r="EW92" i="9"/>
  <c r="FG92" i="9"/>
  <c r="FO92" i="9"/>
  <c r="DK45" i="96"/>
  <c r="DQ93" i="9"/>
  <c r="GE93" i="9"/>
  <c r="FD93" i="9"/>
  <c r="FN93" i="9"/>
  <c r="DM93" i="9"/>
  <c r="GA93" i="9"/>
  <c r="EZ93" i="9"/>
  <c r="FJ93" i="9"/>
  <c r="DL93" i="9"/>
  <c r="FZ93" i="9"/>
  <c r="EY93" i="9"/>
  <c r="FI93" i="9"/>
  <c r="DK93" i="9"/>
  <c r="FY93" i="9"/>
  <c r="EX93" i="9"/>
  <c r="FH93" i="9"/>
  <c r="DJ93" i="9"/>
  <c r="FX93" i="9"/>
  <c r="EW93" i="9"/>
  <c r="FG93" i="9"/>
  <c r="FO93" i="9"/>
  <c r="DK46" i="96"/>
  <c r="DQ94" i="9"/>
  <c r="GE94" i="9"/>
  <c r="FD94" i="9"/>
  <c r="FN94" i="9"/>
  <c r="DM94" i="9"/>
  <c r="GA94" i="9"/>
  <c r="EZ94" i="9"/>
  <c r="FJ94" i="9"/>
  <c r="DL94" i="9"/>
  <c r="FZ94" i="9"/>
  <c r="EY94" i="9"/>
  <c r="FI94" i="9"/>
  <c r="DK94" i="9"/>
  <c r="FY94" i="9"/>
  <c r="EX94" i="9"/>
  <c r="FH94" i="9"/>
  <c r="DJ94" i="9"/>
  <c r="FX94" i="9"/>
  <c r="EW94" i="9"/>
  <c r="FG94" i="9"/>
  <c r="FO94" i="9"/>
  <c r="DK47" i="96"/>
  <c r="DQ95" i="9"/>
  <c r="GE95" i="9"/>
  <c r="FD95" i="9"/>
  <c r="FN95" i="9"/>
  <c r="DM95" i="9"/>
  <c r="GA95" i="9"/>
  <c r="EZ95" i="9"/>
  <c r="FJ95" i="9"/>
  <c r="DL95" i="9"/>
  <c r="FZ95" i="9"/>
  <c r="EY95" i="9"/>
  <c r="FI95" i="9"/>
  <c r="DK95" i="9"/>
  <c r="FY95" i="9"/>
  <c r="EX95" i="9"/>
  <c r="FH95" i="9"/>
  <c r="DJ95" i="9"/>
  <c r="FX95" i="9"/>
  <c r="EW95" i="9"/>
  <c r="FG95" i="9"/>
  <c r="FO95" i="9"/>
  <c r="DK48" i="96"/>
  <c r="DQ96" i="9"/>
  <c r="GE96" i="9"/>
  <c r="FD96" i="9"/>
  <c r="FN96" i="9"/>
  <c r="DM96" i="9"/>
  <c r="GA96" i="9"/>
  <c r="EZ96" i="9"/>
  <c r="FJ96" i="9"/>
  <c r="DL96" i="9"/>
  <c r="FZ96" i="9"/>
  <c r="EY96" i="9"/>
  <c r="FI96" i="9"/>
  <c r="DK96" i="9"/>
  <c r="FY96" i="9"/>
  <c r="EX96" i="9"/>
  <c r="FH96" i="9"/>
  <c r="DJ96" i="9"/>
  <c r="FX96" i="9"/>
  <c r="EW96" i="9"/>
  <c r="FG96" i="9"/>
  <c r="FO96" i="9"/>
  <c r="DK49" i="96"/>
  <c r="DQ97" i="9"/>
  <c r="GE97" i="9"/>
  <c r="FD97" i="9"/>
  <c r="FN97" i="9"/>
  <c r="DM97" i="9"/>
  <c r="GA97" i="9"/>
  <c r="EZ97" i="9"/>
  <c r="FJ97" i="9"/>
  <c r="DL97" i="9"/>
  <c r="FZ97" i="9"/>
  <c r="EY97" i="9"/>
  <c r="FI97" i="9"/>
  <c r="DK97" i="9"/>
  <c r="FY97" i="9"/>
  <c r="EX97" i="9"/>
  <c r="FH97" i="9"/>
  <c r="DJ97" i="9"/>
  <c r="FX97" i="9"/>
  <c r="EW97" i="9"/>
  <c r="FG97" i="9"/>
  <c r="FO97" i="9"/>
  <c r="DK50" i="96"/>
  <c r="DQ98" i="9"/>
  <c r="GE98" i="9"/>
  <c r="FD98" i="9"/>
  <c r="FN98" i="9"/>
  <c r="DM98" i="9"/>
  <c r="GA98" i="9"/>
  <c r="EZ98" i="9"/>
  <c r="FJ98" i="9"/>
  <c r="DL98" i="9"/>
  <c r="FZ98" i="9"/>
  <c r="EY98" i="9"/>
  <c r="FI98" i="9"/>
  <c r="DK98" i="9"/>
  <c r="FY98" i="9"/>
  <c r="EX98" i="9"/>
  <c r="FH98" i="9"/>
  <c r="DJ98" i="9"/>
  <c r="FX98" i="9"/>
  <c r="EW98" i="9"/>
  <c r="FG98" i="9"/>
  <c r="FO98" i="9"/>
  <c r="DK51" i="96"/>
  <c r="DQ102" i="9"/>
  <c r="GE102" i="9"/>
  <c r="FD102" i="9"/>
  <c r="FN102" i="9"/>
  <c r="DM102" i="9"/>
  <c r="GA102" i="9"/>
  <c r="EZ102" i="9"/>
  <c r="FJ102" i="9"/>
  <c r="DL102" i="9"/>
  <c r="FZ102" i="9"/>
  <c r="EY102" i="9"/>
  <c r="FI102" i="9"/>
  <c r="DK102" i="9"/>
  <c r="FY102" i="9"/>
  <c r="EX102" i="9"/>
  <c r="FH102" i="9"/>
  <c r="DJ102" i="9"/>
  <c r="FX102" i="9"/>
  <c r="EW102" i="9"/>
  <c r="FG102" i="9"/>
  <c r="FO102" i="9"/>
  <c r="DK55" i="96"/>
  <c r="DQ103" i="9"/>
  <c r="GE103" i="9"/>
  <c r="FD103" i="9"/>
  <c r="FN103" i="9"/>
  <c r="DM103" i="9"/>
  <c r="GA103" i="9"/>
  <c r="EZ103" i="9"/>
  <c r="FJ103" i="9"/>
  <c r="DL103" i="9"/>
  <c r="FZ103" i="9"/>
  <c r="EY103" i="9"/>
  <c r="FI103" i="9"/>
  <c r="DK103" i="9"/>
  <c r="FY103" i="9"/>
  <c r="EX103" i="9"/>
  <c r="FH103" i="9"/>
  <c r="DJ103" i="9"/>
  <c r="FX103" i="9"/>
  <c r="EW103" i="9"/>
  <c r="FG103" i="9"/>
  <c r="FO103" i="9"/>
  <c r="DK56" i="96"/>
  <c r="DQ104" i="9"/>
  <c r="GE104" i="9"/>
  <c r="FD104" i="9"/>
  <c r="FN104" i="9"/>
  <c r="DM104" i="9"/>
  <c r="GA104" i="9"/>
  <c r="EZ104" i="9"/>
  <c r="FJ104" i="9"/>
  <c r="DL104" i="9"/>
  <c r="FZ104" i="9"/>
  <c r="EY104" i="9"/>
  <c r="FI104" i="9"/>
  <c r="DK104" i="9"/>
  <c r="FY104" i="9"/>
  <c r="EX104" i="9"/>
  <c r="FH104" i="9"/>
  <c r="DJ104" i="9"/>
  <c r="FX104" i="9"/>
  <c r="EW104" i="9"/>
  <c r="FG104" i="9"/>
  <c r="FO104" i="9"/>
  <c r="DK57" i="96"/>
  <c r="DQ105" i="9"/>
  <c r="GE105" i="9"/>
  <c r="FD105" i="9"/>
  <c r="FN105" i="9"/>
  <c r="DM105" i="9"/>
  <c r="GA105" i="9"/>
  <c r="EZ105" i="9"/>
  <c r="FJ105" i="9"/>
  <c r="DL105" i="9"/>
  <c r="FZ105" i="9"/>
  <c r="EY105" i="9"/>
  <c r="FI105" i="9"/>
  <c r="DK105" i="9"/>
  <c r="FY105" i="9"/>
  <c r="EX105" i="9"/>
  <c r="FH105" i="9"/>
  <c r="DJ105" i="9"/>
  <c r="FX105" i="9"/>
  <c r="EW105" i="9"/>
  <c r="FG105" i="9"/>
  <c r="FO105" i="9"/>
  <c r="DK58" i="96"/>
  <c r="DQ106" i="9"/>
  <c r="GE106" i="9"/>
  <c r="FD106" i="9"/>
  <c r="FN106" i="9"/>
  <c r="DM106" i="9"/>
  <c r="GA106" i="9"/>
  <c r="EZ106" i="9"/>
  <c r="FJ106" i="9"/>
  <c r="DL106" i="9"/>
  <c r="FZ106" i="9"/>
  <c r="EY106" i="9"/>
  <c r="FI106" i="9"/>
  <c r="DK106" i="9"/>
  <c r="FY106" i="9"/>
  <c r="EX106" i="9"/>
  <c r="FH106" i="9"/>
  <c r="DJ106" i="9"/>
  <c r="FX106" i="9"/>
  <c r="EW106" i="9"/>
  <c r="FG106" i="9"/>
  <c r="FO106" i="9"/>
  <c r="DK59" i="96"/>
  <c r="DQ107" i="9"/>
  <c r="GE107" i="9"/>
  <c r="FD107" i="9"/>
  <c r="FN107" i="9"/>
  <c r="DM107" i="9"/>
  <c r="GA107" i="9"/>
  <c r="EZ107" i="9"/>
  <c r="FJ107" i="9"/>
  <c r="DL107" i="9"/>
  <c r="FZ107" i="9"/>
  <c r="EY107" i="9"/>
  <c r="FI107" i="9"/>
  <c r="DK107" i="9"/>
  <c r="FY107" i="9"/>
  <c r="EX107" i="9"/>
  <c r="FH107" i="9"/>
  <c r="DJ107" i="9"/>
  <c r="FX107" i="9"/>
  <c r="EW107" i="9"/>
  <c r="FG107" i="9"/>
  <c r="FO107" i="9"/>
  <c r="DK60" i="96"/>
  <c r="DQ74" i="9"/>
  <c r="GE74" i="9"/>
  <c r="FD74" i="9"/>
  <c r="FN74" i="9"/>
  <c r="DM74" i="9"/>
  <c r="GA74" i="9"/>
  <c r="EZ74" i="9"/>
  <c r="FJ74" i="9"/>
  <c r="DL74" i="9"/>
  <c r="FZ74" i="9"/>
  <c r="EY74" i="9"/>
  <c r="FI74" i="9"/>
  <c r="DK74" i="9"/>
  <c r="FY74" i="9"/>
  <c r="EX74" i="9"/>
  <c r="FH74" i="9"/>
  <c r="DJ74" i="9"/>
  <c r="FX74" i="9"/>
  <c r="EW74" i="9"/>
  <c r="FG74" i="9"/>
  <c r="FO74" i="9"/>
  <c r="DK27" i="96"/>
  <c r="DL22" i="96"/>
  <c r="M22" i="96"/>
  <c r="HW22" i="96"/>
  <c r="IB22" i="96"/>
  <c r="HX22" i="96"/>
  <c r="FB22" i="96"/>
  <c r="FD22" i="96"/>
  <c r="FC22" i="96"/>
  <c r="HW27" i="96"/>
  <c r="IB27" i="96"/>
  <c r="HX27" i="96"/>
  <c r="FB27" i="96"/>
  <c r="FC27" i="96"/>
  <c r="FD27" i="96"/>
  <c r="GJ22" i="96"/>
  <c r="M11" i="96"/>
  <c r="ET75" i="9"/>
  <c r="EU75" i="9"/>
  <c r="EV75" i="9"/>
  <c r="ET76" i="9"/>
  <c r="EU76" i="9"/>
  <c r="EV76" i="9"/>
  <c r="ET77" i="9"/>
  <c r="EU77" i="9"/>
  <c r="EV77" i="9"/>
  <c r="ET78" i="9"/>
  <c r="EU78" i="9"/>
  <c r="EV78" i="9"/>
  <c r="ET79" i="9"/>
  <c r="EU79" i="9"/>
  <c r="EV79" i="9"/>
  <c r="ET80" i="9"/>
  <c r="EU80" i="9"/>
  <c r="EV80" i="9"/>
  <c r="ET81" i="9"/>
  <c r="EU81" i="9"/>
  <c r="EV81" i="9"/>
  <c r="ET82" i="9"/>
  <c r="EU82" i="9"/>
  <c r="EV82" i="9"/>
  <c r="ET83" i="9"/>
  <c r="EU83" i="9"/>
  <c r="EV83" i="9"/>
  <c r="ET84" i="9"/>
  <c r="EU84" i="9"/>
  <c r="EV84" i="9"/>
  <c r="ET85" i="9"/>
  <c r="EU85" i="9"/>
  <c r="EV85" i="9"/>
  <c r="ET86" i="9"/>
  <c r="EU86" i="9"/>
  <c r="EV86" i="9"/>
  <c r="ET87" i="9"/>
  <c r="EU87" i="9"/>
  <c r="EV87" i="9"/>
  <c r="ET88" i="9"/>
  <c r="EU88" i="9"/>
  <c r="EV88" i="9"/>
  <c r="ET89" i="9"/>
  <c r="EU89" i="9"/>
  <c r="EV89" i="9"/>
  <c r="ET91" i="9"/>
  <c r="EU91" i="9"/>
  <c r="ET92" i="9"/>
  <c r="EU92" i="9"/>
  <c r="ET93" i="9"/>
  <c r="EU93" i="9"/>
  <c r="ET94" i="9"/>
  <c r="EU94" i="9"/>
  <c r="ET95" i="9"/>
  <c r="EU95" i="9"/>
  <c r="ET96" i="9"/>
  <c r="EU96" i="9"/>
  <c r="ET97" i="9"/>
  <c r="EU97" i="9"/>
  <c r="ET98" i="9"/>
  <c r="EU98" i="9"/>
  <c r="ET99" i="9"/>
  <c r="EU99" i="9"/>
  <c r="ET100" i="9"/>
  <c r="EU100" i="9"/>
  <c r="ET101" i="9"/>
  <c r="EU101" i="9"/>
  <c r="ET102" i="9"/>
  <c r="EU102" i="9"/>
  <c r="ET103" i="9"/>
  <c r="EU103" i="9"/>
  <c r="ET104" i="9"/>
  <c r="EU104" i="9"/>
  <c r="ET105" i="9"/>
  <c r="EU105" i="9"/>
  <c r="ET106" i="9"/>
  <c r="EU106" i="9"/>
  <c r="ET107" i="9"/>
  <c r="EU107" i="9"/>
  <c r="ET90" i="9"/>
  <c r="EU90" i="9"/>
  <c r="GJ35" i="96"/>
  <c r="GJ36" i="96"/>
  <c r="GJ37" i="96"/>
  <c r="GJ38" i="96"/>
  <c r="GJ39" i="96"/>
  <c r="GJ40" i="96"/>
  <c r="GJ41" i="96"/>
  <c r="GJ42" i="96"/>
  <c r="GJ43" i="96"/>
  <c r="GJ44" i="96"/>
  <c r="GJ45" i="96"/>
  <c r="GJ46" i="96"/>
  <c r="GJ47" i="96"/>
  <c r="GJ48" i="96"/>
  <c r="GJ49" i="96"/>
  <c r="GJ50" i="96"/>
  <c r="GJ51" i="96"/>
  <c r="GJ52" i="96"/>
  <c r="GJ53" i="96"/>
  <c r="GJ54" i="96"/>
  <c r="GJ55" i="96"/>
  <c r="GJ56" i="96"/>
  <c r="GJ57" i="96"/>
  <c r="GJ58" i="96"/>
  <c r="GJ59" i="96"/>
  <c r="GJ60" i="96"/>
  <c r="BJ29" i="96"/>
  <c r="BJ30" i="96"/>
  <c r="BJ31" i="96"/>
  <c r="BJ32" i="96"/>
  <c r="BJ33" i="96"/>
  <c r="BJ34" i="96"/>
  <c r="BJ36" i="96"/>
  <c r="BJ37" i="96"/>
  <c r="BJ38" i="96"/>
  <c r="BJ39" i="96"/>
  <c r="BJ40" i="96"/>
  <c r="BJ41" i="96"/>
  <c r="BJ42" i="96"/>
  <c r="BJ28" i="96"/>
  <c r="BI32" i="96"/>
  <c r="BI33" i="96"/>
  <c r="BI34" i="96"/>
  <c r="BI35" i="96"/>
  <c r="BI36" i="96"/>
  <c r="BI37" i="96"/>
  <c r="N28" i="96"/>
  <c r="N29" i="96"/>
  <c r="N30" i="96"/>
  <c r="N31" i="96"/>
  <c r="N32" i="96"/>
  <c r="N33" i="96"/>
  <c r="N34" i="96"/>
  <c r="N35" i="96"/>
  <c r="N36" i="96"/>
  <c r="N37" i="96"/>
  <c r="N38" i="96"/>
  <c r="N39" i="96"/>
  <c r="N40" i="96"/>
  <c r="N41" i="96"/>
  <c r="N42" i="96"/>
  <c r="N43" i="96"/>
  <c r="N44" i="96"/>
  <c r="N45" i="96"/>
  <c r="N46" i="96"/>
  <c r="N47" i="96"/>
  <c r="N48" i="96"/>
  <c r="N49" i="96"/>
  <c r="N50" i="96"/>
  <c r="N51" i="96"/>
  <c r="N52" i="96"/>
  <c r="N53" i="96"/>
  <c r="N54" i="96"/>
  <c r="N55" i="96"/>
  <c r="N56" i="96"/>
  <c r="N57" i="96"/>
  <c r="N58" i="96"/>
  <c r="N59" i="96"/>
  <c r="N60" i="96"/>
  <c r="DL28" i="96"/>
  <c r="DL29" i="96"/>
  <c r="DL30" i="96"/>
  <c r="HW28" i="96"/>
  <c r="HX28" i="96"/>
  <c r="IB28" i="96"/>
  <c r="GJ28" i="96"/>
  <c r="FB28" i="96"/>
  <c r="FC28" i="96"/>
  <c r="FD28" i="96"/>
  <c r="AY29" i="96"/>
  <c r="HW29" i="96"/>
  <c r="HX29" i="96"/>
  <c r="IB29" i="96"/>
  <c r="AY30" i="96"/>
  <c r="GJ29" i="96"/>
  <c r="GJ30" i="96"/>
  <c r="FB29" i="96"/>
  <c r="FC29" i="96"/>
  <c r="FD29" i="96"/>
  <c r="HW30" i="96"/>
  <c r="HX30" i="96"/>
  <c r="IB30" i="96"/>
  <c r="FB30" i="96"/>
  <c r="FC30" i="96"/>
  <c r="FD30" i="96"/>
  <c r="DL31" i="96"/>
  <c r="HW31" i="96"/>
  <c r="HX31" i="96"/>
  <c r="IB31" i="96"/>
  <c r="GJ31" i="96"/>
  <c r="FB31" i="96"/>
  <c r="FC31" i="96"/>
  <c r="FD31" i="96"/>
  <c r="DL32" i="96"/>
  <c r="AY31" i="96"/>
  <c r="AY32" i="96"/>
  <c r="HW32" i="96"/>
  <c r="HX32" i="96"/>
  <c r="IB32" i="96"/>
  <c r="GJ32" i="96"/>
  <c r="FB32" i="96"/>
  <c r="FC32" i="96"/>
  <c r="FD32" i="96"/>
  <c r="DL33" i="96"/>
  <c r="AY33" i="96"/>
  <c r="HW33" i="96"/>
  <c r="HX33" i="96"/>
  <c r="IB33" i="96"/>
  <c r="GJ33" i="96"/>
  <c r="FB33" i="96"/>
  <c r="FC33" i="96"/>
  <c r="FD33" i="96"/>
  <c r="AY34" i="96"/>
  <c r="HW34" i="96"/>
  <c r="HX34" i="96"/>
  <c r="IB34" i="96"/>
  <c r="GJ34" i="96"/>
  <c r="FB34" i="96"/>
  <c r="FC34" i="96"/>
  <c r="FD34" i="96"/>
  <c r="DL34" i="96"/>
  <c r="DL35" i="96"/>
  <c r="DL36" i="96"/>
  <c r="DL37" i="96"/>
  <c r="AY35" i="96"/>
  <c r="HW35" i="96"/>
  <c r="HX35" i="96"/>
  <c r="IB35" i="96"/>
  <c r="FB35" i="96"/>
  <c r="FC35" i="96"/>
  <c r="FD35" i="96"/>
  <c r="AY36" i="96"/>
  <c r="HW36" i="96"/>
  <c r="HX36" i="96"/>
  <c r="IB36" i="96"/>
  <c r="FB36" i="96"/>
  <c r="FC36" i="96"/>
  <c r="FD36" i="96"/>
  <c r="HW37" i="96"/>
  <c r="HX37" i="96"/>
  <c r="IB37" i="96"/>
  <c r="AY37" i="96"/>
  <c r="FB37" i="96"/>
  <c r="FC37" i="96"/>
  <c r="FD37" i="96"/>
  <c r="BI38" i="96"/>
  <c r="BI40" i="96"/>
  <c r="BI41" i="96"/>
  <c r="BI42" i="96"/>
  <c r="BI43" i="96"/>
  <c r="BI44" i="96"/>
  <c r="BI45" i="96"/>
  <c r="BI46" i="96"/>
  <c r="BI47" i="96"/>
  <c r="BI48" i="96"/>
  <c r="BI49" i="96"/>
  <c r="BI50" i="96"/>
  <c r="BI51" i="96"/>
  <c r="BI52" i="96"/>
  <c r="BI53" i="96"/>
  <c r="BI54" i="96"/>
  <c r="BI55" i="96"/>
  <c r="BI56" i="96"/>
  <c r="BI57" i="96"/>
  <c r="BI58" i="96"/>
  <c r="BI59" i="96"/>
  <c r="BI60" i="96"/>
  <c r="BI39" i="96"/>
  <c r="FE54" i="96" a="1"/>
  <c r="FE54" i="96"/>
  <c r="FE55" i="96"/>
  <c r="FE56" i="96"/>
  <c r="FE57" i="96"/>
  <c r="FE58" i="96"/>
  <c r="FE59" i="96"/>
  <c r="FE60" i="96"/>
  <c r="EZ54" i="96" a="1"/>
  <c r="EZ60" i="96"/>
  <c r="EX54" i="96" a="1"/>
  <c r="EX60" i="96"/>
  <c r="EV54" i="96" a="1"/>
  <c r="EV60" i="96"/>
  <c r="ET54" i="96" a="1"/>
  <c r="ET60" i="96"/>
  <c r="ER54" i="96" a="1"/>
  <c r="ER60" i="96"/>
  <c r="EP54" i="96" a="1"/>
  <c r="EP60" i="96"/>
  <c r="FB60" i="96"/>
  <c r="FC60" i="96"/>
  <c r="FD60" i="96"/>
  <c r="EZ54" i="96"/>
  <c r="EX54" i="96"/>
  <c r="EV54" i="96"/>
  <c r="ET54" i="96"/>
  <c r="ER54" i="96"/>
  <c r="EP54" i="96"/>
  <c r="FB54" i="96"/>
  <c r="FC54" i="96"/>
  <c r="FD54" i="96"/>
  <c r="EZ55" i="96"/>
  <c r="EX55" i="96"/>
  <c r="EV55" i="96"/>
  <c r="ET55" i="96"/>
  <c r="ER55" i="96"/>
  <c r="EP55" i="96"/>
  <c r="FB55" i="96"/>
  <c r="FC55" i="96"/>
  <c r="FD55" i="96"/>
  <c r="EZ56" i="96"/>
  <c r="EX56" i="96"/>
  <c r="EV56" i="96"/>
  <c r="ET56" i="96"/>
  <c r="ER56" i="96"/>
  <c r="EP56" i="96"/>
  <c r="FB56" i="96"/>
  <c r="FC56" i="96"/>
  <c r="FD56" i="96"/>
  <c r="EZ57" i="96"/>
  <c r="EX57" i="96"/>
  <c r="EV57" i="96"/>
  <c r="ET57" i="96"/>
  <c r="ER57" i="96"/>
  <c r="EP57" i="96"/>
  <c r="FB57" i="96"/>
  <c r="FC57" i="96"/>
  <c r="FD57" i="96"/>
  <c r="EZ58" i="96"/>
  <c r="EX58" i="96"/>
  <c r="EV58" i="96"/>
  <c r="ET58" i="96"/>
  <c r="ER58" i="96"/>
  <c r="EP58" i="96"/>
  <c r="FB58" i="96"/>
  <c r="FC58" i="96"/>
  <c r="FD58" i="96"/>
  <c r="EZ59" i="96"/>
  <c r="EX59" i="96"/>
  <c r="EV59" i="96"/>
  <c r="ET59" i="96"/>
  <c r="ER59" i="96"/>
  <c r="EP59" i="96"/>
  <c r="FB59" i="96"/>
  <c r="FC59" i="96"/>
  <c r="FD59" i="96"/>
  <c r="HW38" i="96"/>
  <c r="IB38" i="96"/>
  <c r="EZ42" i="96" a="1"/>
  <c r="EZ43" i="96"/>
  <c r="EX42" i="96" a="1"/>
  <c r="EX43" i="96"/>
  <c r="EV42" i="96" a="1"/>
  <c r="EV43" i="96"/>
  <c r="ET42" i="96" a="1"/>
  <c r="ET43" i="96"/>
  <c r="ER42" i="96" a="1"/>
  <c r="ER43" i="96"/>
  <c r="EP42" i="96" a="1"/>
  <c r="EP43" i="96"/>
  <c r="FB43" i="96"/>
  <c r="FD43" i="96"/>
  <c r="EZ44" i="96"/>
  <c r="EX44" i="96"/>
  <c r="EV44" i="96"/>
  <c r="ET44" i="96"/>
  <c r="ER44" i="96"/>
  <c r="EP44" i="96"/>
  <c r="FB44" i="96"/>
  <c r="FD44" i="96"/>
  <c r="EZ45" i="96"/>
  <c r="EX45" i="96"/>
  <c r="EV45" i="96"/>
  <c r="ET45" i="96"/>
  <c r="ER45" i="96"/>
  <c r="EP45" i="96"/>
  <c r="FB45" i="96"/>
  <c r="FD45" i="96"/>
  <c r="EZ46" i="96"/>
  <c r="EX46" i="96"/>
  <c r="EV46" i="96"/>
  <c r="ET46" i="96"/>
  <c r="ER46" i="96"/>
  <c r="EP46" i="96"/>
  <c r="FB46" i="96"/>
  <c r="FD46" i="96"/>
  <c r="EZ47" i="96"/>
  <c r="EX47" i="96"/>
  <c r="EV47" i="96"/>
  <c r="ET47" i="96"/>
  <c r="ER47" i="96"/>
  <c r="EP47" i="96"/>
  <c r="FB47" i="96"/>
  <c r="FD47" i="96"/>
  <c r="EZ48" i="96"/>
  <c r="EX48" i="96"/>
  <c r="EV48" i="96"/>
  <c r="ET48" i="96"/>
  <c r="ER48" i="96"/>
  <c r="EP48" i="96"/>
  <c r="FB48" i="96"/>
  <c r="FD48" i="96"/>
  <c r="EZ49" i="96"/>
  <c r="EX49" i="96"/>
  <c r="EV49" i="96"/>
  <c r="ET49" i="96"/>
  <c r="ER49" i="96"/>
  <c r="EP49" i="96"/>
  <c r="FB49" i="96"/>
  <c r="FD49" i="96"/>
  <c r="EZ50" i="96"/>
  <c r="EX50" i="96"/>
  <c r="EV50" i="96"/>
  <c r="ET50" i="96"/>
  <c r="ER50" i="96"/>
  <c r="EP50" i="96"/>
  <c r="FB50" i="96"/>
  <c r="FD50" i="96"/>
  <c r="EZ51" i="96"/>
  <c r="EX51" i="96"/>
  <c r="EV51" i="96"/>
  <c r="ET51" i="96"/>
  <c r="ER51" i="96"/>
  <c r="EP51" i="96"/>
  <c r="FB51" i="96"/>
  <c r="FD51" i="96"/>
  <c r="EZ52" i="96"/>
  <c r="EX52" i="96"/>
  <c r="EV52" i="96"/>
  <c r="ET52" i="96"/>
  <c r="ER52" i="96"/>
  <c r="EP52" i="96"/>
  <c r="FB52" i="96"/>
  <c r="FD52" i="96"/>
  <c r="EZ53" i="96"/>
  <c r="EX53" i="96"/>
  <c r="EV53" i="96"/>
  <c r="ET53" i="96"/>
  <c r="ER53" i="96"/>
  <c r="EP53" i="96"/>
  <c r="FB53" i="96"/>
  <c r="FD53" i="96"/>
  <c r="EZ42" i="96"/>
  <c r="EX42" i="96"/>
  <c r="EV42" i="96"/>
  <c r="ET42" i="96"/>
  <c r="ER42" i="96"/>
  <c r="EP42" i="96"/>
  <c r="FB42" i="96"/>
  <c r="FD42" i="96"/>
  <c r="FB38" i="96"/>
  <c r="FD38" i="96"/>
  <c r="FC43" i="96"/>
  <c r="FC44" i="96"/>
  <c r="FC45" i="96"/>
  <c r="FC46" i="96"/>
  <c r="FC47" i="96"/>
  <c r="FC48" i="96"/>
  <c r="FC49" i="96"/>
  <c r="FC50" i="96"/>
  <c r="FC51" i="96"/>
  <c r="FC52" i="96"/>
  <c r="FC53" i="96"/>
  <c r="FC42" i="96"/>
  <c r="DL38" i="96"/>
  <c r="AY39" i="96"/>
  <c r="AY40" i="96"/>
  <c r="AY41" i="96"/>
  <c r="AY42" i="96"/>
  <c r="AY43" i="96"/>
  <c r="AY44" i="96"/>
  <c r="AY45" i="96"/>
  <c r="AY46" i="96"/>
  <c r="AY47" i="96"/>
  <c r="AY48" i="96"/>
  <c r="AY49" i="96"/>
  <c r="AY50" i="96"/>
  <c r="AY51" i="96"/>
  <c r="AY52" i="96"/>
  <c r="AY53" i="96"/>
  <c r="AY54" i="96"/>
  <c r="AY55" i="96"/>
  <c r="AY56" i="96"/>
  <c r="AY57" i="96"/>
  <c r="AY58" i="96"/>
  <c r="AY59" i="96"/>
  <c r="AY60" i="96"/>
  <c r="AY38" i="96"/>
  <c r="FC38" i="96"/>
  <c r="HX38" i="96"/>
  <c r="M29" i="96"/>
  <c r="M30" i="96"/>
  <c r="M31" i="96"/>
  <c r="M32" i="96"/>
  <c r="M33" i="96"/>
  <c r="M34" i="96"/>
  <c r="M35" i="96"/>
  <c r="M36" i="96"/>
  <c r="M37" i="96"/>
  <c r="M38" i="96"/>
  <c r="M39" i="96"/>
  <c r="M40" i="96"/>
  <c r="M41" i="96"/>
  <c r="M42" i="96"/>
  <c r="M43" i="96"/>
  <c r="M44" i="96"/>
  <c r="M45" i="96"/>
  <c r="M46" i="96"/>
  <c r="M47" i="96"/>
  <c r="M48" i="96"/>
  <c r="M49" i="96"/>
  <c r="M50" i="96"/>
  <c r="M51" i="96"/>
  <c r="M52" i="96"/>
  <c r="M53" i="96"/>
  <c r="M54" i="96"/>
  <c r="M55" i="96"/>
  <c r="M56" i="96"/>
  <c r="M57" i="96"/>
  <c r="M58" i="96"/>
  <c r="M59" i="96"/>
  <c r="M60" i="96"/>
  <c r="M28" i="96"/>
  <c r="DL39" i="96"/>
  <c r="DL40" i="96"/>
  <c r="DL41" i="96"/>
  <c r="DL42" i="96"/>
  <c r="DL43" i="96"/>
  <c r="DL44" i="96"/>
  <c r="DL45" i="96"/>
  <c r="DL46" i="96"/>
  <c r="DL47" i="96"/>
  <c r="DL48" i="96"/>
  <c r="DL49" i="96"/>
  <c r="DL50" i="96"/>
  <c r="DL51" i="96"/>
  <c r="DL52" i="96"/>
  <c r="DL53" i="96"/>
  <c r="DL54" i="96"/>
  <c r="DL55" i="96"/>
  <c r="DL56" i="96"/>
  <c r="DL57" i="96"/>
  <c r="DL58" i="96"/>
  <c r="DL60" i="96"/>
  <c r="A1" i="95"/>
  <c r="A1" i="94"/>
  <c r="A1" i="92"/>
  <c r="EV90" i="9"/>
  <c r="EV91" i="9"/>
  <c r="EV92" i="9"/>
  <c r="EV93" i="9"/>
  <c r="EV94" i="9"/>
  <c r="EV95" i="9"/>
  <c r="EV97" i="9"/>
  <c r="EV98" i="9"/>
  <c r="EV99" i="9"/>
  <c r="EV100" i="9"/>
  <c r="EV101" i="9"/>
  <c r="EV102" i="9"/>
  <c r="EV103" i="9"/>
  <c r="EV104" i="9"/>
  <c r="EV105" i="9"/>
  <c r="EV106" i="9"/>
  <c r="EV107" i="9"/>
  <c r="EV96" i="9"/>
  <c r="E17" i="88"/>
  <c r="D52" i="88"/>
  <c r="D51" i="88"/>
  <c r="D50" i="88"/>
  <c r="D49" i="88"/>
  <c r="H48" i="88"/>
  <c r="G48" i="88"/>
  <c r="F48" i="88"/>
  <c r="E48" i="88"/>
  <c r="C48" i="88"/>
  <c r="D48" i="88"/>
  <c r="F44" i="88"/>
  <c r="G44" i="88"/>
  <c r="D45" i="88"/>
  <c r="C44" i="88"/>
  <c r="H44" i="88"/>
  <c r="D44" i="88"/>
  <c r="E44" i="88"/>
  <c r="D42" i="88"/>
  <c r="D43" i="88"/>
  <c r="D41" i="88"/>
  <c r="G36" i="88"/>
  <c r="G26" i="88"/>
  <c r="D40" i="88"/>
  <c r="D39" i="88"/>
  <c r="D38" i="88"/>
  <c r="D37" i="88"/>
  <c r="C36" i="88"/>
  <c r="H36" i="88"/>
  <c r="D36" i="88"/>
  <c r="D24" i="88"/>
  <c r="D25" i="88"/>
  <c r="C26" i="88"/>
  <c r="H26" i="88"/>
  <c r="D26" i="88"/>
  <c r="D27" i="88"/>
  <c r="D23" i="88"/>
  <c r="F36" i="88"/>
  <c r="F26" i="88"/>
  <c r="E36" i="88"/>
  <c r="E26" i="88"/>
  <c r="C17" i="88"/>
  <c r="C7" i="88"/>
  <c r="C12" i="88"/>
  <c r="C13" i="88"/>
  <c r="C16" i="88"/>
  <c r="C9" i="88"/>
  <c r="C10" i="88"/>
  <c r="AU83" i="9"/>
  <c r="AT73" i="9"/>
  <c r="AU73" i="9"/>
  <c r="AT74" i="9"/>
  <c r="AU74" i="9"/>
  <c r="AT75" i="9"/>
  <c r="AU75" i="9"/>
  <c r="AT77" i="9"/>
  <c r="AU77" i="9"/>
  <c r="AU72" i="9"/>
  <c r="AU80" i="9"/>
  <c r="AU78" i="9"/>
  <c r="AU76" i="9"/>
  <c r="AU96" i="9"/>
  <c r="AU95" i="9"/>
  <c r="AU94" i="9"/>
  <c r="AU93" i="9"/>
  <c r="AU91" i="9"/>
  <c r="AU90" i="9"/>
  <c r="AU89" i="9"/>
  <c r="AU87" i="9"/>
  <c r="AU85" i="9"/>
  <c r="AU86" i="9"/>
  <c r="AU88" i="9"/>
  <c r="AU92" i="9"/>
  <c r="AU97" i="9"/>
  <c r="AU98" i="9"/>
  <c r="AU99" i="9"/>
  <c r="AU100" i="9"/>
  <c r="AU101" i="9"/>
  <c r="AU102" i="9"/>
  <c r="AU103" i="9"/>
  <c r="AU104" i="9"/>
  <c r="AU105" i="9"/>
  <c r="AU84" i="9"/>
  <c r="DB94" i="9"/>
  <c r="DC94" i="9"/>
  <c r="DD94" i="9"/>
  <c r="DE94" i="9"/>
  <c r="DF94" i="9"/>
  <c r="DB95" i="9"/>
  <c r="DC95" i="9"/>
  <c r="DD95" i="9"/>
  <c r="DE95" i="9"/>
  <c r="DF95" i="9"/>
  <c r="DB96" i="9"/>
  <c r="DC96" i="9"/>
  <c r="DD96" i="9"/>
  <c r="DE96" i="9"/>
  <c r="DF96" i="9"/>
  <c r="DB97" i="9"/>
  <c r="DC97" i="9"/>
  <c r="DD97" i="9"/>
  <c r="DE97" i="9"/>
  <c r="DF97" i="9"/>
  <c r="DB98" i="9"/>
  <c r="DC98" i="9"/>
  <c r="DD98" i="9"/>
  <c r="DE98" i="9"/>
  <c r="DF98" i="9"/>
  <c r="DB99" i="9"/>
  <c r="DC99" i="9"/>
  <c r="DD99" i="9"/>
  <c r="DE99" i="9"/>
  <c r="DF99" i="9"/>
  <c r="DB100" i="9"/>
  <c r="DC100" i="9"/>
  <c r="DD100" i="9"/>
  <c r="DE100" i="9"/>
  <c r="DF100" i="9"/>
  <c r="DB101" i="9"/>
  <c r="DC101" i="9"/>
  <c r="DD101" i="9"/>
  <c r="DE101" i="9"/>
  <c r="DF101" i="9"/>
  <c r="DB102" i="9"/>
  <c r="DC102" i="9"/>
  <c r="DD102" i="9"/>
  <c r="DE102" i="9"/>
  <c r="DF102" i="9"/>
  <c r="DB103" i="9"/>
  <c r="DC103" i="9"/>
  <c r="DD103" i="9"/>
  <c r="DE103" i="9"/>
  <c r="DF103" i="9"/>
  <c r="DB104" i="9"/>
  <c r="DC104" i="9"/>
  <c r="DD104" i="9"/>
  <c r="DE104" i="9"/>
  <c r="DF104" i="9"/>
  <c r="DB105" i="9"/>
  <c r="DC105" i="9"/>
  <c r="DD105" i="9"/>
  <c r="DE105" i="9"/>
  <c r="DF105" i="9"/>
  <c r="DB106" i="9"/>
  <c r="DC106" i="9"/>
  <c r="DD106" i="9"/>
  <c r="DE106" i="9"/>
  <c r="DF106" i="9"/>
  <c r="DB107" i="9"/>
  <c r="DC107" i="9"/>
  <c r="DD107" i="9"/>
  <c r="DE107" i="9"/>
  <c r="DF107" i="9"/>
  <c r="DB108" i="9"/>
  <c r="DC108" i="9"/>
  <c r="DD108" i="9"/>
  <c r="DE108" i="9"/>
  <c r="DF108" i="9"/>
  <c r="CZ3" i="9"/>
  <c r="DR59" i="9"/>
  <c r="DS59" i="9"/>
  <c r="DU59" i="9"/>
  <c r="DR60" i="9"/>
  <c r="DS60" i="9"/>
  <c r="DU60" i="9"/>
  <c r="DR61" i="9"/>
  <c r="DS61" i="9"/>
  <c r="DU61" i="9"/>
  <c r="DR62" i="9"/>
  <c r="DS62" i="9"/>
  <c r="DU62" i="9"/>
  <c r="DR63" i="9"/>
  <c r="DS63" i="9"/>
  <c r="DU63" i="9"/>
  <c r="DR64" i="9"/>
  <c r="DS64" i="9"/>
  <c r="DU64" i="9"/>
  <c r="DR65" i="9"/>
  <c r="DS65" i="9"/>
  <c r="DU65" i="9"/>
  <c r="DR66" i="9"/>
  <c r="DS66" i="9"/>
  <c r="DU66" i="9"/>
  <c r="DR67" i="9"/>
  <c r="DS67" i="9"/>
  <c r="DU67" i="9"/>
  <c r="DR68" i="9"/>
  <c r="DS68" i="9"/>
  <c r="DU68" i="9"/>
  <c r="DR69" i="9"/>
  <c r="DS69" i="9"/>
  <c r="DU69" i="9"/>
  <c r="DR70" i="9"/>
  <c r="DS70" i="9"/>
  <c r="DU70" i="9"/>
  <c r="DR71" i="9"/>
  <c r="DS71" i="9"/>
  <c r="DU71" i="9"/>
  <c r="DR72" i="9"/>
  <c r="DS72" i="9"/>
  <c r="DU72" i="9"/>
  <c r="DR73" i="9"/>
  <c r="DS73" i="9"/>
  <c r="DU73" i="9"/>
  <c r="DT74" i="9" a="1"/>
  <c r="DT74" i="9"/>
  <c r="DR74" i="9"/>
  <c r="DS74" i="9"/>
  <c r="DU74" i="9"/>
  <c r="DT75" i="9"/>
  <c r="DR75" i="9"/>
  <c r="DS75" i="9"/>
  <c r="DU75" i="9"/>
  <c r="DT76" i="9"/>
  <c r="DR76" i="9"/>
  <c r="DS76" i="9"/>
  <c r="DU76" i="9"/>
  <c r="DT77" i="9"/>
  <c r="DR77" i="9"/>
  <c r="DS77" i="9"/>
  <c r="DU77" i="9"/>
  <c r="DT78" i="9"/>
  <c r="DR78" i="9"/>
  <c r="DS78" i="9"/>
  <c r="DU78" i="9"/>
  <c r="DT79" i="9"/>
  <c r="DR79" i="9"/>
  <c r="DS79" i="9"/>
  <c r="DU79" i="9"/>
  <c r="DT80" i="9"/>
  <c r="DR80" i="9"/>
  <c r="DS80" i="9"/>
  <c r="DU80" i="9"/>
  <c r="DT81" i="9"/>
  <c r="DR81" i="9"/>
  <c r="DS81" i="9"/>
  <c r="DU81" i="9"/>
  <c r="DT82" i="9"/>
  <c r="DR82" i="9"/>
  <c r="DS82" i="9"/>
  <c r="DU82" i="9"/>
  <c r="DT83" i="9"/>
  <c r="DR83" i="9"/>
  <c r="DS83" i="9"/>
  <c r="DU83" i="9"/>
  <c r="DT84" i="9"/>
  <c r="DR84" i="9"/>
  <c r="DS84" i="9"/>
  <c r="DU84" i="9"/>
  <c r="DT85" i="9"/>
  <c r="DR85" i="9"/>
  <c r="DS85" i="9"/>
  <c r="DU85" i="9"/>
  <c r="DT86" i="9"/>
  <c r="DR86" i="9"/>
  <c r="DS86" i="9"/>
  <c r="DU86" i="9"/>
  <c r="DT87" i="9"/>
  <c r="DR87" i="9"/>
  <c r="DS87" i="9"/>
  <c r="DU87" i="9"/>
  <c r="DT88" i="9"/>
  <c r="DR88" i="9"/>
  <c r="DS88" i="9"/>
  <c r="DU88" i="9"/>
  <c r="DT89" i="9"/>
  <c r="DR89" i="9"/>
  <c r="DS89" i="9"/>
  <c r="DU89" i="9"/>
  <c r="DT90" i="9"/>
  <c r="DR90" i="9"/>
  <c r="DS90" i="9"/>
  <c r="DU90" i="9"/>
  <c r="DT91" i="9"/>
  <c r="DR91" i="9"/>
  <c r="DS91" i="9"/>
  <c r="DU91" i="9"/>
  <c r="DT92" i="9"/>
  <c r="DR92" i="9"/>
  <c r="DS92" i="9"/>
  <c r="DU92" i="9"/>
  <c r="DT93" i="9"/>
  <c r="DR93" i="9"/>
  <c r="DS93" i="9"/>
  <c r="DU93" i="9"/>
  <c r="DT94" i="9"/>
  <c r="DR94" i="9"/>
  <c r="DS94" i="9"/>
  <c r="DU94" i="9"/>
  <c r="DT95" i="9"/>
  <c r="DR95" i="9"/>
  <c r="DS95" i="9"/>
  <c r="DU95" i="9"/>
  <c r="DT96" i="9"/>
  <c r="DR96" i="9"/>
  <c r="DS96" i="9"/>
  <c r="DU96" i="9"/>
  <c r="DT97" i="9"/>
  <c r="DR97" i="9"/>
  <c r="DS97" i="9"/>
  <c r="DU97" i="9"/>
  <c r="DT98" i="9"/>
  <c r="DR98" i="9"/>
  <c r="DS98" i="9"/>
  <c r="DU98" i="9"/>
  <c r="DT99" i="9"/>
  <c r="DJ99" i="9"/>
  <c r="DK99" i="9"/>
  <c r="DL99" i="9"/>
  <c r="DM99" i="9"/>
  <c r="DQ99" i="9"/>
  <c r="DR99" i="9"/>
  <c r="DS99" i="9"/>
  <c r="DU99" i="9"/>
  <c r="DT100" i="9"/>
  <c r="DJ100" i="9"/>
  <c r="DK100" i="9"/>
  <c r="DL100" i="9"/>
  <c r="DM100" i="9"/>
  <c r="DQ100" i="9"/>
  <c r="DR100" i="9"/>
  <c r="DS100" i="9"/>
  <c r="DU100" i="9"/>
  <c r="DT101" i="9"/>
  <c r="DJ101" i="9"/>
  <c r="DK101" i="9"/>
  <c r="DL101" i="9"/>
  <c r="DM101" i="9"/>
  <c r="DQ101" i="9"/>
  <c r="DR101" i="9"/>
  <c r="DS101" i="9"/>
  <c r="DU101" i="9"/>
  <c r="DT102" i="9"/>
  <c r="DR102" i="9"/>
  <c r="DS102" i="9"/>
  <c r="DU102" i="9"/>
  <c r="DT103" i="9"/>
  <c r="DR103" i="9"/>
  <c r="DS103" i="9"/>
  <c r="DU103" i="9"/>
  <c r="DT104" i="9"/>
  <c r="DR104" i="9"/>
  <c r="DS104" i="9"/>
  <c r="DU104" i="9"/>
  <c r="DT105" i="9"/>
  <c r="DR105" i="9"/>
  <c r="DS105" i="9"/>
  <c r="DU105" i="9"/>
  <c r="DT106" i="9"/>
  <c r="DR106" i="9"/>
  <c r="DS106" i="9"/>
  <c r="DU106" i="9"/>
  <c r="DT107" i="9"/>
  <c r="DR107" i="9"/>
  <c r="DS107" i="9"/>
  <c r="DU107" i="9"/>
  <c r="DT108" i="9"/>
  <c r="DJ108" i="9"/>
  <c r="DK108" i="9"/>
  <c r="DL108" i="9"/>
  <c r="DM108" i="9"/>
  <c r="DN108" i="9"/>
  <c r="DQ108" i="9"/>
  <c r="DR108" i="9"/>
  <c r="DS108" i="9"/>
  <c r="DU108" i="9"/>
  <c r="DR58" i="9"/>
  <c r="DS58" i="9"/>
  <c r="DU58" i="9"/>
  <c r="GC66" i="9"/>
  <c r="FB66" i="9"/>
  <c r="IK59" i="9"/>
  <c r="IK60" i="9"/>
  <c r="IK61" i="9"/>
  <c r="IK62" i="9"/>
  <c r="IK63" i="9"/>
  <c r="IK64" i="9"/>
  <c r="IK65" i="9"/>
  <c r="IK66" i="9"/>
  <c r="FL66" i="9"/>
  <c r="GC67" i="9"/>
  <c r="FB67" i="9"/>
  <c r="IK67" i="9"/>
  <c r="FL67" i="9"/>
  <c r="GC68" i="9"/>
  <c r="DO68" i="9"/>
  <c r="FB68" i="9"/>
  <c r="IK68" i="9"/>
  <c r="FL68" i="9"/>
  <c r="DO60" i="9"/>
  <c r="DO62" i="9"/>
  <c r="EA66" i="9"/>
  <c r="EA67" i="9"/>
  <c r="DZ66" i="9"/>
  <c r="DZ67" i="9"/>
  <c r="DY66" i="9"/>
  <c r="DY67" i="9"/>
  <c r="DW66" i="9"/>
  <c r="DW67" i="9"/>
  <c r="HE75" i="83"/>
  <c r="HE76" i="83"/>
  <c r="HE77" i="83"/>
  <c r="HE78" i="83"/>
  <c r="HE79" i="83"/>
  <c r="HE80" i="83"/>
  <c r="HE81" i="83"/>
  <c r="HE82" i="83"/>
  <c r="HE83" i="83"/>
  <c r="HE84" i="83"/>
  <c r="HE85" i="83"/>
  <c r="HE86" i="83"/>
  <c r="HE87" i="83"/>
  <c r="HE88" i="83"/>
  <c r="HE89" i="83"/>
  <c r="HE90" i="83"/>
  <c r="U91" i="83"/>
  <c r="HE91" i="83"/>
  <c r="U92" i="83"/>
  <c r="HE92" i="83"/>
  <c r="U93" i="83"/>
  <c r="HE93" i="83"/>
  <c r="U94" i="83"/>
  <c r="HE94" i="83"/>
  <c r="U95" i="83"/>
  <c r="HE95" i="83"/>
  <c r="U96" i="83"/>
  <c r="HE96" i="83"/>
  <c r="U97" i="83"/>
  <c r="HE97" i="83"/>
  <c r="U98" i="83"/>
  <c r="HE98" i="83"/>
  <c r="U99" i="83"/>
  <c r="HE99" i="83"/>
  <c r="U100" i="83"/>
  <c r="HE100" i="83"/>
  <c r="U101" i="83"/>
  <c r="HE101" i="83"/>
  <c r="U102" i="83"/>
  <c r="HE102" i="83"/>
  <c r="U103" i="83"/>
  <c r="HE103" i="83"/>
  <c r="U104" i="83"/>
  <c r="HE104" i="83"/>
  <c r="U105" i="83"/>
  <c r="HE105" i="83"/>
  <c r="HE106" i="83"/>
  <c r="U107" i="83"/>
  <c r="HE107" i="83"/>
  <c r="U108" i="83"/>
  <c r="HE108" i="83"/>
  <c r="X74" i="83"/>
  <c r="HE74" i="83"/>
  <c r="GN74" i="83" a="1"/>
  <c r="GN74" i="83"/>
  <c r="GN75" i="83"/>
  <c r="GN76" i="83"/>
  <c r="GN77" i="83"/>
  <c r="GN78" i="83"/>
  <c r="GN79" i="83"/>
  <c r="GN80" i="83"/>
  <c r="GN81" i="83"/>
  <c r="GN82" i="83"/>
  <c r="GN83" i="83"/>
  <c r="GN84" i="83"/>
  <c r="GN85" i="83"/>
  <c r="GN86" i="83"/>
  <c r="GN87" i="83"/>
  <c r="GN88" i="83"/>
  <c r="GN89" i="83"/>
  <c r="GN90" i="83"/>
  <c r="GN91" i="83"/>
  <c r="GN92" i="83"/>
  <c r="GN93" i="83"/>
  <c r="GN94" i="83"/>
  <c r="GN95" i="83"/>
  <c r="GN96" i="83"/>
  <c r="GN97" i="83"/>
  <c r="GN98" i="83"/>
  <c r="GN99" i="83"/>
  <c r="GN100" i="83"/>
  <c r="GN101" i="83"/>
  <c r="GN102" i="83"/>
  <c r="GN103" i="83"/>
  <c r="GN104" i="83"/>
  <c r="GN105" i="83"/>
  <c r="GN106" i="83"/>
  <c r="GN107" i="83"/>
  <c r="GN108" i="83"/>
  <c r="GJ74" i="83" a="1"/>
  <c r="GJ74" i="83"/>
  <c r="GJ75" i="83"/>
  <c r="GJ76" i="83"/>
  <c r="GJ77" i="83"/>
  <c r="GJ78" i="83"/>
  <c r="GJ79" i="83"/>
  <c r="GJ80" i="83"/>
  <c r="GJ81" i="83"/>
  <c r="GJ82" i="83"/>
  <c r="GJ83" i="83"/>
  <c r="GJ84" i="83"/>
  <c r="GJ85" i="83"/>
  <c r="GJ86" i="83"/>
  <c r="GJ87" i="83"/>
  <c r="GJ88" i="83"/>
  <c r="GJ89" i="83"/>
  <c r="GJ90" i="83"/>
  <c r="GJ91" i="83"/>
  <c r="GJ92" i="83"/>
  <c r="GJ93" i="83"/>
  <c r="GJ94" i="83"/>
  <c r="GJ95" i="83"/>
  <c r="GJ96" i="83"/>
  <c r="GJ97" i="83"/>
  <c r="GJ98" i="83"/>
  <c r="GJ99" i="83"/>
  <c r="GJ100" i="83"/>
  <c r="GJ101" i="83"/>
  <c r="GJ102" i="83"/>
  <c r="GJ103" i="83"/>
  <c r="GJ104" i="83"/>
  <c r="GJ105" i="83"/>
  <c r="GJ106" i="83"/>
  <c r="GJ107" i="83"/>
  <c r="GJ108" i="83"/>
  <c r="G18" i="86"/>
  <c r="H211" i="86"/>
  <c r="G211" i="86"/>
  <c r="F211" i="86"/>
  <c r="E211" i="86"/>
  <c r="D211" i="86"/>
  <c r="C211" i="86"/>
  <c r="B211" i="86"/>
  <c r="DV72" i="83" a="1"/>
  <c r="DV72" i="83"/>
  <c r="DV73" i="83"/>
  <c r="DV74" i="83"/>
  <c r="DV75" i="83"/>
  <c r="DV76" i="83"/>
  <c r="DV77" i="83"/>
  <c r="DV78" i="83"/>
  <c r="DV79" i="83"/>
  <c r="DV80" i="83"/>
  <c r="DV81" i="83"/>
  <c r="DV82" i="83"/>
  <c r="DV83" i="83"/>
  <c r="DV84" i="83"/>
  <c r="DV85" i="83"/>
  <c r="DV86" i="83"/>
  <c r="DV87" i="83"/>
  <c r="DV88" i="83"/>
  <c r="DV89" i="83"/>
  <c r="DV90" i="83"/>
  <c r="DV91" i="83"/>
  <c r="DV92" i="83"/>
  <c r="DV93" i="83"/>
  <c r="DV94" i="83"/>
  <c r="DV95" i="83"/>
  <c r="DV96" i="83"/>
  <c r="DV97" i="83"/>
  <c r="DV98" i="83"/>
  <c r="DV99" i="83"/>
  <c r="DV100" i="83"/>
  <c r="DV101" i="83"/>
  <c r="DV102" i="83"/>
  <c r="DV103" i="83"/>
  <c r="DV104" i="83"/>
  <c r="DV105" i="83"/>
  <c r="DV106" i="83"/>
  <c r="DV107" i="83"/>
  <c r="DV108" i="83"/>
  <c r="DU72" i="83" a="1"/>
  <c r="DU72" i="83"/>
  <c r="DU73" i="83"/>
  <c r="DU74" i="83"/>
  <c r="DU75" i="83"/>
  <c r="DU76" i="83"/>
  <c r="DU77" i="83"/>
  <c r="DU78" i="83"/>
  <c r="DU79" i="83"/>
  <c r="DU80" i="83"/>
  <c r="DU81" i="83"/>
  <c r="DU82" i="83"/>
  <c r="DU83" i="83"/>
  <c r="DU84" i="83"/>
  <c r="DU85" i="83"/>
  <c r="DU86" i="83"/>
  <c r="DU87" i="83"/>
  <c r="DU88" i="83"/>
  <c r="DU89" i="83"/>
  <c r="DU90" i="83"/>
  <c r="DU91" i="83"/>
  <c r="DU92" i="83"/>
  <c r="DU93" i="83"/>
  <c r="DU94" i="83"/>
  <c r="DU95" i="83"/>
  <c r="DU96" i="83"/>
  <c r="DU97" i="83"/>
  <c r="DU98" i="83"/>
  <c r="DU99" i="83"/>
  <c r="DU100" i="83"/>
  <c r="DU101" i="83"/>
  <c r="DU102" i="83"/>
  <c r="DU103" i="83"/>
  <c r="DU104" i="83"/>
  <c r="DU105" i="83"/>
  <c r="DU106" i="83"/>
  <c r="DU107" i="83"/>
  <c r="DU108" i="83"/>
  <c r="DT72" i="83" a="1"/>
  <c r="DT72" i="83"/>
  <c r="DT73" i="83"/>
  <c r="DT74" i="83"/>
  <c r="DT75" i="83"/>
  <c r="DT76" i="83"/>
  <c r="DT77" i="83"/>
  <c r="DT78" i="83"/>
  <c r="DT79" i="83"/>
  <c r="DT80" i="83"/>
  <c r="DT81" i="83"/>
  <c r="DT82" i="83"/>
  <c r="DT83" i="83"/>
  <c r="DT84" i="83"/>
  <c r="DT85" i="83"/>
  <c r="DT86" i="83"/>
  <c r="DT87" i="83"/>
  <c r="DT88" i="83"/>
  <c r="DT89" i="83"/>
  <c r="DT90" i="83"/>
  <c r="DT91" i="83"/>
  <c r="DT92" i="83"/>
  <c r="DT93" i="83"/>
  <c r="DT94" i="83"/>
  <c r="DT95" i="83"/>
  <c r="DT96" i="83"/>
  <c r="DT97" i="83"/>
  <c r="DT98" i="83"/>
  <c r="DT99" i="83"/>
  <c r="DT100" i="83"/>
  <c r="DT101" i="83"/>
  <c r="DT102" i="83"/>
  <c r="DT103" i="83"/>
  <c r="DT104" i="83"/>
  <c r="DT105" i="83"/>
  <c r="DT106" i="83"/>
  <c r="DT107" i="83"/>
  <c r="DT108" i="83"/>
  <c r="DS72" i="83" a="1"/>
  <c r="DS72" i="83"/>
  <c r="DS73" i="83"/>
  <c r="DS74" i="83"/>
  <c r="DS75" i="83"/>
  <c r="DS76" i="83"/>
  <c r="DS77" i="83"/>
  <c r="DS78" i="83"/>
  <c r="DS79" i="83"/>
  <c r="DS80" i="83"/>
  <c r="DS81" i="83"/>
  <c r="DS82" i="83"/>
  <c r="DS83" i="83"/>
  <c r="DS84" i="83"/>
  <c r="DS85" i="83"/>
  <c r="DS86" i="83"/>
  <c r="DS87" i="83"/>
  <c r="DS88" i="83"/>
  <c r="DS89" i="83"/>
  <c r="DS90" i="83"/>
  <c r="DS91" i="83"/>
  <c r="DS92" i="83"/>
  <c r="DS93" i="83"/>
  <c r="DS94" i="83"/>
  <c r="DS95" i="83"/>
  <c r="DS96" i="83"/>
  <c r="DS97" i="83"/>
  <c r="DS98" i="83"/>
  <c r="DS99" i="83"/>
  <c r="DS100" i="83"/>
  <c r="DS101" i="83"/>
  <c r="DS102" i="83"/>
  <c r="DS103" i="83"/>
  <c r="DS104" i="83"/>
  <c r="DS105" i="83"/>
  <c r="DS106" i="83"/>
  <c r="DS107" i="83"/>
  <c r="DS108" i="83"/>
  <c r="DR72" i="83" a="1"/>
  <c r="DR72" i="83"/>
  <c r="DR73" i="83"/>
  <c r="DR74" i="83"/>
  <c r="DR75" i="83"/>
  <c r="DR76" i="83"/>
  <c r="DR77" i="83"/>
  <c r="DR78" i="83"/>
  <c r="DR79" i="83"/>
  <c r="DR80" i="83"/>
  <c r="DR81" i="83"/>
  <c r="DR82" i="83"/>
  <c r="DR83" i="83"/>
  <c r="DR84" i="83"/>
  <c r="DR85" i="83"/>
  <c r="DR86" i="83"/>
  <c r="DR87" i="83"/>
  <c r="DR88" i="83"/>
  <c r="DR89" i="83"/>
  <c r="DR90" i="83"/>
  <c r="DR91" i="83"/>
  <c r="DR92" i="83"/>
  <c r="DR93" i="83"/>
  <c r="DR94" i="83"/>
  <c r="DR95" i="83"/>
  <c r="DR96" i="83"/>
  <c r="DR97" i="83"/>
  <c r="DR98" i="83"/>
  <c r="DR99" i="83"/>
  <c r="DR100" i="83"/>
  <c r="DR101" i="83"/>
  <c r="DR102" i="83"/>
  <c r="DR103" i="83"/>
  <c r="DR104" i="83"/>
  <c r="DR105" i="83"/>
  <c r="DR106" i="83"/>
  <c r="DR107" i="83"/>
  <c r="DR108" i="83"/>
  <c r="DP72" i="83" a="1"/>
  <c r="DP75" i="83"/>
  <c r="FP75" i="83"/>
  <c r="DP76" i="83"/>
  <c r="FP76" i="83"/>
  <c r="DP77" i="83"/>
  <c r="FP77" i="83"/>
  <c r="DP78" i="83"/>
  <c r="FP78" i="83"/>
  <c r="DP79" i="83"/>
  <c r="FP79" i="83"/>
  <c r="DP80" i="83"/>
  <c r="FP80" i="83"/>
  <c r="DP81" i="83"/>
  <c r="FP81" i="83"/>
  <c r="DP82" i="83"/>
  <c r="FP82" i="83"/>
  <c r="DP83" i="83"/>
  <c r="FP83" i="83"/>
  <c r="DP84" i="83"/>
  <c r="FP84" i="83"/>
  <c r="DP85" i="83"/>
  <c r="FP85" i="83"/>
  <c r="DP86" i="83"/>
  <c r="FP86" i="83"/>
  <c r="DP87" i="83"/>
  <c r="FP87" i="83"/>
  <c r="DP88" i="83"/>
  <c r="FP88" i="83"/>
  <c r="DP89" i="83"/>
  <c r="FP89" i="83"/>
  <c r="DP90" i="83"/>
  <c r="FP90" i="83"/>
  <c r="DP91" i="83"/>
  <c r="FP91" i="83"/>
  <c r="DP92" i="83"/>
  <c r="FP92" i="83"/>
  <c r="DP93" i="83"/>
  <c r="FP93" i="83"/>
  <c r="DP94" i="83"/>
  <c r="FP94" i="83"/>
  <c r="DP95" i="83"/>
  <c r="FP95" i="83"/>
  <c r="DP96" i="83"/>
  <c r="FP96" i="83"/>
  <c r="DP97" i="83"/>
  <c r="FP97" i="83"/>
  <c r="DP98" i="83"/>
  <c r="FP98" i="83"/>
  <c r="DP99" i="83"/>
  <c r="FP99" i="83"/>
  <c r="DP100" i="83"/>
  <c r="FP100" i="83"/>
  <c r="DP101" i="83"/>
  <c r="FP101" i="83"/>
  <c r="DP102" i="83"/>
  <c r="FP102" i="83"/>
  <c r="DP103" i="83"/>
  <c r="FP103" i="83"/>
  <c r="DP104" i="83"/>
  <c r="FP104" i="83"/>
  <c r="DP105" i="83"/>
  <c r="FP105" i="83"/>
  <c r="DP106" i="83"/>
  <c r="FP106" i="83"/>
  <c r="DP107" i="83"/>
  <c r="FP107" i="83"/>
  <c r="DP108" i="83"/>
  <c r="FP108" i="83"/>
  <c r="DP74" i="83"/>
  <c r="FP74" i="83"/>
  <c r="DQ72" i="83" a="1"/>
  <c r="DQ72" i="83"/>
  <c r="DQ73" i="83"/>
  <c r="DQ74" i="83"/>
  <c r="DQ75" i="83"/>
  <c r="DQ76" i="83"/>
  <c r="DQ77" i="83"/>
  <c r="DQ78" i="83"/>
  <c r="DQ79" i="83"/>
  <c r="DQ80" i="83"/>
  <c r="DQ81" i="83"/>
  <c r="DQ82" i="83"/>
  <c r="DQ83" i="83"/>
  <c r="DQ84" i="83"/>
  <c r="DQ85" i="83"/>
  <c r="DQ86" i="83"/>
  <c r="DQ87" i="83"/>
  <c r="DQ88" i="83"/>
  <c r="DQ89" i="83"/>
  <c r="DQ90" i="83"/>
  <c r="DQ91" i="83"/>
  <c r="DQ92" i="83"/>
  <c r="DQ93" i="83"/>
  <c r="DQ94" i="83"/>
  <c r="DQ95" i="83"/>
  <c r="DQ96" i="83"/>
  <c r="DQ97" i="83"/>
  <c r="DQ98" i="83"/>
  <c r="DQ99" i="83"/>
  <c r="DQ100" i="83"/>
  <c r="DQ101" i="83"/>
  <c r="DQ102" i="83"/>
  <c r="DQ103" i="83"/>
  <c r="DQ104" i="83"/>
  <c r="DQ105" i="83"/>
  <c r="DQ106" i="83"/>
  <c r="DQ107" i="83"/>
  <c r="DQ108" i="83"/>
  <c r="DP72" i="83"/>
  <c r="DP73" i="83"/>
  <c r="GO74" i="83" a="1"/>
  <c r="GO75" i="83"/>
  <c r="FL75" i="83"/>
  <c r="DG72" i="83" a="1"/>
  <c r="DG72" i="83"/>
  <c r="DG73" i="83"/>
  <c r="DG74" i="83"/>
  <c r="EG74" i="83"/>
  <c r="DG75" i="83"/>
  <c r="EG75" i="83"/>
  <c r="EQ75" i="83"/>
  <c r="FK75" i="83"/>
  <c r="CV75" i="83"/>
  <c r="EZ74" i="83" a="1"/>
  <c r="EZ100" i="83"/>
  <c r="EZ101" i="83"/>
  <c r="FB100" i="83"/>
  <c r="EZ99" i="83"/>
  <c r="FB99" i="83"/>
  <c r="EZ98" i="83"/>
  <c r="FB98" i="83"/>
  <c r="EZ97" i="83"/>
  <c r="FB97" i="83"/>
  <c r="EZ96" i="83"/>
  <c r="FB96" i="83"/>
  <c r="EZ95" i="83"/>
  <c r="FB95" i="83"/>
  <c r="EZ94" i="83"/>
  <c r="FB94" i="83"/>
  <c r="EZ93" i="83"/>
  <c r="FB93" i="83"/>
  <c r="EZ92" i="83"/>
  <c r="FB92" i="83"/>
  <c r="EZ91" i="83"/>
  <c r="FB91" i="83"/>
  <c r="EZ90" i="83"/>
  <c r="FB90" i="83"/>
  <c r="EZ89" i="83"/>
  <c r="FB89" i="83"/>
  <c r="EZ88" i="83"/>
  <c r="FB88" i="83"/>
  <c r="EZ87" i="83"/>
  <c r="FB87" i="83"/>
  <c r="EZ86" i="83"/>
  <c r="FB86" i="83"/>
  <c r="EZ85" i="83"/>
  <c r="FB85" i="83"/>
  <c r="EZ84" i="83"/>
  <c r="FB84" i="83"/>
  <c r="EZ83" i="83"/>
  <c r="FB83" i="83"/>
  <c r="EZ82" i="83"/>
  <c r="FB82" i="83"/>
  <c r="EZ81" i="83"/>
  <c r="FB81" i="83"/>
  <c r="EZ80" i="83"/>
  <c r="FB80" i="83"/>
  <c r="EZ79" i="83"/>
  <c r="FB79" i="83"/>
  <c r="EZ78" i="83"/>
  <c r="FB78" i="83"/>
  <c r="EZ77" i="83"/>
  <c r="FB77" i="83"/>
  <c r="EZ76" i="83"/>
  <c r="FB76" i="83"/>
  <c r="EZ75" i="83"/>
  <c r="FB75" i="83"/>
  <c r="DH72" i="83" a="1"/>
  <c r="DH72" i="83"/>
  <c r="DH73" i="83"/>
  <c r="DH74" i="83"/>
  <c r="EH74" i="83"/>
  <c r="DH75" i="83"/>
  <c r="EH75" i="83"/>
  <c r="ER75" i="83"/>
  <c r="CW75" i="83"/>
  <c r="DI72" i="83" a="1"/>
  <c r="DI72" i="83"/>
  <c r="DI73" i="83"/>
  <c r="DI74" i="83"/>
  <c r="EI74" i="83"/>
  <c r="DI75" i="83"/>
  <c r="EI75" i="83"/>
  <c r="ES75" i="83"/>
  <c r="CX75" i="83"/>
  <c r="FD100" i="83"/>
  <c r="FD99" i="83"/>
  <c r="FD98" i="83"/>
  <c r="FD97" i="83"/>
  <c r="FD96" i="83"/>
  <c r="FD95" i="83"/>
  <c r="FD94" i="83"/>
  <c r="FD93" i="83"/>
  <c r="FD92" i="83"/>
  <c r="FD91" i="83"/>
  <c r="FD90" i="83"/>
  <c r="FD89" i="83"/>
  <c r="FD88" i="83"/>
  <c r="FD87" i="83"/>
  <c r="FD86" i="83"/>
  <c r="FD85" i="83"/>
  <c r="FD84" i="83"/>
  <c r="FD83" i="83"/>
  <c r="FD82" i="83"/>
  <c r="FD81" i="83"/>
  <c r="FD80" i="83"/>
  <c r="FD79" i="83"/>
  <c r="FD78" i="83"/>
  <c r="FD77" i="83"/>
  <c r="FD76" i="83"/>
  <c r="FD75" i="83"/>
  <c r="DJ72" i="83" a="1"/>
  <c r="DJ72" i="83"/>
  <c r="DJ73" i="83"/>
  <c r="DJ74" i="83"/>
  <c r="EJ74" i="83"/>
  <c r="DJ75" i="83"/>
  <c r="EJ75" i="83"/>
  <c r="ET75" i="83"/>
  <c r="CY75" i="83"/>
  <c r="FE100" i="83"/>
  <c r="FE99" i="83"/>
  <c r="FE98" i="83"/>
  <c r="FE97" i="83"/>
  <c r="FE96" i="83"/>
  <c r="FE95" i="83"/>
  <c r="FE94" i="83"/>
  <c r="FE93" i="83"/>
  <c r="FE92" i="83"/>
  <c r="FE91" i="83"/>
  <c r="FE90" i="83"/>
  <c r="FE89" i="83"/>
  <c r="FE88" i="83"/>
  <c r="FE87" i="83"/>
  <c r="FE86" i="83"/>
  <c r="FE85" i="83"/>
  <c r="FE84" i="83"/>
  <c r="FE83" i="83"/>
  <c r="FE82" i="83"/>
  <c r="FE81" i="83"/>
  <c r="FE80" i="83"/>
  <c r="FE79" i="83"/>
  <c r="FE78" i="83"/>
  <c r="FE77" i="83"/>
  <c r="FE76" i="83"/>
  <c r="FE75" i="83"/>
  <c r="DK72" i="83" a="1"/>
  <c r="DK72" i="83"/>
  <c r="DK73" i="83"/>
  <c r="DK74" i="83"/>
  <c r="EK74" i="83"/>
  <c r="DK75" i="83"/>
  <c r="EK75" i="83"/>
  <c r="EU75" i="83"/>
  <c r="CZ75" i="83"/>
  <c r="DL72" i="83" a="1"/>
  <c r="DL72" i="83"/>
  <c r="DL73" i="83"/>
  <c r="DL74" i="83"/>
  <c r="EL74" i="83"/>
  <c r="DL75" i="83"/>
  <c r="EL75" i="83"/>
  <c r="EV75" i="83"/>
  <c r="DA75" i="83"/>
  <c r="DB75" i="83"/>
  <c r="GO76" i="83"/>
  <c r="FL76" i="83"/>
  <c r="DG76" i="83"/>
  <c r="EG76" i="83"/>
  <c r="EQ76" i="83"/>
  <c r="FK76" i="83"/>
  <c r="CV76" i="83"/>
  <c r="DH76" i="83"/>
  <c r="EH76" i="83"/>
  <c r="ER76" i="83"/>
  <c r="CW76" i="83"/>
  <c r="DI76" i="83"/>
  <c r="EI76" i="83"/>
  <c r="ES76" i="83"/>
  <c r="CX76" i="83"/>
  <c r="DJ76" i="83"/>
  <c r="EJ76" i="83"/>
  <c r="ET76" i="83"/>
  <c r="CY76" i="83"/>
  <c r="DK76" i="83"/>
  <c r="EK76" i="83"/>
  <c r="EU76" i="83"/>
  <c r="CZ76" i="83"/>
  <c r="DL76" i="83"/>
  <c r="EL76" i="83"/>
  <c r="EV76" i="83"/>
  <c r="DA76" i="83"/>
  <c r="DB76" i="83"/>
  <c r="GO77" i="83"/>
  <c r="FL77" i="83"/>
  <c r="DG77" i="83"/>
  <c r="EG77" i="83"/>
  <c r="EQ77" i="83"/>
  <c r="FK77" i="83"/>
  <c r="CV77" i="83"/>
  <c r="DH77" i="83"/>
  <c r="EH77" i="83"/>
  <c r="ER77" i="83"/>
  <c r="CW77" i="83"/>
  <c r="DI77" i="83"/>
  <c r="EI77" i="83"/>
  <c r="ES77" i="83"/>
  <c r="CX77" i="83"/>
  <c r="DJ77" i="83"/>
  <c r="EJ77" i="83"/>
  <c r="ET77" i="83"/>
  <c r="CY77" i="83"/>
  <c r="DK77" i="83"/>
  <c r="EK77" i="83"/>
  <c r="EU77" i="83"/>
  <c r="CZ77" i="83"/>
  <c r="DL77" i="83"/>
  <c r="EL77" i="83"/>
  <c r="EV77" i="83"/>
  <c r="DA77" i="83"/>
  <c r="DB77" i="83"/>
  <c r="GO78" i="83"/>
  <c r="FL78" i="83"/>
  <c r="DG78" i="83"/>
  <c r="EG78" i="83"/>
  <c r="EQ78" i="83"/>
  <c r="FK78" i="83"/>
  <c r="CV78" i="83"/>
  <c r="DH78" i="83"/>
  <c r="EH78" i="83"/>
  <c r="ER78" i="83"/>
  <c r="CW78" i="83"/>
  <c r="DI78" i="83"/>
  <c r="EI78" i="83"/>
  <c r="ES78" i="83"/>
  <c r="CX78" i="83"/>
  <c r="DJ78" i="83"/>
  <c r="EJ78" i="83"/>
  <c r="ET78" i="83"/>
  <c r="CY78" i="83"/>
  <c r="DK78" i="83"/>
  <c r="EK78" i="83"/>
  <c r="EU78" i="83"/>
  <c r="CZ78" i="83"/>
  <c r="DL78" i="83"/>
  <c r="EL78" i="83"/>
  <c r="EV78" i="83"/>
  <c r="DA78" i="83"/>
  <c r="DB78" i="83"/>
  <c r="GO79" i="83"/>
  <c r="FL79" i="83"/>
  <c r="DG79" i="83"/>
  <c r="EG79" i="83"/>
  <c r="EQ79" i="83"/>
  <c r="FK79" i="83"/>
  <c r="CV79" i="83"/>
  <c r="DH79" i="83"/>
  <c r="EH79" i="83"/>
  <c r="ER79" i="83"/>
  <c r="CW79" i="83"/>
  <c r="FC79" i="83"/>
  <c r="DI79" i="83"/>
  <c r="EI79" i="83"/>
  <c r="ES79" i="83"/>
  <c r="CX79" i="83"/>
  <c r="DJ79" i="83"/>
  <c r="EJ79" i="83"/>
  <c r="ET79" i="83"/>
  <c r="CY79" i="83"/>
  <c r="DK79" i="83"/>
  <c r="EK79" i="83"/>
  <c r="EU79" i="83"/>
  <c r="CZ79" i="83"/>
  <c r="DL79" i="83"/>
  <c r="EL79" i="83"/>
  <c r="EV79" i="83"/>
  <c r="DA79" i="83"/>
  <c r="DB79" i="83"/>
  <c r="GO80" i="83"/>
  <c r="FL80" i="83"/>
  <c r="DG80" i="83"/>
  <c r="EG80" i="83"/>
  <c r="EQ80" i="83"/>
  <c r="FK80" i="83"/>
  <c r="CV80" i="83"/>
  <c r="DH80" i="83"/>
  <c r="EH80" i="83"/>
  <c r="ER80" i="83"/>
  <c r="CW80" i="83"/>
  <c r="FC80" i="83"/>
  <c r="DI80" i="83"/>
  <c r="EI80" i="83"/>
  <c r="ES80" i="83"/>
  <c r="CX80" i="83"/>
  <c r="DJ80" i="83"/>
  <c r="EJ80" i="83"/>
  <c r="ET80" i="83"/>
  <c r="CY80" i="83"/>
  <c r="DK80" i="83"/>
  <c r="EK80" i="83"/>
  <c r="EU80" i="83"/>
  <c r="CZ80" i="83"/>
  <c r="DL80" i="83"/>
  <c r="EL80" i="83"/>
  <c r="EV80" i="83"/>
  <c r="DA80" i="83"/>
  <c r="DB80" i="83"/>
  <c r="GO81" i="83"/>
  <c r="FL81" i="83"/>
  <c r="DG81" i="83"/>
  <c r="EG81" i="83"/>
  <c r="EQ81" i="83"/>
  <c r="FK81" i="83"/>
  <c r="CV81" i="83"/>
  <c r="DH81" i="83"/>
  <c r="EH81" i="83"/>
  <c r="ER81" i="83"/>
  <c r="CW81" i="83"/>
  <c r="FC81" i="83"/>
  <c r="DI81" i="83"/>
  <c r="EI81" i="83"/>
  <c r="ES81" i="83"/>
  <c r="CX81" i="83"/>
  <c r="DJ81" i="83"/>
  <c r="EJ81" i="83"/>
  <c r="ET81" i="83"/>
  <c r="CY81" i="83"/>
  <c r="DK81" i="83"/>
  <c r="EK81" i="83"/>
  <c r="EU81" i="83"/>
  <c r="CZ81" i="83"/>
  <c r="FF81" i="83"/>
  <c r="DL81" i="83"/>
  <c r="EL81" i="83"/>
  <c r="EV81" i="83"/>
  <c r="DA81" i="83"/>
  <c r="DB81" i="83"/>
  <c r="GO82" i="83"/>
  <c r="FL82" i="83"/>
  <c r="FA82" i="83"/>
  <c r="DG82" i="83"/>
  <c r="EG82" i="83"/>
  <c r="EQ82" i="83"/>
  <c r="FK82" i="83"/>
  <c r="CV82" i="83"/>
  <c r="DH82" i="83"/>
  <c r="EH82" i="83"/>
  <c r="ER82" i="83"/>
  <c r="CW82" i="83"/>
  <c r="FC82" i="83"/>
  <c r="DI82" i="83"/>
  <c r="EI82" i="83"/>
  <c r="ES82" i="83"/>
  <c r="CX82" i="83"/>
  <c r="DJ82" i="83"/>
  <c r="EJ82" i="83"/>
  <c r="ET82" i="83"/>
  <c r="CY82" i="83"/>
  <c r="DK82" i="83"/>
  <c r="EK82" i="83"/>
  <c r="EU82" i="83"/>
  <c r="CZ82" i="83"/>
  <c r="FF82" i="83"/>
  <c r="DL82" i="83"/>
  <c r="EL82" i="83"/>
  <c r="EV82" i="83"/>
  <c r="DA82" i="83"/>
  <c r="DB82" i="83"/>
  <c r="GO83" i="83"/>
  <c r="FL83" i="83"/>
  <c r="FA83" i="83"/>
  <c r="DG83" i="83"/>
  <c r="EG83" i="83"/>
  <c r="EQ83" i="83"/>
  <c r="FK83" i="83"/>
  <c r="CV83" i="83"/>
  <c r="DH83" i="83"/>
  <c r="EH83" i="83"/>
  <c r="ER83" i="83"/>
  <c r="CW83" i="83"/>
  <c r="FC83" i="83"/>
  <c r="M21" i="85"/>
  <c r="DI83" i="83"/>
  <c r="EI83" i="83"/>
  <c r="ES83" i="83"/>
  <c r="CX83" i="83"/>
  <c r="DJ83" i="83"/>
  <c r="EJ83" i="83"/>
  <c r="ET83" i="83"/>
  <c r="CY83" i="83"/>
  <c r="DK83" i="83"/>
  <c r="EK83" i="83"/>
  <c r="EU83" i="83"/>
  <c r="CZ83" i="83"/>
  <c r="FF83" i="83"/>
  <c r="DL83" i="83"/>
  <c r="EL83" i="83"/>
  <c r="EV83" i="83"/>
  <c r="DA83" i="83"/>
  <c r="DB83" i="83"/>
  <c r="GO84" i="83"/>
  <c r="FL84" i="83"/>
  <c r="FA84" i="83"/>
  <c r="DG84" i="83"/>
  <c r="EG84" i="83"/>
  <c r="EQ84" i="83"/>
  <c r="FK84" i="83"/>
  <c r="CV84" i="83"/>
  <c r="DH84" i="83"/>
  <c r="EH84" i="83"/>
  <c r="ER84" i="83"/>
  <c r="CW84" i="83"/>
  <c r="FC84" i="83"/>
  <c r="DI84" i="83"/>
  <c r="EI84" i="83"/>
  <c r="ES84" i="83"/>
  <c r="CX84" i="83"/>
  <c r="DJ84" i="83"/>
  <c r="EJ84" i="83"/>
  <c r="ET84" i="83"/>
  <c r="CY84" i="83"/>
  <c r="DK84" i="83"/>
  <c r="EK84" i="83"/>
  <c r="EU84" i="83"/>
  <c r="CZ84" i="83"/>
  <c r="FF84" i="83"/>
  <c r="DL84" i="83"/>
  <c r="EL84" i="83"/>
  <c r="EV84" i="83"/>
  <c r="DA84" i="83"/>
  <c r="DB84" i="83"/>
  <c r="GO85" i="83"/>
  <c r="FL85" i="83"/>
  <c r="FA85" i="83"/>
  <c r="DG85" i="83"/>
  <c r="EG85" i="83"/>
  <c r="EQ85" i="83"/>
  <c r="FK85" i="83"/>
  <c r="CV85" i="83"/>
  <c r="DH85" i="83"/>
  <c r="EH85" i="83"/>
  <c r="ER85" i="83"/>
  <c r="CW85" i="83"/>
  <c r="FC85" i="83"/>
  <c r="DI85" i="83"/>
  <c r="EI85" i="83"/>
  <c r="ES85" i="83"/>
  <c r="CX85" i="83"/>
  <c r="DJ85" i="83"/>
  <c r="EJ85" i="83"/>
  <c r="ET85" i="83"/>
  <c r="CY85" i="83"/>
  <c r="DK85" i="83"/>
  <c r="EK85" i="83"/>
  <c r="EU85" i="83"/>
  <c r="CZ85" i="83"/>
  <c r="FF85" i="83"/>
  <c r="DL85" i="83"/>
  <c r="EL85" i="83"/>
  <c r="EV85" i="83"/>
  <c r="DA85" i="83"/>
  <c r="DB85" i="83"/>
  <c r="GO86" i="83"/>
  <c r="FL86" i="83"/>
  <c r="FA86" i="83"/>
  <c r="DG86" i="83"/>
  <c r="EG86" i="83"/>
  <c r="EQ86" i="83"/>
  <c r="FK86" i="83"/>
  <c r="CV86" i="83"/>
  <c r="DH86" i="83"/>
  <c r="EH86" i="83"/>
  <c r="ER86" i="83"/>
  <c r="CW86" i="83"/>
  <c r="FC86" i="83"/>
  <c r="DI86" i="83"/>
  <c r="EI86" i="83"/>
  <c r="ES86" i="83"/>
  <c r="CX86" i="83"/>
  <c r="DJ86" i="83"/>
  <c r="EJ86" i="83"/>
  <c r="ET86" i="83"/>
  <c r="CY86" i="83"/>
  <c r="DK86" i="83"/>
  <c r="EK86" i="83"/>
  <c r="EU86" i="83"/>
  <c r="CZ86" i="83"/>
  <c r="FF86" i="83"/>
  <c r="DL86" i="83"/>
  <c r="EL86" i="83"/>
  <c r="EV86" i="83"/>
  <c r="DA86" i="83"/>
  <c r="DB86" i="83"/>
  <c r="GO87" i="83"/>
  <c r="FL87" i="83"/>
  <c r="FA87" i="83"/>
  <c r="DG87" i="83"/>
  <c r="EG87" i="83"/>
  <c r="EQ87" i="83"/>
  <c r="FK87" i="83"/>
  <c r="CV87" i="83"/>
  <c r="DH87" i="83"/>
  <c r="EH87" i="83"/>
  <c r="ER87" i="83"/>
  <c r="CW87" i="83"/>
  <c r="FC87" i="83"/>
  <c r="DI87" i="83"/>
  <c r="EI87" i="83"/>
  <c r="ES87" i="83"/>
  <c r="CX87" i="83"/>
  <c r="DJ87" i="83"/>
  <c r="EJ87" i="83"/>
  <c r="ET87" i="83"/>
  <c r="CY87" i="83"/>
  <c r="DK87" i="83"/>
  <c r="EK87" i="83"/>
  <c r="EU87" i="83"/>
  <c r="CZ87" i="83"/>
  <c r="FF87" i="83"/>
  <c r="DL87" i="83"/>
  <c r="EL87" i="83"/>
  <c r="EV87" i="83"/>
  <c r="DA87" i="83"/>
  <c r="DB87" i="83"/>
  <c r="GO88" i="83"/>
  <c r="FL88" i="83"/>
  <c r="FA88" i="83"/>
  <c r="DG88" i="83"/>
  <c r="EG88" i="83"/>
  <c r="EQ88" i="83"/>
  <c r="FK88" i="83"/>
  <c r="CV88" i="83"/>
  <c r="DH88" i="83"/>
  <c r="EH88" i="83"/>
  <c r="ER88" i="83"/>
  <c r="CW88" i="83"/>
  <c r="FC88" i="83"/>
  <c r="DI88" i="83"/>
  <c r="EI88" i="83"/>
  <c r="ES88" i="83"/>
  <c r="CX88" i="83"/>
  <c r="DJ88" i="83"/>
  <c r="EJ88" i="83"/>
  <c r="ET88" i="83"/>
  <c r="CY88" i="83"/>
  <c r="DK88" i="83"/>
  <c r="EK88" i="83"/>
  <c r="EU88" i="83"/>
  <c r="CZ88" i="83"/>
  <c r="FF88" i="83"/>
  <c r="DL88" i="83"/>
  <c r="EL88" i="83"/>
  <c r="EV88" i="83"/>
  <c r="DA88" i="83"/>
  <c r="DB88" i="83"/>
  <c r="GO89" i="83"/>
  <c r="FL89" i="83"/>
  <c r="FA89" i="83"/>
  <c r="S18" i="85"/>
  <c r="DG89" i="83"/>
  <c r="EG89" i="83"/>
  <c r="EQ89" i="83"/>
  <c r="FK89" i="83"/>
  <c r="CV89" i="83"/>
  <c r="DH89" i="83"/>
  <c r="EH89" i="83"/>
  <c r="ER89" i="83"/>
  <c r="CW89" i="83"/>
  <c r="FC89" i="83"/>
  <c r="S21" i="85"/>
  <c r="DI89" i="83"/>
  <c r="EI89" i="83"/>
  <c r="ES89" i="83"/>
  <c r="CX89" i="83"/>
  <c r="DJ89" i="83"/>
  <c r="EJ89" i="83"/>
  <c r="ET89" i="83"/>
  <c r="CY89" i="83"/>
  <c r="DK89" i="83"/>
  <c r="EK89" i="83"/>
  <c r="EU89" i="83"/>
  <c r="CZ89" i="83"/>
  <c r="FF89" i="83"/>
  <c r="DL89" i="83"/>
  <c r="EL89" i="83"/>
  <c r="EV89" i="83"/>
  <c r="DA89" i="83"/>
  <c r="DB89" i="83"/>
  <c r="GO90" i="83"/>
  <c r="FL90" i="83"/>
  <c r="FA90" i="83"/>
  <c r="DG90" i="83"/>
  <c r="EG90" i="83"/>
  <c r="EQ90" i="83"/>
  <c r="FK90" i="83"/>
  <c r="CV90" i="83"/>
  <c r="DH90" i="83"/>
  <c r="EH90" i="83"/>
  <c r="ER90" i="83"/>
  <c r="CW90" i="83"/>
  <c r="FC90" i="83"/>
  <c r="DI90" i="83"/>
  <c r="EI90" i="83"/>
  <c r="ES90" i="83"/>
  <c r="CX90" i="83"/>
  <c r="DJ90" i="83"/>
  <c r="EJ90" i="83"/>
  <c r="ET90" i="83"/>
  <c r="CY90" i="83"/>
  <c r="DK90" i="83"/>
  <c r="EK90" i="83"/>
  <c r="EU90" i="83"/>
  <c r="CZ90" i="83"/>
  <c r="FF90" i="83"/>
  <c r="DL90" i="83"/>
  <c r="EL90" i="83"/>
  <c r="EV90" i="83"/>
  <c r="DA90" i="83"/>
  <c r="DB90" i="83"/>
  <c r="GO91" i="83"/>
  <c r="FL91" i="83"/>
  <c r="FA91" i="83"/>
  <c r="DG91" i="83"/>
  <c r="EG91" i="83"/>
  <c r="EQ91" i="83"/>
  <c r="FK91" i="83"/>
  <c r="CV91" i="83"/>
  <c r="DH91" i="83"/>
  <c r="EH91" i="83"/>
  <c r="ER91" i="83"/>
  <c r="CW91" i="83"/>
  <c r="FC91" i="83"/>
  <c r="DI91" i="83"/>
  <c r="EI91" i="83"/>
  <c r="ES91" i="83"/>
  <c r="CX91" i="83"/>
  <c r="DJ91" i="83"/>
  <c r="EJ91" i="83"/>
  <c r="ET91" i="83"/>
  <c r="CY91" i="83"/>
  <c r="DK91" i="83"/>
  <c r="EK91" i="83"/>
  <c r="EU91" i="83"/>
  <c r="CZ91" i="83"/>
  <c r="FF91" i="83"/>
  <c r="DL91" i="83"/>
  <c r="EL91" i="83"/>
  <c r="EV91" i="83"/>
  <c r="DA91" i="83"/>
  <c r="DB91" i="83"/>
  <c r="GO92" i="83"/>
  <c r="FL92" i="83"/>
  <c r="FA92" i="83"/>
  <c r="DG92" i="83"/>
  <c r="EG92" i="83"/>
  <c r="EQ92" i="83"/>
  <c r="FK92" i="83"/>
  <c r="CV92" i="83"/>
  <c r="DH92" i="83"/>
  <c r="EH92" i="83"/>
  <c r="ER92" i="83"/>
  <c r="CW92" i="83"/>
  <c r="FC92" i="83"/>
  <c r="DI92" i="83"/>
  <c r="EI92" i="83"/>
  <c r="ES92" i="83"/>
  <c r="CX92" i="83"/>
  <c r="DJ92" i="83"/>
  <c r="EJ92" i="83"/>
  <c r="ET92" i="83"/>
  <c r="CY92" i="83"/>
  <c r="DK92" i="83"/>
  <c r="EK92" i="83"/>
  <c r="EU92" i="83"/>
  <c r="CZ92" i="83"/>
  <c r="FF92" i="83"/>
  <c r="V66" i="85"/>
  <c r="DL92" i="83"/>
  <c r="EL92" i="83"/>
  <c r="EV92" i="83"/>
  <c r="DA92" i="83"/>
  <c r="DB92" i="83"/>
  <c r="GO93" i="83"/>
  <c r="FL93" i="83"/>
  <c r="FA93" i="83"/>
  <c r="DG93" i="83"/>
  <c r="EG93" i="83"/>
  <c r="EQ93" i="83"/>
  <c r="FK93" i="83"/>
  <c r="CV93" i="83"/>
  <c r="DH93" i="83"/>
  <c r="EH93" i="83"/>
  <c r="ER93" i="83"/>
  <c r="CW93" i="83"/>
  <c r="FC93" i="83"/>
  <c r="W21" i="85"/>
  <c r="DI93" i="83"/>
  <c r="EI93" i="83"/>
  <c r="ES93" i="83"/>
  <c r="CX93" i="83"/>
  <c r="DJ93" i="83"/>
  <c r="EJ93" i="83"/>
  <c r="ET93" i="83"/>
  <c r="CY93" i="83"/>
  <c r="DK93" i="83"/>
  <c r="EK93" i="83"/>
  <c r="EU93" i="83"/>
  <c r="CZ93" i="83"/>
  <c r="FF93" i="83"/>
  <c r="DL93" i="83"/>
  <c r="EL93" i="83"/>
  <c r="EV93" i="83"/>
  <c r="DA93" i="83"/>
  <c r="DB93" i="83"/>
  <c r="GO94" i="83"/>
  <c r="FL94" i="83"/>
  <c r="FA94" i="83"/>
  <c r="DG94" i="83"/>
  <c r="EG94" i="83"/>
  <c r="EQ94" i="83"/>
  <c r="FK94" i="83"/>
  <c r="CV94" i="83"/>
  <c r="DH94" i="83"/>
  <c r="EH94" i="83"/>
  <c r="ER94" i="83"/>
  <c r="CW94" i="83"/>
  <c r="FC94" i="83"/>
  <c r="DI94" i="83"/>
  <c r="EI94" i="83"/>
  <c r="ES94" i="83"/>
  <c r="CX94" i="83"/>
  <c r="DJ94" i="83"/>
  <c r="EJ94" i="83"/>
  <c r="ET94" i="83"/>
  <c r="CY94" i="83"/>
  <c r="DK94" i="83"/>
  <c r="EK94" i="83"/>
  <c r="EU94" i="83"/>
  <c r="CZ94" i="83"/>
  <c r="FF94" i="83"/>
  <c r="DL94" i="83"/>
  <c r="EL94" i="83"/>
  <c r="EV94" i="83"/>
  <c r="DA94" i="83"/>
  <c r="DB94" i="83"/>
  <c r="GO95" i="83"/>
  <c r="FL95" i="83"/>
  <c r="FA95" i="83"/>
  <c r="DG95" i="83"/>
  <c r="EG95" i="83"/>
  <c r="EQ95" i="83"/>
  <c r="FK95" i="83"/>
  <c r="CV95" i="83"/>
  <c r="DH95" i="83"/>
  <c r="EH95" i="83"/>
  <c r="ER95" i="83"/>
  <c r="CW95" i="83"/>
  <c r="FC95" i="83"/>
  <c r="DI95" i="83"/>
  <c r="EI95" i="83"/>
  <c r="ES95" i="83"/>
  <c r="CX95" i="83"/>
  <c r="DJ95" i="83"/>
  <c r="EJ95" i="83"/>
  <c r="ET95" i="83"/>
  <c r="CY95" i="83"/>
  <c r="DK95" i="83"/>
  <c r="EK95" i="83"/>
  <c r="EU95" i="83"/>
  <c r="CZ95" i="83"/>
  <c r="FF95" i="83"/>
  <c r="DL95" i="83"/>
  <c r="EL95" i="83"/>
  <c r="EV95" i="83"/>
  <c r="DA95" i="83"/>
  <c r="DB95" i="83"/>
  <c r="GO96" i="83"/>
  <c r="FL96" i="83"/>
  <c r="FA96" i="83"/>
  <c r="Z18" i="85"/>
  <c r="DG96" i="83"/>
  <c r="EG96" i="83"/>
  <c r="EQ96" i="83"/>
  <c r="FK96" i="83"/>
  <c r="CV96" i="83"/>
  <c r="DH96" i="83"/>
  <c r="EH96" i="83"/>
  <c r="ER96" i="83"/>
  <c r="CW96" i="83"/>
  <c r="FC96" i="83"/>
  <c r="DI96" i="83"/>
  <c r="EI96" i="83"/>
  <c r="ES96" i="83"/>
  <c r="CX96" i="83"/>
  <c r="DJ96" i="83"/>
  <c r="EJ96" i="83"/>
  <c r="ET96" i="83"/>
  <c r="CY96" i="83"/>
  <c r="DK96" i="83"/>
  <c r="EK96" i="83"/>
  <c r="EU96" i="83"/>
  <c r="CZ96" i="83"/>
  <c r="FF96" i="83"/>
  <c r="DL96" i="83"/>
  <c r="EL96" i="83"/>
  <c r="EV96" i="83"/>
  <c r="DA96" i="83"/>
  <c r="DB96" i="83"/>
  <c r="GO97" i="83"/>
  <c r="FL97" i="83"/>
  <c r="FA97" i="83"/>
  <c r="DG97" i="83"/>
  <c r="EG97" i="83"/>
  <c r="EQ97" i="83"/>
  <c r="FK97" i="83"/>
  <c r="CV97" i="83"/>
  <c r="DH97" i="83"/>
  <c r="EH97" i="83"/>
  <c r="ER97" i="83"/>
  <c r="CW97" i="83"/>
  <c r="FC97" i="83"/>
  <c r="AA21" i="85"/>
  <c r="DI97" i="83"/>
  <c r="EI97" i="83"/>
  <c r="ES97" i="83"/>
  <c r="CX97" i="83"/>
  <c r="DJ97" i="83"/>
  <c r="EJ97" i="83"/>
  <c r="ET97" i="83"/>
  <c r="CY97" i="83"/>
  <c r="DK97" i="83"/>
  <c r="EK97" i="83"/>
  <c r="EU97" i="83"/>
  <c r="CZ97" i="83"/>
  <c r="FF97" i="83"/>
  <c r="DL97" i="83"/>
  <c r="EL97" i="83"/>
  <c r="EV97" i="83"/>
  <c r="DA97" i="83"/>
  <c r="DB97" i="83"/>
  <c r="GO98" i="83"/>
  <c r="FL98" i="83"/>
  <c r="FA98" i="83"/>
  <c r="DG98" i="83"/>
  <c r="EG98" i="83"/>
  <c r="EQ98" i="83"/>
  <c r="FK98" i="83"/>
  <c r="CV98" i="83"/>
  <c r="DH98" i="83"/>
  <c r="EH98" i="83"/>
  <c r="ER98" i="83"/>
  <c r="CW98" i="83"/>
  <c r="FC98" i="83"/>
  <c r="DI98" i="83"/>
  <c r="EI98" i="83"/>
  <c r="ES98" i="83"/>
  <c r="CX98" i="83"/>
  <c r="DJ98" i="83"/>
  <c r="EJ98" i="83"/>
  <c r="ET98" i="83"/>
  <c r="CY98" i="83"/>
  <c r="DK98" i="83"/>
  <c r="EK98" i="83"/>
  <c r="EU98" i="83"/>
  <c r="CZ98" i="83"/>
  <c r="FF98" i="83"/>
  <c r="DL98" i="83"/>
  <c r="EL98" i="83"/>
  <c r="EV98" i="83"/>
  <c r="DA98" i="83"/>
  <c r="DB98" i="83"/>
  <c r="GO99" i="83"/>
  <c r="FL99" i="83"/>
  <c r="FA99" i="83"/>
  <c r="EG101" i="83"/>
  <c r="EG99" i="83"/>
  <c r="EQ99" i="83"/>
  <c r="FK99" i="83"/>
  <c r="CV99" i="83"/>
  <c r="EH101" i="83"/>
  <c r="EH99" i="83"/>
  <c r="ER99" i="83"/>
  <c r="CW99" i="83"/>
  <c r="FC99" i="83"/>
  <c r="EI101" i="83"/>
  <c r="EI99" i="83"/>
  <c r="ES99" i="83"/>
  <c r="CX99" i="83"/>
  <c r="EJ101" i="83"/>
  <c r="EJ99" i="83"/>
  <c r="ET99" i="83"/>
  <c r="CY99" i="83"/>
  <c r="EK101" i="83"/>
  <c r="EK99" i="83"/>
  <c r="EU99" i="83"/>
  <c r="CZ99" i="83"/>
  <c r="FF99" i="83"/>
  <c r="EL101" i="83"/>
  <c r="EL99" i="83"/>
  <c r="EV99" i="83"/>
  <c r="DA99" i="83"/>
  <c r="DB99" i="83"/>
  <c r="GO100" i="83"/>
  <c r="FL100" i="83"/>
  <c r="FA100" i="83"/>
  <c r="EG100" i="83"/>
  <c r="EQ100" i="83"/>
  <c r="FK100" i="83"/>
  <c r="CV100" i="83"/>
  <c r="EH100" i="83"/>
  <c r="ER100" i="83"/>
  <c r="CW100" i="83"/>
  <c r="FC100" i="83"/>
  <c r="EI100" i="83"/>
  <c r="ES100" i="83"/>
  <c r="CX100" i="83"/>
  <c r="EJ100" i="83"/>
  <c r="ET100" i="83"/>
  <c r="CY100" i="83"/>
  <c r="EK100" i="83"/>
  <c r="EU100" i="83"/>
  <c r="CZ100" i="83"/>
  <c r="FF100" i="83"/>
  <c r="EL100" i="83"/>
  <c r="EV100" i="83"/>
  <c r="DA100" i="83"/>
  <c r="DB100" i="83"/>
  <c r="GO101" i="83"/>
  <c r="FL101" i="83"/>
  <c r="FK101" i="83"/>
  <c r="CV101" i="83"/>
  <c r="CW101" i="83"/>
  <c r="CX101" i="83"/>
  <c r="CY101" i="83"/>
  <c r="CZ101" i="83"/>
  <c r="DA101" i="83"/>
  <c r="DB101" i="83"/>
  <c r="GO102" i="83"/>
  <c r="FL102" i="83"/>
  <c r="FK102" i="83"/>
  <c r="CV102" i="83"/>
  <c r="CW102" i="83"/>
  <c r="CX102" i="83"/>
  <c r="CY102" i="83"/>
  <c r="CZ102" i="83"/>
  <c r="DA102" i="83"/>
  <c r="DB102" i="83"/>
  <c r="GO103" i="83"/>
  <c r="FL103" i="83"/>
  <c r="FK103" i="83"/>
  <c r="CV103" i="83"/>
  <c r="CW103" i="83"/>
  <c r="CX103" i="83"/>
  <c r="CY103" i="83"/>
  <c r="CZ103" i="83"/>
  <c r="DA103" i="83"/>
  <c r="DB103" i="83"/>
  <c r="GO104" i="83"/>
  <c r="FL104" i="83"/>
  <c r="FK104" i="83"/>
  <c r="CV104" i="83"/>
  <c r="CW104" i="83"/>
  <c r="CX104" i="83"/>
  <c r="CY104" i="83"/>
  <c r="CZ104" i="83"/>
  <c r="DA104" i="83"/>
  <c r="DB104" i="83"/>
  <c r="GO105" i="83"/>
  <c r="FL105" i="83"/>
  <c r="FK105" i="83"/>
  <c r="CV105" i="83"/>
  <c r="CW105" i="83"/>
  <c r="CX105" i="83"/>
  <c r="CY105" i="83"/>
  <c r="CZ105" i="83"/>
  <c r="DA105" i="83"/>
  <c r="DB105" i="83"/>
  <c r="GO106" i="83"/>
  <c r="FL106" i="83"/>
  <c r="FK106" i="83"/>
  <c r="CV106" i="83"/>
  <c r="CW106" i="83"/>
  <c r="CX106" i="83"/>
  <c r="CY106" i="83"/>
  <c r="CZ106" i="83"/>
  <c r="DA106" i="83"/>
  <c r="DB106" i="83"/>
  <c r="GO107" i="83"/>
  <c r="FL107" i="83"/>
  <c r="FK107" i="83"/>
  <c r="CV107" i="83"/>
  <c r="CW107" i="83"/>
  <c r="CX107" i="83"/>
  <c r="CY107" i="83"/>
  <c r="CZ107" i="83"/>
  <c r="DA107" i="83"/>
  <c r="DB107" i="83"/>
  <c r="GO108" i="83"/>
  <c r="FL108" i="83"/>
  <c r="FK108" i="83"/>
  <c r="CV108" i="83"/>
  <c r="CW108" i="83"/>
  <c r="CX108" i="83"/>
  <c r="CY108" i="83"/>
  <c r="CZ108" i="83"/>
  <c r="DA108" i="83"/>
  <c r="DB108" i="83"/>
  <c r="GO74" i="83"/>
  <c r="FL74" i="83"/>
  <c r="EQ74" i="83"/>
  <c r="FK74" i="83"/>
  <c r="CV74" i="83"/>
  <c r="EZ74" i="83"/>
  <c r="FB74" i="83"/>
  <c r="ER74" i="83"/>
  <c r="CW74" i="83"/>
  <c r="ES74" i="83"/>
  <c r="CX74" i="83"/>
  <c r="FD74" i="83"/>
  <c r="ET74" i="83"/>
  <c r="CY74" i="83"/>
  <c r="FE74" i="83"/>
  <c r="EU74" i="83"/>
  <c r="CZ74" i="83"/>
  <c r="EV74" i="83"/>
  <c r="DA74" i="83"/>
  <c r="DB74" i="83"/>
  <c r="I21" i="83" a="1"/>
  <c r="I22" i="83"/>
  <c r="L22" i="83"/>
  <c r="M22" i="83"/>
  <c r="D21" i="83" a="1"/>
  <c r="D22" i="83"/>
  <c r="P22" i="83"/>
  <c r="I23" i="83"/>
  <c r="L23" i="83"/>
  <c r="M23" i="83"/>
  <c r="D23" i="83"/>
  <c r="P23" i="83"/>
  <c r="I24" i="83"/>
  <c r="L24" i="83"/>
  <c r="M24" i="83"/>
  <c r="D24" i="83"/>
  <c r="P24" i="83"/>
  <c r="I25" i="83"/>
  <c r="L40" i="83" a="1"/>
  <c r="L40" i="83"/>
  <c r="I39" i="83"/>
  <c r="I40" i="83"/>
  <c r="L39" i="83"/>
  <c r="I38" i="83"/>
  <c r="L38" i="83"/>
  <c r="I37" i="83"/>
  <c r="L37" i="83"/>
  <c r="I36" i="83"/>
  <c r="L36" i="83"/>
  <c r="I35" i="83"/>
  <c r="L35" i="83"/>
  <c r="I34" i="83"/>
  <c r="L34" i="83"/>
  <c r="I33" i="83"/>
  <c r="L33" i="83"/>
  <c r="I32" i="83"/>
  <c r="L32" i="83"/>
  <c r="I31" i="83"/>
  <c r="L31" i="83"/>
  <c r="I30" i="83"/>
  <c r="L30" i="83"/>
  <c r="I29" i="83"/>
  <c r="L29" i="83"/>
  <c r="I28" i="83"/>
  <c r="L28" i="83"/>
  <c r="I27" i="83"/>
  <c r="L27" i="83"/>
  <c r="I26" i="83"/>
  <c r="L26" i="83"/>
  <c r="L25" i="83"/>
  <c r="M25" i="83"/>
  <c r="D25" i="83"/>
  <c r="P25" i="83"/>
  <c r="M26" i="83"/>
  <c r="D26" i="83"/>
  <c r="P26" i="83"/>
  <c r="M27" i="83"/>
  <c r="D27" i="83"/>
  <c r="P27" i="83"/>
  <c r="M28" i="83"/>
  <c r="D28" i="83"/>
  <c r="P28" i="83"/>
  <c r="M29" i="83"/>
  <c r="D29" i="83"/>
  <c r="P29" i="83"/>
  <c r="M30" i="83"/>
  <c r="D30" i="83"/>
  <c r="P30" i="83"/>
  <c r="M31" i="83"/>
  <c r="D31" i="83"/>
  <c r="P31" i="83"/>
  <c r="M32" i="83"/>
  <c r="D32" i="83"/>
  <c r="P32" i="83"/>
  <c r="M33" i="83"/>
  <c r="D33" i="83"/>
  <c r="P33" i="83"/>
  <c r="M34" i="83"/>
  <c r="D34" i="83"/>
  <c r="P34" i="83"/>
  <c r="M35" i="83"/>
  <c r="D35" i="83"/>
  <c r="P35" i="83"/>
  <c r="M36" i="83"/>
  <c r="D36" i="83"/>
  <c r="P36" i="83"/>
  <c r="M37" i="83"/>
  <c r="D37" i="83"/>
  <c r="P37" i="83"/>
  <c r="M38" i="83"/>
  <c r="D38" i="83"/>
  <c r="P38" i="83"/>
  <c r="M39" i="83"/>
  <c r="D39" i="83"/>
  <c r="P39" i="83"/>
  <c r="M40" i="83"/>
  <c r="D40" i="83"/>
  <c r="P40" i="83"/>
  <c r="I41" i="83"/>
  <c r="L41" i="83"/>
  <c r="M41" i="83"/>
  <c r="D41" i="83"/>
  <c r="P41" i="83"/>
  <c r="I42" i="83"/>
  <c r="L42" i="83"/>
  <c r="M42" i="83"/>
  <c r="D42" i="83"/>
  <c r="P42" i="83"/>
  <c r="I43" i="83"/>
  <c r="L43" i="83"/>
  <c r="M43" i="83"/>
  <c r="D43" i="83"/>
  <c r="P43" i="83"/>
  <c r="I44" i="83"/>
  <c r="L44" i="83"/>
  <c r="M44" i="83"/>
  <c r="D44" i="83"/>
  <c r="P44" i="83"/>
  <c r="I45" i="83"/>
  <c r="L45" i="83"/>
  <c r="M45" i="83"/>
  <c r="D45" i="83"/>
  <c r="P45" i="83"/>
  <c r="I46" i="83"/>
  <c r="L46" i="83"/>
  <c r="M46" i="83"/>
  <c r="D46" i="83"/>
  <c r="P46" i="83"/>
  <c r="I47" i="83"/>
  <c r="L47" i="83"/>
  <c r="M47" i="83"/>
  <c r="D47" i="83"/>
  <c r="P47" i="83"/>
  <c r="I48" i="83"/>
  <c r="L48" i="83"/>
  <c r="M48" i="83"/>
  <c r="D48" i="83"/>
  <c r="P48" i="83"/>
  <c r="I49" i="83"/>
  <c r="L49" i="83"/>
  <c r="M49" i="83"/>
  <c r="D49" i="83"/>
  <c r="P49" i="83"/>
  <c r="I50" i="83"/>
  <c r="L50" i="83"/>
  <c r="M50" i="83"/>
  <c r="D50" i="83"/>
  <c r="P50" i="83"/>
  <c r="I51" i="83"/>
  <c r="L51" i="83"/>
  <c r="M51" i="83"/>
  <c r="D51" i="83"/>
  <c r="P51" i="83"/>
  <c r="I52" i="83"/>
  <c r="L52" i="83"/>
  <c r="M52" i="83"/>
  <c r="D52" i="83"/>
  <c r="P52" i="83"/>
  <c r="I53" i="83"/>
  <c r="L53" i="83"/>
  <c r="M53" i="83"/>
  <c r="D53" i="83"/>
  <c r="P53" i="83"/>
  <c r="I54" i="83"/>
  <c r="L54" i="83"/>
  <c r="M54" i="83"/>
  <c r="D54" i="83"/>
  <c r="P54" i="83"/>
  <c r="I55" i="83"/>
  <c r="L55" i="83"/>
  <c r="M55" i="83"/>
  <c r="D55" i="83"/>
  <c r="P55" i="83"/>
  <c r="I56" i="83"/>
  <c r="L56" i="83"/>
  <c r="M56" i="83"/>
  <c r="D56" i="83"/>
  <c r="P56" i="83"/>
  <c r="I57" i="83"/>
  <c r="L57" i="83"/>
  <c r="M57" i="83"/>
  <c r="D57" i="83"/>
  <c r="P57" i="83"/>
  <c r="I58" i="83"/>
  <c r="L58" i="83"/>
  <c r="M58" i="83"/>
  <c r="D58" i="83"/>
  <c r="P58" i="83"/>
  <c r="I59" i="83"/>
  <c r="L59" i="83"/>
  <c r="M59" i="83"/>
  <c r="D59" i="83"/>
  <c r="P59" i="83"/>
  <c r="I60" i="83"/>
  <c r="L60" i="83"/>
  <c r="M60" i="83"/>
  <c r="D60" i="83"/>
  <c r="P60" i="83"/>
  <c r="I61" i="83"/>
  <c r="L61" i="83"/>
  <c r="M61" i="83"/>
  <c r="D61" i="83"/>
  <c r="P61" i="83"/>
  <c r="I62" i="83"/>
  <c r="L62" i="83"/>
  <c r="M62" i="83"/>
  <c r="D62" i="83"/>
  <c r="P62" i="83"/>
  <c r="I63" i="83"/>
  <c r="L63" i="83"/>
  <c r="M63" i="83"/>
  <c r="D63" i="83"/>
  <c r="P63" i="83"/>
  <c r="I64" i="83"/>
  <c r="L64" i="83"/>
  <c r="M64" i="83"/>
  <c r="D64" i="83"/>
  <c r="P64" i="83"/>
  <c r="I65" i="83"/>
  <c r="L65" i="83"/>
  <c r="M65" i="83"/>
  <c r="D65" i="83"/>
  <c r="P65" i="83"/>
  <c r="I66" i="83"/>
  <c r="L66" i="83"/>
  <c r="M66" i="83"/>
  <c r="D66" i="83"/>
  <c r="P66" i="83"/>
  <c r="I67" i="83"/>
  <c r="L67" i="83"/>
  <c r="M67" i="83"/>
  <c r="D67" i="83"/>
  <c r="P67" i="83"/>
  <c r="I68" i="83"/>
  <c r="L68" i="83"/>
  <c r="M68" i="83"/>
  <c r="D68" i="83"/>
  <c r="P68" i="83"/>
  <c r="I69" i="83"/>
  <c r="L69" i="83"/>
  <c r="M69" i="83"/>
  <c r="D69" i="83"/>
  <c r="P69" i="83"/>
  <c r="I70" i="83"/>
  <c r="L70" i="83"/>
  <c r="M70" i="83"/>
  <c r="D70" i="83"/>
  <c r="P70" i="83"/>
  <c r="I71" i="83"/>
  <c r="L71" i="83"/>
  <c r="M71" i="83"/>
  <c r="D71" i="83"/>
  <c r="P71" i="83"/>
  <c r="I72" i="83"/>
  <c r="L72" i="83"/>
  <c r="M72" i="83"/>
  <c r="D72" i="83"/>
  <c r="P72" i="83"/>
  <c r="I73" i="83"/>
  <c r="L73" i="83"/>
  <c r="M73" i="83"/>
  <c r="D73" i="83"/>
  <c r="P73" i="83"/>
  <c r="I74" i="83"/>
  <c r="L74" i="83"/>
  <c r="M74" i="83"/>
  <c r="D74" i="83"/>
  <c r="P74" i="83"/>
  <c r="I75" i="83"/>
  <c r="L75" i="83"/>
  <c r="M75" i="83"/>
  <c r="D75" i="83"/>
  <c r="P75" i="83"/>
  <c r="I76" i="83"/>
  <c r="L76" i="83"/>
  <c r="M76" i="83"/>
  <c r="D76" i="83"/>
  <c r="P76" i="83"/>
  <c r="I77" i="83"/>
  <c r="L77" i="83"/>
  <c r="M77" i="83"/>
  <c r="D77" i="83"/>
  <c r="P77" i="83"/>
  <c r="I78" i="83"/>
  <c r="L78" i="83"/>
  <c r="M78" i="83"/>
  <c r="D78" i="83"/>
  <c r="P78" i="83"/>
  <c r="I79" i="83"/>
  <c r="L79" i="83"/>
  <c r="M79" i="83"/>
  <c r="D79" i="83"/>
  <c r="P79" i="83"/>
  <c r="I80" i="83"/>
  <c r="L80" i="83"/>
  <c r="M80" i="83"/>
  <c r="D80" i="83"/>
  <c r="P80" i="83"/>
  <c r="I81" i="83"/>
  <c r="L81" i="83"/>
  <c r="M81" i="83"/>
  <c r="D81" i="83"/>
  <c r="P81" i="83"/>
  <c r="I82" i="83"/>
  <c r="L82" i="83"/>
  <c r="M82" i="83"/>
  <c r="D82" i="83"/>
  <c r="P82" i="83"/>
  <c r="I83" i="83"/>
  <c r="L83" i="83"/>
  <c r="M83" i="83"/>
  <c r="D83" i="83"/>
  <c r="P83" i="83"/>
  <c r="I84" i="83"/>
  <c r="L84" i="83"/>
  <c r="M84" i="83"/>
  <c r="D84" i="83"/>
  <c r="P84" i="83"/>
  <c r="I85" i="83"/>
  <c r="L85" i="83"/>
  <c r="M85" i="83"/>
  <c r="D85" i="83"/>
  <c r="P85" i="83"/>
  <c r="I86" i="83"/>
  <c r="L86" i="83"/>
  <c r="M86" i="83"/>
  <c r="D86" i="83"/>
  <c r="P86" i="83"/>
  <c r="I87" i="83"/>
  <c r="L87" i="83"/>
  <c r="M87" i="83"/>
  <c r="D87" i="83"/>
  <c r="P87" i="83"/>
  <c r="I88" i="83"/>
  <c r="L88" i="83"/>
  <c r="M88" i="83"/>
  <c r="D88" i="83"/>
  <c r="P88" i="83"/>
  <c r="I89" i="83"/>
  <c r="L89" i="83"/>
  <c r="M89" i="83"/>
  <c r="D89" i="83"/>
  <c r="P89" i="83"/>
  <c r="I90" i="83"/>
  <c r="L90" i="83"/>
  <c r="M90" i="83"/>
  <c r="D90" i="83"/>
  <c r="P90" i="83"/>
  <c r="I91" i="83"/>
  <c r="L91" i="83"/>
  <c r="M91" i="83"/>
  <c r="D91" i="83"/>
  <c r="P91" i="83"/>
  <c r="I92" i="83"/>
  <c r="L92" i="83"/>
  <c r="M92" i="83"/>
  <c r="D92" i="83"/>
  <c r="P92" i="83"/>
  <c r="I93" i="83"/>
  <c r="L93" i="83"/>
  <c r="M93" i="83"/>
  <c r="D93" i="83"/>
  <c r="P93" i="83"/>
  <c r="I94" i="83"/>
  <c r="L94" i="83"/>
  <c r="M94" i="83"/>
  <c r="D94" i="83"/>
  <c r="P94" i="83"/>
  <c r="I95" i="83"/>
  <c r="L95" i="83"/>
  <c r="M95" i="83"/>
  <c r="D95" i="83"/>
  <c r="P95" i="83"/>
  <c r="I96" i="83"/>
  <c r="L96" i="83"/>
  <c r="M96" i="83"/>
  <c r="D96" i="83"/>
  <c r="P96" i="83"/>
  <c r="I97" i="83"/>
  <c r="L97" i="83"/>
  <c r="M97" i="83"/>
  <c r="D97" i="83"/>
  <c r="P97" i="83"/>
  <c r="I98" i="83"/>
  <c r="L98" i="83"/>
  <c r="M98" i="83"/>
  <c r="D98" i="83"/>
  <c r="P98" i="83"/>
  <c r="I99" i="83"/>
  <c r="L99" i="83"/>
  <c r="M99" i="83"/>
  <c r="D99" i="83"/>
  <c r="P99" i="83"/>
  <c r="I100" i="83"/>
  <c r="L100" i="83"/>
  <c r="M100" i="83"/>
  <c r="D100" i="83"/>
  <c r="P100" i="83"/>
  <c r="I101" i="83"/>
  <c r="L101" i="83"/>
  <c r="M101" i="83"/>
  <c r="D101" i="83"/>
  <c r="P101" i="83"/>
  <c r="I102" i="83"/>
  <c r="L102" i="83"/>
  <c r="M102" i="83"/>
  <c r="D102" i="83"/>
  <c r="P102" i="83"/>
  <c r="I103" i="83"/>
  <c r="L103" i="83"/>
  <c r="M103" i="83"/>
  <c r="D103" i="83"/>
  <c r="P103" i="83"/>
  <c r="I104" i="83"/>
  <c r="L104" i="83"/>
  <c r="M104" i="83"/>
  <c r="D104" i="83"/>
  <c r="P104" i="83"/>
  <c r="I105" i="83"/>
  <c r="L105" i="83"/>
  <c r="M105" i="83"/>
  <c r="D105" i="83"/>
  <c r="P105" i="83"/>
  <c r="I106" i="83"/>
  <c r="L106" i="83"/>
  <c r="M106" i="83"/>
  <c r="D106" i="83"/>
  <c r="P106" i="83"/>
  <c r="CK29" i="10"/>
  <c r="I107" i="83"/>
  <c r="L107" i="83"/>
  <c r="M107" i="83"/>
  <c r="D107" i="83"/>
  <c r="P107" i="83"/>
  <c r="CL29" i="10"/>
  <c r="I108" i="83"/>
  <c r="L108" i="83"/>
  <c r="M108" i="83"/>
  <c r="D108" i="83"/>
  <c r="P108" i="83"/>
  <c r="I21" i="83"/>
  <c r="L21" i="83"/>
  <c r="M21" i="83"/>
  <c r="D21" i="83"/>
  <c r="P21" i="83"/>
  <c r="AI74" i="83"/>
  <c r="AJ74" i="83"/>
  <c r="EP74" i="83" a="1"/>
  <c r="EP75" i="83"/>
  <c r="EW75" i="83"/>
  <c r="EX75" i="83"/>
  <c r="FG75" i="83"/>
  <c r="FH75" i="83"/>
  <c r="DC75" i="83"/>
  <c r="EP76" i="83"/>
  <c r="EW76" i="83"/>
  <c r="EX76" i="83"/>
  <c r="FG76" i="83"/>
  <c r="FH76" i="83"/>
  <c r="DC76" i="83"/>
  <c r="EP77" i="83"/>
  <c r="EW77" i="83"/>
  <c r="EX77" i="83"/>
  <c r="FG77" i="83"/>
  <c r="FH77" i="83"/>
  <c r="DC77" i="83"/>
  <c r="EP78" i="83"/>
  <c r="EW78" i="83"/>
  <c r="EX78" i="83"/>
  <c r="FG78" i="83"/>
  <c r="FH78" i="83"/>
  <c r="DC78" i="83"/>
  <c r="EP79" i="83"/>
  <c r="EW79" i="83"/>
  <c r="EX79" i="83"/>
  <c r="FG79" i="83"/>
  <c r="FH79" i="83"/>
  <c r="DC79" i="83"/>
  <c r="EP80" i="83"/>
  <c r="EW80" i="83"/>
  <c r="EX80" i="83"/>
  <c r="FG80" i="83"/>
  <c r="FH80" i="83"/>
  <c r="DC80" i="83"/>
  <c r="EP81" i="83"/>
  <c r="EW81" i="83"/>
  <c r="EX81" i="83"/>
  <c r="FG81" i="83"/>
  <c r="FH81" i="83"/>
  <c r="DC81" i="83"/>
  <c r="EP82" i="83"/>
  <c r="EW82" i="83"/>
  <c r="EX82" i="83"/>
  <c r="FG82" i="83"/>
  <c r="FH82" i="83"/>
  <c r="DC82" i="83"/>
  <c r="EP83" i="83"/>
  <c r="EW83" i="83"/>
  <c r="EX83" i="83"/>
  <c r="FG83" i="83"/>
  <c r="FH83" i="83"/>
  <c r="DC83" i="83"/>
  <c r="EP84" i="83"/>
  <c r="EW84" i="83"/>
  <c r="EX84" i="83"/>
  <c r="FG84" i="83"/>
  <c r="FH84" i="83"/>
  <c r="DC84" i="83"/>
  <c r="EP85" i="83"/>
  <c r="EW85" i="83"/>
  <c r="EX85" i="83"/>
  <c r="FG85" i="83"/>
  <c r="FH85" i="83"/>
  <c r="DC85" i="83"/>
  <c r="EP86" i="83"/>
  <c r="EW86" i="83"/>
  <c r="EX86" i="83"/>
  <c r="FG86" i="83"/>
  <c r="FH86" i="83"/>
  <c r="DC86" i="83"/>
  <c r="EP87" i="83"/>
  <c r="EW87" i="83"/>
  <c r="EX87" i="83"/>
  <c r="FG87" i="83"/>
  <c r="FH87" i="83"/>
  <c r="DC87" i="83"/>
  <c r="EP88" i="83"/>
  <c r="EW88" i="83"/>
  <c r="EX88" i="83"/>
  <c r="FG88" i="83"/>
  <c r="FH88" i="83"/>
  <c r="DC88" i="83"/>
  <c r="EP89" i="83"/>
  <c r="EW89" i="83"/>
  <c r="EX89" i="83"/>
  <c r="FG89" i="83"/>
  <c r="FH89" i="83"/>
  <c r="DC89" i="83"/>
  <c r="EP90" i="83"/>
  <c r="EW90" i="83"/>
  <c r="EX90" i="83"/>
  <c r="FG90" i="83"/>
  <c r="FH90" i="83"/>
  <c r="DC90" i="83"/>
  <c r="EP91" i="83"/>
  <c r="EW91" i="83"/>
  <c r="EX91" i="83"/>
  <c r="FG91" i="83"/>
  <c r="FH91" i="83"/>
  <c r="DC91" i="83"/>
  <c r="EP92" i="83"/>
  <c r="EW92" i="83"/>
  <c r="EX92" i="83"/>
  <c r="FG92" i="83"/>
  <c r="FH92" i="83"/>
  <c r="DC92" i="83"/>
  <c r="EP93" i="83"/>
  <c r="EW93" i="83"/>
  <c r="EX93" i="83"/>
  <c r="FG93" i="83"/>
  <c r="FH93" i="83"/>
  <c r="DC93" i="83"/>
  <c r="EP94" i="83"/>
  <c r="EW94" i="83"/>
  <c r="EX94" i="83"/>
  <c r="FG94" i="83"/>
  <c r="FH94" i="83"/>
  <c r="DC94" i="83"/>
  <c r="EP95" i="83"/>
  <c r="EW95" i="83"/>
  <c r="EX95" i="83"/>
  <c r="FG95" i="83"/>
  <c r="FH95" i="83"/>
  <c r="DC95" i="83"/>
  <c r="EP96" i="83"/>
  <c r="EW96" i="83"/>
  <c r="EX96" i="83"/>
  <c r="FG96" i="83"/>
  <c r="FH96" i="83"/>
  <c r="DC96" i="83"/>
  <c r="EP97" i="83"/>
  <c r="EW97" i="83"/>
  <c r="EX97" i="83"/>
  <c r="FG97" i="83"/>
  <c r="FH97" i="83"/>
  <c r="DC97" i="83"/>
  <c r="EP98" i="83"/>
  <c r="EW98" i="83"/>
  <c r="EX98" i="83"/>
  <c r="FG98" i="83"/>
  <c r="FH98" i="83"/>
  <c r="DC98" i="83"/>
  <c r="EP99" i="83"/>
  <c r="EW99" i="83"/>
  <c r="EX99" i="83"/>
  <c r="FG99" i="83"/>
  <c r="FH99" i="83"/>
  <c r="DC99" i="83"/>
  <c r="EP100" i="83"/>
  <c r="EW100" i="83"/>
  <c r="EX100" i="83"/>
  <c r="FG100" i="83"/>
  <c r="FH100" i="83"/>
  <c r="DC100" i="83"/>
  <c r="EP101" i="83"/>
  <c r="EW101" i="83"/>
  <c r="EX101" i="83"/>
  <c r="FG101" i="83"/>
  <c r="FH101" i="83"/>
  <c r="DC101" i="83"/>
  <c r="EP102" i="83"/>
  <c r="EW102" i="83"/>
  <c r="EX102" i="83"/>
  <c r="EZ102" i="83"/>
  <c r="FG102" i="83"/>
  <c r="FH102" i="83"/>
  <c r="DC102" i="83"/>
  <c r="EP103" i="83"/>
  <c r="EW103" i="83"/>
  <c r="EX103" i="83"/>
  <c r="EZ103" i="83"/>
  <c r="FG103" i="83"/>
  <c r="FH103" i="83"/>
  <c r="DC103" i="83"/>
  <c r="EP104" i="83"/>
  <c r="EW104" i="83"/>
  <c r="EX104" i="83"/>
  <c r="EZ104" i="83"/>
  <c r="FG104" i="83"/>
  <c r="FH104" i="83"/>
  <c r="DC104" i="83"/>
  <c r="EP105" i="83"/>
  <c r="EW105" i="83"/>
  <c r="EX105" i="83"/>
  <c r="EZ105" i="83"/>
  <c r="FG105" i="83"/>
  <c r="FH105" i="83"/>
  <c r="DC105" i="83"/>
  <c r="EP106" i="83"/>
  <c r="EW106" i="83"/>
  <c r="EX106" i="83"/>
  <c r="EZ106" i="83"/>
  <c r="FG106" i="83"/>
  <c r="FH106" i="83"/>
  <c r="DC106" i="83"/>
  <c r="EP107" i="83"/>
  <c r="EW107" i="83"/>
  <c r="EX107" i="83"/>
  <c r="EZ107" i="83"/>
  <c r="FG107" i="83"/>
  <c r="FH107" i="83"/>
  <c r="DC107" i="83"/>
  <c r="EP108" i="83"/>
  <c r="EW108" i="83"/>
  <c r="EX108" i="83"/>
  <c r="EZ108" i="83"/>
  <c r="FG108" i="83"/>
  <c r="FH108" i="83"/>
  <c r="DC108" i="83"/>
  <c r="EP74" i="83"/>
  <c r="EW74" i="83"/>
  <c r="EX74" i="83"/>
  <c r="FG74" i="83"/>
  <c r="FH74" i="83"/>
  <c r="DC74" i="83"/>
  <c r="FI74" i="83"/>
  <c r="FI75" i="83"/>
  <c r="FI76" i="83"/>
  <c r="FI77" i="83"/>
  <c r="FI78" i="83"/>
  <c r="FI79" i="83"/>
  <c r="FI80" i="83"/>
  <c r="FI81" i="83"/>
  <c r="FI82" i="83"/>
  <c r="FI83" i="83"/>
  <c r="FI84" i="83"/>
  <c r="FI85" i="83"/>
  <c r="FI86" i="83"/>
  <c r="FI87" i="83"/>
  <c r="FI88" i="83"/>
  <c r="FI89" i="83"/>
  <c r="FI90" i="83"/>
  <c r="FI91" i="83"/>
  <c r="FI92" i="83"/>
  <c r="FI93" i="83"/>
  <c r="FI94" i="83"/>
  <c r="FI95" i="83"/>
  <c r="FI96" i="83"/>
  <c r="FI97" i="83"/>
  <c r="FI98" i="83"/>
  <c r="FI99" i="83"/>
  <c r="FI100" i="83"/>
  <c r="EY74" i="83"/>
  <c r="EY75" i="83"/>
  <c r="EY76" i="83"/>
  <c r="EY77" i="83"/>
  <c r="EY78" i="83"/>
  <c r="EY79" i="83"/>
  <c r="EY80" i="83"/>
  <c r="EY81" i="83"/>
  <c r="EY82" i="83"/>
  <c r="EY83" i="83"/>
  <c r="EY84" i="83"/>
  <c r="EY85" i="83"/>
  <c r="EY86" i="83"/>
  <c r="EY87" i="83"/>
  <c r="EY88" i="83"/>
  <c r="EY89" i="83"/>
  <c r="EY90" i="83"/>
  <c r="EY91" i="83"/>
  <c r="EY92" i="83"/>
  <c r="EY93" i="83"/>
  <c r="EY94" i="83"/>
  <c r="EY95" i="83"/>
  <c r="EY96" i="83"/>
  <c r="EY97" i="83"/>
  <c r="EY98" i="83"/>
  <c r="EY99" i="83"/>
  <c r="EY100" i="83"/>
  <c r="EM74" i="83"/>
  <c r="EM75" i="83"/>
  <c r="EM76" i="83"/>
  <c r="EM77" i="83"/>
  <c r="EM78" i="83"/>
  <c r="EM79" i="83"/>
  <c r="EM80" i="83"/>
  <c r="EM81" i="83"/>
  <c r="EM82" i="83"/>
  <c r="EM83" i="83"/>
  <c r="EM84" i="83"/>
  <c r="EM85" i="83"/>
  <c r="EM86" i="83"/>
  <c r="EM87" i="83"/>
  <c r="EM88" i="83"/>
  <c r="EM89" i="83"/>
  <c r="EM90" i="83"/>
  <c r="EM91" i="83"/>
  <c r="EM92" i="83"/>
  <c r="EM93" i="83"/>
  <c r="EM94" i="83"/>
  <c r="EM95" i="83"/>
  <c r="EM96" i="83"/>
  <c r="EM97" i="83"/>
  <c r="EM98" i="83"/>
  <c r="EM99" i="83"/>
  <c r="EM100" i="83"/>
  <c r="EM101" i="83"/>
  <c r="EM102" i="83"/>
  <c r="EM103" i="83"/>
  <c r="EM104" i="83"/>
  <c r="EM105" i="83"/>
  <c r="EM106" i="83"/>
  <c r="EM107" i="83"/>
  <c r="EM108" i="83"/>
  <c r="EN74" i="83"/>
  <c r="EN75" i="83"/>
  <c r="EN76" i="83"/>
  <c r="EN77" i="83"/>
  <c r="EN78" i="83"/>
  <c r="EN79" i="83"/>
  <c r="EN80" i="83"/>
  <c r="EN81" i="83"/>
  <c r="EN82" i="83"/>
  <c r="EN83" i="83"/>
  <c r="EN84" i="83"/>
  <c r="EN85" i="83"/>
  <c r="EN86" i="83"/>
  <c r="EO75" i="83"/>
  <c r="EO76" i="83"/>
  <c r="EO77" i="83"/>
  <c r="EO78" i="83"/>
  <c r="EO79" i="83"/>
  <c r="EO80" i="83"/>
  <c r="EO81" i="83"/>
  <c r="EO82" i="83"/>
  <c r="EO83" i="83"/>
  <c r="EO84" i="83"/>
  <c r="EO85" i="83"/>
  <c r="EO86" i="83"/>
  <c r="EO87" i="83"/>
  <c r="EO88" i="83"/>
  <c r="EO89" i="83"/>
  <c r="EO90" i="83"/>
  <c r="EO91" i="83"/>
  <c r="EO92" i="83"/>
  <c r="EO93" i="83"/>
  <c r="EO94" i="83"/>
  <c r="EO95" i="83"/>
  <c r="EO96" i="83"/>
  <c r="EO97" i="83"/>
  <c r="EO98" i="83"/>
  <c r="EO99" i="83"/>
  <c r="EO100" i="83"/>
  <c r="EO101" i="83"/>
  <c r="EO102" i="83"/>
  <c r="EO103" i="83"/>
  <c r="EO104" i="83"/>
  <c r="EO105" i="83"/>
  <c r="EO106" i="83"/>
  <c r="EO107" i="83"/>
  <c r="EO108" i="83"/>
  <c r="EO74" i="83"/>
  <c r="EH102" i="83"/>
  <c r="DL99" i="83"/>
  <c r="DL100" i="83"/>
  <c r="DL101" i="83"/>
  <c r="DL102" i="83"/>
  <c r="DL103" i="83"/>
  <c r="DL104" i="83"/>
  <c r="DL105" i="83"/>
  <c r="DL106" i="83"/>
  <c r="DL107" i="83"/>
  <c r="DL108" i="83"/>
  <c r="DK99" i="83"/>
  <c r="DK100" i="83"/>
  <c r="DK101" i="83"/>
  <c r="DK102" i="83"/>
  <c r="DK103" i="83"/>
  <c r="DK104" i="83"/>
  <c r="DK105" i="83"/>
  <c r="DK106" i="83"/>
  <c r="DK107" i="83"/>
  <c r="DK108" i="83"/>
  <c r="DJ99" i="83"/>
  <c r="DJ100" i="83"/>
  <c r="DJ101" i="83"/>
  <c r="DJ102" i="83"/>
  <c r="DJ103" i="83"/>
  <c r="DJ104" i="83"/>
  <c r="DJ105" i="83"/>
  <c r="DJ106" i="83"/>
  <c r="DJ107" i="83"/>
  <c r="DJ108" i="83"/>
  <c r="DI99" i="83"/>
  <c r="DI100" i="83"/>
  <c r="DI101" i="83"/>
  <c r="DI102" i="83"/>
  <c r="DI103" i="83"/>
  <c r="DI104" i="83"/>
  <c r="DI105" i="83"/>
  <c r="DI106" i="83"/>
  <c r="DI107" i="83"/>
  <c r="DI108" i="83"/>
  <c r="DH99" i="83"/>
  <c r="DH100" i="83"/>
  <c r="DH101" i="83"/>
  <c r="DH102" i="83"/>
  <c r="DH103" i="83"/>
  <c r="DH104" i="83"/>
  <c r="DH105" i="83"/>
  <c r="DH106" i="83"/>
  <c r="DH107" i="83"/>
  <c r="DH108" i="83"/>
  <c r="AD15" i="85"/>
  <c r="AD18" i="85"/>
  <c r="DG99" i="83"/>
  <c r="DG100" i="83"/>
  <c r="DG101" i="83"/>
  <c r="DG102" i="83"/>
  <c r="DG103" i="83"/>
  <c r="DG104" i="83"/>
  <c r="DG105" i="83"/>
  <c r="DG106" i="83"/>
  <c r="DG107" i="83"/>
  <c r="DG108" i="83"/>
  <c r="DF75" i="83"/>
  <c r="DF76" i="83"/>
  <c r="DF77" i="83"/>
  <c r="DF78" i="83"/>
  <c r="DF79" i="83"/>
  <c r="DF80" i="83"/>
  <c r="DF81" i="83"/>
  <c r="DF82" i="83"/>
  <c r="DF83" i="83"/>
  <c r="DF84" i="83"/>
  <c r="DF85" i="83"/>
  <c r="DF86" i="83"/>
  <c r="DF87" i="83"/>
  <c r="DF88" i="83"/>
  <c r="DF89" i="83"/>
  <c r="DF90" i="83"/>
  <c r="DF91" i="83"/>
  <c r="DF92" i="83"/>
  <c r="DF93" i="83"/>
  <c r="DF94" i="83"/>
  <c r="DF95" i="83"/>
  <c r="DF96" i="83"/>
  <c r="DF97" i="83"/>
  <c r="DF98" i="83"/>
  <c r="DF99" i="83"/>
  <c r="DF100" i="83"/>
  <c r="DF101" i="83"/>
  <c r="DF102" i="83"/>
  <c r="DF103" i="83"/>
  <c r="DF104" i="83"/>
  <c r="DF105" i="83"/>
  <c r="DF106" i="83"/>
  <c r="DF107" i="83"/>
  <c r="DF108" i="83"/>
  <c r="EN102" i="83"/>
  <c r="EN103" i="83"/>
  <c r="EN104" i="83"/>
  <c r="EN105" i="83"/>
  <c r="EN106" i="83"/>
  <c r="EN107" i="83"/>
  <c r="EN108" i="83"/>
  <c r="EN101" i="83"/>
  <c r="EG102" i="83"/>
  <c r="EI102" i="83"/>
  <c r="EJ102" i="83"/>
  <c r="EK102" i="83"/>
  <c r="EL102" i="83"/>
  <c r="EG103" i="83"/>
  <c r="EH103" i="83"/>
  <c r="EI103" i="83"/>
  <c r="EJ103" i="83"/>
  <c r="EK103" i="83"/>
  <c r="EL103" i="83"/>
  <c r="EG104" i="83"/>
  <c r="EH104" i="83"/>
  <c r="EI104" i="83"/>
  <c r="EJ104" i="83"/>
  <c r="EK104" i="83"/>
  <c r="EL104" i="83"/>
  <c r="EG105" i="83"/>
  <c r="EH105" i="83"/>
  <c r="EI105" i="83"/>
  <c r="EJ105" i="83"/>
  <c r="EK105" i="83"/>
  <c r="EL105" i="83"/>
  <c r="EG106" i="83"/>
  <c r="EH106" i="83"/>
  <c r="EI106" i="83"/>
  <c r="EJ106" i="83"/>
  <c r="EK106" i="83"/>
  <c r="EL106" i="83"/>
  <c r="EG107" i="83"/>
  <c r="EH107" i="83"/>
  <c r="EI107" i="83"/>
  <c r="EJ107" i="83"/>
  <c r="EK107" i="83"/>
  <c r="EL107" i="83"/>
  <c r="EG108" i="83"/>
  <c r="EH108" i="83"/>
  <c r="EI108" i="83"/>
  <c r="EJ108" i="83"/>
  <c r="EK108" i="83"/>
  <c r="EL108" i="83"/>
  <c r="FI108" i="83"/>
  <c r="FI107" i="83"/>
  <c r="FI106" i="83"/>
  <c r="FI105" i="83"/>
  <c r="FI104" i="83"/>
  <c r="FI103" i="83"/>
  <c r="FI102" i="83"/>
  <c r="FI101" i="83"/>
  <c r="EY101" i="83"/>
  <c r="EY102" i="83"/>
  <c r="EY103" i="83"/>
  <c r="EY104" i="83"/>
  <c r="EY105" i="83"/>
  <c r="EY106" i="83"/>
  <c r="EY107" i="83"/>
  <c r="EY108" i="83"/>
  <c r="BG72" i="83" a="1"/>
  <c r="BG92" i="83"/>
  <c r="BH92" i="83"/>
  <c r="BG94" i="83"/>
  <c r="BH94" i="83"/>
  <c r="BH93" i="83"/>
  <c r="EE74" i="9" a="1"/>
  <c r="EE75" i="9"/>
  <c r="EF75" i="9"/>
  <c r="BI75" i="83"/>
  <c r="EE76" i="9"/>
  <c r="EF76" i="9"/>
  <c r="BI76" i="83"/>
  <c r="EE77" i="9"/>
  <c r="EF77" i="9"/>
  <c r="BI77" i="83"/>
  <c r="EE78" i="9"/>
  <c r="EF78" i="9"/>
  <c r="BI78" i="83"/>
  <c r="EE79" i="9"/>
  <c r="EF79" i="9"/>
  <c r="BI79" i="83"/>
  <c r="EE80" i="9"/>
  <c r="EF80" i="9"/>
  <c r="BI80" i="83"/>
  <c r="EE81" i="9"/>
  <c r="EF81" i="9"/>
  <c r="BI81" i="83"/>
  <c r="EE82" i="9"/>
  <c r="EF82" i="9"/>
  <c r="BI82" i="83"/>
  <c r="EE83" i="9"/>
  <c r="EF83" i="9"/>
  <c r="BI83" i="83"/>
  <c r="EE84" i="9"/>
  <c r="EF84" i="9"/>
  <c r="BI84" i="83"/>
  <c r="EE85" i="9"/>
  <c r="EF85" i="9"/>
  <c r="BI85" i="83"/>
  <c r="EE86" i="9"/>
  <c r="EF86" i="9"/>
  <c r="BI86" i="83"/>
  <c r="EE87" i="9"/>
  <c r="EF87" i="9"/>
  <c r="BI87" i="83"/>
  <c r="EE88" i="9"/>
  <c r="EF88" i="9"/>
  <c r="BI88" i="83"/>
  <c r="EE89" i="9"/>
  <c r="EF89" i="9"/>
  <c r="BI89" i="83"/>
  <c r="EE90" i="9"/>
  <c r="EF90" i="9"/>
  <c r="BI90" i="83"/>
  <c r="EE91" i="9"/>
  <c r="EF91" i="9"/>
  <c r="BI91" i="83"/>
  <c r="EE92" i="9"/>
  <c r="EF92" i="9"/>
  <c r="BI92" i="83"/>
  <c r="EE93" i="9"/>
  <c r="EF93" i="9"/>
  <c r="BI93" i="83"/>
  <c r="EE94" i="9"/>
  <c r="EF94" i="9"/>
  <c r="BI94" i="83"/>
  <c r="EE95" i="9"/>
  <c r="EF95" i="9"/>
  <c r="BI95" i="83"/>
  <c r="EE96" i="9"/>
  <c r="EF96" i="9"/>
  <c r="BI96" i="83"/>
  <c r="EE97" i="9"/>
  <c r="EF97" i="9"/>
  <c r="BI97" i="83"/>
  <c r="EE98" i="9"/>
  <c r="EF98" i="9"/>
  <c r="BI98" i="83"/>
  <c r="EE99" i="9"/>
  <c r="EF99" i="9"/>
  <c r="BI99" i="83"/>
  <c r="EE100" i="9"/>
  <c r="EF100" i="9"/>
  <c r="BI100" i="83"/>
  <c r="EE101" i="9"/>
  <c r="EF101" i="9"/>
  <c r="BI101" i="83"/>
  <c r="EE102" i="9"/>
  <c r="EF102" i="9"/>
  <c r="BI102" i="83"/>
  <c r="EE103" i="9"/>
  <c r="EF103" i="9"/>
  <c r="BI103" i="83"/>
  <c r="EE104" i="9"/>
  <c r="EF104" i="9"/>
  <c r="BI104" i="83"/>
  <c r="EE105" i="9"/>
  <c r="EF105" i="9"/>
  <c r="BI105" i="83"/>
  <c r="EE106" i="9"/>
  <c r="EF106" i="9"/>
  <c r="BI106" i="83"/>
  <c r="EE107" i="9"/>
  <c r="EF107" i="9"/>
  <c r="BI107" i="83"/>
  <c r="EE108" i="9"/>
  <c r="EF108" i="9"/>
  <c r="BI108" i="83"/>
  <c r="EE74" i="9"/>
  <c r="EF74" i="9"/>
  <c r="BI74" i="83"/>
  <c r="BG80" i="83"/>
  <c r="BH80" i="83"/>
  <c r="BG81" i="83"/>
  <c r="BH81" i="83"/>
  <c r="BG82" i="83"/>
  <c r="BH82" i="83"/>
  <c r="BG83" i="83"/>
  <c r="BH83" i="83"/>
  <c r="BG84" i="83"/>
  <c r="BH84" i="83"/>
  <c r="BG85" i="83"/>
  <c r="BH85" i="83"/>
  <c r="BG86" i="83"/>
  <c r="BH86" i="83"/>
  <c r="BG87" i="83"/>
  <c r="BH87" i="83"/>
  <c r="BG88" i="83"/>
  <c r="BH88" i="83"/>
  <c r="BG89" i="83"/>
  <c r="BH89" i="83"/>
  <c r="BG90" i="83"/>
  <c r="BH90" i="83"/>
  <c r="BG91" i="83"/>
  <c r="BH91" i="83"/>
  <c r="BG93" i="83"/>
  <c r="BG95" i="83"/>
  <c r="BH95" i="83"/>
  <c r="BG96" i="83"/>
  <c r="BH96" i="83"/>
  <c r="BG97" i="83"/>
  <c r="BH97" i="83"/>
  <c r="BG98" i="83"/>
  <c r="BH98" i="83"/>
  <c r="BG99" i="83"/>
  <c r="BH99" i="83"/>
  <c r="BG100" i="83"/>
  <c r="BH100" i="83"/>
  <c r="BG101" i="83"/>
  <c r="BH101" i="83"/>
  <c r="BG102" i="83"/>
  <c r="BH102" i="83"/>
  <c r="BG103" i="83"/>
  <c r="BH103" i="83"/>
  <c r="BG104" i="83"/>
  <c r="BH104" i="83"/>
  <c r="BG105" i="83"/>
  <c r="BH105" i="83"/>
  <c r="BG106" i="83"/>
  <c r="BH106" i="83"/>
  <c r="BG107" i="83"/>
  <c r="BH107" i="83"/>
  <c r="BG108" i="83"/>
  <c r="BH108" i="83"/>
  <c r="BG79" i="83"/>
  <c r="BH79" i="83"/>
  <c r="BG72" i="83"/>
  <c r="BG73" i="83"/>
  <c r="BG74" i="83"/>
  <c r="BG75" i="83"/>
  <c r="BG76" i="83"/>
  <c r="BG77" i="83"/>
  <c r="BG78" i="83"/>
  <c r="AD211" i="84"/>
  <c r="AU72" i="83" a="1"/>
  <c r="AU72" i="83"/>
  <c r="AU73" i="83"/>
  <c r="AU74" i="83"/>
  <c r="AU75" i="83"/>
  <c r="AU76" i="83"/>
  <c r="AU77" i="83"/>
  <c r="AU78" i="83"/>
  <c r="AU79" i="83"/>
  <c r="AU80" i="83"/>
  <c r="AU81" i="83"/>
  <c r="AU82" i="83"/>
  <c r="AU83" i="83"/>
  <c r="AU84" i="83"/>
  <c r="AU85" i="83"/>
  <c r="AU86" i="83"/>
  <c r="AU87" i="83"/>
  <c r="AU88" i="83"/>
  <c r="AU89" i="83"/>
  <c r="AU90" i="83"/>
  <c r="AU91" i="83"/>
  <c r="AU92" i="83"/>
  <c r="AU93" i="83"/>
  <c r="AU94" i="83"/>
  <c r="AU95" i="83"/>
  <c r="AU96" i="83"/>
  <c r="AU97" i="83"/>
  <c r="AU98" i="83"/>
  <c r="AU99" i="83"/>
  <c r="AU100" i="83"/>
  <c r="AU101" i="83"/>
  <c r="AU102" i="83"/>
  <c r="AU103" i="83"/>
  <c r="AU104" i="83"/>
  <c r="AU105" i="83"/>
  <c r="AU106" i="83"/>
  <c r="AU107" i="83"/>
  <c r="AU108" i="83"/>
  <c r="AL111" i="84"/>
  <c r="AH111" i="84"/>
  <c r="AI111" i="84"/>
  <c r="AJ111" i="84"/>
  <c r="AK111" i="84"/>
  <c r="AG111" i="84"/>
  <c r="AT72" i="83" a="1"/>
  <c r="AT72" i="83"/>
  <c r="AT73" i="83"/>
  <c r="AT74" i="83"/>
  <c r="AT75" i="83"/>
  <c r="AT76" i="83"/>
  <c r="AT77" i="83"/>
  <c r="AT78" i="83"/>
  <c r="AT79" i="83"/>
  <c r="AT80" i="83"/>
  <c r="AT81" i="83"/>
  <c r="AT82" i="83"/>
  <c r="AT83" i="83"/>
  <c r="AT84" i="83"/>
  <c r="AT85" i="83"/>
  <c r="AT86" i="83"/>
  <c r="AT87" i="83"/>
  <c r="AT88" i="83"/>
  <c r="AT89" i="83"/>
  <c r="AT90" i="83"/>
  <c r="AT91" i="83"/>
  <c r="AT92" i="83"/>
  <c r="AT93" i="83"/>
  <c r="AT94" i="83"/>
  <c r="AT95" i="83"/>
  <c r="AT96" i="83"/>
  <c r="AT97" i="83"/>
  <c r="AT98" i="83"/>
  <c r="AT99" i="83"/>
  <c r="AT100" i="83"/>
  <c r="AT101" i="83"/>
  <c r="AT102" i="83"/>
  <c r="AT103" i="83"/>
  <c r="AT104" i="83"/>
  <c r="AT105" i="83"/>
  <c r="AT106" i="83"/>
  <c r="AT107" i="83"/>
  <c r="AT108" i="83"/>
  <c r="AS72" i="83" a="1"/>
  <c r="AS72" i="83"/>
  <c r="AS73" i="83"/>
  <c r="AS74" i="83"/>
  <c r="AS75" i="83"/>
  <c r="AS76" i="83"/>
  <c r="AS77" i="83"/>
  <c r="AS78" i="83"/>
  <c r="AS79" i="83"/>
  <c r="AS80" i="83"/>
  <c r="AS81" i="83"/>
  <c r="AS82" i="83"/>
  <c r="AS83" i="83"/>
  <c r="AS84" i="83"/>
  <c r="AS85" i="83"/>
  <c r="AS86" i="83"/>
  <c r="AS87" i="83"/>
  <c r="AS88" i="83"/>
  <c r="AS89" i="83"/>
  <c r="AS90" i="83"/>
  <c r="AS91" i="83"/>
  <c r="AS92" i="83"/>
  <c r="AS93" i="83"/>
  <c r="AS94" i="83"/>
  <c r="AS95" i="83"/>
  <c r="AS96" i="83"/>
  <c r="AS97" i="83"/>
  <c r="AS98" i="83"/>
  <c r="AS99" i="83"/>
  <c r="AS100" i="83"/>
  <c r="AS101" i="83"/>
  <c r="AS102" i="83"/>
  <c r="AS103" i="83"/>
  <c r="AS104" i="83"/>
  <c r="AS105" i="83"/>
  <c r="AS106" i="83"/>
  <c r="AS107" i="83"/>
  <c r="AS108" i="83"/>
  <c r="AR72" i="83" a="1"/>
  <c r="AR72" i="83"/>
  <c r="AR73" i="83"/>
  <c r="AR74" i="83"/>
  <c r="AR75" i="83"/>
  <c r="AR76" i="83"/>
  <c r="AR77" i="83"/>
  <c r="AR78" i="83"/>
  <c r="AR79" i="83"/>
  <c r="AR80" i="83"/>
  <c r="AR81" i="83"/>
  <c r="AR82" i="83"/>
  <c r="AR83" i="83"/>
  <c r="AR84" i="83"/>
  <c r="AR85" i="83"/>
  <c r="AR86" i="83"/>
  <c r="AR87" i="83"/>
  <c r="AR88" i="83"/>
  <c r="AR89" i="83"/>
  <c r="AR90" i="83"/>
  <c r="AR91" i="83"/>
  <c r="AR92" i="83"/>
  <c r="AR93" i="83"/>
  <c r="AR94" i="83"/>
  <c r="AR95" i="83"/>
  <c r="AR96" i="83"/>
  <c r="AR97" i="83"/>
  <c r="AR98" i="83"/>
  <c r="AR99" i="83"/>
  <c r="AR100" i="83"/>
  <c r="AR101" i="83"/>
  <c r="AR102" i="83"/>
  <c r="AR103" i="83"/>
  <c r="AR104" i="83"/>
  <c r="AR105" i="83"/>
  <c r="AR106" i="83"/>
  <c r="AR107" i="83"/>
  <c r="AR108" i="83"/>
  <c r="AQ72" i="83" a="1"/>
  <c r="AQ72" i="83"/>
  <c r="AQ73" i="83"/>
  <c r="AQ74" i="83"/>
  <c r="AQ75" i="83"/>
  <c r="AQ76" i="83"/>
  <c r="AQ77" i="83"/>
  <c r="AQ78" i="83"/>
  <c r="AQ79" i="83"/>
  <c r="AQ80" i="83"/>
  <c r="AQ81" i="83"/>
  <c r="AQ82" i="83"/>
  <c r="AQ83" i="83"/>
  <c r="AQ84" i="83"/>
  <c r="AQ85" i="83"/>
  <c r="AQ86" i="83"/>
  <c r="AQ87" i="83"/>
  <c r="AQ88" i="83"/>
  <c r="AQ89" i="83"/>
  <c r="AQ90" i="83"/>
  <c r="AQ91" i="83"/>
  <c r="AQ92" i="83"/>
  <c r="AQ93" i="83"/>
  <c r="AQ94" i="83"/>
  <c r="AQ95" i="83"/>
  <c r="AQ96" i="83"/>
  <c r="AQ97" i="83"/>
  <c r="AQ98" i="83"/>
  <c r="AQ99" i="83"/>
  <c r="AQ100" i="83"/>
  <c r="AQ101" i="83"/>
  <c r="AQ102" i="83"/>
  <c r="AQ103" i="83"/>
  <c r="AQ104" i="83"/>
  <c r="AQ105" i="83"/>
  <c r="AQ106" i="83"/>
  <c r="AQ107" i="83"/>
  <c r="AQ108" i="83"/>
  <c r="AP72" i="83" a="1"/>
  <c r="AP72" i="83"/>
  <c r="AP73" i="83"/>
  <c r="AP74" i="83"/>
  <c r="AP75" i="83"/>
  <c r="AP76" i="83"/>
  <c r="AP77" i="83"/>
  <c r="AP78" i="83"/>
  <c r="AP79" i="83"/>
  <c r="AP80" i="83"/>
  <c r="AP81" i="83"/>
  <c r="AP82" i="83"/>
  <c r="AP83" i="83"/>
  <c r="AP84" i="83"/>
  <c r="AP85" i="83"/>
  <c r="AP86" i="83"/>
  <c r="AP87" i="83"/>
  <c r="AP88" i="83"/>
  <c r="AP89" i="83"/>
  <c r="AP90" i="83"/>
  <c r="AP91" i="83"/>
  <c r="AP92" i="83"/>
  <c r="AP93" i="83"/>
  <c r="AP94" i="83"/>
  <c r="AP95" i="83"/>
  <c r="AP96" i="83"/>
  <c r="AP97" i="83"/>
  <c r="AP98" i="83"/>
  <c r="AP99" i="83"/>
  <c r="AP100" i="83"/>
  <c r="AP101" i="83"/>
  <c r="AP102" i="83"/>
  <c r="AP103" i="83"/>
  <c r="AP104" i="83"/>
  <c r="AP105" i="83"/>
  <c r="AP106" i="83"/>
  <c r="AP107" i="83"/>
  <c r="AP108" i="83"/>
  <c r="AO72" i="83" a="1"/>
  <c r="AO72" i="83"/>
  <c r="AO73" i="83"/>
  <c r="AO74" i="83"/>
  <c r="AO75" i="83"/>
  <c r="AO76" i="83"/>
  <c r="AO77" i="83"/>
  <c r="AO78" i="83"/>
  <c r="AO79" i="83"/>
  <c r="AO80" i="83"/>
  <c r="AO81" i="83"/>
  <c r="AO82" i="83"/>
  <c r="AO83" i="83"/>
  <c r="AO84" i="83"/>
  <c r="AO85" i="83"/>
  <c r="AO86" i="83"/>
  <c r="AO87" i="83"/>
  <c r="AO88" i="83"/>
  <c r="AO89" i="83"/>
  <c r="AO90" i="83"/>
  <c r="AO91" i="83"/>
  <c r="AO92" i="83"/>
  <c r="AO93" i="83"/>
  <c r="AO94" i="83"/>
  <c r="AO95" i="83"/>
  <c r="AO96" i="83"/>
  <c r="AO97" i="83"/>
  <c r="AO98" i="83"/>
  <c r="AO99" i="83"/>
  <c r="AO100" i="83"/>
  <c r="AO101" i="83"/>
  <c r="AO102" i="83"/>
  <c r="AO103" i="83"/>
  <c r="AO104" i="83"/>
  <c r="AO105" i="83"/>
  <c r="AO106" i="83"/>
  <c r="AO107" i="83"/>
  <c r="AO108" i="83"/>
  <c r="H18" i="84"/>
  <c r="AN72" i="83" a="1"/>
  <c r="AN72" i="83"/>
  <c r="AN73" i="83"/>
  <c r="AN74" i="83"/>
  <c r="AN75" i="83"/>
  <c r="AN76" i="83"/>
  <c r="AN77" i="83"/>
  <c r="AN78" i="83"/>
  <c r="AN79" i="83"/>
  <c r="AN80" i="83"/>
  <c r="AN81" i="83"/>
  <c r="AN82" i="83"/>
  <c r="AN83" i="83"/>
  <c r="AN84" i="83"/>
  <c r="AN85" i="83"/>
  <c r="AN86" i="83"/>
  <c r="AN87" i="83"/>
  <c r="AN88" i="83"/>
  <c r="AN89" i="83"/>
  <c r="AN90" i="83"/>
  <c r="AN91" i="83"/>
  <c r="AN92" i="83"/>
  <c r="AN93" i="83"/>
  <c r="AN94" i="83"/>
  <c r="AN95" i="83"/>
  <c r="AN96" i="83"/>
  <c r="AN97" i="83"/>
  <c r="AN98" i="83"/>
  <c r="AN99" i="83"/>
  <c r="AN100" i="83"/>
  <c r="AN101" i="83"/>
  <c r="AN102" i="83"/>
  <c r="AN103" i="83"/>
  <c r="AN104" i="83"/>
  <c r="AN105" i="83"/>
  <c r="AN106" i="83"/>
  <c r="AN107" i="83"/>
  <c r="AN108" i="83"/>
  <c r="CX75" i="9"/>
  <c r="CX76" i="9"/>
  <c r="CX77" i="9"/>
  <c r="CX78" i="9"/>
  <c r="CX79" i="9"/>
  <c r="CX80" i="9"/>
  <c r="CX81" i="9"/>
  <c r="CX82" i="9"/>
  <c r="CX83" i="9"/>
  <c r="CX84" i="9"/>
  <c r="CX85" i="9"/>
  <c r="CX86" i="9"/>
  <c r="CX87" i="9"/>
  <c r="CX88" i="9"/>
  <c r="CX89" i="9"/>
  <c r="CX90" i="9"/>
  <c r="CX91" i="9"/>
  <c r="CX92" i="9"/>
  <c r="CX93" i="9"/>
  <c r="CX94" i="9"/>
  <c r="CX95" i="9"/>
  <c r="CX96" i="9"/>
  <c r="CX97" i="9"/>
  <c r="CX98" i="9"/>
  <c r="CX99" i="9"/>
  <c r="CX100" i="9"/>
  <c r="CX101" i="9"/>
  <c r="CX102" i="9"/>
  <c r="CX103" i="9"/>
  <c r="CX104" i="9"/>
  <c r="CX105" i="9"/>
  <c r="CX106" i="9"/>
  <c r="CX107" i="9"/>
  <c r="CX108" i="9"/>
  <c r="AG75" i="83"/>
  <c r="AG76" i="83"/>
  <c r="AG77" i="83"/>
  <c r="AG78" i="83"/>
  <c r="AG79" i="83"/>
  <c r="AG80" i="83"/>
  <c r="AG81" i="83"/>
  <c r="AG82" i="83"/>
  <c r="AG83" i="83"/>
  <c r="AG84" i="83"/>
  <c r="AG85" i="83"/>
  <c r="AG86" i="83"/>
  <c r="AG87" i="83"/>
  <c r="AG88" i="83"/>
  <c r="AG89" i="83"/>
  <c r="AG90" i="83"/>
  <c r="AG91" i="83"/>
  <c r="AG92" i="83"/>
  <c r="AG93" i="83"/>
  <c r="AG94" i="83"/>
  <c r="AG95" i="83"/>
  <c r="AG96" i="83"/>
  <c r="AG97" i="83"/>
  <c r="AG98" i="83"/>
  <c r="AG99" i="83"/>
  <c r="AG100" i="83"/>
  <c r="AG101" i="83"/>
  <c r="AG102" i="83"/>
  <c r="AG103" i="83"/>
  <c r="AG104" i="83"/>
  <c r="AG105" i="83"/>
  <c r="AG106" i="83"/>
  <c r="AG107" i="83"/>
  <c r="AG108" i="83"/>
  <c r="AG74" i="83"/>
  <c r="AE74" i="83" a="1"/>
  <c r="AE74" i="83"/>
  <c r="AE75" i="83"/>
  <c r="AE76" i="83"/>
  <c r="AE77" i="83"/>
  <c r="AE78" i="83"/>
  <c r="AE79" i="83"/>
  <c r="AE80" i="83"/>
  <c r="AE81" i="83"/>
  <c r="AE82" i="83"/>
  <c r="AE83" i="83"/>
  <c r="AE84" i="83"/>
  <c r="AE85" i="83"/>
  <c r="AE86" i="83"/>
  <c r="AE87" i="83"/>
  <c r="AE88" i="83"/>
  <c r="AE89" i="83"/>
  <c r="AE90" i="83"/>
  <c r="AE91" i="83"/>
  <c r="AE92" i="83"/>
  <c r="AE93" i="83"/>
  <c r="AE94" i="83"/>
  <c r="AE95" i="83"/>
  <c r="AE96" i="83"/>
  <c r="AE97" i="83"/>
  <c r="AE98" i="83"/>
  <c r="AE99" i="83"/>
  <c r="AE100" i="83"/>
  <c r="AE101" i="83"/>
  <c r="AE102" i="83"/>
  <c r="AE103" i="83"/>
  <c r="AE104" i="83"/>
  <c r="AE105" i="83"/>
  <c r="AE106" i="83"/>
  <c r="AE107" i="83"/>
  <c r="AE108" i="83"/>
  <c r="T91" i="83" a="1"/>
  <c r="T91" i="83"/>
  <c r="T92" i="83"/>
  <c r="T93" i="83"/>
  <c r="T94" i="83"/>
  <c r="T95" i="83"/>
  <c r="T96" i="83"/>
  <c r="T97" i="83"/>
  <c r="T98" i="83"/>
  <c r="T99" i="83"/>
  <c r="T100" i="83"/>
  <c r="T101" i="83"/>
  <c r="T102" i="83"/>
  <c r="T103" i="83"/>
  <c r="T104" i="83"/>
  <c r="T105" i="83"/>
  <c r="T106" i="83"/>
  <c r="T107" i="83"/>
  <c r="T108" i="83"/>
  <c r="C21" i="83" a="1"/>
  <c r="C22" i="83"/>
  <c r="O22" i="83"/>
  <c r="C23" i="83"/>
  <c r="O23" i="83"/>
  <c r="C24" i="83"/>
  <c r="O24" i="83"/>
  <c r="C25" i="83"/>
  <c r="O25" i="83"/>
  <c r="C26" i="83"/>
  <c r="O26" i="83"/>
  <c r="C27" i="83"/>
  <c r="O27" i="83"/>
  <c r="C28" i="83"/>
  <c r="O28" i="83"/>
  <c r="C29" i="83"/>
  <c r="O29" i="83"/>
  <c r="C30" i="83"/>
  <c r="O30" i="83"/>
  <c r="C31" i="83"/>
  <c r="O31" i="83"/>
  <c r="C32" i="83"/>
  <c r="O32" i="83"/>
  <c r="C33" i="83"/>
  <c r="O33" i="83"/>
  <c r="C34" i="83"/>
  <c r="O34" i="83"/>
  <c r="C35" i="83"/>
  <c r="O35" i="83"/>
  <c r="C36" i="83"/>
  <c r="O36" i="83"/>
  <c r="C37" i="83"/>
  <c r="O37" i="83"/>
  <c r="C38" i="83"/>
  <c r="O38" i="83"/>
  <c r="C39" i="83"/>
  <c r="O39" i="83"/>
  <c r="C40" i="83"/>
  <c r="O40" i="83"/>
  <c r="C41" i="83"/>
  <c r="O41" i="83"/>
  <c r="C42" i="83"/>
  <c r="O42" i="83"/>
  <c r="C43" i="83"/>
  <c r="O43" i="83"/>
  <c r="C44" i="83"/>
  <c r="O44" i="83"/>
  <c r="C45" i="83"/>
  <c r="O45" i="83"/>
  <c r="C46" i="83"/>
  <c r="O46" i="83"/>
  <c r="C47" i="83"/>
  <c r="O47" i="83"/>
  <c r="C48" i="83"/>
  <c r="O48" i="83"/>
  <c r="C49" i="83"/>
  <c r="O49" i="83"/>
  <c r="C50" i="83"/>
  <c r="O50" i="83"/>
  <c r="C51" i="83"/>
  <c r="O51" i="83"/>
  <c r="C52" i="83"/>
  <c r="O52" i="83"/>
  <c r="C53" i="83"/>
  <c r="O53" i="83"/>
  <c r="C54" i="83"/>
  <c r="O54" i="83"/>
  <c r="C55" i="83"/>
  <c r="O55" i="83"/>
  <c r="C56" i="83"/>
  <c r="O56" i="83"/>
  <c r="C57" i="83"/>
  <c r="O57" i="83"/>
  <c r="C58" i="83"/>
  <c r="O58" i="83"/>
  <c r="C59" i="83"/>
  <c r="O59" i="83"/>
  <c r="C60" i="83"/>
  <c r="O60" i="83"/>
  <c r="C61" i="83"/>
  <c r="O61" i="83"/>
  <c r="C62" i="83"/>
  <c r="O62" i="83"/>
  <c r="C63" i="83"/>
  <c r="O63" i="83"/>
  <c r="C64" i="83"/>
  <c r="O64" i="83"/>
  <c r="C65" i="83"/>
  <c r="O65" i="83"/>
  <c r="C66" i="83"/>
  <c r="O66" i="83"/>
  <c r="C67" i="83"/>
  <c r="O67" i="83"/>
  <c r="C68" i="83"/>
  <c r="O68" i="83"/>
  <c r="C69" i="83"/>
  <c r="O69" i="83"/>
  <c r="C70" i="83"/>
  <c r="O70" i="83"/>
  <c r="C71" i="83"/>
  <c r="O71" i="83"/>
  <c r="C72" i="83"/>
  <c r="O72" i="83"/>
  <c r="C73" i="83"/>
  <c r="O73" i="83"/>
  <c r="C74" i="83"/>
  <c r="O74" i="83"/>
  <c r="C75" i="83"/>
  <c r="O75" i="83"/>
  <c r="C76" i="83"/>
  <c r="O76" i="83"/>
  <c r="C77" i="83"/>
  <c r="O77" i="83"/>
  <c r="C78" i="83"/>
  <c r="O78" i="83"/>
  <c r="C79" i="83"/>
  <c r="O79" i="83"/>
  <c r="C80" i="83"/>
  <c r="O80" i="83"/>
  <c r="C81" i="83"/>
  <c r="O81" i="83"/>
  <c r="C82" i="83"/>
  <c r="O82" i="83"/>
  <c r="C83" i="83"/>
  <c r="O83" i="83"/>
  <c r="C84" i="83"/>
  <c r="O84" i="83"/>
  <c r="C85" i="83"/>
  <c r="O85" i="83"/>
  <c r="C86" i="83"/>
  <c r="O86" i="83"/>
  <c r="C87" i="83"/>
  <c r="O87" i="83"/>
  <c r="C88" i="83"/>
  <c r="O88" i="83"/>
  <c r="C89" i="83"/>
  <c r="O89" i="83"/>
  <c r="C90" i="83"/>
  <c r="O90" i="83"/>
  <c r="C91" i="83"/>
  <c r="O91" i="83"/>
  <c r="C92" i="83"/>
  <c r="O92" i="83"/>
  <c r="C93" i="83"/>
  <c r="O93" i="83"/>
  <c r="C94" i="83"/>
  <c r="O94" i="83"/>
  <c r="C95" i="83"/>
  <c r="O95" i="83"/>
  <c r="C96" i="83"/>
  <c r="O96" i="83"/>
  <c r="C97" i="83"/>
  <c r="O97" i="83"/>
  <c r="C98" i="83"/>
  <c r="O98" i="83"/>
  <c r="C99" i="83"/>
  <c r="O99" i="83"/>
  <c r="C100" i="83"/>
  <c r="O100" i="83"/>
  <c r="C101" i="83"/>
  <c r="O101" i="83"/>
  <c r="C102" i="83"/>
  <c r="O102" i="83"/>
  <c r="C103" i="83"/>
  <c r="O103" i="83"/>
  <c r="C104" i="83"/>
  <c r="O104" i="83"/>
  <c r="C105" i="83"/>
  <c r="O105" i="83"/>
  <c r="C106" i="83"/>
  <c r="O106" i="83"/>
  <c r="C107" i="83"/>
  <c r="O107" i="83"/>
  <c r="C108" i="83"/>
  <c r="O108" i="83"/>
  <c r="C21" i="83"/>
  <c r="O21" i="83"/>
  <c r="R22" i="83"/>
  <c r="R23" i="83"/>
  <c r="R24" i="83"/>
  <c r="R25" i="83"/>
  <c r="R26" i="83"/>
  <c r="R27" i="83"/>
  <c r="R28" i="83"/>
  <c r="R29" i="83"/>
  <c r="R30" i="83"/>
  <c r="R31" i="83"/>
  <c r="R32" i="83"/>
  <c r="R33" i="83"/>
  <c r="R34" i="83"/>
  <c r="R35" i="83"/>
  <c r="R36" i="83"/>
  <c r="R37" i="83"/>
  <c r="R38" i="83"/>
  <c r="R39" i="83"/>
  <c r="R40" i="83"/>
  <c r="R41" i="83"/>
  <c r="R42" i="83"/>
  <c r="R43" i="83"/>
  <c r="R44" i="83"/>
  <c r="R45" i="83"/>
  <c r="R46" i="83"/>
  <c r="R47" i="83"/>
  <c r="R48" i="83"/>
  <c r="R49" i="83"/>
  <c r="R50" i="83"/>
  <c r="R51" i="83"/>
  <c r="R52" i="83"/>
  <c r="R53" i="83"/>
  <c r="R54" i="83"/>
  <c r="R55" i="83"/>
  <c r="R56" i="83"/>
  <c r="R57" i="83"/>
  <c r="R58" i="83"/>
  <c r="R59" i="83"/>
  <c r="R60" i="83"/>
  <c r="R61" i="83"/>
  <c r="R62" i="83"/>
  <c r="R63" i="83"/>
  <c r="R64" i="83"/>
  <c r="R65" i="83"/>
  <c r="R66" i="83"/>
  <c r="R67" i="83"/>
  <c r="R68" i="83"/>
  <c r="R69" i="83"/>
  <c r="R70" i="83"/>
  <c r="R71" i="83"/>
  <c r="R72" i="83"/>
  <c r="R73" i="83"/>
  <c r="R74" i="83"/>
  <c r="R75" i="83"/>
  <c r="R76" i="83"/>
  <c r="R77" i="83"/>
  <c r="R78" i="83"/>
  <c r="R79" i="83"/>
  <c r="R80" i="83"/>
  <c r="R81" i="83"/>
  <c r="R82" i="83"/>
  <c r="R83" i="83"/>
  <c r="R84" i="83"/>
  <c r="R85" i="83"/>
  <c r="R86" i="83"/>
  <c r="R87" i="83"/>
  <c r="R88" i="83"/>
  <c r="R89" i="83"/>
  <c r="R90" i="83"/>
  <c r="R91" i="83"/>
  <c r="R92" i="83"/>
  <c r="R93" i="83"/>
  <c r="R94" i="83"/>
  <c r="R95" i="83"/>
  <c r="R96" i="83"/>
  <c r="R97" i="83"/>
  <c r="R98" i="83"/>
  <c r="R99" i="83"/>
  <c r="R100" i="83"/>
  <c r="R101" i="83"/>
  <c r="R102" i="83"/>
  <c r="R103" i="83"/>
  <c r="R104" i="83"/>
  <c r="R105" i="83"/>
  <c r="R106" i="83"/>
  <c r="R107" i="83"/>
  <c r="R108" i="83"/>
  <c r="R21" i="83"/>
  <c r="I21" i="9"/>
  <c r="L21" i="9"/>
  <c r="CC21" i="9"/>
  <c r="CC22" i="9"/>
  <c r="CC23" i="9"/>
  <c r="CC24" i="9"/>
  <c r="CC25" i="9"/>
  <c r="CC26" i="9"/>
  <c r="CC27" i="9"/>
  <c r="CC28" i="9"/>
  <c r="CC29" i="9"/>
  <c r="CC30" i="9"/>
  <c r="CC31" i="9"/>
  <c r="CC32" i="9"/>
  <c r="CC33" i="9"/>
  <c r="CC34" i="9"/>
  <c r="CC35" i="9"/>
  <c r="CC36" i="9"/>
  <c r="CC37" i="9"/>
  <c r="CC38" i="9"/>
  <c r="CC39" i="9"/>
  <c r="BW102" i="83"/>
  <c r="BY102" i="83"/>
  <c r="BZ102" i="83"/>
  <c r="CA102" i="83"/>
  <c r="CB102" i="83"/>
  <c r="DW102" i="83"/>
  <c r="FW102" i="83"/>
  <c r="AV102" i="83"/>
  <c r="AW102" i="83"/>
  <c r="CD102" i="83"/>
  <c r="DX102" i="83"/>
  <c r="FY102" i="83"/>
  <c r="IG102" i="83"/>
  <c r="BW103" i="83"/>
  <c r="BX103" i="83"/>
  <c r="BY103" i="83"/>
  <c r="BZ103" i="83"/>
  <c r="CA103" i="83"/>
  <c r="CB103" i="83"/>
  <c r="CC103" i="83"/>
  <c r="DW103" i="83"/>
  <c r="FW103" i="83"/>
  <c r="IF103" i="83"/>
  <c r="AV103" i="83"/>
  <c r="AW103" i="83"/>
  <c r="CD103" i="83"/>
  <c r="DX103" i="83"/>
  <c r="FY103" i="83"/>
  <c r="IG103" i="83"/>
  <c r="IH103" i="83"/>
  <c r="BW104" i="83"/>
  <c r="BX104" i="83"/>
  <c r="BY104" i="83"/>
  <c r="BZ104" i="83"/>
  <c r="CA104" i="83"/>
  <c r="CB104" i="83"/>
  <c r="CC104" i="83"/>
  <c r="DW104" i="83"/>
  <c r="FW104" i="83"/>
  <c r="IF104" i="83"/>
  <c r="AV104" i="83"/>
  <c r="AW104" i="83"/>
  <c r="CD104" i="83"/>
  <c r="DX104" i="83"/>
  <c r="FY104" i="83"/>
  <c r="IG104" i="83"/>
  <c r="IH104" i="83"/>
  <c r="BW105" i="83"/>
  <c r="BX105" i="83"/>
  <c r="BY105" i="83"/>
  <c r="BZ105" i="83"/>
  <c r="CA105" i="83"/>
  <c r="CB105" i="83"/>
  <c r="CC105" i="83"/>
  <c r="DW105" i="83"/>
  <c r="FW105" i="83"/>
  <c r="IF105" i="83"/>
  <c r="AV105" i="83"/>
  <c r="AW105" i="83"/>
  <c r="CD105" i="83"/>
  <c r="DX105" i="83"/>
  <c r="FY105" i="83"/>
  <c r="IG105" i="83"/>
  <c r="IH105" i="83"/>
  <c r="BW106" i="83"/>
  <c r="BX106" i="83"/>
  <c r="BY106" i="83"/>
  <c r="BZ106" i="83"/>
  <c r="CA106" i="83"/>
  <c r="CB106" i="83"/>
  <c r="CC106" i="83"/>
  <c r="DW106" i="83"/>
  <c r="FW106" i="83"/>
  <c r="IF106" i="83"/>
  <c r="AV106" i="83"/>
  <c r="AW106" i="83"/>
  <c r="CD106" i="83"/>
  <c r="DX106" i="83"/>
  <c r="FY106" i="83"/>
  <c r="IG106" i="83"/>
  <c r="IH106" i="83"/>
  <c r="BW107" i="83"/>
  <c r="BX107" i="83"/>
  <c r="BY107" i="83"/>
  <c r="BZ107" i="83"/>
  <c r="CA107" i="83"/>
  <c r="CB107" i="83"/>
  <c r="CC107" i="83"/>
  <c r="DW107" i="83"/>
  <c r="FW107" i="83"/>
  <c r="IF107" i="83"/>
  <c r="AV107" i="83"/>
  <c r="AW107" i="83"/>
  <c r="CD107" i="83"/>
  <c r="DX107" i="83"/>
  <c r="FY107" i="83"/>
  <c r="IG107" i="83"/>
  <c r="IH107" i="83"/>
  <c r="BW108" i="83"/>
  <c r="BX108" i="83"/>
  <c r="BY108" i="83"/>
  <c r="BZ108" i="83"/>
  <c r="CA108" i="83"/>
  <c r="CB108" i="83"/>
  <c r="CC108" i="83"/>
  <c r="DW108" i="83"/>
  <c r="FW108" i="83"/>
  <c r="IF108" i="83"/>
  <c r="AV108" i="83"/>
  <c r="AW108" i="83"/>
  <c r="CD108" i="83"/>
  <c r="DX108" i="83"/>
  <c r="FY108" i="83"/>
  <c r="IG108" i="83"/>
  <c r="IH108" i="83"/>
  <c r="IG192" i="83"/>
  <c r="FV102" i="83"/>
  <c r="IE102" i="83"/>
  <c r="FV103" i="83"/>
  <c r="IE103" i="83"/>
  <c r="FV104" i="83"/>
  <c r="IE104" i="83"/>
  <c r="FV105" i="83"/>
  <c r="IE105" i="83"/>
  <c r="FV106" i="83"/>
  <c r="IE106" i="83"/>
  <c r="FV107" i="83"/>
  <c r="IE107" i="83"/>
  <c r="FV108" i="83"/>
  <c r="IE108" i="83"/>
  <c r="IE192" i="83"/>
  <c r="FU102" i="83"/>
  <c r="ID102" i="83"/>
  <c r="FU103" i="83"/>
  <c r="ID103" i="83"/>
  <c r="FU104" i="83"/>
  <c r="ID104" i="83"/>
  <c r="FU105" i="83"/>
  <c r="ID105" i="83"/>
  <c r="FU106" i="83"/>
  <c r="ID106" i="83"/>
  <c r="FU107" i="83"/>
  <c r="ID107" i="83"/>
  <c r="FU108" i="83"/>
  <c r="ID108" i="83"/>
  <c r="ID192" i="83"/>
  <c r="FT102" i="83"/>
  <c r="IC102" i="83"/>
  <c r="FT103" i="83"/>
  <c r="IC103" i="83"/>
  <c r="FT104" i="83"/>
  <c r="IC104" i="83"/>
  <c r="FT105" i="83"/>
  <c r="IC105" i="83"/>
  <c r="FT106" i="83"/>
  <c r="IC106" i="83"/>
  <c r="FT107" i="83"/>
  <c r="IC107" i="83"/>
  <c r="FT108" i="83"/>
  <c r="IC108" i="83"/>
  <c r="IC192" i="83"/>
  <c r="FS102" i="83"/>
  <c r="IB102" i="83"/>
  <c r="FS103" i="83"/>
  <c r="IB103" i="83"/>
  <c r="FS104" i="83"/>
  <c r="IB104" i="83"/>
  <c r="FS105" i="83"/>
  <c r="IB105" i="83"/>
  <c r="FS106" i="83"/>
  <c r="IB106" i="83"/>
  <c r="FS107" i="83"/>
  <c r="IB107" i="83"/>
  <c r="FS108" i="83"/>
  <c r="IB108" i="83"/>
  <c r="IB192" i="83"/>
  <c r="FR103" i="83"/>
  <c r="IA103" i="83"/>
  <c r="FR104" i="83"/>
  <c r="IA104" i="83"/>
  <c r="FR105" i="83"/>
  <c r="IA105" i="83"/>
  <c r="FR106" i="83"/>
  <c r="IA106" i="83"/>
  <c r="FR107" i="83"/>
  <c r="IA107" i="83"/>
  <c r="FR108" i="83"/>
  <c r="IA108" i="83"/>
  <c r="FQ102" i="83"/>
  <c r="HZ102" i="83"/>
  <c r="FQ103" i="83"/>
  <c r="HZ103" i="83"/>
  <c r="FQ104" i="83"/>
  <c r="HZ104" i="83"/>
  <c r="FQ105" i="83"/>
  <c r="HZ105" i="83"/>
  <c r="FQ106" i="83"/>
  <c r="HZ106" i="83"/>
  <c r="FQ107" i="83"/>
  <c r="HZ107" i="83"/>
  <c r="FQ108" i="83"/>
  <c r="HZ108" i="83"/>
  <c r="HZ192" i="83"/>
  <c r="HD102" i="83"/>
  <c r="HD103" i="83"/>
  <c r="HD104" i="83"/>
  <c r="HD105" i="83"/>
  <c r="HD106" i="83"/>
  <c r="HD107" i="83"/>
  <c r="HD108" i="83"/>
  <c r="HD192" i="83"/>
  <c r="E102" i="83"/>
  <c r="E103" i="83"/>
  <c r="E104" i="83"/>
  <c r="E105" i="83"/>
  <c r="E106" i="83"/>
  <c r="E107" i="83"/>
  <c r="E108" i="83"/>
  <c r="G102" i="83"/>
  <c r="G103" i="83"/>
  <c r="G104" i="83"/>
  <c r="G105" i="83"/>
  <c r="G106" i="83"/>
  <c r="G107" i="83"/>
  <c r="G108" i="83"/>
  <c r="Q102" i="83"/>
  <c r="Q103" i="83"/>
  <c r="Q104" i="83"/>
  <c r="Q105" i="83"/>
  <c r="Q106" i="83"/>
  <c r="Q107" i="83"/>
  <c r="Q108" i="83"/>
  <c r="P192" i="83"/>
  <c r="E192" i="83"/>
  <c r="BW92" i="83"/>
  <c r="BY92" i="83"/>
  <c r="BZ92" i="83"/>
  <c r="CA92" i="83"/>
  <c r="CB92" i="83"/>
  <c r="DW92" i="83"/>
  <c r="AV92" i="83"/>
  <c r="AW92" i="83"/>
  <c r="DX92" i="83"/>
  <c r="BW93" i="83"/>
  <c r="BY93" i="83"/>
  <c r="BZ93" i="83"/>
  <c r="CA93" i="83"/>
  <c r="CB93" i="83"/>
  <c r="DW93" i="83"/>
  <c r="AV93" i="83"/>
  <c r="AW93" i="83"/>
  <c r="DX93" i="83"/>
  <c r="BW94" i="83"/>
  <c r="BY94" i="83"/>
  <c r="BZ94" i="83"/>
  <c r="CA94" i="83"/>
  <c r="CB94" i="83"/>
  <c r="DW94" i="83"/>
  <c r="AV94" i="83"/>
  <c r="AW94" i="83"/>
  <c r="DX94" i="83"/>
  <c r="BW95" i="83"/>
  <c r="BY95" i="83"/>
  <c r="BZ95" i="83"/>
  <c r="CA95" i="83"/>
  <c r="CB95" i="83"/>
  <c r="DW95" i="83"/>
  <c r="AV95" i="83"/>
  <c r="AW95" i="83"/>
  <c r="DX95" i="83"/>
  <c r="BW96" i="83"/>
  <c r="BY96" i="83"/>
  <c r="BZ96" i="83"/>
  <c r="CA96" i="83"/>
  <c r="CB96" i="83"/>
  <c r="DW96" i="83"/>
  <c r="AV96" i="83"/>
  <c r="AW96" i="83"/>
  <c r="DX96" i="83"/>
  <c r="BW97" i="83"/>
  <c r="BY97" i="83"/>
  <c r="BZ97" i="83"/>
  <c r="CA97" i="83"/>
  <c r="CB97" i="83"/>
  <c r="DW97" i="83"/>
  <c r="AV97" i="83"/>
  <c r="AW97" i="83"/>
  <c r="DX97" i="83"/>
  <c r="BW98" i="83"/>
  <c r="BY98" i="83"/>
  <c r="BZ98" i="83"/>
  <c r="CA98" i="83"/>
  <c r="CB98" i="83"/>
  <c r="DW98" i="83"/>
  <c r="AV98" i="83"/>
  <c r="AW98" i="83"/>
  <c r="DX98" i="83"/>
  <c r="BW99" i="83"/>
  <c r="BY99" i="83"/>
  <c r="BZ99" i="83"/>
  <c r="CA99" i="83"/>
  <c r="CB99" i="83"/>
  <c r="DW99" i="83"/>
  <c r="AV99" i="83"/>
  <c r="AW99" i="83"/>
  <c r="DX99" i="83"/>
  <c r="BW100" i="83"/>
  <c r="BY100" i="83"/>
  <c r="BZ100" i="83"/>
  <c r="CA100" i="83"/>
  <c r="CB100" i="83"/>
  <c r="DW100" i="83"/>
  <c r="AV100" i="83"/>
  <c r="AW100" i="83"/>
  <c r="DX100" i="83"/>
  <c r="BW101" i="83"/>
  <c r="BY101" i="83"/>
  <c r="BZ101" i="83"/>
  <c r="CA101" i="83"/>
  <c r="CB101" i="83"/>
  <c r="DW101" i="83"/>
  <c r="FW101" i="83"/>
  <c r="AV101" i="83"/>
  <c r="AW101" i="83"/>
  <c r="CD101" i="83"/>
  <c r="DX101" i="83"/>
  <c r="FY101" i="83"/>
  <c r="IG101" i="83"/>
  <c r="FV92" i="83"/>
  <c r="IE92" i="83"/>
  <c r="FV93" i="83"/>
  <c r="IE93" i="83"/>
  <c r="FV94" i="83"/>
  <c r="IE94" i="83"/>
  <c r="FV95" i="83"/>
  <c r="IE95" i="83"/>
  <c r="FV96" i="83"/>
  <c r="IE96" i="83"/>
  <c r="FV97" i="83"/>
  <c r="IE97" i="83"/>
  <c r="FV98" i="83"/>
  <c r="IE98" i="83"/>
  <c r="FV99" i="83"/>
  <c r="IE99" i="83"/>
  <c r="FV100" i="83"/>
  <c r="IE100" i="83"/>
  <c r="FV101" i="83"/>
  <c r="IE101" i="83"/>
  <c r="IE182" i="83"/>
  <c r="FU92" i="83"/>
  <c r="ID92" i="83"/>
  <c r="FU93" i="83"/>
  <c r="ID93" i="83"/>
  <c r="FU94" i="83"/>
  <c r="ID94" i="83"/>
  <c r="FU95" i="83"/>
  <c r="ID95" i="83"/>
  <c r="FU96" i="83"/>
  <c r="ID96" i="83"/>
  <c r="FU97" i="83"/>
  <c r="ID97" i="83"/>
  <c r="FU98" i="83"/>
  <c r="ID98" i="83"/>
  <c r="FU99" i="83"/>
  <c r="ID99" i="83"/>
  <c r="FU100" i="83"/>
  <c r="ID100" i="83"/>
  <c r="FU101" i="83"/>
  <c r="ID101" i="83"/>
  <c r="ID182" i="83"/>
  <c r="FT92" i="83"/>
  <c r="IC92" i="83"/>
  <c r="FT93" i="83"/>
  <c r="IC93" i="83"/>
  <c r="FT94" i="83"/>
  <c r="IC94" i="83"/>
  <c r="FT95" i="83"/>
  <c r="IC95" i="83"/>
  <c r="FT96" i="83"/>
  <c r="IC96" i="83"/>
  <c r="FT97" i="83"/>
  <c r="IC97" i="83"/>
  <c r="FT98" i="83"/>
  <c r="IC98" i="83"/>
  <c r="FT99" i="83"/>
  <c r="IC99" i="83"/>
  <c r="FT100" i="83"/>
  <c r="IC100" i="83"/>
  <c r="FT101" i="83"/>
  <c r="IC101" i="83"/>
  <c r="IC182" i="83"/>
  <c r="FS92" i="83"/>
  <c r="IB92" i="83"/>
  <c r="FS93" i="83"/>
  <c r="IB93" i="83"/>
  <c r="FS94" i="83"/>
  <c r="IB94" i="83"/>
  <c r="FS95" i="83"/>
  <c r="IB95" i="83"/>
  <c r="FS96" i="83"/>
  <c r="IB96" i="83"/>
  <c r="FS97" i="83"/>
  <c r="IB97" i="83"/>
  <c r="FS98" i="83"/>
  <c r="IB98" i="83"/>
  <c r="FS99" i="83"/>
  <c r="IB99" i="83"/>
  <c r="FS100" i="83"/>
  <c r="IB100" i="83"/>
  <c r="FS101" i="83"/>
  <c r="IB101" i="83"/>
  <c r="IB182" i="83"/>
  <c r="FQ92" i="83"/>
  <c r="HZ92" i="83"/>
  <c r="FQ93" i="83"/>
  <c r="HZ93" i="83"/>
  <c r="FQ94" i="83"/>
  <c r="HZ94" i="83"/>
  <c r="FQ95" i="83"/>
  <c r="HZ95" i="83"/>
  <c r="FQ96" i="83"/>
  <c r="HZ96" i="83"/>
  <c r="FQ97" i="83"/>
  <c r="HZ97" i="83"/>
  <c r="FQ98" i="83"/>
  <c r="HZ98" i="83"/>
  <c r="FQ99" i="83"/>
  <c r="HZ99" i="83"/>
  <c r="FQ100" i="83"/>
  <c r="HZ100" i="83"/>
  <c r="FQ101" i="83"/>
  <c r="HZ101" i="83"/>
  <c r="HZ182" i="83"/>
  <c r="HD92" i="83"/>
  <c r="HD93" i="83"/>
  <c r="HD94" i="83"/>
  <c r="HD95" i="83"/>
  <c r="HD96" i="83"/>
  <c r="HD97" i="83"/>
  <c r="HD98" i="83"/>
  <c r="HD99" i="83"/>
  <c r="HD100" i="83"/>
  <c r="HD101" i="83"/>
  <c r="HD182" i="83"/>
  <c r="E92" i="83"/>
  <c r="E93" i="83"/>
  <c r="E94" i="83"/>
  <c r="E95" i="83"/>
  <c r="E96" i="83"/>
  <c r="E97" i="83"/>
  <c r="E98" i="83"/>
  <c r="E99" i="83"/>
  <c r="E100" i="83"/>
  <c r="E101" i="83"/>
  <c r="G92" i="83"/>
  <c r="G93" i="83"/>
  <c r="G94" i="83"/>
  <c r="G95" i="83"/>
  <c r="G96" i="83"/>
  <c r="G97" i="83"/>
  <c r="G98" i="83"/>
  <c r="G99" i="83"/>
  <c r="G100" i="83"/>
  <c r="G101" i="83"/>
  <c r="Q92" i="83"/>
  <c r="Q93" i="83"/>
  <c r="Q94" i="83"/>
  <c r="Q95" i="83"/>
  <c r="Q96" i="83"/>
  <c r="Q97" i="83"/>
  <c r="Q98" i="83"/>
  <c r="Q99" i="83"/>
  <c r="Q100" i="83"/>
  <c r="Q101" i="83"/>
  <c r="P182" i="83"/>
  <c r="E182" i="83"/>
  <c r="BW82" i="83"/>
  <c r="BY82" i="83"/>
  <c r="BZ82" i="83"/>
  <c r="CA82" i="83"/>
  <c r="CB82" i="83"/>
  <c r="DW82" i="83"/>
  <c r="AV82" i="83"/>
  <c r="AW82" i="83"/>
  <c r="DX82" i="83"/>
  <c r="BW83" i="83"/>
  <c r="BY83" i="83"/>
  <c r="BZ83" i="83"/>
  <c r="CA83" i="83"/>
  <c r="CB83" i="83"/>
  <c r="DW83" i="83"/>
  <c r="AV83" i="83"/>
  <c r="AW83" i="83"/>
  <c r="DX83" i="83"/>
  <c r="BW84" i="83"/>
  <c r="BY84" i="83"/>
  <c r="BZ84" i="83"/>
  <c r="CA84" i="83"/>
  <c r="CB84" i="83"/>
  <c r="DW84" i="83"/>
  <c r="AV84" i="83"/>
  <c r="AW84" i="83"/>
  <c r="DX84" i="83"/>
  <c r="BW85" i="83"/>
  <c r="BY85" i="83"/>
  <c r="BZ85" i="83"/>
  <c r="CA85" i="83"/>
  <c r="CB85" i="83"/>
  <c r="DW85" i="83"/>
  <c r="AV85" i="83"/>
  <c r="AW85" i="83"/>
  <c r="DX85" i="83"/>
  <c r="BW86" i="83"/>
  <c r="BY86" i="83"/>
  <c r="BZ86" i="83"/>
  <c r="CA86" i="83"/>
  <c r="CB86" i="83"/>
  <c r="DW86" i="83"/>
  <c r="AV86" i="83"/>
  <c r="AW86" i="83"/>
  <c r="DX86" i="83"/>
  <c r="BW87" i="83"/>
  <c r="BY87" i="83"/>
  <c r="BZ87" i="83"/>
  <c r="CA87" i="83"/>
  <c r="CB87" i="83"/>
  <c r="DW87" i="83"/>
  <c r="AV87" i="83"/>
  <c r="AW87" i="83"/>
  <c r="DX87" i="83"/>
  <c r="BW88" i="83"/>
  <c r="BY88" i="83"/>
  <c r="BZ88" i="83"/>
  <c r="CA88" i="83"/>
  <c r="CB88" i="83"/>
  <c r="DW88" i="83"/>
  <c r="AV88" i="83"/>
  <c r="AW88" i="83"/>
  <c r="DX88" i="83"/>
  <c r="BW89" i="83"/>
  <c r="BY89" i="83"/>
  <c r="BZ89" i="83"/>
  <c r="CA89" i="83"/>
  <c r="CB89" i="83"/>
  <c r="DW89" i="83"/>
  <c r="AV89" i="83"/>
  <c r="AW89" i="83"/>
  <c r="DX89" i="83"/>
  <c r="BW90" i="83"/>
  <c r="BY90" i="83"/>
  <c r="BZ90" i="83"/>
  <c r="CA90" i="83"/>
  <c r="CB90" i="83"/>
  <c r="DW90" i="83"/>
  <c r="AV90" i="83"/>
  <c r="AW90" i="83"/>
  <c r="DX90" i="83"/>
  <c r="BW91" i="83"/>
  <c r="BY91" i="83"/>
  <c r="BZ91" i="83"/>
  <c r="CA91" i="83"/>
  <c r="CB91" i="83"/>
  <c r="DW91" i="83"/>
  <c r="AV91" i="83"/>
  <c r="AW91" i="83"/>
  <c r="DX91" i="83"/>
  <c r="FV82" i="83"/>
  <c r="IE82" i="83"/>
  <c r="FV83" i="83"/>
  <c r="IE83" i="83"/>
  <c r="FV84" i="83"/>
  <c r="IE84" i="83"/>
  <c r="FV85" i="83"/>
  <c r="IE85" i="83"/>
  <c r="FV86" i="83"/>
  <c r="IE86" i="83"/>
  <c r="FV87" i="83"/>
  <c r="IE87" i="83"/>
  <c r="FV88" i="83"/>
  <c r="IE88" i="83"/>
  <c r="FV89" i="83"/>
  <c r="IE89" i="83"/>
  <c r="FV90" i="83"/>
  <c r="IE90" i="83"/>
  <c r="FV91" i="83"/>
  <c r="IE91" i="83"/>
  <c r="IE172" i="83"/>
  <c r="FU82" i="83"/>
  <c r="ID82" i="83"/>
  <c r="FU83" i="83"/>
  <c r="ID83" i="83"/>
  <c r="FU84" i="83"/>
  <c r="ID84" i="83"/>
  <c r="FU85" i="83"/>
  <c r="ID85" i="83"/>
  <c r="FU86" i="83"/>
  <c r="ID86" i="83"/>
  <c r="FU87" i="83"/>
  <c r="ID87" i="83"/>
  <c r="FU88" i="83"/>
  <c r="ID88" i="83"/>
  <c r="FU89" i="83"/>
  <c r="ID89" i="83"/>
  <c r="FU90" i="83"/>
  <c r="ID90" i="83"/>
  <c r="FU91" i="83"/>
  <c r="ID91" i="83"/>
  <c r="ID172" i="83"/>
  <c r="FT82" i="83"/>
  <c r="IC82" i="83"/>
  <c r="FT83" i="83"/>
  <c r="IC83" i="83"/>
  <c r="FT84" i="83"/>
  <c r="IC84" i="83"/>
  <c r="FT85" i="83"/>
  <c r="IC85" i="83"/>
  <c r="FT86" i="83"/>
  <c r="IC86" i="83"/>
  <c r="FT87" i="83"/>
  <c r="IC87" i="83"/>
  <c r="FT88" i="83"/>
  <c r="IC88" i="83"/>
  <c r="FT89" i="83"/>
  <c r="IC89" i="83"/>
  <c r="FT90" i="83"/>
  <c r="IC90" i="83"/>
  <c r="FT91" i="83"/>
  <c r="IC91" i="83"/>
  <c r="IC172" i="83"/>
  <c r="FS82" i="83"/>
  <c r="IB82" i="83"/>
  <c r="FS83" i="83"/>
  <c r="IB83" i="83"/>
  <c r="FS84" i="83"/>
  <c r="IB84" i="83"/>
  <c r="FS85" i="83"/>
  <c r="IB85" i="83"/>
  <c r="FS86" i="83"/>
  <c r="IB86" i="83"/>
  <c r="FS87" i="83"/>
  <c r="IB87" i="83"/>
  <c r="FS88" i="83"/>
  <c r="IB88" i="83"/>
  <c r="FS89" i="83"/>
  <c r="IB89" i="83"/>
  <c r="FS90" i="83"/>
  <c r="IB90" i="83"/>
  <c r="FS91" i="83"/>
  <c r="IB91" i="83"/>
  <c r="IB172" i="83"/>
  <c r="FQ82" i="83"/>
  <c r="HZ82" i="83"/>
  <c r="FQ83" i="83"/>
  <c r="HZ83" i="83"/>
  <c r="FQ84" i="83"/>
  <c r="HZ84" i="83"/>
  <c r="FQ85" i="83"/>
  <c r="HZ85" i="83"/>
  <c r="FQ86" i="83"/>
  <c r="HZ86" i="83"/>
  <c r="FQ87" i="83"/>
  <c r="HZ87" i="83"/>
  <c r="FQ88" i="83"/>
  <c r="HZ88" i="83"/>
  <c r="FQ89" i="83"/>
  <c r="HZ89" i="83"/>
  <c r="FQ90" i="83"/>
  <c r="HZ90" i="83"/>
  <c r="FQ91" i="83"/>
  <c r="HZ91" i="83"/>
  <c r="HZ172" i="83"/>
  <c r="HD82" i="83"/>
  <c r="HD83" i="83"/>
  <c r="HD84" i="83"/>
  <c r="HD85" i="83"/>
  <c r="HD86" i="83"/>
  <c r="HD87" i="83"/>
  <c r="HD88" i="83"/>
  <c r="HD89" i="83"/>
  <c r="HD90" i="83"/>
  <c r="HD91" i="83"/>
  <c r="HD172" i="83"/>
  <c r="E82" i="83"/>
  <c r="E83" i="83"/>
  <c r="E84" i="83"/>
  <c r="E85" i="83"/>
  <c r="E86" i="83"/>
  <c r="E87" i="83"/>
  <c r="E88" i="83"/>
  <c r="E89" i="83"/>
  <c r="E90" i="83"/>
  <c r="E91" i="83"/>
  <c r="G82" i="83"/>
  <c r="G83" i="83"/>
  <c r="G84" i="83"/>
  <c r="G85" i="83"/>
  <c r="G86" i="83"/>
  <c r="G87" i="83"/>
  <c r="G88" i="83"/>
  <c r="G89" i="83"/>
  <c r="G90" i="83"/>
  <c r="G91" i="83"/>
  <c r="Q82" i="83"/>
  <c r="Q83" i="83"/>
  <c r="Q84" i="83"/>
  <c r="Q85" i="83"/>
  <c r="Q86" i="83"/>
  <c r="Q87" i="83"/>
  <c r="Q88" i="83"/>
  <c r="Q89" i="83"/>
  <c r="Q90" i="83"/>
  <c r="Q91" i="83"/>
  <c r="P172" i="83"/>
  <c r="E172" i="83"/>
  <c r="BW75" i="83"/>
  <c r="BY75" i="83"/>
  <c r="BZ75" i="83"/>
  <c r="CA75" i="83"/>
  <c r="CB75" i="83"/>
  <c r="DW75" i="83"/>
  <c r="AV75" i="83"/>
  <c r="AW75" i="83"/>
  <c r="DX75" i="83"/>
  <c r="BW76" i="83"/>
  <c r="BY76" i="83"/>
  <c r="BZ76" i="83"/>
  <c r="CA76" i="83"/>
  <c r="CB76" i="83"/>
  <c r="DW76" i="83"/>
  <c r="AV76" i="83"/>
  <c r="AW76" i="83"/>
  <c r="DX76" i="83"/>
  <c r="BW77" i="83"/>
  <c r="BY77" i="83"/>
  <c r="BZ77" i="83"/>
  <c r="CA77" i="83"/>
  <c r="CB77" i="83"/>
  <c r="DW77" i="83"/>
  <c r="AV77" i="83"/>
  <c r="AW77" i="83"/>
  <c r="DX77" i="83"/>
  <c r="BW78" i="83"/>
  <c r="BY78" i="83"/>
  <c r="BZ78" i="83"/>
  <c r="CA78" i="83"/>
  <c r="CB78" i="83"/>
  <c r="DW78" i="83"/>
  <c r="AV78" i="83"/>
  <c r="AW78" i="83"/>
  <c r="DX78" i="83"/>
  <c r="BW79" i="83"/>
  <c r="BY79" i="83"/>
  <c r="BZ79" i="83"/>
  <c r="CA79" i="83"/>
  <c r="CB79" i="83"/>
  <c r="DW79" i="83"/>
  <c r="AV79" i="83"/>
  <c r="AW79" i="83"/>
  <c r="DX79" i="83"/>
  <c r="BW80" i="83"/>
  <c r="BY80" i="83"/>
  <c r="BZ80" i="83"/>
  <c r="CA80" i="83"/>
  <c r="CB80" i="83"/>
  <c r="DW80" i="83"/>
  <c r="AV80" i="83"/>
  <c r="AW80" i="83"/>
  <c r="DX80" i="83"/>
  <c r="BW81" i="83"/>
  <c r="BY81" i="83"/>
  <c r="BZ81" i="83"/>
  <c r="CA81" i="83"/>
  <c r="CB81" i="83"/>
  <c r="DW81" i="83"/>
  <c r="AV81" i="83"/>
  <c r="AW81" i="83"/>
  <c r="DX81" i="83"/>
  <c r="FV75" i="83"/>
  <c r="IE75" i="83"/>
  <c r="FV76" i="83"/>
  <c r="IE76" i="83"/>
  <c r="FV77" i="83"/>
  <c r="IE77" i="83"/>
  <c r="FV78" i="83"/>
  <c r="IE78" i="83"/>
  <c r="FV79" i="83"/>
  <c r="IE79" i="83"/>
  <c r="FV80" i="83"/>
  <c r="IE80" i="83"/>
  <c r="FV81" i="83"/>
  <c r="IE81" i="83"/>
  <c r="IE162" i="83"/>
  <c r="FU75" i="83"/>
  <c r="ID75" i="83"/>
  <c r="FU76" i="83"/>
  <c r="ID76" i="83"/>
  <c r="FU77" i="83"/>
  <c r="ID77" i="83"/>
  <c r="FU78" i="83"/>
  <c r="ID78" i="83"/>
  <c r="FU79" i="83"/>
  <c r="ID79" i="83"/>
  <c r="FU80" i="83"/>
  <c r="ID80" i="83"/>
  <c r="FU81" i="83"/>
  <c r="ID81" i="83"/>
  <c r="ID162" i="83"/>
  <c r="FT75" i="83"/>
  <c r="IC75" i="83"/>
  <c r="FT76" i="83"/>
  <c r="IC76" i="83"/>
  <c r="FT77" i="83"/>
  <c r="IC77" i="83"/>
  <c r="FT78" i="83"/>
  <c r="IC78" i="83"/>
  <c r="FT79" i="83"/>
  <c r="IC79" i="83"/>
  <c r="FT80" i="83"/>
  <c r="IC80" i="83"/>
  <c r="FT81" i="83"/>
  <c r="IC81" i="83"/>
  <c r="IC162" i="83"/>
  <c r="FS75" i="83"/>
  <c r="IB75" i="83"/>
  <c r="FS76" i="83"/>
  <c r="IB76" i="83"/>
  <c r="FS77" i="83"/>
  <c r="IB77" i="83"/>
  <c r="FS78" i="83"/>
  <c r="IB78" i="83"/>
  <c r="FS79" i="83"/>
  <c r="IB79" i="83"/>
  <c r="FS80" i="83"/>
  <c r="IB80" i="83"/>
  <c r="FS81" i="83"/>
  <c r="IB81" i="83"/>
  <c r="IB162" i="83"/>
  <c r="FQ75" i="83"/>
  <c r="HZ75" i="83"/>
  <c r="FQ76" i="83"/>
  <c r="HZ76" i="83"/>
  <c r="FQ77" i="83"/>
  <c r="HZ77" i="83"/>
  <c r="FQ78" i="83"/>
  <c r="HZ78" i="83"/>
  <c r="FQ79" i="83"/>
  <c r="HZ79" i="83"/>
  <c r="FQ80" i="83"/>
  <c r="HZ80" i="83"/>
  <c r="FQ81" i="83"/>
  <c r="HZ81" i="83"/>
  <c r="HZ162" i="83"/>
  <c r="HD74" i="83"/>
  <c r="HD75" i="83"/>
  <c r="HD76" i="83"/>
  <c r="HD77" i="83"/>
  <c r="HD78" i="83"/>
  <c r="HD79" i="83"/>
  <c r="HD80" i="83"/>
  <c r="HD81" i="83"/>
  <c r="HD162" i="83"/>
  <c r="E72" i="83"/>
  <c r="E73" i="83"/>
  <c r="CB74" i="83"/>
  <c r="CA74" i="83"/>
  <c r="BZ74" i="83"/>
  <c r="BY74" i="83"/>
  <c r="BW74" i="83"/>
  <c r="E74" i="83"/>
  <c r="E75" i="83"/>
  <c r="E76" i="83"/>
  <c r="E77" i="83"/>
  <c r="E78" i="83"/>
  <c r="E79" i="83"/>
  <c r="E80" i="83"/>
  <c r="E81" i="83"/>
  <c r="BX75" i="83"/>
  <c r="BX76" i="83"/>
  <c r="BX77" i="83"/>
  <c r="BX78" i="83"/>
  <c r="BX79" i="83"/>
  <c r="BX80" i="83"/>
  <c r="BX81" i="83"/>
  <c r="BX74" i="83"/>
  <c r="G72" i="83"/>
  <c r="G73" i="83"/>
  <c r="G74" i="83"/>
  <c r="G75" i="83"/>
  <c r="G76" i="83"/>
  <c r="G77" i="83"/>
  <c r="G78" i="83"/>
  <c r="G79" i="83"/>
  <c r="G80" i="83"/>
  <c r="G81" i="83"/>
  <c r="Q72" i="83"/>
  <c r="Q73" i="83"/>
  <c r="Q74" i="83"/>
  <c r="Q75" i="83"/>
  <c r="Q76" i="83"/>
  <c r="Q77" i="83"/>
  <c r="Q78" i="83"/>
  <c r="Q79" i="83"/>
  <c r="Q80" i="83"/>
  <c r="Q81" i="83"/>
  <c r="P162" i="83"/>
  <c r="E162" i="83"/>
  <c r="E62" i="83"/>
  <c r="E63" i="83"/>
  <c r="E64" i="83"/>
  <c r="E65" i="83"/>
  <c r="E66" i="83"/>
  <c r="E67" i="83"/>
  <c r="E68" i="83"/>
  <c r="E69" i="83"/>
  <c r="E70" i="83"/>
  <c r="E71" i="83"/>
  <c r="G62" i="83"/>
  <c r="G63" i="83"/>
  <c r="G64" i="83"/>
  <c r="G65" i="83"/>
  <c r="G66" i="83"/>
  <c r="G67" i="83"/>
  <c r="G68" i="83"/>
  <c r="G69" i="83"/>
  <c r="G70" i="83"/>
  <c r="G71" i="83"/>
  <c r="Q62" i="83"/>
  <c r="Q63" i="83"/>
  <c r="Q64" i="83"/>
  <c r="Q65" i="83"/>
  <c r="Q66" i="83"/>
  <c r="Q67" i="83"/>
  <c r="Q68" i="83"/>
  <c r="Q69" i="83"/>
  <c r="Q70" i="83"/>
  <c r="Q71" i="83"/>
  <c r="P152" i="83"/>
  <c r="E152" i="83"/>
  <c r="E52" i="83"/>
  <c r="E53" i="83"/>
  <c r="E54" i="83"/>
  <c r="E55" i="83"/>
  <c r="E56" i="83"/>
  <c r="E57" i="83"/>
  <c r="E58" i="83"/>
  <c r="E59" i="83"/>
  <c r="E60" i="83"/>
  <c r="E61" i="83"/>
  <c r="G52" i="83"/>
  <c r="G53" i="83"/>
  <c r="G54" i="83"/>
  <c r="G55" i="83"/>
  <c r="G56" i="83"/>
  <c r="G57" i="83"/>
  <c r="G58" i="83"/>
  <c r="G59" i="83"/>
  <c r="G60" i="83"/>
  <c r="G61" i="83"/>
  <c r="Q52" i="83"/>
  <c r="Q53" i="83"/>
  <c r="Q54" i="83"/>
  <c r="Q55" i="83"/>
  <c r="Q56" i="83"/>
  <c r="Q57" i="83"/>
  <c r="Q58" i="83"/>
  <c r="Q59" i="83"/>
  <c r="Q60" i="83"/>
  <c r="Q61" i="83"/>
  <c r="P142" i="83"/>
  <c r="E142" i="83"/>
  <c r="E42" i="83"/>
  <c r="E43" i="83"/>
  <c r="E44" i="83"/>
  <c r="E45" i="83"/>
  <c r="E46" i="83"/>
  <c r="E47" i="83"/>
  <c r="E48" i="83"/>
  <c r="E49" i="83"/>
  <c r="E50" i="83"/>
  <c r="E51" i="83"/>
  <c r="G42" i="83"/>
  <c r="G43" i="83"/>
  <c r="G44" i="83"/>
  <c r="G45" i="83"/>
  <c r="G46" i="83"/>
  <c r="G47" i="83"/>
  <c r="G48" i="83"/>
  <c r="G49" i="83"/>
  <c r="G50" i="83"/>
  <c r="G51" i="83"/>
  <c r="Q42" i="83"/>
  <c r="Q43" i="83"/>
  <c r="Q44" i="83"/>
  <c r="Q45" i="83"/>
  <c r="Q46" i="83"/>
  <c r="Q47" i="83"/>
  <c r="Q48" i="83"/>
  <c r="Q49" i="83"/>
  <c r="Q50" i="83"/>
  <c r="Q51" i="83"/>
  <c r="P132" i="83"/>
  <c r="E132" i="83"/>
  <c r="E32" i="83"/>
  <c r="E33" i="83"/>
  <c r="E34" i="83"/>
  <c r="E35" i="83"/>
  <c r="E36" i="83"/>
  <c r="E37" i="83"/>
  <c r="E38" i="83"/>
  <c r="E39" i="83"/>
  <c r="E40" i="83"/>
  <c r="E41" i="83"/>
  <c r="G32" i="83"/>
  <c r="G33" i="83"/>
  <c r="G34" i="83"/>
  <c r="G35" i="83"/>
  <c r="G36" i="83"/>
  <c r="G37" i="83"/>
  <c r="G38" i="83"/>
  <c r="G39" i="83"/>
  <c r="G40" i="83"/>
  <c r="G41" i="83"/>
  <c r="Q32" i="83"/>
  <c r="Q33" i="83"/>
  <c r="Q34" i="83"/>
  <c r="Q35" i="83"/>
  <c r="Q36" i="83"/>
  <c r="Q37" i="83"/>
  <c r="Q38" i="83"/>
  <c r="Q39" i="83"/>
  <c r="Q40" i="83"/>
  <c r="Q41" i="83"/>
  <c r="P122" i="83"/>
  <c r="E122" i="83"/>
  <c r="E22" i="83"/>
  <c r="E23" i="83"/>
  <c r="E24" i="83"/>
  <c r="E25" i="83"/>
  <c r="E26" i="83"/>
  <c r="E27" i="83"/>
  <c r="E28" i="83"/>
  <c r="E29" i="83"/>
  <c r="E30" i="83"/>
  <c r="E31" i="83"/>
  <c r="G26" i="83"/>
  <c r="G27" i="83"/>
  <c r="G28" i="83"/>
  <c r="G29" i="83"/>
  <c r="G30" i="83"/>
  <c r="G31" i="83"/>
  <c r="Q22" i="83"/>
  <c r="Q23" i="83"/>
  <c r="Q24" i="83"/>
  <c r="Q25" i="83"/>
  <c r="Q26" i="83"/>
  <c r="Q27" i="83"/>
  <c r="Q28" i="83"/>
  <c r="Q29" i="83"/>
  <c r="Q30" i="83"/>
  <c r="Q31" i="83"/>
  <c r="P112" i="83"/>
  <c r="E112" i="83"/>
  <c r="HW108" i="83"/>
  <c r="HB74" i="83" a="1"/>
  <c r="HB108" i="83"/>
  <c r="HC74" i="83" a="1"/>
  <c r="HC108" i="83"/>
  <c r="HA108" i="83"/>
  <c r="GZ108" i="83"/>
  <c r="GP108" i="83"/>
  <c r="GM108" i="83"/>
  <c r="GK108" i="83"/>
  <c r="GI108" i="83"/>
  <c r="GH108" i="83"/>
  <c r="GG108" i="83"/>
  <c r="GF108" i="83"/>
  <c r="GE108" i="83"/>
  <c r="GD108" i="83"/>
  <c r="GC108" i="83"/>
  <c r="GB108" i="83"/>
  <c r="GA108" i="83"/>
  <c r="FZ108" i="83"/>
  <c r="FX108" i="83"/>
  <c r="EE108" i="83"/>
  <c r="ED108" i="83"/>
  <c r="EC108" i="83"/>
  <c r="EB108" i="83"/>
  <c r="EA108" i="83"/>
  <c r="DZ108" i="83"/>
  <c r="DY108" i="83"/>
  <c r="DO108" i="83"/>
  <c r="DM108" i="83"/>
  <c r="DN108" i="83"/>
  <c r="BQ108" i="83"/>
  <c r="BR108" i="83"/>
  <c r="BT108" i="83"/>
  <c r="BE108" i="83"/>
  <c r="BB108" i="83"/>
  <c r="BA108" i="83"/>
  <c r="AZ108" i="83"/>
  <c r="AY108" i="83"/>
  <c r="AX108" i="83"/>
  <c r="BF108" i="83"/>
  <c r="BD108" i="83"/>
  <c r="BC108" i="83"/>
  <c r="AF108" i="83"/>
  <c r="W108" i="83"/>
  <c r="V108" i="83"/>
  <c r="S108" i="83"/>
  <c r="N108" i="83"/>
  <c r="K108" i="83"/>
  <c r="J108" i="83"/>
  <c r="H108" i="83"/>
  <c r="F108" i="83"/>
  <c r="HW107" i="83"/>
  <c r="HB107" i="83"/>
  <c r="HC107" i="83"/>
  <c r="HA107" i="83"/>
  <c r="GZ107" i="83"/>
  <c r="GP107" i="83"/>
  <c r="GM107" i="83"/>
  <c r="GK107" i="83"/>
  <c r="GI107" i="83"/>
  <c r="GH107" i="83"/>
  <c r="GG107" i="83"/>
  <c r="GF107" i="83"/>
  <c r="GE107" i="83"/>
  <c r="GD107" i="83"/>
  <c r="GC107" i="83"/>
  <c r="GB107" i="83"/>
  <c r="GA107" i="83"/>
  <c r="FZ107" i="83"/>
  <c r="FX107" i="83"/>
  <c r="EE107" i="83"/>
  <c r="ED107" i="83"/>
  <c r="EC107" i="83"/>
  <c r="EB107" i="83"/>
  <c r="EA107" i="83"/>
  <c r="DZ107" i="83"/>
  <c r="DY107" i="83"/>
  <c r="DO107" i="83"/>
  <c r="DM107" i="83"/>
  <c r="DN107" i="83"/>
  <c r="BQ107" i="83"/>
  <c r="BR107" i="83"/>
  <c r="BT107" i="83"/>
  <c r="BE107" i="83"/>
  <c r="BB107" i="83"/>
  <c r="BA107" i="83"/>
  <c r="AZ107" i="83"/>
  <c r="AY107" i="83"/>
  <c r="AX107" i="83"/>
  <c r="BF107" i="83"/>
  <c r="BD107" i="83"/>
  <c r="BC107" i="83"/>
  <c r="AF107" i="83"/>
  <c r="W107" i="83"/>
  <c r="V107" i="83"/>
  <c r="S107" i="83"/>
  <c r="N107" i="83"/>
  <c r="K107" i="83"/>
  <c r="J107" i="83"/>
  <c r="H107" i="83"/>
  <c r="F107" i="83"/>
  <c r="HW106" i="83"/>
  <c r="HB106" i="83"/>
  <c r="HC106" i="83"/>
  <c r="HA106" i="83"/>
  <c r="GZ106" i="83"/>
  <c r="GP106" i="83"/>
  <c r="GM106" i="83"/>
  <c r="GK106" i="83"/>
  <c r="GI106" i="83"/>
  <c r="GH106" i="83"/>
  <c r="GG106" i="83"/>
  <c r="GF106" i="83"/>
  <c r="GE106" i="83"/>
  <c r="GD106" i="83"/>
  <c r="GC106" i="83"/>
  <c r="GB106" i="83"/>
  <c r="GA106" i="83"/>
  <c r="FZ106" i="83"/>
  <c r="FX106" i="83"/>
  <c r="EE106" i="83"/>
  <c r="ED106" i="83"/>
  <c r="EC106" i="83"/>
  <c r="EB106" i="83"/>
  <c r="EA106" i="83"/>
  <c r="DZ106" i="83"/>
  <c r="DY106" i="83"/>
  <c r="DO106" i="83"/>
  <c r="DM106" i="83"/>
  <c r="DN106" i="83"/>
  <c r="BQ106" i="83"/>
  <c r="BR106" i="83"/>
  <c r="BT106" i="83"/>
  <c r="BE106" i="83"/>
  <c r="BB106" i="83"/>
  <c r="BA106" i="83"/>
  <c r="AZ106" i="83"/>
  <c r="AY106" i="83"/>
  <c r="AX106" i="83"/>
  <c r="BF106" i="83"/>
  <c r="BD106" i="83"/>
  <c r="BC106" i="83"/>
  <c r="AF106" i="83"/>
  <c r="W106" i="83"/>
  <c r="V106" i="83"/>
  <c r="S106" i="83"/>
  <c r="N106" i="83"/>
  <c r="K106" i="83"/>
  <c r="J106" i="83"/>
  <c r="H106" i="83"/>
  <c r="F106" i="83"/>
  <c r="HW105" i="83"/>
  <c r="HB105" i="83"/>
  <c r="HC105" i="83"/>
  <c r="HA105" i="83"/>
  <c r="GZ105" i="83"/>
  <c r="GP105" i="83"/>
  <c r="GM105" i="83"/>
  <c r="GK105" i="83"/>
  <c r="GI105" i="83"/>
  <c r="GH105" i="83"/>
  <c r="GG105" i="83"/>
  <c r="GF105" i="83"/>
  <c r="GE105" i="83"/>
  <c r="GD105" i="83"/>
  <c r="GC105" i="83"/>
  <c r="GB105" i="83"/>
  <c r="GA105" i="83"/>
  <c r="FZ105" i="83"/>
  <c r="FX105" i="83"/>
  <c r="EE105" i="83"/>
  <c r="ED105" i="83"/>
  <c r="EC105" i="83"/>
  <c r="EB105" i="83"/>
  <c r="EA105" i="83"/>
  <c r="DZ105" i="83"/>
  <c r="DY105" i="83"/>
  <c r="DO105" i="83"/>
  <c r="DM105" i="83"/>
  <c r="DN105" i="83"/>
  <c r="BQ105" i="83"/>
  <c r="BR105" i="83"/>
  <c r="BT105" i="83"/>
  <c r="BE105" i="83"/>
  <c r="BB105" i="83"/>
  <c r="BA105" i="83"/>
  <c r="AZ105" i="83"/>
  <c r="AY105" i="83"/>
  <c r="AX105" i="83"/>
  <c r="BF105" i="83"/>
  <c r="BD105" i="83"/>
  <c r="BC105" i="83"/>
  <c r="AF105" i="83"/>
  <c r="W105" i="83"/>
  <c r="V105" i="83"/>
  <c r="S105" i="83"/>
  <c r="N105" i="83"/>
  <c r="K105" i="83"/>
  <c r="J105" i="83"/>
  <c r="H105" i="83"/>
  <c r="F105" i="83"/>
  <c r="HW104" i="83"/>
  <c r="HB104" i="83"/>
  <c r="HC104" i="83"/>
  <c r="HA104" i="83"/>
  <c r="GZ104" i="83"/>
  <c r="GP104" i="83"/>
  <c r="GM104" i="83"/>
  <c r="GK104" i="83"/>
  <c r="GI104" i="83"/>
  <c r="GH104" i="83"/>
  <c r="GG104" i="83"/>
  <c r="GF104" i="83"/>
  <c r="GE104" i="83"/>
  <c r="GD104" i="83"/>
  <c r="GC104" i="83"/>
  <c r="GB104" i="83"/>
  <c r="GA104" i="83"/>
  <c r="FZ104" i="83"/>
  <c r="FX104" i="83"/>
  <c r="EE104" i="83"/>
  <c r="ED104" i="83"/>
  <c r="EC104" i="83"/>
  <c r="EB104" i="83"/>
  <c r="EA104" i="83"/>
  <c r="DZ104" i="83"/>
  <c r="DY104" i="83"/>
  <c r="DO104" i="83"/>
  <c r="DM104" i="83"/>
  <c r="DN104" i="83"/>
  <c r="BQ104" i="83"/>
  <c r="BR104" i="83"/>
  <c r="BT104" i="83"/>
  <c r="BE104" i="83"/>
  <c r="BB104" i="83"/>
  <c r="BA104" i="83"/>
  <c r="AZ104" i="83"/>
  <c r="AY104" i="83"/>
  <c r="AX104" i="83"/>
  <c r="BF104" i="83"/>
  <c r="BD104" i="83"/>
  <c r="BC104" i="83"/>
  <c r="AF104" i="83"/>
  <c r="W104" i="83"/>
  <c r="V104" i="83"/>
  <c r="S104" i="83"/>
  <c r="N104" i="83"/>
  <c r="K104" i="83"/>
  <c r="J104" i="83"/>
  <c r="H104" i="83"/>
  <c r="F104" i="83"/>
  <c r="HW103" i="83"/>
  <c r="HB103" i="83"/>
  <c r="HC103" i="83"/>
  <c r="HA103" i="83"/>
  <c r="GZ103" i="83"/>
  <c r="GP103" i="83"/>
  <c r="GM103" i="83"/>
  <c r="GK103" i="83"/>
  <c r="GI103" i="83"/>
  <c r="GH103" i="83"/>
  <c r="GG103" i="83"/>
  <c r="GF103" i="83"/>
  <c r="GE103" i="83"/>
  <c r="GD103" i="83"/>
  <c r="GC103" i="83"/>
  <c r="GB103" i="83"/>
  <c r="GA103" i="83"/>
  <c r="FZ103" i="83"/>
  <c r="FX103" i="83"/>
  <c r="EE103" i="83"/>
  <c r="ED103" i="83"/>
  <c r="EC103" i="83"/>
  <c r="EB103" i="83"/>
  <c r="EA103" i="83"/>
  <c r="DZ103" i="83"/>
  <c r="DY103" i="83"/>
  <c r="DO103" i="83"/>
  <c r="DM103" i="83"/>
  <c r="DN103" i="83"/>
  <c r="BQ103" i="83"/>
  <c r="BR103" i="83"/>
  <c r="BT103" i="83"/>
  <c r="BE103" i="83"/>
  <c r="BB103" i="83"/>
  <c r="BA103" i="83"/>
  <c r="AZ103" i="83"/>
  <c r="AY103" i="83"/>
  <c r="AX103" i="83"/>
  <c r="BF103" i="83"/>
  <c r="BD103" i="83"/>
  <c r="BC103" i="83"/>
  <c r="AF103" i="83"/>
  <c r="W103" i="83"/>
  <c r="V103" i="83"/>
  <c r="S103" i="83"/>
  <c r="N103" i="83"/>
  <c r="K103" i="83"/>
  <c r="J103" i="83"/>
  <c r="H103" i="83"/>
  <c r="F103" i="83"/>
  <c r="HW102" i="83"/>
  <c r="HB102" i="83"/>
  <c r="HC102" i="83"/>
  <c r="HA102" i="83"/>
  <c r="GZ102" i="83"/>
  <c r="GP102" i="83"/>
  <c r="GM102" i="83"/>
  <c r="GK102" i="83"/>
  <c r="GI102" i="83"/>
  <c r="GH102" i="83"/>
  <c r="GG102" i="83"/>
  <c r="GF102" i="83"/>
  <c r="GE102" i="83"/>
  <c r="GD102" i="83"/>
  <c r="GC102" i="83"/>
  <c r="GA102" i="83"/>
  <c r="FZ102" i="83"/>
  <c r="EE102" i="83"/>
  <c r="ED102" i="83"/>
  <c r="EC102" i="83"/>
  <c r="EB102" i="83"/>
  <c r="EA102" i="83"/>
  <c r="DZ102" i="83"/>
  <c r="DY102" i="83"/>
  <c r="DO102" i="83"/>
  <c r="DM102" i="83"/>
  <c r="DN102" i="83"/>
  <c r="BQ102" i="83"/>
  <c r="BT102" i="83"/>
  <c r="BE102" i="83"/>
  <c r="BB102" i="83"/>
  <c r="BA102" i="83"/>
  <c r="AZ102" i="83"/>
  <c r="AY102" i="83"/>
  <c r="AX102" i="83"/>
  <c r="BF102" i="83"/>
  <c r="BD102" i="83"/>
  <c r="BC102" i="83"/>
  <c r="AF102" i="83"/>
  <c r="W102" i="83"/>
  <c r="V102" i="83"/>
  <c r="S102" i="83"/>
  <c r="N102" i="83"/>
  <c r="K102" i="83"/>
  <c r="J102" i="83"/>
  <c r="H102" i="83"/>
  <c r="F102" i="83"/>
  <c r="HW101" i="83"/>
  <c r="HB101" i="83"/>
  <c r="HC101" i="83"/>
  <c r="HA101" i="83"/>
  <c r="GZ101" i="83"/>
  <c r="GP101" i="83"/>
  <c r="GM101" i="83"/>
  <c r="GK101" i="83"/>
  <c r="GI101" i="83"/>
  <c r="GH101" i="83"/>
  <c r="GG101" i="83"/>
  <c r="GF101" i="83"/>
  <c r="GE101" i="83"/>
  <c r="GD101" i="83"/>
  <c r="GC101" i="83"/>
  <c r="GA101" i="83"/>
  <c r="FZ101" i="83"/>
  <c r="EE101" i="83"/>
  <c r="ED101" i="83"/>
  <c r="EC101" i="83"/>
  <c r="EB101" i="83"/>
  <c r="EA101" i="83"/>
  <c r="DZ101" i="83"/>
  <c r="DY101" i="83"/>
  <c r="DO101" i="83"/>
  <c r="DM101" i="83"/>
  <c r="DN101" i="83"/>
  <c r="BQ101" i="83"/>
  <c r="BT101" i="83"/>
  <c r="BE101" i="83"/>
  <c r="BB101" i="83"/>
  <c r="BA101" i="83"/>
  <c r="AZ101" i="83"/>
  <c r="AY101" i="83"/>
  <c r="AX101" i="83"/>
  <c r="BF101" i="83"/>
  <c r="BD101" i="83"/>
  <c r="BC101" i="83"/>
  <c r="AF101" i="83"/>
  <c r="W101" i="83"/>
  <c r="V101" i="83"/>
  <c r="S101" i="83"/>
  <c r="N101" i="83"/>
  <c r="K101" i="83"/>
  <c r="J101" i="83"/>
  <c r="H101" i="83"/>
  <c r="F101" i="83"/>
  <c r="HW100" i="83"/>
  <c r="HB100" i="83"/>
  <c r="HC100" i="83"/>
  <c r="HA100" i="83"/>
  <c r="GZ100" i="83"/>
  <c r="GP100" i="83"/>
  <c r="GM100" i="83"/>
  <c r="GK100" i="83"/>
  <c r="GG100" i="83"/>
  <c r="GF100" i="83"/>
  <c r="GE100" i="83"/>
  <c r="GD100" i="83"/>
  <c r="GC100" i="83"/>
  <c r="GA100" i="83"/>
  <c r="EE100" i="83"/>
  <c r="ED100" i="83"/>
  <c r="EC100" i="83"/>
  <c r="EB100" i="83"/>
  <c r="EA100" i="83"/>
  <c r="DZ100" i="83"/>
  <c r="DY100" i="83"/>
  <c r="DO100" i="83"/>
  <c r="DM100" i="83"/>
  <c r="DN100" i="83"/>
  <c r="BQ100" i="83"/>
  <c r="BT100" i="83"/>
  <c r="BE100" i="83"/>
  <c r="BB100" i="83"/>
  <c r="BA100" i="83"/>
  <c r="AZ100" i="83"/>
  <c r="AY100" i="83"/>
  <c r="AX100" i="83"/>
  <c r="BF100" i="83"/>
  <c r="BD100" i="83"/>
  <c r="BC100" i="83"/>
  <c r="AF100" i="83"/>
  <c r="W100" i="83"/>
  <c r="V100" i="83"/>
  <c r="S100" i="83"/>
  <c r="N100" i="83"/>
  <c r="K100" i="83"/>
  <c r="J100" i="83"/>
  <c r="H100" i="83"/>
  <c r="F100" i="83"/>
  <c r="HW99" i="83"/>
  <c r="HB99" i="83"/>
  <c r="HC99" i="83"/>
  <c r="HA99" i="83"/>
  <c r="GZ99" i="83"/>
  <c r="GP99" i="83"/>
  <c r="GM99" i="83"/>
  <c r="GK99" i="83"/>
  <c r="GG99" i="83"/>
  <c r="GF99" i="83"/>
  <c r="GE99" i="83"/>
  <c r="GD99" i="83"/>
  <c r="GC99" i="83"/>
  <c r="GA99" i="83"/>
  <c r="EE99" i="83"/>
  <c r="ED99" i="83"/>
  <c r="EC99" i="83"/>
  <c r="EB99" i="83"/>
  <c r="EA99" i="83"/>
  <c r="DZ99" i="83"/>
  <c r="DY99" i="83"/>
  <c r="DO99" i="83"/>
  <c r="DM99" i="83"/>
  <c r="DN99" i="83"/>
  <c r="BQ99" i="83"/>
  <c r="BT99" i="83"/>
  <c r="BE99" i="83"/>
  <c r="BB99" i="83"/>
  <c r="BA99" i="83"/>
  <c r="AZ99" i="83"/>
  <c r="AY99" i="83"/>
  <c r="AX99" i="83"/>
  <c r="BF99" i="83"/>
  <c r="BD99" i="83"/>
  <c r="BC99" i="83"/>
  <c r="AF99" i="83"/>
  <c r="W99" i="83"/>
  <c r="V99" i="83"/>
  <c r="S99" i="83"/>
  <c r="N99" i="83"/>
  <c r="K99" i="83"/>
  <c r="J99" i="83"/>
  <c r="H99" i="83"/>
  <c r="F99" i="83"/>
  <c r="HW98" i="83"/>
  <c r="HB98" i="83"/>
  <c r="HC98" i="83"/>
  <c r="HA98" i="83"/>
  <c r="GZ98" i="83"/>
  <c r="GP98" i="83"/>
  <c r="GM98" i="83"/>
  <c r="GK98" i="83"/>
  <c r="GG98" i="83"/>
  <c r="GF98" i="83"/>
  <c r="GE98" i="83"/>
  <c r="GD98" i="83"/>
  <c r="GC98" i="83"/>
  <c r="GA98" i="83"/>
  <c r="EE98" i="83"/>
  <c r="ED98" i="83"/>
  <c r="EC98" i="83"/>
  <c r="EB98" i="83"/>
  <c r="EA98" i="83"/>
  <c r="DZ98" i="83"/>
  <c r="DY98" i="83"/>
  <c r="DO98" i="83"/>
  <c r="DM98" i="83"/>
  <c r="DN98" i="83"/>
  <c r="BQ98" i="83"/>
  <c r="BT98" i="83"/>
  <c r="BE98" i="83"/>
  <c r="BB98" i="83"/>
  <c r="BA98" i="83"/>
  <c r="AZ98" i="83"/>
  <c r="AY98" i="83"/>
  <c r="AX98" i="83"/>
  <c r="BF98" i="83"/>
  <c r="BD98" i="83"/>
  <c r="BC98" i="83"/>
  <c r="AF98" i="83"/>
  <c r="W98" i="83"/>
  <c r="V98" i="83"/>
  <c r="S98" i="83"/>
  <c r="N98" i="83"/>
  <c r="K98" i="83"/>
  <c r="J98" i="83"/>
  <c r="H98" i="83"/>
  <c r="F98" i="83"/>
  <c r="HW97" i="83"/>
  <c r="HB97" i="83"/>
  <c r="HC97" i="83"/>
  <c r="HA97" i="83"/>
  <c r="GZ97" i="83"/>
  <c r="GP97" i="83"/>
  <c r="GM97" i="83"/>
  <c r="GK97" i="83"/>
  <c r="GG97" i="83"/>
  <c r="GF97" i="83"/>
  <c r="GE97" i="83"/>
  <c r="GD97" i="83"/>
  <c r="GC97" i="83"/>
  <c r="GA97" i="83"/>
  <c r="EE97" i="83"/>
  <c r="ED97" i="83"/>
  <c r="EC97" i="83"/>
  <c r="EB97" i="83"/>
  <c r="EA97" i="83"/>
  <c r="DZ97" i="83"/>
  <c r="DY97" i="83"/>
  <c r="DO97" i="83"/>
  <c r="DM97" i="83"/>
  <c r="DN97" i="83"/>
  <c r="BQ97" i="83"/>
  <c r="BT97" i="83"/>
  <c r="BE97" i="83"/>
  <c r="BB97" i="83"/>
  <c r="BA97" i="83"/>
  <c r="AZ97" i="83"/>
  <c r="AY97" i="83"/>
  <c r="AX97" i="83"/>
  <c r="BF97" i="83"/>
  <c r="BD97" i="83"/>
  <c r="BC97" i="83"/>
  <c r="AF97" i="83"/>
  <c r="W97" i="83"/>
  <c r="V97" i="83"/>
  <c r="S97" i="83"/>
  <c r="N97" i="83"/>
  <c r="K97" i="83"/>
  <c r="J97" i="83"/>
  <c r="H97" i="83"/>
  <c r="F97" i="83"/>
  <c r="HW96" i="83"/>
  <c r="HB96" i="83"/>
  <c r="HC96" i="83"/>
  <c r="HA96" i="83"/>
  <c r="GZ96" i="83"/>
  <c r="GP96" i="83"/>
  <c r="GM96" i="83"/>
  <c r="GK96" i="83"/>
  <c r="GG96" i="83"/>
  <c r="GF96" i="83"/>
  <c r="GE96" i="83"/>
  <c r="GD96" i="83"/>
  <c r="GC96" i="83"/>
  <c r="GA96" i="83"/>
  <c r="EE96" i="83"/>
  <c r="ED96" i="83"/>
  <c r="EC96" i="83"/>
  <c r="EB96" i="83"/>
  <c r="EA96" i="83"/>
  <c r="DZ96" i="83"/>
  <c r="DY96" i="83"/>
  <c r="DO96" i="83"/>
  <c r="DM96" i="83"/>
  <c r="DN96" i="83"/>
  <c r="BQ96" i="83"/>
  <c r="BT96" i="83"/>
  <c r="BE96" i="83"/>
  <c r="BB96" i="83"/>
  <c r="BA96" i="83"/>
  <c r="AZ96" i="83"/>
  <c r="AY96" i="83"/>
  <c r="AX96" i="83"/>
  <c r="BF96" i="83"/>
  <c r="BD96" i="83"/>
  <c r="BC96" i="83"/>
  <c r="AF96" i="83"/>
  <c r="W96" i="83"/>
  <c r="V96" i="83"/>
  <c r="S96" i="83"/>
  <c r="N96" i="83"/>
  <c r="K96" i="83"/>
  <c r="J96" i="83"/>
  <c r="H96" i="83"/>
  <c r="F96" i="83"/>
  <c r="HW95" i="83"/>
  <c r="HB95" i="83"/>
  <c r="HC95" i="83"/>
  <c r="HA95" i="83"/>
  <c r="GZ95" i="83"/>
  <c r="GP95" i="83"/>
  <c r="GM95" i="83"/>
  <c r="GK95" i="83"/>
  <c r="GG95" i="83"/>
  <c r="GF95" i="83"/>
  <c r="GE95" i="83"/>
  <c r="GD95" i="83"/>
  <c r="GC95" i="83"/>
  <c r="GA95" i="83"/>
  <c r="EE95" i="83"/>
  <c r="ED95" i="83"/>
  <c r="EC95" i="83"/>
  <c r="EB95" i="83"/>
  <c r="EA95" i="83"/>
  <c r="DZ95" i="83"/>
  <c r="DY95" i="83"/>
  <c r="DO95" i="83"/>
  <c r="DM95" i="83"/>
  <c r="DN95" i="83"/>
  <c r="BQ95" i="83"/>
  <c r="BT95" i="83"/>
  <c r="BE95" i="83"/>
  <c r="BB95" i="83"/>
  <c r="BA95" i="83"/>
  <c r="AZ95" i="83"/>
  <c r="AY95" i="83"/>
  <c r="AX95" i="83"/>
  <c r="BF95" i="83"/>
  <c r="BD95" i="83"/>
  <c r="BC95" i="83"/>
  <c r="AF95" i="83"/>
  <c r="W95" i="83"/>
  <c r="V95" i="83"/>
  <c r="S95" i="83"/>
  <c r="N95" i="83"/>
  <c r="K95" i="83"/>
  <c r="J95" i="83"/>
  <c r="H95" i="83"/>
  <c r="F95" i="83"/>
  <c r="HW94" i="83"/>
  <c r="HB94" i="83"/>
  <c r="HC94" i="83"/>
  <c r="HA94" i="83"/>
  <c r="GZ94" i="83"/>
  <c r="GP94" i="83"/>
  <c r="GM94" i="83"/>
  <c r="GK94" i="83"/>
  <c r="GG94" i="83"/>
  <c r="GF94" i="83"/>
  <c r="GE94" i="83"/>
  <c r="GD94" i="83"/>
  <c r="GC94" i="83"/>
  <c r="GA94" i="83"/>
  <c r="EE94" i="83"/>
  <c r="ED94" i="83"/>
  <c r="EC94" i="83"/>
  <c r="EB94" i="83"/>
  <c r="EA94" i="83"/>
  <c r="DZ94" i="83"/>
  <c r="DY94" i="83"/>
  <c r="DO94" i="83"/>
  <c r="DM94" i="83"/>
  <c r="DN94" i="83"/>
  <c r="BQ94" i="83"/>
  <c r="BT94" i="83"/>
  <c r="BE94" i="83"/>
  <c r="BB94" i="83"/>
  <c r="BA94" i="83"/>
  <c r="AZ94" i="83"/>
  <c r="AY94" i="83"/>
  <c r="AX94" i="83"/>
  <c r="BF94" i="83"/>
  <c r="BD94" i="83"/>
  <c r="BC94" i="83"/>
  <c r="AF94" i="83"/>
  <c r="W94" i="83"/>
  <c r="V94" i="83"/>
  <c r="S94" i="83"/>
  <c r="N94" i="83"/>
  <c r="K94" i="83"/>
  <c r="J94" i="83"/>
  <c r="H94" i="83"/>
  <c r="F94" i="83"/>
  <c r="HW93" i="83"/>
  <c r="HB93" i="83"/>
  <c r="HC93" i="83"/>
  <c r="HA93" i="83"/>
  <c r="GZ93" i="83"/>
  <c r="GP93" i="83"/>
  <c r="GM93" i="83"/>
  <c r="GK93" i="83"/>
  <c r="GG93" i="83"/>
  <c r="GF93" i="83"/>
  <c r="GE93" i="83"/>
  <c r="GD93" i="83"/>
  <c r="GC93" i="83"/>
  <c r="GA93" i="83"/>
  <c r="EE93" i="83"/>
  <c r="ED93" i="83"/>
  <c r="EC93" i="83"/>
  <c r="EB93" i="83"/>
  <c r="EA93" i="83"/>
  <c r="DZ93" i="83"/>
  <c r="DY93" i="83"/>
  <c r="DO93" i="83"/>
  <c r="DM93" i="83"/>
  <c r="DN93" i="83"/>
  <c r="BQ93" i="83"/>
  <c r="BT93" i="83"/>
  <c r="BE93" i="83"/>
  <c r="BB93" i="83"/>
  <c r="BA93" i="83"/>
  <c r="AZ93" i="83"/>
  <c r="AY93" i="83"/>
  <c r="AX93" i="83"/>
  <c r="BF93" i="83"/>
  <c r="BD93" i="83"/>
  <c r="BC93" i="83"/>
  <c r="AF93" i="83"/>
  <c r="W93" i="83"/>
  <c r="V93" i="83"/>
  <c r="S93" i="83"/>
  <c r="N93" i="83"/>
  <c r="K93" i="83"/>
  <c r="J93" i="83"/>
  <c r="H93" i="83"/>
  <c r="F93" i="83"/>
  <c r="HW92" i="83"/>
  <c r="HB92" i="83"/>
  <c r="HC92" i="83"/>
  <c r="HA92" i="83"/>
  <c r="GZ92" i="83"/>
  <c r="GP92" i="83"/>
  <c r="GM92" i="83"/>
  <c r="GK92" i="83"/>
  <c r="GG92" i="83"/>
  <c r="GF92" i="83"/>
  <c r="GE92" i="83"/>
  <c r="GD92" i="83"/>
  <c r="GC92" i="83"/>
  <c r="GA92" i="83"/>
  <c r="EE92" i="83"/>
  <c r="ED92" i="83"/>
  <c r="EC92" i="83"/>
  <c r="EB92" i="83"/>
  <c r="EA92" i="83"/>
  <c r="DZ92" i="83"/>
  <c r="DY92" i="83"/>
  <c r="DO92" i="83"/>
  <c r="DM92" i="83"/>
  <c r="DN92" i="83"/>
  <c r="BQ92" i="83"/>
  <c r="BT92" i="83"/>
  <c r="BE92" i="83"/>
  <c r="BB92" i="83"/>
  <c r="BA92" i="83"/>
  <c r="AZ92" i="83"/>
  <c r="AY92" i="83"/>
  <c r="AX92" i="83"/>
  <c r="BF92" i="83"/>
  <c r="BD92" i="83"/>
  <c r="BC92" i="83"/>
  <c r="AF92" i="83"/>
  <c r="W92" i="83"/>
  <c r="V92" i="83"/>
  <c r="S92" i="83"/>
  <c r="N92" i="83"/>
  <c r="K92" i="83"/>
  <c r="J92" i="83"/>
  <c r="H92" i="83"/>
  <c r="F92" i="83"/>
  <c r="HW91" i="83"/>
  <c r="HB91" i="83"/>
  <c r="HC91" i="83"/>
  <c r="HA91" i="83"/>
  <c r="GZ91" i="83"/>
  <c r="GP91" i="83"/>
  <c r="GM91" i="83"/>
  <c r="GK91" i="83"/>
  <c r="GG91" i="83"/>
  <c r="GF91" i="83"/>
  <c r="GE91" i="83"/>
  <c r="GD91" i="83"/>
  <c r="GC91" i="83"/>
  <c r="GA91" i="83"/>
  <c r="EE91" i="83"/>
  <c r="ED91" i="83"/>
  <c r="EC91" i="83"/>
  <c r="EB91" i="83"/>
  <c r="EA91" i="83"/>
  <c r="DZ91" i="83"/>
  <c r="DY91" i="83"/>
  <c r="DO91" i="83"/>
  <c r="DM91" i="83"/>
  <c r="DN91" i="83"/>
  <c r="BQ91" i="83"/>
  <c r="BT91" i="83"/>
  <c r="BE91" i="83"/>
  <c r="BB91" i="83"/>
  <c r="BA91" i="83"/>
  <c r="AZ91" i="83"/>
  <c r="AY91" i="83"/>
  <c r="AX91" i="83"/>
  <c r="BF91" i="83"/>
  <c r="BD91" i="83"/>
  <c r="BC91" i="83"/>
  <c r="AF91" i="83"/>
  <c r="W91" i="83"/>
  <c r="V91" i="83"/>
  <c r="S91" i="83"/>
  <c r="N91" i="83"/>
  <c r="K91" i="83"/>
  <c r="J91" i="83"/>
  <c r="H91" i="83"/>
  <c r="F91" i="83"/>
  <c r="HW90" i="83"/>
  <c r="HB90" i="83"/>
  <c r="HC90" i="83"/>
  <c r="HA90" i="83"/>
  <c r="GZ90" i="83"/>
  <c r="GP90" i="83"/>
  <c r="GM90" i="83"/>
  <c r="GK90" i="83"/>
  <c r="GG90" i="83"/>
  <c r="GF90" i="83"/>
  <c r="GE90" i="83"/>
  <c r="GD90" i="83"/>
  <c r="GC90" i="83"/>
  <c r="GA90" i="83"/>
  <c r="EE90" i="83"/>
  <c r="ED90" i="83"/>
  <c r="EC90" i="83"/>
  <c r="EB90" i="83"/>
  <c r="EA90" i="83"/>
  <c r="DZ90" i="83"/>
  <c r="DY90" i="83"/>
  <c r="DO90" i="83"/>
  <c r="DM90" i="83"/>
  <c r="DN90" i="83"/>
  <c r="BQ90" i="83"/>
  <c r="BT90" i="83"/>
  <c r="BE90" i="83"/>
  <c r="BB90" i="83"/>
  <c r="BA90" i="83"/>
  <c r="AZ90" i="83"/>
  <c r="AY90" i="83"/>
  <c r="AX90" i="83"/>
  <c r="BF90" i="83"/>
  <c r="BD90" i="83"/>
  <c r="BC90" i="83"/>
  <c r="AF90" i="83"/>
  <c r="U90" i="83"/>
  <c r="W90" i="83"/>
  <c r="N90" i="83"/>
  <c r="K90" i="83"/>
  <c r="J90" i="83"/>
  <c r="H90" i="83"/>
  <c r="F90" i="83"/>
  <c r="HW89" i="83"/>
  <c r="HB89" i="83"/>
  <c r="HC89" i="83"/>
  <c r="HA89" i="83"/>
  <c r="GZ89" i="83"/>
  <c r="GP89" i="83"/>
  <c r="GM89" i="83"/>
  <c r="GK89" i="83"/>
  <c r="GG89" i="83"/>
  <c r="GF89" i="83"/>
  <c r="GE89" i="83"/>
  <c r="GD89" i="83"/>
  <c r="GC89" i="83"/>
  <c r="GA89" i="83"/>
  <c r="EE89" i="83"/>
  <c r="ED89" i="83"/>
  <c r="EC89" i="83"/>
  <c r="EB89" i="83"/>
  <c r="EA89" i="83"/>
  <c r="DZ89" i="83"/>
  <c r="DY89" i="83"/>
  <c r="DO89" i="83"/>
  <c r="DM89" i="83"/>
  <c r="DN89" i="83"/>
  <c r="BQ89" i="83"/>
  <c r="BT89" i="83"/>
  <c r="BE89" i="83"/>
  <c r="BB89" i="83"/>
  <c r="BA89" i="83"/>
  <c r="AZ89" i="83"/>
  <c r="AY89" i="83"/>
  <c r="AX89" i="83"/>
  <c r="BF89" i="83"/>
  <c r="BD89" i="83"/>
  <c r="BC89" i="83"/>
  <c r="AF89" i="83"/>
  <c r="U89" i="83"/>
  <c r="W89" i="83"/>
  <c r="N89" i="83"/>
  <c r="K89" i="83"/>
  <c r="J89" i="83"/>
  <c r="H89" i="83"/>
  <c r="F89" i="83"/>
  <c r="HW88" i="83"/>
  <c r="HB88" i="83"/>
  <c r="HC88" i="83"/>
  <c r="HA88" i="83"/>
  <c r="GZ88" i="83"/>
  <c r="GP88" i="83"/>
  <c r="GM88" i="83"/>
  <c r="GK88" i="83"/>
  <c r="GG88" i="83"/>
  <c r="GF88" i="83"/>
  <c r="GE88" i="83"/>
  <c r="GD88" i="83"/>
  <c r="GC88" i="83"/>
  <c r="GA88" i="83"/>
  <c r="EE88" i="83"/>
  <c r="ED88" i="83"/>
  <c r="EC88" i="83"/>
  <c r="EB88" i="83"/>
  <c r="EA88" i="83"/>
  <c r="DZ88" i="83"/>
  <c r="DY88" i="83"/>
  <c r="DO88" i="83"/>
  <c r="DM88" i="83"/>
  <c r="DN88" i="83"/>
  <c r="BQ88" i="83"/>
  <c r="BT88" i="83"/>
  <c r="BE88" i="83"/>
  <c r="BB88" i="83"/>
  <c r="BA88" i="83"/>
  <c r="AZ88" i="83"/>
  <c r="AY88" i="83"/>
  <c r="AX88" i="83"/>
  <c r="BF88" i="83"/>
  <c r="BD88" i="83"/>
  <c r="BC88" i="83"/>
  <c r="AF88" i="83"/>
  <c r="U88" i="83"/>
  <c r="W88" i="83"/>
  <c r="N88" i="83"/>
  <c r="K88" i="83"/>
  <c r="J88" i="83"/>
  <c r="H88" i="83"/>
  <c r="F88" i="83"/>
  <c r="HW87" i="83"/>
  <c r="HB87" i="83"/>
  <c r="HC87" i="83"/>
  <c r="HA87" i="83"/>
  <c r="GZ87" i="83"/>
  <c r="GP87" i="83"/>
  <c r="GM87" i="83"/>
  <c r="GK87" i="83"/>
  <c r="GG87" i="83"/>
  <c r="GF87" i="83"/>
  <c r="GE87" i="83"/>
  <c r="GD87" i="83"/>
  <c r="GC87" i="83"/>
  <c r="GA87" i="83"/>
  <c r="EE87" i="83"/>
  <c r="ED87" i="83"/>
  <c r="EC87" i="83"/>
  <c r="EB87" i="83"/>
  <c r="EA87" i="83"/>
  <c r="DZ87" i="83"/>
  <c r="DY87" i="83"/>
  <c r="DO87" i="83"/>
  <c r="DM87" i="83"/>
  <c r="DN87" i="83"/>
  <c r="BQ87" i="83"/>
  <c r="BT87" i="83"/>
  <c r="BE87" i="83"/>
  <c r="BB87" i="83"/>
  <c r="BA87" i="83"/>
  <c r="AZ87" i="83"/>
  <c r="AY87" i="83"/>
  <c r="AX87" i="83"/>
  <c r="BF87" i="83"/>
  <c r="BD87" i="83"/>
  <c r="BC87" i="83"/>
  <c r="AF87" i="83"/>
  <c r="U87" i="83"/>
  <c r="W87" i="83"/>
  <c r="N87" i="83"/>
  <c r="K87" i="83"/>
  <c r="J87" i="83"/>
  <c r="H87" i="83"/>
  <c r="F87" i="83"/>
  <c r="HW86" i="83"/>
  <c r="HB86" i="83"/>
  <c r="HC86" i="83"/>
  <c r="HA86" i="83"/>
  <c r="GZ86" i="83"/>
  <c r="GP86" i="83"/>
  <c r="GM86" i="83"/>
  <c r="GK86" i="83"/>
  <c r="GG86" i="83"/>
  <c r="GF86" i="83"/>
  <c r="GE86" i="83"/>
  <c r="GD86" i="83"/>
  <c r="GC86" i="83"/>
  <c r="GA86" i="83"/>
  <c r="EE86" i="83"/>
  <c r="ED86" i="83"/>
  <c r="EC86" i="83"/>
  <c r="EB86" i="83"/>
  <c r="EA86" i="83"/>
  <c r="DZ86" i="83"/>
  <c r="DY86" i="83"/>
  <c r="DO86" i="83"/>
  <c r="DM86" i="83"/>
  <c r="DN86" i="83"/>
  <c r="BQ86" i="83"/>
  <c r="BT86" i="83"/>
  <c r="BE86" i="83"/>
  <c r="BB86" i="83"/>
  <c r="BA86" i="83"/>
  <c r="AZ86" i="83"/>
  <c r="AY86" i="83"/>
  <c r="AX86" i="83"/>
  <c r="BF86" i="83"/>
  <c r="BD86" i="83"/>
  <c r="BC86" i="83"/>
  <c r="AF86" i="83"/>
  <c r="U86" i="83"/>
  <c r="W86" i="83"/>
  <c r="N86" i="83"/>
  <c r="K86" i="83"/>
  <c r="J86" i="83"/>
  <c r="H86" i="83"/>
  <c r="F86" i="83"/>
  <c r="HW85" i="83"/>
  <c r="HB85" i="83"/>
  <c r="HC85" i="83"/>
  <c r="HA85" i="83"/>
  <c r="GZ85" i="83"/>
  <c r="GP85" i="83"/>
  <c r="GM85" i="83"/>
  <c r="GK85" i="83"/>
  <c r="GG85" i="83"/>
  <c r="GF85" i="83"/>
  <c r="GE85" i="83"/>
  <c r="GD85" i="83"/>
  <c r="GC85" i="83"/>
  <c r="GA85" i="83"/>
  <c r="EE85" i="83"/>
  <c r="ED85" i="83"/>
  <c r="EC85" i="83"/>
  <c r="EB85" i="83"/>
  <c r="EA85" i="83"/>
  <c r="DZ85" i="83"/>
  <c r="DY85" i="83"/>
  <c r="DO85" i="83"/>
  <c r="DM85" i="83"/>
  <c r="DN85" i="83"/>
  <c r="BQ85" i="83"/>
  <c r="BT85" i="83"/>
  <c r="BE85" i="83"/>
  <c r="BB85" i="83"/>
  <c r="BA85" i="83"/>
  <c r="AZ85" i="83"/>
  <c r="AY85" i="83"/>
  <c r="AX85" i="83"/>
  <c r="BF85" i="83"/>
  <c r="BD85" i="83"/>
  <c r="BC85" i="83"/>
  <c r="AF85" i="83"/>
  <c r="U85" i="83"/>
  <c r="W85" i="83"/>
  <c r="N85" i="83"/>
  <c r="K85" i="83"/>
  <c r="J85" i="83"/>
  <c r="H85" i="83"/>
  <c r="F85" i="83"/>
  <c r="HW84" i="83"/>
  <c r="HB84" i="83"/>
  <c r="HC84" i="83"/>
  <c r="HA84" i="83"/>
  <c r="GZ84" i="83"/>
  <c r="GP84" i="83"/>
  <c r="GM84" i="83"/>
  <c r="GK84" i="83"/>
  <c r="GG84" i="83"/>
  <c r="GF84" i="83"/>
  <c r="GE84" i="83"/>
  <c r="GD84" i="83"/>
  <c r="GC84" i="83"/>
  <c r="GA84" i="83"/>
  <c r="EE84" i="83"/>
  <c r="ED84" i="83"/>
  <c r="EC84" i="83"/>
  <c r="EB84" i="83"/>
  <c r="EA84" i="83"/>
  <c r="DZ84" i="83"/>
  <c r="DY84" i="83"/>
  <c r="DO84" i="83"/>
  <c r="DM84" i="83"/>
  <c r="DN84" i="83"/>
  <c r="BQ84" i="83"/>
  <c r="BT84" i="83"/>
  <c r="BE84" i="83"/>
  <c r="BB84" i="83"/>
  <c r="BA84" i="83"/>
  <c r="AZ84" i="83"/>
  <c r="AY84" i="83"/>
  <c r="AX84" i="83"/>
  <c r="BF84" i="83"/>
  <c r="BD84" i="83"/>
  <c r="BC84" i="83"/>
  <c r="AF84" i="83"/>
  <c r="U84" i="83"/>
  <c r="W84" i="83"/>
  <c r="N84" i="83"/>
  <c r="K84" i="83"/>
  <c r="J84" i="83"/>
  <c r="H84" i="83"/>
  <c r="F84" i="83"/>
  <c r="HW83" i="83"/>
  <c r="HB83" i="83"/>
  <c r="HC83" i="83"/>
  <c r="HA83" i="83"/>
  <c r="GZ83" i="83"/>
  <c r="GP83" i="83"/>
  <c r="GM83" i="83"/>
  <c r="GK83" i="83"/>
  <c r="GG83" i="83"/>
  <c r="GF83" i="83"/>
  <c r="GE83" i="83"/>
  <c r="GD83" i="83"/>
  <c r="GC83" i="83"/>
  <c r="GA83" i="83"/>
  <c r="EE83" i="83"/>
  <c r="ED83" i="83"/>
  <c r="EC83" i="83"/>
  <c r="EB83" i="83"/>
  <c r="EA83" i="83"/>
  <c r="DZ83" i="83"/>
  <c r="DY83" i="83"/>
  <c r="DO83" i="83"/>
  <c r="DM83" i="83"/>
  <c r="DN83" i="83"/>
  <c r="BQ83" i="83"/>
  <c r="BT83" i="83"/>
  <c r="BE83" i="83"/>
  <c r="BB83" i="83"/>
  <c r="BA83" i="83"/>
  <c r="AZ83" i="83"/>
  <c r="AY83" i="83"/>
  <c r="AX83" i="83"/>
  <c r="BF83" i="83"/>
  <c r="BD83" i="83"/>
  <c r="BC83" i="83"/>
  <c r="AF83" i="83"/>
  <c r="U83" i="83"/>
  <c r="W83" i="83"/>
  <c r="N83" i="83"/>
  <c r="K83" i="83"/>
  <c r="J83" i="83"/>
  <c r="H83" i="83"/>
  <c r="F83" i="83"/>
  <c r="HW82" i="83"/>
  <c r="HB82" i="83"/>
  <c r="HC82" i="83"/>
  <c r="HA82" i="83"/>
  <c r="GZ82" i="83"/>
  <c r="GP82" i="83"/>
  <c r="GM82" i="83"/>
  <c r="GK82" i="83"/>
  <c r="GG82" i="83"/>
  <c r="GF82" i="83"/>
  <c r="GE82" i="83"/>
  <c r="GD82" i="83"/>
  <c r="GC82" i="83"/>
  <c r="GA82" i="83"/>
  <c r="EE82" i="83"/>
  <c r="ED82" i="83"/>
  <c r="EC82" i="83"/>
  <c r="EB82" i="83"/>
  <c r="EA82" i="83"/>
  <c r="DZ82" i="83"/>
  <c r="DY82" i="83"/>
  <c r="DO82" i="83"/>
  <c r="DM82" i="83"/>
  <c r="DN82" i="83"/>
  <c r="BQ82" i="83"/>
  <c r="BT82" i="83"/>
  <c r="BE82" i="83"/>
  <c r="BB82" i="83"/>
  <c r="BA82" i="83"/>
  <c r="AZ82" i="83"/>
  <c r="AY82" i="83"/>
  <c r="AX82" i="83"/>
  <c r="BF82" i="83"/>
  <c r="BD82" i="83"/>
  <c r="BC82" i="83"/>
  <c r="AF82" i="83"/>
  <c r="U82" i="83"/>
  <c r="W82" i="83"/>
  <c r="N82" i="83"/>
  <c r="K82" i="83"/>
  <c r="J82" i="83"/>
  <c r="H82" i="83"/>
  <c r="F82" i="83"/>
  <c r="HW81" i="83"/>
  <c r="HB81" i="83"/>
  <c r="HC81" i="83"/>
  <c r="HA81" i="83"/>
  <c r="GZ81" i="83"/>
  <c r="GP81" i="83"/>
  <c r="GM81" i="83"/>
  <c r="GK81" i="83"/>
  <c r="GG81" i="83"/>
  <c r="GF81" i="83"/>
  <c r="GE81" i="83"/>
  <c r="GD81" i="83"/>
  <c r="GC81" i="83"/>
  <c r="GA81" i="83"/>
  <c r="EE81" i="83"/>
  <c r="ED81" i="83"/>
  <c r="EC81" i="83"/>
  <c r="EB81" i="83"/>
  <c r="EA81" i="83"/>
  <c r="DZ81" i="83"/>
  <c r="DY81" i="83"/>
  <c r="DO81" i="83"/>
  <c r="DM81" i="83"/>
  <c r="DN81" i="83"/>
  <c r="BQ81" i="83"/>
  <c r="BT81" i="83"/>
  <c r="BE81" i="83"/>
  <c r="BB81" i="83"/>
  <c r="BA81" i="83"/>
  <c r="AZ81" i="83"/>
  <c r="AY81" i="83"/>
  <c r="AX81" i="83"/>
  <c r="BF81" i="83"/>
  <c r="BD81" i="83"/>
  <c r="BC81" i="83"/>
  <c r="AF81" i="83"/>
  <c r="U81" i="83"/>
  <c r="W81" i="83"/>
  <c r="N81" i="83"/>
  <c r="K81" i="83"/>
  <c r="J81" i="83"/>
  <c r="H81" i="83"/>
  <c r="F81" i="83"/>
  <c r="HW80" i="83"/>
  <c r="HB80" i="83"/>
  <c r="HC80" i="83"/>
  <c r="HA80" i="83"/>
  <c r="GZ80" i="83"/>
  <c r="GP80" i="83"/>
  <c r="GM80" i="83"/>
  <c r="GK80" i="83"/>
  <c r="GG80" i="83"/>
  <c r="GF80" i="83"/>
  <c r="GE80" i="83"/>
  <c r="GD80" i="83"/>
  <c r="GC80" i="83"/>
  <c r="GA80" i="83"/>
  <c r="EE80" i="83"/>
  <c r="ED80" i="83"/>
  <c r="EC80" i="83"/>
  <c r="EB80" i="83"/>
  <c r="EA80" i="83"/>
  <c r="DZ80" i="83"/>
  <c r="DY80" i="83"/>
  <c r="DO80" i="83"/>
  <c r="DM80" i="83"/>
  <c r="DN80" i="83"/>
  <c r="BQ80" i="83"/>
  <c r="BT80" i="83"/>
  <c r="BE80" i="83"/>
  <c r="BB80" i="83"/>
  <c r="BA80" i="83"/>
  <c r="AZ80" i="83"/>
  <c r="AY80" i="83"/>
  <c r="AX80" i="83"/>
  <c r="BF80" i="83"/>
  <c r="BD80" i="83"/>
  <c r="BC80" i="83"/>
  <c r="AF80" i="83"/>
  <c r="U80" i="83"/>
  <c r="W80" i="83"/>
  <c r="N80" i="83"/>
  <c r="K80" i="83"/>
  <c r="J80" i="83"/>
  <c r="H80" i="83"/>
  <c r="F80" i="83"/>
  <c r="HW79" i="83"/>
  <c r="HB79" i="83"/>
  <c r="HC79" i="83"/>
  <c r="HA79" i="83"/>
  <c r="GZ79" i="83"/>
  <c r="GP79" i="83"/>
  <c r="GM79" i="83"/>
  <c r="GK79" i="83"/>
  <c r="GG79" i="83"/>
  <c r="GF79" i="83"/>
  <c r="GE79" i="83"/>
  <c r="GD79" i="83"/>
  <c r="GC79" i="83"/>
  <c r="GA79" i="83"/>
  <c r="EE79" i="83"/>
  <c r="ED79" i="83"/>
  <c r="EC79" i="83"/>
  <c r="EB79" i="83"/>
  <c r="EA79" i="83"/>
  <c r="DZ79" i="83"/>
  <c r="DY79" i="83"/>
  <c r="DO79" i="83"/>
  <c r="DM79" i="83"/>
  <c r="DN79" i="83"/>
  <c r="BQ79" i="83"/>
  <c r="BT79" i="83"/>
  <c r="BE79" i="83"/>
  <c r="BB79" i="83"/>
  <c r="BA79" i="83"/>
  <c r="AZ79" i="83"/>
  <c r="AY79" i="83"/>
  <c r="AX79" i="83"/>
  <c r="BF79" i="83"/>
  <c r="BD79" i="83"/>
  <c r="BC79" i="83"/>
  <c r="AF79" i="83"/>
  <c r="U79" i="83"/>
  <c r="W79" i="83"/>
  <c r="N79" i="83"/>
  <c r="K79" i="83"/>
  <c r="J79" i="83"/>
  <c r="H79" i="83"/>
  <c r="F79" i="83"/>
  <c r="HW78" i="83"/>
  <c r="HB78" i="83"/>
  <c r="HC78" i="83"/>
  <c r="HA78" i="83"/>
  <c r="GZ78" i="83"/>
  <c r="GP78" i="83"/>
  <c r="GM78" i="83"/>
  <c r="GK78" i="83"/>
  <c r="GG78" i="83"/>
  <c r="GF78" i="83"/>
  <c r="GE78" i="83"/>
  <c r="GD78" i="83"/>
  <c r="GC78" i="83"/>
  <c r="GA78" i="83"/>
  <c r="EE78" i="83"/>
  <c r="ED78" i="83"/>
  <c r="EC78" i="83"/>
  <c r="EB78" i="83"/>
  <c r="EA78" i="83"/>
  <c r="DZ78" i="83"/>
  <c r="DY78" i="83"/>
  <c r="DO78" i="83"/>
  <c r="DM78" i="83"/>
  <c r="DN78" i="83"/>
  <c r="BQ78" i="83"/>
  <c r="BT78" i="83"/>
  <c r="BE78" i="83"/>
  <c r="BB78" i="83"/>
  <c r="BA78" i="83"/>
  <c r="AZ78" i="83"/>
  <c r="AY78" i="83"/>
  <c r="AX78" i="83"/>
  <c r="BF78" i="83"/>
  <c r="BD78" i="83"/>
  <c r="BC78" i="83"/>
  <c r="AF78" i="83"/>
  <c r="U78" i="83"/>
  <c r="W78" i="83"/>
  <c r="N78" i="83"/>
  <c r="K78" i="83"/>
  <c r="J78" i="83"/>
  <c r="H78" i="83"/>
  <c r="F78" i="83"/>
  <c r="HW77" i="83"/>
  <c r="HB77" i="83"/>
  <c r="HC77" i="83"/>
  <c r="HA77" i="83"/>
  <c r="GZ77" i="83"/>
  <c r="GP77" i="83"/>
  <c r="GM77" i="83"/>
  <c r="GK77" i="83"/>
  <c r="GG77" i="83"/>
  <c r="GF77" i="83"/>
  <c r="GE77" i="83"/>
  <c r="GD77" i="83"/>
  <c r="GC77" i="83"/>
  <c r="GA77" i="83"/>
  <c r="EE77" i="83"/>
  <c r="ED77" i="83"/>
  <c r="EC77" i="83"/>
  <c r="EB77" i="83"/>
  <c r="EA77" i="83"/>
  <c r="DZ77" i="83"/>
  <c r="DY77" i="83"/>
  <c r="DO77" i="83"/>
  <c r="DM77" i="83"/>
  <c r="DN77" i="83"/>
  <c r="BQ77" i="83"/>
  <c r="BT77" i="83"/>
  <c r="BE77" i="83"/>
  <c r="BB77" i="83"/>
  <c r="BA77" i="83"/>
  <c r="AZ77" i="83"/>
  <c r="AY77" i="83"/>
  <c r="AX77" i="83"/>
  <c r="BF77" i="83"/>
  <c r="BD77" i="83"/>
  <c r="BC77" i="83"/>
  <c r="AF77" i="83"/>
  <c r="U77" i="83"/>
  <c r="W77" i="83"/>
  <c r="N77" i="83"/>
  <c r="K77" i="83"/>
  <c r="J77" i="83"/>
  <c r="H77" i="83"/>
  <c r="F77" i="83"/>
  <c r="HW76" i="83"/>
  <c r="HB76" i="83"/>
  <c r="HC76" i="83"/>
  <c r="HA76" i="83"/>
  <c r="GZ76" i="83"/>
  <c r="GP76" i="83"/>
  <c r="GM76" i="83"/>
  <c r="GK76" i="83"/>
  <c r="GG76" i="83"/>
  <c r="GF76" i="83"/>
  <c r="GE76" i="83"/>
  <c r="GD76" i="83"/>
  <c r="GC76" i="83"/>
  <c r="GA76" i="83"/>
  <c r="EE76" i="83"/>
  <c r="ED76" i="83"/>
  <c r="EC76" i="83"/>
  <c r="EB76" i="83"/>
  <c r="EA76" i="83"/>
  <c r="DZ76" i="83"/>
  <c r="DY76" i="83"/>
  <c r="DO76" i="83"/>
  <c r="DM76" i="83"/>
  <c r="DN76" i="83"/>
  <c r="BQ76" i="83"/>
  <c r="BT76" i="83"/>
  <c r="BE76" i="83"/>
  <c r="BB76" i="83"/>
  <c r="BA76" i="83"/>
  <c r="AZ76" i="83"/>
  <c r="AY76" i="83"/>
  <c r="AX76" i="83"/>
  <c r="BF76" i="83"/>
  <c r="BD76" i="83"/>
  <c r="BC76" i="83"/>
  <c r="AF76" i="83"/>
  <c r="U76" i="83"/>
  <c r="W76" i="83"/>
  <c r="N76" i="83"/>
  <c r="K76" i="83"/>
  <c r="J76" i="83"/>
  <c r="H76" i="83"/>
  <c r="F76" i="83"/>
  <c r="HW75" i="83"/>
  <c r="HB75" i="83"/>
  <c r="HC75" i="83"/>
  <c r="HA75" i="83"/>
  <c r="GZ75" i="83"/>
  <c r="GP75" i="83"/>
  <c r="GM75" i="83"/>
  <c r="GK75" i="83"/>
  <c r="GG75" i="83"/>
  <c r="GF75" i="83"/>
  <c r="GE75" i="83"/>
  <c r="GD75" i="83"/>
  <c r="GC75" i="83"/>
  <c r="GA75" i="83"/>
  <c r="EE75" i="83"/>
  <c r="ED75" i="83"/>
  <c r="EC75" i="83"/>
  <c r="EB75" i="83"/>
  <c r="EA75" i="83"/>
  <c r="DZ75" i="83"/>
  <c r="DY75" i="83"/>
  <c r="DO75" i="83"/>
  <c r="DM75" i="83"/>
  <c r="DN75" i="83"/>
  <c r="BQ75" i="83"/>
  <c r="BT75" i="83"/>
  <c r="BE75" i="83"/>
  <c r="BB75" i="83"/>
  <c r="BA75" i="83"/>
  <c r="AZ75" i="83"/>
  <c r="AY75" i="83"/>
  <c r="AX75" i="83"/>
  <c r="BF75" i="83"/>
  <c r="BD75" i="83"/>
  <c r="BC75" i="83"/>
  <c r="AF75" i="83"/>
  <c r="U75" i="83"/>
  <c r="W75" i="83"/>
  <c r="N75" i="83"/>
  <c r="K75" i="83"/>
  <c r="J75" i="83"/>
  <c r="H75" i="83"/>
  <c r="F75" i="83"/>
  <c r="HB74" i="83"/>
  <c r="HC74" i="83"/>
  <c r="HA74" i="83"/>
  <c r="GZ74" i="83"/>
  <c r="GU74" i="83"/>
  <c r="GP74" i="83"/>
  <c r="GM74" i="83"/>
  <c r="GK74" i="83"/>
  <c r="DW74" i="83"/>
  <c r="DX74" i="83"/>
  <c r="GG74" i="83"/>
  <c r="FV74" i="83"/>
  <c r="GF74" i="83"/>
  <c r="FU74" i="83"/>
  <c r="GE74" i="83"/>
  <c r="FT74" i="83"/>
  <c r="GD74" i="83"/>
  <c r="FS74" i="83"/>
  <c r="GC74" i="83"/>
  <c r="FQ74" i="83"/>
  <c r="GA74" i="83"/>
  <c r="EE74" i="83"/>
  <c r="ED74" i="83"/>
  <c r="EC74" i="83"/>
  <c r="EB74" i="83"/>
  <c r="EA74" i="83"/>
  <c r="DZ74" i="83"/>
  <c r="DY74" i="83"/>
  <c r="DM74" i="83"/>
  <c r="DN74" i="83"/>
  <c r="BQ74" i="83"/>
  <c r="AV74" i="83"/>
  <c r="AW74" i="83"/>
  <c r="BT74" i="83"/>
  <c r="BE74" i="83"/>
  <c r="BB74" i="83"/>
  <c r="BA74" i="83"/>
  <c r="AZ74" i="83"/>
  <c r="AY74" i="83"/>
  <c r="AX74" i="83"/>
  <c r="BF74" i="83"/>
  <c r="BD74" i="83"/>
  <c r="BC74" i="83"/>
  <c r="AF74" i="83"/>
  <c r="U74" i="83"/>
  <c r="W74" i="83"/>
  <c r="N74" i="83"/>
  <c r="K74" i="83"/>
  <c r="J74" i="83"/>
  <c r="H74" i="83"/>
  <c r="F74" i="83"/>
  <c r="HA73" i="83"/>
  <c r="DW73" i="83"/>
  <c r="DX73" i="83"/>
  <c r="EE73" i="83"/>
  <c r="ED73" i="83"/>
  <c r="EC73" i="83"/>
  <c r="EB73" i="83"/>
  <c r="EA73" i="83"/>
  <c r="DZ73" i="83"/>
  <c r="DY73" i="83"/>
  <c r="DM73" i="83"/>
  <c r="DN73" i="83"/>
  <c r="AV73" i="83"/>
  <c r="AW73" i="83"/>
  <c r="BE73" i="83"/>
  <c r="BB73" i="83"/>
  <c r="BA73" i="83"/>
  <c r="AZ73" i="83"/>
  <c r="AY73" i="83"/>
  <c r="AX73" i="83"/>
  <c r="BF73" i="83"/>
  <c r="BD73" i="83"/>
  <c r="BC73" i="83"/>
  <c r="N73" i="83"/>
  <c r="K73" i="83"/>
  <c r="J73" i="83"/>
  <c r="H73" i="83"/>
  <c r="F73" i="83"/>
  <c r="HA72" i="83"/>
  <c r="DW72" i="83"/>
  <c r="DX72" i="83"/>
  <c r="EE72" i="83"/>
  <c r="ED72" i="83"/>
  <c r="EC72" i="83"/>
  <c r="EB72" i="83"/>
  <c r="EA72" i="83"/>
  <c r="DZ72" i="83"/>
  <c r="DY72" i="83"/>
  <c r="DM72" i="83"/>
  <c r="DN72" i="83"/>
  <c r="AV72" i="83"/>
  <c r="AW72" i="83"/>
  <c r="BE72" i="83"/>
  <c r="BB72" i="83"/>
  <c r="BA72" i="83"/>
  <c r="AZ72" i="83"/>
  <c r="AY72" i="83"/>
  <c r="AX72" i="83"/>
  <c r="BF72" i="83"/>
  <c r="BD72" i="83"/>
  <c r="BC72" i="83"/>
  <c r="N72" i="83"/>
  <c r="K72" i="83"/>
  <c r="J72" i="83"/>
  <c r="H72" i="83"/>
  <c r="F72" i="83"/>
  <c r="HA71" i="83"/>
  <c r="N71" i="83"/>
  <c r="K71" i="83"/>
  <c r="J71" i="83"/>
  <c r="H71" i="83"/>
  <c r="F71" i="83"/>
  <c r="HA70" i="83"/>
  <c r="N70" i="83"/>
  <c r="K70" i="83"/>
  <c r="J70" i="83"/>
  <c r="H70" i="83"/>
  <c r="F70" i="83"/>
  <c r="HA69" i="83"/>
  <c r="N69" i="83"/>
  <c r="K69" i="83"/>
  <c r="J69" i="83"/>
  <c r="H69" i="83"/>
  <c r="F69" i="83"/>
  <c r="HA68" i="83"/>
  <c r="N68" i="83"/>
  <c r="K68" i="83"/>
  <c r="J68" i="83"/>
  <c r="H68" i="83"/>
  <c r="F68" i="83"/>
  <c r="HA67" i="83"/>
  <c r="N67" i="83"/>
  <c r="K67" i="83"/>
  <c r="J67" i="83"/>
  <c r="H67" i="83"/>
  <c r="F67" i="83"/>
  <c r="HA66" i="83"/>
  <c r="N66" i="83"/>
  <c r="K66" i="83"/>
  <c r="J66" i="83"/>
  <c r="H66" i="83"/>
  <c r="F66" i="83"/>
  <c r="HA65" i="83"/>
  <c r="N65" i="83"/>
  <c r="K65" i="83"/>
  <c r="J65" i="83"/>
  <c r="H65" i="83"/>
  <c r="F65" i="83"/>
  <c r="HA64" i="83"/>
  <c r="N64" i="83"/>
  <c r="K64" i="83"/>
  <c r="J64" i="83"/>
  <c r="H64" i="83"/>
  <c r="F64" i="83"/>
  <c r="HA63" i="83"/>
  <c r="N63" i="83"/>
  <c r="K63" i="83"/>
  <c r="J63" i="83"/>
  <c r="H63" i="83"/>
  <c r="F63" i="83"/>
  <c r="HA62" i="83"/>
  <c r="N62" i="83"/>
  <c r="K62" i="83"/>
  <c r="J62" i="83"/>
  <c r="H62" i="83"/>
  <c r="F62" i="83"/>
  <c r="HA61" i="83"/>
  <c r="N61" i="83"/>
  <c r="K61" i="83"/>
  <c r="J61" i="83"/>
  <c r="H61" i="83"/>
  <c r="F61" i="83"/>
  <c r="HA60" i="83"/>
  <c r="N60" i="83"/>
  <c r="K60" i="83"/>
  <c r="J60" i="83"/>
  <c r="H60" i="83"/>
  <c r="F60" i="83"/>
  <c r="HA59" i="83"/>
  <c r="N59" i="83"/>
  <c r="K59" i="83"/>
  <c r="J59" i="83"/>
  <c r="H59" i="83"/>
  <c r="F59" i="83"/>
  <c r="HA58" i="83"/>
  <c r="N58" i="83"/>
  <c r="K58" i="83"/>
  <c r="J58" i="83"/>
  <c r="H58" i="83"/>
  <c r="F58" i="83"/>
  <c r="N57" i="83"/>
  <c r="K57" i="83"/>
  <c r="J57" i="83"/>
  <c r="H57" i="83"/>
  <c r="F57" i="83"/>
  <c r="N56" i="83"/>
  <c r="K56" i="83"/>
  <c r="J56" i="83"/>
  <c r="H56" i="83"/>
  <c r="F56" i="83"/>
  <c r="N55" i="83"/>
  <c r="K55" i="83"/>
  <c r="J55" i="83"/>
  <c r="H55" i="83"/>
  <c r="F55" i="83"/>
  <c r="N54" i="83"/>
  <c r="K54" i="83"/>
  <c r="J54" i="83"/>
  <c r="H54" i="83"/>
  <c r="F54" i="83"/>
  <c r="N53" i="83"/>
  <c r="K53" i="83"/>
  <c r="J53" i="83"/>
  <c r="H53" i="83"/>
  <c r="F53" i="83"/>
  <c r="N52" i="83"/>
  <c r="K52" i="83"/>
  <c r="J52" i="83"/>
  <c r="H52" i="83"/>
  <c r="F52" i="83"/>
  <c r="N51" i="83"/>
  <c r="K51" i="83"/>
  <c r="J51" i="83"/>
  <c r="H51" i="83"/>
  <c r="F51" i="83"/>
  <c r="N50" i="83"/>
  <c r="K50" i="83"/>
  <c r="J50" i="83"/>
  <c r="H50" i="83"/>
  <c r="F50" i="83"/>
  <c r="N49" i="83"/>
  <c r="K49" i="83"/>
  <c r="J49" i="83"/>
  <c r="H49" i="83"/>
  <c r="F49" i="83"/>
  <c r="N48" i="83"/>
  <c r="K48" i="83"/>
  <c r="J48" i="83"/>
  <c r="H48" i="83"/>
  <c r="F48" i="83"/>
  <c r="N47" i="83"/>
  <c r="K47" i="83"/>
  <c r="J47" i="83"/>
  <c r="H47" i="83"/>
  <c r="F47" i="83"/>
  <c r="N46" i="83"/>
  <c r="K46" i="83"/>
  <c r="J46" i="83"/>
  <c r="H46" i="83"/>
  <c r="F46" i="83"/>
  <c r="N45" i="83"/>
  <c r="K45" i="83"/>
  <c r="J45" i="83"/>
  <c r="H45" i="83"/>
  <c r="F45" i="83"/>
  <c r="N44" i="83"/>
  <c r="K44" i="83"/>
  <c r="J44" i="83"/>
  <c r="H44" i="83"/>
  <c r="F44" i="83"/>
  <c r="N43" i="83"/>
  <c r="K43" i="83"/>
  <c r="J43" i="83"/>
  <c r="H43" i="83"/>
  <c r="F43" i="83"/>
  <c r="N42" i="83"/>
  <c r="K42" i="83"/>
  <c r="J42" i="83"/>
  <c r="H42" i="83"/>
  <c r="F42" i="83"/>
  <c r="N41" i="83"/>
  <c r="K41" i="83"/>
  <c r="J41" i="83"/>
  <c r="H41" i="83"/>
  <c r="F41" i="83"/>
  <c r="N40" i="83"/>
  <c r="K40" i="83"/>
  <c r="J40" i="83"/>
  <c r="H40" i="83"/>
  <c r="F40" i="83"/>
  <c r="N39" i="83"/>
  <c r="K39" i="83"/>
  <c r="J39" i="83"/>
  <c r="H39" i="83"/>
  <c r="F39" i="83"/>
  <c r="N38" i="83"/>
  <c r="K38" i="83"/>
  <c r="J38" i="83"/>
  <c r="H38" i="83"/>
  <c r="F38" i="83"/>
  <c r="N37" i="83"/>
  <c r="K37" i="83"/>
  <c r="J37" i="83"/>
  <c r="H37" i="83"/>
  <c r="F37" i="83"/>
  <c r="N36" i="83"/>
  <c r="K36" i="83"/>
  <c r="J36" i="83"/>
  <c r="H36" i="83"/>
  <c r="F36" i="83"/>
  <c r="N35" i="83"/>
  <c r="K35" i="83"/>
  <c r="J35" i="83"/>
  <c r="H35" i="83"/>
  <c r="F35" i="83"/>
  <c r="N34" i="83"/>
  <c r="K34" i="83"/>
  <c r="J34" i="83"/>
  <c r="H34" i="83"/>
  <c r="F34" i="83"/>
  <c r="N33" i="83"/>
  <c r="K33" i="83"/>
  <c r="J33" i="83"/>
  <c r="H33" i="83"/>
  <c r="F33" i="83"/>
  <c r="N32" i="83"/>
  <c r="K32" i="83"/>
  <c r="J32" i="83"/>
  <c r="H32" i="83"/>
  <c r="F32" i="83"/>
  <c r="N31" i="83"/>
  <c r="K31" i="83"/>
  <c r="J31" i="83"/>
  <c r="H31" i="83"/>
  <c r="F31" i="83"/>
  <c r="N30" i="83"/>
  <c r="K30" i="83"/>
  <c r="J30" i="83"/>
  <c r="H30" i="83"/>
  <c r="F30" i="83"/>
  <c r="N29" i="83"/>
  <c r="K29" i="83"/>
  <c r="J29" i="83"/>
  <c r="H29" i="83"/>
  <c r="F29" i="83"/>
  <c r="N28" i="83"/>
  <c r="K28" i="83"/>
  <c r="J28" i="83"/>
  <c r="H28" i="83"/>
  <c r="F28" i="83"/>
  <c r="N27" i="83"/>
  <c r="K27" i="83"/>
  <c r="J27" i="83"/>
  <c r="H27" i="83"/>
  <c r="F27" i="83"/>
  <c r="N26" i="83"/>
  <c r="K26" i="83"/>
  <c r="J26" i="83"/>
  <c r="H26" i="83"/>
  <c r="F26" i="83"/>
  <c r="N25" i="83"/>
  <c r="K25" i="83"/>
  <c r="J25" i="83"/>
  <c r="G25" i="83"/>
  <c r="H25" i="83"/>
  <c r="F25" i="83"/>
  <c r="N24" i="83"/>
  <c r="K24" i="83"/>
  <c r="J24" i="83"/>
  <c r="G24" i="83"/>
  <c r="H24" i="83"/>
  <c r="F24" i="83"/>
  <c r="N23" i="83"/>
  <c r="K23" i="83"/>
  <c r="J23" i="83"/>
  <c r="G23" i="83"/>
  <c r="H23" i="83"/>
  <c r="F23" i="83"/>
  <c r="N22" i="83"/>
  <c r="K22" i="83"/>
  <c r="J22" i="83"/>
  <c r="G22" i="83"/>
  <c r="H22" i="83"/>
  <c r="F22" i="83"/>
  <c r="E21" i="83"/>
  <c r="Q21" i="83"/>
  <c r="N21" i="83"/>
  <c r="K21" i="83"/>
  <c r="J21" i="83"/>
  <c r="G21" i="83"/>
  <c r="H21" i="83"/>
  <c r="F21" i="83"/>
  <c r="ME75" i="9"/>
  <c r="ME76" i="9"/>
  <c r="ME77" i="9"/>
  <c r="ME78" i="9"/>
  <c r="ME79" i="9"/>
  <c r="ME80" i="9"/>
  <c r="ME81" i="9"/>
  <c r="ME82" i="9"/>
  <c r="ME83" i="9"/>
  <c r="ME84" i="9"/>
  <c r="ME85" i="9"/>
  <c r="ME86" i="9"/>
  <c r="ME87" i="9"/>
  <c r="ME88" i="9"/>
  <c r="ME89" i="9"/>
  <c r="ME90" i="9"/>
  <c r="ME91" i="9"/>
  <c r="ME92" i="9"/>
  <c r="ME93" i="9"/>
  <c r="ME94" i="9"/>
  <c r="ME95" i="9"/>
  <c r="ME96" i="9"/>
  <c r="ME97" i="9"/>
  <c r="ME98" i="9"/>
  <c r="ME99" i="9"/>
  <c r="ME100" i="9"/>
  <c r="ME101" i="9"/>
  <c r="ME102" i="9"/>
  <c r="ME103" i="9"/>
  <c r="ME104" i="9"/>
  <c r="ME105" i="9"/>
  <c r="ME106" i="9"/>
  <c r="ME107" i="9"/>
  <c r="ME108" i="9"/>
  <c r="ME74" i="9"/>
  <c r="MD75" i="9"/>
  <c r="MD76" i="9"/>
  <c r="MD77" i="9"/>
  <c r="MD78" i="9"/>
  <c r="MD79" i="9"/>
  <c r="MD80" i="9"/>
  <c r="MD81" i="9"/>
  <c r="MD82" i="9"/>
  <c r="MD83" i="9"/>
  <c r="MD84" i="9"/>
  <c r="MD85" i="9"/>
  <c r="MD86" i="9"/>
  <c r="MD87" i="9"/>
  <c r="MD88" i="9"/>
  <c r="MD89" i="9"/>
  <c r="MD90" i="9"/>
  <c r="MD91" i="9"/>
  <c r="MD92" i="9"/>
  <c r="MD93" i="9"/>
  <c r="MD94" i="9"/>
  <c r="MD95" i="9"/>
  <c r="MD96" i="9"/>
  <c r="MD97" i="9"/>
  <c r="MD98" i="9"/>
  <c r="MD99" i="9"/>
  <c r="MD100" i="9"/>
  <c r="MD101" i="9"/>
  <c r="MD102" i="9"/>
  <c r="MD103" i="9"/>
  <c r="MD104" i="9"/>
  <c r="MD105" i="9"/>
  <c r="MD106" i="9"/>
  <c r="MD107" i="9"/>
  <c r="MD108" i="9"/>
  <c r="MD74" i="9"/>
  <c r="IK69" i="9"/>
  <c r="KR76" i="9"/>
  <c r="OI76" i="9"/>
  <c r="GG76" i="9"/>
  <c r="FF76" i="9"/>
  <c r="CY76" i="9"/>
  <c r="JH76" i="9"/>
  <c r="JT76" i="9"/>
  <c r="LG76" i="9"/>
  <c r="MN76" i="9"/>
  <c r="PA76" i="9"/>
  <c r="KR77" i="9"/>
  <c r="OI77" i="9"/>
  <c r="GG77" i="9"/>
  <c r="FF77" i="9"/>
  <c r="CY77" i="9"/>
  <c r="JH77" i="9"/>
  <c r="JT77" i="9"/>
  <c r="LG77" i="9"/>
  <c r="MN77" i="9"/>
  <c r="PA77" i="9"/>
  <c r="KR78" i="9"/>
  <c r="OI78" i="9"/>
  <c r="GG78" i="9"/>
  <c r="FF78" i="9"/>
  <c r="CY78" i="9"/>
  <c r="JH78" i="9"/>
  <c r="JT78" i="9"/>
  <c r="LG78" i="9"/>
  <c r="MN78" i="9"/>
  <c r="PA78" i="9"/>
  <c r="KR79" i="9"/>
  <c r="OI79" i="9"/>
  <c r="GG79" i="9"/>
  <c r="FF79" i="9"/>
  <c r="CY79" i="9"/>
  <c r="JH79" i="9"/>
  <c r="JT79" i="9"/>
  <c r="LG79" i="9"/>
  <c r="MN79" i="9"/>
  <c r="PA79" i="9"/>
  <c r="KR80" i="9"/>
  <c r="OI80" i="9"/>
  <c r="GG80" i="9"/>
  <c r="FF80" i="9"/>
  <c r="CY80" i="9"/>
  <c r="JH80" i="9"/>
  <c r="JT80" i="9"/>
  <c r="LG80" i="9"/>
  <c r="MN80" i="9"/>
  <c r="PA80" i="9"/>
  <c r="KR81" i="9"/>
  <c r="OI81" i="9"/>
  <c r="GG81" i="9"/>
  <c r="FF81" i="9"/>
  <c r="CY81" i="9"/>
  <c r="JH81" i="9"/>
  <c r="JT81" i="9"/>
  <c r="LG81" i="9"/>
  <c r="MN81" i="9"/>
  <c r="PA81" i="9"/>
  <c r="KR82" i="9"/>
  <c r="OI82" i="9"/>
  <c r="GG82" i="9"/>
  <c r="FF82" i="9"/>
  <c r="CY82" i="9"/>
  <c r="JH82" i="9"/>
  <c r="JT82" i="9"/>
  <c r="LG82" i="9"/>
  <c r="MN82" i="9"/>
  <c r="PA82" i="9"/>
  <c r="KR83" i="9"/>
  <c r="OI83" i="9"/>
  <c r="GG83" i="9"/>
  <c r="FF83" i="9"/>
  <c r="CY83" i="9"/>
  <c r="JH83" i="9"/>
  <c r="JT83" i="9"/>
  <c r="LG83" i="9"/>
  <c r="MN83" i="9"/>
  <c r="PA83" i="9"/>
  <c r="KR84" i="9"/>
  <c r="OI84" i="9"/>
  <c r="GG84" i="9"/>
  <c r="FF84" i="9"/>
  <c r="CY84" i="9"/>
  <c r="JH84" i="9"/>
  <c r="JT84" i="9"/>
  <c r="LG84" i="9"/>
  <c r="MN84" i="9"/>
  <c r="PA84" i="9"/>
  <c r="KR85" i="9"/>
  <c r="OI85" i="9"/>
  <c r="GG85" i="9"/>
  <c r="FF85" i="9"/>
  <c r="CY85" i="9"/>
  <c r="JH85" i="9"/>
  <c r="JT85" i="9"/>
  <c r="LG85" i="9"/>
  <c r="MN85" i="9"/>
  <c r="PA85" i="9"/>
  <c r="KR86" i="9"/>
  <c r="GG86" i="9"/>
  <c r="FF86" i="9"/>
  <c r="CY86" i="9"/>
  <c r="JH86" i="9"/>
  <c r="JT86" i="9"/>
  <c r="LG86" i="9"/>
  <c r="MN86" i="9"/>
  <c r="PA86" i="9"/>
  <c r="KR87" i="9"/>
  <c r="GG87" i="9"/>
  <c r="FF87" i="9"/>
  <c r="CY87" i="9"/>
  <c r="JH87" i="9"/>
  <c r="JT87" i="9"/>
  <c r="LG87" i="9"/>
  <c r="MN87" i="9"/>
  <c r="PA87" i="9"/>
  <c r="KR88" i="9"/>
  <c r="GG88" i="9"/>
  <c r="FF88" i="9"/>
  <c r="CY88" i="9"/>
  <c r="JH88" i="9"/>
  <c r="JT88" i="9"/>
  <c r="LG88" i="9"/>
  <c r="MN88" i="9"/>
  <c r="PA88" i="9"/>
  <c r="KR89" i="9"/>
  <c r="GG89" i="9"/>
  <c r="FF89" i="9"/>
  <c r="CY89" i="9"/>
  <c r="JH89" i="9"/>
  <c r="JT89" i="9"/>
  <c r="LG89" i="9"/>
  <c r="MN89" i="9"/>
  <c r="PA89" i="9"/>
  <c r="KR90" i="9"/>
  <c r="GG90" i="9"/>
  <c r="FF90" i="9"/>
  <c r="CY90" i="9"/>
  <c r="JH90" i="9"/>
  <c r="JT90" i="9"/>
  <c r="LG90" i="9"/>
  <c r="MN90" i="9"/>
  <c r="PA90" i="9"/>
  <c r="KR91" i="9"/>
  <c r="GG91" i="9"/>
  <c r="FF91" i="9"/>
  <c r="CY91" i="9"/>
  <c r="JH91" i="9"/>
  <c r="JT91" i="9"/>
  <c r="LG91" i="9"/>
  <c r="MN91" i="9"/>
  <c r="PA91" i="9"/>
  <c r="KR92" i="9"/>
  <c r="GG92" i="9"/>
  <c r="FF92" i="9"/>
  <c r="CY92" i="9"/>
  <c r="JH92" i="9"/>
  <c r="JT92" i="9"/>
  <c r="LG92" i="9"/>
  <c r="MN92" i="9"/>
  <c r="PA92" i="9"/>
  <c r="KR93" i="9"/>
  <c r="GG93" i="9"/>
  <c r="FF93" i="9"/>
  <c r="CY93" i="9"/>
  <c r="JH93" i="9"/>
  <c r="JT93" i="9"/>
  <c r="LG93" i="9"/>
  <c r="MN93" i="9"/>
  <c r="PA93" i="9"/>
  <c r="KR94" i="9"/>
  <c r="GG94" i="9"/>
  <c r="FF94" i="9"/>
  <c r="CY94" i="9"/>
  <c r="JH94" i="9"/>
  <c r="JT94" i="9"/>
  <c r="LG94" i="9"/>
  <c r="MN94" i="9"/>
  <c r="PA94" i="9"/>
  <c r="KR95" i="9"/>
  <c r="GG95" i="9"/>
  <c r="FF95" i="9"/>
  <c r="CY95" i="9"/>
  <c r="JH95" i="9"/>
  <c r="JT95" i="9"/>
  <c r="LG95" i="9"/>
  <c r="MN95" i="9"/>
  <c r="PA95" i="9"/>
  <c r="KR96" i="9"/>
  <c r="GG96" i="9"/>
  <c r="FF96" i="9"/>
  <c r="CY96" i="9"/>
  <c r="JH96" i="9"/>
  <c r="JT96" i="9"/>
  <c r="LG96" i="9"/>
  <c r="MN96" i="9"/>
  <c r="PA96" i="9"/>
  <c r="KR97" i="9"/>
  <c r="GG97" i="9"/>
  <c r="FF97" i="9"/>
  <c r="CY97" i="9"/>
  <c r="JH97" i="9"/>
  <c r="JT97" i="9"/>
  <c r="LG97" i="9"/>
  <c r="MN97" i="9"/>
  <c r="PA97" i="9"/>
  <c r="KR98" i="9"/>
  <c r="GG98" i="9"/>
  <c r="FF98" i="9"/>
  <c r="CY98" i="9"/>
  <c r="JH98" i="9"/>
  <c r="JT98" i="9"/>
  <c r="LG98" i="9"/>
  <c r="MN98" i="9"/>
  <c r="PA98" i="9"/>
  <c r="CY99" i="9"/>
  <c r="JH99" i="9"/>
  <c r="JT99" i="9"/>
  <c r="MN99" i="9"/>
  <c r="CY100" i="9"/>
  <c r="JH100" i="9"/>
  <c r="JT100" i="9"/>
  <c r="MN100" i="9"/>
  <c r="CY101" i="9"/>
  <c r="JH101" i="9"/>
  <c r="JT101" i="9"/>
  <c r="MN101" i="9"/>
  <c r="KR102" i="9"/>
  <c r="GG102" i="9"/>
  <c r="FF102" i="9"/>
  <c r="CY102" i="9"/>
  <c r="JH102" i="9"/>
  <c r="JT102" i="9"/>
  <c r="LG102" i="9"/>
  <c r="MN102" i="9"/>
  <c r="PA102" i="9"/>
  <c r="KR103" i="9"/>
  <c r="GG103" i="9"/>
  <c r="FF103" i="9"/>
  <c r="CY103" i="9"/>
  <c r="JH103" i="9"/>
  <c r="JT103" i="9"/>
  <c r="LG103" i="9"/>
  <c r="MN103" i="9"/>
  <c r="PA103" i="9"/>
  <c r="KR104" i="9"/>
  <c r="GG104" i="9"/>
  <c r="FF104" i="9"/>
  <c r="CY104" i="9"/>
  <c r="JH104" i="9"/>
  <c r="JT104" i="9"/>
  <c r="LG104" i="9"/>
  <c r="MN104" i="9"/>
  <c r="PA104" i="9"/>
  <c r="KR105" i="9"/>
  <c r="GG105" i="9"/>
  <c r="FF105" i="9"/>
  <c r="CY105" i="9"/>
  <c r="JH105" i="9"/>
  <c r="JT105" i="9"/>
  <c r="LG105" i="9"/>
  <c r="MN105" i="9"/>
  <c r="PA105" i="9"/>
  <c r="KR106" i="9"/>
  <c r="GG106" i="9"/>
  <c r="FF106" i="9"/>
  <c r="CY106" i="9"/>
  <c r="JH106" i="9"/>
  <c r="JT106" i="9"/>
  <c r="LG106" i="9"/>
  <c r="MN106" i="9"/>
  <c r="PA106" i="9"/>
  <c r="KR107" i="9"/>
  <c r="GG107" i="9"/>
  <c r="FF107" i="9"/>
  <c r="CY107" i="9"/>
  <c r="JH107" i="9"/>
  <c r="JT107" i="9"/>
  <c r="LG107" i="9"/>
  <c r="MN107" i="9"/>
  <c r="PA107" i="9"/>
  <c r="KR108" i="9"/>
  <c r="OI108" i="9"/>
  <c r="GG108" i="9"/>
  <c r="FF108" i="9"/>
  <c r="CY108" i="9"/>
  <c r="JH108" i="9"/>
  <c r="JT108" i="9"/>
  <c r="LG108" i="9"/>
  <c r="MN108" i="9"/>
  <c r="PA108" i="9"/>
  <c r="KR75" i="9"/>
  <c r="OI75" i="9"/>
  <c r="GG75" i="9"/>
  <c r="FF75" i="9"/>
  <c r="CY75" i="9"/>
  <c r="JH75" i="9"/>
  <c r="JT75" i="9"/>
  <c r="LG75" i="9"/>
  <c r="MN75" i="9"/>
  <c r="PA75" i="9"/>
  <c r="FE76" i="9"/>
  <c r="OZ76" i="9"/>
  <c r="FE77" i="9"/>
  <c r="OZ77" i="9"/>
  <c r="FE78" i="9"/>
  <c r="OZ78" i="9"/>
  <c r="FE79" i="9"/>
  <c r="OZ79" i="9"/>
  <c r="FE80" i="9"/>
  <c r="OZ80" i="9"/>
  <c r="FE81" i="9"/>
  <c r="OZ81" i="9"/>
  <c r="FE82" i="9"/>
  <c r="OZ82" i="9"/>
  <c r="FE83" i="9"/>
  <c r="OZ83" i="9"/>
  <c r="FE84" i="9"/>
  <c r="OZ84" i="9"/>
  <c r="FE85" i="9"/>
  <c r="OZ85" i="9"/>
  <c r="FE86" i="9"/>
  <c r="OZ86" i="9"/>
  <c r="FE87" i="9"/>
  <c r="OZ87" i="9"/>
  <c r="FE88" i="9"/>
  <c r="OZ88" i="9"/>
  <c r="FE89" i="9"/>
  <c r="OZ89" i="9"/>
  <c r="FE90" i="9"/>
  <c r="OZ90" i="9"/>
  <c r="FE91" i="9"/>
  <c r="OZ91" i="9"/>
  <c r="FE92" i="9"/>
  <c r="OZ92" i="9"/>
  <c r="FE93" i="9"/>
  <c r="OZ93" i="9"/>
  <c r="FE94" i="9"/>
  <c r="OZ94" i="9"/>
  <c r="FE95" i="9"/>
  <c r="OZ95" i="9"/>
  <c r="FE96" i="9"/>
  <c r="OZ96" i="9"/>
  <c r="FE97" i="9"/>
  <c r="OZ97" i="9"/>
  <c r="FE98" i="9"/>
  <c r="OZ98" i="9"/>
  <c r="FX99" i="9"/>
  <c r="EW99" i="9"/>
  <c r="FY99" i="9"/>
  <c r="EX99" i="9"/>
  <c r="FZ99" i="9"/>
  <c r="EY99" i="9"/>
  <c r="GA99" i="9"/>
  <c r="EZ99" i="9"/>
  <c r="GE99" i="9"/>
  <c r="FD99" i="9"/>
  <c r="FX100" i="9"/>
  <c r="EW100" i="9"/>
  <c r="FY100" i="9"/>
  <c r="EX100" i="9"/>
  <c r="FZ100" i="9"/>
  <c r="EY100" i="9"/>
  <c r="GA100" i="9"/>
  <c r="EZ100" i="9"/>
  <c r="GE100" i="9"/>
  <c r="FD100" i="9"/>
  <c r="FX101" i="9"/>
  <c r="EW101" i="9"/>
  <c r="FY101" i="9"/>
  <c r="EX101" i="9"/>
  <c r="FZ101" i="9"/>
  <c r="EY101" i="9"/>
  <c r="GA101" i="9"/>
  <c r="EZ101" i="9"/>
  <c r="GE101" i="9"/>
  <c r="FD101" i="9"/>
  <c r="FE102" i="9"/>
  <c r="OZ102" i="9"/>
  <c r="FE103" i="9"/>
  <c r="OZ103" i="9"/>
  <c r="FE104" i="9"/>
  <c r="OZ104" i="9"/>
  <c r="FE105" i="9"/>
  <c r="OZ105" i="9"/>
  <c r="FE106" i="9"/>
  <c r="OZ106" i="9"/>
  <c r="FE107" i="9"/>
  <c r="OZ107" i="9"/>
  <c r="FX108" i="9"/>
  <c r="EW108" i="9"/>
  <c r="FY108" i="9"/>
  <c r="EX108" i="9"/>
  <c r="FZ108" i="9"/>
  <c r="EY108" i="9"/>
  <c r="GA108" i="9"/>
  <c r="EZ108" i="9"/>
  <c r="GB108" i="9"/>
  <c r="FA108" i="9"/>
  <c r="GE108" i="9"/>
  <c r="FD108" i="9"/>
  <c r="FE108" i="9"/>
  <c r="OZ108" i="9"/>
  <c r="FE75" i="9"/>
  <c r="OZ75" i="9"/>
  <c r="LD76" i="9"/>
  <c r="OY76" i="9"/>
  <c r="LD77" i="9"/>
  <c r="OY77" i="9"/>
  <c r="LD78" i="9"/>
  <c r="OY78" i="9"/>
  <c r="LD79" i="9"/>
  <c r="OY79" i="9"/>
  <c r="LD80" i="9"/>
  <c r="OY80" i="9"/>
  <c r="LD81" i="9"/>
  <c r="OY81" i="9"/>
  <c r="LD82" i="9"/>
  <c r="OY82" i="9"/>
  <c r="LD83" i="9"/>
  <c r="OY83" i="9"/>
  <c r="LD84" i="9"/>
  <c r="OY84" i="9"/>
  <c r="LD85" i="9"/>
  <c r="OY85" i="9"/>
  <c r="LD86" i="9"/>
  <c r="OY86" i="9"/>
  <c r="LD87" i="9"/>
  <c r="OY87" i="9"/>
  <c r="LD88" i="9"/>
  <c r="OY88" i="9"/>
  <c r="LD89" i="9"/>
  <c r="OY89" i="9"/>
  <c r="LD90" i="9"/>
  <c r="OY90" i="9"/>
  <c r="LD91" i="9"/>
  <c r="OY91" i="9"/>
  <c r="LD92" i="9"/>
  <c r="OY92" i="9"/>
  <c r="LD93" i="9"/>
  <c r="OY93" i="9"/>
  <c r="LD94" i="9"/>
  <c r="OY94" i="9"/>
  <c r="LD95" i="9"/>
  <c r="OY95" i="9"/>
  <c r="LD96" i="9"/>
  <c r="OY96" i="9"/>
  <c r="LD97" i="9"/>
  <c r="OY97" i="9"/>
  <c r="LD98" i="9"/>
  <c r="OY98" i="9"/>
  <c r="LD99" i="9"/>
  <c r="OY99" i="9"/>
  <c r="LD100" i="9"/>
  <c r="OY100" i="9"/>
  <c r="LD101" i="9"/>
  <c r="OY101" i="9"/>
  <c r="LD102" i="9"/>
  <c r="OY102" i="9"/>
  <c r="LD103" i="9"/>
  <c r="OY103" i="9"/>
  <c r="LD104" i="9"/>
  <c r="OY104" i="9"/>
  <c r="LD105" i="9"/>
  <c r="OY105" i="9"/>
  <c r="LD106" i="9"/>
  <c r="OY106" i="9"/>
  <c r="LD107" i="9"/>
  <c r="OY107" i="9"/>
  <c r="LD108" i="9"/>
  <c r="OY108" i="9"/>
  <c r="LD75" i="9"/>
  <c r="OY75" i="9"/>
  <c r="DO74" i="9" a="1"/>
  <c r="DO76" i="9"/>
  <c r="FB76" i="9"/>
  <c r="LB76" i="9"/>
  <c r="OX76" i="9"/>
  <c r="DO77" i="9"/>
  <c r="FB77" i="9"/>
  <c r="LB77" i="9"/>
  <c r="OX77" i="9"/>
  <c r="DO78" i="9"/>
  <c r="FB78" i="9"/>
  <c r="LB78" i="9"/>
  <c r="OX78" i="9"/>
  <c r="DO79" i="9"/>
  <c r="G54" i="25"/>
  <c r="IL79" i="9"/>
  <c r="KL79" i="9"/>
  <c r="GC79" i="9"/>
  <c r="FB79" i="9"/>
  <c r="LB79" i="9"/>
  <c r="OX79" i="9"/>
  <c r="DO80" i="9"/>
  <c r="IL80" i="9"/>
  <c r="KL80" i="9"/>
  <c r="GC80" i="9"/>
  <c r="FB80" i="9"/>
  <c r="LB80" i="9"/>
  <c r="OX80" i="9"/>
  <c r="DO81" i="9"/>
  <c r="IL81" i="9"/>
  <c r="KL81" i="9"/>
  <c r="GC81" i="9"/>
  <c r="FB81" i="9"/>
  <c r="LB81" i="9"/>
  <c r="OX81" i="9"/>
  <c r="DO82" i="9"/>
  <c r="IL82" i="9"/>
  <c r="KL82" i="9"/>
  <c r="GC82" i="9"/>
  <c r="FB82" i="9"/>
  <c r="LB82" i="9"/>
  <c r="OX82" i="9"/>
  <c r="DO83" i="9"/>
  <c r="IL83" i="9"/>
  <c r="KL83" i="9"/>
  <c r="GC83" i="9"/>
  <c r="FB83" i="9"/>
  <c r="LB83" i="9"/>
  <c r="OX83" i="9"/>
  <c r="DO84" i="9"/>
  <c r="L54" i="25"/>
  <c r="IL84" i="9"/>
  <c r="KL84" i="9"/>
  <c r="GC84" i="9"/>
  <c r="FB84" i="9"/>
  <c r="LB84" i="9"/>
  <c r="OX84" i="9"/>
  <c r="DO85" i="9"/>
  <c r="IL85" i="9"/>
  <c r="KL85" i="9"/>
  <c r="GC85" i="9"/>
  <c r="FB85" i="9"/>
  <c r="LB85" i="9"/>
  <c r="OX85" i="9"/>
  <c r="DO86" i="9"/>
  <c r="IL86" i="9"/>
  <c r="KL86" i="9"/>
  <c r="GC86" i="9"/>
  <c r="FB86" i="9"/>
  <c r="LB86" i="9"/>
  <c r="OX86" i="9"/>
  <c r="DO87" i="9"/>
  <c r="IL87" i="9"/>
  <c r="KL87" i="9"/>
  <c r="GC87" i="9"/>
  <c r="FB87" i="9"/>
  <c r="LB87" i="9"/>
  <c r="OX87" i="9"/>
  <c r="DO88" i="9"/>
  <c r="IL88" i="9"/>
  <c r="KL88" i="9"/>
  <c r="GC88" i="9"/>
  <c r="FB88" i="9"/>
  <c r="LB88" i="9"/>
  <c r="OX88" i="9"/>
  <c r="DO89" i="9"/>
  <c r="IL89" i="9"/>
  <c r="KL89" i="9"/>
  <c r="GC89" i="9"/>
  <c r="FB89" i="9"/>
  <c r="LB89" i="9"/>
  <c r="OX89" i="9"/>
  <c r="DO90" i="9"/>
  <c r="IL90" i="9"/>
  <c r="KL90" i="9"/>
  <c r="GC90" i="9"/>
  <c r="FB90" i="9"/>
  <c r="LB90" i="9"/>
  <c r="OX90" i="9"/>
  <c r="DO91" i="9"/>
  <c r="IL91" i="9"/>
  <c r="KL91" i="9"/>
  <c r="GC91" i="9"/>
  <c r="FB91" i="9"/>
  <c r="LB91" i="9"/>
  <c r="OX91" i="9"/>
  <c r="DO92" i="9"/>
  <c r="IL92" i="9"/>
  <c r="KL92" i="9"/>
  <c r="GC92" i="9"/>
  <c r="FB92" i="9"/>
  <c r="LB92" i="9"/>
  <c r="OX92" i="9"/>
  <c r="DO93" i="9"/>
  <c r="IL93" i="9"/>
  <c r="KL93" i="9"/>
  <c r="GC93" i="9"/>
  <c r="FB93" i="9"/>
  <c r="LB93" i="9"/>
  <c r="OX93" i="9"/>
  <c r="DO94" i="9"/>
  <c r="IL94" i="9"/>
  <c r="KL94" i="9"/>
  <c r="GC94" i="9"/>
  <c r="FB94" i="9"/>
  <c r="LB94" i="9"/>
  <c r="OX94" i="9"/>
  <c r="DO95" i="9"/>
  <c r="IL95" i="9"/>
  <c r="KL95" i="9"/>
  <c r="GC95" i="9"/>
  <c r="FB95" i="9"/>
  <c r="LB95" i="9"/>
  <c r="OX95" i="9"/>
  <c r="DO96" i="9"/>
  <c r="IL96" i="9"/>
  <c r="KL96" i="9"/>
  <c r="GC96" i="9"/>
  <c r="FB96" i="9"/>
  <c r="LB96" i="9"/>
  <c r="OX96" i="9"/>
  <c r="DO97" i="9"/>
  <c r="IL97" i="9"/>
  <c r="KL97" i="9"/>
  <c r="GC97" i="9"/>
  <c r="FB97" i="9"/>
  <c r="LB97" i="9"/>
  <c r="OX97" i="9"/>
  <c r="DO98" i="9"/>
  <c r="IL98" i="9"/>
  <c r="KL98" i="9"/>
  <c r="GC98" i="9"/>
  <c r="FB98" i="9"/>
  <c r="LB98" i="9"/>
  <c r="OX98" i="9"/>
  <c r="DO99" i="9"/>
  <c r="KL99" i="9"/>
  <c r="GC99" i="9"/>
  <c r="FB99" i="9"/>
  <c r="LB99" i="9"/>
  <c r="OX99" i="9"/>
  <c r="DO100" i="9"/>
  <c r="KL100" i="9"/>
  <c r="GC100" i="9"/>
  <c r="FB100" i="9"/>
  <c r="LB100" i="9"/>
  <c r="OX100" i="9"/>
  <c r="DO101" i="9"/>
  <c r="GC101" i="9"/>
  <c r="FB101" i="9"/>
  <c r="LB101" i="9"/>
  <c r="OX101" i="9"/>
  <c r="DO102" i="9"/>
  <c r="GC102" i="9"/>
  <c r="FB102" i="9"/>
  <c r="LB102" i="9"/>
  <c r="OX102" i="9"/>
  <c r="DO103" i="9"/>
  <c r="GC103" i="9"/>
  <c r="FB103" i="9"/>
  <c r="LB103" i="9"/>
  <c r="OX103" i="9"/>
  <c r="DO104" i="9"/>
  <c r="GC104" i="9"/>
  <c r="FB104" i="9"/>
  <c r="LB104" i="9"/>
  <c r="OX104" i="9"/>
  <c r="DO105" i="9"/>
  <c r="GC105" i="9"/>
  <c r="FB105" i="9"/>
  <c r="LB105" i="9"/>
  <c r="OX105" i="9"/>
  <c r="DO106" i="9"/>
  <c r="GC106" i="9"/>
  <c r="FB106" i="9"/>
  <c r="LB106" i="9"/>
  <c r="OX106" i="9"/>
  <c r="DO107" i="9"/>
  <c r="GC107" i="9"/>
  <c r="FB107" i="9"/>
  <c r="LB107" i="9"/>
  <c r="OX107" i="9"/>
  <c r="DO108" i="9"/>
  <c r="GC108" i="9"/>
  <c r="FB108" i="9"/>
  <c r="LB108" i="9"/>
  <c r="OX108" i="9"/>
  <c r="DO75" i="9"/>
  <c r="FB75" i="9"/>
  <c r="LB75" i="9"/>
  <c r="OX75" i="9"/>
  <c r="LA76" i="9"/>
  <c r="OW76" i="9"/>
  <c r="LA77" i="9"/>
  <c r="OW77" i="9"/>
  <c r="LA78" i="9"/>
  <c r="OW78" i="9"/>
  <c r="LA79" i="9"/>
  <c r="OW79" i="9"/>
  <c r="LA80" i="9"/>
  <c r="OW80" i="9"/>
  <c r="LA81" i="9"/>
  <c r="OW81" i="9"/>
  <c r="LA82" i="9"/>
  <c r="OW82" i="9"/>
  <c r="LA83" i="9"/>
  <c r="OW83" i="9"/>
  <c r="LA84" i="9"/>
  <c r="OW84" i="9"/>
  <c r="LA85" i="9"/>
  <c r="OW85" i="9"/>
  <c r="LA86" i="9"/>
  <c r="OW86" i="9"/>
  <c r="LA87" i="9"/>
  <c r="OW87" i="9"/>
  <c r="LA88" i="9"/>
  <c r="OW88" i="9"/>
  <c r="LA89" i="9"/>
  <c r="OW89" i="9"/>
  <c r="LA90" i="9"/>
  <c r="OW90" i="9"/>
  <c r="LA91" i="9"/>
  <c r="OW91" i="9"/>
  <c r="LA92" i="9"/>
  <c r="OW92" i="9"/>
  <c r="LA93" i="9"/>
  <c r="OW93" i="9"/>
  <c r="LA94" i="9"/>
  <c r="OW94" i="9"/>
  <c r="LA95" i="9"/>
  <c r="OW95" i="9"/>
  <c r="LA96" i="9"/>
  <c r="OW96" i="9"/>
  <c r="LA97" i="9"/>
  <c r="OW97" i="9"/>
  <c r="LA98" i="9"/>
  <c r="OW98" i="9"/>
  <c r="LA102" i="9"/>
  <c r="OW102" i="9"/>
  <c r="LA103" i="9"/>
  <c r="OW103" i="9"/>
  <c r="LA104" i="9"/>
  <c r="OW104" i="9"/>
  <c r="LA105" i="9"/>
  <c r="OW105" i="9"/>
  <c r="LA106" i="9"/>
  <c r="OW106" i="9"/>
  <c r="LA107" i="9"/>
  <c r="OW107" i="9"/>
  <c r="LA108" i="9"/>
  <c r="OW108" i="9"/>
  <c r="LA75" i="9"/>
  <c r="OW75" i="9"/>
  <c r="KZ76" i="9"/>
  <c r="OV76" i="9"/>
  <c r="KZ77" i="9"/>
  <c r="OV77" i="9"/>
  <c r="KZ78" i="9"/>
  <c r="OV78" i="9"/>
  <c r="KZ79" i="9"/>
  <c r="OV79" i="9"/>
  <c r="KZ80" i="9"/>
  <c r="OV80" i="9"/>
  <c r="KZ81" i="9"/>
  <c r="OV81" i="9"/>
  <c r="KZ82" i="9"/>
  <c r="OV82" i="9"/>
  <c r="KZ83" i="9"/>
  <c r="OV83" i="9"/>
  <c r="KZ84" i="9"/>
  <c r="OV84" i="9"/>
  <c r="KZ85" i="9"/>
  <c r="OV85" i="9"/>
  <c r="KZ86" i="9"/>
  <c r="OV86" i="9"/>
  <c r="KZ87" i="9"/>
  <c r="OV87" i="9"/>
  <c r="KZ88" i="9"/>
  <c r="OV88" i="9"/>
  <c r="KZ89" i="9"/>
  <c r="OV89" i="9"/>
  <c r="KZ90" i="9"/>
  <c r="OV90" i="9"/>
  <c r="KZ91" i="9"/>
  <c r="OV91" i="9"/>
  <c r="KZ92" i="9"/>
  <c r="OV92" i="9"/>
  <c r="KZ93" i="9"/>
  <c r="OV93" i="9"/>
  <c r="KZ94" i="9"/>
  <c r="OV94" i="9"/>
  <c r="KZ95" i="9"/>
  <c r="OV95" i="9"/>
  <c r="KZ96" i="9"/>
  <c r="OV96" i="9"/>
  <c r="KZ97" i="9"/>
  <c r="OV97" i="9"/>
  <c r="KZ98" i="9"/>
  <c r="OV98" i="9"/>
  <c r="KZ99" i="9"/>
  <c r="OV99" i="9"/>
  <c r="KZ100" i="9"/>
  <c r="OV100" i="9"/>
  <c r="KZ101" i="9"/>
  <c r="OV101" i="9"/>
  <c r="KZ102" i="9"/>
  <c r="OV102" i="9"/>
  <c r="KZ103" i="9"/>
  <c r="OV103" i="9"/>
  <c r="KZ104" i="9"/>
  <c r="OV104" i="9"/>
  <c r="KZ105" i="9"/>
  <c r="OV105" i="9"/>
  <c r="KZ106" i="9"/>
  <c r="OV106" i="9"/>
  <c r="KZ107" i="9"/>
  <c r="OV107" i="9"/>
  <c r="KZ108" i="9"/>
  <c r="OV108" i="9"/>
  <c r="KZ75" i="9"/>
  <c r="OV75" i="9"/>
  <c r="KY76" i="9"/>
  <c r="OU76" i="9"/>
  <c r="KY77" i="9"/>
  <c r="OU77" i="9"/>
  <c r="KY78" i="9"/>
  <c r="OU78" i="9"/>
  <c r="KY79" i="9"/>
  <c r="OU79" i="9"/>
  <c r="KY80" i="9"/>
  <c r="OU80" i="9"/>
  <c r="KY81" i="9"/>
  <c r="OU81" i="9"/>
  <c r="KY82" i="9"/>
  <c r="OU82" i="9"/>
  <c r="KY83" i="9"/>
  <c r="OU83" i="9"/>
  <c r="KY84" i="9"/>
  <c r="OU84" i="9"/>
  <c r="KY85" i="9"/>
  <c r="OU85" i="9"/>
  <c r="KY86" i="9"/>
  <c r="OU86" i="9"/>
  <c r="KY87" i="9"/>
  <c r="OU87" i="9"/>
  <c r="KY88" i="9"/>
  <c r="OU88" i="9"/>
  <c r="KY89" i="9"/>
  <c r="OU89" i="9"/>
  <c r="KY90" i="9"/>
  <c r="OU90" i="9"/>
  <c r="KY91" i="9"/>
  <c r="OU91" i="9"/>
  <c r="KY92" i="9"/>
  <c r="OU92" i="9"/>
  <c r="KY93" i="9"/>
  <c r="OU93" i="9"/>
  <c r="KY94" i="9"/>
  <c r="OU94" i="9"/>
  <c r="KY95" i="9"/>
  <c r="OU95" i="9"/>
  <c r="KY96" i="9"/>
  <c r="OU96" i="9"/>
  <c r="KY97" i="9"/>
  <c r="OU97" i="9"/>
  <c r="KY98" i="9"/>
  <c r="OU98" i="9"/>
  <c r="KY99" i="9"/>
  <c r="OU99" i="9"/>
  <c r="KY100" i="9"/>
  <c r="OU100" i="9"/>
  <c r="KY101" i="9"/>
  <c r="OU101" i="9"/>
  <c r="KY102" i="9"/>
  <c r="OU102" i="9"/>
  <c r="KY103" i="9"/>
  <c r="OU103" i="9"/>
  <c r="KY104" i="9"/>
  <c r="OU104" i="9"/>
  <c r="KY105" i="9"/>
  <c r="OU105" i="9"/>
  <c r="KY106" i="9"/>
  <c r="OU106" i="9"/>
  <c r="KY107" i="9"/>
  <c r="OU107" i="9"/>
  <c r="KY108" i="9"/>
  <c r="OU108" i="9"/>
  <c r="KY75" i="9"/>
  <c r="OU75" i="9"/>
  <c r="KX76" i="9"/>
  <c r="OT76" i="9"/>
  <c r="KX77" i="9"/>
  <c r="OT77" i="9"/>
  <c r="KX78" i="9"/>
  <c r="OT78" i="9"/>
  <c r="KX79" i="9"/>
  <c r="OT79" i="9"/>
  <c r="KX80" i="9"/>
  <c r="OT80" i="9"/>
  <c r="KX81" i="9"/>
  <c r="OT81" i="9"/>
  <c r="KX82" i="9"/>
  <c r="OT82" i="9"/>
  <c r="KX83" i="9"/>
  <c r="OT83" i="9"/>
  <c r="KX84" i="9"/>
  <c r="OT84" i="9"/>
  <c r="KX85" i="9"/>
  <c r="OT85" i="9"/>
  <c r="KX86" i="9"/>
  <c r="OT86" i="9"/>
  <c r="KX87" i="9"/>
  <c r="OT87" i="9"/>
  <c r="KX88" i="9"/>
  <c r="OT88" i="9"/>
  <c r="KX89" i="9"/>
  <c r="OT89" i="9"/>
  <c r="KX90" i="9"/>
  <c r="OT90" i="9"/>
  <c r="KX91" i="9"/>
  <c r="OT91" i="9"/>
  <c r="KX92" i="9"/>
  <c r="OT92" i="9"/>
  <c r="KX93" i="9"/>
  <c r="OT93" i="9"/>
  <c r="KX94" i="9"/>
  <c r="OT94" i="9"/>
  <c r="KX95" i="9"/>
  <c r="OT95" i="9"/>
  <c r="KX96" i="9"/>
  <c r="OT96" i="9"/>
  <c r="KX97" i="9"/>
  <c r="OT97" i="9"/>
  <c r="KX98" i="9"/>
  <c r="OT98" i="9"/>
  <c r="KX99" i="9"/>
  <c r="OT99" i="9"/>
  <c r="KX100" i="9"/>
  <c r="OT100" i="9"/>
  <c r="KX101" i="9"/>
  <c r="OT101" i="9"/>
  <c r="KX102" i="9"/>
  <c r="OT102" i="9"/>
  <c r="KX103" i="9"/>
  <c r="OT103" i="9"/>
  <c r="KX104" i="9"/>
  <c r="OT104" i="9"/>
  <c r="KX105" i="9"/>
  <c r="OT105" i="9"/>
  <c r="KX106" i="9"/>
  <c r="OT106" i="9"/>
  <c r="KX107" i="9"/>
  <c r="OT107" i="9"/>
  <c r="KX108" i="9"/>
  <c r="OT108" i="9"/>
  <c r="KX75" i="9"/>
  <c r="OT75" i="9"/>
  <c r="KW76" i="9"/>
  <c r="OS76" i="9"/>
  <c r="KW77" i="9"/>
  <c r="OS77" i="9"/>
  <c r="KW78" i="9"/>
  <c r="OS78" i="9"/>
  <c r="KW79" i="9"/>
  <c r="OS79" i="9"/>
  <c r="KW80" i="9"/>
  <c r="OS80" i="9"/>
  <c r="KW81" i="9"/>
  <c r="OS81" i="9"/>
  <c r="KW82" i="9"/>
  <c r="OS82" i="9"/>
  <c r="KW83" i="9"/>
  <c r="OS83" i="9"/>
  <c r="KW84" i="9"/>
  <c r="OS84" i="9"/>
  <c r="KW85" i="9"/>
  <c r="OS85" i="9"/>
  <c r="KW86" i="9"/>
  <c r="OS86" i="9"/>
  <c r="KW87" i="9"/>
  <c r="OS87" i="9"/>
  <c r="KW88" i="9"/>
  <c r="OS88" i="9"/>
  <c r="KW89" i="9"/>
  <c r="OS89" i="9"/>
  <c r="KW90" i="9"/>
  <c r="OS90" i="9"/>
  <c r="KW91" i="9"/>
  <c r="OS91" i="9"/>
  <c r="KW92" i="9"/>
  <c r="OS92" i="9"/>
  <c r="KW93" i="9"/>
  <c r="OS93" i="9"/>
  <c r="KW94" i="9"/>
  <c r="OS94" i="9"/>
  <c r="KW95" i="9"/>
  <c r="OS95" i="9"/>
  <c r="KW96" i="9"/>
  <c r="OS96" i="9"/>
  <c r="KW97" i="9"/>
  <c r="OS97" i="9"/>
  <c r="KW98" i="9"/>
  <c r="OS98" i="9"/>
  <c r="KW99" i="9"/>
  <c r="OS99" i="9"/>
  <c r="KW100" i="9"/>
  <c r="OS100" i="9"/>
  <c r="KW101" i="9"/>
  <c r="OS101" i="9"/>
  <c r="KW102" i="9"/>
  <c r="OS102" i="9"/>
  <c r="KW103" i="9"/>
  <c r="OS103" i="9"/>
  <c r="KW104" i="9"/>
  <c r="OS104" i="9"/>
  <c r="KW105" i="9"/>
  <c r="OS105" i="9"/>
  <c r="KW106" i="9"/>
  <c r="OS106" i="9"/>
  <c r="KW107" i="9"/>
  <c r="OS107" i="9"/>
  <c r="KW108" i="9"/>
  <c r="OS108" i="9"/>
  <c r="KW75" i="9"/>
  <c r="OS75" i="9"/>
  <c r="OP76" i="9"/>
  <c r="OP77" i="9"/>
  <c r="OP78" i="9"/>
  <c r="OP79" i="9"/>
  <c r="OP80" i="9"/>
  <c r="OP81" i="9"/>
  <c r="OP82" i="9"/>
  <c r="OP83" i="9"/>
  <c r="OP84" i="9"/>
  <c r="OP85" i="9"/>
  <c r="OP86" i="9"/>
  <c r="OP87" i="9"/>
  <c r="OP88" i="9"/>
  <c r="OP89" i="9"/>
  <c r="OP90" i="9"/>
  <c r="OP91" i="9"/>
  <c r="OP92" i="9"/>
  <c r="OP93" i="9"/>
  <c r="OP94" i="9"/>
  <c r="OP95" i="9"/>
  <c r="OP96" i="9"/>
  <c r="OP97" i="9"/>
  <c r="OP98" i="9"/>
  <c r="OP99" i="9"/>
  <c r="OP100" i="9"/>
  <c r="OP101" i="9"/>
  <c r="OP102" i="9"/>
  <c r="OP103" i="9"/>
  <c r="OP104" i="9"/>
  <c r="OP105" i="9"/>
  <c r="OP106" i="9"/>
  <c r="OP107" i="9"/>
  <c r="OP108" i="9"/>
  <c r="OP75" i="9"/>
  <c r="OO76" i="9"/>
  <c r="OO77" i="9"/>
  <c r="OO78" i="9"/>
  <c r="OO79" i="9"/>
  <c r="OO80" i="9"/>
  <c r="OO81" i="9"/>
  <c r="OO82" i="9"/>
  <c r="OO83" i="9"/>
  <c r="OO84" i="9"/>
  <c r="OO85" i="9"/>
  <c r="OO86" i="9"/>
  <c r="OO87" i="9"/>
  <c r="OO88" i="9"/>
  <c r="OO89" i="9"/>
  <c r="OO90" i="9"/>
  <c r="OO91" i="9"/>
  <c r="OO92" i="9"/>
  <c r="OO93" i="9"/>
  <c r="OO94" i="9"/>
  <c r="OO95" i="9"/>
  <c r="OO96" i="9"/>
  <c r="OO97" i="9"/>
  <c r="OO98" i="9"/>
  <c r="OO99" i="9"/>
  <c r="OO100" i="9"/>
  <c r="OO101" i="9"/>
  <c r="OO102" i="9"/>
  <c r="OO103" i="9"/>
  <c r="OO104" i="9"/>
  <c r="OO105" i="9"/>
  <c r="OO106" i="9"/>
  <c r="OO107" i="9"/>
  <c r="OO108" i="9"/>
  <c r="OO75" i="9"/>
  <c r="MA74" i="9" a="1"/>
  <c r="MA74" i="9"/>
  <c r="MC74" i="9" a="1"/>
  <c r="MC74" i="9"/>
  <c r="MB74" i="9"/>
  <c r="MA75" i="9"/>
  <c r="MC75" i="9"/>
  <c r="MB75" i="9"/>
  <c r="MA76" i="9"/>
  <c r="MC76" i="9"/>
  <c r="MB76" i="9"/>
  <c r="MA77" i="9"/>
  <c r="MC77" i="9"/>
  <c r="MB77" i="9"/>
  <c r="MA78" i="9"/>
  <c r="MC78" i="9"/>
  <c r="MB78" i="9"/>
  <c r="MA79" i="9"/>
  <c r="MC79" i="9"/>
  <c r="MB79" i="9"/>
  <c r="MA80" i="9"/>
  <c r="MC80" i="9"/>
  <c r="MB80" i="9"/>
  <c r="MA81" i="9"/>
  <c r="MC81" i="9"/>
  <c r="MB81" i="9"/>
  <c r="MA82" i="9"/>
  <c r="MC82" i="9"/>
  <c r="MB82" i="9"/>
  <c r="MA83" i="9"/>
  <c r="MC83" i="9"/>
  <c r="MB83" i="9"/>
  <c r="MA84" i="9"/>
  <c r="MC84" i="9"/>
  <c r="MB84" i="9"/>
  <c r="MA85" i="9"/>
  <c r="MC85" i="9"/>
  <c r="MB85" i="9"/>
  <c r="MA86" i="9"/>
  <c r="MC86" i="9"/>
  <c r="MB86" i="9"/>
  <c r="MA87" i="9"/>
  <c r="MC87" i="9"/>
  <c r="MB87" i="9"/>
  <c r="MA88" i="9"/>
  <c r="MC88" i="9"/>
  <c r="MB88" i="9"/>
  <c r="MA89" i="9"/>
  <c r="MC89" i="9"/>
  <c r="MB89" i="9"/>
  <c r="MA90" i="9"/>
  <c r="MC90" i="9"/>
  <c r="MB90" i="9"/>
  <c r="MA91" i="9"/>
  <c r="MC91" i="9"/>
  <c r="MB91" i="9"/>
  <c r="MA92" i="9"/>
  <c r="MC92" i="9"/>
  <c r="MB92" i="9"/>
  <c r="MA93" i="9"/>
  <c r="MC93" i="9"/>
  <c r="MB93" i="9"/>
  <c r="MA94" i="9"/>
  <c r="MC94" i="9"/>
  <c r="MB94" i="9"/>
  <c r="MA95" i="9"/>
  <c r="MC95" i="9"/>
  <c r="MB95" i="9"/>
  <c r="MA96" i="9"/>
  <c r="MC96" i="9"/>
  <c r="MB96" i="9"/>
  <c r="MA97" i="9"/>
  <c r="MC97" i="9"/>
  <c r="MB97" i="9"/>
  <c r="MA98" i="9"/>
  <c r="MC98" i="9"/>
  <c r="MB98" i="9"/>
  <c r="MA99" i="9"/>
  <c r="MC99" i="9"/>
  <c r="MB99" i="9"/>
  <c r="MA100" i="9"/>
  <c r="MC100" i="9"/>
  <c r="MB100" i="9"/>
  <c r="MA101" i="9"/>
  <c r="MC101" i="9"/>
  <c r="MB101" i="9"/>
  <c r="MA102" i="9"/>
  <c r="MC102" i="9"/>
  <c r="MB102" i="9"/>
  <c r="MA103" i="9"/>
  <c r="MC103" i="9"/>
  <c r="MB103" i="9"/>
  <c r="MA104" i="9"/>
  <c r="MC104" i="9"/>
  <c r="MB104" i="9"/>
  <c r="MA105" i="9"/>
  <c r="MC105" i="9"/>
  <c r="MB105" i="9"/>
  <c r="MA106" i="9"/>
  <c r="MC106" i="9"/>
  <c r="MB106" i="9"/>
  <c r="MA107" i="9"/>
  <c r="MC107" i="9"/>
  <c r="MB107" i="9"/>
  <c r="MA108" i="9"/>
  <c r="MC108" i="9"/>
  <c r="MB108" i="9"/>
  <c r="LT74" i="9" a="1"/>
  <c r="LT75" i="9"/>
  <c r="LV75" i="9"/>
  <c r="LU75" i="9"/>
  <c r="LT76" i="9"/>
  <c r="LV76" i="9"/>
  <c r="LU76" i="9"/>
  <c r="LT77" i="9"/>
  <c r="LV77" i="9"/>
  <c r="LU77" i="9"/>
  <c r="LT78" i="9"/>
  <c r="LV78" i="9"/>
  <c r="LU78" i="9"/>
  <c r="LT79" i="9"/>
  <c r="LV79" i="9"/>
  <c r="LU79" i="9"/>
  <c r="LT80" i="9"/>
  <c r="LV80" i="9"/>
  <c r="LU80" i="9"/>
  <c r="LT81" i="9"/>
  <c r="LV81" i="9"/>
  <c r="LU81" i="9"/>
  <c r="LT82" i="9"/>
  <c r="LV82" i="9"/>
  <c r="LU82" i="9"/>
  <c r="LT83" i="9"/>
  <c r="LV83" i="9"/>
  <c r="LU83" i="9"/>
  <c r="LT84" i="9"/>
  <c r="LV84" i="9"/>
  <c r="LU84" i="9"/>
  <c r="LT85" i="9"/>
  <c r="LV85" i="9"/>
  <c r="LU85" i="9"/>
  <c r="LT86" i="9"/>
  <c r="LV86" i="9"/>
  <c r="LU86" i="9"/>
  <c r="LT87" i="9"/>
  <c r="LV87" i="9"/>
  <c r="LU87" i="9"/>
  <c r="LT88" i="9"/>
  <c r="LV88" i="9"/>
  <c r="LU88" i="9"/>
  <c r="LT89" i="9"/>
  <c r="LV89" i="9"/>
  <c r="LU89" i="9"/>
  <c r="LT90" i="9"/>
  <c r="LV90" i="9"/>
  <c r="LU90" i="9"/>
  <c r="LT91" i="9"/>
  <c r="LV91" i="9"/>
  <c r="LU91" i="9"/>
  <c r="LT92" i="9"/>
  <c r="LV92" i="9"/>
  <c r="LU92" i="9"/>
  <c r="LT93" i="9"/>
  <c r="LV93" i="9"/>
  <c r="LU93" i="9"/>
  <c r="LT94" i="9"/>
  <c r="LV94" i="9"/>
  <c r="LU94" i="9"/>
  <c r="LT95" i="9"/>
  <c r="LV95" i="9"/>
  <c r="LU95" i="9"/>
  <c r="LT96" i="9"/>
  <c r="LV96" i="9"/>
  <c r="LU96" i="9"/>
  <c r="LT97" i="9"/>
  <c r="LV97" i="9"/>
  <c r="LU97" i="9"/>
  <c r="LT98" i="9"/>
  <c r="LV98" i="9"/>
  <c r="LU98" i="9"/>
  <c r="LT99" i="9"/>
  <c r="LV99" i="9"/>
  <c r="LU99" i="9"/>
  <c r="LT100" i="9"/>
  <c r="LV100" i="9"/>
  <c r="LU100" i="9"/>
  <c r="LT101" i="9"/>
  <c r="LV101" i="9"/>
  <c r="LU101" i="9"/>
  <c r="LT102" i="9"/>
  <c r="LV102" i="9"/>
  <c r="LU102" i="9"/>
  <c r="LT103" i="9"/>
  <c r="LV103" i="9"/>
  <c r="LU103" i="9"/>
  <c r="LT104" i="9"/>
  <c r="LV104" i="9"/>
  <c r="LU104" i="9"/>
  <c r="LT105" i="9"/>
  <c r="LV105" i="9"/>
  <c r="LU105" i="9"/>
  <c r="LT106" i="9"/>
  <c r="LV106" i="9"/>
  <c r="LU106" i="9"/>
  <c r="LT107" i="9"/>
  <c r="LV107" i="9"/>
  <c r="LU107" i="9"/>
  <c r="LT108" i="9"/>
  <c r="LV108" i="9"/>
  <c r="LU108" i="9"/>
  <c r="LT74" i="9"/>
  <c r="LV74" i="9"/>
  <c r="LU74" i="9"/>
  <c r="LV59" i="9"/>
  <c r="LV60" i="9"/>
  <c r="LV61" i="9"/>
  <c r="LV62" i="9"/>
  <c r="LV63" i="9"/>
  <c r="LV64" i="9"/>
  <c r="LV65" i="9"/>
  <c r="LV66" i="9"/>
  <c r="LV67" i="9"/>
  <c r="LV68" i="9"/>
  <c r="LV69" i="9"/>
  <c r="LV70" i="9"/>
  <c r="LV71" i="9"/>
  <c r="LV72" i="9"/>
  <c r="LV73" i="9"/>
  <c r="LV58" i="9"/>
  <c r="NN52" i="9" a="1"/>
  <c r="NN52" i="9"/>
  <c r="NN53" i="9"/>
  <c r="NN54" i="9"/>
  <c r="NN55" i="9"/>
  <c r="NN56" i="9"/>
  <c r="NN57" i="9"/>
  <c r="NN58" i="9"/>
  <c r="NN59" i="9"/>
  <c r="NN60" i="9"/>
  <c r="NN61" i="9"/>
  <c r="NN62" i="9"/>
  <c r="NN63" i="9"/>
  <c r="NN64" i="9"/>
  <c r="NN65" i="9"/>
  <c r="NN66" i="9"/>
  <c r="NN67" i="9"/>
  <c r="NN68" i="9"/>
  <c r="NN69" i="9"/>
  <c r="NN70" i="9"/>
  <c r="NN71" i="9"/>
  <c r="NN72" i="9"/>
  <c r="NN73" i="9"/>
  <c r="NN74" i="9"/>
  <c r="NN75" i="9"/>
  <c r="NN76" i="9"/>
  <c r="NN77" i="9"/>
  <c r="NN78" i="9"/>
  <c r="NN79" i="9"/>
  <c r="NN80" i="9"/>
  <c r="NN81" i="9"/>
  <c r="NN82" i="9"/>
  <c r="NN83" i="9"/>
  <c r="NN84" i="9"/>
  <c r="NN85" i="9"/>
  <c r="NN86" i="9"/>
  <c r="NN87" i="9"/>
  <c r="NN88" i="9"/>
  <c r="NN89" i="9"/>
  <c r="NN90" i="9"/>
  <c r="NN91" i="9"/>
  <c r="NN92" i="9"/>
  <c r="NN93" i="9"/>
  <c r="NN94" i="9"/>
  <c r="NN95" i="9"/>
  <c r="NN96" i="9"/>
  <c r="NN97" i="9"/>
  <c r="NN98" i="9"/>
  <c r="NN99" i="9"/>
  <c r="NN100" i="9"/>
  <c r="NN101" i="9"/>
  <c r="NN102" i="9"/>
  <c r="NN103" i="9"/>
  <c r="NN104" i="9"/>
  <c r="NN105" i="9"/>
  <c r="NM52" i="9" a="1"/>
  <c r="NM52" i="9"/>
  <c r="NM53" i="9"/>
  <c r="NM54" i="9"/>
  <c r="NM55" i="9"/>
  <c r="NM56" i="9"/>
  <c r="NM57" i="9"/>
  <c r="NM58" i="9"/>
  <c r="NM59" i="9"/>
  <c r="NM60" i="9"/>
  <c r="NM61" i="9"/>
  <c r="NM62" i="9"/>
  <c r="NM63" i="9"/>
  <c r="NM64" i="9"/>
  <c r="NM65" i="9"/>
  <c r="NM66" i="9"/>
  <c r="NM67" i="9"/>
  <c r="NM68" i="9"/>
  <c r="NM69" i="9"/>
  <c r="NM70" i="9"/>
  <c r="NM71" i="9"/>
  <c r="NM72" i="9"/>
  <c r="NM73" i="9"/>
  <c r="NM74" i="9"/>
  <c r="NM75" i="9"/>
  <c r="NM76" i="9"/>
  <c r="NM77" i="9"/>
  <c r="NM78" i="9"/>
  <c r="NM79" i="9"/>
  <c r="NM80" i="9"/>
  <c r="NM81" i="9"/>
  <c r="NM82" i="9"/>
  <c r="NM83" i="9"/>
  <c r="NM84" i="9"/>
  <c r="NM85" i="9"/>
  <c r="NM86" i="9"/>
  <c r="NM87" i="9"/>
  <c r="NM88" i="9"/>
  <c r="NM89" i="9"/>
  <c r="NM90" i="9"/>
  <c r="NM91" i="9"/>
  <c r="NM92" i="9"/>
  <c r="NM93" i="9"/>
  <c r="NM94" i="9"/>
  <c r="NM95" i="9"/>
  <c r="NM96" i="9"/>
  <c r="NM97" i="9"/>
  <c r="NM98" i="9"/>
  <c r="NM99" i="9"/>
  <c r="NM100" i="9"/>
  <c r="NM101" i="9"/>
  <c r="NM102" i="9"/>
  <c r="NM103" i="9"/>
  <c r="NM104" i="9"/>
  <c r="NM105" i="9"/>
  <c r="NP53" i="9"/>
  <c r="NQ53" i="9"/>
  <c r="NO53" i="9"/>
  <c r="NR53" i="9"/>
  <c r="NL52" i="9" a="1"/>
  <c r="NL53" i="9"/>
  <c r="NJ53" i="9"/>
  <c r="NK53" i="9"/>
  <c r="NS53" i="9"/>
  <c r="NT53" i="9"/>
  <c r="NP54" i="9"/>
  <c r="NQ54" i="9"/>
  <c r="NO54" i="9"/>
  <c r="NR54" i="9"/>
  <c r="NL54" i="9"/>
  <c r="NJ54" i="9"/>
  <c r="NK54" i="9"/>
  <c r="NS54" i="9"/>
  <c r="NT54" i="9"/>
  <c r="NP55" i="9"/>
  <c r="NQ55" i="9"/>
  <c r="NO55" i="9"/>
  <c r="NR55" i="9"/>
  <c r="NL55" i="9"/>
  <c r="NJ55" i="9"/>
  <c r="NK55" i="9"/>
  <c r="NS55" i="9"/>
  <c r="NT55" i="9"/>
  <c r="NP56" i="9"/>
  <c r="NQ56" i="9"/>
  <c r="NO56" i="9"/>
  <c r="NR56" i="9"/>
  <c r="NL56" i="9"/>
  <c r="NJ56" i="9"/>
  <c r="NK56" i="9"/>
  <c r="NS56" i="9"/>
  <c r="NT56" i="9"/>
  <c r="NP57" i="9"/>
  <c r="NQ57" i="9"/>
  <c r="NO57" i="9"/>
  <c r="NR57" i="9"/>
  <c r="NL57" i="9"/>
  <c r="NJ57" i="9"/>
  <c r="NK57" i="9"/>
  <c r="NS57" i="9"/>
  <c r="NT57" i="9"/>
  <c r="NL58" i="9"/>
  <c r="NJ58" i="9"/>
  <c r="NK58" i="9"/>
  <c r="NS58" i="9"/>
  <c r="NT58" i="9"/>
  <c r="NL59" i="9"/>
  <c r="NJ59" i="9"/>
  <c r="NK59" i="9"/>
  <c r="NS59" i="9"/>
  <c r="NT59" i="9"/>
  <c r="NL60" i="9"/>
  <c r="NJ60" i="9"/>
  <c r="NK60" i="9"/>
  <c r="NS60" i="9"/>
  <c r="NT60" i="9"/>
  <c r="NL61" i="9"/>
  <c r="NJ61" i="9"/>
  <c r="NK61" i="9"/>
  <c r="NS61" i="9"/>
  <c r="NT61" i="9"/>
  <c r="NL62" i="9"/>
  <c r="NJ62" i="9"/>
  <c r="NK62" i="9"/>
  <c r="NS62" i="9"/>
  <c r="NT62" i="9"/>
  <c r="NL63" i="9"/>
  <c r="NJ63" i="9"/>
  <c r="NK63" i="9"/>
  <c r="NS63" i="9"/>
  <c r="NT63" i="9"/>
  <c r="NL64" i="9"/>
  <c r="NJ64" i="9"/>
  <c r="NK64" i="9"/>
  <c r="NS64" i="9"/>
  <c r="NT64" i="9"/>
  <c r="NL65" i="9"/>
  <c r="NJ65" i="9"/>
  <c r="NK65" i="9"/>
  <c r="NS65" i="9"/>
  <c r="NT65" i="9"/>
  <c r="NL66" i="9"/>
  <c r="NJ66" i="9"/>
  <c r="NK66" i="9"/>
  <c r="NS66" i="9"/>
  <c r="NT66" i="9"/>
  <c r="NL67" i="9"/>
  <c r="NJ67" i="9"/>
  <c r="NK67" i="9"/>
  <c r="NS67" i="9"/>
  <c r="NT67" i="9"/>
  <c r="NL68" i="9"/>
  <c r="NJ68" i="9"/>
  <c r="NK68" i="9"/>
  <c r="NS68" i="9"/>
  <c r="NT68" i="9"/>
  <c r="NL69" i="9"/>
  <c r="NJ69" i="9"/>
  <c r="NK69" i="9"/>
  <c r="NS69" i="9"/>
  <c r="NT69" i="9"/>
  <c r="NL70" i="9"/>
  <c r="NJ70" i="9"/>
  <c r="NK70" i="9"/>
  <c r="NS70" i="9"/>
  <c r="NT70" i="9"/>
  <c r="NL71" i="9"/>
  <c r="NJ71" i="9"/>
  <c r="NK71" i="9"/>
  <c r="NS71" i="9"/>
  <c r="NT71" i="9"/>
  <c r="NL72" i="9"/>
  <c r="NJ72" i="9"/>
  <c r="NK72" i="9"/>
  <c r="NS72" i="9"/>
  <c r="NT72" i="9"/>
  <c r="NL73" i="9"/>
  <c r="NJ73" i="9"/>
  <c r="NK73" i="9"/>
  <c r="NS73" i="9"/>
  <c r="NT73" i="9"/>
  <c r="NL74" i="9"/>
  <c r="NJ74" i="9"/>
  <c r="NK74" i="9"/>
  <c r="NS74" i="9"/>
  <c r="NT74" i="9"/>
  <c r="NL75" i="9"/>
  <c r="NJ75" i="9"/>
  <c r="NK75" i="9"/>
  <c r="NS75" i="9"/>
  <c r="NT75" i="9"/>
  <c r="NL76" i="9"/>
  <c r="NJ76" i="9"/>
  <c r="NK76" i="9"/>
  <c r="NS76" i="9"/>
  <c r="NT76" i="9"/>
  <c r="NL77" i="9"/>
  <c r="NJ77" i="9"/>
  <c r="NK77" i="9"/>
  <c r="NS77" i="9"/>
  <c r="NT77" i="9"/>
  <c r="NL78" i="9"/>
  <c r="NJ78" i="9"/>
  <c r="NK78" i="9"/>
  <c r="NS78" i="9"/>
  <c r="NT78" i="9"/>
  <c r="NL79" i="9"/>
  <c r="NJ79" i="9"/>
  <c r="NK79" i="9"/>
  <c r="NS79" i="9"/>
  <c r="NT79" i="9"/>
  <c r="NL80" i="9"/>
  <c r="NJ80" i="9"/>
  <c r="NK80" i="9"/>
  <c r="NS80" i="9"/>
  <c r="NT80" i="9"/>
  <c r="NL81" i="9"/>
  <c r="NJ81" i="9"/>
  <c r="NK81" i="9"/>
  <c r="NS81" i="9"/>
  <c r="NT81" i="9"/>
  <c r="NL82" i="9"/>
  <c r="NJ82" i="9"/>
  <c r="NK82" i="9"/>
  <c r="NS82" i="9"/>
  <c r="NT82" i="9"/>
  <c r="NL83" i="9"/>
  <c r="NJ83" i="9"/>
  <c r="NK83" i="9"/>
  <c r="NS83" i="9"/>
  <c r="NT83" i="9"/>
  <c r="NL84" i="9"/>
  <c r="NJ84" i="9"/>
  <c r="NK84" i="9"/>
  <c r="NS84" i="9"/>
  <c r="NT84" i="9"/>
  <c r="NL85" i="9"/>
  <c r="NJ85" i="9"/>
  <c r="NK85" i="9"/>
  <c r="NS85" i="9"/>
  <c r="NT85" i="9"/>
  <c r="NL86" i="9"/>
  <c r="NJ86" i="9"/>
  <c r="NK86" i="9"/>
  <c r="NS86" i="9"/>
  <c r="NT86" i="9"/>
  <c r="NL87" i="9"/>
  <c r="NJ87" i="9"/>
  <c r="NK87" i="9"/>
  <c r="NS87" i="9"/>
  <c r="NT87" i="9"/>
  <c r="NL88" i="9"/>
  <c r="NJ88" i="9"/>
  <c r="NK88" i="9"/>
  <c r="NS88" i="9"/>
  <c r="NT88" i="9"/>
  <c r="NL89" i="9"/>
  <c r="NJ89" i="9"/>
  <c r="NK89" i="9"/>
  <c r="NS89" i="9"/>
  <c r="NT89" i="9"/>
  <c r="NL90" i="9"/>
  <c r="NJ90" i="9"/>
  <c r="NK90" i="9"/>
  <c r="NS90" i="9"/>
  <c r="NT90" i="9"/>
  <c r="NJ91" i="9" a="1"/>
  <c r="NJ91" i="9"/>
  <c r="NK91" i="9"/>
  <c r="NS91" i="9"/>
  <c r="NT91" i="9"/>
  <c r="NJ92" i="9"/>
  <c r="NK92" i="9"/>
  <c r="NS92" i="9"/>
  <c r="NT92" i="9"/>
  <c r="NJ93" i="9"/>
  <c r="NK93" i="9"/>
  <c r="NS93" i="9"/>
  <c r="NT93" i="9"/>
  <c r="NJ94" i="9"/>
  <c r="NK94" i="9"/>
  <c r="NS94" i="9"/>
  <c r="NT94" i="9"/>
  <c r="NJ95" i="9"/>
  <c r="NK95" i="9"/>
  <c r="NS95" i="9"/>
  <c r="NT95" i="9"/>
  <c r="NJ96" i="9"/>
  <c r="NK96" i="9"/>
  <c r="NS96" i="9"/>
  <c r="NT96" i="9"/>
  <c r="NJ97" i="9"/>
  <c r="NK97" i="9"/>
  <c r="NS97" i="9"/>
  <c r="NT97" i="9"/>
  <c r="NJ98" i="9"/>
  <c r="NK98" i="9"/>
  <c r="NS98" i="9"/>
  <c r="NT98" i="9"/>
  <c r="NJ99" i="9"/>
  <c r="NK99" i="9"/>
  <c r="NS99" i="9"/>
  <c r="NT99" i="9"/>
  <c r="NJ100" i="9"/>
  <c r="NK100" i="9"/>
  <c r="NS100" i="9"/>
  <c r="NT100" i="9"/>
  <c r="NJ101" i="9"/>
  <c r="NK101" i="9"/>
  <c r="NS101" i="9"/>
  <c r="NT101" i="9"/>
  <c r="NJ102" i="9"/>
  <c r="NK102" i="9"/>
  <c r="NS102" i="9"/>
  <c r="NT102" i="9"/>
  <c r="NJ103" i="9"/>
  <c r="NK103" i="9"/>
  <c r="NS103" i="9"/>
  <c r="NT103" i="9"/>
  <c r="NJ104" i="9"/>
  <c r="NK104" i="9"/>
  <c r="NS104" i="9"/>
  <c r="NT104" i="9"/>
  <c r="NJ105" i="9"/>
  <c r="NK105" i="9"/>
  <c r="NS105" i="9"/>
  <c r="NT105" i="9"/>
  <c r="NJ106" i="9"/>
  <c r="NK106" i="9"/>
  <c r="NS106" i="9"/>
  <c r="NT106" i="9"/>
  <c r="NJ107" i="9"/>
  <c r="NK107" i="9"/>
  <c r="NS107" i="9"/>
  <c r="NT107" i="9"/>
  <c r="NJ108" i="9"/>
  <c r="NK108" i="9"/>
  <c r="NS108" i="9"/>
  <c r="NT108" i="9"/>
  <c r="NP52" i="9"/>
  <c r="NQ52" i="9"/>
  <c r="NO52" i="9"/>
  <c r="NR52" i="9"/>
  <c r="NL52" i="9"/>
  <c r="NJ52" i="9"/>
  <c r="NK52" i="9"/>
  <c r="NS52" i="9"/>
  <c r="NT52" i="9"/>
  <c r="NL91" i="9"/>
  <c r="NL92" i="9"/>
  <c r="NL93" i="9"/>
  <c r="NL94" i="9"/>
  <c r="NL95" i="9"/>
  <c r="NL96" i="9"/>
  <c r="NL97" i="9"/>
  <c r="NL98" i="9"/>
  <c r="NL99" i="9"/>
  <c r="NL100" i="9"/>
  <c r="NL101" i="9"/>
  <c r="NL102" i="9"/>
  <c r="NL103" i="9"/>
  <c r="NL104" i="9"/>
  <c r="NL105" i="9"/>
  <c r="MT74" i="9" a="1"/>
  <c r="MT75" i="9"/>
  <c r="MU74" i="9" a="1"/>
  <c r="MU75" i="9"/>
  <c r="NG75" i="9"/>
  <c r="NH75" i="9"/>
  <c r="MT76" i="9"/>
  <c r="MU76" i="9"/>
  <c r="NG76" i="9"/>
  <c r="NH76" i="9"/>
  <c r="MT77" i="9"/>
  <c r="MU77" i="9"/>
  <c r="NG77" i="9"/>
  <c r="NH77" i="9"/>
  <c r="MT78" i="9"/>
  <c r="MU78" i="9"/>
  <c r="NG78" i="9"/>
  <c r="NH78" i="9"/>
  <c r="MT79" i="9"/>
  <c r="MU79" i="9"/>
  <c r="NG79" i="9"/>
  <c r="NH79" i="9"/>
  <c r="MT80" i="9"/>
  <c r="MU80" i="9"/>
  <c r="NG80" i="9"/>
  <c r="NH80" i="9"/>
  <c r="MT81" i="9"/>
  <c r="MU81" i="9"/>
  <c r="NG81" i="9"/>
  <c r="NH81" i="9"/>
  <c r="MT82" i="9"/>
  <c r="MU82" i="9"/>
  <c r="NG82" i="9"/>
  <c r="NH82" i="9"/>
  <c r="MT83" i="9"/>
  <c r="MU83" i="9"/>
  <c r="NG83" i="9"/>
  <c r="NH83" i="9"/>
  <c r="MT84" i="9"/>
  <c r="MU84" i="9"/>
  <c r="NG84" i="9"/>
  <c r="NH84" i="9"/>
  <c r="MT85" i="9"/>
  <c r="MU85" i="9"/>
  <c r="NG85" i="9"/>
  <c r="NH85" i="9"/>
  <c r="MT86" i="9"/>
  <c r="MU86" i="9"/>
  <c r="NG86" i="9"/>
  <c r="NH86" i="9"/>
  <c r="MT87" i="9"/>
  <c r="MU87" i="9"/>
  <c r="NG87" i="9"/>
  <c r="NH87" i="9"/>
  <c r="MT88" i="9"/>
  <c r="MU88" i="9"/>
  <c r="NG88" i="9"/>
  <c r="NH88" i="9"/>
  <c r="MT89" i="9"/>
  <c r="MU89" i="9"/>
  <c r="NG89" i="9"/>
  <c r="NH89" i="9"/>
  <c r="MT90" i="9"/>
  <c r="MU90" i="9"/>
  <c r="NG90" i="9"/>
  <c r="NH90" i="9"/>
  <c r="MT91" i="9"/>
  <c r="MU91" i="9"/>
  <c r="NG91" i="9"/>
  <c r="NH91" i="9"/>
  <c r="MT92" i="9"/>
  <c r="MU92" i="9"/>
  <c r="NG92" i="9"/>
  <c r="NH92" i="9"/>
  <c r="MT93" i="9"/>
  <c r="MU93" i="9"/>
  <c r="NG93" i="9"/>
  <c r="NH93" i="9"/>
  <c r="MT94" i="9"/>
  <c r="MU94" i="9"/>
  <c r="NG94" i="9"/>
  <c r="NH94" i="9"/>
  <c r="MT95" i="9"/>
  <c r="MU95" i="9"/>
  <c r="NG95" i="9"/>
  <c r="NH95" i="9"/>
  <c r="MT96" i="9"/>
  <c r="MU96" i="9"/>
  <c r="NG96" i="9"/>
  <c r="NH96" i="9"/>
  <c r="MT97" i="9"/>
  <c r="MU97" i="9"/>
  <c r="NG97" i="9"/>
  <c r="NH97" i="9"/>
  <c r="MT98" i="9"/>
  <c r="MU98" i="9"/>
  <c r="NG98" i="9"/>
  <c r="NH98" i="9"/>
  <c r="MT99" i="9"/>
  <c r="MU99" i="9"/>
  <c r="NG99" i="9"/>
  <c r="NH99" i="9"/>
  <c r="MT100" i="9"/>
  <c r="MU100" i="9"/>
  <c r="NG100" i="9"/>
  <c r="NH100" i="9"/>
  <c r="MT101" i="9"/>
  <c r="MU101" i="9"/>
  <c r="NG101" i="9"/>
  <c r="NH101" i="9"/>
  <c r="MT102" i="9"/>
  <c r="MU102" i="9"/>
  <c r="NG102" i="9"/>
  <c r="NH102" i="9"/>
  <c r="MT103" i="9"/>
  <c r="MU103" i="9"/>
  <c r="NG103" i="9"/>
  <c r="NH103" i="9"/>
  <c r="MT104" i="9"/>
  <c r="MU104" i="9"/>
  <c r="NG104" i="9"/>
  <c r="NH104" i="9"/>
  <c r="MT105" i="9"/>
  <c r="MU105" i="9"/>
  <c r="NG105" i="9"/>
  <c r="NH105" i="9"/>
  <c r="MT106" i="9"/>
  <c r="MU106" i="9"/>
  <c r="NG106" i="9"/>
  <c r="NH106" i="9"/>
  <c r="MT107" i="9"/>
  <c r="MU107" i="9"/>
  <c r="NG107" i="9"/>
  <c r="NH107" i="9"/>
  <c r="MT108" i="9"/>
  <c r="MU108" i="9"/>
  <c r="NG108" i="9"/>
  <c r="NH108" i="9"/>
  <c r="NE75" i="9"/>
  <c r="NF75" i="9"/>
  <c r="NE76" i="9"/>
  <c r="NF76" i="9"/>
  <c r="NE77" i="9"/>
  <c r="NF77" i="9"/>
  <c r="NE78" i="9"/>
  <c r="NF78" i="9"/>
  <c r="NE79" i="9"/>
  <c r="NF79" i="9"/>
  <c r="NE80" i="9"/>
  <c r="NF80" i="9"/>
  <c r="NE81" i="9"/>
  <c r="NF81" i="9"/>
  <c r="NE82" i="9"/>
  <c r="NF82" i="9"/>
  <c r="NE83" i="9"/>
  <c r="NF83" i="9"/>
  <c r="NE84" i="9"/>
  <c r="NF84" i="9"/>
  <c r="NE85" i="9"/>
  <c r="NF85" i="9"/>
  <c r="NE86" i="9"/>
  <c r="NF86" i="9"/>
  <c r="NE87" i="9"/>
  <c r="NF87" i="9"/>
  <c r="NE88" i="9"/>
  <c r="NF88" i="9"/>
  <c r="NE89" i="9"/>
  <c r="NF89" i="9"/>
  <c r="NE90" i="9"/>
  <c r="NF90" i="9"/>
  <c r="NE91" i="9"/>
  <c r="NF91" i="9"/>
  <c r="NE92" i="9"/>
  <c r="NF92" i="9"/>
  <c r="NE93" i="9"/>
  <c r="NF93" i="9"/>
  <c r="NE94" i="9"/>
  <c r="NF94" i="9"/>
  <c r="NE95" i="9"/>
  <c r="NF95" i="9"/>
  <c r="NE96" i="9"/>
  <c r="NF96" i="9"/>
  <c r="NE97" i="9"/>
  <c r="NF97" i="9"/>
  <c r="NE98" i="9"/>
  <c r="NF98" i="9"/>
  <c r="NE99" i="9"/>
  <c r="NF99" i="9"/>
  <c r="NE100" i="9"/>
  <c r="NF100" i="9"/>
  <c r="NE101" i="9"/>
  <c r="NF101" i="9"/>
  <c r="NE102" i="9"/>
  <c r="NF102" i="9"/>
  <c r="NE103" i="9"/>
  <c r="NF103" i="9"/>
  <c r="NE104" i="9"/>
  <c r="NF104" i="9"/>
  <c r="NE105" i="9"/>
  <c r="NF105" i="9"/>
  <c r="NE106" i="9"/>
  <c r="NF106" i="9"/>
  <c r="NE107" i="9"/>
  <c r="NF107" i="9"/>
  <c r="NE108" i="9"/>
  <c r="NF108" i="9"/>
  <c r="MT74" i="9"/>
  <c r="MU74" i="9"/>
  <c r="NG74" i="9"/>
  <c r="NH74" i="9"/>
  <c r="NE74" i="9"/>
  <c r="NF74" i="9"/>
  <c r="OQ76" i="9"/>
  <c r="OQ77" i="9"/>
  <c r="OQ78" i="9"/>
  <c r="OQ79" i="9"/>
  <c r="OQ80" i="9"/>
  <c r="OQ81" i="9"/>
  <c r="OQ82" i="9"/>
  <c r="OQ83" i="9"/>
  <c r="OQ84" i="9"/>
  <c r="OQ85" i="9"/>
  <c r="OQ86" i="9"/>
  <c r="OQ87" i="9"/>
  <c r="OQ88" i="9"/>
  <c r="OQ89" i="9"/>
  <c r="OQ90" i="9"/>
  <c r="OQ91" i="9"/>
  <c r="OQ92" i="9"/>
  <c r="OQ93" i="9"/>
  <c r="OQ94" i="9"/>
  <c r="OQ95" i="9"/>
  <c r="OQ96" i="9"/>
  <c r="OQ97" i="9"/>
  <c r="OQ98" i="9"/>
  <c r="OQ99" i="9"/>
  <c r="OQ100" i="9"/>
  <c r="OQ101" i="9"/>
  <c r="OQ102" i="9"/>
  <c r="OQ103" i="9"/>
  <c r="OQ104" i="9"/>
  <c r="OQ105" i="9"/>
  <c r="OQ106" i="9"/>
  <c r="OQ107" i="9"/>
  <c r="OQ108" i="9"/>
  <c r="OQ75" i="9"/>
  <c r="DP74" i="9" a="1"/>
  <c r="D125" i="21"/>
  <c r="DP76" i="9"/>
  <c r="FC76" i="9"/>
  <c r="PB76" i="9"/>
  <c r="E125" i="21"/>
  <c r="DP77" i="9"/>
  <c r="FC77" i="9"/>
  <c r="PB77" i="9"/>
  <c r="F125" i="21"/>
  <c r="DP78" i="9"/>
  <c r="FC78" i="9"/>
  <c r="PB78" i="9"/>
  <c r="G125" i="21"/>
  <c r="DP79" i="9"/>
  <c r="FC79" i="9"/>
  <c r="PB79" i="9"/>
  <c r="H125" i="21"/>
  <c r="DP80" i="9"/>
  <c r="FC80" i="9"/>
  <c r="PB80" i="9"/>
  <c r="I125" i="21"/>
  <c r="DP81" i="9"/>
  <c r="FC81" i="9"/>
  <c r="PB81" i="9"/>
  <c r="J125" i="21"/>
  <c r="DP82" i="9"/>
  <c r="FC82" i="9"/>
  <c r="PB82" i="9"/>
  <c r="K125" i="21"/>
  <c r="DP83" i="9"/>
  <c r="FC83" i="9"/>
  <c r="PB83" i="9"/>
  <c r="L125" i="21"/>
  <c r="DP84" i="9"/>
  <c r="FC84" i="9"/>
  <c r="PB84" i="9"/>
  <c r="M125" i="21"/>
  <c r="DP85" i="9"/>
  <c r="FC85" i="9"/>
  <c r="PB85" i="9"/>
  <c r="N125" i="21"/>
  <c r="DP86" i="9"/>
  <c r="IM86" i="9"/>
  <c r="KO86" i="9"/>
  <c r="GD86" i="9"/>
  <c r="FC86" i="9"/>
  <c r="PB86" i="9"/>
  <c r="O125" i="21"/>
  <c r="DP87" i="9"/>
  <c r="IM87" i="9"/>
  <c r="KO87" i="9"/>
  <c r="GD87" i="9"/>
  <c r="FC87" i="9"/>
  <c r="PB87" i="9"/>
  <c r="PB88" i="9"/>
  <c r="PB89" i="9"/>
  <c r="PB90" i="9"/>
  <c r="PB91" i="9"/>
  <c r="PB92" i="9"/>
  <c r="PB93" i="9"/>
  <c r="PB94" i="9"/>
  <c r="PB95" i="9"/>
  <c r="PB96" i="9"/>
  <c r="PB97" i="9"/>
  <c r="PB98" i="9"/>
  <c r="PB102" i="9"/>
  <c r="PB103" i="9"/>
  <c r="PB104" i="9"/>
  <c r="PB105" i="9"/>
  <c r="PB106" i="9"/>
  <c r="PB107" i="9"/>
  <c r="PB108" i="9"/>
  <c r="JT74" i="9"/>
  <c r="KR74" i="9"/>
  <c r="LG74" i="9"/>
  <c r="KX74" i="9"/>
  <c r="KY74" i="9"/>
  <c r="KZ74" i="9"/>
  <c r="LA74" i="9"/>
  <c r="LB74" i="9"/>
  <c r="C125" i="21"/>
  <c r="DP75" i="9"/>
  <c r="FC75" i="9"/>
  <c r="LD74" i="9"/>
  <c r="KW74" i="9"/>
  <c r="MQ75" i="9"/>
  <c r="MQ76" i="9"/>
  <c r="MQ77" i="9"/>
  <c r="MQ78" i="9"/>
  <c r="MQ79" i="9"/>
  <c r="MQ80" i="9"/>
  <c r="MQ81" i="9"/>
  <c r="MQ82" i="9"/>
  <c r="MQ83" i="9"/>
  <c r="MQ84" i="9"/>
  <c r="MQ85" i="9"/>
  <c r="MQ86" i="9"/>
  <c r="MQ87" i="9"/>
  <c r="MQ88" i="9"/>
  <c r="MQ89" i="9"/>
  <c r="MQ90" i="9"/>
  <c r="MQ91" i="9"/>
  <c r="MQ92" i="9"/>
  <c r="MQ93" i="9"/>
  <c r="MQ94" i="9"/>
  <c r="MQ95" i="9"/>
  <c r="MQ96" i="9"/>
  <c r="MQ97" i="9"/>
  <c r="MQ98" i="9"/>
  <c r="MQ99" i="9"/>
  <c r="MQ100" i="9"/>
  <c r="MQ101" i="9"/>
  <c r="MQ102" i="9"/>
  <c r="MQ103" i="9"/>
  <c r="MQ104" i="9"/>
  <c r="MQ105" i="9"/>
  <c r="MQ107" i="9"/>
  <c r="MQ108" i="9"/>
  <c r="BF112" i="9"/>
  <c r="AL21" i="9" a="1"/>
  <c r="AL26" i="9"/>
  <c r="AN21" i="9" a="1"/>
  <c r="AN26" i="9"/>
  <c r="G26" i="9"/>
  <c r="T21" i="9" a="1"/>
  <c r="T26" i="9"/>
  <c r="BH26" i="9"/>
  <c r="AL27" i="9"/>
  <c r="AN27" i="9"/>
  <c r="G27" i="9"/>
  <c r="T27" i="9"/>
  <c r="BH27" i="9"/>
  <c r="AL28" i="9"/>
  <c r="AN28" i="9"/>
  <c r="G28" i="9"/>
  <c r="T28" i="9"/>
  <c r="BH28" i="9"/>
  <c r="AL29" i="9"/>
  <c r="AN29" i="9"/>
  <c r="G29" i="9"/>
  <c r="T29" i="9"/>
  <c r="BH29" i="9"/>
  <c r="AL30" i="9"/>
  <c r="AN30" i="9"/>
  <c r="G30" i="9"/>
  <c r="T30" i="9"/>
  <c r="BH30" i="9"/>
  <c r="AL31" i="9"/>
  <c r="AN31" i="9"/>
  <c r="G31" i="9"/>
  <c r="T31" i="9"/>
  <c r="BH31" i="9"/>
  <c r="BH112" i="9"/>
  <c r="AL32" i="9"/>
  <c r="AN32" i="9"/>
  <c r="G32" i="9"/>
  <c r="T32" i="9"/>
  <c r="BH32" i="9"/>
  <c r="AL33" i="9"/>
  <c r="AN33" i="9"/>
  <c r="G33" i="9"/>
  <c r="T33" i="9"/>
  <c r="BH33" i="9"/>
  <c r="AL34" i="9"/>
  <c r="AN34" i="9"/>
  <c r="G34" i="9"/>
  <c r="T34" i="9"/>
  <c r="BH34" i="9"/>
  <c r="AL35" i="9"/>
  <c r="AN35" i="9"/>
  <c r="G35" i="9"/>
  <c r="T35" i="9"/>
  <c r="BH35" i="9"/>
  <c r="AL36" i="9"/>
  <c r="AN36" i="9"/>
  <c r="G36" i="9"/>
  <c r="T36" i="9"/>
  <c r="BH36" i="9"/>
  <c r="AL37" i="9"/>
  <c r="AN37" i="9"/>
  <c r="G37" i="9"/>
  <c r="T37" i="9"/>
  <c r="BH37" i="9"/>
  <c r="AL38" i="9"/>
  <c r="AN38" i="9"/>
  <c r="G38" i="9"/>
  <c r="T38" i="9"/>
  <c r="BH38" i="9"/>
  <c r="AL39" i="9"/>
  <c r="AN39" i="9"/>
  <c r="G39" i="9"/>
  <c r="T39" i="9"/>
  <c r="BH39" i="9"/>
  <c r="AL40" i="9"/>
  <c r="AN40" i="9"/>
  <c r="G40" i="9"/>
  <c r="T40" i="9"/>
  <c r="BH40" i="9"/>
  <c r="AL41" i="9"/>
  <c r="AN41" i="9"/>
  <c r="I41" i="9"/>
  <c r="G41" i="9"/>
  <c r="T41" i="9"/>
  <c r="BH41" i="9"/>
  <c r="BH122" i="9"/>
  <c r="AH26" i="9"/>
  <c r="AP21" i="9" a="1"/>
  <c r="AP26" i="9"/>
  <c r="AO21" i="9" a="1"/>
  <c r="AO26" i="9"/>
  <c r="AR26" i="9"/>
  <c r="BK26" i="9"/>
  <c r="AH27" i="9"/>
  <c r="AP27" i="9"/>
  <c r="AO27" i="9"/>
  <c r="AR27" i="9"/>
  <c r="BK27" i="9"/>
  <c r="AH28" i="9"/>
  <c r="AP28" i="9"/>
  <c r="AO28" i="9"/>
  <c r="AR28" i="9"/>
  <c r="BK28" i="9"/>
  <c r="AH29" i="9"/>
  <c r="AP29" i="9"/>
  <c r="AO29" i="9"/>
  <c r="AR29" i="9"/>
  <c r="BK29" i="9"/>
  <c r="AH30" i="9"/>
  <c r="AP30" i="9"/>
  <c r="AO30" i="9"/>
  <c r="AR30" i="9"/>
  <c r="BK30" i="9"/>
  <c r="AH31" i="9"/>
  <c r="AP31" i="9"/>
  <c r="AO31" i="9"/>
  <c r="AR31" i="9"/>
  <c r="BK31" i="9"/>
  <c r="BK112" i="9"/>
  <c r="AH32" i="9"/>
  <c r="AP32" i="9"/>
  <c r="AO32" i="9"/>
  <c r="AR32" i="9"/>
  <c r="BK32" i="9"/>
  <c r="AH33" i="9"/>
  <c r="AP33" i="9"/>
  <c r="AO33" i="9"/>
  <c r="AR33" i="9"/>
  <c r="BK33" i="9"/>
  <c r="AH34" i="9"/>
  <c r="AP34" i="9"/>
  <c r="AO34" i="9"/>
  <c r="AR34" i="9"/>
  <c r="BK34" i="9"/>
  <c r="AH35" i="9"/>
  <c r="AP35" i="9"/>
  <c r="AO35" i="9"/>
  <c r="AR35" i="9"/>
  <c r="BK35" i="9"/>
  <c r="AH36" i="9"/>
  <c r="AP36" i="9"/>
  <c r="AO36" i="9"/>
  <c r="AR36" i="9"/>
  <c r="BK36" i="9"/>
  <c r="AH37" i="9"/>
  <c r="AP37" i="9"/>
  <c r="AO37" i="9"/>
  <c r="AR37" i="9"/>
  <c r="BK37" i="9"/>
  <c r="AH38" i="9"/>
  <c r="AP38" i="9"/>
  <c r="AO38" i="9"/>
  <c r="AR38" i="9"/>
  <c r="BK38" i="9"/>
  <c r="AH39" i="9"/>
  <c r="AP39" i="9"/>
  <c r="AO39" i="9"/>
  <c r="AR39" i="9"/>
  <c r="BK39" i="9"/>
  <c r="AH40" i="9"/>
  <c r="AP40" i="9"/>
  <c r="AO40" i="9"/>
  <c r="AR40" i="9"/>
  <c r="BK40" i="9"/>
  <c r="AH41" i="9"/>
  <c r="AP41" i="9"/>
  <c r="AO41" i="9"/>
  <c r="AR41" i="9"/>
  <c r="BK41" i="9"/>
  <c r="BK122" i="9"/>
  <c r="FN22" i="9"/>
  <c r="FK22" i="9"/>
  <c r="FJ22" i="9"/>
  <c r="FI22" i="9"/>
  <c r="FH22" i="9"/>
  <c r="FG22" i="9"/>
  <c r="FO22" i="9"/>
  <c r="FQ22" i="9"/>
  <c r="C22" i="9"/>
  <c r="E22" i="9"/>
  <c r="FS22" i="9"/>
  <c r="FT22" i="9"/>
  <c r="FU22" i="9"/>
  <c r="FN23" i="9"/>
  <c r="FK23" i="9"/>
  <c r="FJ23" i="9"/>
  <c r="FI23" i="9"/>
  <c r="FH23" i="9"/>
  <c r="FG23" i="9"/>
  <c r="FO23" i="9"/>
  <c r="FQ23" i="9"/>
  <c r="C23" i="9"/>
  <c r="E23" i="9"/>
  <c r="FS23" i="9"/>
  <c r="FT23" i="9"/>
  <c r="FU23" i="9"/>
  <c r="FN24" i="9"/>
  <c r="FK24" i="9"/>
  <c r="FJ24" i="9"/>
  <c r="FI24" i="9"/>
  <c r="FH24" i="9"/>
  <c r="FG24" i="9"/>
  <c r="FO24" i="9"/>
  <c r="FQ24" i="9"/>
  <c r="C24" i="9"/>
  <c r="E24" i="9"/>
  <c r="FS24" i="9"/>
  <c r="FT24" i="9"/>
  <c r="FU24" i="9"/>
  <c r="FN25" i="9"/>
  <c r="FK25" i="9"/>
  <c r="FJ25" i="9"/>
  <c r="FI25" i="9"/>
  <c r="FH25" i="9"/>
  <c r="FG25" i="9"/>
  <c r="FO25" i="9"/>
  <c r="FQ25" i="9"/>
  <c r="C25" i="9"/>
  <c r="E25" i="9"/>
  <c r="FS25" i="9"/>
  <c r="FT25" i="9"/>
  <c r="FU25" i="9"/>
  <c r="FN26" i="9"/>
  <c r="FK26" i="9"/>
  <c r="FJ26" i="9"/>
  <c r="FI26" i="9"/>
  <c r="FH26" i="9"/>
  <c r="FG26" i="9"/>
  <c r="FO26" i="9"/>
  <c r="FQ26" i="9"/>
  <c r="C26" i="9"/>
  <c r="E26" i="9"/>
  <c r="FS26" i="9"/>
  <c r="FT26" i="9"/>
  <c r="FU26" i="9"/>
  <c r="FN27" i="9"/>
  <c r="FK27" i="9"/>
  <c r="FJ27" i="9"/>
  <c r="FI27" i="9"/>
  <c r="FH27" i="9"/>
  <c r="FG27" i="9"/>
  <c r="FO27" i="9"/>
  <c r="FQ27" i="9"/>
  <c r="C27" i="9"/>
  <c r="E27" i="9"/>
  <c r="FS27" i="9"/>
  <c r="FT27" i="9"/>
  <c r="FU27" i="9"/>
  <c r="FN28" i="9"/>
  <c r="FK28" i="9"/>
  <c r="FJ28" i="9"/>
  <c r="FI28" i="9"/>
  <c r="FH28" i="9"/>
  <c r="FG28" i="9"/>
  <c r="FO28" i="9"/>
  <c r="FQ28" i="9"/>
  <c r="C28" i="9"/>
  <c r="E28" i="9"/>
  <c r="FS28" i="9"/>
  <c r="FT28" i="9"/>
  <c r="FU28" i="9"/>
  <c r="FN29" i="9"/>
  <c r="FK29" i="9"/>
  <c r="FJ29" i="9"/>
  <c r="FI29" i="9"/>
  <c r="FH29" i="9"/>
  <c r="FG29" i="9"/>
  <c r="FO29" i="9"/>
  <c r="FQ29" i="9"/>
  <c r="C29" i="9"/>
  <c r="E29" i="9"/>
  <c r="FS29" i="9"/>
  <c r="FT29" i="9"/>
  <c r="FU29" i="9"/>
  <c r="FN30" i="9"/>
  <c r="FK30" i="9"/>
  <c r="FJ30" i="9"/>
  <c r="FI30" i="9"/>
  <c r="FH30" i="9"/>
  <c r="FG30" i="9"/>
  <c r="FO30" i="9"/>
  <c r="FQ30" i="9"/>
  <c r="C30" i="9"/>
  <c r="E30" i="9"/>
  <c r="FS30" i="9"/>
  <c r="FT30" i="9"/>
  <c r="FU30" i="9"/>
  <c r="FN31" i="9"/>
  <c r="FK31" i="9"/>
  <c r="FJ31" i="9"/>
  <c r="FI31" i="9"/>
  <c r="FH31" i="9"/>
  <c r="FG31" i="9"/>
  <c r="FO31" i="9"/>
  <c r="FQ31" i="9"/>
  <c r="C31" i="9"/>
  <c r="E31" i="9"/>
  <c r="FS31" i="9"/>
  <c r="FT31" i="9"/>
  <c r="FU31" i="9"/>
  <c r="FN32" i="9"/>
  <c r="FK32" i="9"/>
  <c r="FJ32" i="9"/>
  <c r="FI32" i="9"/>
  <c r="FH32" i="9"/>
  <c r="FG32" i="9"/>
  <c r="FO32" i="9"/>
  <c r="FQ32" i="9"/>
  <c r="C32" i="9"/>
  <c r="E32" i="9"/>
  <c r="FS32" i="9"/>
  <c r="FT32" i="9"/>
  <c r="FU32" i="9"/>
  <c r="FN33" i="9"/>
  <c r="FK33" i="9"/>
  <c r="FJ33" i="9"/>
  <c r="FI33" i="9"/>
  <c r="FH33" i="9"/>
  <c r="FG33" i="9"/>
  <c r="FO33" i="9"/>
  <c r="FQ33" i="9"/>
  <c r="C33" i="9"/>
  <c r="E33" i="9"/>
  <c r="FS33" i="9"/>
  <c r="FT33" i="9"/>
  <c r="FU33" i="9"/>
  <c r="FN34" i="9"/>
  <c r="FK34" i="9"/>
  <c r="FJ34" i="9"/>
  <c r="FI34" i="9"/>
  <c r="FH34" i="9"/>
  <c r="FG34" i="9"/>
  <c r="FO34" i="9"/>
  <c r="FQ34" i="9"/>
  <c r="C34" i="9"/>
  <c r="E34" i="9"/>
  <c r="FS34" i="9"/>
  <c r="FT34" i="9"/>
  <c r="FU34" i="9"/>
  <c r="FN35" i="9"/>
  <c r="FK35" i="9"/>
  <c r="FJ35" i="9"/>
  <c r="FI35" i="9"/>
  <c r="FH35" i="9"/>
  <c r="FG35" i="9"/>
  <c r="FO35" i="9"/>
  <c r="FQ35" i="9"/>
  <c r="C35" i="9"/>
  <c r="E35" i="9"/>
  <c r="FS35" i="9"/>
  <c r="FT35" i="9"/>
  <c r="FU35" i="9"/>
  <c r="FN36" i="9"/>
  <c r="FK36" i="9"/>
  <c r="FJ36" i="9"/>
  <c r="FI36" i="9"/>
  <c r="FH36" i="9"/>
  <c r="FG36" i="9"/>
  <c r="FO36" i="9"/>
  <c r="FQ36" i="9"/>
  <c r="C36" i="9"/>
  <c r="E36" i="9"/>
  <c r="FS36" i="9"/>
  <c r="FT36" i="9"/>
  <c r="FU36" i="9"/>
  <c r="FN37" i="9"/>
  <c r="FK37" i="9"/>
  <c r="FJ37" i="9"/>
  <c r="FI37" i="9"/>
  <c r="FH37" i="9"/>
  <c r="FG37" i="9"/>
  <c r="FO37" i="9"/>
  <c r="FQ37" i="9"/>
  <c r="C37" i="9"/>
  <c r="E37" i="9"/>
  <c r="FS37" i="9"/>
  <c r="FT37" i="9"/>
  <c r="FU37" i="9"/>
  <c r="FN38" i="9"/>
  <c r="FK38" i="9"/>
  <c r="FJ38" i="9"/>
  <c r="FI38" i="9"/>
  <c r="FH38" i="9"/>
  <c r="FG38" i="9"/>
  <c r="FO38" i="9"/>
  <c r="FQ38" i="9"/>
  <c r="C38" i="9"/>
  <c r="E38" i="9"/>
  <c r="FS38" i="9"/>
  <c r="FT38" i="9"/>
  <c r="FU38" i="9"/>
  <c r="FN39" i="9"/>
  <c r="FK39" i="9"/>
  <c r="FJ39" i="9"/>
  <c r="FI39" i="9"/>
  <c r="FH39" i="9"/>
  <c r="FG39" i="9"/>
  <c r="FO39" i="9"/>
  <c r="FQ39" i="9"/>
  <c r="C39" i="9"/>
  <c r="E39" i="9"/>
  <c r="FS39" i="9"/>
  <c r="FT39" i="9"/>
  <c r="FU39" i="9"/>
  <c r="FN40" i="9"/>
  <c r="FK40" i="9"/>
  <c r="FJ40" i="9"/>
  <c r="FI40" i="9"/>
  <c r="FH40" i="9"/>
  <c r="FG40" i="9"/>
  <c r="FO40" i="9"/>
  <c r="FQ40" i="9"/>
  <c r="C40" i="9"/>
  <c r="E40" i="9"/>
  <c r="FS40" i="9"/>
  <c r="FT40" i="9"/>
  <c r="FU40" i="9"/>
  <c r="FN41" i="9"/>
  <c r="FK41" i="9"/>
  <c r="FJ41" i="9"/>
  <c r="FI41" i="9"/>
  <c r="FH41" i="9"/>
  <c r="FG41" i="9"/>
  <c r="FO41" i="9"/>
  <c r="FQ41" i="9"/>
  <c r="C41" i="9"/>
  <c r="E41" i="9"/>
  <c r="FS41" i="9"/>
  <c r="FT41" i="9"/>
  <c r="FU41" i="9"/>
  <c r="FN42" i="9"/>
  <c r="FK42" i="9"/>
  <c r="FJ42" i="9"/>
  <c r="FI42" i="9"/>
  <c r="FH42" i="9"/>
  <c r="FG42" i="9"/>
  <c r="FO42" i="9"/>
  <c r="FQ42" i="9"/>
  <c r="E42" i="9"/>
  <c r="FS42" i="9"/>
  <c r="FT42" i="9"/>
  <c r="FU42" i="9"/>
  <c r="FN43" i="9"/>
  <c r="FK43" i="9"/>
  <c r="FJ43" i="9"/>
  <c r="FI43" i="9"/>
  <c r="FH43" i="9"/>
  <c r="FG43" i="9"/>
  <c r="FO43" i="9"/>
  <c r="FQ43" i="9"/>
  <c r="E43" i="9"/>
  <c r="FS43" i="9"/>
  <c r="FT43" i="9"/>
  <c r="FU43" i="9"/>
  <c r="FN44" i="9"/>
  <c r="FK44" i="9"/>
  <c r="FJ44" i="9"/>
  <c r="FI44" i="9"/>
  <c r="FH44" i="9"/>
  <c r="FG44" i="9"/>
  <c r="FO44" i="9"/>
  <c r="FQ44" i="9"/>
  <c r="E44" i="9"/>
  <c r="FS44" i="9"/>
  <c r="FT44" i="9"/>
  <c r="FU44" i="9"/>
  <c r="FN45" i="9"/>
  <c r="FK45" i="9"/>
  <c r="FJ45" i="9"/>
  <c r="FI45" i="9"/>
  <c r="FH45" i="9"/>
  <c r="FG45" i="9"/>
  <c r="FO45" i="9"/>
  <c r="FQ45" i="9"/>
  <c r="E45" i="9"/>
  <c r="FS45" i="9"/>
  <c r="FT45" i="9"/>
  <c r="FU45" i="9"/>
  <c r="FN46" i="9"/>
  <c r="FK46" i="9"/>
  <c r="FJ46" i="9"/>
  <c r="FI46" i="9"/>
  <c r="FH46" i="9"/>
  <c r="FG46" i="9"/>
  <c r="FO46" i="9"/>
  <c r="FQ46" i="9"/>
  <c r="E46" i="9"/>
  <c r="FS46" i="9"/>
  <c r="FT46" i="9"/>
  <c r="FU46" i="9"/>
  <c r="FN47" i="9"/>
  <c r="FK47" i="9"/>
  <c r="FJ47" i="9"/>
  <c r="FI47" i="9"/>
  <c r="FH47" i="9"/>
  <c r="FG47" i="9"/>
  <c r="FO47" i="9"/>
  <c r="FQ47" i="9"/>
  <c r="E47" i="9"/>
  <c r="FS47" i="9"/>
  <c r="FT47" i="9"/>
  <c r="FU47" i="9"/>
  <c r="FN48" i="9"/>
  <c r="FK48" i="9"/>
  <c r="FJ48" i="9"/>
  <c r="FI48" i="9"/>
  <c r="FH48" i="9"/>
  <c r="FG48" i="9"/>
  <c r="FO48" i="9"/>
  <c r="FQ48" i="9"/>
  <c r="E48" i="9"/>
  <c r="FS48" i="9"/>
  <c r="FT48" i="9"/>
  <c r="FU48" i="9"/>
  <c r="FN49" i="9"/>
  <c r="FK49" i="9"/>
  <c r="FJ49" i="9"/>
  <c r="FI49" i="9"/>
  <c r="FH49" i="9"/>
  <c r="FG49" i="9"/>
  <c r="FO49" i="9"/>
  <c r="FQ49" i="9"/>
  <c r="E49" i="9"/>
  <c r="FS49" i="9"/>
  <c r="FT49" i="9"/>
  <c r="FU49" i="9"/>
  <c r="FN50" i="9"/>
  <c r="FK50" i="9"/>
  <c r="FJ50" i="9"/>
  <c r="FI50" i="9"/>
  <c r="FH50" i="9"/>
  <c r="FG50" i="9"/>
  <c r="FO50" i="9"/>
  <c r="FQ50" i="9"/>
  <c r="E50" i="9"/>
  <c r="FS50" i="9"/>
  <c r="FT50" i="9"/>
  <c r="FU50" i="9"/>
  <c r="FN51" i="9"/>
  <c r="FK51" i="9"/>
  <c r="FJ51" i="9"/>
  <c r="FI51" i="9"/>
  <c r="FH51" i="9"/>
  <c r="FG51" i="9"/>
  <c r="FO51" i="9"/>
  <c r="FQ51" i="9"/>
  <c r="E51" i="9"/>
  <c r="FS51" i="9"/>
  <c r="FT51" i="9"/>
  <c r="FU51" i="9"/>
  <c r="FN52" i="9"/>
  <c r="FK52" i="9"/>
  <c r="FJ52" i="9"/>
  <c r="FI52" i="9"/>
  <c r="FH52" i="9"/>
  <c r="FG52" i="9"/>
  <c r="FO52" i="9"/>
  <c r="FQ52" i="9"/>
  <c r="E52" i="9"/>
  <c r="FS52" i="9"/>
  <c r="FT52" i="9"/>
  <c r="FU52" i="9"/>
  <c r="FN53" i="9"/>
  <c r="FK53" i="9"/>
  <c r="FJ53" i="9"/>
  <c r="FI53" i="9"/>
  <c r="FH53" i="9"/>
  <c r="FG53" i="9"/>
  <c r="FO53" i="9"/>
  <c r="FQ53" i="9"/>
  <c r="E53" i="9"/>
  <c r="FS53" i="9"/>
  <c r="FT53" i="9"/>
  <c r="FU53" i="9"/>
  <c r="FN54" i="9"/>
  <c r="FK54" i="9"/>
  <c r="FJ54" i="9"/>
  <c r="FI54" i="9"/>
  <c r="FH54" i="9"/>
  <c r="FG54" i="9"/>
  <c r="FO54" i="9"/>
  <c r="FQ54" i="9"/>
  <c r="E54" i="9"/>
  <c r="FS54" i="9"/>
  <c r="FT54" i="9"/>
  <c r="FU54" i="9"/>
  <c r="FN55" i="9"/>
  <c r="FK55" i="9"/>
  <c r="FJ55" i="9"/>
  <c r="FI55" i="9"/>
  <c r="FH55" i="9"/>
  <c r="FG55" i="9"/>
  <c r="FO55" i="9"/>
  <c r="FQ55" i="9"/>
  <c r="E55" i="9"/>
  <c r="FS55" i="9"/>
  <c r="FT55" i="9"/>
  <c r="FU55" i="9"/>
  <c r="FN56" i="9"/>
  <c r="FK56" i="9"/>
  <c r="FJ56" i="9"/>
  <c r="FI56" i="9"/>
  <c r="FH56" i="9"/>
  <c r="FG56" i="9"/>
  <c r="FO56" i="9"/>
  <c r="FQ56" i="9"/>
  <c r="E56" i="9"/>
  <c r="FS56" i="9"/>
  <c r="FT56" i="9"/>
  <c r="FU56" i="9"/>
  <c r="FN57" i="9"/>
  <c r="FK57" i="9"/>
  <c r="FJ57" i="9"/>
  <c r="FI57" i="9"/>
  <c r="FH57" i="9"/>
  <c r="FG57" i="9"/>
  <c r="FO57" i="9"/>
  <c r="FQ57" i="9"/>
  <c r="E57" i="9"/>
  <c r="FS57" i="9"/>
  <c r="FT57" i="9"/>
  <c r="FU57" i="9"/>
  <c r="FQ58" i="9"/>
  <c r="E58" i="9"/>
  <c r="FS58" i="9"/>
  <c r="FT58" i="9"/>
  <c r="FU58" i="9"/>
  <c r="FQ59" i="9"/>
  <c r="E59" i="9"/>
  <c r="FS59" i="9"/>
  <c r="FT59" i="9"/>
  <c r="FU59" i="9"/>
  <c r="FQ60" i="9"/>
  <c r="E60" i="9"/>
  <c r="FS60" i="9"/>
  <c r="FT60" i="9"/>
  <c r="FU60" i="9"/>
  <c r="FQ61" i="9"/>
  <c r="E61" i="9"/>
  <c r="FS61" i="9"/>
  <c r="FT61" i="9"/>
  <c r="FU61" i="9"/>
  <c r="FQ62" i="9"/>
  <c r="E62" i="9"/>
  <c r="FS62" i="9"/>
  <c r="FT62" i="9"/>
  <c r="FU62" i="9"/>
  <c r="FQ63" i="9"/>
  <c r="E63" i="9"/>
  <c r="FS63" i="9"/>
  <c r="FT63" i="9"/>
  <c r="FU63" i="9"/>
  <c r="FQ64" i="9"/>
  <c r="E64" i="9"/>
  <c r="FS64" i="9"/>
  <c r="FT64" i="9"/>
  <c r="FU64" i="9"/>
  <c r="FQ65" i="9"/>
  <c r="E65" i="9"/>
  <c r="FS65" i="9"/>
  <c r="FT65" i="9"/>
  <c r="FU65" i="9"/>
  <c r="FQ66" i="9"/>
  <c r="E66" i="9"/>
  <c r="FS66" i="9"/>
  <c r="FT66" i="9"/>
  <c r="FU66" i="9"/>
  <c r="FQ67" i="9"/>
  <c r="E67" i="9"/>
  <c r="FS67" i="9"/>
  <c r="FT67" i="9"/>
  <c r="FU67" i="9"/>
  <c r="FQ68" i="9"/>
  <c r="E68" i="9"/>
  <c r="FS68" i="9"/>
  <c r="FT68" i="9"/>
  <c r="FU68" i="9"/>
  <c r="E69" i="9"/>
  <c r="E70" i="9"/>
  <c r="FQ71" i="9"/>
  <c r="E71" i="9"/>
  <c r="FS71" i="9"/>
  <c r="FT71" i="9"/>
  <c r="FU71" i="9"/>
  <c r="FQ72" i="9"/>
  <c r="E72" i="9"/>
  <c r="FS72" i="9"/>
  <c r="FT72" i="9"/>
  <c r="FU72" i="9"/>
  <c r="FQ73" i="9"/>
  <c r="E73" i="9"/>
  <c r="FS73" i="9"/>
  <c r="FT73" i="9"/>
  <c r="FU73" i="9"/>
  <c r="DO74" i="9"/>
  <c r="FQ74" i="9"/>
  <c r="E74" i="9"/>
  <c r="FS74" i="9"/>
  <c r="FE74" i="9"/>
  <c r="EO74" i="9"/>
  <c r="FT74" i="9"/>
  <c r="FU74" i="9"/>
  <c r="FQ75" i="9"/>
  <c r="E75" i="9"/>
  <c r="FS75" i="9"/>
  <c r="EO75" i="9"/>
  <c r="FT75" i="9"/>
  <c r="FU75" i="9"/>
  <c r="FQ76" i="9"/>
  <c r="E76" i="9"/>
  <c r="FS76" i="9"/>
  <c r="EO76" i="9"/>
  <c r="FT76" i="9"/>
  <c r="FU76" i="9"/>
  <c r="FQ77" i="9"/>
  <c r="E77" i="9"/>
  <c r="FS77" i="9"/>
  <c r="EO77" i="9"/>
  <c r="FT77" i="9"/>
  <c r="FU77" i="9"/>
  <c r="FQ78" i="9"/>
  <c r="E78" i="9"/>
  <c r="FS78" i="9"/>
  <c r="EO78" i="9"/>
  <c r="FT78" i="9"/>
  <c r="FU78" i="9"/>
  <c r="FQ79" i="9"/>
  <c r="E79" i="9"/>
  <c r="FS79" i="9"/>
  <c r="EO79" i="9"/>
  <c r="FT79" i="9"/>
  <c r="FU79" i="9"/>
  <c r="FQ80" i="9"/>
  <c r="E80" i="9"/>
  <c r="FS80" i="9"/>
  <c r="EO80" i="9"/>
  <c r="FT80" i="9"/>
  <c r="FU80" i="9"/>
  <c r="FQ81" i="9"/>
  <c r="E81" i="9"/>
  <c r="FS81" i="9"/>
  <c r="EO81" i="9"/>
  <c r="FT81" i="9"/>
  <c r="FU81" i="9"/>
  <c r="FQ82" i="9"/>
  <c r="E82" i="9"/>
  <c r="FS82" i="9"/>
  <c r="EO82" i="9"/>
  <c r="FT82" i="9"/>
  <c r="FU82" i="9"/>
  <c r="FQ83" i="9"/>
  <c r="E83" i="9"/>
  <c r="FS83" i="9"/>
  <c r="EO83" i="9"/>
  <c r="FT83" i="9"/>
  <c r="FU83" i="9"/>
  <c r="FQ84" i="9"/>
  <c r="E84" i="9"/>
  <c r="FS84" i="9"/>
  <c r="EO84" i="9"/>
  <c r="FT84" i="9"/>
  <c r="FU84" i="9"/>
  <c r="FQ85" i="9"/>
  <c r="E85" i="9"/>
  <c r="FS85" i="9"/>
  <c r="EO85" i="9"/>
  <c r="FT85" i="9"/>
  <c r="FU85" i="9"/>
  <c r="FQ86" i="9"/>
  <c r="E86" i="9"/>
  <c r="FS86" i="9"/>
  <c r="EO86" i="9"/>
  <c r="FT86" i="9"/>
  <c r="FU86" i="9"/>
  <c r="FQ87" i="9"/>
  <c r="E87" i="9"/>
  <c r="FS87" i="9"/>
  <c r="EO87" i="9"/>
  <c r="FT87" i="9"/>
  <c r="FU87" i="9"/>
  <c r="FQ88" i="9"/>
  <c r="E88" i="9"/>
  <c r="FS88" i="9"/>
  <c r="EO88" i="9"/>
  <c r="FT88" i="9"/>
  <c r="FU88" i="9"/>
  <c r="FQ89" i="9"/>
  <c r="E89" i="9"/>
  <c r="FS89" i="9"/>
  <c r="EO89" i="9"/>
  <c r="FT89" i="9"/>
  <c r="FU89" i="9"/>
  <c r="FQ90" i="9"/>
  <c r="E90" i="9"/>
  <c r="FS90" i="9"/>
  <c r="EO90" i="9"/>
  <c r="FT90" i="9"/>
  <c r="FU90" i="9"/>
  <c r="FQ91" i="9"/>
  <c r="E91" i="9"/>
  <c r="FS91" i="9"/>
  <c r="EO91" i="9"/>
  <c r="FT91" i="9"/>
  <c r="FU91" i="9"/>
  <c r="FQ92" i="9"/>
  <c r="E92" i="9"/>
  <c r="FS92" i="9"/>
  <c r="EO92" i="9"/>
  <c r="FT92" i="9"/>
  <c r="FU92" i="9"/>
  <c r="FQ93" i="9"/>
  <c r="E93" i="9"/>
  <c r="FS93" i="9"/>
  <c r="EO93" i="9"/>
  <c r="FT93" i="9"/>
  <c r="FU93" i="9"/>
  <c r="FQ94" i="9"/>
  <c r="E94" i="9"/>
  <c r="FS94" i="9"/>
  <c r="EO94" i="9"/>
  <c r="FT94" i="9"/>
  <c r="FU94" i="9"/>
  <c r="FQ95" i="9"/>
  <c r="E95" i="9"/>
  <c r="FS95" i="9"/>
  <c r="EO95" i="9"/>
  <c r="FT95" i="9"/>
  <c r="FU95" i="9"/>
  <c r="FQ96" i="9"/>
  <c r="E96" i="9"/>
  <c r="FS96" i="9"/>
  <c r="EO96" i="9"/>
  <c r="FT96" i="9"/>
  <c r="FU96" i="9"/>
  <c r="FQ97" i="9"/>
  <c r="E97" i="9"/>
  <c r="FS97" i="9"/>
  <c r="EO97" i="9"/>
  <c r="FT97" i="9"/>
  <c r="FU97" i="9"/>
  <c r="FQ98" i="9"/>
  <c r="E98" i="9"/>
  <c r="FS98" i="9"/>
  <c r="EO98" i="9"/>
  <c r="FT98" i="9"/>
  <c r="FU98" i="9"/>
  <c r="FN99" i="9"/>
  <c r="FJ99" i="9"/>
  <c r="FI99" i="9"/>
  <c r="FH99" i="9"/>
  <c r="FG99" i="9"/>
  <c r="E99" i="9"/>
  <c r="FN100" i="9"/>
  <c r="FJ100" i="9"/>
  <c r="FI100" i="9"/>
  <c r="FH100" i="9"/>
  <c r="FG100" i="9"/>
  <c r="E100" i="9"/>
  <c r="FN101" i="9"/>
  <c r="FJ101" i="9"/>
  <c r="FI101" i="9"/>
  <c r="FH101" i="9"/>
  <c r="FG101" i="9"/>
  <c r="E101" i="9"/>
  <c r="FQ102" i="9"/>
  <c r="E102" i="9"/>
  <c r="FS102" i="9"/>
  <c r="EO102" i="9"/>
  <c r="FT102" i="9"/>
  <c r="FU102" i="9"/>
  <c r="FQ103" i="9"/>
  <c r="E103" i="9"/>
  <c r="FS103" i="9"/>
  <c r="EO103" i="9"/>
  <c r="FT103" i="9"/>
  <c r="FU103" i="9"/>
  <c r="FQ104" i="9"/>
  <c r="E104" i="9"/>
  <c r="FS104" i="9"/>
  <c r="EO104" i="9"/>
  <c r="FT104" i="9"/>
  <c r="FU104" i="9"/>
  <c r="FQ105" i="9"/>
  <c r="E105" i="9"/>
  <c r="FS105" i="9"/>
  <c r="EO105" i="9"/>
  <c r="FT105" i="9"/>
  <c r="FU105" i="9"/>
  <c r="FQ106" i="9"/>
  <c r="E106" i="9"/>
  <c r="FS106" i="9"/>
  <c r="EO106" i="9"/>
  <c r="FT106" i="9"/>
  <c r="FU106" i="9"/>
  <c r="FQ107" i="9"/>
  <c r="E107" i="9"/>
  <c r="FS107" i="9"/>
  <c r="EO107" i="9"/>
  <c r="FT107" i="9"/>
  <c r="FU107" i="9"/>
  <c r="FN108" i="9"/>
  <c r="FK108" i="9"/>
  <c r="FJ108" i="9"/>
  <c r="FI108" i="9"/>
  <c r="FH108" i="9"/>
  <c r="FG108" i="9"/>
  <c r="FO108" i="9"/>
  <c r="FQ108" i="9"/>
  <c r="E108" i="9"/>
  <c r="FS108" i="9"/>
  <c r="EO108" i="9"/>
  <c r="FT108" i="9"/>
  <c r="FU108" i="9"/>
  <c r="FJ21" i="9"/>
  <c r="FH21" i="9"/>
  <c r="FO21" i="9"/>
  <c r="D21" i="9"/>
  <c r="N21" i="9"/>
  <c r="FQ21" i="9"/>
  <c r="C21" i="9"/>
  <c r="E21" i="9"/>
  <c r="FS21" i="9"/>
  <c r="FT21" i="9"/>
  <c r="FU21" i="9"/>
  <c r="FP22" i="9"/>
  <c r="FR22" i="9"/>
  <c r="FV22" i="9"/>
  <c r="FP23" i="9"/>
  <c r="FR23" i="9"/>
  <c r="FV23" i="9"/>
  <c r="FP24" i="9"/>
  <c r="FR24" i="9"/>
  <c r="FV24" i="9"/>
  <c r="FP25" i="9"/>
  <c r="FR25" i="9"/>
  <c r="FV25" i="9"/>
  <c r="FP26" i="9"/>
  <c r="FR26" i="9"/>
  <c r="FV26" i="9"/>
  <c r="FP27" i="9"/>
  <c r="FR27" i="9"/>
  <c r="FV27" i="9"/>
  <c r="FP28" i="9"/>
  <c r="FR28" i="9"/>
  <c r="FV28" i="9"/>
  <c r="FP29" i="9"/>
  <c r="FR29" i="9"/>
  <c r="FV29" i="9"/>
  <c r="FP30" i="9"/>
  <c r="FR30" i="9"/>
  <c r="FV30" i="9"/>
  <c r="FP31" i="9"/>
  <c r="FR31" i="9"/>
  <c r="FV31" i="9"/>
  <c r="FV112" i="9"/>
  <c r="FS112" i="9"/>
  <c r="FR112" i="9"/>
  <c r="FQ112" i="9"/>
  <c r="FP32" i="9"/>
  <c r="FR32" i="9"/>
  <c r="FV32" i="9"/>
  <c r="FP33" i="9"/>
  <c r="FR33" i="9"/>
  <c r="FV33" i="9"/>
  <c r="FP34" i="9"/>
  <c r="FR34" i="9"/>
  <c r="FV34" i="9"/>
  <c r="FP35" i="9"/>
  <c r="FR35" i="9"/>
  <c r="FV35" i="9"/>
  <c r="FP36" i="9"/>
  <c r="FR36" i="9"/>
  <c r="FV36" i="9"/>
  <c r="FP37" i="9"/>
  <c r="FR37" i="9"/>
  <c r="FV37" i="9"/>
  <c r="FP38" i="9"/>
  <c r="FR38" i="9"/>
  <c r="FV38" i="9"/>
  <c r="FP39" i="9"/>
  <c r="FR39" i="9"/>
  <c r="FV39" i="9"/>
  <c r="FP40" i="9"/>
  <c r="FR40" i="9"/>
  <c r="FV40" i="9"/>
  <c r="FP41" i="9"/>
  <c r="FR41" i="9"/>
  <c r="FV41" i="9"/>
  <c r="FV122" i="9"/>
  <c r="FS122" i="9"/>
  <c r="FR122" i="9"/>
  <c r="FQ122" i="9"/>
  <c r="FP42" i="9"/>
  <c r="FR42" i="9"/>
  <c r="FV42" i="9"/>
  <c r="FP43" i="9"/>
  <c r="FR43" i="9"/>
  <c r="FV43" i="9"/>
  <c r="FP44" i="9"/>
  <c r="FR44" i="9"/>
  <c r="FV44" i="9"/>
  <c r="FP45" i="9"/>
  <c r="FR45" i="9"/>
  <c r="FV45" i="9"/>
  <c r="FP46" i="9"/>
  <c r="FR46" i="9"/>
  <c r="FV46" i="9"/>
  <c r="FP47" i="9"/>
  <c r="FR47" i="9"/>
  <c r="FV47" i="9"/>
  <c r="FP48" i="9"/>
  <c r="FR48" i="9"/>
  <c r="FV48" i="9"/>
  <c r="FP49" i="9"/>
  <c r="FR49" i="9"/>
  <c r="FV49" i="9"/>
  <c r="FP50" i="9"/>
  <c r="FR50" i="9"/>
  <c r="FV50" i="9"/>
  <c r="FP51" i="9"/>
  <c r="FR51" i="9"/>
  <c r="FV51" i="9"/>
  <c r="FV132" i="9"/>
  <c r="FS132" i="9"/>
  <c r="FR132" i="9"/>
  <c r="FQ132" i="9"/>
  <c r="FP102" i="9"/>
  <c r="FR102" i="9"/>
  <c r="FV102" i="9"/>
  <c r="FP103" i="9"/>
  <c r="FR103" i="9"/>
  <c r="FV103" i="9"/>
  <c r="FP104" i="9"/>
  <c r="FR104" i="9"/>
  <c r="FV104" i="9"/>
  <c r="FP105" i="9"/>
  <c r="FR105" i="9"/>
  <c r="FV105" i="9"/>
  <c r="FP106" i="9"/>
  <c r="FR106" i="9"/>
  <c r="FV106" i="9"/>
  <c r="FP107" i="9"/>
  <c r="FR107" i="9"/>
  <c r="FV107" i="9"/>
  <c r="FP108" i="9"/>
  <c r="FR108" i="9"/>
  <c r="FV108" i="9"/>
  <c r="FV192" i="9"/>
  <c r="FP92" i="9"/>
  <c r="FR92" i="9"/>
  <c r="FV92" i="9"/>
  <c r="FP93" i="9"/>
  <c r="FR93" i="9"/>
  <c r="FV93" i="9"/>
  <c r="FP94" i="9"/>
  <c r="FR94" i="9"/>
  <c r="FV94" i="9"/>
  <c r="FP95" i="9"/>
  <c r="FR95" i="9"/>
  <c r="FV95" i="9"/>
  <c r="FP96" i="9"/>
  <c r="FR96" i="9"/>
  <c r="FV96" i="9"/>
  <c r="FP97" i="9"/>
  <c r="FR97" i="9"/>
  <c r="FV97" i="9"/>
  <c r="FP98" i="9"/>
  <c r="FR98" i="9"/>
  <c r="FV98" i="9"/>
  <c r="FP82" i="9"/>
  <c r="FR82" i="9"/>
  <c r="FV82" i="9"/>
  <c r="FP83" i="9"/>
  <c r="FR83" i="9"/>
  <c r="FV83" i="9"/>
  <c r="FP84" i="9"/>
  <c r="FR84" i="9"/>
  <c r="FV84" i="9"/>
  <c r="FP85" i="9"/>
  <c r="FR85" i="9"/>
  <c r="FV85" i="9"/>
  <c r="FP86" i="9"/>
  <c r="FR86" i="9"/>
  <c r="FV86" i="9"/>
  <c r="FP87" i="9"/>
  <c r="FR87" i="9"/>
  <c r="FV87" i="9"/>
  <c r="FP88" i="9"/>
  <c r="FR88" i="9"/>
  <c r="FV88" i="9"/>
  <c r="FP89" i="9"/>
  <c r="FR89" i="9"/>
  <c r="FV89" i="9"/>
  <c r="FP90" i="9"/>
  <c r="FR90" i="9"/>
  <c r="FV90" i="9"/>
  <c r="FP91" i="9"/>
  <c r="FR91" i="9"/>
  <c r="FV91" i="9"/>
  <c r="FV172" i="9"/>
  <c r="FP72" i="9"/>
  <c r="FR72" i="9"/>
  <c r="FV72" i="9"/>
  <c r="FP73" i="9"/>
  <c r="FR73" i="9"/>
  <c r="FV73" i="9"/>
  <c r="FP74" i="9"/>
  <c r="FR74" i="9"/>
  <c r="FV74" i="9"/>
  <c r="FP75" i="9"/>
  <c r="FR75" i="9"/>
  <c r="FV75" i="9"/>
  <c r="FP76" i="9"/>
  <c r="FR76" i="9"/>
  <c r="FV76" i="9"/>
  <c r="FP77" i="9"/>
  <c r="FR77" i="9"/>
  <c r="FV77" i="9"/>
  <c r="FP78" i="9"/>
  <c r="FR78" i="9"/>
  <c r="FV78" i="9"/>
  <c r="FP79" i="9"/>
  <c r="FR79" i="9"/>
  <c r="FV79" i="9"/>
  <c r="FP80" i="9"/>
  <c r="FR80" i="9"/>
  <c r="FV80" i="9"/>
  <c r="FP81" i="9"/>
  <c r="FR81" i="9"/>
  <c r="FV81" i="9"/>
  <c r="FV162" i="9"/>
  <c r="FP62" i="9"/>
  <c r="FR62" i="9"/>
  <c r="FV62" i="9"/>
  <c r="FP63" i="9"/>
  <c r="FR63" i="9"/>
  <c r="FV63" i="9"/>
  <c r="FP64" i="9"/>
  <c r="FR64" i="9"/>
  <c r="FV64" i="9"/>
  <c r="FP65" i="9"/>
  <c r="FR65" i="9"/>
  <c r="FV65" i="9"/>
  <c r="FP66" i="9"/>
  <c r="FR66" i="9"/>
  <c r="FV66" i="9"/>
  <c r="FP67" i="9"/>
  <c r="FR67" i="9"/>
  <c r="FV67" i="9"/>
  <c r="FP68" i="9"/>
  <c r="FR68" i="9"/>
  <c r="FV68" i="9"/>
  <c r="FP71" i="9"/>
  <c r="FR71" i="9"/>
  <c r="FV71" i="9"/>
  <c r="FP52" i="9"/>
  <c r="FR52" i="9"/>
  <c r="FV52" i="9"/>
  <c r="FP53" i="9"/>
  <c r="FR53" i="9"/>
  <c r="FV53" i="9"/>
  <c r="FP54" i="9"/>
  <c r="FR54" i="9"/>
  <c r="FV54" i="9"/>
  <c r="FP55" i="9"/>
  <c r="FR55" i="9"/>
  <c r="FV55" i="9"/>
  <c r="FP56" i="9"/>
  <c r="FR56" i="9"/>
  <c r="FV56" i="9"/>
  <c r="FP57" i="9"/>
  <c r="FR57" i="9"/>
  <c r="FV57" i="9"/>
  <c r="FP58" i="9"/>
  <c r="FR58" i="9"/>
  <c r="FV58" i="9"/>
  <c r="FP59" i="9"/>
  <c r="FR59" i="9"/>
  <c r="FV59" i="9"/>
  <c r="FP60" i="9"/>
  <c r="FR60" i="9"/>
  <c r="FV60" i="9"/>
  <c r="FP61" i="9"/>
  <c r="FR61" i="9"/>
  <c r="FV61" i="9"/>
  <c r="FV142" i="9"/>
  <c r="FS192" i="9"/>
  <c r="FS172" i="9"/>
  <c r="FS162" i="9"/>
  <c r="FS142" i="9"/>
  <c r="FP21" i="9"/>
  <c r="FR21" i="9"/>
  <c r="FV21" i="9"/>
  <c r="FR192" i="9"/>
  <c r="FQ192" i="9"/>
  <c r="FR172" i="9"/>
  <c r="FQ172" i="9"/>
  <c r="FR162" i="9"/>
  <c r="FQ162" i="9"/>
  <c r="FR142" i="9"/>
  <c r="FQ142" i="9"/>
  <c r="FF59" i="9"/>
  <c r="FF60" i="9"/>
  <c r="FF61" i="9"/>
  <c r="FF62" i="9"/>
  <c r="FF63" i="9"/>
  <c r="FF64" i="9"/>
  <c r="FF65" i="9"/>
  <c r="FF66" i="9"/>
  <c r="FF67" i="9"/>
  <c r="FF68" i="9"/>
  <c r="FF71" i="9"/>
  <c r="FF72" i="9"/>
  <c r="FF73" i="9"/>
  <c r="GG74" i="9"/>
  <c r="FF74" i="9"/>
  <c r="FF58" i="9"/>
  <c r="CW75" i="9"/>
  <c r="CW76" i="9"/>
  <c r="CW77" i="9"/>
  <c r="CW78" i="9"/>
  <c r="CW79" i="9"/>
  <c r="CW80" i="9"/>
  <c r="CW81" i="9"/>
  <c r="CW82" i="9"/>
  <c r="CW83" i="9"/>
  <c r="CW84" i="9"/>
  <c r="CW85" i="9"/>
  <c r="CW86" i="9"/>
  <c r="CW87" i="9"/>
  <c r="CW88" i="9"/>
  <c r="CW89" i="9"/>
  <c r="CW90" i="9"/>
  <c r="CW91" i="9"/>
  <c r="CW92" i="9"/>
  <c r="CW93" i="9"/>
  <c r="CW94" i="9"/>
  <c r="CW95" i="9"/>
  <c r="CW96" i="9"/>
  <c r="CW97" i="9"/>
  <c r="CW98" i="9"/>
  <c r="CW99" i="9"/>
  <c r="CW100" i="9"/>
  <c r="CW101" i="9"/>
  <c r="CW102" i="9"/>
  <c r="CW103" i="9"/>
  <c r="CW104" i="9"/>
  <c r="CW105" i="9"/>
  <c r="CW106" i="9"/>
  <c r="CW107" i="9"/>
  <c r="CW108" i="9"/>
  <c r="CW74" i="9"/>
  <c r="IR75" i="9"/>
  <c r="CV75" i="9"/>
  <c r="IR76" i="9"/>
  <c r="CV76" i="9"/>
  <c r="IR77" i="9"/>
  <c r="CV77" i="9"/>
  <c r="IR78" i="9"/>
  <c r="CV78" i="9"/>
  <c r="IR79" i="9"/>
  <c r="CV79" i="9"/>
  <c r="IR80" i="9"/>
  <c r="CV80" i="9"/>
  <c r="IR81" i="9"/>
  <c r="CV81" i="9"/>
  <c r="IR82" i="9"/>
  <c r="CV82" i="9"/>
  <c r="IR83" i="9"/>
  <c r="CV83" i="9"/>
  <c r="IR84" i="9"/>
  <c r="CV84" i="9"/>
  <c r="IR85" i="9"/>
  <c r="CV85" i="9"/>
  <c r="IR86" i="9"/>
  <c r="CV86" i="9"/>
  <c r="IR87" i="9"/>
  <c r="CV87" i="9"/>
  <c r="IR88" i="9"/>
  <c r="CV88" i="9"/>
  <c r="IR89" i="9"/>
  <c r="CV89" i="9"/>
  <c r="IR90" i="9"/>
  <c r="CV90" i="9"/>
  <c r="IR91" i="9"/>
  <c r="CV91" i="9"/>
  <c r="IR92" i="9"/>
  <c r="CV92" i="9"/>
  <c r="IR93" i="9"/>
  <c r="CV93" i="9"/>
  <c r="IR94" i="9"/>
  <c r="CV94" i="9"/>
  <c r="IR95" i="9"/>
  <c r="CV95" i="9"/>
  <c r="IR96" i="9"/>
  <c r="CV96" i="9"/>
  <c r="IR97" i="9"/>
  <c r="CV97" i="9"/>
  <c r="IR98" i="9"/>
  <c r="CV98" i="9"/>
  <c r="IR99" i="9"/>
  <c r="CV99" i="9"/>
  <c r="IR100" i="9"/>
  <c r="CV100" i="9"/>
  <c r="IR101" i="9"/>
  <c r="CV101" i="9"/>
  <c r="IR102" i="9"/>
  <c r="CV102" i="9"/>
  <c r="IR103" i="9"/>
  <c r="CV103" i="9"/>
  <c r="IR104" i="9"/>
  <c r="CV104" i="9"/>
  <c r="IR105" i="9"/>
  <c r="CV105" i="9"/>
  <c r="IR106" i="9"/>
  <c r="CV106" i="9"/>
  <c r="IR107" i="9"/>
  <c r="CV107" i="9"/>
  <c r="IR108" i="9"/>
  <c r="CV108" i="9"/>
  <c r="CV74" i="9"/>
  <c r="EC59" i="9"/>
  <c r="DZ59" i="9"/>
  <c r="DY59" i="9"/>
  <c r="DX59" i="9"/>
  <c r="DW59" i="9"/>
  <c r="DV59" i="9"/>
  <c r="ED59" i="9"/>
  <c r="EC60" i="9"/>
  <c r="DZ60" i="9"/>
  <c r="DY60" i="9"/>
  <c r="DX60" i="9"/>
  <c r="DW60" i="9"/>
  <c r="DV60" i="9"/>
  <c r="ED60" i="9"/>
  <c r="EC61" i="9"/>
  <c r="DZ61" i="9"/>
  <c r="DY61" i="9"/>
  <c r="DX61" i="9"/>
  <c r="DW61" i="9"/>
  <c r="DV61" i="9"/>
  <c r="ED61" i="9"/>
  <c r="EC62" i="9"/>
  <c r="DZ62" i="9"/>
  <c r="DY62" i="9"/>
  <c r="DX62" i="9"/>
  <c r="DW62" i="9"/>
  <c r="DV62" i="9"/>
  <c r="ED62" i="9"/>
  <c r="EC63" i="9"/>
  <c r="DZ63" i="9"/>
  <c r="DY63" i="9"/>
  <c r="DX63" i="9"/>
  <c r="DW63" i="9"/>
  <c r="DV63" i="9"/>
  <c r="ED63" i="9"/>
  <c r="EC64" i="9"/>
  <c r="DZ64" i="9"/>
  <c r="DY64" i="9"/>
  <c r="DX64" i="9"/>
  <c r="DW64" i="9"/>
  <c r="DV64" i="9"/>
  <c r="ED64" i="9"/>
  <c r="EC65" i="9"/>
  <c r="DZ65" i="9"/>
  <c r="DY65" i="9"/>
  <c r="DX65" i="9"/>
  <c r="DW65" i="9"/>
  <c r="DV65" i="9"/>
  <c r="ED65" i="9"/>
  <c r="EC66" i="9"/>
  <c r="DY68" i="9"/>
  <c r="DX66" i="9"/>
  <c r="DW68" i="9"/>
  <c r="DV66" i="9"/>
  <c r="ED66" i="9"/>
  <c r="EC67" i="9"/>
  <c r="DX67" i="9"/>
  <c r="DV67" i="9"/>
  <c r="ED67" i="9"/>
  <c r="EC68" i="9"/>
  <c r="DZ68" i="9"/>
  <c r="DX68" i="9"/>
  <c r="DV68" i="9"/>
  <c r="ED68" i="9"/>
  <c r="EC69" i="9"/>
  <c r="DZ69" i="9"/>
  <c r="DY69" i="9"/>
  <c r="DX69" i="9"/>
  <c r="DW69" i="9"/>
  <c r="DV69" i="9"/>
  <c r="ED69" i="9"/>
  <c r="EC70" i="9"/>
  <c r="DZ70" i="9"/>
  <c r="DY70" i="9"/>
  <c r="DX70" i="9"/>
  <c r="DW70" i="9"/>
  <c r="DV70" i="9"/>
  <c r="ED70" i="9"/>
  <c r="EC71" i="9"/>
  <c r="DZ71" i="9"/>
  <c r="DY71" i="9"/>
  <c r="DX71" i="9"/>
  <c r="DW71" i="9"/>
  <c r="DV71" i="9"/>
  <c r="ED71" i="9"/>
  <c r="EC72" i="9"/>
  <c r="DZ72" i="9"/>
  <c r="DY72" i="9"/>
  <c r="DX72" i="9"/>
  <c r="DW72" i="9"/>
  <c r="DV72" i="9"/>
  <c r="ED72" i="9"/>
  <c r="EC73" i="9"/>
  <c r="DZ73" i="9"/>
  <c r="DY73" i="9"/>
  <c r="DX73" i="9"/>
  <c r="DW73" i="9"/>
  <c r="DV73" i="9"/>
  <c r="ED73" i="9"/>
  <c r="EC74" i="9"/>
  <c r="DZ74" i="9"/>
  <c r="DY74" i="9"/>
  <c r="DX74" i="9"/>
  <c r="DW74" i="9"/>
  <c r="DV74" i="9"/>
  <c r="ED74" i="9"/>
  <c r="EC75" i="9"/>
  <c r="DZ75" i="9"/>
  <c r="DY75" i="9"/>
  <c r="DX75" i="9"/>
  <c r="DW75" i="9"/>
  <c r="DV75" i="9"/>
  <c r="ED75" i="9"/>
  <c r="EC76" i="9"/>
  <c r="DZ76" i="9"/>
  <c r="DY76" i="9"/>
  <c r="DX76" i="9"/>
  <c r="DW76" i="9"/>
  <c r="DV76" i="9"/>
  <c r="ED76" i="9"/>
  <c r="EC77" i="9"/>
  <c r="DZ77" i="9"/>
  <c r="DY77" i="9"/>
  <c r="DX77" i="9"/>
  <c r="DW77" i="9"/>
  <c r="DV77" i="9"/>
  <c r="ED77" i="9"/>
  <c r="EC78" i="9"/>
  <c r="DZ78" i="9"/>
  <c r="DY78" i="9"/>
  <c r="DX78" i="9"/>
  <c r="DW78" i="9"/>
  <c r="DV78" i="9"/>
  <c r="ED78" i="9"/>
  <c r="EC79" i="9"/>
  <c r="DZ79" i="9"/>
  <c r="DY79" i="9"/>
  <c r="DX79" i="9"/>
  <c r="DW79" i="9"/>
  <c r="DV79" i="9"/>
  <c r="ED79" i="9"/>
  <c r="EC80" i="9"/>
  <c r="DZ80" i="9"/>
  <c r="DY80" i="9"/>
  <c r="DX80" i="9"/>
  <c r="DW80" i="9"/>
  <c r="DV80" i="9"/>
  <c r="ED80" i="9"/>
  <c r="EC81" i="9"/>
  <c r="DZ81" i="9"/>
  <c r="DY81" i="9"/>
  <c r="DX81" i="9"/>
  <c r="DW81" i="9"/>
  <c r="DV81" i="9"/>
  <c r="ED81" i="9"/>
  <c r="EC82" i="9"/>
  <c r="DZ82" i="9"/>
  <c r="DY82" i="9"/>
  <c r="DX82" i="9"/>
  <c r="DW82" i="9"/>
  <c r="DV82" i="9"/>
  <c r="ED82" i="9"/>
  <c r="EC83" i="9"/>
  <c r="DZ83" i="9"/>
  <c r="DY83" i="9"/>
  <c r="DX83" i="9"/>
  <c r="DW83" i="9"/>
  <c r="DV83" i="9"/>
  <c r="ED83" i="9"/>
  <c r="EC84" i="9"/>
  <c r="DZ84" i="9"/>
  <c r="DY84" i="9"/>
  <c r="DX84" i="9"/>
  <c r="DW84" i="9"/>
  <c r="DV84" i="9"/>
  <c r="ED84" i="9"/>
  <c r="EC85" i="9"/>
  <c r="DZ85" i="9"/>
  <c r="DY85" i="9"/>
  <c r="DX85" i="9"/>
  <c r="DW85" i="9"/>
  <c r="DV85" i="9"/>
  <c r="ED85" i="9"/>
  <c r="EC86" i="9"/>
  <c r="DZ86" i="9"/>
  <c r="DY86" i="9"/>
  <c r="DX86" i="9"/>
  <c r="DW86" i="9"/>
  <c r="DV86" i="9"/>
  <c r="ED86" i="9"/>
  <c r="EC87" i="9"/>
  <c r="DZ87" i="9"/>
  <c r="DY87" i="9"/>
  <c r="DX87" i="9"/>
  <c r="DW87" i="9"/>
  <c r="DV87" i="9"/>
  <c r="ED87" i="9"/>
  <c r="EC88" i="9"/>
  <c r="DZ88" i="9"/>
  <c r="DY88" i="9"/>
  <c r="DX88" i="9"/>
  <c r="DW88" i="9"/>
  <c r="DV88" i="9"/>
  <c r="ED88" i="9"/>
  <c r="EC89" i="9"/>
  <c r="DZ89" i="9"/>
  <c r="DY89" i="9"/>
  <c r="DX89" i="9"/>
  <c r="DW89" i="9"/>
  <c r="DV89" i="9"/>
  <c r="ED89" i="9"/>
  <c r="EC90" i="9"/>
  <c r="DZ90" i="9"/>
  <c r="DY90" i="9"/>
  <c r="DX90" i="9"/>
  <c r="DW90" i="9"/>
  <c r="DV90" i="9"/>
  <c r="ED90" i="9"/>
  <c r="EC91" i="9"/>
  <c r="DZ91" i="9"/>
  <c r="DY91" i="9"/>
  <c r="DX91" i="9"/>
  <c r="DW91" i="9"/>
  <c r="DV91" i="9"/>
  <c r="ED91" i="9"/>
  <c r="EC92" i="9"/>
  <c r="DZ92" i="9"/>
  <c r="DY92" i="9"/>
  <c r="DX92" i="9"/>
  <c r="DW92" i="9"/>
  <c r="DV92" i="9"/>
  <c r="ED92" i="9"/>
  <c r="EC93" i="9"/>
  <c r="DZ93" i="9"/>
  <c r="DY93" i="9"/>
  <c r="DX93" i="9"/>
  <c r="DW93" i="9"/>
  <c r="DV93" i="9"/>
  <c r="ED93" i="9"/>
  <c r="EC94" i="9"/>
  <c r="DZ94" i="9"/>
  <c r="DY94" i="9"/>
  <c r="DX94" i="9"/>
  <c r="DW94" i="9"/>
  <c r="DV94" i="9"/>
  <c r="ED94" i="9"/>
  <c r="EC95" i="9"/>
  <c r="DZ95" i="9"/>
  <c r="DY95" i="9"/>
  <c r="DX95" i="9"/>
  <c r="DW95" i="9"/>
  <c r="DV95" i="9"/>
  <c r="ED95" i="9"/>
  <c r="EC96" i="9"/>
  <c r="DZ96" i="9"/>
  <c r="DY96" i="9"/>
  <c r="DX96" i="9"/>
  <c r="DW96" i="9"/>
  <c r="DV96" i="9"/>
  <c r="ED96" i="9"/>
  <c r="EC97" i="9"/>
  <c r="DZ97" i="9"/>
  <c r="DY97" i="9"/>
  <c r="DX97" i="9"/>
  <c r="DW97" i="9"/>
  <c r="DV97" i="9"/>
  <c r="ED97" i="9"/>
  <c r="EC98" i="9"/>
  <c r="DZ98" i="9"/>
  <c r="DY98" i="9"/>
  <c r="DX98" i="9"/>
  <c r="DW98" i="9"/>
  <c r="DV98" i="9"/>
  <c r="ED98" i="9"/>
  <c r="EC99" i="9"/>
  <c r="DZ99" i="9"/>
  <c r="DY99" i="9"/>
  <c r="DX99" i="9"/>
  <c r="DW99" i="9"/>
  <c r="DV99" i="9"/>
  <c r="ED99" i="9"/>
  <c r="EC100" i="9"/>
  <c r="DZ100" i="9"/>
  <c r="DY100" i="9"/>
  <c r="DX100" i="9"/>
  <c r="DW100" i="9"/>
  <c r="DV100" i="9"/>
  <c r="ED100" i="9"/>
  <c r="EC101" i="9"/>
  <c r="DZ101" i="9"/>
  <c r="DY101" i="9"/>
  <c r="DX101" i="9"/>
  <c r="DW101" i="9"/>
  <c r="DV101" i="9"/>
  <c r="ED101" i="9"/>
  <c r="EC102" i="9"/>
  <c r="DZ102" i="9"/>
  <c r="DY102" i="9"/>
  <c r="DX102" i="9"/>
  <c r="DW102" i="9"/>
  <c r="DV102" i="9"/>
  <c r="ED102" i="9"/>
  <c r="EC103" i="9"/>
  <c r="DZ103" i="9"/>
  <c r="DY103" i="9"/>
  <c r="DX103" i="9"/>
  <c r="DW103" i="9"/>
  <c r="DV103" i="9"/>
  <c r="ED103" i="9"/>
  <c r="EC104" i="9"/>
  <c r="DZ104" i="9"/>
  <c r="DY104" i="9"/>
  <c r="DX104" i="9"/>
  <c r="DW104" i="9"/>
  <c r="DV104" i="9"/>
  <c r="ED104" i="9"/>
  <c r="EC105" i="9"/>
  <c r="DZ105" i="9"/>
  <c r="DY105" i="9"/>
  <c r="DX105" i="9"/>
  <c r="DW105" i="9"/>
  <c r="DV105" i="9"/>
  <c r="ED105" i="9"/>
  <c r="EC106" i="9"/>
  <c r="DZ106" i="9"/>
  <c r="DY106" i="9"/>
  <c r="DX106" i="9"/>
  <c r="DW106" i="9"/>
  <c r="DV106" i="9"/>
  <c r="ED106" i="9"/>
  <c r="EC107" i="9"/>
  <c r="DZ107" i="9"/>
  <c r="DY107" i="9"/>
  <c r="DX107" i="9"/>
  <c r="DW107" i="9"/>
  <c r="DV107" i="9"/>
  <c r="ED107" i="9"/>
  <c r="EC108" i="9"/>
  <c r="DZ108" i="9"/>
  <c r="DY108" i="9"/>
  <c r="DX108" i="9"/>
  <c r="DW108" i="9"/>
  <c r="DV108" i="9"/>
  <c r="ED108" i="9"/>
  <c r="EC58" i="9"/>
  <c r="DZ58" i="9"/>
  <c r="DY58" i="9"/>
  <c r="DX58" i="9"/>
  <c r="DW58" i="9"/>
  <c r="DV58" i="9"/>
  <c r="ED58" i="9"/>
  <c r="EA65" i="9"/>
  <c r="GC65" i="9"/>
  <c r="FB65" i="9"/>
  <c r="FL65" i="9"/>
  <c r="FE65" i="9"/>
  <c r="FE59" i="9"/>
  <c r="FE60" i="9"/>
  <c r="FE61" i="9"/>
  <c r="FE62" i="9"/>
  <c r="FE63" i="9"/>
  <c r="FE64" i="9"/>
  <c r="FE66" i="9"/>
  <c r="FE67" i="9"/>
  <c r="FE68" i="9"/>
  <c r="FE69" i="9"/>
  <c r="FE70" i="9"/>
  <c r="FE71" i="9"/>
  <c r="FE72" i="9"/>
  <c r="FE73" i="9"/>
  <c r="FE58" i="9"/>
  <c r="GF74" i="9"/>
  <c r="GF75" i="9"/>
  <c r="GF76" i="9"/>
  <c r="GF77" i="9"/>
  <c r="GF78" i="9"/>
  <c r="GF79" i="9"/>
  <c r="GF80" i="9"/>
  <c r="GF81" i="9"/>
  <c r="GF82" i="9"/>
  <c r="GF83" i="9"/>
  <c r="GF84" i="9"/>
  <c r="GF85" i="9"/>
  <c r="GF86" i="9"/>
  <c r="GF87" i="9"/>
  <c r="GF88" i="9"/>
  <c r="GF89" i="9"/>
  <c r="GF90" i="9"/>
  <c r="GF91" i="9"/>
  <c r="GF92" i="9"/>
  <c r="GF93" i="9"/>
  <c r="GF94" i="9"/>
  <c r="GF95" i="9"/>
  <c r="GF96" i="9"/>
  <c r="GF97" i="9"/>
  <c r="GF98" i="9"/>
  <c r="GF102" i="9"/>
  <c r="GF103" i="9"/>
  <c r="GF104" i="9"/>
  <c r="GF105" i="9"/>
  <c r="GF106" i="9"/>
  <c r="GF107" i="9"/>
  <c r="GF108" i="9"/>
  <c r="GD58" i="9"/>
  <c r="GD59" i="9"/>
  <c r="GD60" i="9"/>
  <c r="GD61" i="9"/>
  <c r="GD62" i="9"/>
  <c r="GD63" i="9"/>
  <c r="GD64" i="9"/>
  <c r="GD65" i="9"/>
  <c r="GD66" i="9"/>
  <c r="GD67" i="9"/>
  <c r="GD68" i="9"/>
  <c r="GC58" i="9"/>
  <c r="FB58" i="9"/>
  <c r="FC58" i="9"/>
  <c r="FL58" i="9"/>
  <c r="FM58" i="9"/>
  <c r="GC59" i="9"/>
  <c r="FB59" i="9"/>
  <c r="FC59" i="9"/>
  <c r="FL59" i="9"/>
  <c r="FM59" i="9"/>
  <c r="GC60" i="9"/>
  <c r="FB60" i="9"/>
  <c r="FC60" i="9"/>
  <c r="FL60" i="9"/>
  <c r="FM60" i="9"/>
  <c r="GC61" i="9"/>
  <c r="FB61" i="9"/>
  <c r="FC61" i="9"/>
  <c r="FL61" i="9"/>
  <c r="FM61" i="9"/>
  <c r="GC62" i="9"/>
  <c r="FB62" i="9"/>
  <c r="FC62" i="9"/>
  <c r="FL62" i="9"/>
  <c r="FM62" i="9"/>
  <c r="GC63" i="9"/>
  <c r="FB63" i="9"/>
  <c r="FC63" i="9"/>
  <c r="FL63" i="9"/>
  <c r="FM63" i="9"/>
  <c r="GC64" i="9"/>
  <c r="FB64" i="9"/>
  <c r="FC64" i="9"/>
  <c r="FL64" i="9"/>
  <c r="FM64" i="9"/>
  <c r="FC65" i="9"/>
  <c r="FM65" i="9"/>
  <c r="FC66" i="9"/>
  <c r="FM66" i="9"/>
  <c r="FC67" i="9"/>
  <c r="FM67" i="9"/>
  <c r="FC68" i="9"/>
  <c r="FM68" i="9"/>
  <c r="GC69" i="9"/>
  <c r="FB69" i="9"/>
  <c r="FC69" i="9"/>
  <c r="GC70" i="9"/>
  <c r="FB70" i="9"/>
  <c r="FC70" i="9"/>
  <c r="GC71" i="9"/>
  <c r="FB71" i="9"/>
  <c r="FC71" i="9"/>
  <c r="FL71" i="9"/>
  <c r="FM71" i="9"/>
  <c r="GC72" i="9"/>
  <c r="FB72" i="9"/>
  <c r="FC72" i="9"/>
  <c r="FL72" i="9"/>
  <c r="FM72" i="9"/>
  <c r="FB73" i="9"/>
  <c r="FC73" i="9"/>
  <c r="FL73" i="9"/>
  <c r="FM73" i="9"/>
  <c r="FL75" i="9"/>
  <c r="FM75" i="9"/>
  <c r="FL76" i="9"/>
  <c r="FM76" i="9"/>
  <c r="FL77" i="9"/>
  <c r="FM77" i="9"/>
  <c r="FL78" i="9"/>
  <c r="FM78" i="9"/>
  <c r="FL79" i="9"/>
  <c r="FM79" i="9"/>
  <c r="FL80" i="9"/>
  <c r="FM80" i="9"/>
  <c r="FL81" i="9"/>
  <c r="FM81" i="9"/>
  <c r="FL82" i="9"/>
  <c r="FM82" i="9"/>
  <c r="FL83" i="9"/>
  <c r="FM83" i="9"/>
  <c r="FL84" i="9"/>
  <c r="FM84" i="9"/>
  <c r="FL85" i="9"/>
  <c r="FM85" i="9"/>
  <c r="FL86" i="9"/>
  <c r="FM86" i="9"/>
  <c r="FL87" i="9"/>
  <c r="FM87" i="9"/>
  <c r="FL88" i="9"/>
  <c r="FL89" i="9"/>
  <c r="FL90" i="9"/>
  <c r="FL91" i="9"/>
  <c r="FL92" i="9"/>
  <c r="FL93" i="9"/>
  <c r="FL94" i="9"/>
  <c r="FL95" i="9"/>
  <c r="FL96" i="9"/>
  <c r="FL97" i="9"/>
  <c r="FL98" i="9"/>
  <c r="FL99" i="9"/>
  <c r="FL100" i="9"/>
  <c r="FL101" i="9"/>
  <c r="FL102" i="9"/>
  <c r="FL103" i="9"/>
  <c r="FL104" i="9"/>
  <c r="FL105" i="9"/>
  <c r="FL106" i="9"/>
  <c r="FL107" i="9"/>
  <c r="FL108" i="9"/>
  <c r="FB74" i="9"/>
  <c r="FL74" i="9"/>
  <c r="B125" i="21"/>
  <c r="DP74" i="9"/>
  <c r="FC74" i="9"/>
  <c r="FM74" i="9"/>
  <c r="KT81" i="9"/>
  <c r="KT82" i="9"/>
  <c r="KT83" i="9"/>
  <c r="KT84" i="9"/>
  <c r="KT85" i="9"/>
  <c r="KT86" i="9"/>
  <c r="KT59" i="9"/>
  <c r="KT60" i="9"/>
  <c r="KT61" i="9"/>
  <c r="KT62" i="9"/>
  <c r="KT63" i="9"/>
  <c r="KT64" i="9"/>
  <c r="KT65" i="9"/>
  <c r="KT66" i="9"/>
  <c r="KT67" i="9"/>
  <c r="KT68" i="9"/>
  <c r="KT69" i="9"/>
  <c r="KT70" i="9"/>
  <c r="KT71" i="9"/>
  <c r="KT72" i="9"/>
  <c r="KT73" i="9"/>
  <c r="KT74" i="9"/>
  <c r="KT75" i="9"/>
  <c r="KT76" i="9"/>
  <c r="KT77" i="9"/>
  <c r="KT78" i="9"/>
  <c r="KT79" i="9"/>
  <c r="KT80" i="9"/>
  <c r="KT58" i="9"/>
  <c r="KH112" i="9"/>
  <c r="OJ108" i="9"/>
  <c r="OJ107" i="9"/>
  <c r="OJ106" i="9"/>
  <c r="OJ86" i="9"/>
  <c r="OJ87" i="9"/>
  <c r="OJ88" i="9"/>
  <c r="OJ89" i="9"/>
  <c r="OJ90" i="9"/>
  <c r="OJ91" i="9"/>
  <c r="OJ92" i="9"/>
  <c r="OJ93" i="9"/>
  <c r="OJ94" i="9"/>
  <c r="OJ95" i="9"/>
  <c r="OJ96" i="9"/>
  <c r="OJ97" i="9"/>
  <c r="OJ98" i="9"/>
  <c r="OJ99" i="9"/>
  <c r="OJ100" i="9"/>
  <c r="OJ101" i="9"/>
  <c r="OJ102" i="9"/>
  <c r="OJ103" i="9"/>
  <c r="OJ104" i="9"/>
  <c r="OJ105" i="9"/>
  <c r="KG112" i="9"/>
  <c r="KI112" i="9"/>
  <c r="KJ112" i="9"/>
  <c r="KK112" i="9"/>
  <c r="KP112" i="9"/>
  <c r="KQ112" i="9"/>
  <c r="KR112" i="9"/>
  <c r="KQ111" i="9"/>
  <c r="KR111" i="9"/>
  <c r="CS75" i="9"/>
  <c r="CS76" i="9"/>
  <c r="CS77" i="9"/>
  <c r="CS78" i="9"/>
  <c r="CS79" i="9"/>
  <c r="CS80" i="9"/>
  <c r="CS81" i="9"/>
  <c r="CS82" i="9"/>
  <c r="CS83" i="9"/>
  <c r="CS84" i="9"/>
  <c r="CS85" i="9"/>
  <c r="CS86" i="9"/>
  <c r="CS87" i="9"/>
  <c r="CS88" i="9"/>
  <c r="CS89" i="9"/>
  <c r="CS90" i="9"/>
  <c r="CS91" i="9"/>
  <c r="CS92" i="9"/>
  <c r="CS93" i="9"/>
  <c r="CS94" i="9"/>
  <c r="CS95" i="9"/>
  <c r="CS96" i="9"/>
  <c r="CS97" i="9"/>
  <c r="CS98" i="9"/>
  <c r="CS99" i="9"/>
  <c r="CS100" i="9"/>
  <c r="CS101" i="9"/>
  <c r="CS102" i="9"/>
  <c r="CS103" i="9"/>
  <c r="CS104" i="9"/>
  <c r="CS105" i="9"/>
  <c r="CS106" i="9"/>
  <c r="CS107" i="9"/>
  <c r="CS108" i="9"/>
  <c r="CS74" i="9"/>
  <c r="EB59" i="9"/>
  <c r="EB60" i="9"/>
  <c r="EB61" i="9"/>
  <c r="EB62" i="9"/>
  <c r="EB63" i="9"/>
  <c r="EB64" i="9"/>
  <c r="EB65" i="9"/>
  <c r="EB66" i="9"/>
  <c r="EB67" i="9"/>
  <c r="EB68" i="9"/>
  <c r="EB69" i="9"/>
  <c r="EB70" i="9"/>
  <c r="EB71" i="9"/>
  <c r="EB72" i="9"/>
  <c r="EB73" i="9"/>
  <c r="EB74" i="9"/>
  <c r="EB75" i="9"/>
  <c r="EB76" i="9"/>
  <c r="EB77" i="9"/>
  <c r="EB78" i="9"/>
  <c r="EB79" i="9"/>
  <c r="EB80" i="9"/>
  <c r="EB81" i="9"/>
  <c r="EB82" i="9"/>
  <c r="EB83" i="9"/>
  <c r="EB84" i="9"/>
  <c r="EB85" i="9"/>
  <c r="EB86" i="9"/>
  <c r="EB87" i="9"/>
  <c r="P125" i="21"/>
  <c r="DP88" i="9"/>
  <c r="EB88" i="9"/>
  <c r="Q125" i="21"/>
  <c r="DP89" i="9"/>
  <c r="EB89" i="9"/>
  <c r="R125" i="21"/>
  <c r="DP90" i="9"/>
  <c r="EB90" i="9"/>
  <c r="S125" i="21"/>
  <c r="DP91" i="9"/>
  <c r="EB91" i="9"/>
  <c r="T125" i="21"/>
  <c r="DP92" i="9"/>
  <c r="EB92" i="9"/>
  <c r="U125" i="21"/>
  <c r="DP93" i="9"/>
  <c r="EB93" i="9"/>
  <c r="V125" i="21"/>
  <c r="DP94" i="9"/>
  <c r="EB94" i="9"/>
  <c r="W124" i="21"/>
  <c r="W125" i="21"/>
  <c r="DP95" i="9"/>
  <c r="EB95" i="9"/>
  <c r="X124" i="21"/>
  <c r="X125" i="21"/>
  <c r="DP96" i="9"/>
  <c r="EB96" i="9"/>
  <c r="Y124" i="21"/>
  <c r="Y125" i="21"/>
  <c r="DP97" i="9"/>
  <c r="EB97" i="9"/>
  <c r="Z124" i="21"/>
  <c r="Z125" i="21"/>
  <c r="DP98" i="9"/>
  <c r="EB98" i="9"/>
  <c r="AA124" i="21"/>
  <c r="AA125" i="21"/>
  <c r="DP99" i="9"/>
  <c r="EB99" i="9"/>
  <c r="AB124" i="21"/>
  <c r="AB125" i="21"/>
  <c r="DP100" i="9"/>
  <c r="EB100" i="9"/>
  <c r="AC125" i="21"/>
  <c r="DP101" i="9"/>
  <c r="EB101" i="9"/>
  <c r="AD125" i="21"/>
  <c r="DP102" i="9"/>
  <c r="EB102" i="9"/>
  <c r="AE125" i="21"/>
  <c r="DP103" i="9"/>
  <c r="EB103" i="9"/>
  <c r="DP104" i="9"/>
  <c r="EB104" i="9"/>
  <c r="AG125" i="21"/>
  <c r="DP105" i="9"/>
  <c r="EB105" i="9"/>
  <c r="AH125" i="21"/>
  <c r="DP106" i="9"/>
  <c r="EB106" i="9"/>
  <c r="AI125" i="21"/>
  <c r="DP107" i="9"/>
  <c r="EB107" i="9"/>
  <c r="AJ125" i="21"/>
  <c r="DP108" i="9"/>
  <c r="EB108" i="9"/>
  <c r="EB58" i="9"/>
  <c r="EA58" i="9"/>
  <c r="EA59" i="9"/>
  <c r="EA60" i="9"/>
  <c r="EA61" i="9"/>
  <c r="EA62" i="9"/>
  <c r="EA63" i="9"/>
  <c r="EA64" i="9"/>
  <c r="EA68" i="9"/>
  <c r="EA72" i="9"/>
  <c r="EA73" i="9"/>
  <c r="EA69" i="9"/>
  <c r="EA70" i="9"/>
  <c r="EA71" i="9"/>
  <c r="LQ59" i="9"/>
  <c r="LQ60" i="9"/>
  <c r="LQ61" i="9"/>
  <c r="LQ62" i="9"/>
  <c r="LQ63" i="9"/>
  <c r="LQ64" i="9"/>
  <c r="LQ65" i="9"/>
  <c r="LQ66" i="9"/>
  <c r="LQ67" i="9"/>
  <c r="LQ68" i="9"/>
  <c r="LQ69" i="9"/>
  <c r="LQ70" i="9"/>
  <c r="LQ71" i="9"/>
  <c r="LQ72" i="9"/>
  <c r="LQ73" i="9"/>
  <c r="LQ74" i="9"/>
  <c r="LQ75" i="9"/>
  <c r="LQ76" i="9"/>
  <c r="LQ77" i="9"/>
  <c r="LQ78" i="9"/>
  <c r="LQ79" i="9"/>
  <c r="LQ80" i="9"/>
  <c r="LQ81" i="9"/>
  <c r="LQ82" i="9"/>
  <c r="LQ83" i="9"/>
  <c r="LQ84" i="9"/>
  <c r="LQ85" i="9"/>
  <c r="LQ86" i="9"/>
  <c r="LQ87" i="9"/>
  <c r="LQ88" i="9"/>
  <c r="LQ89" i="9"/>
  <c r="LQ90" i="9"/>
  <c r="LQ91" i="9"/>
  <c r="LQ92" i="9"/>
  <c r="LQ93" i="9"/>
  <c r="LQ94" i="9"/>
  <c r="LQ95" i="9"/>
  <c r="LQ96" i="9"/>
  <c r="LQ97" i="9"/>
  <c r="LQ98" i="9"/>
  <c r="LQ99" i="9"/>
  <c r="LQ100" i="9"/>
  <c r="LQ101" i="9"/>
  <c r="LQ102" i="9"/>
  <c r="LQ103" i="9"/>
  <c r="LQ104" i="9"/>
  <c r="LQ105" i="9"/>
  <c r="LQ106" i="9"/>
  <c r="LQ107" i="9"/>
  <c r="LQ108" i="9"/>
  <c r="LQ58" i="9"/>
  <c r="JT59" i="9"/>
  <c r="LG59" i="9"/>
  <c r="LR59" i="9"/>
  <c r="LS59" i="9"/>
  <c r="JT60" i="9"/>
  <c r="LG60" i="9"/>
  <c r="LR60" i="9"/>
  <c r="LS60" i="9"/>
  <c r="JT61" i="9"/>
  <c r="LG61" i="9"/>
  <c r="LR61" i="9"/>
  <c r="LS61" i="9"/>
  <c r="JT62" i="9"/>
  <c r="LG62" i="9"/>
  <c r="LR62" i="9"/>
  <c r="LS62" i="9"/>
  <c r="JT63" i="9"/>
  <c r="LG63" i="9"/>
  <c r="LR63" i="9"/>
  <c r="LS63" i="9"/>
  <c r="JT64" i="9"/>
  <c r="LG64" i="9"/>
  <c r="LR64" i="9"/>
  <c r="LS64" i="9"/>
  <c r="JT65" i="9"/>
  <c r="LG65" i="9"/>
  <c r="LR65" i="9"/>
  <c r="LS65" i="9"/>
  <c r="JT66" i="9"/>
  <c r="LG66" i="9"/>
  <c r="LR66" i="9"/>
  <c r="LS66" i="9"/>
  <c r="JT67" i="9"/>
  <c r="LG67" i="9"/>
  <c r="LR67" i="9"/>
  <c r="LS67" i="9"/>
  <c r="JT68" i="9"/>
  <c r="LG68" i="9"/>
  <c r="LR68" i="9"/>
  <c r="LS68" i="9"/>
  <c r="JT69" i="9"/>
  <c r="LG69" i="9"/>
  <c r="LR69" i="9"/>
  <c r="LS69" i="9"/>
  <c r="JT70" i="9"/>
  <c r="LG70" i="9"/>
  <c r="LR70" i="9"/>
  <c r="LS70" i="9"/>
  <c r="JT71" i="9"/>
  <c r="LG71" i="9"/>
  <c r="LR71" i="9"/>
  <c r="LS71" i="9"/>
  <c r="JT72" i="9"/>
  <c r="LG72" i="9"/>
  <c r="LR72" i="9"/>
  <c r="LS72" i="9"/>
  <c r="JT73" i="9"/>
  <c r="LG73" i="9"/>
  <c r="LR73" i="9"/>
  <c r="LS73" i="9"/>
  <c r="LR74" i="9"/>
  <c r="LS74" i="9"/>
  <c r="LR75" i="9"/>
  <c r="LS75" i="9"/>
  <c r="LR76" i="9"/>
  <c r="LS76" i="9"/>
  <c r="LR77" i="9"/>
  <c r="LS77" i="9"/>
  <c r="LR78" i="9"/>
  <c r="LS78" i="9"/>
  <c r="LR79" i="9"/>
  <c r="LS79" i="9"/>
  <c r="LR80" i="9"/>
  <c r="LS80" i="9"/>
  <c r="LR81" i="9"/>
  <c r="LS81" i="9"/>
  <c r="LR82" i="9"/>
  <c r="LS82" i="9"/>
  <c r="LR83" i="9"/>
  <c r="LS83" i="9"/>
  <c r="LR84" i="9"/>
  <c r="LS84" i="9"/>
  <c r="LR85" i="9"/>
  <c r="LS85" i="9"/>
  <c r="LR86" i="9"/>
  <c r="LS86" i="9"/>
  <c r="LR87" i="9"/>
  <c r="LS87" i="9"/>
  <c r="LR88" i="9"/>
  <c r="LS88" i="9"/>
  <c r="LR89" i="9"/>
  <c r="LS89" i="9"/>
  <c r="LR90" i="9"/>
  <c r="LS90" i="9"/>
  <c r="LR91" i="9"/>
  <c r="LS91" i="9"/>
  <c r="LR92" i="9"/>
  <c r="LS92" i="9"/>
  <c r="LR93" i="9"/>
  <c r="LS93" i="9"/>
  <c r="LR94" i="9"/>
  <c r="LS94" i="9"/>
  <c r="LR95" i="9"/>
  <c r="LS95" i="9"/>
  <c r="LR96" i="9"/>
  <c r="LS96" i="9"/>
  <c r="LR97" i="9"/>
  <c r="LS97" i="9"/>
  <c r="LR98" i="9"/>
  <c r="LS98" i="9"/>
  <c r="LR102" i="9"/>
  <c r="LS102" i="9"/>
  <c r="LR103" i="9"/>
  <c r="LS103" i="9"/>
  <c r="LR104" i="9"/>
  <c r="LS104" i="9"/>
  <c r="LR105" i="9"/>
  <c r="LS105" i="9"/>
  <c r="LR106" i="9"/>
  <c r="LS106" i="9"/>
  <c r="LR107" i="9"/>
  <c r="LS107" i="9"/>
  <c r="LR108" i="9"/>
  <c r="LS108" i="9"/>
  <c r="LS58" i="9"/>
  <c r="JT58" i="9"/>
  <c r="LG58" i="9"/>
  <c r="LR58" i="9"/>
  <c r="IO60" i="9"/>
  <c r="IP60" i="9"/>
  <c r="IO61" i="9"/>
  <c r="IP61" i="9"/>
  <c r="IO62" i="9"/>
  <c r="IP62" i="9"/>
  <c r="IO63" i="9"/>
  <c r="IP63" i="9"/>
  <c r="IO64" i="9"/>
  <c r="IP64" i="9"/>
  <c r="IO65" i="9"/>
  <c r="IP65" i="9"/>
  <c r="IO66" i="9"/>
  <c r="IP66" i="9"/>
  <c r="IO67" i="9"/>
  <c r="IP67" i="9"/>
  <c r="IO68" i="9"/>
  <c r="IP68" i="9"/>
  <c r="IO69" i="9"/>
  <c r="IP69" i="9"/>
  <c r="IO70" i="9"/>
  <c r="IP70" i="9"/>
  <c r="IO71" i="9"/>
  <c r="IP71" i="9"/>
  <c r="IO72" i="9"/>
  <c r="IP72" i="9"/>
  <c r="IO73" i="9"/>
  <c r="IP73" i="9"/>
  <c r="IO74" i="9"/>
  <c r="IP74" i="9"/>
  <c r="IF75" i="9"/>
  <c r="IO75" i="9"/>
  <c r="IP75" i="9"/>
  <c r="IF76" i="9"/>
  <c r="IO76" i="9"/>
  <c r="IP76" i="9"/>
  <c r="IF77" i="9"/>
  <c r="IO77" i="9"/>
  <c r="IP77" i="9"/>
  <c r="IF78" i="9"/>
  <c r="IO78" i="9"/>
  <c r="IP78" i="9"/>
  <c r="IF79" i="9"/>
  <c r="IO79" i="9"/>
  <c r="IP79" i="9"/>
  <c r="IF80" i="9"/>
  <c r="IO80" i="9"/>
  <c r="IP80" i="9"/>
  <c r="IF81" i="9"/>
  <c r="IO81" i="9"/>
  <c r="IP81" i="9"/>
  <c r="IF82" i="9"/>
  <c r="IO82" i="9"/>
  <c r="IP82" i="9"/>
  <c r="IF83" i="9"/>
  <c r="IO83" i="9"/>
  <c r="IP83" i="9"/>
  <c r="IF84" i="9"/>
  <c r="IO84" i="9"/>
  <c r="IP84" i="9"/>
  <c r="IF85" i="9"/>
  <c r="IO85" i="9"/>
  <c r="IP85" i="9"/>
  <c r="IF86" i="9"/>
  <c r="IO86" i="9"/>
  <c r="IP86" i="9"/>
  <c r="IF87" i="9"/>
  <c r="IO87" i="9"/>
  <c r="IP87" i="9"/>
  <c r="IF88" i="9"/>
  <c r="IO88" i="9"/>
  <c r="IP88" i="9"/>
  <c r="IF89" i="9"/>
  <c r="IO89" i="9"/>
  <c r="IP89" i="9"/>
  <c r="IF90" i="9"/>
  <c r="IO90" i="9"/>
  <c r="IP90" i="9"/>
  <c r="IF91" i="9"/>
  <c r="IO91" i="9"/>
  <c r="IP91" i="9"/>
  <c r="IF92" i="9"/>
  <c r="IO92" i="9"/>
  <c r="IP92" i="9"/>
  <c r="IF93" i="9"/>
  <c r="IO93" i="9"/>
  <c r="IP93" i="9"/>
  <c r="IF94" i="9"/>
  <c r="IO94" i="9"/>
  <c r="IP94" i="9"/>
  <c r="IF95" i="9"/>
  <c r="IO95" i="9"/>
  <c r="IP95" i="9"/>
  <c r="IF96" i="9"/>
  <c r="IO96" i="9"/>
  <c r="IP96" i="9"/>
  <c r="IF97" i="9"/>
  <c r="IO97" i="9"/>
  <c r="IP97" i="9"/>
  <c r="IF98" i="9"/>
  <c r="IO98" i="9"/>
  <c r="IP98" i="9"/>
  <c r="IF99" i="9"/>
  <c r="IG99" i="9"/>
  <c r="IH99" i="9"/>
  <c r="II99" i="9"/>
  <c r="IJ99" i="9"/>
  <c r="IK99" i="9"/>
  <c r="IN99" i="9"/>
  <c r="IO99" i="9"/>
  <c r="IP99" i="9"/>
  <c r="IF100" i="9"/>
  <c r="IG100" i="9"/>
  <c r="IH100" i="9"/>
  <c r="II100" i="9"/>
  <c r="IJ100" i="9"/>
  <c r="IK100" i="9"/>
  <c r="IN100" i="9"/>
  <c r="IO100" i="9"/>
  <c r="IP100" i="9"/>
  <c r="IF101" i="9"/>
  <c r="IG101" i="9"/>
  <c r="IH101" i="9"/>
  <c r="II101" i="9"/>
  <c r="IJ101" i="9"/>
  <c r="IK101" i="9"/>
  <c r="IN101" i="9"/>
  <c r="IO101" i="9"/>
  <c r="IP101" i="9"/>
  <c r="IF102" i="9"/>
  <c r="IG102" i="9"/>
  <c r="IH102" i="9"/>
  <c r="II102" i="9"/>
  <c r="AD30" i="25"/>
  <c r="IJ102" i="9"/>
  <c r="IK102" i="9"/>
  <c r="IN102" i="9"/>
  <c r="IO102" i="9"/>
  <c r="IP102" i="9"/>
  <c r="IF103" i="9"/>
  <c r="IG103" i="9"/>
  <c r="IH103" i="9"/>
  <c r="II103" i="9"/>
  <c r="IJ103" i="9"/>
  <c r="IK103" i="9"/>
  <c r="IN103" i="9"/>
  <c r="IO103" i="9"/>
  <c r="IP103" i="9"/>
  <c r="IF104" i="9"/>
  <c r="IG104" i="9"/>
  <c r="IH104" i="9"/>
  <c r="II104" i="9"/>
  <c r="IJ104" i="9"/>
  <c r="IK104" i="9"/>
  <c r="IN104" i="9"/>
  <c r="IO104" i="9"/>
  <c r="IP104" i="9"/>
  <c r="IF105" i="9"/>
  <c r="IG105" i="9"/>
  <c r="IH105" i="9"/>
  <c r="II105" i="9"/>
  <c r="IJ105" i="9"/>
  <c r="IK105" i="9"/>
  <c r="IN105" i="9"/>
  <c r="IO105" i="9"/>
  <c r="IP105" i="9"/>
  <c r="IF106" i="9"/>
  <c r="IG106" i="9"/>
  <c r="IH106" i="9"/>
  <c r="II106" i="9"/>
  <c r="IJ106" i="9"/>
  <c r="IK106" i="9"/>
  <c r="IN106" i="9"/>
  <c r="IO106" i="9"/>
  <c r="IP106" i="9"/>
  <c r="IF107" i="9"/>
  <c r="IG107" i="9"/>
  <c r="IH107" i="9"/>
  <c r="II107" i="9"/>
  <c r="IJ107" i="9"/>
  <c r="IK107" i="9"/>
  <c r="IN107" i="9"/>
  <c r="IO107" i="9"/>
  <c r="IP107" i="9"/>
  <c r="IF108" i="9"/>
  <c r="IG108" i="9"/>
  <c r="IH108" i="9"/>
  <c r="II108" i="9"/>
  <c r="IJ108" i="9"/>
  <c r="IK108" i="9"/>
  <c r="IN108" i="9"/>
  <c r="IO108" i="9"/>
  <c r="IP108" i="9"/>
  <c r="GU73" i="9"/>
  <c r="HE73" i="9"/>
  <c r="HB73" i="9"/>
  <c r="HA73" i="9"/>
  <c r="GZ73" i="9"/>
  <c r="GY73" i="9"/>
  <c r="GX73" i="9"/>
  <c r="HF73" i="9"/>
  <c r="HG73" i="9"/>
  <c r="GH74" i="9" a="1"/>
  <c r="GH74" i="9"/>
  <c r="GU74" i="9"/>
  <c r="GH75" i="9"/>
  <c r="GU75" i="9"/>
  <c r="GH76" i="9"/>
  <c r="GU76" i="9"/>
  <c r="GH77" i="9"/>
  <c r="GU77" i="9"/>
  <c r="GH78" i="9"/>
  <c r="GU78" i="9"/>
  <c r="GH79" i="9"/>
  <c r="GU79" i="9"/>
  <c r="GH80" i="9"/>
  <c r="GU80" i="9"/>
  <c r="GH81" i="9"/>
  <c r="GU81" i="9"/>
  <c r="GH82" i="9"/>
  <c r="GU82" i="9"/>
  <c r="GH83" i="9"/>
  <c r="GU83" i="9"/>
  <c r="GH84" i="9"/>
  <c r="GU84" i="9"/>
  <c r="GH85" i="9"/>
  <c r="GU85" i="9"/>
  <c r="GH86" i="9"/>
  <c r="GU86" i="9"/>
  <c r="GH87" i="9"/>
  <c r="GU87" i="9"/>
  <c r="GH88" i="9"/>
  <c r="GU88" i="9"/>
  <c r="GH89" i="9"/>
  <c r="GU89" i="9"/>
  <c r="GH90" i="9"/>
  <c r="GU90" i="9"/>
  <c r="GH91" i="9"/>
  <c r="GU91" i="9"/>
  <c r="GH92" i="9"/>
  <c r="GU92" i="9"/>
  <c r="GH93" i="9"/>
  <c r="GU93" i="9"/>
  <c r="GH94" i="9"/>
  <c r="GU94" i="9"/>
  <c r="GH95" i="9"/>
  <c r="GU95" i="9"/>
  <c r="GH96" i="9"/>
  <c r="GU96" i="9"/>
  <c r="GH97" i="9"/>
  <c r="GU97" i="9"/>
  <c r="GH98" i="9"/>
  <c r="GU98" i="9"/>
  <c r="GH99" i="9"/>
  <c r="GU99" i="9"/>
  <c r="GH100" i="9"/>
  <c r="GU100" i="9"/>
  <c r="GH101" i="9"/>
  <c r="GU101" i="9"/>
  <c r="GH102" i="9"/>
  <c r="GU102" i="9"/>
  <c r="GH103" i="9"/>
  <c r="GU103" i="9"/>
  <c r="GH104" i="9"/>
  <c r="GU104" i="9"/>
  <c r="GH105" i="9"/>
  <c r="GU105" i="9"/>
  <c r="GH106" i="9"/>
  <c r="GU106" i="9"/>
  <c r="GH107" i="9"/>
  <c r="GU107" i="9"/>
  <c r="GH108" i="9"/>
  <c r="GU108" i="9"/>
  <c r="GQ74" i="9" a="1"/>
  <c r="GQ74" i="9"/>
  <c r="HE74" i="9"/>
  <c r="GQ75" i="9"/>
  <c r="HE75" i="9"/>
  <c r="GQ76" i="9"/>
  <c r="HE76" i="9"/>
  <c r="GQ77" i="9"/>
  <c r="HE77" i="9"/>
  <c r="GQ78" i="9"/>
  <c r="HE78" i="9"/>
  <c r="GQ79" i="9"/>
  <c r="HE79" i="9"/>
  <c r="GQ80" i="9"/>
  <c r="HE80" i="9"/>
  <c r="GQ81" i="9"/>
  <c r="HE81" i="9"/>
  <c r="GQ82" i="9"/>
  <c r="HE82" i="9"/>
  <c r="GQ83" i="9"/>
  <c r="HE83" i="9"/>
  <c r="GQ84" i="9"/>
  <c r="HE84" i="9"/>
  <c r="GQ85" i="9"/>
  <c r="HE85" i="9"/>
  <c r="GQ86" i="9"/>
  <c r="HE86" i="9"/>
  <c r="GQ87" i="9"/>
  <c r="HE87" i="9"/>
  <c r="GQ88" i="9"/>
  <c r="HE88" i="9"/>
  <c r="GQ89" i="9"/>
  <c r="HE89" i="9"/>
  <c r="GQ90" i="9"/>
  <c r="HE90" i="9"/>
  <c r="GQ91" i="9"/>
  <c r="HE91" i="9"/>
  <c r="GQ92" i="9"/>
  <c r="HE92" i="9"/>
  <c r="GQ93" i="9"/>
  <c r="HE93" i="9"/>
  <c r="GQ94" i="9"/>
  <c r="HE94" i="9"/>
  <c r="GQ95" i="9"/>
  <c r="HE95" i="9"/>
  <c r="X207" i="16"/>
  <c r="GQ96" i="9"/>
  <c r="HE96" i="9"/>
  <c r="GQ97" i="9"/>
  <c r="HE97" i="9"/>
  <c r="GQ98" i="9"/>
  <c r="HE98" i="9"/>
  <c r="GQ99" i="9"/>
  <c r="HE99" i="9"/>
  <c r="GQ100" i="9"/>
  <c r="HE100" i="9"/>
  <c r="GQ101" i="9"/>
  <c r="HE101" i="9"/>
  <c r="GQ102" i="9"/>
  <c r="HE102" i="9"/>
  <c r="GQ103" i="9"/>
  <c r="HE103" i="9"/>
  <c r="GQ104" i="9"/>
  <c r="HE104" i="9"/>
  <c r="GQ105" i="9"/>
  <c r="HE105" i="9"/>
  <c r="GQ106" i="9"/>
  <c r="HE106" i="9"/>
  <c r="GQ107" i="9"/>
  <c r="HE107" i="9"/>
  <c r="GQ108" i="9"/>
  <c r="HE108" i="9"/>
  <c r="GN74" i="9" a="1"/>
  <c r="GN74" i="9"/>
  <c r="GO74" i="9" a="1"/>
  <c r="GO74" i="9"/>
  <c r="GM74" i="9"/>
  <c r="HB74" i="9"/>
  <c r="GN75" i="9"/>
  <c r="GO75" i="9"/>
  <c r="GM75" i="9"/>
  <c r="HB75" i="9"/>
  <c r="GN76" i="9"/>
  <c r="GO76" i="9"/>
  <c r="GM76" i="9"/>
  <c r="HB76" i="9"/>
  <c r="GN77" i="9"/>
  <c r="GO77" i="9"/>
  <c r="GM77" i="9"/>
  <c r="HB77" i="9"/>
  <c r="GN78" i="9"/>
  <c r="GO78" i="9"/>
  <c r="GM78" i="9"/>
  <c r="HB78" i="9"/>
  <c r="GN79" i="9"/>
  <c r="GO79" i="9"/>
  <c r="GM79" i="9"/>
  <c r="HB79" i="9"/>
  <c r="GN80" i="9"/>
  <c r="GO80" i="9"/>
  <c r="GM80" i="9"/>
  <c r="HB80" i="9"/>
  <c r="GN81" i="9"/>
  <c r="GO81" i="9"/>
  <c r="GM81" i="9"/>
  <c r="HB81" i="9"/>
  <c r="GN82" i="9"/>
  <c r="GO82" i="9"/>
  <c r="GM82" i="9"/>
  <c r="HB82" i="9"/>
  <c r="GN83" i="9"/>
  <c r="GO83" i="9"/>
  <c r="GM83" i="9"/>
  <c r="HB83" i="9"/>
  <c r="GN84" i="9"/>
  <c r="GO84" i="9"/>
  <c r="GM84" i="9"/>
  <c r="HB84" i="9"/>
  <c r="GN85" i="9"/>
  <c r="GO85" i="9"/>
  <c r="GM85" i="9"/>
  <c r="HB85" i="9"/>
  <c r="GN86" i="9"/>
  <c r="GO86" i="9"/>
  <c r="GM86" i="9"/>
  <c r="HB86" i="9"/>
  <c r="GN87" i="9"/>
  <c r="GO87" i="9"/>
  <c r="GM87" i="9"/>
  <c r="HB87" i="9"/>
  <c r="GN88" i="9"/>
  <c r="GO88" i="9"/>
  <c r="GM88" i="9"/>
  <c r="HB88" i="9"/>
  <c r="GN89" i="9"/>
  <c r="GO89" i="9"/>
  <c r="GM89" i="9"/>
  <c r="HB89" i="9"/>
  <c r="GN90" i="9"/>
  <c r="GO90" i="9"/>
  <c r="GM90" i="9"/>
  <c r="HB90" i="9"/>
  <c r="GN91" i="9"/>
  <c r="GO91" i="9"/>
  <c r="GM91" i="9"/>
  <c r="HB91" i="9"/>
  <c r="GN92" i="9"/>
  <c r="GO92" i="9"/>
  <c r="GM92" i="9"/>
  <c r="HB92" i="9"/>
  <c r="GN93" i="9"/>
  <c r="GO93" i="9"/>
  <c r="GM93" i="9"/>
  <c r="HB93" i="9"/>
  <c r="GN94" i="9"/>
  <c r="GO94" i="9"/>
  <c r="GM94" i="9"/>
  <c r="HB94" i="9"/>
  <c r="GN95" i="9"/>
  <c r="GO95" i="9"/>
  <c r="GM95" i="9"/>
  <c r="HB95" i="9"/>
  <c r="GN96" i="9"/>
  <c r="GO96" i="9"/>
  <c r="GM96" i="9"/>
  <c r="HB96" i="9"/>
  <c r="GN97" i="9"/>
  <c r="GO97" i="9"/>
  <c r="GM97" i="9"/>
  <c r="HB97" i="9"/>
  <c r="GN98" i="9"/>
  <c r="GO98" i="9"/>
  <c r="GM98" i="9"/>
  <c r="HB98" i="9"/>
  <c r="GN99" i="9"/>
  <c r="GO99" i="9"/>
  <c r="GM99" i="9"/>
  <c r="HB99" i="9"/>
  <c r="GN100" i="9"/>
  <c r="GO100" i="9"/>
  <c r="GM100" i="9"/>
  <c r="HB100" i="9"/>
  <c r="GN101" i="9"/>
  <c r="GO101" i="9"/>
  <c r="GM101" i="9"/>
  <c r="HB101" i="9"/>
  <c r="GN102" i="9"/>
  <c r="GO102" i="9"/>
  <c r="GM102" i="9"/>
  <c r="HB102" i="9"/>
  <c r="GN103" i="9"/>
  <c r="GO103" i="9"/>
  <c r="GM103" i="9"/>
  <c r="HB103" i="9"/>
  <c r="GN104" i="9"/>
  <c r="GO104" i="9"/>
  <c r="GM104" i="9"/>
  <c r="HB104" i="9"/>
  <c r="GN105" i="9"/>
  <c r="GO105" i="9"/>
  <c r="GM105" i="9"/>
  <c r="HB105" i="9"/>
  <c r="GN106" i="9"/>
  <c r="GO106" i="9"/>
  <c r="GM106" i="9"/>
  <c r="HB106" i="9"/>
  <c r="GN107" i="9"/>
  <c r="GO107" i="9"/>
  <c r="GM107" i="9"/>
  <c r="HB107" i="9"/>
  <c r="GN108" i="9"/>
  <c r="GO108" i="9"/>
  <c r="GM108" i="9"/>
  <c r="HB108" i="9"/>
  <c r="GL74" i="9" a="1"/>
  <c r="GL74" i="9"/>
  <c r="HA74" i="9"/>
  <c r="GL75" i="9"/>
  <c r="HA75" i="9"/>
  <c r="GL76" i="9"/>
  <c r="HA76" i="9"/>
  <c r="GL77" i="9"/>
  <c r="HA77" i="9"/>
  <c r="GL78" i="9"/>
  <c r="HA78" i="9"/>
  <c r="GL79" i="9"/>
  <c r="HA79" i="9"/>
  <c r="GL80" i="9"/>
  <c r="HA80" i="9"/>
  <c r="GL81" i="9"/>
  <c r="HA81" i="9"/>
  <c r="GL82" i="9"/>
  <c r="HA82" i="9"/>
  <c r="GL83" i="9"/>
  <c r="HA83" i="9"/>
  <c r="GL84" i="9"/>
  <c r="HA84" i="9"/>
  <c r="GL85" i="9"/>
  <c r="HA85" i="9"/>
  <c r="GL86" i="9"/>
  <c r="HA86" i="9"/>
  <c r="GL87" i="9"/>
  <c r="HA87" i="9"/>
  <c r="GL88" i="9"/>
  <c r="HA88" i="9"/>
  <c r="GL89" i="9"/>
  <c r="HA89" i="9"/>
  <c r="GL90" i="9"/>
  <c r="HA90" i="9"/>
  <c r="GL91" i="9"/>
  <c r="HA91" i="9"/>
  <c r="GL92" i="9"/>
  <c r="HA92" i="9"/>
  <c r="GL93" i="9"/>
  <c r="HA93" i="9"/>
  <c r="GL94" i="9"/>
  <c r="HA94" i="9"/>
  <c r="GL95" i="9"/>
  <c r="HA95" i="9"/>
  <c r="GL96" i="9"/>
  <c r="HA96" i="9"/>
  <c r="GL97" i="9"/>
  <c r="HA97" i="9"/>
  <c r="GL98" i="9"/>
  <c r="HA98" i="9"/>
  <c r="GL99" i="9"/>
  <c r="HA99" i="9"/>
  <c r="GL100" i="9"/>
  <c r="HA100" i="9"/>
  <c r="GL101" i="9"/>
  <c r="HA101" i="9"/>
  <c r="GL102" i="9"/>
  <c r="HA102" i="9"/>
  <c r="GL103" i="9"/>
  <c r="HA103" i="9"/>
  <c r="GL104" i="9"/>
  <c r="HA104" i="9"/>
  <c r="GL105" i="9"/>
  <c r="HA105" i="9"/>
  <c r="GL106" i="9"/>
  <c r="HA106" i="9"/>
  <c r="GL107" i="9"/>
  <c r="HA107" i="9"/>
  <c r="GL108" i="9"/>
  <c r="HA108" i="9"/>
  <c r="GK74" i="9" a="1"/>
  <c r="GK74" i="9"/>
  <c r="GZ74" i="9"/>
  <c r="GK75" i="9"/>
  <c r="GZ75" i="9"/>
  <c r="GK76" i="9"/>
  <c r="GZ76" i="9"/>
  <c r="GK77" i="9"/>
  <c r="GZ77" i="9"/>
  <c r="GK78" i="9"/>
  <c r="GZ78" i="9"/>
  <c r="GK79" i="9"/>
  <c r="GZ79" i="9"/>
  <c r="GK80" i="9"/>
  <c r="GZ80" i="9"/>
  <c r="GK81" i="9"/>
  <c r="GZ81" i="9"/>
  <c r="GK82" i="9"/>
  <c r="GZ82" i="9"/>
  <c r="GK83" i="9"/>
  <c r="GZ83" i="9"/>
  <c r="GK84" i="9"/>
  <c r="GZ84" i="9"/>
  <c r="GK85" i="9"/>
  <c r="GZ85" i="9"/>
  <c r="GK86" i="9"/>
  <c r="GZ86" i="9"/>
  <c r="GK87" i="9"/>
  <c r="GZ87" i="9"/>
  <c r="GK88" i="9"/>
  <c r="GZ88" i="9"/>
  <c r="GK89" i="9"/>
  <c r="GZ89" i="9"/>
  <c r="GK90" i="9"/>
  <c r="GZ90" i="9"/>
  <c r="GK91" i="9"/>
  <c r="GZ91" i="9"/>
  <c r="GK92" i="9"/>
  <c r="GZ92" i="9"/>
  <c r="GK93" i="9"/>
  <c r="GZ93" i="9"/>
  <c r="GK94" i="9"/>
  <c r="GZ94" i="9"/>
  <c r="GK95" i="9"/>
  <c r="GZ95" i="9"/>
  <c r="GK96" i="9"/>
  <c r="GZ96" i="9"/>
  <c r="GK97" i="9"/>
  <c r="GZ97" i="9"/>
  <c r="GK98" i="9"/>
  <c r="GZ98" i="9"/>
  <c r="GK99" i="9"/>
  <c r="GZ99" i="9"/>
  <c r="GK100" i="9"/>
  <c r="GZ100" i="9"/>
  <c r="GK101" i="9"/>
  <c r="GZ101" i="9"/>
  <c r="GK102" i="9"/>
  <c r="GZ102" i="9"/>
  <c r="GK103" i="9"/>
  <c r="GZ103" i="9"/>
  <c r="GK104" i="9"/>
  <c r="GZ104" i="9"/>
  <c r="GK105" i="9"/>
  <c r="GZ105" i="9"/>
  <c r="GK106" i="9"/>
  <c r="GZ106" i="9"/>
  <c r="GK107" i="9"/>
  <c r="GZ107" i="9"/>
  <c r="GK108" i="9"/>
  <c r="GZ108" i="9"/>
  <c r="GJ74" i="9" a="1"/>
  <c r="GJ74" i="9"/>
  <c r="GY74" i="9"/>
  <c r="GJ75" i="9"/>
  <c r="GY75" i="9"/>
  <c r="GJ76" i="9"/>
  <c r="GY76" i="9"/>
  <c r="GJ77" i="9"/>
  <c r="GY77" i="9"/>
  <c r="GJ78" i="9"/>
  <c r="GY78" i="9"/>
  <c r="GJ79" i="9"/>
  <c r="GY79" i="9"/>
  <c r="GJ80" i="9"/>
  <c r="GY80" i="9"/>
  <c r="GJ81" i="9"/>
  <c r="GY81" i="9"/>
  <c r="GJ82" i="9"/>
  <c r="GY82" i="9"/>
  <c r="GJ83" i="9"/>
  <c r="GY83" i="9"/>
  <c r="GJ84" i="9"/>
  <c r="GY84" i="9"/>
  <c r="GJ85" i="9"/>
  <c r="GY85" i="9"/>
  <c r="GJ86" i="9"/>
  <c r="GY86" i="9"/>
  <c r="GJ87" i="9"/>
  <c r="GY87" i="9"/>
  <c r="GJ88" i="9"/>
  <c r="GY88" i="9"/>
  <c r="GJ89" i="9"/>
  <c r="GY89" i="9"/>
  <c r="GJ90" i="9"/>
  <c r="GY90" i="9"/>
  <c r="GJ91" i="9"/>
  <c r="GY91" i="9"/>
  <c r="GJ92" i="9"/>
  <c r="GY92" i="9"/>
  <c r="GJ93" i="9"/>
  <c r="GY93" i="9"/>
  <c r="GJ94" i="9"/>
  <c r="GY94" i="9"/>
  <c r="GJ95" i="9"/>
  <c r="GY95" i="9"/>
  <c r="GJ96" i="9"/>
  <c r="GY96" i="9"/>
  <c r="GJ97" i="9"/>
  <c r="GY97" i="9"/>
  <c r="GJ98" i="9"/>
  <c r="GY98" i="9"/>
  <c r="GJ99" i="9"/>
  <c r="GY99" i="9"/>
  <c r="GJ100" i="9"/>
  <c r="GY100" i="9"/>
  <c r="GJ101" i="9"/>
  <c r="GY101" i="9"/>
  <c r="GJ102" i="9"/>
  <c r="GY102" i="9"/>
  <c r="GJ103" i="9"/>
  <c r="GY103" i="9"/>
  <c r="GJ104" i="9"/>
  <c r="GY104" i="9"/>
  <c r="GJ105" i="9"/>
  <c r="GY105" i="9"/>
  <c r="GJ106" i="9"/>
  <c r="GY106" i="9"/>
  <c r="GJ107" i="9"/>
  <c r="GY107" i="9"/>
  <c r="GJ108" i="9"/>
  <c r="GY108" i="9"/>
  <c r="GI74" i="9" a="1"/>
  <c r="GI74" i="9"/>
  <c r="GX74" i="9"/>
  <c r="GI75" i="9"/>
  <c r="GX75" i="9"/>
  <c r="GI76" i="9"/>
  <c r="GX76" i="9"/>
  <c r="GI77" i="9"/>
  <c r="GX77" i="9"/>
  <c r="GI78" i="9"/>
  <c r="GX78" i="9"/>
  <c r="GI79" i="9"/>
  <c r="GX79" i="9"/>
  <c r="GI80" i="9"/>
  <c r="GX80" i="9"/>
  <c r="GI81" i="9"/>
  <c r="GX81" i="9"/>
  <c r="GI82" i="9"/>
  <c r="GX82" i="9"/>
  <c r="GI83" i="9"/>
  <c r="GX83" i="9"/>
  <c r="GI84" i="9"/>
  <c r="GX84" i="9"/>
  <c r="GI85" i="9"/>
  <c r="GX85" i="9"/>
  <c r="GI86" i="9"/>
  <c r="GX86" i="9"/>
  <c r="GI87" i="9"/>
  <c r="GX87" i="9"/>
  <c r="GI88" i="9"/>
  <c r="GX88" i="9"/>
  <c r="GI89" i="9"/>
  <c r="GX89" i="9"/>
  <c r="GI90" i="9"/>
  <c r="GX90" i="9"/>
  <c r="GI91" i="9"/>
  <c r="GX91" i="9"/>
  <c r="GI92" i="9"/>
  <c r="GX92" i="9"/>
  <c r="GI93" i="9"/>
  <c r="GX93" i="9"/>
  <c r="GI94" i="9"/>
  <c r="GX94" i="9"/>
  <c r="GI95" i="9"/>
  <c r="GX95" i="9"/>
  <c r="GI96" i="9"/>
  <c r="GX96" i="9"/>
  <c r="GI97" i="9"/>
  <c r="GX97" i="9"/>
  <c r="GI98" i="9"/>
  <c r="GX98" i="9"/>
  <c r="GI99" i="9"/>
  <c r="GX99" i="9"/>
  <c r="GI100" i="9"/>
  <c r="GX100" i="9"/>
  <c r="GI101" i="9"/>
  <c r="GX101" i="9"/>
  <c r="GI102" i="9"/>
  <c r="GX102" i="9"/>
  <c r="GI103" i="9"/>
  <c r="GX103" i="9"/>
  <c r="GI104" i="9"/>
  <c r="GX104" i="9"/>
  <c r="GI105" i="9"/>
  <c r="GX105" i="9"/>
  <c r="GI106" i="9"/>
  <c r="GX106" i="9"/>
  <c r="GI107" i="9"/>
  <c r="GX107" i="9"/>
  <c r="GI108" i="9"/>
  <c r="GX108" i="9"/>
  <c r="HB69" i="9"/>
  <c r="HB70" i="9"/>
  <c r="HB71" i="9"/>
  <c r="HB72" i="9"/>
  <c r="HC58" i="9"/>
  <c r="AI82" i="24"/>
  <c r="X82" i="24"/>
  <c r="Z82" i="24"/>
  <c r="AD30" i="24"/>
  <c r="W30" i="24"/>
  <c r="N30" i="24"/>
  <c r="L23" i="24"/>
  <c r="T22" i="24"/>
  <c r="M22" i="24"/>
  <c r="C22" i="24"/>
  <c r="HW74" i="9" a="1"/>
  <c r="HW105" i="9"/>
  <c r="HV74" i="9" a="1"/>
  <c r="HV105" i="9"/>
  <c r="HX74" i="9" a="1"/>
  <c r="HX105" i="9"/>
  <c r="IB74" i="9" a="1"/>
  <c r="IB105" i="9"/>
  <c r="HY74" i="9" a="1"/>
  <c r="HY105" i="9"/>
  <c r="HU74" i="9" a="1"/>
  <c r="HU105" i="9"/>
  <c r="IC105" i="9"/>
  <c r="HT105" i="9"/>
  <c r="ID105" i="9"/>
  <c r="IE105" i="9"/>
  <c r="HW106" i="9"/>
  <c r="HV106" i="9"/>
  <c r="HX106" i="9"/>
  <c r="IB106" i="9"/>
  <c r="HY106" i="9"/>
  <c r="HU106" i="9"/>
  <c r="IC106" i="9"/>
  <c r="HT106" i="9"/>
  <c r="ID106" i="9"/>
  <c r="IE106" i="9"/>
  <c r="HW107" i="9"/>
  <c r="HV107" i="9"/>
  <c r="HX107" i="9"/>
  <c r="IB107" i="9"/>
  <c r="HY107" i="9"/>
  <c r="HU107" i="9"/>
  <c r="IC107" i="9"/>
  <c r="HT107" i="9"/>
  <c r="ID107" i="9"/>
  <c r="IE107" i="9"/>
  <c r="HW108" i="9"/>
  <c r="HV108" i="9"/>
  <c r="HX108" i="9"/>
  <c r="IB108" i="9"/>
  <c r="HY108" i="9"/>
  <c r="HU108" i="9"/>
  <c r="IC108" i="9"/>
  <c r="HT108" i="9"/>
  <c r="ID108" i="9"/>
  <c r="IE108" i="9"/>
  <c r="IB74" i="9"/>
  <c r="IB75" i="9"/>
  <c r="IB76" i="9"/>
  <c r="IB77" i="9"/>
  <c r="IB78" i="9"/>
  <c r="IB79" i="9"/>
  <c r="IB80" i="9"/>
  <c r="IB81" i="9"/>
  <c r="IB82" i="9"/>
  <c r="IB83" i="9"/>
  <c r="IB84" i="9"/>
  <c r="IB85" i="9"/>
  <c r="IB86" i="9"/>
  <c r="IB87" i="9"/>
  <c r="IB88" i="9"/>
  <c r="IB89" i="9"/>
  <c r="IB90" i="9"/>
  <c r="IB91" i="9"/>
  <c r="IB92" i="9"/>
  <c r="IB93" i="9"/>
  <c r="IB94" i="9"/>
  <c r="IB95" i="9"/>
  <c r="IB96" i="9"/>
  <c r="IB97" i="9"/>
  <c r="IB98" i="9"/>
  <c r="IB99" i="9"/>
  <c r="IB100" i="9"/>
  <c r="IB101" i="9"/>
  <c r="IB102" i="9"/>
  <c r="IB103" i="9"/>
  <c r="IB104" i="9"/>
  <c r="HX74" i="9"/>
  <c r="HX75" i="9"/>
  <c r="HX76" i="9"/>
  <c r="HX77" i="9"/>
  <c r="HX78" i="9"/>
  <c r="HX79" i="9"/>
  <c r="HX80" i="9"/>
  <c r="HX81" i="9"/>
  <c r="HX82" i="9"/>
  <c r="HX83" i="9"/>
  <c r="HX84" i="9"/>
  <c r="HX85" i="9"/>
  <c r="HX86" i="9"/>
  <c r="HX87" i="9"/>
  <c r="HX88" i="9"/>
  <c r="HX89" i="9"/>
  <c r="HX90" i="9"/>
  <c r="HX91" i="9"/>
  <c r="HX92" i="9"/>
  <c r="HX93" i="9"/>
  <c r="HX94" i="9"/>
  <c r="HX95" i="9"/>
  <c r="HX96" i="9"/>
  <c r="HX97" i="9"/>
  <c r="HX98" i="9"/>
  <c r="HX99" i="9"/>
  <c r="HX100" i="9"/>
  <c r="HX101" i="9"/>
  <c r="HX102" i="9"/>
  <c r="HX103" i="9"/>
  <c r="HX104" i="9"/>
  <c r="HW74" i="9"/>
  <c r="HW75" i="9"/>
  <c r="HW76" i="9"/>
  <c r="HW77" i="9"/>
  <c r="HW78" i="9"/>
  <c r="HW79" i="9"/>
  <c r="HW80" i="9"/>
  <c r="HW81" i="9"/>
  <c r="HW82" i="9"/>
  <c r="HW83" i="9"/>
  <c r="HW84" i="9"/>
  <c r="HW85" i="9"/>
  <c r="HW86" i="9"/>
  <c r="HW87" i="9"/>
  <c r="HW88" i="9"/>
  <c r="HW89" i="9"/>
  <c r="HW90" i="9"/>
  <c r="HW91" i="9"/>
  <c r="HW92" i="9"/>
  <c r="HW93" i="9"/>
  <c r="HW94" i="9"/>
  <c r="HW95" i="9"/>
  <c r="HW96" i="9"/>
  <c r="HW97" i="9"/>
  <c r="HW98" i="9"/>
  <c r="HW99" i="9"/>
  <c r="HW100" i="9"/>
  <c r="HW101" i="9"/>
  <c r="HW102" i="9"/>
  <c r="HW103" i="9"/>
  <c r="HW104" i="9"/>
  <c r="HV74" i="9"/>
  <c r="HV75" i="9"/>
  <c r="HV76" i="9"/>
  <c r="HV77" i="9"/>
  <c r="HV78" i="9"/>
  <c r="HV79" i="9"/>
  <c r="HV80" i="9"/>
  <c r="HV81" i="9"/>
  <c r="HV82" i="9"/>
  <c r="HV83" i="9"/>
  <c r="HV84" i="9"/>
  <c r="HV85" i="9"/>
  <c r="HV86" i="9"/>
  <c r="HV87" i="9"/>
  <c r="HV88" i="9"/>
  <c r="HV89" i="9"/>
  <c r="HV90" i="9"/>
  <c r="HV91" i="9"/>
  <c r="HV92" i="9"/>
  <c r="HV93" i="9"/>
  <c r="HV94" i="9"/>
  <c r="HV95" i="9"/>
  <c r="HV96" i="9"/>
  <c r="HV97" i="9"/>
  <c r="HV98" i="9"/>
  <c r="HV99" i="9"/>
  <c r="HV100" i="9"/>
  <c r="HV101" i="9"/>
  <c r="HV102" i="9"/>
  <c r="HV103" i="9"/>
  <c r="HV104" i="9"/>
  <c r="HT75" i="9"/>
  <c r="GV75" i="9"/>
  <c r="HT76" i="9"/>
  <c r="GV76" i="9"/>
  <c r="HT77" i="9"/>
  <c r="GV77" i="9"/>
  <c r="HT78" i="9"/>
  <c r="GV78" i="9"/>
  <c r="HT79" i="9"/>
  <c r="GV79" i="9"/>
  <c r="HT80" i="9"/>
  <c r="GV80" i="9"/>
  <c r="HT81" i="9"/>
  <c r="GV81" i="9"/>
  <c r="HT82" i="9"/>
  <c r="GV82" i="9"/>
  <c r="HT83" i="9"/>
  <c r="GV83" i="9"/>
  <c r="HT84" i="9"/>
  <c r="GV84" i="9"/>
  <c r="HT85" i="9"/>
  <c r="GV85" i="9"/>
  <c r="HT86" i="9"/>
  <c r="GV86" i="9"/>
  <c r="HT87" i="9"/>
  <c r="GV87" i="9"/>
  <c r="HT88" i="9"/>
  <c r="GV88" i="9"/>
  <c r="HT89" i="9"/>
  <c r="GV89" i="9"/>
  <c r="HT90" i="9"/>
  <c r="GV90" i="9"/>
  <c r="HT91" i="9"/>
  <c r="GV91" i="9"/>
  <c r="HT92" i="9"/>
  <c r="GV92" i="9"/>
  <c r="HT93" i="9"/>
  <c r="GV93" i="9"/>
  <c r="HT94" i="9"/>
  <c r="GV94" i="9"/>
  <c r="HT95" i="9"/>
  <c r="GV95" i="9"/>
  <c r="HT96" i="9"/>
  <c r="GV96" i="9"/>
  <c r="HT97" i="9"/>
  <c r="GV97" i="9"/>
  <c r="HT98" i="9"/>
  <c r="GV98" i="9"/>
  <c r="HT99" i="9"/>
  <c r="GV99" i="9"/>
  <c r="HT100" i="9"/>
  <c r="GV100" i="9"/>
  <c r="HT101" i="9"/>
  <c r="GV101" i="9"/>
  <c r="HT102" i="9"/>
  <c r="GV102" i="9"/>
  <c r="HT103" i="9"/>
  <c r="GV103" i="9"/>
  <c r="HT104" i="9"/>
  <c r="GV104" i="9"/>
  <c r="GV105" i="9"/>
  <c r="GV106" i="9"/>
  <c r="GV107" i="9"/>
  <c r="GV108" i="9"/>
  <c r="GV74" i="9"/>
  <c r="IA74" i="9" a="1"/>
  <c r="IA74" i="9"/>
  <c r="IA75" i="9"/>
  <c r="IA76" i="9"/>
  <c r="IA77" i="9"/>
  <c r="IA78" i="9"/>
  <c r="IA79" i="9"/>
  <c r="IA80" i="9"/>
  <c r="IA81" i="9"/>
  <c r="IA82" i="9"/>
  <c r="IA83" i="9"/>
  <c r="IA84" i="9"/>
  <c r="IA85" i="9"/>
  <c r="IA86" i="9"/>
  <c r="IA87" i="9"/>
  <c r="P57" i="24"/>
  <c r="IA88" i="9"/>
  <c r="IA89" i="9"/>
  <c r="IA90" i="9"/>
  <c r="L54" i="24"/>
  <c r="G54" i="24"/>
  <c r="U51" i="24"/>
  <c r="HY75" i="9"/>
  <c r="HY76" i="9"/>
  <c r="HY77" i="9"/>
  <c r="HY78" i="9"/>
  <c r="HY79" i="9"/>
  <c r="HY80" i="9"/>
  <c r="HY81" i="9"/>
  <c r="HY82" i="9"/>
  <c r="HY83" i="9"/>
  <c r="HY84" i="9"/>
  <c r="HY85" i="9"/>
  <c r="HY86" i="9"/>
  <c r="HY87" i="9"/>
  <c r="HY88" i="9"/>
  <c r="HY89" i="9"/>
  <c r="HY90" i="9"/>
  <c r="HY91" i="9"/>
  <c r="HY92" i="9"/>
  <c r="HY93" i="9"/>
  <c r="HY94" i="9"/>
  <c r="HY95" i="9"/>
  <c r="HY96" i="9"/>
  <c r="HY97" i="9"/>
  <c r="HY98" i="9"/>
  <c r="HY99" i="9"/>
  <c r="HY100" i="9"/>
  <c r="HY101" i="9"/>
  <c r="HY102" i="9"/>
  <c r="HY103" i="9"/>
  <c r="HY104" i="9"/>
  <c r="HY74" i="9"/>
  <c r="HZ74" i="9" a="1"/>
  <c r="HZ74" i="9"/>
  <c r="HZ75" i="9"/>
  <c r="HZ76" i="9"/>
  <c r="HZ77" i="9"/>
  <c r="HZ78" i="9"/>
  <c r="HZ79" i="9"/>
  <c r="HZ80" i="9"/>
  <c r="HZ81" i="9"/>
  <c r="HZ82" i="9"/>
  <c r="HZ83" i="9"/>
  <c r="HZ84" i="9"/>
  <c r="HZ85" i="9"/>
  <c r="HZ86" i="9"/>
  <c r="HZ87" i="9"/>
  <c r="HZ88" i="9"/>
  <c r="HZ89" i="9"/>
  <c r="HZ90" i="9"/>
  <c r="HZ91" i="9"/>
  <c r="HZ92" i="9"/>
  <c r="HZ93" i="9"/>
  <c r="HZ94" i="9"/>
  <c r="HZ95" i="9"/>
  <c r="HZ96" i="9"/>
  <c r="HZ97" i="9"/>
  <c r="HZ98" i="9"/>
  <c r="HZ99" i="9"/>
  <c r="HZ100" i="9"/>
  <c r="HZ101" i="9"/>
  <c r="HZ102" i="9"/>
  <c r="HZ103" i="9"/>
  <c r="HZ104" i="9"/>
  <c r="HZ105" i="9"/>
  <c r="HZ106" i="9"/>
  <c r="HZ107" i="9"/>
  <c r="HZ108" i="9"/>
  <c r="HU75" i="9"/>
  <c r="HF75" i="9"/>
  <c r="HG75" i="9"/>
  <c r="HU76" i="9"/>
  <c r="HF76" i="9"/>
  <c r="HG76" i="9"/>
  <c r="HU77" i="9"/>
  <c r="HF77" i="9"/>
  <c r="HG77" i="9"/>
  <c r="HU78" i="9"/>
  <c r="HF78" i="9"/>
  <c r="HG78" i="9"/>
  <c r="G20" i="24"/>
  <c r="HU79" i="9"/>
  <c r="HF79" i="9"/>
  <c r="HG79" i="9"/>
  <c r="HU80" i="9"/>
  <c r="HF80" i="9"/>
  <c r="HG80" i="9"/>
  <c r="HU81" i="9"/>
  <c r="HF81" i="9"/>
  <c r="HG81" i="9"/>
  <c r="HU82" i="9"/>
  <c r="HF82" i="9"/>
  <c r="HG82" i="9"/>
  <c r="HU83" i="9"/>
  <c r="HF83" i="9"/>
  <c r="HG83" i="9"/>
  <c r="HU84" i="9"/>
  <c r="HF84" i="9"/>
  <c r="HG84" i="9"/>
  <c r="HU85" i="9"/>
  <c r="HF85" i="9"/>
  <c r="HG85" i="9"/>
  <c r="HU86" i="9"/>
  <c r="HF86" i="9"/>
  <c r="HG86" i="9"/>
  <c r="HU87" i="9"/>
  <c r="HF87" i="9"/>
  <c r="HG87" i="9"/>
  <c r="HU88" i="9"/>
  <c r="HF88" i="9"/>
  <c r="HG88" i="9"/>
  <c r="HU89" i="9"/>
  <c r="HF89" i="9"/>
  <c r="HG89" i="9"/>
  <c r="HU90" i="9"/>
  <c r="HF90" i="9"/>
  <c r="HG90" i="9"/>
  <c r="HU91" i="9"/>
  <c r="HF91" i="9"/>
  <c r="HG91" i="9"/>
  <c r="HU92" i="9"/>
  <c r="HF92" i="9"/>
  <c r="HG92" i="9"/>
  <c r="HU93" i="9"/>
  <c r="HF93" i="9"/>
  <c r="HG93" i="9"/>
  <c r="HU94" i="9"/>
  <c r="HF94" i="9"/>
  <c r="HG94" i="9"/>
  <c r="HU95" i="9"/>
  <c r="HF95" i="9"/>
  <c r="HG95" i="9"/>
  <c r="HU96" i="9"/>
  <c r="HF96" i="9"/>
  <c r="HG96" i="9"/>
  <c r="HU98" i="9"/>
  <c r="HF98" i="9"/>
  <c r="HG98" i="9"/>
  <c r="HU99" i="9"/>
  <c r="HF99" i="9"/>
  <c r="HG99" i="9"/>
  <c r="HU100" i="9"/>
  <c r="HF100" i="9"/>
  <c r="HG100" i="9"/>
  <c r="HU101" i="9"/>
  <c r="HF101" i="9"/>
  <c r="HG101" i="9"/>
  <c r="HU102" i="9"/>
  <c r="HF102" i="9"/>
  <c r="HG102" i="9"/>
  <c r="HU103" i="9"/>
  <c r="HF103" i="9"/>
  <c r="HG103" i="9"/>
  <c r="HU104" i="9"/>
  <c r="HF104" i="9"/>
  <c r="HG104" i="9"/>
  <c r="HF105" i="9"/>
  <c r="HG105" i="9"/>
  <c r="HF106" i="9"/>
  <c r="HG106" i="9"/>
  <c r="HF107" i="9"/>
  <c r="HG107" i="9"/>
  <c r="HF108" i="9"/>
  <c r="HG108" i="9"/>
  <c r="HU74" i="9"/>
  <c r="HF74" i="9"/>
  <c r="HG74" i="9"/>
  <c r="LC59" i="9"/>
  <c r="LB60" i="9"/>
  <c r="LC60" i="9"/>
  <c r="LB61" i="9"/>
  <c r="LC61" i="9"/>
  <c r="LB62" i="9"/>
  <c r="LC62" i="9"/>
  <c r="LB63" i="9"/>
  <c r="LC63" i="9"/>
  <c r="LB64" i="9"/>
  <c r="LC64" i="9"/>
  <c r="LB65" i="9"/>
  <c r="LC65" i="9"/>
  <c r="LB66" i="9"/>
  <c r="LC66" i="9"/>
  <c r="LB67" i="9"/>
  <c r="LC67" i="9"/>
  <c r="LB68" i="9"/>
  <c r="LC68" i="9"/>
  <c r="LB69" i="9"/>
  <c r="LC69" i="9"/>
  <c r="LB70" i="9"/>
  <c r="LC70" i="9"/>
  <c r="LB71" i="9"/>
  <c r="LC71" i="9"/>
  <c r="LB72" i="9"/>
  <c r="LN72" i="9"/>
  <c r="LC72" i="9"/>
  <c r="LO72" i="9"/>
  <c r="LB73" i="9"/>
  <c r="LN73" i="9"/>
  <c r="LC73" i="9"/>
  <c r="LO73" i="9"/>
  <c r="LN74" i="9"/>
  <c r="LN75" i="9"/>
  <c r="LN76" i="9"/>
  <c r="LN77" i="9"/>
  <c r="LN78" i="9"/>
  <c r="LN79" i="9"/>
  <c r="LN80" i="9"/>
  <c r="LN81" i="9"/>
  <c r="LN82" i="9"/>
  <c r="LN83" i="9"/>
  <c r="LN84" i="9"/>
  <c r="LN85" i="9"/>
  <c r="LN86" i="9"/>
  <c r="LN87" i="9"/>
  <c r="LN88" i="9"/>
  <c r="LN89" i="9"/>
  <c r="LN90" i="9"/>
  <c r="LN91" i="9"/>
  <c r="LN92" i="9"/>
  <c r="LN93" i="9"/>
  <c r="LN94" i="9"/>
  <c r="LN95" i="9"/>
  <c r="LN96" i="9"/>
  <c r="LN97" i="9"/>
  <c r="LN98" i="9"/>
  <c r="LN99" i="9"/>
  <c r="LN100" i="9"/>
  <c r="LN101" i="9"/>
  <c r="LN102" i="9"/>
  <c r="LN103" i="9"/>
  <c r="LN104" i="9"/>
  <c r="LN105" i="9"/>
  <c r="LN106" i="9"/>
  <c r="LN107" i="9"/>
  <c r="LN108" i="9"/>
  <c r="LC58" i="9"/>
  <c r="LA59" i="9"/>
  <c r="LA60" i="9"/>
  <c r="LA61" i="9"/>
  <c r="LA62" i="9"/>
  <c r="LA63" i="9"/>
  <c r="LA64" i="9"/>
  <c r="LA65" i="9"/>
  <c r="LA66" i="9"/>
  <c r="LA67" i="9"/>
  <c r="LA68" i="9"/>
  <c r="LA69" i="9"/>
  <c r="LA70" i="9"/>
  <c r="LA71" i="9"/>
  <c r="LA72" i="9"/>
  <c r="LM72" i="9"/>
  <c r="LA73" i="9"/>
  <c r="LM73" i="9"/>
  <c r="LM74" i="9"/>
  <c r="LM75" i="9"/>
  <c r="LM76" i="9"/>
  <c r="LM77" i="9"/>
  <c r="LM78" i="9"/>
  <c r="LM79" i="9"/>
  <c r="LM80" i="9"/>
  <c r="LM81" i="9"/>
  <c r="LM82" i="9"/>
  <c r="LM83" i="9"/>
  <c r="LM84" i="9"/>
  <c r="LM85" i="9"/>
  <c r="LM86" i="9"/>
  <c r="LM87" i="9"/>
  <c r="LM88" i="9"/>
  <c r="LM89" i="9"/>
  <c r="LM90" i="9"/>
  <c r="LM91" i="9"/>
  <c r="LM92" i="9"/>
  <c r="LM93" i="9"/>
  <c r="LM94" i="9"/>
  <c r="LM95" i="9"/>
  <c r="LM96" i="9"/>
  <c r="LM97" i="9"/>
  <c r="LM98" i="9"/>
  <c r="LM102" i="9"/>
  <c r="LM103" i="9"/>
  <c r="LM104" i="9"/>
  <c r="LM105" i="9"/>
  <c r="LM106" i="9"/>
  <c r="LM107" i="9"/>
  <c r="LM108" i="9"/>
  <c r="KW59" i="9"/>
  <c r="KW60" i="9"/>
  <c r="KW61" i="9"/>
  <c r="KW62" i="9"/>
  <c r="KW63" i="9"/>
  <c r="KW64" i="9"/>
  <c r="KW65" i="9"/>
  <c r="KW66" i="9"/>
  <c r="KW67" i="9"/>
  <c r="KW68" i="9"/>
  <c r="KW69" i="9"/>
  <c r="KW70" i="9"/>
  <c r="KW71" i="9"/>
  <c r="KW72" i="9"/>
  <c r="KW73" i="9"/>
  <c r="KS72" i="9"/>
  <c r="KS73" i="9"/>
  <c r="KS74" i="9"/>
  <c r="KS75" i="9"/>
  <c r="KS76" i="9"/>
  <c r="KS77" i="9"/>
  <c r="KS78" i="9"/>
  <c r="KS79" i="9"/>
  <c r="KS80" i="9"/>
  <c r="KS81" i="9"/>
  <c r="KS82" i="9"/>
  <c r="KS83" i="9"/>
  <c r="KS84" i="9"/>
  <c r="KS85" i="9"/>
  <c r="KS86" i="9"/>
  <c r="KS87" i="9"/>
  <c r="KS88" i="9"/>
  <c r="KS89" i="9"/>
  <c r="KS90" i="9"/>
  <c r="KS91" i="9"/>
  <c r="KS92" i="9"/>
  <c r="KS93" i="9"/>
  <c r="KS94" i="9"/>
  <c r="KS95" i="9"/>
  <c r="KS96" i="9"/>
  <c r="KS97" i="9"/>
  <c r="KS98" i="9"/>
  <c r="KS102" i="9"/>
  <c r="KS103" i="9"/>
  <c r="KS104" i="9"/>
  <c r="KS105" i="9"/>
  <c r="KS106" i="9"/>
  <c r="KS107" i="9"/>
  <c r="KS108" i="9"/>
  <c r="IQ74" i="9"/>
  <c r="IK58" i="9"/>
  <c r="IO58" i="9"/>
  <c r="IO59" i="9"/>
  <c r="HH74" i="9"/>
  <c r="HE58" i="9"/>
  <c r="HB58" i="9"/>
  <c r="HA58" i="9"/>
  <c r="GZ58" i="9"/>
  <c r="GY58" i="9"/>
  <c r="GX58" i="9"/>
  <c r="HF58" i="9"/>
  <c r="HE59" i="9"/>
  <c r="HB59" i="9"/>
  <c r="HA59" i="9"/>
  <c r="GZ59" i="9"/>
  <c r="GY59" i="9"/>
  <c r="GX59" i="9"/>
  <c r="HF59" i="9"/>
  <c r="HE60" i="9"/>
  <c r="HB60" i="9"/>
  <c r="HA60" i="9"/>
  <c r="GZ60" i="9"/>
  <c r="GY60" i="9"/>
  <c r="GX60" i="9"/>
  <c r="HF60" i="9"/>
  <c r="HE61" i="9"/>
  <c r="HB61" i="9"/>
  <c r="HA61" i="9"/>
  <c r="GZ61" i="9"/>
  <c r="GY61" i="9"/>
  <c r="GX61" i="9"/>
  <c r="HF61" i="9"/>
  <c r="HE62" i="9"/>
  <c r="HB62" i="9"/>
  <c r="HA62" i="9"/>
  <c r="GZ62" i="9"/>
  <c r="GY62" i="9"/>
  <c r="GX62" i="9"/>
  <c r="HF62" i="9"/>
  <c r="HE63" i="9"/>
  <c r="HB63" i="9"/>
  <c r="HA63" i="9"/>
  <c r="GZ63" i="9"/>
  <c r="GY63" i="9"/>
  <c r="GX63" i="9"/>
  <c r="HF63" i="9"/>
  <c r="HE64" i="9"/>
  <c r="HB64" i="9"/>
  <c r="HA64" i="9"/>
  <c r="GZ64" i="9"/>
  <c r="GY64" i="9"/>
  <c r="GX64" i="9"/>
  <c r="HF64" i="9"/>
  <c r="HE65" i="9"/>
  <c r="HB65" i="9"/>
  <c r="HA65" i="9"/>
  <c r="GZ65" i="9"/>
  <c r="GY65" i="9"/>
  <c r="GX65" i="9"/>
  <c r="HF65" i="9"/>
  <c r="HE66" i="9"/>
  <c r="HB66" i="9"/>
  <c r="HA66" i="9"/>
  <c r="GZ66" i="9"/>
  <c r="GY66" i="9"/>
  <c r="GX66" i="9"/>
  <c r="HF66" i="9"/>
  <c r="HE67" i="9"/>
  <c r="HB67" i="9"/>
  <c r="HA67" i="9"/>
  <c r="GZ67" i="9"/>
  <c r="GY67" i="9"/>
  <c r="GX67" i="9"/>
  <c r="HF67" i="9"/>
  <c r="HE68" i="9"/>
  <c r="HB68" i="9"/>
  <c r="HA68" i="9"/>
  <c r="GZ68" i="9"/>
  <c r="GY68" i="9"/>
  <c r="GX68" i="9"/>
  <c r="HF68" i="9"/>
  <c r="HE69" i="9"/>
  <c r="HA69" i="9"/>
  <c r="GZ69" i="9"/>
  <c r="GY69" i="9"/>
  <c r="GX69" i="9"/>
  <c r="HF69" i="9"/>
  <c r="HE70" i="9"/>
  <c r="HA70" i="9"/>
  <c r="GZ70" i="9"/>
  <c r="GY70" i="9"/>
  <c r="GX70" i="9"/>
  <c r="HF70" i="9"/>
  <c r="HE71" i="9"/>
  <c r="HA71" i="9"/>
  <c r="GZ71" i="9"/>
  <c r="GY71" i="9"/>
  <c r="GX71" i="9"/>
  <c r="HF71" i="9"/>
  <c r="HE72" i="9"/>
  <c r="HA72" i="9"/>
  <c r="GZ72" i="9"/>
  <c r="GY72" i="9"/>
  <c r="GX72" i="9"/>
  <c r="HF72" i="9"/>
  <c r="HD59" i="9"/>
  <c r="HD60" i="9"/>
  <c r="HD61" i="9"/>
  <c r="HD62" i="9"/>
  <c r="HD63" i="9"/>
  <c r="HD64" i="9"/>
  <c r="HD65" i="9"/>
  <c r="HD66" i="9"/>
  <c r="HD67" i="9"/>
  <c r="HD68" i="9"/>
  <c r="HD69" i="9"/>
  <c r="HD70" i="9"/>
  <c r="HD71" i="9"/>
  <c r="HD72" i="9"/>
  <c r="HD73" i="9"/>
  <c r="HD58" i="9"/>
  <c r="HC59" i="9"/>
  <c r="HC60" i="9"/>
  <c r="HC61" i="9"/>
  <c r="HC62" i="9"/>
  <c r="HC63" i="9"/>
  <c r="HC64" i="9"/>
  <c r="HC65" i="9"/>
  <c r="HC66" i="9"/>
  <c r="HC67" i="9"/>
  <c r="HC68" i="9"/>
  <c r="HC69" i="9"/>
  <c r="HC70" i="9"/>
  <c r="HC71" i="9"/>
  <c r="HC72" i="9"/>
  <c r="HC73" i="9"/>
  <c r="HC74" i="9"/>
  <c r="HC75" i="9"/>
  <c r="HC76" i="9"/>
  <c r="HC77" i="9"/>
  <c r="HC78" i="9"/>
  <c r="HC79" i="9"/>
  <c r="HC80" i="9"/>
  <c r="HC81" i="9"/>
  <c r="HC82" i="9"/>
  <c r="HC83" i="9"/>
  <c r="HC84" i="9"/>
  <c r="HC85" i="9"/>
  <c r="HC86" i="9"/>
  <c r="HC87" i="9"/>
  <c r="HC88" i="9"/>
  <c r="HC89" i="9"/>
  <c r="HC90" i="9"/>
  <c r="HC91" i="9"/>
  <c r="HC92" i="9"/>
  <c r="HC93" i="9"/>
  <c r="HC94" i="9"/>
  <c r="HC95" i="9"/>
  <c r="HC96" i="9"/>
  <c r="HC97" i="9"/>
  <c r="HC98" i="9"/>
  <c r="IL99" i="9"/>
  <c r="HC99" i="9"/>
  <c r="IL100" i="9"/>
  <c r="HC100" i="9"/>
  <c r="IL101" i="9"/>
  <c r="HC101" i="9"/>
  <c r="IL102" i="9"/>
  <c r="HC102" i="9"/>
  <c r="IL103" i="9"/>
  <c r="HC103" i="9"/>
  <c r="IL104" i="9"/>
  <c r="HC104" i="9"/>
  <c r="IL105" i="9"/>
  <c r="HC105" i="9"/>
  <c r="IL106" i="9"/>
  <c r="HC106" i="9"/>
  <c r="IL107" i="9"/>
  <c r="HC107" i="9"/>
  <c r="IL108" i="9"/>
  <c r="HC108" i="9"/>
  <c r="KX59" i="9"/>
  <c r="KY59" i="9"/>
  <c r="KZ59" i="9"/>
  <c r="LD59" i="9"/>
  <c r="LF59" i="9"/>
  <c r="KX60" i="9"/>
  <c r="KY60" i="9"/>
  <c r="KZ60" i="9"/>
  <c r="LD60" i="9"/>
  <c r="LF60" i="9"/>
  <c r="KX61" i="9"/>
  <c r="KY61" i="9"/>
  <c r="KZ61" i="9"/>
  <c r="LD61" i="9"/>
  <c r="LF61" i="9"/>
  <c r="KX62" i="9"/>
  <c r="KY62" i="9"/>
  <c r="KZ62" i="9"/>
  <c r="LD62" i="9"/>
  <c r="LF62" i="9"/>
  <c r="KX63" i="9"/>
  <c r="KY63" i="9"/>
  <c r="KZ63" i="9"/>
  <c r="LD63" i="9"/>
  <c r="LF63" i="9"/>
  <c r="KX64" i="9"/>
  <c r="KY64" i="9"/>
  <c r="KZ64" i="9"/>
  <c r="LD64" i="9"/>
  <c r="LF64" i="9"/>
  <c r="KX65" i="9"/>
  <c r="KY65" i="9"/>
  <c r="KZ65" i="9"/>
  <c r="LD65" i="9"/>
  <c r="LF65" i="9"/>
  <c r="KX66" i="9"/>
  <c r="KY66" i="9"/>
  <c r="KZ66" i="9"/>
  <c r="LD66" i="9"/>
  <c r="LF66" i="9"/>
  <c r="KX67" i="9"/>
  <c r="KY67" i="9"/>
  <c r="KZ67" i="9"/>
  <c r="LD67" i="9"/>
  <c r="LF67" i="9"/>
  <c r="KX68" i="9"/>
  <c r="KY68" i="9"/>
  <c r="KZ68" i="9"/>
  <c r="LD68" i="9"/>
  <c r="LF68" i="9"/>
  <c r="KX69" i="9"/>
  <c r="KY69" i="9"/>
  <c r="KZ69" i="9"/>
  <c r="LD69" i="9"/>
  <c r="LF69" i="9"/>
  <c r="KX70" i="9"/>
  <c r="KY70" i="9"/>
  <c r="KZ70" i="9"/>
  <c r="LD70" i="9"/>
  <c r="LF70" i="9"/>
  <c r="KX71" i="9"/>
  <c r="KY71" i="9"/>
  <c r="KZ71" i="9"/>
  <c r="LD71" i="9"/>
  <c r="LF71" i="9"/>
  <c r="KX72" i="9"/>
  <c r="KY72" i="9"/>
  <c r="KZ72" i="9"/>
  <c r="LD72" i="9"/>
  <c r="LF72" i="9"/>
  <c r="KX73" i="9"/>
  <c r="KY73" i="9"/>
  <c r="KZ73" i="9"/>
  <c r="LD73" i="9"/>
  <c r="LF73" i="9"/>
  <c r="LF74" i="9"/>
  <c r="LF75" i="9"/>
  <c r="LF76" i="9"/>
  <c r="LF77" i="9"/>
  <c r="LF78" i="9"/>
  <c r="LF79" i="9"/>
  <c r="LF80" i="9"/>
  <c r="LF81" i="9"/>
  <c r="LF82" i="9"/>
  <c r="LF83" i="9"/>
  <c r="LF84" i="9"/>
  <c r="LF85" i="9"/>
  <c r="LF86" i="9"/>
  <c r="LF87" i="9"/>
  <c r="LF88" i="9"/>
  <c r="LF89" i="9"/>
  <c r="LF90" i="9"/>
  <c r="LF91" i="9"/>
  <c r="LF92" i="9"/>
  <c r="LF93" i="9"/>
  <c r="LF94" i="9"/>
  <c r="LF95" i="9"/>
  <c r="LF96" i="9"/>
  <c r="LF97" i="9"/>
  <c r="LF98" i="9"/>
  <c r="LF102" i="9"/>
  <c r="LF103" i="9"/>
  <c r="LF104" i="9"/>
  <c r="LF105" i="9"/>
  <c r="LF106" i="9"/>
  <c r="LF107" i="9"/>
  <c r="LF108" i="9"/>
  <c r="KW58" i="9"/>
  <c r="KX58" i="9"/>
  <c r="KY58" i="9"/>
  <c r="KZ58" i="9"/>
  <c r="LA58" i="9"/>
  <c r="LD58" i="9"/>
  <c r="LF58" i="9"/>
  <c r="LB58" i="9"/>
  <c r="LB59" i="9"/>
  <c r="LH73" i="9"/>
  <c r="LI73" i="9"/>
  <c r="LJ73" i="9"/>
  <c r="LK73" i="9"/>
  <c r="LL73" i="9"/>
  <c r="LP73" i="9"/>
  <c r="JC58" i="9"/>
  <c r="JD58" i="9"/>
  <c r="JC59" i="9"/>
  <c r="JD59" i="9"/>
  <c r="JC60" i="9"/>
  <c r="JD60" i="9"/>
  <c r="JC61" i="9"/>
  <c r="JD61" i="9"/>
  <c r="JC62" i="9"/>
  <c r="JD62" i="9"/>
  <c r="JC63" i="9"/>
  <c r="JD63" i="9"/>
  <c r="JC64" i="9"/>
  <c r="JD64" i="9"/>
  <c r="JC65" i="9"/>
  <c r="JD65" i="9"/>
  <c r="JC66" i="9"/>
  <c r="JD66" i="9"/>
  <c r="JC67" i="9"/>
  <c r="JD67" i="9"/>
  <c r="JC68" i="9"/>
  <c r="JD68" i="9"/>
  <c r="JC69" i="9"/>
  <c r="JD69" i="9"/>
  <c r="JC70" i="9"/>
  <c r="JD70" i="9"/>
  <c r="JC71" i="9"/>
  <c r="JD71" i="9"/>
  <c r="JC72" i="9"/>
  <c r="JD72" i="9"/>
  <c r="JC73" i="9"/>
  <c r="JD73" i="9"/>
  <c r="JB58" i="9"/>
  <c r="JB59" i="9"/>
  <c r="JB60" i="9"/>
  <c r="JB61" i="9"/>
  <c r="JB62" i="9"/>
  <c r="JB63" i="9"/>
  <c r="JB64" i="9"/>
  <c r="JB65" i="9"/>
  <c r="JB66" i="9"/>
  <c r="JB67" i="9"/>
  <c r="JB68" i="9"/>
  <c r="JB69" i="9"/>
  <c r="JB70" i="9"/>
  <c r="JB71" i="9"/>
  <c r="JB72" i="9"/>
  <c r="JB73" i="9"/>
  <c r="IT59" i="9"/>
  <c r="IT60" i="9"/>
  <c r="IT61" i="9"/>
  <c r="IT62" i="9"/>
  <c r="IT63" i="9"/>
  <c r="IT64" i="9"/>
  <c r="IT65" i="9"/>
  <c r="IT66" i="9"/>
  <c r="IT67" i="9"/>
  <c r="IT68" i="9"/>
  <c r="IT69" i="9"/>
  <c r="IT70" i="9"/>
  <c r="IT71" i="9"/>
  <c r="IT72" i="9"/>
  <c r="IT73" i="9"/>
  <c r="IT74" i="9"/>
  <c r="JU58" i="9"/>
  <c r="JV58" i="9"/>
  <c r="JW58" i="9"/>
  <c r="JX58" i="9"/>
  <c r="JY58" i="9"/>
  <c r="JZ58" i="9"/>
  <c r="KA58" i="9"/>
  <c r="JU59" i="9"/>
  <c r="JV59" i="9"/>
  <c r="JW59" i="9"/>
  <c r="JX59" i="9"/>
  <c r="JY59" i="9"/>
  <c r="JZ59" i="9"/>
  <c r="KA59" i="9"/>
  <c r="JU60" i="9"/>
  <c r="JV60" i="9"/>
  <c r="JW60" i="9"/>
  <c r="JX60" i="9"/>
  <c r="JY60" i="9"/>
  <c r="JZ60" i="9"/>
  <c r="KA60" i="9"/>
  <c r="JU61" i="9"/>
  <c r="JV61" i="9"/>
  <c r="JW61" i="9"/>
  <c r="JX61" i="9"/>
  <c r="JY61" i="9"/>
  <c r="JZ61" i="9"/>
  <c r="KA61" i="9"/>
  <c r="JU62" i="9"/>
  <c r="JV62" i="9"/>
  <c r="JW62" i="9"/>
  <c r="JX62" i="9"/>
  <c r="JY62" i="9"/>
  <c r="JZ62" i="9"/>
  <c r="KA62" i="9"/>
  <c r="JU63" i="9"/>
  <c r="JV63" i="9"/>
  <c r="JW63" i="9"/>
  <c r="JX63" i="9"/>
  <c r="JY63" i="9"/>
  <c r="JZ63" i="9"/>
  <c r="KA63" i="9"/>
  <c r="JU64" i="9"/>
  <c r="JV64" i="9"/>
  <c r="JW64" i="9"/>
  <c r="JX64" i="9"/>
  <c r="JY64" i="9"/>
  <c r="JZ64" i="9"/>
  <c r="KA64" i="9"/>
  <c r="JU65" i="9"/>
  <c r="JV65" i="9"/>
  <c r="JW65" i="9"/>
  <c r="JX65" i="9"/>
  <c r="JY65" i="9"/>
  <c r="JZ65" i="9"/>
  <c r="KA65" i="9"/>
  <c r="JU66" i="9"/>
  <c r="JV66" i="9"/>
  <c r="JW66" i="9"/>
  <c r="JX66" i="9"/>
  <c r="JY66" i="9"/>
  <c r="JZ66" i="9"/>
  <c r="KA66" i="9"/>
  <c r="JU67" i="9"/>
  <c r="JV67" i="9"/>
  <c r="JW67" i="9"/>
  <c r="JX67" i="9"/>
  <c r="JY67" i="9"/>
  <c r="JZ67" i="9"/>
  <c r="KA67" i="9"/>
  <c r="JU68" i="9"/>
  <c r="JV68" i="9"/>
  <c r="JW68" i="9"/>
  <c r="JX68" i="9"/>
  <c r="JY68" i="9"/>
  <c r="JZ68" i="9"/>
  <c r="KA68" i="9"/>
  <c r="JP68" i="9"/>
  <c r="JP67" i="9"/>
  <c r="JP59" i="9"/>
  <c r="JP60" i="9"/>
  <c r="JP61" i="9"/>
  <c r="JP62" i="9"/>
  <c r="JP63" i="9"/>
  <c r="JP64" i="9"/>
  <c r="JP65" i="9"/>
  <c r="JP66" i="9"/>
  <c r="JP58" i="9"/>
  <c r="GR58" i="9"/>
  <c r="GS58" i="9"/>
  <c r="GT58" i="9"/>
  <c r="GR59" i="9"/>
  <c r="GS59" i="9"/>
  <c r="GT59" i="9"/>
  <c r="GR60" i="9"/>
  <c r="GS60" i="9"/>
  <c r="GT60" i="9"/>
  <c r="GO58" i="9"/>
  <c r="GO59" i="9"/>
  <c r="GO60" i="9"/>
  <c r="GR61" i="9"/>
  <c r="GS61" i="9"/>
  <c r="GT61" i="9"/>
  <c r="GR62" i="9"/>
  <c r="GS62" i="9"/>
  <c r="GT62" i="9"/>
  <c r="GR63" i="9"/>
  <c r="GS63" i="9"/>
  <c r="GT63" i="9"/>
  <c r="GO61" i="9"/>
  <c r="GO62" i="9"/>
  <c r="GO63" i="9"/>
  <c r="GR64" i="9"/>
  <c r="GS64" i="9"/>
  <c r="GT64" i="9"/>
  <c r="GR65" i="9"/>
  <c r="GS65" i="9"/>
  <c r="GT65" i="9"/>
  <c r="GR66" i="9"/>
  <c r="GS66" i="9"/>
  <c r="GT66" i="9"/>
  <c r="GO64" i="9"/>
  <c r="GO65" i="9"/>
  <c r="GO66" i="9"/>
  <c r="GR67" i="9"/>
  <c r="GS67" i="9"/>
  <c r="GT67" i="9"/>
  <c r="GR68" i="9"/>
  <c r="GS68" i="9"/>
  <c r="GT68" i="9"/>
  <c r="GO67" i="9"/>
  <c r="GO68" i="9"/>
  <c r="GR69" i="9"/>
  <c r="GS69" i="9"/>
  <c r="GT69" i="9"/>
  <c r="GR70" i="9"/>
  <c r="GS70" i="9"/>
  <c r="GT70" i="9"/>
  <c r="GR71" i="9"/>
  <c r="GS71" i="9"/>
  <c r="GT71" i="9"/>
  <c r="GO69" i="9"/>
  <c r="GO70" i="9"/>
  <c r="GO71" i="9"/>
  <c r="GR72" i="9"/>
  <c r="GS72" i="9"/>
  <c r="GT72" i="9"/>
  <c r="GR73" i="9"/>
  <c r="GS73" i="9"/>
  <c r="GT73" i="9"/>
  <c r="GO73" i="9"/>
  <c r="GO72" i="9"/>
  <c r="HU97" i="9"/>
  <c r="HF97" i="9"/>
  <c r="GW75" i="9"/>
  <c r="GW76" i="9"/>
  <c r="GW77" i="9"/>
  <c r="GW78" i="9"/>
  <c r="GW79" i="9"/>
  <c r="GW80" i="9"/>
  <c r="GW81" i="9"/>
  <c r="GW82" i="9"/>
  <c r="GW83" i="9"/>
  <c r="GW84" i="9"/>
  <c r="GW85" i="9"/>
  <c r="GW86" i="9"/>
  <c r="GW87" i="9"/>
  <c r="GW88" i="9"/>
  <c r="GW89" i="9"/>
  <c r="GW90" i="9"/>
  <c r="GW91" i="9"/>
  <c r="GW92" i="9"/>
  <c r="GW93" i="9"/>
  <c r="GW94" i="9"/>
  <c r="GW95" i="9"/>
  <c r="GW96" i="9"/>
  <c r="GW97" i="9"/>
  <c r="GW98" i="9"/>
  <c r="GW99" i="9"/>
  <c r="GW100" i="9"/>
  <c r="GW101" i="9"/>
  <c r="GW102" i="9"/>
  <c r="GW103" i="9"/>
  <c r="GW104" i="9"/>
  <c r="GW105" i="9"/>
  <c r="GW106" i="9"/>
  <c r="GW107" i="9"/>
  <c r="GW108" i="9"/>
  <c r="GW74" i="9"/>
  <c r="HH75" i="9"/>
  <c r="HH76" i="9"/>
  <c r="HH77" i="9"/>
  <c r="HH78" i="9"/>
  <c r="HH79" i="9"/>
  <c r="HH80" i="9"/>
  <c r="HH81" i="9"/>
  <c r="HH82" i="9"/>
  <c r="HH83" i="9"/>
  <c r="HH84" i="9"/>
  <c r="HH85" i="9"/>
  <c r="HH86" i="9"/>
  <c r="HH87" i="9"/>
  <c r="HH88" i="9"/>
  <c r="HH89" i="9"/>
  <c r="HH90" i="9"/>
  <c r="HH91" i="9"/>
  <c r="HH92" i="9"/>
  <c r="HH93" i="9"/>
  <c r="HH94" i="9"/>
  <c r="HH95" i="9"/>
  <c r="HH96" i="9"/>
  <c r="HH97" i="9"/>
  <c r="HH98" i="9"/>
  <c r="HH99" i="9"/>
  <c r="HH100" i="9"/>
  <c r="HH101" i="9"/>
  <c r="HH102" i="9"/>
  <c r="HH103" i="9"/>
  <c r="HH104" i="9"/>
  <c r="HH105" i="9"/>
  <c r="HH106" i="9"/>
  <c r="HH107" i="9"/>
  <c r="HH108" i="9"/>
  <c r="JU69" i="9"/>
  <c r="JV69" i="9"/>
  <c r="JW69" i="9"/>
  <c r="JX69" i="9"/>
  <c r="JY69" i="9"/>
  <c r="JZ69" i="9"/>
  <c r="KA69" i="9"/>
  <c r="JU70" i="9"/>
  <c r="JV70" i="9"/>
  <c r="JW70" i="9"/>
  <c r="JX70" i="9"/>
  <c r="JY70" i="9"/>
  <c r="JZ70" i="9"/>
  <c r="KA70" i="9"/>
  <c r="JU71" i="9"/>
  <c r="JV71" i="9"/>
  <c r="JW71" i="9"/>
  <c r="JX71" i="9"/>
  <c r="JY71" i="9"/>
  <c r="JZ71" i="9"/>
  <c r="KA71" i="9"/>
  <c r="JP70" i="9"/>
  <c r="JP71" i="9"/>
  <c r="JP72" i="9"/>
  <c r="JP73" i="9"/>
  <c r="JP69" i="9"/>
  <c r="JU72" i="9"/>
  <c r="JV72" i="9"/>
  <c r="JW72" i="9"/>
  <c r="JX72" i="9"/>
  <c r="JY72" i="9"/>
  <c r="JZ72" i="9"/>
  <c r="KA72" i="9"/>
  <c r="JU73" i="9"/>
  <c r="JV73" i="9"/>
  <c r="JW73" i="9"/>
  <c r="JX73" i="9"/>
  <c r="JY73" i="9"/>
  <c r="JZ73" i="9"/>
  <c r="KA73" i="9"/>
  <c r="IQ101" i="9"/>
  <c r="IQ100" i="9"/>
  <c r="IQ99" i="9"/>
  <c r="IQ98" i="9"/>
  <c r="IQ97" i="9"/>
  <c r="IQ96" i="9"/>
  <c r="IQ95" i="9"/>
  <c r="IQ94" i="9"/>
  <c r="IQ93" i="9"/>
  <c r="IQ92" i="9"/>
  <c r="IQ91" i="9"/>
  <c r="IQ90" i="9"/>
  <c r="IQ89" i="9"/>
  <c r="IQ88" i="9"/>
  <c r="IQ87" i="9"/>
  <c r="IQ86" i="9"/>
  <c r="IQ85" i="9"/>
  <c r="IQ84" i="9"/>
  <c r="IQ83" i="9"/>
  <c r="IQ82" i="9"/>
  <c r="IQ81" i="9"/>
  <c r="IQ80" i="9"/>
  <c r="IQ79" i="9"/>
  <c r="IQ78" i="9"/>
  <c r="IQ77" i="9"/>
  <c r="IQ76" i="9"/>
  <c r="IQ75" i="9"/>
  <c r="LH74" i="9"/>
  <c r="LI74" i="9"/>
  <c r="LJ74" i="9"/>
  <c r="LK74" i="9"/>
  <c r="LL74" i="9"/>
  <c r="LP74" i="9"/>
  <c r="LH75" i="9"/>
  <c r="LI75" i="9"/>
  <c r="LJ75" i="9"/>
  <c r="LK75" i="9"/>
  <c r="LL75" i="9"/>
  <c r="LP75" i="9"/>
  <c r="LH76" i="9"/>
  <c r="LI76" i="9"/>
  <c r="LJ76" i="9"/>
  <c r="LK76" i="9"/>
  <c r="LL76" i="9"/>
  <c r="LP76" i="9"/>
  <c r="LH77" i="9"/>
  <c r="LI77" i="9"/>
  <c r="LJ77" i="9"/>
  <c r="LK77" i="9"/>
  <c r="LL77" i="9"/>
  <c r="LP77" i="9"/>
  <c r="LH78" i="9"/>
  <c r="LI78" i="9"/>
  <c r="LJ78" i="9"/>
  <c r="LK78" i="9"/>
  <c r="LL78" i="9"/>
  <c r="LP78" i="9"/>
  <c r="LH79" i="9"/>
  <c r="LI79" i="9"/>
  <c r="LJ79" i="9"/>
  <c r="LK79" i="9"/>
  <c r="LL79" i="9"/>
  <c r="LP79" i="9"/>
  <c r="LH80" i="9"/>
  <c r="LI80" i="9"/>
  <c r="LJ80" i="9"/>
  <c r="LK80" i="9"/>
  <c r="LL80" i="9"/>
  <c r="LP80" i="9"/>
  <c r="LH81" i="9"/>
  <c r="LI81" i="9"/>
  <c r="LJ81" i="9"/>
  <c r="LK81" i="9"/>
  <c r="LL81" i="9"/>
  <c r="LP81" i="9"/>
  <c r="LH82" i="9"/>
  <c r="LI82" i="9"/>
  <c r="LJ82" i="9"/>
  <c r="LK82" i="9"/>
  <c r="LL82" i="9"/>
  <c r="LP82" i="9"/>
  <c r="LH83" i="9"/>
  <c r="LI83" i="9"/>
  <c r="LJ83" i="9"/>
  <c r="LK83" i="9"/>
  <c r="LL83" i="9"/>
  <c r="LP83" i="9"/>
  <c r="LH84" i="9"/>
  <c r="LI84" i="9"/>
  <c r="LJ84" i="9"/>
  <c r="LK84" i="9"/>
  <c r="LL84" i="9"/>
  <c r="LP84" i="9"/>
  <c r="LH85" i="9"/>
  <c r="LI85" i="9"/>
  <c r="LJ85" i="9"/>
  <c r="LK85" i="9"/>
  <c r="LL85" i="9"/>
  <c r="LP85" i="9"/>
  <c r="LH86" i="9"/>
  <c r="LI86" i="9"/>
  <c r="LJ86" i="9"/>
  <c r="LK86" i="9"/>
  <c r="LL86" i="9"/>
  <c r="LP86" i="9"/>
  <c r="LH87" i="9"/>
  <c r="LI87" i="9"/>
  <c r="LJ87" i="9"/>
  <c r="LK87" i="9"/>
  <c r="LL87" i="9"/>
  <c r="LP87" i="9"/>
  <c r="LH88" i="9"/>
  <c r="LI88" i="9"/>
  <c r="LJ88" i="9"/>
  <c r="LK88" i="9"/>
  <c r="LL88" i="9"/>
  <c r="LP88" i="9"/>
  <c r="LH89" i="9"/>
  <c r="LI89" i="9"/>
  <c r="LJ89" i="9"/>
  <c r="LK89" i="9"/>
  <c r="LL89" i="9"/>
  <c r="LP89" i="9"/>
  <c r="LH90" i="9"/>
  <c r="LI90" i="9"/>
  <c r="LJ90" i="9"/>
  <c r="LK90" i="9"/>
  <c r="LL90" i="9"/>
  <c r="LP90" i="9"/>
  <c r="LH91" i="9"/>
  <c r="LI91" i="9"/>
  <c r="LJ91" i="9"/>
  <c r="LK91" i="9"/>
  <c r="LL91" i="9"/>
  <c r="LP91" i="9"/>
  <c r="LI92" i="9"/>
  <c r="LJ92" i="9"/>
  <c r="LL92" i="9"/>
  <c r="LP92" i="9"/>
  <c r="LI93" i="9"/>
  <c r="LJ93" i="9"/>
  <c r="LL93" i="9"/>
  <c r="LP93" i="9"/>
  <c r="LI94" i="9"/>
  <c r="LJ94" i="9"/>
  <c r="LL94" i="9"/>
  <c r="LP94" i="9"/>
  <c r="LI95" i="9"/>
  <c r="LJ95" i="9"/>
  <c r="LL95" i="9"/>
  <c r="LP95" i="9"/>
  <c r="LI96" i="9"/>
  <c r="LJ96" i="9"/>
  <c r="LL96" i="9"/>
  <c r="LP96" i="9"/>
  <c r="LI97" i="9"/>
  <c r="LJ97" i="9"/>
  <c r="LL97" i="9"/>
  <c r="LP97" i="9"/>
  <c r="LI98" i="9"/>
  <c r="LJ98" i="9"/>
  <c r="LL98" i="9"/>
  <c r="LP98" i="9"/>
  <c r="LI99" i="9"/>
  <c r="LJ99" i="9"/>
  <c r="LL99" i="9"/>
  <c r="LP99" i="9"/>
  <c r="LI100" i="9"/>
  <c r="LJ100" i="9"/>
  <c r="LL100" i="9"/>
  <c r="LP100" i="9"/>
  <c r="AF12" i="25"/>
  <c r="AD12" i="25"/>
  <c r="Y12" i="25"/>
  <c r="IQ102" i="9"/>
  <c r="IQ103" i="9"/>
  <c r="IQ104" i="9"/>
  <c r="IQ105" i="9"/>
  <c r="IQ106" i="9"/>
  <c r="IQ107" i="9"/>
  <c r="IQ108" i="9"/>
  <c r="CT75" i="9"/>
  <c r="CT76" i="9"/>
  <c r="CT77" i="9"/>
  <c r="CT78" i="9"/>
  <c r="CT79" i="9"/>
  <c r="CT80" i="9"/>
  <c r="CT81" i="9"/>
  <c r="CT82" i="9"/>
  <c r="CT83" i="9"/>
  <c r="CT84" i="9"/>
  <c r="CT85" i="9"/>
  <c r="CT86" i="9"/>
  <c r="CT87" i="9"/>
  <c r="CT88" i="9"/>
  <c r="CT89" i="9"/>
  <c r="CT90" i="9"/>
  <c r="CT91" i="9"/>
  <c r="CT92" i="9"/>
  <c r="CT93" i="9"/>
  <c r="CT94" i="9"/>
  <c r="CT95" i="9"/>
  <c r="CT96" i="9"/>
  <c r="CT97" i="9"/>
  <c r="CT98" i="9"/>
  <c r="CT99" i="9"/>
  <c r="CT100" i="9"/>
  <c r="CT101" i="9"/>
  <c r="CT102" i="9"/>
  <c r="CT103" i="9"/>
  <c r="CT104" i="9"/>
  <c r="CT105" i="9"/>
  <c r="CT106" i="9"/>
  <c r="CT107" i="9"/>
  <c r="CT108" i="9"/>
  <c r="CT74" i="9"/>
  <c r="B115" i="16"/>
  <c r="C115" i="16"/>
  <c r="D115" i="16"/>
  <c r="E115" i="16"/>
  <c r="F115" i="16"/>
  <c r="G115" i="16"/>
  <c r="H115" i="16"/>
  <c r="I115" i="16"/>
  <c r="J115" i="16"/>
  <c r="K115" i="16"/>
  <c r="L115" i="16"/>
  <c r="M115" i="16"/>
  <c r="N115" i="16"/>
  <c r="O115" i="16"/>
  <c r="P115" i="16"/>
  <c r="Q115" i="16"/>
  <c r="R115" i="16"/>
  <c r="S115" i="16"/>
  <c r="T115" i="16"/>
  <c r="U115" i="16"/>
  <c r="V115" i="16"/>
  <c r="W115" i="16"/>
  <c r="X115" i="16"/>
  <c r="Y115" i="16"/>
  <c r="Z115" i="16"/>
  <c r="AA115" i="16"/>
  <c r="AB115" i="16"/>
  <c r="AC115" i="16"/>
  <c r="AD115" i="16"/>
  <c r="AE115" i="16"/>
  <c r="AF115" i="16"/>
  <c r="AG115" i="16"/>
  <c r="AH115" i="16"/>
  <c r="AI115" i="16"/>
  <c r="AJ115" i="16"/>
  <c r="AD115" i="26"/>
  <c r="AE115" i="26"/>
  <c r="AF115" i="26"/>
  <c r="AG115" i="26"/>
  <c r="AH115" i="26"/>
  <c r="AI115" i="26"/>
  <c r="AJ115" i="26"/>
  <c r="B115" i="26"/>
  <c r="C115" i="26"/>
  <c r="D115" i="26"/>
  <c r="E115" i="26"/>
  <c r="F115" i="26"/>
  <c r="G115" i="26"/>
  <c r="H115" i="26"/>
  <c r="I115" i="26"/>
  <c r="J115" i="26"/>
  <c r="K115" i="26"/>
  <c r="L115" i="26"/>
  <c r="M115" i="26"/>
  <c r="N115" i="26"/>
  <c r="O115" i="26"/>
  <c r="P115" i="26"/>
  <c r="Q115" i="26"/>
  <c r="R115" i="26"/>
  <c r="S115" i="26"/>
  <c r="T115" i="26"/>
  <c r="U115" i="26"/>
  <c r="V115" i="26"/>
  <c r="W115" i="26"/>
  <c r="X115" i="26"/>
  <c r="Y115" i="26"/>
  <c r="Z115" i="26"/>
  <c r="AA115" i="26"/>
  <c r="AB115" i="26"/>
  <c r="AC115" i="26"/>
  <c r="OR76" i="9"/>
  <c r="OR77" i="9"/>
  <c r="OR78" i="9"/>
  <c r="OR79" i="9"/>
  <c r="OR80" i="9"/>
  <c r="OR81" i="9"/>
  <c r="OR82" i="9"/>
  <c r="OR83" i="9"/>
  <c r="OR84" i="9"/>
  <c r="OR85" i="9"/>
  <c r="OR86" i="9"/>
  <c r="OR87" i="9"/>
  <c r="OR88" i="9"/>
  <c r="OR89" i="9"/>
  <c r="OR90" i="9"/>
  <c r="OR91" i="9"/>
  <c r="OR92" i="9"/>
  <c r="OR93" i="9"/>
  <c r="OR94" i="9"/>
  <c r="OR95" i="9"/>
  <c r="OR96" i="9"/>
  <c r="OR97" i="9"/>
  <c r="OR98" i="9"/>
  <c r="OR99" i="9"/>
  <c r="OR100" i="9"/>
  <c r="OR101" i="9"/>
  <c r="OR102" i="9"/>
  <c r="OR103" i="9"/>
  <c r="OR104" i="9"/>
  <c r="OR105" i="9"/>
  <c r="OR106" i="9"/>
  <c r="OR107" i="9"/>
  <c r="OR108" i="9"/>
  <c r="OR75" i="9"/>
  <c r="JB76" i="9"/>
  <c r="JB77" i="9"/>
  <c r="JB78" i="9"/>
  <c r="JB79" i="9"/>
  <c r="JB80" i="9"/>
  <c r="JB81" i="9"/>
  <c r="JB82" i="9"/>
  <c r="JB83" i="9"/>
  <c r="JB84" i="9"/>
  <c r="JB85" i="9"/>
  <c r="JB86" i="9"/>
  <c r="JB87" i="9"/>
  <c r="JB88" i="9"/>
  <c r="JB89" i="9"/>
  <c r="JB90" i="9"/>
  <c r="JB91" i="9"/>
  <c r="JB92" i="9"/>
  <c r="JB93" i="9"/>
  <c r="JB94" i="9"/>
  <c r="JB95" i="9"/>
  <c r="JB96" i="9"/>
  <c r="JB97" i="9"/>
  <c r="JB98" i="9"/>
  <c r="JB99" i="9"/>
  <c r="JB100" i="9"/>
  <c r="JB101" i="9"/>
  <c r="JB102" i="9"/>
  <c r="JB103" i="9"/>
  <c r="JB104" i="9"/>
  <c r="JB105" i="9"/>
  <c r="JB106" i="9"/>
  <c r="JB107" i="9"/>
  <c r="JB108" i="9"/>
  <c r="JB74" i="9"/>
  <c r="JB75" i="9"/>
  <c r="JC75" i="9"/>
  <c r="JD75" i="9"/>
  <c r="JC76" i="9"/>
  <c r="JD76" i="9"/>
  <c r="JC77" i="9"/>
  <c r="JD77" i="9"/>
  <c r="JC78" i="9"/>
  <c r="JD78" i="9"/>
  <c r="JC79" i="9"/>
  <c r="JD79" i="9"/>
  <c r="JC80" i="9"/>
  <c r="JD80" i="9"/>
  <c r="JC81" i="9"/>
  <c r="JD81" i="9"/>
  <c r="JC82" i="9"/>
  <c r="JD82" i="9"/>
  <c r="JC83" i="9"/>
  <c r="JD83" i="9"/>
  <c r="JC84" i="9"/>
  <c r="JD84" i="9"/>
  <c r="JC85" i="9"/>
  <c r="JD85" i="9"/>
  <c r="JC86" i="9"/>
  <c r="JD86" i="9"/>
  <c r="JC87" i="9"/>
  <c r="JD87" i="9"/>
  <c r="JC88" i="9"/>
  <c r="JD88" i="9"/>
  <c r="JC89" i="9"/>
  <c r="JD89" i="9"/>
  <c r="JC90" i="9"/>
  <c r="JD90" i="9"/>
  <c r="JC91" i="9"/>
  <c r="JD91" i="9"/>
  <c r="JC92" i="9"/>
  <c r="JD92" i="9"/>
  <c r="JC93" i="9"/>
  <c r="JD93" i="9"/>
  <c r="JC94" i="9"/>
  <c r="JD94" i="9"/>
  <c r="JC95" i="9"/>
  <c r="JD95" i="9"/>
  <c r="JC96" i="9"/>
  <c r="JD96" i="9"/>
  <c r="JC97" i="9"/>
  <c r="JD97" i="9"/>
  <c r="JC98" i="9"/>
  <c r="JD98" i="9"/>
  <c r="JC99" i="9"/>
  <c r="JD99" i="9"/>
  <c r="JC100" i="9"/>
  <c r="JD100" i="9"/>
  <c r="JC101" i="9"/>
  <c r="JD101" i="9"/>
  <c r="JC102" i="9"/>
  <c r="JD102" i="9"/>
  <c r="JC103" i="9"/>
  <c r="JD103" i="9"/>
  <c r="JC104" i="9"/>
  <c r="JD104" i="9"/>
  <c r="JC105" i="9"/>
  <c r="JD105" i="9"/>
  <c r="JC106" i="9"/>
  <c r="JD106" i="9"/>
  <c r="JC107" i="9"/>
  <c r="JD107" i="9"/>
  <c r="JC108" i="9"/>
  <c r="JD108" i="9"/>
  <c r="JD74" i="9"/>
  <c r="JC74" i="9"/>
  <c r="IW75" i="9"/>
  <c r="JG75" i="9"/>
  <c r="IW76" i="9"/>
  <c r="JG76" i="9"/>
  <c r="IW77" i="9"/>
  <c r="JG77" i="9"/>
  <c r="IW78" i="9"/>
  <c r="JG78" i="9"/>
  <c r="IW79" i="9"/>
  <c r="JG79" i="9"/>
  <c r="IW80" i="9"/>
  <c r="JG80" i="9"/>
  <c r="IW81" i="9"/>
  <c r="JG81" i="9"/>
  <c r="IW82" i="9"/>
  <c r="JG82" i="9"/>
  <c r="IW83" i="9"/>
  <c r="JG83" i="9"/>
  <c r="IW84" i="9"/>
  <c r="JG84" i="9"/>
  <c r="IW85" i="9"/>
  <c r="JG85" i="9"/>
  <c r="IW86" i="9"/>
  <c r="JG86" i="9"/>
  <c r="IW87" i="9"/>
  <c r="JG87" i="9"/>
  <c r="IW88" i="9"/>
  <c r="JG88" i="9"/>
  <c r="IW89" i="9"/>
  <c r="JG89" i="9"/>
  <c r="IW90" i="9"/>
  <c r="JG90" i="9"/>
  <c r="IW91" i="9"/>
  <c r="JG91" i="9"/>
  <c r="IW92" i="9"/>
  <c r="JG92" i="9"/>
  <c r="IW93" i="9"/>
  <c r="JG93" i="9"/>
  <c r="IW94" i="9"/>
  <c r="JG94" i="9"/>
  <c r="IW95" i="9"/>
  <c r="JG95" i="9"/>
  <c r="IW96" i="9"/>
  <c r="JG96" i="9"/>
  <c r="IW97" i="9"/>
  <c r="JG97" i="9"/>
  <c r="IW98" i="9"/>
  <c r="JG98" i="9"/>
  <c r="IW99" i="9"/>
  <c r="JG99" i="9"/>
  <c r="IW100" i="9"/>
  <c r="JG100" i="9"/>
  <c r="IW101" i="9"/>
  <c r="JG101" i="9"/>
  <c r="IW102" i="9"/>
  <c r="JG102" i="9"/>
  <c r="IW103" i="9"/>
  <c r="JG103" i="9"/>
  <c r="IW104" i="9"/>
  <c r="JG104" i="9"/>
  <c r="IW105" i="9"/>
  <c r="JG105" i="9"/>
  <c r="IW106" i="9"/>
  <c r="JG106" i="9"/>
  <c r="IW107" i="9"/>
  <c r="JG107" i="9"/>
  <c r="IW108" i="9"/>
  <c r="JG108" i="9"/>
  <c r="JG74" i="9"/>
  <c r="JE75" i="9"/>
  <c r="IV75" i="9"/>
  <c r="JF75" i="9"/>
  <c r="JE76" i="9"/>
  <c r="IV76" i="9"/>
  <c r="JF76" i="9"/>
  <c r="JE77" i="9"/>
  <c r="IV77" i="9"/>
  <c r="JF77" i="9"/>
  <c r="JE78" i="9"/>
  <c r="IV78" i="9"/>
  <c r="JF78" i="9"/>
  <c r="JE79" i="9"/>
  <c r="IV79" i="9"/>
  <c r="JF79" i="9"/>
  <c r="JE80" i="9"/>
  <c r="IV80" i="9"/>
  <c r="JF80" i="9"/>
  <c r="JE81" i="9"/>
  <c r="IV81" i="9"/>
  <c r="JF81" i="9"/>
  <c r="JE82" i="9"/>
  <c r="IV82" i="9"/>
  <c r="JF82" i="9"/>
  <c r="JE83" i="9"/>
  <c r="IV83" i="9"/>
  <c r="JF83" i="9"/>
  <c r="JE84" i="9"/>
  <c r="IV84" i="9"/>
  <c r="JF84" i="9"/>
  <c r="JE85" i="9"/>
  <c r="IV85" i="9"/>
  <c r="JF85" i="9"/>
  <c r="JE86" i="9"/>
  <c r="IV86" i="9"/>
  <c r="JF86" i="9"/>
  <c r="JE87" i="9"/>
  <c r="IV87" i="9"/>
  <c r="JF87" i="9"/>
  <c r="JE88" i="9"/>
  <c r="IV88" i="9"/>
  <c r="JF88" i="9"/>
  <c r="JE89" i="9"/>
  <c r="IV89" i="9"/>
  <c r="JF89" i="9"/>
  <c r="JE90" i="9"/>
  <c r="IV90" i="9"/>
  <c r="JF90" i="9"/>
  <c r="JE91" i="9"/>
  <c r="IV91" i="9"/>
  <c r="JF91" i="9"/>
  <c r="JE92" i="9"/>
  <c r="IV92" i="9"/>
  <c r="JF92" i="9"/>
  <c r="JE93" i="9"/>
  <c r="IV93" i="9"/>
  <c r="JF93" i="9"/>
  <c r="JE94" i="9"/>
  <c r="IV94" i="9"/>
  <c r="JF94" i="9"/>
  <c r="JE95" i="9"/>
  <c r="IV95" i="9"/>
  <c r="JF95" i="9"/>
  <c r="JE96" i="9"/>
  <c r="IV96" i="9"/>
  <c r="JF96" i="9"/>
  <c r="JE97" i="9"/>
  <c r="IV97" i="9"/>
  <c r="JF97" i="9"/>
  <c r="JE98" i="9"/>
  <c r="IV98" i="9"/>
  <c r="JF98" i="9"/>
  <c r="JE99" i="9"/>
  <c r="IV99" i="9"/>
  <c r="JF99" i="9"/>
  <c r="JE100" i="9"/>
  <c r="IV100" i="9"/>
  <c r="JF100" i="9"/>
  <c r="JE101" i="9"/>
  <c r="IV101" i="9"/>
  <c r="JF101" i="9"/>
  <c r="JE102" i="9"/>
  <c r="IV102" i="9"/>
  <c r="JF102" i="9"/>
  <c r="JE103" i="9"/>
  <c r="IV103" i="9"/>
  <c r="JF103" i="9"/>
  <c r="JE104" i="9"/>
  <c r="IV104" i="9"/>
  <c r="JF104" i="9"/>
  <c r="JE105" i="9"/>
  <c r="IV105" i="9"/>
  <c r="JF105" i="9"/>
  <c r="JE106" i="9"/>
  <c r="IV106" i="9"/>
  <c r="JF106" i="9"/>
  <c r="JE107" i="9"/>
  <c r="IV107" i="9"/>
  <c r="JF107" i="9"/>
  <c r="JE108" i="9"/>
  <c r="IV108" i="9"/>
  <c r="JF108" i="9"/>
  <c r="JF74" i="9"/>
  <c r="JE74" i="9"/>
  <c r="IX92" i="9"/>
  <c r="IX93" i="9"/>
  <c r="IX94" i="9"/>
  <c r="IX95" i="9"/>
  <c r="IX96" i="9"/>
  <c r="IX97" i="9"/>
  <c r="IX98" i="9"/>
  <c r="IX99" i="9"/>
  <c r="IX100" i="9"/>
  <c r="IX101" i="9"/>
  <c r="IX102" i="9"/>
  <c r="IX103" i="9"/>
  <c r="IX104" i="9"/>
  <c r="IX105" i="9"/>
  <c r="IX106" i="9"/>
  <c r="IX107" i="9"/>
  <c r="IX108" i="9"/>
  <c r="IX110" i="9"/>
  <c r="IS75" i="9"/>
  <c r="IX75" i="9"/>
  <c r="IT75" i="9"/>
  <c r="IS76" i="9"/>
  <c r="IX76" i="9"/>
  <c r="IT76" i="9"/>
  <c r="IS77" i="9"/>
  <c r="IX77" i="9"/>
  <c r="IT77" i="9"/>
  <c r="IS78" i="9"/>
  <c r="IX78" i="9"/>
  <c r="IT78" i="9"/>
  <c r="IS79" i="9"/>
  <c r="IX79" i="9"/>
  <c r="IT79" i="9"/>
  <c r="IS80" i="9"/>
  <c r="IX80" i="9"/>
  <c r="IT80" i="9"/>
  <c r="IS81" i="9"/>
  <c r="IX81" i="9"/>
  <c r="IT81" i="9"/>
  <c r="IS82" i="9"/>
  <c r="IX82" i="9"/>
  <c r="IT82" i="9"/>
  <c r="IS83" i="9"/>
  <c r="IX83" i="9"/>
  <c r="IT83" i="9"/>
  <c r="IS84" i="9"/>
  <c r="IX84" i="9"/>
  <c r="IT84" i="9"/>
  <c r="IS85" i="9"/>
  <c r="IX85" i="9"/>
  <c r="IT85" i="9"/>
  <c r="IS86" i="9"/>
  <c r="IX86" i="9"/>
  <c r="IT86" i="9"/>
  <c r="IS87" i="9"/>
  <c r="IX87" i="9"/>
  <c r="IT87" i="9"/>
  <c r="IS88" i="9"/>
  <c r="IX88" i="9"/>
  <c r="IT88" i="9"/>
  <c r="IS89" i="9"/>
  <c r="IX89" i="9"/>
  <c r="IT89" i="9"/>
  <c r="IS90" i="9"/>
  <c r="IX90" i="9"/>
  <c r="IT90" i="9"/>
  <c r="IS91" i="9"/>
  <c r="IX91" i="9"/>
  <c r="IT91" i="9"/>
  <c r="IS93" i="9"/>
  <c r="IT93" i="9"/>
  <c r="IS94" i="9"/>
  <c r="IT94" i="9"/>
  <c r="IS95" i="9"/>
  <c r="IT95" i="9"/>
  <c r="IS96" i="9"/>
  <c r="IT96" i="9"/>
  <c r="IS97" i="9"/>
  <c r="IT97" i="9"/>
  <c r="IS98" i="9"/>
  <c r="IT98" i="9"/>
  <c r="IS99" i="9"/>
  <c r="IT99" i="9"/>
  <c r="IS100" i="9"/>
  <c r="IT100" i="9"/>
  <c r="IS101" i="9"/>
  <c r="IT101" i="9"/>
  <c r="IS102" i="9"/>
  <c r="IT102" i="9"/>
  <c r="IS103" i="9"/>
  <c r="IT103" i="9"/>
  <c r="IS104" i="9"/>
  <c r="IT104" i="9"/>
  <c r="IS105" i="9"/>
  <c r="IT105" i="9"/>
  <c r="IS106" i="9"/>
  <c r="IT106" i="9"/>
  <c r="IS107" i="9"/>
  <c r="IT107" i="9"/>
  <c r="IS108" i="9"/>
  <c r="IT108" i="9"/>
  <c r="IS92" i="9"/>
  <c r="IT92" i="9"/>
  <c r="IR110" i="9"/>
  <c r="IS110" i="9"/>
  <c r="IV110" i="9"/>
  <c r="IW110" i="9"/>
  <c r="IY110" i="9"/>
  <c r="IZ110" i="9"/>
  <c r="JA110" i="9"/>
  <c r="IU110" i="9"/>
  <c r="PB192" i="9"/>
  <c r="PB172" i="9"/>
  <c r="PB75" i="9"/>
  <c r="PB162" i="9"/>
  <c r="GR75" i="9"/>
  <c r="GR76" i="9"/>
  <c r="GR77" i="9"/>
  <c r="GR78" i="9"/>
  <c r="GR79" i="9"/>
  <c r="GR80" i="9"/>
  <c r="GR81" i="9"/>
  <c r="GS75" i="9"/>
  <c r="GS76" i="9"/>
  <c r="GS77" i="9"/>
  <c r="GS78" i="9"/>
  <c r="GS79" i="9"/>
  <c r="GS80" i="9"/>
  <c r="GS81" i="9"/>
  <c r="GR82" i="9"/>
  <c r="GR83" i="9"/>
  <c r="GR84" i="9"/>
  <c r="GR85" i="9"/>
  <c r="GR86" i="9"/>
  <c r="GR87" i="9"/>
  <c r="GR88" i="9"/>
  <c r="GR89" i="9"/>
  <c r="GR90" i="9"/>
  <c r="GR91" i="9"/>
  <c r="GS82" i="9"/>
  <c r="GS83" i="9"/>
  <c r="GS84" i="9"/>
  <c r="GS85" i="9"/>
  <c r="GS86" i="9"/>
  <c r="GS87" i="9"/>
  <c r="GS88" i="9"/>
  <c r="GS89" i="9"/>
  <c r="GS90" i="9"/>
  <c r="GS91" i="9"/>
  <c r="GR92" i="9"/>
  <c r="GR93" i="9"/>
  <c r="GR94" i="9"/>
  <c r="GR95" i="9"/>
  <c r="GR96" i="9"/>
  <c r="GR97" i="9"/>
  <c r="GR98" i="9"/>
  <c r="GR99" i="9"/>
  <c r="GR100" i="9"/>
  <c r="GR101" i="9"/>
  <c r="GS92" i="9"/>
  <c r="GS93" i="9"/>
  <c r="GS94" i="9"/>
  <c r="GS95" i="9"/>
  <c r="GS96" i="9"/>
  <c r="GS97" i="9"/>
  <c r="GS98" i="9"/>
  <c r="GS99" i="9"/>
  <c r="GS100" i="9"/>
  <c r="GS101" i="9"/>
  <c r="GR102" i="9"/>
  <c r="GR103" i="9"/>
  <c r="GR104" i="9"/>
  <c r="GR105" i="9"/>
  <c r="GR106" i="9"/>
  <c r="GR107" i="9"/>
  <c r="GR108" i="9"/>
  <c r="GS102" i="9"/>
  <c r="GS103" i="9"/>
  <c r="GS104" i="9"/>
  <c r="GS105" i="9"/>
  <c r="GS106" i="9"/>
  <c r="GS107" i="9"/>
  <c r="GS108" i="9"/>
  <c r="LH108" i="9"/>
  <c r="LI108" i="9"/>
  <c r="LJ108" i="9"/>
  <c r="LK108" i="9"/>
  <c r="LL108" i="9"/>
  <c r="LP108" i="9"/>
  <c r="LI101" i="9"/>
  <c r="LJ101" i="9"/>
  <c r="LK101" i="9"/>
  <c r="LL101" i="9"/>
  <c r="LP101" i="9"/>
  <c r="LH102" i="9"/>
  <c r="LI102" i="9"/>
  <c r="LJ102" i="9"/>
  <c r="LK102" i="9"/>
  <c r="LL102" i="9"/>
  <c r="LP102" i="9"/>
  <c r="LH103" i="9"/>
  <c r="LI103" i="9"/>
  <c r="LJ103" i="9"/>
  <c r="LK103" i="9"/>
  <c r="LL103" i="9"/>
  <c r="LP103" i="9"/>
  <c r="LH104" i="9"/>
  <c r="LI104" i="9"/>
  <c r="LJ104" i="9"/>
  <c r="LK104" i="9"/>
  <c r="LL104" i="9"/>
  <c r="LP104" i="9"/>
  <c r="LH105" i="9"/>
  <c r="LI105" i="9"/>
  <c r="LJ105" i="9"/>
  <c r="LK105" i="9"/>
  <c r="LL105" i="9"/>
  <c r="LP105" i="9"/>
  <c r="LH106" i="9"/>
  <c r="LI106" i="9"/>
  <c r="LJ106" i="9"/>
  <c r="LK106" i="9"/>
  <c r="LL106" i="9"/>
  <c r="LP106" i="9"/>
  <c r="LP107" i="9"/>
  <c r="LJ107" i="9"/>
  <c r="LK107" i="9"/>
  <c r="LL107" i="9"/>
  <c r="LI107" i="9"/>
  <c r="LH107" i="9"/>
  <c r="CL74" i="9" a="1"/>
  <c r="CL99" i="9"/>
  <c r="CL100" i="9"/>
  <c r="CL101" i="9"/>
  <c r="CL102" i="9"/>
  <c r="CL103" i="9"/>
  <c r="CL104" i="9"/>
  <c r="CL105" i="9"/>
  <c r="CL106" i="9"/>
  <c r="CL107" i="9"/>
  <c r="CL108" i="9"/>
  <c r="CL98" i="9"/>
  <c r="CL75" i="9"/>
  <c r="CL76" i="9"/>
  <c r="CL77" i="9"/>
  <c r="CL78" i="9"/>
  <c r="CL79" i="9"/>
  <c r="CL80" i="9"/>
  <c r="CL81" i="9"/>
  <c r="CL82" i="9"/>
  <c r="CL83" i="9"/>
  <c r="CL84" i="9"/>
  <c r="CL85" i="9"/>
  <c r="CL86" i="9"/>
  <c r="CL87" i="9"/>
  <c r="CL88" i="9"/>
  <c r="CL89" i="9"/>
  <c r="CL90" i="9"/>
  <c r="CL91" i="9"/>
  <c r="CL92" i="9"/>
  <c r="CL93" i="9"/>
  <c r="CL94" i="9"/>
  <c r="CL95" i="9"/>
  <c r="CL96" i="9"/>
  <c r="CL97" i="9"/>
  <c r="CL74" i="9"/>
  <c r="BZ75" i="9"/>
  <c r="BZ76" i="9"/>
  <c r="BZ77" i="9"/>
  <c r="BZ78" i="9"/>
  <c r="BZ79" i="9"/>
  <c r="BZ80" i="9"/>
  <c r="BZ81" i="9"/>
  <c r="BZ82" i="9"/>
  <c r="BZ83" i="9"/>
  <c r="BZ84" i="9"/>
  <c r="BZ85" i="9"/>
  <c r="BZ86" i="9"/>
  <c r="BZ87" i="9"/>
  <c r="BZ88" i="9"/>
  <c r="BZ89" i="9"/>
  <c r="BZ90" i="9"/>
  <c r="BZ91" i="9"/>
  <c r="BZ92" i="9"/>
  <c r="BZ93" i="9"/>
  <c r="BZ94" i="9"/>
  <c r="BZ95" i="9"/>
  <c r="BZ96" i="9"/>
  <c r="BZ97" i="9"/>
  <c r="BZ98" i="9"/>
  <c r="BZ99" i="9"/>
  <c r="BZ100" i="9"/>
  <c r="BZ101" i="9"/>
  <c r="BZ102" i="9"/>
  <c r="BZ103" i="9"/>
  <c r="BZ104" i="9"/>
  <c r="BZ105" i="9"/>
  <c r="BZ106" i="9"/>
  <c r="BZ107" i="9"/>
  <c r="BZ108" i="9"/>
  <c r="BZ74" i="9"/>
  <c r="CJ74" i="9"/>
  <c r="CJ75" i="9"/>
  <c r="CJ76" i="9"/>
  <c r="CJ77" i="9"/>
  <c r="CJ78" i="9"/>
  <c r="CJ79" i="9"/>
  <c r="CJ80" i="9"/>
  <c r="CJ81" i="9"/>
  <c r="CJ82" i="9"/>
  <c r="CJ83" i="9"/>
  <c r="CJ84" i="9"/>
  <c r="CJ85" i="9"/>
  <c r="CJ86" i="9"/>
  <c r="CJ87" i="9"/>
  <c r="CJ88" i="9"/>
  <c r="CJ89" i="9"/>
  <c r="CJ90" i="9"/>
  <c r="CE91" i="9" a="1"/>
  <c r="CE102" i="9"/>
  <c r="CG102" i="9"/>
  <c r="CJ92" i="9"/>
  <c r="CJ93" i="9"/>
  <c r="CJ94" i="9"/>
  <c r="CJ95" i="9"/>
  <c r="CJ96" i="9"/>
  <c r="CJ97" i="9"/>
  <c r="CJ98" i="9"/>
  <c r="CJ99" i="9"/>
  <c r="CJ100" i="9"/>
  <c r="CJ101" i="9"/>
  <c r="CJ102" i="9"/>
  <c r="CJ103" i="9"/>
  <c r="CJ104" i="9"/>
  <c r="CJ105" i="9"/>
  <c r="CJ106" i="9"/>
  <c r="CJ107" i="9"/>
  <c r="CJ108" i="9"/>
  <c r="CJ91" i="9"/>
  <c r="HK105" i="9"/>
  <c r="HL105" i="9"/>
  <c r="HM105" i="9"/>
  <c r="HN105" i="9"/>
  <c r="HO105" i="9"/>
  <c r="HP105" i="9"/>
  <c r="HQ105" i="9"/>
  <c r="HI105" i="9"/>
  <c r="HR105" i="9"/>
  <c r="HS105" i="9"/>
  <c r="HK106" i="9"/>
  <c r="HL106" i="9"/>
  <c r="HM106" i="9"/>
  <c r="HN106" i="9"/>
  <c r="HO106" i="9"/>
  <c r="HP106" i="9"/>
  <c r="HQ106" i="9"/>
  <c r="HI106" i="9"/>
  <c r="HR106" i="9"/>
  <c r="HS106" i="9"/>
  <c r="HK107" i="9"/>
  <c r="HL107" i="9"/>
  <c r="HM107" i="9"/>
  <c r="HN107" i="9"/>
  <c r="HO107" i="9"/>
  <c r="HP107" i="9"/>
  <c r="HQ107" i="9"/>
  <c r="HI107" i="9"/>
  <c r="HR107" i="9"/>
  <c r="HS107" i="9"/>
  <c r="HK108" i="9"/>
  <c r="HL108" i="9"/>
  <c r="HM108" i="9"/>
  <c r="HN108" i="9"/>
  <c r="HO108" i="9"/>
  <c r="HP108" i="9"/>
  <c r="HQ108" i="9"/>
  <c r="HI108" i="9"/>
  <c r="HR108" i="9"/>
  <c r="HS108" i="9"/>
  <c r="EQ106" i="9"/>
  <c r="EQ107" i="9"/>
  <c r="EQ108" i="9"/>
  <c r="EP106" i="9"/>
  <c r="EP107" i="9"/>
  <c r="EP108" i="9"/>
  <c r="GT97" i="9"/>
  <c r="GT105" i="9"/>
  <c r="GT106" i="9"/>
  <c r="GT107" i="9"/>
  <c r="GT108" i="9"/>
  <c r="OS162" i="9"/>
  <c r="OT162" i="9"/>
  <c r="OU162" i="9"/>
  <c r="OV162" i="9"/>
  <c r="OW162" i="9"/>
  <c r="OX162" i="9"/>
  <c r="OY162" i="9"/>
  <c r="OZ162" i="9"/>
  <c r="PA162" i="9"/>
  <c r="OS172" i="9"/>
  <c r="OT172" i="9"/>
  <c r="OU172" i="9"/>
  <c r="OV172" i="9"/>
  <c r="OW172" i="9"/>
  <c r="OX172" i="9"/>
  <c r="OY172" i="9"/>
  <c r="OZ172" i="9"/>
  <c r="PA172" i="9"/>
  <c r="OS182" i="9"/>
  <c r="OT182" i="9"/>
  <c r="OU182" i="9"/>
  <c r="OV182" i="9"/>
  <c r="OX182" i="9"/>
  <c r="OY182" i="9"/>
  <c r="OS192" i="9"/>
  <c r="OT192" i="9"/>
  <c r="OU192" i="9"/>
  <c r="OV192" i="9"/>
  <c r="OW192" i="9"/>
  <c r="OX192" i="9"/>
  <c r="OY192" i="9"/>
  <c r="OZ192" i="9"/>
  <c r="PA192" i="9"/>
  <c r="OO192" i="9"/>
  <c r="OO182" i="9"/>
  <c r="OO172" i="9"/>
  <c r="OO162" i="9"/>
  <c r="JV75" i="9"/>
  <c r="JW75" i="9"/>
  <c r="JX75" i="9"/>
  <c r="JY75" i="9"/>
  <c r="JZ75" i="9"/>
  <c r="KA75" i="9"/>
  <c r="JV76" i="9"/>
  <c r="JW76" i="9"/>
  <c r="JX76" i="9"/>
  <c r="JY76" i="9"/>
  <c r="JZ76" i="9"/>
  <c r="KA76" i="9"/>
  <c r="JV77" i="9"/>
  <c r="JW77" i="9"/>
  <c r="JX77" i="9"/>
  <c r="JY77" i="9"/>
  <c r="JZ77" i="9"/>
  <c r="KA77" i="9"/>
  <c r="JV78" i="9"/>
  <c r="JW78" i="9"/>
  <c r="JX78" i="9"/>
  <c r="JY78" i="9"/>
  <c r="JZ78" i="9"/>
  <c r="KA78" i="9"/>
  <c r="JV79" i="9"/>
  <c r="JW79" i="9"/>
  <c r="JX79" i="9"/>
  <c r="JY79" i="9"/>
  <c r="JZ79" i="9"/>
  <c r="KA79" i="9"/>
  <c r="JV80" i="9"/>
  <c r="JW80" i="9"/>
  <c r="JX80" i="9"/>
  <c r="JY80" i="9"/>
  <c r="JZ80" i="9"/>
  <c r="KA80" i="9"/>
  <c r="JV81" i="9"/>
  <c r="JW81" i="9"/>
  <c r="JX81" i="9"/>
  <c r="JY81" i="9"/>
  <c r="JZ81" i="9"/>
  <c r="KA81" i="9"/>
  <c r="JV82" i="9"/>
  <c r="JW82" i="9"/>
  <c r="JX82" i="9"/>
  <c r="JY82" i="9"/>
  <c r="JZ82" i="9"/>
  <c r="KA82" i="9"/>
  <c r="JV83" i="9"/>
  <c r="JW83" i="9"/>
  <c r="JX83" i="9"/>
  <c r="JY83" i="9"/>
  <c r="JZ83" i="9"/>
  <c r="KA83" i="9"/>
  <c r="JV84" i="9"/>
  <c r="JW84" i="9"/>
  <c r="JX84" i="9"/>
  <c r="JY84" i="9"/>
  <c r="JZ84" i="9"/>
  <c r="KA84" i="9"/>
  <c r="JV85" i="9"/>
  <c r="JW85" i="9"/>
  <c r="JX85" i="9"/>
  <c r="JY85" i="9"/>
  <c r="JZ85" i="9"/>
  <c r="KA85" i="9"/>
  <c r="JV86" i="9"/>
  <c r="JW86" i="9"/>
  <c r="JX86" i="9"/>
  <c r="JY86" i="9"/>
  <c r="JZ86" i="9"/>
  <c r="KA86" i="9"/>
  <c r="JV87" i="9"/>
  <c r="JW87" i="9"/>
  <c r="JX87" i="9"/>
  <c r="JY87" i="9"/>
  <c r="JZ87" i="9"/>
  <c r="KA87" i="9"/>
  <c r="JV88" i="9"/>
  <c r="JW88" i="9"/>
  <c r="JX88" i="9"/>
  <c r="JY88" i="9"/>
  <c r="JZ88" i="9"/>
  <c r="KA88" i="9"/>
  <c r="JV89" i="9"/>
  <c r="JW89" i="9"/>
  <c r="JX89" i="9"/>
  <c r="JY89" i="9"/>
  <c r="JZ89" i="9"/>
  <c r="KA89" i="9"/>
  <c r="JV90" i="9"/>
  <c r="JW90" i="9"/>
  <c r="JX90" i="9"/>
  <c r="JY90" i="9"/>
  <c r="JZ90" i="9"/>
  <c r="KA90" i="9"/>
  <c r="JV91" i="9"/>
  <c r="JW91" i="9"/>
  <c r="JX91" i="9"/>
  <c r="JY91" i="9"/>
  <c r="JZ91" i="9"/>
  <c r="KA91" i="9"/>
  <c r="JV92" i="9"/>
  <c r="JW92" i="9"/>
  <c r="JX92" i="9"/>
  <c r="JY92" i="9"/>
  <c r="JZ92" i="9"/>
  <c r="KA92" i="9"/>
  <c r="JV93" i="9"/>
  <c r="JW93" i="9"/>
  <c r="JX93" i="9"/>
  <c r="JY93" i="9"/>
  <c r="JZ93" i="9"/>
  <c r="KA93" i="9"/>
  <c r="JV94" i="9"/>
  <c r="JW94" i="9"/>
  <c r="JX94" i="9"/>
  <c r="JY94" i="9"/>
  <c r="JZ94" i="9"/>
  <c r="KA94" i="9"/>
  <c r="JV95" i="9"/>
  <c r="JW95" i="9"/>
  <c r="JX95" i="9"/>
  <c r="JY95" i="9"/>
  <c r="JZ95" i="9"/>
  <c r="KA95" i="9"/>
  <c r="JV96" i="9"/>
  <c r="JW96" i="9"/>
  <c r="JX96" i="9"/>
  <c r="JY96" i="9"/>
  <c r="JZ96" i="9"/>
  <c r="KA96" i="9"/>
  <c r="JV97" i="9"/>
  <c r="JW97" i="9"/>
  <c r="JX97" i="9"/>
  <c r="JY97" i="9"/>
  <c r="JZ97" i="9"/>
  <c r="KA97" i="9"/>
  <c r="JV98" i="9"/>
  <c r="JW98" i="9"/>
  <c r="JX98" i="9"/>
  <c r="JY98" i="9"/>
  <c r="JZ98" i="9"/>
  <c r="KA98" i="9"/>
  <c r="JV99" i="9"/>
  <c r="JW99" i="9"/>
  <c r="JX99" i="9"/>
  <c r="JY99" i="9"/>
  <c r="JZ99" i="9"/>
  <c r="KA99" i="9"/>
  <c r="JV100" i="9"/>
  <c r="JW100" i="9"/>
  <c r="JX100" i="9"/>
  <c r="JY100" i="9"/>
  <c r="JZ100" i="9"/>
  <c r="KA100" i="9"/>
  <c r="JV101" i="9"/>
  <c r="JW101" i="9"/>
  <c r="JX101" i="9"/>
  <c r="JY101" i="9"/>
  <c r="JZ101" i="9"/>
  <c r="KA101" i="9"/>
  <c r="JV102" i="9"/>
  <c r="JW102" i="9"/>
  <c r="JX102" i="9"/>
  <c r="JY102" i="9"/>
  <c r="JZ102" i="9"/>
  <c r="KA102" i="9"/>
  <c r="JV103" i="9"/>
  <c r="JW103" i="9"/>
  <c r="JX103" i="9"/>
  <c r="JY103" i="9"/>
  <c r="JZ103" i="9"/>
  <c r="KA103" i="9"/>
  <c r="JV104" i="9"/>
  <c r="JW104" i="9"/>
  <c r="JX104" i="9"/>
  <c r="JY104" i="9"/>
  <c r="JZ104" i="9"/>
  <c r="KA104" i="9"/>
  <c r="JV105" i="9"/>
  <c r="JW105" i="9"/>
  <c r="JX105" i="9"/>
  <c r="JY105" i="9"/>
  <c r="JZ105" i="9"/>
  <c r="KA105" i="9"/>
  <c r="JV106" i="9"/>
  <c r="JW106" i="9"/>
  <c r="JX106" i="9"/>
  <c r="JY106" i="9"/>
  <c r="JZ106" i="9"/>
  <c r="KA106" i="9"/>
  <c r="JV107" i="9"/>
  <c r="JW107" i="9"/>
  <c r="JX107" i="9"/>
  <c r="JY107" i="9"/>
  <c r="JZ107" i="9"/>
  <c r="KA107" i="9"/>
  <c r="JV108" i="9"/>
  <c r="JW108" i="9"/>
  <c r="JX108" i="9"/>
  <c r="JY108" i="9"/>
  <c r="JZ108" i="9"/>
  <c r="KA108" i="9"/>
  <c r="KA74" i="9"/>
  <c r="JW74" i="9"/>
  <c r="JX74" i="9"/>
  <c r="JY74" i="9"/>
  <c r="JZ74" i="9"/>
  <c r="JV74" i="9"/>
  <c r="JU75" i="9"/>
  <c r="JU76" i="9"/>
  <c r="JU77" i="9"/>
  <c r="JU78" i="9"/>
  <c r="JU79" i="9"/>
  <c r="JU80" i="9"/>
  <c r="JU81" i="9"/>
  <c r="JU82" i="9"/>
  <c r="JU83" i="9"/>
  <c r="JU84" i="9"/>
  <c r="JU85" i="9"/>
  <c r="JU86" i="9"/>
  <c r="JU87" i="9"/>
  <c r="JU88" i="9"/>
  <c r="JU89" i="9"/>
  <c r="JU90" i="9"/>
  <c r="JU91" i="9"/>
  <c r="JU92" i="9"/>
  <c r="JU93" i="9"/>
  <c r="JU94" i="9"/>
  <c r="JU95" i="9"/>
  <c r="JU96" i="9"/>
  <c r="JU97" i="9"/>
  <c r="JU98" i="9"/>
  <c r="JU99" i="9"/>
  <c r="JU100" i="9"/>
  <c r="JU101" i="9"/>
  <c r="JU102" i="9"/>
  <c r="JU103" i="9"/>
  <c r="JU104" i="9"/>
  <c r="JU105" i="9"/>
  <c r="JU106" i="9"/>
  <c r="JU107" i="9"/>
  <c r="JU108" i="9"/>
  <c r="JU74" i="9"/>
  <c r="BL26" i="9"/>
  <c r="BL27" i="9"/>
  <c r="BL28" i="9"/>
  <c r="BL29" i="9"/>
  <c r="BL30" i="9"/>
  <c r="BL31" i="9"/>
  <c r="BL32" i="9"/>
  <c r="BL33" i="9"/>
  <c r="BL34" i="9"/>
  <c r="BL35" i="9"/>
  <c r="BL36" i="9"/>
  <c r="BL37" i="9"/>
  <c r="BL38" i="9"/>
  <c r="BL39" i="9"/>
  <c r="BL40" i="9"/>
  <c r="BL41" i="9"/>
  <c r="AH42" i="9"/>
  <c r="AP42" i="9"/>
  <c r="AO42" i="9"/>
  <c r="AR42" i="9"/>
  <c r="I42" i="9"/>
  <c r="G42" i="9"/>
  <c r="T42" i="9"/>
  <c r="BK42" i="9"/>
  <c r="BL42" i="9"/>
  <c r="AH43" i="9"/>
  <c r="AP43" i="9"/>
  <c r="AO43" i="9"/>
  <c r="AR43" i="9"/>
  <c r="I43" i="9"/>
  <c r="G43" i="9"/>
  <c r="T43" i="9"/>
  <c r="BK43" i="9"/>
  <c r="BL43" i="9"/>
  <c r="AH44" i="9"/>
  <c r="AP44" i="9"/>
  <c r="AO44" i="9"/>
  <c r="AR44" i="9"/>
  <c r="I44" i="9"/>
  <c r="G44" i="9"/>
  <c r="T44" i="9"/>
  <c r="BK44" i="9"/>
  <c r="BL44" i="9"/>
  <c r="AH45" i="9"/>
  <c r="AP45" i="9"/>
  <c r="AO45" i="9"/>
  <c r="AR45" i="9"/>
  <c r="I45" i="9"/>
  <c r="G45" i="9"/>
  <c r="T45" i="9"/>
  <c r="BK45" i="9"/>
  <c r="BL45" i="9"/>
  <c r="AH46" i="9"/>
  <c r="AP46" i="9"/>
  <c r="AO46" i="9"/>
  <c r="AR46" i="9"/>
  <c r="I46" i="9"/>
  <c r="G46" i="9"/>
  <c r="T46" i="9"/>
  <c r="BK46" i="9"/>
  <c r="BL46" i="9"/>
  <c r="AH47" i="9"/>
  <c r="AP47" i="9"/>
  <c r="AO47" i="9"/>
  <c r="AR47" i="9"/>
  <c r="I47" i="9"/>
  <c r="G47" i="9"/>
  <c r="T47" i="9"/>
  <c r="BK47" i="9"/>
  <c r="BL47" i="9"/>
  <c r="AH48" i="9"/>
  <c r="AP48" i="9"/>
  <c r="AO48" i="9"/>
  <c r="AR48" i="9"/>
  <c r="I48" i="9"/>
  <c r="G48" i="9"/>
  <c r="T48" i="9"/>
  <c r="BK48" i="9"/>
  <c r="BL48" i="9"/>
  <c r="AH49" i="9"/>
  <c r="AP49" i="9"/>
  <c r="AO49" i="9"/>
  <c r="AR49" i="9"/>
  <c r="I49" i="9"/>
  <c r="G49" i="9"/>
  <c r="T49" i="9"/>
  <c r="BK49" i="9"/>
  <c r="BL49" i="9"/>
  <c r="AH50" i="9"/>
  <c r="AP50" i="9"/>
  <c r="AO50" i="9"/>
  <c r="AR50" i="9"/>
  <c r="I50" i="9"/>
  <c r="G50" i="9"/>
  <c r="T50" i="9"/>
  <c r="BK50" i="9"/>
  <c r="BL50" i="9"/>
  <c r="AH51" i="9"/>
  <c r="AP51" i="9"/>
  <c r="AO51" i="9"/>
  <c r="AR51" i="9"/>
  <c r="I51" i="9"/>
  <c r="G51" i="9"/>
  <c r="T51" i="9"/>
  <c r="BK51" i="9"/>
  <c r="BL51" i="9"/>
  <c r="AH52" i="9"/>
  <c r="AP52" i="9"/>
  <c r="AO52" i="9"/>
  <c r="AR52" i="9"/>
  <c r="I52" i="9"/>
  <c r="G52" i="9"/>
  <c r="T52" i="9"/>
  <c r="BK52" i="9"/>
  <c r="BL52" i="9"/>
  <c r="AH53" i="9"/>
  <c r="AP53" i="9"/>
  <c r="AO53" i="9"/>
  <c r="AR53" i="9"/>
  <c r="I53" i="9"/>
  <c r="G53" i="9"/>
  <c r="T53" i="9"/>
  <c r="BK53" i="9"/>
  <c r="BL53" i="9"/>
  <c r="AH54" i="9"/>
  <c r="AP54" i="9"/>
  <c r="AO54" i="9"/>
  <c r="AR54" i="9"/>
  <c r="I54" i="9"/>
  <c r="G54" i="9"/>
  <c r="T54" i="9"/>
  <c r="BK54" i="9"/>
  <c r="BL54" i="9"/>
  <c r="AH55" i="9"/>
  <c r="AP55" i="9"/>
  <c r="AO55" i="9"/>
  <c r="AR55" i="9"/>
  <c r="I55" i="9"/>
  <c r="G55" i="9"/>
  <c r="T55" i="9"/>
  <c r="BK55" i="9"/>
  <c r="BL55" i="9"/>
  <c r="AH56" i="9"/>
  <c r="AP56" i="9"/>
  <c r="AO56" i="9"/>
  <c r="AR56" i="9"/>
  <c r="I56" i="9"/>
  <c r="G56" i="9"/>
  <c r="T56" i="9"/>
  <c r="BK56" i="9"/>
  <c r="BL56" i="9"/>
  <c r="AH57" i="9"/>
  <c r="AP57" i="9"/>
  <c r="AO57" i="9"/>
  <c r="AR57" i="9"/>
  <c r="I57" i="9"/>
  <c r="G57" i="9"/>
  <c r="T57" i="9"/>
  <c r="BK57" i="9"/>
  <c r="BL57" i="9"/>
  <c r="AH58" i="9"/>
  <c r="AP58" i="9"/>
  <c r="AO58" i="9"/>
  <c r="AR58" i="9"/>
  <c r="I58" i="9"/>
  <c r="G58" i="9"/>
  <c r="T58" i="9"/>
  <c r="BK58" i="9"/>
  <c r="BL58" i="9"/>
  <c r="AH59" i="9"/>
  <c r="AP59" i="9"/>
  <c r="AO59" i="9"/>
  <c r="I59" i="9"/>
  <c r="G59" i="9"/>
  <c r="T59" i="9"/>
  <c r="BK59" i="9"/>
  <c r="BL59" i="9"/>
  <c r="AH60" i="9"/>
  <c r="AP60" i="9"/>
  <c r="AO60" i="9"/>
  <c r="AR60" i="9"/>
  <c r="I60" i="9"/>
  <c r="G60" i="9"/>
  <c r="T60" i="9"/>
  <c r="BK60" i="9"/>
  <c r="BL60" i="9"/>
  <c r="AH61" i="9"/>
  <c r="AP61" i="9"/>
  <c r="AO61" i="9"/>
  <c r="AR61" i="9"/>
  <c r="I61" i="9"/>
  <c r="G61" i="9"/>
  <c r="T61" i="9"/>
  <c r="BK61" i="9"/>
  <c r="BL61" i="9"/>
  <c r="AH62" i="9"/>
  <c r="AP62" i="9"/>
  <c r="AO62" i="9"/>
  <c r="AR62" i="9"/>
  <c r="I62" i="9"/>
  <c r="G62" i="9"/>
  <c r="T62" i="9"/>
  <c r="BK62" i="9"/>
  <c r="BL62" i="9"/>
  <c r="AH63" i="9"/>
  <c r="AP63" i="9"/>
  <c r="AO63" i="9"/>
  <c r="I63" i="9"/>
  <c r="G63" i="9"/>
  <c r="T63" i="9"/>
  <c r="BK63" i="9"/>
  <c r="BL63" i="9"/>
  <c r="AH64" i="9"/>
  <c r="AP64" i="9"/>
  <c r="AO64" i="9"/>
  <c r="AR64" i="9"/>
  <c r="I64" i="9"/>
  <c r="G64" i="9"/>
  <c r="T64" i="9"/>
  <c r="BK64" i="9"/>
  <c r="BL64" i="9"/>
  <c r="AH65" i="9"/>
  <c r="AP65" i="9"/>
  <c r="AO65" i="9"/>
  <c r="I65" i="9"/>
  <c r="G65" i="9"/>
  <c r="T65" i="9"/>
  <c r="BK65" i="9"/>
  <c r="BL65" i="9"/>
  <c r="AH66" i="9"/>
  <c r="AP66" i="9"/>
  <c r="AO66" i="9"/>
  <c r="AR66" i="9"/>
  <c r="I66" i="9"/>
  <c r="G66" i="9"/>
  <c r="T66" i="9"/>
  <c r="BK66" i="9"/>
  <c r="BL66" i="9"/>
  <c r="AH67" i="9"/>
  <c r="AP67" i="9"/>
  <c r="AO67" i="9"/>
  <c r="I67" i="9"/>
  <c r="G67" i="9"/>
  <c r="T67" i="9"/>
  <c r="BK67" i="9"/>
  <c r="BL67" i="9"/>
  <c r="AP68" i="9"/>
  <c r="AO68" i="9"/>
  <c r="AR68" i="9"/>
  <c r="I68" i="9"/>
  <c r="G68" i="9"/>
  <c r="T68" i="9"/>
  <c r="BK68" i="9"/>
  <c r="BL68" i="9"/>
  <c r="AP69" i="9"/>
  <c r="AO69" i="9"/>
  <c r="AR69" i="9"/>
  <c r="I69" i="9"/>
  <c r="G69" i="9"/>
  <c r="T69" i="9"/>
  <c r="BK69" i="9"/>
  <c r="BL69" i="9"/>
  <c r="AH70" i="9"/>
  <c r="AP70" i="9"/>
  <c r="AO70" i="9"/>
  <c r="AR70" i="9"/>
  <c r="I70" i="9"/>
  <c r="G70" i="9"/>
  <c r="T70" i="9"/>
  <c r="BK70" i="9"/>
  <c r="BL70" i="9"/>
  <c r="AH71" i="9"/>
  <c r="AP71" i="9"/>
  <c r="AO71" i="9"/>
  <c r="AR71" i="9"/>
  <c r="I71" i="9"/>
  <c r="G71" i="9"/>
  <c r="T71" i="9"/>
  <c r="BK71" i="9"/>
  <c r="BL71" i="9"/>
  <c r="AH72" i="9"/>
  <c r="AP72" i="9"/>
  <c r="AO72" i="9"/>
  <c r="AR72" i="9"/>
  <c r="I72" i="9"/>
  <c r="G72" i="9"/>
  <c r="T72" i="9"/>
  <c r="BK72" i="9"/>
  <c r="BL72" i="9"/>
  <c r="AH73" i="9"/>
  <c r="AP73" i="9"/>
  <c r="AO73" i="9"/>
  <c r="AR73" i="9"/>
  <c r="I73" i="9"/>
  <c r="G73" i="9"/>
  <c r="T73" i="9"/>
  <c r="BK73" i="9"/>
  <c r="BL73" i="9"/>
  <c r="AH74" i="9"/>
  <c r="AP74" i="9"/>
  <c r="AO74" i="9"/>
  <c r="I74" i="9"/>
  <c r="G74" i="9"/>
  <c r="T74" i="9"/>
  <c r="BK74" i="9"/>
  <c r="BL74" i="9"/>
  <c r="AH75" i="9"/>
  <c r="AP75" i="9"/>
  <c r="AO75" i="9"/>
  <c r="I75" i="9"/>
  <c r="G75" i="9"/>
  <c r="T75" i="9"/>
  <c r="BK75" i="9"/>
  <c r="BL75" i="9"/>
  <c r="AH76" i="9"/>
  <c r="AP76" i="9"/>
  <c r="AO76" i="9"/>
  <c r="I76" i="9"/>
  <c r="G76" i="9"/>
  <c r="T76" i="9"/>
  <c r="BK76" i="9"/>
  <c r="BL76" i="9"/>
  <c r="AH77" i="9"/>
  <c r="AP77" i="9"/>
  <c r="AO77" i="9"/>
  <c r="I77" i="9"/>
  <c r="G77" i="9"/>
  <c r="T77" i="9"/>
  <c r="BK77" i="9"/>
  <c r="BL77" i="9"/>
  <c r="AH78" i="9"/>
  <c r="AP78" i="9"/>
  <c r="AO78" i="9"/>
  <c r="I78" i="9"/>
  <c r="G78" i="9"/>
  <c r="T78" i="9"/>
  <c r="BK78" i="9"/>
  <c r="BL78" i="9"/>
  <c r="AH79" i="9"/>
  <c r="AP79" i="9"/>
  <c r="AO79" i="9"/>
  <c r="I79" i="9"/>
  <c r="G79" i="9"/>
  <c r="T79" i="9"/>
  <c r="BK79" i="9"/>
  <c r="BL79" i="9"/>
  <c r="AH80" i="9"/>
  <c r="AP80" i="9"/>
  <c r="AO80" i="9"/>
  <c r="I80" i="9"/>
  <c r="G80" i="9"/>
  <c r="T80" i="9"/>
  <c r="BK80" i="9"/>
  <c r="BL80" i="9"/>
  <c r="AH81" i="9"/>
  <c r="AP81" i="9"/>
  <c r="AO81" i="9"/>
  <c r="I81" i="9"/>
  <c r="G81" i="9"/>
  <c r="T81" i="9"/>
  <c r="BK81" i="9"/>
  <c r="BL81" i="9"/>
  <c r="AH82" i="9"/>
  <c r="AP82" i="9"/>
  <c r="AO82" i="9"/>
  <c r="I82" i="9"/>
  <c r="G82" i="9"/>
  <c r="T82" i="9"/>
  <c r="BK82" i="9"/>
  <c r="BL82" i="9"/>
  <c r="AH83" i="9"/>
  <c r="AP83" i="9"/>
  <c r="AO83" i="9"/>
  <c r="I83" i="9"/>
  <c r="G83" i="9"/>
  <c r="T83" i="9"/>
  <c r="BK83" i="9"/>
  <c r="BL83" i="9"/>
  <c r="AH84" i="9"/>
  <c r="AP84" i="9"/>
  <c r="AO84" i="9"/>
  <c r="I84" i="9"/>
  <c r="G84" i="9"/>
  <c r="T84" i="9"/>
  <c r="BK84" i="9"/>
  <c r="BL84" i="9"/>
  <c r="AH85" i="9"/>
  <c r="AP85" i="9"/>
  <c r="AO85" i="9"/>
  <c r="I85" i="9"/>
  <c r="G85" i="9"/>
  <c r="T85" i="9"/>
  <c r="BK85" i="9"/>
  <c r="BL85" i="9"/>
  <c r="AH86" i="9"/>
  <c r="AP86" i="9"/>
  <c r="AO86" i="9"/>
  <c r="I86" i="9"/>
  <c r="G86" i="9"/>
  <c r="T86" i="9"/>
  <c r="BK86" i="9"/>
  <c r="BL86" i="9"/>
  <c r="AH87" i="9"/>
  <c r="AP87" i="9"/>
  <c r="AO87" i="9"/>
  <c r="I87" i="9"/>
  <c r="G87" i="9"/>
  <c r="T87" i="9"/>
  <c r="BK87" i="9"/>
  <c r="BL87" i="9"/>
  <c r="AH88" i="9"/>
  <c r="AP88" i="9"/>
  <c r="AO88" i="9"/>
  <c r="I88" i="9"/>
  <c r="G88" i="9"/>
  <c r="T88" i="9"/>
  <c r="BK88" i="9"/>
  <c r="BL88" i="9"/>
  <c r="AH89" i="9"/>
  <c r="AP89" i="9"/>
  <c r="AO89" i="9"/>
  <c r="I89" i="9"/>
  <c r="G89" i="9"/>
  <c r="T89" i="9"/>
  <c r="BK89" i="9"/>
  <c r="BL89" i="9"/>
  <c r="AH90" i="9"/>
  <c r="AP90" i="9"/>
  <c r="AO90" i="9"/>
  <c r="I90" i="9"/>
  <c r="G90" i="9"/>
  <c r="T90" i="9"/>
  <c r="BK90" i="9"/>
  <c r="BL90" i="9"/>
  <c r="AH91" i="9"/>
  <c r="AP91" i="9"/>
  <c r="AO91" i="9"/>
  <c r="I91" i="9"/>
  <c r="G91" i="9"/>
  <c r="T91" i="9"/>
  <c r="BK91" i="9"/>
  <c r="BL91" i="9"/>
  <c r="AH92" i="9"/>
  <c r="AP92" i="9"/>
  <c r="AO92" i="9"/>
  <c r="I92" i="9"/>
  <c r="G92" i="9"/>
  <c r="T92" i="9"/>
  <c r="BK92" i="9"/>
  <c r="BL92" i="9"/>
  <c r="AH93" i="9"/>
  <c r="AP93" i="9"/>
  <c r="AO93" i="9"/>
  <c r="I93" i="9"/>
  <c r="G93" i="9"/>
  <c r="T93" i="9"/>
  <c r="BK93" i="9"/>
  <c r="BL93" i="9"/>
  <c r="AH94" i="9"/>
  <c r="AP94" i="9"/>
  <c r="AO94" i="9"/>
  <c r="I94" i="9"/>
  <c r="G94" i="9"/>
  <c r="T94" i="9"/>
  <c r="BK94" i="9"/>
  <c r="BL94" i="9"/>
  <c r="AH95" i="9"/>
  <c r="AP95" i="9"/>
  <c r="AO95" i="9"/>
  <c r="I95" i="9"/>
  <c r="G95" i="9"/>
  <c r="T95" i="9"/>
  <c r="BK95" i="9"/>
  <c r="BL95" i="9"/>
  <c r="AH96" i="9"/>
  <c r="AP96" i="9"/>
  <c r="AO96" i="9"/>
  <c r="I96" i="9"/>
  <c r="G96" i="9"/>
  <c r="T96" i="9"/>
  <c r="BK96" i="9"/>
  <c r="BL96" i="9"/>
  <c r="AH97" i="9"/>
  <c r="AP97" i="9"/>
  <c r="AO97" i="9"/>
  <c r="I97" i="9"/>
  <c r="G97" i="9"/>
  <c r="T97" i="9"/>
  <c r="BK97" i="9"/>
  <c r="BL97" i="9"/>
  <c r="AH98" i="9"/>
  <c r="AP98" i="9"/>
  <c r="AO98" i="9"/>
  <c r="I98" i="9"/>
  <c r="G98" i="9"/>
  <c r="T98" i="9"/>
  <c r="BK98" i="9"/>
  <c r="BL98" i="9"/>
  <c r="AH99" i="9"/>
  <c r="AP99" i="9"/>
  <c r="AO99" i="9"/>
  <c r="I99" i="9"/>
  <c r="G99" i="9"/>
  <c r="T99" i="9"/>
  <c r="BK99" i="9"/>
  <c r="BL99" i="9"/>
  <c r="AH100" i="9"/>
  <c r="AP100" i="9"/>
  <c r="AO100" i="9"/>
  <c r="I100" i="9"/>
  <c r="G100" i="9"/>
  <c r="T100" i="9"/>
  <c r="BK100" i="9"/>
  <c r="BL100" i="9"/>
  <c r="AH101" i="9"/>
  <c r="AP101" i="9"/>
  <c r="AO101" i="9"/>
  <c r="I101" i="9"/>
  <c r="G101" i="9"/>
  <c r="T101" i="9"/>
  <c r="BK101" i="9"/>
  <c r="BL101" i="9"/>
  <c r="AH102" i="9"/>
  <c r="AP102" i="9"/>
  <c r="AO102" i="9"/>
  <c r="I102" i="9"/>
  <c r="G102" i="9"/>
  <c r="T102" i="9"/>
  <c r="BK102" i="9"/>
  <c r="BL102" i="9"/>
  <c r="AH103" i="9"/>
  <c r="AP103" i="9"/>
  <c r="AO103" i="9"/>
  <c r="I103" i="9"/>
  <c r="G103" i="9"/>
  <c r="T103" i="9"/>
  <c r="BK103" i="9"/>
  <c r="BL103" i="9"/>
  <c r="AH104" i="9"/>
  <c r="AP104" i="9"/>
  <c r="AO104" i="9"/>
  <c r="I104" i="9"/>
  <c r="G104" i="9"/>
  <c r="T104" i="9"/>
  <c r="BK104" i="9"/>
  <c r="BL104" i="9"/>
  <c r="AH105" i="9"/>
  <c r="AP105" i="9"/>
  <c r="AO105" i="9"/>
  <c r="I105" i="9"/>
  <c r="G105" i="9"/>
  <c r="T105" i="9"/>
  <c r="BK105" i="9"/>
  <c r="BL105" i="9"/>
  <c r="AH106" i="9"/>
  <c r="AP106" i="9"/>
  <c r="AO106" i="9"/>
  <c r="I106" i="9"/>
  <c r="G106" i="9"/>
  <c r="T106" i="9"/>
  <c r="BK106" i="9"/>
  <c r="BL106" i="9"/>
  <c r="AH107" i="9"/>
  <c r="T107" i="9"/>
  <c r="AP107" i="9"/>
  <c r="AO107" i="9"/>
  <c r="I107" i="9"/>
  <c r="G107" i="9"/>
  <c r="BK107" i="9"/>
  <c r="BL107" i="9"/>
  <c r="AH108" i="9"/>
  <c r="T108" i="9"/>
  <c r="AP108" i="9"/>
  <c r="AO108" i="9"/>
  <c r="I108" i="9"/>
  <c r="G108" i="9"/>
  <c r="BK108" i="9"/>
  <c r="BL108" i="9"/>
  <c r="EA106" i="9"/>
  <c r="EA107" i="9"/>
  <c r="EA108" i="9"/>
  <c r="CE106" i="9"/>
  <c r="CE107" i="9"/>
  <c r="CE108" i="9"/>
  <c r="CE92" i="9"/>
  <c r="CE93" i="9"/>
  <c r="CE94" i="9"/>
  <c r="CE95" i="9"/>
  <c r="CE96" i="9"/>
  <c r="CE97" i="9"/>
  <c r="CE98" i="9"/>
  <c r="CE99" i="9"/>
  <c r="CE100" i="9"/>
  <c r="CE101" i="9"/>
  <c r="CE103" i="9"/>
  <c r="CE104" i="9"/>
  <c r="CE105" i="9"/>
  <c r="CE91" i="9"/>
  <c r="CG106" i="9"/>
  <c r="CG107" i="9"/>
  <c r="CG108" i="9"/>
  <c r="CD106" i="9"/>
  <c r="CD107" i="9"/>
  <c r="CD108" i="9"/>
  <c r="BV21" i="9" a="1"/>
  <c r="BV21" i="9"/>
  <c r="BV22" i="9"/>
  <c r="BV23" i="9"/>
  <c r="BV24" i="9"/>
  <c r="BV25" i="9"/>
  <c r="BV26" i="9"/>
  <c r="BV27" i="9"/>
  <c r="BV28" i="9"/>
  <c r="BV29" i="9"/>
  <c r="BV30" i="9"/>
  <c r="BV31" i="9"/>
  <c r="BV32" i="9"/>
  <c r="BV33" i="9"/>
  <c r="BV34" i="9"/>
  <c r="BV35" i="9"/>
  <c r="BV36" i="9"/>
  <c r="BV37" i="9"/>
  <c r="BV38" i="9"/>
  <c r="BV39" i="9"/>
  <c r="BV40" i="9"/>
  <c r="BV41" i="9"/>
  <c r="BV42" i="9"/>
  <c r="BV43" i="9"/>
  <c r="BV44" i="9"/>
  <c r="BV45" i="9"/>
  <c r="BV46" i="9"/>
  <c r="BV47" i="9"/>
  <c r="BV48" i="9"/>
  <c r="BV49" i="9"/>
  <c r="BV50" i="9"/>
  <c r="BV51" i="9"/>
  <c r="BV52" i="9"/>
  <c r="BV53" i="9"/>
  <c r="BV54" i="9"/>
  <c r="BV55" i="9"/>
  <c r="BV56" i="9"/>
  <c r="BV57" i="9"/>
  <c r="BV58" i="9"/>
  <c r="BV59" i="9"/>
  <c r="BV60" i="9"/>
  <c r="BV61" i="9"/>
  <c r="BV62" i="9"/>
  <c r="BV63" i="9"/>
  <c r="BV64" i="9"/>
  <c r="BV65" i="9"/>
  <c r="BV66" i="9"/>
  <c r="BV67" i="9"/>
  <c r="BV68" i="9"/>
  <c r="BV69" i="9"/>
  <c r="BV70" i="9"/>
  <c r="BV71" i="9"/>
  <c r="BV72" i="9"/>
  <c r="BV73" i="9"/>
  <c r="BV74" i="9"/>
  <c r="BV75" i="9"/>
  <c r="BV76" i="9"/>
  <c r="BV77" i="9"/>
  <c r="BV78" i="9"/>
  <c r="BV79" i="9"/>
  <c r="BV80" i="9"/>
  <c r="BV81" i="9"/>
  <c r="BV82" i="9"/>
  <c r="BV83" i="9"/>
  <c r="BV84" i="9"/>
  <c r="BV85" i="9"/>
  <c r="BV86" i="9"/>
  <c r="BV87" i="9"/>
  <c r="BV88" i="9"/>
  <c r="BV89" i="9"/>
  <c r="BV90" i="9"/>
  <c r="BV91" i="9"/>
  <c r="BV92" i="9"/>
  <c r="BV93" i="9"/>
  <c r="BV94" i="9"/>
  <c r="BV95" i="9"/>
  <c r="BV96" i="9"/>
  <c r="BV97" i="9"/>
  <c r="BV98" i="9"/>
  <c r="BV99" i="9"/>
  <c r="BV100" i="9"/>
  <c r="BV101" i="9"/>
  <c r="BV102" i="9"/>
  <c r="BV103" i="9"/>
  <c r="BV104" i="9"/>
  <c r="BV105" i="9"/>
  <c r="BV106" i="9"/>
  <c r="BV107" i="9"/>
  <c r="BV108" i="9"/>
  <c r="BT21" i="9" a="1"/>
  <c r="BT21" i="9"/>
  <c r="BT22" i="9"/>
  <c r="BT23" i="9"/>
  <c r="BT24" i="9"/>
  <c r="BT25" i="9"/>
  <c r="BT26" i="9"/>
  <c r="BT27" i="9"/>
  <c r="BT28" i="9"/>
  <c r="BT29" i="9"/>
  <c r="BT30" i="9"/>
  <c r="BT31" i="9"/>
  <c r="BT32" i="9"/>
  <c r="BT33" i="9"/>
  <c r="BT34" i="9"/>
  <c r="BT35" i="9"/>
  <c r="BT36" i="9"/>
  <c r="BT37" i="9"/>
  <c r="BT38" i="9"/>
  <c r="BT39" i="9"/>
  <c r="BT40" i="9"/>
  <c r="BT41" i="9"/>
  <c r="BT42" i="9"/>
  <c r="BT43" i="9"/>
  <c r="BT44" i="9"/>
  <c r="BT45" i="9"/>
  <c r="BT46" i="9"/>
  <c r="BT47" i="9"/>
  <c r="BT48" i="9"/>
  <c r="BT49" i="9"/>
  <c r="BT50" i="9"/>
  <c r="BT51" i="9"/>
  <c r="BT52" i="9"/>
  <c r="BT53" i="9"/>
  <c r="BT54" i="9"/>
  <c r="BT55" i="9"/>
  <c r="BT56" i="9"/>
  <c r="BT57" i="9"/>
  <c r="BT58" i="9"/>
  <c r="BT59" i="9"/>
  <c r="BT60" i="9"/>
  <c r="BT61" i="9"/>
  <c r="BT62" i="9"/>
  <c r="BT63" i="9"/>
  <c r="BT64" i="9"/>
  <c r="BT65" i="9"/>
  <c r="BT66" i="9"/>
  <c r="BT67" i="9"/>
  <c r="BT68" i="9"/>
  <c r="BT69" i="9"/>
  <c r="BT70" i="9"/>
  <c r="BT71" i="9"/>
  <c r="BT72" i="9"/>
  <c r="BT73" i="9"/>
  <c r="BT74" i="9"/>
  <c r="BT75" i="9"/>
  <c r="BT76" i="9"/>
  <c r="BT77" i="9"/>
  <c r="BT78" i="9"/>
  <c r="BT79" i="9"/>
  <c r="BT80" i="9"/>
  <c r="BT81" i="9"/>
  <c r="BT82" i="9"/>
  <c r="BT83" i="9"/>
  <c r="BT84" i="9"/>
  <c r="BT85" i="9"/>
  <c r="BT86" i="9"/>
  <c r="BT87" i="9"/>
  <c r="BT88" i="9"/>
  <c r="BT89" i="9"/>
  <c r="BT90" i="9"/>
  <c r="BT91" i="9"/>
  <c r="BT92" i="9"/>
  <c r="BT93" i="9"/>
  <c r="BT94" i="9"/>
  <c r="BT95" i="9"/>
  <c r="BT96" i="9"/>
  <c r="BT97" i="9"/>
  <c r="BT98" i="9"/>
  <c r="BT99" i="9"/>
  <c r="BT100" i="9"/>
  <c r="BT101" i="9"/>
  <c r="BT102" i="9"/>
  <c r="BT103" i="9"/>
  <c r="BT104" i="9"/>
  <c r="BT105" i="9"/>
  <c r="BT106" i="9"/>
  <c r="BT107" i="9"/>
  <c r="BT108" i="9"/>
  <c r="BS21" i="9" a="1"/>
  <c r="BS21" i="9"/>
  <c r="BS22" i="9"/>
  <c r="BS23" i="9"/>
  <c r="BS24" i="9"/>
  <c r="BS25" i="9"/>
  <c r="BS26" i="9"/>
  <c r="BS27" i="9"/>
  <c r="BS28" i="9"/>
  <c r="BS29" i="9"/>
  <c r="BS30" i="9"/>
  <c r="BS31" i="9"/>
  <c r="BS32" i="9"/>
  <c r="BS33" i="9"/>
  <c r="BS34" i="9"/>
  <c r="BS35" i="9"/>
  <c r="BS36" i="9"/>
  <c r="BS37" i="9"/>
  <c r="BS38" i="9"/>
  <c r="BS39" i="9"/>
  <c r="BS40" i="9"/>
  <c r="BS41" i="9"/>
  <c r="BS42" i="9"/>
  <c r="BS43" i="9"/>
  <c r="BS44" i="9"/>
  <c r="BS45" i="9"/>
  <c r="BS46" i="9"/>
  <c r="BS47" i="9"/>
  <c r="BS48" i="9"/>
  <c r="BS49" i="9"/>
  <c r="BS50" i="9"/>
  <c r="BS51" i="9"/>
  <c r="BS52" i="9"/>
  <c r="BS53" i="9"/>
  <c r="BS54" i="9"/>
  <c r="BS55" i="9"/>
  <c r="BS56" i="9"/>
  <c r="BS57" i="9"/>
  <c r="BS58" i="9"/>
  <c r="BS59" i="9"/>
  <c r="BS60" i="9"/>
  <c r="BS61" i="9"/>
  <c r="BS62" i="9"/>
  <c r="BS63" i="9"/>
  <c r="BS64" i="9"/>
  <c r="BS65" i="9"/>
  <c r="BS66" i="9"/>
  <c r="BS67" i="9"/>
  <c r="BS68" i="9"/>
  <c r="BS69" i="9"/>
  <c r="BS70" i="9"/>
  <c r="BS71" i="9"/>
  <c r="BS72" i="9"/>
  <c r="BS73" i="9"/>
  <c r="BS74" i="9"/>
  <c r="BS75" i="9"/>
  <c r="BS76" i="9"/>
  <c r="BS77" i="9"/>
  <c r="BS78" i="9"/>
  <c r="BS79" i="9"/>
  <c r="BS80" i="9"/>
  <c r="BS81" i="9"/>
  <c r="BS82" i="9"/>
  <c r="BS83" i="9"/>
  <c r="BS84" i="9"/>
  <c r="BS85" i="9"/>
  <c r="BS86" i="9"/>
  <c r="BS87" i="9"/>
  <c r="BS88" i="9"/>
  <c r="BS89" i="9"/>
  <c r="BS90" i="9"/>
  <c r="BS91" i="9"/>
  <c r="BS92" i="9"/>
  <c r="BS93" i="9"/>
  <c r="BS94" i="9"/>
  <c r="BS95" i="9"/>
  <c r="BS96" i="9"/>
  <c r="BS97" i="9"/>
  <c r="BS98" i="9"/>
  <c r="BS99" i="9"/>
  <c r="BS100" i="9"/>
  <c r="BS101" i="9"/>
  <c r="BS102" i="9"/>
  <c r="BS103" i="9"/>
  <c r="BS104" i="9"/>
  <c r="BS105" i="9"/>
  <c r="BS106" i="9"/>
  <c r="BS107" i="9"/>
  <c r="BS108" i="9"/>
  <c r="BR106" i="9"/>
  <c r="BP106" i="9"/>
  <c r="BQ106" i="9"/>
  <c r="BU106" i="9"/>
  <c r="BW106" i="9"/>
  <c r="BX106" i="9"/>
  <c r="BY106" i="9"/>
  <c r="CA106" i="9"/>
  <c r="CB106" i="9"/>
  <c r="BR107" i="9"/>
  <c r="BP107" i="9"/>
  <c r="BQ107" i="9"/>
  <c r="BU107" i="9"/>
  <c r="BW107" i="9"/>
  <c r="BX107" i="9"/>
  <c r="BY107" i="9"/>
  <c r="CA107" i="9"/>
  <c r="CB107" i="9"/>
  <c r="BR108" i="9"/>
  <c r="BP108" i="9"/>
  <c r="BQ108" i="9"/>
  <c r="BU108" i="9"/>
  <c r="BW108" i="9"/>
  <c r="BX108" i="9"/>
  <c r="BY108" i="9"/>
  <c r="CA108" i="9"/>
  <c r="CB108" i="9"/>
  <c r="E192" i="9"/>
  <c r="O102" i="9"/>
  <c r="AQ102" i="9"/>
  <c r="O103" i="9"/>
  <c r="AQ103" i="9"/>
  <c r="O104" i="9"/>
  <c r="AQ104" i="9"/>
  <c r="O105" i="9"/>
  <c r="AQ105" i="9"/>
  <c r="O106" i="9"/>
  <c r="AQ106" i="9"/>
  <c r="O107" i="9"/>
  <c r="AQ107" i="9"/>
  <c r="O108" i="9"/>
  <c r="AQ108" i="9"/>
  <c r="AQ192" i="9"/>
  <c r="BF192" i="9"/>
  <c r="AL102" i="9"/>
  <c r="AN102" i="9"/>
  <c r="BH102" i="9"/>
  <c r="AL103" i="9"/>
  <c r="AN103" i="9"/>
  <c r="BH103" i="9"/>
  <c r="AL104" i="9"/>
  <c r="AN104" i="9"/>
  <c r="BH104" i="9"/>
  <c r="AL105" i="9"/>
  <c r="AN105" i="9"/>
  <c r="BH105" i="9"/>
  <c r="AL106" i="9"/>
  <c r="AN106" i="9"/>
  <c r="BH106" i="9"/>
  <c r="AN107" i="9"/>
  <c r="AL107" i="9"/>
  <c r="BH107" i="9"/>
  <c r="AN108" i="9"/>
  <c r="AL108" i="9"/>
  <c r="BH108" i="9"/>
  <c r="BH192" i="9"/>
  <c r="BI102" i="9"/>
  <c r="BI103" i="9"/>
  <c r="BI104" i="9"/>
  <c r="BI105" i="9"/>
  <c r="BI106" i="9"/>
  <c r="BI107" i="9"/>
  <c r="BI108" i="9"/>
  <c r="BI192" i="9"/>
  <c r="Z102" i="9"/>
  <c r="Z103" i="9"/>
  <c r="AC103" i="9"/>
  <c r="AC104" i="9"/>
  <c r="AD104" i="9"/>
  <c r="AD105" i="9"/>
  <c r="AC105" i="9"/>
  <c r="Q21" i="9" a="1"/>
  <c r="Q106" i="9"/>
  <c r="BN106" i="9"/>
  <c r="R21" i="9" a="1"/>
  <c r="R106" i="9"/>
  <c r="BO106" i="9"/>
  <c r="Q107" i="9"/>
  <c r="BN107" i="9"/>
  <c r="S106" i="9"/>
  <c r="S107" i="9"/>
  <c r="R107" i="9"/>
  <c r="BO107" i="9"/>
  <c r="Q108" i="9"/>
  <c r="BN108" i="9"/>
  <c r="S108" i="9"/>
  <c r="R108" i="9"/>
  <c r="BO108" i="9"/>
  <c r="V21" i="9" a="1"/>
  <c r="V106" i="9"/>
  <c r="BJ106" i="9"/>
  <c r="W106" i="9"/>
  <c r="W107" i="9"/>
  <c r="V107" i="9"/>
  <c r="BJ107" i="9"/>
  <c r="W108" i="9"/>
  <c r="V108" i="9"/>
  <c r="BJ108" i="9"/>
  <c r="AR21" i="9"/>
  <c r="AR22" i="9"/>
  <c r="AR23" i="9"/>
  <c r="AR24" i="9"/>
  <c r="AR25" i="9"/>
  <c r="AO21" i="9"/>
  <c r="AO22" i="9"/>
  <c r="AO23" i="9"/>
  <c r="AO24" i="9"/>
  <c r="AO25" i="9"/>
  <c r="AN21" i="9"/>
  <c r="AN22" i="9"/>
  <c r="AN23" i="9"/>
  <c r="AN24" i="9"/>
  <c r="AN25" i="9"/>
  <c r="AN42" i="9"/>
  <c r="AN43" i="9"/>
  <c r="AN44" i="9"/>
  <c r="AN45" i="9"/>
  <c r="AN46" i="9"/>
  <c r="AN47" i="9"/>
  <c r="AN48" i="9"/>
  <c r="AN49" i="9"/>
  <c r="AN50" i="9"/>
  <c r="AN51" i="9"/>
  <c r="AN52" i="9"/>
  <c r="AN53" i="9"/>
  <c r="AN54" i="9"/>
  <c r="AN55" i="9"/>
  <c r="AN56" i="9"/>
  <c r="AN57" i="9"/>
  <c r="AN58" i="9"/>
  <c r="AN59" i="9"/>
  <c r="AN60" i="9"/>
  <c r="AN61" i="9"/>
  <c r="AN62" i="9"/>
  <c r="AN63" i="9"/>
  <c r="AN64" i="9"/>
  <c r="AN65" i="9"/>
  <c r="AN66" i="9"/>
  <c r="AN67" i="9"/>
  <c r="AN68" i="9"/>
  <c r="AN69" i="9"/>
  <c r="AN70" i="9"/>
  <c r="AN71" i="9"/>
  <c r="AN72" i="9"/>
  <c r="AN73" i="9"/>
  <c r="AN74" i="9"/>
  <c r="AN75" i="9"/>
  <c r="AN76" i="9"/>
  <c r="AN77" i="9"/>
  <c r="AN78" i="9"/>
  <c r="AN79" i="9"/>
  <c r="AN80" i="9"/>
  <c r="AN81" i="9"/>
  <c r="AN82" i="9"/>
  <c r="AN83" i="9"/>
  <c r="AN84" i="9"/>
  <c r="AN85" i="9"/>
  <c r="AN86" i="9"/>
  <c r="AN87" i="9"/>
  <c r="AN88" i="9"/>
  <c r="AN89" i="9"/>
  <c r="AN90" i="9"/>
  <c r="AN91" i="9"/>
  <c r="AN92" i="9"/>
  <c r="AN93" i="9"/>
  <c r="AN94" i="9"/>
  <c r="AN95" i="9"/>
  <c r="AN96" i="9"/>
  <c r="AN97" i="9"/>
  <c r="AN98" i="9"/>
  <c r="AN99" i="9"/>
  <c r="AN100" i="9"/>
  <c r="AN101" i="9"/>
  <c r="AL22" i="9"/>
  <c r="AL23" i="9"/>
  <c r="AL24" i="9"/>
  <c r="AL25" i="9"/>
  <c r="AL42" i="9"/>
  <c r="AL43" i="9"/>
  <c r="AL44" i="9"/>
  <c r="AL45" i="9"/>
  <c r="AL46" i="9"/>
  <c r="AL47" i="9"/>
  <c r="AL48" i="9"/>
  <c r="AL49" i="9"/>
  <c r="AL50" i="9"/>
  <c r="AL51" i="9"/>
  <c r="AL52" i="9"/>
  <c r="AL53" i="9"/>
  <c r="AL54" i="9"/>
  <c r="AL55" i="9"/>
  <c r="AL56" i="9"/>
  <c r="AL57" i="9"/>
  <c r="AL58" i="9"/>
  <c r="AL59" i="9"/>
  <c r="AL60" i="9"/>
  <c r="AL61" i="9"/>
  <c r="AL62" i="9"/>
  <c r="AL63" i="9"/>
  <c r="AL64" i="9"/>
  <c r="AL65" i="9"/>
  <c r="AL66" i="9"/>
  <c r="AL67" i="9"/>
  <c r="AL68" i="9"/>
  <c r="AL69" i="9"/>
  <c r="AL70" i="9"/>
  <c r="AL71" i="9"/>
  <c r="AL72" i="9"/>
  <c r="AL73" i="9"/>
  <c r="AL74" i="9"/>
  <c r="AL75" i="9"/>
  <c r="AL76" i="9"/>
  <c r="AL77" i="9"/>
  <c r="AL78" i="9"/>
  <c r="AL79" i="9"/>
  <c r="AL80" i="9"/>
  <c r="AL81" i="9"/>
  <c r="AL82" i="9"/>
  <c r="AL83" i="9"/>
  <c r="AL84" i="9"/>
  <c r="AL85" i="9"/>
  <c r="AL86" i="9"/>
  <c r="AL87" i="9"/>
  <c r="AL88" i="9"/>
  <c r="AL89" i="9"/>
  <c r="AL90" i="9"/>
  <c r="AL91" i="9"/>
  <c r="AL92" i="9"/>
  <c r="AL93" i="9"/>
  <c r="AL94" i="9"/>
  <c r="AL95" i="9"/>
  <c r="AL96" i="9"/>
  <c r="AL97" i="9"/>
  <c r="AL98" i="9"/>
  <c r="AL99" i="9"/>
  <c r="AL100" i="9"/>
  <c r="AL101" i="9"/>
  <c r="AL21" i="9"/>
  <c r="AK106" i="9"/>
  <c r="AK107" i="9"/>
  <c r="AK108"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55" i="9"/>
  <c r="V56" i="9"/>
  <c r="V57" i="9"/>
  <c r="V58" i="9"/>
  <c r="V59" i="9"/>
  <c r="V60" i="9"/>
  <c r="V61" i="9"/>
  <c r="V62" i="9"/>
  <c r="V63" i="9"/>
  <c r="V64" i="9"/>
  <c r="V65" i="9"/>
  <c r="V66" i="9"/>
  <c r="V67" i="9"/>
  <c r="V68" i="9"/>
  <c r="V69" i="9"/>
  <c r="V70" i="9"/>
  <c r="V71" i="9"/>
  <c r="V72" i="9"/>
  <c r="V73" i="9"/>
  <c r="V74" i="9"/>
  <c r="V75" i="9"/>
  <c r="V76" i="9"/>
  <c r="V77" i="9"/>
  <c r="V78" i="9"/>
  <c r="V79" i="9"/>
  <c r="V80" i="9"/>
  <c r="V81" i="9"/>
  <c r="V82" i="9"/>
  <c r="V83" i="9"/>
  <c r="V84" i="9"/>
  <c r="V85" i="9"/>
  <c r="V86" i="9"/>
  <c r="V87" i="9"/>
  <c r="V88" i="9"/>
  <c r="V89" i="9"/>
  <c r="V90" i="9"/>
  <c r="V91" i="9"/>
  <c r="V92" i="9"/>
  <c r="V93" i="9"/>
  <c r="V94" i="9"/>
  <c r="V95" i="9"/>
  <c r="V96" i="9"/>
  <c r="V97" i="9"/>
  <c r="V98" i="9"/>
  <c r="V99" i="9"/>
  <c r="V100" i="9"/>
  <c r="V101" i="9"/>
  <c r="V102" i="9"/>
  <c r="V103" i="9"/>
  <c r="V104" i="9"/>
  <c r="V105"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R21" i="9"/>
  <c r="R22" i="9"/>
  <c r="R23" i="9"/>
  <c r="R24" i="9"/>
  <c r="R25" i="9"/>
  <c r="R26" i="9"/>
  <c r="R27" i="9"/>
  <c r="R28" i="9"/>
  <c r="R29" i="9"/>
  <c r="R30" i="9"/>
  <c r="R31" i="9"/>
  <c r="R32" i="9"/>
  <c r="R33" i="9"/>
  <c r="R34" i="9"/>
  <c r="R35" i="9"/>
  <c r="R36" i="9"/>
  <c r="R37" i="9"/>
  <c r="R38" i="9"/>
  <c r="R39" i="9"/>
  <c r="R40" i="9"/>
  <c r="R41" i="9"/>
  <c r="R42" i="9"/>
  <c r="R43" i="9"/>
  <c r="R44" i="9"/>
  <c r="R45" i="9"/>
  <c r="R46" i="9"/>
  <c r="R47" i="9"/>
  <c r="R48" i="9"/>
  <c r="R49" i="9"/>
  <c r="R50" i="9"/>
  <c r="R51" i="9"/>
  <c r="R52" i="9"/>
  <c r="R53" i="9"/>
  <c r="R54" i="9"/>
  <c r="R55" i="9"/>
  <c r="R56" i="9"/>
  <c r="R57" i="9"/>
  <c r="R58" i="9"/>
  <c r="R59" i="9"/>
  <c r="R60" i="9"/>
  <c r="R61" i="9"/>
  <c r="R62" i="9"/>
  <c r="R63" i="9"/>
  <c r="R64" i="9"/>
  <c r="R65" i="9"/>
  <c r="R66" i="9"/>
  <c r="R67"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T21" i="9"/>
  <c r="T22" i="9"/>
  <c r="T23" i="9"/>
  <c r="T24" i="9"/>
  <c r="T25" i="9"/>
  <c r="AP21" i="9"/>
  <c r="AP22" i="9"/>
  <c r="AP23" i="9"/>
  <c r="AP24" i="9"/>
  <c r="AP25" i="9"/>
  <c r="AJ106" i="9"/>
  <c r="AJ107" i="9"/>
  <c r="AJ108" i="9"/>
  <c r="AI106" i="9"/>
  <c r="AI107" i="9"/>
  <c r="AI108" i="9"/>
  <c r="AH21" i="9"/>
  <c r="AH22" i="9"/>
  <c r="AH23" i="9"/>
  <c r="AH24" i="9"/>
  <c r="AH25" i="9"/>
  <c r="W105" i="9"/>
  <c r="W104" i="9"/>
  <c r="U21" i="9" a="1"/>
  <c r="U21" i="9"/>
  <c r="U22" i="9"/>
  <c r="U23" i="9"/>
  <c r="U24" i="9"/>
  <c r="U25" i="9"/>
  <c r="U26" i="9"/>
  <c r="U27" i="9"/>
  <c r="U28" i="9"/>
  <c r="U29" i="9"/>
  <c r="U30" i="9"/>
  <c r="U31"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U101" i="9"/>
  <c r="U102" i="9"/>
  <c r="U103" i="9"/>
  <c r="U104" i="9"/>
  <c r="U105" i="9"/>
  <c r="U106" i="9"/>
  <c r="U107" i="9"/>
  <c r="U108" i="9"/>
  <c r="S104" i="9"/>
  <c r="S105" i="9"/>
  <c r="S103" i="9"/>
  <c r="M106" i="9"/>
  <c r="M107" i="9"/>
  <c r="M108" i="9"/>
  <c r="CK48" i="11"/>
  <c r="CL48" i="11"/>
  <c r="CK49" i="11"/>
  <c r="CL49" i="11"/>
  <c r="CK50" i="11"/>
  <c r="CL50" i="11"/>
  <c r="CK51" i="11"/>
  <c r="CL51" i="11"/>
  <c r="CJ49" i="11"/>
  <c r="CJ50" i="11"/>
  <c r="CJ51" i="11"/>
  <c r="CJ48" i="11"/>
  <c r="K106" i="9"/>
  <c r="K107" i="9"/>
  <c r="K108" i="9"/>
  <c r="J106" i="9"/>
  <c r="J107" i="9"/>
  <c r="J108" i="9"/>
  <c r="H106" i="9"/>
  <c r="H107" i="9"/>
  <c r="H108" i="9"/>
  <c r="F106" i="9"/>
  <c r="F107" i="9"/>
  <c r="F108" i="9"/>
  <c r="O22" i="9"/>
  <c r="AQ22" i="9"/>
  <c r="O23" i="9"/>
  <c r="AQ23" i="9"/>
  <c r="O24" i="9"/>
  <c r="AQ24" i="9"/>
  <c r="O25" i="9"/>
  <c r="AQ25" i="9"/>
  <c r="O26" i="9"/>
  <c r="AQ26" i="9"/>
  <c r="O27" i="9"/>
  <c r="AQ27" i="9"/>
  <c r="O28" i="9"/>
  <c r="AQ28" i="9"/>
  <c r="O29" i="9"/>
  <c r="AQ29" i="9"/>
  <c r="O30" i="9"/>
  <c r="AQ30" i="9"/>
  <c r="O31" i="9"/>
  <c r="AQ31" i="9"/>
  <c r="O32" i="9"/>
  <c r="AQ32" i="9"/>
  <c r="O33" i="9"/>
  <c r="AQ33" i="9"/>
  <c r="O34" i="9"/>
  <c r="AQ34" i="9"/>
  <c r="O35" i="9"/>
  <c r="AQ35" i="9"/>
  <c r="O36" i="9"/>
  <c r="AQ36" i="9"/>
  <c r="O37" i="9"/>
  <c r="AQ37" i="9"/>
  <c r="O38" i="9"/>
  <c r="AQ38" i="9"/>
  <c r="O39" i="9"/>
  <c r="AQ39" i="9"/>
  <c r="O40" i="9"/>
  <c r="AQ40" i="9"/>
  <c r="O41" i="9"/>
  <c r="AQ41" i="9"/>
  <c r="O42" i="9"/>
  <c r="AQ42" i="9"/>
  <c r="O43" i="9"/>
  <c r="AQ43" i="9"/>
  <c r="O44" i="9"/>
  <c r="AQ44" i="9"/>
  <c r="O45" i="9"/>
  <c r="AQ45" i="9"/>
  <c r="O46" i="9"/>
  <c r="AQ46" i="9"/>
  <c r="O47" i="9"/>
  <c r="AQ47" i="9"/>
  <c r="O48" i="9"/>
  <c r="AQ48" i="9"/>
  <c r="O49" i="9"/>
  <c r="AQ49" i="9"/>
  <c r="O50" i="9"/>
  <c r="AQ50" i="9"/>
  <c r="O51" i="9"/>
  <c r="AQ51" i="9"/>
  <c r="O52" i="9"/>
  <c r="AQ52" i="9"/>
  <c r="O53" i="9"/>
  <c r="AQ53" i="9"/>
  <c r="O54" i="9"/>
  <c r="AQ54" i="9"/>
  <c r="O55" i="9"/>
  <c r="AQ55" i="9"/>
  <c r="O56" i="9"/>
  <c r="AQ56" i="9"/>
  <c r="O57" i="9"/>
  <c r="AQ57" i="9"/>
  <c r="O58" i="9"/>
  <c r="AQ58" i="9"/>
  <c r="O59" i="9"/>
  <c r="AQ59" i="9"/>
  <c r="O60" i="9"/>
  <c r="AQ60" i="9"/>
  <c r="O61" i="9"/>
  <c r="AQ61" i="9"/>
  <c r="O62" i="9"/>
  <c r="AQ62" i="9"/>
  <c r="O63" i="9"/>
  <c r="AQ63" i="9"/>
  <c r="O64" i="9"/>
  <c r="AQ64" i="9"/>
  <c r="O65" i="9"/>
  <c r="AQ65" i="9"/>
  <c r="O66" i="9"/>
  <c r="AQ66" i="9"/>
  <c r="O67" i="9"/>
  <c r="AQ67" i="9"/>
  <c r="O70" i="9"/>
  <c r="AQ70" i="9"/>
  <c r="O71" i="9"/>
  <c r="AQ71" i="9"/>
  <c r="O72" i="9"/>
  <c r="AQ72" i="9"/>
  <c r="O73" i="9"/>
  <c r="AQ73" i="9"/>
  <c r="O74" i="9"/>
  <c r="AQ74" i="9"/>
  <c r="O75" i="9"/>
  <c r="AQ75" i="9"/>
  <c r="O76" i="9"/>
  <c r="AQ76" i="9"/>
  <c r="O77" i="9"/>
  <c r="AQ77" i="9"/>
  <c r="O78" i="9"/>
  <c r="AQ78" i="9"/>
  <c r="O79" i="9"/>
  <c r="AQ79" i="9"/>
  <c r="O80" i="9"/>
  <c r="AQ80" i="9"/>
  <c r="O81" i="9"/>
  <c r="AQ81" i="9"/>
  <c r="O82" i="9"/>
  <c r="AQ82" i="9"/>
  <c r="O83" i="9"/>
  <c r="AQ83" i="9"/>
  <c r="O84" i="9"/>
  <c r="AQ84" i="9"/>
  <c r="O85" i="9"/>
  <c r="AQ85" i="9"/>
  <c r="O86" i="9"/>
  <c r="AQ86" i="9"/>
  <c r="O87" i="9"/>
  <c r="AQ87" i="9"/>
  <c r="O88" i="9"/>
  <c r="AQ88" i="9"/>
  <c r="O89" i="9"/>
  <c r="AQ89" i="9"/>
  <c r="O90" i="9"/>
  <c r="AQ90" i="9"/>
  <c r="O91" i="9"/>
  <c r="AQ91" i="9"/>
  <c r="O92" i="9"/>
  <c r="AQ92" i="9"/>
  <c r="O93" i="9"/>
  <c r="AQ93" i="9"/>
  <c r="O94" i="9"/>
  <c r="AQ94" i="9"/>
  <c r="O95" i="9"/>
  <c r="AQ95" i="9"/>
  <c r="O96" i="9"/>
  <c r="AQ96" i="9"/>
  <c r="O97" i="9"/>
  <c r="AQ97" i="9"/>
  <c r="O98" i="9"/>
  <c r="AQ98" i="9"/>
  <c r="O99" i="9"/>
  <c r="AQ99" i="9"/>
  <c r="O100" i="9"/>
  <c r="AQ100" i="9"/>
  <c r="O101" i="9"/>
  <c r="AQ101" i="9"/>
  <c r="O21" i="9"/>
  <c r="AQ21" i="9"/>
  <c r="BF122" i="9"/>
  <c r="AQ122" i="9"/>
  <c r="AQ112" i="9"/>
  <c r="AQ182" i="9"/>
  <c r="AQ172" i="9"/>
  <c r="AQ162" i="9"/>
  <c r="AQ152" i="9"/>
  <c r="AQ142" i="9"/>
  <c r="AQ132" i="9"/>
  <c r="Z101" i="9"/>
  <c r="Z100" i="9"/>
  <c r="Z99" i="9"/>
  <c r="AC99" i="9"/>
  <c r="AD99" i="9"/>
  <c r="Z98" i="9"/>
  <c r="Z97" i="9"/>
  <c r="AC97" i="9"/>
  <c r="AD97" i="9"/>
  <c r="AC102" i="9"/>
  <c r="BM102" i="9"/>
  <c r="BM103" i="9"/>
  <c r="BM104" i="9"/>
  <c r="BM105" i="9"/>
  <c r="Z96" i="9"/>
  <c r="Z95" i="9"/>
  <c r="Z94" i="9"/>
  <c r="Z93" i="9"/>
  <c r="Z92" i="9"/>
  <c r="AC92" i="9"/>
  <c r="BM92" i="9"/>
  <c r="AC93" i="9"/>
  <c r="BM93" i="9"/>
  <c r="AC94" i="9"/>
  <c r="BM94" i="9"/>
  <c r="AC95" i="9"/>
  <c r="BM95" i="9"/>
  <c r="AC96" i="9"/>
  <c r="BM96" i="9"/>
  <c r="BM97" i="9"/>
  <c r="AC98" i="9"/>
  <c r="BM98" i="9"/>
  <c r="BM99" i="9"/>
  <c r="AC100" i="9"/>
  <c r="BM100" i="9"/>
  <c r="AC101" i="9"/>
  <c r="BM101" i="9"/>
  <c r="Z91" i="9"/>
  <c r="Z90" i="9"/>
  <c r="Z89" i="9"/>
  <c r="Z88" i="9"/>
  <c r="Z87" i="9"/>
  <c r="AC87" i="9"/>
  <c r="AC86" i="9"/>
  <c r="AC85" i="9"/>
  <c r="AC84" i="9"/>
  <c r="AC83" i="9"/>
  <c r="AC82" i="9"/>
  <c r="BM82" i="9"/>
  <c r="BM83" i="9"/>
  <c r="BM84" i="9"/>
  <c r="BM85" i="9"/>
  <c r="BM86" i="9"/>
  <c r="BM87" i="9"/>
  <c r="AC88" i="9"/>
  <c r="BM88" i="9"/>
  <c r="AC89" i="9"/>
  <c r="BM89" i="9"/>
  <c r="AC90" i="9"/>
  <c r="BM90" i="9"/>
  <c r="AC91" i="9"/>
  <c r="BM91" i="9"/>
  <c r="AC81" i="9"/>
  <c r="AC80" i="9"/>
  <c r="AC79" i="9"/>
  <c r="AC78" i="9"/>
  <c r="AC77" i="9"/>
  <c r="AC76" i="9"/>
  <c r="AC75" i="9"/>
  <c r="AC74" i="9"/>
  <c r="AC73" i="9"/>
  <c r="AC72" i="9"/>
  <c r="BM72" i="9"/>
  <c r="BM73" i="9"/>
  <c r="BM74" i="9"/>
  <c r="BM75" i="9"/>
  <c r="BM76" i="9"/>
  <c r="BM77" i="9"/>
  <c r="BM78" i="9"/>
  <c r="BM79" i="9"/>
  <c r="BM80" i="9"/>
  <c r="BM81" i="9"/>
  <c r="AC71" i="9"/>
  <c r="AC70" i="9"/>
  <c r="AC69" i="9"/>
  <c r="AC68" i="9"/>
  <c r="AC67" i="9"/>
  <c r="AC66" i="9"/>
  <c r="AC65" i="9"/>
  <c r="AC64" i="9"/>
  <c r="AC63" i="9"/>
  <c r="AC62" i="9"/>
  <c r="BM62" i="9"/>
  <c r="BM63" i="9"/>
  <c r="BM64" i="9"/>
  <c r="BM65" i="9"/>
  <c r="BM66" i="9"/>
  <c r="BM67" i="9"/>
  <c r="BM68" i="9"/>
  <c r="BM69" i="9"/>
  <c r="BM70" i="9"/>
  <c r="BM71" i="9"/>
  <c r="BM52" i="9"/>
  <c r="BM53" i="9"/>
  <c r="BM54" i="9"/>
  <c r="BM55" i="9"/>
  <c r="BM56" i="9"/>
  <c r="AC61" i="9"/>
  <c r="AF60" i="9"/>
  <c r="AC60" i="9"/>
  <c r="AC59" i="9"/>
  <c r="AC58" i="9"/>
  <c r="AC57" i="9"/>
  <c r="BM57" i="9"/>
  <c r="BM58" i="9"/>
  <c r="BM59" i="9"/>
  <c r="BM60" i="9"/>
  <c r="BM61" i="9"/>
  <c r="BM44" i="9"/>
  <c r="BM45" i="9"/>
  <c r="BM46" i="9"/>
  <c r="BM47" i="9"/>
  <c r="BM48" i="9"/>
  <c r="BM49" i="9"/>
  <c r="BM50" i="9"/>
  <c r="BM51" i="9"/>
  <c r="BI82" i="9"/>
  <c r="BI83" i="9"/>
  <c r="BI84" i="9"/>
  <c r="BI85" i="9"/>
  <c r="BI86" i="9"/>
  <c r="BI87" i="9"/>
  <c r="BI88" i="9"/>
  <c r="BI89" i="9"/>
  <c r="BI90" i="9"/>
  <c r="BI91" i="9"/>
  <c r="BI172" i="9"/>
  <c r="BH82" i="9"/>
  <c r="BH83" i="9"/>
  <c r="BH84" i="9"/>
  <c r="BH85" i="9"/>
  <c r="BH86" i="9"/>
  <c r="BH87" i="9"/>
  <c r="BH88" i="9"/>
  <c r="BH89" i="9"/>
  <c r="BH90" i="9"/>
  <c r="BH91" i="9"/>
  <c r="BH172" i="9"/>
  <c r="BM162" i="9"/>
  <c r="BM192" i="9"/>
  <c r="BK162" i="9"/>
  <c r="BK192" i="9"/>
  <c r="M21" i="9"/>
  <c r="M22" i="9"/>
  <c r="M23" i="9"/>
  <c r="M24" i="9"/>
  <c r="M25" i="9"/>
  <c r="M26" i="9"/>
  <c r="M27" i="9"/>
  <c r="M28" i="9"/>
  <c r="M29" i="9"/>
  <c r="M30" i="9"/>
  <c r="M31" i="9"/>
  <c r="M32" i="9"/>
  <c r="M33" i="9"/>
  <c r="M34" i="9"/>
  <c r="M35" i="9"/>
  <c r="M36" i="9"/>
  <c r="M37" i="9"/>
  <c r="M38" i="9"/>
  <c r="M39" i="9"/>
  <c r="CA105" i="9"/>
  <c r="EA104" i="9"/>
  <c r="EA105" i="9"/>
  <c r="CA74" i="9"/>
  <c r="CA75" i="9"/>
  <c r="CA76" i="9"/>
  <c r="CA77" i="9"/>
  <c r="CA78" i="9"/>
  <c r="CA79" i="9"/>
  <c r="CA80" i="9"/>
  <c r="CA81" i="9"/>
  <c r="CA82" i="9"/>
  <c r="CA83" i="9"/>
  <c r="CA84" i="9"/>
  <c r="CA85" i="9"/>
  <c r="CA86" i="9"/>
  <c r="CA87" i="9"/>
  <c r="CA88" i="9"/>
  <c r="CA89" i="9"/>
  <c r="CA90" i="9"/>
  <c r="CA91" i="9"/>
  <c r="CA92" i="9"/>
  <c r="CA93" i="9"/>
  <c r="CA94" i="9"/>
  <c r="CA95" i="9"/>
  <c r="CA96" i="9"/>
  <c r="CA97" i="9"/>
  <c r="CA98" i="9"/>
  <c r="CA102" i="9"/>
  <c r="CA104" i="9"/>
  <c r="CA103" i="9"/>
  <c r="AJ172" i="9"/>
  <c r="AJ182" i="9"/>
  <c r="AK182" i="9"/>
  <c r="AJ132" i="9"/>
  <c r="AK132" i="9"/>
  <c r="AK162" i="9"/>
  <c r="AK122" i="9"/>
  <c r="H106" i="47"/>
  <c r="BI92" i="9"/>
  <c r="BI93" i="9"/>
  <c r="BI94" i="9"/>
  <c r="BI95" i="9"/>
  <c r="BI96" i="9"/>
  <c r="BI97" i="9"/>
  <c r="BI98" i="9"/>
  <c r="BI99" i="9"/>
  <c r="BI100" i="9"/>
  <c r="BI101" i="9"/>
  <c r="BI182" i="9"/>
  <c r="BI72" i="9"/>
  <c r="BI73" i="9"/>
  <c r="BI74" i="9"/>
  <c r="BI75" i="9"/>
  <c r="BI76" i="9"/>
  <c r="BI77" i="9"/>
  <c r="BI78" i="9"/>
  <c r="BI79" i="9"/>
  <c r="BI80" i="9"/>
  <c r="BI81" i="9"/>
  <c r="BI162" i="9"/>
  <c r="BI62" i="9"/>
  <c r="BI63" i="9"/>
  <c r="BI64" i="9"/>
  <c r="BI65" i="9"/>
  <c r="BI66" i="9"/>
  <c r="BI67" i="9"/>
  <c r="BI68" i="9"/>
  <c r="BI69" i="9"/>
  <c r="BI70" i="9"/>
  <c r="BI71" i="9"/>
  <c r="BI152" i="9"/>
  <c r="BI52" i="9"/>
  <c r="BI53" i="9"/>
  <c r="BI54" i="9"/>
  <c r="BI55" i="9"/>
  <c r="BI56" i="9"/>
  <c r="BI57" i="9"/>
  <c r="BI58" i="9"/>
  <c r="BI59" i="9"/>
  <c r="BI60" i="9"/>
  <c r="BI61" i="9"/>
  <c r="BI142" i="9"/>
  <c r="BI50" i="9"/>
  <c r="BI51" i="9"/>
  <c r="BI132" i="9"/>
  <c r="BM26" i="9"/>
  <c r="BM27" i="9"/>
  <c r="BM28" i="9"/>
  <c r="BM29" i="9"/>
  <c r="BM30" i="9"/>
  <c r="BM31" i="9"/>
  <c r="BM32" i="9"/>
  <c r="BM33" i="9"/>
  <c r="BM34" i="9"/>
  <c r="BM35" i="9"/>
  <c r="BM36" i="9"/>
  <c r="BM37" i="9"/>
  <c r="BM38" i="9"/>
  <c r="BM39" i="9"/>
  <c r="BM40" i="9"/>
  <c r="BM41" i="9"/>
  <c r="BM42" i="9"/>
  <c r="BM43" i="9"/>
  <c r="AM103" i="9"/>
  <c r="AM104"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48" i="9"/>
  <c r="AD49" i="9"/>
  <c r="AD50" i="9"/>
  <c r="AD51" i="9"/>
  <c r="AD52" i="9"/>
  <c r="AD53" i="9"/>
  <c r="AD54" i="9"/>
  <c r="AD55" i="9"/>
  <c r="AD56" i="9"/>
  <c r="AD57" i="9"/>
  <c r="AD58" i="9"/>
  <c r="AD59" i="9"/>
  <c r="AD60" i="9"/>
  <c r="AD61" i="9"/>
  <c r="AD62" i="9"/>
  <c r="AD63" i="9"/>
  <c r="AD64" i="9"/>
  <c r="AD65" i="9"/>
  <c r="AD66" i="9"/>
  <c r="AD67" i="9"/>
  <c r="AD68" i="9"/>
  <c r="AD69" i="9"/>
  <c r="AD70" i="9"/>
  <c r="AD71" i="9"/>
  <c r="AD72" i="9"/>
  <c r="AD73" i="9"/>
  <c r="AD74" i="9"/>
  <c r="AD75" i="9"/>
  <c r="AD76" i="9"/>
  <c r="AD77" i="9"/>
  <c r="AD78" i="9"/>
  <c r="AD79" i="9"/>
  <c r="AD80" i="9"/>
  <c r="AD81" i="9"/>
  <c r="AD82" i="9"/>
  <c r="AD83" i="9"/>
  <c r="AD84" i="9"/>
  <c r="AD85" i="9"/>
  <c r="AD86" i="9"/>
  <c r="AD88" i="9"/>
  <c r="AD89" i="9"/>
  <c r="AD90" i="9"/>
  <c r="AD91" i="9"/>
  <c r="AD92" i="9"/>
  <c r="AD93" i="9"/>
  <c r="AD94" i="9"/>
  <c r="AD95" i="9"/>
  <c r="AD96" i="9"/>
  <c r="AD98" i="9"/>
  <c r="AD100" i="9"/>
  <c r="AD101" i="9"/>
  <c r="AD102" i="9"/>
  <c r="AD103" i="9"/>
  <c r="AD87" i="9"/>
  <c r="AB87" i="9"/>
  <c r="AB92" i="9"/>
  <c r="AB102" i="9"/>
  <c r="BJ27" i="9"/>
  <c r="BJ28" i="9"/>
  <c r="BJ29" i="9"/>
  <c r="BJ30" i="9"/>
  <c r="BJ31" i="9"/>
  <c r="BJ32" i="9"/>
  <c r="BJ33" i="9"/>
  <c r="BJ34" i="9"/>
  <c r="BJ35" i="9"/>
  <c r="BJ36" i="9"/>
  <c r="BJ37" i="9"/>
  <c r="BJ38" i="9"/>
  <c r="BJ39" i="9"/>
  <c r="BJ40" i="9"/>
  <c r="BJ41" i="9"/>
  <c r="BJ42" i="9"/>
  <c r="BJ43" i="9"/>
  <c r="BJ44" i="9"/>
  <c r="BJ45" i="9"/>
  <c r="BJ46" i="9"/>
  <c r="BJ47" i="9"/>
  <c r="BJ48" i="9"/>
  <c r="BJ49" i="9"/>
  <c r="BJ50" i="9"/>
  <c r="BJ51" i="9"/>
  <c r="BJ52" i="9"/>
  <c r="BJ53" i="9"/>
  <c r="BJ54" i="9"/>
  <c r="BJ55" i="9"/>
  <c r="BJ56" i="9"/>
  <c r="BJ57" i="9"/>
  <c r="BJ58" i="9"/>
  <c r="BJ59" i="9"/>
  <c r="BJ60" i="9"/>
  <c r="BJ61" i="9"/>
  <c r="BJ62" i="9"/>
  <c r="BJ63" i="9"/>
  <c r="BJ64" i="9"/>
  <c r="BJ65" i="9"/>
  <c r="BJ66" i="9"/>
  <c r="BJ67" i="9"/>
  <c r="BJ68" i="9"/>
  <c r="BJ69" i="9"/>
  <c r="BJ70" i="9"/>
  <c r="BJ71" i="9"/>
  <c r="BJ72" i="9"/>
  <c r="BJ73" i="9"/>
  <c r="BJ74" i="9"/>
  <c r="BJ75" i="9"/>
  <c r="BJ76" i="9"/>
  <c r="BJ77" i="9"/>
  <c r="BJ78" i="9"/>
  <c r="BJ79" i="9"/>
  <c r="BJ80" i="9"/>
  <c r="BJ81" i="9"/>
  <c r="BJ82" i="9"/>
  <c r="BJ83" i="9"/>
  <c r="BJ84" i="9"/>
  <c r="BJ85" i="9"/>
  <c r="BJ86" i="9"/>
  <c r="BJ87" i="9"/>
  <c r="BJ88" i="9"/>
  <c r="BJ89" i="9"/>
  <c r="BJ90" i="9"/>
  <c r="BJ91" i="9"/>
  <c r="BJ92" i="9"/>
  <c r="BJ93" i="9"/>
  <c r="BJ94" i="9"/>
  <c r="BJ95" i="9"/>
  <c r="BJ96" i="9"/>
  <c r="BJ97" i="9"/>
  <c r="BJ98" i="9"/>
  <c r="BJ99" i="9"/>
  <c r="BJ100" i="9"/>
  <c r="BJ101" i="9"/>
  <c r="BJ102" i="9"/>
  <c r="BJ103" i="9"/>
  <c r="W103" i="9"/>
  <c r="BJ104" i="9"/>
  <c r="BJ105" i="9"/>
  <c r="BJ26" i="9"/>
  <c r="AM105" i="9"/>
  <c r="BH42" i="9"/>
  <c r="BH43" i="9"/>
  <c r="BH44" i="9"/>
  <c r="BH45" i="9"/>
  <c r="BH46" i="9"/>
  <c r="BH47" i="9"/>
  <c r="BH48" i="9"/>
  <c r="BH49" i="9"/>
  <c r="BH50" i="9"/>
  <c r="BH51" i="9"/>
  <c r="BH52" i="9"/>
  <c r="BH53" i="9"/>
  <c r="BH54" i="9"/>
  <c r="BH55" i="9"/>
  <c r="BH56" i="9"/>
  <c r="BH57" i="9"/>
  <c r="BH58" i="9"/>
  <c r="BH59" i="9"/>
  <c r="BH60" i="9"/>
  <c r="BH61" i="9"/>
  <c r="BH62" i="9"/>
  <c r="BH63" i="9"/>
  <c r="BH64" i="9"/>
  <c r="BH65" i="9"/>
  <c r="BH66" i="9"/>
  <c r="BH67" i="9"/>
  <c r="BH68" i="9"/>
  <c r="BH69" i="9"/>
  <c r="BH70" i="9"/>
  <c r="BH71" i="9"/>
  <c r="BH72" i="9"/>
  <c r="BH73" i="9"/>
  <c r="BH74" i="9"/>
  <c r="BH75" i="9"/>
  <c r="BH76" i="9"/>
  <c r="BH77" i="9"/>
  <c r="BH78" i="9"/>
  <c r="BH79" i="9"/>
  <c r="BH80" i="9"/>
  <c r="BH81" i="9"/>
  <c r="BH92" i="9"/>
  <c r="BH93" i="9"/>
  <c r="BH94" i="9"/>
  <c r="BH95" i="9"/>
  <c r="BH96" i="9"/>
  <c r="BH97" i="9"/>
  <c r="BH98" i="9"/>
  <c r="BH99" i="9"/>
  <c r="BH100" i="9"/>
  <c r="BH101" i="9"/>
  <c r="AK103" i="9"/>
  <c r="AK104" i="9"/>
  <c r="AK105" i="9"/>
  <c r="AM107" i="9"/>
  <c r="AM106" i="9"/>
  <c r="AM27" i="9"/>
  <c r="AM28" i="9"/>
  <c r="AM29" i="9"/>
  <c r="AM30" i="9"/>
  <c r="AM31" i="9"/>
  <c r="AM32" i="9"/>
  <c r="AM33" i="9"/>
  <c r="AM34" i="9"/>
  <c r="AM35" i="9"/>
  <c r="AM36" i="9"/>
  <c r="AM37" i="9"/>
  <c r="AM38" i="9"/>
  <c r="AM39" i="9"/>
  <c r="AM40" i="9"/>
  <c r="AM41" i="9"/>
  <c r="AM42" i="9"/>
  <c r="AM43" i="9"/>
  <c r="AM44" i="9"/>
  <c r="AM45" i="9"/>
  <c r="AM46" i="9"/>
  <c r="AM47" i="9"/>
  <c r="AM48" i="9"/>
  <c r="AM49" i="9"/>
  <c r="AM50" i="9"/>
  <c r="AM51" i="9"/>
  <c r="AM52" i="9"/>
  <c r="AM53" i="9"/>
  <c r="AM54" i="9"/>
  <c r="AM55" i="9"/>
  <c r="AM56" i="9"/>
  <c r="AM57" i="9"/>
  <c r="AM58" i="9"/>
  <c r="AM59" i="9"/>
  <c r="AM60" i="9"/>
  <c r="AM61" i="9"/>
  <c r="AM62" i="9"/>
  <c r="AM63" i="9"/>
  <c r="AM64" i="9"/>
  <c r="AM65" i="9"/>
  <c r="AM66" i="9"/>
  <c r="AM67" i="9"/>
  <c r="AM26" i="9"/>
  <c r="AM71" i="9"/>
  <c r="AM72" i="9"/>
  <c r="AM73" i="9"/>
  <c r="AM74" i="9"/>
  <c r="AM75" i="9"/>
  <c r="AM76" i="9"/>
  <c r="AM77" i="9"/>
  <c r="AM78" i="9"/>
  <c r="AM79" i="9"/>
  <c r="AM80" i="9"/>
  <c r="AM81" i="9"/>
  <c r="AM82" i="9"/>
  <c r="AM83" i="9"/>
  <c r="AM84" i="9"/>
  <c r="AM85" i="9"/>
  <c r="AM86" i="9"/>
  <c r="AM87" i="9"/>
  <c r="AM88" i="9"/>
  <c r="AM89" i="9"/>
  <c r="AM90" i="9"/>
  <c r="AM91" i="9"/>
  <c r="AM92" i="9"/>
  <c r="AM93" i="9"/>
  <c r="AM94" i="9"/>
  <c r="AM95" i="9"/>
  <c r="AM96" i="9"/>
  <c r="AM97" i="9"/>
  <c r="AM98" i="9"/>
  <c r="AM99" i="9"/>
  <c r="AM100" i="9"/>
  <c r="AM101" i="9"/>
  <c r="AM102" i="9"/>
  <c r="AM70" i="9"/>
  <c r="AM68" i="9"/>
  <c r="AM69" i="9"/>
  <c r="BM182" i="9"/>
  <c r="BM172" i="9"/>
  <c r="BM152" i="9"/>
  <c r="BM142" i="9"/>
  <c r="BM132" i="9"/>
  <c r="CG91" i="9"/>
  <c r="CD91" i="9"/>
  <c r="CG92" i="9"/>
  <c r="CD92" i="9"/>
  <c r="CG93" i="9"/>
  <c r="CD93" i="9"/>
  <c r="CG94" i="9"/>
  <c r="CD94" i="9"/>
  <c r="CG95" i="9"/>
  <c r="CD95" i="9"/>
  <c r="CG96" i="9"/>
  <c r="CD96" i="9"/>
  <c r="CG97" i="9"/>
  <c r="CD97" i="9"/>
  <c r="CG98" i="9"/>
  <c r="CD98" i="9"/>
  <c r="CG99" i="9"/>
  <c r="CD99" i="9"/>
  <c r="CG100" i="9"/>
  <c r="CD100" i="9"/>
  <c r="CG101" i="9"/>
  <c r="CD101" i="9"/>
  <c r="CD102" i="9"/>
  <c r="CG103" i="9"/>
  <c r="CD103" i="9"/>
  <c r="CG104" i="9"/>
  <c r="CD104" i="9"/>
  <c r="CG105" i="9"/>
  <c r="CD105" i="9"/>
  <c r="BP22" i="9"/>
  <c r="BR22" i="9"/>
  <c r="BQ22" i="9"/>
  <c r="BP23" i="9"/>
  <c r="BR23" i="9"/>
  <c r="BQ23" i="9"/>
  <c r="BP24" i="9"/>
  <c r="BR24" i="9"/>
  <c r="BQ24" i="9"/>
  <c r="BP25" i="9"/>
  <c r="BR25" i="9"/>
  <c r="BQ25" i="9"/>
  <c r="BP26" i="9"/>
  <c r="BR26" i="9"/>
  <c r="BQ26" i="9"/>
  <c r="BP27" i="9"/>
  <c r="BR27" i="9"/>
  <c r="BQ27" i="9"/>
  <c r="BP28" i="9"/>
  <c r="BR28" i="9"/>
  <c r="BQ28" i="9"/>
  <c r="BP29" i="9"/>
  <c r="BR29" i="9"/>
  <c r="BQ29" i="9"/>
  <c r="BP30" i="9"/>
  <c r="BR30" i="9"/>
  <c r="BQ30" i="9"/>
  <c r="BP31" i="9"/>
  <c r="BR31" i="9"/>
  <c r="BQ31" i="9"/>
  <c r="BP32" i="9"/>
  <c r="BR32" i="9"/>
  <c r="BQ32" i="9"/>
  <c r="BP33" i="9"/>
  <c r="BR33" i="9"/>
  <c r="BQ33" i="9"/>
  <c r="BP34" i="9"/>
  <c r="BR34" i="9"/>
  <c r="BQ34" i="9"/>
  <c r="BP35" i="9"/>
  <c r="BR35" i="9"/>
  <c r="BQ35" i="9"/>
  <c r="BP36" i="9"/>
  <c r="BR36" i="9"/>
  <c r="BQ36" i="9"/>
  <c r="BP37" i="9"/>
  <c r="BR37" i="9"/>
  <c r="BQ37" i="9"/>
  <c r="BP38" i="9"/>
  <c r="BR38" i="9"/>
  <c r="BQ38" i="9"/>
  <c r="BP39" i="9"/>
  <c r="BR39" i="9"/>
  <c r="BQ39" i="9"/>
  <c r="BP40" i="9"/>
  <c r="BR40" i="9"/>
  <c r="BQ40" i="9"/>
  <c r="BP41" i="9"/>
  <c r="BR41" i="9"/>
  <c r="BQ41" i="9"/>
  <c r="BP42" i="9"/>
  <c r="BR42" i="9"/>
  <c r="BQ42" i="9"/>
  <c r="BP43" i="9"/>
  <c r="BR43" i="9"/>
  <c r="BQ43" i="9"/>
  <c r="BP44" i="9"/>
  <c r="BR44" i="9"/>
  <c r="BQ44" i="9"/>
  <c r="BP45" i="9"/>
  <c r="BR45" i="9"/>
  <c r="BQ45" i="9"/>
  <c r="BP46" i="9"/>
  <c r="BR46" i="9"/>
  <c r="BQ46" i="9"/>
  <c r="BP47" i="9"/>
  <c r="BR47" i="9"/>
  <c r="BQ47" i="9"/>
  <c r="BP48" i="9"/>
  <c r="BR48" i="9"/>
  <c r="BQ48" i="9"/>
  <c r="BP49" i="9"/>
  <c r="BR49" i="9"/>
  <c r="BQ49" i="9"/>
  <c r="BP50" i="9"/>
  <c r="BR50" i="9"/>
  <c r="BQ50" i="9"/>
  <c r="BP51" i="9"/>
  <c r="BR51" i="9"/>
  <c r="BQ51" i="9"/>
  <c r="BP52" i="9"/>
  <c r="BR52" i="9"/>
  <c r="BQ52" i="9"/>
  <c r="BP53" i="9"/>
  <c r="BR53" i="9"/>
  <c r="BQ53" i="9"/>
  <c r="BP54" i="9"/>
  <c r="BR54" i="9"/>
  <c r="BQ54" i="9"/>
  <c r="BP55" i="9"/>
  <c r="BR55" i="9"/>
  <c r="BQ55" i="9"/>
  <c r="BP56" i="9"/>
  <c r="BR56" i="9"/>
  <c r="BQ56" i="9"/>
  <c r="BP57" i="9"/>
  <c r="BR57" i="9"/>
  <c r="BQ57" i="9"/>
  <c r="BP58" i="9"/>
  <c r="BR58" i="9"/>
  <c r="BQ58" i="9"/>
  <c r="BP59" i="9"/>
  <c r="BR59" i="9"/>
  <c r="BQ59" i="9"/>
  <c r="BP60" i="9"/>
  <c r="BR60" i="9"/>
  <c r="BQ60" i="9"/>
  <c r="BP61" i="9"/>
  <c r="BR61" i="9"/>
  <c r="BQ61" i="9"/>
  <c r="BP62" i="9"/>
  <c r="BR62" i="9"/>
  <c r="BQ62" i="9"/>
  <c r="BP63" i="9"/>
  <c r="BR63" i="9"/>
  <c r="BQ63" i="9"/>
  <c r="BP64" i="9"/>
  <c r="BR64" i="9"/>
  <c r="BQ64" i="9"/>
  <c r="BP65" i="9"/>
  <c r="BR65" i="9"/>
  <c r="BQ65" i="9"/>
  <c r="BP66" i="9"/>
  <c r="BR66" i="9"/>
  <c r="BQ66" i="9"/>
  <c r="BP67" i="9"/>
  <c r="BR67" i="9"/>
  <c r="BQ67" i="9"/>
  <c r="BP68" i="9"/>
  <c r="BR68" i="9"/>
  <c r="BQ68" i="9"/>
  <c r="BP69" i="9"/>
  <c r="BR69" i="9"/>
  <c r="BQ69" i="9"/>
  <c r="BP70" i="9"/>
  <c r="BR70" i="9"/>
  <c r="BQ70" i="9"/>
  <c r="BP71" i="9"/>
  <c r="BR71" i="9"/>
  <c r="BQ71" i="9"/>
  <c r="BP72" i="9"/>
  <c r="BR72" i="9"/>
  <c r="BQ72" i="9"/>
  <c r="BP73" i="9"/>
  <c r="BR73" i="9"/>
  <c r="BQ73" i="9"/>
  <c r="BP74" i="9"/>
  <c r="BR74" i="9"/>
  <c r="BQ74" i="9"/>
  <c r="BP75" i="9"/>
  <c r="BR75" i="9"/>
  <c r="BQ75" i="9"/>
  <c r="BP76" i="9"/>
  <c r="BR76" i="9"/>
  <c r="BQ76" i="9"/>
  <c r="BP77" i="9"/>
  <c r="BR77" i="9"/>
  <c r="BQ77" i="9"/>
  <c r="BP78" i="9"/>
  <c r="BR78" i="9"/>
  <c r="BQ78" i="9"/>
  <c r="BP79" i="9"/>
  <c r="BR79" i="9"/>
  <c r="BQ79" i="9"/>
  <c r="BP80" i="9"/>
  <c r="BR80" i="9"/>
  <c r="BQ80" i="9"/>
  <c r="BP81" i="9"/>
  <c r="BR81" i="9"/>
  <c r="BQ81" i="9"/>
  <c r="BP82" i="9"/>
  <c r="BR82" i="9"/>
  <c r="BQ82" i="9"/>
  <c r="BP83" i="9"/>
  <c r="BR83" i="9"/>
  <c r="BQ83" i="9"/>
  <c r="BP84" i="9"/>
  <c r="BR84" i="9"/>
  <c r="BQ84" i="9"/>
  <c r="BP85" i="9"/>
  <c r="BR85" i="9"/>
  <c r="BQ85" i="9"/>
  <c r="BP86" i="9"/>
  <c r="BR86" i="9"/>
  <c r="BQ86" i="9"/>
  <c r="BP87" i="9"/>
  <c r="BR87" i="9"/>
  <c r="BQ87" i="9"/>
  <c r="BP88" i="9"/>
  <c r="BR88" i="9"/>
  <c r="BQ88" i="9"/>
  <c r="BP89" i="9"/>
  <c r="BR89" i="9"/>
  <c r="BQ89" i="9"/>
  <c r="BP90" i="9"/>
  <c r="BR90" i="9"/>
  <c r="BQ90" i="9"/>
  <c r="BP91" i="9"/>
  <c r="BR91" i="9"/>
  <c r="BQ91" i="9"/>
  <c r="BP92" i="9"/>
  <c r="BR92" i="9"/>
  <c r="BQ92" i="9"/>
  <c r="BP93" i="9"/>
  <c r="BR93" i="9"/>
  <c r="BQ93" i="9"/>
  <c r="BP94" i="9"/>
  <c r="BR94" i="9"/>
  <c r="BQ94" i="9"/>
  <c r="BP95" i="9"/>
  <c r="BR95" i="9"/>
  <c r="BQ95" i="9"/>
  <c r="BP96" i="9"/>
  <c r="BR96" i="9"/>
  <c r="BQ96" i="9"/>
  <c r="BP97" i="9"/>
  <c r="BR97" i="9"/>
  <c r="BQ97" i="9"/>
  <c r="BP98" i="9"/>
  <c r="BR98" i="9"/>
  <c r="BQ98" i="9"/>
  <c r="BP99" i="9"/>
  <c r="BR99" i="9"/>
  <c r="BQ99" i="9"/>
  <c r="BP100" i="9"/>
  <c r="BR100" i="9"/>
  <c r="BQ100" i="9"/>
  <c r="BP101" i="9"/>
  <c r="BR101" i="9"/>
  <c r="BQ101" i="9"/>
  <c r="BP102" i="9"/>
  <c r="BR102" i="9"/>
  <c r="BQ102" i="9"/>
  <c r="BP103" i="9"/>
  <c r="BR103" i="9"/>
  <c r="BQ103" i="9"/>
  <c r="BP104" i="9"/>
  <c r="BR104" i="9"/>
  <c r="BQ104" i="9"/>
  <c r="BP105" i="9"/>
  <c r="BR105" i="9"/>
  <c r="BQ105" i="9"/>
  <c r="BP21" i="9"/>
  <c r="BR21" i="9"/>
  <c r="BQ21" i="9"/>
  <c r="AK22" i="9"/>
  <c r="AK23" i="9"/>
  <c r="AK24" i="9"/>
  <c r="AK25" i="9"/>
  <c r="AK26" i="9"/>
  <c r="AK27" i="9"/>
  <c r="AK28" i="9"/>
  <c r="AK29"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K101" i="9"/>
  <c r="AK102" i="9"/>
  <c r="AK21" i="9"/>
  <c r="X22" i="9"/>
  <c r="P22" i="9"/>
  <c r="X23" i="9"/>
  <c r="P23" i="9"/>
  <c r="X24" i="9"/>
  <c r="P24" i="9"/>
  <c r="X25" i="9"/>
  <c r="P25" i="9"/>
  <c r="X26" i="9"/>
  <c r="P26" i="9"/>
  <c r="X27" i="9"/>
  <c r="P27" i="9"/>
  <c r="X28" i="9"/>
  <c r="P28" i="9"/>
  <c r="X29" i="9"/>
  <c r="P29" i="9"/>
  <c r="X30" i="9"/>
  <c r="P30" i="9"/>
  <c r="X31" i="9"/>
  <c r="P31" i="9"/>
  <c r="X32" i="9"/>
  <c r="P32" i="9"/>
  <c r="X33" i="9"/>
  <c r="P33" i="9"/>
  <c r="X34" i="9"/>
  <c r="P34" i="9"/>
  <c r="X35" i="9"/>
  <c r="P35" i="9"/>
  <c r="X36" i="9"/>
  <c r="P36" i="9"/>
  <c r="X37" i="9"/>
  <c r="P37" i="9"/>
  <c r="X38" i="9"/>
  <c r="P38" i="9"/>
  <c r="X39" i="9"/>
  <c r="P39" i="9"/>
  <c r="X40" i="9"/>
  <c r="P40" i="9"/>
  <c r="X41" i="9"/>
  <c r="P41" i="9"/>
  <c r="X42" i="9"/>
  <c r="P42" i="9"/>
  <c r="X43" i="9"/>
  <c r="P43" i="9"/>
  <c r="X44" i="9"/>
  <c r="P44" i="9"/>
  <c r="X45" i="9"/>
  <c r="P45" i="9"/>
  <c r="X46" i="9"/>
  <c r="P46" i="9"/>
  <c r="X47" i="9"/>
  <c r="P47" i="9"/>
  <c r="X48" i="9"/>
  <c r="P48" i="9"/>
  <c r="X49" i="9"/>
  <c r="P49" i="9"/>
  <c r="X50" i="9"/>
  <c r="P50" i="9"/>
  <c r="X51" i="9"/>
  <c r="P51" i="9"/>
  <c r="X52" i="9"/>
  <c r="P52" i="9"/>
  <c r="X53" i="9"/>
  <c r="P53" i="9"/>
  <c r="X54" i="9"/>
  <c r="P54" i="9"/>
  <c r="X55" i="9"/>
  <c r="P55" i="9"/>
  <c r="X56" i="9"/>
  <c r="P56" i="9"/>
  <c r="X57" i="9"/>
  <c r="P57" i="9"/>
  <c r="X58" i="9"/>
  <c r="P58" i="9"/>
  <c r="X59" i="9"/>
  <c r="P59" i="9"/>
  <c r="X60" i="9"/>
  <c r="P60" i="9"/>
  <c r="X61" i="9"/>
  <c r="P61" i="9"/>
  <c r="X62" i="9"/>
  <c r="P62" i="9"/>
  <c r="X63" i="9"/>
  <c r="P63" i="9"/>
  <c r="X64" i="9"/>
  <c r="P64" i="9"/>
  <c r="X65" i="9"/>
  <c r="P65" i="9"/>
  <c r="X66" i="9"/>
  <c r="P66" i="9"/>
  <c r="X67" i="9"/>
  <c r="P67" i="9"/>
  <c r="X68" i="9"/>
  <c r="P68" i="9"/>
  <c r="X69" i="9"/>
  <c r="P69" i="9"/>
  <c r="X70" i="9"/>
  <c r="P70" i="9"/>
  <c r="X71" i="9"/>
  <c r="P71" i="9"/>
  <c r="X72" i="9"/>
  <c r="P72" i="9"/>
  <c r="X73" i="9"/>
  <c r="P73" i="9"/>
  <c r="X74" i="9"/>
  <c r="P74" i="9"/>
  <c r="X75" i="9"/>
  <c r="P75" i="9"/>
  <c r="X76" i="9"/>
  <c r="P76" i="9"/>
  <c r="X77" i="9"/>
  <c r="P77" i="9"/>
  <c r="X78" i="9"/>
  <c r="P78" i="9"/>
  <c r="X79" i="9"/>
  <c r="P79" i="9"/>
  <c r="X80" i="9"/>
  <c r="P80" i="9"/>
  <c r="X81" i="9"/>
  <c r="P81" i="9"/>
  <c r="X82" i="9"/>
  <c r="P82" i="9"/>
  <c r="X83" i="9"/>
  <c r="P83" i="9"/>
  <c r="X84" i="9"/>
  <c r="P84" i="9"/>
  <c r="X85" i="9"/>
  <c r="P85" i="9"/>
  <c r="X86" i="9"/>
  <c r="P86" i="9"/>
  <c r="X87" i="9"/>
  <c r="P87" i="9"/>
  <c r="X88" i="9"/>
  <c r="P88" i="9"/>
  <c r="X89" i="9"/>
  <c r="P89" i="9"/>
  <c r="X90" i="9"/>
  <c r="P90" i="9"/>
  <c r="X91" i="9"/>
  <c r="P91" i="9"/>
  <c r="X92" i="9"/>
  <c r="P92" i="9"/>
  <c r="X93" i="9"/>
  <c r="P93" i="9"/>
  <c r="X94" i="9"/>
  <c r="P94" i="9"/>
  <c r="X95" i="9"/>
  <c r="P95" i="9"/>
  <c r="X96" i="9"/>
  <c r="P96" i="9"/>
  <c r="X97" i="9"/>
  <c r="P97" i="9"/>
  <c r="X98" i="9"/>
  <c r="P98" i="9"/>
  <c r="X99" i="9"/>
  <c r="P99" i="9"/>
  <c r="X100" i="9"/>
  <c r="P100" i="9"/>
  <c r="X101" i="9"/>
  <c r="P101" i="9"/>
  <c r="X102" i="9"/>
  <c r="P102" i="9"/>
  <c r="S102" i="9"/>
  <c r="S101" i="9"/>
  <c r="W102" i="9"/>
  <c r="X103" i="9"/>
  <c r="P103" i="9"/>
  <c r="X104" i="9"/>
  <c r="P104" i="9"/>
  <c r="X105" i="9"/>
  <c r="P105" i="9"/>
  <c r="X21" i="9"/>
  <c r="P21" i="9"/>
  <c r="G21" i="9"/>
  <c r="F21" i="9"/>
  <c r="G22" i="9"/>
  <c r="F22" i="9"/>
  <c r="G23" i="9"/>
  <c r="F23" i="9"/>
  <c r="G24" i="9"/>
  <c r="F24" i="9"/>
  <c r="G25"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BY75" i="9"/>
  <c r="BY76" i="9"/>
  <c r="BY77" i="9"/>
  <c r="BY78" i="9"/>
  <c r="BY79" i="9"/>
  <c r="BY80" i="9"/>
  <c r="BY81" i="9"/>
  <c r="BY82" i="9"/>
  <c r="BY83" i="9"/>
  <c r="BY84" i="9"/>
  <c r="BY85" i="9"/>
  <c r="BY86" i="9"/>
  <c r="BY87" i="9"/>
  <c r="BY88" i="9"/>
  <c r="BY89" i="9"/>
  <c r="BY90" i="9"/>
  <c r="BY91" i="9"/>
  <c r="BY92" i="9"/>
  <c r="BY93" i="9"/>
  <c r="BY94" i="9"/>
  <c r="BY95" i="9"/>
  <c r="BY96" i="9"/>
  <c r="BY97" i="9"/>
  <c r="BY98" i="9"/>
  <c r="BY99" i="9"/>
  <c r="BY100" i="9"/>
  <c r="BY101" i="9"/>
  <c r="BY102" i="9"/>
  <c r="BY103" i="9"/>
  <c r="BY104" i="9"/>
  <c r="BY105" i="9"/>
  <c r="BY74" i="9"/>
  <c r="AJ22" i="9"/>
  <c r="AJ23" i="9"/>
  <c r="AJ24" i="9"/>
  <c r="AJ25" i="9"/>
  <c r="AJ26" i="9"/>
  <c r="AJ27" i="9"/>
  <c r="AJ28" i="9"/>
  <c r="AJ29" i="9"/>
  <c r="AJ30" i="9"/>
  <c r="AJ31" i="9"/>
  <c r="AJ32" i="9"/>
  <c r="AJ33" i="9"/>
  <c r="AJ34" i="9"/>
  <c r="AJ35" i="9"/>
  <c r="AJ36" i="9"/>
  <c r="AJ37" i="9"/>
  <c r="AJ38" i="9"/>
  <c r="AJ39" i="9"/>
  <c r="AJ40" i="9"/>
  <c r="AJ41" i="9"/>
  <c r="AJ42" i="9"/>
  <c r="AJ43" i="9"/>
  <c r="AJ44" i="9"/>
  <c r="AJ45" i="9"/>
  <c r="AJ46" i="9"/>
  <c r="AJ47" i="9"/>
  <c r="AJ48" i="9"/>
  <c r="AJ49" i="9"/>
  <c r="AJ50" i="9"/>
  <c r="AJ51" i="9"/>
  <c r="AJ52" i="9"/>
  <c r="AJ53" i="9"/>
  <c r="AJ54" i="9"/>
  <c r="AJ55" i="9"/>
  <c r="AJ56" i="9"/>
  <c r="AJ57" i="9"/>
  <c r="AJ58" i="9"/>
  <c r="AJ59" i="9"/>
  <c r="AJ60" i="9"/>
  <c r="AJ61" i="9"/>
  <c r="AJ62" i="9"/>
  <c r="AJ63" i="9"/>
  <c r="AJ64" i="9"/>
  <c r="AJ65" i="9"/>
  <c r="AJ66" i="9"/>
  <c r="AJ67" i="9"/>
  <c r="AJ68" i="9"/>
  <c r="AJ69" i="9"/>
  <c r="AJ70" i="9"/>
  <c r="AJ71" i="9"/>
  <c r="AJ72" i="9"/>
  <c r="AJ73" i="9"/>
  <c r="AJ74" i="9"/>
  <c r="AJ75" i="9"/>
  <c r="AJ76" i="9"/>
  <c r="AJ77" i="9"/>
  <c r="AJ78" i="9"/>
  <c r="AJ79" i="9"/>
  <c r="AJ80" i="9"/>
  <c r="AJ81" i="9"/>
  <c r="AJ82" i="9"/>
  <c r="AJ83" i="9"/>
  <c r="AJ84" i="9"/>
  <c r="AJ85" i="9"/>
  <c r="AJ86" i="9"/>
  <c r="AJ87" i="9"/>
  <c r="AJ88" i="9"/>
  <c r="AJ89" i="9"/>
  <c r="AJ90" i="9"/>
  <c r="AJ91" i="9"/>
  <c r="AJ92" i="9"/>
  <c r="AJ93" i="9"/>
  <c r="AJ94" i="9"/>
  <c r="AJ95" i="9"/>
  <c r="AJ96" i="9"/>
  <c r="AJ97" i="9"/>
  <c r="AJ98" i="9"/>
  <c r="AJ99" i="9"/>
  <c r="AJ100" i="9"/>
  <c r="AJ101" i="9"/>
  <c r="AJ102" i="9"/>
  <c r="AJ103" i="9"/>
  <c r="AJ104" i="9"/>
  <c r="AJ105" i="9"/>
  <c r="AJ21" i="9"/>
  <c r="E112" i="9"/>
  <c r="E122" i="9"/>
  <c r="K39" i="9"/>
  <c r="K40" i="9"/>
  <c r="K38" i="9"/>
  <c r="K37" i="9"/>
  <c r="K36" i="9"/>
  <c r="K35" i="9"/>
  <c r="K34" i="9"/>
  <c r="K33" i="9"/>
  <c r="K32" i="9"/>
  <c r="K31" i="9"/>
  <c r="K30" i="9"/>
  <c r="K29" i="9"/>
  <c r="K28" i="9"/>
  <c r="K27" i="9"/>
  <c r="K26" i="9"/>
  <c r="K25" i="9"/>
  <c r="K22" i="9"/>
  <c r="EP75" i="9"/>
  <c r="EP76" i="9"/>
  <c r="EP77" i="9"/>
  <c r="EP78" i="9"/>
  <c r="EP79" i="9"/>
  <c r="EP80" i="9"/>
  <c r="EP81" i="9"/>
  <c r="EP82" i="9"/>
  <c r="EP83" i="9"/>
  <c r="EP84" i="9"/>
  <c r="EP85" i="9"/>
  <c r="EP86" i="9"/>
  <c r="EP87" i="9"/>
  <c r="EP88" i="9"/>
  <c r="EP89" i="9"/>
  <c r="EP90" i="9"/>
  <c r="EP91" i="9"/>
  <c r="EP92" i="9"/>
  <c r="EP93" i="9"/>
  <c r="EP94" i="9"/>
  <c r="EP95" i="9"/>
  <c r="EP96" i="9"/>
  <c r="EP97" i="9"/>
  <c r="EP98" i="9"/>
  <c r="EP99" i="9"/>
  <c r="EP100" i="9"/>
  <c r="EP101" i="9"/>
  <c r="EP102" i="9"/>
  <c r="EP103" i="9"/>
  <c r="EP104" i="9"/>
  <c r="EP105" i="9"/>
  <c r="EP74" i="9"/>
  <c r="GR74" i="9"/>
  <c r="GS74" i="9"/>
  <c r="GT85" i="9"/>
  <c r="GT86" i="9"/>
  <c r="GT87" i="9"/>
  <c r="GT88" i="9"/>
  <c r="GT89" i="9"/>
  <c r="GT90" i="9"/>
  <c r="GT91" i="9"/>
  <c r="GT92" i="9"/>
  <c r="GT93" i="9"/>
  <c r="GT94" i="9"/>
  <c r="GT95" i="9"/>
  <c r="GT96" i="9"/>
  <c r="GT98" i="9"/>
  <c r="GT99" i="9"/>
  <c r="GT100" i="9"/>
  <c r="GT101" i="9"/>
  <c r="GT102" i="9"/>
  <c r="GT103" i="9"/>
  <c r="GT104" i="9"/>
  <c r="IC74" i="9"/>
  <c r="IC75" i="9"/>
  <c r="IC76" i="9"/>
  <c r="IC77" i="9"/>
  <c r="IC78" i="9"/>
  <c r="IC79" i="9"/>
  <c r="IC80" i="9"/>
  <c r="IC81" i="9"/>
  <c r="IC82" i="9"/>
  <c r="IC83" i="9"/>
  <c r="IC84" i="9"/>
  <c r="IC85" i="9"/>
  <c r="IC86" i="9"/>
  <c r="IC87" i="9"/>
  <c r="IC88" i="9"/>
  <c r="IC89" i="9"/>
  <c r="IC90" i="9"/>
  <c r="IC91" i="9"/>
  <c r="IC92" i="9"/>
  <c r="IC93" i="9"/>
  <c r="IC94" i="9"/>
  <c r="IC95" i="9"/>
  <c r="IC96" i="9"/>
  <c r="IC97" i="9"/>
  <c r="IC98" i="9"/>
  <c r="IC99" i="9"/>
  <c r="IC100" i="9"/>
  <c r="IC101" i="9"/>
  <c r="IC102" i="9"/>
  <c r="IC103" i="9"/>
  <c r="IC104" i="9"/>
  <c r="IE75" i="9"/>
  <c r="IE76" i="9"/>
  <c r="IE77" i="9"/>
  <c r="IE78" i="9"/>
  <c r="IE79" i="9"/>
  <c r="IE80" i="9"/>
  <c r="IE81" i="9"/>
  <c r="IE82" i="9"/>
  <c r="IE83" i="9"/>
  <c r="IE84" i="9"/>
  <c r="IE85" i="9"/>
  <c r="IE86" i="9"/>
  <c r="IE87" i="9"/>
  <c r="IE88" i="9"/>
  <c r="IE89" i="9"/>
  <c r="IE90" i="9"/>
  <c r="IE91" i="9"/>
  <c r="IE92" i="9"/>
  <c r="IE93" i="9"/>
  <c r="IE94" i="9"/>
  <c r="IE95" i="9"/>
  <c r="IE96" i="9"/>
  <c r="IE97" i="9"/>
  <c r="IE98" i="9"/>
  <c r="IE99" i="9"/>
  <c r="IE100" i="9"/>
  <c r="IE101" i="9"/>
  <c r="IE102" i="9"/>
  <c r="IE103" i="9"/>
  <c r="IE104" i="9"/>
  <c r="IE74" i="9"/>
  <c r="ID74" i="9"/>
  <c r="ID75" i="9"/>
  <c r="ID76" i="9"/>
  <c r="ID77" i="9"/>
  <c r="ID78" i="9"/>
  <c r="ID79" i="9"/>
  <c r="ID80" i="9"/>
  <c r="ID81" i="9"/>
  <c r="ID82" i="9"/>
  <c r="ID83" i="9"/>
  <c r="ID84" i="9"/>
  <c r="ID85" i="9"/>
  <c r="ID86" i="9"/>
  <c r="ID87" i="9"/>
  <c r="ID88" i="9"/>
  <c r="ID89" i="9"/>
  <c r="ID90" i="9"/>
  <c r="ID91" i="9"/>
  <c r="ID92" i="9"/>
  <c r="ID93" i="9"/>
  <c r="ID94" i="9"/>
  <c r="ID95" i="9"/>
  <c r="ID96" i="9"/>
  <c r="ID97" i="9"/>
  <c r="ID98" i="9"/>
  <c r="ID99" i="9"/>
  <c r="ID100" i="9"/>
  <c r="ID101" i="9"/>
  <c r="ID102" i="9"/>
  <c r="ID103" i="9"/>
  <c r="ID104" i="9"/>
  <c r="HP104" i="9"/>
  <c r="HO104" i="9"/>
  <c r="HN104" i="9"/>
  <c r="HM104" i="9"/>
  <c r="HL104" i="9"/>
  <c r="HK104" i="9"/>
  <c r="HQ104" i="9"/>
  <c r="HP103" i="9"/>
  <c r="HO103" i="9"/>
  <c r="HN103" i="9"/>
  <c r="HM103" i="9"/>
  <c r="HL103" i="9"/>
  <c r="HK103" i="9"/>
  <c r="HQ103" i="9"/>
  <c r="HP102" i="9"/>
  <c r="HO102" i="9"/>
  <c r="HN102" i="9"/>
  <c r="HM102" i="9"/>
  <c r="HL102" i="9"/>
  <c r="HK102" i="9"/>
  <c r="HQ102" i="9"/>
  <c r="HP101" i="9"/>
  <c r="HO101" i="9"/>
  <c r="HN101" i="9"/>
  <c r="HM101" i="9"/>
  <c r="HL101" i="9"/>
  <c r="HK101" i="9"/>
  <c r="HQ101" i="9"/>
  <c r="HP100" i="9"/>
  <c r="HO100" i="9"/>
  <c r="HN100" i="9"/>
  <c r="HM100" i="9"/>
  <c r="HL100" i="9"/>
  <c r="HK100" i="9"/>
  <c r="HQ100" i="9"/>
  <c r="HP99" i="9"/>
  <c r="HO99" i="9"/>
  <c r="HN99" i="9"/>
  <c r="HM99" i="9"/>
  <c r="HL99" i="9"/>
  <c r="HK99" i="9"/>
  <c r="HQ99" i="9"/>
  <c r="HP98" i="9"/>
  <c r="HO98" i="9"/>
  <c r="HN98" i="9"/>
  <c r="HM98" i="9"/>
  <c r="HL98" i="9"/>
  <c r="HK98" i="9"/>
  <c r="HQ98" i="9"/>
  <c r="HP97" i="9"/>
  <c r="HO97" i="9"/>
  <c r="HN97" i="9"/>
  <c r="HM97" i="9"/>
  <c r="HL97" i="9"/>
  <c r="HK97" i="9"/>
  <c r="HQ97" i="9"/>
  <c r="HP96" i="9"/>
  <c r="HO96" i="9"/>
  <c r="HN96" i="9"/>
  <c r="HM96" i="9"/>
  <c r="HL96" i="9"/>
  <c r="HK96" i="9"/>
  <c r="HQ96" i="9"/>
  <c r="HP95" i="9"/>
  <c r="HO95" i="9"/>
  <c r="HN95" i="9"/>
  <c r="HM95" i="9"/>
  <c r="HL95" i="9"/>
  <c r="HK95" i="9"/>
  <c r="HQ95" i="9"/>
  <c r="HP94" i="9"/>
  <c r="HO94" i="9"/>
  <c r="HN94" i="9"/>
  <c r="HM94" i="9"/>
  <c r="HL94" i="9"/>
  <c r="HK94" i="9"/>
  <c r="HQ94" i="9"/>
  <c r="HP93" i="9"/>
  <c r="HO93" i="9"/>
  <c r="HN93" i="9"/>
  <c r="HM93" i="9"/>
  <c r="HL93" i="9"/>
  <c r="HK93" i="9"/>
  <c r="HQ93" i="9"/>
  <c r="HP92" i="9"/>
  <c r="HO92" i="9"/>
  <c r="HN92" i="9"/>
  <c r="HM92" i="9"/>
  <c r="HL92" i="9"/>
  <c r="HK92" i="9"/>
  <c r="HQ92" i="9"/>
  <c r="HP91" i="9"/>
  <c r="HO91" i="9"/>
  <c r="HN91" i="9"/>
  <c r="HM91" i="9"/>
  <c r="HL91" i="9"/>
  <c r="HK91" i="9"/>
  <c r="HQ91" i="9"/>
  <c r="HP90" i="9"/>
  <c r="HO90" i="9"/>
  <c r="HN90" i="9"/>
  <c r="HM90" i="9"/>
  <c r="HL90" i="9"/>
  <c r="HK90" i="9"/>
  <c r="HQ90" i="9"/>
  <c r="HP89" i="9"/>
  <c r="HO89" i="9"/>
  <c r="HN89" i="9"/>
  <c r="HM89" i="9"/>
  <c r="HL89" i="9"/>
  <c r="HK89" i="9"/>
  <c r="HQ89" i="9"/>
  <c r="HP88" i="9"/>
  <c r="HO88" i="9"/>
  <c r="HN88" i="9"/>
  <c r="HM88" i="9"/>
  <c r="HL88" i="9"/>
  <c r="HK88" i="9"/>
  <c r="HQ88" i="9"/>
  <c r="HP87" i="9"/>
  <c r="HO87" i="9"/>
  <c r="HN87" i="9"/>
  <c r="HM87" i="9"/>
  <c r="HL87" i="9"/>
  <c r="HK87" i="9"/>
  <c r="HQ87" i="9"/>
  <c r="HP86" i="9"/>
  <c r="HO86" i="9"/>
  <c r="HN86" i="9"/>
  <c r="HM86" i="9"/>
  <c r="HL86" i="9"/>
  <c r="HK86" i="9"/>
  <c r="HQ86" i="9"/>
  <c r="HP85" i="9"/>
  <c r="HO85" i="9"/>
  <c r="HN85" i="9"/>
  <c r="HM85" i="9"/>
  <c r="HL85" i="9"/>
  <c r="HK85" i="9"/>
  <c r="HQ85" i="9"/>
  <c r="HP84" i="9"/>
  <c r="HO84" i="9"/>
  <c r="HN84" i="9"/>
  <c r="HM84" i="9"/>
  <c r="HL84" i="9"/>
  <c r="HK84" i="9"/>
  <c r="HQ84" i="9"/>
  <c r="HP83" i="9"/>
  <c r="HO83" i="9"/>
  <c r="HN83" i="9"/>
  <c r="HM83" i="9"/>
  <c r="HL83" i="9"/>
  <c r="HK83" i="9"/>
  <c r="HQ83" i="9"/>
  <c r="HP82" i="9"/>
  <c r="HO82" i="9"/>
  <c r="HN82" i="9"/>
  <c r="HM82" i="9"/>
  <c r="HL82" i="9"/>
  <c r="HK82" i="9"/>
  <c r="HQ82" i="9"/>
  <c r="HP81" i="9"/>
  <c r="HO81" i="9"/>
  <c r="HN81" i="9"/>
  <c r="HM81" i="9"/>
  <c r="HL81" i="9"/>
  <c r="HK81" i="9"/>
  <c r="HQ81" i="9"/>
  <c r="HP80" i="9"/>
  <c r="HO80" i="9"/>
  <c r="HN80" i="9"/>
  <c r="HM80" i="9"/>
  <c r="HL80" i="9"/>
  <c r="HK80" i="9"/>
  <c r="HQ80" i="9"/>
  <c r="HP79" i="9"/>
  <c r="HO79" i="9"/>
  <c r="HN79" i="9"/>
  <c r="HM79" i="9"/>
  <c r="HL79" i="9"/>
  <c r="HK79" i="9"/>
  <c r="HQ79" i="9"/>
  <c r="HP78" i="9"/>
  <c r="HO78" i="9"/>
  <c r="HN78" i="9"/>
  <c r="HM78" i="9"/>
  <c r="HL78" i="9"/>
  <c r="HK78" i="9"/>
  <c r="HQ78" i="9"/>
  <c r="HP77" i="9"/>
  <c r="HO77" i="9"/>
  <c r="HN77" i="9"/>
  <c r="HM77" i="9"/>
  <c r="HL77" i="9"/>
  <c r="HK77" i="9"/>
  <c r="HQ77" i="9"/>
  <c r="HP76" i="9"/>
  <c r="HO76" i="9"/>
  <c r="HN76" i="9"/>
  <c r="HM76" i="9"/>
  <c r="HL76" i="9"/>
  <c r="HK76" i="9"/>
  <c r="HQ76" i="9"/>
  <c r="HP75" i="9"/>
  <c r="HO75" i="9"/>
  <c r="HN75" i="9"/>
  <c r="HM75" i="9"/>
  <c r="HL75" i="9"/>
  <c r="HK75" i="9"/>
  <c r="HQ75" i="9"/>
  <c r="HP74" i="9"/>
  <c r="HO74" i="9"/>
  <c r="HN74" i="9"/>
  <c r="HM74" i="9"/>
  <c r="HL74" i="9"/>
  <c r="HK74" i="9"/>
  <c r="HQ74" i="9"/>
  <c r="HI104" i="9"/>
  <c r="HS104" i="9"/>
  <c r="HI103" i="9"/>
  <c r="HS103" i="9"/>
  <c r="HI102" i="9"/>
  <c r="HS102" i="9"/>
  <c r="HI101" i="9"/>
  <c r="HS101" i="9"/>
  <c r="HI100" i="9"/>
  <c r="HS100" i="9"/>
  <c r="HI99" i="9"/>
  <c r="HS99" i="9"/>
  <c r="HI98" i="9"/>
  <c r="HS98" i="9"/>
  <c r="HI97" i="9"/>
  <c r="HS97" i="9"/>
  <c r="HI96" i="9"/>
  <c r="HS96" i="9"/>
  <c r="HI95" i="9"/>
  <c r="HS95" i="9"/>
  <c r="HI94" i="9"/>
  <c r="HS94" i="9"/>
  <c r="HI93" i="9"/>
  <c r="HS93" i="9"/>
  <c r="HI92" i="9"/>
  <c r="HS92" i="9"/>
  <c r="HI91" i="9"/>
  <c r="HS91" i="9"/>
  <c r="HI90" i="9"/>
  <c r="HS90" i="9"/>
  <c r="HI89" i="9"/>
  <c r="HS89" i="9"/>
  <c r="HI88" i="9"/>
  <c r="HS88" i="9"/>
  <c r="HI87" i="9"/>
  <c r="HS87" i="9"/>
  <c r="HI86" i="9"/>
  <c r="HS86" i="9"/>
  <c r="HI85" i="9"/>
  <c r="HS85" i="9"/>
  <c r="HI84" i="9"/>
  <c r="HS84" i="9"/>
  <c r="HI83" i="9"/>
  <c r="HS83" i="9"/>
  <c r="HI82" i="9"/>
  <c r="HS82" i="9"/>
  <c r="HI81" i="9"/>
  <c r="HS81" i="9"/>
  <c r="HI80" i="9"/>
  <c r="HS80" i="9"/>
  <c r="HI79" i="9"/>
  <c r="HS79" i="9"/>
  <c r="HI78" i="9"/>
  <c r="HS78" i="9"/>
  <c r="HI77" i="9"/>
  <c r="HS77" i="9"/>
  <c r="HI76" i="9"/>
  <c r="HS76" i="9"/>
  <c r="HI75" i="9"/>
  <c r="HS75" i="9"/>
  <c r="HI74" i="9"/>
  <c r="HS74" i="9"/>
  <c r="HR74" i="9"/>
  <c r="HR75" i="9"/>
  <c r="HR76" i="9"/>
  <c r="HR77" i="9"/>
  <c r="HR78" i="9"/>
  <c r="HR79" i="9"/>
  <c r="HR80" i="9"/>
  <c r="HR81" i="9"/>
  <c r="HR82" i="9"/>
  <c r="HR83" i="9"/>
  <c r="HR84" i="9"/>
  <c r="HR85" i="9"/>
  <c r="HR86" i="9"/>
  <c r="HR87" i="9"/>
  <c r="HR88" i="9"/>
  <c r="HR89" i="9"/>
  <c r="HR90" i="9"/>
  <c r="HR91" i="9"/>
  <c r="HR92" i="9"/>
  <c r="HR93" i="9"/>
  <c r="HR94" i="9"/>
  <c r="HR95" i="9"/>
  <c r="HR96" i="9"/>
  <c r="HR97" i="9"/>
  <c r="HR98" i="9"/>
  <c r="HR99" i="9"/>
  <c r="HR100" i="9"/>
  <c r="HR101" i="9"/>
  <c r="HR102" i="9"/>
  <c r="HR103" i="9"/>
  <c r="HR104" i="9"/>
  <c r="GT84" i="9"/>
  <c r="GT83" i="9"/>
  <c r="GT82" i="9"/>
  <c r="GT81" i="9"/>
  <c r="GT80" i="9"/>
  <c r="GT79" i="9"/>
  <c r="GT78" i="9"/>
  <c r="GT77" i="9"/>
  <c r="GT76" i="9"/>
  <c r="GT75" i="9"/>
  <c r="GT74" i="9"/>
  <c r="EQ74" i="9"/>
  <c r="EQ75" i="9"/>
  <c r="EQ76" i="9"/>
  <c r="EQ77" i="9"/>
  <c r="EQ78" i="9"/>
  <c r="EQ79" i="9"/>
  <c r="EQ80" i="9"/>
  <c r="EQ81" i="9"/>
  <c r="EQ82" i="9"/>
  <c r="EQ83" i="9"/>
  <c r="EQ84" i="9"/>
  <c r="EQ85" i="9"/>
  <c r="EQ86" i="9"/>
  <c r="EQ87" i="9"/>
  <c r="EQ88" i="9"/>
  <c r="EQ89" i="9"/>
  <c r="EQ90" i="9"/>
  <c r="EQ105" i="9"/>
  <c r="EQ92" i="9"/>
  <c r="EQ93" i="9"/>
  <c r="EQ94" i="9"/>
  <c r="EQ95" i="9"/>
  <c r="EQ96" i="9"/>
  <c r="EQ97" i="9"/>
  <c r="EQ98" i="9"/>
  <c r="EQ99" i="9"/>
  <c r="EQ100" i="9"/>
  <c r="EQ101" i="9"/>
  <c r="EQ102" i="9"/>
  <c r="EQ103" i="9"/>
  <c r="EQ104" i="9"/>
  <c r="EQ91" i="9"/>
  <c r="EA103" i="9"/>
  <c r="EA102" i="9"/>
  <c r="EA101" i="9"/>
  <c r="EA100" i="9"/>
  <c r="EA99" i="9"/>
  <c r="EA98" i="9"/>
  <c r="EA97" i="9"/>
  <c r="EA96" i="9"/>
  <c r="EA95" i="9"/>
  <c r="EA94" i="9"/>
  <c r="EA93" i="9"/>
  <c r="EA92" i="9"/>
  <c r="EA91" i="9"/>
  <c r="EA90" i="9"/>
  <c r="EA89" i="9"/>
  <c r="EA88" i="9"/>
  <c r="EA87" i="9"/>
  <c r="EA86" i="9"/>
  <c r="EA85" i="9"/>
  <c r="EA84" i="9"/>
  <c r="EA83" i="9"/>
  <c r="EA82" i="9"/>
  <c r="EA81" i="9"/>
  <c r="EA80" i="9"/>
  <c r="EA79" i="9"/>
  <c r="EA78" i="9"/>
  <c r="EA77" i="9"/>
  <c r="EA76" i="9"/>
  <c r="EA75" i="9"/>
  <c r="EA74" i="9"/>
  <c r="CC40" i="9"/>
  <c r="CC41" i="9"/>
  <c r="CC42" i="9"/>
  <c r="CC43" i="9"/>
  <c r="CC44" i="9"/>
  <c r="CC45" i="9"/>
  <c r="CC46" i="9"/>
  <c r="CC47" i="9"/>
  <c r="CC48" i="9"/>
  <c r="CC49" i="9"/>
  <c r="CC50" i="9"/>
  <c r="CC51" i="9"/>
  <c r="M40" i="9"/>
  <c r="M41" i="9"/>
  <c r="M42" i="9"/>
  <c r="M43" i="9"/>
  <c r="M44" i="9"/>
  <c r="M45" i="9"/>
  <c r="M46" i="9"/>
  <c r="M47" i="9"/>
  <c r="M48" i="9"/>
  <c r="M49" i="9"/>
  <c r="M50" i="9"/>
  <c r="M51" i="9"/>
  <c r="M52" i="9"/>
  <c r="M53" i="9"/>
  <c r="M54" i="9"/>
  <c r="M55" i="9"/>
  <c r="M56" i="9"/>
  <c r="M57" i="9"/>
  <c r="M58" i="9"/>
  <c r="M59" i="9"/>
  <c r="M60" i="9"/>
  <c r="M61" i="9"/>
  <c r="M62" i="9"/>
  <c r="M63" i="9"/>
  <c r="M64" i="9"/>
  <c r="M65" i="9"/>
  <c r="M66" i="9"/>
  <c r="M67" i="9"/>
  <c r="M68" i="9"/>
  <c r="M69" i="9"/>
  <c r="M70" i="9"/>
  <c r="M71" i="9"/>
  <c r="M72" i="9"/>
  <c r="M73" i="9"/>
  <c r="M74" i="9"/>
  <c r="M75" i="9"/>
  <c r="M76" i="9"/>
  <c r="M77" i="9"/>
  <c r="M78" i="9"/>
  <c r="M79" i="9"/>
  <c r="M80" i="9"/>
  <c r="M81" i="9"/>
  <c r="M82" i="9"/>
  <c r="M83" i="9"/>
  <c r="M84" i="9"/>
  <c r="M85" i="9"/>
  <c r="M86" i="9"/>
  <c r="M87" i="9"/>
  <c r="M88" i="9"/>
  <c r="M89" i="9"/>
  <c r="M90" i="9"/>
  <c r="M91" i="9"/>
  <c r="M92" i="9"/>
  <c r="M93" i="9"/>
  <c r="M94" i="9"/>
  <c r="M95" i="9"/>
  <c r="M96" i="9"/>
  <c r="M97" i="9"/>
  <c r="M98" i="9"/>
  <c r="M99" i="9"/>
  <c r="M100" i="9"/>
  <c r="M101" i="9"/>
  <c r="M103" i="9"/>
  <c r="M104" i="9"/>
  <c r="M105" i="9"/>
  <c r="M102"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BO26" i="9"/>
  <c r="BO27" i="9"/>
  <c r="BO28" i="9"/>
  <c r="BO29" i="9"/>
  <c r="BO30" i="9"/>
  <c r="BO31" i="9"/>
  <c r="BO32" i="9"/>
  <c r="BO33" i="9"/>
  <c r="BO34" i="9"/>
  <c r="BO35" i="9"/>
  <c r="BO36" i="9"/>
  <c r="BO37" i="9"/>
  <c r="BO38" i="9"/>
  <c r="BO39" i="9"/>
  <c r="BO40" i="9"/>
  <c r="BO41" i="9"/>
  <c r="BO42" i="9"/>
  <c r="BO43" i="9"/>
  <c r="BO44" i="9"/>
  <c r="BO45" i="9"/>
  <c r="BO46" i="9"/>
  <c r="BO47" i="9"/>
  <c r="BO48" i="9"/>
  <c r="BO49" i="9"/>
  <c r="BO50" i="9"/>
  <c r="BO51" i="9"/>
  <c r="BO52" i="9"/>
  <c r="BO53" i="9"/>
  <c r="BO54" i="9"/>
  <c r="BO55" i="9"/>
  <c r="BO56" i="9"/>
  <c r="BO57" i="9"/>
  <c r="BO58" i="9"/>
  <c r="BO59" i="9"/>
  <c r="BO60" i="9"/>
  <c r="BO61" i="9"/>
  <c r="BO62" i="9"/>
  <c r="BO63" i="9"/>
  <c r="BO64" i="9"/>
  <c r="BO65" i="9"/>
  <c r="BO66" i="9"/>
  <c r="BO67" i="9"/>
  <c r="BO68" i="9"/>
  <c r="BO69" i="9"/>
  <c r="BO70" i="9"/>
  <c r="BO71" i="9"/>
  <c r="BO72" i="9"/>
  <c r="BO73" i="9"/>
  <c r="BO74" i="9"/>
  <c r="BO75" i="9"/>
  <c r="BO76" i="9"/>
  <c r="BO77" i="9"/>
  <c r="BO78" i="9"/>
  <c r="BO79" i="9"/>
  <c r="BO80" i="9"/>
  <c r="BO81" i="9"/>
  <c r="BO82" i="9"/>
  <c r="BO83" i="9"/>
  <c r="BO84" i="9"/>
  <c r="BO85" i="9"/>
  <c r="BO86" i="9"/>
  <c r="BO87" i="9"/>
  <c r="BO88" i="9"/>
  <c r="BO89" i="9"/>
  <c r="BO90" i="9"/>
  <c r="BO91" i="9"/>
  <c r="BO92" i="9"/>
  <c r="BO93" i="9"/>
  <c r="BO94" i="9"/>
  <c r="BO95" i="9"/>
  <c r="BO96" i="9"/>
  <c r="BO97" i="9"/>
  <c r="BO98" i="9"/>
  <c r="BO99" i="9"/>
  <c r="BO100" i="9"/>
  <c r="BO101" i="9"/>
  <c r="BO102" i="9"/>
  <c r="BO103" i="9"/>
  <c r="BO104" i="9"/>
  <c r="BO105" i="9"/>
  <c r="BN103" i="9"/>
  <c r="BN104" i="9"/>
  <c r="BN105" i="9"/>
  <c r="BN102" i="9"/>
  <c r="BN192" i="9"/>
  <c r="BN92" i="9"/>
  <c r="BN93" i="9"/>
  <c r="BN94" i="9"/>
  <c r="BN95" i="9"/>
  <c r="BN96" i="9"/>
  <c r="BN97" i="9"/>
  <c r="BN98" i="9"/>
  <c r="BN99" i="9"/>
  <c r="BN100" i="9"/>
  <c r="BN101" i="9"/>
  <c r="BN182" i="9"/>
  <c r="BN82" i="9"/>
  <c r="BN83" i="9"/>
  <c r="BN84" i="9"/>
  <c r="BN85" i="9"/>
  <c r="BN86" i="9"/>
  <c r="BN87" i="9"/>
  <c r="BN88" i="9"/>
  <c r="BN89" i="9"/>
  <c r="BN90" i="9"/>
  <c r="BN91" i="9"/>
  <c r="BN172" i="9"/>
  <c r="BN72" i="9"/>
  <c r="BN73" i="9"/>
  <c r="BN74" i="9"/>
  <c r="BN75" i="9"/>
  <c r="BN76" i="9"/>
  <c r="BN77" i="9"/>
  <c r="BN78" i="9"/>
  <c r="BN79" i="9"/>
  <c r="BN80" i="9"/>
  <c r="BN81" i="9"/>
  <c r="BN162" i="9"/>
  <c r="BN62" i="9"/>
  <c r="BN63" i="9"/>
  <c r="BN64" i="9"/>
  <c r="BN65" i="9"/>
  <c r="BN66" i="9"/>
  <c r="BN67" i="9"/>
  <c r="BN68" i="9"/>
  <c r="BN69" i="9"/>
  <c r="BN70" i="9"/>
  <c r="BN71" i="9"/>
  <c r="BN152" i="9"/>
  <c r="BN52" i="9"/>
  <c r="BN53" i="9"/>
  <c r="BN54" i="9"/>
  <c r="BN55" i="9"/>
  <c r="BN56" i="9"/>
  <c r="BN57" i="9"/>
  <c r="BN58" i="9"/>
  <c r="BN59" i="9"/>
  <c r="BN60" i="9"/>
  <c r="BN61" i="9"/>
  <c r="BN142" i="9"/>
  <c r="BN42" i="9"/>
  <c r="BN43" i="9"/>
  <c r="BN44" i="9"/>
  <c r="BN45" i="9"/>
  <c r="BN46" i="9"/>
  <c r="BN47" i="9"/>
  <c r="BN48" i="9"/>
  <c r="BN49" i="9"/>
  <c r="BN50" i="9"/>
  <c r="BN51" i="9"/>
  <c r="BN132" i="9"/>
  <c r="BO192" i="9"/>
  <c r="BO182" i="9"/>
  <c r="BO172" i="9"/>
  <c r="BO162" i="9"/>
  <c r="BO152" i="9"/>
  <c r="BO142" i="9"/>
  <c r="BO132" i="9"/>
  <c r="BN26" i="9"/>
  <c r="BN27" i="9"/>
  <c r="BN28" i="9"/>
  <c r="BN29" i="9"/>
  <c r="BN30" i="9"/>
  <c r="BN31" i="9"/>
  <c r="BN32" i="9"/>
  <c r="BN33" i="9"/>
  <c r="BN34" i="9"/>
  <c r="BN35" i="9"/>
  <c r="BN36" i="9"/>
  <c r="BN37" i="9"/>
  <c r="BN38" i="9"/>
  <c r="BN39" i="9"/>
  <c r="BN40" i="9"/>
  <c r="BN41"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AI22" i="9"/>
  <c r="AI23" i="9"/>
  <c r="AI24" i="9"/>
  <c r="AI25" i="9"/>
  <c r="AI26" i="9"/>
  <c r="AI27" i="9"/>
  <c r="AI28" i="9"/>
  <c r="AI29" i="9"/>
  <c r="AI30" i="9"/>
  <c r="AI31" i="9"/>
  <c r="AI32" i="9"/>
  <c r="AI33" i="9"/>
  <c r="AI34" i="9"/>
  <c r="AI35" i="9"/>
  <c r="AI36" i="9"/>
  <c r="AI37" i="9"/>
  <c r="AI38" i="9"/>
  <c r="AI39" i="9"/>
  <c r="AI40" i="9"/>
  <c r="AI41" i="9"/>
  <c r="AI42" i="9"/>
  <c r="AI43" i="9"/>
  <c r="AI44" i="9"/>
  <c r="AI45" i="9"/>
  <c r="AI46" i="9"/>
  <c r="AI47" i="9"/>
  <c r="AI48" i="9"/>
  <c r="AI49" i="9"/>
  <c r="AI50" i="9"/>
  <c r="AI51" i="9"/>
  <c r="AI52" i="9"/>
  <c r="AI53" i="9"/>
  <c r="AI54" i="9"/>
  <c r="AI55" i="9"/>
  <c r="AI56" i="9"/>
  <c r="AI57" i="9"/>
  <c r="AI58" i="9"/>
  <c r="AI59" i="9"/>
  <c r="AI60" i="9"/>
  <c r="AI61" i="9"/>
  <c r="AI62" i="9"/>
  <c r="AI63" i="9"/>
  <c r="AI64" i="9"/>
  <c r="AI65" i="9"/>
  <c r="AI66" i="9"/>
  <c r="AI67" i="9"/>
  <c r="AI68" i="9"/>
  <c r="AI69" i="9"/>
  <c r="AI70" i="9"/>
  <c r="AI71" i="9"/>
  <c r="AI72" i="9"/>
  <c r="AI73" i="9"/>
  <c r="AI74" i="9"/>
  <c r="AI75" i="9"/>
  <c r="AI76" i="9"/>
  <c r="AI77" i="9"/>
  <c r="AI78" i="9"/>
  <c r="AI79" i="9"/>
  <c r="AI80" i="9"/>
  <c r="AI81" i="9"/>
  <c r="AI82" i="9"/>
  <c r="AI83" i="9"/>
  <c r="AI84" i="9"/>
  <c r="AI85" i="9"/>
  <c r="AI86" i="9"/>
  <c r="AI87" i="9"/>
  <c r="AI88" i="9"/>
  <c r="AI89" i="9"/>
  <c r="AI90" i="9"/>
  <c r="AI91" i="9"/>
  <c r="AI92" i="9"/>
  <c r="AI93" i="9"/>
  <c r="AI94" i="9"/>
  <c r="AI95" i="9"/>
  <c r="AI96" i="9"/>
  <c r="AI97" i="9"/>
  <c r="AI98" i="9"/>
  <c r="AI99" i="9"/>
  <c r="AI100" i="9"/>
  <c r="AI101" i="9"/>
  <c r="AI102" i="9"/>
  <c r="AI103" i="9"/>
  <c r="AI104" i="9"/>
  <c r="AI105" i="9"/>
  <c r="AI21" i="9"/>
  <c r="E182" i="9"/>
  <c r="E172" i="9"/>
  <c r="E162" i="9"/>
  <c r="E152" i="9"/>
  <c r="E142" i="9"/>
  <c r="E132" i="9"/>
  <c r="BU27" i="9"/>
  <c r="BU28" i="9"/>
  <c r="BU29" i="9"/>
  <c r="BU30" i="9"/>
  <c r="BU31" i="9"/>
  <c r="BU32" i="9"/>
  <c r="BU33" i="9"/>
  <c r="BU34" i="9"/>
  <c r="BU35" i="9"/>
  <c r="BU36" i="9"/>
  <c r="BU37" i="9"/>
  <c r="BU38" i="9"/>
  <c r="BU39" i="9"/>
  <c r="BU40" i="9"/>
  <c r="BU41" i="9"/>
  <c r="BU42" i="9"/>
  <c r="BU43" i="9"/>
  <c r="BU44" i="9"/>
  <c r="BU45" i="9"/>
  <c r="BU46" i="9"/>
  <c r="BU47" i="9"/>
  <c r="BU48" i="9"/>
  <c r="BU49" i="9"/>
  <c r="BU50" i="9"/>
  <c r="BU51" i="9"/>
  <c r="BU52" i="9"/>
  <c r="BU53" i="9"/>
  <c r="BU54" i="9"/>
  <c r="BU55" i="9"/>
  <c r="BU56" i="9"/>
  <c r="BU57" i="9"/>
  <c r="BU58" i="9"/>
  <c r="BU59" i="9"/>
  <c r="BU60" i="9"/>
  <c r="BU61" i="9"/>
  <c r="BU62" i="9"/>
  <c r="BU63" i="9"/>
  <c r="BU64" i="9"/>
  <c r="BU65" i="9"/>
  <c r="BU66" i="9"/>
  <c r="BU67" i="9"/>
  <c r="BU68" i="9"/>
  <c r="BU69" i="9"/>
  <c r="BU70" i="9"/>
  <c r="BU71" i="9"/>
  <c r="BU72" i="9"/>
  <c r="BU73" i="9"/>
  <c r="BU74" i="9"/>
  <c r="BU75" i="9"/>
  <c r="BU76" i="9"/>
  <c r="BU77" i="9"/>
  <c r="BU78" i="9"/>
  <c r="BU79" i="9"/>
  <c r="BU80" i="9"/>
  <c r="BU81" i="9"/>
  <c r="BU82" i="9"/>
  <c r="BU83" i="9"/>
  <c r="BU84" i="9"/>
  <c r="BU85" i="9"/>
  <c r="BU86" i="9"/>
  <c r="BU87" i="9"/>
  <c r="BU88" i="9"/>
  <c r="BU89" i="9"/>
  <c r="BU90" i="9"/>
  <c r="BU91" i="9"/>
  <c r="BU92" i="9"/>
  <c r="BU93" i="9"/>
  <c r="BU94" i="9"/>
  <c r="BU95" i="9"/>
  <c r="BU96" i="9"/>
  <c r="BU97" i="9"/>
  <c r="BU98" i="9"/>
  <c r="BU99" i="9"/>
  <c r="BU100" i="9"/>
  <c r="BU101" i="9"/>
  <c r="BU102" i="9"/>
  <c r="BU103" i="9"/>
  <c r="BU104" i="9"/>
  <c r="BU105" i="9"/>
  <c r="BW100" i="9"/>
  <c r="CB100" i="9"/>
  <c r="BW33" i="9"/>
  <c r="CB33" i="9"/>
  <c r="BW34" i="9"/>
  <c r="CB34" i="9"/>
  <c r="BW35" i="9"/>
  <c r="CB35" i="9"/>
  <c r="BW36" i="9"/>
  <c r="CB36" i="9"/>
  <c r="BW37" i="9"/>
  <c r="CB37" i="9"/>
  <c r="BW38" i="9"/>
  <c r="CB38" i="9"/>
  <c r="BW39" i="9"/>
  <c r="CB39" i="9"/>
  <c r="BW40" i="9"/>
  <c r="CB40" i="9"/>
  <c r="BW41" i="9"/>
  <c r="CB41" i="9"/>
  <c r="BW42" i="9"/>
  <c r="CB42" i="9"/>
  <c r="BW43" i="9"/>
  <c r="CB43" i="9"/>
  <c r="BW44" i="9"/>
  <c r="CB44" i="9"/>
  <c r="BW45" i="9"/>
  <c r="CB45" i="9"/>
  <c r="BW46" i="9"/>
  <c r="CB46" i="9"/>
  <c r="BW47" i="9"/>
  <c r="CB47" i="9"/>
  <c r="BW48" i="9"/>
  <c r="CB48" i="9"/>
  <c r="BW49" i="9"/>
  <c r="CB49" i="9"/>
  <c r="BW50" i="9"/>
  <c r="CB50" i="9"/>
  <c r="BW51" i="9"/>
  <c r="CB51" i="9"/>
  <c r="BW52" i="9"/>
  <c r="CB52" i="9"/>
  <c r="BW53" i="9"/>
  <c r="CB53" i="9"/>
  <c r="BW54" i="9"/>
  <c r="CB54" i="9"/>
  <c r="BW55" i="9"/>
  <c r="CB55" i="9"/>
  <c r="BW56" i="9"/>
  <c r="CB56" i="9"/>
  <c r="BW57" i="9"/>
  <c r="CB57" i="9"/>
  <c r="BW58" i="9"/>
  <c r="CB58" i="9"/>
  <c r="BW59" i="9"/>
  <c r="CB59" i="9"/>
  <c r="BW60" i="9"/>
  <c r="CB60" i="9"/>
  <c r="BW61" i="9"/>
  <c r="CB61" i="9"/>
  <c r="BW62" i="9"/>
  <c r="CB62" i="9"/>
  <c r="BW63" i="9"/>
  <c r="CB63" i="9"/>
  <c r="BW64" i="9"/>
  <c r="CB64" i="9"/>
  <c r="BW65" i="9"/>
  <c r="CB65" i="9"/>
  <c r="BW66" i="9"/>
  <c r="CB66" i="9"/>
  <c r="BW67" i="9"/>
  <c r="CB67" i="9"/>
  <c r="BW68" i="9"/>
  <c r="CB68" i="9"/>
  <c r="BW69" i="9"/>
  <c r="CB69" i="9"/>
  <c r="BW70" i="9"/>
  <c r="CB70" i="9"/>
  <c r="BW71" i="9"/>
  <c r="CB71" i="9"/>
  <c r="BW72" i="9"/>
  <c r="CB72" i="9"/>
  <c r="BW73" i="9"/>
  <c r="CB73" i="9"/>
  <c r="BW74" i="9"/>
  <c r="CB74" i="9"/>
  <c r="BW75" i="9"/>
  <c r="CB75" i="9"/>
  <c r="BW76" i="9"/>
  <c r="CB76" i="9"/>
  <c r="BW77" i="9"/>
  <c r="CB77" i="9"/>
  <c r="BW78" i="9"/>
  <c r="CB78" i="9"/>
  <c r="BW79" i="9"/>
  <c r="CB79" i="9"/>
  <c r="BW80" i="9"/>
  <c r="CB80" i="9"/>
  <c r="BW81" i="9"/>
  <c r="CB81" i="9"/>
  <c r="BW82" i="9"/>
  <c r="CB82" i="9"/>
  <c r="BW83" i="9"/>
  <c r="CB83" i="9"/>
  <c r="BW84" i="9"/>
  <c r="CB84" i="9"/>
  <c r="BW85" i="9"/>
  <c r="CB85" i="9"/>
  <c r="BW86" i="9"/>
  <c r="CB86" i="9"/>
  <c r="BW87" i="9"/>
  <c r="CB87" i="9"/>
  <c r="BW88" i="9"/>
  <c r="CB88" i="9"/>
  <c r="BW89" i="9"/>
  <c r="CB89" i="9"/>
  <c r="BW90" i="9"/>
  <c r="CB90" i="9"/>
  <c r="BW91" i="9"/>
  <c r="CB91" i="9"/>
  <c r="BW92" i="9"/>
  <c r="CB92" i="9"/>
  <c r="BW93" i="9"/>
  <c r="CB93" i="9"/>
  <c r="BW94" i="9"/>
  <c r="CB94" i="9"/>
  <c r="BW95" i="9"/>
  <c r="CB95" i="9"/>
  <c r="BW96" i="9"/>
  <c r="CB96" i="9"/>
  <c r="BW97" i="9"/>
  <c r="CB97" i="9"/>
  <c r="BW98" i="9"/>
  <c r="CB98" i="9"/>
  <c r="BW99" i="9"/>
  <c r="CB99" i="9"/>
  <c r="BW101" i="9"/>
  <c r="CB101" i="9"/>
  <c r="BW102" i="9"/>
  <c r="CB102" i="9"/>
  <c r="BW103" i="9"/>
  <c r="CB103" i="9"/>
  <c r="BW104" i="9"/>
  <c r="CB104" i="9"/>
  <c r="BW105" i="9"/>
  <c r="CB105" i="9"/>
  <c r="BW22" i="9"/>
  <c r="BX22" i="9"/>
  <c r="BW23" i="9"/>
  <c r="BX23" i="9"/>
  <c r="BW24" i="9"/>
  <c r="BX24" i="9"/>
  <c r="BW25" i="9"/>
  <c r="BX25" i="9"/>
  <c r="BW26" i="9"/>
  <c r="BX26" i="9"/>
  <c r="BW27" i="9"/>
  <c r="BX27" i="9"/>
  <c r="BW28" i="9"/>
  <c r="BX28" i="9"/>
  <c r="BW29" i="9"/>
  <c r="BX29" i="9"/>
  <c r="BW30" i="9"/>
  <c r="BX30" i="9"/>
  <c r="BW31" i="9"/>
  <c r="BX31" i="9"/>
  <c r="BW32" i="9"/>
  <c r="BX32" i="9"/>
  <c r="BX33" i="9"/>
  <c r="BX34" i="9"/>
  <c r="BX35" i="9"/>
  <c r="BX36" i="9"/>
  <c r="BX37" i="9"/>
  <c r="BX38" i="9"/>
  <c r="BX39" i="9"/>
  <c r="BX40" i="9"/>
  <c r="BX41" i="9"/>
  <c r="BX42" i="9"/>
  <c r="BX43" i="9"/>
  <c r="BX44" i="9"/>
  <c r="BX45" i="9"/>
  <c r="BX46" i="9"/>
  <c r="BX47" i="9"/>
  <c r="BX48" i="9"/>
  <c r="BX49" i="9"/>
  <c r="BX50" i="9"/>
  <c r="BX51" i="9"/>
  <c r="BX52" i="9"/>
  <c r="BX53" i="9"/>
  <c r="BX54" i="9"/>
  <c r="BX55" i="9"/>
  <c r="BX56" i="9"/>
  <c r="BX57" i="9"/>
  <c r="BX58" i="9"/>
  <c r="BX59" i="9"/>
  <c r="BX60" i="9"/>
  <c r="BX61" i="9"/>
  <c r="BX62" i="9"/>
  <c r="BX63" i="9"/>
  <c r="BX64" i="9"/>
  <c r="BX65" i="9"/>
  <c r="BX66" i="9"/>
  <c r="BX67" i="9"/>
  <c r="BX68" i="9"/>
  <c r="BX69" i="9"/>
  <c r="BX70" i="9"/>
  <c r="BX71" i="9"/>
  <c r="BX72" i="9"/>
  <c r="BX73" i="9"/>
  <c r="BX74" i="9"/>
  <c r="BX75" i="9"/>
  <c r="BX76" i="9"/>
  <c r="BX77" i="9"/>
  <c r="BX78" i="9"/>
  <c r="BX79" i="9"/>
  <c r="BX80" i="9"/>
  <c r="BX81" i="9"/>
  <c r="BX82" i="9"/>
  <c r="BX83" i="9"/>
  <c r="BX84" i="9"/>
  <c r="BX85" i="9"/>
  <c r="BX86" i="9"/>
  <c r="BX87" i="9"/>
  <c r="BX88" i="9"/>
  <c r="BX89" i="9"/>
  <c r="BX90" i="9"/>
  <c r="BX91" i="9"/>
  <c r="BX92" i="9"/>
  <c r="BX93" i="9"/>
  <c r="BX94" i="9"/>
  <c r="BX95" i="9"/>
  <c r="BX96" i="9"/>
  <c r="BX97" i="9"/>
  <c r="BX98" i="9"/>
  <c r="BX99" i="9"/>
  <c r="BX100" i="9"/>
  <c r="BX101" i="9"/>
  <c r="BX102" i="9"/>
  <c r="BX103" i="9"/>
  <c r="BX104" i="9"/>
  <c r="BX105" i="9"/>
  <c r="BW21" i="9"/>
  <c r="BX21" i="9"/>
  <c r="BF182" i="9"/>
  <c r="BF172" i="9"/>
  <c r="BF162" i="9"/>
  <c r="BF152" i="9"/>
  <c r="BF142" i="9"/>
  <c r="BF132" i="9"/>
  <c r="BK132" i="9"/>
  <c r="BJ132" i="9"/>
  <c r="BK142" i="9"/>
  <c r="BJ142" i="9"/>
  <c r="BK152" i="9"/>
  <c r="BJ152" i="9"/>
  <c r="BJ162" i="9"/>
  <c r="BK172" i="9"/>
  <c r="BJ172" i="9"/>
  <c r="BK182" i="9"/>
  <c r="BJ182" i="9"/>
  <c r="BJ192" i="9"/>
  <c r="BH182" i="9"/>
  <c r="BH162" i="9"/>
  <c r="BH152" i="9"/>
  <c r="BH142" i="9"/>
  <c r="BH132" i="9"/>
  <c r="K23" i="9"/>
  <c r="K24"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21" i="9"/>
  <c r="S22" i="9"/>
  <c r="S23" i="9"/>
  <c r="S24" i="9"/>
  <c r="S25" i="9"/>
  <c r="S26" i="9"/>
  <c r="S27" i="9"/>
  <c r="S28" i="9"/>
  <c r="S29" i="9"/>
  <c r="S30" i="9"/>
  <c r="S31" i="9"/>
  <c r="S32" i="9"/>
  <c r="S33" i="9"/>
  <c r="S34" i="9"/>
  <c r="S35" i="9"/>
  <c r="S36" i="9"/>
  <c r="S37" i="9"/>
  <c r="S38" i="9"/>
  <c r="S39" i="9"/>
  <c r="S40" i="9"/>
  <c r="S41" i="9"/>
  <c r="S42" i="9"/>
  <c r="S43" i="9"/>
  <c r="S44" i="9"/>
  <c r="S45" i="9"/>
  <c r="S46" i="9"/>
  <c r="S47" i="9"/>
  <c r="S48" i="9"/>
  <c r="S49" i="9"/>
  <c r="S50" i="9"/>
  <c r="S51" i="9"/>
  <c r="S52" i="9"/>
  <c r="S53" i="9"/>
  <c r="S54" i="9"/>
  <c r="S55" i="9"/>
  <c r="S56" i="9"/>
  <c r="S57" i="9"/>
  <c r="S58" i="9"/>
  <c r="S59" i="9"/>
  <c r="S60" i="9"/>
  <c r="S61" i="9"/>
  <c r="S62" i="9"/>
  <c r="S63" i="9"/>
  <c r="S64" i="9"/>
  <c r="S65" i="9"/>
  <c r="S66" i="9"/>
  <c r="S67" i="9"/>
  <c r="S68" i="9"/>
  <c r="S69" i="9"/>
  <c r="S70" i="9"/>
  <c r="S71" i="9"/>
  <c r="S72" i="9"/>
  <c r="S73" i="9"/>
  <c r="S74" i="9"/>
  <c r="S75" i="9"/>
  <c r="S76" i="9"/>
  <c r="S77" i="9"/>
  <c r="S78" i="9"/>
  <c r="S79" i="9"/>
  <c r="S80" i="9"/>
  <c r="S81" i="9"/>
  <c r="S82" i="9"/>
  <c r="S83" i="9"/>
  <c r="S84" i="9"/>
  <c r="S85" i="9"/>
  <c r="S86" i="9"/>
  <c r="S87" i="9"/>
  <c r="S88" i="9"/>
  <c r="S89" i="9"/>
  <c r="S90" i="9"/>
  <c r="S91" i="9"/>
  <c r="S92" i="9"/>
  <c r="S93" i="9"/>
  <c r="S94" i="9"/>
  <c r="S95" i="9"/>
  <c r="S96" i="9"/>
  <c r="S97" i="9"/>
  <c r="S98" i="9"/>
  <c r="S99" i="9"/>
  <c r="S100" i="9"/>
  <c r="S21" i="9"/>
  <c r="W77" i="9"/>
  <c r="W78" i="9"/>
  <c r="W79" i="9"/>
  <c r="W80" i="9"/>
  <c r="W81" i="9"/>
  <c r="W82" i="9"/>
  <c r="W83" i="9"/>
  <c r="W84" i="9"/>
  <c r="W85" i="9"/>
  <c r="W86" i="9"/>
  <c r="W87" i="9"/>
  <c r="W88" i="9"/>
  <c r="W89" i="9"/>
  <c r="W90" i="9"/>
  <c r="W91" i="9"/>
  <c r="W92" i="9"/>
  <c r="W93" i="9"/>
  <c r="W94" i="9"/>
  <c r="W95" i="9"/>
  <c r="W96" i="9"/>
  <c r="W97" i="9"/>
  <c r="W98" i="9"/>
  <c r="W99" i="9"/>
  <c r="W100" i="9"/>
  <c r="W101" i="9"/>
  <c r="W21" i="9"/>
  <c r="W22" i="9"/>
  <c r="W23" i="9"/>
  <c r="W24" i="9"/>
  <c r="W25" i="9"/>
  <c r="W26" i="9"/>
  <c r="W27" i="9"/>
  <c r="W28" i="9"/>
  <c r="W29" i="9"/>
  <c r="W30" i="9"/>
  <c r="W31" i="9"/>
  <c r="W32" i="9"/>
  <c r="W33" i="9"/>
  <c r="W34" i="9"/>
  <c r="W35" i="9"/>
  <c r="W36" i="9"/>
  <c r="W37" i="9"/>
  <c r="W38" i="9"/>
  <c r="W39" i="9"/>
  <c r="W40" i="9"/>
  <c r="W41" i="9"/>
  <c r="W42" i="9"/>
  <c r="W43" i="9"/>
  <c r="W44" i="9"/>
  <c r="W45" i="9"/>
  <c r="W46" i="9"/>
  <c r="W47" i="9"/>
  <c r="W48" i="9"/>
  <c r="W49" i="9"/>
  <c r="W50" i="9"/>
  <c r="W51" i="9"/>
  <c r="W52" i="9"/>
  <c r="W53" i="9"/>
  <c r="W54" i="9"/>
  <c r="W55" i="9"/>
  <c r="W56" i="9"/>
  <c r="W57" i="9"/>
  <c r="W58" i="9"/>
  <c r="W59" i="9"/>
  <c r="W60" i="9"/>
  <c r="W61" i="9"/>
  <c r="W62" i="9"/>
  <c r="W63" i="9"/>
  <c r="W64" i="9"/>
  <c r="W65" i="9"/>
  <c r="W66" i="9"/>
  <c r="W67" i="9"/>
  <c r="W68" i="9"/>
  <c r="W69" i="9"/>
  <c r="W70" i="9"/>
  <c r="W71" i="9"/>
  <c r="W72" i="9"/>
  <c r="W73" i="9"/>
  <c r="W74" i="9"/>
  <c r="W75" i="9"/>
  <c r="W76" i="9"/>
  <c r="AJ152" i="9"/>
  <c r="AJ142" i="9"/>
  <c r="AJ162" i="9"/>
  <c r="X108" i="9"/>
  <c r="P108" i="9"/>
  <c r="X107" i="9"/>
  <c r="P107" i="9"/>
  <c r="X106" i="9"/>
  <c r="P106" i="9"/>
  <c r="LK100" i="9"/>
  <c r="LK99" i="9"/>
  <c r="LK98" i="9"/>
  <c r="LH98" i="9"/>
  <c r="LK97" i="9"/>
  <c r="LH97" i="9"/>
  <c r="LK96" i="9"/>
  <c r="LH96" i="9"/>
  <c r="LK95" i="9"/>
  <c r="LH95" i="9"/>
  <c r="LK94" i="9"/>
  <c r="LH94" i="9"/>
  <c r="LK93" i="9"/>
  <c r="LH93" i="9"/>
  <c r="LK92" i="9"/>
  <c r="LH92" i="9"/>
  <c r="IQ73" i="9"/>
  <c r="HH73" i="9"/>
  <c r="LH72" i="9"/>
  <c r="LI72" i="9"/>
  <c r="LJ72" i="9"/>
  <c r="LK72" i="9"/>
  <c r="LL72" i="9"/>
  <c r="LP72" i="9"/>
  <c r="GU71" i="9"/>
  <c r="HG71" i="9"/>
  <c r="IQ71" i="9"/>
  <c r="GU72" i="9"/>
  <c r="HG72" i="9"/>
  <c r="LN70" i="9"/>
  <c r="LO70" i="9"/>
  <c r="LN71" i="9"/>
  <c r="LO71" i="9"/>
  <c r="LM70" i="9"/>
  <c r="LM71" i="9"/>
  <c r="KS70" i="9"/>
  <c r="KS71" i="9"/>
  <c r="HH71" i="9"/>
  <c r="HH72" i="9"/>
  <c r="LH70" i="9"/>
  <c r="LI70" i="9"/>
  <c r="LJ70" i="9"/>
  <c r="LK70" i="9"/>
  <c r="LL70" i="9"/>
  <c r="LP70" i="9"/>
  <c r="LH71" i="9"/>
  <c r="LI71" i="9"/>
  <c r="LJ71" i="9"/>
  <c r="LK71" i="9"/>
  <c r="LL71" i="9"/>
  <c r="LP71" i="9"/>
  <c r="IQ72" i="9"/>
  <c r="GU59" i="9"/>
  <c r="HG59" i="9"/>
  <c r="GU60" i="9"/>
  <c r="HG60" i="9"/>
  <c r="GU61" i="9"/>
  <c r="HG61" i="9"/>
  <c r="GU62" i="9"/>
  <c r="HG62" i="9"/>
  <c r="GU63" i="9"/>
  <c r="HG63" i="9"/>
  <c r="GU64" i="9"/>
  <c r="HG64" i="9"/>
  <c r="GU65" i="9"/>
  <c r="HG65" i="9"/>
  <c r="GU66" i="9"/>
  <c r="HG66" i="9"/>
  <c r="GU67" i="9"/>
  <c r="HG67" i="9"/>
  <c r="GU68" i="9"/>
  <c r="HG68" i="9"/>
  <c r="LN59" i="9"/>
  <c r="LO59" i="9"/>
  <c r="LN60" i="9"/>
  <c r="LO60" i="9"/>
  <c r="LN61" i="9"/>
  <c r="LO61" i="9"/>
  <c r="LN62" i="9"/>
  <c r="LO62" i="9"/>
  <c r="LN63" i="9"/>
  <c r="LO63" i="9"/>
  <c r="LN64" i="9"/>
  <c r="LO64" i="9"/>
  <c r="LN65" i="9"/>
  <c r="LO65" i="9"/>
  <c r="LN66" i="9"/>
  <c r="LO66" i="9"/>
  <c r="LN67" i="9"/>
  <c r="LO67" i="9"/>
  <c r="LN68" i="9"/>
  <c r="LO68" i="9"/>
  <c r="LN69" i="9"/>
  <c r="LO69" i="9"/>
  <c r="LO58" i="9"/>
  <c r="LN58" i="9"/>
  <c r="LM59" i="9"/>
  <c r="LM60" i="9"/>
  <c r="LM61" i="9"/>
  <c r="LM62" i="9"/>
  <c r="LM63" i="9"/>
  <c r="LM64" i="9"/>
  <c r="LM65" i="9"/>
  <c r="LM66" i="9"/>
  <c r="LM67" i="9"/>
  <c r="LM68" i="9"/>
  <c r="LM69" i="9"/>
  <c r="KS59" i="9"/>
  <c r="KS60" i="9"/>
  <c r="KS61" i="9"/>
  <c r="KS62" i="9"/>
  <c r="KS63" i="9"/>
  <c r="KS64" i="9"/>
  <c r="KS65" i="9"/>
  <c r="KS66" i="9"/>
  <c r="KS67" i="9"/>
  <c r="KS68" i="9"/>
  <c r="KS69" i="9"/>
  <c r="KS58" i="9"/>
  <c r="IP59" i="9"/>
  <c r="HH59" i="9"/>
  <c r="HH60" i="9"/>
  <c r="HH61" i="9"/>
  <c r="HH62" i="9"/>
  <c r="HH63" i="9"/>
  <c r="HH64" i="9"/>
  <c r="HH65" i="9"/>
  <c r="HH66" i="9"/>
  <c r="HH67" i="9"/>
  <c r="HH68" i="9"/>
  <c r="HH69" i="9"/>
  <c r="HH70" i="9"/>
  <c r="LH58" i="9"/>
  <c r="LI58" i="9"/>
  <c r="LJ58" i="9"/>
  <c r="LK58" i="9"/>
  <c r="LL58" i="9"/>
  <c r="LM58" i="9"/>
  <c r="LP58" i="9"/>
  <c r="LH59" i="9"/>
  <c r="LI59" i="9"/>
  <c r="LJ59" i="9"/>
  <c r="LK59" i="9"/>
  <c r="LL59" i="9"/>
  <c r="LP59" i="9"/>
  <c r="LH60" i="9"/>
  <c r="LI60" i="9"/>
  <c r="LJ60" i="9"/>
  <c r="LK60" i="9"/>
  <c r="LL60" i="9"/>
  <c r="LP60" i="9"/>
  <c r="LH61" i="9"/>
  <c r="LI61" i="9"/>
  <c r="LJ61" i="9"/>
  <c r="LK61" i="9"/>
  <c r="LL61" i="9"/>
  <c r="LP61" i="9"/>
  <c r="LH62" i="9"/>
  <c r="LI62" i="9"/>
  <c r="LJ62" i="9"/>
  <c r="LK62" i="9"/>
  <c r="LL62" i="9"/>
  <c r="LP62" i="9"/>
  <c r="LH63" i="9"/>
  <c r="LI63" i="9"/>
  <c r="LJ63" i="9"/>
  <c r="LK63" i="9"/>
  <c r="LL63" i="9"/>
  <c r="LP63" i="9"/>
  <c r="LH64" i="9"/>
  <c r="LI64" i="9"/>
  <c r="LJ64" i="9"/>
  <c r="LK64" i="9"/>
  <c r="LL64" i="9"/>
  <c r="LP64" i="9"/>
  <c r="LH65" i="9"/>
  <c r="LI65" i="9"/>
  <c r="LJ65" i="9"/>
  <c r="LK65" i="9"/>
  <c r="LL65" i="9"/>
  <c r="LP65" i="9"/>
  <c r="LH66" i="9"/>
  <c r="LI66" i="9"/>
  <c r="LJ66" i="9"/>
  <c r="LK66" i="9"/>
  <c r="LL66" i="9"/>
  <c r="LP66" i="9"/>
  <c r="LH67" i="9"/>
  <c r="LI67" i="9"/>
  <c r="LJ67" i="9"/>
  <c r="LK67" i="9"/>
  <c r="LL67" i="9"/>
  <c r="LP67" i="9"/>
  <c r="LH68" i="9"/>
  <c r="LI68" i="9"/>
  <c r="LJ68" i="9"/>
  <c r="LK68" i="9"/>
  <c r="LL68" i="9"/>
  <c r="LP68" i="9"/>
  <c r="LH69" i="9"/>
  <c r="LI69" i="9"/>
  <c r="LJ69" i="9"/>
  <c r="LK69" i="9"/>
  <c r="LL69" i="9"/>
  <c r="LP69" i="9"/>
  <c r="IQ69" i="9"/>
  <c r="GU69" i="9"/>
  <c r="HG69" i="9"/>
  <c r="IQ70" i="9"/>
  <c r="GU70" i="9"/>
  <c r="HG70" i="9"/>
  <c r="HJ74" i="9" a="1"/>
  <c r="HJ74" i="9"/>
  <c r="HJ75" i="9"/>
  <c r="HJ76" i="9"/>
  <c r="HJ77" i="9"/>
  <c r="HJ78" i="9"/>
  <c r="HJ79" i="9"/>
  <c r="HJ80" i="9"/>
  <c r="HJ81" i="9"/>
  <c r="HJ82" i="9"/>
  <c r="HJ83" i="9"/>
  <c r="HJ84" i="9"/>
  <c r="HJ85" i="9"/>
  <c r="HJ86" i="9"/>
  <c r="HJ87" i="9"/>
  <c r="HJ88" i="9"/>
  <c r="HJ89" i="9"/>
  <c r="HJ90" i="9"/>
  <c r="HJ91" i="9"/>
  <c r="HJ92" i="9"/>
  <c r="HJ93" i="9"/>
  <c r="HJ94" i="9"/>
  <c r="HJ95" i="9"/>
  <c r="HJ96" i="9"/>
  <c r="HJ97" i="9"/>
  <c r="HJ98" i="9"/>
  <c r="HJ99" i="9"/>
  <c r="HJ100" i="9"/>
  <c r="HJ101" i="9"/>
  <c r="HJ102" i="9"/>
  <c r="HJ103" i="9"/>
  <c r="HJ104" i="9"/>
  <c r="HJ105" i="9"/>
  <c r="HJ106" i="9"/>
  <c r="HJ107" i="9"/>
  <c r="HJ108" i="9"/>
  <c r="BX102" i="83"/>
  <c r="CC102" i="83"/>
  <c r="BR102" i="83"/>
  <c r="FR102" i="83"/>
  <c r="FX102" i="83"/>
  <c r="GB102" i="83"/>
  <c r="IA102" i="83"/>
  <c r="IA192" i="83"/>
  <c r="IF102" i="83"/>
  <c r="IF192" i="83"/>
  <c r="IH102" i="83"/>
  <c r="IH192" i="83"/>
  <c r="BX93" i="83"/>
  <c r="CC93" i="83"/>
  <c r="FW93" i="83"/>
  <c r="IF93" i="83"/>
  <c r="EN93" i="83"/>
  <c r="CD93" i="83"/>
  <c r="FY93" i="83"/>
  <c r="IG93" i="83"/>
  <c r="IH93" i="83"/>
  <c r="BX94" i="83"/>
  <c r="CC94" i="83"/>
  <c r="FW94" i="83"/>
  <c r="IF94" i="83"/>
  <c r="EN94" i="83"/>
  <c r="CD94" i="83"/>
  <c r="FY94" i="83"/>
  <c r="IG94" i="83"/>
  <c r="IH94" i="83"/>
  <c r="BX95" i="83"/>
  <c r="CC95" i="83"/>
  <c r="FW95" i="83"/>
  <c r="IF95" i="83"/>
  <c r="EN95" i="83"/>
  <c r="CD95" i="83"/>
  <c r="FY95" i="83"/>
  <c r="IG95" i="83"/>
  <c r="IH95" i="83"/>
  <c r="BX96" i="83"/>
  <c r="CC96" i="83"/>
  <c r="FW96" i="83"/>
  <c r="IF96" i="83"/>
  <c r="EN96" i="83"/>
  <c r="CD96" i="83"/>
  <c r="FY96" i="83"/>
  <c r="IG96" i="83"/>
  <c r="IH96" i="83"/>
  <c r="BX97" i="83"/>
  <c r="CC97" i="83"/>
  <c r="FW97" i="83"/>
  <c r="IF97" i="83"/>
  <c r="EN97" i="83"/>
  <c r="CD97" i="83"/>
  <c r="FY97" i="83"/>
  <c r="IG97" i="83"/>
  <c r="IH97" i="83"/>
  <c r="BX98" i="83"/>
  <c r="CC98" i="83"/>
  <c r="FW98" i="83"/>
  <c r="IF98" i="83"/>
  <c r="EN98" i="83"/>
  <c r="CD98" i="83"/>
  <c r="FY98" i="83"/>
  <c r="IG98" i="83"/>
  <c r="IH98" i="83"/>
  <c r="BX99" i="83"/>
  <c r="CC99" i="83"/>
  <c r="FW99" i="83"/>
  <c r="IF99" i="83"/>
  <c r="EN99" i="83"/>
  <c r="CD99" i="83"/>
  <c r="FY99" i="83"/>
  <c r="IG99" i="83"/>
  <c r="IH99" i="83"/>
  <c r="BX100" i="83"/>
  <c r="CC100" i="83"/>
  <c r="FW100" i="83"/>
  <c r="IF100" i="83"/>
  <c r="EN100" i="83"/>
  <c r="CD100" i="83"/>
  <c r="FY100" i="83"/>
  <c r="IG100" i="83"/>
  <c r="IH100" i="83"/>
  <c r="BX101" i="83"/>
  <c r="CC101" i="83"/>
  <c r="IF101" i="83"/>
  <c r="IH101" i="83"/>
  <c r="BX92" i="83"/>
  <c r="CC92" i="83"/>
  <c r="FW92" i="83"/>
  <c r="IF92" i="83"/>
  <c r="EN92" i="83"/>
  <c r="CD92" i="83"/>
  <c r="FY92" i="83"/>
  <c r="IG92" i="83"/>
  <c r="IH92" i="83"/>
  <c r="IH182" i="83"/>
  <c r="IG182" i="83"/>
  <c r="IF182" i="83"/>
  <c r="FR92" i="83"/>
  <c r="IA92" i="83"/>
  <c r="FR93" i="83"/>
  <c r="IA93" i="83"/>
  <c r="FR94" i="83"/>
  <c r="IA94" i="83"/>
  <c r="FR95" i="83"/>
  <c r="IA95" i="83"/>
  <c r="FR96" i="83"/>
  <c r="IA96" i="83"/>
  <c r="FR97" i="83"/>
  <c r="IA97" i="83"/>
  <c r="FR98" i="83"/>
  <c r="IA98" i="83"/>
  <c r="FR99" i="83"/>
  <c r="IA99" i="83"/>
  <c r="FR100" i="83"/>
  <c r="IA100" i="83"/>
  <c r="FR101" i="83"/>
  <c r="IA101" i="83"/>
  <c r="IA182" i="83"/>
  <c r="BX83" i="83"/>
  <c r="CC83" i="83"/>
  <c r="FW83" i="83"/>
  <c r="IF83" i="83"/>
  <c r="CD83" i="83"/>
  <c r="FY83" i="83"/>
  <c r="IG83" i="83"/>
  <c r="IH83" i="83"/>
  <c r="BX84" i="83"/>
  <c r="CC84" i="83"/>
  <c r="FW84" i="83"/>
  <c r="IF84" i="83"/>
  <c r="CD84" i="83"/>
  <c r="FY84" i="83"/>
  <c r="IG84" i="83"/>
  <c r="IH84" i="83"/>
  <c r="BX85" i="83"/>
  <c r="CC85" i="83"/>
  <c r="FW85" i="83"/>
  <c r="IF85" i="83"/>
  <c r="CD85" i="83"/>
  <c r="FY85" i="83"/>
  <c r="IG85" i="83"/>
  <c r="IH85" i="83"/>
  <c r="BX86" i="83"/>
  <c r="CC86" i="83"/>
  <c r="FW86" i="83"/>
  <c r="IF86" i="83"/>
  <c r="CD86" i="83"/>
  <c r="FY86" i="83"/>
  <c r="IG86" i="83"/>
  <c r="IH86" i="83"/>
  <c r="BX87" i="83"/>
  <c r="CC87" i="83"/>
  <c r="FW87" i="83"/>
  <c r="IF87" i="83"/>
  <c r="EN87" i="83"/>
  <c r="CD87" i="83"/>
  <c r="FY87" i="83"/>
  <c r="IG87" i="83"/>
  <c r="IH87" i="83"/>
  <c r="BX88" i="83"/>
  <c r="CC88" i="83"/>
  <c r="FW88" i="83"/>
  <c r="IF88" i="83"/>
  <c r="EN88" i="83"/>
  <c r="CD88" i="83"/>
  <c r="FY88" i="83"/>
  <c r="IG88" i="83"/>
  <c r="IH88" i="83"/>
  <c r="BX89" i="83"/>
  <c r="CC89" i="83"/>
  <c r="FW89" i="83"/>
  <c r="IF89" i="83"/>
  <c r="EN89" i="83"/>
  <c r="CD89" i="83"/>
  <c r="FY89" i="83"/>
  <c r="IG89" i="83"/>
  <c r="IH89" i="83"/>
  <c r="BX90" i="83"/>
  <c r="CC90" i="83"/>
  <c r="FW90" i="83"/>
  <c r="IF90" i="83"/>
  <c r="EN90" i="83"/>
  <c r="CD90" i="83"/>
  <c r="FY90" i="83"/>
  <c r="IG90" i="83"/>
  <c r="IH90" i="83"/>
  <c r="BX91" i="83"/>
  <c r="CC91" i="83"/>
  <c r="FW91" i="83"/>
  <c r="IF91" i="83"/>
  <c r="EN91" i="83"/>
  <c r="CD91" i="83"/>
  <c r="FY91" i="83"/>
  <c r="IG91" i="83"/>
  <c r="IH91" i="83"/>
  <c r="BX82" i="83"/>
  <c r="CC82" i="83"/>
  <c r="FW82" i="83"/>
  <c r="IF82" i="83"/>
  <c r="CD82" i="83"/>
  <c r="FY82" i="83"/>
  <c r="IG82" i="83"/>
  <c r="IH82" i="83"/>
  <c r="IH172" i="83"/>
  <c r="IG172" i="83"/>
  <c r="IF172" i="83"/>
  <c r="FR82" i="83"/>
  <c r="IA82" i="83"/>
  <c r="FR83" i="83"/>
  <c r="IA83" i="83"/>
  <c r="FR84" i="83"/>
  <c r="IA84" i="83"/>
  <c r="FR85" i="83"/>
  <c r="IA85" i="83"/>
  <c r="FR86" i="83"/>
  <c r="IA86" i="83"/>
  <c r="FR87" i="83"/>
  <c r="IA87" i="83"/>
  <c r="FR88" i="83"/>
  <c r="IA88" i="83"/>
  <c r="FR89" i="83"/>
  <c r="IA89" i="83"/>
  <c r="FR90" i="83"/>
  <c r="IA90" i="83"/>
  <c r="FR91" i="83"/>
  <c r="IA91" i="83"/>
  <c r="IA172" i="83"/>
  <c r="CC76" i="83"/>
  <c r="FW76" i="83"/>
  <c r="IF76" i="83"/>
  <c r="CD76" i="83"/>
  <c r="FY76" i="83"/>
  <c r="IG76" i="83"/>
  <c r="IH76" i="83"/>
  <c r="CC77" i="83"/>
  <c r="FW77" i="83"/>
  <c r="IF77" i="83"/>
  <c r="CD77" i="83"/>
  <c r="FY77" i="83"/>
  <c r="IG77" i="83"/>
  <c r="IH77" i="83"/>
  <c r="CC78" i="83"/>
  <c r="FW78" i="83"/>
  <c r="IF78" i="83"/>
  <c r="CD78" i="83"/>
  <c r="FY78" i="83"/>
  <c r="IG78" i="83"/>
  <c r="IH78" i="83"/>
  <c r="CC79" i="83"/>
  <c r="FW79" i="83"/>
  <c r="IF79" i="83"/>
  <c r="CD79" i="83"/>
  <c r="FY79" i="83"/>
  <c r="IG79" i="83"/>
  <c r="IH79" i="83"/>
  <c r="CC80" i="83"/>
  <c r="FW80" i="83"/>
  <c r="IF80" i="83"/>
  <c r="CD80" i="83"/>
  <c r="FY80" i="83"/>
  <c r="IG80" i="83"/>
  <c r="IH80" i="83"/>
  <c r="CC81" i="83"/>
  <c r="FW81" i="83"/>
  <c r="IF81" i="83"/>
  <c r="CD81" i="83"/>
  <c r="FY81" i="83"/>
  <c r="IG81" i="83"/>
  <c r="IH81" i="83"/>
  <c r="CC75" i="83"/>
  <c r="FW75" i="83"/>
  <c r="IF75" i="83"/>
  <c r="CD75" i="83"/>
  <c r="FY75" i="83"/>
  <c r="IG75" i="83"/>
  <c r="IH75" i="83"/>
  <c r="IH162" i="83"/>
  <c r="IG162" i="83"/>
  <c r="IF162" i="83"/>
  <c r="FR75" i="83"/>
  <c r="IA75" i="83"/>
  <c r="FR76" i="83"/>
  <c r="IA76" i="83"/>
  <c r="FR77" i="83"/>
  <c r="IA77" i="83"/>
  <c r="FR78" i="83"/>
  <c r="IA78" i="83"/>
  <c r="FR79" i="83"/>
  <c r="IA79" i="83"/>
  <c r="FR80" i="83"/>
  <c r="IA80" i="83"/>
  <c r="FR81" i="83"/>
  <c r="IA81" i="83"/>
  <c r="IA162" i="83"/>
  <c r="GB101" i="83"/>
  <c r="FX101" i="83"/>
  <c r="BR101" i="83"/>
  <c r="GI100" i="83"/>
  <c r="GH100" i="83"/>
  <c r="GB100" i="83"/>
  <c r="FZ100" i="83"/>
  <c r="FX100" i="83"/>
  <c r="BR100" i="83"/>
  <c r="GI99" i="83"/>
  <c r="GH99" i="83"/>
  <c r="GB99" i="83"/>
  <c r="FZ99" i="83"/>
  <c r="FX99" i="83"/>
  <c r="BR99" i="83"/>
  <c r="GI98" i="83"/>
  <c r="GH98" i="83"/>
  <c r="GB98" i="83"/>
  <c r="FZ98" i="83"/>
  <c r="FX98" i="83"/>
  <c r="BR98" i="83"/>
  <c r="GI97" i="83"/>
  <c r="GH97" i="83"/>
  <c r="GB97" i="83"/>
  <c r="FZ97" i="83"/>
  <c r="FX97" i="83"/>
  <c r="BR97" i="83"/>
  <c r="GI96" i="83"/>
  <c r="GH96" i="83"/>
  <c r="GB96" i="83"/>
  <c r="FZ96" i="83"/>
  <c r="FX96" i="83"/>
  <c r="BR96" i="83"/>
  <c r="GI95" i="83"/>
  <c r="GH95" i="83"/>
  <c r="GB95" i="83"/>
  <c r="FZ95" i="83"/>
  <c r="FX95" i="83"/>
  <c r="BR95" i="83"/>
  <c r="GI94" i="83"/>
  <c r="GH94" i="83"/>
  <c r="GB94" i="83"/>
  <c r="FZ94" i="83"/>
  <c r="FX94" i="83"/>
  <c r="BR94" i="83"/>
  <c r="GI93" i="83"/>
  <c r="GH93" i="83"/>
  <c r="GB93" i="83"/>
  <c r="FZ93" i="83"/>
  <c r="FX93" i="83"/>
  <c r="BR93" i="83"/>
  <c r="GI92" i="83"/>
  <c r="GH92" i="83"/>
  <c r="GB92" i="83"/>
  <c r="FZ92" i="83"/>
  <c r="FX92" i="83"/>
  <c r="BR92" i="83"/>
  <c r="GI91" i="83"/>
  <c r="GH91" i="83"/>
  <c r="GB91" i="83"/>
  <c r="FZ91" i="83"/>
  <c r="FX91" i="83"/>
  <c r="BR91" i="83"/>
  <c r="GI90" i="83"/>
  <c r="GH90" i="83"/>
  <c r="GB90" i="83"/>
  <c r="FZ90" i="83"/>
  <c r="FX90" i="83"/>
  <c r="BR90" i="83"/>
  <c r="GI89" i="83"/>
  <c r="GH89" i="83"/>
  <c r="GB89" i="83"/>
  <c r="FZ89" i="83"/>
  <c r="FX89" i="83"/>
  <c r="BR89" i="83"/>
  <c r="GI88" i="83"/>
  <c r="GH88" i="83"/>
  <c r="GB88" i="83"/>
  <c r="FZ88" i="83"/>
  <c r="FX88" i="83"/>
  <c r="BR88" i="83"/>
  <c r="GI87" i="83"/>
  <c r="GH87" i="83"/>
  <c r="GB87" i="83"/>
  <c r="FZ87" i="83"/>
  <c r="FX87" i="83"/>
  <c r="BR87" i="83"/>
  <c r="GI86" i="83"/>
  <c r="GH86" i="83"/>
  <c r="GB86" i="83"/>
  <c r="FZ86" i="83"/>
  <c r="FX86" i="83"/>
  <c r="BR86" i="83"/>
  <c r="GI85" i="83"/>
  <c r="GH85" i="83"/>
  <c r="GB85" i="83"/>
  <c r="FZ85" i="83"/>
  <c r="FX85" i="83"/>
  <c r="BR85" i="83"/>
  <c r="GI84" i="83"/>
  <c r="GH84" i="83"/>
  <c r="GB84" i="83"/>
  <c r="FZ84" i="83"/>
  <c r="FX84" i="83"/>
  <c r="BR84" i="83"/>
  <c r="GI83" i="83"/>
  <c r="GH83" i="83"/>
  <c r="GB83" i="83"/>
  <c r="FZ83" i="83"/>
  <c r="FX83" i="83"/>
  <c r="BR83" i="83"/>
  <c r="GI82" i="83"/>
  <c r="GH82" i="83"/>
  <c r="GB82" i="83"/>
  <c r="FZ82" i="83"/>
  <c r="FX82" i="83"/>
  <c r="BR82" i="83"/>
  <c r="GI81" i="83"/>
  <c r="GH81" i="83"/>
  <c r="GB81" i="83"/>
  <c r="FZ81" i="83"/>
  <c r="FX81" i="83"/>
  <c r="BR81" i="83"/>
  <c r="GI80" i="83"/>
  <c r="GH80" i="83"/>
  <c r="GB80" i="83"/>
  <c r="FZ80" i="83"/>
  <c r="FX80" i="83"/>
  <c r="BR80" i="83"/>
  <c r="GI79" i="83"/>
  <c r="GH79" i="83"/>
  <c r="GB79" i="83"/>
  <c r="FZ79" i="83"/>
  <c r="FX79" i="83"/>
  <c r="BR79" i="83"/>
  <c r="GI78" i="83"/>
  <c r="GH78" i="83"/>
  <c r="GB78" i="83"/>
  <c r="FZ78" i="83"/>
  <c r="FX78" i="83"/>
  <c r="BR78" i="83"/>
  <c r="GI77" i="83"/>
  <c r="GH77" i="83"/>
  <c r="GB77" i="83"/>
  <c r="FZ77" i="83"/>
  <c r="FX77" i="83"/>
  <c r="BR77" i="83"/>
  <c r="GI76" i="83"/>
  <c r="GH76" i="83"/>
  <c r="GB76" i="83"/>
  <c r="FZ76" i="83"/>
  <c r="FX76" i="83"/>
  <c r="BR76" i="83"/>
  <c r="GI75" i="83"/>
  <c r="GH75" i="83"/>
  <c r="GB75" i="83"/>
  <c r="FZ75" i="83"/>
  <c r="FX75" i="83"/>
  <c r="BR75" i="83"/>
  <c r="FW74" i="83"/>
  <c r="GI74" i="83"/>
  <c r="FY74" i="83"/>
  <c r="GH74" i="83"/>
  <c r="FR74" i="83"/>
  <c r="GB74" i="83"/>
  <c r="FZ74" i="83"/>
  <c r="FX74" i="83"/>
  <c r="CC74" i="83"/>
  <c r="BR74" i="83"/>
  <c r="CD74" i="83"/>
  <c r="DJ33" i="96"/>
  <c r="DJ32" i="96"/>
  <c r="M27" i="96"/>
  <c r="DJ31" i="96"/>
  <c r="DJ30" i="96"/>
  <c r="DJ29" i="96"/>
  <c r="DJ28" i="96"/>
  <c r="CT31" i="96"/>
  <c r="CU31" i="96"/>
  <c r="CT30" i="96"/>
  <c r="CU30" i="96"/>
  <c r="CT29" i="96"/>
  <c r="CU29" i="96"/>
  <c r="CT28" i="96"/>
  <c r="CU28" i="96"/>
  <c r="M26" i="96"/>
  <c r="M25" i="96"/>
  <c r="M24" i="96"/>
  <c r="M23" i="96"/>
  <c r="AY22" i="96"/>
  <c r="BI22" i="96"/>
  <c r="CT22" i="96"/>
  <c r="FN70" i="9"/>
  <c r="FJ70" i="9"/>
  <c r="FI70" i="9"/>
  <c r="FH70" i="9"/>
  <c r="FG70" i="9"/>
  <c r="FO70" i="9"/>
  <c r="DK23" i="96"/>
  <c r="FQ70" i="9"/>
  <c r="FS70" i="9"/>
  <c r="FT70" i="9"/>
  <c r="FU70" i="9"/>
  <c r="FP70" i="9"/>
  <c r="FR70" i="9"/>
  <c r="FV70" i="9"/>
  <c r="FF70" i="9"/>
  <c r="FL70" i="9"/>
  <c r="FM70" i="9"/>
  <c r="FM69" i="9"/>
  <c r="FL69" i="9"/>
  <c r="FF69" i="9"/>
  <c r="FI69" i="9"/>
  <c r="FG69" i="9"/>
  <c r="FO69" i="9"/>
  <c r="FQ69" i="9"/>
  <c r="FQ152" i="9"/>
  <c r="FP69" i="9"/>
  <c r="FR69" i="9"/>
  <c r="FR152" i="9"/>
  <c r="FS69" i="9"/>
  <c r="FS152" i="9"/>
  <c r="FV69" i="9"/>
  <c r="FV152" i="9"/>
  <c r="FT69" i="9"/>
  <c r="FU69" i="9"/>
  <c r="DK22" i="96"/>
  <c r="DJ11" i="96"/>
  <c r="DJ12" i="96"/>
  <c r="DJ13" i="96"/>
  <c r="DJ14" i="96"/>
  <c r="DJ15" i="96"/>
  <c r="DJ16" i="96"/>
  <c r="DJ17" i="96"/>
  <c r="CT16" i="96"/>
  <c r="CU16" i="96"/>
  <c r="CT17" i="96"/>
  <c r="CU17" i="96"/>
  <c r="AY11" i="96"/>
  <c r="BI11" i="96"/>
  <c r="DL11" i="96"/>
  <c r="EC11" i="96"/>
  <c r="GI11" i="96"/>
  <c r="HN11" i="96"/>
  <c r="GN15" i="96"/>
  <c r="GJ11" i="96"/>
  <c r="DM21" i="96"/>
  <c r="DM20" i="96"/>
  <c r="DM19" i="96"/>
  <c r="DM18" i="96"/>
  <c r="CX11" i="96"/>
  <c r="CT11" i="96"/>
  <c r="CU11" i="96"/>
  <c r="DJ22" i="96"/>
  <c r="CU22" i="96"/>
  <c r="DJ18" i="96"/>
  <c r="DJ19" i="96"/>
  <c r="DJ20" i="96"/>
  <c r="DJ21" i="96"/>
  <c r="CT21" i="96"/>
  <c r="CU21" i="96"/>
  <c r="CT20" i="96"/>
  <c r="CU20" i="96"/>
  <c r="CT19" i="96"/>
  <c r="CU19" i="96"/>
  <c r="CT18" i="96"/>
  <c r="CU18" i="96"/>
  <c r="DW21" i="96"/>
  <c r="DW20" i="96"/>
  <c r="DW19" i="96"/>
  <c r="DW18" i="96"/>
  <c r="FV40" i="96"/>
  <c r="EA21" i="96"/>
  <c r="EA20" i="96"/>
  <c r="EA19" i="96"/>
  <c r="EA18" i="96"/>
  <c r="DU26" i="96"/>
  <c r="DU25" i="96"/>
  <c r="DU24" i="96"/>
  <c r="DU23" i="96"/>
  <c r="DU21" i="96"/>
  <c r="DU20" i="96"/>
  <c r="DU19" i="96"/>
  <c r="DU18" i="96"/>
  <c r="DU17" i="96"/>
  <c r="DU16" i="96"/>
  <c r="EA17" i="96"/>
  <c r="EA16" i="96"/>
  <c r="GB99" i="9"/>
  <c r="FA99" i="9"/>
  <c r="FK99" i="9"/>
  <c r="FO99" i="9"/>
  <c r="DK52" i="96"/>
  <c r="GB100" i="9"/>
  <c r="FA100" i="9"/>
  <c r="FK100" i="9"/>
  <c r="FO100" i="9"/>
  <c r="DK53" i="96"/>
  <c r="GB101" i="9"/>
  <c r="FA101" i="9"/>
  <c r="FK101" i="9"/>
  <c r="FO101" i="9"/>
  <c r="DK54" i="96"/>
  <c r="FQ99" i="9"/>
  <c r="FS99" i="9"/>
  <c r="FE99" i="9"/>
  <c r="EO99" i="9"/>
  <c r="FT99" i="9"/>
  <c r="FU99" i="9"/>
  <c r="FQ100" i="9"/>
  <c r="FS100" i="9"/>
  <c r="FE100" i="9"/>
  <c r="EO100" i="9"/>
  <c r="FT100" i="9"/>
  <c r="FU100" i="9"/>
  <c r="FQ101" i="9"/>
  <c r="FS101" i="9"/>
  <c r="FE101" i="9"/>
  <c r="EO101" i="9"/>
  <c r="FT101" i="9"/>
  <c r="FU101" i="9"/>
  <c r="FP99" i="9"/>
  <c r="FR99" i="9"/>
  <c r="FV99" i="9"/>
  <c r="FP100" i="9"/>
  <c r="FR100" i="9"/>
  <c r="FV100" i="9"/>
  <c r="FP101" i="9"/>
  <c r="FR101" i="9"/>
  <c r="FV101" i="9"/>
  <c r="FV182" i="9"/>
  <c r="FS182" i="9"/>
  <c r="FR182" i="9"/>
  <c r="FQ182" i="9"/>
  <c r="GF99" i="9"/>
  <c r="GF100" i="9"/>
  <c r="GF101" i="9"/>
  <c r="KR99" i="9"/>
  <c r="LG99" i="9"/>
  <c r="LR99" i="9"/>
  <c r="LS99" i="9"/>
  <c r="KR100" i="9"/>
  <c r="LG100" i="9"/>
  <c r="LR100" i="9"/>
  <c r="LS100" i="9"/>
  <c r="KR101" i="9"/>
  <c r="LG101" i="9"/>
  <c r="LR101" i="9"/>
  <c r="LS101" i="9"/>
  <c r="LA99" i="9"/>
  <c r="LM99" i="9"/>
  <c r="LA100" i="9"/>
  <c r="LM100" i="9"/>
  <c r="LA101" i="9"/>
  <c r="LM101" i="9"/>
  <c r="KS99" i="9"/>
  <c r="KS100" i="9"/>
  <c r="KS101" i="9"/>
  <c r="LF99" i="9"/>
  <c r="LF100" i="9"/>
  <c r="LF101" i="9"/>
  <c r="OZ99" i="9"/>
  <c r="GG99" i="9"/>
  <c r="FF99" i="9"/>
  <c r="PA99" i="9"/>
  <c r="PB99" i="9"/>
  <c r="OZ100" i="9"/>
  <c r="GG100" i="9"/>
  <c r="FF100" i="9"/>
  <c r="PA100" i="9"/>
  <c r="PB100" i="9"/>
  <c r="OZ101" i="9"/>
  <c r="GG101" i="9"/>
  <c r="FF101" i="9"/>
  <c r="PA101" i="9"/>
  <c r="PB101" i="9"/>
  <c r="PB182" i="9"/>
  <c r="LH101" i="9"/>
  <c r="OW99" i="9"/>
  <c r="OW100" i="9"/>
  <c r="OW101" i="9"/>
  <c r="OW182" i="9"/>
  <c r="OZ182" i="9"/>
  <c r="PA182" i="9"/>
  <c r="CA99" i="9"/>
  <c r="CA100" i="9"/>
  <c r="CA101" i="9"/>
  <c r="LH100" i="9"/>
  <c r="LH99" i="9"/>
  <c r="DA54" i="96"/>
  <c r="DA53" i="96"/>
  <c r="DA52" i="96"/>
  <c r="GP74" i="9" a="1"/>
  <c r="GP87" i="9"/>
  <c r="HD87" i="9"/>
  <c r="GP86" i="9"/>
  <c r="HD86" i="9"/>
  <c r="GP85" i="9"/>
  <c r="HD85" i="9"/>
  <c r="GP84" i="9"/>
  <c r="HD84" i="9"/>
  <c r="GP83" i="9"/>
  <c r="HD83" i="9"/>
  <c r="GP82" i="9"/>
  <c r="HD82" i="9"/>
  <c r="GP81" i="9"/>
  <c r="HD81" i="9"/>
  <c r="GP80" i="9"/>
  <c r="HD80" i="9"/>
  <c r="GP79" i="9"/>
  <c r="HD79" i="9"/>
  <c r="GP78" i="9"/>
  <c r="HD78" i="9"/>
  <c r="GP77" i="9"/>
  <c r="HD77" i="9"/>
  <c r="GP76" i="9"/>
  <c r="HD76" i="9"/>
  <c r="GP75" i="9"/>
  <c r="HD75" i="9"/>
  <c r="GP74" i="9"/>
  <c r="HD74" i="9"/>
  <c r="GP88" i="9"/>
  <c r="GP89" i="9"/>
  <c r="GP90" i="9"/>
  <c r="GP91" i="9"/>
  <c r="GP92" i="9"/>
  <c r="GP93" i="9"/>
  <c r="GP94" i="9"/>
  <c r="GP95" i="9"/>
  <c r="GP96" i="9"/>
  <c r="GP97" i="9"/>
  <c r="GP98" i="9"/>
  <c r="GP99" i="9"/>
  <c r="GP100" i="9"/>
  <c r="GP101" i="9"/>
  <c r="GP102" i="9"/>
  <c r="GP103" i="9"/>
  <c r="GP104" i="9"/>
  <c r="GP105" i="9"/>
  <c r="GP106" i="9"/>
  <c r="GP107" i="9"/>
  <c r="GP108" i="9"/>
  <c r="JQ74" i="9" a="1"/>
  <c r="JQ87" i="9"/>
  <c r="LC87" i="9"/>
  <c r="LO87" i="9"/>
  <c r="JQ86" i="9"/>
  <c r="LC86" i="9"/>
  <c r="LO86" i="9"/>
  <c r="JQ85" i="9"/>
  <c r="LC85" i="9"/>
  <c r="LO85" i="9"/>
  <c r="JQ84" i="9"/>
  <c r="LC84" i="9"/>
  <c r="LO84" i="9"/>
  <c r="JQ83" i="9"/>
  <c r="LC83" i="9"/>
  <c r="LO83" i="9"/>
  <c r="JQ82" i="9"/>
  <c r="LC82" i="9"/>
  <c r="LO82" i="9"/>
  <c r="JQ81" i="9"/>
  <c r="LC81" i="9"/>
  <c r="LO81" i="9"/>
  <c r="JQ80" i="9"/>
  <c r="LC80" i="9"/>
  <c r="LO80" i="9"/>
  <c r="JQ79" i="9"/>
  <c r="LC79" i="9"/>
  <c r="LO79" i="9"/>
  <c r="JQ78" i="9"/>
  <c r="LC78" i="9"/>
  <c r="LO78" i="9"/>
  <c r="JQ77" i="9"/>
  <c r="LC77" i="9"/>
  <c r="LO77" i="9"/>
  <c r="JQ76" i="9"/>
  <c r="LC76" i="9"/>
  <c r="LO76" i="9"/>
  <c r="JQ75" i="9"/>
  <c r="LC75" i="9"/>
  <c r="LO75" i="9"/>
  <c r="JQ74" i="9"/>
  <c r="LC74" i="9"/>
  <c r="LO74" i="9"/>
  <c r="JQ88" i="9"/>
  <c r="JQ89" i="9"/>
  <c r="JQ90" i="9"/>
  <c r="JQ91" i="9"/>
  <c r="JQ92" i="9"/>
  <c r="JQ93" i="9"/>
  <c r="JQ94" i="9"/>
  <c r="JQ95" i="9"/>
  <c r="JQ96" i="9"/>
  <c r="JQ97" i="9"/>
  <c r="JQ98" i="9"/>
  <c r="JQ99" i="9"/>
  <c r="JQ100" i="9"/>
  <c r="JQ101" i="9"/>
  <c r="JQ102" i="9"/>
  <c r="JQ103" i="9"/>
  <c r="JQ104" i="9"/>
  <c r="JQ105" i="9"/>
  <c r="JQ106" i="9"/>
  <c r="JQ107" i="9"/>
  <c r="JQ108" i="9"/>
  <c r="CJ74" i="83"/>
  <c r="CI74" i="83"/>
  <c r="CH74" i="83"/>
  <c r="CG74" i="83"/>
  <c r="CF74" i="83"/>
  <c r="CE74" i="83"/>
  <c r="CK74" i="83"/>
  <c r="CM74" i="83"/>
  <c r="CO74" i="83"/>
  <c r="CP74" i="83"/>
  <c r="CQ74" i="83"/>
  <c r="CJ75" i="83"/>
  <c r="CI75" i="83"/>
  <c r="CH75" i="83"/>
  <c r="CG75" i="83"/>
  <c r="CF75" i="83"/>
  <c r="CE75" i="83"/>
  <c r="CK75" i="83"/>
  <c r="CM75" i="83"/>
  <c r="CO75" i="83"/>
  <c r="CP75" i="83"/>
  <c r="CQ75" i="83"/>
  <c r="CJ76" i="83"/>
  <c r="CI76" i="83"/>
  <c r="CH76" i="83"/>
  <c r="CG76" i="83"/>
  <c r="CF76" i="83"/>
  <c r="CE76" i="83"/>
  <c r="CK76" i="83"/>
  <c r="CM76" i="83"/>
  <c r="CO76" i="83"/>
  <c r="CP76" i="83"/>
  <c r="CQ76" i="83"/>
  <c r="CJ77" i="83"/>
  <c r="CI77" i="83"/>
  <c r="CH77" i="83"/>
  <c r="CG77" i="83"/>
  <c r="CF77" i="83"/>
  <c r="CE77" i="83"/>
  <c r="CK77" i="83"/>
  <c r="CM77" i="83"/>
  <c r="CO77" i="83"/>
  <c r="CP77" i="83"/>
  <c r="CQ77" i="83"/>
  <c r="CJ78" i="83"/>
  <c r="CI78" i="83"/>
  <c r="CH78" i="83"/>
  <c r="CG78" i="83"/>
  <c r="CF78" i="83"/>
  <c r="CE78" i="83"/>
  <c r="CK78" i="83"/>
  <c r="CM78" i="83"/>
  <c r="CO78" i="83"/>
  <c r="CP78" i="83"/>
  <c r="CQ78" i="83"/>
  <c r="CJ79" i="83"/>
  <c r="CI79" i="83"/>
  <c r="CH79" i="83"/>
  <c r="CG79" i="83"/>
  <c r="CF79" i="83"/>
  <c r="CE79" i="83"/>
  <c r="CK79" i="83"/>
  <c r="CM79" i="83"/>
  <c r="CO79" i="83"/>
  <c r="CP79" i="83"/>
  <c r="CQ79" i="83"/>
  <c r="CJ80" i="83"/>
  <c r="CI80" i="83"/>
  <c r="CH80" i="83"/>
  <c r="CG80" i="83"/>
  <c r="CF80" i="83"/>
  <c r="CE80" i="83"/>
  <c r="CK80" i="83"/>
  <c r="CM80" i="83"/>
  <c r="CO80" i="83"/>
  <c r="CP80" i="83"/>
  <c r="CQ80" i="83"/>
  <c r="CJ81" i="83"/>
  <c r="CI81" i="83"/>
  <c r="CH81" i="83"/>
  <c r="CG81" i="83"/>
  <c r="CF81" i="83"/>
  <c r="CE81" i="83"/>
  <c r="CK81" i="83"/>
  <c r="CM81" i="83"/>
  <c r="CO81" i="83"/>
  <c r="CP81" i="83"/>
  <c r="CQ81" i="83"/>
  <c r="CJ82" i="83"/>
  <c r="CI82" i="83"/>
  <c r="CH82" i="83"/>
  <c r="CG82" i="83"/>
  <c r="CF82" i="83"/>
  <c r="CE82" i="83"/>
  <c r="CK82" i="83"/>
  <c r="CM82" i="83"/>
  <c r="CO82" i="83"/>
  <c r="CP82" i="83"/>
  <c r="CQ82" i="83"/>
  <c r="CJ83" i="83"/>
  <c r="CI83" i="83"/>
  <c r="CH83" i="83"/>
  <c r="CG83" i="83"/>
  <c r="CF83" i="83"/>
  <c r="CE83" i="83"/>
  <c r="CK83" i="83"/>
  <c r="CM83" i="83"/>
  <c r="CO83" i="83"/>
  <c r="CP83" i="83"/>
  <c r="CQ83" i="83"/>
  <c r="CJ84" i="83"/>
  <c r="CI84" i="83"/>
  <c r="CH84" i="83"/>
  <c r="CG84" i="83"/>
  <c r="CF84" i="83"/>
  <c r="CE84" i="83"/>
  <c r="CK84" i="83"/>
  <c r="CM84" i="83"/>
  <c r="CO84" i="83"/>
  <c r="CP84" i="83"/>
  <c r="CQ84" i="83"/>
  <c r="CJ85" i="83"/>
  <c r="CI85" i="83"/>
  <c r="CH85" i="83"/>
  <c r="CG85" i="83"/>
  <c r="CF85" i="83"/>
  <c r="CE85" i="83"/>
  <c r="CK85" i="83"/>
  <c r="CM85" i="83"/>
  <c r="CO85" i="83"/>
  <c r="CP85" i="83"/>
  <c r="CQ85" i="83"/>
  <c r="CJ86" i="83"/>
  <c r="CI86" i="83"/>
  <c r="CH86" i="83"/>
  <c r="CG86" i="83"/>
  <c r="CF86" i="83"/>
  <c r="CE86" i="83"/>
  <c r="CK86" i="83"/>
  <c r="CM86" i="83"/>
  <c r="CO86" i="83"/>
  <c r="CP86" i="83"/>
  <c r="CQ86" i="83"/>
  <c r="CJ87" i="83"/>
  <c r="CI87" i="83"/>
  <c r="CH87" i="83"/>
  <c r="CG87" i="83"/>
  <c r="CF87" i="83"/>
  <c r="CE87" i="83"/>
  <c r="CK87" i="83"/>
  <c r="CM87" i="83"/>
  <c r="CO87" i="83"/>
  <c r="CP87" i="83"/>
  <c r="CQ87" i="83"/>
  <c r="CJ88" i="83"/>
  <c r="CI88" i="83"/>
  <c r="CH88" i="83"/>
  <c r="CG88" i="83"/>
  <c r="CF88" i="83"/>
  <c r="CE88" i="83"/>
  <c r="CK88" i="83"/>
  <c r="CM88" i="83"/>
  <c r="CO88" i="83"/>
  <c r="CP88" i="83"/>
  <c r="CQ88" i="83"/>
  <c r="CJ89" i="83"/>
  <c r="CI89" i="83"/>
  <c r="CH89" i="83"/>
  <c r="CG89" i="83"/>
  <c r="CF89" i="83"/>
  <c r="CE89" i="83"/>
  <c r="CK89" i="83"/>
  <c r="CM89" i="83"/>
  <c r="CO89" i="83"/>
  <c r="CP89" i="83"/>
  <c r="CQ89" i="83"/>
  <c r="CJ90" i="83"/>
  <c r="CI90" i="83"/>
  <c r="CH90" i="83"/>
  <c r="CG90" i="83"/>
  <c r="CF90" i="83"/>
  <c r="CE90" i="83"/>
  <c r="CK90" i="83"/>
  <c r="CM90" i="83"/>
  <c r="CO90" i="83"/>
  <c r="CP90" i="83"/>
  <c r="CQ90" i="83"/>
  <c r="CJ91" i="83"/>
  <c r="CI91" i="83"/>
  <c r="CH91" i="83"/>
  <c r="CG91" i="83"/>
  <c r="CF91" i="83"/>
  <c r="CE91" i="83"/>
  <c r="CK91" i="83"/>
  <c r="CM91" i="83"/>
  <c r="CO91" i="83"/>
  <c r="CP91" i="83"/>
  <c r="CQ91" i="83"/>
  <c r="CJ92" i="83"/>
  <c r="CI92" i="83"/>
  <c r="CH92" i="83"/>
  <c r="CG92" i="83"/>
  <c r="CF92" i="83"/>
  <c r="CE92" i="83"/>
  <c r="CK92" i="83"/>
  <c r="CM92" i="83"/>
  <c r="CO92" i="83"/>
  <c r="CP92" i="83"/>
  <c r="CQ92" i="83"/>
  <c r="CJ93" i="83"/>
  <c r="CI93" i="83"/>
  <c r="CH93" i="83"/>
  <c r="CG93" i="83"/>
  <c r="CF93" i="83"/>
  <c r="CE93" i="83"/>
  <c r="CK93" i="83"/>
  <c r="CM93" i="83"/>
  <c r="CO93" i="83"/>
  <c r="CP93" i="83"/>
  <c r="CQ93" i="83"/>
  <c r="CJ94" i="83"/>
  <c r="CI94" i="83"/>
  <c r="CH94" i="83"/>
  <c r="CG94" i="83"/>
  <c r="CF94" i="83"/>
  <c r="CE94" i="83"/>
  <c r="CK94" i="83"/>
  <c r="CM94" i="83"/>
  <c r="CO94" i="83"/>
  <c r="CP94" i="83"/>
  <c r="CQ94" i="83"/>
  <c r="CJ95" i="83"/>
  <c r="CI95" i="83"/>
  <c r="CH95" i="83"/>
  <c r="CG95" i="83"/>
  <c r="CF95" i="83"/>
  <c r="CE95" i="83"/>
  <c r="CK95" i="83"/>
  <c r="CM95" i="83"/>
  <c r="CO95" i="83"/>
  <c r="CP95" i="83"/>
  <c r="CQ95" i="83"/>
  <c r="CJ96" i="83"/>
  <c r="CI96" i="83"/>
  <c r="CH96" i="83"/>
  <c r="CG96" i="83"/>
  <c r="CF96" i="83"/>
  <c r="CE96" i="83"/>
  <c r="CK96" i="83"/>
  <c r="CM96" i="83"/>
  <c r="CO96" i="83"/>
  <c r="CP96" i="83"/>
  <c r="CQ96" i="83"/>
  <c r="CJ97" i="83"/>
  <c r="CI97" i="83"/>
  <c r="CH97" i="83"/>
  <c r="CG97" i="83"/>
  <c r="CF97" i="83"/>
  <c r="CE97" i="83"/>
  <c r="CK97" i="83"/>
  <c r="CM97" i="83"/>
  <c r="CO97" i="83"/>
  <c r="CP97" i="83"/>
  <c r="CQ97" i="83"/>
  <c r="CJ98" i="83"/>
  <c r="CI98" i="83"/>
  <c r="CH98" i="83"/>
  <c r="CG98" i="83"/>
  <c r="CF98" i="83"/>
  <c r="CE98" i="83"/>
  <c r="CK98" i="83"/>
  <c r="CM98" i="83"/>
  <c r="CO98" i="83"/>
  <c r="CP98" i="83"/>
  <c r="CQ98" i="83"/>
  <c r="CJ99" i="83"/>
  <c r="CI99" i="83"/>
  <c r="CH99" i="83"/>
  <c r="CG99" i="83"/>
  <c r="CF99" i="83"/>
  <c r="CE99" i="83"/>
  <c r="CK99" i="83"/>
  <c r="CM99" i="83"/>
  <c r="CO99" i="83"/>
  <c r="CP99" i="83"/>
  <c r="CQ99" i="83"/>
  <c r="CJ100" i="83"/>
  <c r="CI100" i="83"/>
  <c r="CH100" i="83"/>
  <c r="CG100" i="83"/>
  <c r="CF100" i="83"/>
  <c r="CE100" i="83"/>
  <c r="CK100" i="83"/>
  <c r="CM100" i="83"/>
  <c r="CO100" i="83"/>
  <c r="CP100" i="83"/>
  <c r="CQ100" i="83"/>
  <c r="CJ101" i="83"/>
  <c r="CI101" i="83"/>
  <c r="CH101" i="83"/>
  <c r="CG101" i="83"/>
  <c r="CF101" i="83"/>
  <c r="CE101" i="83"/>
  <c r="CK101" i="83"/>
  <c r="CM101" i="83"/>
  <c r="CO101" i="83"/>
  <c r="CP101" i="83"/>
  <c r="CQ101" i="83"/>
  <c r="CM172" i="83"/>
  <c r="CL82" i="83"/>
  <c r="CN82" i="83"/>
  <c r="CL83" i="83"/>
  <c r="CN83" i="83"/>
  <c r="CL84" i="83"/>
  <c r="CN84" i="83"/>
  <c r="CL85" i="83"/>
  <c r="CN85" i="83"/>
  <c r="CL86" i="83"/>
  <c r="CN86" i="83"/>
  <c r="CL87" i="83"/>
  <c r="CN87" i="83"/>
  <c r="CL88" i="83"/>
  <c r="CN88" i="83"/>
  <c r="CL89" i="83"/>
  <c r="CN89" i="83"/>
  <c r="CL90" i="83"/>
  <c r="CN90" i="83"/>
  <c r="CL91" i="83"/>
  <c r="CN91" i="83"/>
  <c r="CN172" i="83"/>
  <c r="CO172" i="83"/>
  <c r="CR82" i="83"/>
  <c r="CR83" i="83"/>
  <c r="CR84" i="83"/>
  <c r="CR85" i="83"/>
  <c r="CR86" i="83"/>
  <c r="CR87" i="83"/>
  <c r="CR88" i="83"/>
  <c r="CR89" i="83"/>
  <c r="CR90" i="83"/>
  <c r="CR91" i="83"/>
  <c r="CR172" i="83"/>
  <c r="CM182" i="83"/>
  <c r="CL92" i="83"/>
  <c r="CN92" i="83"/>
  <c r="CL93" i="83"/>
  <c r="CN93" i="83"/>
  <c r="CL94" i="83"/>
  <c r="CN94" i="83"/>
  <c r="CL95" i="83"/>
  <c r="CN95" i="83"/>
  <c r="CL96" i="83"/>
  <c r="CN96" i="83"/>
  <c r="CL97" i="83"/>
  <c r="CN97" i="83"/>
  <c r="CL98" i="83"/>
  <c r="CN98" i="83"/>
  <c r="CL99" i="83"/>
  <c r="CN99" i="83"/>
  <c r="CL100" i="83"/>
  <c r="CN100" i="83"/>
  <c r="CL101" i="83"/>
  <c r="CN101" i="83"/>
  <c r="CN182" i="83"/>
  <c r="CO182" i="83"/>
  <c r="CR92" i="83"/>
  <c r="CR93" i="83"/>
  <c r="CR94" i="83"/>
  <c r="CR95" i="83"/>
  <c r="CR96" i="83"/>
  <c r="CR97" i="83"/>
  <c r="CR98" i="83"/>
  <c r="CR99" i="83"/>
  <c r="CR100" i="83"/>
  <c r="CR101" i="83"/>
  <c r="CR182" i="83"/>
  <c r="CJ102" i="83"/>
  <c r="CI102" i="83"/>
  <c r="CH102" i="83"/>
  <c r="CG102" i="83"/>
  <c r="CF102" i="83"/>
  <c r="CE102" i="83"/>
  <c r="CK102" i="83"/>
  <c r="CL102" i="83"/>
  <c r="CN102" i="83"/>
  <c r="CR102" i="83"/>
  <c r="CJ103" i="83"/>
  <c r="CI103" i="83"/>
  <c r="CH103" i="83"/>
  <c r="CG103" i="83"/>
  <c r="CF103" i="83"/>
  <c r="CE103" i="83"/>
  <c r="CK103" i="83"/>
  <c r="CL103" i="83"/>
  <c r="CN103" i="83"/>
  <c r="CR103" i="83"/>
  <c r="CJ104" i="83"/>
  <c r="CI104" i="83"/>
  <c r="CH104" i="83"/>
  <c r="CG104" i="83"/>
  <c r="CF104" i="83"/>
  <c r="CE104" i="83"/>
  <c r="CK104" i="83"/>
  <c r="CL104" i="83"/>
  <c r="CN104" i="83"/>
  <c r="CR104" i="83"/>
  <c r="CJ105" i="83"/>
  <c r="CI105" i="83"/>
  <c r="CH105" i="83"/>
  <c r="CG105" i="83"/>
  <c r="CF105" i="83"/>
  <c r="CE105" i="83"/>
  <c r="CK105" i="83"/>
  <c r="CL105" i="83"/>
  <c r="CN105" i="83"/>
  <c r="CR105" i="83"/>
  <c r="CJ106" i="83"/>
  <c r="CI106" i="83"/>
  <c r="CH106" i="83"/>
  <c r="CG106" i="83"/>
  <c r="CF106" i="83"/>
  <c r="CE106" i="83"/>
  <c r="CK106" i="83"/>
  <c r="CL106" i="83"/>
  <c r="CN106" i="83"/>
  <c r="CR106" i="83"/>
  <c r="CJ107" i="83"/>
  <c r="CI107" i="83"/>
  <c r="CH107" i="83"/>
  <c r="CG107" i="83"/>
  <c r="CF107" i="83"/>
  <c r="CE107" i="83"/>
  <c r="CK107" i="83"/>
  <c r="CL107" i="83"/>
  <c r="CN107" i="83"/>
  <c r="CR107" i="83"/>
  <c r="CJ108" i="83"/>
  <c r="CI108" i="83"/>
  <c r="CH108" i="83"/>
  <c r="CG108" i="83"/>
  <c r="CF108" i="83"/>
  <c r="CE108" i="83"/>
  <c r="CK108" i="83"/>
  <c r="CL108" i="83"/>
  <c r="CN108" i="83"/>
  <c r="CR108" i="83"/>
  <c r="CR192" i="83"/>
  <c r="CM102" i="83"/>
  <c r="CO102" i="83"/>
  <c r="CM103" i="83"/>
  <c r="CO103" i="83"/>
  <c r="CM104" i="83"/>
  <c r="CO104" i="83"/>
  <c r="CM105" i="83"/>
  <c r="CO105" i="83"/>
  <c r="CM106" i="83"/>
  <c r="CO106" i="83"/>
  <c r="CM107" i="83"/>
  <c r="CO107" i="83"/>
  <c r="CM108" i="83"/>
  <c r="CO108" i="83"/>
  <c r="CO192" i="83"/>
  <c r="CN192" i="83"/>
  <c r="CM192" i="83"/>
  <c r="CP102" i="83"/>
  <c r="CQ102" i="83"/>
  <c r="AC74" i="83"/>
  <c r="Y74" i="83"/>
  <c r="AC75" i="83"/>
  <c r="Y75" i="83"/>
  <c r="HX75" i="83"/>
  <c r="HY75" i="83"/>
  <c r="AC76" i="83"/>
  <c r="Y76" i="83"/>
  <c r="HX76" i="83"/>
  <c r="HY76" i="83"/>
  <c r="AC77" i="83"/>
  <c r="Y77" i="83"/>
  <c r="HX77" i="83"/>
  <c r="HY77" i="83"/>
  <c r="AC78" i="83"/>
  <c r="Y78" i="83"/>
  <c r="HX78" i="83"/>
  <c r="HY78" i="83"/>
  <c r="AC79" i="83"/>
  <c r="Y79" i="83"/>
  <c r="HX79" i="83"/>
  <c r="HY79" i="83"/>
  <c r="AC80" i="83"/>
  <c r="Y80" i="83"/>
  <c r="HX80" i="83"/>
  <c r="HY80" i="83"/>
  <c r="AC81" i="83"/>
  <c r="Y81" i="83"/>
  <c r="HX81" i="83"/>
  <c r="HY81" i="83"/>
  <c r="AC82" i="83"/>
  <c r="Y82" i="83"/>
  <c r="HX82" i="83"/>
  <c r="HY82" i="83"/>
  <c r="AC83" i="83"/>
  <c r="Y83" i="83"/>
  <c r="HX83" i="83"/>
  <c r="HY83" i="83"/>
  <c r="AC84" i="83"/>
  <c r="Y84" i="83"/>
  <c r="HX84" i="83"/>
  <c r="HY84" i="83"/>
  <c r="AC85" i="83"/>
  <c r="Y85" i="83"/>
  <c r="HX85" i="83"/>
  <c r="HY85" i="83"/>
  <c r="AC86" i="83"/>
  <c r="Y86" i="83"/>
  <c r="HX86" i="83"/>
  <c r="HY86" i="83"/>
  <c r="AC87" i="83"/>
  <c r="Y87" i="83"/>
  <c r="HX87" i="83"/>
  <c r="HY87" i="83"/>
  <c r="AC88" i="83"/>
  <c r="Y88" i="83"/>
  <c r="HX88" i="83"/>
  <c r="HY88" i="83"/>
  <c r="AC89" i="83"/>
  <c r="Y89" i="83"/>
  <c r="HX89" i="83"/>
  <c r="HY89" i="83"/>
  <c r="AC90" i="83"/>
  <c r="Y90" i="83"/>
  <c r="HX90" i="83"/>
  <c r="HY90" i="83"/>
  <c r="AC91" i="83"/>
  <c r="Y91" i="83"/>
  <c r="HX91" i="83"/>
  <c r="HY91" i="83"/>
  <c r="AC92" i="83"/>
  <c r="Y92" i="83"/>
  <c r="HX92" i="83"/>
  <c r="HY92" i="83"/>
  <c r="AC93" i="83"/>
  <c r="Y93" i="83"/>
  <c r="HX93" i="83"/>
  <c r="HY93" i="83"/>
  <c r="AC94" i="83"/>
  <c r="Y94" i="83"/>
  <c r="HX94" i="83"/>
  <c r="HY94" i="83"/>
  <c r="AC95" i="83"/>
  <c r="Y95" i="83"/>
  <c r="HX95" i="83"/>
  <c r="HY95" i="83"/>
  <c r="AC96" i="83"/>
  <c r="Y96" i="83"/>
  <c r="HX96" i="83"/>
  <c r="HY96" i="83"/>
  <c r="AC97" i="83"/>
  <c r="Y97" i="83"/>
  <c r="HX97" i="83"/>
  <c r="HY97" i="83"/>
  <c r="AC98" i="83"/>
  <c r="Y98" i="83"/>
  <c r="HX98" i="83"/>
  <c r="HY98" i="83"/>
  <c r="AC99" i="83"/>
  <c r="Y99" i="83"/>
  <c r="HX99" i="83"/>
  <c r="HY99" i="83"/>
  <c r="AC100" i="83"/>
  <c r="Y100" i="83"/>
  <c r="HX100" i="83"/>
  <c r="HY100" i="83"/>
  <c r="AC101" i="83"/>
  <c r="Y101" i="83"/>
  <c r="HX101" i="83"/>
  <c r="HY101" i="83"/>
  <c r="AC102" i="83"/>
  <c r="Y102" i="83"/>
  <c r="HX102" i="83"/>
  <c r="HY102" i="83"/>
  <c r="AC103" i="83"/>
  <c r="Y103" i="83"/>
  <c r="CP103" i="83"/>
  <c r="CQ103" i="83"/>
  <c r="HX103" i="83"/>
  <c r="HY103" i="83"/>
  <c r="AC104" i="83"/>
  <c r="Y104" i="83"/>
  <c r="CP104" i="83"/>
  <c r="CQ104" i="83"/>
  <c r="HX104" i="83"/>
  <c r="HY104" i="83"/>
  <c r="AC105" i="83"/>
  <c r="Y105" i="83"/>
  <c r="CP105" i="83"/>
  <c r="CQ105" i="83"/>
  <c r="HX105" i="83"/>
  <c r="HY105" i="83"/>
  <c r="AC106" i="83"/>
  <c r="Y106" i="83"/>
  <c r="CP106" i="83"/>
  <c r="CQ106" i="83"/>
  <c r="HX106" i="83"/>
  <c r="HY106" i="83"/>
  <c r="AC107" i="83"/>
  <c r="Y107" i="83"/>
  <c r="CP107" i="83"/>
  <c r="CQ107" i="83"/>
  <c r="HX107" i="83"/>
  <c r="HY107" i="83"/>
  <c r="AC108" i="83"/>
  <c r="Y108" i="83"/>
  <c r="CP108" i="83"/>
  <c r="CQ108" i="83"/>
  <c r="HX108" i="83"/>
  <c r="HY108" i="83"/>
  <c r="CM162" i="83"/>
  <c r="CL74" i="83"/>
  <c r="CN74" i="83"/>
  <c r="CL75" i="83"/>
  <c r="CN75" i="83"/>
  <c r="CL76" i="83"/>
  <c r="CN76" i="83"/>
  <c r="CL77" i="83"/>
  <c r="CN77" i="83"/>
  <c r="CL78" i="83"/>
  <c r="CN78" i="83"/>
  <c r="CL79" i="83"/>
  <c r="CN79" i="83"/>
  <c r="CL80" i="83"/>
  <c r="CN80" i="83"/>
  <c r="CL81" i="83"/>
  <c r="CN81" i="83"/>
  <c r="CN162" i="83"/>
  <c r="CO162" i="83"/>
  <c r="CR74" i="83"/>
  <c r="CR75" i="83"/>
  <c r="CR76" i="83"/>
  <c r="CR77" i="83"/>
  <c r="CR78" i="83"/>
  <c r="CR79" i="83"/>
  <c r="CR80" i="83"/>
  <c r="CR81" i="83"/>
  <c r="CR162" i="83"/>
  <c r="HV162" i="83"/>
  <c r="HV172" i="83"/>
  <c r="HV182" i="83"/>
  <c r="HV192" i="83"/>
  <c r="DD74" i="83"/>
  <c r="DD108" i="83"/>
  <c r="DD107" i="83"/>
  <c r="DD106" i="83"/>
  <c r="DD105" i="83"/>
  <c r="DD104" i="83"/>
  <c r="DD103" i="83"/>
  <c r="DD102" i="83"/>
  <c r="DD101" i="83"/>
  <c r="DD100" i="83"/>
  <c r="DD99" i="83"/>
  <c r="DD98" i="83"/>
  <c r="DD97" i="83"/>
  <c r="DD96" i="83"/>
  <c r="DD95" i="83"/>
  <c r="DD94" i="83"/>
  <c r="DD93" i="83"/>
  <c r="DD92" i="83"/>
  <c r="DD91" i="83"/>
  <c r="DD90" i="83"/>
  <c r="DD89" i="83"/>
  <c r="DD88" i="83"/>
  <c r="DD87" i="83"/>
  <c r="DD86" i="83"/>
  <c r="DD85" i="83"/>
  <c r="DD84" i="83"/>
  <c r="DD83" i="83"/>
  <c r="DD82" i="83"/>
  <c r="DD81" i="83"/>
  <c r="DD80" i="83"/>
  <c r="DD79" i="83"/>
  <c r="DD78" i="83"/>
  <c r="DD77" i="83"/>
  <c r="DD76" i="83"/>
  <c r="DD75" i="83"/>
  <c r="BV74" i="83"/>
  <c r="BV108" i="83"/>
  <c r="BV107" i="83"/>
  <c r="BV106" i="83"/>
  <c r="BV105" i="83"/>
  <c r="BV104" i="83"/>
  <c r="BV103" i="83"/>
  <c r="BV102" i="83"/>
  <c r="BV101" i="83"/>
  <c r="BV100" i="83"/>
  <c r="BV99" i="83"/>
  <c r="BV98" i="83"/>
  <c r="BV97" i="83"/>
  <c r="BV96" i="83"/>
  <c r="BV95" i="83"/>
  <c r="BV94" i="83"/>
  <c r="BV93" i="83"/>
  <c r="BV92" i="83"/>
  <c r="BV91" i="83"/>
  <c r="BV90" i="83"/>
  <c r="BV89" i="83"/>
  <c r="BV88" i="83"/>
  <c r="BV87" i="83"/>
  <c r="BV86" i="83"/>
  <c r="BV85" i="83"/>
  <c r="BV84" i="83"/>
  <c r="BV83" i="83"/>
  <c r="BV82" i="83"/>
  <c r="BV81" i="83"/>
  <c r="BV80" i="83"/>
  <c r="BV79" i="83"/>
  <c r="BV78" i="83"/>
  <c r="BV77" i="83"/>
  <c r="BV76" i="83"/>
  <c r="BV75" i="83"/>
  <c r="DE74" i="83"/>
  <c r="DE108" i="83"/>
  <c r="DE107" i="83"/>
  <c r="DE106" i="83"/>
  <c r="DE105" i="83"/>
  <c r="DE104" i="83"/>
  <c r="DE103" i="83"/>
  <c r="DE102" i="83"/>
  <c r="DE101" i="83"/>
  <c r="DE100" i="83"/>
  <c r="DE99" i="83"/>
  <c r="DE98" i="83"/>
  <c r="DE97" i="83"/>
  <c r="DE96" i="83"/>
  <c r="DE95" i="83"/>
  <c r="DE94" i="83"/>
  <c r="DE93" i="83"/>
  <c r="DE92" i="83"/>
  <c r="DE91" i="83"/>
  <c r="DE90" i="83"/>
  <c r="DE89" i="83"/>
  <c r="DE88" i="83"/>
  <c r="DE87" i="83"/>
  <c r="DE86" i="83"/>
  <c r="DE85" i="83"/>
  <c r="DE84" i="83"/>
  <c r="DE83" i="83"/>
  <c r="DE82" i="83"/>
  <c r="DE81" i="83"/>
  <c r="DE80" i="83"/>
  <c r="DE79" i="83"/>
  <c r="DE78" i="83"/>
  <c r="DE77" i="83"/>
  <c r="DE76" i="83"/>
  <c r="DE75" i="83"/>
  <c r="BB68" i="9"/>
  <c r="BB70" i="9"/>
  <c r="HN16" i="96"/>
  <c r="GQ16" i="96"/>
  <c r="HO16" i="96"/>
  <c r="BI16" i="96"/>
  <c r="AY16" i="96"/>
  <c r="GJ16" i="96"/>
  <c r="DL16" i="96"/>
  <c r="EC16" i="96"/>
  <c r="HN17" i="96"/>
  <c r="HN18" i="96"/>
  <c r="HN19" i="96"/>
  <c r="GQ17" i="96"/>
  <c r="HO17" i="96"/>
  <c r="GQ18" i="96"/>
  <c r="HO18" i="96"/>
  <c r="GQ19" i="96"/>
  <c r="HO19" i="96"/>
  <c r="BI18" i="96"/>
  <c r="AY18" i="96"/>
  <c r="GJ18" i="96"/>
  <c r="DL18" i="96"/>
  <c r="EC18" i="96"/>
  <c r="BI17" i="96"/>
  <c r="AY17" i="96"/>
  <c r="GJ17" i="96"/>
  <c r="DL17" i="96"/>
  <c r="EC17" i="96"/>
  <c r="EC19" i="96"/>
  <c r="DL19" i="96"/>
  <c r="GJ19" i="96"/>
  <c r="AY19" i="96"/>
  <c r="BI19" i="96"/>
  <c r="HN20" i="96"/>
  <c r="GQ20" i="96"/>
  <c r="HO20" i="96"/>
  <c r="EC20" i="96"/>
  <c r="DL20" i="96"/>
  <c r="GJ20" i="96"/>
  <c r="AY20" i="96"/>
  <c r="BI20" i="96"/>
  <c r="BI21" i="96"/>
  <c r="AY21" i="96"/>
  <c r="GJ21" i="96"/>
  <c r="DL21" i="96"/>
  <c r="EC21" i="96"/>
  <c r="GQ21" i="96"/>
  <c r="HO21" i="96"/>
  <c r="HN21" i="96"/>
  <c r="GN24" i="96"/>
  <c r="GN25" i="96"/>
  <c r="GN21" i="96"/>
  <c r="GN19" i="96"/>
  <c r="GN18" i="96"/>
  <c r="GN17" i="96"/>
  <c r="GN16" i="96"/>
  <c r="GN14" i="96"/>
  <c r="GN13" i="96"/>
  <c r="GN12" i="96"/>
  <c r="DD21" i="96"/>
  <c r="AX21" i="96"/>
  <c r="ED21" i="96"/>
  <c r="DD20" i="96"/>
  <c r="AX20" i="96"/>
  <c r="ED20" i="96"/>
  <c r="DD19" i="96"/>
  <c r="AX19" i="96"/>
  <c r="ED19" i="96"/>
  <c r="DD18" i="96"/>
  <c r="AX18" i="96"/>
  <c r="ED18" i="96"/>
  <c r="DD17" i="96"/>
  <c r="AX17" i="96"/>
  <c r="ED17" i="96"/>
  <c r="DD16" i="96"/>
  <c r="AX16" i="96"/>
  <c r="ED16" i="96"/>
  <c r="GN20" i="96"/>
  <c r="CF18" i="96"/>
  <c r="CF17" i="96"/>
  <c r="CF16" i="96"/>
  <c r="DC21" i="96"/>
  <c r="DC20" i="96"/>
  <c r="DC19" i="96"/>
  <c r="DC18" i="96"/>
  <c r="DC17" i="96"/>
  <c r="DC16" i="96"/>
  <c r="BG21" i="96"/>
  <c r="BF21" i="96"/>
  <c r="BE21" i="96"/>
  <c r="BB21" i="96"/>
  <c r="BG20" i="96"/>
  <c r="BF20" i="96"/>
  <c r="BE20" i="96"/>
  <c r="BB20" i="96"/>
  <c r="BG19" i="96"/>
  <c r="BF19" i="96"/>
  <c r="BE19" i="96"/>
  <c r="BB19" i="96"/>
  <c r="BG18" i="96"/>
  <c r="BF18" i="96"/>
  <c r="BE18" i="96"/>
  <c r="BB18" i="96"/>
  <c r="BG17" i="96"/>
  <c r="BF17" i="96"/>
  <c r="BE17" i="96"/>
  <c r="BB17" i="96"/>
  <c r="BG16" i="96"/>
  <c r="BF16" i="96"/>
  <c r="BE16" i="96"/>
  <c r="BB16" i="96"/>
  <c r="BC21" i="96"/>
  <c r="BD21" i="96"/>
  <c r="BH21" i="96"/>
  <c r="BC20" i="96"/>
  <c r="BD20" i="96"/>
  <c r="BH20" i="96"/>
  <c r="BC19" i="96"/>
  <c r="BD19" i="96"/>
  <c r="BH19" i="96"/>
  <c r="BC18" i="96"/>
  <c r="BD18" i="96"/>
  <c r="BH18" i="96"/>
  <c r="BC17" i="96"/>
  <c r="BD17" i="96"/>
  <c r="BH17" i="96"/>
  <c r="BC16" i="96"/>
  <c r="BD16" i="96"/>
  <c r="BH16" i="96"/>
  <c r="DR18" i="96"/>
  <c r="DR17" i="96"/>
  <c r="DR16" i="96"/>
  <c r="DZ18" i="96"/>
  <c r="DZ17" i="96"/>
  <c r="DZ16" i="96"/>
  <c r="HI18" i="96"/>
  <c r="HI17" i="96"/>
  <c r="HI16" i="96"/>
  <c r="BK21" i="96"/>
  <c r="BK20" i="96"/>
  <c r="BK19" i="96"/>
  <c r="BK18" i="96"/>
  <c r="BK17" i="96"/>
  <c r="BK16" i="96"/>
  <c r="BD72" i="9"/>
  <c r="BE72" i="9"/>
  <c r="BD71" i="9"/>
  <c r="BE71" i="9"/>
  <c r="BD68" i="9"/>
  <c r="BE68" i="9"/>
  <c r="BD67" i="9"/>
  <c r="BE67" i="9"/>
  <c r="BD66" i="9"/>
  <c r="BE66" i="9"/>
  <c r="BD65" i="9"/>
  <c r="BE65" i="9"/>
  <c r="BD64" i="9"/>
  <c r="BE64" i="9"/>
  <c r="BD63" i="9"/>
  <c r="BE63" i="9"/>
  <c r="BD61" i="9"/>
  <c r="BE61" i="9"/>
  <c r="BD60" i="9"/>
  <c r="BE60" i="9"/>
  <c r="BD59" i="9"/>
  <c r="BE59" i="9"/>
  <c r="CS16" i="96"/>
  <c r="DH16" i="96"/>
  <c r="CS17" i="96"/>
  <c r="DH17" i="96"/>
  <c r="CS18" i="96"/>
  <c r="DH18" i="96"/>
  <c r="DH20" i="96"/>
  <c r="DH21" i="96"/>
  <c r="DH24" i="96"/>
  <c r="DH25" i="96"/>
  <c r="AZ16" i="96"/>
  <c r="BJ16" i="96"/>
  <c r="AZ17" i="96"/>
  <c r="BJ17" i="96"/>
  <c r="AZ18" i="96"/>
  <c r="BJ18" i="96"/>
  <c r="AZ19" i="96"/>
  <c r="AZ20" i="96"/>
  <c r="BJ20" i="96"/>
  <c r="AZ21" i="96"/>
  <c r="BJ21" i="96"/>
  <c r="DD25" i="96"/>
  <c r="DD24" i="96"/>
  <c r="BA21" i="96"/>
  <c r="BA20" i="96"/>
  <c r="BA18" i="96"/>
  <c r="BA17" i="96"/>
  <c r="BA16" i="96"/>
  <c r="DD23" i="96"/>
  <c r="DH23" i="96"/>
  <c r="BD70" i="9"/>
  <c r="BE70" i="9"/>
  <c r="GN23" i="96"/>
  <c r="DD26" i="96"/>
  <c r="DH26" i="96"/>
  <c r="CS23" i="96"/>
  <c r="CS24" i="96"/>
  <c r="CS25" i="96"/>
  <c r="CS26" i="96"/>
  <c r="CS27" i="96"/>
  <c r="DH27" i="96"/>
  <c r="AZ23" i="96"/>
  <c r="BJ23" i="96"/>
  <c r="AZ24" i="96"/>
  <c r="BJ24" i="96"/>
  <c r="AZ25" i="96"/>
  <c r="BJ25" i="96"/>
  <c r="AZ26" i="96"/>
  <c r="BJ26" i="96"/>
  <c r="AZ27" i="96"/>
  <c r="BJ27" i="96"/>
  <c r="BA26" i="96"/>
  <c r="BD73" i="9"/>
  <c r="BE73" i="9"/>
  <c r="BK26" i="96"/>
  <c r="AX26" i="96"/>
  <c r="BC26" i="96"/>
  <c r="BD26" i="96"/>
  <c r="BH26" i="96"/>
  <c r="BB26" i="96"/>
  <c r="BE26" i="96"/>
  <c r="BF26" i="96"/>
  <c r="BG26" i="96"/>
  <c r="DC26" i="96"/>
  <c r="GN26" i="96"/>
  <c r="ED26" i="96"/>
  <c r="HN26" i="96"/>
  <c r="EC26" i="96"/>
  <c r="DL26" i="96"/>
  <c r="BI26" i="96"/>
  <c r="AY26" i="96"/>
  <c r="GJ26" i="96"/>
  <c r="GQ26" i="96"/>
  <c r="HO26" i="96"/>
  <c r="GQ23" i="96"/>
  <c r="HO23" i="96"/>
  <c r="DL23" i="96"/>
  <c r="AY23" i="96"/>
  <c r="BI23" i="96"/>
  <c r="GJ23" i="96"/>
  <c r="EC23" i="96"/>
  <c r="HN23" i="96"/>
  <c r="AX23" i="96"/>
  <c r="ED23" i="96"/>
  <c r="DC23" i="96"/>
  <c r="BG23" i="96"/>
  <c r="BF23" i="96"/>
  <c r="BE23" i="96"/>
  <c r="BB23" i="96"/>
  <c r="BC23" i="96"/>
  <c r="BD23" i="96"/>
  <c r="BH23" i="96"/>
  <c r="BK23" i="96"/>
  <c r="BA23" i="96"/>
  <c r="BA24" i="96"/>
  <c r="BA25" i="96"/>
  <c r="BK24" i="96"/>
  <c r="BK25" i="96"/>
  <c r="AX24" i="96"/>
  <c r="BC24" i="96"/>
  <c r="BD24" i="96"/>
  <c r="BH24" i="96"/>
  <c r="AX25" i="96"/>
  <c r="BC25" i="96"/>
  <c r="BD25" i="96"/>
  <c r="BH25" i="96"/>
  <c r="BB24" i="96"/>
  <c r="BE24" i="96"/>
  <c r="BF24" i="96"/>
  <c r="BG24" i="96"/>
  <c r="BB25" i="96"/>
  <c r="BE25" i="96"/>
  <c r="BF25" i="96"/>
  <c r="BG25" i="96"/>
  <c r="DC24" i="96"/>
  <c r="DC25" i="96"/>
  <c r="ED24" i="96"/>
  <c r="ED25" i="96"/>
  <c r="HN24" i="96"/>
  <c r="HN25" i="96"/>
  <c r="EC24" i="96"/>
  <c r="EC25" i="96"/>
  <c r="DL24" i="96"/>
  <c r="DL25" i="96"/>
  <c r="GJ25" i="96"/>
  <c r="AY25" i="96"/>
  <c r="BI25" i="96"/>
  <c r="GJ24" i="96"/>
  <c r="AY24" i="96"/>
  <c r="BI24" i="96"/>
  <c r="GQ25" i="96"/>
  <c r="HO25" i="96"/>
  <c r="GQ24" i="96"/>
  <c r="HO24" i="96"/>
  <c r="EA23" i="96"/>
  <c r="EA24" i="96"/>
  <c r="EA25" i="96"/>
  <c r="EA26" i="96"/>
  <c r="DW23" i="96"/>
  <c r="DW24" i="96"/>
  <c r="DW25" i="96"/>
  <c r="DW26" i="96"/>
  <c r="CT26" i="96"/>
  <c r="CU26" i="96"/>
  <c r="DJ26" i="96"/>
  <c r="DJ25" i="96"/>
  <c r="DJ24" i="96"/>
  <c r="DJ23" i="96"/>
  <c r="CT25" i="96"/>
  <c r="CU25" i="96"/>
  <c r="CT24" i="96"/>
  <c r="CU24" i="96"/>
  <c r="CT23" i="96"/>
  <c r="CU23" i="96"/>
  <c r="DM23" i="96"/>
  <c r="DM24" i="96"/>
  <c r="DM25" i="96"/>
  <c r="DM26" i="96"/>
  <c r="CZ27" i="96"/>
  <c r="CT27" i="96"/>
  <c r="CU27" i="96"/>
  <c r="DJ27" i="96"/>
  <c r="GJ27" i="96"/>
  <c r="AY27" i="96"/>
  <c r="BI27" i="96"/>
  <c r="DL27" i="96"/>
  <c r="DO26" i="96"/>
  <c r="DO25" i="96"/>
  <c r="DO24" i="96"/>
  <c r="DO23" i="96"/>
  <c r="DQ26" i="96"/>
  <c r="DQ25" i="96"/>
  <c r="DQ24" i="96"/>
  <c r="DQ23" i="96"/>
  <c r="DS26" i="96"/>
  <c r="DS25" i="96"/>
  <c r="DS24" i="96"/>
  <c r="DS23" i="96"/>
  <c r="EC27" i="96"/>
  <c r="GQ27" i="96"/>
  <c r="HO27" i="96"/>
  <c r="GI27" i="96"/>
  <c r="HN27" i="96"/>
  <c r="DD27" i="96"/>
  <c r="AX27" i="96"/>
  <c r="ED27" i="96"/>
  <c r="GN27" i="96"/>
  <c r="GS26" i="96"/>
  <c r="GS25" i="96"/>
  <c r="GS24" i="96"/>
  <c r="GS23" i="96"/>
  <c r="CC27" i="96"/>
  <c r="CC26" i="96"/>
  <c r="CC25" i="96"/>
  <c r="CC24" i="96"/>
  <c r="CC23" i="96"/>
  <c r="FU26" i="96"/>
  <c r="FU25" i="96"/>
  <c r="FU24" i="96"/>
  <c r="FU23" i="96"/>
  <c r="CF27" i="96"/>
  <c r="CF26" i="96"/>
  <c r="CF25" i="96"/>
  <c r="CF24" i="96"/>
  <c r="CF23" i="96"/>
  <c r="CI27" i="96"/>
  <c r="CI26" i="96"/>
  <c r="CI25" i="96"/>
  <c r="CI24" i="96"/>
  <c r="CI23" i="96"/>
  <c r="BZ27" i="96"/>
  <c r="BZ26" i="96"/>
  <c r="BZ25" i="96"/>
  <c r="BZ24" i="96"/>
  <c r="BZ23" i="96"/>
  <c r="CO27" i="96"/>
  <c r="CO26" i="96"/>
  <c r="CO25" i="96"/>
  <c r="CO24" i="96"/>
  <c r="CO23" i="96"/>
  <c r="CL27" i="96"/>
  <c r="DC27" i="96"/>
  <c r="BG27" i="96"/>
  <c r="BF27" i="96"/>
  <c r="BE27" i="96"/>
  <c r="BB27" i="96"/>
  <c r="BC27" i="96"/>
  <c r="BD27" i="96"/>
  <c r="BH27" i="96"/>
  <c r="DP26" i="96"/>
  <c r="DP25" i="96"/>
  <c r="DP24" i="96"/>
  <c r="DP23" i="96"/>
  <c r="DN26" i="96"/>
  <c r="DN25" i="96"/>
  <c r="DN24" i="96"/>
  <c r="DN23" i="96"/>
  <c r="DT26" i="96"/>
  <c r="DT25" i="96"/>
  <c r="DT24" i="96"/>
  <c r="DT23" i="96"/>
  <c r="DX26" i="96"/>
  <c r="DX25" i="96"/>
  <c r="DX24" i="96"/>
  <c r="DX23" i="96"/>
  <c r="DR26" i="96"/>
  <c r="DR25" i="96"/>
  <c r="DR24" i="96"/>
  <c r="DR23" i="96"/>
  <c r="DY26" i="96"/>
  <c r="DY25" i="96"/>
  <c r="DY24" i="96"/>
  <c r="DY23" i="96"/>
  <c r="DZ26" i="96"/>
  <c r="DZ25" i="96"/>
  <c r="DZ24" i="96"/>
  <c r="DZ23" i="96"/>
  <c r="HI26" i="96"/>
  <c r="HI25" i="96"/>
  <c r="HI24" i="96"/>
  <c r="HI23" i="96"/>
  <c r="BK27" i="96"/>
  <c r="EJ27" i="96"/>
  <c r="BD74" i="9"/>
  <c r="BE74" i="9"/>
  <c r="BA27" i="96"/>
  <c r="GP27" i="96"/>
  <c r="AZ12" i="96"/>
  <c r="BJ12" i="96"/>
  <c r="AZ13" i="96"/>
  <c r="BJ13" i="96"/>
  <c r="AZ14" i="96"/>
  <c r="BJ14" i="96"/>
  <c r="AZ15" i="96"/>
  <c r="BJ15" i="96"/>
  <c r="CS12" i="96"/>
  <c r="DH12" i="96"/>
  <c r="CS13" i="96"/>
  <c r="DH13" i="96"/>
  <c r="CS14" i="96"/>
  <c r="DH14" i="96"/>
  <c r="CS15" i="96"/>
  <c r="DH15" i="96"/>
  <c r="BA12" i="96"/>
  <c r="BA13" i="96"/>
  <c r="BA14" i="96"/>
  <c r="BK12" i="96"/>
  <c r="BK13" i="96"/>
  <c r="BK14" i="96"/>
  <c r="HI12" i="96"/>
  <c r="HI13" i="96"/>
  <c r="HI14" i="96"/>
  <c r="DZ12" i="96"/>
  <c r="DZ13" i="96"/>
  <c r="DZ14" i="96"/>
  <c r="DR12" i="96"/>
  <c r="DR13" i="96"/>
  <c r="DR14" i="96"/>
  <c r="DD12" i="96"/>
  <c r="AX12" i="96"/>
  <c r="BC12" i="96"/>
  <c r="BD12" i="96"/>
  <c r="BH12" i="96"/>
  <c r="DD13" i="96"/>
  <c r="AX13" i="96"/>
  <c r="BC13" i="96"/>
  <c r="BD13" i="96"/>
  <c r="BH13" i="96"/>
  <c r="DD14" i="96"/>
  <c r="AX14" i="96"/>
  <c r="BC14" i="96"/>
  <c r="BD14" i="96"/>
  <c r="BH14" i="96"/>
  <c r="BB12" i="96"/>
  <c r="BE12" i="96"/>
  <c r="BF12" i="96"/>
  <c r="BG12" i="96"/>
  <c r="BB13" i="96"/>
  <c r="BE13" i="96"/>
  <c r="BF13" i="96"/>
  <c r="BG13" i="96"/>
  <c r="BB14" i="96"/>
  <c r="BE14" i="96"/>
  <c r="BF14" i="96"/>
  <c r="BG14" i="96"/>
  <c r="DC12" i="96"/>
  <c r="DC13" i="96"/>
  <c r="DC14" i="96"/>
  <c r="CF12" i="96"/>
  <c r="CF13" i="96"/>
  <c r="CF14" i="96"/>
  <c r="ED12" i="96"/>
  <c r="ED13" i="96"/>
  <c r="ED14" i="96"/>
  <c r="HN13" i="96"/>
  <c r="HN14" i="96"/>
  <c r="GQ13" i="96"/>
  <c r="HO13" i="96"/>
  <c r="GQ14" i="96"/>
  <c r="HO14" i="96"/>
  <c r="GJ14" i="96"/>
  <c r="GJ13" i="96"/>
  <c r="AY14" i="96"/>
  <c r="AY13" i="96"/>
  <c r="BI14" i="96"/>
  <c r="BI13" i="96"/>
  <c r="DL14" i="96"/>
  <c r="DL13" i="96"/>
  <c r="EC14" i="96"/>
  <c r="EC13" i="96"/>
  <c r="EC12" i="96"/>
  <c r="DL12" i="96"/>
  <c r="BI12" i="96"/>
  <c r="AY12" i="96"/>
  <c r="GJ12" i="96"/>
  <c r="GQ12" i="96"/>
  <c r="HO12" i="96"/>
  <c r="HN12" i="96"/>
  <c r="HN15" i="96"/>
  <c r="GQ15" i="96"/>
  <c r="HO15" i="96"/>
  <c r="EC15" i="96"/>
  <c r="EA12" i="96"/>
  <c r="EA13" i="96"/>
  <c r="EA14" i="96"/>
  <c r="EA15" i="96"/>
  <c r="DU12" i="96"/>
  <c r="DU13" i="96"/>
  <c r="DU14" i="96"/>
  <c r="DU15" i="96"/>
  <c r="GJ15" i="96"/>
  <c r="AY15" i="96"/>
  <c r="BI15" i="96"/>
  <c r="CT15" i="96"/>
  <c r="CU15" i="96"/>
  <c r="CT14" i="96"/>
  <c r="CU14" i="96"/>
  <c r="CT13" i="96"/>
  <c r="CU13" i="96"/>
  <c r="CT12" i="96"/>
  <c r="CU12" i="96"/>
  <c r="DL15" i="96"/>
  <c r="DM15" i="96"/>
  <c r="DM14" i="96"/>
  <c r="DM13" i="96"/>
  <c r="DM12" i="96"/>
  <c r="DO15" i="96"/>
  <c r="DO14" i="96"/>
  <c r="DO13" i="96"/>
  <c r="DO12" i="96"/>
  <c r="DQ15" i="96"/>
  <c r="DQ14" i="96"/>
  <c r="DQ13" i="96"/>
  <c r="DQ12" i="96"/>
  <c r="DS15" i="96"/>
  <c r="DS14" i="96"/>
  <c r="DS13" i="96"/>
  <c r="DS12" i="96"/>
  <c r="DW15" i="96"/>
  <c r="DW14" i="96"/>
  <c r="DW13" i="96"/>
  <c r="DW12" i="96"/>
  <c r="DD15" i="96"/>
  <c r="AX15" i="96"/>
  <c r="ED15" i="96"/>
  <c r="GS15" i="96"/>
  <c r="GS14" i="96"/>
  <c r="GS13" i="96"/>
  <c r="GS12" i="96"/>
  <c r="CC15" i="96"/>
  <c r="CC14" i="96"/>
  <c r="CC13" i="96"/>
  <c r="CC12" i="96"/>
  <c r="FU15" i="96"/>
  <c r="FU14" i="96"/>
  <c r="FU13" i="96"/>
  <c r="FU12" i="96"/>
  <c r="CF15" i="96"/>
  <c r="CI15" i="96"/>
  <c r="CI14" i="96"/>
  <c r="CI13" i="96"/>
  <c r="CI12" i="96"/>
  <c r="BZ15" i="96"/>
  <c r="BZ14" i="96"/>
  <c r="BZ13" i="96"/>
  <c r="BZ12" i="96"/>
  <c r="CO15" i="96"/>
  <c r="CO14" i="96"/>
  <c r="CO13" i="96"/>
  <c r="CO12" i="96"/>
  <c r="CL15" i="96"/>
  <c r="CL14" i="96"/>
  <c r="CL13" i="96"/>
  <c r="CL12" i="96"/>
  <c r="GB15" i="96"/>
  <c r="GB14" i="96"/>
  <c r="GB13" i="96"/>
  <c r="GB12" i="96"/>
  <c r="DC15" i="96"/>
  <c r="BG15" i="96"/>
  <c r="BF15" i="96"/>
  <c r="BE15" i="96"/>
  <c r="BB15" i="96"/>
  <c r="BC15" i="96"/>
  <c r="BD15" i="96"/>
  <c r="BH15" i="96"/>
  <c r="DP15" i="96"/>
  <c r="DP14" i="96"/>
  <c r="DP13" i="96"/>
  <c r="DP12" i="96"/>
  <c r="DV15" i="96"/>
  <c r="DV14" i="96"/>
  <c r="DV13" i="96"/>
  <c r="DV12" i="96"/>
  <c r="DN15" i="96"/>
  <c r="DN14" i="96"/>
  <c r="DN13" i="96"/>
  <c r="DN12" i="96"/>
  <c r="DT15" i="96"/>
  <c r="DT14" i="96"/>
  <c r="DT13" i="96"/>
  <c r="DT12" i="96"/>
  <c r="DX15" i="96"/>
  <c r="DX14" i="96"/>
  <c r="DX13" i="96"/>
  <c r="DX12" i="96"/>
  <c r="DR15" i="96"/>
  <c r="DY15" i="96"/>
  <c r="DY14" i="96"/>
  <c r="DY13" i="96"/>
  <c r="DY12" i="96"/>
  <c r="DZ15" i="96"/>
  <c r="HI15" i="96"/>
  <c r="BK15" i="96"/>
  <c r="EJ15" i="96"/>
  <c r="EJ14" i="96"/>
  <c r="EJ13" i="96"/>
  <c r="EJ12" i="96"/>
  <c r="BA15" i="96"/>
  <c r="CS11" i="96"/>
  <c r="AZ11" i="96"/>
  <c r="GN11" i="96"/>
  <c r="GQ11" i="96"/>
  <c r="HO11" i="96"/>
  <c r="CF11" i="96"/>
  <c r="DC11" i="96"/>
  <c r="BD11" i="96"/>
  <c r="BH11" i="96"/>
  <c r="DR11" i="96"/>
  <c r="DZ11" i="96"/>
  <c r="HI11" i="96"/>
  <c r="BK11" i="96"/>
  <c r="BA11" i="96"/>
  <c r="GO11" i="96"/>
  <c r="HM11" i="96"/>
  <c r="GP11" i="96"/>
  <c r="PI58" i="9"/>
  <c r="PJ58" i="9"/>
  <c r="PL58" i="9"/>
  <c r="GM11" i="96"/>
  <c r="C20" i="130"/>
</calcChain>
</file>

<file path=xl/comments1.xml><?xml version="1.0" encoding="utf-8"?>
<comments xmlns="http://schemas.openxmlformats.org/spreadsheetml/2006/main">
  <authors>
    <author>Gabriel Zucman</author>
  </authors>
  <commentList>
    <comment ref="AT73" authorId="0">
      <text>
        <r>
          <rPr>
            <b/>
            <sz val="9"/>
            <color indexed="81"/>
            <rFont val="Arial"/>
            <family val="2"/>
          </rPr>
          <t>Gabriel Zucman:</t>
        </r>
        <r>
          <rPr>
            <sz val="9"/>
            <color indexed="81"/>
            <rFont val="Arial"/>
            <family val="2"/>
          </rPr>
          <t xml:space="preserve">
Misse wholesale </t>
        </r>
      </text>
    </comment>
    <comment ref="AT74" authorId="0">
      <text>
        <r>
          <rPr>
            <b/>
            <sz val="9"/>
            <color indexed="81"/>
            <rFont val="Arial"/>
            <family val="2"/>
          </rPr>
          <t>Gabriel Zucman:</t>
        </r>
        <r>
          <rPr>
            <sz val="9"/>
            <color indexed="81"/>
            <rFont val="Arial"/>
            <family val="2"/>
          </rPr>
          <t xml:space="preserve">
Misse wholesale </t>
        </r>
      </text>
    </comment>
    <comment ref="AT75" authorId="0">
      <text>
        <r>
          <rPr>
            <b/>
            <sz val="9"/>
            <color indexed="81"/>
            <rFont val="Arial"/>
            <family val="2"/>
          </rPr>
          <t>Gabriel Zucman:</t>
        </r>
        <r>
          <rPr>
            <sz val="9"/>
            <color indexed="81"/>
            <rFont val="Arial"/>
            <family val="2"/>
          </rPr>
          <t xml:space="preserve">
Misse wholesale </t>
        </r>
      </text>
    </comment>
  </commentList>
</comments>
</file>

<file path=xl/comments2.xml><?xml version="1.0" encoding="utf-8"?>
<comments xmlns="http://schemas.openxmlformats.org/spreadsheetml/2006/main">
  <authors>
    <author>Gabriel Zucman</author>
  </authors>
  <commentList>
    <comment ref="AJ11" authorId="0">
      <text>
        <r>
          <rPr>
            <b/>
            <sz val="9"/>
            <color indexed="81"/>
            <rFont val="Arial"/>
            <family val="2"/>
          </rPr>
          <t>Gabriel Zucman:</t>
        </r>
        <r>
          <rPr>
            <sz val="9"/>
            <color indexed="81"/>
            <rFont val="Arial"/>
            <family val="2"/>
          </rPr>
          <t xml:space="preserve">
Excl. Jamaica  (=101). Jamaica is less than 5% of total Carib in 1976 onward</t>
        </r>
      </text>
    </comment>
    <comment ref="FM22" authorId="0">
      <text>
        <r>
          <rPr>
            <b/>
            <sz val="9"/>
            <color indexed="81"/>
            <rFont val="Arial"/>
            <family val="2"/>
          </rPr>
          <t>Gabriel Zucman:</t>
        </r>
        <r>
          <rPr>
            <sz val="9"/>
            <color indexed="81"/>
            <rFont val="Arial"/>
            <family val="2"/>
          </rPr>
          <t xml:space="preserve">
Total manuf is 8, trade 4, rest is (D) or (*). </t>
        </r>
      </text>
    </comment>
    <comment ref="G63" authorId="0">
      <text>
        <r>
          <rPr>
            <b/>
            <sz val="9"/>
            <color indexed="81"/>
            <rFont val="Arial"/>
            <family val="2"/>
          </rPr>
          <t>Gabriel Zucman:</t>
        </r>
        <r>
          <rPr>
            <sz val="9"/>
            <color indexed="81"/>
            <rFont val="Arial"/>
            <family val="2"/>
          </rPr>
          <t xml:space="preserve">
Excl. Jamaica</t>
        </r>
      </text>
    </comment>
    <comment ref="AJ63" authorId="0">
      <text>
        <r>
          <rPr>
            <b/>
            <sz val="9"/>
            <color indexed="81"/>
            <rFont val="Arial"/>
            <family val="2"/>
          </rPr>
          <t>Gabriel Zucman:</t>
        </r>
        <r>
          <rPr>
            <sz val="9"/>
            <color indexed="81"/>
            <rFont val="Arial"/>
            <family val="2"/>
          </rPr>
          <t xml:space="preserve">
Excl. Jamaica  (=101). Jamaica is less than 5% of total Carib in 1976 onward</t>
        </r>
      </text>
    </comment>
    <comment ref="EX63" authorId="0">
      <text>
        <r>
          <rPr>
            <b/>
            <sz val="9"/>
            <color indexed="81"/>
            <rFont val="Arial"/>
            <family val="2"/>
          </rPr>
          <t>Gabriel Zucman:</t>
        </r>
        <r>
          <rPr>
            <sz val="9"/>
            <color indexed="81"/>
            <rFont val="Arial"/>
            <family val="2"/>
          </rPr>
          <t xml:space="preserve">
Excludes Jamaica (99)</t>
        </r>
      </text>
    </comment>
    <comment ref="FT63" authorId="0">
      <text>
        <r>
          <rPr>
            <b/>
            <sz val="9"/>
            <color indexed="81"/>
            <rFont val="Arial"/>
            <family val="2"/>
          </rPr>
          <t>Gabriel Zucman:</t>
        </r>
        <r>
          <rPr>
            <sz val="9"/>
            <color indexed="81"/>
            <rFont val="Arial"/>
            <family val="2"/>
          </rPr>
          <t xml:space="preserve">
Confidential, est.</t>
        </r>
      </text>
    </comment>
    <comment ref="FZ63" authorId="0">
      <text>
        <r>
          <rPr>
            <b/>
            <sz val="9"/>
            <color indexed="81"/>
            <rFont val="Arial"/>
            <family val="2"/>
          </rPr>
          <t>Gabriel Zucman:</t>
        </r>
        <r>
          <rPr>
            <sz val="9"/>
            <color indexed="81"/>
            <rFont val="Arial"/>
            <family val="2"/>
          </rPr>
          <t xml:space="preserve">
Excludes Jamaica</t>
        </r>
      </text>
    </comment>
    <comment ref="GA63" authorId="0">
      <text>
        <r>
          <rPr>
            <b/>
            <sz val="9"/>
            <color indexed="81"/>
            <rFont val="Arial"/>
            <family val="2"/>
          </rPr>
          <t>Gabriel Zucman:</t>
        </r>
        <r>
          <rPr>
            <sz val="9"/>
            <color indexed="81"/>
            <rFont val="Arial"/>
            <family val="2"/>
          </rPr>
          <t xml:space="preserve">
Confidential, est.</t>
        </r>
      </text>
    </comment>
    <comment ref="GE63" authorId="0">
      <text>
        <r>
          <rPr>
            <b/>
            <sz val="9"/>
            <color indexed="81"/>
            <rFont val="Arial"/>
            <family val="2"/>
          </rPr>
          <t>Gabriel Zucman:</t>
        </r>
        <r>
          <rPr>
            <sz val="9"/>
            <color indexed="81"/>
            <rFont val="Arial"/>
            <family val="2"/>
          </rPr>
          <t xml:space="preserve">
Not reported, guesstimate</t>
        </r>
      </text>
    </comment>
    <comment ref="G64" authorId="0">
      <text>
        <r>
          <rPr>
            <b/>
            <sz val="9"/>
            <color indexed="81"/>
            <rFont val="Arial"/>
            <family val="2"/>
          </rPr>
          <t>Gabriel Zucman:</t>
        </r>
        <r>
          <rPr>
            <sz val="9"/>
            <color indexed="81"/>
            <rFont val="Arial"/>
            <family val="2"/>
          </rPr>
          <t xml:space="preserve">
Excluding Jamaica</t>
        </r>
      </text>
    </comment>
    <comment ref="W64" authorId="0">
      <text>
        <r>
          <rPr>
            <b/>
            <sz val="9"/>
            <color indexed="81"/>
            <rFont val="Arial"/>
            <family val="2"/>
          </rPr>
          <t>Gabriel Zucman:</t>
        </r>
        <r>
          <rPr>
            <sz val="9"/>
            <color indexed="81"/>
            <rFont val="Arial"/>
            <family val="2"/>
          </rPr>
          <t xml:space="preserve">
Assumes 60% of other income incl. Intra-group dividends is intra-group dividends</t>
        </r>
      </text>
    </comment>
  </commentList>
</comments>
</file>

<file path=xl/comments3.xml><?xml version="1.0" encoding="utf-8"?>
<comments xmlns="http://schemas.openxmlformats.org/spreadsheetml/2006/main">
  <authors>
    <author>Gabriel Zucman</author>
  </authors>
  <commentList>
    <comment ref="Y21" authorId="0">
      <text>
        <r>
          <rPr>
            <b/>
            <sz val="9"/>
            <color indexed="81"/>
            <rFont val="Arial"/>
            <family val="2"/>
          </rPr>
          <t>Gabriel Zucman:</t>
        </r>
        <r>
          <rPr>
            <sz val="9"/>
            <color indexed="81"/>
            <rFont val="Arial"/>
            <family val="2"/>
          </rPr>
          <t xml:space="preserve">
/20/ </t>
        </r>
      </text>
    </comment>
  </commentList>
</comments>
</file>

<file path=xl/comments4.xml><?xml version="1.0" encoding="utf-8"?>
<comments xmlns="http://schemas.openxmlformats.org/spreadsheetml/2006/main">
  <authors>
    <author>Wright, Thomas - HMT</author>
  </authors>
  <commentList>
    <comment ref="K10" authorId="0">
      <text>
        <r>
          <rPr>
            <b/>
            <sz val="9"/>
            <color indexed="81"/>
            <rFont val="Tahoma"/>
            <family val="2"/>
          </rPr>
          <t>Wright, Thomas - HMT:</t>
        </r>
        <r>
          <rPr>
            <sz val="9"/>
            <color indexed="81"/>
            <rFont val="Tahoma"/>
            <family val="2"/>
          </rPr>
          <t xml:space="preserve">
</t>
        </r>
      </text>
    </comment>
  </commentList>
</comments>
</file>

<file path=xl/connections.xml><?xml version="1.0" encoding="utf-8"?>
<connections xmlns="http://schemas.openxmlformats.org/spreadsheetml/2006/main">
  <connection id="1" name="longctry_allctry" type="6" refreshedVersion="4" background="1" saveData="1">
    <textPr codePage="437" firstRow="11" sourceFile="J:\DATA\ITB\BE577\tables\web\2014\working_tables\longctry_allctry.txt" delimited="0">
      <textFields count="3">
        <textField type="skip"/>
        <textField position="60"/>
        <textField type="skip" position="69"/>
      </textFields>
    </textPr>
  </connection>
</connections>
</file>

<file path=xl/sharedStrings.xml><?xml version="1.0" encoding="utf-8"?>
<sst xmlns="http://schemas.openxmlformats.org/spreadsheetml/2006/main" count="48164" uniqueCount="3552">
  <si>
    <t/>
  </si>
  <si>
    <t>Total</t>
  </si>
  <si>
    <t>Europe</t>
  </si>
  <si>
    <t>2. Prior to 1959, subsidies (line 20) and the current surplus of government enterprises (line 25) are not shown separately; subsidies are presented net of the current surplus of government enterprises.</t>
  </si>
  <si>
    <t>1. Includes actual employer contributions and actuarially imputed employer contributions to reflect benefits accrued by defined benefit pension plan participants through service to employers in the current period.</t>
  </si>
  <si>
    <t>CCAdj Capital consumption adjustment</t>
  </si>
  <si>
    <t>IVA Inventory valuation adjustment</t>
  </si>
  <si>
    <t>Legend / Footnotes:</t>
  </si>
  <si>
    <t>49</t>
  </si>
  <si>
    <t>48</t>
  </si>
  <si>
    <t>47</t>
  </si>
  <si>
    <t>46</t>
  </si>
  <si>
    <t xml:space="preserve">        Profits after tax (without IVA and CCAdj)</t>
  </si>
  <si>
    <t>45</t>
  </si>
  <si>
    <t>44</t>
  </si>
  <si>
    <t>43</t>
  </si>
  <si>
    <t>42</t>
  </si>
  <si>
    <t>41</t>
  </si>
  <si>
    <t>40</t>
  </si>
  <si>
    <t>39</t>
  </si>
  <si>
    <t>38</t>
  </si>
  <si>
    <t>37</t>
  </si>
  <si>
    <t>36</t>
  </si>
  <si>
    <t>35</t>
  </si>
  <si>
    <t xml:space="preserve">    Nonfarm</t>
  </si>
  <si>
    <t>34</t>
  </si>
  <si>
    <t>33</t>
  </si>
  <si>
    <t>32</t>
  </si>
  <si>
    <t xml:space="preserve">    Farm</t>
  </si>
  <si>
    <t>31</t>
  </si>
  <si>
    <t>30</t>
  </si>
  <si>
    <t>Addenda:</t>
  </si>
  <si>
    <t> </t>
  </si>
  <si>
    <t>---</t>
  </si>
  <si>
    <t>29</t>
  </si>
  <si>
    <t>28</t>
  </si>
  <si>
    <t>27</t>
  </si>
  <si>
    <t>26</t>
  </si>
  <si>
    <t>Addenda for corporate cash flow:</t>
  </si>
  <si>
    <t>Current surplus of government enterprises 2</t>
  </si>
  <si>
    <t>25</t>
  </si>
  <si>
    <t>24</t>
  </si>
  <si>
    <t>23</t>
  </si>
  <si>
    <t>22</t>
  </si>
  <si>
    <t>Business current transfer payments (net)</t>
  </si>
  <si>
    <t>21</t>
  </si>
  <si>
    <t>Less: Subsidies 2</t>
  </si>
  <si>
    <t>20</t>
  </si>
  <si>
    <t>Taxes on production and imports</t>
  </si>
  <si>
    <t>19</t>
  </si>
  <si>
    <t>Net interest and miscellaneous payments</t>
  </si>
  <si>
    <t>18</t>
  </si>
  <si>
    <t>17</t>
  </si>
  <si>
    <t>16</t>
  </si>
  <si>
    <t>15</t>
  </si>
  <si>
    <t>14</t>
  </si>
  <si>
    <t>Corporate profits with IVA and CCAdj</t>
  </si>
  <si>
    <t>13</t>
  </si>
  <si>
    <t>Rental income of persons with CCAdj</t>
  </si>
  <si>
    <t>12</t>
  </si>
  <si>
    <t>11</t>
  </si>
  <si>
    <t>10</t>
  </si>
  <si>
    <t>Proprietors' income with IVA and CCAdj</t>
  </si>
  <si>
    <t>9</t>
  </si>
  <si>
    <t>8</t>
  </si>
  <si>
    <t>7</t>
  </si>
  <si>
    <t>6</t>
  </si>
  <si>
    <t xml:space="preserve">    Other</t>
  </si>
  <si>
    <t>5</t>
  </si>
  <si>
    <t>4</t>
  </si>
  <si>
    <t>3</t>
  </si>
  <si>
    <t>Compensation of employees</t>
  </si>
  <si>
    <t>2</t>
  </si>
  <si>
    <t>1</t>
  </si>
  <si>
    <t>2013</t>
  </si>
  <si>
    <t>2012</t>
  </si>
  <si>
    <t>2011</t>
  </si>
  <si>
    <t>2010</t>
  </si>
  <si>
    <t>2009</t>
  </si>
  <si>
    <t>2008</t>
  </si>
  <si>
    <t>2007</t>
  </si>
  <si>
    <t>2006</t>
  </si>
  <si>
    <t>2005</t>
  </si>
  <si>
    <t>2004</t>
  </si>
  <si>
    <t>2003</t>
  </si>
  <si>
    <t>2002</t>
  </si>
  <si>
    <t>2001</t>
  </si>
  <si>
    <t>2000</t>
  </si>
  <si>
    <t>1999</t>
  </si>
  <si>
    <t>1998</t>
  </si>
  <si>
    <t>1997</t>
  </si>
  <si>
    <t>1996</t>
  </si>
  <si>
    <t>1995</t>
  </si>
  <si>
    <t>1994</t>
  </si>
  <si>
    <t>1993</t>
  </si>
  <si>
    <t>1992</t>
  </si>
  <si>
    <t>1991</t>
  </si>
  <si>
    <t>1990</t>
  </si>
  <si>
    <t>1989</t>
  </si>
  <si>
    <t>1988</t>
  </si>
  <si>
    <t>1987</t>
  </si>
  <si>
    <t>1986</t>
  </si>
  <si>
    <t>1985</t>
  </si>
  <si>
    <t>1984</t>
  </si>
  <si>
    <t>1983</t>
  </si>
  <si>
    <t>1982</t>
  </si>
  <si>
    <t>1981</t>
  </si>
  <si>
    <t>1980</t>
  </si>
  <si>
    <t>1979</t>
  </si>
  <si>
    <t>1978</t>
  </si>
  <si>
    <t>1977</t>
  </si>
  <si>
    <t>1976</t>
  </si>
  <si>
    <t>1975</t>
  </si>
  <si>
    <t>1974</t>
  </si>
  <si>
    <t>1973</t>
  </si>
  <si>
    <t>1972</t>
  </si>
  <si>
    <t>1971</t>
  </si>
  <si>
    <t>1970</t>
  </si>
  <si>
    <t>1969</t>
  </si>
  <si>
    <t>1968</t>
  </si>
  <si>
    <t>1967</t>
  </si>
  <si>
    <t>1966</t>
  </si>
  <si>
    <t>1965</t>
  </si>
  <si>
    <t>1964</t>
  </si>
  <si>
    <t>1963</t>
  </si>
  <si>
    <t>1962</t>
  </si>
  <si>
    <t>1961</t>
  </si>
  <si>
    <t>1960</t>
  </si>
  <si>
    <t>1959</t>
  </si>
  <si>
    <t>1958</t>
  </si>
  <si>
    <t>1957</t>
  </si>
  <si>
    <t>1956</t>
  </si>
  <si>
    <t>1955</t>
  </si>
  <si>
    <t>1954</t>
  </si>
  <si>
    <t>1953</t>
  </si>
  <si>
    <t>1952</t>
  </si>
  <si>
    <t>1951</t>
  </si>
  <si>
    <t>1950</t>
  </si>
  <si>
    <t>1949</t>
  </si>
  <si>
    <t>1948</t>
  </si>
  <si>
    <t>1947</t>
  </si>
  <si>
    <t>1946</t>
  </si>
  <si>
    <t>1945</t>
  </si>
  <si>
    <t>1944</t>
  </si>
  <si>
    <t>1943</t>
  </si>
  <si>
    <t>1942</t>
  </si>
  <si>
    <t>1941</t>
  </si>
  <si>
    <t>1940</t>
  </si>
  <si>
    <t>1939</t>
  </si>
  <si>
    <t>1938</t>
  </si>
  <si>
    <t>1937</t>
  </si>
  <si>
    <t>1936</t>
  </si>
  <si>
    <t>1935</t>
  </si>
  <si>
    <t>1934</t>
  </si>
  <si>
    <t>1933</t>
  </si>
  <si>
    <t>1932</t>
  </si>
  <si>
    <t>1931</t>
  </si>
  <si>
    <t>1930</t>
  </si>
  <si>
    <t>1929</t>
  </si>
  <si>
    <t>Line</t>
  </si>
  <si>
    <t>Bureau of Economic Analysis</t>
  </si>
  <si>
    <t>[Billions of dollars]</t>
  </si>
  <si>
    <t>Table 1.12. National Income by Type of Income</t>
  </si>
  <si>
    <t>NIPAs National income and product accounts</t>
  </si>
  <si>
    <t>IRS Internal Revenue Service</t>
  </si>
  <si>
    <t>9. Consists largely of an adjustment to remove capital gains distributions of regulated investment companies.</t>
  </si>
  <si>
    <t>8. Beginning with 1984, the investment tax credit is included in other tax credits (line 29).</t>
  </si>
  <si>
    <t>7. Employer expenses for defined benefit employee pension plans include actual employer contributions, imputed employer contributions, and imputed interest for unfunded (or overfunded) actuarial liability.</t>
  </si>
  <si>
    <t>6. Includes the imputed financial service charge paid by corporations to domestic securities dealers who do not charge an explicit commission.</t>
  </si>
  <si>
    <t>5. Consists of disaster losses valued at historic-cost less net insurance receipts for disaster-related losses valued at replacement-cost.</t>
  </si>
  <si>
    <t>4. Intellectual property products consists of software, research and development, and entertainment, literary, and artistic originals.</t>
  </si>
  <si>
    <t>3. Consists of nonprofit organizations serving business and of credit unions.</t>
  </si>
  <si>
    <t>2. Consists of the Farm Credit System beginning with 1947 and the Federal Home Loan banks beginning with 1952.</t>
  </si>
  <si>
    <t>1. Consists largely of an adjustment to expense all meals and entertainment, of oilwell bonus payments written off, of adjustments for insurance carriers and savings and loan associations, of amortization of intangible assets, and of tax-exempt interest income.</t>
  </si>
  <si>
    <t>Equals: Net corporate dividend payments, NIPAs</t>
  </si>
  <si>
    <t>Less:</t>
  </si>
  <si>
    <t>Plus:</t>
  </si>
  <si>
    <t>Dividends paid in cash or assets, IRS</t>
  </si>
  <si>
    <t>Profits after tax, NIPAs (21-30)</t>
  </si>
  <si>
    <t>Equals: Taxes on corporate income, NIPAs</t>
  </si>
  <si>
    <t>Federal income and excess profits taxes, IRS</t>
  </si>
  <si>
    <t>Equals: Profits before taxes, NIPAs</t>
  </si>
  <si>
    <t>Plus: Income received from equities in foreign corporations and branches by all U.S. residents, net of corresponding payments</t>
  </si>
  <si>
    <t>Total receipts less total deductions, IRS</t>
  </si>
  <si>
    <t>Table 7.16. Relation of Corporate Profits, Taxes, and Dividends in the National Income and Product Accounts to Corresponding Measures as Published by the Internal Revenue Service</t>
  </si>
  <si>
    <t>Corporate profits (IRS)</t>
  </si>
  <si>
    <t>2. Consists of capital transfers and the acquisition and disposal of nonproduced nonfinancial assets.  Prior to 1982, reflects only capital grants paid to the U.S. territories and the Commonwealths of Puerto Rico and Northern Mariana Islands.</t>
  </si>
  <si>
    <t>1. Exports and imports of certain goods, primarily military equipment purchased and sold by the federal government, are included in services.  Beginning with 1986, repairs and alterations of equipment are reclassified from goods to services.</t>
  </si>
  <si>
    <t xml:space="preserve">  From business (net)</t>
  </si>
  <si>
    <t xml:space="preserve">  From government (net)</t>
  </si>
  <si>
    <t xml:space="preserve">  From persons (net)</t>
  </si>
  <si>
    <t>Current taxes and transfer payments to the rest of the world (net)</t>
  </si>
  <si>
    <t>Income payments</t>
  </si>
  <si>
    <t>Imports of goods and services</t>
  </si>
  <si>
    <t>Income receipts</t>
  </si>
  <si>
    <t>Exports of goods and services</t>
  </si>
  <si>
    <t>Table 4.1. Foreign Transactions in the National Income and Product Accounts</t>
  </si>
  <si>
    <t xml:space="preserve">     Quarterly estimates are not annualized and are expressed at quarterly rates.</t>
  </si>
  <si>
    <t>..... Not applicable, or for data periods 1960-1997, transactions that are 0, “not available,” or “not applicable.”</t>
  </si>
  <si>
    <t>n.a. Transactions are possible, but data are not available.</t>
  </si>
  <si>
    <t>D Suppressed to avoid disclosure of individual companies.</t>
  </si>
  <si>
    <t>(*) Transactions are less than $500,000(±).</t>
  </si>
  <si>
    <t>0 Transactions are possible, but are zero for a given period.</t>
  </si>
  <si>
    <t>77</t>
  </si>
  <si>
    <t>76</t>
  </si>
  <si>
    <t xml:space="preserve">    Manufacturing</t>
  </si>
  <si>
    <t>75</t>
  </si>
  <si>
    <t>74</t>
  </si>
  <si>
    <t>73</t>
  </si>
  <si>
    <t>72</t>
  </si>
  <si>
    <t>71</t>
  </si>
  <si>
    <t>70</t>
  </si>
  <si>
    <t>69</t>
  </si>
  <si>
    <t>68</t>
  </si>
  <si>
    <t>67</t>
  </si>
  <si>
    <t>66</t>
  </si>
  <si>
    <t>65</t>
  </si>
  <si>
    <t>64</t>
  </si>
  <si>
    <t>63</t>
  </si>
  <si>
    <t>62</t>
  </si>
  <si>
    <t>61</t>
  </si>
  <si>
    <t>60</t>
  </si>
  <si>
    <t>59</t>
  </si>
  <si>
    <t>58</t>
  </si>
  <si>
    <t>57</t>
  </si>
  <si>
    <t xml:space="preserve">  Equity</t>
  </si>
  <si>
    <t>56</t>
  </si>
  <si>
    <t>55</t>
  </si>
  <si>
    <t>54</t>
  </si>
  <si>
    <t>53</t>
  </si>
  <si>
    <t>52</t>
  </si>
  <si>
    <t>51</t>
  </si>
  <si>
    <t>50</t>
  </si>
  <si>
    <t xml:space="preserve">    U.S. affiliates' receipts</t>
  </si>
  <si>
    <t xml:space="preserve">    U.S. affiliates' payments</t>
  </si>
  <si>
    <t xml:space="preserve">    Reinvested earnings</t>
  </si>
  <si>
    <t xml:space="preserve">  Other</t>
  </si>
  <si>
    <t xml:space="preserve">    U.S. parents' payments</t>
  </si>
  <si>
    <t xml:space="preserve">    U.S. parents' receipts</t>
  </si>
  <si>
    <t>1998 </t>
  </si>
  <si>
    <t>1996 </t>
  </si>
  <si>
    <t>1994 </t>
  </si>
  <si>
    <t>1992 </t>
  </si>
  <si>
    <t>1990 </t>
  </si>
  <si>
    <t>1988 </t>
  </si>
  <si>
    <t>1986 </t>
  </si>
  <si>
    <t>1984 </t>
  </si>
  <si>
    <t>1982 </t>
  </si>
  <si>
    <t>[Millions of dollars]</t>
  </si>
  <si>
    <t>p Preliminary.</t>
  </si>
  <si>
    <t xml:space="preserve">    Wholesale trade</t>
  </si>
  <si>
    <t xml:space="preserve">    Finance (including depository institutions) and insurance</t>
  </si>
  <si>
    <t xml:space="preserve">  Interest</t>
  </si>
  <si>
    <t xml:space="preserve">      Current-cost adjustment</t>
  </si>
  <si>
    <t xml:space="preserve">      Reinvested earnings without current-cost adjustment</t>
  </si>
  <si>
    <t>2011 </t>
  </si>
  <si>
    <t>2009 </t>
  </si>
  <si>
    <t>2007 </t>
  </si>
  <si>
    <t>2005 </t>
  </si>
  <si>
    <t>2003 </t>
  </si>
  <si>
    <t>2001 </t>
  </si>
  <si>
    <t>1999 </t>
  </si>
  <si>
    <t xml:space="preserve">Source: U.S. Bureau of Economic Analysis </t>
  </si>
  <si>
    <t>If you have a question about the availability of data, E-mail your question to &lt;a href="mailto:internationalaccounts@bea.gov"&gt;internationalaccounts@bea.gov&lt;/a&gt;</t>
  </si>
  <si>
    <t>The composition of the "Other" categories shown in this table may change from one year to another.  For a geographic area, "Other" is a residual that shows a total for all countries not shown separately under that area.  Because the countries shown separately may change over time as the composition of direct investment changes, data for a particular country may be included in an "Other" total in one year but excluded from it in another year.  Changes in the countries shown separately generally take place in years covered by benchmark surveys (or censuses) of direct investment, which usually are conducted once every five years.</t>
  </si>
  <si>
    <t>Balance of payments transactions (and associated positions) between parents and affiliates are recorded against the country of the foreign affiliate with which the U.S. parent had a direct transaction, even if the transaction may reflect indirect claims on, liabilities to, or income from indirectly held affiliates in third countries.  For years prior to 1999, the "&lt;em&gt;International&lt;/em&gt;" category consists of affiliates that have operations spanning more than one country and that are engaged in petroleum shipping, other water transportation, or offshore oil and gas drilling.  Beginning with the data for 1999, data for such affiliates are classified in the country of residence of the operator of the ship or equipment.</t>
  </si>
  <si>
    <t>Prior to 2006, income is presented net of U.S. and foreign withholding taxes. Beginning with 2006, income is presented gross of U.S. and foreign withholding taxes.</t>
  </si>
  <si>
    <t>&lt;strong&gt;(D)&lt;/strong&gt; indicates that the data in the cell have been suppressed to avoid disclosure of data of individual companies.</t>
  </si>
  <si>
    <t>&lt;strong&gt;(*)&lt;/strong&gt; indicates a non-zero value between -$500,000 and +$500,000, or fewer than 50 employees, as appropriate.</t>
  </si>
  <si>
    <t xml:space="preserve">3. The data are not available, do not apply, or are not defined. </t>
  </si>
  <si>
    <t>2. The data are not shown in this table but may be available in detailed country- or industry-level tables in this interactive system or in other BEA published tables on direct investment.</t>
  </si>
  <si>
    <t xml:space="preserve">1. The data appear on another line in this table. </t>
  </si>
  <si>
    <t>&lt;strong&gt;n.s.&lt;/strong&gt;  Not shown.  Data may not be shown for several reasons:</t>
  </si>
  <si>
    <t>n.s.</t>
  </si>
  <si>
    <t>International</t>
  </si>
  <si>
    <t xml:space="preserve">    Western Samoa</t>
  </si>
  <si>
    <t xml:space="preserve">    Vietnam</t>
  </si>
  <si>
    <t xml:space="preserve">    Vanuatu</t>
  </si>
  <si>
    <t xml:space="preserve">    United Kingdom Islands, Pacific</t>
  </si>
  <si>
    <t xml:space="preserve">    United Kingdom Islands, Indian Ocean</t>
  </si>
  <si>
    <t xml:space="preserve">    Tuvalu</t>
  </si>
  <si>
    <t xml:space="preserve">    Tonga</t>
  </si>
  <si>
    <t xml:space="preserve">    Timor-Leste</t>
  </si>
  <si>
    <t xml:space="preserve">    Sri Lanka</t>
  </si>
  <si>
    <t xml:space="preserve">    Solomon Islands</t>
  </si>
  <si>
    <t xml:space="preserve">    Samoa</t>
  </si>
  <si>
    <t xml:space="preserve">    Papua New Guinea</t>
  </si>
  <si>
    <t xml:space="preserve">    Palau</t>
  </si>
  <si>
    <t xml:space="preserve">    Pakistan</t>
  </si>
  <si>
    <t xml:space="preserve">    Nepal</t>
  </si>
  <si>
    <t xml:space="preserve">    Nauru</t>
  </si>
  <si>
    <t>(D)</t>
  </si>
  <si>
    <t xml:space="preserve">    Mongolia</t>
  </si>
  <si>
    <t xml:space="preserve">    Micronesia</t>
  </si>
  <si>
    <t xml:space="preserve">    Marshall Islands</t>
  </si>
  <si>
    <t xml:space="preserve">    Maldives</t>
  </si>
  <si>
    <t xml:space="preserve">    Macau</t>
  </si>
  <si>
    <t xml:space="preserve">    Laos</t>
  </si>
  <si>
    <t xml:space="preserve">    French Islands, Pacific</t>
  </si>
  <si>
    <t xml:space="preserve">    French Islands, Indian Ocean</t>
  </si>
  <si>
    <t xml:space="preserve">    Fiji</t>
  </si>
  <si>
    <t xml:space="preserve">    Federated States of Micronesia</t>
  </si>
  <si>
    <t xml:space="preserve">    East Timor</t>
  </si>
  <si>
    <t xml:space="preserve">    Cambodia</t>
  </si>
  <si>
    <t xml:space="preserve">    Burma</t>
  </si>
  <si>
    <t xml:space="preserve">    Brunei</t>
  </si>
  <si>
    <t>(*)</t>
  </si>
  <si>
    <t xml:space="preserve">    Bhutan</t>
  </si>
  <si>
    <t xml:space="preserve">    Bangladesh</t>
  </si>
  <si>
    <t xml:space="preserve">    Afghanistan</t>
  </si>
  <si>
    <t xml:space="preserve">  Thailand</t>
  </si>
  <si>
    <t xml:space="preserve">  Taiwan</t>
  </si>
  <si>
    <t xml:space="preserve">  Singapore</t>
  </si>
  <si>
    <t xml:space="preserve">  Philippines</t>
  </si>
  <si>
    <t xml:space="preserve">  New Zealand</t>
  </si>
  <si>
    <t xml:space="preserve">  Malaysia</t>
  </si>
  <si>
    <t xml:space="preserve">  Korea, Republic of</t>
  </si>
  <si>
    <t xml:space="preserve">  Japan</t>
  </si>
  <si>
    <t xml:space="preserve">  Indonesia</t>
  </si>
  <si>
    <t xml:space="preserve">  India</t>
  </si>
  <si>
    <t xml:space="preserve">  Hong Kong</t>
  </si>
  <si>
    <t xml:space="preserve">  China</t>
  </si>
  <si>
    <t xml:space="preserve">  Australia</t>
  </si>
  <si>
    <t>Asia and Pacific</t>
  </si>
  <si>
    <t xml:space="preserve">    Yemen</t>
  </si>
  <si>
    <t xml:space="preserve">    Yemen (Sanaa)</t>
  </si>
  <si>
    <t xml:space="preserve">    Yemen (Aden)</t>
  </si>
  <si>
    <t xml:space="preserve">    Syria</t>
  </si>
  <si>
    <t xml:space="preserve">    Qatar</t>
  </si>
  <si>
    <t xml:space="preserve">    Oman</t>
  </si>
  <si>
    <t xml:space="preserve">    Lebanon</t>
  </si>
  <si>
    <t xml:space="preserve">    Kuwait</t>
  </si>
  <si>
    <t xml:space="preserve">    Jordan</t>
  </si>
  <si>
    <t xml:space="preserve">    Iraq-Saudi Arabia Neutral Zone</t>
  </si>
  <si>
    <t xml:space="preserve">    Iraq</t>
  </si>
  <si>
    <t xml:space="preserve">    Iran</t>
  </si>
  <si>
    <t xml:space="preserve">    Bahrain</t>
  </si>
  <si>
    <t xml:space="preserve">  United Arab Emirates</t>
  </si>
  <si>
    <t xml:space="preserve">  Saudi Arabia</t>
  </si>
  <si>
    <t xml:space="preserve">  Israel</t>
  </si>
  <si>
    <t>Middle East</t>
  </si>
  <si>
    <t xml:space="preserve">    Zimbabwe</t>
  </si>
  <si>
    <t xml:space="preserve">    Zambia</t>
  </si>
  <si>
    <t xml:space="preserve">    Zaire</t>
  </si>
  <si>
    <t xml:space="preserve">    United Kingdom Islands, Atlantic (Africa)</t>
  </si>
  <si>
    <t xml:space="preserve">    Uganda</t>
  </si>
  <si>
    <t xml:space="preserve">    Tunisia</t>
  </si>
  <si>
    <t xml:space="preserve">    Togo</t>
  </si>
  <si>
    <t xml:space="preserve">    Tanzania</t>
  </si>
  <si>
    <t xml:space="preserve">    Swaziland</t>
  </si>
  <si>
    <t xml:space="preserve">    Sudan</t>
  </si>
  <si>
    <t xml:space="preserve">    Somalia</t>
  </si>
  <si>
    <t xml:space="preserve">    Sierra Leone</t>
  </si>
  <si>
    <t xml:space="preserve">    Seychelles</t>
  </si>
  <si>
    <t xml:space="preserve">    Senegal</t>
  </si>
  <si>
    <t xml:space="preserve">    Sao Tome and Principe</t>
  </si>
  <si>
    <t xml:space="preserve">    Rwanda</t>
  </si>
  <si>
    <t xml:space="preserve">    Niger</t>
  </si>
  <si>
    <t xml:space="preserve">    Namibia</t>
  </si>
  <si>
    <t xml:space="preserve">    Mozambique</t>
  </si>
  <si>
    <t xml:space="preserve">    Morocco</t>
  </si>
  <si>
    <t xml:space="preserve">    Mauritius</t>
  </si>
  <si>
    <t xml:space="preserve">    Mauritania</t>
  </si>
  <si>
    <t xml:space="preserve">    Mali</t>
  </si>
  <si>
    <t xml:space="preserve">    Malawi</t>
  </si>
  <si>
    <t xml:space="preserve">    Madagascar</t>
  </si>
  <si>
    <t xml:space="preserve">    Libya</t>
  </si>
  <si>
    <t xml:space="preserve">    Liberia</t>
  </si>
  <si>
    <t xml:space="preserve">    Lesotho</t>
  </si>
  <si>
    <t xml:space="preserve">    Kenya</t>
  </si>
  <si>
    <t xml:space="preserve">    Guinea</t>
  </si>
  <si>
    <t xml:space="preserve">    Ghana</t>
  </si>
  <si>
    <t xml:space="preserve">    Gambia</t>
  </si>
  <si>
    <t xml:space="preserve">    Gabon</t>
  </si>
  <si>
    <t xml:space="preserve">    Ethiopia</t>
  </si>
  <si>
    <t xml:space="preserve">    Eritrea</t>
  </si>
  <si>
    <t xml:space="preserve">    Equatorial Guinea</t>
  </si>
  <si>
    <t xml:space="preserve">    Djibouti</t>
  </si>
  <si>
    <t xml:space="preserve">    Cote D'Ivoire</t>
  </si>
  <si>
    <t xml:space="preserve">    Congo (Kinshasa)</t>
  </si>
  <si>
    <t xml:space="preserve">    Congo (Brazzaville)</t>
  </si>
  <si>
    <t xml:space="preserve">    Comoros</t>
  </si>
  <si>
    <t xml:space="preserve">    Chad</t>
  </si>
  <si>
    <t xml:space="preserve">    Central African Republic</t>
  </si>
  <si>
    <t xml:space="preserve">    Cameroon</t>
  </si>
  <si>
    <t xml:space="preserve">    Burundi</t>
  </si>
  <si>
    <t xml:space="preserve">    Burkina Faso</t>
  </si>
  <si>
    <t xml:space="preserve">    Botswana</t>
  </si>
  <si>
    <t xml:space="preserve">    Benin</t>
  </si>
  <si>
    <t xml:space="preserve">    Angola</t>
  </si>
  <si>
    <t xml:space="preserve">    Algeria</t>
  </si>
  <si>
    <t xml:space="preserve">  South Africa</t>
  </si>
  <si>
    <t xml:space="preserve">  Nigeria</t>
  </si>
  <si>
    <t xml:space="preserve">  Egypt</t>
  </si>
  <si>
    <t>Africa</t>
  </si>
  <si>
    <t xml:space="preserve">      United Kingdom Islands, Atlantic</t>
  </si>
  <si>
    <t xml:space="preserve">      Trinidad and Tobago</t>
  </si>
  <si>
    <t xml:space="preserve">      St. Vincent and the Grenadines</t>
  </si>
  <si>
    <t xml:space="preserve">      St. Lucia</t>
  </si>
  <si>
    <t xml:space="preserve">      St. Kitts and Nevis</t>
  </si>
  <si>
    <t xml:space="preserve">      Sint Maarten</t>
  </si>
  <si>
    <t xml:space="preserve">      Netherlands Islands, Caribbean</t>
  </si>
  <si>
    <t>--</t>
  </si>
  <si>
    <t xml:space="preserve">      Netherlands Antilles</t>
  </si>
  <si>
    <t xml:space="preserve">      Jamaica</t>
  </si>
  <si>
    <t xml:space="preserve">      Haiti</t>
  </si>
  <si>
    <t xml:space="preserve">      Grenada</t>
  </si>
  <si>
    <t xml:space="preserve">      French Islands, Caribbean</t>
  </si>
  <si>
    <t xml:space="preserve">      Dominica</t>
  </si>
  <si>
    <t xml:space="preserve">      Curacao</t>
  </si>
  <si>
    <t xml:space="preserve">      Cuba</t>
  </si>
  <si>
    <t xml:space="preserve">      Bahamas</t>
  </si>
  <si>
    <t xml:space="preserve">      Aruba</t>
  </si>
  <si>
    <t xml:space="preserve">      Antigua and Barbuda</t>
  </si>
  <si>
    <t xml:space="preserve">      Anguilla</t>
  </si>
  <si>
    <t xml:space="preserve">    United Kingdom Islands, Caribbean</t>
  </si>
  <si>
    <t xml:space="preserve">    Trinidad and Tobago</t>
  </si>
  <si>
    <t xml:space="preserve">    Netherlands Antilles</t>
  </si>
  <si>
    <t xml:space="preserve">    Jamaica</t>
  </si>
  <si>
    <t xml:space="preserve">    Dominican Republic</t>
  </si>
  <si>
    <t xml:space="preserve">    Bermuda</t>
  </si>
  <si>
    <t xml:space="preserve">    Barbados</t>
  </si>
  <si>
    <t xml:space="preserve">    Bahamas</t>
  </si>
  <si>
    <t xml:space="preserve">  Other Western Hemisphere</t>
  </si>
  <si>
    <t xml:space="preserve">      Nicaragua</t>
  </si>
  <si>
    <t xml:space="preserve">      Guatemala</t>
  </si>
  <si>
    <t xml:space="preserve">      El Salvador</t>
  </si>
  <si>
    <t xml:space="preserve">      Belize</t>
  </si>
  <si>
    <t xml:space="preserve">    Panama</t>
  </si>
  <si>
    <t xml:space="preserve">    Mexico</t>
  </si>
  <si>
    <t xml:space="preserve">    Honduras</t>
  </si>
  <si>
    <t xml:space="preserve">    Guatemala</t>
  </si>
  <si>
    <t xml:space="preserve">    Costa Rica</t>
  </si>
  <si>
    <t xml:space="preserve">  Central America</t>
  </si>
  <si>
    <t xml:space="preserve">      Uruguay</t>
  </si>
  <si>
    <t xml:space="preserve">      Suriname</t>
  </si>
  <si>
    <t xml:space="preserve">      Paraguay</t>
  </si>
  <si>
    <t xml:space="preserve">      Guyana</t>
  </si>
  <si>
    <t xml:space="preserve">      French Guiana</t>
  </si>
  <si>
    <t xml:space="preserve">      Bolivia</t>
  </si>
  <si>
    <t xml:space="preserve">    Venezuela</t>
  </si>
  <si>
    <t xml:space="preserve">    Peru</t>
  </si>
  <si>
    <t xml:space="preserve">    Ecuador</t>
  </si>
  <si>
    <t xml:space="preserve">    Colombia</t>
  </si>
  <si>
    <t xml:space="preserve">    Chile</t>
  </si>
  <si>
    <t xml:space="preserve">    Brazil</t>
  </si>
  <si>
    <t xml:space="preserve">    Argentina</t>
  </si>
  <si>
    <t xml:space="preserve">  South America</t>
  </si>
  <si>
    <t>Latin America and Other Western Hemisphere</t>
  </si>
  <si>
    <t xml:space="preserve">    Yugoslavia</t>
  </si>
  <si>
    <t xml:space="preserve">    Uzbekistan</t>
  </si>
  <si>
    <t xml:space="preserve">    Union of Soviet Socialist Republics</t>
  </si>
  <si>
    <t xml:space="preserve">    Ukraine</t>
  </si>
  <si>
    <t xml:space="preserve">    Turkmenistan</t>
  </si>
  <si>
    <t xml:space="preserve">    Tajikistan</t>
  </si>
  <si>
    <t xml:space="preserve">    Slovenia</t>
  </si>
  <si>
    <t xml:space="preserve">    Slovakia</t>
  </si>
  <si>
    <t xml:space="preserve">    Serbia</t>
  </si>
  <si>
    <t xml:space="preserve">    Russia</t>
  </si>
  <si>
    <t xml:space="preserve">    Romania</t>
  </si>
  <si>
    <t xml:space="preserve">    Poland</t>
  </si>
  <si>
    <t xml:space="preserve">    Montenegro</t>
  </si>
  <si>
    <t xml:space="preserve">    Monaco</t>
  </si>
  <si>
    <t xml:space="preserve">    Moldova</t>
  </si>
  <si>
    <t xml:space="preserve">    Malta</t>
  </si>
  <si>
    <t xml:space="preserve">    Macedonia</t>
  </si>
  <si>
    <t xml:space="preserve">    Lithuania</t>
  </si>
  <si>
    <t xml:space="preserve">    Liechtenstein</t>
  </si>
  <si>
    <t xml:space="preserve">    Latvia</t>
  </si>
  <si>
    <t xml:space="preserve">    Kyrgyzstan</t>
  </si>
  <si>
    <t xml:space="preserve">    Kazakhstan</t>
  </si>
  <si>
    <t xml:space="preserve">    Iceland</t>
  </si>
  <si>
    <t xml:space="preserve">    Hungary</t>
  </si>
  <si>
    <t xml:space="preserve">    Greenland</t>
  </si>
  <si>
    <t xml:space="preserve">    Gibraltar</t>
  </si>
  <si>
    <t xml:space="preserve">    Georgia</t>
  </si>
  <si>
    <t xml:space="preserve">    Estonia</t>
  </si>
  <si>
    <t xml:space="preserve">    Czechoslovakia</t>
  </si>
  <si>
    <t xml:space="preserve">    Czech Republic</t>
  </si>
  <si>
    <t xml:space="preserve">    Cyprus</t>
  </si>
  <si>
    <t xml:space="preserve">    Croatia</t>
  </si>
  <si>
    <t xml:space="preserve">    Bulgaria</t>
  </si>
  <si>
    <t xml:space="preserve">    Bosnia and Herzegovina</t>
  </si>
  <si>
    <t xml:space="preserve">    Belarus</t>
  </si>
  <si>
    <t xml:space="preserve">    Azerbaijan</t>
  </si>
  <si>
    <t xml:space="preserve">    Armenia</t>
  </si>
  <si>
    <t xml:space="preserve">    Andorra</t>
  </si>
  <si>
    <t xml:space="preserve">    Albania</t>
  </si>
  <si>
    <t xml:space="preserve">  United Kingdom</t>
  </si>
  <si>
    <t xml:space="preserve">  Turkey</t>
  </si>
  <si>
    <t xml:space="preserve">  Switzerland</t>
  </si>
  <si>
    <t xml:space="preserve">  Sweden</t>
  </si>
  <si>
    <t xml:space="preserve">  Spain</t>
  </si>
  <si>
    <t xml:space="preserve">  Russia</t>
  </si>
  <si>
    <t xml:space="preserve">  Portugal</t>
  </si>
  <si>
    <t xml:space="preserve">  Poland</t>
  </si>
  <si>
    <t xml:space="preserve">  Norway</t>
  </si>
  <si>
    <t xml:space="preserve">  Netherlands</t>
  </si>
  <si>
    <t xml:space="preserve">  Luxembourg</t>
  </si>
  <si>
    <t xml:space="preserve">  Italy</t>
  </si>
  <si>
    <t xml:space="preserve">  Ireland</t>
  </si>
  <si>
    <t xml:space="preserve">  Hungary</t>
  </si>
  <si>
    <t xml:space="preserve">  Greece</t>
  </si>
  <si>
    <t xml:space="preserve">  Germany</t>
  </si>
  <si>
    <t xml:space="preserve">  France</t>
  </si>
  <si>
    <t xml:space="preserve">  Finland</t>
  </si>
  <si>
    <t xml:space="preserve">  Denmark</t>
  </si>
  <si>
    <t xml:space="preserve">  Czech Republic</t>
  </si>
  <si>
    <t xml:space="preserve">  Belgium</t>
  </si>
  <si>
    <t xml:space="preserve">  Austria</t>
  </si>
  <si>
    <t>Canada</t>
  </si>
  <si>
    <t>All Countries Total</t>
  </si>
  <si>
    <t>All Industries Total</t>
  </si>
  <si>
    <t>By Country Only (All Countries)  (Millions of Dollars) &lt;br/&gt;</t>
  </si>
  <si>
    <t>U.S. Direct Investment Abroad,U.S. Direct Investment Position Abroad on a Historical-Cost Basis</t>
  </si>
  <si>
    <t>U.S. Direct Investment Abroad,Direct Investment Income Without Current-Cost Adjustment</t>
  </si>
  <si>
    <t>----</t>
  </si>
  <si>
    <t>...</t>
  </si>
  <si>
    <t>U.S. Direct Investment Abroad,Financial Outflows Without Current-Cost Adjustment</t>
  </si>
  <si>
    <t>Balance of Payments and Direct Investment Position Data (May 19 2014  9:43:16:603PM)</t>
  </si>
  <si>
    <t>OPEC is the Organization of Petroleum Exporting Countries. Its members are Algeria, Indonesia, Iran, Iraq, Kuwait, Libya, Nigeria, Qatar, Saudi Arabia, the United Arab Emirates, and Venezuela. Prior to 1995, it included Gabon and prior to 1993, it included Ecuador. From 2007, it includes Angola.  In 2008, Ecuador reactivated its membership.</t>
  </si>
  <si>
    <t>The European Union (EU) includes an increasing number of member countries over time, and estimates for a specific period reflect the EU membership during that period. From 1982-1985, the member countries were collectively referred to as the European Communities and it included Belgium, Denmark, France, Germany (excluding the German Democratic Republic), Greece, Ireland, Italy, Luxembourg, Netherlands, and the United Kingdom. From 1986, it also includes Portugal and Spain. In 1992, the name European Union replaces European Communities. From 1995, it also includes Austria, Finland, and Sweden. From 2004, it also includes Cyprus, Czech Republic, Estonia, Hungary, Latvia, Lithuania, Malta, Poland, Slovakia, and Slovenia.   From 2007, it also includes Bulgaria and Romania.</t>
  </si>
  <si>
    <t xml:space="preserve">  OPEC</t>
  </si>
  <si>
    <t xml:space="preserve">  European Union</t>
  </si>
  <si>
    <t>Post 2010 see http://www.federalreserve.gov/newsevents/press/other/20140110a.htm</t>
  </si>
  <si>
    <t>Notes</t>
  </si>
  <si>
    <r>
      <t xml:space="preserve">Sum of (1) dividends received from abroad, from </t>
    </r>
    <r>
      <rPr>
        <i/>
        <sz val="12"/>
        <color theme="1"/>
        <rFont val="Times"/>
        <family val="1"/>
      </rPr>
      <t xml:space="preserve">Corporation Income Tax Returns; </t>
    </r>
    <r>
      <rPr>
        <sz val="12"/>
        <color theme="1"/>
        <rFont val="TimesNewRomanPSMT"/>
      </rPr>
      <t>(2) other foreign-source income reported in support of claims for foreign tax credits, from special IRS tabulations of Form 1118; and (3) income earned by U.S. corporations from operations in U.S. commonwealths and territories  &gt;&gt;&gt; Does not include offshore retained earnings</t>
    </r>
  </si>
  <si>
    <t>Pre-tax corporate profits with IVA and CCAdj (BEA)</t>
  </si>
  <si>
    <t xml:space="preserve">      Interest</t>
  </si>
  <si>
    <t>This includes net FDI income (paid + retained) + net portfolio dividends + income of US commonwealth and territories (about 35bn in 2010). All items are recorded net of income taxes and of capital gains and losses—except the dividend portions of both direct investment income and portfolio income, which are recorded before the deduction of nonresident taxes withheld [= this line is net of the big foreign corporate taxes paid, but gross of the small withholding taxes on cross-border dividend payments].  See table 13.7 in NIPA guide chapter 13 ("corporate profits", 2014): http://www.bea.gov/national/pdf/methodology/ch13%202012.pdf.</t>
  </si>
  <si>
    <t>Memo: credits for foreign taxes paid [more or less = total nonresident income tax paid]</t>
  </si>
  <si>
    <t>4. Chained-dollar net value added of nonfinancial corporate business is the difference between the gross product and the consumption of fixed capital.</t>
  </si>
  <si>
    <t>3. Chained-dollar consumption of fixed capital of nonfinancial corporate business is calculated as the product of the chain-type quantity index and the 2009 current-dollar value of the corresponding series, divided by 100.</t>
  </si>
  <si>
    <t>1. Estimates for financial corporate business and nonfinancial corporate business for 2000 and earlier periods are based on the 1987 Standard Industrial Classification (SIC); later estimates for these industries are based on the North American Industry Classification System (NAICS).</t>
  </si>
  <si>
    <t xml:space="preserve">        Undistributed profits with IVA and CCAdj</t>
  </si>
  <si>
    <t xml:space="preserve">        Net dividends</t>
  </si>
  <si>
    <t xml:space="preserve">    Corporate profits with IVA and CCAdj</t>
  </si>
  <si>
    <t xml:space="preserve">    Supplements to wages and salaries</t>
  </si>
  <si>
    <t xml:space="preserve">    Wages and salaries</t>
  </si>
  <si>
    <t xml:space="preserve">  Compensation of employees</t>
  </si>
  <si>
    <t>Net value added</t>
  </si>
  <si>
    <t>Consumption of fixed capital</t>
  </si>
  <si>
    <t>Table 1.14. Gross Value Added of Domestic Corporate Business in Current Dollars and Gross Value Added of Nonfinancial Domestic Corporate Business in Current and Chained Dollars</t>
  </si>
  <si>
    <t>National income</t>
  </si>
  <si>
    <t>(corporate profits % national income)</t>
  </si>
  <si>
    <t>(corporate tax % of national income)</t>
  </si>
  <si>
    <t>(net foreign profits % of BEA profits)</t>
  </si>
  <si>
    <t>(net foreign profits % of national income)</t>
  </si>
  <si>
    <t>(retained earnings % BEA profits)</t>
  </si>
  <si>
    <t>(misreporting % of BEA profits)</t>
  </si>
  <si>
    <t>(domestic profits % national income)</t>
  </si>
  <si>
    <t xml:space="preserve">21. Seasonally adjusted data for lines 57 and 58 are not available separately through 1972; they are combined with data in line 61.    </t>
  </si>
  <si>
    <t xml:space="preserve">20. Break in series. See Technical Notes in the June 1989, June 1990, June 1992, June 1993, June 1995, and July 1996-2013 issues of the SURVEY OF CURRENT BUSINESS.       </t>
  </si>
  <si>
    <t xml:space="preserve">19. For 1978-83, includes foreign currency-denominated notes sold to private residents abroad.    </t>
  </si>
  <si>
    <t xml:space="preserve">18. For 1974, includes extraordinary U.S. government transactions with India. See "Special U.S. Government Transactions," June 1974 SURVEY OF CURRENT BUSINESS, p. 27.    </t>
  </si>
  <si>
    <t xml:space="preserve">17. Equals the sum of capital account transactions, net for the first, second, and third quarters of the year.    </t>
  </si>
  <si>
    <t xml:space="preserve">16. Calculated excluding capital account transactions, net (line 39).    </t>
  </si>
  <si>
    <t xml:space="preserve">15. Beginning with 2003, includes securities brokers' liabilities to their foreign affiliates.  Prior to 2003, they are included in the liabilities of nonbanking concerns.    </t>
  </si>
  <si>
    <t xml:space="preserve">14. Beginning with 2003, includes securities brokers' claims on their foreign affiliates.  Prior to 2003, they are included in the claims of nonbanking concerns.    </t>
  </si>
  <si>
    <t xml:space="preserve">13. Conceptually, the sum of line 77 and line 39 is equal to "net lending or net borrowing" in the national income and product accounts (NIPAs).  However, the foreign transactions account in the NIPAs (a) includes adjustments to the international transactions accounts for the treatment of gold, (b) includes adjustments for the different geographical treatment of transactions with U.S. territories and Puerto Rico, and (c) includes services furnished without payment by financial pension plans except life insurance carriers and private noninsured pension plans.  A reconciliation of the balance on goods and services from the international accounts and the NIPA net exports appears in reconciliation table 2 in appendix A in the SURVEY OF CURRENT BUSINESS. A reconciliation of the other foreign transactions in the two sets of accounts appears in table 4.3B of the full set of NIPA tables.  </t>
  </si>
  <si>
    <t xml:space="preserve">12. Consists of investments in U.S. corporate stocks and in debt securities of private corporations and state and local governments.    </t>
  </si>
  <si>
    <t xml:space="preserve">11. Includes U.S. government liabilities associated with military agency sales contracts, other transactions arranged with or through foreign official agencies, and allocations of special drawing rights (SDRs) in the first quarters of 1970, 1971, 1972, 1979, 1980, and 1981, and in the third quarter of 2009; see table 6.      </t>
  </si>
  <si>
    <t xml:space="preserve">10. Consists of U.S. Treasury and Export-Import Bank obligations, not included elsewhere, and of debt securities of U.S. government corporations and agencies.    </t>
  </si>
  <si>
    <t xml:space="preserve">9. Consists of bills, certificates, marketable bonds and notes, and nonmarketable convertible and nonconvertible bonds and notes.    </t>
  </si>
  <si>
    <t xml:space="preserve">8. Includes sales of foreign obligations to foreigners.    </t>
  </si>
  <si>
    <t xml:space="preserve">7. At the present time, all U.S.-Treasury-owned gold is held in the United States.    </t>
  </si>
  <si>
    <t xml:space="preserve">6. Beginning in 1982, the "other transfers" component includes taxes paid by U.S. private residents to foreign governments and taxes paid by private nonresidents to the U.S. Government.    </t>
  </si>
  <si>
    <t xml:space="preserve">5. Beginning in 1982, these lines are presented on a gross basis. The definition of exports is revised to exclude U.S. parents' payments to foreign affiliates and to include U.S. affiliates' receipts from foreign parents. The definition of imports is revised to include U.S. parents' payments to foreign affiliates and to exclude U.S. affiliates' receipts from foreign parents.   </t>
  </si>
  <si>
    <t xml:space="preserve">4. Includes transfers of goods and services under U.S. military grant programs.    </t>
  </si>
  <si>
    <t xml:space="preserve">3. Includes some goods: Mainly military equipment and supplies in lines 5 and 22 that are commingled in the source data and cannot be separately identified.  Beginning with statistics for 1999, line 5 excludes equipment and supplies exported under the U.S. Foreign Military Sales program that can be separately identified, and line 22 excludes purchases of goods abroad by U.S. military agencies that can be separately identified.   </t>
  </si>
  <si>
    <t xml:space="preserve">2. See Table 2 footnotes for explanations of the various balance of payments adjustments made to convert goods on a Census-basis to goods on a balance of payments basis.  The adjustments are made to improve coverage, eliminate duplication and align the goods data with national and international accounting guidelines.      </t>
  </si>
  <si>
    <t>1. Credits, +: Exports of goods and services and income receipts; unilateral current transfers to the United States; capital account transactions receipts; financial inflows--increase in foreign-owned assets (U.S. liabilities) or decrease in U.S.-owned assets (U.S. claims).    Debits, -: Imports of goods and services and income payments; unilateral current transfers to foreigners; capital account transactions payments; financial outflows--decrease in foreign-owned assets (U.S. liabilities) or increase in U.S.-owned assets (U.S. claims).</t>
  </si>
  <si>
    <t>Balance on current account (lines 1, 18, and 35 or lines 74, 75, and 76) /13/</t>
  </si>
  <si>
    <t>Unilateral current transfers, net (line 35)</t>
  </si>
  <si>
    <t>Balance on income (lines 12 and 29)</t>
  </si>
  <si>
    <t>Balance on goods and services (lines 2 and 19)</t>
  </si>
  <si>
    <t>Balance on services (lines 4 and 21)</t>
  </si>
  <si>
    <t>Balance on goods (lines 3 and 20)</t>
  </si>
  <si>
    <t>Memoranda:</t>
  </si>
  <si>
    <t>.....</t>
  </si>
  <si>
    <t xml:space="preserve">  Of which: Seasonal adjustment discrepancy</t>
  </si>
  <si>
    <t>71a</t>
  </si>
  <si>
    <t>Statistical discrepancy (sum of above items with sign reversed)</t>
  </si>
  <si>
    <t>n.a.</t>
  </si>
  <si>
    <t>Financial derivatives, net</t>
  </si>
  <si>
    <t xml:space="preserve">    U.S. liabilities reported by U.S. banks and securities brokers /15/</t>
  </si>
  <si>
    <t xml:space="preserve">    U.S. liabilities to unaffiliated foreigners reported by U.S. nonbanking concerns</t>
  </si>
  <si>
    <t xml:space="preserve">    U.S. currency</t>
  </si>
  <si>
    <t xml:space="preserve">    U.S. securities other than U.S. Treasury securities</t>
  </si>
  <si>
    <t>/19/ 8689</t>
  </si>
  <si>
    <t>/19/ 7027</t>
  </si>
  <si>
    <t>/19/ 2927</t>
  </si>
  <si>
    <t>/19/ 2645</t>
  </si>
  <si>
    <t>/19/ 4060</t>
  </si>
  <si>
    <t>/19/ 2178</t>
  </si>
  <si>
    <t xml:space="preserve">    U.S. Treasury securities</t>
  </si>
  <si>
    <t>/20/ 12635</t>
  </si>
  <si>
    <t xml:space="preserve">    Direct investment</t>
  </si>
  <si>
    <t xml:space="preserve">  Other foreign assets in the United States</t>
  </si>
  <si>
    <t xml:space="preserve">    Other foreign official assets /12/</t>
  </si>
  <si>
    <t xml:space="preserve">    U.S. liabilities reported by U.S. banks and securities brokers</t>
  </si>
  <si>
    <t xml:space="preserve">    Other U.S. government liabilities /11/</t>
  </si>
  <si>
    <t xml:space="preserve">      Other /10/</t>
  </si>
  <si>
    <t xml:space="preserve">      U.S. Treasury securities /9/</t>
  </si>
  <si>
    <t xml:space="preserve">    U.S. government securities</t>
  </si>
  <si>
    <t xml:space="preserve">  Foreign official assets in the United States</t>
  </si>
  <si>
    <t>Foreign-owned assets in the United States, excluding financial derivatives (increase/financial inflow (+))</t>
  </si>
  <si>
    <t xml:space="preserve">    U.S. claims reported by U.S. banks and securities brokers /14/</t>
  </si>
  <si>
    <t xml:space="preserve">    U.S. claims on unaffiliated foreigners reported by U.S. nonbanking concerns</t>
  </si>
  <si>
    <t xml:space="preserve">    Foreign securities</t>
  </si>
  <si>
    <t xml:space="preserve">  U.S. private assets</t>
  </si>
  <si>
    <t>/18/ 541</t>
  </si>
  <si>
    <t xml:space="preserve">    U.S. foreign currency holdings and U.S. short-term assets</t>
  </si>
  <si>
    <t>/18/ 4826</t>
  </si>
  <si>
    <t xml:space="preserve">    Repayments on U.S. credits and other long-term assets /8/</t>
  </si>
  <si>
    <t xml:space="preserve">    U.S. credits and other long-term assets</t>
  </si>
  <si>
    <t xml:space="preserve">  U.S. government assets, other than official reserve assets</t>
  </si>
  <si>
    <t xml:space="preserve">    Foreign currencies</t>
  </si>
  <si>
    <t xml:space="preserve">    Reserve position in the International Monetary Fund</t>
  </si>
  <si>
    <t xml:space="preserve">    Special drawing rights</t>
  </si>
  <si>
    <t xml:space="preserve">    Gold /7/</t>
  </si>
  <si>
    <t xml:space="preserve">  U.S. official reserve assets</t>
  </si>
  <si>
    <t>U.S.-owned assets abroad, excluding financial derivatives (increase/financial outflow (-))</t>
  </si>
  <si>
    <t>Financial account</t>
  </si>
  <si>
    <t>/17/ -412</t>
  </si>
  <si>
    <t>Capital account transactions, net</t>
  </si>
  <si>
    <t>Capital account</t>
  </si>
  <si>
    <t>/20/ -8207</t>
  </si>
  <si>
    <t>/20/ -4516</t>
  </si>
  <si>
    <t xml:space="preserve">  Private remittances and other transfers /6/</t>
  </si>
  <si>
    <t xml:space="preserve">  U.S. government pensions and other transfers</t>
  </si>
  <si>
    <t>/18/ -7293</t>
  </si>
  <si>
    <t xml:space="preserve">  U.S. government grants /4/</t>
  </si>
  <si>
    <t>Unilateral current transfers, net</t>
  </si>
  <si>
    <t xml:space="preserve">    Compensation of employees</t>
  </si>
  <si>
    <t xml:space="preserve">      U.S. government payments</t>
  </si>
  <si>
    <t xml:space="preserve">      Other private payments</t>
  </si>
  <si>
    <t xml:space="preserve">      Direct investment payments</t>
  </si>
  <si>
    <t xml:space="preserve">    Income payments on foreign-owned assets in the United States</t>
  </si>
  <si>
    <t xml:space="preserve">  Income payments</t>
  </si>
  <si>
    <t xml:space="preserve">      U.S. government miscellaneous services</t>
  </si>
  <si>
    <t>/20/ -25386</t>
  </si>
  <si>
    <t>/20/ -13146</t>
  </si>
  <si>
    <t>/20/ -3562</t>
  </si>
  <si>
    <t xml:space="preserve">      Other private services /5/</t>
  </si>
  <si>
    <t xml:space="preserve">      Royalties and license fees /5/</t>
  </si>
  <si>
    <t>/20/ -17766</t>
  </si>
  <si>
    <t xml:space="preserve">      Other transportation</t>
  </si>
  <si>
    <t>/20/ -5735</t>
  </si>
  <si>
    <t xml:space="preserve">      Passenger fares</t>
  </si>
  <si>
    <t>/20/ -22913</t>
  </si>
  <si>
    <t xml:space="preserve">      Travel</t>
  </si>
  <si>
    <t xml:space="preserve">      Direct defense expenditures</t>
  </si>
  <si>
    <t xml:space="preserve">    Services /3/</t>
  </si>
  <si>
    <t xml:space="preserve">    Goods, balance of payments basis /2/</t>
  </si>
  <si>
    <t xml:space="preserve">  Imports of goods and services</t>
  </si>
  <si>
    <t>Imports of goods and services and income payments</t>
  </si>
  <si>
    <t xml:space="preserve">      U.S. government receipts</t>
  </si>
  <si>
    <t xml:space="preserve">      Other private receipts</t>
  </si>
  <si>
    <t xml:space="preserve">      Direct investment receipts</t>
  </si>
  <si>
    <t xml:space="preserve">    Income receipts on U.S.-owned assets abroad</t>
  </si>
  <si>
    <t xml:space="preserve">  Income receipts</t>
  </si>
  <si>
    <t>/20/ 50292</t>
  </si>
  <si>
    <t>/20/ 28027</t>
  </si>
  <si>
    <t>/20/ 10250</t>
  </si>
  <si>
    <t>/20/ 15438</t>
  </si>
  <si>
    <t>/20/ 4067</t>
  </si>
  <si>
    <t>/20/ 17177</t>
  </si>
  <si>
    <t xml:space="preserve">      Transfers under U.S. military agency sales contracts /4/</t>
  </si>
  <si>
    <t xml:space="preserve">  Exports of goods and services</t>
  </si>
  <si>
    <t>Exports of goods and services and income receipts</t>
  </si>
  <si>
    <t>Current account</t>
  </si>
  <si>
    <t>2013 /p/</t>
  </si>
  <si>
    <t>2012 </t>
  </si>
  <si>
    <t>2010 </t>
  </si>
  <si>
    <t>2008 </t>
  </si>
  <si>
    <t>2006 </t>
  </si>
  <si>
    <t>2004 </t>
  </si>
  <si>
    <t>2002 </t>
  </si>
  <si>
    <t>2000 </t>
  </si>
  <si>
    <t>1980 </t>
  </si>
  <si>
    <t>1978 </t>
  </si>
  <si>
    <t>1976 </t>
  </si>
  <si>
    <t>1974 </t>
  </si>
  <si>
    <t>1972 </t>
  </si>
  <si>
    <t>1970 </t>
  </si>
  <si>
    <t>1968 </t>
  </si>
  <si>
    <t>1966 </t>
  </si>
  <si>
    <t>1964 </t>
  </si>
  <si>
    <t>1962 </t>
  </si>
  <si>
    <t>1960 </t>
  </si>
  <si>
    <t>(Credits +; debits -) /1/</t>
  </si>
  <si>
    <t>Table 1. U.S. International Transactions</t>
  </si>
  <si>
    <t>Ireland</t>
  </si>
  <si>
    <t>Netherlands</t>
  </si>
  <si>
    <t>Switzerland</t>
  </si>
  <si>
    <t>Singapore</t>
  </si>
  <si>
    <t>Luxembourg</t>
  </si>
  <si>
    <t>Bermuda &amp; other Caribbean</t>
  </si>
  <si>
    <t xml:space="preserve">  Eastern Europe</t>
  </si>
  <si>
    <t>Top 6 havens % of total DI retained</t>
  </si>
  <si>
    <t>By Country Only (Major Countries)  (Millions of Dollars) &lt;br/&gt;</t>
  </si>
  <si>
    <t>DI outflows</t>
  </si>
  <si>
    <t>Top 6 havens</t>
  </si>
  <si>
    <t>Top 6 havens % of total DI outflows</t>
  </si>
  <si>
    <t>U.S. Direct Investment Abroad,Equity Outflows</t>
  </si>
  <si>
    <t>Balance of Payments and Direct Investment Position Data (May 21 2014  6:44:41:710PM)</t>
  </si>
  <si>
    <t>U.S. Direct Investment Abroad,Intercompany Debt Outflows</t>
  </si>
  <si>
    <t>Balance of Payments and Direct Investment Position Data (May 21 2014  6:49:31:097PM)</t>
  </si>
  <si>
    <t>(check)</t>
  </si>
  <si>
    <t>Non havens</t>
  </si>
  <si>
    <t>Balance of Payments and Direct Investment Position Data (May 21 2014  7:30:37:740PM)</t>
  </si>
  <si>
    <t>Top 6 havens % of total DI assets</t>
  </si>
  <si>
    <t>DI assets historical cost</t>
  </si>
  <si>
    <t>(Bermuda)</t>
  </si>
  <si>
    <t>Top 6 havens retained / top 6 heavens profits</t>
  </si>
  <si>
    <t>Offshore financial centers</t>
  </si>
  <si>
    <t>1930-39</t>
  </si>
  <si>
    <t>1940-49</t>
  </si>
  <si>
    <t>1950-59</t>
  </si>
  <si>
    <t>1960-69</t>
  </si>
  <si>
    <t>1970-70</t>
  </si>
  <si>
    <t>1990-99</t>
  </si>
  <si>
    <t>2000-09</t>
  </si>
  <si>
    <t>(corporate tax excluding fed profits % of national income)</t>
  </si>
  <si>
    <t>Series</t>
  </si>
  <si>
    <t>Equals</t>
  </si>
  <si>
    <t>Domestic profits</t>
  </si>
  <si>
    <t>Net of interest payments</t>
  </si>
  <si>
    <t>Gross of income taxes (both US taxes and the small amount of taxes paid by domestic businesses to foreign governments)</t>
  </si>
  <si>
    <t>US profits abroad minus foreign profits in the US. Includes DI + dividend portion of PI (but not retained earnings on PI). Is net of nonresident corporate income tax.</t>
  </si>
  <si>
    <t>Net foreign profits</t>
  </si>
  <si>
    <t>IVA and CCAdj</t>
  </si>
  <si>
    <t>Fed profits</t>
  </si>
  <si>
    <t>Misreporting on IRS returns</t>
  </si>
  <si>
    <t>(capital gains % of BEA profits)</t>
  </si>
  <si>
    <t>Less: Capital gains</t>
  </si>
  <si>
    <t>From IRS to BEA profits</t>
  </si>
  <si>
    <t>Other adjustmetns to IRS data</t>
  </si>
  <si>
    <t>Mosty equal to bad debt expense in recent years</t>
  </si>
  <si>
    <t>Corporate tax revenue</t>
  </si>
  <si>
    <t>Taxes on corporate income</t>
  </si>
  <si>
    <t>Domestic vs. foreign profits</t>
  </si>
  <si>
    <t>Excludes nonresident income tax paid by affiliates</t>
  </si>
  <si>
    <t>Paid to local &amp; state gov</t>
  </si>
  <si>
    <t>Paid to federal gov, net of credits</t>
  </si>
  <si>
    <t>Paid by domestic corp to foreign gov on income earned abroad</t>
  </si>
  <si>
    <t>Paid by Fed</t>
  </si>
  <si>
    <t>Alsmot all Fed profits are treated as corporate taxes by BEA (this is a bit weird; might make more sense for BEA to record that as dividend)</t>
  </si>
  <si>
    <t>Tax rate computations</t>
  </si>
  <si>
    <t>Excluding Fed payments</t>
  </si>
  <si>
    <t>Effective tax rate paid to US (fed+local)</t>
  </si>
  <si>
    <t>Effective tax rate paid worldwide</t>
  </si>
  <si>
    <t>Effective tax rate paid to US (including KG in profits)</t>
  </si>
  <si>
    <t>Staturoy federal corporate tax rate</t>
  </si>
  <si>
    <t>Does not decline because of growing misreporting</t>
  </si>
  <si>
    <t>Effective tax rate IRS</t>
  </si>
  <si>
    <t>Effective tax rate IRS  after misreporting</t>
  </si>
  <si>
    <t>Distributed earnings</t>
  </si>
  <si>
    <t>Retained earnings</t>
  </si>
  <si>
    <t>Corporate income taxes</t>
  </si>
  <si>
    <t>Retained abroad</t>
  </si>
  <si>
    <t>Retained domestic</t>
  </si>
  <si>
    <t>(Retained foreign, % of BEA profits)</t>
  </si>
  <si>
    <t>(Retained havens, % of BEA profits)</t>
  </si>
  <si>
    <t>(Retained abroad, % of foreign profits)</t>
  </si>
  <si>
    <t>Distributed vs retained profits</t>
  </si>
  <si>
    <t xml:space="preserve">Foreign profits </t>
  </si>
  <si>
    <t>PI divs + DI divs &amp; retained. (As always, corporate profits = net of interest payments)</t>
  </si>
  <si>
    <t>Puerto Rico etc.</t>
  </si>
  <si>
    <t>Diff geographical coverage btw NIPA and BoP</t>
  </si>
  <si>
    <t>PI dividends</t>
  </si>
  <si>
    <t>Top 6 havens % of total DI income</t>
  </si>
  <si>
    <t>Top 6 havens % of all U.S. corporate profits</t>
  </si>
  <si>
    <t>Decomposition of USDIA flows (= outflows of both equity &amp; debt + retained earnings) by country</t>
  </si>
  <si>
    <t>Decomposition of DI assets by country</t>
  </si>
  <si>
    <t xml:space="preserve">This differential is what we would expect, because DI profits are net of foreign corporate taxes paid. Ce qu'il faudrait c'est réattribuer les foreign taxes paid pour pouvoir calculer des pre-tax yields = à faire avec BEA data on affiliates </t>
  </si>
  <si>
    <t>Asia</t>
  </si>
  <si>
    <t>Latin America</t>
  </si>
  <si>
    <t>Russia</t>
  </si>
  <si>
    <t>Foreign income taxes</t>
  </si>
  <si>
    <t xml:space="preserve">   1. Excluding Regulated Investment Companies (that is "mutual funds")</t>
  </si>
  <si>
    <t>Source. IRS Statistics of Income (unadjusted)</t>
  </si>
  <si>
    <t>S corps:  S corporations</t>
  </si>
  <si>
    <t>Other dividends</t>
  </si>
  <si>
    <t>S corp dividends</t>
  </si>
  <si>
    <t>Total dividends¹</t>
  </si>
  <si>
    <t>Total¹ dividends</t>
  </si>
  <si>
    <t>S corp share of dividends</t>
  </si>
  <si>
    <t>Percent change from preceding period</t>
  </si>
  <si>
    <t>Millions of dollars</t>
  </si>
  <si>
    <t>Year</t>
  </si>
  <si>
    <t>Dividends (Distributions of Cash and Property) of S Corps and Other Corporations</t>
  </si>
  <si>
    <t>Downloaded from http://www.bea.gov/faq/index.cfm?faq_id=318</t>
  </si>
  <si>
    <t>2013 </t>
  </si>
  <si>
    <t>Release Date: June 18, 2014 - Next Release Date: September 17, 2014</t>
  </si>
  <si>
    <t>Excluding S corp</t>
  </si>
  <si>
    <t>TQ</t>
  </si>
  <si>
    <t>(Off-Budget)</t>
  </si>
  <si>
    <t>(On-Budget)</t>
  </si>
  <si>
    <t>Total Receipts</t>
  </si>
  <si>
    <t>Individual Income Taxes</t>
  </si>
  <si>
    <t>Fiscal Year</t>
  </si>
  <si>
    <r>
      <t>3</t>
    </r>
    <r>
      <rPr>
        <sz val="10"/>
        <rFont val="Arial"/>
        <family val="2"/>
      </rPr>
      <t xml:space="preserve"> See Table 2.5 for additional details.</t>
    </r>
  </si>
  <si>
    <r>
      <t>2</t>
    </r>
    <r>
      <rPr>
        <sz val="10"/>
        <rFont val="Arial"/>
        <family val="2"/>
      </rPr>
      <t xml:space="preserve"> See Table 2.4 for additional details.</t>
    </r>
  </si>
  <si>
    <r>
      <t>1</t>
    </r>
    <r>
      <rPr>
        <sz val="10"/>
        <rFont val="Arial"/>
        <family val="2"/>
      </rPr>
      <t xml:space="preserve"> Beginning in 1987, includes trust fund receipts for the hazardous substance superfund. In 1989 and 1990, includes trust fund receipts for the supplementary medical insurance trust fund.</t>
    </r>
  </si>
  <si>
    <t>2019 estimate</t>
  </si>
  <si>
    <t>2018 estimate</t>
  </si>
  <si>
    <t>2017 estimate</t>
  </si>
  <si>
    <t>2016 estimate</t>
  </si>
  <si>
    <t>2015 estimate</t>
  </si>
  <si>
    <t>2014 estimate</t>
  </si>
  <si>
    <t>..........</t>
  </si>
  <si>
    <r>
      <t xml:space="preserve">Other </t>
    </r>
    <r>
      <rPr>
        <b/>
        <vertAlign val="superscript"/>
        <sz val="10"/>
        <rFont val="Arial"/>
        <family val="2"/>
      </rPr>
      <t>3</t>
    </r>
  </si>
  <si>
    <r>
      <t xml:space="preserve">Excise Taxes </t>
    </r>
    <r>
      <rPr>
        <b/>
        <vertAlign val="superscript"/>
        <sz val="10"/>
        <rFont val="Arial"/>
        <family val="2"/>
      </rPr>
      <t>2</t>
    </r>
  </si>
  <si>
    <r>
      <t xml:space="preserve">Social Insurance and Retirement Receipts </t>
    </r>
    <r>
      <rPr>
        <b/>
        <vertAlign val="superscript"/>
        <sz val="10"/>
        <rFont val="Arial"/>
        <family val="2"/>
      </rPr>
      <t>2</t>
    </r>
  </si>
  <si>
    <r>
      <t xml:space="preserve">Corporate Income Taxes </t>
    </r>
    <r>
      <rPr>
        <b/>
        <vertAlign val="superscript"/>
        <sz val="10"/>
        <rFont val="Arial"/>
        <family val="2"/>
      </rPr>
      <t>1</t>
    </r>
  </si>
  <si>
    <t>(in millions of dollars)</t>
  </si>
  <si>
    <t>Table 2.1—RECEIPTS BY SOURCE: 1934–2019</t>
  </si>
  <si>
    <t>http://www.whitehouse.gov/omb/budget/Historicals/</t>
  </si>
  <si>
    <t>TQ = "transition quarter" = the three-month period when the federal government switched from a fiscal year that began on July 1 to the current fiscal year that begins on October 1.</t>
  </si>
  <si>
    <t>The U.S. federal government's fiscal year begins on 1 October of the previous calendar year and ends on 30 September of the year with which it is numbered. Prior to 1976, the fiscal year began on 1 July and ended on 30 June.</t>
  </si>
  <si>
    <t>Raw data are fiscal year, here I attempt a calander year conversion. The U.S. federal government's fiscal year begins on 1 October of the previous calendar year and ends on 30 September of the year with which it is numbered. Prior to 1976, the fiscal year began on 1 July and ended on 30 June.</t>
  </si>
  <si>
    <t>S corporations</t>
  </si>
  <si>
    <t>S corporations profits included in BEA profits</t>
  </si>
  <si>
    <t>(Of which: bad debt expenses)</t>
  </si>
  <si>
    <t>(Of which: other)</t>
  </si>
  <si>
    <t>Memo: S corporation dividends included in NIPA corporate dividends</t>
  </si>
  <si>
    <t>Bigger than 100% of S corporation net profits because of S corp losses (which do not generate negative dividends)</t>
  </si>
  <si>
    <t>Memo: share of S corp profits in BEA profits</t>
  </si>
  <si>
    <t>Memo: S corporation net profits taxed at individual level</t>
  </si>
  <si>
    <t>From SOI  S corp stats Table 1.-, S-Corporation, All Returns:  Total Receipts and Deductions</t>
  </si>
  <si>
    <t>1995-on: see formula; before: based on evolution of net S corp income reported by individual taxpayers</t>
  </si>
  <si>
    <t>(Foreign profits inflows)</t>
  </si>
  <si>
    <t>(Foreign profits inflows % NI)</t>
  </si>
  <si>
    <t>(Foreign profits inflows, % BEA profits)</t>
  </si>
  <si>
    <t>Revisions to IRS "Total Receipts Less Total Deductions", BEA</t>
  </si>
  <si>
    <t>Definitional adjustment: To restate profits of small business corporations to reflect the income and expenses that are passed to shareholders rather than reported by the corporation. See http://www.bea.gov/national/pdf/chapter13.pdf. Only known in 2010 (-21bn), assume constant fraction of IRS profits before.</t>
  </si>
  <si>
    <t>Part of what corporations can deduct from their IRS profits, but not deduced for NIPA profit computations. Data here from SOI S corp Table 1</t>
  </si>
  <si>
    <t>The IRS audit consists of three steps. First, the IRS audits a small sampling of corporations and recommends how much, if any, additional tax liability is owed. Next, the corporations can appeal those recommendations. Finally, a resolution between the corporation and the IRS is reached, and the corporation pays the IRS.
The methodology for the misreporting adjustment is to capture only the amount of tax actually collected (see the section “Taxes on Corporate Income”), raise it to a universe total, and then convert it from a tax-liability measure to a profits measure.</t>
  </si>
  <si>
    <t>2013 data point from Table 1: http://www.census.gov/govs/qtax/</t>
  </si>
  <si>
    <t>Structure of tax revenue in the US, 2013</t>
  </si>
  <si>
    <t>GDP:</t>
  </si>
  <si>
    <t>Tot K tax</t>
  </si>
  <si>
    <t>Corporate tax (excl. Fed)</t>
  </si>
  <si>
    <t>Tot tax rev (excl. Fed)</t>
  </si>
  <si>
    <t>2012 OECD</t>
  </si>
  <si>
    <t>2013 BEA</t>
  </si>
  <si>
    <t>% of GDP</t>
  </si>
  <si>
    <t>Year Source</t>
  </si>
  <si>
    <t>2012 OECD, assuming capital share of individual taxes is 30%</t>
  </si>
  <si>
    <t>Memo: Fed "corporate tax"</t>
  </si>
  <si>
    <t>Ind (income + estate)</t>
  </si>
  <si>
    <t>Property tax (corp + ind)</t>
  </si>
  <si>
    <t>Memo: share of DI in foreign profits</t>
  </si>
  <si>
    <t>Note that DI include retained earnings but PI do not</t>
  </si>
  <si>
    <t>(Retained havens, % of DI income)</t>
  </si>
  <si>
    <t>U.S. Direct Investment Abroad,Reinvestment of Earnings Without Current-Cost Adjustment</t>
  </si>
  <si>
    <t xml:space="preserve">      United Kingdom Islands, Atlantic (OWH)</t>
  </si>
  <si>
    <t>Memo: Federal corporate tax revenu, OMB, calendar year estimate</t>
  </si>
  <si>
    <t>Excluding Fed payments; and assuming that  the foreign tax credit equals tax liability on income earned abroad (the convention used in the national accounts), ie in particular that foreign taxes paid on unrepatriated earnings are negligible (consistent with corporate filings, e.g. Microsoft 2014, but would need to be investigated more systematically)</t>
  </si>
  <si>
    <t>US profits abroad. No data prior to 1948 assume same evolution as net foreign profits</t>
  </si>
  <si>
    <t>From Saez-Zucman 2014 total</t>
  </si>
  <si>
    <t>After-tax corporate profits / national income</t>
  </si>
  <si>
    <t>2016</t>
  </si>
  <si>
    <t>2015</t>
  </si>
  <si>
    <t>2014</t>
  </si>
  <si>
    <t>Last Revised on: September 28, 2017 - Next Release Date October 27, 2017</t>
  </si>
  <si>
    <t xml:space="preserve">        National income</t>
  </si>
  <si>
    <t xml:space="preserve">        Government</t>
  </si>
  <si>
    <t xml:space="preserve">        Other</t>
  </si>
  <si>
    <t xml:space="preserve">        Employer contributions for employee pension and insurance funds 1</t>
  </si>
  <si>
    <t xml:space="preserve">        Employer contributions for government social insurance</t>
  </si>
  <si>
    <t xml:space="preserve">    Taxes on corporate income</t>
  </si>
  <si>
    <t xml:space="preserve">    Profits after tax with IVA and CCAdj</t>
  </si>
  <si>
    <t xml:space="preserve">    To persons (net)</t>
  </si>
  <si>
    <t xml:space="preserve">    To government (net)</t>
  </si>
  <si>
    <t xml:space="preserve">    To the rest of the world (net)</t>
  </si>
  <si>
    <t xml:space="preserve">    Net cash flow with IVA</t>
  </si>
  <si>
    <t xml:space="preserve">        Consumption of fixed capital</t>
  </si>
  <si>
    <t xml:space="preserve">        Less: Capital transfers paid (net)</t>
  </si>
  <si>
    <t xml:space="preserve">    Proprietors' income with IVA and CCAdj</t>
  </si>
  <si>
    <t xml:space="preserve">        Farm</t>
  </si>
  <si>
    <t xml:space="preserve">            Proprietors' income with IVA</t>
  </si>
  <si>
    <t xml:space="preserve">            Capital consumption adjustment</t>
  </si>
  <si>
    <t xml:space="preserve">        Nonfarm</t>
  </si>
  <si>
    <t xml:space="preserve">            Proprietors' income (without IVA and CCAdj)</t>
  </si>
  <si>
    <t xml:space="preserve">            Inventory valuation adjustment</t>
  </si>
  <si>
    <t xml:space="preserve">    Rental income of persons with CCAdj</t>
  </si>
  <si>
    <t xml:space="preserve">        Rental income of persons (without CCAdj)</t>
  </si>
  <si>
    <t xml:space="preserve">        Capital consumption adjustment</t>
  </si>
  <si>
    <t xml:space="preserve">        Corporate profits with IVA</t>
  </si>
  <si>
    <t xml:space="preserve">            Profits before tax (without IVA and CCAdj)</t>
  </si>
  <si>
    <t xml:space="preserve">                Taxes on corporate income</t>
  </si>
  <si>
    <t xml:space="preserve">                Profits after tax (without IVA and CCAdj)</t>
  </si>
  <si>
    <t xml:space="preserve">                    Net dividends</t>
  </si>
  <si>
    <t xml:space="preserve">                    Undistributed profits (without IVA and CCAdj)</t>
  </si>
  <si>
    <t>Last Revised on: August 03, 2017</t>
  </si>
  <si>
    <t xml:space="preserve">    Adjustment for misreporting on income tax returns</t>
  </si>
  <si>
    <t xml:space="preserve">    Posttabulation amendments and revisions 1</t>
  </si>
  <si>
    <t xml:space="preserve">    Income of organizations not filing corporation income tax returns</t>
  </si>
  <si>
    <t xml:space="preserve">        Federal Reserve banks</t>
  </si>
  <si>
    <t xml:space="preserve">        Federally sponsored credit agencies 2</t>
  </si>
  <si>
    <t xml:space="preserve">        Other 3</t>
  </si>
  <si>
    <t xml:space="preserve">    Depletion on domestic minerals</t>
  </si>
  <si>
    <t xml:space="preserve">    Adjustment to depreciate expenditures for mining exploration, shafts, and wells</t>
  </si>
  <si>
    <t xml:space="preserve">    State and local taxes on corporate income</t>
  </si>
  <si>
    <t xml:space="preserve">    Interest payments of regulated investment companies</t>
  </si>
  <si>
    <t xml:space="preserve">    Bad debt expense</t>
  </si>
  <si>
    <t xml:space="preserve">    Adjustment to depreciate expenditures for intellectual property products 4</t>
  </si>
  <si>
    <t xml:space="preserve">    Disaster adjustments (net) 5</t>
  </si>
  <si>
    <t xml:space="preserve">    Tax-return measures of:</t>
  </si>
  <si>
    <t xml:space="preserve">        Gains, net of losses, from sale of property</t>
  </si>
  <si>
    <t xml:space="preserve">        Dividends received from domestic corporations</t>
  </si>
  <si>
    <t xml:space="preserve">        Income on equities in foreign corporations and branches (to U.S. corporations)</t>
  </si>
  <si>
    <t xml:space="preserve">    Costs of trading or issuing corporate securities 6</t>
  </si>
  <si>
    <t xml:space="preserve">    Excess of employer expenses over actual employer contributions for defined benefit employee pension plans 7</t>
  </si>
  <si>
    <t xml:space="preserve">    Posttabulation amendments and revisions, including results of audit and renegotiation and carryback refunds</t>
  </si>
  <si>
    <t xml:space="preserve">    Amounts paid to U.S. Treasury by Federal Reserve banks</t>
  </si>
  <si>
    <t xml:space="preserve">    Taxes paid by domestic corporations to foreign governments on income earned abroad</t>
  </si>
  <si>
    <t xml:space="preserve">    U.S. tax credits claimed for foreign taxes paid</t>
  </si>
  <si>
    <t xml:space="preserve">    Investment tax credit 8</t>
  </si>
  <si>
    <t xml:space="preserve">    Other tax credits 8</t>
  </si>
  <si>
    <t xml:space="preserve">    Posttabulation amendments and revisions 9</t>
  </si>
  <si>
    <t xml:space="preserve">    Dividends paid by Federal Reserve banks and certain federally sponsored credit agencies 2</t>
  </si>
  <si>
    <t xml:space="preserve">    U.S. receipts of dividends from abroad, net of payments to abroad</t>
  </si>
  <si>
    <t xml:space="preserve">    Earnings remitted to foreign residents from their unincorporated U.S. affiliates</t>
  </si>
  <si>
    <t xml:space="preserve">    Dividends received by U.S. corporations</t>
  </si>
  <si>
    <t xml:space="preserve">    Earnings of U.S. residents remitted by their unincorporated foreign affiliates</t>
  </si>
  <si>
    <t xml:space="preserve">        Current receipts from the rest of the world</t>
  </si>
  <si>
    <t xml:space="preserve">    Goods 1</t>
  </si>
  <si>
    <t xml:space="preserve">        Durable</t>
  </si>
  <si>
    <t xml:space="preserve">        Nondurable</t>
  </si>
  <si>
    <t xml:space="preserve">    Services 1</t>
  </si>
  <si>
    <t xml:space="preserve">    Wage and salary receipts</t>
  </si>
  <si>
    <t xml:space="preserve">    Income receipts on assets</t>
  </si>
  <si>
    <t xml:space="preserve">        Interest</t>
  </si>
  <si>
    <t xml:space="preserve">        Dividends</t>
  </si>
  <si>
    <t xml:space="preserve">        Reinvested earnings on U.S. direct investment abroad</t>
  </si>
  <si>
    <t>Current taxes, contributions for government social insurance, and transfer receipts from the rest of the world 2</t>
  </si>
  <si>
    <t xml:space="preserve">    To persons</t>
  </si>
  <si>
    <t xml:space="preserve">    To business</t>
  </si>
  <si>
    <t xml:space="preserve">    To government</t>
  </si>
  <si>
    <t xml:space="preserve">        Current payments to the rest of the world</t>
  </si>
  <si>
    <t xml:space="preserve">    Wage and salary payments</t>
  </si>
  <si>
    <t xml:space="preserve">    Income payments on assets</t>
  </si>
  <si>
    <t xml:space="preserve">        Reinvested earnings on foreign direct investment in the United States</t>
  </si>
  <si>
    <t>Current taxes and transfer payments to the rest of the world 2</t>
  </si>
  <si>
    <t xml:space="preserve">    From persons</t>
  </si>
  <si>
    <t xml:space="preserve">    From government</t>
  </si>
  <si>
    <t xml:space="preserve">    From business</t>
  </si>
  <si>
    <t xml:space="preserve">        Balance on current account, NIPAs</t>
  </si>
  <si>
    <t xml:space="preserve">    Net lending or net borrowing (-), NIPAs</t>
  </si>
  <si>
    <t xml:space="preserve">        Less: Capital account transactions (net) 3</t>
  </si>
  <si>
    <t>2010-16</t>
  </si>
  <si>
    <t xml:space="preserve">        Gross value added of corporate business 1</t>
  </si>
  <si>
    <t xml:space="preserve">        Wages and salaries</t>
  </si>
  <si>
    <t xml:space="preserve">        Supplements to wages and salaries</t>
  </si>
  <si>
    <t xml:space="preserve">    Taxes on production and imports less subsidies</t>
  </si>
  <si>
    <t xml:space="preserve">    Net operating surplus</t>
  </si>
  <si>
    <t xml:space="preserve">        Net interest and miscellaneous payments</t>
  </si>
  <si>
    <t xml:space="preserve">        Business current transfer payments (net)</t>
  </si>
  <si>
    <t xml:space="preserve">        Corporate profits with IVA and CCAdj</t>
  </si>
  <si>
    <t xml:space="preserve">            Taxes on corporate income</t>
  </si>
  <si>
    <t xml:space="preserve">            Profits after tax with IVA and CCAdj</t>
  </si>
  <si>
    <t xml:space="preserve">                Net dividends</t>
  </si>
  <si>
    <t xml:space="preserve">                Undistributed profits with IVA and CCAdj</t>
  </si>
  <si>
    <t xml:space="preserve">        Gross value added of financial corporate business 1</t>
  </si>
  <si>
    <t xml:space="preserve">        Gross value added of nonfinancial corporate business 1</t>
  </si>
  <si>
    <t xml:space="preserve">    Corporate business:</t>
  </si>
  <si>
    <t xml:space="preserve">        Profits before tax (without IVA and CCAdj)</t>
  </si>
  <si>
    <t xml:space="preserve">        Undistributed profits after tax (without IVA and CCAdj)</t>
  </si>
  <si>
    <t xml:space="preserve">        Inventory valuation adjustment</t>
  </si>
  <si>
    <t xml:space="preserve">    Nonfinancial corporate business:</t>
  </si>
  <si>
    <t xml:space="preserve">    Value added, in billions of chained (2009) dollars:</t>
  </si>
  <si>
    <t xml:space="preserve">        Gross value added of nonfinancial corporate business 2</t>
  </si>
  <si>
    <t xml:space="preserve">            Consumption of fixed capital 3</t>
  </si>
  <si>
    <t xml:space="preserve">            Net value added 4</t>
  </si>
  <si>
    <t>2. The current-dollar gross value added is deflated using the gross value added chain-type price index for nonfinancial industries from the GDP-by-industry accounts. For periods when this price index is not available, the chain-type price index for GDP goods and structures is used.</t>
  </si>
  <si>
    <t>1. Primarily interest on loans and deposits.</t>
  </si>
  <si>
    <t>Quarterly estimates are not annualized and are expressed at quarterly rates.</t>
  </si>
  <si>
    <t>..... Not applicable, or for data periods 1960-1997, transactions that are 0, not available, or not applicable.</t>
  </si>
  <si>
    <t>(*) Transactions between zero and +/- $500,000.</t>
  </si>
  <si>
    <t>0 Transactions are possible but are zero for a given period.</t>
  </si>
  <si>
    <t>Balance on primary income (line 1 less line 23)</t>
  </si>
  <si>
    <t xml:space="preserve">      Income attributable to insurance policyholders</t>
  </si>
  <si>
    <t xml:space="preserve">      Interest /1/</t>
  </si>
  <si>
    <t xml:space="preserve">    Other investment income</t>
  </si>
  <si>
    <t xml:space="preserve">        Long term</t>
  </si>
  <si>
    <t xml:space="preserve">        Short term</t>
  </si>
  <si>
    <t xml:space="preserve">      Interest on debt securities</t>
  </si>
  <si>
    <t xml:space="preserve">        Income attributable to investment fund shareholders</t>
  </si>
  <si>
    <t xml:space="preserve">        Dividends on equity other than investment fund shares</t>
  </si>
  <si>
    <t xml:space="preserve">      Income on equity and investment fund shares</t>
  </si>
  <si>
    <t xml:space="preserve">    Portfolio investment income</t>
  </si>
  <si>
    <t xml:space="preserve">        U.S. parents' payments</t>
  </si>
  <si>
    <t xml:space="preserve">        U.S. affiliates' payments</t>
  </si>
  <si>
    <t xml:space="preserve">        Reinvested earnings</t>
  </si>
  <si>
    <t xml:space="preserve">        Dividends and withdrawals</t>
  </si>
  <si>
    <t xml:space="preserve">      Income on equity</t>
  </si>
  <si>
    <t xml:space="preserve">    Direct investment income</t>
  </si>
  <si>
    <t xml:space="preserve">  Investment income</t>
  </si>
  <si>
    <t>Primary income payments (table 1.1, line 13)</t>
  </si>
  <si>
    <t xml:space="preserve">    Reserve asset income</t>
  </si>
  <si>
    <t xml:space="preserve">        U.S. affiliates' receipts</t>
  </si>
  <si>
    <t xml:space="preserve">        U.S. parents' receipts</t>
  </si>
  <si>
    <t>Primary income receipts (table 1.1, line 5)</t>
  </si>
  <si>
    <t>2016 </t>
  </si>
  <si>
    <t>2014 </t>
  </si>
  <si>
    <t>Release Date: September 19, 2017 - Next Release Date: December 19, 2017</t>
  </si>
  <si>
    <t>Table 4.1. U.S. International Transactions in Primary Income</t>
  </si>
  <si>
    <t>Balance of Payments and Direct Investment Position Data (Oct  9 2017  9:52:54:710PM)</t>
  </si>
  <si>
    <t>Income</t>
  </si>
  <si>
    <t>Europe[1]</t>
  </si>
  <si>
    <t xml:space="preserve">    Kosovo</t>
  </si>
  <si>
    <t xml:space="preserve">    San Marino</t>
  </si>
  <si>
    <t xml:space="preserve">    Vatican City</t>
  </si>
  <si>
    <t xml:space="preserve">    Netherlands Antilles[4]</t>
  </si>
  <si>
    <t xml:space="preserve">    United Kingdom Islands, Caribbean[2]</t>
  </si>
  <si>
    <t xml:space="preserve">      Curacao[3]</t>
  </si>
  <si>
    <t xml:space="preserve">      Netherlands Antilles[4]</t>
  </si>
  <si>
    <t xml:space="preserve">      Netherlands Islands, Caribbean[3]</t>
  </si>
  <si>
    <t xml:space="preserve">      Sint Maarten[3]</t>
  </si>
  <si>
    <t xml:space="preserve">      St. Pierre and Miquelon</t>
  </si>
  <si>
    <t xml:space="preserve">    Cabo Verde</t>
  </si>
  <si>
    <t xml:space="preserve">    Guinea-Bissau</t>
  </si>
  <si>
    <t xml:space="preserve">    South Sudan</t>
  </si>
  <si>
    <t xml:space="preserve">    Sudan[5]</t>
  </si>
  <si>
    <t xml:space="preserve">    Western Sahara</t>
  </si>
  <si>
    <t xml:space="preserve">    Kiribati</t>
  </si>
  <si>
    <t xml:space="preserve">    North Korea</t>
  </si>
  <si>
    <t>• The data appear on another line in this table.</t>
  </si>
  <si>
    <t>• The data are not shown in this table but may be available in detailed country- or industry-level tables in this interactive system or in other BEA published tables on direct investment.</t>
  </si>
  <si>
    <t>• The data are not available, do not apply, or are not defined.</t>
  </si>
  <si>
    <t>1. In 2015, the euro area includes Austria, Belgium, Cyprus, Estonia, Finland, France, Germany, Greece, Ireland, Italy, Latvia, Lithuania, Luxembourg, Malta, the Netherlands, Portugal, Slovakia, Slovenia and Spain.  For 2015, the U.S. direct investment position in the euro area was $2,018,316 million; financial transactions without current-cost adjustment were $146,027 million; and direct investment income without current-cost adjustment was $163,953 million.</t>
  </si>
  <si>
    <t>2. The “United Kingdom Islands, Caribbean” includes British Virgin Islands, Cayman Islands, Montserrat, and Turks and Caicos Islands.</t>
  </si>
  <si>
    <t>3. Prior to 2011, data were included in the Netherlands Antilles.</t>
  </si>
  <si>
    <t>4. Prior to 2011, included data for Curacao, Sint Maarten, and the Netherlands Islands, Caribbean (Bonaire, Saba, and St. Eustatius).</t>
  </si>
  <si>
    <t>5. Prior to 2011, included data for South Sudan.</t>
  </si>
  <si>
    <t>Bermuda &amp; Caribbean</t>
  </si>
  <si>
    <t>Balance of Payments and Direct Investment Position Data (Oct  9 2017 10:08:48:593PM)</t>
  </si>
  <si>
    <t>Reinvestment of Earnings</t>
  </si>
  <si>
    <t xml:space="preserve">    United Kingdom Islands, Caribbean[1]</t>
  </si>
  <si>
    <t xml:space="preserve">  European Union[2]</t>
  </si>
  <si>
    <t xml:space="preserve">  OPEC[3]</t>
  </si>
  <si>
    <t>1. The "United Kingdom Islands, Caribbean" is comprised of British Virgin Islands, Cayman Islands, Montserrat, and Turks and Caicos Islands.</t>
  </si>
  <si>
    <t>2. The European Union (EU) includes an increasing number of member countries over time, and estimates for a specific period reflect the EU membership during that period. From 1982-1985, the member countries were collectively referred to as the European Communities and it included Belgium, Denmark, France, Germany (excluding the German Democratic Republic), Greece, Ireland, Italy, Luxembourg, Netherlands, and the United Kingdom. From 1986, it also includes Portugal and Spain. In 1992, the name European Union replaces European Communities. From 1995, it also includes Austria, Finland, and Sweden. From 2004, it also includes Cyprus, Czech Republic, Estonia, Hungary, Latvia, Lithuania, Malta, Poland, Slovakia, and Slovenia. From 2007, it also includes Bulgaria and Romania. From 2013, it also includes Croatia.</t>
  </si>
  <si>
    <t>3. OPEC is the Organization of Petroleum Exporting Countries. Its members are Algeria, Indonesia, Iran, Iraq, Kuwait, Libya, Nigeria, Qatar, Saudi Arabia, the United Arab Emirates, and Venezuela. Prior to 1995, it included Gabon and prior to 1993, it included Ecuador. From 2007, it includes Angola.  In 2008, Ecuador reactivated its membership.</t>
  </si>
  <si>
    <t>2. Income on a directional basis is organized according to whether the income derives from outward investment (U.S. direct investment abroad) or inward investment (foreign direct investment in the United States).  Income receipts derive from U.S. parent claims and liabilities, and income payments derive from U.S. affiliate claims and liabilities.</t>
  </si>
  <si>
    <t>1. Income on an asset/liability basis is organized according to whether the income derives from an asset or a liability.  Income receipts derive from U.S. parent and U.S. affiliate claims (assets), and income payments derive from U.S. affiliate and U.S. parent liabilities.</t>
  </si>
  <si>
    <t xml:space="preserve">  Interest, net payments</t>
  </si>
  <si>
    <t xml:space="preserve">  Income on equity without current-cost adjustment (line 49 less line 53)</t>
  </si>
  <si>
    <t>Direct investment income without current-cost adjustment on inward investment, directional basis (line 48 less line 53) /2/</t>
  </si>
  <si>
    <t xml:space="preserve">  Interest, net payments (line 55 less line 56)</t>
  </si>
  <si>
    <t xml:space="preserve">    Dividends and withdrawals</t>
  </si>
  <si>
    <t xml:space="preserve">  Income on equity</t>
  </si>
  <si>
    <t>Equals: Direct investment income on inward investment (foreign direct investment in the United States), directional basis /2/</t>
  </si>
  <si>
    <t xml:space="preserve">  U.S. affiliates' interest receipts</t>
  </si>
  <si>
    <t xml:space="preserve">  U.S. parents' interest payments</t>
  </si>
  <si>
    <t>Less: Adjustments to convert to directional basis</t>
  </si>
  <si>
    <t>Direct investment income on liabilities, asset/liability basis (table 4.1, line 25) /1/</t>
  </si>
  <si>
    <t>Payments</t>
  </si>
  <si>
    <t xml:space="preserve">    Holding companies except bank holding companies</t>
  </si>
  <si>
    <t xml:space="preserve">  Interest, net receipts</t>
  </si>
  <si>
    <t xml:space="preserve">  Income on equity without current-cost adjustment (line 12 less line 16)</t>
  </si>
  <si>
    <t>Direct investment income without current-cost adjustment on outward investment, directional basis (line 11 less line 16) /2/</t>
  </si>
  <si>
    <t xml:space="preserve">  Interest, net receipts (line 18 less line 19)</t>
  </si>
  <si>
    <t>Equals: Direct investment income on outward investment (U.S. direct investment abroad), directional basis /2/</t>
  </si>
  <si>
    <t>Direct investment income on assets, asset/liability basis (table 4.1, line 3) /1/</t>
  </si>
  <si>
    <t>Receipts</t>
  </si>
  <si>
    <t>2015 </t>
  </si>
  <si>
    <t>1997 </t>
  </si>
  <si>
    <t>1995 </t>
  </si>
  <si>
    <t>1993 </t>
  </si>
  <si>
    <t>1991 </t>
  </si>
  <si>
    <t>1989 </t>
  </si>
  <si>
    <t>1987 </t>
  </si>
  <si>
    <t>1985 </t>
  </si>
  <si>
    <t>1983 </t>
  </si>
  <si>
    <t>Release Date: December 19, 2017 - Next Release Date: March 21, 2018</t>
  </si>
  <si>
    <t>Table 4.2. U.S. International Transactions in Primary Income on Direct Investment</t>
  </si>
  <si>
    <t>2. Positions on a directional basis are organized according to whether the positions are for outward investment (U.S. direct investment abroad) or inward investment (foreign direct investment in the United States). The outward direct investment position includes U.S. parent claims less U.S. parent liabilities. The inward direct investment position includes U.S. affiliate liabilities less U.S. affiliate claims.</t>
  </si>
  <si>
    <t>1. Positions on an asset/liability basis are organized according to whether the positions are assets or liabilities.  Assets include U.S. parent and U.S. affiliate claims, and liabilities include U.S. affiliate and U.S. parent liabilities.</t>
  </si>
  <si>
    <t>..... Not applicable</t>
  </si>
  <si>
    <t>n.a. Not available</t>
  </si>
  <si>
    <t>Equals: Inward direct investment at current cost, directional basis /2/</t>
  </si>
  <si>
    <t xml:space="preserve">  Debt instruments</t>
  </si>
  <si>
    <t>Direct investment liabilities at current cost, asset/liability basis /1/</t>
  </si>
  <si>
    <t>Equals: Outward direct investment at current cost, directional basis /2/</t>
  </si>
  <si>
    <t>Direct investment assets at current cost, asset/liability basis /1/</t>
  </si>
  <si>
    <t>Alternative current-price measures of positions</t>
  </si>
  <si>
    <t>Equals: Inward direct investment at historical cost, directional basis</t>
  </si>
  <si>
    <t>Less: Adjustment to revalue equity from historical cost to market value</t>
  </si>
  <si>
    <t xml:space="preserve">    U.S. affiliates' claims</t>
  </si>
  <si>
    <t xml:space="preserve">    U.S. affiliates' liabilities</t>
  </si>
  <si>
    <t xml:space="preserve">  Debt instruments (line 29 less line 30)</t>
  </si>
  <si>
    <t>Equals: Inward direct investment (foreign direct investment in the United States) at market value, directional basis /2/</t>
  </si>
  <si>
    <t xml:space="preserve">  U.S. affiliates' claims</t>
  </si>
  <si>
    <t xml:space="preserve">  U.S. parents' liabilities</t>
  </si>
  <si>
    <t xml:space="preserve">    U.S. parents' liabilities</t>
  </si>
  <si>
    <t>U.S. direct investment liabilities at market value, asset/liability basis (table 1.1, line 15) /1/</t>
  </si>
  <si>
    <t>Liabilities / inward investment</t>
  </si>
  <si>
    <t>Equals: Outward direct investment at historical cost, directional basis</t>
  </si>
  <si>
    <t xml:space="preserve">    U.S. parents' claims</t>
  </si>
  <si>
    <t xml:space="preserve">  Debt instruments (line 12 less line 13)</t>
  </si>
  <si>
    <t>Equals: Outward direct investment (U.S. direct investment abroad) at market value, directional basis /2/</t>
  </si>
  <si>
    <t>U.S. direct investment assets at market value, asset/liability basis (table 1.1, line 7) /1/</t>
  </si>
  <si>
    <t>Assets / outward investment</t>
  </si>
  <si>
    <t>Type of investment</t>
  </si>
  <si>
    <t>Release Date: December 28, 2017 - Next Release Date: March 30, 2018</t>
  </si>
  <si>
    <t>[Millions of dollars]    NOTE:  End of quarter positions begin in the fourth quarter of 2005.</t>
  </si>
  <si>
    <t>Table 2.1. U.S. Direct Investment Positions at the End of the Period</t>
  </si>
  <si>
    <t>San Marino</t>
  </si>
  <si>
    <t>Vatican City</t>
  </si>
  <si>
    <t>St. Pierre and Miquelon</t>
  </si>
  <si>
    <t>Cabo Verde</t>
  </si>
  <si>
    <t>Guinea-Bissau</t>
  </si>
  <si>
    <t>South Sudan</t>
  </si>
  <si>
    <t>Western Sahara</t>
  </si>
  <si>
    <t>Kiribati</t>
  </si>
  <si>
    <t>Differential havens - nonhavens</t>
  </si>
  <si>
    <t>Decomposition of foreign profits: DI vs. PI</t>
  </si>
  <si>
    <t>USDIA income (directional basis)</t>
  </si>
  <si>
    <t>Net interest (directional basis)</t>
  </si>
  <si>
    <t>DI divs + retained</t>
  </si>
  <si>
    <t>With CCAdj (both headline BoP and NIPA are with CCAdj)</t>
  </si>
  <si>
    <t>With CCAdj</t>
  </si>
  <si>
    <t>Memo: CCAdj for USDIA income</t>
  </si>
  <si>
    <t>USDIA income (directional basis) (no CCAdj)</t>
  </si>
  <si>
    <t>Gross of withholding taxes</t>
  </si>
  <si>
    <t>Decomposition of USDIA income by country (directional basis)</t>
  </si>
  <si>
    <t>(Revised January 2018)</t>
  </si>
  <si>
    <t>DI retained (no CCAdj)</t>
  </si>
  <si>
    <t>USDIA income without CCAdj</t>
  </si>
  <si>
    <t>Decomposition of USDIA retained earnings by country</t>
  </si>
  <si>
    <t>Decomposition of USDIA net interest by country (directional)</t>
  </si>
  <si>
    <t>(Of which: dividends)</t>
  </si>
  <si>
    <t>(Of which: retained earnings)</t>
  </si>
  <si>
    <t>USDIA net interest</t>
  </si>
  <si>
    <t>Decomposition of assets by equity vs. Debt available in USDIA-PositionByAccountForSelectedCountries-2009-2016.xlsx</t>
  </si>
  <si>
    <t>Decomposition of DI equity assets by country</t>
  </si>
  <si>
    <t>Decomposition of DI net debt asset by country (directional basis: US parents receivables - US parents payable)</t>
  </si>
  <si>
    <t>DI equity assets historical cost</t>
  </si>
  <si>
    <t>DI net debt assets</t>
  </si>
  <si>
    <t>&gt;&gt; Yield falls afterwards when retained earnings accumulate (so stock rise, and mostly invested in bonds etc. = low yield compared to benchmark equity yield on USDIA of &gt;10%)</t>
  </si>
  <si>
    <t>Decomposition of change in DI assets at historical cost (= outflows + other changes)</t>
  </si>
  <si>
    <t>Check</t>
  </si>
  <si>
    <t>Change in position</t>
  </si>
  <si>
    <t>Reinvested earnings without current cost adjustment</t>
  </si>
  <si>
    <t>Net equity ouflows (other than reinvested earnings)</t>
  </si>
  <si>
    <t>Net debt outflows</t>
  </si>
  <si>
    <t>Note large outflows in 2004 just before repatriation &gt;&gt; round-tripping (also noticed by Dharmapala-Foley-Forbes)</t>
  </si>
  <si>
    <t>Repatriation were not so massive in 2005: $299 billion which is just $30bn more than total USDIA equity income in that year. Note that all repatriations seem to be recorded as dividend payments (and not financial equity flows from subs to parents in the financial accounts -- in its guidelines (https://www.bea.gov/international/pdf/bach_concepts_methods/Direct%20Investment%20Income.pdf) BEA says payments out of accumulated capital should not be recorded as dividend flows but financial account flows, however that's apparently not what they did in 2005.</t>
  </si>
  <si>
    <t>Other changes in position</t>
  </si>
  <si>
    <t>Of which: Exchange rate adjustments</t>
  </si>
  <si>
    <t>Of which: Capital gains/losses of affiliates</t>
  </si>
  <si>
    <t>Of which: Changes in volume and valuation</t>
  </si>
  <si>
    <t>Reinvested earnings / national income</t>
  </si>
  <si>
    <t>Net equity outflows / national income</t>
  </si>
  <si>
    <t>Net debt ouflows / national income</t>
  </si>
  <si>
    <t>DI historical cost / National income</t>
  </si>
  <si>
    <t>Of which: havens</t>
  </si>
  <si>
    <t>Of which: non-havens</t>
  </si>
  <si>
    <t>(Other Caribbean)</t>
  </si>
  <si>
    <t>Of which: interest receipts by US parents</t>
  </si>
  <si>
    <t>Of which: interest payments by US parents</t>
  </si>
  <si>
    <t>Memo: interest payments by US parents, % of pre-tax corp profits</t>
  </si>
  <si>
    <t>Parents' assets vs. Liabilities breakdown is available</t>
  </si>
  <si>
    <t>Debt outflows</t>
  </si>
  <si>
    <t>Minus: Debt of US parents to foreign subs</t>
  </si>
  <si>
    <t>Equals: Loans of US parents to foreign subs</t>
  </si>
  <si>
    <t>(Memo: Netherlands Antilles)</t>
  </si>
  <si>
    <t>(Netherlands Antilles)</t>
  </si>
  <si>
    <t>Of which: Reinvested earnings (without CCAadj)</t>
  </si>
  <si>
    <t>Before 1982, reinvested earnings include capital gains</t>
  </si>
  <si>
    <t>In the estimates covering 1968 to 1976, the intercompany debt component of direct investment capital outflows excludes funds that Netherlands Antilles finance affiliates borrowed from unaffiliated foreigners and then transferred to their U.S. parents. Such borrowing is treated as direct borrowing abroad by the U.S. parents and is included in U.S. nonbanking concerns' capital transactions with unaffiliated foreigners (part of the portfolio investment accounts), rather than as part of the direct investment accounts. The distinction between Netherlands Antilles and other finance affiliates is removed in the estimates covering 1982-93</t>
  </si>
  <si>
    <t>Assumes net debt = 0 in 1966</t>
  </si>
  <si>
    <t>check</t>
  </si>
  <si>
    <t>Memo: Change in net debt</t>
  </si>
  <si>
    <t>Memo: Change in equity</t>
  </si>
  <si>
    <t>Non-havens</t>
  </si>
  <si>
    <t>Assume 0 net debt outflow before 1982</t>
  </si>
  <si>
    <t>Assumes that before 1982 all new net debt outflow is via Netherlands Antilles (conduit to avoid withholding tax)</t>
  </si>
  <si>
    <t>Netherlands Antilles</t>
  </si>
  <si>
    <t>Non havens, % of national income</t>
  </si>
  <si>
    <t>(Bermuda</t>
  </si>
  <si>
    <t>DI fresh equity &amp; debt ouflows</t>
  </si>
  <si>
    <t>Decomposition of fresh equity &amp; debt DI outflows (USDIA flows - DI retained)</t>
  </si>
  <si>
    <t>DI equity outflows (fresh equity + retained earnings)</t>
  </si>
  <si>
    <t>Of which: Fresh equity outflows</t>
  </si>
  <si>
    <t>Decomposition of DI equity outflows (USDIA flows - DI debt flows = fresh equity + reinvested earnings)</t>
  </si>
  <si>
    <t>Does not match equity outflows because of other changes (esp. FX adjustment)</t>
  </si>
  <si>
    <t>Top 6 havens % of total fresh equity outflows</t>
  </si>
  <si>
    <t>Top 6 havens % all equity outflows</t>
  </si>
  <si>
    <t>DI fresh equity outflow</t>
  </si>
  <si>
    <t>Does not match debt outflow because of other changes (looks like there are FX adjustments since 2003 or so)</t>
  </si>
  <si>
    <t>Assumes that 1977-1982: large negative outflows to subs in Netherlands Antilles (subs borrow from Europe via Netherlands Antilles to avoid US 30% withholding tax, then lend back to parent). Negligible before 1977. Withholding tax disappears in 1984 hence the reversal of debt flows in 1985.</t>
  </si>
  <si>
    <t>Top 6 havens % of total DI equity assets</t>
  </si>
  <si>
    <t>Non havens DI equity assets, % national income</t>
  </si>
  <si>
    <t>Haven DI equity assets, % national income</t>
  </si>
  <si>
    <t>DI equity assets, % national income</t>
  </si>
  <si>
    <t>1980-89</t>
  </si>
  <si>
    <t>(Of which: Netherlands Antilles)</t>
  </si>
  <si>
    <t>Returns on loans from US parents to foreign subs</t>
  </si>
  <si>
    <t>Returns on loans from foreign subs to US parent</t>
  </si>
  <si>
    <t>Decomposition of aggregate DI: equity vs. debt income</t>
  </si>
  <si>
    <t>Before 1982: capital gains are included in reinvested earnings</t>
  </si>
  <si>
    <t>Before 2006: net of withholding taxes.  In contrast, the statistics on direct investment income and services transactions in the main presentation of the U.S. international transactions accounts are gross of withholding taxes. Reconciliation of country-by-country breakdowns with headline totals explained here (last para): https://www.bea.gov/international/note_on_itable_01.htm</t>
  </si>
  <si>
    <t>Memo: DI retained / (DI retained+divs)</t>
  </si>
  <si>
    <t>(Bermuda: loans of US parent to foreign subs)</t>
  </si>
  <si>
    <t>(Bermuda: loans of foreign sub to US parent)</t>
  </si>
  <si>
    <t>&gt;&gt; stealth repatriation</t>
  </si>
  <si>
    <t>liab</t>
  </si>
  <si>
    <t>assets</t>
  </si>
  <si>
    <t>&gt;&gt; havens accont for 50% of loans to US parent, and 41% of loans to foreign subs in 2016</t>
  </si>
  <si>
    <t>low interest rate paid by parent in recent years because they try to repatriate funds from foreign subs, not shift them</t>
  </si>
  <si>
    <t>Netherlands Antilles, % of debt vis-à-vis affiliates</t>
  </si>
  <si>
    <t>Breakdown is only available for main regions (Canada, Europe, etc), we construct estimations by subtracting imputed net interest payment form DI income</t>
  </si>
  <si>
    <t>% total USDIA equity income</t>
  </si>
  <si>
    <t>Decomposition of USDIA equity income (divs + retained earnings) by country</t>
  </si>
  <si>
    <t>(CCAdj / assets at historical cost)</t>
  </si>
  <si>
    <t>(CCAdj / income including CCAdj)</t>
  </si>
  <si>
    <t>Non havens, % all US corporate profits</t>
  </si>
  <si>
    <t>Top 6 havens, % of national income</t>
  </si>
  <si>
    <t>(Of which: retained)</t>
  </si>
  <si>
    <t>(Of which: distributed)</t>
  </si>
  <si>
    <t>DI assets, market value</t>
  </si>
  <si>
    <t>DI assets: totals with different valuation</t>
  </si>
  <si>
    <t>Debt assets (directional basis)</t>
  </si>
  <si>
    <t>Debt assets (asset/liability basis)</t>
  </si>
  <si>
    <t>Current cost / historical cost</t>
  </si>
  <si>
    <t>Market value / historical cost</t>
  </si>
  <si>
    <t>Equity yield (current cost)</t>
  </si>
  <si>
    <t>Memo: USDIA equity income, % of NI</t>
  </si>
  <si>
    <t>(Of which: Bermuda)</t>
  </si>
  <si>
    <t>&gt;&gt; 1990 = cost sharing</t>
  </si>
  <si>
    <t xml:space="preserve">      Other investment</t>
  </si>
  <si>
    <t xml:space="preserve">      Financial derivatives other than reserves, gross negative fair value</t>
  </si>
  <si>
    <t xml:space="preserve">      Portfolio investment</t>
  </si>
  <si>
    <t xml:space="preserve">      Direct investment at market value</t>
  </si>
  <si>
    <t xml:space="preserve">    By functional category:</t>
  </si>
  <si>
    <t xml:space="preserve">      Financial derivatives other than reserves, gross negative fair value (line 17)</t>
  </si>
  <si>
    <t xml:space="preserve">      Liabilities excluding financial derivatives (sum of lines 15, 16, and 18)</t>
  </si>
  <si>
    <t xml:space="preserve">  U.S. liabilities</t>
  </si>
  <si>
    <t xml:space="preserve">      Reserve assets</t>
  </si>
  <si>
    <t xml:space="preserve">      Financial derivatives other than reserves, gross positive fair value</t>
  </si>
  <si>
    <t xml:space="preserve">      Financial derivatives other than reserves, gross positive fair value (line 9)</t>
  </si>
  <si>
    <t xml:space="preserve">      Assets excluding financial derivatives (sum of lines 7, 8, 10, and 11)</t>
  </si>
  <si>
    <t xml:space="preserve">  U.S. assets</t>
  </si>
  <si>
    <t xml:space="preserve">    Financial derivatives other than reserves, net (line 6 less line 14)</t>
  </si>
  <si>
    <t xml:space="preserve">    Net international investment position excluding financial derivatives (line 5 less line 13)</t>
  </si>
  <si>
    <t>U.S. net international investment position (line 4 less line 12)</t>
  </si>
  <si>
    <t>1981 </t>
  </si>
  <si>
    <t>1979 </t>
  </si>
  <si>
    <t>1977 </t>
  </si>
  <si>
    <t>Table 1.1. U.S. Net International Investment Position at the End of the Period</t>
  </si>
  <si>
    <t>DI equity liabilities, market value</t>
  </si>
  <si>
    <t>DI equity liabilities, current cost</t>
  </si>
  <si>
    <t>NFA market value</t>
  </si>
  <si>
    <t>NFA with equity at current cost</t>
  </si>
  <si>
    <t>(% of NI)</t>
  </si>
  <si>
    <t>Net FDI position, current cost</t>
  </si>
  <si>
    <t>Net FDI position, market value</t>
  </si>
  <si>
    <t>Debt liabilities (asset/liability basis)</t>
  </si>
  <si>
    <t>Net FDI income (old series)</t>
  </si>
  <si>
    <t>Net FDI income (New series)</t>
  </si>
  <si>
    <t>Net investment income received by U.S.</t>
  </si>
  <si>
    <t>Investnemt income paid</t>
  </si>
  <si>
    <t>Investment income received</t>
  </si>
  <si>
    <t>5. Net lending means that U.S. residents are net suppliers of funds to foreign residents, and net borrowing means the opposite.  Net lending or net borrowing can be computed from current- and capital-account transactions or from financial-account transactions.  The two amounts differ by the statistical discrepancy.</t>
  </si>
  <si>
    <t>4. Current- and capital-account statistics in the international transactions accounts differ slightly from statistics in the national income and product accounts (NIPAs) because of adjustments made to convert the international transactions statistics to national economic accounting concepts.  A reconciliation between annual statistics in the two sets of accounts appears in NIPA &lt;a href="https://www.bea.gov/iTable/iTableHtml.cfm?reqid=19&amp;amp;step=3&amp;amp;isuri=1&amp;amp;1921=survey&amp;amp;1903=136"&gt;table 4.3B&lt;/a&gt;.</t>
  </si>
  <si>
    <t>3. The statistical discrepancy, which can be calculated as line 38 less line 37, is the difference between total debits and total credits recorded in the current, capital, and financial accounts.  In the current and capital accounts, credits and debits are labeled in the table.  In the financial account, an acquisition of an asset or a repayment of a liability is a debit, and an incurrence of a liability or a disposal of an asset is a credit.</t>
  </si>
  <si>
    <t>2. Transactions for financial derivatives are only available as a net value equal to transactions for assets less transactions for liabilities.  A positive value represents net U.S. cash payments arising from derivatives contracts, and a negative value represents net U.S. cash receipts.</t>
  </si>
  <si>
    <t>1. Secondary income (current transfer) receipts and payments include U.S. government and private transfers, such as U.S. government grants and pensions, fines and penalties, withholding taxes, personal transfers (remittances), insurance-related transfers, and other current transfers.</t>
  </si>
  <si>
    <t>Net lending (+) or net borrowing (-) from financial-account transactions (line 19 less line 24 plus line 28) /5/</t>
  </si>
  <si>
    <t>Net lending (+) or net borrowing (-) from current- and capital-account transactions (line 30 plus line 36) /5/</t>
  </si>
  <si>
    <t>Balance on capital account (line 17 less line 18) /4/</t>
  </si>
  <si>
    <t xml:space="preserve">  Balance on secondary income (line 8 less line 16)</t>
  </si>
  <si>
    <t xml:space="preserve">  Balance on primary income (line 5 less line 13)</t>
  </si>
  <si>
    <t xml:space="preserve">    Balance on services (line 4 less line 12)</t>
  </si>
  <si>
    <t xml:space="preserve">    Balance on goods (line 3 less line 11)</t>
  </si>
  <si>
    <t xml:space="preserve">  Balance on goods and services (line 2 less line 10)</t>
  </si>
  <si>
    <t>Balance on current account (line 1 less line 9) /4/</t>
  </si>
  <si>
    <t>Balances</t>
  </si>
  <si>
    <t>29a</t>
  </si>
  <si>
    <t>Statistical discrepancy /3/</t>
  </si>
  <si>
    <t>Statistical discrepancy</t>
  </si>
  <si>
    <t>Financial derivatives other than reserves, net transactions /2/</t>
  </si>
  <si>
    <t xml:space="preserve">  Other investment liabilities</t>
  </si>
  <si>
    <t xml:space="preserve">  Portfolio investment liabilities</t>
  </si>
  <si>
    <t xml:space="preserve">  Direct investment liabilities</t>
  </si>
  <si>
    <t>Net U.S. incurrence of liabilities excluding financial derivatives (net increase in liabilities / financial inflow (+))</t>
  </si>
  <si>
    <t xml:space="preserve">  Reserve assets</t>
  </si>
  <si>
    <t xml:space="preserve">  Other investment assets</t>
  </si>
  <si>
    <t xml:space="preserve">  Portfolio investment assets</t>
  </si>
  <si>
    <t xml:space="preserve">  Direct investment assets</t>
  </si>
  <si>
    <t>Net U.S. acquisition of financial assets excluding financial derivatives (net increase in assets / financial outflow (+))</t>
  </si>
  <si>
    <t>Capital transfer payments and other debits</t>
  </si>
  <si>
    <t>Capital transfer receipts and other credits</t>
  </si>
  <si>
    <t xml:space="preserve">  Secondary income (current transfer) payments /1/</t>
  </si>
  <si>
    <t xml:space="preserve">    Investment income</t>
  </si>
  <si>
    <t xml:space="preserve">  Primary income payments</t>
  </si>
  <si>
    <t xml:space="preserve">    Services</t>
  </si>
  <si>
    <t xml:space="preserve">    Goods</t>
  </si>
  <si>
    <t>Imports of goods and services and income payments (debits)</t>
  </si>
  <si>
    <t xml:space="preserve">  Secondary income (current transfer) receipts /1/</t>
  </si>
  <si>
    <t xml:space="preserve">  Primary income receipts</t>
  </si>
  <si>
    <t>Exports of goods and services and income receipts (credits)</t>
  </si>
  <si>
    <t>1975 </t>
  </si>
  <si>
    <t>1973 </t>
  </si>
  <si>
    <t>1971 </t>
  </si>
  <si>
    <t>1969 </t>
  </si>
  <si>
    <t>1967 </t>
  </si>
  <si>
    <t>1965 </t>
  </si>
  <si>
    <t>1963 </t>
  </si>
  <si>
    <t>1961 </t>
  </si>
  <si>
    <t>Table 1.1. U.S. International Transactions</t>
  </si>
  <si>
    <t>Of which: net DI income received</t>
  </si>
  <si>
    <t>Of which: Portfolio and other net investment income received</t>
  </si>
  <si>
    <t>FDI income received</t>
  </si>
  <si>
    <t>FDI income paid</t>
  </si>
  <si>
    <t>Returns on loans from US subs to foreign parents</t>
  </si>
  <si>
    <t>Returns on loans from foreign parents to US subs</t>
  </si>
  <si>
    <t>DI net debt assets (directional)</t>
  </si>
  <si>
    <t>DI debt assets (asset / liability basis)</t>
  </si>
  <si>
    <t>Plus: US parents liabilities</t>
  </si>
  <si>
    <t>DI debt liabilities (asset / liability basis</t>
  </si>
  <si>
    <t>DI net debt liabilities (directional)</t>
  </si>
  <si>
    <t>Minus: - US parents liabilities</t>
  </si>
  <si>
    <t>Minus: - US subs claims</t>
  </si>
  <si>
    <t>Memo: US parent assets (always in assets)</t>
  </si>
  <si>
    <t>Plus: US subs claims</t>
  </si>
  <si>
    <t>Memo: US subs liabilities (always in liabilities)</t>
  </si>
  <si>
    <t>DI debt assets and liabilities: directional vs. asset/liability basis</t>
  </si>
  <si>
    <t>Aggregate returns (flow in t / wealth at end of t)</t>
  </si>
  <si>
    <t>Return on USDIA equity (flow in t / wealth at end of t)</t>
  </si>
  <si>
    <t xml:space="preserve">Memo: USDIA equity assets (end of t), % of NI </t>
  </si>
  <si>
    <t xml:space="preserve">relatively high interest paid by US subs to their foreign parents --&gt; classical liability side shifting </t>
  </si>
  <si>
    <t>This would allow to identify traces of artificial profit shifting (on top of mechanical tax rate effect on yield)</t>
  </si>
  <si>
    <t>Potential confounder is different nature of assets: all low-yield corp bonds held by subs in havens, while non-havens = only relatively high-return real investments</t>
  </si>
  <si>
    <t>Plant, property and equipment</t>
  </si>
  <si>
    <t>Inventories</t>
  </si>
  <si>
    <t>From BEA survey Table II.D1</t>
  </si>
  <si>
    <t>From BEA survey Table I.D1 (only available in benchmark years)</t>
  </si>
  <si>
    <t>Memo: foreign income taxes paid by all affiliates</t>
  </si>
  <si>
    <t>Memo: top personal income tax rate</t>
  </si>
  <si>
    <t xml:space="preserve">&gt;&gt; Yield does not decrease in 2005 when profits are repatriated becasue repatriations were in fact small (total div payout barely higher than total equity in income in 2005) </t>
  </si>
  <si>
    <t>Foreign profit outflows</t>
  </si>
  <si>
    <t>(Foreign profits outflows)</t>
  </si>
  <si>
    <t>(Foreign profits outflows % NI)</t>
  </si>
  <si>
    <t>FDIUS income (directional basis)</t>
  </si>
  <si>
    <t>Of which: interest payments by US affiliaties</t>
  </si>
  <si>
    <t>Of which: interest receipts by US affiliates</t>
  </si>
  <si>
    <t>Memo: interest payments by US affiliates, % of pre-tax corp profits</t>
  </si>
  <si>
    <t>Memo: CCAdj for FDIUS income</t>
  </si>
  <si>
    <t>FDIUS income (directional basis) (no CCAdj)</t>
  </si>
  <si>
    <t>Memo: Withholding taxes (before 2006)</t>
  </si>
  <si>
    <t>NOTE. Inflows increase the foreign direct investment position in the United States, while outflows decrease it.</t>
  </si>
  <si>
    <t>OWH Other Western Hemisphere</t>
  </si>
  <si>
    <t>4. The "United Kingdom Islands, Caribbean" is comprised of British Virgin Islands, Cayman Islands, Montserrat, and Turks and Caicos Islands.</t>
  </si>
  <si>
    <t>3. Prior to 2011, included data for Curacao, Sint Maarten, and Netherlands Islands, Caribbean (Bonaire, Saba, and St. Eustatius).</t>
  </si>
  <si>
    <t>2. Prior to 2011, data were included in the Netherlands Antilles.</t>
  </si>
  <si>
    <t>1. In 2015, the euro area included Austria, Belgium, Cyprus, Estonia, Finland, France, Germany, Greece, Ireland, Italy, Latvia, Lithuania, Luxembourg, Malta, the Netherlands, Portugal, Slovakia, Slovenia, and Spain. For 2015, the euro area direct investment position in the United States was $1,306,557 million.</t>
  </si>
  <si>
    <t>Data are classified by country of the &lt;em&gt;foreign parent&lt;/em&gt; of the U.S. affiliate.  The foreign parent is the first person outside the United States in a U.S. affiliate's ownership chain that has a direct investment in the affiliate.  In addition to equity and debt investment from its foreign parent, a U.S. affiliate may receive loans from (or make loans to) foreign affiliates of the foreign parent (FAFPs).  The affiliate may also have interest and services transactions with foreign affiliates of the foreign parent.  The value of these loans and the interest and services transactions are included in these data and are classified by country of the FAFP.</t>
  </si>
  <si>
    <t>The European Communities (12) comprises Belgium, Denmark, France, the Federal Republic of Germany, Greece, Ireland, Italy, Luxembourg, the Netherlands, Portugal, Spain, and the United Kingdom.</t>
  </si>
  <si>
    <t>The European Communities (10) comprises Belgium, Denmark, France, the Federal Republic of Germany, Greece, Ireland, Italy, Luxembourg, the Netherlands, and the United Kingdom.</t>
  </si>
  <si>
    <t xml:space="preserve">  European Communities (12)</t>
  </si>
  <si>
    <t xml:space="preserve">  European Communities (10)</t>
  </si>
  <si>
    <t xml:space="preserve">  Zimbabwe</t>
  </si>
  <si>
    <t xml:space="preserve">  Zambia</t>
  </si>
  <si>
    <t xml:space="preserve">  Zaire</t>
  </si>
  <si>
    <t xml:space="preserve">  Vanuatu</t>
  </si>
  <si>
    <t xml:space="preserve">  United Kingdom Islands, Pacific</t>
  </si>
  <si>
    <t xml:space="preserve">  United Kingdom Islands, Atlantic (Africa)</t>
  </si>
  <si>
    <t xml:space="preserve">  Tunisia</t>
  </si>
  <si>
    <t xml:space="preserve">  Togo</t>
  </si>
  <si>
    <t xml:space="preserve">  Tanzania</t>
  </si>
  <si>
    <t xml:space="preserve">  Sri Lanka</t>
  </si>
  <si>
    <t xml:space="preserve">  Senegal</t>
  </si>
  <si>
    <t xml:space="preserve">  Pakistan</t>
  </si>
  <si>
    <t xml:space="preserve">  Nauru</t>
  </si>
  <si>
    <t xml:space="preserve">  Namibia</t>
  </si>
  <si>
    <t xml:space="preserve">  Morocco</t>
  </si>
  <si>
    <t xml:space="preserve">  Maldives</t>
  </si>
  <si>
    <t xml:space="preserve">  Malawi</t>
  </si>
  <si>
    <t xml:space="preserve">  Madagascar</t>
  </si>
  <si>
    <t xml:space="preserve">  Libya</t>
  </si>
  <si>
    <t xml:space="preserve">  Liberia</t>
  </si>
  <si>
    <t xml:space="preserve">  Laos</t>
  </si>
  <si>
    <t xml:space="preserve">  Kenya</t>
  </si>
  <si>
    <t xml:space="preserve">  Kampuchea</t>
  </si>
  <si>
    <t xml:space="preserve">  Ivory Coast</t>
  </si>
  <si>
    <t xml:space="preserve">  Guinea-Bissau</t>
  </si>
  <si>
    <t xml:space="preserve">  Ghana</t>
  </si>
  <si>
    <t xml:space="preserve">  Gabon</t>
  </si>
  <si>
    <t xml:space="preserve">  French Islands, Pacific</t>
  </si>
  <si>
    <t xml:space="preserve">  French Islands, Indian Ocean</t>
  </si>
  <si>
    <t xml:space="preserve">  Fiji</t>
  </si>
  <si>
    <t xml:space="preserve">  Congo</t>
  </si>
  <si>
    <t xml:space="preserve">  Cameroon</t>
  </si>
  <si>
    <t xml:space="preserve">  Brunei</t>
  </si>
  <si>
    <t xml:space="preserve">  Bangladesh</t>
  </si>
  <si>
    <t xml:space="preserve">  Algeria</t>
  </si>
  <si>
    <t xml:space="preserve">  Afghanistan</t>
  </si>
  <si>
    <t>Other Africa, Asia, and Pacific</t>
  </si>
  <si>
    <t xml:space="preserve">    Thailand</t>
  </si>
  <si>
    <t xml:space="preserve">    Philippines</t>
  </si>
  <si>
    <t xml:space="preserve">    Indonesia</t>
  </si>
  <si>
    <t xml:space="preserve">    India</t>
  </si>
  <si>
    <t xml:space="preserve">    China</t>
  </si>
  <si>
    <t xml:space="preserve">    United Arab Emirates</t>
  </si>
  <si>
    <t xml:space="preserve">    Saudi Arabia</t>
  </si>
  <si>
    <t xml:space="preserve">  Lebanon</t>
  </si>
  <si>
    <t xml:space="preserve">  Kuwait</t>
  </si>
  <si>
    <t xml:space="preserve">    Nigeria</t>
  </si>
  <si>
    <t xml:space="preserve">    Egypt</t>
  </si>
  <si>
    <t xml:space="preserve">    Cape Verde</t>
  </si>
  <si>
    <t xml:space="preserve">      Netherlands Islands, Caribbean[2]</t>
  </si>
  <si>
    <t xml:space="preserve">      Dominican Republic</t>
  </si>
  <si>
    <t xml:space="preserve">      Barbados</t>
  </si>
  <si>
    <t xml:space="preserve">    United Kingdom Islands, Caribbean[4]</t>
  </si>
  <si>
    <t xml:space="preserve">    Netherlands Antilles[3]</t>
  </si>
  <si>
    <t>-------------</t>
  </si>
  <si>
    <t xml:space="preserve">    Curacao[2]</t>
  </si>
  <si>
    <t xml:space="preserve">      Venezuela</t>
  </si>
  <si>
    <t xml:space="preserve">      Peru</t>
  </si>
  <si>
    <t xml:space="preserve">      Mexico</t>
  </si>
  <si>
    <t xml:space="preserve">      Honduras</t>
  </si>
  <si>
    <t xml:space="preserve">      Ecuador</t>
  </si>
  <si>
    <t xml:space="preserve">      Costa Rica</t>
  </si>
  <si>
    <t xml:space="preserve">      Colombia</t>
  </si>
  <si>
    <t xml:space="preserve">      Chile</t>
  </si>
  <si>
    <t xml:space="preserve">      Brazil</t>
  </si>
  <si>
    <t xml:space="preserve">      Argentina</t>
  </si>
  <si>
    <t xml:space="preserve">  South and Central America</t>
  </si>
  <si>
    <t>Australia, New Zealand, and South Africa</t>
  </si>
  <si>
    <t>Japan</t>
  </si>
  <si>
    <t xml:space="preserve">    Turkey</t>
  </si>
  <si>
    <t xml:space="preserve">    Spain</t>
  </si>
  <si>
    <t xml:space="preserve">    Portugal</t>
  </si>
  <si>
    <t>- - - - -</t>
  </si>
  <si>
    <t xml:space="preserve">    Norway</t>
  </si>
  <si>
    <t xml:space="preserve">    Greece</t>
  </si>
  <si>
    <t xml:space="preserve">    Finland</t>
  </si>
  <si>
    <t xml:space="preserve">    Austria</t>
  </si>
  <si>
    <t xml:space="preserve">  Denmark, Greece, and Ireland</t>
  </si>
  <si>
    <t xml:space="preserve">  Liechtenstein</t>
  </si>
  <si>
    <t>Foreign Direct Investment in the U.S.,Direct Investment Income Without Current-Cost Adjustment</t>
  </si>
  <si>
    <t>Balance of Payments and Direct Investment Position Data (Feb  7 2018 12:21:44:883PM)</t>
  </si>
  <si>
    <t>Decomposition of FDIUS income by country (directional basis)</t>
  </si>
  <si>
    <t>Decomposition of FDIUS retained earnings by country</t>
  </si>
  <si>
    <t>Memo: Canada, UK, France, Germany, Japan</t>
  </si>
  <si>
    <t>Share top 5 non havens</t>
  </si>
  <si>
    <t>Decomposition of FDIUS net interest by country (directional)</t>
  </si>
  <si>
    <r>
      <t xml:space="preserve">FDIUS Debt liabilities </t>
    </r>
    <r>
      <rPr>
        <sz val="12"/>
        <color theme="1"/>
        <rFont val="Arial"/>
        <family val="2"/>
      </rPr>
      <t>(debt of U.S. affiliates to foreign parents)</t>
    </r>
  </si>
  <si>
    <r>
      <t>FDIUS Debt assets</t>
    </r>
    <r>
      <rPr>
        <sz val="12"/>
        <color theme="1"/>
        <rFont val="Arial"/>
        <family val="2"/>
      </rPr>
      <t xml:space="preserve"> (debt of foreign parents to US affiliates)</t>
    </r>
  </si>
  <si>
    <t xml:space="preserve">    Curacao</t>
  </si>
  <si>
    <t xml:space="preserve">  Other EC</t>
  </si>
  <si>
    <t>Debt Inflows</t>
  </si>
  <si>
    <t>Foreign Direct Investment in the U.S.,Debt Instruments Inflows</t>
  </si>
  <si>
    <t>Balance of Payments and Direct Investment Position Data (Feb  7 2018  1:29:49:890PM)</t>
  </si>
  <si>
    <t xml:space="preserve">FDIUS net debt </t>
  </si>
  <si>
    <t>Decomposition of FDIUS net debt by country (directional basis: US affiliates payable - US affiliates receivables)</t>
  </si>
  <si>
    <t>Share havens in FDIUS net debt</t>
  </si>
  <si>
    <t>Flows in 80-82 seem high so I reduce by .7 factor</t>
  </si>
  <si>
    <t>Share top 6 havens in FDIUS debt assets</t>
  </si>
  <si>
    <t>Share top 6 havens if FDIUS debt liabilities</t>
  </si>
  <si>
    <t>FDIUS net interest</t>
  </si>
  <si>
    <t>Of which: Interest received by US subs of foreign MNEs</t>
  </si>
  <si>
    <t>Of which: Interest paid by US subs of foreign MNEs</t>
  </si>
  <si>
    <t>Decomposition of FDIUS equity income (divs + retained earnings) by country</t>
  </si>
  <si>
    <t>% total FDIUS equity income</t>
  </si>
  <si>
    <t>(Foreign profits outflows, % BEA profits)</t>
  </si>
  <si>
    <t>Breakdown is only available for main regions (Canada, Europe, etc). Here impute interest on net debt (asset and liab separately)</t>
  </si>
  <si>
    <t>Share havens in net interest payments</t>
  </si>
  <si>
    <t>Memo: share top 5 non-havens, USDIA</t>
  </si>
  <si>
    <t>Share top 5 non-havens in FDIUS</t>
  </si>
  <si>
    <t>Debt inflows</t>
  </si>
  <si>
    <t>FDIUS net debt inflows (new debt incurred from foreign parents - new loans to foreign parents)</t>
  </si>
  <si>
    <t>DI liabilities historical cost</t>
  </si>
  <si>
    <t>Decomposition of FDIUS liabilities by country</t>
  </si>
  <si>
    <t>FDIUS income without CCAdj</t>
  </si>
  <si>
    <t>Country breakdowns give the country with which the U.S. parent has the most direct link (not UBO)</t>
  </si>
  <si>
    <t>Position</t>
  </si>
  <si>
    <t>Foreign Direct Investment in the U.S.,Foreign Direct Investment Position in the United States on a Historical-Cost Basis</t>
  </si>
  <si>
    <t>Balance of Payments and Direct Investment Position Data (Feb  7 2018  3:42:01:447PM)</t>
  </si>
  <si>
    <t>FDIUS equity liabilities historical cost</t>
  </si>
  <si>
    <t>Decomposition of DI equity liabilities by country</t>
  </si>
  <si>
    <t>Return on equity liabilities (at hisotrical cost, with CCAdj)</t>
  </si>
  <si>
    <t>Return on equitiy liabilities (at historical cost), no CCAdj</t>
  </si>
  <si>
    <t>Of which: DI equity liabilities, current cost</t>
  </si>
  <si>
    <t xml:space="preserve">Memo: FDIUS equity liabilities (end of t), % of NI </t>
  </si>
  <si>
    <t>Memo: FDIUS equity income, % of NI</t>
  </si>
  <si>
    <t>Top 6 havens % of total DI equity liabilities</t>
  </si>
  <si>
    <t>Top 6 havens % of total DI liabilities</t>
  </si>
  <si>
    <t>DI equity liabilities, % national income</t>
  </si>
  <si>
    <t>DI debt liabilities (asset / liability basis)</t>
  </si>
  <si>
    <t>Minus: - Debt of foreign parents to US affiliates</t>
  </si>
  <si>
    <t>DI liabilities, historical costs</t>
  </si>
  <si>
    <t>Of which: DI equity liabilities, historical cost</t>
  </si>
  <si>
    <t>DI liabilities, market value</t>
  </si>
  <si>
    <t>Of which: DI equity liabilities, market value</t>
  </si>
  <si>
    <t>Return on FDIUS equity (flow in t / wealth at end of t)</t>
  </si>
  <si>
    <t>Of which: Middle East</t>
  </si>
  <si>
    <t>Share Middle East in non-havens</t>
  </si>
  <si>
    <t>In 74 total DI outflows are low due to very negative outflows in Middle East (Saudi Arabia nazionalizes 60% of Armaco = purchase of stock in US sub = negative outflow (full nationalization in 1980))</t>
  </si>
  <si>
    <t>Decomposition of USDIA income by industry</t>
  </si>
  <si>
    <t>1. Petroleum consists of oil and gas extraction; support activities for oil and gas extraction; petroleum and coal products manufacturing; petroleum and petroleum products wholesale trade; gasoline stations; petroleum tanker operations; pipeline transportation of crude oil, refined petroleum products, and natural gas; and petroleum storage for hire.</t>
  </si>
  <si>
    <t>"Holding companies (nonbank)" was previously designated "management of nonbank companies and enterprises" and "holding companies (nonbank), excluding management offices" was previously designated "holding companies, except bank holding companies."</t>
  </si>
  <si>
    <t xml:space="preserve">  Petroleum[1]</t>
  </si>
  <si>
    <t>Addendum:</t>
  </si>
  <si>
    <t xml:space="preserve">      Personal and laundry services</t>
  </si>
  <si>
    <t xml:space="preserve">      Repair and maintenance</t>
  </si>
  <si>
    <t xml:space="preserve">    Other services (except public administration and private households)</t>
  </si>
  <si>
    <t xml:space="preserve">      Amusement, gambling, and recreation industries</t>
  </si>
  <si>
    <t xml:space="preserve">      Museums, historical sites, and similar institutions</t>
  </si>
  <si>
    <t xml:space="preserve">      Performing arts, spectator sports, and related industries</t>
  </si>
  <si>
    <t xml:space="preserve">    Arts, entertainment, and recreation</t>
  </si>
  <si>
    <t xml:space="preserve">    Educational services</t>
  </si>
  <si>
    <t xml:space="preserve">  Miscellaneous services</t>
  </si>
  <si>
    <t xml:space="preserve">    Food services and drinking places</t>
  </si>
  <si>
    <t xml:space="preserve">    Accommodation</t>
  </si>
  <si>
    <t xml:space="preserve">  Accommodation and food services</t>
  </si>
  <si>
    <t xml:space="preserve">    Social assistance</t>
  </si>
  <si>
    <t xml:space="preserve">    Nursing and residential care facilities</t>
  </si>
  <si>
    <t xml:space="preserve">    Hospitals</t>
  </si>
  <si>
    <t xml:space="preserve">    Ambulatory health care services</t>
  </si>
  <si>
    <t xml:space="preserve">  Health care and social assistance</t>
  </si>
  <si>
    <t xml:space="preserve">    Waste management and remediation services</t>
  </si>
  <si>
    <t xml:space="preserve">      Other support services</t>
  </si>
  <si>
    <t xml:space="preserve">      Services to buildings and dwellings</t>
  </si>
  <si>
    <t xml:space="preserve">      Investigation and security services</t>
  </si>
  <si>
    <t xml:space="preserve">      Travel arrangement and reservation services</t>
  </si>
  <si>
    <t xml:space="preserve">      Business support services</t>
  </si>
  <si>
    <t xml:space="preserve">      Employment services</t>
  </si>
  <si>
    <t xml:space="preserve">      Facilities support services</t>
  </si>
  <si>
    <t xml:space="preserve">      Office administrative services</t>
  </si>
  <si>
    <t xml:space="preserve">    Administrative and support services</t>
  </si>
  <si>
    <t xml:space="preserve">  Administration, support, and waste management</t>
  </si>
  <si>
    <t xml:space="preserve">    Corporate, subsidiary, and regional management offices</t>
  </si>
  <si>
    <t xml:space="preserve">    Holding companies, except bank holding companies</t>
  </si>
  <si>
    <t xml:space="preserve">  Management of nonbank companies and enterprises</t>
  </si>
  <si>
    <t xml:space="preserve">      Lessors of nonfinancial intangible assets (except copyrighted works)</t>
  </si>
  <si>
    <t xml:space="preserve">      Other rental and leasing services</t>
  </si>
  <si>
    <t xml:space="preserve">      Automotive equipment rental and leasing</t>
  </si>
  <si>
    <t xml:space="preserve">    Rental and leasing (except real estate)</t>
  </si>
  <si>
    <t xml:space="preserve">    Real estate</t>
  </si>
  <si>
    <t xml:space="preserve">  Real estate and rental and leasing</t>
  </si>
  <si>
    <t xml:space="preserve">      Other warehousing and storage</t>
  </si>
  <si>
    <t xml:space="preserve">      Petroleum storage for hire</t>
  </si>
  <si>
    <t xml:space="preserve">    Warehousing and storage facilities</t>
  </si>
  <si>
    <t xml:space="preserve">    Couriers and messengers</t>
  </si>
  <si>
    <t xml:space="preserve">    Support activities for transportation</t>
  </si>
  <si>
    <t xml:space="preserve">    Scenic and sightseeing transportation</t>
  </si>
  <si>
    <t xml:space="preserve">      Other pipeline transportation</t>
  </si>
  <si>
    <t xml:space="preserve">      Pipeline transportation of crude oil, refined petroleum products, and natural gas</t>
  </si>
  <si>
    <t xml:space="preserve">    Pipeline transportation</t>
  </si>
  <si>
    <t xml:space="preserve">    Transit and ground passenger transportation</t>
  </si>
  <si>
    <t xml:space="preserve">    Truck transportation</t>
  </si>
  <si>
    <t xml:space="preserve">      Other water transportation</t>
  </si>
  <si>
    <t xml:space="preserve">      Petroleum tanker operations</t>
  </si>
  <si>
    <t xml:space="preserve">    Water transportation</t>
  </si>
  <si>
    <t xml:space="preserve">    Rail transportation</t>
  </si>
  <si>
    <t xml:space="preserve">    Air transportation</t>
  </si>
  <si>
    <t xml:space="preserve">  Transportation and warehousing</t>
  </si>
  <si>
    <t xml:space="preserve">    Nonstore retailers</t>
  </si>
  <si>
    <t xml:space="preserve">    Miscellaneous store retailers</t>
  </si>
  <si>
    <t xml:space="preserve">    General merchandise stores</t>
  </si>
  <si>
    <t xml:space="preserve">    Sporting goods, hobby, book, and music stores</t>
  </si>
  <si>
    <t xml:space="preserve">    Clothing and clothing accessories stores</t>
  </si>
  <si>
    <t xml:space="preserve">    Gasoline stations</t>
  </si>
  <si>
    <t xml:space="preserve">    Health and personal care stores</t>
  </si>
  <si>
    <t xml:space="preserve">    Food and beverage stores</t>
  </si>
  <si>
    <t xml:space="preserve">    Building material and garden equipment and supplies dealers</t>
  </si>
  <si>
    <t xml:space="preserve">    Electronics and appliance stores</t>
  </si>
  <si>
    <t xml:space="preserve">    Furniture and home furnishings stores</t>
  </si>
  <si>
    <t xml:space="preserve">    Motor vehicle and parts dealers</t>
  </si>
  <si>
    <t xml:space="preserve">  Retail trade</t>
  </si>
  <si>
    <t xml:space="preserve">    Special trade contractors</t>
  </si>
  <si>
    <t xml:space="preserve">    Heavy and civil engineering construction</t>
  </si>
  <si>
    <t xml:space="preserve">    Construction of buildings</t>
  </si>
  <si>
    <t xml:space="preserve">    Building, developing, and general contracting</t>
  </si>
  <si>
    <t xml:space="preserve">  Construction</t>
  </si>
  <si>
    <t xml:space="preserve">    Water, sewage, and other systems</t>
  </si>
  <si>
    <t xml:space="preserve">    Natural gas distribution</t>
  </si>
  <si>
    <t xml:space="preserve">    Electric power generation, transmission, and distribution</t>
  </si>
  <si>
    <t xml:space="preserve">  Utilities</t>
  </si>
  <si>
    <t xml:space="preserve">    Support activities for agriculture and forestry</t>
  </si>
  <si>
    <t xml:space="preserve">    Fishing, hunting, and trapping</t>
  </si>
  <si>
    <t xml:space="preserve">    Forestry and logging</t>
  </si>
  <si>
    <t xml:space="preserve">    Animal production</t>
  </si>
  <si>
    <t xml:space="preserve">    Crop production</t>
  </si>
  <si>
    <t xml:space="preserve">  Agriculture, forestry, fishing, and hunting</t>
  </si>
  <si>
    <t>Other industries</t>
  </si>
  <si>
    <t xml:space="preserve">  Corporate, subsidiary, and regional management offices</t>
  </si>
  <si>
    <t xml:space="preserve">  Holding companies (nonbank), excluding management offices</t>
  </si>
  <si>
    <t>Holding companies (nonbank)</t>
  </si>
  <si>
    <t xml:space="preserve">    Other professional, scientific, and technical services</t>
  </si>
  <si>
    <t xml:space="preserve">    Scientific research and development services</t>
  </si>
  <si>
    <t xml:space="preserve">    Specialized design services</t>
  </si>
  <si>
    <t xml:space="preserve">    Accounting, tax preparation, bookkeeping, and payroll services</t>
  </si>
  <si>
    <t xml:space="preserve">    Legal services</t>
  </si>
  <si>
    <t xml:space="preserve">  Advertising and related Services</t>
  </si>
  <si>
    <t xml:space="preserve">  Management, scientific, and technical consulting</t>
  </si>
  <si>
    <t xml:space="preserve">  Computer systems design and related services</t>
  </si>
  <si>
    <t xml:space="preserve">  Architectural, engineering, and related services</t>
  </si>
  <si>
    <t>Professional, scientific, and technical services</t>
  </si>
  <si>
    <t xml:space="preserve">    Agencies, brokerages, and other insurance related activities</t>
  </si>
  <si>
    <t xml:space="preserve">    Life insurance carriers</t>
  </si>
  <si>
    <t xml:space="preserve">    Insurance carriers, except life insurance carriers</t>
  </si>
  <si>
    <t xml:space="preserve">  Insurance carriers and related activities</t>
  </si>
  <si>
    <t xml:space="preserve">      Funds, trusts, and other financial vehicles</t>
  </si>
  <si>
    <t xml:space="preserve">        Activities related to Credit Intermediation</t>
  </si>
  <si>
    <t xml:space="preserve">        Non-depository credit intermediation</t>
  </si>
  <si>
    <t xml:space="preserve">        Nondepository credit intermediation</t>
  </si>
  <si>
    <t xml:space="preserve">      Nondepository credit intermediation and related services</t>
  </si>
  <si>
    <t xml:space="preserve">    Other finance, except depository institutions</t>
  </si>
  <si>
    <t xml:space="preserve">      Other financial investment activities and exchanges</t>
  </si>
  <si>
    <t xml:space="preserve">      Securities and commodity contracts intermediation and brokerage</t>
  </si>
  <si>
    <t xml:space="preserve">    Securities, commodity contracts, and other intermediation and related activities</t>
  </si>
  <si>
    <t xml:space="preserve">  Finance, except depository institutions</t>
  </si>
  <si>
    <t>Finance (except depository institutions) and insurance</t>
  </si>
  <si>
    <t xml:space="preserve">  Branches and agencies</t>
  </si>
  <si>
    <t xml:space="preserve">  Banks</t>
  </si>
  <si>
    <t>Depository institutions (banking)</t>
  </si>
  <si>
    <t xml:space="preserve">    Data processing services</t>
  </si>
  <si>
    <t xml:space="preserve">    Information services</t>
  </si>
  <si>
    <t xml:space="preserve">  Information services and data processing services</t>
  </si>
  <si>
    <t xml:space="preserve">    Other information services</t>
  </si>
  <si>
    <t xml:space="preserve">    Data processing, hosting, and related services</t>
  </si>
  <si>
    <t xml:space="preserve">    Internet service providers and web search portals</t>
  </si>
  <si>
    <t xml:space="preserve">    Internet publishing and broadcasting</t>
  </si>
  <si>
    <t xml:space="preserve">  Internet, data processing, and other information services</t>
  </si>
  <si>
    <t xml:space="preserve">  Other information services</t>
  </si>
  <si>
    <t xml:space="preserve">  Data processing, hosting, and related services</t>
  </si>
  <si>
    <t xml:space="preserve">      Other telecommunications</t>
  </si>
  <si>
    <t xml:space="preserve">      Cable and other program distribution</t>
  </si>
  <si>
    <t xml:space="preserve">      Satellite telecommunications</t>
  </si>
  <si>
    <t xml:space="preserve">      Telecommunications resellers</t>
  </si>
  <si>
    <t xml:space="preserve">      Wireless telecommunications carriers (except satellite)</t>
  </si>
  <si>
    <t xml:space="preserve">      Wired telecommunications carriers</t>
  </si>
  <si>
    <t xml:space="preserve">    Telecommunications</t>
  </si>
  <si>
    <t xml:space="preserve">      Cable and other subscription programming</t>
  </si>
  <si>
    <t xml:space="preserve">      Radio and television broadcasting</t>
  </si>
  <si>
    <t xml:space="preserve">    Broadcasting (except internet)</t>
  </si>
  <si>
    <t xml:space="preserve">  Broadcasting (except internet) and telecommunications</t>
  </si>
  <si>
    <t xml:space="preserve">      Cable networks and program distribution</t>
  </si>
  <si>
    <t xml:space="preserve">    Broadcasting, cable networks, and program distribution</t>
  </si>
  <si>
    <t xml:space="preserve">  Broadcasting and telecommunications</t>
  </si>
  <si>
    <t xml:space="preserve">    Sound recording industries</t>
  </si>
  <si>
    <t xml:space="preserve">    Motion picture and video industries</t>
  </si>
  <si>
    <t xml:space="preserve">  Motion picture and sound recording industries</t>
  </si>
  <si>
    <t xml:space="preserve">    Software publishers</t>
  </si>
  <si>
    <t xml:space="preserve">    Newspaper, periodical, book, and database publishers</t>
  </si>
  <si>
    <t xml:space="preserve">  Publishing industries</t>
  </si>
  <si>
    <t>Information</t>
  </si>
  <si>
    <t xml:space="preserve">    Wholesale electronic markets and agents and brokers</t>
  </si>
  <si>
    <t xml:space="preserve">    Miscellaneous nondurable goods</t>
  </si>
  <si>
    <t xml:space="preserve">    Beer, wine, and distilled alcoholic beverages</t>
  </si>
  <si>
    <t xml:space="preserve">    Chemical and allied products</t>
  </si>
  <si>
    <t xml:space="preserve">    Farm product raw materials</t>
  </si>
  <si>
    <t xml:space="preserve">    Grocery and related products</t>
  </si>
  <si>
    <t xml:space="preserve">    Apparel, piece goods, and notions</t>
  </si>
  <si>
    <t xml:space="preserve">    Paper and paper products</t>
  </si>
  <si>
    <t xml:space="preserve">    Miscellaneous durable goods</t>
  </si>
  <si>
    <t xml:space="preserve">    Machinery, equipment, and supplies</t>
  </si>
  <si>
    <t xml:space="preserve">    Hardware, and plumbing and heating equipment and supplies</t>
  </si>
  <si>
    <t xml:space="preserve">    Electrical goods</t>
  </si>
  <si>
    <t xml:space="preserve">    Metals and minerals (except petroleum)</t>
  </si>
  <si>
    <t xml:space="preserve">    Lumber and other construction materials</t>
  </si>
  <si>
    <t xml:space="preserve">    Furniture and home furnishings</t>
  </si>
  <si>
    <t xml:space="preserve">    Motor vehicles and motor vehicle parts and supplies</t>
  </si>
  <si>
    <t xml:space="preserve">  Drugs and druggists' sundries</t>
  </si>
  <si>
    <t xml:space="preserve">    Drugs and druggists' sundries</t>
  </si>
  <si>
    <t xml:space="preserve">  Other nondurable goods</t>
  </si>
  <si>
    <t xml:space="preserve">  Petroleum and petroleum products</t>
  </si>
  <si>
    <t xml:space="preserve">  Other durable goods</t>
  </si>
  <si>
    <t xml:space="preserve">  Professional and commercial equipment and supplies</t>
  </si>
  <si>
    <t>Wholesale trade</t>
  </si>
  <si>
    <t xml:space="preserve">    Other miscellaneous manufacturing</t>
  </si>
  <si>
    <t xml:space="preserve">    Medical equipment and supplies</t>
  </si>
  <si>
    <t xml:space="preserve">  Miscellaneous manufacturing</t>
  </si>
  <si>
    <t xml:space="preserve">  Furniture and related products</t>
  </si>
  <si>
    <t xml:space="preserve">      Other miscellaneous manufacturing</t>
  </si>
  <si>
    <t xml:space="preserve">      Medical equipment and supplies</t>
  </si>
  <si>
    <t xml:space="preserve">    Miscellaneous manufacturing</t>
  </si>
  <si>
    <t xml:space="preserve">    Furniture and related products</t>
  </si>
  <si>
    <t xml:space="preserve">      Other nonmetallic mineral products</t>
  </si>
  <si>
    <t xml:space="preserve">      Lime and gypsum products</t>
  </si>
  <si>
    <t xml:space="preserve">      Cement and concrete products</t>
  </si>
  <si>
    <t xml:space="preserve">      Glass and glass products</t>
  </si>
  <si>
    <t xml:space="preserve">      Clay products and refractories</t>
  </si>
  <si>
    <t xml:space="preserve">    Nonmetallic mineral products</t>
  </si>
  <si>
    <t xml:space="preserve">      Rubber products</t>
  </si>
  <si>
    <t xml:space="preserve">      Plastics products</t>
  </si>
  <si>
    <t xml:space="preserve">    Plastics and rubber products</t>
  </si>
  <si>
    <t xml:space="preserve">      Asphalt and other petroleum and coal products</t>
  </si>
  <si>
    <t xml:space="preserve">      Petroleum refining excluding oil and gas extraction</t>
  </si>
  <si>
    <t xml:space="preserve">      Integrated petroleum refining and extraction</t>
  </si>
  <si>
    <t xml:space="preserve">    Petroleum and coal products</t>
  </si>
  <si>
    <t xml:space="preserve">    Printing and related support activities</t>
  </si>
  <si>
    <t xml:space="preserve">      Converted paper products</t>
  </si>
  <si>
    <t xml:space="preserve">      Pulp, paper, and paperboard mills</t>
  </si>
  <si>
    <t xml:space="preserve">    Paper</t>
  </si>
  <si>
    <t xml:space="preserve">    Wood products</t>
  </si>
  <si>
    <t xml:space="preserve">      Leather and allied products</t>
  </si>
  <si>
    <t xml:space="preserve">      Apparel</t>
  </si>
  <si>
    <t xml:space="preserve">      Textile product mills</t>
  </si>
  <si>
    <t xml:space="preserve">      Textile mills</t>
  </si>
  <si>
    <t xml:space="preserve">    Textiles, apparel, and leather products</t>
  </si>
  <si>
    <t xml:space="preserve">      Tobacco products</t>
  </si>
  <si>
    <t xml:space="preserve">      Beverages</t>
  </si>
  <si>
    <t xml:space="preserve">    Beverages and tobacco products</t>
  </si>
  <si>
    <t xml:space="preserve">  Other manufacturing</t>
  </si>
  <si>
    <t xml:space="preserve">      Other transportation equipment</t>
  </si>
  <si>
    <t xml:space="preserve">      Ship and boat building</t>
  </si>
  <si>
    <t xml:space="preserve">      Railroad rolling stock</t>
  </si>
  <si>
    <t xml:space="preserve">      Aerospace products and parts</t>
  </si>
  <si>
    <t xml:space="preserve">      Motor vehicle parts</t>
  </si>
  <si>
    <t xml:space="preserve">      Motor vehicle bodies and trailers</t>
  </si>
  <si>
    <t xml:space="preserve">      Motor vehicles</t>
  </si>
  <si>
    <t xml:space="preserve">    Motor vehicles, bodies and trailers, and parts</t>
  </si>
  <si>
    <t xml:space="preserve">  Transportation equipment</t>
  </si>
  <si>
    <t xml:space="preserve">    Other electrical equipment and components</t>
  </si>
  <si>
    <t xml:space="preserve">    Electrical equipment</t>
  </si>
  <si>
    <t xml:space="preserve">    Household appliances</t>
  </si>
  <si>
    <t xml:space="preserve">    Electric lighting equipment</t>
  </si>
  <si>
    <t xml:space="preserve">  Electrical equipment, appliances, and components</t>
  </si>
  <si>
    <t xml:space="preserve">    Magnetic and optical media</t>
  </si>
  <si>
    <t xml:space="preserve">    Navigational, measuring, and other instruments</t>
  </si>
  <si>
    <t xml:space="preserve">    Semiconductors and other electronic components</t>
  </si>
  <si>
    <t xml:space="preserve">    Audio and video equipment</t>
  </si>
  <si>
    <t xml:space="preserve">    Communications equipment</t>
  </si>
  <si>
    <t xml:space="preserve">    Computers and peripheral equipment</t>
  </si>
  <si>
    <t xml:space="preserve">  Computers and electronic products</t>
  </si>
  <si>
    <t xml:space="preserve">      Other general purpose machinery</t>
  </si>
  <si>
    <t xml:space="preserve">      Engines, turbines, and power transmission equipment</t>
  </si>
  <si>
    <t xml:space="preserve">      Metalworking machinery</t>
  </si>
  <si>
    <t xml:space="preserve">      Ventilation, heating, air-conditioning, and commercial refrigeration equipment</t>
  </si>
  <si>
    <t xml:space="preserve">      Commercial and service industry machinery</t>
  </si>
  <si>
    <t xml:space="preserve">    Industrial machinery</t>
  </si>
  <si>
    <t xml:space="preserve">    Agriculture, construction, and mining machinery</t>
  </si>
  <si>
    <t xml:space="preserve">  Machinery</t>
  </si>
  <si>
    <t xml:space="preserve">      Other fabricated metal products</t>
  </si>
  <si>
    <t xml:space="preserve">      Coating, engraving, heat treating, and allied activities</t>
  </si>
  <si>
    <t xml:space="preserve">      Machine shops, turned products, and screws, nuts, and bolts</t>
  </si>
  <si>
    <t xml:space="preserve">      Spring and wire products</t>
  </si>
  <si>
    <t xml:space="preserve">      Hardware</t>
  </si>
  <si>
    <t xml:space="preserve">      Boilers, tanks, and shipping containers</t>
  </si>
  <si>
    <t xml:space="preserve">      Architectural and structural metals</t>
  </si>
  <si>
    <t xml:space="preserve">      Cutlery and handtools</t>
  </si>
  <si>
    <t xml:space="preserve">      Forging and stamping</t>
  </si>
  <si>
    <t xml:space="preserve">    Fabricated metal products</t>
  </si>
  <si>
    <t xml:space="preserve">      Foundries</t>
  </si>
  <si>
    <t xml:space="preserve">      Nonferrous metal (except aluminum) production and processing</t>
  </si>
  <si>
    <t xml:space="preserve">      Alumina and aluminum production and processing</t>
  </si>
  <si>
    <t xml:space="preserve">      Steel products from purchased steel</t>
  </si>
  <si>
    <t xml:space="preserve">      Iron and steel mills and ferroalloys</t>
  </si>
  <si>
    <t xml:space="preserve">    Primary metals</t>
  </si>
  <si>
    <t xml:space="preserve">  Primary and fabricated metals</t>
  </si>
  <si>
    <t xml:space="preserve">    Other nonmetallic mineral products</t>
  </si>
  <si>
    <t xml:space="preserve">    Lime and gypsum products</t>
  </si>
  <si>
    <t xml:space="preserve">    Cement and concrete products</t>
  </si>
  <si>
    <t xml:space="preserve">    Glass and glass products</t>
  </si>
  <si>
    <t xml:space="preserve">    Clay products and refractories</t>
  </si>
  <si>
    <t xml:space="preserve">  Nonmetallic mineral products</t>
  </si>
  <si>
    <t xml:space="preserve">    Rubber products</t>
  </si>
  <si>
    <t xml:space="preserve">    Plastics products</t>
  </si>
  <si>
    <t xml:space="preserve">  Plastics and rubber products</t>
  </si>
  <si>
    <t xml:space="preserve">      Other chemical products and preparations</t>
  </si>
  <si>
    <t xml:space="preserve">      Paints, coatings, and adhesives</t>
  </si>
  <si>
    <t xml:space="preserve">      Pesticides, fertilizers, and other agricultural chemicals</t>
  </si>
  <si>
    <t xml:space="preserve">    Soap, cleaning compounds, and toilet preparations</t>
  </si>
  <si>
    <t xml:space="preserve">    Pharmaceuticals and medicines</t>
  </si>
  <si>
    <t xml:space="preserve">    Resins and synthetic rubber, fibers, and filaments</t>
  </si>
  <si>
    <t xml:space="preserve">    Basic chemicals</t>
  </si>
  <si>
    <t xml:space="preserve">  Chemicals</t>
  </si>
  <si>
    <t xml:space="preserve">    Asphalt and other petroleum and coal products</t>
  </si>
  <si>
    <t xml:space="preserve">    Petroleum refining excluding oil and gas extraction</t>
  </si>
  <si>
    <t xml:space="preserve">    Integrated petroleum refining and extraction</t>
  </si>
  <si>
    <t xml:space="preserve">  Petroleum and coal products</t>
  </si>
  <si>
    <t xml:space="preserve">  Printing and related support activities</t>
  </si>
  <si>
    <t xml:space="preserve">    Converted paper products</t>
  </si>
  <si>
    <t xml:space="preserve">    Pulp, paper, and paperboard mills</t>
  </si>
  <si>
    <t xml:space="preserve">  Paper</t>
  </si>
  <si>
    <t xml:space="preserve">  Wood products</t>
  </si>
  <si>
    <t xml:space="preserve">    Leather and allied products</t>
  </si>
  <si>
    <t xml:space="preserve">    Apparel</t>
  </si>
  <si>
    <t xml:space="preserve">    Textile product mills</t>
  </si>
  <si>
    <t xml:space="preserve">    Textile mills</t>
  </si>
  <si>
    <t xml:space="preserve">  Textiles, apparel, and leather products</t>
  </si>
  <si>
    <t xml:space="preserve">    Tobacco products</t>
  </si>
  <si>
    <t xml:space="preserve">    Beverages</t>
  </si>
  <si>
    <t xml:space="preserve">  Beverages and tobacco products</t>
  </si>
  <si>
    <t xml:space="preserve">    Other food products</t>
  </si>
  <si>
    <t xml:space="preserve">    Bakeries and tortillas</t>
  </si>
  <si>
    <t xml:space="preserve">    Seafood product preparation and packaging</t>
  </si>
  <si>
    <t xml:space="preserve">    Animal slaughtering and processing</t>
  </si>
  <si>
    <t xml:space="preserve">    Dairy products</t>
  </si>
  <si>
    <t xml:space="preserve">    Fruit and vegetable preserving and specialty foods</t>
  </si>
  <si>
    <t xml:space="preserve">    Sugar and confectionery products</t>
  </si>
  <si>
    <t xml:space="preserve">    Grain and oilseed milling</t>
  </si>
  <si>
    <t xml:space="preserve">    Animal foods</t>
  </si>
  <si>
    <t xml:space="preserve">  Food</t>
  </si>
  <si>
    <t>Manufacturing</t>
  </si>
  <si>
    <t xml:space="preserve">  Water, Sewage, and Other Systems</t>
  </si>
  <si>
    <t xml:space="preserve">  Natural Gas Distribution</t>
  </si>
  <si>
    <t xml:space="preserve">  Electric Power Generation, Transmission, and Distribution</t>
  </si>
  <si>
    <t>Utilities</t>
  </si>
  <si>
    <t xml:space="preserve">      Support activities for mining, except for oil and gas extraction</t>
  </si>
  <si>
    <t xml:space="preserve">      Support Activities for Oil and Gas Extraction</t>
  </si>
  <si>
    <t xml:space="preserve">    Support Activities for Mining</t>
  </si>
  <si>
    <t xml:space="preserve">      Other Metal Ores</t>
  </si>
  <si>
    <t xml:space="preserve">      Copper, Nickel, Lead, and Zinc Ores</t>
  </si>
  <si>
    <t xml:space="preserve">      Gold and Silver Ores</t>
  </si>
  <si>
    <t xml:space="preserve">      Iron Ores</t>
  </si>
  <si>
    <t xml:space="preserve">    Metal Ore Mining</t>
  </si>
  <si>
    <t xml:space="preserve">    Nonmetallic Mineral Mining and Quarrying</t>
  </si>
  <si>
    <t xml:space="preserve">    Coal Mining</t>
  </si>
  <si>
    <t xml:space="preserve">  Oil and Gas Extraction</t>
  </si>
  <si>
    <t>Mining</t>
  </si>
  <si>
    <t>By Industry of Affiliate Only (All Industries) (NAICS) (Millions of Dollars) &lt;br/&gt;</t>
  </si>
  <si>
    <t>Balance of Payments and Direct Investment Position Data (Feb  7 2018 10:45:08:070PM)</t>
  </si>
  <si>
    <t>Oil and gas extraction</t>
  </si>
  <si>
    <t>Support for oil and gas extraction</t>
  </si>
  <si>
    <t>Petroleum and coal products</t>
  </si>
  <si>
    <t>Petroleum</t>
  </si>
  <si>
    <t>Wholesale of petroleum and petroleum products</t>
  </si>
  <si>
    <t xml:space="preserve">Other petroleum </t>
  </si>
  <si>
    <t>Of which: oil</t>
  </si>
  <si>
    <t>Share oil</t>
  </si>
  <si>
    <t>Wholesale petroleum disappears in 2011 (but it was negligible)</t>
  </si>
  <si>
    <t>BOP</t>
  </si>
  <si>
    <t>IRS Form 1118</t>
  </si>
  <si>
    <t>IRS Form 5471</t>
  </si>
  <si>
    <t>Tax year 2012</t>
  </si>
  <si>
    <t>Current earnings and profits before income tax</t>
  </si>
  <si>
    <t>Income taxes</t>
  </si>
  <si>
    <t>Net income before foreign income taxes</t>
  </si>
  <si>
    <t>Net income, after foreign income taxes</t>
  </si>
  <si>
    <t>Branch gross income</t>
  </si>
  <si>
    <t>Branch deductions (apportioned)</t>
  </si>
  <si>
    <t>Taxable income of branches before adjustment</t>
  </si>
  <si>
    <t>Gross foreign income</t>
  </si>
  <si>
    <t>Deductions for foreign income</t>
  </si>
  <si>
    <t>Taxable foreign income before adjustment</t>
  </si>
  <si>
    <t>Adjustment to taxable foreign income</t>
  </si>
  <si>
    <t>Taxable foreign income after adjustment</t>
  </si>
  <si>
    <t>Taxable domestic plus foreign income after adjustment</t>
  </si>
  <si>
    <t>Taxable U.S. income</t>
  </si>
  <si>
    <t>U.S. income taxes owed before credit</t>
  </si>
  <si>
    <t>Maximum amount of FTC available (= Limitation)</t>
  </si>
  <si>
    <t>Net income before income taxes</t>
  </si>
  <si>
    <t>Notes to table 1 says "Current law also allows expenses allocable to foreign source income to be deducted even when all of the income associated with those expenses is deferred."  ?</t>
  </si>
  <si>
    <t>All</t>
  </si>
  <si>
    <t>Oil</t>
  </si>
  <si>
    <t>Actual figure is 151.8 because there are specific limitations for separate income categories (TRA86 expanded these rules). Starting in 1975 oil income has had a separate limitation (not binding in 2012 as this was fixed at 35%). Between 1932 and 1960 there was a per country limitation  (to prevent corp from offsetting domestic tax liabilities by combining credits in low-tax countries and high-tax countries). Corp lobbied to prevent return of per-country limitation in 86. There are also limitations on some specific countries (North Korea, Iran, etc.)</t>
  </si>
  <si>
    <t>Foreign income taxes paid</t>
  </si>
  <si>
    <t xml:space="preserve">   Foreign taxes paid by foreign branches ("paid or accrued")</t>
  </si>
  <si>
    <t xml:space="preserve">   Foreign taxes paid by CFC ("deemed paid")</t>
  </si>
  <si>
    <t>FTC claimed</t>
  </si>
  <si>
    <t>Includes income of foreign branches and CFC more than 10% owned, apportionned by ownership shares, consolidated on a direct link basis</t>
  </si>
  <si>
    <t>BEA survey (majority-owned affiliates)</t>
  </si>
  <si>
    <t>BEA survey (all affiliates)</t>
  </si>
  <si>
    <t>Includes all income of foreign branches and CFC more than 10% owned, not apportionned by ownership shares</t>
  </si>
  <si>
    <t>max oil:</t>
  </si>
  <si>
    <t>Pretty clear there's a big gap for oil with majority-owned affiliates, due to joint ventures etc.</t>
  </si>
  <si>
    <t>Current earnings and profits after income tax</t>
  </si>
  <si>
    <t>Dividend paid to controlling U.S. corporation</t>
  </si>
  <si>
    <t>Net income before income tax</t>
  </si>
  <si>
    <t>Includes total income of CFC (ownership &gt; 50% and treated as corporation), not apportionned by ownership shares, including sub-tier checked-the-box entities. Reporting created in 1960 to better monitor MNEs. Excludes branches directly owned from the U.S. (= not corporations)</t>
  </si>
  <si>
    <t xml:space="preserve">Includes all income of majority-owned foreign branches and CFC, not apportionned by ownership shares, </t>
  </si>
  <si>
    <t>Check the box entitites not consolidated, in contrast to IRS form 5471?</t>
  </si>
  <si>
    <t>Includes all income of foreign branches, plus the fraction of the income of CFC distributed to the U.S. parent, for US firms that claim credit (virtually all firms with foreign operations)</t>
  </si>
  <si>
    <t xml:space="preserve">  Of which: dividend income</t>
  </si>
  <si>
    <t xml:space="preserve">  Of which: income from equity investment</t>
  </si>
  <si>
    <t xml:space="preserve">  Of which: capital gains</t>
  </si>
  <si>
    <t>All, excl. holdings</t>
  </si>
  <si>
    <t>Chemical manufacturing</t>
  </si>
  <si>
    <t>Computer &amp; electronics manufacturing</t>
  </si>
  <si>
    <t>Holding        (non-bank)</t>
  </si>
  <si>
    <t>oil gap with BEA majority owned due to branches???? Or misclassific under holdings??? Or Capital gains and dividend income received (no: included in both cases)?? Interest???? Difference in industry classification? DEPRECIATION</t>
  </si>
  <si>
    <t>Depreciation</t>
  </si>
  <si>
    <t>Interest received</t>
  </si>
  <si>
    <t>Interest paid</t>
  </si>
  <si>
    <t>Dividends paid or remitted profits</t>
  </si>
  <si>
    <t>Earnings after interest, depreciation, and taxes</t>
  </si>
  <si>
    <t>Form 1118 is by sector of U.S. parent!! &gt;&gt;&gt; less mining, much more petroleum manuf, chemical, electronic, much less holdings…</t>
  </si>
  <si>
    <t>Sector of affiliate throughout (not sector of parent) (this makes a lot of difference)</t>
  </si>
  <si>
    <t>By sector of parent (for comparison with 1118)</t>
  </si>
  <si>
    <t>France</t>
  </si>
  <si>
    <t>Germany</t>
  </si>
  <si>
    <t>United Kingdom</t>
  </si>
  <si>
    <t>China</t>
  </si>
  <si>
    <t>Mexico</t>
  </si>
  <si>
    <t>Belgium</t>
  </si>
  <si>
    <t>Italy</t>
  </si>
  <si>
    <t>Norway</t>
  </si>
  <si>
    <t>Argentina</t>
  </si>
  <si>
    <t>Brazil</t>
  </si>
  <si>
    <t>United States</t>
  </si>
  <si>
    <t>India</t>
  </si>
  <si>
    <t>Bermuda</t>
  </si>
  <si>
    <t>Bermuda &amp; Car.</t>
  </si>
  <si>
    <t>Data extracted on 10 Feb 2018 03:37 UTC (GMT) from OECD.Stat</t>
  </si>
  <si>
    <t>..</t>
  </si>
  <si>
    <t>South Africa</t>
  </si>
  <si>
    <t>World</t>
  </si>
  <si>
    <t>Western and Eastern Europe</t>
  </si>
  <si>
    <t>Ukraine</t>
  </si>
  <si>
    <t>Chinese Taipei</t>
  </si>
  <si>
    <t>Turkey</t>
  </si>
  <si>
    <t>Thailand</t>
  </si>
  <si>
    <t>Sweden</t>
  </si>
  <si>
    <t>Slovenia</t>
  </si>
  <si>
    <t>Slovak Republic</t>
  </si>
  <si>
    <t>Serbia</t>
  </si>
  <si>
    <t>Romania</t>
  </si>
  <si>
    <t>Portugal</t>
  </si>
  <si>
    <t>Poland</t>
  </si>
  <si>
    <t>Philippines</t>
  </si>
  <si>
    <t>Other European countries</t>
  </si>
  <si>
    <t>OECD</t>
  </si>
  <si>
    <t>New Zealand</t>
  </si>
  <si>
    <t>Malaysia</t>
  </si>
  <si>
    <t>Morocco</t>
  </si>
  <si>
    <t>Latvia</t>
  </si>
  <si>
    <t>Lithuania</t>
  </si>
  <si>
    <t>Korea</t>
  </si>
  <si>
    <t>Israel</t>
  </si>
  <si>
    <t>Iceland</t>
  </si>
  <si>
    <t>Indonesia</t>
  </si>
  <si>
    <t>Hungary</t>
  </si>
  <si>
    <t>Croatia</t>
  </si>
  <si>
    <t>Hong-Kong, China</t>
  </si>
  <si>
    <t>Greece</t>
  </si>
  <si>
    <t>Finland</t>
  </si>
  <si>
    <t>European Union (27)</t>
  </si>
  <si>
    <t>European Union (25)</t>
  </si>
  <si>
    <t>European Union (15)</t>
  </si>
  <si>
    <t>Estonia</t>
  </si>
  <si>
    <t>Spain</t>
  </si>
  <si>
    <t>Denmark</t>
  </si>
  <si>
    <t>Czech Republic</t>
  </si>
  <si>
    <t>Chile</t>
  </si>
  <si>
    <t>Bulgaria</t>
  </si>
  <si>
    <t>Baltic countries</t>
  </si>
  <si>
    <t>Austria</t>
  </si>
  <si>
    <t>Australia</t>
  </si>
  <si>
    <t>Non-OECD Asia</t>
  </si>
  <si>
    <t>i</t>
  </si>
  <si>
    <t>Partner Countries</t>
  </si>
  <si>
    <t>Variables</t>
  </si>
  <si>
    <t>Total Business Enterprise</t>
  </si>
  <si>
    <t>ISIC3</t>
  </si>
  <si>
    <t>Country</t>
  </si>
  <si>
    <t>Dataset: Outward activity of multinationals by country of location - ISIC Rev 3</t>
  </si>
  <si>
    <t>&lt;?xml version="1.0"?&gt;&lt;WebTableParameter xmlns:xsd="http://www.w3.org/2001/XMLSchema" xmlns:xsi="http://www.w3.org/2001/XMLSchema-instance" xmlns=""&gt;&lt;DataTable Code="AFA_OUT3_PARTNER" HasMetadata="true"&gt;&lt;Name LocaleIsoCode="en"&gt;Outward activity of multinationals by country of location - ISIC Rev 3&lt;/Name&gt;&lt;Name LocaleIsoCode="fr"&gt;Activité à l'étranger des multinationales par pays d'implantation - CITI Rev 3&lt;/Name&gt;&lt;Dimension Code="ISIC3"&gt;&lt;Name LocaleIsoCode="en"&gt;ISIC3&lt;/Name&gt;&lt;Name LocaleIsoCode="fr"&gt;ISIC3&lt;/Name&gt;&lt;Member Code="S15_37"&gt;&lt;Name LocaleIsoCode="en"&gt;Manufacturing&lt;/Name&gt;&lt;Name LocaleIsoCode="fr"&gt;Industrie manufacturière&lt;/Name&gt;&lt;/Member&gt;&lt;Member Code="S01_99" IsDisplayed="true"&gt;&lt;Name LocaleIsoCode="en"&gt;Total Business Enterprise&lt;/Name&gt;&lt;Name LocaleIsoCode="fr"&gt;Total général&lt;/Name&gt;&lt;/Member&gt;&lt;/Dimension&gt;&lt;Dimension Code="AFA_VAR"&gt;&lt;Name LocaleIsoCode="en"&gt;Variables&lt;/Name&gt;&lt;Name LocaleIsoCode="fr"&gt;Variables&lt;/Name&gt;&lt;Member Code="NOE"&gt;&lt;Name LocaleIsoCode="en"&gt;Number of enterprises or establishments&lt;/Name&gt;&lt;Name LocaleIsoCode="fr"&gt;Nombre d'entreprises ou d'établissements&lt;/Name&gt;&lt;/Member&gt;&lt;Member Code="EMP"&gt;&lt;Name LocaleIsoCode="en"&gt;Number of employees&lt;/Name&gt;&lt;Name LocaleIsoCode="fr"&gt;Nombre de salariés&lt;/Name&gt;&lt;/Member&gt;&lt;Member Code="TURN"&gt;&lt;Name LocaleIsoCode="en"&gt;Turnover&lt;/Name&gt;&lt;Name LocaleIsoCode="fr"&gt;Chiffre d'affaires&lt;/Name&gt;&lt;/Member&gt;&lt;Member Code="VA"&gt;&lt;Name LocaleIsoCode="en"&gt;Value added&lt;/Name&gt;&lt;Name LocaleIsoCode="fr"&gt;Valeur ajoutée&lt;/Name&gt;&lt;/Member&gt;&lt;Member Code="WS" IsDisplayed="true"&gt;&lt;Name LocaleIsoCode="en"&gt;Compensation of employees&lt;/Name&gt;&lt;Name LocaleIsoCode="fr"&gt;Rémunération des salariés&lt;/Name&gt;&lt;/Member&gt;&lt;Member Code="RD"&gt;&lt;Name LocaleIsoCode="en"&gt;R&amp;amp;D expenditures&lt;/Name&gt;&lt;Name LocaleIsoCode="fr"&gt;Dépenses de R-D&lt;/Name&gt;&lt;/Member&gt;&lt;Member Code="RES"&gt;&lt;Name LocaleIsoCode="en"&gt;Number of researchers&lt;/Name&gt;&lt;Name LocaleIsoCode="fr"&gt;Nombre de chercheurs&lt;/Name&gt;&lt;/Member&gt;&lt;Member Code="GFCF"&gt;&lt;Name LocaleIsoCode="en"&gt;Gross fixed capital formation&lt;/Name&gt;&lt;Name LocaleIsoCode="fr"&gt;Formation brute de capital fixe&lt;/Name&gt;&lt;/Member&gt;&lt;Member Code="X"&gt;&lt;Name LocaleIsoCode="en"&gt;Total exports&lt;/Name&gt;&lt;Name LocaleIsoCode="fr"&gt;Exportations totales&lt;/Name&gt;&lt;/Member&gt;&lt;Member Code="M"&gt;&lt;Name LocaleIsoCode="en"&gt;Total imports&lt;/Name&gt;&lt;Name LocaleIsoCode="fr"&gt;Importations totales&lt;/Name&gt;&lt;/Member&gt;&lt;Member Code="IFX"&gt;&lt;Name LocaleIsoCode="en"&gt;Intra-firm exports&lt;/Name&gt;&lt;Name LocaleIsoCode="fr"&gt;Exportations intra-firme&lt;/Name&gt;&lt;/Member&gt;&lt;Member Code="IFM"&gt;&lt;Name LocaleIsoCode="en"&gt;Intra-firm imports&lt;/Name&gt;&lt;Name LocaleIsoCode="fr"&gt;Importation intra-firme&lt;/Name&gt;&lt;/Member&gt;&lt;Member Code="PROF"&gt;&lt;Name LocaleIsoCode="en"&gt;Gross operating surplus&lt;/Name&gt;&lt;Name LocaleIsoCode="fr"&gt;Excédent brut d'exploitation&lt;/Name&gt;&lt;/Member&gt;&lt;Member Code="TEPA"&gt;&lt;Name LocaleIsoCode="en"&gt;Technological payments&lt;/Name&gt;&lt;Name LocaleIsoCode="fr"&gt;Paiements technologiques&lt;/Name&gt;&lt;/Member&gt;&lt;Member Code="TERE"&gt;&lt;Name LocaleIsoCode="en"&gt;Technological receipts&lt;/Name&gt;&lt;Name LocaleIsoCode="fr"&gt;Recettes technologiques&lt;/Name&gt;&lt;/Member&gt;&lt;/Dimension&gt;&lt;Dimension Code="PART" Display="labels"&gt;&lt;Name LocaleIsoCode="en"&gt;Partner Countries&lt;/Name&gt;&lt;Name LocaleIsoCode="fr"&gt;Pays partenaires&lt;/Name&gt;&lt;Member Code="AFRICA" HasOnlyUnitMetadata="false"&gt;&lt;Name LocaleIsoCode="en"&gt;Africa&lt;/Name&gt;&lt;Name LocaleIsoCode="fr"&gt;Afrique&lt;/Name&gt;&lt;/Member&gt;&lt;Member Code="ARG" HasOnlyUnitMetadata="false"&gt;&lt;Name LocaleIsoCode="en"&gt;Argentina&lt;/Name&gt;&lt;Name LocaleIsoCode="fr"&gt;Argentine&lt;/Name&gt;&lt;/Member&gt;&lt;Member Code="ASIA" HasOnlyUnitMetadata="false"&gt;&lt;Name LocaleIsoCode="en"&gt;Non-OECD Asia&lt;/Name&gt;&lt;Name LocaleIsoCode="fr"&gt;Asie hors OCDE&lt;/Name&gt;&lt;/Member&gt;&lt;Member Code="AUS" HasOnlyUnitMetadata="false"&gt;&lt;Name LocaleIsoCode="en"&gt;Australia&lt;/Name&gt;&lt;Name LocaleIsoCode="fr"&gt;Australie&lt;/Name&gt;&lt;/Member&gt;&lt;Member Code="AUT" HasOnlyUnitMetadata="false"&gt;&lt;Name LocaleIsoCode="en"&gt;Austria&lt;/Name&gt;&lt;Name LocaleIsoCode="fr"&gt;Autriche&lt;/Name&gt;&lt;/Member&gt;&lt;Member Code="BALT" HasOnlyUnitMetadata="false"&gt;&lt;Name LocaleIsoCode="en"&gt;Baltic countries&lt;/Name&gt;&lt;Name LocaleIsoCode="fr"&gt;Pays baltes&lt;/Name&gt;&lt;/Member&gt;&lt;Member Code="BEL" HasOnlyUnitMetadata="false"&gt;&lt;Name LocaleIsoCode="en"&gt;Belgium&lt;/Name&gt;&lt;Name LocaleIsoCode="fr"&gt;Belgique&lt;/Name&gt;&lt;/Member&gt;&lt;Member Code="BGR" HasOnlyUnitMetadata="false"&gt;&lt;Name LocaleIsoCode="en"&gt;Bulgaria&lt;/Name&gt;&lt;Name LocaleIsoCode="fr"&gt;Bulgarie&lt;/Name&gt;&lt;/Member&gt;&lt;Member Code="BRA" HasOnlyUnitMetadata="false"&gt;&lt;Name LocaleIsoCode="en"&gt;Brazil&lt;/Name&gt;&lt;Name LocaleIsoCode="fr"&gt;Brésil&lt;/Name&gt;&lt;/Member&gt;&lt;Member Code="CAN" HasOnlyUnitMetadata="false"&gt;&lt;Name LocaleIsoCode="en"&gt;Canada&lt;/Name&gt;&lt;Name LocaleIsoCode="fr"&gt;Canada&lt;/Name&gt;&lt;/Member&gt;&lt;Member Code="CHE" HasOnlyUnitMetadata="false"&gt;&lt;Name LocaleIsoCode="en"&gt;Switzerland&lt;/Name&gt;&lt;Name LocaleIsoCode="fr"&gt;Suisse&lt;/Name&gt;&lt;/Member&gt;&lt;Member Code="CHL" HasOnlyUnitMetadata="false"&gt;&lt;Name LocaleIsoCode="en"&gt;Chile&lt;/Name&gt;&lt;Name LocaleIsoCode="fr"&gt;Chili&lt;/Name&gt;&lt;/Member&gt;&lt;Member Code="CHN" HasOnlyUnitMetadata="false"&gt;&lt;Name LocaleIsoCode="en"&gt;China&lt;/Name&gt;&lt;Name LocaleIsoCode="fr"&gt;Chine&lt;/Name&gt;&lt;/Member&gt;&lt;Member Code="CZE" HasOnlyUnitMetadata="false"&gt;&lt;Name LocaleIsoCode="en"&gt;Czech Republic&lt;/Name&gt;&lt;Name LocaleIsoCode="fr"&gt;République tchèque&lt;/Name&gt;&lt;/Member&gt;&lt;Member Code="DEU" HasOnlyUnitMetadata="false"&gt;&lt;Name LocaleIsoCode="en"&gt;Germany&lt;/Name&gt;&lt;Name LocaleIsoCode="fr"&gt;Allemagne&lt;/Name&gt;&lt;/Member&gt;&lt;Member Code="DNK" HasOnlyUnitMetadata="false"&gt;&lt;Name LocaleIsoCode="en"&gt;Denmark&lt;/Name&gt;&lt;Name LocaleIsoCode="fr"&gt;Danemark&lt;/Name&gt;&lt;/Member&gt;&lt;Member Code="ESP" HasOnlyUnitMetadata="false"&gt;&lt;Name LocaleIsoCode="en"&gt;Spain&lt;/Name&gt;&lt;Name LocaleIsoCode="fr"&gt;Espagne&lt;/Name&gt;&lt;/Member&gt;&lt;Member Code="EST" HasOnlyUnitMetadata="false"&gt;&lt;Name LocaleIsoCode="en"&gt;Estonia&lt;/Name&gt;&lt;Name LocaleIsoCode="fr"&gt;Estonie&lt;/Name&gt;&lt;/Member&gt;&lt;Member Code="EU15" HasOnlyUnitMetadata="false"&gt;&lt;Name LocaleIsoCode="en"&gt;European Union (15)&lt;/Name&gt;&lt;Name LocaleIsoCode="fr"&gt;Union Européenne (15)&lt;/Name&gt;&lt;/Member&gt;&lt;Member Code="EU25" HasOnlyUnitMetadata="false"&gt;&lt;Name LocaleIsoCode="en"&gt;European Union (25)&lt;/Name&gt;&lt;Name LocaleIsoCode="fr"&gt;Union Européenne (25)&lt;/Name&gt;&lt;/Member&gt;&lt;Member Code="EU27" HasOnlyUnitMetadata="false"&gt;&lt;Name LocaleIsoCode="en"&gt;European Union (27)&lt;/Name&gt;&lt;Name LocaleIsoCode="fr"&gt;Union européenne (27)&lt;/Name&gt;&lt;/Member&gt;&lt;Member Code="EUROPE" HasOnlyUnitMetadata="false"&gt;&lt;Name LocaleIsoCode="en"&gt;Europe&lt;/Name&gt;&lt;Name LocaleIsoCode="fr"&gt;Europe&lt;/Name&gt;&lt;/Member&gt;&lt;Member Code="FIN" HasOnlyUnitMetadata="false"&gt;&lt;Name LocaleIsoCode="en"&gt;Finland&lt;/Name&gt;&lt;Name LocaleIsoCode="fr"&gt;Finlande&lt;/Name&gt;&lt;/Member&gt;&lt;Member Code="FRA" HasOnlyUnitMetadata="false"&gt;&lt;Name LocaleIsoCode="en"&gt;France&lt;/Name&gt;&lt;Name LocaleIsoCode="fr"&gt;France&lt;/Name&gt;&lt;/Member&gt;&lt;Member Code="GBR" HasOnlyUnitMetadata="false"&gt;&lt;Name LocaleIsoCode="en"&gt;United Kingdom&lt;/Name&gt;&lt;Name LocaleIsoCode="fr"&gt;Royaume-Uni&lt;/Name&gt;&lt;/Member&gt;&lt;Member Code="GRC" HasOnlyUnitMetadata="false"&gt;&lt;Name LocaleIsoCode="en"&gt;Greece&lt;/Name&gt;&lt;Name LocaleIsoCode="fr"&gt;Grèce&lt;/Name&gt;&lt;/Member&gt;&lt;Member Code="HKG" HasOnlyUnitMetadata="false"&gt;&lt;Name LocaleIsoCode="en"&gt;Hong-Kong, China&lt;/Name&gt;&lt;Name LocaleIsoCode="fr"&gt;Hong-Kong, Chine&lt;/Name&gt;&lt;/Member&gt;&lt;Member Code="HRV" HasOnlyUnitMetadata="false"&gt;&lt;Name LocaleIsoCode="en"&gt;Croatia&lt;/Name&gt;&lt;Name LocaleIsoCode="fr"&gt;Croatie&lt;/Name&gt;&lt;/Member&gt;&lt;Member Code="HUN" HasOnlyUnitMetadata="false"&gt;&lt;Name LocaleIsoCode="en"&gt;Hungary&lt;/Name&gt;&lt;Name LocaleIsoCode="fr"&gt;Hongrie&lt;/Name&gt;&lt;/Member&gt;&lt;Member Code="IDN" HasOnlyUnitMetadata="false"&gt;&lt;Name LocaleIsoCode="en"&gt;Indonesia&lt;/Name&gt;&lt;Name LocaleIsoCode="fr"&gt;Indonésie&lt;/Name&gt;&lt;/Member&gt;&lt;Member Code="IND" HasOnlyUnitMetadata="false"&gt;&lt;Name LocaleIsoCode="en"&gt;India&lt;/Name&gt;&lt;Name LocaleIsoCode="fr"&gt;Inde&lt;/Name&gt;&lt;/Member&gt;&lt;Member Code="IRL" HasOnlyUnitMetadata="false"&gt;&lt;Name LocaleIsoCode="en"&gt;Ireland&lt;/Name&gt;&lt;Name LocaleIsoCode="fr"&gt;Irlande&lt;/Name&gt;&lt;/Member&gt;&lt;Member Code="ISL" HasOnlyUnitMetadata="false"&gt;&lt;Name LocaleIsoCode="en"&gt;Iceland&lt;/Name&gt;&lt;Name LocaleIsoCode="fr"&gt;Islande&lt;/Name&gt;&lt;/Member&gt;&lt;Member Code="ISR" HasOnlyUnitMetadata="false"&gt;&lt;Name LocaleIsoCode="en"&gt;Israel&lt;/Name&gt;&lt;Name LocaleIsoCode="fr"&gt;Israël&lt;/Name&gt;&lt;/Member&gt;&lt;Member Code="ITA" HasOnlyUnitMetadata="false"&gt;&lt;Name LocaleIsoCode="en"&gt;Italy&lt;/Name&gt;&lt;Name LocaleIsoCode="fr"&gt;Italie&lt;/Name&gt;&lt;/Member&gt;&lt;Member Code="JPN" HasOnlyUnitMetadata="false"&gt;&lt;Name LocaleIsoCode="en"&gt;Japan&lt;/Name&gt;&lt;Name LocaleIsoCode="fr"&gt;Japon&lt;/Name&gt;&lt;/Member&gt;&lt;Member Code="KOR" HasOnlyUnitMetadata="false"&gt;&lt;Name LocaleIsoCode="en"&gt;Korea&lt;/Name&gt;&lt;Name LocaleIsoCode="fr"&gt;Corée&lt;/Name&gt;&lt;/Member&gt;&lt;Member Code="LATAM" HasMetadata="true" HasOnlyUnitMetadata="false"&gt;&lt;Name LocaleIsoCode="en"&gt;Latin America&lt;/Name&gt;&lt;Name LocaleIsoCode="fr"&gt;Amérique latine&lt;/Name&gt;&lt;/Member&gt;&lt;Member Code="LTU" HasOnlyUnitMetadata="false"&gt;&lt;Name LocaleIsoCode="en"&gt;Lithuania&lt;/Name&gt;&lt;Name LocaleIsoCode="fr"&gt;Lituanie&lt;/Name&gt;&lt;/Member&gt;&lt;Member Code="LUX" HasOnlyUnitMetadata="false"&gt;&lt;Name LocaleIsoCode="en"&gt;Luxembourg&lt;/Name&gt;&lt;Name LocaleIsoCode="fr"&gt;Luxembourg&lt;/Name&gt;&lt;/Member&gt;&lt;Member Code="LVA" HasOnlyUnitMetadata="false"&gt;&lt;Name LocaleIsoCode="en"&gt;Latvia&lt;/Name&gt;&lt;Name LocaleIsoCode="fr"&gt;Lettonie&lt;/Name&gt;&lt;/Member&gt;&lt;Member Code="MAR" HasOnlyUnitMetadata="false"&gt;&lt;Name LocaleIsoCode="en"&gt;Morocco&lt;/Name&gt;&lt;Name LocaleIsoCode="fr"&gt;Maroc&lt;/Name&gt;&lt;/Member&gt;&lt;Member Code="MEX" HasOnlyUnitMetadata="false"&gt;&lt;Name LocaleIsoCode="en"&gt;Mexico&lt;/Name&gt;&lt;Name LocaleIsoCode="fr"&gt;Mexique&lt;/Name&gt;&lt;/Member&gt;&lt;Member Code="MIDEAST" HasOnlyUnitMetadata="false"&gt;&lt;Name LocaleIsoCode="en"&gt;Middle East&lt;/Name&gt;&lt;Name LocaleIsoCode="fr"&gt;Moyen Orient&lt;/Name&gt;&lt;/Member&gt;&lt;Member Code="MYS" HasOnlyUnitMetadata="false"&gt;&lt;Name LocaleIsoCode="en"&gt;Malaysia&lt;/Name&gt;&lt;Name LocaleIsoCode="fr"&gt;Malaisie&lt;/Name&gt;&lt;/Member&gt;&lt;Member Code="NLD" HasOnlyUnitMetadata="false"&gt;&lt;Name LocaleIsoCode="en"&gt;Netherlands&lt;/Name&gt;&lt;Name LocaleIsoCode="fr"&gt;Pays-Bas&lt;/Name&gt;&lt;/Member&gt;&lt;Member Code="NOR" HasOnlyUnitMetadata="false"&gt;&lt;Name LocaleIsoCode="en"&gt;Norway&lt;/Name&gt;&lt;Name LocaleIsoCode="fr"&gt;Norvège&lt;/Name&gt;&lt;/Member&gt;&lt;Member Code="NZL" HasOnlyUnitMetadata="false"&gt;&lt;Name LocaleIsoCode="en"&gt;New Zealand&lt;/Name&gt;&lt;Name LocaleIsoCode="fr"&gt;Nouvelle-Zélande&lt;/Name&gt;&lt;/Member&gt;&lt;Member Code="OECD" HasOnlyUnitMetadata="false"&gt;&lt;Name LocaleIsoCode="en"&gt;OECD&lt;/Name&gt;&lt;Name LocaleIsoCode="fr"&gt;OCDE&lt;/Name&gt;&lt;/Member&gt;&lt;Member Code="OTHEU" HasMetadata="true" HasOnlyUnitMetadata="false"&gt;&lt;Name LocaleIsoCode="en"&gt;Other European countries&lt;/Name&gt;&lt;Name LocaleIsoCode="fr"&gt;Autres pays européens&lt;/Name&gt;&lt;/Member&gt;&lt;Member Code="PHL" HasOnlyUnitMetadata="false"&gt;&lt;Name LocaleIsoCode="en"&gt;Philippines&lt;/Name&gt;&lt;Name LocaleIsoCode="fr"&gt;Philippines&lt;/Name&gt;&lt;/Member&gt;&lt;Member Code="POL" HasOnlyUnitMetadata="false"&gt;&lt;Name LocaleIsoCode="en"&gt;Poland&lt;/Name&gt;&lt;Name LocaleIsoCode="fr"&gt;Pologne&lt;/Name&gt;&lt;/Member&gt;&lt;Member Code="PRT" HasOnlyUnitMetadata="false"&gt;&lt;Name LocaleIsoCode="en"&gt;Portugal&lt;/Name&gt;&lt;Name LocaleIsoCode="fr"&gt;Portugal&lt;/Name&gt;&lt;/Member&gt;&lt;Member Code="ROM" HasOnlyUnitMetadata="false"&gt;&lt;Name LocaleIsoCode="en"&gt;Romania&lt;/Name&gt;&lt;Name LocaleIsoCode="fr"&gt;Roumanie&lt;/Name&gt;&lt;/Member&gt;&lt;Member Code="RUS" HasOnlyUnitMetadata="false"&gt;&lt;Name LocaleIsoCode="en"&gt;Russia&lt;/Name&gt;&lt;Name LocaleIsoCode="fr"&gt;Russie&lt;/Name&gt;&lt;/Member&gt;&lt;Member Code="SGP" HasOnlyUnitMetadata="false"&gt;&lt;Name LocaleIsoCode="en"&gt;Singapore&lt;/Name&gt;&lt;Name LocaleIsoCode="fr"&gt;Singapour&lt;/Name&gt;&lt;/Member&gt;&lt;Member Code="SRB" HasOnlyUnitMetadata="false"&gt;&lt;Name LocaleIsoCode="en"&gt;Serbia&lt;/Name&gt;&lt;Name LocaleIsoCode="fr"&gt;Serbie&lt;/Name&gt;&lt;/Member&gt;&lt;Member Code="SVK" HasOnlyUnitMetadata="false"&gt;&lt;Name LocaleIsoCode="en"&gt;Slovak Republic&lt;/Name&gt;&lt;Name LocaleIsoCode="fr"&gt;République slovaque&lt;/Name&gt;&lt;/Member&gt;&lt;Member Code="SVN" HasOnlyUnitMetadata="false"&gt;&lt;Name LocaleIsoCode="en"&gt;Slovenia&lt;/Name&gt;&lt;Name LocaleIsoCode="fr"&gt;Slovénie&lt;/Name&gt;&lt;/Member&gt;&lt;Member Code="SWE" HasOnlyUnitMetadata="false"&gt;&lt;Name LocaleIsoCode="en"&gt;Sweden&lt;/Name&gt;&lt;Name LocaleIsoCode="fr"&gt;Suède&lt;/Name&gt;&lt;/Member&gt;&lt;Member Code="THA" HasOnlyUnitMetadata="false"&gt;&lt;Name LocaleIsoCode="en"&gt;Thailand&lt;/Name&gt;&lt;Name LocaleIsoCode="fr"&gt;Thaïlande&lt;/Name&gt;&lt;/Member&gt;&lt;Member Code="TUR" HasOnlyUnitMetadata="false"&gt;&lt;Name LocaleIsoCode="en"&gt;Turkey&lt;/Name&gt;&lt;Name LocaleIsoCode="fr"&gt;Turquie&lt;/Name&gt;&lt;/Member&gt;&lt;Member Code="TWN" HasOnlyUnitMetadata="false"&gt;&lt;Name LocaleIsoCode="en"&gt;Chinese Taipei&lt;/Name&gt;&lt;Name LocaleIsoCode="fr"&gt;Taipei chinois&lt;/Name&gt;&lt;/Member&gt;&lt;Member Code="UKR" HasOnlyUnitMetadata="false"&gt;&lt;Name LocaleIsoCode="en"&gt;Ukraine&lt;/Name&gt;&lt;Name LocaleIsoCode="fr"&gt;Ukraine&lt;/Name&gt;&lt;/Member&gt;&lt;Member Code="USA" HasOnlyUnitMetadata="false"&gt;&lt;Name LocaleIsoCode="en"&gt;United States&lt;/Name&gt;&lt;Name LocaleIsoCode="fr"&gt;Etats-Unis&lt;/Name&gt;&lt;/Member&gt;&lt;Member Code="WEASTEU" HasOnlyUnitMetadata="false"&gt;&lt;Name LocaleIsoCode="en"&gt;Western and Eastern Europe&lt;/Name&gt;&lt;Name LocaleIsoCode="fr"&gt;Europe de l'est et ouest&lt;/Name&gt;&lt;/Member&gt;&lt;Member Code="WORLD" HasOnlyUnitMetadata="false"&gt;&lt;Name LocaleIsoCode="en"&gt;World&lt;/Name&gt;&lt;Name LocaleIsoCode="fr"&gt;Monde&lt;/Name&gt;&lt;/Member&gt;&lt;Member Code="ZAF" HasOnlyUnitMetadata="false"&gt;&lt;Name LocaleIsoCode="en"&gt;South Africa&lt;/Name&gt;&lt;Name LocaleIsoCode="fr"&gt;Afrique du Sud&lt;/Name&gt;&lt;/Member&gt;&lt;/Dimension&gt;&lt;Dimension Code="COU" CommonCode="LOCATION" Display="labels"&gt;&lt;Name LocaleIsoCode="en"&gt;Country&lt;/Name&gt;&lt;Name LocaleIsoCode="fr"&gt;Pays&lt;/Name&gt;&lt;Member Code="AUS" HasMetadata="true"&gt;&lt;Name LocaleIsoCode="en"&gt;Australia&lt;/Name&gt;&lt;Name LocaleIsoCode="fr"&gt;Australie&lt;/Name&gt;&lt;/Member&gt;&lt;Member Code="AUT" HasMetadata="true"&gt;&lt;Name LocaleIsoCode="en"&gt;Austria&lt;/Name&gt;&lt;Name LocaleIsoCode="fr"&gt;Autriche&lt;/Name&gt;&lt;/Member&gt;&lt;Member Code="BEL"&gt;&lt;Name LocaleIsoCode="en"&gt;Belgium&lt;/Name&gt;&lt;Name LocaleIsoCode="fr"&gt;Belgique&lt;/Name&gt;&lt;/Member&gt;&lt;Member Code="CAN" HasMetadata="true"&gt;&lt;Name LocaleIsoCode="en"&gt;Canada&lt;/Name&gt;&lt;Name LocaleIsoCode="fr"&gt;Canada&lt;/Name&gt;&lt;/Member&gt;&lt;Member Code="CZE" HasMetadata="true"&gt;&lt;Name LocaleIsoCode="en"&gt;Czech Republic&lt;/Name&gt;&lt;Name LocaleIsoCode="fr"&gt;République tchèque&lt;/Name&gt;&lt;/Member&gt;&lt;Member Code="DNK" HasMetadata="true"&gt;&lt;Name LocaleIsoCode="en"&gt;Denmark&lt;/Name&gt;&lt;Name LocaleIsoCode="fr"&gt;Danemark&lt;/Name&gt;&lt;/Member&gt;&lt;Member Code="FIN" HasMetadata="true"&gt;&lt;Name LocaleIsoCode="en"&gt;Finland&lt;/Name&gt;&lt;Name LocaleIsoCode="fr"&gt;Finlande&lt;/Name&gt;&lt;/Member&gt;&lt;Member Code="FRA" HasMetadata="true"&gt;&lt;Name LocaleIsoCode="en"&gt;France&lt;/Name&gt;&lt;Name LocaleIsoCode="fr"&gt;France&lt;/Name&gt;&lt;/Member&gt;&lt;Member Code="DEU" HasMetadata="true"&gt;&lt;Name LocaleIsoCode="en"&gt;Germany&lt;/Name&gt;&lt;Name LocaleIsoCode="fr"&gt;Allemagne&lt;/Name&gt;&lt;/Member&gt;&lt;Member Code="GRC" HasMetadata="true"&gt;&lt;Name LocaleIsoCode="en"&gt;Greece&lt;/Name&gt;&lt;Name LocaleIsoCode="fr"&gt;Grèce&lt;/Name&gt;&lt;/Member&gt;&lt;Member Code="HUN" HasMetadata="true"&gt;&lt;Name LocaleIsoCode="en"&gt;Hungary&lt;/Name&gt;&lt;Name LocaleIsoCode="fr"&gt;Hongrie&lt;/Name&gt;&lt;/Member&gt;&lt;Member Code="ISR" HasMetadata="true"&gt;&lt;Name LocaleIsoCode="en"&gt;Israel&lt;/Name&gt;&lt;Name LocaleIsoCode="fr"&gt;Israël&lt;/Name&gt;&lt;/Member&gt;&lt;Member Code="ITA" HasMetadata="true"&gt;&lt;Name LocaleIsoCode="en"&gt;Italy&lt;/Name&gt;&lt;Name LocaleIsoCode="fr"&gt;Italie&lt;/Name&gt;&lt;/Member&gt;&lt;Member Code="JPN" HasMetadata="true"&gt;&lt;Name LocaleIsoCode="en"&gt;Japan&lt;/Name&gt;&lt;Name LocaleIsoCode="fr"&gt;Japon&lt;/Name&gt;&lt;/Member&gt;&lt;Member Code="LUX" HasMetadata="true"&gt;&lt;Name LocaleIsoCode="en"&gt;Luxembourg&lt;/Name&gt;&lt;Name LocaleIsoCode="fr"&gt;Luxembourg&lt;/Name&gt;&lt;/Member&gt;&lt;Member Code="NLD"&gt;&lt;Name LocaleIsoCode="en"&gt;Netherlands&lt;/Name&gt;&lt;Name LocaleIsoCode="fr"&gt;Pays-Bas&lt;/Name&gt;&lt;/Member&gt;&lt;Member Code="NOR"&gt;&lt;Name LocaleIsoCode="en"&gt;Norway&lt;/Name&gt;&lt;Name LocaleIsoCode="fr"&gt;Norvège&lt;/Name&gt;&lt;/Member&gt;&lt;Member Code="POL" HasMetadata="true"&gt;&lt;Name LocaleIsoCode="en"&gt;Poland&lt;/Name&gt;&lt;Name LocaleIsoCode="fr"&gt;Pologne&lt;/Name&gt;&lt;/Member&gt;&lt;Member Code="PRT" HasMetadata="true"&gt;&lt;Name LocaleIsoCode="en"&gt;Portugal&lt;/Name&gt;&lt;Name LocaleIsoCode="fr"&gt;Portugal&lt;/Name&gt;&lt;/Member&gt;&lt;Member Code="SVK" HasMetadata="true"&gt;&lt;Name LocaleIsoCode="en"&gt;Slovak Republic&lt;/Name&gt;&lt;Name LocaleIsoCode="fr"&gt;République slovaque&lt;/Name&gt;&lt;/Member&gt;&lt;Member Code="ESP"&gt;&lt;Name LocaleIsoCode="en"&gt;Spain&lt;/Name&gt;&lt;Name LocaleIsoCode="fr"&gt;Espagne&lt;/Name&gt;&lt;/Member&gt;&lt;Member Code="SWE" HasMetadata="true"&gt;&lt;Name LocaleIsoCode="en"&gt;Sweden&lt;/Name&gt;&lt;Name LocaleIsoCode="fr"&gt;Suède&lt;/Name&gt;&lt;/Member&gt;&lt;Member Code="CHE" HasMetadata="true"&gt;&lt;Name LocaleIsoCode="en"&gt;Switzerland&lt;/Name&gt;&lt;Name LocaleIsoCode="fr"&gt;Suisse&lt;/Name&gt;&lt;/Member&gt;&lt;Member Code="GBR"&gt;&lt;Name LocaleIsoCode="en"&gt;United Kingdom&lt;/Name&gt;&lt;Name LocaleIsoCode="fr"&gt;Royaume-Uni&lt;/Name&gt;&lt;/Member&gt;&lt;Member Code="USA" HasMetadata="true" IsDisplayed="true"&gt;&lt;Name LocaleIsoCode="en"&gt;United States&lt;/Name&gt;&lt;Name LocaleIsoCode="fr"&gt;États-Unis&lt;/Name&gt;&lt;/Member&gt;&lt;/Dimension&gt;&lt;Dimension Code="YEAR" CommonCode="TIME"&gt;&lt;Name LocaleIsoCode="en"&gt;Year&lt;/Name&gt;&lt;Name LocaleIsoCode="fr"&gt;Année&lt;/Name&gt;&lt;Member Code="1986"&gt;&lt;Name LocaleIsoCode="en"&gt;1986&lt;/Name&gt;&lt;Name LocaleIsoCode="fr"&gt;1986&lt;/Name&gt;&lt;/Member&gt;&lt;Member Code="1987"&gt;&lt;Name LocaleIsoCode="en"&gt;1987&lt;/Name&gt;&lt;Name LocaleIsoCode="fr"&gt;1987&lt;/Name&gt;&lt;/Member&gt;&lt;Member Code="1988"&gt;&lt;Name LocaleIsoCode="en"&gt;1988&lt;/Name&gt;&lt;Name LocaleIsoCode="fr"&gt;1988&lt;/Name&gt;&lt;/Member&gt;&lt;Member Code="1989"&gt;&lt;Name LocaleIsoCode="en"&gt;1989&lt;/Name&gt;&lt;Name LocaleIsoCode="fr"&gt;1989&lt;/Name&gt;&lt;/Member&gt;&lt;Member Code="1990"&gt;&lt;Name LocaleIsoCode="en"&gt;1990&lt;/Name&gt;&lt;Name LocaleIsoCode="fr"&gt;1990&lt;/Name&gt;&lt;/Member&gt;&lt;Member Code="1991"&gt;&lt;Name LocaleIsoCode="en"&gt;1991&lt;/Name&gt;&lt;Name LocaleIsoCode="fr"&gt;1991&lt;/Name&gt;&lt;/Member&gt;&lt;Member Code="1992"&gt;&lt;Name LocaleIsoCode="en"&gt;1992&lt;/Name&gt;&lt;Name LocaleIsoCode="fr"&gt;1992&lt;/Name&gt;&lt;/Member&gt;&lt;Member Code="1993"&gt;&lt;Name LocaleIsoCode="en"&gt;1993&lt;/Name&gt;&lt;Name LocaleIsoCode="fr"&gt;1993&lt;/Name&gt;&lt;/Member&gt;&lt;Member Code="1994"&gt;&lt;Name LocaleIsoCode="en"&gt;1994&lt;/Name&gt;&lt;Name LocaleIsoCode="fr"&gt;1994&lt;/Name&gt;&lt;/Member&gt;&lt;Member Code="1995"&gt;&lt;Name LocaleIsoCode="en"&gt;1995&lt;/Name&gt;&lt;Name LocaleIsoCode="fr"&gt;1995&lt;/Name&gt;&lt;/Member&gt;&lt;Member Code="1996"&gt;&lt;Name LocaleIsoCode="en"&gt;1996&lt;/Name&gt;&lt;Name LocaleIsoCode="fr"&gt;1996&lt;/Name&gt;&lt;/Member&gt;&lt;Member Code="1997"&gt;&lt;Name LocaleIsoCode="en"&gt;1997&lt;/Name&gt;&lt;Name LocaleIsoCode="fr"&gt;1997&lt;/Name&gt;&lt;/Member&gt;&lt;Member Code="1998"&gt;&lt;Name LocaleIsoCode="en"&gt;1998&lt;/Name&gt;&lt;Name LocaleIsoCode="fr"&gt;1998&lt;/Name&gt;&lt;/Member&gt;&lt;Member Code="1999"&gt;&lt;Name LocaleIsoCode="en"&gt;1999&lt;/Name&gt;&lt;Name LocaleIsoCode="fr"&gt;1999&lt;/Name&gt;&lt;/Member&gt;&lt;Member Code="2000"&gt;&lt;Name LocaleIsoCode="en"&gt;2000&lt;/Name&gt;&lt;Name LocaleIsoCode="fr"&gt;2000&lt;/Name&gt;&lt;/Member&gt;&lt;Member Code="2001"&gt;&lt;Name LocaleIsoCode="en"&gt;2001&lt;/Name&gt;&lt;Name LocaleIsoCode="fr"&gt;2001&lt;/Name&gt;&lt;/Member&gt;&lt;Member Code="2002"&gt;&lt;Name LocaleIsoCode="en"&gt;2002&lt;/Name&gt;&lt;Name LocaleIsoCode="fr"&gt;2002&lt;/Name&gt;&lt;/Member&gt;&lt;Member Code="2003"&gt;&lt;Name LocaleIsoCode="en"&gt;2003&lt;/Name&gt;&lt;Name LocaleIsoCode="fr"&gt;2003&lt;/Name&gt;&lt;/Member&gt;&lt;Member Code="2004"&gt;&lt;Name LocaleIsoCode="en"&gt;2004&lt;/Name&gt;&lt;Name LocaleIsoCode="fr"&gt;2004&lt;/Name&gt;&lt;/Member&gt;&lt;Member Code="2005"&gt;&lt;Name LocaleIsoCode="en"&gt;2005&lt;/Name&gt;&lt;Name LocaleIsoCode="fr"&gt;2005&lt;/Name&gt;&lt;/Member&gt;&lt;Member Code="2006"&gt;&lt;Name LocaleIsoCode="en"&gt;2006&lt;/Name&gt;&lt;Name LocaleIsoCode="fr"&gt;2006&lt;/Name&gt;&lt;/Member&gt;&lt;Member Code="2007"&gt;&lt;Name LocaleIsoCode="en"&gt;2007&lt;/Name&gt;&lt;Name LocaleIsoCode="fr"&gt;2007&lt;/Name&gt;&lt;/Member&gt;&lt;Member Code="2008"&gt;&lt;Name LocaleIsoCode="en"&gt;2008&lt;/Name&gt;&lt;Name LocaleIsoCode="fr"&gt;2008&lt;/Name&gt;&lt;/Member&gt;&lt;Member Code="2009"&gt;&lt;Name LocaleIsoCode="en"&gt;2009&lt;/Name&gt;&lt;Name LocaleIsoCode="fr"&gt;2009&lt;/Name&gt;&lt;/Member&gt;&lt;Member Code="2010"&gt;&lt;Name LocaleIsoCode="en"&gt;2010&lt;/Name&gt;&lt;Name LocaleIsoCode="fr"&gt;2010&lt;/Name&gt;&lt;/Member&gt;&lt;Member Code="2011"&gt;&lt;Name LocaleIsoCode="en"&gt;2011&lt;/Name&gt;&lt;Name LocaleIsoCode="fr"&gt;2011&lt;/Name&gt;&lt;/Member&gt;&lt;Member Code="2012"&gt;&lt;Name LocaleIsoCode="en"&gt;2012&lt;/Name&gt;&lt;Name LocaleIsoCode="fr"&gt;2012&lt;/Name&gt;&lt;/Member&gt;&lt;Member Code="2013"&gt;&lt;Name LocaleIsoCode="en"&gt;2013&lt;/Name&gt;&lt;Name LocaleIsoCode="fr"&gt;2013&lt;/Name&gt;&lt;/Member&gt;&lt;/Dimension&gt;&lt;WBOSInformations&gt;&lt;TimeDimension WebTreeWasUsed="false"&gt;&lt;StartCodes Annual="1986" /&gt;&lt;/TimeDimension&gt;&lt;/WBOSInformations&gt;&lt;Tabulation Axis="horizontal"&gt;&lt;Dimension Code="YEAR" CommonCode="TIME" /&gt;&lt;/Tabulation&gt;&lt;Tabulation Axis="vertical"&gt;&lt;Dimension Code="PART" /&gt;&lt;/Tabulation&gt;&lt;Tabulation Axis="page"&gt;&lt;Dimension Code="COU" CommonCode="LOCATION" /&gt;&lt;Dimension Code="ISIC3" /&gt;&lt;Dimension Code="AFA_VAR" /&gt;&lt;/Tabulation&gt;&lt;Formatting&gt;&lt;Labels LocaleIsoCode="en" /&gt;&lt;Power&gt;0&lt;/Power&gt;&lt;Decimals&gt;0&lt;/Decimals&gt;&lt;SkipEmptyLines&gt;false&lt;/SkipEmptyLines&gt;&lt;SkipEmptyCols&gt;false&lt;/SkipEmptyCols&gt;&lt;SkipLineHierarchy&gt;false&lt;/SkipLineHierarchy&gt;&lt;SkipColHierarchy&gt;false&lt;/SkipColHierarchy&gt;&lt;Page&gt;1&lt;/Page&gt;&lt;/Formatting&gt;&lt;/DataTable&gt;&lt;Format&gt;&lt;ShowEmptyAxes&gt;true&lt;/ShowEmptyAxes&gt;&lt;Page&gt;1&lt;/Page&gt;&lt;EnableSort&gt;true&lt;/EnableSort&gt;&lt;IncludeFlagColumn&gt;false&lt;/IncludeFlagColumn&gt;&lt;IncludeTimeSeriesId&gt;false&lt;/IncludeTimeSeriesId&gt;&lt;DoBarChart&gt;false&lt;/DoBarChart&gt;&lt;FreezePanes&gt;true&lt;/FreezePanes&gt;&lt;MaxBarChartLen&gt;65&lt;/MaxBarChartLen&gt;&lt;/Format&gt;&lt;Query&gt;&lt;AbsoluteUri&gt;http://stats.oecd.org//View.aspx?QueryId=8976&amp;amp;QueryType=Public&amp;amp;Lang=en&lt;/AbsoluteUri&gt;&lt;/Query&gt;&lt;/WebTableParameter&gt;</t>
  </si>
  <si>
    <t>Gross operating surplus</t>
  </si>
  <si>
    <t>Data extracted on 10 Feb 2018 03:46 UTC (GMT) from OECD.Stat</t>
  </si>
  <si>
    <t>Bonaire, Saint Eustatius and Saba</t>
  </si>
  <si>
    <t>Sint Maarten, Dutch part</t>
  </si>
  <si>
    <t>Curaçao</t>
  </si>
  <si>
    <t>Samoa</t>
  </si>
  <si>
    <t>Vanuatu</t>
  </si>
  <si>
    <t>United Kingdom Islands, Pacific</t>
  </si>
  <si>
    <t>Tuvalu</t>
  </si>
  <si>
    <t>Tonga</t>
  </si>
  <si>
    <t>East Timor</t>
  </si>
  <si>
    <t>Solomon Islands</t>
  </si>
  <si>
    <t>Papua New Guinea</t>
  </si>
  <si>
    <t>Marshall Islands</t>
  </si>
  <si>
    <t>Micronesia</t>
  </si>
  <si>
    <t>Fiji</t>
  </si>
  <si>
    <t>French Islands, Pacific</t>
  </si>
  <si>
    <t>Oceania</t>
  </si>
  <si>
    <t>Zimbabwe</t>
  </si>
  <si>
    <t>Zambia</t>
  </si>
  <si>
    <t>Uganda</t>
  </si>
  <si>
    <t>Tanzania</t>
  </si>
  <si>
    <t>Tunisia</t>
  </si>
  <si>
    <t>Togo</t>
  </si>
  <si>
    <t>Chad</t>
  </si>
  <si>
    <t>Swaziland</t>
  </si>
  <si>
    <t>Sao Tome and Principe</t>
  </si>
  <si>
    <t>Somalia</t>
  </si>
  <si>
    <t>Senegal</t>
  </si>
  <si>
    <t>Sierra Leone</t>
  </si>
  <si>
    <t>Sudan</t>
  </si>
  <si>
    <t>Seychelles</t>
  </si>
  <si>
    <t>Rwanda</t>
  </si>
  <si>
    <t>Nigeria</t>
  </si>
  <si>
    <t>Niger</t>
  </si>
  <si>
    <t>Namibia</t>
  </si>
  <si>
    <t>Mozambique</t>
  </si>
  <si>
    <t>Malawi</t>
  </si>
  <si>
    <t>Mauritius</t>
  </si>
  <si>
    <t>Mauritania</t>
  </si>
  <si>
    <t>Mali</t>
  </si>
  <si>
    <t>Madagascar</t>
  </si>
  <si>
    <t>Libya</t>
  </si>
  <si>
    <t>Lesotho</t>
  </si>
  <si>
    <t>Liberia</t>
  </si>
  <si>
    <t>Comoros</t>
  </si>
  <si>
    <t>Kenya</t>
  </si>
  <si>
    <t>Equatorial Guinea</t>
  </si>
  <si>
    <t>Guinea</t>
  </si>
  <si>
    <t>Gambia</t>
  </si>
  <si>
    <t>Ghana</t>
  </si>
  <si>
    <t>Gabon</t>
  </si>
  <si>
    <t>Ethiopia</t>
  </si>
  <si>
    <t>Eritrea</t>
  </si>
  <si>
    <t>Egypt</t>
  </si>
  <si>
    <t>Algeria</t>
  </si>
  <si>
    <t>Djibouti</t>
  </si>
  <si>
    <t>Cameroon</t>
  </si>
  <si>
    <t>Cote d'Ivoire</t>
  </si>
  <si>
    <t>Congo</t>
  </si>
  <si>
    <t>Central African Republic</t>
  </si>
  <si>
    <t>Congo, Democratic Republic</t>
  </si>
  <si>
    <t>Botswana</t>
  </si>
  <si>
    <t>Benin</t>
  </si>
  <si>
    <t>Burundi</t>
  </si>
  <si>
    <t>Burkina Faso</t>
  </si>
  <si>
    <t>Angola</t>
  </si>
  <si>
    <t>Vietnam</t>
  </si>
  <si>
    <t>Uzbekistan</t>
  </si>
  <si>
    <t>Turkmenistan</t>
  </si>
  <si>
    <t>Tajikistan</t>
  </si>
  <si>
    <t>Pakistan</t>
  </si>
  <si>
    <t>Nepal</t>
  </si>
  <si>
    <t>Maldives</t>
  </si>
  <si>
    <t>Macau</t>
  </si>
  <si>
    <t>Mongolia</t>
  </si>
  <si>
    <t>Myanmar</t>
  </si>
  <si>
    <t>Sri Lanka</t>
  </si>
  <si>
    <t>Laos</t>
  </si>
  <si>
    <t>Kazakhstan</t>
  </si>
  <si>
    <t>Cambodia</t>
  </si>
  <si>
    <t>Kyrgyzstan</t>
  </si>
  <si>
    <t>Hong Kong, China</t>
  </si>
  <si>
    <t>Bhutan</t>
  </si>
  <si>
    <t>Brunei Darussalam</t>
  </si>
  <si>
    <t>Bangladesh</t>
  </si>
  <si>
    <t>Afghanistan</t>
  </si>
  <si>
    <t>Other Asian countries</t>
  </si>
  <si>
    <t>Yemen</t>
  </si>
  <si>
    <t>Syria</t>
  </si>
  <si>
    <t>Saudi Arabia</t>
  </si>
  <si>
    <t>Qatar</t>
  </si>
  <si>
    <t>Oman</t>
  </si>
  <si>
    <t>Lebanon</t>
  </si>
  <si>
    <t>Kuwait</t>
  </si>
  <si>
    <t>Jordania</t>
  </si>
  <si>
    <t>Iran</t>
  </si>
  <si>
    <t>Iraq</t>
  </si>
  <si>
    <t>Georgia</t>
  </si>
  <si>
    <t>Bahrain</t>
  </si>
  <si>
    <t>Azerbaijan</t>
  </si>
  <si>
    <t>Armenia</t>
  </si>
  <si>
    <t>United Arab Emirates</t>
  </si>
  <si>
    <t>Near and Middle East</t>
  </si>
  <si>
    <t>Venezuela</t>
  </si>
  <si>
    <t>Uruguay</t>
  </si>
  <si>
    <t>Suriname</t>
  </si>
  <si>
    <t>Paraguay</t>
  </si>
  <si>
    <t>Peru</t>
  </si>
  <si>
    <t>Guyana</t>
  </si>
  <si>
    <t>Ecuador</t>
  </si>
  <si>
    <t>Colombia</t>
  </si>
  <si>
    <t>Bolivia</t>
  </si>
  <si>
    <t>South America</t>
  </si>
  <si>
    <t>Virgin Islands (British)</t>
  </si>
  <si>
    <t>Saint Vincent and the Grenadines</t>
  </si>
  <si>
    <t>Trinidad and Tobago</t>
  </si>
  <si>
    <t>El Salvador</t>
  </si>
  <si>
    <t>Panama</t>
  </si>
  <si>
    <t>Nicaragua</t>
  </si>
  <si>
    <t>Santa Lucia</t>
  </si>
  <si>
    <t>Cayman Islands</t>
  </si>
  <si>
    <t>Saint Kitts and Nevis</t>
  </si>
  <si>
    <t>Jamaica</t>
  </si>
  <si>
    <t>Haiti</t>
  </si>
  <si>
    <t>Honduras</t>
  </si>
  <si>
    <t>Guatemala</t>
  </si>
  <si>
    <t>Grenada</t>
  </si>
  <si>
    <t>Dominican Republic</t>
  </si>
  <si>
    <t>Dominica</t>
  </si>
  <si>
    <t>Cuba</t>
  </si>
  <si>
    <t>Costa Rica</t>
  </si>
  <si>
    <t>Belize</t>
  </si>
  <si>
    <t>Bahamas</t>
  </si>
  <si>
    <t>Barbados</t>
  </si>
  <si>
    <t>Aruba</t>
  </si>
  <si>
    <t>Anguilla</t>
  </si>
  <si>
    <t>Antigua and Barbuda</t>
  </si>
  <si>
    <t>Central America</t>
  </si>
  <si>
    <t>North America</t>
  </si>
  <si>
    <t>America</t>
  </si>
  <si>
    <t>Russian Federation</t>
  </si>
  <si>
    <t>Malta</t>
  </si>
  <si>
    <t>Macedonia</t>
  </si>
  <si>
    <t>Montenegro</t>
  </si>
  <si>
    <t>Moldova</t>
  </si>
  <si>
    <t>Monaco</t>
  </si>
  <si>
    <t>Liechtenstein</t>
  </si>
  <si>
    <t>Jersey</t>
  </si>
  <si>
    <t>Isle of Man</t>
  </si>
  <si>
    <t>Guernsey</t>
  </si>
  <si>
    <t>Gibraltar</t>
  </si>
  <si>
    <t>Faroe Islands</t>
  </si>
  <si>
    <t>Cyprus</t>
  </si>
  <si>
    <t>Belarus</t>
  </si>
  <si>
    <t>Bosnia and Herzegovina</t>
  </si>
  <si>
    <t>Albania</t>
  </si>
  <si>
    <t>Andorra</t>
  </si>
  <si>
    <t>EU27</t>
  </si>
  <si>
    <t>EU28</t>
  </si>
  <si>
    <t>World total except for the declaring country</t>
  </si>
  <si>
    <t>Partner country</t>
  </si>
  <si>
    <t>TOTAL BUSINESS SECTOR (sec B to S excl. O)</t>
  </si>
  <si>
    <t>Industry</t>
  </si>
  <si>
    <t>US Dollar, Millions</t>
  </si>
  <si>
    <t>Unit</t>
  </si>
  <si>
    <t>Economic variable</t>
  </si>
  <si>
    <t>Declaring country</t>
  </si>
  <si>
    <t>Dataset: Outward activity of multinationals by country of location - ISIC Rev 4</t>
  </si>
  <si>
    <t>Sorry, the query is too large to fit into the Excel cell. You will not be able to update your table with the .Stat Populator.</t>
  </si>
  <si>
    <t>Data extracted on 10 Feb 2018 03:48 UTC (GMT) from OECD.Stat</t>
  </si>
  <si>
    <t>Personnel costs</t>
  </si>
  <si>
    <t>Bermuda &amp; Car</t>
  </si>
  <si>
    <t>Havens</t>
  </si>
  <si>
    <t>Share havens in comp.</t>
  </si>
  <si>
    <t>Capital gains</t>
  </si>
  <si>
    <t>Share taxes paid by havens</t>
  </si>
  <si>
    <t>Share havens in equity investment</t>
  </si>
  <si>
    <t>Share havens in net income</t>
  </si>
  <si>
    <t>Data for each foreign affiliate are classified by country based on its country of location-that is, the country in which the affiliate's physical assets are located or in which its primary activity is carried out.  For years prior to 1999, the "&lt;em&gt;International&lt;/em&gt;" category consists of affiliates that have operations spanning more than one country and that are engaged in petroleum shipping, other water transportation, or offshore oil and gas drilling.  Beginning with the data for 1999, data for such affiliates are classified in the country of residence of the operator of the ship or equipment.</t>
  </si>
  <si>
    <t>The European Union (EU) includes an increasing number of member countries over time, and estimates for a specific period reflect the EU membership during that period. From 1982-1985, the member countries were collectively referred to as the European Communities and it included Belgium, Denmark, France, Germany (excluding the German Democratic Republic), Greece, Ireland, Italy, Luxembourg, Netherlands, and the United Kingdom. From 1986, it also includes Portugal and Spain. In 1992, the name European Union replaces European Communities. From 1995, it also includes Austria, Finland, and Sweden. From 2004, it also includes Cyprus, Czech Republic, Estonia, Hungary, Latvia, Lithuania, Malta, Poland, Slovakia, and Slovenia. From 2007, it also includes Bulgaria and Romania. From 2013, it also includes Croatia.</t>
  </si>
  <si>
    <t xml:space="preserve">  International - Drilling Rigs</t>
  </si>
  <si>
    <t xml:space="preserve">  International - Shipping</t>
  </si>
  <si>
    <t>Net Income</t>
  </si>
  <si>
    <t>U.S. Direct Investment Abroad,Majority-owned Nonbank Foreign Affiliates (data up to 2008),Net Income</t>
  </si>
  <si>
    <t>Data on activities of multinational enterprises (Feb 10 2018  1:27:24:393PM)</t>
  </si>
  <si>
    <t>Data users should be aware that the increase in most U.S. MNE activities from 2013 to 2014 appears to largely reflect the improved coverage of these activities in the 2014 Benchmark Survey of U.S. Direct Investment Abroad.  For more information see &lt;a href="http://www.bea.gov/international/pdf/usdia_2014p/USDIA 14-P Coverage Improvements.pdf"&gt;Improvements in Coverage.&lt;/a&gt;</t>
  </si>
  <si>
    <t>U.S. Direct Investment Abroad,All Majority-owned Foreign Affiliates (data for 2009 and forward),Net Income</t>
  </si>
  <si>
    <t>Data on activities of multinational enterprises (Feb 10 2018  1:33:51:590PM)</t>
  </si>
  <si>
    <t xml:space="preserve">  Depository credit intermediation (banking)</t>
  </si>
  <si>
    <t>Finance and insurance</t>
  </si>
  <si>
    <t xml:space="preserve">  Clothing and clothing accessories stores</t>
  </si>
  <si>
    <t xml:space="preserve">  General merchandise stores</t>
  </si>
  <si>
    <t>Retail trade</t>
  </si>
  <si>
    <t>By Industry of Affiliate Only (Major Industries) (NAICS) (Millions of Dollars) &lt;br/&gt;</t>
  </si>
  <si>
    <t>Data on activities of multinational enterprises (Feb 10 2018  1:40:28:020PM)</t>
  </si>
  <si>
    <t>Tax rate havens</t>
  </si>
  <si>
    <t>Share havens excl. NL in non-oil profits</t>
  </si>
  <si>
    <t>Tax rate non havens</t>
  </si>
  <si>
    <t>Tax rate all</t>
  </si>
  <si>
    <t>Non havens, excl. Oil</t>
  </si>
  <si>
    <t>Share oil in comp</t>
  </si>
  <si>
    <t xml:space="preserve">Oil (affiliate) </t>
  </si>
  <si>
    <t xml:space="preserve">Oil (affiliates) </t>
  </si>
  <si>
    <t>Oil (affiliates)</t>
  </si>
  <si>
    <t>Share oil in profits</t>
  </si>
  <si>
    <t>Share tax oil</t>
  </si>
  <si>
    <t>Taxes, excl. Oil</t>
  </si>
  <si>
    <t>Taxes, excl. Oil and havens</t>
  </si>
  <si>
    <t>Tax rate non-haven non oil</t>
  </si>
  <si>
    <t>Tax rate non oil</t>
  </si>
  <si>
    <t>USDIA equity income (no CCAdj)</t>
  </si>
  <si>
    <t>Memo: profit-type return of majority-owned affiliates (net of foreign taxes)</t>
  </si>
  <si>
    <t>Memo: profit-type return of majority-owned affiliates (gross of foreign taxes)</t>
  </si>
  <si>
    <t>Ratio majority-owned affiliate / BoP</t>
  </si>
  <si>
    <t>Share havens in after-tax profits</t>
  </si>
  <si>
    <t>Share oil in after-tax profits</t>
  </si>
  <si>
    <t>Holding companies</t>
  </si>
  <si>
    <t>Pre-tax profits / compensation ratio</t>
  </si>
  <si>
    <t>Pre-tax profits (after interest paid - received)</t>
  </si>
  <si>
    <t>After-tax profits (after interest paid - received)</t>
  </si>
  <si>
    <t>This double counts income because dividends received are included, but dividend paid are not subtracted</t>
  </si>
  <si>
    <t>Net income (after tax)</t>
  </si>
  <si>
    <t>Corporate income tax revenue, Ireland</t>
  </si>
  <si>
    <t>https://stats.oecd.org/Index.aspx?DataSetCode=REVIRL</t>
  </si>
  <si>
    <t>Euro dollar</t>
  </si>
  <si>
    <t>Tax rate (% of pre-tax income)</t>
  </si>
  <si>
    <t>Income from equity investment</t>
  </si>
  <si>
    <t>Share havens excl. NL in after-tax profits</t>
  </si>
  <si>
    <t>Share havens excl. NL in USDIA equity income</t>
  </si>
  <si>
    <t>2000 and 2001 values are negative, likely to be a mistake in the tabulations; I fix here</t>
  </si>
  <si>
    <t>Assumes net debt = 60% of DIA 1966-77</t>
  </si>
  <si>
    <t>(Bermuda and Car, BoP)</t>
  </si>
  <si>
    <t>Crude oil price, currrent $</t>
  </si>
  <si>
    <t>Source BP: https://www.bp.com/en/global/corporate/energy-economics/statistical-review-of-world-energy/downloads.html</t>
  </si>
  <si>
    <t>Tax rate oil</t>
  </si>
  <si>
    <t>Non havens excl. Oil</t>
  </si>
  <si>
    <t>Balance sheets</t>
  </si>
  <si>
    <t>Owner's equity minus investment in other affiliates</t>
  </si>
  <si>
    <t>Other assets net of liabilities</t>
  </si>
  <si>
    <t>Owner's equity</t>
  </si>
  <si>
    <t>Investment in other affiliates</t>
  </si>
  <si>
    <t>Returns</t>
  </si>
  <si>
    <t>Non-havens excl. Oil</t>
  </si>
  <si>
    <t>Lux, NL, Carib</t>
  </si>
  <si>
    <t>Pre-tax profits / owner's equity minus investment in affiliaties</t>
  </si>
  <si>
    <t>Ireland, Switzerland, Singapore</t>
  </si>
  <si>
    <t>Of which: income from equity investment other than from affiliates</t>
  </si>
  <si>
    <t>Pre-tax profits incl. KG and dividends from non-afiliaties / owner's equity minus investment in affiliaties</t>
  </si>
  <si>
    <t>Memo: UK</t>
  </si>
  <si>
    <t>U.K.</t>
  </si>
  <si>
    <t>Non-havens excluding oil</t>
  </si>
  <si>
    <t>Luxembourg, Netherlands, Carribbean</t>
  </si>
  <si>
    <t>Carribbean</t>
  </si>
  <si>
    <t>Number of employees</t>
  </si>
  <si>
    <t>Compensation per employee</t>
  </si>
  <si>
    <t>Capital share</t>
  </si>
  <si>
    <t>Chemicals</t>
  </si>
  <si>
    <t>Other</t>
  </si>
  <si>
    <t>Compensation by industry</t>
  </si>
  <si>
    <t>Computed and electronic products</t>
  </si>
  <si>
    <t>Finance</t>
  </si>
  <si>
    <t>Professional, scientific and technical service</t>
  </si>
  <si>
    <t>Bermuda and Carribbean</t>
  </si>
  <si>
    <t>Pre-tax profit by industry</t>
  </si>
  <si>
    <t>Net interest (paid - received)</t>
  </si>
  <si>
    <t>1966 MOFA</t>
  </si>
  <si>
    <t>In 1977, 1982, 1989: only equity investment in foreign affiliates. Equity investment from non affiliates is small. 1966: "dividends from affiliates + other income"</t>
  </si>
  <si>
    <t>1966 survey (MOFA)</t>
  </si>
  <si>
    <t>1970 survey (MOFA)</t>
  </si>
  <si>
    <t>MOFA / US domestic</t>
  </si>
  <si>
    <t>Memo: compensation in US domestic corp sector</t>
  </si>
  <si>
    <t>1966 all</t>
  </si>
  <si>
    <t>% total MOFA comp of employees</t>
  </si>
  <si>
    <t>Breakdown is only available for main regions (Canada, Europe, etc). Here impute interest on net debt (based on debt return before 1994 and asset return after for havens, and asset return for non havens throughout); before 1977: based on "Selected data on US direct investment abroad, 1950-76", BEA 1982 (see formula)</t>
  </si>
  <si>
    <t>Oil, USDIA income withou CCAdj (after-tax)</t>
  </si>
  <si>
    <t>Oil, USDIA equity income without CCAdj (tafter-tax)</t>
  </si>
  <si>
    <t>Share oil in USDIA income (after tax)</t>
  </si>
  <si>
    <t>Memo: pre-tax profits / comp, domestic US corp sector</t>
  </si>
  <si>
    <t>Add results of benhcmark surveys in 1950 and 1957</t>
  </si>
  <si>
    <t>Non oil</t>
  </si>
  <si>
    <t>Of which: from oil</t>
  </si>
  <si>
    <t>(Share from oil)</t>
  </si>
  <si>
    <t>Excl. Oil</t>
  </si>
  <si>
    <t>Taxes paid by US firms (excl oil), % Irish corporate tax revenue</t>
  </si>
  <si>
    <t>Of which: non-oil</t>
  </si>
  <si>
    <t>Non-oil</t>
  </si>
  <si>
    <t>Of which: non oil</t>
  </si>
  <si>
    <t>Of which: from non oil</t>
  </si>
  <si>
    <t>Ireland non oil, % total after-tax profits</t>
  </si>
  <si>
    <t>Luxembourg non oil, % total after-tax profits</t>
  </si>
  <si>
    <t>Switzerland non oil, % total after-tax profits</t>
  </si>
  <si>
    <t>Netherlands non oil, % total after-tax profits</t>
  </si>
  <si>
    <t>Bermuda and Carib. non oil, % total after-tax profits</t>
  </si>
  <si>
    <t>Singapore non oil, % total after-tax profits</t>
  </si>
  <si>
    <t>Share havens (less oil) in after-tax non-oil profits</t>
  </si>
  <si>
    <t>Share havens (less oil) in non oil pre-tax profits</t>
  </si>
  <si>
    <t>Bermuda and Car</t>
  </si>
  <si>
    <t>Netherlands + Luxembourg</t>
  </si>
  <si>
    <t>Share havens in pre-tax profits</t>
  </si>
  <si>
    <t>Share havens (less oil) in pre-tax profits</t>
  </si>
  <si>
    <t>Havens excl. Oil</t>
  </si>
  <si>
    <t>Of which: on oil</t>
  </si>
  <si>
    <t>Tax rate haven non oil</t>
  </si>
  <si>
    <t>Non havens excluding oil</t>
  </si>
  <si>
    <t>w</t>
  </si>
  <si>
    <t>r</t>
  </si>
  <si>
    <t>K/wL</t>
  </si>
  <si>
    <t>α/(1-α)</t>
  </si>
  <si>
    <t>π</t>
  </si>
  <si>
    <t>1-p</t>
  </si>
  <si>
    <t>Taxable profits / comp</t>
  </si>
  <si>
    <t>Comp</t>
  </si>
  <si>
    <t>Pre-tax profits</t>
  </si>
  <si>
    <t>Affiliates of U.S. MNEs in France</t>
  </si>
  <si>
    <t>Rate</t>
  </si>
  <si>
    <t>France vs. United States, 2014. Majority-owned affiliates</t>
  </si>
  <si>
    <t>Sales</t>
  </si>
  <si>
    <t xml:space="preserve">France /US </t>
  </si>
  <si>
    <t>US FDI foreign profits, share of all corporate profits</t>
  </si>
  <si>
    <t>Share holding companies</t>
  </si>
  <si>
    <t>RawData</t>
  </si>
  <si>
    <t>Last revised: July 28, 2017</t>
  </si>
  <si>
    <t>Memo: S corporation dividends included in NIPA corporate dividends / NIPA corp profits</t>
  </si>
  <si>
    <t>International macro accounts</t>
  </si>
  <si>
    <t>IIP = international investment position (from BEA)</t>
  </si>
  <si>
    <t>ITA = international transaction accounts (from BEA)</t>
  </si>
  <si>
    <t>National accounts</t>
  </si>
  <si>
    <t>NIPA = national income and product accounts (from BEA)</t>
  </si>
  <si>
    <t>Activities of multinational enterprises</t>
  </si>
  <si>
    <t>FDIUS = Foreign direct investment in the US (from BEA – uses BoP/IIP concepts)</t>
  </si>
  <si>
    <t>USDIA = U.S. direct investment abroad (from BEA -- uses BoP/IIP concepts)</t>
  </si>
  <si>
    <t>FOMA = foreign-owned majority affiliates of foreign firms (from BEA activities of multinational enterprises)</t>
  </si>
  <si>
    <t>MOFA = majority-owned affiliates of US companies (from BEA activities of multinational enterprises)</t>
  </si>
  <si>
    <t>Downloaded / updated Jan-Feb-March 2018</t>
  </si>
  <si>
    <t xml:space="preserve">OECD: outward activities of U.S. multinationals enterprises (from OECD). </t>
  </si>
  <si>
    <t>(First created May 2014 for JEP)</t>
  </si>
  <si>
    <t>Share of S corp profits in total corp profits has fallen since 2000 due to upsurge of C-corp retained earnings</t>
  </si>
  <si>
    <t>Foreign taxes paid</t>
  </si>
  <si>
    <t>Credits for foreign taxes, from IRS from 1118</t>
  </si>
  <si>
    <t>Taxes paid, accrued, and deemed paid to foreign countries on IRS form 1118</t>
  </si>
  <si>
    <t>Foreign income taxes paid by majority-owned foreign affiliates (BEA)</t>
  </si>
  <si>
    <t>Source Tax Policy Center http://www.taxpolicycenter.org/taxfacts/content/pdf/corporate_historical_bracket.pdf. Does not include excess profit taxes during World Wars</t>
  </si>
  <si>
    <t>5 yrs moving average</t>
  </si>
  <si>
    <t>Before 2006: net of withholding taxes.  In contrast, the statistics on direct investment income and services transactions in the main presentation of the U.S. international transactions accounts are gross of withholding taxes. Reconciliation of country-by-country breakdowns with headline totals explained here (last para): https://www.bea.gov/international/note_on_itable_01.htm. Reverse dividends payments (from parents to affiliates) are not recorded by BEA as they are negligible, so for equities directional basis = asset / liability basis. Country breakdowns give the country with which the U.S. parent has the most direct link (hence prominent role of Netherlands): "Statistics on the outward position and related flows are allocated to the industries and countries of the affiliates with which the U.S. parent companies have direct transactions and positions, which may differ from the industries and countries of the affiliates whose operations the parents ultimately own or control. This convention follows international statistical guidelines in the Balance of Payments and International Investment Position Manual," (https://www.bea.gov/scb/pdf/2012/07%20July/0712_dip.pdf p. 22). This is in contrast to the BEA survey: "Data from BEA’s surveys of the operations of U.S. parent companies and their foreign affiliates suggest the degree to which indirect ownership structures may affect the country and industry distributions of the outward position data. The statistics on the operations of these affiliates are classified in the country where the affiliate’s physical assets are located or where its primary activity is carried out..." (but they are not consolidated)</t>
  </si>
  <si>
    <t>Breakdown equity/interest is only available for main regions (Canada, Europe, etc), we construct estimations by subtracting imputed net interest payment form DI income</t>
  </si>
  <si>
    <t>&gt;&gt; roughly what's taxable as deemed repatriated (with scaled-down credits for foreign taxes)</t>
  </si>
  <si>
    <t>But amounts not very large; unclear whether includes short-term debt of &lt;1 yr = what is used for repatriation</t>
  </si>
  <si>
    <t>Foreign asset s market value</t>
  </si>
  <si>
    <t>Foreign liabilities market value</t>
  </si>
  <si>
    <t>Before 1975: from Gourinchas-Rey 2007, series PDIA</t>
  </si>
  <si>
    <t>Before 1975: from Gourinchas-Rey 2007, series PDIL</t>
  </si>
  <si>
    <t>Before 1975: from Gourinchas-Rey 2007 series PA</t>
  </si>
  <si>
    <t>Before 1975: from Gourinchas-Rey 2007 series PL</t>
  </si>
  <si>
    <t>Net inv. income received, % of NI</t>
  </si>
  <si>
    <t>Before 1982: including KG, excluding CCAdj</t>
  </si>
  <si>
    <t>With CCAdj since 1982. Without before. Source 1966-1981: https://www.bea.gov/international/di1usdbal.htm  Before 1960: from "Selected Data on US Direct Invstment Abroad 1950-76", BEA 1981, Table 5</t>
  </si>
  <si>
    <t>No decomposition by sector available online before 1999 (but probably available in paper pub) (decomposition available for DI position, cf. Barefoot et al 2012 Chart A p. 22)</t>
  </si>
  <si>
    <t>Return on DI equitiy assets (at market-value), no CCAdj</t>
  </si>
  <si>
    <t>Return on DI equity liab (at MV), no CCAdj</t>
  </si>
  <si>
    <t>Return on DI equitiy assets (at current cost), no CCAdj</t>
  </si>
  <si>
    <t>Return on DI equitiy assets (at histo cost), no CCAdj</t>
  </si>
  <si>
    <t>Memo: dividends paid by the US</t>
  </si>
  <si>
    <t>DI dividend paid / all dividends paid</t>
  </si>
  <si>
    <t>FDIUS equity income (no CCAdj)</t>
  </si>
  <si>
    <t>Return on DI equitiy liab (at current cost), no CCAdj</t>
  </si>
  <si>
    <t>Return on DI equitiy liab (at histo cost), no CCAdj</t>
  </si>
  <si>
    <t>Assume 0 net debt &amp; net interest on FDIUS before 1978</t>
  </si>
  <si>
    <t>With CCAdj. Before 1982: from NIPA which treats Puerto Rico as foreign (contrary to international macro accounts which treat Puerto Rico as domestic), so small discrepancy that we neglected here.</t>
  </si>
  <si>
    <t>Memo: retained earnings in NIPA (treats Puerto Rico as foreign contrary to Intl)</t>
  </si>
  <si>
    <t>Memo: implied retained earnings in Puerto Rico</t>
  </si>
  <si>
    <t>Different treatment of Puerto Rico: see https://www.bea.gov/faq/index.cfm?faq_id=1188</t>
  </si>
  <si>
    <t>DI return differential, MV</t>
  </si>
  <si>
    <t>DI return differential, current cost</t>
  </si>
  <si>
    <t>&gt;&gt;&gt; Problem of returns computation: denominator is quite sensitive to valuation method. Better to look at proift/comp ratio</t>
  </si>
  <si>
    <t xml:space="preserve">&gt;&gt;&gt;&gt; problem of MV = ill defined for USDIA. </t>
  </si>
  <si>
    <t>Tax rates</t>
  </si>
  <si>
    <t>Tax rate on pre-tax MOFA profits, excl. Oil</t>
  </si>
  <si>
    <t>Tax rate on pre-tax MOFA profits</t>
  </si>
  <si>
    <t>DI equity asset yield (incl. CCAdj)</t>
  </si>
  <si>
    <t>Flows with CCAdj, stocks at current cost</t>
  </si>
  <si>
    <t>This is indeed what BEA survey shows: assets in non havens = mostly plant and equipment; assets in havens = mostly financial assets</t>
  </si>
  <si>
    <t>Gold assets</t>
  </si>
  <si>
    <t xml:space="preserve">        Special drawing rights allocations</t>
  </si>
  <si>
    <t xml:space="preserve">        Trade credit and advances</t>
  </si>
  <si>
    <t xml:space="preserve">        Insurance technical reserves</t>
  </si>
  <si>
    <t xml:space="preserve">        Loans</t>
  </si>
  <si>
    <t xml:space="preserve">        Currency and deposits</t>
  </si>
  <si>
    <t xml:space="preserve">        Exchange-traded contracts</t>
  </si>
  <si>
    <t xml:space="preserve">          Other contracts</t>
  </si>
  <si>
    <t xml:space="preserve">          Foreign exchange contracts</t>
  </si>
  <si>
    <t xml:space="preserve">          Single-currency interest rate contracts</t>
  </si>
  <si>
    <t xml:space="preserve">        Over-the-counter contracts</t>
  </si>
  <si>
    <t xml:space="preserve">            Other long-term securities</t>
  </si>
  <si>
    <t xml:space="preserve">            Treasury bonds and notes</t>
  </si>
  <si>
    <t xml:space="preserve">          Long term</t>
  </si>
  <si>
    <t xml:space="preserve">            Other short-term securities</t>
  </si>
  <si>
    <t xml:space="preserve">            Treasury bills and certificates</t>
  </si>
  <si>
    <t xml:space="preserve">          Short term</t>
  </si>
  <si>
    <t xml:space="preserve">        Debt securities</t>
  </si>
  <si>
    <t xml:space="preserve">        Equity and investment fund shares</t>
  </si>
  <si>
    <t xml:space="preserve">        Debt instruments</t>
  </si>
  <si>
    <t xml:space="preserve">        Equity</t>
  </si>
  <si>
    <t xml:space="preserve">      Financial derivatives other than reserves, gross negative fair value (line 50)</t>
  </si>
  <si>
    <t xml:space="preserve">      Liabilities excluding financial derivatives (sum of lines 38, 41, and 56)</t>
  </si>
  <si>
    <t xml:space="preserve">          Other claims</t>
  </si>
  <si>
    <t xml:space="preserve">          Financial derivatives</t>
  </si>
  <si>
    <t xml:space="preserve">          Securities</t>
  </si>
  <si>
    <t xml:space="preserve">          Currency and deposits</t>
  </si>
  <si>
    <t xml:space="preserve">        Other reserve assets</t>
  </si>
  <si>
    <t xml:space="preserve">        Reserve position in the International Monetary Fund</t>
  </si>
  <si>
    <t xml:space="preserve">        Special drawing rights</t>
  </si>
  <si>
    <t xml:space="preserve">        Monetary gold</t>
  </si>
  <si>
    <t xml:space="preserve">      Financial derivatives other than reserves, gross positive fair value (line 15)</t>
  </si>
  <si>
    <t xml:space="preserve">      Assets excluding financial derivatives (sum of lines 7, 10, 21, and 26)</t>
  </si>
  <si>
    <t xml:space="preserve">    Financial derivatives other than reserves, net (line 6 less line 37)</t>
  </si>
  <si>
    <t xml:space="preserve">    Net international investment position excluding financial derivatives (line 5 less line 36)</t>
  </si>
  <si>
    <t>U.S. net international investment position (line 4 less line 35)</t>
  </si>
  <si>
    <t>Table 1.2. U.S. Net International Investment Position at the End of the Period, Expanded Detail</t>
  </si>
  <si>
    <t>Excl. Gold</t>
  </si>
  <si>
    <t>Excl. Gold. Before 1975: from Gourinchas-Rey 2007</t>
  </si>
  <si>
    <t>1970 and before: historicla statistics of the United States series X 438-443</t>
  </si>
  <si>
    <t>Share oil (excl. Havens) in profits</t>
  </si>
  <si>
    <t>Share havens excl. Oil in after-tax profits</t>
  </si>
  <si>
    <t>After tax profits / comp</t>
  </si>
  <si>
    <t>Havens (excl. Oil)</t>
  </si>
  <si>
    <t>Non-haven, non oil</t>
  </si>
  <si>
    <t>(i) Two figures are sometimes available: foreign tax credit claimed, and foreign tax credit claimed for returns with form 1118 filed. In practice the difference is negligible as almost all corp with foreign income file form 1118 (less than 1% since 1965, a bit higher before). Here we report whatever figure is available. (ii)  Figures on IRS form 1118 Include all income and taxes of foreign branches, plus the fraction of the income of CFC distributed to the U.S. parent (and the corresponding fraction of foreign taxes paid), for US firms that claim credit (virtually all firms with foreign operations)</t>
  </si>
  <si>
    <t>Aramco full nationalization in 1980 (hence capital loss in 1980 in Saudi Arabia)</t>
  </si>
  <si>
    <t>Big drop in 1980 = Aramco nationalization</t>
  </si>
  <si>
    <t>Foreign taxes paid IRS / BEA</t>
  </si>
  <si>
    <t xml:space="preserve">NB: since 2007 an before 1976 this is exactly equal to "foreign tax credit claim" from IRS form 1118. From 1976 to 2006, this is slightly bigger than IRS 1118 total, unclear why. </t>
  </si>
  <si>
    <t xml:space="preserve">BEFORE reduction for certain foreign taxes not creditable. Beginning in 1976, U.S. corporations were not allowed to include all of the taxes paid on foreign oil and gas extraction taxable income in the computation of their foreign tax credit. Those taxes excluded from the computation of the foreign tax credit were taxes in excess of the U.S. tax rate applicable to the foreign oil and gas extraction taxable income. For 1978, corporations primarily engaged in petroleum-related activities were required to exclude $7.5 billion of foreign taxes paid on foreign oil and gas extraction taxable income. Thus, the foreign oil and gas extraction taxes in excess of 48 percent of the foreign oil and gas extraction taxable income were reduced to the 48 percent rate, which was equivalent to the basic U.S. corporate tax rate for 1978.
 Data on foreign taxes available for credits are not available for 1975, 1977, and 1979; we impute values (see formulas)
</t>
  </si>
  <si>
    <t>AFTER reduction for certain foreign taxes not creditable. NB: in 2005 foreign taxes were creditable against the low 5.25% rate, but not fully, so lots of non-oil related "reductions for certain foreign taxes"</t>
  </si>
  <si>
    <t>Memo: Carryover of prior year foreign taxes</t>
  </si>
  <si>
    <t xml:space="preserve">Always excluded from taxes paid, accrued, and deemed paid. </t>
  </si>
  <si>
    <t>% of IRS taxes excl. Oil</t>
  </si>
  <si>
    <t>Leftwich (1974) Table 7 has 49% rate for oil-MOFA in 1966. Difference is he doesn't remove equity income from equity investment in in net income. Adding income from equity investment would give us a rate of 52%. Same in 1970.</t>
  </si>
  <si>
    <t>% of IRS taxes on Oil</t>
  </si>
  <si>
    <t>% IRS</t>
  </si>
  <si>
    <t>Oil in USDIA</t>
  </si>
  <si>
    <t xml:space="preserve">Share oil in equity investment </t>
  </si>
  <si>
    <t>Oil net income, excluding income from equity inv</t>
  </si>
  <si>
    <t>Oil excl. Equity inv MOFA / oil USDIA</t>
  </si>
  <si>
    <t>Gap</t>
  </si>
  <si>
    <t>Taxes FOMA / FDIUS assets current cost</t>
  </si>
  <si>
    <t>Taxes MOFA non -oil / USDIA assets current cost</t>
  </si>
  <si>
    <t>Tax on pre-tax USDIA profits (excl Oil) / USDIA assets current cost</t>
  </si>
  <si>
    <t>Pre-tax vs. Post-tax returns on DI equity at current cost (position at current cost)</t>
  </si>
  <si>
    <t>Return on DI equity assets, pre-tax</t>
  </si>
  <si>
    <t>Return on DI equity assets, post-tax</t>
  </si>
  <si>
    <t>Return on DI equity liabilities, post-tax</t>
  </si>
  <si>
    <t>Returns differential post-tax</t>
  </si>
  <si>
    <t>[1]</t>
  </si>
  <si>
    <t>[2]</t>
  </si>
  <si>
    <t>[3]</t>
  </si>
  <si>
    <t>[4]</t>
  </si>
  <si>
    <t>[5]</t>
  </si>
  <si>
    <t>[6]</t>
  </si>
  <si>
    <t>[7]</t>
  </si>
  <si>
    <r>
      <rPr>
        <sz val="12"/>
        <color theme="1"/>
        <rFont val="Arial"/>
        <family val="2"/>
      </rPr>
      <t>Billion c</t>
    </r>
    <r>
      <rPr>
        <sz val="12"/>
        <color theme="1"/>
        <rFont val="Arial"/>
        <family val="2"/>
      </rPr>
      <t>urrent US$</t>
    </r>
  </si>
  <si>
    <t>Table A.1: Profits of U.S. multinationals abroad</t>
  </si>
  <si>
    <t>USDIA equity income</t>
  </si>
  <si>
    <t>Direct investment</t>
  </si>
  <si>
    <t>Majority-owned foreign affiliates</t>
  </si>
  <si>
    <t xml:space="preserve">After-tax profits </t>
  </si>
  <si>
    <t>Tax rate</t>
  </si>
  <si>
    <t>Net income</t>
  </si>
  <si>
    <t>Minus: capital gains</t>
  </si>
  <si>
    <t>Minus: other</t>
  </si>
  <si>
    <t>Memo: profits USDIA / MOFA</t>
  </si>
  <si>
    <t>[8]</t>
  </si>
  <si>
    <t>[9]</t>
  </si>
  <si>
    <t>[10]</t>
  </si>
  <si>
    <t>[11]</t>
  </si>
  <si>
    <t>[12]</t>
  </si>
  <si>
    <t>Plus:             Imputed foreign taxes</t>
  </si>
  <si>
    <t>Equals:            pre-tax USDIA equity income</t>
  </si>
  <si>
    <t>Minus: income from equity investments</t>
  </si>
  <si>
    <t>FDIUS equity income</t>
  </si>
  <si>
    <t>Plus:             Imputed U.S. taxes</t>
  </si>
  <si>
    <t>Equals:            pre-tax FDIUS equity income</t>
  </si>
  <si>
    <t>Data from BEA survey of the U.S. operations of foreign multinataionals</t>
  </si>
  <si>
    <t>Compensation paid</t>
  </si>
  <si>
    <t>Profit-type return</t>
  </si>
  <si>
    <t>Net interest paid</t>
  </si>
  <si>
    <t>Taxes paid</t>
  </si>
  <si>
    <t>Income from equity investments</t>
  </si>
  <si>
    <t>Capital gains/losses</t>
  </si>
  <si>
    <t>Memo: income from equity investments</t>
  </si>
  <si>
    <t>U.S. income taxes</t>
  </si>
  <si>
    <t>Income taxes paid</t>
  </si>
  <si>
    <t>[13]</t>
  </si>
  <si>
    <t>Memo: profits FDIUS / MOUS</t>
  </si>
  <si>
    <t>All non-bank affiliates</t>
  </si>
  <si>
    <t>Majority owned non-bank affiliates</t>
  </si>
  <si>
    <t>Majority owned affiliates (all sectors since 2007, non-bank only before)</t>
  </si>
  <si>
    <t>1970-79</t>
  </si>
  <si>
    <t>2010-15</t>
  </si>
  <si>
    <t>1966-69</t>
  </si>
  <si>
    <t>Minus:          capital gains</t>
  </si>
  <si>
    <t>Tax rate non-oil</t>
  </si>
  <si>
    <t>Billion US$</t>
  </si>
  <si>
    <t>[14]</t>
  </si>
  <si>
    <t>[15]</t>
  </si>
  <si>
    <r>
      <rPr>
        <u/>
        <sz val="12"/>
        <color theme="1"/>
        <rFont val="Arial"/>
        <family val="2"/>
      </rPr>
      <t>Notes</t>
    </r>
    <r>
      <rPr>
        <sz val="12"/>
        <color theme="1"/>
        <rFont val="Arial"/>
        <family val="2"/>
      </rPr>
      <t xml:space="preserve">: </t>
    </r>
  </si>
  <si>
    <t>What is hard to understand is the high yield in non-havens (which implies a very high yield pre-tax in those countries). Part of it is oil, but not in late 1980s (small)</t>
  </si>
  <si>
    <t>Return on DI equitiy assets (at market-value) excl oil, no CCAdj</t>
  </si>
  <si>
    <t>1964-: "Other industries" (more likely that holding companies are in "finance and inurance", though)</t>
  </si>
  <si>
    <t>Missing petroleum income recorded in holdings. In 1974 we assume that 80% of the increase in USDIA is from oil (the recorded petroleum income is 6.965 but this misses income in holdings, in particular in the Caribbean, classified as "finance and insurance income")</t>
  </si>
  <si>
    <t>Table A.2: Profits of U.S. multinationals abroad: oil vs. non-oil sectors</t>
  </si>
  <si>
    <t>Table A.3: Profits of U.S. multinationals abroad, excluding oil: havens vs. non-haven affiliates</t>
  </si>
  <si>
    <t>Non-haven affiliates (excluding oil)</t>
  </si>
  <si>
    <t>Tax rate non-havens</t>
  </si>
  <si>
    <t>Share oil in pre-tax profits</t>
  </si>
  <si>
    <t>Share havens in all after-tax profits</t>
  </si>
  <si>
    <t>Share havens in all pre-tax profits</t>
  </si>
  <si>
    <t>Table A.4: Profits of foreign multinationals in the United States</t>
  </si>
  <si>
    <t>Assets</t>
  </si>
  <si>
    <t>Liabilities</t>
  </si>
  <si>
    <t>Equity assets</t>
  </si>
  <si>
    <t>Loans from US parents to foreign subs</t>
  </si>
  <si>
    <t>Loans from US subs to foreign parents</t>
  </si>
  <si>
    <t>USDIA assets (directional basis)</t>
  </si>
  <si>
    <t>Loans from foreign parents to US subs</t>
  </si>
  <si>
    <t>Loans from foreign subs to U.S. parents</t>
  </si>
  <si>
    <t>FDIUS liabilities (directional basis)</t>
  </si>
  <si>
    <t>Share debt in assets</t>
  </si>
  <si>
    <t>Share debt in liabilities</t>
  </si>
  <si>
    <t>Equity liabilities</t>
  </si>
  <si>
    <t>directional basis</t>
  </si>
  <si>
    <t>Asset / liability basis</t>
  </si>
  <si>
    <t>Tax haven rate</t>
  </si>
  <si>
    <t>Share havens in non-oil pre-tax profits</t>
  </si>
  <si>
    <t>Share havens in non-oil after-tax profits</t>
  </si>
  <si>
    <t>Tax haven affiliates (excluding oil)</t>
  </si>
  <si>
    <r>
      <rPr>
        <u/>
        <sz val="12"/>
        <color theme="1"/>
        <rFont val="Arial"/>
        <family val="2"/>
      </rPr>
      <t>Notes</t>
    </r>
    <r>
      <rPr>
        <sz val="12"/>
        <color theme="1"/>
        <rFont val="Arial"/>
        <family val="2"/>
      </rPr>
      <t xml:space="preserve">: Tax havens include Bermuda, Caribbean tax havens, Ireland, Luxembourg, Netherlands, Singapore, and Switzerland. </t>
    </r>
  </si>
  <si>
    <t>Equity income</t>
  </si>
  <si>
    <t>Interest received by US parents</t>
  </si>
  <si>
    <t>Interest received by US subsidiaries</t>
  </si>
  <si>
    <t xml:space="preserve">Interest paid by US subsidiaries </t>
  </si>
  <si>
    <t>Interest paid by US parents</t>
  </si>
  <si>
    <r>
      <rPr>
        <u/>
        <sz val="12"/>
        <color theme="1"/>
        <rFont val="Arial"/>
        <family val="2"/>
      </rPr>
      <t>Notes</t>
    </r>
    <r>
      <rPr>
        <sz val="12"/>
        <color theme="1"/>
        <rFont val="Arial"/>
        <family val="2"/>
      </rPr>
      <t>: Income is without current-cost adjustment</t>
    </r>
  </si>
  <si>
    <t>Equity return differential</t>
  </si>
  <si>
    <r>
      <rPr>
        <u/>
        <sz val="12"/>
        <color theme="1"/>
        <rFont val="Arial"/>
        <family val="2"/>
      </rPr>
      <t>Notes</t>
    </r>
    <r>
      <rPr>
        <sz val="12"/>
        <color theme="1"/>
        <rFont val="Arial"/>
        <family val="2"/>
      </rPr>
      <t>: Equities are at current cost.</t>
    </r>
  </si>
  <si>
    <t>DI equity assets, historical cost</t>
  </si>
  <si>
    <t>DI equity assets, current cost</t>
  </si>
  <si>
    <t>DI equity assets, market value</t>
  </si>
  <si>
    <t>Memo: US subs debt claims / US subs equity liab at current cost</t>
  </si>
  <si>
    <t>DI assets current cost (directional basis)</t>
  </si>
  <si>
    <t>DI assets (asset / liability basis)</t>
  </si>
  <si>
    <t>DI liabilities  (asset / liability basis)</t>
  </si>
  <si>
    <t>DI liabilities, current cost (asset / liability basis)</t>
  </si>
  <si>
    <t>Debt of US parents to foreign subs, % of loans of US parents to foreign subs</t>
  </si>
  <si>
    <t>Memo: US sub debt claims / US subs debt liabilities</t>
  </si>
  <si>
    <t>Memo: FDIUS inflows, current cost</t>
  </si>
  <si>
    <t>Change in DI liabilities at current cost</t>
  </si>
  <si>
    <t>USDIA outflows, current cost</t>
  </si>
  <si>
    <t>Change in DI assets current cost (directional basis)</t>
  </si>
  <si>
    <t>DI assets current cost (asset/liability basis)</t>
  </si>
  <si>
    <t>Beofre 1979: assume constant fraction of DI liabilities at current cost</t>
  </si>
  <si>
    <t>Assume constant share of FDI assets at current cost before 1977 (and remove borrowing from Nethld Antilles affiliates in 76 and before, consistent with published DI stats which treated it as PI before 77)</t>
  </si>
  <si>
    <t>Before 1976, borrowing from Netherlands Antilles affiliates is treated as portoflio inv (no negative debt on DI assets), so we remove this borrowing here in 76 and before</t>
  </si>
  <si>
    <t>1977-1981: assume 0 net debt outflows (inflows from Netherlands Antilles match outflows); before 1977: assume debt stock constant % of FDI assets</t>
  </si>
  <si>
    <t>Share debt in gross USDIA assets</t>
  </si>
  <si>
    <t>Share debt in gross FDIUS liabilities</t>
  </si>
  <si>
    <t>1982 decline possibly due to change of methodology (https://www.bea.gov/international/diamet82.htm)</t>
  </si>
  <si>
    <t>Table A.5: Direct investment positions at current cost: equity vs. debt</t>
  </si>
  <si>
    <t>Table A.6: Direct investment income: equity vs. interest</t>
  </si>
  <si>
    <t>Gross debt return differential</t>
  </si>
  <si>
    <t>Investment income received (asset / liability basis)</t>
  </si>
  <si>
    <t>Oil sector</t>
  </si>
  <si>
    <t>Oil adjustment</t>
  </si>
  <si>
    <t>Equity assets at current cost</t>
  </si>
  <si>
    <t>Equity assets at historical cost</t>
  </si>
  <si>
    <t>Equity assets at market value</t>
  </si>
  <si>
    <t>Balance of Payments and Direct Investment Position Data (Mar 18 2018  7:29:08:190PM)</t>
  </si>
  <si>
    <t>Net debt oil sector</t>
  </si>
  <si>
    <t>Oil differential</t>
  </si>
  <si>
    <t>Impact of removing oil</t>
  </si>
  <si>
    <t>1966-2016</t>
  </si>
  <si>
    <t>Non oil sector</t>
  </si>
  <si>
    <t>Assets at historical cost</t>
  </si>
  <si>
    <t>Minus: Equity investments in affiliates</t>
  </si>
  <si>
    <t>Assets at historical cost, oil</t>
  </si>
  <si>
    <t>USDIA equity assets historical cost</t>
  </si>
  <si>
    <t>Memo: assets USDIA / MOFA</t>
  </si>
  <si>
    <t>1966-1989</t>
  </si>
  <si>
    <t>1990-2016</t>
  </si>
  <si>
    <t>Pre-tax return</t>
  </si>
  <si>
    <t>US rate (federal + State)</t>
  </si>
  <si>
    <t>Impact of taxes (US rate)</t>
  </si>
  <si>
    <t>Post-tax, non-haven non-oil rate</t>
  </si>
  <si>
    <t>Non oil, no shifting</t>
  </si>
  <si>
    <t>U.S. rate adjustment</t>
  </si>
  <si>
    <t>Impact of profit-shifting</t>
  </si>
  <si>
    <t>Post U.S. taxes</t>
  </si>
  <si>
    <t>Non-haven, non-oil rate</t>
  </si>
  <si>
    <t>Memo: tax rates</t>
  </si>
  <si>
    <t>Profit-shifting adjustment</t>
  </si>
  <si>
    <t>Capital structure adjustment</t>
  </si>
  <si>
    <t>Interest paid on debt</t>
  </si>
  <si>
    <t>Interest paid on debt if same capital structure</t>
  </si>
  <si>
    <t>Impact of lower debt</t>
  </si>
  <si>
    <t>Interest rate adjustment</t>
  </si>
  <si>
    <t>Interest paid on debt if same capital structure &amp; same interest rate</t>
  </si>
  <si>
    <t>Raw equity return differential</t>
  </si>
  <si>
    <t>Final equity liability return</t>
  </si>
  <si>
    <t>Capital-structure corrected equity liability return</t>
  </si>
  <si>
    <t>Corrected differential</t>
  </si>
  <si>
    <t>Equity liabilities at current cost</t>
  </si>
  <si>
    <t>Equity liabilities at market value</t>
  </si>
  <si>
    <t>Workforce</t>
  </si>
  <si>
    <t>Average employee compensation</t>
  </si>
  <si>
    <t>Net operating surplus</t>
  </si>
  <si>
    <t>K</t>
  </si>
  <si>
    <t>L</t>
  </si>
  <si>
    <t xml:space="preserve">Operating surplus / comp.        </t>
  </si>
  <si>
    <t>Physical capital</t>
  </si>
  <si>
    <t>Physical capital / wages</t>
  </si>
  <si>
    <t>Operating surplus / Physical K</t>
  </si>
  <si>
    <t>α</t>
  </si>
  <si>
    <t>Tax haven affiliates</t>
  </si>
  <si>
    <t>Thousands</t>
  </si>
  <si>
    <t>Millions US$</t>
  </si>
  <si>
    <t>Interest payments adjustment</t>
  </si>
  <si>
    <t>Non-haven affiliates</t>
  </si>
  <si>
    <t>Operating surplus / physical K</t>
  </si>
  <si>
    <t xml:space="preserve">Oil affiliates </t>
  </si>
  <si>
    <t>All affiliates</t>
  </si>
  <si>
    <t>All affiliates except in the oil sector</t>
  </si>
  <si>
    <t>Employee compensation</t>
  </si>
  <si>
    <t>wL</t>
  </si>
  <si>
    <t>rK</t>
  </si>
  <si>
    <t>Tax haven affiliates, excluding in the oil sector</t>
  </si>
  <si>
    <t>Non-haven affiliates, excluding oil</t>
  </si>
  <si>
    <t>Havens / non-havens (excluding oil)</t>
  </si>
  <si>
    <t>Havens / non-haven (all affiliates)</t>
  </si>
  <si>
    <t>Memo: tax rate gap non-haven - haven</t>
  </si>
  <si>
    <t xml:space="preserve">Memo: tax rate gap non-haven non oil - non oil </t>
  </si>
  <si>
    <t>Table A.8: Rates of return on direct investment equity assets</t>
  </si>
  <si>
    <t>Table A.9: Rates of return on direct investment equity liabilities</t>
  </si>
  <si>
    <t>Memo: Share oil in USDIA</t>
  </si>
  <si>
    <t>Pre-tax</t>
  </si>
  <si>
    <t>Post-tax</t>
  </si>
  <si>
    <t>Haven</t>
  </si>
  <si>
    <t>Non-oil, haven</t>
  </si>
  <si>
    <t>Non-oil, non-haven</t>
  </si>
  <si>
    <t>Non-haven</t>
  </si>
  <si>
    <t>Assets at historical cost, havens</t>
  </si>
  <si>
    <t xml:space="preserve">Haven </t>
  </si>
  <si>
    <t>Assets at historical cost, non-havens</t>
  </si>
  <si>
    <t>Share havens</t>
  </si>
  <si>
    <t>Memo: Share havens in USDIA</t>
  </si>
  <si>
    <t>Table A.17: Direct investment positions: different valuation methods</t>
  </si>
  <si>
    <t>Majority-owned foreign affiliates (excl. Oil)</t>
  </si>
  <si>
    <t>USDIA equity assets historical cost, excl. Oil</t>
  </si>
  <si>
    <t>&gt;&gt;&gt; Pre-tax returns in havens and non-havens are similar; post-tax returns are 20% higher in havens</t>
  </si>
  <si>
    <t>&gt;&gt; need to decompose pre-tax returns of havens into two: Ireland-Switzerland-Singapore (very high returns)</t>
  </si>
  <si>
    <t>Table A.16: Rates of return on US majority-owned foreign affiliates (asset at historical cost)</t>
  </si>
  <si>
    <t>Moreover need to fix denominator: right now it is historical cost, but for non-havens, current-cost &gt; historical cost, whereas less clear for havens (e.g., for havens that only hold financial assets, histo cost == current cost)</t>
  </si>
  <si>
    <t>Note that Lux-Nl have little income and assets (until relatively recently); investigate why</t>
  </si>
  <si>
    <t>Need to understand better how current cost adjustment is made and what's a plausible adjustment to apply to havens vs. Non-haven assets</t>
  </si>
  <si>
    <t>But always swamped by profitability differential</t>
  </si>
  <si>
    <t>&gt;&gt;&gt; real K mobility may be increasing a bit (from identical in haven vs. Non havens in 1990s, to slightly higher in havens now)</t>
  </si>
  <si>
    <t>Market value / current cost</t>
  </si>
  <si>
    <t>1986-2016</t>
  </si>
  <si>
    <t>Return to DI equity assets</t>
  </si>
  <si>
    <t>Return to DI equity liabilities</t>
  </si>
  <si>
    <t>Differential</t>
  </si>
  <si>
    <t>Eastern Europe exc SR</t>
  </si>
  <si>
    <t>Total DI</t>
  </si>
  <si>
    <t>of which; equity</t>
  </si>
  <si>
    <t>of which; debt</t>
  </si>
  <si>
    <t>Asset-liability basis (IMF BOPS)</t>
  </si>
  <si>
    <t>Directional basis (OECD)</t>
  </si>
  <si>
    <t>Return to outward DI equity</t>
  </si>
  <si>
    <t>Return to inward DI equity</t>
  </si>
  <si>
    <t>Statutory corporate tax rate</t>
  </si>
  <si>
    <t>U.S. MNE Activities: 2010-2015 Statistics, Majority-Owned Foreign Affiliates</t>
  </si>
  <si>
    <t>FDIUS</t>
  </si>
  <si>
    <t>memo</t>
  </si>
  <si>
    <t>US DI equity returns differentials (asset-liability basis)</t>
  </si>
  <si>
    <t>DI equity income</t>
  </si>
  <si>
    <t>DI equity positions</t>
  </si>
  <si>
    <t>Returns differentials</t>
  </si>
  <si>
    <t>Returns differentials without ccadj</t>
  </si>
  <si>
    <t>Table 4.2 line 2</t>
  </si>
  <si>
    <t>Without ccaj (table 4.2, line 26)</t>
  </si>
  <si>
    <t>Market value (Table 2.1, lines 2 and 19)</t>
  </si>
  <si>
    <t>Current cost (table 2.1, lines 36 and 41)</t>
  </si>
  <si>
    <t>Historical Cost (Table 2.1, lines 15 and 32)</t>
  </si>
  <si>
    <t>income / MV</t>
  </si>
  <si>
    <t>income / CC</t>
  </si>
  <si>
    <t>income / HC</t>
  </si>
  <si>
    <t>USDIA</t>
  </si>
  <si>
    <t>14-16 (pp)</t>
  </si>
  <si>
    <t>MV</t>
  </si>
  <si>
    <t>CC</t>
  </si>
  <si>
    <t>HC</t>
  </si>
  <si>
    <t>DI equity asset return</t>
  </si>
  <si>
    <t>avg</t>
  </si>
  <si>
    <t>DI equity liability return</t>
  </si>
  <si>
    <t>14-16 pp</t>
  </si>
  <si>
    <t>Identifying FDI relationship</t>
  </si>
  <si>
    <t>CII included?</t>
  </si>
  <si>
    <t>Do you cover cross border equity between fellow enterprises</t>
  </si>
  <si>
    <t>Do you include relevant share of earnings in all indirectly owned enterprises</t>
  </si>
  <si>
    <t>Do you include indirectly owned enterprises in position data</t>
  </si>
  <si>
    <t>COPC</t>
  </si>
  <si>
    <t>listed inward equity</t>
  </si>
  <si>
    <t>listed outward equity</t>
  </si>
  <si>
    <t>unlisted inward equity</t>
  </si>
  <si>
    <t>unlisted outward equity</t>
  </si>
  <si>
    <t>Do you include info on SPEs in your data?</t>
  </si>
  <si>
    <t>c_q11</t>
  </si>
  <si>
    <t>q18</t>
  </si>
  <si>
    <t>c_q22_eqt</t>
  </si>
  <si>
    <t>q30</t>
  </si>
  <si>
    <t>Q33_RE_EQ</t>
  </si>
  <si>
    <t>q32</t>
  </si>
  <si>
    <t>c_q36_list_in</t>
  </si>
  <si>
    <t>c_q36_list_out</t>
  </si>
  <si>
    <t>c_q36_unlist_in</t>
  </si>
  <si>
    <t>c_q36_unlist_out</t>
  </si>
  <si>
    <t>Q64</t>
  </si>
  <si>
    <t>Australia (AUS)</t>
  </si>
  <si>
    <t>FDIR</t>
  </si>
  <si>
    <t>Yes</t>
  </si>
  <si>
    <t>Completely cover</t>
  </si>
  <si>
    <t>Partially</t>
  </si>
  <si>
    <t xml:space="preserve">  Market value Recent transaction price Net asset value excluding goodwill and intangibles Other </t>
  </si>
  <si>
    <t xml:space="preserve">  Recent transaction price Net asset value excluding goodwill and intangibles Other </t>
  </si>
  <si>
    <t>Austria (AUT)</t>
  </si>
  <si>
    <t>DIIC</t>
  </si>
  <si>
    <t>No</t>
  </si>
  <si>
    <t>Do not cover</t>
  </si>
  <si>
    <t xml:space="preserve">  Market value </t>
  </si>
  <si>
    <t xml:space="preserve">  Own funds at book value </t>
  </si>
  <si>
    <t>Belgium (BEL)</t>
  </si>
  <si>
    <t>PMM</t>
  </si>
  <si>
    <t xml:space="preserve">  Own funds at book value Book values </t>
  </si>
  <si>
    <t xml:space="preserve">  Own funds at book value Book value </t>
  </si>
  <si>
    <t>Canada (CAN)</t>
  </si>
  <si>
    <t xml:space="preserve">  		   			  Own funds at book value     	</t>
  </si>
  <si>
    <t>Chile (CHL)</t>
  </si>
  <si>
    <t xml:space="preserve">  Stock market price index applied to accumulated FDI equity flows </t>
  </si>
  <si>
    <t xml:space="preserve">  Own funds at book value Accumulation of FDI equity flows </t>
  </si>
  <si>
    <t>Czech Republic (CZE)</t>
  </si>
  <si>
    <t>Denmark (DNK)</t>
  </si>
  <si>
    <t xml:space="preserve">  Market value Own funds at book value </t>
  </si>
  <si>
    <t>Estonia (EST)</t>
  </si>
  <si>
    <t>Partially cover</t>
  </si>
  <si>
    <t xml:space="preserve">  Net asset value including goodwill and intangibles Historic or acquisition cost Book value </t>
  </si>
  <si>
    <t>Finland (FIN)</t>
  </si>
  <si>
    <t>France (FRA)</t>
  </si>
  <si>
    <t>Germany (DEU)</t>
  </si>
  <si>
    <t>Greece (GRC)</t>
  </si>
  <si>
    <t>Hungary (HUN)</t>
  </si>
  <si>
    <t>Iceland (ISL)</t>
  </si>
  <si>
    <t>Ireland (IRL)</t>
  </si>
  <si>
    <t>Italy (ITA)</t>
  </si>
  <si>
    <t>Japan (JPN)</t>
  </si>
  <si>
    <t>Korea (KOR)</t>
  </si>
  <si>
    <t xml:space="preserve">  Own funds at book value Accumulation of FDI equity flows Book values </t>
  </si>
  <si>
    <t>Latvia (LVA)</t>
  </si>
  <si>
    <t>Luxembourg (LUX)</t>
  </si>
  <si>
    <t xml:space="preserve">  Book value </t>
  </si>
  <si>
    <t>Mexico (MEX)</t>
  </si>
  <si>
    <t>Netherlands (NLD)</t>
  </si>
  <si>
    <t xml:space="preserve">  Market value Recent transaction price </t>
  </si>
  <si>
    <t xml:space="preserve">  Net asset value excluding goodwill and intangibles Historic or acquisition cost </t>
  </si>
  <si>
    <t>New Zealand (NZL)</t>
  </si>
  <si>
    <t>Not applicable</t>
  </si>
  <si>
    <t xml:space="preserve">  Market value Recent transaction price Net asset value including goodwill and intangibles Other </t>
  </si>
  <si>
    <t xml:space="preserve">  Recent transaction price Net asset value including goodwill and intangibles Other </t>
  </si>
  <si>
    <t>Norway (NOR)</t>
  </si>
  <si>
    <t>Poland (POL)</t>
  </si>
  <si>
    <t>Portugal (PRT)</t>
  </si>
  <si>
    <t>Slovak Republic (SVK)</t>
  </si>
  <si>
    <t>Slovenia (SVN)</t>
  </si>
  <si>
    <t>Spain (ESP)</t>
  </si>
  <si>
    <t>Sweden (SWE)</t>
  </si>
  <si>
    <t>Switzerland (CHE)</t>
  </si>
  <si>
    <t>Turkey (TUR)</t>
  </si>
  <si>
    <t xml:space="preserve">  Market capitalisation method </t>
  </si>
  <si>
    <t>United Kingdom (GBR)</t>
  </si>
  <si>
    <t>United States (USA)</t>
  </si>
  <si>
    <t xml:space="preserve">  Book values </t>
  </si>
  <si>
    <t xml:space="preserve">Share of top 5 havens </t>
  </si>
  <si>
    <t>Korea, Republic of</t>
  </si>
  <si>
    <t>Eastern european (exc Hungary)</t>
  </si>
  <si>
    <t>Country Name</t>
  </si>
  <si>
    <t>Other OECD</t>
  </si>
  <si>
    <t>European countries</t>
  </si>
  <si>
    <t>Outward DI equity positions</t>
  </si>
  <si>
    <t>Inward DI equity positions</t>
  </si>
  <si>
    <t>CDIS</t>
  </si>
  <si>
    <t>World outward net equity position, 2014-2016 average</t>
  </si>
  <si>
    <t>World outward net equity position (derived), 2014-16 average</t>
  </si>
  <si>
    <t>Ire, Lux, NL, Singapore, Switz</t>
  </si>
  <si>
    <t>World inward net equity position, 2014-2016 average</t>
  </si>
  <si>
    <t>World inward net equity position (derived), 2014-16 average</t>
  </si>
  <si>
    <t>% diff</t>
  </si>
  <si>
    <t>Top 5 reported</t>
  </si>
  <si>
    <t>Top 5 share</t>
  </si>
  <si>
    <t>Top 5 reported / total derived</t>
  </si>
  <si>
    <t xml:space="preserve">Portugal </t>
  </si>
  <si>
    <t>Eastern european</t>
  </si>
  <si>
    <t>Why is Belgium share so large - because of geography? Or because it is a haven itself?</t>
  </si>
  <si>
    <t>Eastern europe (Slovak, Slove, Hungary, Est, Poland)</t>
  </si>
  <si>
    <t>Portugal ??</t>
  </si>
  <si>
    <t xml:space="preserve">Netherlands </t>
  </si>
  <si>
    <t>Top 5 havens</t>
  </si>
  <si>
    <t>FDI income (2014-2016)</t>
  </si>
  <si>
    <t xml:space="preserve">Only do calculations for countries where we have the top 5. </t>
  </si>
  <si>
    <t>USD</t>
  </si>
  <si>
    <t>WORLD</t>
  </si>
  <si>
    <t>DO</t>
  </si>
  <si>
    <t>Value</t>
  </si>
  <si>
    <t>Unit Code</t>
  </si>
  <si>
    <t>Partner country/territory</t>
  </si>
  <si>
    <t>MEASURE_PRINCIPLE</t>
  </si>
  <si>
    <t>Reporting country</t>
  </si>
  <si>
    <t>https://qdd.oecd.org/subject.aspx?Subject=fdi_metadata</t>
  </si>
  <si>
    <t>World derived position</t>
  </si>
  <si>
    <t>Share of top 5 havens in total FDI income</t>
  </si>
  <si>
    <t>countryname</t>
  </si>
  <si>
    <t>countrycode</t>
  </si>
  <si>
    <t>year</t>
  </si>
  <si>
    <t>iad_bp6_usd</t>
  </si>
  <si>
    <t>iade_bp6_usd</t>
  </si>
  <si>
    <t>iadd_bp6_usd</t>
  </si>
  <si>
    <t>ild_bp6_usd</t>
  </si>
  <si>
    <t>ilde_bp6_usd</t>
  </si>
  <si>
    <t>ildd_bp6_usd</t>
  </si>
  <si>
    <t>iap_bp6_usd</t>
  </si>
  <si>
    <t>iape_bp6_usd</t>
  </si>
  <si>
    <t>ilp_bp6_usd</t>
  </si>
  <si>
    <t>ilpe_bp6_usd</t>
  </si>
  <si>
    <t>bxipid_bp6_usd</t>
  </si>
  <si>
    <t>bxipide_bp6_usd</t>
  </si>
  <si>
    <t>bxipidi_bp6_usd</t>
  </si>
  <si>
    <t>bmipid_bp6_usd</t>
  </si>
  <si>
    <t>bmipide_bp6_usd</t>
  </si>
  <si>
    <t>bmipidi_bp6_usd</t>
  </si>
  <si>
    <t>bxipip_bp6_usd</t>
  </si>
  <si>
    <t>bxipipe_bp6_usd</t>
  </si>
  <si>
    <t>bmipip_bp6_usd</t>
  </si>
  <si>
    <t>bmipipe_bp6_usd</t>
  </si>
  <si>
    <t>nomreturn_iad_bp6_usd</t>
  </si>
  <si>
    <t>nomreturn_iade_bp6_usd</t>
  </si>
  <si>
    <t>nomreturn_iadd_bp6_usd</t>
  </si>
  <si>
    <t>nomreturn_ild_bp6_usd</t>
  </si>
  <si>
    <t>nomreturn_ilde_bp6_usd</t>
  </si>
  <si>
    <t>nomreturn_ildd_bp6_usd</t>
  </si>
  <si>
    <t>nomreturn_iap_bp6_usd</t>
  </si>
  <si>
    <t>nomreturn_iape_bp6_usd</t>
  </si>
  <si>
    <t>nomreturn_ilp_bp6_usd</t>
  </si>
  <si>
    <t>nomreturn_ilpe_bp6_usd</t>
  </si>
  <si>
    <t>DI diff</t>
  </si>
  <si>
    <t>DI equity diff</t>
  </si>
  <si>
    <t>memo: EU</t>
  </si>
  <si>
    <t>memo: GDP per capita 2010 prices</t>
  </si>
  <si>
    <t>memo: proxy corporate tax rate faced by multinationals</t>
  </si>
  <si>
    <t>memo: combined statutory corporate  tax rate</t>
  </si>
  <si>
    <t>Driven by entirely by Hungary. Why?? &gt; pass through funds</t>
  </si>
  <si>
    <t>Gohrbrand and Howell (2010)</t>
  </si>
  <si>
    <t xml:space="preserve">Assets </t>
  </si>
  <si>
    <t>X(t+1) = X(t) +FX(t+1)+ VX(t+1) + OC(t+1)</t>
  </si>
  <si>
    <t xml:space="preserve">Liabilities </t>
  </si>
  <si>
    <t>Net</t>
  </si>
  <si>
    <t>Acquisition / flows</t>
  </si>
  <si>
    <t>VX(t+1) + OC(t+1) = X(t+1) - X(t) - FX(t+1)</t>
  </si>
  <si>
    <t>KG 1; OC allocated to mismeasured flows in every category</t>
  </si>
  <si>
    <t>KG 2; OC only allocated to DI val, allocated to mismeasured flows elsewhere</t>
  </si>
  <si>
    <t>Income yield (exc capital gains and no allocation of OC)</t>
  </si>
  <si>
    <t>Total yield KG1</t>
  </si>
  <si>
    <t>Income yield differential( exc capital gains and no OC allocation)</t>
  </si>
  <si>
    <t>Cont of DI to income yield differential</t>
  </si>
  <si>
    <t>What is measured in DI position before 1986??</t>
  </si>
  <si>
    <t>In financial account we do not seem to have acquisition of fin derivatives on an asset and liability basis  ?? Look into</t>
  </si>
  <si>
    <t>Series break in 1986 - interest on DI debt instruments included</t>
  </si>
  <si>
    <t>investment income from current account / assets exc fin deriv. Currently income includes fin deriv</t>
  </si>
  <si>
    <t>1986 computed over series breaks?</t>
  </si>
  <si>
    <t>No exchange rate changes given by BEA 2003-2016</t>
  </si>
  <si>
    <t>No measured val changes for debt liabilities</t>
  </si>
  <si>
    <t>No ER effects</t>
  </si>
  <si>
    <t>No price changes</t>
  </si>
  <si>
    <t>??</t>
  </si>
  <si>
    <t>No ER</t>
  </si>
  <si>
    <t>Nominal GDP</t>
  </si>
  <si>
    <t>U.S. international investment assets</t>
  </si>
  <si>
    <t>Fin derivatives + employee stock optins</t>
  </si>
  <si>
    <t xml:space="preserve">international investment assets excluding financial derivatives </t>
  </si>
  <si>
    <t>Direct Investment at market value</t>
  </si>
  <si>
    <t>Of which; Equity</t>
  </si>
  <si>
    <t>Of which; Debt instruments</t>
  </si>
  <si>
    <t>Portfolio Investment</t>
  </si>
  <si>
    <t>of which; Equity</t>
  </si>
  <si>
    <t>of which Debt</t>
  </si>
  <si>
    <t>Other investment</t>
  </si>
  <si>
    <t>Reserve assets</t>
  </si>
  <si>
    <t>fin derivatives + stock options</t>
  </si>
  <si>
    <t>U.S. international investment income credits</t>
  </si>
  <si>
    <t>US int inv income credits from assets exc fin deriv ??</t>
  </si>
  <si>
    <t>Direct Investment income</t>
  </si>
  <si>
    <t>of which; equity earnings</t>
  </si>
  <si>
    <t>of which; distributed</t>
  </si>
  <si>
    <t>of which; reinvested</t>
  </si>
  <si>
    <t>of which; interest income</t>
  </si>
  <si>
    <t>Portolio Investment income</t>
  </si>
  <si>
    <t xml:space="preserve">of which; equity </t>
  </si>
  <si>
    <t>of which; interest</t>
  </si>
  <si>
    <t>Other investment income</t>
  </si>
  <si>
    <t>Reserve assets income</t>
  </si>
  <si>
    <t>U.S.  international investment assets</t>
  </si>
  <si>
    <t>US int investment assets exc deriv</t>
  </si>
  <si>
    <t>BEA check</t>
  </si>
  <si>
    <t>Direct Investment</t>
  </si>
  <si>
    <t>Portolio Investment</t>
  </si>
  <si>
    <t>Reerve assets</t>
  </si>
  <si>
    <t>Reserve Assets</t>
  </si>
  <si>
    <t>US int investment assets</t>
  </si>
  <si>
    <t>US int inv assets, exc fin deriv</t>
  </si>
  <si>
    <t xml:space="preserve">U.S. international investment liabilities </t>
  </si>
  <si>
    <t>Fin derivatives + stock options</t>
  </si>
  <si>
    <t>US int inv liabilities exc derivatives</t>
  </si>
  <si>
    <t>U.S. international investmentliabilities</t>
  </si>
  <si>
    <t xml:space="preserve">international investment liabilities excluding financial derivatives </t>
  </si>
  <si>
    <t>Reserves liable???</t>
  </si>
  <si>
    <t>U.S. international investment debits</t>
  </si>
  <si>
    <t>U.S.  international investment liabilities</t>
  </si>
  <si>
    <t>US int inv liab, ec find eriv</t>
  </si>
  <si>
    <t xml:space="preserve">U.S. international investment </t>
  </si>
  <si>
    <t xml:space="preserve">international investment excluding financial derivatives </t>
  </si>
  <si>
    <t>Reserve assets ??</t>
  </si>
  <si>
    <t xml:space="preserve">US net int investment </t>
  </si>
  <si>
    <t>Without DI at market val</t>
  </si>
  <si>
    <t>Without DI equity</t>
  </si>
  <si>
    <t> 1960</t>
  </si>
  <si>
    <t> 1961</t>
  </si>
  <si>
    <t> 1962</t>
  </si>
  <si>
    <t> 1963</t>
  </si>
  <si>
    <t> 1964</t>
  </si>
  <si>
    <t> 1965</t>
  </si>
  <si>
    <t> 1966</t>
  </si>
  <si>
    <t> 1967</t>
  </si>
  <si>
    <t> 1968</t>
  </si>
  <si>
    <t> 1969</t>
  </si>
  <si>
    <t> 1970</t>
  </si>
  <si>
    <t> 1971</t>
  </si>
  <si>
    <t> 1972</t>
  </si>
  <si>
    <t> 1973</t>
  </si>
  <si>
    <t> 1974</t>
  </si>
  <si>
    <t> 1975</t>
  </si>
  <si>
    <t> 1976</t>
  </si>
  <si>
    <t> 1977</t>
  </si>
  <si>
    <t> 1978</t>
  </si>
  <si>
    <t> 1979</t>
  </si>
  <si>
    <t> 1980</t>
  </si>
  <si>
    <t> 1981</t>
  </si>
  <si>
    <t> 1982</t>
  </si>
  <si>
    <t> 1983</t>
  </si>
  <si>
    <t> 1984</t>
  </si>
  <si>
    <t> 1985</t>
  </si>
  <si>
    <t> 1986</t>
  </si>
  <si>
    <t> 1987</t>
  </si>
  <si>
    <t> 1988</t>
  </si>
  <si>
    <t> 1989</t>
  </si>
  <si>
    <t> 1990</t>
  </si>
  <si>
    <t> 1991</t>
  </si>
  <si>
    <t> 1992</t>
  </si>
  <si>
    <t> 1993</t>
  </si>
  <si>
    <t> 1994</t>
  </si>
  <si>
    <t> 1995</t>
  </si>
  <si>
    <t> 1996</t>
  </si>
  <si>
    <t> 1997</t>
  </si>
  <si>
    <t> 1998</t>
  </si>
  <si>
    <t> 1999</t>
  </si>
  <si>
    <t> 2000</t>
  </si>
  <si>
    <t> 2001</t>
  </si>
  <si>
    <t> 2002</t>
  </si>
  <si>
    <t> 2003</t>
  </si>
  <si>
    <t> 2004</t>
  </si>
  <si>
    <t> 2005</t>
  </si>
  <si>
    <t> 2006</t>
  </si>
  <si>
    <t> 2007</t>
  </si>
  <si>
    <t> 2008</t>
  </si>
  <si>
    <t> 2009</t>
  </si>
  <si>
    <t> 2010</t>
  </si>
  <si>
    <t> 2011</t>
  </si>
  <si>
    <t> 2012</t>
  </si>
  <si>
    <t> 2013</t>
  </si>
  <si>
    <t> 2014</t>
  </si>
  <si>
    <t> 2015</t>
  </si>
  <si>
    <t> 2016</t>
  </si>
  <si>
    <t> 2017</t>
  </si>
  <si>
    <t>US int inv position, exc fin deriv</t>
  </si>
  <si>
    <t>2003-2016</t>
  </si>
  <si>
    <t>Â </t>
  </si>
  <si>
    <t>All Investment assets excluding fin derivatives</t>
  </si>
  <si>
    <t>"OTHER CHANGES"</t>
  </si>
  <si>
    <t>All Investment liabilities excluding fin derivatives</t>
  </si>
  <si>
    <t>Equity</t>
  </si>
  <si>
    <t>Debt</t>
  </si>
  <si>
    <t xml:space="preserve">Total </t>
  </si>
  <si>
    <t>Price changes</t>
  </si>
  <si>
    <t>Exchange rate changes</t>
  </si>
  <si>
    <t>Changes in volume and valuation</t>
  </si>
  <si>
    <t>US international investment position, exc financial derivatives</t>
  </si>
  <si>
    <t xml:space="preserve">US int investment </t>
  </si>
  <si>
    <t>U.S. international investment</t>
  </si>
  <si>
    <t>US int investment liabilities</t>
  </si>
  <si>
    <t>US int inv liabilities, exc fin deriv</t>
  </si>
  <si>
    <t>US int investment liabilities exc deriv</t>
  </si>
  <si>
    <t>IMF, BEA, price effects from IIP table 1.3</t>
  </si>
  <si>
    <t>BEA IIP table 1.3</t>
  </si>
  <si>
    <t>Returns diff (pp)</t>
  </si>
  <si>
    <t>Table B.2: Rates of return on direct equity investments (2014-2016 average)</t>
  </si>
  <si>
    <t>of which: equity</t>
  </si>
  <si>
    <t>of which: debt</t>
  </si>
  <si>
    <t xml:space="preserve"> Own funds at book value     	</t>
  </si>
  <si>
    <t xml:space="preserve">  Own funds at book value     	</t>
  </si>
  <si>
    <t>Tax rate (2010-2015)</t>
  </si>
  <si>
    <t>Memo: oil assets USDIA/MOFA</t>
  </si>
  <si>
    <t>Memo: haven assets USDIA/MOFA</t>
  </si>
  <si>
    <t>Table A.7: Rates of return on direct investments</t>
  </si>
  <si>
    <t>Current / histo, assets, all</t>
  </si>
  <si>
    <t>2017</t>
  </si>
  <si>
    <t>FL264116205.A</t>
  </si>
  <si>
    <t>FL263194735.A</t>
  </si>
  <si>
    <t>FL263192345.A</t>
  </si>
  <si>
    <t>FL263192305.A</t>
  </si>
  <si>
    <t>FL263192151.A</t>
  </si>
  <si>
    <t>FL263192141.A</t>
  </si>
  <si>
    <t>FL263192101.A</t>
  </si>
  <si>
    <t>FL263192055.A</t>
  </si>
  <si>
    <t>FL263192045.A</t>
  </si>
  <si>
    <t>FL263192035.A</t>
  </si>
  <si>
    <t>FL263192005.A</t>
  </si>
  <si>
    <t>FL263092345.A</t>
  </si>
  <si>
    <t>FL263092151.A</t>
  </si>
  <si>
    <t>FL263092141.A</t>
  </si>
  <si>
    <t>FL263092101.A</t>
  </si>
  <si>
    <t>FL263092055.A</t>
  </si>
  <si>
    <t>FL263092045.A</t>
  </si>
  <si>
    <t>FL263092035.A</t>
  </si>
  <si>
    <t>FL263092001.A</t>
  </si>
  <si>
    <t>FA266000005.A</t>
  </si>
  <si>
    <t>FA266904005.A</t>
  </si>
  <si>
    <t>FA266903005.A</t>
  </si>
  <si>
    <t>FA267005005.A</t>
  </si>
  <si>
    <t>FA263192005.A</t>
  </si>
  <si>
    <t>FA263191103.A</t>
  </si>
  <si>
    <t>FA313092803.A</t>
  </si>
  <si>
    <t>FA263190005.A</t>
  </si>
  <si>
    <t>FA263170003.A</t>
  </si>
  <si>
    <t>FA263164103.A</t>
  </si>
  <si>
    <t>FA263169705.A</t>
  </si>
  <si>
    <t>FA263169205.A</t>
  </si>
  <si>
    <t>FA263168485.A</t>
  </si>
  <si>
    <t>FA263168475.A</t>
  </si>
  <si>
    <t>FA263168465.A</t>
  </si>
  <si>
    <t>FA263168005.A</t>
  </si>
  <si>
    <t>FA263169105.A</t>
  </si>
  <si>
    <t>FA264104005.A</t>
  </si>
  <si>
    <t>FA263111005.A</t>
  </si>
  <si>
    <t>FA264190005.A</t>
  </si>
  <si>
    <t>FA263092001.A</t>
  </si>
  <si>
    <t>FA263064203.A</t>
  </si>
  <si>
    <t>FA263064105.A</t>
  </si>
  <si>
    <t>FA263069500.A</t>
  </si>
  <si>
    <t>FA263063005.A</t>
  </si>
  <si>
    <t>FA263062003.A</t>
  </si>
  <si>
    <t>FA263061705.A</t>
  </si>
  <si>
    <t>FA263061120.A</t>
  </si>
  <si>
    <t>FA263061110.A</t>
  </si>
  <si>
    <t>FA263061105.A</t>
  </si>
  <si>
    <t>FA263069103.A</t>
  </si>
  <si>
    <t>FA263034003.A</t>
  </si>
  <si>
    <t>FA263030005.A</t>
  </si>
  <si>
    <t>FA263020005.A</t>
  </si>
  <si>
    <t>FA764116005.A</t>
  </si>
  <si>
    <t>FA313111303.A</t>
  </si>
  <si>
    <t>FA263011205.A</t>
  </si>
  <si>
    <t>FA264090005.A</t>
  </si>
  <si>
    <t>FA265000005.A</t>
  </si>
  <si>
    <t>FA265420005.A</t>
  </si>
  <si>
    <t>FA265090005.A</t>
  </si>
  <si>
    <t>FA266000105.A</t>
  </si>
  <si>
    <t>FA265440005.A</t>
  </si>
  <si>
    <t>FA266904001.A</t>
  </si>
  <si>
    <t>FA266903011.A</t>
  </si>
  <si>
    <t>FA266900005.A</t>
  </si>
  <si>
    <t>FA266400101.A</t>
  </si>
  <si>
    <t>FA266904101.A</t>
  </si>
  <si>
    <t>FA266903001.A</t>
  </si>
  <si>
    <t>FA266905005.A</t>
  </si>
  <si>
    <t>Time Period</t>
  </si>
  <si>
    <t>Z1/Z1/FL264116205.A</t>
  </si>
  <si>
    <t>Z1/Z1/FL263194735.A</t>
  </si>
  <si>
    <t>Z1/Z1/FL263192345.A</t>
  </si>
  <si>
    <t>Z1/Z1/FL263192305.A</t>
  </si>
  <si>
    <t>Z1/Z1/FL263192151.A</t>
  </si>
  <si>
    <t>Z1/Z1/FL263192141.A</t>
  </si>
  <si>
    <t>Z1/Z1/FL263192101.A</t>
  </si>
  <si>
    <t>Z1/Z1/FL263192055.A</t>
  </si>
  <si>
    <t>Z1/Z1/FL263192045.A</t>
  </si>
  <si>
    <t>Z1/Z1/FL263192035.A</t>
  </si>
  <si>
    <t>Z1/Z1/FL263192005.A</t>
  </si>
  <si>
    <t>Z1/Z1/FL263092345.A</t>
  </si>
  <si>
    <t>Z1/Z1/FL263092151.A</t>
  </si>
  <si>
    <t>Z1/Z1/FL263092141.A</t>
  </si>
  <si>
    <t>Z1/Z1/FL263092101.A</t>
  </si>
  <si>
    <t>Z1/Z1/FL263092055.A</t>
  </si>
  <si>
    <t>Z1/Z1/FL263092045.A</t>
  </si>
  <si>
    <t>Z1/Z1/FL263092035.A</t>
  </si>
  <si>
    <t>Z1/Z1/FL263092001.A</t>
  </si>
  <si>
    <t>Z1/Z1/FA266000005.A</t>
  </si>
  <si>
    <t>Z1/Z1/FA266904005.A</t>
  </si>
  <si>
    <t>Z1/Z1/FA266903005.A</t>
  </si>
  <si>
    <t>Z1/Z1/FA267005005.A</t>
  </si>
  <si>
    <t>Z1/Z1/FA263192005.A</t>
  </si>
  <si>
    <t>Z1/Z1/FA263191103.A</t>
  </si>
  <si>
    <t>Z1/Z1/FA313092803.A</t>
  </si>
  <si>
    <t>Z1/Z1/FA263190005.A</t>
  </si>
  <si>
    <t>Z1/Z1/FA263170003.A</t>
  </si>
  <si>
    <t>Z1/Z1/FA263164103.A</t>
  </si>
  <si>
    <t>Z1/Z1/FA263169705.A</t>
  </si>
  <si>
    <t>Z1/Z1/FA263169205.A</t>
  </si>
  <si>
    <t>Z1/Z1/FA263168485.A</t>
  </si>
  <si>
    <t>Z1/Z1/FA263168475.A</t>
  </si>
  <si>
    <t>Z1/Z1/FA263168465.A</t>
  </si>
  <si>
    <t>Z1/Z1/FA263168005.A</t>
  </si>
  <si>
    <t>Z1/Z1/FA263169105.A</t>
  </si>
  <si>
    <t>Z1/Z1/FA264104005.A</t>
  </si>
  <si>
    <t>Z1/Z1/FA263111005.A</t>
  </si>
  <si>
    <t>Z1/Z1/FA264190005.A</t>
  </si>
  <si>
    <t>Z1/Z1/FA263092001.A</t>
  </si>
  <si>
    <t>Z1/Z1/FA263064203.A</t>
  </si>
  <si>
    <t>Z1/Z1/FA263064105.A</t>
  </si>
  <si>
    <t>Z1/Z1/FA263069500.A</t>
  </si>
  <si>
    <t>Z1/Z1/FA263063005.A</t>
  </si>
  <si>
    <t>Z1/Z1/FA263062003.A</t>
  </si>
  <si>
    <t>Z1/Z1/FA263061705.A</t>
  </si>
  <si>
    <t>Z1/Z1/FA263061120.A</t>
  </si>
  <si>
    <t>Z1/Z1/FA263061110.A</t>
  </si>
  <si>
    <t>Z1/Z1/FA263061105.A</t>
  </si>
  <si>
    <t>Z1/Z1/FA263069103.A</t>
  </si>
  <si>
    <t>Z1/Z1/FA263034003.A</t>
  </si>
  <si>
    <t>Z1/Z1/FA263030005.A</t>
  </si>
  <si>
    <t>Z1/Z1/FA263020005.A</t>
  </si>
  <si>
    <t>Z1/Z1/FA764116005.A</t>
  </si>
  <si>
    <t>Z1/Z1/FA313111303.A</t>
  </si>
  <si>
    <t>Z1/Z1/FA263011205.A</t>
  </si>
  <si>
    <t>Z1/Z1/FA264090005.A</t>
  </si>
  <si>
    <t>Z1/Z1/FA265000005.A</t>
  </si>
  <si>
    <t>Z1/Z1/FA265420005.A</t>
  </si>
  <si>
    <t>Z1/Z1/FA265090005.A</t>
  </si>
  <si>
    <t>Z1/Z1/FA266000105.A</t>
  </si>
  <si>
    <t>Z1/Z1/FA265440005.A</t>
  </si>
  <si>
    <t>Z1/Z1/FA266904001.A</t>
  </si>
  <si>
    <t>Z1/Z1/FA266903011.A</t>
  </si>
  <si>
    <t>Z1/Z1/FA266900005.A</t>
  </si>
  <si>
    <t>Z1/Z1/FA266400101.A</t>
  </si>
  <si>
    <t>Z1/Z1/FA266904101.A</t>
  </si>
  <si>
    <t>Z1/Z1/FA266903001.A</t>
  </si>
  <si>
    <t>Z1/Z1/FA266905005.A</t>
  </si>
  <si>
    <t>Unique Identifier:</t>
  </si>
  <si>
    <t>Currency:</t>
  </si>
  <si>
    <t>Multiplier:</t>
  </si>
  <si>
    <t>Currency</t>
  </si>
  <si>
    <t>Unit:</t>
  </si>
  <si>
    <t>Rest of the world; U.S. deposits at foreign banks; liability</t>
  </si>
  <si>
    <t>Rest of the world; net transactions due to holding companies; liability</t>
  </si>
  <si>
    <t>Rest of the world; direct investment: intercompany debt (asset/liability basis); liability</t>
  </si>
  <si>
    <t>Rest of the world; U.S. direct investment abroad: intercompany debt, including Netherlands Antillean Financial subsidiaries; liability</t>
  </si>
  <si>
    <t>Rest of the world; U.S. direct investment abroad: equity; liability (historical cost)</t>
  </si>
  <si>
    <t>Rest of the world; U.S. direct investment abroad: equity; liability (market value)</t>
  </si>
  <si>
    <t>Rest of the world; U.S. direct investment abroad: equity; liability (current cost)</t>
  </si>
  <si>
    <t>Rest of the world; U.S. direct investment abroad, including Netherlands Antillean Financial subsidiaries; liability (historical cost)</t>
  </si>
  <si>
    <t>Rest of the world; U.S. direct investment abroad, including Netherlands Antillean Financial subsidiaries; liability (market value)</t>
  </si>
  <si>
    <t>Rest of the world; net incurrence direct investment liabilities (asset/liability basis; current cost)</t>
  </si>
  <si>
    <t>Rest of the world; U.S. direct investment abroad, including Netherlands Antillean Financial subsidiaries; liability (current cost)</t>
  </si>
  <si>
    <t>Rest of the world; direct investment: intercompany debt (asset/liability basis); assets</t>
  </si>
  <si>
    <t>Rest of the world; foreign direct investment in U.S.: equity; asset (historical cost)</t>
  </si>
  <si>
    <t>Rest of the world; foreign direct investment in U.S.: equity; asset (market value)</t>
  </si>
  <si>
    <t>Rest of the world; foreign direct investment in U.S.: equity; asset (current cost)</t>
  </si>
  <si>
    <t>Rest of the world; foreign direct investment in U.S.; asset (historical cost)</t>
  </si>
  <si>
    <t>Rest of the world; foreign direct investment in U.S.; asset (market value)</t>
  </si>
  <si>
    <t>Rest of the world; net acquisition of direct investment assets (asset/liability basis; current cost)</t>
  </si>
  <si>
    <t>Rest of the world; foreign direct investment in U.S.; asset (current cost)</t>
  </si>
  <si>
    <t>Rest of the world; balance on current account (NIPA)</t>
  </si>
  <si>
    <t>Rest of the world; net income payments to the U.S.</t>
  </si>
  <si>
    <t xml:space="preserve">Rest of the world; net U.S. exports </t>
  </si>
  <si>
    <t>Rest of the world; sector discrepancy (FOF basis)</t>
  </si>
  <si>
    <t>Rest of the world; nonofficial U.S. currencies; liability</t>
  </si>
  <si>
    <t>Federal government; U.S. equity in IBRD, etc.; asset</t>
  </si>
  <si>
    <t>Rest of the world; total miscellaneous liabilities</t>
  </si>
  <si>
    <t>Rest of the world; trade credit and advances; liability</t>
  </si>
  <si>
    <t>Rest of the world; foreign corporate equities including foreign investment fund shares; liability</t>
  </si>
  <si>
    <t>Rest of the world; customers' liablity on acceptances outstanding to commercial banking; liability</t>
  </si>
  <si>
    <t>Rest of the world; U.S. government loans excluding capital subscriptions and contributions to international financial institutions and the IMF; liability</t>
  </si>
  <si>
    <t>Rest of the world; depository institution loans n.e.c. to foreigners other than foreign official institutions and foreign banks; liability</t>
  </si>
  <si>
    <t>Rest of the world; depository institution loans n.e.c. to foreign banks; liability</t>
  </si>
  <si>
    <t>Rest of the world; depository institution loans n.e.c. to foreign official institutions; liability</t>
  </si>
  <si>
    <t>Rest of the world; depository institution loans n.e.c.; liability</t>
  </si>
  <si>
    <t>Rest of the world; commercial paper; liability</t>
  </si>
  <si>
    <t>Rest of the world; debt securities and loans; liability</t>
  </si>
  <si>
    <t>Rest of the world; U.S. official reserve assets; liability</t>
  </si>
  <si>
    <t>Rest of the world; total liabilities</t>
  </si>
  <si>
    <t>Rest of the world; U.S. mutual fund shares; asset</t>
  </si>
  <si>
    <t>Rest of the world; U.S. corporate equities; asset</t>
  </si>
  <si>
    <t>Rest of the world; U.S. nonfinancial business loans; asset</t>
  </si>
  <si>
    <t xml:space="preserve">Rest of the world; corporate and foreign bonds; asset </t>
  </si>
  <si>
    <t>Rest of the world; municipal securities; asset</t>
  </si>
  <si>
    <t>Rest of the world; agency- and GSE-backed securities; asset</t>
  </si>
  <si>
    <t>Rest of the world; other Treasury securities, excluding Treasury bills and certificates; asset</t>
  </si>
  <si>
    <t>Rest of the world; Treasury bills and certificates; asset</t>
  </si>
  <si>
    <t>Rest of the world; Treasury securities; asset</t>
  </si>
  <si>
    <t>Rest of the world; commercial paper; asset</t>
  </si>
  <si>
    <t>Rest of the world; U.S. money market fund shares; asset</t>
  </si>
  <si>
    <t>Rest of the world; U.S. total time and savings deposits; asset</t>
  </si>
  <si>
    <t>Rest of the world; U.S. checkable deposits and currency; asset</t>
  </si>
  <si>
    <t>U.S.-chartered depository institutions, including IBFs; net interbank transactions with banks in foreign countries; liability</t>
  </si>
  <si>
    <t>Federal government; special drawing rights (SDRs) allocations; liability</t>
  </si>
  <si>
    <t>Rest of the world; monetary gold; asset</t>
  </si>
  <si>
    <t>Rest of the world; total financial assets</t>
  </si>
  <si>
    <t>Rest of the world; net lending (+) or borrowing (-) (financial account)</t>
  </si>
  <si>
    <t>Rest of the world; acquisition of nonproduced nonfinancial assets (net)</t>
  </si>
  <si>
    <t>Rest of the world; gross investment</t>
  </si>
  <si>
    <t>Rest of the world; gross saving less net capital transfers paid</t>
  </si>
  <si>
    <t xml:space="preserve">Rest of the world; net capital transfers paid </t>
  </si>
  <si>
    <t>Rest of the world; income payments to the U.S.</t>
  </si>
  <si>
    <t>Rest of the world; U.S. exports</t>
  </si>
  <si>
    <t>Rest of the world; foreign outlays to U.S.</t>
  </si>
  <si>
    <t>Rest of the world; current taxes and transfer payments received</t>
  </si>
  <si>
    <t>Rest of the world; income receipts from the U.S.</t>
  </si>
  <si>
    <t>Rest of the world; U.S. imports</t>
  </si>
  <si>
    <t>Rest of the world; foreign income from U.S.</t>
  </si>
  <si>
    <t>Series Description</t>
  </si>
  <si>
    <t>Z.1 Statistical Release for Mar 08, 2018</t>
  </si>
  <si>
    <t>Download Page</t>
  </si>
  <si>
    <t>Assets (IIP immediate counterpart)</t>
  </si>
  <si>
    <t>Liabilities (IIP immediate counterpart)</t>
  </si>
  <si>
    <t>Non-oil rate</t>
  </si>
  <si>
    <t>Non-oil sectors</t>
  </si>
  <si>
    <t xml:space="preserve">2015: TWZ profits shifted out of the US = </t>
  </si>
  <si>
    <t>Assume all of it = shifted out of foreign-owned firms</t>
  </si>
  <si>
    <t>Then true pre-tax profits of foreign-owned firms =</t>
  </si>
  <si>
    <t>True after-tax profits</t>
  </si>
  <si>
    <t>True return</t>
  </si>
  <si>
    <t>Table A.10: Capital, compensation, and profits of U.S. multinationals abroad</t>
  </si>
  <si>
    <t xml:space="preserve">Table A.11: Capital, compensation, and profits of U.S. multinationals abroad: haven affiliates </t>
  </si>
  <si>
    <t xml:space="preserve">Table A.11b: Capital, compensation, and profits of U.S. multinationals abroad: haven affiliates, excl. oil </t>
  </si>
  <si>
    <t>Table A.12: Capital, compensation, and profits of U.S. multinationals abroad: non-haven affiliates</t>
  </si>
  <si>
    <t>Table A.12b: Capital, compensation, and profits of U.S. multinationals abroad: non-haven affiliates (excl. oil)</t>
  </si>
  <si>
    <t>Table A.13: Capital, compensation, and profits of U.S. multinationals abroad: oil affiliates</t>
  </si>
  <si>
    <t>Table A.14: Capital, compensation, and profits of U.S. multinationals abroad: non-oil affiliates</t>
  </si>
  <si>
    <t>Table A.18: Capital, compensation, and profits of foreign multinationals in the United States</t>
  </si>
  <si>
    <t>Table A.15: Profitability of U.S. multinationals' affiliates: havens vs. Non-havens</t>
  </si>
  <si>
    <t>Memo: oil prices</t>
  </si>
  <si>
    <t>PCE deflator (2014=1)</t>
  </si>
  <si>
    <t>Majority-owned U.S. affiliates since 2002, all non-bank afiliates before</t>
  </si>
  <si>
    <t>US affiliates pay more than foreign affiliates but gap is only 10 points in recent years</t>
  </si>
  <si>
    <t>Petroleum &amp; col products manuf + wholesale, + mining (assumine all of ming = oil + gas, which is close to true for overall US, see https://factfinder.census.gov/faces/tableservices/jsf/pages/productview.xhtml?src=bkmk)</t>
  </si>
  <si>
    <t>OPEC affiliates</t>
  </si>
  <si>
    <t xml:space="preserve">Algeria, Angola, Ecuador, Iran, Iraq, Kuwait, Libya, Nigeria, Qatar, Saudi Arabia, the United Arab Emirates, and Venezuela. 
</t>
  </si>
  <si>
    <t>Table A.5b: Equity assets of U.S. multinationals abroad: oil vs. non-oil</t>
  </si>
  <si>
    <t>Memo: share Bermuda + caribbean</t>
  </si>
  <si>
    <t>DI (excl. Oil)</t>
  </si>
  <si>
    <t>U.S. DI abroad</t>
  </si>
  <si>
    <t>Current-cost adjustment</t>
  </si>
  <si>
    <t>USDIA equity assets (at current cost)</t>
  </si>
  <si>
    <t>Rate of return on U.S. DI equity assets</t>
  </si>
  <si>
    <t>Rate of return on foreign DI in the U.S.</t>
  </si>
  <si>
    <t>Equity income with current-cost adj.</t>
  </si>
  <si>
    <t>FDIUS liabilities (at current cost</t>
  </si>
  <si>
    <t>Rate of return on U.S. domestic corporate capital</t>
  </si>
  <si>
    <t>Retained earnings with IVA and CCAdj</t>
  </si>
  <si>
    <t>Foreign DI in the United States</t>
  </si>
  <si>
    <t>U.S. domestic corporate sector</t>
  </si>
  <si>
    <t>Net dividends paid by U.S. corporations</t>
  </si>
  <si>
    <t>Current-cost net stock of fixed assets</t>
  </si>
  <si>
    <r>
      <rPr>
        <u/>
        <sz val="12"/>
        <color theme="1"/>
        <rFont val="Arial"/>
        <family val="2"/>
      </rPr>
      <t>Notes</t>
    </r>
    <r>
      <rPr>
        <sz val="12"/>
        <color theme="1"/>
        <rFont val="Arial"/>
        <family val="2"/>
      </rPr>
      <t>: Income is without current-cost adjustment; positions are at current cost.</t>
    </r>
  </si>
  <si>
    <t>OPEC countries</t>
  </si>
  <si>
    <t>OPEC / all oil</t>
  </si>
  <si>
    <t>OPEC</t>
  </si>
  <si>
    <t>tax rate OPEC</t>
  </si>
  <si>
    <t>tax rate oil non OPEC</t>
  </si>
  <si>
    <t>Non-OPEC</t>
  </si>
  <si>
    <t>Share OPEC in after-tax profits</t>
  </si>
  <si>
    <r>
      <t xml:space="preserve">Share </t>
    </r>
    <r>
      <rPr>
        <sz val="12"/>
        <color theme="1"/>
        <rFont val="Arial"/>
        <family val="2"/>
      </rPr>
      <t xml:space="preserve"> OPEC </t>
    </r>
    <r>
      <rPr>
        <sz val="12"/>
        <color theme="1"/>
        <rFont val="Arial"/>
        <family val="2"/>
      </rPr>
      <t>in pre-tax profits</t>
    </r>
  </si>
  <si>
    <t>Tax rate OPEC</t>
  </si>
  <si>
    <t>Tax rate non-OPEC</t>
  </si>
  <si>
    <t>international transactions accounts.</t>
  </si>
  <si>
    <t xml:space="preserve">of direct transactions of a U.S. reporter with its foreign affiliate.  Entered in the </t>
  </si>
  <si>
    <t>affiliates, after deduction of foreign income taxes, based on the BE-577 quarterly survey</t>
  </si>
  <si>
    <t>economic accounting basis based on the BE-10/BE-11 surveys.</t>
  </si>
  <si>
    <t xml:space="preserve">adjustments needed to convert profits from a financial accounting basis to an </t>
  </si>
  <si>
    <t xml:space="preserve">gains and losses and income from equity investments, and reflects certain other </t>
  </si>
  <si>
    <t>Unlike net income, it is before deduction of foreign income taxes, excludes capital</t>
  </si>
  <si>
    <t>the BE-10/BE-11 benchmark and annual surveys of U.S. direct investment abroad.</t>
  </si>
  <si>
    <t>Sources and definitions:</t>
  </si>
  <si>
    <t>X</t>
  </si>
  <si>
    <t>Covers only majority-owned affiliates</t>
  </si>
  <si>
    <t>Double counts the profits of indirectly- held affiliates</t>
  </si>
  <si>
    <t>Excludes capital gains and losses</t>
  </si>
  <si>
    <t>Before deduction of foreign income taxes</t>
  </si>
  <si>
    <t>Pro-rated by ownership stake of U.S. parent</t>
  </si>
  <si>
    <t>Net income (BEA survey, tables II.D)</t>
  </si>
  <si>
    <t>Profit-type return (BEA survey, tables II.F)</t>
  </si>
  <si>
    <t>total costs and expenses of foreign affiliates based on</t>
  </si>
  <si>
    <t>Includes a current-cost adjustment</t>
  </si>
  <si>
    <t>Direct investment income on equity (International transaction accounts, Table 4.1 line 4)</t>
  </si>
  <si>
    <t>OECD average</t>
  </si>
  <si>
    <t>Source: Torslov, Wier, Zucman 2018 Appendix Table F1b</t>
  </si>
  <si>
    <t>United States (equity at current cost)</t>
  </si>
  <si>
    <t>United States (equity at market-value)</t>
  </si>
  <si>
    <t>DI interest income</t>
  </si>
  <si>
    <t>DI debt positions</t>
  </si>
  <si>
    <t>Release Date: March 30, 2018 - Next Release Date: June 27, 2018</t>
  </si>
  <si>
    <t>2017 </t>
  </si>
  <si>
    <t>Release Date: March 21, 2018 - Next Release Date: June 20, 2018</t>
  </si>
  <si>
    <t>DI income</t>
  </si>
  <si>
    <t>DI positions</t>
  </si>
  <si>
    <t xml:space="preserve">Table 4.2 </t>
  </si>
  <si>
    <t>Without ccaj (table 4.2)</t>
  </si>
  <si>
    <t>Positions at market value</t>
  </si>
  <si>
    <t>Positions at current cost</t>
  </si>
  <si>
    <t>DI returns differentials</t>
  </si>
  <si>
    <t>Positions at market value, no income ccadj</t>
  </si>
  <si>
    <t>Positions at current cost, no income ccadj</t>
  </si>
  <si>
    <t>2014-16  avg</t>
  </si>
  <si>
    <t>DI debt returns differential</t>
  </si>
  <si>
    <t>Havens share differential</t>
  </si>
  <si>
    <t>2014-16 avg</t>
  </si>
  <si>
    <t>FDI income database.</t>
  </si>
  <si>
    <t xml:space="preserve">Top 5 havens are Ireland, Luxembourg, Switzerland, Netherlands, Singapore. Shares </t>
  </si>
  <si>
    <t xml:space="preserve">are averages for 2014-16, and FDI income data is on a directional basis. We </t>
  </si>
  <si>
    <t xml:space="preserve">use total FDI income as very few countries publish good bilateral FDI equity </t>
  </si>
  <si>
    <t xml:space="preserve">income data. We only do computations for countries where they have </t>
  </si>
  <si>
    <t xml:space="preserve">coverage of all 5 havens. If data is missing for a year, but there is data in any of </t>
  </si>
  <si>
    <t xml:space="preserve">the other years 2014-16, we interpolate by taking the average. The cases </t>
  </si>
  <si>
    <t>where we have done this are highlighted in the tab 'outw'</t>
  </si>
  <si>
    <t xml:space="preserve">Sources: Raw data and underlying computations in tab 'BOPS and </t>
  </si>
  <si>
    <t xml:space="preserve">IIP'. Data is extracted from IMF BOPS  (in Feb 2018). </t>
  </si>
  <si>
    <t xml:space="preserve">Data are on an Asset/liability basis. Yields are computed by dividing DI </t>
  </si>
  <si>
    <t xml:space="preserve">equity earnings (dividends plus reinvested earnings, IMF code: </t>
  </si>
  <si>
    <t xml:space="preserve">bxipide_bp6_usd, bmipide_bp6_usd) in year t by positions (IMF code: </t>
  </si>
  <si>
    <t xml:space="preserve">iade_bp6_usd, ilde_bp6_usd) at the end of year t-1. Returns to assets are </t>
  </si>
  <si>
    <t xml:space="preserve">after foreign taxes paid, and liabilities after domestic taxes. Yields on debt </t>
  </si>
  <si>
    <t xml:space="preserve">instruments are interest payments (IMF code: bxipidi_bp6_usd, </t>
  </si>
  <si>
    <t xml:space="preserve">bmipidi_bp6_usd) in period t over positions (IMF code: iadd_bp6_usd, </t>
  </si>
  <si>
    <t xml:space="preserve">ildd_bp6_usd) in period t-1. Total DI is returns for both equity and debt </t>
  </si>
  <si>
    <t xml:space="preserve">combined (IMF codes;bxipid_bp6_usd, bmipid_bp6_usd, iad_bp6_usd, </t>
  </si>
  <si>
    <r>
      <t xml:space="preserve">Notes: </t>
    </r>
    <r>
      <rPr>
        <sz val="11"/>
        <color rgb="FF000000"/>
        <rFont val="Arial"/>
      </rPr>
      <t xml:space="preserve">Returns are income yields, they do not include capital gains. </t>
    </r>
  </si>
  <si>
    <t>Notes:</t>
  </si>
  <si>
    <t xml:space="preserve">paid - capital gains - income earned from equity investment). We subtract capital gains and losses from profits to be consistent with data in BOPS, in line with the latest </t>
  </si>
  <si>
    <t xml:space="preserve">international standards. Income from equity investments must also be subtracted from net income, as this is mostly dividend flows between affiliated firms which are </t>
  </si>
  <si>
    <t xml:space="preserve">typically not taxable. When there is missing data for capital gains or income from equity investments, we infer them by assuming that the ratio of the missing data to </t>
  </si>
  <si>
    <t xml:space="preserve">total net income is the same as at the world level. We compute aggregate effective tax rates over the period 2010-2015 for each country, as at a bilateral level </t>
  </si>
  <si>
    <t>effective tax rates can be volatile from year to year.</t>
  </si>
  <si>
    <r>
      <t xml:space="preserve">Notes: </t>
    </r>
    <r>
      <rPr>
        <sz val="11"/>
        <color rgb="FF000000"/>
        <rFont val="Arial"/>
      </rPr>
      <t xml:space="preserve">The proxy for effective tax rates faced by multinationals in each country is equal to foreign income taxes paid / (net income + foreign income taxes </t>
    </r>
  </si>
  <si>
    <t>Enterprises".</t>
  </si>
  <si>
    <r>
      <t xml:space="preserve">Source: </t>
    </r>
    <r>
      <rPr>
        <sz val="11"/>
        <color rgb="FF000000"/>
        <rFont val="Arial"/>
      </rPr>
      <t xml:space="preserve">The underlying raw data from each year 2010-2015 comes from Table II.D 1 of annual BEA surveys called "Worldwide Activities of U.S. Multinational </t>
    </r>
  </si>
  <si>
    <t>Table B.3: Effective tax rates faced by US MOFAs abroad (2010-2015)</t>
  </si>
  <si>
    <t>DI equity diff conditional</t>
  </si>
  <si>
    <t>Corporate tax rate</t>
  </si>
  <si>
    <t>DI equity returns differential</t>
  </si>
  <si>
    <t>Conditional DI equity return differential (pp)</t>
  </si>
  <si>
    <t>Table B.1: DI Returns differentials (pp, 2014-2016)</t>
  </si>
  <si>
    <r>
      <rPr>
        <b/>
        <sz val="11"/>
        <color theme="1"/>
        <rFont val="Arial"/>
      </rPr>
      <t>Source:</t>
    </r>
    <r>
      <rPr>
        <sz val="11"/>
        <color theme="1"/>
        <rFont val="Arial"/>
        <family val="2"/>
        <charset val="204"/>
      </rPr>
      <t xml:space="preserve"> OECD FDI compilation methods metadata </t>
    </r>
  </si>
  <si>
    <r>
      <rPr>
        <b/>
        <sz val="11"/>
        <color theme="1"/>
        <rFont val="Arial"/>
      </rPr>
      <t>Notes:</t>
    </r>
    <r>
      <rPr>
        <sz val="11"/>
        <color theme="1"/>
        <rFont val="Arial"/>
        <family val="2"/>
        <charset val="204"/>
      </rPr>
      <t xml:space="preserve"> Although the US states it estimates equities at book value, 'book value' is a generic term and this is misleading. The BEA produce a range of measures (HC,CC, MV).</t>
    </r>
  </si>
  <si>
    <t>Table B.5: Selected FDI compilation methods metadata comparison</t>
  </si>
  <si>
    <t>Table B.6: Share of top 5 havens in total outward FDI income</t>
  </si>
  <si>
    <t xml:space="preserve">Share </t>
  </si>
  <si>
    <t>Table B.7: Share of havens in outward and inward DI equity positions</t>
  </si>
  <si>
    <r>
      <rPr>
        <sz val="12"/>
        <rFont val="Arial Narrow"/>
        <family val="2"/>
      </rPr>
      <t>Income</t>
    </r>
  </si>
  <si>
    <r>
      <rPr>
        <sz val="12"/>
        <rFont val="Arial Narrow"/>
        <family val="2"/>
      </rPr>
      <t>Costs and expenses</t>
    </r>
  </si>
  <si>
    <r>
      <rPr>
        <sz val="12"/>
        <rFont val="Arial Narrow"/>
        <family val="2"/>
      </rPr>
      <t>Net income</t>
    </r>
  </si>
  <si>
    <r>
      <rPr>
        <sz val="12"/>
        <rFont val="Arial Narrow"/>
        <family val="2"/>
      </rPr>
      <t>Total</t>
    </r>
  </si>
  <si>
    <r>
      <rPr>
        <sz val="12"/>
        <rFont val="Arial Narrow"/>
        <family val="2"/>
      </rPr>
      <t>Sales</t>
    </r>
  </si>
  <si>
    <r>
      <rPr>
        <sz val="12"/>
        <rFont val="Arial Narrow"/>
        <family val="2"/>
      </rPr>
      <t>Income from equity investments</t>
    </r>
  </si>
  <si>
    <r>
      <rPr>
        <sz val="12"/>
        <rFont val="Arial Narrow"/>
        <family val="2"/>
      </rPr>
      <t xml:space="preserve">Capital gains (losses) </t>
    </r>
    <r>
      <rPr>
        <vertAlign val="superscript"/>
        <sz val="12"/>
        <rFont val="Arial Narrow"/>
        <family val="2"/>
      </rPr>
      <t>1</t>
    </r>
  </si>
  <si>
    <r>
      <rPr>
        <sz val="12"/>
        <rFont val="Arial Narrow"/>
        <family val="2"/>
      </rPr>
      <t>Other</t>
    </r>
  </si>
  <si>
    <r>
      <rPr>
        <sz val="12"/>
        <rFont val="Arial Narrow"/>
        <family val="2"/>
      </rPr>
      <t>Cost of goods sold and selling, general, and administrative expenses</t>
    </r>
  </si>
  <si>
    <r>
      <rPr>
        <sz val="12"/>
        <rFont val="Arial Narrow"/>
        <family val="2"/>
      </rPr>
      <t>Foreign income taxes</t>
    </r>
  </si>
  <si>
    <r>
      <rPr>
        <b/>
        <sz val="12"/>
        <rFont val="Arial Narrow"/>
        <family val="2"/>
      </rPr>
      <t>All countries</t>
    </r>
  </si>
  <si>
    <r>
      <rPr>
        <b/>
        <sz val="12"/>
        <rFont val="Arial Narrow"/>
        <family val="2"/>
      </rPr>
      <t>Canada</t>
    </r>
  </si>
  <si>
    <r>
      <rPr>
        <b/>
        <sz val="12"/>
        <rFont val="Arial Narrow"/>
        <family val="2"/>
      </rPr>
      <t>Europe</t>
    </r>
  </si>
  <si>
    <r>
      <rPr>
        <sz val="12"/>
        <rFont val="Arial Narrow"/>
        <family val="2"/>
      </rPr>
      <t>Austria</t>
    </r>
  </si>
  <si>
    <r>
      <rPr>
        <sz val="12"/>
        <rFont val="Arial Narrow"/>
        <family val="2"/>
      </rPr>
      <t>Belgium</t>
    </r>
  </si>
  <si>
    <r>
      <rPr>
        <sz val="12"/>
        <rFont val="Arial Narrow"/>
        <family val="2"/>
      </rPr>
      <t>Czech Republic</t>
    </r>
  </si>
  <si>
    <r>
      <rPr>
        <sz val="12"/>
        <rFont val="Arial Narrow"/>
        <family val="2"/>
      </rPr>
      <t>Denmark</t>
    </r>
  </si>
  <si>
    <r>
      <rPr>
        <sz val="12"/>
        <rFont val="Arial Narrow"/>
        <family val="2"/>
      </rPr>
      <t>Finland</t>
    </r>
  </si>
  <si>
    <r>
      <rPr>
        <sz val="12"/>
        <rFont val="Arial Narrow"/>
        <family val="2"/>
      </rPr>
      <t>France</t>
    </r>
  </si>
  <si>
    <r>
      <rPr>
        <sz val="12"/>
        <rFont val="Arial Narrow"/>
        <family val="2"/>
      </rPr>
      <t>Germany</t>
    </r>
  </si>
  <si>
    <r>
      <rPr>
        <sz val="12"/>
        <rFont val="Arial Narrow"/>
        <family val="2"/>
      </rPr>
      <t>Greece</t>
    </r>
  </si>
  <si>
    <r>
      <rPr>
        <sz val="12"/>
        <rFont val="Arial Narrow"/>
        <family val="2"/>
      </rPr>
      <t>Hungary</t>
    </r>
  </si>
  <si>
    <r>
      <rPr>
        <sz val="12"/>
        <rFont val="Arial Narrow"/>
        <family val="2"/>
      </rPr>
      <t>Ireland</t>
    </r>
  </si>
  <si>
    <r>
      <rPr>
        <sz val="12"/>
        <rFont val="Arial Narrow"/>
        <family val="2"/>
      </rPr>
      <t>Italy</t>
    </r>
  </si>
  <si>
    <r>
      <rPr>
        <sz val="12"/>
        <rFont val="Arial Narrow"/>
        <family val="2"/>
      </rPr>
      <t>Luxembourg</t>
    </r>
  </si>
  <si>
    <r>
      <rPr>
        <sz val="12"/>
        <rFont val="Arial Narrow"/>
        <family val="2"/>
      </rPr>
      <t>Netherlands</t>
    </r>
  </si>
  <si>
    <r>
      <rPr>
        <sz val="12"/>
        <rFont val="Arial Narrow"/>
        <family val="2"/>
      </rPr>
      <t>Norway</t>
    </r>
  </si>
  <si>
    <r>
      <rPr>
        <sz val="12"/>
        <rFont val="Arial Narrow"/>
        <family val="2"/>
      </rPr>
      <t>Poland</t>
    </r>
  </si>
  <si>
    <r>
      <rPr>
        <sz val="12"/>
        <rFont val="Arial Narrow"/>
        <family val="2"/>
      </rPr>
      <t>Portugal</t>
    </r>
  </si>
  <si>
    <r>
      <rPr>
        <sz val="12"/>
        <rFont val="Arial Narrow"/>
        <family val="2"/>
      </rPr>
      <t>Russia</t>
    </r>
  </si>
  <si>
    <r>
      <rPr>
        <sz val="12"/>
        <rFont val="Arial Narrow"/>
        <family val="2"/>
      </rPr>
      <t>Spain</t>
    </r>
  </si>
  <si>
    <r>
      <rPr>
        <sz val="12"/>
        <rFont val="Arial Narrow"/>
        <family val="2"/>
      </rPr>
      <t>Sweden</t>
    </r>
  </si>
  <si>
    <r>
      <rPr>
        <sz val="12"/>
        <rFont val="Arial Narrow"/>
        <family val="2"/>
      </rPr>
      <t>Switzerland</t>
    </r>
  </si>
  <si>
    <r>
      <rPr>
        <sz val="12"/>
        <rFont val="Arial Narrow"/>
        <family val="2"/>
      </rPr>
      <t>Turkey</t>
    </r>
  </si>
  <si>
    <r>
      <rPr>
        <sz val="12"/>
        <rFont val="Arial Narrow"/>
        <family val="2"/>
      </rPr>
      <t>United Kingdom</t>
    </r>
  </si>
  <si>
    <r>
      <rPr>
        <b/>
        <sz val="12"/>
        <rFont val="Arial Narrow"/>
        <family val="2"/>
      </rPr>
      <t>Latin America and Other Western Hemisphere</t>
    </r>
  </si>
  <si>
    <r>
      <rPr>
        <sz val="12"/>
        <rFont val="Arial Narrow"/>
        <family val="2"/>
      </rPr>
      <t>South America</t>
    </r>
  </si>
  <si>
    <r>
      <rPr>
        <sz val="12"/>
        <rFont val="Arial Narrow"/>
        <family val="2"/>
      </rPr>
      <t>Argentina</t>
    </r>
  </si>
  <si>
    <r>
      <rPr>
        <sz val="12"/>
        <rFont val="Arial Narrow"/>
        <family val="2"/>
      </rPr>
      <t>Brazil</t>
    </r>
  </si>
  <si>
    <r>
      <rPr>
        <sz val="12"/>
        <rFont val="Arial Narrow"/>
        <family val="2"/>
      </rPr>
      <t>Chile</t>
    </r>
  </si>
  <si>
    <r>
      <rPr>
        <sz val="12"/>
        <rFont val="Arial Narrow"/>
        <family val="2"/>
      </rPr>
      <t>Colombia</t>
    </r>
  </si>
  <si>
    <r>
      <rPr>
        <sz val="12"/>
        <rFont val="Arial Narrow"/>
        <family val="2"/>
      </rPr>
      <t>Ecuador</t>
    </r>
  </si>
  <si>
    <r>
      <rPr>
        <sz val="12"/>
        <rFont val="Arial Narrow"/>
        <family val="2"/>
      </rPr>
      <t>Peru</t>
    </r>
  </si>
  <si>
    <r>
      <rPr>
        <sz val="12"/>
        <rFont val="Arial Narrow"/>
        <family val="2"/>
      </rPr>
      <t>Venezuela</t>
    </r>
  </si>
  <si>
    <r>
      <rPr>
        <sz val="12"/>
        <rFont val="Arial Narrow"/>
        <family val="2"/>
      </rPr>
      <t>Central America</t>
    </r>
  </si>
  <si>
    <r>
      <rPr>
        <sz val="12"/>
        <rFont val="Arial Narrow"/>
        <family val="2"/>
      </rPr>
      <t>Costa Rica</t>
    </r>
  </si>
  <si>
    <r>
      <rPr>
        <sz val="12"/>
        <rFont val="Arial Narrow"/>
        <family val="2"/>
      </rPr>
      <t>Honduras</t>
    </r>
  </si>
  <si>
    <r>
      <rPr>
        <sz val="12"/>
        <rFont val="Arial Narrow"/>
        <family val="2"/>
      </rPr>
      <t>Mexico</t>
    </r>
  </si>
  <si>
    <r>
      <rPr>
        <sz val="12"/>
        <rFont val="Arial Narrow"/>
        <family val="2"/>
      </rPr>
      <t>Panama</t>
    </r>
  </si>
  <si>
    <r>
      <rPr>
        <sz val="12"/>
        <rFont val="Arial Narrow"/>
        <family val="2"/>
      </rPr>
      <t>Other Western Hemisphere</t>
    </r>
  </si>
  <si>
    <r>
      <rPr>
        <sz val="12"/>
        <rFont val="Arial Narrow"/>
        <family val="2"/>
      </rPr>
      <t>Barbados</t>
    </r>
  </si>
  <si>
    <r>
      <rPr>
        <sz val="12"/>
        <rFont val="Arial Narrow"/>
        <family val="2"/>
      </rPr>
      <t>Bermuda</t>
    </r>
  </si>
  <si>
    <r>
      <rPr>
        <sz val="12"/>
        <rFont val="Arial Narrow"/>
        <family val="2"/>
      </rPr>
      <t>Dominican Republic</t>
    </r>
  </si>
  <si>
    <r>
      <rPr>
        <sz val="12"/>
        <rFont val="Arial Narrow"/>
        <family val="2"/>
      </rPr>
      <t>United Kingdom Islands, Caribbean</t>
    </r>
  </si>
  <si>
    <r>
      <rPr>
        <b/>
        <sz val="12"/>
        <rFont val="Arial Narrow"/>
        <family val="2"/>
      </rPr>
      <t>Africa</t>
    </r>
  </si>
  <si>
    <r>
      <rPr>
        <sz val="12"/>
        <rFont val="Arial Narrow"/>
        <family val="2"/>
      </rPr>
      <t>Egypt</t>
    </r>
  </si>
  <si>
    <r>
      <rPr>
        <sz val="12"/>
        <rFont val="Arial Narrow"/>
        <family val="2"/>
      </rPr>
      <t>Nigeria</t>
    </r>
  </si>
  <si>
    <r>
      <rPr>
        <sz val="12"/>
        <rFont val="Arial Narrow"/>
        <family val="2"/>
      </rPr>
      <t>South Africa</t>
    </r>
  </si>
  <si>
    <r>
      <rPr>
        <b/>
        <sz val="12"/>
        <rFont val="Arial Narrow"/>
        <family val="2"/>
      </rPr>
      <t>Middle East</t>
    </r>
  </si>
  <si>
    <r>
      <rPr>
        <sz val="12"/>
        <rFont val="Arial Narrow"/>
        <family val="2"/>
      </rPr>
      <t>Israel</t>
    </r>
  </si>
  <si>
    <r>
      <rPr>
        <sz val="12"/>
        <rFont val="Arial Narrow"/>
        <family val="2"/>
      </rPr>
      <t>Saudi Arabia</t>
    </r>
  </si>
  <si>
    <r>
      <rPr>
        <sz val="12"/>
        <rFont val="Arial Narrow"/>
        <family val="2"/>
      </rPr>
      <t>United Arab Emirates</t>
    </r>
  </si>
  <si>
    <r>
      <rPr>
        <b/>
        <sz val="12"/>
        <rFont val="Arial Narrow"/>
        <family val="2"/>
      </rPr>
      <t>Asia and Pacific</t>
    </r>
  </si>
  <si>
    <r>
      <rPr>
        <sz val="12"/>
        <rFont val="Arial Narrow"/>
        <family val="2"/>
      </rPr>
      <t>Australia</t>
    </r>
  </si>
  <si>
    <r>
      <rPr>
        <sz val="12"/>
        <rFont val="Arial Narrow"/>
        <family val="2"/>
      </rPr>
      <t>China</t>
    </r>
  </si>
  <si>
    <r>
      <rPr>
        <sz val="12"/>
        <rFont val="Arial Narrow"/>
        <family val="2"/>
      </rPr>
      <t>Hong Kong</t>
    </r>
  </si>
  <si>
    <r>
      <rPr>
        <sz val="12"/>
        <rFont val="Arial Narrow"/>
        <family val="2"/>
      </rPr>
      <t>India</t>
    </r>
  </si>
  <si>
    <r>
      <rPr>
        <sz val="12"/>
        <rFont val="Arial Narrow"/>
        <family val="2"/>
      </rPr>
      <t>Indonesia</t>
    </r>
  </si>
  <si>
    <r>
      <rPr>
        <sz val="12"/>
        <rFont val="Arial Narrow"/>
        <family val="2"/>
      </rPr>
      <t>Japan</t>
    </r>
  </si>
  <si>
    <r>
      <rPr>
        <sz val="12"/>
        <rFont val="Arial Narrow"/>
        <family val="2"/>
      </rPr>
      <t>Korea, Republic of</t>
    </r>
  </si>
  <si>
    <r>
      <rPr>
        <sz val="12"/>
        <rFont val="Arial Narrow"/>
        <family val="2"/>
      </rPr>
      <t>Malaysia</t>
    </r>
  </si>
  <si>
    <r>
      <rPr>
        <sz val="12"/>
        <rFont val="Arial Narrow"/>
        <family val="2"/>
      </rPr>
      <t>New Zealand</t>
    </r>
  </si>
  <si>
    <r>
      <rPr>
        <sz val="12"/>
        <rFont val="Arial Narrow"/>
        <family val="2"/>
      </rPr>
      <t>Philippines</t>
    </r>
  </si>
  <si>
    <r>
      <rPr>
        <sz val="12"/>
        <rFont val="Arial Narrow"/>
        <family val="2"/>
      </rPr>
      <t>Singapore</t>
    </r>
  </si>
  <si>
    <r>
      <rPr>
        <sz val="12"/>
        <rFont val="Arial Narrow"/>
        <family val="2"/>
      </rPr>
      <t>Taiwan</t>
    </r>
  </si>
  <si>
    <r>
      <rPr>
        <sz val="12"/>
        <rFont val="Arial Narrow"/>
        <family val="2"/>
      </rPr>
      <t>Thailand</t>
    </r>
  </si>
  <si>
    <r>
      <rPr>
        <b/>
        <sz val="12"/>
        <rFont val="Arial Narrow"/>
        <family val="2"/>
      </rPr>
      <t>Addenda:</t>
    </r>
  </si>
  <si>
    <r>
      <rPr>
        <sz val="12"/>
        <rFont val="Arial Narrow"/>
        <family val="2"/>
      </rPr>
      <t>European Union (28)</t>
    </r>
  </si>
  <si>
    <r>
      <rPr>
        <sz val="12"/>
        <rFont val="Arial Narrow"/>
        <family val="2"/>
      </rPr>
      <t>OPEC</t>
    </r>
  </si>
  <si>
    <r>
      <rPr>
        <b/>
        <sz val="12"/>
        <color rgb="FF000000"/>
        <rFont val="Arial"/>
        <family val="2"/>
      </rPr>
      <t>Raw data and computations in tab 'outw share'</t>
    </r>
    <r>
      <rPr>
        <sz val="12"/>
        <color rgb="FF000000"/>
        <rFont val="Arial"/>
        <family val="2"/>
      </rPr>
      <t xml:space="preserve">. Raw data comes from the OECD's </t>
    </r>
  </si>
  <si>
    <t>DI debt returns differential (pp)</t>
  </si>
  <si>
    <t>Table B.4a: US total DI income, position and returns differentials</t>
  </si>
  <si>
    <t>Table B.4b: US DI equity income, positions and returns differentials</t>
  </si>
  <si>
    <t>Table B.4c: US DI debt income, positions and returns differentials</t>
  </si>
  <si>
    <t>Notes +sources</t>
  </si>
  <si>
    <t>Positions at market value, no income ccaj</t>
  </si>
  <si>
    <t>Positions at current cost, no income ccaj</t>
  </si>
  <si>
    <t>[16]</t>
  </si>
  <si>
    <t>Return on DI equity assets</t>
  </si>
  <si>
    <t>(With current cost adjustment)</t>
  </si>
  <si>
    <r>
      <t>Return on DI equity liabilitie</t>
    </r>
    <r>
      <rPr>
        <sz val="12"/>
        <color theme="1"/>
        <rFont val="Arial"/>
        <family val="2"/>
      </rPr>
      <t>s</t>
    </r>
  </si>
  <si>
    <t>Returns differential</t>
  </si>
  <si>
    <t>Return on US domestic corporations</t>
  </si>
  <si>
    <t>Returns on equities: different measures</t>
  </si>
  <si>
    <r>
      <rPr>
        <b/>
        <sz val="11"/>
        <color theme="1"/>
        <rFont val="Arial"/>
      </rPr>
      <t>Sources</t>
    </r>
    <r>
      <rPr>
        <sz val="11"/>
        <color theme="1"/>
        <rFont val="Arial"/>
        <family val="2"/>
        <charset val="204"/>
      </rPr>
      <t>: Asset-liability extracted from IMF BOPS (with exception of US from BEA), figures on a directional basis from OECD FDI database</t>
    </r>
  </si>
  <si>
    <r>
      <rPr>
        <b/>
        <sz val="12"/>
        <color theme="1"/>
        <rFont val="Arial"/>
        <family val="2"/>
      </rPr>
      <t>Sources:</t>
    </r>
    <r>
      <rPr>
        <sz val="12"/>
        <color theme="1"/>
        <rFont val="Arial"/>
        <family val="2"/>
      </rPr>
      <t xml:space="preserve"> BEA Tables 4.2 and 2.1. Data extracted May 2018</t>
    </r>
  </si>
  <si>
    <t>Equity at current cost (Table 2.1; lines 35 and 40)</t>
  </si>
  <si>
    <t>Market value (Table 2.1; lines 1 and 18)</t>
  </si>
  <si>
    <t>Without ccaj (Table 4.2; lines 26/62 plus 5/42)</t>
  </si>
  <si>
    <t>With ccaj (Table 4.2; lines 1,38)</t>
  </si>
  <si>
    <t>DI returns differentials (pp)</t>
  </si>
  <si>
    <r>
      <rPr>
        <b/>
        <sz val="12"/>
        <color theme="1"/>
        <rFont val="Arial"/>
        <family val="2"/>
      </rPr>
      <t>Sources:</t>
    </r>
    <r>
      <rPr>
        <sz val="12"/>
        <color theme="1"/>
        <rFont val="Arial"/>
        <family val="2"/>
      </rPr>
      <t xml:space="preserve"> BEA Tables 4.2 and 2.1. Data extracted May 2018.</t>
    </r>
  </si>
  <si>
    <t>Historical Cost (Table 2.1; lines 15 and 32)</t>
  </si>
  <si>
    <t>Current cost (Table 2.1; lines 36 and 41)</t>
  </si>
  <si>
    <t>Market value (Table 2.1; lines 2 and 19)</t>
  </si>
  <si>
    <t>Without ccaj (Table 4.2; lines 26 and 62)</t>
  </si>
  <si>
    <t>Table 4.2; lines 2 and 39</t>
  </si>
  <si>
    <t>Returns differentials without ccaj (pp)</t>
  </si>
  <si>
    <t>Returns differentials (pp)</t>
  </si>
  <si>
    <t>Table 2.1; lines 3 and 20</t>
  </si>
  <si>
    <t>Table 4.2; lines 5 and 42</t>
  </si>
  <si>
    <t>reported:derived</t>
  </si>
  <si>
    <t>Updated 'unadjusted'</t>
  </si>
  <si>
    <r>
      <rPr>
        <b/>
        <sz val="12"/>
        <color theme="1"/>
        <rFont val="Calibri"/>
        <family val="2"/>
        <scheme val="minor"/>
      </rPr>
      <t>Sources:</t>
    </r>
    <r>
      <rPr>
        <sz val="12"/>
        <color theme="1"/>
        <rFont val="Calibri"/>
        <family val="2"/>
        <scheme val="minor"/>
      </rPr>
      <t xml:space="preserve"> IMF CDIS</t>
    </r>
  </si>
  <si>
    <t>DI equity asset returns</t>
  </si>
  <si>
    <t>DI equity asset returns after tax</t>
  </si>
  <si>
    <t xml:space="preserve">Country </t>
  </si>
  <si>
    <t xml:space="preserve">ild_bp6_usd). </t>
  </si>
  <si>
    <r>
      <rPr>
        <b/>
        <sz val="11"/>
        <color theme="1"/>
        <rFont val="Arial"/>
      </rPr>
      <t>Notes</t>
    </r>
    <r>
      <rPr>
        <sz val="11"/>
        <color theme="1"/>
        <rFont val="Arial"/>
        <family val="2"/>
        <charset val="204"/>
      </rPr>
      <t xml:space="preserve">: Computations are done in the same way for directional as for asset-liability. See Table B.1  or Figure B.1 for notes on returns computations. Positions for the United States are at market value, not current cost. See Table B.4b for returns with US equities valued at current and historical cost. Income flows include current cost adjustment. </t>
    </r>
  </si>
  <si>
    <t>Sources:</t>
  </si>
  <si>
    <t>Sources</t>
  </si>
  <si>
    <t xml:space="preserve">See tab 'ext returns comps' </t>
  </si>
  <si>
    <t>IRE</t>
  </si>
  <si>
    <t>USA</t>
  </si>
  <si>
    <t>Memo: profits / comp, foreign investments in US oil</t>
  </si>
  <si>
    <r>
      <t>P</t>
    </r>
    <r>
      <rPr>
        <sz val="12"/>
        <color theme="1"/>
        <rFont val="Arial"/>
        <family val="2"/>
      </rPr>
      <t>re</t>
    </r>
    <r>
      <rPr>
        <sz val="12"/>
        <color theme="1"/>
        <rFont val="Arial"/>
        <family val="2"/>
      </rPr>
      <t>-tax profits / compensation, oil</t>
    </r>
  </si>
  <si>
    <r>
      <t>P</t>
    </r>
    <r>
      <rPr>
        <sz val="12"/>
        <color theme="1"/>
        <rFont val="Arial"/>
        <family val="2"/>
      </rPr>
      <t>re</t>
    </r>
    <r>
      <rPr>
        <sz val="12"/>
        <color theme="1"/>
        <rFont val="Arial"/>
        <family val="2"/>
      </rPr>
      <t>-tax profits / compensation, havens (exl. Oil)</t>
    </r>
  </si>
  <si>
    <r>
      <t>P</t>
    </r>
    <r>
      <rPr>
        <sz val="12"/>
        <color theme="1"/>
        <rFont val="Arial"/>
        <family val="2"/>
      </rPr>
      <t>re</t>
    </r>
    <r>
      <rPr>
        <sz val="12"/>
        <color theme="1"/>
        <rFont val="Arial"/>
        <family val="2"/>
      </rPr>
      <t xml:space="preserve">-tax profits/ compensation, non-haven non-oil </t>
    </r>
  </si>
  <si>
    <r>
      <rPr>
        <u/>
        <sz val="12"/>
        <color theme="1"/>
        <rFont val="Arial"/>
        <family val="2"/>
      </rPr>
      <t>Notes</t>
    </r>
    <r>
      <rPr>
        <sz val="12"/>
        <color theme="1"/>
        <rFont val="Arial"/>
        <family val="2"/>
      </rPr>
      <t xml:space="preserve">: USDIA equity income is without current-cost adjustment. All profit measures are after net interest payments and capital depreciation. </t>
    </r>
  </si>
  <si>
    <r>
      <t>Net income</t>
    </r>
    <r>
      <rPr>
        <sz val="12"/>
        <color theme="1"/>
        <rFont val="Arial"/>
        <family val="2"/>
      </rPr>
      <t>.--A financial accounting measure of profitability.  Total income less</t>
    </r>
  </si>
  <si>
    <r>
      <t>Profit-type return</t>
    </r>
    <r>
      <rPr>
        <sz val="12"/>
        <color theme="1"/>
        <rFont val="Arial"/>
        <family val="2"/>
      </rPr>
      <t>.--An economic accounting measure of profits from current production.</t>
    </r>
  </si>
  <si>
    <r>
      <t>Direct investment equity income</t>
    </r>
    <r>
      <rPr>
        <sz val="12"/>
        <color theme="1"/>
        <rFont val="Arial"/>
        <family val="2"/>
      </rPr>
      <t>.--The U.S. parents' shares in the profits of their foreign</t>
    </r>
  </si>
  <si>
    <t>Table A.0: Comparison of profit measures of U.S. multinationals</t>
  </si>
  <si>
    <r>
      <rPr>
        <u/>
        <sz val="12"/>
        <color theme="1"/>
        <rFont val="Arial"/>
        <family val="2"/>
      </rPr>
      <t>Notes</t>
    </r>
    <r>
      <rPr>
        <sz val="12"/>
        <color theme="1"/>
        <rFont val="Arial"/>
        <family val="2"/>
      </rPr>
      <t>: In col. 11, the tax rate for 2001 is the average of 2000 and 2002.</t>
    </r>
  </si>
  <si>
    <t>Table A.2b: Profits of U.S. oil multinationals abroad: geographical breakdown</t>
  </si>
  <si>
    <r>
      <rPr>
        <u/>
        <sz val="12"/>
        <color theme="1"/>
        <rFont val="Arial"/>
        <family val="2"/>
      </rPr>
      <t>Notes</t>
    </r>
    <r>
      <rPr>
        <sz val="12"/>
        <color theme="1"/>
        <rFont val="Arial"/>
        <family val="2"/>
      </rPr>
      <t xml:space="preserve">: FDIUS equity income is without current-cost adjustment. All profit measures are after net interest payments and capital depreciation. </t>
    </r>
  </si>
  <si>
    <t>Table A.5c: Equity assets of U.S. multinationals abroad: haven vs. non-haven</t>
  </si>
  <si>
    <t>Table A.5d: Equity assets of U.S. multinationals abroad: haven vs. non-haven, excluding oil</t>
  </si>
  <si>
    <t>Investment income paid (asset / liability basis)</t>
  </si>
  <si>
    <t>Table A.7: After- tax rates of return on foreign vs. domestic equity investments</t>
  </si>
  <si>
    <t>Excl. Indiv</t>
  </si>
  <si>
    <t>%</t>
  </si>
  <si>
    <t>$bn</t>
  </si>
  <si>
    <t>Disctount rate:</t>
  </si>
  <si>
    <t>Law</t>
  </si>
  <si>
    <t>JCT revenue estimates</t>
  </si>
  <si>
    <t>Taking into account the back-loading of the deemed repatriation</t>
  </si>
  <si>
    <t>Tax havens did not improve US tax revenue, but improved shareholders':                                                class redistribution trumps international redistribution</t>
  </si>
  <si>
    <t>JCT includes the effects on taxes paid shareholders in its revenue estimates of repatriation (increased dividends upon repatriaiton, and capital gains tax due to rising share prices), see https://www.bloomberg.com/news/articles/2018-01-25/apple-s-38-billion-tax-bill-the-company-has-eight-years-to-pay. This probably explains the high revenue estimated by JCT in 2018-2019. Setting the 2018 and 2019 revenues equal to the 2020, 2021, and 2022 revenue (which are likely to only include the pure corporation tax revenue) gives an amnesty rate of 7.8% (net of foreign tax credit, with no discounting), in line with what we assume.</t>
  </si>
  <si>
    <t>Effective amnesty rate post-credit &amp; discounting</t>
  </si>
  <si>
    <t>JCT</t>
  </si>
  <si>
    <t>Amnesty rate for other</t>
  </si>
  <si>
    <t>Amnesty rate for cash:</t>
  </si>
  <si>
    <t>U.S. federal tax rate:</t>
  </si>
  <si>
    <t>Share cash</t>
  </si>
  <si>
    <t>Tax havens</t>
  </si>
  <si>
    <t>High-tax countries</t>
  </si>
  <si>
    <t>US + foreign tax paid</t>
  </si>
  <si>
    <t>US tax revenue</t>
  </si>
  <si>
    <t>Profits</t>
  </si>
  <si>
    <t>(for presentation slides, should be divided into 2 parts: panels 1-2 and then panels 2-3)</t>
  </si>
  <si>
    <t>50% shifted to havens                    2017 amnesty</t>
  </si>
  <si>
    <t>50% shifted to havens                                    no amnesty</t>
  </si>
  <si>
    <t>No profit-shifting</t>
  </si>
  <si>
    <t>Foreign tax rate</t>
  </si>
  <si>
    <t>Table A.19: Tax collection by the US federal government on the foreign profits of US multinationals</t>
  </si>
  <si>
    <t>Interest is negligible except during Netherlands Antilles craze when it was in fact massive</t>
  </si>
  <si>
    <t>vs Lux-Netherlands-Caribbean (low returns due to different asset composition: tilted towards low-yield financial assets accumulated out of retained earnings)</t>
  </si>
  <si>
    <t>Cf Tab A17: ratio current/histo as high as 1.8-2 in 1980s, still high in early/mid 1990s --&gt; likely to explain part of high return on non-haven non oil assets</t>
  </si>
  <si>
    <t>&gt;&gt; To be completed</t>
  </si>
  <si>
    <t>Pre-1960s computations to be done using IRS data, in progress</t>
  </si>
  <si>
    <r>
      <t xml:space="preserve">Sources and notes: </t>
    </r>
    <r>
      <rPr>
        <sz val="11"/>
        <color theme="1"/>
        <rFont val="Arial"/>
        <family val="2"/>
        <charset val="204"/>
      </rPr>
      <t>same as Figure 2 of the working paper</t>
    </r>
  </si>
  <si>
    <t>Correct USDIA equity income</t>
  </si>
  <si>
    <t>Corrected FDIUS equity income</t>
  </si>
  <si>
    <t>Corrected net foreign income / national income</t>
  </si>
  <si>
    <t>Net foreign income</t>
  </si>
  <si>
    <t>Corrected net foreign income</t>
  </si>
  <si>
    <t>How much taxes US multinationals would have paid to the US if…</t>
  </si>
  <si>
    <r>
      <t xml:space="preserve">Notes: </t>
    </r>
    <r>
      <rPr>
        <sz val="11"/>
        <color theme="1"/>
        <rFont val="Arial"/>
        <family val="2"/>
        <charset val="204"/>
      </rPr>
      <t xml:space="preserve">Returns are income yields, they do not include capital gains. Yields are computed by dividing DI equity earnings (dividends plus reinvested earnings, IMF code: bxipide_bp6_usd,  bmipide_bp6_usd) in year t by positions (IMF code: iade_bp6_usd, ilde_bp6_usd) at the end of year t-1. Returns are after  foreign taxes paid. The horizontal axis is the statutory corporate tax rate. In the figure, the data is pooled over 2014-16 and bin scattered by corporate tax rates. To ensure we have graphs with the US and Ireland annotated on, that are not confusing, we binscatter over the sample excluding the US and Ireland, and then plot a line of best fit after adding the US and Ireland back into the series. This does not alter the slope of the line of best fit compared with a binscatter on the whole sample, but prevents there being multiple markers around datapoints for the US and Ireland. The </t>
    </r>
    <r>
      <rPr>
        <b/>
        <sz val="11"/>
        <color theme="1"/>
        <rFont val="Arial"/>
      </rPr>
      <t>sample</t>
    </r>
    <r>
      <rPr>
        <sz val="11"/>
        <color theme="1"/>
        <rFont val="Arial"/>
        <family val="2"/>
        <charset val="204"/>
      </rPr>
      <t xml:space="preserve"> is OECD countries excluding Slovenia, Greece, Iceland, Mexico, Israel, Turkey and the Slovak Republic. Slope coefficient is 0.17 with a p-value of 8.3% (pooled OLS and errors clustered at country level).</t>
    </r>
  </si>
  <si>
    <r>
      <t>Sources:</t>
    </r>
    <r>
      <rPr>
        <sz val="11"/>
        <color theme="1"/>
        <rFont val="Arial"/>
        <family val="2"/>
        <charset val="204"/>
      </rPr>
      <t xml:space="preserve"> Raw data and computations in tab 'BOPS and IIP'. Data from IMF BOPS  (Feb 2018). For the US we use the more comparable current cost measure  for DI equity positions (see appendix for more detail). These come from BEA table 2.1 lines 36 and 41. US DI income includes current cost adjustment. Combined statutory corporate tax rates from OECD.</t>
    </r>
  </si>
  <si>
    <t>DI equity return differential and corporate tax rates, 2014-2016</t>
  </si>
  <si>
    <r>
      <t xml:space="preserve">Notes: </t>
    </r>
    <r>
      <rPr>
        <sz val="11"/>
        <color theme="1"/>
        <rFont val="Arial"/>
        <family val="2"/>
        <charset val="204"/>
      </rPr>
      <t xml:space="preserve">See F.B1b. Binscatter and line of best fit work in same way as F.2. </t>
    </r>
    <r>
      <rPr>
        <b/>
        <sz val="11"/>
        <color theme="1"/>
        <rFont val="Arial"/>
      </rPr>
      <t xml:space="preserve">Sample </t>
    </r>
    <r>
      <rPr>
        <sz val="11"/>
        <color theme="1"/>
        <rFont val="Arial"/>
        <family val="2"/>
        <charset val="204"/>
      </rPr>
      <t>is same as in F.2, but now excludes Japan and New Zealand, as both have implausibly large returns on the liability side. See Appendix for more detail.</t>
    </r>
  </si>
  <si>
    <r>
      <t>Sources:</t>
    </r>
    <r>
      <rPr>
        <sz val="11"/>
        <color theme="1"/>
        <rFont val="Arial"/>
        <family val="2"/>
        <charset val="204"/>
      </rPr>
      <t xml:space="preserve"> See F.B1b</t>
    </r>
  </si>
  <si>
    <t>After tax DI equity liability returns (%) and corporate tax rates (%), 2014-2016</t>
  </si>
  <si>
    <r>
      <t xml:space="preserve">Notes: </t>
    </r>
    <r>
      <rPr>
        <sz val="11"/>
        <color theme="1"/>
        <rFont val="Arial"/>
        <family val="2"/>
        <charset val="204"/>
      </rPr>
      <t xml:space="preserve">See F.2 for after tax returns. See Appendix and Table B.3 for further details on before tax returns. Binscatter plot and line of best fit done the same way as in F.2. In this figure the </t>
    </r>
    <r>
      <rPr>
        <b/>
        <sz val="11"/>
        <color theme="1"/>
        <rFont val="Arial"/>
      </rPr>
      <t>sample</t>
    </r>
    <r>
      <rPr>
        <sz val="11"/>
        <color theme="1"/>
        <rFont val="Arial"/>
        <family val="2"/>
        <charset val="204"/>
      </rPr>
      <t xml:space="preserve"> of countries for before and after tax returns are the same, but differ slightly from F.2 as we can only compute effective tax rate proxies for countries with sufficient coverage in BEA data. Again, see Appendix and Table B.3 for further details.</t>
    </r>
  </si>
  <si>
    <r>
      <t>Sources:</t>
    </r>
    <r>
      <rPr>
        <sz val="11"/>
        <color theme="1"/>
        <rFont val="Arial"/>
        <family val="2"/>
        <charset val="204"/>
      </rPr>
      <t xml:space="preserve"> See F.2 for after tax returns. To compute pre tax returns we use effective tax rate proxies computed from BEA data, see Appendix and Table B.3 for further details on sources and computations.</t>
    </r>
  </si>
  <si>
    <t>Before and after tax DI equity liability returns and corporate tax rates,  2014-2016</t>
  </si>
  <si>
    <t>DI equity liability return (before taxes)</t>
  </si>
  <si>
    <t>DI equity liability return (after taxes)</t>
  </si>
  <si>
    <t>DI equity return differential (pp)</t>
  </si>
  <si>
    <t>DI equity liability returns after and before tax (BEA)</t>
  </si>
  <si>
    <t>DI equity liability returns after tax (OECD)</t>
  </si>
  <si>
    <t>Updated Sept. 9, 2018 following 2016 release of BEA survey</t>
  </si>
  <si>
    <t>https://www.bea.gov/international/di1usdop</t>
  </si>
  <si>
    <t>332,164</t>
  </si>
  <si>
    <t>46,749</t>
  </si>
  <si>
    <t>20,703</t>
  </si>
  <si>
    <t>34,800</t>
  </si>
  <si>
    <t>14,224</t>
  </si>
  <si>
    <t>7,321</t>
  </si>
  <si>
    <t>137,249</t>
  </si>
  <si>
    <t>45,511</t>
  </si>
  <si>
    <t>-9,857</t>
  </si>
  <si>
    <t>116,316</t>
  </si>
  <si>
    <t>44,037</t>
  </si>
  <si>
    <t>-19,470</t>
  </si>
  <si>
    <t>116,100</t>
  </si>
  <si>
    <t>45,287</t>
  </si>
  <si>
    <t>-32,874</t>
  </si>
  <si>
    <t>119,128</t>
  </si>
  <si>
    <t>34,820</t>
  </si>
  <si>
    <t>-12,818</t>
  </si>
  <si>
    <t>72,947</t>
  </si>
  <si>
    <t>29,684</t>
  </si>
  <si>
    <t>-43,610</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</si>
</sst>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_(* #,##0.00_);_(* \(#,##0.00\);_(* &quot;-&quot;??_);_(@_)"/>
    <numFmt numFmtId="165" formatCode="0.0%"/>
    <numFmt numFmtId="166" formatCode="0.0"/>
    <numFmt numFmtId="167" formatCode="#,##0.0"/>
    <numFmt numFmtId="168" formatCode="\$#,##0\ ;\(\$#,##0\)"/>
    <numFmt numFmtId="169" formatCode="_ * #,##0.00_ ;_ * \-#,##0.00_ ;_ * &quot;-&quot;??_ ;_ @_ "/>
    <numFmt numFmtId="170" formatCode="_-* #,##0.00\ _z_ł_-;\-* #,##0.00\ _z_ł_-;_-* &quot;-&quot;??\ _z_ł_-;_-@_-"/>
    <numFmt numFmtId="171" formatCode="#,##0_ ;\-#,##0\ "/>
    <numFmt numFmtId="172" formatCode="#,##0.000"/>
    <numFmt numFmtId="173" formatCode="0.000"/>
    <numFmt numFmtId="174" formatCode="0.00000000000000%"/>
    <numFmt numFmtId="175" formatCode="#,##0.0000"/>
    <numFmt numFmtId="176" formatCode="#,##0;[Red]#,##0"/>
  </numFmts>
  <fonts count="156" x14ac:knownFonts="1">
    <font>
      <sz val="12"/>
      <color theme="1"/>
      <name val="Arial"/>
      <family val="2"/>
    </font>
    <font>
      <sz val="12"/>
      <color theme="1"/>
      <name val="Arial"/>
      <family val="2"/>
    </font>
    <font>
      <sz val="12"/>
      <color theme="1"/>
      <name val="Arial"/>
      <family val="2"/>
    </font>
    <font>
      <sz val="12"/>
      <name val="Arial"/>
    </font>
    <font>
      <sz val="12"/>
      <color theme="1"/>
      <name val="Calibri"/>
      <family val="2"/>
      <scheme val="minor"/>
    </font>
    <font>
      <sz val="12"/>
      <color theme="1"/>
      <name val="Arial"/>
      <family val="2"/>
    </font>
    <font>
      <sz val="12"/>
      <color theme="1"/>
      <name val="Arial"/>
      <family val="2"/>
    </font>
    <font>
      <sz val="12"/>
      <color theme="1"/>
      <name val="Calibri"/>
      <family val="2"/>
      <scheme val="minor"/>
    </font>
    <font>
      <sz val="12"/>
      <color theme="1"/>
      <name val="Calibri"/>
      <family val="2"/>
      <scheme val="minor"/>
    </font>
    <font>
      <sz val="12"/>
      <color theme="1"/>
      <name val="Arial"/>
      <family val="2"/>
      <charset val="204"/>
    </font>
    <font>
      <sz val="12"/>
      <color theme="1"/>
      <name val="Calibri"/>
      <family val="2"/>
      <scheme val="minor"/>
    </font>
    <font>
      <sz val="12"/>
      <color theme="1"/>
      <name val="Calibri"/>
      <family val="2"/>
      <scheme val="minor"/>
    </font>
    <font>
      <sz val="12"/>
      <color theme="1"/>
      <name val="Arial"/>
      <family val="2"/>
      <charset val="204"/>
    </font>
    <font>
      <sz val="12"/>
      <color theme="1"/>
      <name val="Arial"/>
      <family val="2"/>
      <charset val="204"/>
    </font>
    <font>
      <sz val="12"/>
      <name val="Arial"/>
    </font>
    <font>
      <sz val="12"/>
      <color theme="1"/>
      <name val="Calibri"/>
      <family val="2"/>
      <scheme val="minor"/>
    </font>
    <font>
      <sz val="12"/>
      <name val="Arial"/>
    </font>
    <font>
      <sz val="12"/>
      <name val="Arial"/>
    </font>
    <font>
      <sz val="12"/>
      <name val="Arial"/>
    </font>
    <font>
      <sz val="12"/>
      <color theme="1"/>
      <name val="Arial"/>
      <family val="2"/>
    </font>
    <font>
      <sz val="12"/>
      <name val="Arial"/>
    </font>
    <font>
      <sz val="12"/>
      <color theme="1"/>
      <name val="Arial"/>
      <family val="2"/>
    </font>
    <font>
      <sz val="12"/>
      <color theme="1"/>
      <name val="Arial"/>
      <family val="2"/>
    </font>
    <font>
      <sz val="12"/>
      <name val="Arial"/>
    </font>
    <font>
      <sz val="12"/>
      <color theme="1"/>
      <name val="Arial"/>
      <family val="2"/>
    </font>
    <font>
      <sz val="12"/>
      <name val="Arial"/>
    </font>
    <font>
      <sz val="12"/>
      <color theme="1"/>
      <name val="Arial"/>
      <family val="2"/>
    </font>
    <font>
      <sz val="12"/>
      <name val="Arial"/>
    </font>
    <font>
      <sz val="12"/>
      <color theme="1"/>
      <name val="Arial"/>
      <family val="2"/>
    </font>
    <font>
      <sz val="12"/>
      <name val="Arial"/>
    </font>
    <font>
      <sz val="12"/>
      <color theme="1"/>
      <name val="Arial"/>
      <family val="2"/>
    </font>
    <font>
      <sz val="12"/>
      <name val="Arial"/>
    </font>
    <font>
      <sz val="12"/>
      <name val="Arial"/>
      <family val="2"/>
    </font>
    <font>
      <sz val="12"/>
      <name val="Arial"/>
      <family val="2"/>
    </font>
    <font>
      <sz val="12"/>
      <name val="Arial"/>
      <family val="2"/>
    </font>
    <font>
      <sz val="12"/>
      <name val="Arial"/>
      <family val="2"/>
    </font>
    <font>
      <sz val="12"/>
      <color theme="1"/>
      <name val="Arial"/>
      <family val="2"/>
    </font>
    <font>
      <sz val="12"/>
      <color theme="1"/>
      <name val="Arial"/>
      <family val="2"/>
    </font>
    <font>
      <sz val="12"/>
      <color theme="1"/>
      <name val="Arial"/>
      <family val="2"/>
    </font>
    <font>
      <b/>
      <sz val="12"/>
      <color theme="1"/>
      <name val="Arial"/>
      <family val="2"/>
    </font>
    <font>
      <sz val="10"/>
      <name val="Arial"/>
      <family val="2"/>
    </font>
    <font>
      <u/>
      <sz val="12"/>
      <color theme="10"/>
      <name val="Arial"/>
      <family val="2"/>
    </font>
    <font>
      <u/>
      <sz val="12"/>
      <color theme="11"/>
      <name val="Arial"/>
      <family val="2"/>
    </font>
    <font>
      <i/>
      <sz val="12"/>
      <color theme="1"/>
      <name val="Arial"/>
      <family val="2"/>
    </font>
    <font>
      <sz val="10"/>
      <color theme="1"/>
      <name val="Arial"/>
      <family val="2"/>
    </font>
    <font>
      <sz val="12"/>
      <color rgb="FFFF0000"/>
      <name val="Arial"/>
      <family val="2"/>
    </font>
    <font>
      <i/>
      <sz val="10"/>
      <name val="Arial"/>
      <family val="2"/>
    </font>
    <font>
      <b/>
      <i/>
      <sz val="15"/>
      <name val="Arial"/>
      <family val="2"/>
    </font>
    <font>
      <b/>
      <sz val="10"/>
      <name val="Arial"/>
      <family val="2"/>
    </font>
    <font>
      <b/>
      <sz val="10"/>
      <color indexed="9"/>
      <name val="Arial"/>
      <family val="2"/>
    </font>
    <font>
      <sz val="13"/>
      <name val="Arial"/>
      <family val="2"/>
    </font>
    <font>
      <b/>
      <sz val="14"/>
      <name val="Arial"/>
      <family val="2"/>
    </font>
    <font>
      <sz val="12"/>
      <name val="Arial"/>
      <family val="2"/>
    </font>
    <font>
      <sz val="10"/>
      <color rgb="FFFF0000"/>
      <name val="Arial"/>
      <family val="2"/>
    </font>
    <font>
      <sz val="12"/>
      <color theme="1"/>
      <name val="TimesNewRomanPSMT"/>
    </font>
    <font>
      <i/>
      <sz val="12"/>
      <color theme="1"/>
      <name val="Times"/>
      <family val="1"/>
    </font>
    <font>
      <sz val="9"/>
      <color indexed="81"/>
      <name val="Arial"/>
      <family val="2"/>
    </font>
    <font>
      <b/>
      <sz val="9"/>
      <color indexed="81"/>
      <name val="Arial"/>
      <family val="2"/>
    </font>
    <font>
      <b/>
      <sz val="12"/>
      <color rgb="FFFF0000"/>
      <name val="Arial"/>
      <family val="2"/>
    </font>
    <font>
      <sz val="12"/>
      <color theme="1"/>
      <name val="Calibri"/>
      <family val="2"/>
      <scheme val="minor"/>
    </font>
    <font>
      <sz val="10"/>
      <name val="Verdana"/>
      <family val="2"/>
    </font>
    <font>
      <sz val="12"/>
      <color indexed="24"/>
      <name val="Arial"/>
      <family val="2"/>
    </font>
    <font>
      <b/>
      <sz val="8"/>
      <color indexed="24"/>
      <name val="Times New Roman"/>
      <family val="1"/>
    </font>
    <font>
      <sz val="8"/>
      <color indexed="24"/>
      <name val="Times New Roman"/>
      <family val="1"/>
    </font>
    <font>
      <sz val="7"/>
      <name val="Helvetica"/>
      <family val="2"/>
    </font>
    <font>
      <b/>
      <sz val="10"/>
      <color theme="1"/>
      <name val="Arial"/>
      <family val="2"/>
    </font>
    <font>
      <b/>
      <sz val="12"/>
      <name val="Arial"/>
      <family val="2"/>
    </font>
    <font>
      <u/>
      <sz val="12"/>
      <color theme="10"/>
      <name val="Calibri"/>
      <family val="2"/>
      <scheme val="minor"/>
    </font>
    <font>
      <sz val="11"/>
      <color indexed="8"/>
      <name val="Calibri"/>
      <family val="2"/>
    </font>
    <font>
      <sz val="11"/>
      <color indexed="17"/>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sz val="10"/>
      <name val="Arial Narrow"/>
      <family val="2"/>
    </font>
    <font>
      <sz val="12"/>
      <name val="Arial Narrow"/>
      <family val="2"/>
    </font>
    <font>
      <sz val="12"/>
      <name val="Times New Roman"/>
      <family val="1"/>
    </font>
    <font>
      <b/>
      <sz val="8"/>
      <name val="Courier New"/>
      <family val="3"/>
    </font>
    <font>
      <b/>
      <sz val="12"/>
      <name val="Times New Roman"/>
      <family val="1"/>
    </font>
    <font>
      <sz val="7"/>
      <name val="Courier New"/>
      <family val="3"/>
    </font>
    <font>
      <b/>
      <sz val="15"/>
      <color theme="3"/>
      <name val="Arial"/>
      <family val="2"/>
    </font>
    <font>
      <b/>
      <sz val="13"/>
      <color theme="3"/>
      <name val="Arial"/>
      <family val="2"/>
    </font>
    <font>
      <b/>
      <sz val="11"/>
      <color theme="3"/>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vertAlign val="superscript"/>
      <sz val="10"/>
      <name val="Arial"/>
      <family val="2"/>
    </font>
    <font>
      <b/>
      <vertAlign val="superscript"/>
      <sz val="10"/>
      <name val="Arial"/>
      <family val="2"/>
    </font>
    <font>
      <sz val="11"/>
      <color indexed="8"/>
      <name val="Calibri"/>
      <family val="2"/>
      <scheme val="minor"/>
    </font>
    <font>
      <sz val="12"/>
      <color theme="1"/>
      <name val="Arial Narrow"/>
    </font>
    <font>
      <sz val="12"/>
      <color rgb="FF000000"/>
      <name val="Arial"/>
      <family val="2"/>
    </font>
    <font>
      <sz val="12"/>
      <color theme="1"/>
      <name val="Arial "/>
    </font>
    <font>
      <sz val="11"/>
      <color theme="1"/>
      <name val="Calibri"/>
      <family val="2"/>
      <scheme val="minor"/>
    </font>
    <font>
      <sz val="11"/>
      <name val="Arial"/>
      <family val="2"/>
    </font>
    <font>
      <sz val="11"/>
      <color rgb="FF000000"/>
      <name val="Calibri"/>
      <family val="2"/>
    </font>
    <font>
      <u/>
      <sz val="8"/>
      <name val="Verdana"/>
      <family val="2"/>
    </font>
    <font>
      <sz val="8"/>
      <name val="Arial"/>
      <family val="2"/>
    </font>
    <font>
      <b/>
      <sz val="9"/>
      <color indexed="10"/>
      <name val="Courier New"/>
      <family val="3"/>
    </font>
    <font>
      <sz val="8"/>
      <name val="Verdana"/>
      <family val="2"/>
    </font>
    <font>
      <b/>
      <sz val="8"/>
      <name val="Verdana"/>
      <family val="2"/>
    </font>
    <font>
      <sz val="8"/>
      <color indexed="9"/>
      <name val="Verdana"/>
      <family val="2"/>
    </font>
    <font>
      <b/>
      <sz val="8"/>
      <color indexed="9"/>
      <name val="Verdana"/>
      <family val="2"/>
    </font>
    <font>
      <u/>
      <sz val="8"/>
      <color indexed="9"/>
      <name val="Verdana"/>
      <family val="2"/>
    </font>
    <font>
      <b/>
      <u/>
      <sz val="9"/>
      <color indexed="18"/>
      <name val="Verdana"/>
      <family val="2"/>
    </font>
    <font>
      <b/>
      <sz val="12"/>
      <color rgb="FF000000"/>
      <name val="Arial"/>
      <family val="2"/>
    </font>
    <font>
      <b/>
      <sz val="12"/>
      <color theme="1"/>
      <name val="Arial Narrow"/>
    </font>
    <font>
      <b/>
      <sz val="10"/>
      <color rgb="FF000000"/>
      <name val="Arial"/>
      <family val="2"/>
    </font>
    <font>
      <sz val="10"/>
      <color rgb="FF000000"/>
      <name val="Arial"/>
      <family val="2"/>
    </font>
    <font>
      <b/>
      <sz val="10"/>
      <color theme="1"/>
      <name val="Arial Narrow"/>
    </font>
    <font>
      <i/>
      <sz val="12"/>
      <color rgb="FF000000"/>
      <name val="Arial"/>
      <family val="2"/>
    </font>
    <font>
      <sz val="8"/>
      <color rgb="FFFF0000"/>
      <name val="Arial"/>
    </font>
    <font>
      <sz val="14"/>
      <color theme="1"/>
      <name val="Arial"/>
    </font>
    <font>
      <sz val="12"/>
      <color theme="1"/>
      <name val="Garamond"/>
      <family val="2"/>
    </font>
    <font>
      <b/>
      <sz val="16"/>
      <color theme="1"/>
      <name val="Arial"/>
      <family val="2"/>
    </font>
    <font>
      <u/>
      <sz val="12"/>
      <color theme="1"/>
      <name val="Arial"/>
      <family val="2"/>
    </font>
    <font>
      <u/>
      <sz val="10"/>
      <color indexed="12"/>
      <name val="Verdana"/>
      <family val="2"/>
    </font>
    <font>
      <b/>
      <sz val="10"/>
      <color rgb="FFFF0000"/>
      <name val="Arial"/>
    </font>
    <font>
      <b/>
      <i/>
      <sz val="12"/>
      <color theme="1"/>
      <name val="Arial"/>
    </font>
    <font>
      <sz val="10"/>
      <color theme="1"/>
      <name val="Arial Narrow"/>
    </font>
    <font>
      <sz val="12"/>
      <color rgb="FFFF0000"/>
      <name val="Calibri"/>
      <family val="2"/>
      <scheme val="minor"/>
    </font>
    <font>
      <b/>
      <sz val="12"/>
      <color theme="1"/>
      <name val="Calibri"/>
      <family val="2"/>
      <scheme val="minor"/>
    </font>
    <font>
      <sz val="7"/>
      <color rgb="FF000000"/>
      <name val="Verdana"/>
      <family val="2"/>
    </font>
    <font>
      <b/>
      <sz val="9"/>
      <color indexed="81"/>
      <name val="Tahoma"/>
      <family val="2"/>
    </font>
    <font>
      <sz val="9"/>
      <color indexed="81"/>
      <name val="Tahoma"/>
      <family val="2"/>
    </font>
    <font>
      <sz val="12"/>
      <color rgb="FFC00000"/>
      <name val="Calibri"/>
      <family val="2"/>
      <scheme val="minor"/>
    </font>
    <font>
      <b/>
      <sz val="11"/>
      <color rgb="FF000000"/>
      <name val="Arial"/>
    </font>
    <font>
      <sz val="11"/>
      <color rgb="FF000000"/>
      <name val="Arial"/>
    </font>
    <font>
      <sz val="8"/>
      <color theme="1"/>
      <name val="Arial"/>
    </font>
    <font>
      <sz val="14"/>
      <name val="Times New Roman"/>
      <family val="1"/>
    </font>
    <font>
      <u/>
      <sz val="10"/>
      <color indexed="12"/>
      <name val="Arial"/>
    </font>
    <font>
      <i/>
      <u/>
      <sz val="10"/>
      <name val="Arial"/>
      <family val="2"/>
    </font>
    <font>
      <sz val="22"/>
      <name val="Arial"/>
      <family val="2"/>
    </font>
    <font>
      <sz val="16"/>
      <name val="Arial"/>
      <family val="2"/>
    </font>
    <font>
      <sz val="11"/>
      <color theme="1"/>
      <name val="Arial"/>
      <family val="2"/>
      <charset val="204"/>
    </font>
    <font>
      <b/>
      <sz val="11"/>
      <color theme="1"/>
      <name val="Arial"/>
    </font>
    <font>
      <b/>
      <sz val="16"/>
      <name val="Arial"/>
    </font>
    <font>
      <u/>
      <sz val="11"/>
      <color theme="10"/>
      <name val="Arial"/>
      <family val="2"/>
    </font>
    <font>
      <vertAlign val="superscript"/>
      <sz val="12"/>
      <name val="Arial Narrow"/>
      <family val="2"/>
    </font>
    <font>
      <b/>
      <sz val="12"/>
      <name val="Arial Narrow"/>
      <family val="2"/>
    </font>
    <font>
      <b/>
      <sz val="12"/>
      <color theme="1"/>
      <name val="Arial "/>
    </font>
    <font>
      <b/>
      <sz val="12"/>
      <color theme="1"/>
      <name val="Garamond"/>
      <family val="2"/>
    </font>
    <font>
      <b/>
      <sz val="22"/>
      <color theme="1"/>
      <name val="Garamond"/>
    </font>
    <font>
      <b/>
      <sz val="16"/>
      <name val="Garamond"/>
    </font>
    <font>
      <sz val="16"/>
      <name val="Garamond"/>
    </font>
    <font>
      <sz val="16"/>
      <color theme="1"/>
      <name val="Garamond"/>
    </font>
    <font>
      <b/>
      <sz val="18"/>
      <color theme="1"/>
      <name val="Garamond"/>
    </font>
    <font>
      <b/>
      <sz val="16"/>
      <color rgb="FFFF0000"/>
      <name val="Garamond"/>
    </font>
    <font>
      <b/>
      <sz val="16"/>
      <color rgb="FF000000"/>
      <name val="Arial"/>
    </font>
  </fonts>
  <fills count="48">
    <fill>
      <patternFill patternType="none"/>
    </fill>
    <fill>
      <patternFill patternType="gray125"/>
    </fill>
    <fill>
      <patternFill patternType="solid">
        <fgColor indexed="15"/>
        <bgColor indexed="64"/>
      </patternFill>
    </fill>
    <fill>
      <patternFill patternType="solid">
        <fgColor indexed="56"/>
        <bgColor indexed="23"/>
      </patternFill>
    </fill>
    <fill>
      <patternFill patternType="solid">
        <fgColor indexed="26"/>
      </patternFill>
    </fill>
    <fill>
      <patternFill patternType="solid">
        <fgColor indexed="42"/>
      </patternFill>
    </fill>
    <fill>
      <patternFill patternType="solid">
        <fgColor indexed="55"/>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mediumGray">
        <fgColor indexed="22"/>
        <bgColor indexed="9"/>
      </patternFill>
    </fill>
    <fill>
      <patternFill patternType="solid">
        <fgColor indexed="41"/>
        <bgColor indexed="64"/>
      </patternFill>
    </fill>
    <fill>
      <patternFill patternType="solid">
        <fgColor indexed="48"/>
        <bgColor indexed="64"/>
      </patternFill>
    </fill>
    <fill>
      <patternFill patternType="solid">
        <fgColor rgb="FFFFFFFF"/>
        <bgColor indexed="64"/>
      </patternFill>
    </fill>
    <fill>
      <patternFill patternType="solid">
        <fgColor rgb="FFFFC000"/>
        <bgColor indexed="64"/>
      </patternFill>
    </fill>
    <fill>
      <patternFill patternType="solid">
        <fgColor rgb="FF92D050"/>
        <bgColor indexed="64"/>
      </patternFill>
    </fill>
    <fill>
      <patternFill patternType="solid">
        <fgColor indexed="22"/>
        <bgColor indexed="64"/>
      </patternFill>
    </fill>
    <fill>
      <patternFill patternType="solid">
        <fgColor indexed="44"/>
        <bgColor indexed="64"/>
      </patternFill>
    </fill>
  </fills>
  <borders count="182">
    <border>
      <left/>
      <right/>
      <top/>
      <bottom/>
      <diagonal/>
    </border>
    <border>
      <left style="thin">
        <color auto="1"/>
      </left>
      <right/>
      <top/>
      <bottom/>
      <diagonal/>
    </border>
    <border>
      <left/>
      <right/>
      <top style="thin">
        <color auto="1"/>
      </top>
      <bottom style="thin">
        <color auto="1"/>
      </bottom>
      <diagonal/>
    </border>
    <border>
      <left style="thin">
        <color auto="1"/>
      </left>
      <right/>
      <top style="thin">
        <color auto="1"/>
      </top>
      <bottom style="thin">
        <color auto="1"/>
      </bottom>
      <diagonal/>
    </border>
    <border>
      <left/>
      <right/>
      <top/>
      <bottom style="dashed">
        <color auto="1"/>
      </bottom>
      <diagonal/>
    </border>
    <border>
      <left style="thin">
        <color auto="1"/>
      </left>
      <right/>
      <top/>
      <bottom style="dashed">
        <color auto="1"/>
      </bottom>
      <diagonal/>
    </border>
    <border>
      <left style="thin">
        <color indexed="9"/>
      </left>
      <right style="thin">
        <color indexed="9"/>
      </right>
      <top style="thin">
        <color indexed="9"/>
      </top>
      <bottom style="thin">
        <color indexed="9"/>
      </bottom>
      <diagonal/>
    </border>
    <border>
      <left/>
      <right style="thin">
        <color auto="1"/>
      </right>
      <top/>
      <bottom/>
      <diagonal/>
    </border>
    <border>
      <left/>
      <right style="thin">
        <color auto="1"/>
      </right>
      <top/>
      <bottom style="dashed">
        <color auto="1"/>
      </bottom>
      <diagonal/>
    </border>
    <border>
      <left style="thin">
        <color auto="1"/>
      </left>
      <right/>
      <top style="thin">
        <color auto="1"/>
      </top>
      <bottom/>
      <diagonal/>
    </border>
    <border>
      <left style="thin">
        <color auto="1"/>
      </left>
      <right style="thin">
        <color auto="1"/>
      </right>
      <top/>
      <bottom/>
      <diagonal/>
    </border>
    <border>
      <left style="thin">
        <color auto="1"/>
      </left>
      <right style="thin">
        <color auto="1"/>
      </right>
      <top/>
      <bottom style="dashed">
        <color auto="1"/>
      </bottom>
      <diagonal/>
    </border>
    <border>
      <left/>
      <right/>
      <top style="dashed">
        <color auto="1"/>
      </top>
      <bottom/>
      <diagonal/>
    </border>
    <border>
      <left style="thin">
        <color auto="1"/>
      </left>
      <right style="thin">
        <color auto="1"/>
      </right>
      <top style="dashed">
        <color auto="1"/>
      </top>
      <bottom/>
      <diagonal/>
    </border>
    <border>
      <left style="thin">
        <color auto="1"/>
      </left>
      <right/>
      <top style="dashed">
        <color auto="1"/>
      </top>
      <bottom/>
      <diagonal/>
    </border>
    <border>
      <left/>
      <right style="thin">
        <color auto="1"/>
      </right>
      <top style="dashed">
        <color auto="1"/>
      </top>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top/>
      <bottom style="double">
        <color auto="1"/>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ck">
        <color auto="1"/>
      </right>
      <top style="medium">
        <color auto="1"/>
      </top>
      <bottom/>
      <diagonal/>
    </border>
    <border>
      <left style="medium">
        <color auto="1"/>
      </left>
      <right/>
      <top/>
      <bottom/>
      <diagonal/>
    </border>
    <border>
      <left/>
      <right style="medium">
        <color auto="1"/>
      </right>
      <top/>
      <bottom/>
      <diagonal/>
    </border>
    <border>
      <left style="medium">
        <color auto="1"/>
      </left>
      <right style="thin">
        <color auto="1"/>
      </right>
      <top/>
      <bottom/>
      <diagonal/>
    </border>
    <border>
      <left style="medium">
        <color auto="1"/>
      </left>
      <right/>
      <top style="thin">
        <color auto="1"/>
      </top>
      <bottom/>
      <diagonal/>
    </border>
    <border>
      <left/>
      <right style="medium">
        <color auto="1"/>
      </right>
      <top style="thin">
        <color auto="1"/>
      </top>
      <bottom/>
      <diagonal/>
    </border>
    <border>
      <left/>
      <right style="thick">
        <color auto="1"/>
      </right>
      <top style="thin">
        <color auto="1"/>
      </top>
      <bottom/>
      <diagonal/>
    </border>
    <border>
      <left style="thick">
        <color auto="1"/>
      </left>
      <right/>
      <top/>
      <bottom style="thick">
        <color auto="1"/>
      </bottom>
      <diagonal/>
    </border>
    <border>
      <left style="medium">
        <color auto="1"/>
      </left>
      <right/>
      <top/>
      <bottom style="thick">
        <color auto="1"/>
      </bottom>
      <diagonal/>
    </border>
    <border>
      <left/>
      <right/>
      <top/>
      <bottom style="thick">
        <color auto="1"/>
      </bottom>
      <diagonal/>
    </border>
    <border>
      <left style="medium">
        <color auto="1"/>
      </left>
      <right style="thin">
        <color auto="1"/>
      </right>
      <top/>
      <bottom style="thick">
        <color auto="1"/>
      </bottom>
      <diagonal/>
    </border>
    <border>
      <left/>
      <right style="medium">
        <color auto="1"/>
      </right>
      <top/>
      <bottom style="thick">
        <color auto="1"/>
      </bottom>
      <diagonal/>
    </border>
    <border>
      <left/>
      <right style="thick">
        <color auto="1"/>
      </right>
      <top/>
      <bottom style="thick">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style="medium">
        <color auto="1"/>
      </left>
      <right/>
      <top style="medium">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medium">
        <color auto="1"/>
      </top>
      <bottom/>
      <diagonal/>
    </border>
    <border>
      <left style="medium">
        <color auto="1"/>
      </left>
      <right/>
      <top/>
      <bottom style="dashed">
        <color auto="1"/>
      </bottom>
      <diagonal/>
    </border>
    <border>
      <left style="medium">
        <color auto="1"/>
      </left>
      <right/>
      <top style="dashed">
        <color auto="1"/>
      </top>
      <bottom/>
      <diagonal/>
    </border>
    <border>
      <left style="thick">
        <color auto="1"/>
      </left>
      <right/>
      <top/>
      <bottom style="dashed">
        <color auto="1"/>
      </bottom>
      <diagonal/>
    </border>
    <border>
      <left style="medium">
        <color auto="1"/>
      </left>
      <right style="thin">
        <color auto="1"/>
      </right>
      <top/>
      <bottom style="dashed">
        <color auto="1"/>
      </bottom>
      <diagonal/>
    </border>
    <border>
      <left/>
      <right style="thick">
        <color auto="1"/>
      </right>
      <top/>
      <bottom style="dashed">
        <color auto="1"/>
      </bottom>
      <diagonal/>
    </border>
    <border>
      <left style="thick">
        <color auto="1"/>
      </left>
      <right/>
      <top style="dashed">
        <color auto="1"/>
      </top>
      <bottom/>
      <diagonal/>
    </border>
    <border>
      <left style="medium">
        <color auto="1"/>
      </left>
      <right style="thin">
        <color auto="1"/>
      </right>
      <top style="dashed">
        <color auto="1"/>
      </top>
      <bottom/>
      <diagonal/>
    </border>
    <border>
      <left/>
      <right style="thick">
        <color auto="1"/>
      </right>
      <top style="dashed">
        <color auto="1"/>
      </top>
      <bottom/>
      <diagonal/>
    </border>
    <border>
      <left style="thin">
        <color auto="1"/>
      </left>
      <right style="thick">
        <color auto="1"/>
      </right>
      <top/>
      <bottom/>
      <diagonal/>
    </border>
    <border>
      <left/>
      <right style="medium">
        <color auto="1"/>
      </right>
      <top/>
      <bottom style="dashed">
        <color auto="1"/>
      </bottom>
      <diagonal/>
    </border>
    <border>
      <left/>
      <right style="medium">
        <color auto="1"/>
      </right>
      <top style="dashed">
        <color auto="1"/>
      </top>
      <bottom/>
      <diagonal/>
    </border>
    <border>
      <left/>
      <right style="medium">
        <color auto="1"/>
      </right>
      <top style="medium">
        <color auto="1"/>
      </top>
      <bottom/>
      <diagonal/>
    </border>
    <border>
      <left style="thick">
        <color auto="1"/>
      </left>
      <right/>
      <top style="thin">
        <color auto="1"/>
      </top>
      <bottom/>
      <diagonal/>
    </border>
    <border>
      <left style="medium">
        <color auto="1"/>
      </left>
      <right style="thin">
        <color auto="1"/>
      </right>
      <top style="thin">
        <color auto="1"/>
      </top>
      <bottom/>
      <diagonal/>
    </border>
    <border>
      <left/>
      <right style="thin">
        <color auto="1"/>
      </right>
      <top/>
      <bottom style="thick">
        <color auto="1"/>
      </bottom>
      <diagonal/>
    </border>
    <border>
      <left style="medium">
        <color auto="1"/>
      </left>
      <right/>
      <top/>
      <bottom style="thin">
        <color auto="1"/>
      </bottom>
      <diagonal/>
    </border>
    <border>
      <left/>
      <right style="medium">
        <color auto="1"/>
      </right>
      <top/>
      <bottom style="thin">
        <color auto="1"/>
      </bottom>
      <diagonal/>
    </border>
    <border>
      <left style="thin">
        <color auto="1"/>
      </left>
      <right/>
      <top/>
      <bottom style="thick">
        <color auto="1"/>
      </bottom>
      <diagonal/>
    </border>
    <border>
      <left style="thin">
        <color auto="1"/>
      </left>
      <right style="medium">
        <color auto="1"/>
      </right>
      <top/>
      <bottom style="thick">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style="medium">
        <color auto="1"/>
      </right>
      <top style="thin">
        <color auto="1"/>
      </top>
      <bottom/>
      <diagonal/>
    </border>
    <border>
      <left style="thin">
        <color auto="1"/>
      </left>
      <right style="medium">
        <color auto="1"/>
      </right>
      <top/>
      <bottom style="dashed">
        <color auto="1"/>
      </bottom>
      <diagonal/>
    </border>
    <border>
      <left style="thin">
        <color auto="1"/>
      </left>
      <right style="medium">
        <color auto="1"/>
      </right>
      <top style="dashed">
        <color auto="1"/>
      </top>
      <bottom/>
      <diagonal/>
    </border>
    <border>
      <left/>
      <right style="thick">
        <color auto="1"/>
      </right>
      <top/>
      <bottom style="thin">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ck">
        <color auto="1"/>
      </right>
      <top style="thin">
        <color auto="1"/>
      </top>
      <bottom style="thin">
        <color auto="1"/>
      </bottom>
      <diagonal/>
    </border>
    <border>
      <left/>
      <right style="thick">
        <color auto="1"/>
      </right>
      <top/>
      <bottom style="medium">
        <color auto="1"/>
      </bottom>
      <diagonal/>
    </border>
    <border>
      <left/>
      <right/>
      <top/>
      <bottom style="medium">
        <color auto="1"/>
      </bottom>
      <diagonal/>
    </border>
    <border>
      <left style="thick">
        <color auto="1"/>
      </left>
      <right style="thin">
        <color auto="1"/>
      </right>
      <top style="thick">
        <color auto="1"/>
      </top>
      <bottom/>
      <diagonal/>
    </border>
    <border>
      <left style="thick">
        <color auto="1"/>
      </left>
      <right style="thin">
        <color auto="1"/>
      </right>
      <top style="thin">
        <color auto="1"/>
      </top>
      <bottom style="thin">
        <color auto="1"/>
      </bottom>
      <diagonal/>
    </border>
    <border>
      <left style="thick">
        <color auto="1"/>
      </left>
      <right style="thin">
        <color auto="1"/>
      </right>
      <top/>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style="thick">
        <color auto="1"/>
      </top>
      <bottom style="thin">
        <color auto="1"/>
      </bottom>
      <diagonal/>
    </border>
    <border>
      <left/>
      <right/>
      <top style="thick">
        <color auto="1"/>
      </top>
      <bottom style="thin">
        <color auto="1"/>
      </bottom>
      <diagonal/>
    </border>
    <border>
      <left/>
      <right style="thin">
        <color auto="1"/>
      </right>
      <top style="thick">
        <color auto="1"/>
      </top>
      <bottom style="thin">
        <color auto="1"/>
      </bottom>
      <diagonal/>
    </border>
    <border>
      <left/>
      <right style="thick">
        <color auto="1"/>
      </right>
      <top style="thick">
        <color auto="1"/>
      </top>
      <bottom style="thin">
        <color auto="1"/>
      </bottom>
      <diagonal/>
    </border>
    <border>
      <left style="thick">
        <color auto="1"/>
      </left>
      <right/>
      <top style="thick">
        <color auto="1"/>
      </top>
      <bottom style="thin">
        <color auto="1"/>
      </bottom>
      <diagonal/>
    </border>
    <border>
      <left style="thick">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ck">
        <color indexed="8"/>
      </right>
      <top/>
      <bottom style="thin">
        <color auto="1"/>
      </bottom>
      <diagonal/>
    </border>
    <border>
      <left style="thick">
        <color indexed="8"/>
      </left>
      <right style="thin">
        <color indexed="8"/>
      </right>
      <top/>
      <bottom/>
      <diagonal/>
    </border>
    <border>
      <left style="thin">
        <color auto="1"/>
      </left>
      <right style="thick">
        <color indexed="8"/>
      </right>
      <top style="thin">
        <color auto="1"/>
      </top>
      <bottom/>
      <diagonal/>
    </border>
    <border>
      <left style="thin">
        <color auto="1"/>
      </left>
      <right style="thick">
        <color indexed="8"/>
      </right>
      <top/>
      <bottom/>
      <diagonal/>
    </border>
    <border>
      <left style="thick">
        <color indexed="8"/>
      </left>
      <right style="thin">
        <color indexed="8"/>
      </right>
      <top/>
      <bottom style="thick">
        <color indexed="8"/>
      </bottom>
      <diagonal/>
    </border>
    <border>
      <left style="thin">
        <color indexed="8"/>
      </left>
      <right/>
      <top/>
      <bottom style="thick">
        <color indexed="8"/>
      </bottom>
      <diagonal/>
    </border>
    <border>
      <left/>
      <right/>
      <top/>
      <bottom style="thick">
        <color indexed="8"/>
      </bottom>
      <diagonal/>
    </border>
    <border>
      <left/>
      <right style="thin">
        <color auto="1"/>
      </right>
      <top/>
      <bottom style="thick">
        <color indexed="8"/>
      </bottom>
      <diagonal/>
    </border>
    <border>
      <left style="thin">
        <color auto="1"/>
      </left>
      <right style="thick">
        <color indexed="8"/>
      </right>
      <top/>
      <bottom style="thick">
        <color indexed="8"/>
      </bottom>
      <diagonal/>
    </border>
    <border>
      <left style="medium">
        <color rgb="FFCCCCCC"/>
      </left>
      <right style="medium">
        <color rgb="FFCCCCCC"/>
      </right>
      <top style="medium">
        <color rgb="FFCCCCCC"/>
      </top>
      <bottom style="medium">
        <color rgb="FFCCCCCC"/>
      </bottom>
      <diagonal/>
    </border>
    <border>
      <left style="thick">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diagonal/>
    </border>
    <border>
      <left style="thin">
        <color auto="1"/>
      </left>
      <right style="thick">
        <color auto="1"/>
      </right>
      <top/>
      <bottom style="thick">
        <color auto="1"/>
      </bottom>
      <diagonal/>
    </border>
    <border>
      <left style="thick">
        <color auto="1"/>
      </left>
      <right style="thin">
        <color auto="1"/>
      </right>
      <top style="thin">
        <color auto="1"/>
      </top>
      <bottom/>
      <diagonal/>
    </border>
    <border>
      <left style="thin">
        <color auto="1"/>
      </left>
      <right style="thick">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ck">
        <color auto="1"/>
      </left>
      <right/>
      <top/>
      <bottom style="thin">
        <color auto="1"/>
      </bottom>
      <diagonal/>
    </border>
    <border>
      <left style="thick">
        <color auto="1"/>
      </left>
      <right/>
      <top style="thin">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thick">
        <color auto="1"/>
      </right>
      <top style="medium">
        <color auto="1"/>
      </top>
      <bottom/>
      <diagonal/>
    </border>
    <border>
      <left style="medium">
        <color auto="1"/>
      </left>
      <right style="thin">
        <color auto="1"/>
      </right>
      <top style="medium">
        <color auto="1"/>
      </top>
      <bottom style="thin">
        <color auto="1"/>
      </bottom>
      <diagonal/>
    </border>
    <border>
      <left/>
      <right style="thick">
        <color auto="1"/>
      </right>
      <top style="medium">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ck">
        <color auto="1"/>
      </top>
      <bottom/>
      <diagonal/>
    </border>
    <border>
      <left/>
      <right style="thin">
        <color auto="1"/>
      </right>
      <top style="thick">
        <color auto="1"/>
      </top>
      <bottom/>
      <diagonal/>
    </border>
    <border>
      <left/>
      <right style="thin">
        <color auto="1"/>
      </right>
      <top style="thin">
        <color auto="1"/>
      </top>
      <bottom style="thick">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style="thick">
        <color auto="1"/>
      </left>
      <right style="thin">
        <color auto="1"/>
      </right>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ck">
        <color auto="1"/>
      </right>
      <top style="medium">
        <color auto="1"/>
      </top>
      <bottom style="medium">
        <color auto="1"/>
      </bottom>
      <diagonal/>
    </border>
    <border>
      <left style="thick">
        <color auto="1"/>
      </left>
      <right style="medium">
        <color auto="1"/>
      </right>
      <top style="medium">
        <color auto="1"/>
      </top>
      <bottom/>
      <diagonal/>
    </border>
    <border>
      <left style="thick">
        <color auto="1"/>
      </left>
      <right/>
      <top style="medium">
        <color auto="1"/>
      </top>
      <bottom style="thin">
        <color auto="1"/>
      </bottom>
      <diagonal/>
    </border>
    <border>
      <left style="thick">
        <color auto="1"/>
      </left>
      <right style="medium">
        <color auto="1"/>
      </right>
      <top/>
      <bottom/>
      <diagonal/>
    </border>
    <border>
      <left style="thick">
        <color auto="1"/>
      </left>
      <right style="medium">
        <color auto="1"/>
      </right>
      <top/>
      <bottom style="thick">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thin">
        <color indexed="8"/>
      </left>
      <right style="thick">
        <color indexed="8"/>
      </right>
      <top/>
      <bottom style="medium">
        <color indexed="8"/>
      </bottom>
      <diagonal/>
    </border>
    <border>
      <left style="thin">
        <color indexed="8"/>
      </left>
      <right style="thin">
        <color indexed="8"/>
      </right>
      <top/>
      <bottom style="medium">
        <color indexed="8"/>
      </bottom>
      <diagonal/>
    </border>
    <border>
      <left style="thick">
        <color indexed="8"/>
      </left>
      <right/>
      <top/>
      <bottom style="medium">
        <color indexed="8"/>
      </bottom>
      <diagonal/>
    </border>
    <border>
      <left style="thick">
        <color auto="1"/>
      </left>
      <right/>
      <top/>
      <bottom style="medium">
        <color auto="1"/>
      </bottom>
      <diagonal/>
    </border>
    <border>
      <left/>
      <right/>
      <top style="double">
        <color auto="1"/>
      </top>
      <bottom style="thin">
        <color auto="1"/>
      </bottom>
      <diagonal/>
    </border>
  </borders>
  <cellStyleXfs count="1892">
    <xf numFmtId="0" fontId="0" fillId="0" borderId="0"/>
    <xf numFmtId="9" fontId="38" fillId="0" borderId="0" applyFont="0" applyFill="0" applyBorder="0" applyAlignment="0" applyProtection="0"/>
    <xf numFmtId="0" fontId="40" fillId="0" borderId="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9" fontId="59" fillId="0" borderId="0" applyFont="0" applyFill="0" applyBorder="0" applyAlignment="0" applyProtection="0"/>
    <xf numFmtId="0" fontId="59" fillId="0" borderId="0"/>
    <xf numFmtId="0" fontId="60" fillId="0" borderId="0"/>
    <xf numFmtId="0" fontId="61" fillId="0" borderId="0" applyFon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3" fontId="61" fillId="0" borderId="0" applyFont="0" applyFill="0" applyBorder="0" applyAlignment="0" applyProtection="0"/>
    <xf numFmtId="168" fontId="61" fillId="0" borderId="0" applyFont="0" applyFill="0" applyBorder="0" applyAlignment="0" applyProtection="0"/>
    <xf numFmtId="0" fontId="40" fillId="0" borderId="0"/>
    <xf numFmtId="0" fontId="64" fillId="0" borderId="1">
      <alignment horizontal="center"/>
    </xf>
    <xf numFmtId="2" fontId="61"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67" fillId="0" borderId="0" applyNumberFormat="0" applyFill="0" applyBorder="0" applyAlignment="0" applyProtection="0"/>
    <xf numFmtId="0" fontId="68" fillId="4" borderId="16" applyNumberFormat="0" applyFont="0" applyAlignment="0" applyProtection="0"/>
    <xf numFmtId="0" fontId="59" fillId="0" borderId="0"/>
    <xf numFmtId="0" fontId="40" fillId="0" borderId="0"/>
    <xf numFmtId="0" fontId="59" fillId="0" borderId="0"/>
    <xf numFmtId="0" fontId="37" fillId="0" borderId="0"/>
    <xf numFmtId="9" fontId="59" fillId="0" borderId="0" applyFont="0" applyFill="0" applyBorder="0" applyAlignment="0" applyProtection="0"/>
    <xf numFmtId="9" fontId="59" fillId="0" borderId="0" applyFont="0" applyFill="0" applyBorder="0" applyAlignment="0" applyProtection="0"/>
    <xf numFmtId="9" fontId="37" fillId="0" borderId="0" applyFont="0" applyFill="0" applyBorder="0" applyAlignment="0" applyProtection="0"/>
    <xf numFmtId="9" fontId="59" fillId="0" borderId="0" applyFont="0" applyFill="0" applyBorder="0" applyAlignment="0" applyProtection="0"/>
    <xf numFmtId="0" fontId="69" fillId="5" borderId="0" applyNumberFormat="0" applyBorder="0" applyAlignment="0" applyProtection="0"/>
    <xf numFmtId="0" fontId="70" fillId="0" borderId="0" applyNumberFormat="0" applyFill="0" applyBorder="0" applyAlignment="0" applyProtection="0"/>
    <xf numFmtId="0" fontId="71" fillId="0" borderId="17" applyNumberFormat="0" applyFill="0" applyAlignment="0" applyProtection="0"/>
    <xf numFmtId="0" fontId="72" fillId="0" borderId="18" applyNumberFormat="0" applyFill="0" applyAlignment="0" applyProtection="0"/>
    <xf numFmtId="0" fontId="73" fillId="0" borderId="19" applyNumberFormat="0" applyFill="0" applyAlignment="0" applyProtection="0"/>
    <xf numFmtId="0" fontId="73" fillId="0" borderId="0" applyNumberFormat="0" applyFill="0" applyBorder="0" applyAlignment="0" applyProtection="0"/>
    <xf numFmtId="0" fontId="74" fillId="6" borderId="20" applyNumberFormat="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4" fillId="16" borderId="0" applyNumberFormat="0" applyBorder="0" applyAlignment="0" applyProtection="0"/>
    <xf numFmtId="0" fontId="44" fillId="20" borderId="0" applyNumberFormat="0" applyBorder="0" applyAlignment="0" applyProtection="0"/>
    <xf numFmtId="0" fontId="44" fillId="24" borderId="0" applyNumberFormat="0" applyBorder="0" applyAlignment="0" applyProtection="0"/>
    <xf numFmtId="0" fontId="44" fillId="28" borderId="0" applyNumberFormat="0" applyBorder="0" applyAlignment="0" applyProtection="0"/>
    <xf numFmtId="0" fontId="44" fillId="32" borderId="0" applyNumberFormat="0" applyBorder="0" applyAlignment="0" applyProtection="0"/>
    <xf numFmtId="0" fontId="44" fillId="36" borderId="0" applyNumberFormat="0" applyBorder="0" applyAlignment="0" applyProtection="0"/>
    <xf numFmtId="0" fontId="44" fillId="17" borderId="0" applyNumberFormat="0" applyBorder="0" applyAlignment="0" applyProtection="0"/>
    <xf numFmtId="0" fontId="44" fillId="21" borderId="0" applyNumberFormat="0" applyBorder="0" applyAlignment="0" applyProtection="0"/>
    <xf numFmtId="0" fontId="44" fillId="25" borderId="0" applyNumberFormat="0" applyBorder="0" applyAlignment="0" applyProtection="0"/>
    <xf numFmtId="0" fontId="44" fillId="29" borderId="0" applyNumberFormat="0" applyBorder="0" applyAlignment="0" applyProtection="0"/>
    <xf numFmtId="0" fontId="44" fillId="33" borderId="0" applyNumberFormat="0" applyBorder="0" applyAlignment="0" applyProtection="0"/>
    <xf numFmtId="0" fontId="44" fillId="37" borderId="0" applyNumberFormat="0" applyBorder="0" applyAlignment="0" applyProtection="0"/>
    <xf numFmtId="0" fontId="84" fillId="18" borderId="0" applyNumberFormat="0" applyBorder="0" applyAlignment="0" applyProtection="0"/>
    <xf numFmtId="0" fontId="84" fillId="22" borderId="0" applyNumberFormat="0" applyBorder="0" applyAlignment="0" applyProtection="0"/>
    <xf numFmtId="0" fontId="84" fillId="26" borderId="0" applyNumberFormat="0" applyBorder="0" applyAlignment="0" applyProtection="0"/>
    <xf numFmtId="0" fontId="84" fillId="30" borderId="0" applyNumberFormat="0" applyBorder="0" applyAlignment="0" applyProtection="0"/>
    <xf numFmtId="0" fontId="84" fillId="34" borderId="0" applyNumberFormat="0" applyBorder="0" applyAlignment="0" applyProtection="0"/>
    <xf numFmtId="0" fontId="84" fillId="38" borderId="0" applyNumberFormat="0" applyBorder="0" applyAlignment="0" applyProtection="0"/>
    <xf numFmtId="0" fontId="84" fillId="15" borderId="0" applyNumberFormat="0" applyBorder="0" applyAlignment="0" applyProtection="0"/>
    <xf numFmtId="0" fontId="84" fillId="19" borderId="0" applyNumberFormat="0" applyBorder="0" applyAlignment="0" applyProtection="0"/>
    <xf numFmtId="0" fontId="84" fillId="23" borderId="0" applyNumberFormat="0" applyBorder="0" applyAlignment="0" applyProtection="0"/>
    <xf numFmtId="0" fontId="84" fillId="27" borderId="0" applyNumberFormat="0" applyBorder="0" applyAlignment="0" applyProtection="0"/>
    <xf numFmtId="0" fontId="84" fillId="31" borderId="0" applyNumberFormat="0" applyBorder="0" applyAlignment="0" applyProtection="0"/>
    <xf numFmtId="0" fontId="84" fillId="35" borderId="0" applyNumberFormat="0" applyBorder="0" applyAlignment="0" applyProtection="0"/>
    <xf numFmtId="0" fontId="85" fillId="9" borderId="0" applyNumberFormat="0" applyBorder="0" applyAlignment="0" applyProtection="0"/>
    <xf numFmtId="0" fontId="86" fillId="12" borderId="32" applyNumberFormat="0" applyAlignment="0" applyProtection="0"/>
    <xf numFmtId="0" fontId="87" fillId="13" borderId="35" applyNumberFormat="0" applyAlignment="0" applyProtection="0"/>
    <xf numFmtId="0" fontId="88" fillId="0" borderId="0" applyNumberFormat="0" applyFill="0" applyBorder="0" applyAlignment="0" applyProtection="0"/>
    <xf numFmtId="0" fontId="89" fillId="8" borderId="0" applyNumberFormat="0" applyBorder="0" applyAlignment="0" applyProtection="0"/>
    <xf numFmtId="0" fontId="81" fillId="0" borderId="29" applyNumberFormat="0" applyFill="0" applyAlignment="0" applyProtection="0"/>
    <xf numFmtId="0" fontId="82" fillId="0" borderId="30" applyNumberFormat="0" applyFill="0" applyAlignment="0" applyProtection="0"/>
    <xf numFmtId="0" fontId="83" fillId="0" borderId="31" applyNumberFormat="0" applyFill="0" applyAlignment="0" applyProtection="0"/>
    <xf numFmtId="0" fontId="83" fillId="0" borderId="0" applyNumberFormat="0" applyFill="0" applyBorder="0" applyAlignment="0" applyProtection="0"/>
    <xf numFmtId="0" fontId="90" fillId="11" borderId="32" applyNumberFormat="0" applyAlignment="0" applyProtection="0"/>
    <xf numFmtId="0" fontId="91" fillId="0" borderId="34" applyNumberFormat="0" applyFill="0" applyAlignment="0" applyProtection="0"/>
    <xf numFmtId="0" fontId="92" fillId="10" borderId="0" applyNumberFormat="0" applyBorder="0" applyAlignment="0" applyProtection="0"/>
    <xf numFmtId="0" fontId="44" fillId="14" borderId="36" applyNumberFormat="0" applyFont="0" applyAlignment="0" applyProtection="0"/>
    <xf numFmtId="0" fontId="93" fillId="12" borderId="33" applyNumberFormat="0" applyAlignment="0" applyProtection="0"/>
    <xf numFmtId="0" fontId="65" fillId="0" borderId="37" applyNumberFormat="0" applyFill="0" applyAlignment="0" applyProtection="0"/>
    <xf numFmtId="0" fontId="53" fillId="0" borderId="0" applyNumberFormat="0" applyFill="0" applyBorder="0" applyAlignment="0" applyProtection="0"/>
    <xf numFmtId="0" fontId="44"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96"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69" fontId="100" fillId="0" borderId="0" applyFont="0" applyFill="0" applyBorder="0" applyAlignment="0" applyProtection="0"/>
    <xf numFmtId="169" fontId="100" fillId="0" borderId="0" applyFont="0" applyFill="0" applyBorder="0" applyAlignment="0" applyProtection="0"/>
    <xf numFmtId="169" fontId="100" fillId="0" borderId="0" applyFont="0" applyFill="0" applyBorder="0" applyAlignment="0" applyProtection="0"/>
    <xf numFmtId="169" fontId="100" fillId="0" borderId="0" applyFont="0" applyFill="0" applyBorder="0" applyAlignment="0" applyProtection="0"/>
    <xf numFmtId="169" fontId="100" fillId="0" borderId="0" applyFont="0" applyFill="0" applyBorder="0" applyAlignment="0" applyProtection="0"/>
    <xf numFmtId="164" fontId="100" fillId="0" borderId="0" applyFont="0" applyFill="0" applyBorder="0" applyAlignment="0" applyProtection="0"/>
    <xf numFmtId="170" fontId="101"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100" fillId="0" borderId="0" applyFont="0" applyFill="0" applyBorder="0" applyAlignment="0" applyProtection="0"/>
    <xf numFmtId="169" fontId="100" fillId="0" borderId="0" applyFont="0" applyFill="0" applyBorder="0" applyAlignment="0" applyProtection="0"/>
    <xf numFmtId="169" fontId="100" fillId="0" borderId="0" applyFont="0" applyFill="0" applyBorder="0" applyAlignment="0" applyProtection="0"/>
    <xf numFmtId="170" fontId="101" fillId="0" borderId="0" applyFont="0" applyFill="0" applyBorder="0" applyAlignment="0" applyProtection="0"/>
    <xf numFmtId="169" fontId="100" fillId="0" borderId="0" applyFont="0" applyFill="0" applyBorder="0" applyAlignment="0" applyProtection="0"/>
    <xf numFmtId="3" fontId="32" fillId="0" borderId="0" applyFont="0" applyFill="0" applyBorder="0" applyAlignment="0" applyProtection="0"/>
    <xf numFmtId="0" fontId="100" fillId="0" borderId="0"/>
    <xf numFmtId="0" fontId="40" fillId="0" borderId="0"/>
    <xf numFmtId="0" fontId="40" fillId="0" borderId="0"/>
    <xf numFmtId="0" fontId="100" fillId="0" borderId="0"/>
    <xf numFmtId="0" fontId="100" fillId="0" borderId="0"/>
    <xf numFmtId="0" fontId="100" fillId="0" borderId="0"/>
    <xf numFmtId="0" fontId="60" fillId="0" borderId="0"/>
    <xf numFmtId="0" fontId="100" fillId="0" borderId="0"/>
    <xf numFmtId="0" fontId="100" fillId="0" borderId="0"/>
    <xf numFmtId="0" fontId="101" fillId="0" borderId="0"/>
    <xf numFmtId="0" fontId="40" fillId="0" borderId="0"/>
    <xf numFmtId="0" fontId="100" fillId="0" borderId="0"/>
    <xf numFmtId="0" fontId="100" fillId="0" borderId="0"/>
    <xf numFmtId="0" fontId="60" fillId="0" borderId="0"/>
    <xf numFmtId="0" fontId="59" fillId="0" borderId="0"/>
    <xf numFmtId="0" fontId="10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68" fillId="0" borderId="0" applyFill="0" applyProtection="0"/>
    <xf numFmtId="0" fontId="100" fillId="0" borderId="0"/>
    <xf numFmtId="0" fontId="100" fillId="0" borderId="0"/>
    <xf numFmtId="0" fontId="100" fillId="0" borderId="0"/>
    <xf numFmtId="0" fontId="100" fillId="0" borderId="0"/>
    <xf numFmtId="0" fontId="100" fillId="0" borderId="0"/>
    <xf numFmtId="0" fontId="40" fillId="0" borderId="0"/>
    <xf numFmtId="0" fontId="100" fillId="0" borderId="0"/>
    <xf numFmtId="0" fontId="100" fillId="0" borderId="0"/>
    <xf numFmtId="0" fontId="100" fillId="0" borderId="0"/>
    <xf numFmtId="0" fontId="101" fillId="0" borderId="0"/>
    <xf numFmtId="0" fontId="100" fillId="0" borderId="0"/>
    <xf numFmtId="0" fontId="100" fillId="0" borderId="0"/>
    <xf numFmtId="0" fontId="59" fillId="0" borderId="0"/>
    <xf numFmtId="0" fontId="40" fillId="0" borderId="0"/>
    <xf numFmtId="0" fontId="100" fillId="0" borderId="0"/>
    <xf numFmtId="0" fontId="100" fillId="0" borderId="0"/>
    <xf numFmtId="0" fontId="100" fillId="0" borderId="0"/>
    <xf numFmtId="0" fontId="100" fillId="0" borderId="0"/>
    <xf numFmtId="0" fontId="59" fillId="0" borderId="0"/>
    <xf numFmtId="0" fontId="102" fillId="0" borderId="0" applyNumberFormat="0" applyBorder="0" applyAlignment="0"/>
    <xf numFmtId="0" fontId="59" fillId="0" borderId="0"/>
    <xf numFmtId="0" fontId="59" fillId="0" borderId="0"/>
    <xf numFmtId="0" fontId="59" fillId="0" borderId="0"/>
    <xf numFmtId="0" fontId="59" fillId="0" borderId="0"/>
    <xf numFmtId="0" fontId="100" fillId="14" borderId="36" applyNumberFormat="0" applyFont="0" applyAlignment="0" applyProtection="0"/>
    <xf numFmtId="9" fontId="100" fillId="0" borderId="0" applyFont="0" applyFill="0" applyBorder="0" applyAlignment="0" applyProtection="0"/>
    <xf numFmtId="9" fontId="6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1"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36" fillId="0" borderId="0" applyFont="0" applyFill="0" applyBorder="0" applyAlignment="0" applyProtection="0"/>
    <xf numFmtId="9" fontId="10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59"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20" fillId="0" borderId="0"/>
    <xf numFmtId="169" fontId="120" fillId="0" borderId="0" applyFont="0" applyFill="0" applyBorder="0" applyAlignment="0" applyProtection="0"/>
    <xf numFmtId="9" fontId="120" fillId="0" borderId="0" applyFont="0" applyFill="0" applyBorder="0" applyAlignment="0" applyProtection="0"/>
    <xf numFmtId="0" fontId="61" fillId="0" borderId="0" applyFon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3" fontId="61" fillId="0" borderId="0" applyFont="0" applyFill="0" applyBorder="0" applyAlignment="0" applyProtection="0"/>
    <xf numFmtId="0" fontId="123" fillId="0" borderId="0" applyNumberFormat="0" applyFill="0" applyBorder="0" applyAlignment="0" applyProtection="0">
      <alignment vertical="top"/>
      <protection locked="0"/>
    </xf>
    <xf numFmtId="168" fontId="61" fillId="0" borderId="0" applyFont="0" applyFill="0" applyBorder="0" applyAlignment="0" applyProtection="0"/>
    <xf numFmtId="0" fontId="60" fillId="0" borderId="0"/>
    <xf numFmtId="2" fontId="61"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15"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8" fillId="0" borderId="0"/>
    <xf numFmtId="9" fontId="9"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69" fontId="100" fillId="0" borderId="0" applyFont="0" applyFill="0" applyBorder="0" applyAlignment="0" applyProtection="0"/>
    <xf numFmtId="169" fontId="100" fillId="0" borderId="0" applyFont="0" applyFill="0" applyBorder="0" applyAlignment="0" applyProtection="0"/>
    <xf numFmtId="169" fontId="100" fillId="0" borderId="0" applyFont="0" applyFill="0" applyBorder="0" applyAlignment="0" applyProtection="0"/>
    <xf numFmtId="0" fontId="100" fillId="0" borderId="0"/>
    <xf numFmtId="0" fontId="100" fillId="0" borderId="0"/>
    <xf numFmtId="0" fontId="100" fillId="0" borderId="0"/>
    <xf numFmtId="0" fontId="100" fillId="0" borderId="0"/>
    <xf numFmtId="0" fontId="96" fillId="0" borderId="0"/>
    <xf numFmtId="176" fontId="40" fillId="0" borderId="0" applyNumberFormat="0" applyFont="0" applyFill="0" applyBorder="0" applyAlignment="0" applyProtection="0"/>
    <xf numFmtId="0" fontId="100" fillId="0" borderId="0"/>
    <xf numFmtId="0" fontId="120" fillId="0" borderId="0"/>
    <xf numFmtId="0" fontId="6" fillId="0" borderId="0"/>
    <xf numFmtId="0" fontId="6" fillId="0" borderId="0"/>
    <xf numFmtId="0" fontId="6" fillId="0" borderId="0"/>
    <xf numFmtId="0" fontId="6" fillId="0" borderId="0"/>
    <xf numFmtId="0" fontId="6" fillId="0" borderId="0"/>
    <xf numFmtId="0" fontId="6" fillId="0" borderId="0"/>
    <xf numFmtId="9" fontId="10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00" fillId="0" borderId="0" applyFont="0" applyFill="0" applyBorder="0" applyAlignment="0" applyProtection="0"/>
    <xf numFmtId="176" fontId="40" fillId="0" borderId="0" applyNumberFormat="0" applyFont="0" applyFill="0" applyBorder="0" applyAlignment="0" applyProtection="0"/>
    <xf numFmtId="0" fontId="40"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cellStyleXfs>
  <cellXfs count="2006">
    <xf numFmtId="0" fontId="0" fillId="0" borderId="0" xfId="0"/>
    <xf numFmtId="0" fontId="0" fillId="0" borderId="0" xfId="0" applyAlignment="1">
      <alignment horizontal="center" vertical="center" wrapText="1"/>
    </xf>
    <xf numFmtId="0" fontId="39" fillId="0" borderId="0" xfId="0" applyFont="1" applyBorder="1" applyAlignment="1">
      <alignment horizontal="center" vertical="center" wrapText="1"/>
    </xf>
    <xf numFmtId="3" fontId="0" fillId="0" borderId="0" xfId="0" applyNumberFormat="1" applyBorder="1" applyAlignment="1">
      <alignment horizontal="center"/>
    </xf>
    <xf numFmtId="0" fontId="39" fillId="0" borderId="1" xfId="0" applyFont="1" applyBorder="1" applyAlignment="1">
      <alignment horizontal="center" vertical="center" wrapText="1"/>
    </xf>
    <xf numFmtId="3" fontId="39" fillId="0" borderId="1" xfId="0" applyNumberFormat="1" applyFont="1" applyBorder="1" applyAlignment="1">
      <alignment horizontal="center"/>
    </xf>
    <xf numFmtId="9" fontId="0" fillId="0" borderId="0" xfId="1" applyFont="1" applyBorder="1" applyAlignment="1">
      <alignment horizontal="center"/>
    </xf>
    <xf numFmtId="3" fontId="0" fillId="0" borderId="4" xfId="0" applyNumberFormat="1" applyBorder="1" applyAlignment="1">
      <alignment horizontal="center"/>
    </xf>
    <xf numFmtId="3" fontId="39" fillId="0" borderId="5" xfId="0" applyNumberFormat="1" applyFont="1" applyBorder="1" applyAlignment="1">
      <alignment horizontal="center"/>
    </xf>
    <xf numFmtId="0" fontId="40" fillId="0" borderId="0" xfId="2"/>
    <xf numFmtId="0" fontId="48" fillId="0" borderId="0" xfId="2" applyFont="1"/>
    <xf numFmtId="9" fontId="0" fillId="0" borderId="0" xfId="1" applyFont="1"/>
    <xf numFmtId="0" fontId="45" fillId="0" borderId="0" xfId="0" applyFont="1"/>
    <xf numFmtId="9" fontId="45" fillId="0" borderId="0" xfId="1" applyFont="1"/>
    <xf numFmtId="0" fontId="40" fillId="0" borderId="0" xfId="2"/>
    <xf numFmtId="0" fontId="40" fillId="0" borderId="0" xfId="2"/>
    <xf numFmtId="166" fontId="53" fillId="0" borderId="0" xfId="2" applyNumberFormat="1" applyFont="1"/>
    <xf numFmtId="166" fontId="53" fillId="0" borderId="0" xfId="2" applyNumberFormat="1" applyFont="1" applyAlignment="1">
      <alignment horizontal="center"/>
    </xf>
    <xf numFmtId="166" fontId="40" fillId="0" borderId="0" xfId="2" applyNumberFormat="1"/>
    <xf numFmtId="165" fontId="0" fillId="0" borderId="0" xfId="1" applyNumberFormat="1" applyFont="1" applyBorder="1" applyAlignment="1">
      <alignment horizontal="center"/>
    </xf>
    <xf numFmtId="165" fontId="0" fillId="0" borderId="0" xfId="1" applyNumberFormat="1" applyFont="1" applyFill="1" applyBorder="1" applyAlignment="1">
      <alignment horizontal="center"/>
    </xf>
    <xf numFmtId="0" fontId="49" fillId="3" borderId="0" xfId="2" applyFont="1" applyFill="1" applyBorder="1" applyAlignment="1">
      <alignment horizontal="center"/>
    </xf>
    <xf numFmtId="165" fontId="0" fillId="0" borderId="0" xfId="1" applyNumberFormat="1" applyFont="1" applyAlignment="1">
      <alignment horizontal="center"/>
    </xf>
    <xf numFmtId="9" fontId="0" fillId="0" borderId="0" xfId="1" applyFont="1" applyAlignment="1">
      <alignment horizontal="center"/>
    </xf>
    <xf numFmtId="0" fontId="39" fillId="0" borderId="0" xfId="0" applyFont="1"/>
    <xf numFmtId="3" fontId="39" fillId="0" borderId="0" xfId="0" applyNumberFormat="1" applyFont="1"/>
    <xf numFmtId="167" fontId="45" fillId="0" borderId="0" xfId="0" applyNumberFormat="1" applyFont="1" applyAlignment="1">
      <alignment horizontal="center"/>
    </xf>
    <xf numFmtId="167" fontId="39" fillId="0" borderId="0" xfId="0" applyNumberFormat="1" applyFont="1" applyFill="1" applyAlignment="1">
      <alignment horizontal="center"/>
    </xf>
    <xf numFmtId="167" fontId="39" fillId="0" borderId="0" xfId="0" applyNumberFormat="1" applyFont="1" applyAlignment="1">
      <alignment horizontal="center"/>
    </xf>
    <xf numFmtId="0" fontId="39" fillId="0" borderId="0" xfId="0" applyFont="1" applyAlignment="1">
      <alignment horizontal="center"/>
    </xf>
    <xf numFmtId="165" fontId="39" fillId="0" borderId="0" xfId="1" applyNumberFormat="1" applyFont="1" applyAlignment="1">
      <alignment horizontal="center"/>
    </xf>
    <xf numFmtId="9" fontId="0" fillId="0" borderId="0" xfId="1" applyNumberFormat="1" applyFont="1" applyAlignment="1">
      <alignment horizontal="center"/>
    </xf>
    <xf numFmtId="9" fontId="39" fillId="0" borderId="0" xfId="1" applyNumberFormat="1" applyFont="1" applyAlignment="1">
      <alignment horizontal="center"/>
    </xf>
    <xf numFmtId="3" fontId="39" fillId="0" borderId="0" xfId="0" applyNumberFormat="1" applyFont="1" applyAlignment="1">
      <alignment horizontal="center"/>
    </xf>
    <xf numFmtId="9" fontId="0" fillId="0" borderId="0" xfId="1" applyFont="1" applyFill="1" applyAlignment="1">
      <alignment horizontal="center"/>
    </xf>
    <xf numFmtId="165" fontId="0" fillId="0" borderId="0" xfId="1" applyNumberFormat="1" applyFont="1" applyFill="1" applyAlignment="1">
      <alignment horizontal="center"/>
    </xf>
    <xf numFmtId="165" fontId="39" fillId="0" borderId="0" xfId="1" applyNumberFormat="1" applyFont="1" applyFill="1" applyAlignment="1">
      <alignment horizontal="center"/>
    </xf>
    <xf numFmtId="0" fontId="39" fillId="0" borderId="0" xfId="0" applyFont="1" applyAlignment="1">
      <alignment horizontal="center" vertical="center" wrapText="1"/>
    </xf>
    <xf numFmtId="0" fontId="44" fillId="0" borderId="0" xfId="0" applyFont="1" applyAlignment="1">
      <alignment horizontal="center" vertical="center" wrapText="1"/>
    </xf>
    <xf numFmtId="0" fontId="65" fillId="0" borderId="0" xfId="0" applyFont="1" applyAlignment="1">
      <alignment horizontal="center" vertical="center" wrapText="1"/>
    </xf>
    <xf numFmtId="0" fontId="0" fillId="0" borderId="0" xfId="0" applyFont="1" applyAlignment="1">
      <alignment horizontal="center" vertical="center" wrapText="1"/>
    </xf>
    <xf numFmtId="0" fontId="39" fillId="0" borderId="10" xfId="0" applyFont="1" applyBorder="1" applyAlignment="1">
      <alignment horizontal="center" vertical="center" wrapText="1"/>
    </xf>
    <xf numFmtId="0" fontId="65" fillId="0" borderId="10" xfId="0" applyFont="1" applyBorder="1" applyAlignment="1">
      <alignment horizontal="center" vertical="center" wrapText="1"/>
    </xf>
    <xf numFmtId="3" fontId="39" fillId="0" borderId="10" xfId="0" applyNumberFormat="1" applyFont="1" applyBorder="1" applyAlignment="1">
      <alignment horizontal="center"/>
    </xf>
    <xf numFmtId="3" fontId="39" fillId="0" borderId="10" xfId="0" applyNumberFormat="1" applyFont="1" applyFill="1" applyBorder="1" applyAlignment="1">
      <alignment horizontal="center"/>
    </xf>
    <xf numFmtId="0" fontId="65" fillId="0" borderId="1" xfId="0" applyFont="1" applyBorder="1" applyAlignment="1">
      <alignment horizontal="center" vertical="center" wrapText="1"/>
    </xf>
    <xf numFmtId="0" fontId="44" fillId="0" borderId="0" xfId="0" applyFont="1" applyBorder="1" applyAlignment="1">
      <alignment horizontal="center" vertical="center" wrapText="1"/>
    </xf>
    <xf numFmtId="0" fontId="44" fillId="0" borderId="7" xfId="0" applyFont="1" applyBorder="1" applyAlignment="1">
      <alignment horizontal="center" vertical="center" wrapText="1"/>
    </xf>
    <xf numFmtId="3" fontId="39" fillId="0" borderId="1" xfId="0" applyNumberFormat="1" applyFont="1" applyFill="1" applyBorder="1" applyAlignment="1">
      <alignment horizontal="center"/>
    </xf>
    <xf numFmtId="9" fontId="0" fillId="0" borderId="0" xfId="1" applyFont="1" applyFill="1" applyBorder="1" applyAlignment="1">
      <alignment horizontal="center"/>
    </xf>
    <xf numFmtId="166" fontId="45" fillId="0" borderId="0" xfId="0" applyNumberFormat="1" applyFont="1" applyBorder="1" applyAlignment="1">
      <alignment horizontal="right"/>
    </xf>
    <xf numFmtId="9" fontId="45" fillId="0" borderId="0" xfId="1" applyFont="1" applyBorder="1"/>
    <xf numFmtId="166" fontId="45" fillId="0" borderId="0" xfId="0" applyNumberFormat="1" applyFont="1" applyBorder="1"/>
    <xf numFmtId="9" fontId="52" fillId="0" borderId="0" xfId="1" applyFont="1" applyBorder="1" applyAlignment="1">
      <alignment horizontal="center"/>
    </xf>
    <xf numFmtId="9" fontId="52" fillId="0" borderId="0" xfId="1" applyFont="1" applyFill="1" applyBorder="1" applyAlignment="1">
      <alignment horizontal="center"/>
    </xf>
    <xf numFmtId="166" fontId="45" fillId="0" borderId="0" xfId="0" applyNumberFormat="1" applyFont="1" applyBorder="1" applyAlignment="1">
      <alignment horizontal="center"/>
    </xf>
    <xf numFmtId="9" fontId="45" fillId="0" borderId="0" xfId="1" applyFont="1" applyBorder="1" applyAlignment="1">
      <alignment horizontal="center"/>
    </xf>
    <xf numFmtId="0" fontId="0" fillId="0" borderId="0" xfId="0" applyFont="1" applyBorder="1" applyAlignment="1">
      <alignment horizontal="center" vertical="center" wrapText="1"/>
    </xf>
    <xf numFmtId="0" fontId="44" fillId="0" borderId="1" xfId="0" applyFont="1" applyBorder="1" applyAlignment="1">
      <alignment horizontal="center" vertical="center" wrapText="1"/>
    </xf>
    <xf numFmtId="165" fontId="0" fillId="0" borderId="0" xfId="1" applyNumberFormat="1" applyFont="1" applyBorder="1"/>
    <xf numFmtId="9" fontId="0" fillId="0" borderId="0" xfId="1" applyFont="1" applyBorder="1"/>
    <xf numFmtId="165" fontId="0" fillId="0" borderId="7" xfId="1" applyNumberFormat="1" applyFont="1" applyBorder="1"/>
    <xf numFmtId="9" fontId="0" fillId="0" borderId="0" xfId="1" applyNumberFormat="1" applyFont="1" applyBorder="1" applyAlignment="1">
      <alignment horizontal="center"/>
    </xf>
    <xf numFmtId="165" fontId="0" fillId="0" borderId="7" xfId="1" applyNumberFormat="1" applyFont="1" applyBorder="1" applyAlignment="1">
      <alignment horizontal="center"/>
    </xf>
    <xf numFmtId="165" fontId="0" fillId="0" borderId="7" xfId="1" applyNumberFormat="1" applyFont="1" applyFill="1" applyBorder="1" applyAlignment="1">
      <alignment horizontal="center"/>
    </xf>
    <xf numFmtId="3" fontId="45" fillId="0" borderId="0" xfId="0" applyNumberFormat="1" applyFont="1" applyBorder="1" applyAlignment="1">
      <alignment horizontal="center"/>
    </xf>
    <xf numFmtId="3" fontId="45" fillId="0" borderId="0" xfId="0" applyNumberFormat="1" applyFont="1" applyAlignment="1">
      <alignment horizontal="center"/>
    </xf>
    <xf numFmtId="0" fontId="39" fillId="0" borderId="1" xfId="0" applyFont="1" applyBorder="1"/>
    <xf numFmtId="0" fontId="0" fillId="0" borderId="0" xfId="0" applyFont="1"/>
    <xf numFmtId="0" fontId="0" fillId="0" borderId="1" xfId="0" applyFont="1" applyBorder="1"/>
    <xf numFmtId="0" fontId="0" fillId="0" borderId="7" xfId="0" applyFont="1" applyBorder="1" applyAlignment="1">
      <alignment horizontal="center" vertical="center" wrapText="1"/>
    </xf>
    <xf numFmtId="0" fontId="0" fillId="0" borderId="0" xfId="0" applyFont="1" applyAlignment="1">
      <alignment horizontal="center"/>
    </xf>
    <xf numFmtId="166" fontId="0" fillId="0" borderId="0" xfId="0" applyNumberFormat="1" applyFont="1" applyBorder="1" applyAlignment="1">
      <alignment horizontal="center"/>
    </xf>
    <xf numFmtId="166" fontId="0" fillId="0" borderId="0" xfId="0" applyNumberFormat="1" applyFont="1" applyAlignment="1">
      <alignment horizontal="center"/>
    </xf>
    <xf numFmtId="0" fontId="0" fillId="0" borderId="0" xfId="0" applyFont="1" applyBorder="1" applyAlignment="1">
      <alignment horizontal="center"/>
    </xf>
    <xf numFmtId="3" fontId="0" fillId="0" borderId="0" xfId="0" applyNumberFormat="1" applyFont="1" applyBorder="1" applyAlignment="1">
      <alignment horizontal="center"/>
    </xf>
    <xf numFmtId="3" fontId="0" fillId="0" borderId="0" xfId="0" applyNumberFormat="1" applyFont="1" applyAlignment="1">
      <alignment horizontal="center"/>
    </xf>
    <xf numFmtId="166" fontId="0" fillId="0" borderId="0" xfId="0" applyNumberFormat="1" applyFont="1"/>
    <xf numFmtId="1" fontId="0" fillId="0" borderId="0" xfId="0" applyNumberFormat="1" applyFont="1"/>
    <xf numFmtId="167" fontId="0" fillId="0" borderId="0" xfId="0" applyNumberFormat="1" applyFont="1" applyAlignment="1">
      <alignment horizontal="center"/>
    </xf>
    <xf numFmtId="167" fontId="0" fillId="0" borderId="0" xfId="0" applyNumberFormat="1" applyFont="1"/>
    <xf numFmtId="9" fontId="0" fillId="0" borderId="0" xfId="0" applyNumberFormat="1" applyFont="1"/>
    <xf numFmtId="0" fontId="0" fillId="0" borderId="0" xfId="0" applyFont="1" applyFill="1"/>
    <xf numFmtId="0" fontId="0" fillId="0" borderId="0" xfId="0" applyFont="1" applyFill="1" applyAlignment="1">
      <alignment horizontal="center"/>
    </xf>
    <xf numFmtId="166" fontId="0" fillId="0" borderId="0" xfId="0" applyNumberFormat="1" applyFont="1" applyFill="1" applyAlignment="1">
      <alignment horizontal="center"/>
    </xf>
    <xf numFmtId="166" fontId="0" fillId="0" borderId="0" xfId="0" applyNumberFormat="1" applyFont="1" applyFill="1" applyBorder="1" applyAlignment="1">
      <alignment horizontal="center"/>
    </xf>
    <xf numFmtId="3" fontId="0" fillId="0" borderId="0" xfId="0" applyNumberFormat="1" applyFont="1" applyFill="1" applyAlignment="1">
      <alignment horizontal="center"/>
    </xf>
    <xf numFmtId="0" fontId="0" fillId="0" borderId="0" xfId="0" applyFont="1" applyFill="1" applyBorder="1" applyAlignment="1">
      <alignment horizontal="center"/>
    </xf>
    <xf numFmtId="167" fontId="0" fillId="0" borderId="0" xfId="0" applyNumberFormat="1" applyFont="1" applyFill="1" applyAlignment="1">
      <alignment horizontal="center"/>
    </xf>
    <xf numFmtId="166" fontId="0" fillId="0" borderId="0" xfId="0" applyNumberFormat="1" applyFont="1" applyBorder="1"/>
    <xf numFmtId="0" fontId="0" fillId="0" borderId="0" xfId="0" applyFont="1" applyBorder="1"/>
    <xf numFmtId="0" fontId="0" fillId="0" borderId="10" xfId="0" applyFont="1" applyBorder="1"/>
    <xf numFmtId="0" fontId="0" fillId="0" borderId="7" xfId="0" applyFont="1" applyBorder="1"/>
    <xf numFmtId="9" fontId="0" fillId="0" borderId="0" xfId="0" applyNumberFormat="1" applyFont="1" applyBorder="1" applyAlignment="1">
      <alignment horizontal="center"/>
    </xf>
    <xf numFmtId="9" fontId="0" fillId="0" borderId="7" xfId="0" applyNumberFormat="1" applyFont="1" applyBorder="1" applyAlignment="1">
      <alignment horizontal="center"/>
    </xf>
    <xf numFmtId="9" fontId="0" fillId="0" borderId="0" xfId="0" applyNumberFormat="1" applyFont="1" applyBorder="1"/>
    <xf numFmtId="0" fontId="0" fillId="0" borderId="7" xfId="0" applyFont="1" applyBorder="1" applyAlignment="1">
      <alignment horizontal="center"/>
    </xf>
    <xf numFmtId="0" fontId="39" fillId="0" borderId="1" xfId="0" applyFont="1" applyBorder="1" applyAlignment="1">
      <alignment horizontal="center"/>
    </xf>
    <xf numFmtId="0" fontId="39" fillId="0" borderId="1" xfId="0" applyFont="1" applyFill="1" applyBorder="1" applyAlignment="1">
      <alignment horizontal="center"/>
    </xf>
    <xf numFmtId="1" fontId="0" fillId="0" borderId="0" xfId="1" applyNumberFormat="1" applyFont="1" applyAlignment="1">
      <alignment horizontal="center"/>
    </xf>
    <xf numFmtId="0" fontId="45" fillId="0" borderId="0" xfId="0" applyFont="1" applyAlignment="1">
      <alignment horizontal="center"/>
    </xf>
    <xf numFmtId="9" fontId="0" fillId="0" borderId="0" xfId="0" applyNumberFormat="1" applyFont="1" applyAlignment="1">
      <alignment horizontal="center"/>
    </xf>
    <xf numFmtId="165" fontId="0" fillId="0" borderId="0" xfId="0" applyNumberFormat="1" applyFont="1" applyAlignment="1">
      <alignment horizontal="center"/>
    </xf>
    <xf numFmtId="0" fontId="0" fillId="0" borderId="4" xfId="0" applyFont="1" applyBorder="1" applyAlignment="1">
      <alignment horizontal="center"/>
    </xf>
    <xf numFmtId="3" fontId="39" fillId="0" borderId="11" xfId="0" applyNumberFormat="1" applyFont="1" applyBorder="1" applyAlignment="1">
      <alignment horizontal="center"/>
    </xf>
    <xf numFmtId="9" fontId="0" fillId="0" borderId="4" xfId="1" applyFont="1" applyBorder="1" applyAlignment="1">
      <alignment horizontal="center"/>
    </xf>
    <xf numFmtId="166" fontId="0" fillId="0" borderId="4" xfId="0" applyNumberFormat="1" applyFont="1" applyBorder="1" applyAlignment="1">
      <alignment horizontal="center"/>
    </xf>
    <xf numFmtId="165" fontId="0" fillId="0" borderId="4" xfId="1" applyNumberFormat="1" applyFont="1" applyBorder="1" applyAlignment="1">
      <alignment horizontal="center"/>
    </xf>
    <xf numFmtId="3" fontId="0" fillId="0" borderId="4" xfId="0" applyNumberFormat="1" applyFont="1" applyBorder="1" applyAlignment="1">
      <alignment horizontal="center"/>
    </xf>
    <xf numFmtId="9" fontId="52" fillId="0" borderId="4" xfId="1" applyFont="1" applyBorder="1" applyAlignment="1">
      <alignment horizontal="center"/>
    </xf>
    <xf numFmtId="0" fontId="39" fillId="0" borderId="5" xfId="0" applyFont="1" applyBorder="1" applyAlignment="1">
      <alignment horizontal="center"/>
    </xf>
    <xf numFmtId="1" fontId="0" fillId="0" borderId="4" xfId="1" applyNumberFormat="1" applyFont="1" applyBorder="1" applyAlignment="1">
      <alignment horizontal="center"/>
    </xf>
    <xf numFmtId="9" fontId="0" fillId="0" borderId="4" xfId="1" applyFont="1" applyBorder="1"/>
    <xf numFmtId="0" fontId="0" fillId="0" borderId="4" xfId="0" applyFont="1" applyBorder="1"/>
    <xf numFmtId="1" fontId="0" fillId="0" borderId="4" xfId="0" applyNumberFormat="1" applyFont="1" applyBorder="1"/>
    <xf numFmtId="0" fontId="39" fillId="0" borderId="4" xfId="0" applyFont="1" applyBorder="1"/>
    <xf numFmtId="165" fontId="0" fillId="0" borderId="8" xfId="1" applyNumberFormat="1" applyFont="1" applyBorder="1" applyAlignment="1">
      <alignment horizontal="center"/>
    </xf>
    <xf numFmtId="0" fontId="0" fillId="0" borderId="12" xfId="0" applyFont="1" applyBorder="1" applyAlignment="1">
      <alignment horizontal="center"/>
    </xf>
    <xf numFmtId="3" fontId="39" fillId="0" borderId="13" xfId="0" applyNumberFormat="1" applyFont="1" applyBorder="1" applyAlignment="1">
      <alignment horizontal="center"/>
    </xf>
    <xf numFmtId="3" fontId="39" fillId="0" borderId="14" xfId="0" applyNumberFormat="1" applyFont="1" applyBorder="1" applyAlignment="1">
      <alignment horizontal="center"/>
    </xf>
    <xf numFmtId="9" fontId="0" fillId="0" borderId="12" xfId="1" applyFont="1" applyBorder="1" applyAlignment="1">
      <alignment horizontal="center"/>
    </xf>
    <xf numFmtId="166" fontId="0" fillId="0" borderId="12" xfId="0" applyNumberFormat="1" applyFont="1" applyBorder="1" applyAlignment="1">
      <alignment horizontal="center"/>
    </xf>
    <xf numFmtId="165" fontId="0" fillId="0" borderId="12" xfId="1" applyNumberFormat="1" applyFont="1" applyBorder="1" applyAlignment="1">
      <alignment horizontal="center"/>
    </xf>
    <xf numFmtId="165" fontId="0" fillId="0" borderId="15" xfId="1" applyNumberFormat="1" applyFont="1" applyBorder="1" applyAlignment="1">
      <alignment horizontal="center"/>
    </xf>
    <xf numFmtId="3" fontId="0" fillId="0" borderId="12" xfId="0" applyNumberFormat="1" applyFont="1" applyBorder="1" applyAlignment="1">
      <alignment horizontal="center"/>
    </xf>
    <xf numFmtId="9" fontId="52" fillId="0" borderId="12" xfId="1" applyFont="1" applyBorder="1" applyAlignment="1">
      <alignment horizontal="center"/>
    </xf>
    <xf numFmtId="0" fontId="39" fillId="0" borderId="14" xfId="0" applyFont="1" applyBorder="1" applyAlignment="1">
      <alignment horizontal="center"/>
    </xf>
    <xf numFmtId="1" fontId="0" fillId="0" borderId="12" xfId="1" applyNumberFormat="1" applyFont="1" applyBorder="1" applyAlignment="1">
      <alignment horizontal="center"/>
    </xf>
    <xf numFmtId="0" fontId="0" fillId="0" borderId="12" xfId="0" applyFont="1" applyBorder="1"/>
    <xf numFmtId="0" fontId="39" fillId="0" borderId="12" xfId="0" applyFont="1" applyBorder="1"/>
    <xf numFmtId="1" fontId="0" fillId="0" borderId="0" xfId="1" applyNumberFormat="1" applyFont="1" applyBorder="1" applyAlignment="1">
      <alignment horizontal="center"/>
    </xf>
    <xf numFmtId="0" fontId="39" fillId="0" borderId="0" xfId="0" applyFont="1" applyBorder="1"/>
    <xf numFmtId="0" fontId="39" fillId="0" borderId="4" xfId="0" applyFont="1" applyBorder="1" applyAlignment="1">
      <alignment horizontal="center"/>
    </xf>
    <xf numFmtId="167" fontId="39" fillId="0" borderId="4" xfId="0" applyNumberFormat="1" applyFont="1" applyBorder="1" applyAlignment="1">
      <alignment horizontal="center"/>
    </xf>
    <xf numFmtId="167" fontId="0" fillId="0" borderId="4" xfId="0" applyNumberFormat="1" applyFont="1" applyBorder="1" applyAlignment="1">
      <alignment horizontal="center"/>
    </xf>
    <xf numFmtId="165" fontId="39" fillId="0" borderId="4" xfId="1" applyNumberFormat="1" applyFont="1" applyBorder="1" applyAlignment="1">
      <alignment horizontal="center"/>
    </xf>
    <xf numFmtId="167" fontId="0" fillId="0" borderId="0" xfId="0" applyNumberFormat="1" applyFont="1" applyBorder="1" applyAlignment="1">
      <alignment horizontal="center"/>
    </xf>
    <xf numFmtId="167" fontId="0" fillId="0" borderId="12" xfId="0" applyNumberFormat="1" applyFont="1" applyBorder="1" applyAlignment="1">
      <alignment horizontal="center"/>
    </xf>
    <xf numFmtId="167" fontId="0" fillId="0" borderId="0" xfId="0" applyNumberFormat="1" applyFont="1" applyFill="1" applyBorder="1" applyAlignment="1">
      <alignment horizontal="center"/>
    </xf>
    <xf numFmtId="165" fontId="39" fillId="0" borderId="0" xfId="0" applyNumberFormat="1" applyFont="1" applyAlignment="1">
      <alignment horizontal="center"/>
    </xf>
    <xf numFmtId="9" fontId="39" fillId="0" borderId="0" xfId="1" applyFont="1" applyAlignment="1">
      <alignment horizontal="center"/>
    </xf>
    <xf numFmtId="9" fontId="39" fillId="0" borderId="4" xfId="1" applyFont="1" applyBorder="1" applyAlignment="1">
      <alignment horizontal="center"/>
    </xf>
    <xf numFmtId="9" fontId="39" fillId="0" borderId="12" xfId="1" applyFont="1" applyBorder="1" applyAlignment="1">
      <alignment horizontal="center"/>
    </xf>
    <xf numFmtId="9" fontId="39" fillId="0" borderId="0" xfId="1" applyFont="1" applyBorder="1" applyAlignment="1">
      <alignment horizontal="center"/>
    </xf>
    <xf numFmtId="9" fontId="39" fillId="0" borderId="0" xfId="1" applyFont="1" applyFill="1" applyAlignment="1">
      <alignment horizontal="center"/>
    </xf>
    <xf numFmtId="9" fontId="0" fillId="0" borderId="1" xfId="1" applyFont="1" applyBorder="1" applyAlignment="1">
      <alignment horizontal="center"/>
    </xf>
    <xf numFmtId="9" fontId="0" fillId="0" borderId="1" xfId="1" applyFont="1" applyBorder="1"/>
    <xf numFmtId="9" fontId="0" fillId="0" borderId="1" xfId="0" applyNumberFormat="1" applyFont="1" applyBorder="1" applyAlignment="1">
      <alignment horizontal="center"/>
    </xf>
    <xf numFmtId="0" fontId="0" fillId="0" borderId="1" xfId="0" applyFont="1" applyBorder="1" applyAlignment="1">
      <alignment horizontal="center"/>
    </xf>
    <xf numFmtId="3" fontId="39" fillId="0" borderId="1" xfId="1" applyNumberFormat="1" applyFont="1" applyBorder="1" applyAlignment="1">
      <alignment horizontal="center"/>
    </xf>
    <xf numFmtId="3" fontId="39" fillId="0" borderId="5" xfId="1" applyNumberFormat="1" applyFont="1" applyBorder="1" applyAlignment="1">
      <alignment horizontal="center"/>
    </xf>
    <xf numFmtId="3" fontId="39" fillId="0" borderId="14" xfId="1" applyNumberFormat="1" applyFont="1" applyBorder="1" applyAlignment="1">
      <alignment horizontal="center"/>
    </xf>
    <xf numFmtId="3" fontId="39" fillId="0" borderId="1" xfId="1" applyNumberFormat="1" applyFont="1" applyFill="1" applyBorder="1" applyAlignment="1">
      <alignment horizontal="center"/>
    </xf>
    <xf numFmtId="167" fontId="0" fillId="0" borderId="0" xfId="1" applyNumberFormat="1" applyFont="1" applyAlignment="1">
      <alignment horizontal="center"/>
    </xf>
    <xf numFmtId="167" fontId="0" fillId="0" borderId="4" xfId="1" applyNumberFormat="1" applyFont="1" applyBorder="1" applyAlignment="1">
      <alignment horizontal="center"/>
    </xf>
    <xf numFmtId="167" fontId="0" fillId="0" borderId="12" xfId="1" applyNumberFormat="1" applyFont="1" applyBorder="1" applyAlignment="1">
      <alignment horizontal="center"/>
    </xf>
    <xf numFmtId="167" fontId="0" fillId="0" borderId="0" xfId="1" applyNumberFormat="1" applyFont="1" applyBorder="1" applyAlignment="1">
      <alignment horizontal="center"/>
    </xf>
    <xf numFmtId="167" fontId="0" fillId="0" borderId="0" xfId="1" applyNumberFormat="1" applyFont="1" applyFill="1" applyAlignment="1">
      <alignment horizontal="center"/>
    </xf>
    <xf numFmtId="1" fontId="0" fillId="0" borderId="0" xfId="1" applyNumberFormat="1" applyFont="1" applyFill="1" applyAlignment="1">
      <alignment horizontal="center"/>
    </xf>
    <xf numFmtId="1" fontId="0" fillId="0" borderId="0" xfId="0" applyNumberFormat="1" applyFont="1" applyAlignment="1">
      <alignment horizontal="center"/>
    </xf>
    <xf numFmtId="1" fontId="0" fillId="0" borderId="4" xfId="0" applyNumberFormat="1" applyFont="1" applyBorder="1" applyAlignment="1">
      <alignment horizontal="center"/>
    </xf>
    <xf numFmtId="1" fontId="0" fillId="0" borderId="12" xfId="0" applyNumberFormat="1" applyFont="1" applyBorder="1" applyAlignment="1">
      <alignment horizontal="center"/>
    </xf>
    <xf numFmtId="1" fontId="0" fillId="0" borderId="0" xfId="0" applyNumberFormat="1" applyFont="1" applyBorder="1" applyAlignment="1">
      <alignment horizontal="center"/>
    </xf>
    <xf numFmtId="1" fontId="0" fillId="0" borderId="0" xfId="0" applyNumberFormat="1" applyFont="1" applyFill="1" applyAlignment="1">
      <alignment horizontal="center"/>
    </xf>
    <xf numFmtId="166" fontId="0" fillId="0" borderId="1" xfId="0" applyNumberFormat="1" applyFont="1" applyBorder="1"/>
    <xf numFmtId="166" fontId="0" fillId="0" borderId="5" xfId="0" applyNumberFormat="1" applyFont="1" applyBorder="1" applyAlignment="1">
      <alignment horizontal="center"/>
    </xf>
    <xf numFmtId="166" fontId="0" fillId="0" borderId="1" xfId="0" applyNumberFormat="1" applyFont="1" applyBorder="1" applyAlignment="1">
      <alignment horizontal="center"/>
    </xf>
    <xf numFmtId="165" fontId="52" fillId="0" borderId="7" xfId="1" applyNumberFormat="1" applyFont="1" applyBorder="1" applyAlignment="1">
      <alignment horizontal="center"/>
    </xf>
    <xf numFmtId="165" fontId="52" fillId="0" borderId="8" xfId="1" applyNumberFormat="1" applyFont="1" applyBorder="1" applyAlignment="1">
      <alignment horizontal="center"/>
    </xf>
    <xf numFmtId="166" fontId="39" fillId="0" borderId="1" xfId="0" applyNumberFormat="1" applyFont="1" applyBorder="1" applyAlignment="1">
      <alignment horizontal="center"/>
    </xf>
    <xf numFmtId="166" fontId="39" fillId="0" borderId="5" xfId="0" applyNumberFormat="1" applyFont="1" applyBorder="1" applyAlignment="1">
      <alignment horizontal="center"/>
    </xf>
    <xf numFmtId="166" fontId="39" fillId="0" borderId="14" xfId="0" applyNumberFormat="1" applyFont="1" applyBorder="1" applyAlignment="1">
      <alignment horizontal="center"/>
    </xf>
    <xf numFmtId="166" fontId="39" fillId="0" borderId="1" xfId="0" applyNumberFormat="1" applyFont="1" applyFill="1" applyBorder="1" applyAlignment="1">
      <alignment horizontal="center"/>
    </xf>
    <xf numFmtId="166" fontId="39" fillId="0" borderId="1" xfId="0" applyNumberFormat="1" applyFont="1" applyBorder="1"/>
    <xf numFmtId="166" fontId="39" fillId="0" borderId="0" xfId="0" applyNumberFormat="1" applyFont="1" applyBorder="1" applyAlignment="1">
      <alignment horizontal="center"/>
    </xf>
    <xf numFmtId="166" fontId="39" fillId="0" borderId="4" xfId="0" applyNumberFormat="1" applyFont="1" applyBorder="1" applyAlignment="1">
      <alignment horizontal="center"/>
    </xf>
    <xf numFmtId="166" fontId="39" fillId="0" borderId="12" xfId="0" applyNumberFormat="1" applyFont="1" applyBorder="1" applyAlignment="1">
      <alignment horizontal="center"/>
    </xf>
    <xf numFmtId="166" fontId="39" fillId="0" borderId="0" xfId="0" applyNumberFormat="1" applyFont="1" applyBorder="1"/>
    <xf numFmtId="0" fontId="39" fillId="0" borderId="5" xfId="0" applyFont="1" applyBorder="1"/>
    <xf numFmtId="0" fontId="39" fillId="0" borderId="14" xfId="0" applyFont="1" applyBorder="1"/>
    <xf numFmtId="167" fontId="39" fillId="0" borderId="1" xfId="0" applyNumberFormat="1" applyFont="1" applyFill="1" applyBorder="1" applyAlignment="1">
      <alignment horizontal="center"/>
    </xf>
    <xf numFmtId="0" fontId="0" fillId="0" borderId="5" xfId="0" applyFont="1" applyBorder="1"/>
    <xf numFmtId="167" fontId="39" fillId="0" borderId="1" xfId="0" applyNumberFormat="1" applyFont="1" applyBorder="1" applyAlignment="1">
      <alignment horizontal="center"/>
    </xf>
    <xf numFmtId="167" fontId="39" fillId="0" borderId="5" xfId="0" applyNumberFormat="1" applyFont="1" applyBorder="1" applyAlignment="1">
      <alignment horizontal="center"/>
    </xf>
    <xf numFmtId="9" fontId="45" fillId="0" borderId="0" xfId="1" applyFont="1" applyAlignment="1">
      <alignment horizontal="center"/>
    </xf>
    <xf numFmtId="167" fontId="39" fillId="0" borderId="0" xfId="0" applyNumberFormat="1" applyFont="1" applyBorder="1" applyAlignment="1">
      <alignment horizontal="center"/>
    </xf>
    <xf numFmtId="165" fontId="39" fillId="0" borderId="1" xfId="1" applyNumberFormat="1" applyFont="1" applyBorder="1" applyAlignment="1">
      <alignment horizontal="center"/>
    </xf>
    <xf numFmtId="3" fontId="0" fillId="0" borderId="1" xfId="0" applyNumberFormat="1" applyFont="1" applyBorder="1" applyAlignment="1">
      <alignment horizontal="center"/>
    </xf>
    <xf numFmtId="3" fontId="0" fillId="0" borderId="5" xfId="0" applyNumberFormat="1" applyFont="1" applyBorder="1" applyAlignment="1">
      <alignment horizontal="center"/>
    </xf>
    <xf numFmtId="0" fontId="39" fillId="0" borderId="12" xfId="0" applyFont="1" applyBorder="1" applyAlignment="1">
      <alignment horizontal="center"/>
    </xf>
    <xf numFmtId="0" fontId="39" fillId="0" borderId="0" xfId="0" applyFont="1" applyBorder="1" applyAlignment="1">
      <alignment horizontal="center"/>
    </xf>
    <xf numFmtId="3" fontId="0" fillId="0" borderId="0" xfId="0" applyNumberFormat="1" applyFill="1" applyBorder="1" applyAlignment="1">
      <alignment horizontal="center"/>
    </xf>
    <xf numFmtId="3" fontId="39" fillId="0" borderId="0" xfId="0" applyNumberFormat="1" applyFont="1" applyBorder="1" applyAlignment="1">
      <alignment horizontal="center"/>
    </xf>
    <xf numFmtId="3" fontId="0" fillId="0" borderId="0" xfId="0" applyNumberFormat="1" applyAlignment="1">
      <alignment horizontal="center"/>
    </xf>
    <xf numFmtId="0" fontId="40" fillId="7" borderId="0" xfId="2" applyFill="1"/>
    <xf numFmtId="166" fontId="40" fillId="7" borderId="0" xfId="2" applyNumberFormat="1" applyFill="1"/>
    <xf numFmtId="0" fontId="78" fillId="7" borderId="0" xfId="2" applyFont="1" applyFill="1"/>
    <xf numFmtId="0" fontId="80" fillId="7" borderId="0" xfId="2" applyFont="1" applyFill="1" applyBorder="1" applyAlignment="1">
      <alignment horizontal="center"/>
    </xf>
    <xf numFmtId="0" fontId="77" fillId="0" borderId="27" xfId="2" applyFont="1" applyBorder="1" applyAlignment="1">
      <alignment horizontal="center" vertical="center" wrapText="1"/>
    </xf>
    <xf numFmtId="0" fontId="77" fillId="0" borderId="3" xfId="2" applyFont="1" applyBorder="1" applyAlignment="1">
      <alignment horizontal="center" vertical="center" wrapText="1"/>
    </xf>
    <xf numFmtId="3" fontId="35" fillId="0" borderId="0" xfId="0" applyNumberFormat="1" applyFont="1" applyAlignment="1">
      <alignment horizontal="center"/>
    </xf>
    <xf numFmtId="3" fontId="35" fillId="0" borderId="4" xfId="0" applyNumberFormat="1" applyFont="1" applyBorder="1" applyAlignment="1">
      <alignment horizontal="center"/>
    </xf>
    <xf numFmtId="3" fontId="35" fillId="0" borderId="0" xfId="0" applyNumberFormat="1" applyFont="1" applyBorder="1" applyAlignment="1">
      <alignment horizontal="center"/>
    </xf>
    <xf numFmtId="3" fontId="35" fillId="0" borderId="12" xfId="0" applyNumberFormat="1" applyFont="1" applyBorder="1" applyAlignment="1">
      <alignment horizontal="center"/>
    </xf>
    <xf numFmtId="3" fontId="35" fillId="0" borderId="0" xfId="0" applyNumberFormat="1" applyFont="1" applyFill="1" applyBorder="1" applyAlignment="1">
      <alignment horizontal="center"/>
    </xf>
    <xf numFmtId="9" fontId="35" fillId="0" borderId="0" xfId="1" applyFont="1" applyBorder="1" applyAlignment="1">
      <alignment horizontal="center"/>
    </xf>
    <xf numFmtId="0" fontId="35" fillId="0" borderId="4" xfId="0" applyFont="1" applyBorder="1" applyAlignment="1">
      <alignment horizontal="center"/>
    </xf>
    <xf numFmtId="0" fontId="35" fillId="0" borderId="0" xfId="0" applyFont="1" applyBorder="1" applyAlignment="1">
      <alignment horizontal="center"/>
    </xf>
    <xf numFmtId="0" fontId="35" fillId="0" borderId="12" xfId="0" applyFont="1" applyBorder="1" applyAlignment="1">
      <alignment horizontal="center"/>
    </xf>
    <xf numFmtId="0" fontId="35" fillId="0" borderId="0" xfId="0" applyFont="1" applyFill="1" applyBorder="1" applyAlignment="1">
      <alignment horizontal="center"/>
    </xf>
    <xf numFmtId="166" fontId="35" fillId="0" borderId="0" xfId="0" applyNumberFormat="1" applyFont="1" applyBorder="1" applyAlignment="1">
      <alignment horizontal="center"/>
    </xf>
    <xf numFmtId="0" fontId="45" fillId="0" borderId="0" xfId="0" applyFont="1"/>
    <xf numFmtId="167" fontId="66" fillId="0" borderId="0" xfId="0" applyNumberFormat="1" applyFont="1" applyAlignment="1">
      <alignment horizontal="center"/>
    </xf>
    <xf numFmtId="0" fontId="58" fillId="0" borderId="0" xfId="0" applyFont="1"/>
    <xf numFmtId="0" fontId="45" fillId="0" borderId="0" xfId="0" applyFont="1"/>
    <xf numFmtId="0" fontId="44" fillId="0" borderId="0" xfId="294"/>
    <xf numFmtId="0" fontId="40" fillId="0" borderId="0" xfId="294" applyFont="1" applyProtection="1"/>
    <xf numFmtId="3" fontId="40" fillId="0" borderId="39" xfId="294" applyNumberFormat="1" applyFont="1" applyBorder="1" applyAlignment="1" applyProtection="1">
      <alignment horizontal="right" wrapText="1"/>
    </xf>
    <xf numFmtId="0" fontId="40" fillId="0" borderId="40" xfId="294" applyFont="1" applyBorder="1" applyAlignment="1" applyProtection="1">
      <alignment wrapText="1"/>
    </xf>
    <xf numFmtId="3" fontId="40" fillId="0" borderId="41" xfId="294" applyNumberFormat="1" applyFont="1" applyBorder="1" applyAlignment="1" applyProtection="1">
      <alignment horizontal="right" wrapText="1"/>
    </xf>
    <xf numFmtId="0" fontId="40" fillId="0" borderId="0" xfId="294" applyFont="1" applyAlignment="1" applyProtection="1">
      <alignment wrapText="1"/>
    </xf>
    <xf numFmtId="0" fontId="48" fillId="0" borderId="42" xfId="294" applyFont="1" applyBorder="1" applyAlignment="1" applyProtection="1">
      <alignment horizontal="center" vertical="center" wrapText="1"/>
    </xf>
    <xf numFmtId="0" fontId="45" fillId="0" borderId="0" xfId="0" applyFont="1" applyBorder="1" applyAlignment="1">
      <alignment horizontal="center"/>
    </xf>
    <xf numFmtId="0" fontId="45" fillId="0" borderId="0" xfId="0" applyFont="1" applyBorder="1"/>
    <xf numFmtId="0" fontId="48" fillId="0" borderId="0" xfId="294" applyFont="1" applyProtection="1"/>
    <xf numFmtId="166" fontId="45" fillId="0" borderId="0" xfId="0" applyNumberFormat="1" applyFont="1" applyAlignment="1">
      <alignment horizontal="center"/>
    </xf>
    <xf numFmtId="0" fontId="0" fillId="0" borderId="1" xfId="0" applyFont="1" applyBorder="1" applyAlignment="1">
      <alignment horizontal="center" vertical="center" wrapText="1"/>
    </xf>
    <xf numFmtId="3" fontId="0" fillId="0" borderId="14" xfId="0" applyNumberFormat="1" applyFont="1" applyBorder="1" applyAlignment="1">
      <alignment horizontal="center"/>
    </xf>
    <xf numFmtId="0" fontId="40" fillId="0" borderId="0" xfId="0" applyFont="1" applyAlignment="1">
      <alignment horizontal="center" vertical="center" wrapText="1"/>
    </xf>
    <xf numFmtId="0" fontId="34" fillId="0" borderId="0" xfId="0" applyFont="1" applyAlignment="1">
      <alignment horizontal="center" vertical="center" wrapText="1"/>
    </xf>
    <xf numFmtId="9" fontId="35" fillId="0" borderId="0" xfId="1" applyFont="1" applyAlignment="1">
      <alignment horizontal="center"/>
    </xf>
    <xf numFmtId="3" fontId="0" fillId="0" borderId="25" xfId="0" applyNumberFormat="1" applyFont="1" applyBorder="1" applyAlignment="1">
      <alignment horizontal="center"/>
    </xf>
    <xf numFmtId="165" fontId="39" fillId="0" borderId="5" xfId="1" applyNumberFormat="1" applyFont="1" applyBorder="1" applyAlignment="1">
      <alignment horizontal="center"/>
    </xf>
    <xf numFmtId="165" fontId="39" fillId="0" borderId="14" xfId="1" applyNumberFormat="1" applyFont="1" applyFill="1" applyBorder="1" applyAlignment="1">
      <alignment horizontal="center"/>
    </xf>
    <xf numFmtId="165" fontId="39" fillId="0" borderId="1" xfId="0" applyNumberFormat="1" applyFont="1" applyBorder="1" applyAlignment="1">
      <alignment horizontal="center"/>
    </xf>
    <xf numFmtId="165" fontId="39" fillId="0" borderId="5" xfId="0" applyNumberFormat="1" applyFont="1" applyBorder="1" applyAlignment="1">
      <alignment horizontal="center"/>
    </xf>
    <xf numFmtId="165" fontId="39" fillId="0" borderId="1" xfId="0" applyNumberFormat="1" applyFont="1" applyFill="1" applyBorder="1" applyAlignment="1">
      <alignment horizontal="center"/>
    </xf>
    <xf numFmtId="9" fontId="0" fillId="0" borderId="1" xfId="0" applyNumberFormat="1" applyFont="1" applyBorder="1"/>
    <xf numFmtId="166" fontId="44" fillId="0" borderId="0" xfId="294" applyNumberFormat="1"/>
    <xf numFmtId="165" fontId="45" fillId="0" borderId="0" xfId="1" applyNumberFormat="1" applyFont="1"/>
    <xf numFmtId="165" fontId="0" fillId="0" borderId="0" xfId="1" applyNumberFormat="1" applyFont="1"/>
    <xf numFmtId="165" fontId="0" fillId="0" borderId="0" xfId="0" applyNumberFormat="1" applyFont="1"/>
    <xf numFmtId="167" fontId="33" fillId="0" borderId="0" xfId="0" applyNumberFormat="1" applyFont="1" applyAlignment="1">
      <alignment horizontal="center"/>
    </xf>
    <xf numFmtId="9" fontId="33" fillId="0" borderId="0" xfId="1" applyFont="1" applyAlignment="1">
      <alignment horizontal="center"/>
    </xf>
    <xf numFmtId="0" fontId="40" fillId="0" borderId="0" xfId="0" applyFont="1" applyBorder="1" applyAlignment="1">
      <alignment horizontal="center" vertical="center" wrapText="1"/>
    </xf>
    <xf numFmtId="0" fontId="0" fillId="0" borderId="0" xfId="0" applyFont="1" applyFill="1" applyBorder="1"/>
    <xf numFmtId="0" fontId="32" fillId="0" borderId="0" xfId="0" applyFont="1" applyAlignment="1">
      <alignment horizontal="center" vertical="center" wrapText="1"/>
    </xf>
    <xf numFmtId="9" fontId="32" fillId="0" borderId="4" xfId="1" applyFont="1" applyBorder="1" applyAlignment="1">
      <alignment horizontal="center"/>
    </xf>
    <xf numFmtId="9" fontId="32" fillId="0" borderId="0" xfId="1" applyFont="1" applyAlignment="1">
      <alignment horizontal="center"/>
    </xf>
    <xf numFmtId="9" fontId="32" fillId="0" borderId="12" xfId="1" applyFont="1" applyBorder="1" applyAlignment="1">
      <alignment horizontal="center"/>
    </xf>
    <xf numFmtId="9" fontId="32" fillId="0" borderId="0" xfId="1" applyFont="1" applyBorder="1" applyAlignment="1">
      <alignment horizontal="center"/>
    </xf>
    <xf numFmtId="9" fontId="32" fillId="0" borderId="0" xfId="1" applyFont="1" applyFill="1" applyAlignment="1">
      <alignment horizontal="center"/>
    </xf>
    <xf numFmtId="9" fontId="32" fillId="0" borderId="0" xfId="1" applyFont="1"/>
    <xf numFmtId="0" fontId="32" fillId="0" borderId="0" xfId="0" applyFont="1"/>
    <xf numFmtId="9" fontId="32" fillId="0" borderId="0" xfId="0" applyNumberFormat="1" applyFont="1" applyAlignment="1">
      <alignment horizontal="center"/>
    </xf>
    <xf numFmtId="0" fontId="32" fillId="0" borderId="0" xfId="0" applyFont="1" applyAlignment="1">
      <alignment horizontal="center"/>
    </xf>
    <xf numFmtId="3" fontId="66" fillId="0" borderId="0" xfId="1" applyNumberFormat="1" applyFont="1" applyBorder="1" applyAlignment="1">
      <alignment horizontal="center"/>
    </xf>
    <xf numFmtId="9" fontId="39" fillId="0" borderId="4" xfId="1" applyNumberFormat="1" applyFont="1" applyBorder="1" applyAlignment="1">
      <alignment horizontal="center"/>
    </xf>
    <xf numFmtId="3" fontId="39" fillId="0" borderId="0" xfId="1" applyNumberFormat="1" applyFont="1" applyBorder="1" applyAlignment="1">
      <alignment horizontal="center"/>
    </xf>
    <xf numFmtId="9" fontId="0" fillId="0" borderId="0" xfId="0" applyNumberFormat="1" applyFont="1" applyFill="1" applyBorder="1" applyAlignment="1">
      <alignment horizontal="center"/>
    </xf>
    <xf numFmtId="0" fontId="40" fillId="0" borderId="0" xfId="2"/>
    <xf numFmtId="0" fontId="45" fillId="0" borderId="0" xfId="0" applyFont="1"/>
    <xf numFmtId="0" fontId="46" fillId="0" borderId="0" xfId="0" applyFont="1" applyAlignment="1">
      <alignment wrapText="1"/>
    </xf>
    <xf numFmtId="0" fontId="0" fillId="0" borderId="0" xfId="0"/>
    <xf numFmtId="0" fontId="49" fillId="3" borderId="6" xfId="0" applyFont="1" applyFill="1" applyBorder="1" applyAlignment="1">
      <alignment horizontal="center"/>
    </xf>
    <xf numFmtId="0" fontId="47" fillId="0" borderId="0" xfId="0" applyFont="1" applyAlignment="1">
      <alignment wrapText="1"/>
    </xf>
    <xf numFmtId="0" fontId="51" fillId="0" borderId="0" xfId="0" applyFont="1"/>
    <xf numFmtId="0" fontId="50" fillId="0" borderId="0" xfId="0" applyFont="1"/>
    <xf numFmtId="0" fontId="48" fillId="0" borderId="0" xfId="2" applyFont="1"/>
    <xf numFmtId="0" fontId="48" fillId="0" borderId="0" xfId="0" applyFont="1"/>
    <xf numFmtId="3" fontId="32" fillId="0" borderId="4" xfId="0" applyNumberFormat="1" applyFont="1" applyBorder="1" applyAlignment="1">
      <alignment horizontal="center"/>
    </xf>
    <xf numFmtId="3" fontId="32" fillId="0" borderId="0" xfId="0" applyNumberFormat="1" applyFont="1" applyAlignment="1">
      <alignment horizontal="center"/>
    </xf>
    <xf numFmtId="3" fontId="32" fillId="0" borderId="12" xfId="0" applyNumberFormat="1" applyFont="1" applyBorder="1" applyAlignment="1">
      <alignment horizontal="center"/>
    </xf>
    <xf numFmtId="3" fontId="32" fillId="0" borderId="0" xfId="0" applyNumberFormat="1" applyFont="1" applyBorder="1" applyAlignment="1">
      <alignment horizontal="center"/>
    </xf>
    <xf numFmtId="3" fontId="32" fillId="0" borderId="0" xfId="0" applyNumberFormat="1" applyFont="1" applyFill="1" applyAlignment="1">
      <alignment horizontal="center"/>
    </xf>
    <xf numFmtId="166" fontId="32" fillId="0" borderId="0" xfId="0" applyNumberFormat="1" applyFont="1" applyBorder="1" applyAlignment="1">
      <alignment horizontal="center"/>
    </xf>
    <xf numFmtId="166" fontId="32" fillId="0" borderId="0" xfId="0" applyNumberFormat="1" applyFont="1" applyAlignment="1">
      <alignment horizontal="center"/>
    </xf>
    <xf numFmtId="0" fontId="32" fillId="0" borderId="4" xfId="0" applyFont="1" applyBorder="1" applyAlignment="1">
      <alignment horizontal="center"/>
    </xf>
    <xf numFmtId="0" fontId="32" fillId="0" borderId="12" xfId="0" applyFont="1" applyBorder="1" applyAlignment="1">
      <alignment horizontal="center"/>
    </xf>
    <xf numFmtId="0" fontId="32" fillId="0" borderId="0" xfId="0" applyFont="1" applyBorder="1" applyAlignment="1">
      <alignment horizontal="center"/>
    </xf>
    <xf numFmtId="0" fontId="32" fillId="0" borderId="0" xfId="0" applyFont="1" applyFill="1" applyAlignment="1">
      <alignment horizontal="center"/>
    </xf>
    <xf numFmtId="1" fontId="45" fillId="0" borderId="0" xfId="0" applyNumberFormat="1" applyFont="1" applyAlignment="1">
      <alignment horizontal="center"/>
    </xf>
    <xf numFmtId="167" fontId="32" fillId="0" borderId="0" xfId="0" applyNumberFormat="1" applyFont="1" applyAlignment="1">
      <alignment horizontal="center"/>
    </xf>
    <xf numFmtId="0" fontId="0" fillId="0" borderId="0" xfId="0"/>
    <xf numFmtId="0" fontId="40" fillId="0" borderId="0" xfId="2"/>
    <xf numFmtId="0" fontId="49" fillId="3" borderId="6" xfId="2" applyFont="1" applyFill="1" applyBorder="1" applyAlignment="1">
      <alignment horizontal="center"/>
    </xf>
    <xf numFmtId="0" fontId="53" fillId="0" borderId="0" xfId="2" applyFont="1"/>
    <xf numFmtId="0" fontId="48" fillId="0" borderId="0" xfId="2" applyFont="1"/>
    <xf numFmtId="0" fontId="75" fillId="0" borderId="10" xfId="0" quotePrefix="1" applyFont="1" applyBorder="1" applyAlignment="1">
      <alignment horizontal="left" wrapText="1" indent="2"/>
    </xf>
    <xf numFmtId="0" fontId="75" fillId="0" borderId="10" xfId="0" quotePrefix="1" applyFont="1" applyBorder="1" applyAlignment="1">
      <alignment horizontal="left" wrapText="1" indent="3"/>
    </xf>
    <xf numFmtId="0" fontId="75" fillId="0" borderId="10" xfId="0" quotePrefix="1" applyFont="1" applyFill="1" applyBorder="1" applyAlignment="1">
      <alignment horizontal="left" wrapText="1" indent="2"/>
    </xf>
    <xf numFmtId="0" fontId="0" fillId="0" borderId="0" xfId="0" applyFont="1" applyFill="1" applyAlignment="1">
      <alignment horizontal="center" vertical="center" wrapText="1"/>
    </xf>
    <xf numFmtId="0" fontId="39" fillId="0" borderId="1" xfId="0" applyFont="1" applyFill="1" applyBorder="1" applyAlignment="1">
      <alignment horizontal="center" vertical="center" wrapText="1"/>
    </xf>
    <xf numFmtId="167" fontId="0" fillId="0" borderId="1" xfId="0" applyNumberFormat="1" applyFont="1" applyBorder="1" applyAlignment="1">
      <alignment horizontal="center"/>
    </xf>
    <xf numFmtId="167" fontId="0" fillId="0" borderId="5" xfId="1" applyNumberFormat="1" applyFont="1" applyBorder="1" applyAlignment="1">
      <alignment horizontal="center"/>
    </xf>
    <xf numFmtId="167" fontId="0" fillId="0" borderId="1" xfId="1" applyNumberFormat="1" applyFont="1" applyBorder="1" applyAlignment="1">
      <alignment horizontal="center"/>
    </xf>
    <xf numFmtId="167" fontId="0" fillId="0" borderId="1" xfId="1" applyNumberFormat="1" applyFont="1" applyFill="1" applyBorder="1" applyAlignment="1">
      <alignment horizontal="center"/>
    </xf>
    <xf numFmtId="0" fontId="97" fillId="0" borderId="0" xfId="0" applyFont="1" applyAlignment="1">
      <alignment horizontal="center" vertical="center" wrapText="1"/>
    </xf>
    <xf numFmtId="167" fontId="66" fillId="0" borderId="1" xfId="0" applyNumberFormat="1" applyFont="1" applyBorder="1" applyAlignment="1">
      <alignment horizontal="center"/>
    </xf>
    <xf numFmtId="167" fontId="58" fillId="0" borderId="1" xfId="0" applyNumberFormat="1" applyFont="1" applyBorder="1" applyAlignment="1">
      <alignment horizontal="center"/>
    </xf>
    <xf numFmtId="167" fontId="0" fillId="0" borderId="4" xfId="0" applyNumberFormat="1" applyFont="1" applyFill="1" applyBorder="1" applyAlignment="1">
      <alignment horizontal="center"/>
    </xf>
    <xf numFmtId="9" fontId="45" fillId="0" borderId="1" xfId="1" applyFont="1" applyBorder="1"/>
    <xf numFmtId="0" fontId="0" fillId="0" borderId="0" xfId="0"/>
    <xf numFmtId="0" fontId="40" fillId="0" borderId="0" xfId="2"/>
    <xf numFmtId="0" fontId="53" fillId="0" borderId="0" xfId="2" applyFont="1"/>
    <xf numFmtId="0" fontId="44" fillId="0" borderId="0" xfId="0" applyFont="1" applyAlignment="1">
      <alignment horizontal="center" vertical="center" wrapText="1"/>
    </xf>
    <xf numFmtId="0" fontId="53" fillId="0" borderId="0" xfId="2" applyFont="1"/>
    <xf numFmtId="0" fontId="44" fillId="0" borderId="0" xfId="0" applyFont="1" applyAlignment="1">
      <alignment horizontal="center" vertical="center" wrapText="1"/>
    </xf>
    <xf numFmtId="165" fontId="36" fillId="0" borderId="0" xfId="1" applyNumberFormat="1" applyFont="1" applyAlignment="1">
      <alignment horizontal="center"/>
    </xf>
    <xf numFmtId="165" fontId="36" fillId="0" borderId="0" xfId="1" applyNumberFormat="1" applyFont="1" applyFill="1" applyAlignment="1">
      <alignment horizontal="center"/>
    </xf>
    <xf numFmtId="165" fontId="36" fillId="0" borderId="4" xfId="1" applyNumberFormat="1" applyFont="1" applyBorder="1" applyAlignment="1">
      <alignment horizontal="center"/>
    </xf>
    <xf numFmtId="3" fontId="0" fillId="0" borderId="1" xfId="0" applyNumberFormat="1" applyFont="1" applyBorder="1"/>
    <xf numFmtId="3" fontId="0" fillId="0" borderId="0" xfId="0" applyNumberFormat="1" applyFont="1"/>
    <xf numFmtId="10" fontId="36" fillId="0" borderId="0" xfId="1" applyNumberFormat="1" applyFont="1" applyAlignment="1">
      <alignment horizontal="center"/>
    </xf>
    <xf numFmtId="10" fontId="36" fillId="0" borderId="4" xfId="1" applyNumberFormat="1" applyFont="1" applyBorder="1" applyAlignment="1">
      <alignment horizontal="center"/>
    </xf>
    <xf numFmtId="10" fontId="36" fillId="0" borderId="0" xfId="1" applyNumberFormat="1" applyFont="1" applyFill="1" applyAlignment="1">
      <alignment horizontal="center"/>
    </xf>
    <xf numFmtId="3" fontId="36" fillId="0" borderId="0" xfId="1" applyNumberFormat="1" applyFont="1" applyBorder="1" applyAlignment="1">
      <alignment horizontal="center"/>
    </xf>
    <xf numFmtId="3" fontId="36" fillId="0" borderId="4" xfId="1" applyNumberFormat="1" applyFont="1" applyBorder="1" applyAlignment="1">
      <alignment horizontal="center"/>
    </xf>
    <xf numFmtId="3" fontId="36" fillId="0" borderId="0" xfId="1" applyNumberFormat="1" applyFont="1" applyFill="1" applyBorder="1" applyAlignment="1">
      <alignment horizontal="center"/>
    </xf>
    <xf numFmtId="167" fontId="45" fillId="0" borderId="0" xfId="1" applyNumberFormat="1" applyFont="1" applyAlignment="1">
      <alignment horizontal="center"/>
    </xf>
    <xf numFmtId="167" fontId="45" fillId="0" borderId="4" xfId="1" applyNumberFormat="1" applyFont="1" applyBorder="1" applyAlignment="1">
      <alignment horizontal="center"/>
    </xf>
    <xf numFmtId="167" fontId="45" fillId="0" borderId="0" xfId="1" applyNumberFormat="1" applyFont="1" applyFill="1" applyAlignment="1">
      <alignment horizontal="center"/>
    </xf>
    <xf numFmtId="167" fontId="32" fillId="0" borderId="0" xfId="1" applyNumberFormat="1" applyFont="1" applyAlignment="1">
      <alignment horizontal="center"/>
    </xf>
    <xf numFmtId="167" fontId="32" fillId="0" borderId="4" xfId="1" applyNumberFormat="1" applyFont="1" applyBorder="1" applyAlignment="1">
      <alignment horizontal="center"/>
    </xf>
    <xf numFmtId="167" fontId="32" fillId="0" borderId="0" xfId="1" applyNumberFormat="1" applyFont="1" applyFill="1" applyAlignment="1">
      <alignment horizontal="center"/>
    </xf>
    <xf numFmtId="167" fontId="45" fillId="0" borderId="4" xfId="1" applyNumberFormat="1" applyFont="1" applyFill="1" applyBorder="1" applyAlignment="1">
      <alignment horizontal="center"/>
    </xf>
    <xf numFmtId="167" fontId="39" fillId="0" borderId="1" xfId="1" applyNumberFormat="1" applyFont="1" applyBorder="1" applyAlignment="1">
      <alignment horizontal="center"/>
    </xf>
    <xf numFmtId="167" fontId="39" fillId="0" borderId="5" xfId="1" applyNumberFormat="1" applyFont="1" applyBorder="1" applyAlignment="1">
      <alignment horizontal="center"/>
    </xf>
    <xf numFmtId="167" fontId="39" fillId="0" borderId="1" xfId="1" applyNumberFormat="1" applyFont="1" applyFill="1" applyBorder="1" applyAlignment="1">
      <alignment horizontal="center"/>
    </xf>
    <xf numFmtId="167" fontId="0" fillId="0" borderId="0" xfId="1" applyNumberFormat="1" applyFont="1" applyFill="1" applyBorder="1" applyAlignment="1">
      <alignment horizontal="center"/>
    </xf>
    <xf numFmtId="3" fontId="0" fillId="0" borderId="0" xfId="1" applyNumberFormat="1" applyFont="1" applyAlignment="1">
      <alignment horizontal="center"/>
    </xf>
    <xf numFmtId="3" fontId="0" fillId="0" borderId="12" xfId="1" applyNumberFormat="1" applyFont="1" applyBorder="1" applyAlignment="1">
      <alignment horizontal="center"/>
    </xf>
    <xf numFmtId="3" fontId="0" fillId="0" borderId="0" xfId="1" applyNumberFormat="1" applyFont="1" applyBorder="1" applyAlignment="1">
      <alignment horizontal="center"/>
    </xf>
    <xf numFmtId="3" fontId="0" fillId="0" borderId="0" xfId="0" applyNumberFormat="1" applyFont="1" applyFill="1" applyBorder="1" applyAlignment="1">
      <alignment horizontal="center"/>
    </xf>
    <xf numFmtId="1" fontId="0" fillId="0" borderId="1" xfId="0" applyNumberFormat="1" applyFont="1" applyBorder="1" applyAlignment="1">
      <alignment horizontal="center"/>
    </xf>
    <xf numFmtId="1" fontId="0" fillId="0" borderId="14" xfId="0" applyNumberFormat="1" applyFont="1" applyBorder="1" applyAlignment="1">
      <alignment horizontal="center"/>
    </xf>
    <xf numFmtId="1" fontId="0" fillId="0" borderId="5" xfId="0" applyNumberFormat="1" applyFont="1" applyBorder="1" applyAlignment="1">
      <alignment horizontal="center"/>
    </xf>
    <xf numFmtId="1" fontId="39" fillId="0" borderId="1" xfId="0" applyNumberFormat="1" applyFont="1" applyBorder="1" applyAlignment="1">
      <alignment horizontal="center"/>
    </xf>
    <xf numFmtId="1" fontId="39" fillId="0" borderId="14" xfId="0" applyNumberFormat="1" applyFont="1" applyBorder="1" applyAlignment="1">
      <alignment horizontal="center"/>
    </xf>
    <xf numFmtId="1" fontId="39" fillId="0" borderId="5" xfId="0" applyNumberFormat="1" applyFont="1" applyBorder="1" applyAlignment="1">
      <alignment horizontal="center"/>
    </xf>
    <xf numFmtId="0" fontId="0" fillId="0" borderId="0" xfId="0" applyFont="1" applyAlignment="1">
      <alignment horizontal="center"/>
    </xf>
    <xf numFmtId="166" fontId="0" fillId="0" borderId="0" xfId="0" applyNumberFormat="1" applyFont="1" applyAlignment="1">
      <alignment horizontal="center"/>
    </xf>
    <xf numFmtId="166" fontId="0" fillId="0" borderId="12" xfId="0" applyNumberFormat="1" applyFont="1" applyBorder="1" applyAlignment="1">
      <alignment horizontal="center"/>
    </xf>
    <xf numFmtId="0" fontId="0" fillId="0" borderId="12" xfId="0" applyFont="1" applyBorder="1" applyAlignment="1">
      <alignment horizontal="center"/>
    </xf>
    <xf numFmtId="166" fontId="0" fillId="0" borderId="0" xfId="0" applyNumberFormat="1" applyFont="1" applyBorder="1" applyAlignment="1">
      <alignment horizontal="center"/>
    </xf>
    <xf numFmtId="0" fontId="0" fillId="0" borderId="0" xfId="0" applyFont="1" applyBorder="1" applyAlignment="1">
      <alignment horizontal="center"/>
    </xf>
    <xf numFmtId="166" fontId="0" fillId="0" borderId="4" xfId="0" applyNumberFormat="1" applyFont="1" applyBorder="1" applyAlignment="1">
      <alignment horizontal="center"/>
    </xf>
    <xf numFmtId="0" fontId="0" fillId="0" borderId="4" xfId="0" applyFont="1" applyBorder="1" applyAlignment="1">
      <alignment horizontal="center"/>
    </xf>
    <xf numFmtId="0" fontId="45" fillId="0" borderId="12" xfId="0" applyFont="1" applyBorder="1" applyAlignment="1">
      <alignment horizontal="center"/>
    </xf>
    <xf numFmtId="0" fontId="45" fillId="0" borderId="4" xfId="0" applyFont="1" applyBorder="1" applyAlignment="1">
      <alignment horizontal="center"/>
    </xf>
    <xf numFmtId="3" fontId="39" fillId="0" borderId="4" xfId="1" applyNumberFormat="1" applyFont="1" applyBorder="1" applyAlignment="1">
      <alignment horizontal="center"/>
    </xf>
    <xf numFmtId="3" fontId="39" fillId="0" borderId="0" xfId="1" applyNumberFormat="1" applyFont="1" applyFill="1" applyBorder="1" applyAlignment="1">
      <alignment horizontal="center"/>
    </xf>
    <xf numFmtId="166" fontId="0" fillId="0" borderId="0" xfId="1" applyNumberFormat="1" applyFont="1" applyAlignment="1">
      <alignment horizontal="center"/>
    </xf>
    <xf numFmtId="166" fontId="0" fillId="0" borderId="4" xfId="1" applyNumberFormat="1" applyFont="1" applyBorder="1" applyAlignment="1">
      <alignment horizontal="center"/>
    </xf>
    <xf numFmtId="166" fontId="0" fillId="0" borderId="0" xfId="1" applyNumberFormat="1" applyFont="1" applyFill="1" applyAlignment="1">
      <alignment horizontal="center"/>
    </xf>
    <xf numFmtId="166" fontId="0" fillId="0" borderId="12" xfId="0" applyNumberFormat="1" applyFont="1" applyFill="1" applyBorder="1" applyAlignment="1">
      <alignment horizontal="center"/>
    </xf>
    <xf numFmtId="166" fontId="0" fillId="0" borderId="4" xfId="0" applyNumberFormat="1" applyFont="1" applyFill="1" applyBorder="1" applyAlignment="1">
      <alignment horizontal="center"/>
    </xf>
    <xf numFmtId="3" fontId="45" fillId="0" borderId="0" xfId="0" applyNumberFormat="1" applyFont="1" applyFill="1" applyAlignment="1">
      <alignment horizontal="center"/>
    </xf>
    <xf numFmtId="167" fontId="0" fillId="0" borderId="4" xfId="1" applyNumberFormat="1" applyFont="1" applyFill="1" applyBorder="1" applyAlignment="1">
      <alignment horizontal="center"/>
    </xf>
    <xf numFmtId="1" fontId="0" fillId="0" borderId="12" xfId="0" applyNumberFormat="1" applyFont="1" applyFill="1" applyBorder="1" applyAlignment="1">
      <alignment horizontal="center"/>
    </xf>
    <xf numFmtId="1" fontId="0" fillId="0" borderId="0" xfId="0" applyNumberFormat="1" applyFont="1" applyFill="1" applyBorder="1" applyAlignment="1">
      <alignment horizontal="center"/>
    </xf>
    <xf numFmtId="1" fontId="0" fillId="0" borderId="4" xfId="0" applyNumberFormat="1" applyFont="1" applyFill="1" applyBorder="1" applyAlignment="1">
      <alignment horizontal="center"/>
    </xf>
    <xf numFmtId="1" fontId="0" fillId="0" borderId="1" xfId="1" applyNumberFormat="1" applyFont="1" applyBorder="1" applyAlignment="1">
      <alignment horizontal="center"/>
    </xf>
    <xf numFmtId="1" fontId="0" fillId="0" borderId="5" xfId="1" applyNumberFormat="1" applyFont="1" applyBorder="1" applyAlignment="1">
      <alignment horizontal="center"/>
    </xf>
    <xf numFmtId="1" fontId="0" fillId="0" borderId="1" xfId="1" applyNumberFormat="1" applyFont="1" applyFill="1" applyBorder="1" applyAlignment="1">
      <alignment horizontal="center"/>
    </xf>
    <xf numFmtId="1" fontId="58" fillId="0" borderId="1" xfId="0" applyNumberFormat="1" applyFont="1" applyFill="1" applyBorder="1" applyAlignment="1">
      <alignment horizontal="center"/>
    </xf>
    <xf numFmtId="1" fontId="58" fillId="0" borderId="5" xfId="0" applyNumberFormat="1" applyFont="1" applyFill="1" applyBorder="1" applyAlignment="1">
      <alignment horizontal="center"/>
    </xf>
    <xf numFmtId="165" fontId="32" fillId="0" borderId="0" xfId="1" applyNumberFormat="1" applyFont="1" applyAlignment="1">
      <alignment horizontal="center"/>
    </xf>
    <xf numFmtId="165" fontId="32" fillId="0" borderId="4" xfId="1" applyNumberFormat="1" applyFont="1" applyBorder="1" applyAlignment="1">
      <alignment horizontal="center"/>
    </xf>
    <xf numFmtId="165" fontId="32" fillId="0" borderId="0" xfId="1" applyNumberFormat="1" applyFont="1" applyFill="1" applyAlignment="1">
      <alignment horizontal="center"/>
    </xf>
    <xf numFmtId="1" fontId="58" fillId="0" borderId="14" xfId="0" applyNumberFormat="1" applyFont="1" applyFill="1" applyBorder="1" applyAlignment="1">
      <alignment horizontal="center"/>
    </xf>
    <xf numFmtId="167" fontId="45" fillId="0" borderId="0" xfId="0" applyNumberFormat="1" applyFont="1" applyFill="1" applyBorder="1" applyAlignment="1">
      <alignment horizontal="center"/>
    </xf>
    <xf numFmtId="167" fontId="45" fillId="0" borderId="4" xfId="0" applyNumberFormat="1" applyFont="1" applyFill="1" applyBorder="1" applyAlignment="1">
      <alignment horizontal="center"/>
    </xf>
    <xf numFmtId="167" fontId="32" fillId="0" borderId="0" xfId="0" applyNumberFormat="1" applyFont="1" applyBorder="1" applyAlignment="1">
      <alignment horizontal="center"/>
    </xf>
    <xf numFmtId="167" fontId="32" fillId="0" borderId="4" xfId="0" applyNumberFormat="1" applyFont="1" applyBorder="1" applyAlignment="1">
      <alignment horizontal="center"/>
    </xf>
    <xf numFmtId="167" fontId="33" fillId="0" borderId="0" xfId="1" applyNumberFormat="1" applyFont="1" applyAlignment="1">
      <alignment horizontal="center"/>
    </xf>
    <xf numFmtId="0" fontId="44" fillId="0" borderId="0" xfId="0" applyFont="1" applyAlignment="1">
      <alignment vertical="center" wrapText="1"/>
    </xf>
    <xf numFmtId="166" fontId="0" fillId="0" borderId="0" xfId="0" applyNumberFormat="1" applyFont="1" applyAlignment="1">
      <alignment horizontal="center"/>
    </xf>
    <xf numFmtId="165" fontId="0" fillId="0" borderId="0" xfId="1" applyNumberFormat="1" applyFont="1" applyAlignment="1">
      <alignment horizontal="center"/>
    </xf>
    <xf numFmtId="165" fontId="0" fillId="0" borderId="4" xfId="1" applyNumberFormat="1" applyFont="1" applyBorder="1" applyAlignment="1">
      <alignment horizontal="center"/>
    </xf>
    <xf numFmtId="166" fontId="0" fillId="0" borderId="12" xfId="0" applyNumberFormat="1" applyFont="1" applyBorder="1" applyAlignment="1">
      <alignment horizontal="center"/>
    </xf>
    <xf numFmtId="166" fontId="0" fillId="0" borderId="0" xfId="0" applyNumberFormat="1" applyFont="1" applyBorder="1" applyAlignment="1">
      <alignment horizontal="center"/>
    </xf>
    <xf numFmtId="0" fontId="0" fillId="0" borderId="0" xfId="0" applyFont="1" applyAlignment="1">
      <alignment horizontal="left"/>
    </xf>
    <xf numFmtId="167" fontId="66" fillId="0" borderId="1" xfId="1" applyNumberFormat="1" applyFont="1" applyBorder="1" applyAlignment="1">
      <alignment horizontal="center"/>
    </xf>
    <xf numFmtId="167" fontId="36" fillId="0" borderId="0" xfId="1" applyNumberFormat="1" applyFont="1" applyAlignment="1">
      <alignment horizontal="center"/>
    </xf>
    <xf numFmtId="167" fontId="36" fillId="0" borderId="4" xfId="1" applyNumberFormat="1" applyFont="1" applyBorder="1" applyAlignment="1">
      <alignment horizontal="center"/>
    </xf>
    <xf numFmtId="167" fontId="36" fillId="0" borderId="0" xfId="1" applyNumberFormat="1" applyFont="1" applyFill="1" applyAlignment="1">
      <alignment horizontal="center"/>
    </xf>
    <xf numFmtId="165" fontId="45" fillId="0" borderId="0" xfId="1" applyNumberFormat="1" applyFont="1" applyAlignment="1">
      <alignment horizontal="center"/>
    </xf>
    <xf numFmtId="165" fontId="45" fillId="0" borderId="12" xfId="1" applyNumberFormat="1" applyFont="1" applyBorder="1" applyAlignment="1">
      <alignment horizontal="center"/>
    </xf>
    <xf numFmtId="165" fontId="45" fillId="0" borderId="0" xfId="1" applyNumberFormat="1" applyFont="1" applyBorder="1" applyAlignment="1">
      <alignment horizontal="center"/>
    </xf>
    <xf numFmtId="165" fontId="45" fillId="0" borderId="4" xfId="1" applyNumberFormat="1" applyFont="1" applyBorder="1" applyAlignment="1">
      <alignment horizontal="center"/>
    </xf>
    <xf numFmtId="167" fontId="39" fillId="0" borderId="14" xfId="0" applyNumberFormat="1" applyFont="1" applyBorder="1" applyAlignment="1">
      <alignment horizontal="center"/>
    </xf>
    <xf numFmtId="0" fontId="40" fillId="0" borderId="0" xfId="2"/>
    <xf numFmtId="165" fontId="0" fillId="0" borderId="0" xfId="1" applyNumberFormat="1" applyFont="1" applyAlignment="1">
      <alignment horizontal="center"/>
    </xf>
    <xf numFmtId="0" fontId="0" fillId="0" borderId="0" xfId="0" applyFont="1" applyAlignment="1">
      <alignment horizontal="center"/>
    </xf>
    <xf numFmtId="0" fontId="0" fillId="0" borderId="0" xfId="0" applyFont="1" applyBorder="1" applyAlignment="1">
      <alignment horizontal="center"/>
    </xf>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4" xfId="1" applyNumberFormat="1" applyFont="1" applyBorder="1" applyAlignment="1">
      <alignment horizontal="center"/>
    </xf>
    <xf numFmtId="0" fontId="48" fillId="0" borderId="0" xfId="2" applyFont="1"/>
    <xf numFmtId="9" fontId="45" fillId="0" borderId="0" xfId="1" applyNumberFormat="1" applyFont="1" applyBorder="1" applyAlignment="1">
      <alignment horizontal="center"/>
    </xf>
    <xf numFmtId="0" fontId="44" fillId="0" borderId="0" xfId="0" applyFont="1" applyBorder="1" applyAlignment="1">
      <alignment vertical="center" wrapText="1"/>
    </xf>
    <xf numFmtId="0" fontId="0" fillId="0" borderId="0" xfId="0" applyFont="1" applyAlignment="1">
      <alignment horizontal="center"/>
    </xf>
    <xf numFmtId="165" fontId="0" fillId="0" borderId="0" xfId="1" applyNumberFormat="1" applyFont="1" applyAlignment="1">
      <alignment horizontal="center"/>
    </xf>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4" xfId="1" applyNumberFormat="1" applyFont="1" applyBorder="1" applyAlignment="1">
      <alignment horizontal="center"/>
    </xf>
    <xf numFmtId="0" fontId="40" fillId="0" borderId="0" xfId="2"/>
    <xf numFmtId="0" fontId="48" fillId="0" borderId="0" xfId="2" applyFont="1"/>
    <xf numFmtId="9" fontId="0" fillId="0" borderId="0" xfId="1" applyFont="1" applyAlignment="1"/>
    <xf numFmtId="9" fontId="45" fillId="0" borderId="4" xfId="1" applyFont="1" applyBorder="1" applyAlignment="1">
      <alignment horizontal="center"/>
    </xf>
    <xf numFmtId="9" fontId="45" fillId="0" borderId="12" xfId="1" applyFont="1" applyBorder="1" applyAlignment="1">
      <alignment horizontal="center"/>
    </xf>
    <xf numFmtId="165" fontId="33" fillId="0" borderId="0" xfId="1" applyNumberFormat="1" applyFont="1" applyAlignment="1">
      <alignment horizontal="center"/>
    </xf>
    <xf numFmtId="165" fontId="39" fillId="0" borderId="1" xfId="1" applyNumberFormat="1" applyFont="1" applyFill="1" applyBorder="1" applyAlignment="1">
      <alignment horizontal="center"/>
    </xf>
    <xf numFmtId="167" fontId="0" fillId="0" borderId="14" xfId="1" applyNumberFormat="1" applyFont="1" applyBorder="1" applyAlignment="1">
      <alignment horizontal="center"/>
    </xf>
    <xf numFmtId="3" fontId="0" fillId="0" borderId="4" xfId="1" applyNumberFormat="1" applyFont="1" applyBorder="1" applyAlignment="1">
      <alignment horizontal="center"/>
    </xf>
    <xf numFmtId="3" fontId="0" fillId="0" borderId="0" xfId="1" applyNumberFormat="1" applyFont="1" applyFill="1" applyAlignment="1">
      <alignment horizontal="center"/>
    </xf>
    <xf numFmtId="0" fontId="0" fillId="0" borderId="0" xfId="0" applyFont="1" applyBorder="1" applyAlignment="1">
      <alignment horizontal="center"/>
    </xf>
    <xf numFmtId="9" fontId="0" fillId="0" borderId="4" xfId="1" applyNumberFormat="1" applyFont="1" applyBorder="1" applyAlignment="1">
      <alignment horizontal="center"/>
    </xf>
    <xf numFmtId="0" fontId="43" fillId="0" borderId="0" xfId="0" applyFont="1" applyAlignment="1">
      <alignment horizontal="center" vertical="center" wrapText="1"/>
    </xf>
    <xf numFmtId="167" fontId="0" fillId="0" borderId="4" xfId="0" applyNumberFormat="1" applyFont="1" applyBorder="1"/>
    <xf numFmtId="167" fontId="45" fillId="0" borderId="12" xfId="1" applyNumberFormat="1" applyFont="1" applyBorder="1" applyAlignment="1">
      <alignment horizontal="center"/>
    </xf>
    <xf numFmtId="167" fontId="45" fillId="0" borderId="0" xfId="1" applyNumberFormat="1" applyFont="1" applyBorder="1" applyAlignment="1">
      <alignment horizontal="center"/>
    </xf>
    <xf numFmtId="167" fontId="0" fillId="0" borderId="1" xfId="0" applyNumberFormat="1" applyFont="1" applyBorder="1"/>
    <xf numFmtId="167" fontId="0" fillId="0" borderId="5" xfId="0" applyNumberFormat="1" applyFont="1" applyBorder="1"/>
    <xf numFmtId="167" fontId="39" fillId="0" borderId="0" xfId="1" applyNumberFormat="1" applyFont="1" applyAlignment="1">
      <alignment horizontal="center"/>
    </xf>
    <xf numFmtId="167" fontId="39" fillId="0" borderId="4" xfId="1" applyNumberFormat="1" applyFont="1" applyBorder="1" applyAlignment="1">
      <alignment horizontal="center"/>
    </xf>
    <xf numFmtId="167" fontId="39" fillId="0" borderId="0" xfId="1" applyNumberFormat="1" applyFont="1" applyFill="1" applyAlignment="1">
      <alignment horizontal="center"/>
    </xf>
    <xf numFmtId="165" fontId="39" fillId="0" borderId="0" xfId="0" applyNumberFormat="1" applyFont="1" applyAlignment="1">
      <alignment horizontal="left"/>
    </xf>
    <xf numFmtId="165" fontId="0" fillId="0" borderId="0" xfId="0" applyNumberFormat="1" applyFont="1" applyAlignment="1">
      <alignment horizontal="left"/>
    </xf>
    <xf numFmtId="167" fontId="39" fillId="0" borderId="0" xfId="1" applyNumberFormat="1" applyFont="1" applyBorder="1" applyAlignment="1">
      <alignment horizontal="center"/>
    </xf>
    <xf numFmtId="167" fontId="39" fillId="0" borderId="0" xfId="1" applyNumberFormat="1" applyFont="1" applyFill="1" applyBorder="1" applyAlignment="1">
      <alignment horizontal="center"/>
    </xf>
    <xf numFmtId="0" fontId="98" fillId="0" borderId="0" xfId="0" applyFont="1" applyAlignment="1">
      <alignment horizontal="center" vertical="center" wrapText="1"/>
    </xf>
    <xf numFmtId="0" fontId="97" fillId="0" borderId="0" xfId="0" applyFont="1" applyBorder="1" applyAlignment="1">
      <alignment horizontal="center" vertical="center" wrapText="1"/>
    </xf>
    <xf numFmtId="166" fontId="35" fillId="0" borderId="4" xfId="0" applyNumberFormat="1" applyFont="1" applyBorder="1" applyAlignment="1">
      <alignment horizontal="center"/>
    </xf>
    <xf numFmtId="165" fontId="39" fillId="0" borderId="0" xfId="1" applyNumberFormat="1" applyFont="1" applyBorder="1" applyAlignment="1">
      <alignment horizontal="center"/>
    </xf>
    <xf numFmtId="165" fontId="39" fillId="0" borderId="12" xfId="1" applyNumberFormat="1" applyFont="1" applyFill="1" applyBorder="1" applyAlignment="1">
      <alignment horizontal="center"/>
    </xf>
    <xf numFmtId="165" fontId="39" fillId="0" borderId="0" xfId="0" applyNumberFormat="1" applyFont="1" applyBorder="1" applyAlignment="1">
      <alignment horizontal="center"/>
    </xf>
    <xf numFmtId="165" fontId="39" fillId="0" borderId="4" xfId="0" applyNumberFormat="1" applyFont="1" applyBorder="1" applyAlignment="1">
      <alignment horizontal="center"/>
    </xf>
    <xf numFmtId="165" fontId="39" fillId="0" borderId="0" xfId="0" applyNumberFormat="1" applyFont="1" applyFill="1" applyBorder="1" applyAlignment="1">
      <alignment horizontal="center"/>
    </xf>
    <xf numFmtId="0" fontId="44" fillId="0" borderId="4" xfId="0" applyFont="1" applyBorder="1" applyAlignment="1">
      <alignment horizontal="center" vertical="center" wrapText="1"/>
    </xf>
    <xf numFmtId="0" fontId="0" fillId="0" borderId="4" xfId="0" applyFont="1" applyBorder="1" applyAlignment="1">
      <alignment horizontal="center" vertical="center" wrapText="1"/>
    </xf>
    <xf numFmtId="0" fontId="65" fillId="0" borderId="11" xfId="0" applyFont="1" applyBorder="1" applyAlignment="1">
      <alignment horizontal="center" vertical="center" wrapText="1"/>
    </xf>
    <xf numFmtId="0" fontId="44" fillId="0" borderId="5" xfId="0" applyFont="1" applyBorder="1" applyAlignment="1">
      <alignment horizontal="center" vertical="center" wrapText="1"/>
    </xf>
    <xf numFmtId="0" fontId="40" fillId="0" borderId="4" xfId="0" applyFont="1" applyBorder="1" applyAlignment="1">
      <alignment horizontal="center" vertical="center" wrapText="1"/>
    </xf>
    <xf numFmtId="0" fontId="65" fillId="0" borderId="4" xfId="0" applyFont="1" applyBorder="1" applyAlignment="1">
      <alignment horizontal="center" vertical="center" wrapText="1"/>
    </xf>
    <xf numFmtId="0" fontId="44" fillId="0" borderId="4" xfId="0" applyFont="1" applyBorder="1" applyAlignment="1">
      <alignment vertical="center" wrapText="1"/>
    </xf>
    <xf numFmtId="0" fontId="65" fillId="0" borderId="5" xfId="0" applyFont="1" applyBorder="1" applyAlignment="1">
      <alignment horizontal="center" vertical="center" wrapText="1"/>
    </xf>
    <xf numFmtId="165" fontId="0" fillId="0" borderId="0" xfId="1" applyNumberFormat="1" applyFont="1" applyAlignment="1">
      <alignment horizontal="center"/>
    </xf>
    <xf numFmtId="165" fontId="0" fillId="0" borderId="7" xfId="1" applyNumberFormat="1" applyFont="1" applyBorder="1" applyAlignment="1">
      <alignment horizontal="center"/>
    </xf>
    <xf numFmtId="166" fontId="0" fillId="0" borderId="0" xfId="0" applyNumberFormat="1" applyFont="1" applyAlignment="1">
      <alignment horizontal="center"/>
    </xf>
    <xf numFmtId="0" fontId="0" fillId="0" borderId="0" xfId="0" applyFont="1" applyAlignment="1">
      <alignment horizontal="center"/>
    </xf>
    <xf numFmtId="166" fontId="0" fillId="0" borderId="12" xfId="0" applyNumberFormat="1" applyFont="1" applyBorder="1" applyAlignment="1">
      <alignment horizontal="center"/>
    </xf>
    <xf numFmtId="0" fontId="0" fillId="0" borderId="12" xfId="0" applyFont="1" applyBorder="1" applyAlignment="1">
      <alignment horizontal="center"/>
    </xf>
    <xf numFmtId="166" fontId="0" fillId="0" borderId="0" xfId="0" applyNumberFormat="1" applyFont="1" applyBorder="1" applyAlignment="1">
      <alignment horizontal="center"/>
    </xf>
    <xf numFmtId="0" fontId="0" fillId="0" borderId="0" xfId="0" applyFont="1" applyBorder="1" applyAlignment="1">
      <alignment horizontal="center"/>
    </xf>
    <xf numFmtId="166" fontId="0" fillId="0" borderId="4" xfId="0" applyNumberFormat="1" applyFont="1" applyBorder="1" applyAlignment="1">
      <alignment horizontal="center"/>
    </xf>
    <xf numFmtId="0" fontId="0" fillId="0" borderId="4" xfId="0" applyFont="1" applyBorder="1" applyAlignment="1">
      <alignment horizontal="center"/>
    </xf>
    <xf numFmtId="165" fontId="0" fillId="0" borderId="12" xfId="1" applyNumberFormat="1" applyFont="1" applyBorder="1" applyAlignment="1">
      <alignment horizontal="center"/>
    </xf>
    <xf numFmtId="165" fontId="0" fillId="0" borderId="15" xfId="1" applyNumberFormat="1" applyFont="1" applyBorder="1" applyAlignment="1">
      <alignment horizontal="center"/>
    </xf>
    <xf numFmtId="165" fontId="0" fillId="0" borderId="0" xfId="1" applyNumberFormat="1" applyFont="1" applyBorder="1" applyAlignment="1">
      <alignment horizontal="center"/>
    </xf>
    <xf numFmtId="165" fontId="0" fillId="0" borderId="4" xfId="1" applyNumberFormat="1" applyFont="1" applyBorder="1" applyAlignment="1">
      <alignment horizontal="center"/>
    </xf>
    <xf numFmtId="165" fontId="0" fillId="0" borderId="8" xfId="1" applyNumberFormat="1" applyFont="1" applyBorder="1" applyAlignment="1">
      <alignment horizontal="center"/>
    </xf>
    <xf numFmtId="165" fontId="0" fillId="0" borderId="0" xfId="1" applyNumberFormat="1" applyFont="1" applyAlignment="1">
      <alignment horizontal="left"/>
    </xf>
    <xf numFmtId="166" fontId="0" fillId="0" borderId="0" xfId="0" applyNumberFormat="1" applyFont="1" applyAlignment="1">
      <alignment horizontal="center"/>
    </xf>
    <xf numFmtId="0" fontId="0" fillId="0" borderId="0" xfId="0" applyFont="1" applyAlignment="1">
      <alignment horizontal="center"/>
    </xf>
    <xf numFmtId="166" fontId="0" fillId="0" borderId="12" xfId="0" applyNumberFormat="1" applyFont="1" applyBorder="1" applyAlignment="1">
      <alignment horizontal="center"/>
    </xf>
    <xf numFmtId="166" fontId="0" fillId="0" borderId="0" xfId="0" applyNumberFormat="1" applyFont="1" applyBorder="1" applyAlignment="1">
      <alignment horizontal="center"/>
    </xf>
    <xf numFmtId="0" fontId="0" fillId="0" borderId="0" xfId="0" applyFont="1" applyBorder="1" applyAlignment="1">
      <alignment horizontal="center"/>
    </xf>
    <xf numFmtId="166" fontId="0" fillId="0" borderId="4" xfId="0" applyNumberFormat="1" applyFont="1" applyBorder="1" applyAlignment="1">
      <alignment horizontal="center"/>
    </xf>
    <xf numFmtId="0" fontId="40" fillId="0" borderId="0" xfId="2"/>
    <xf numFmtId="0" fontId="53" fillId="0" borderId="0" xfId="2" applyFont="1"/>
    <xf numFmtId="166" fontId="39" fillId="0" borderId="5" xfId="0" applyNumberFormat="1" applyFont="1" applyFill="1" applyBorder="1" applyAlignment="1">
      <alignment horizontal="center"/>
    </xf>
    <xf numFmtId="167" fontId="44" fillId="0" borderId="0" xfId="0" applyNumberFormat="1" applyFont="1" applyAlignment="1">
      <alignment horizontal="center" vertical="center" wrapText="1"/>
    </xf>
    <xf numFmtId="167" fontId="44" fillId="0" borderId="4" xfId="0" applyNumberFormat="1" applyFont="1" applyBorder="1" applyAlignment="1">
      <alignment horizontal="center" vertical="center" wrapText="1"/>
    </xf>
    <xf numFmtId="3" fontId="0" fillId="0" borderId="4" xfId="1" applyNumberFormat="1" applyFont="1" applyFill="1" applyBorder="1" applyAlignment="1">
      <alignment horizontal="center"/>
    </xf>
    <xf numFmtId="9" fontId="0" fillId="0" borderId="4" xfId="1" applyFont="1" applyFill="1" applyBorder="1" applyAlignment="1">
      <alignment horizontal="center"/>
    </xf>
    <xf numFmtId="0" fontId="45" fillId="0" borderId="0" xfId="0" applyFont="1" applyFill="1" applyAlignment="1">
      <alignment horizontal="center"/>
    </xf>
    <xf numFmtId="0" fontId="45" fillId="0" borderId="12" xfId="0" applyFont="1" applyFill="1" applyBorder="1" applyAlignment="1">
      <alignment horizontal="center"/>
    </xf>
    <xf numFmtId="0" fontId="0" fillId="0" borderId="12" xfId="0" applyFont="1" applyFill="1" applyBorder="1" applyAlignment="1">
      <alignment horizontal="center"/>
    </xf>
    <xf numFmtId="0" fontId="45" fillId="0" borderId="0" xfId="0" applyFont="1" applyFill="1" applyBorder="1" applyAlignment="1">
      <alignment horizontal="center"/>
    </xf>
    <xf numFmtId="0" fontId="45" fillId="0" borderId="4" xfId="0" applyFont="1" applyFill="1" applyBorder="1" applyAlignment="1">
      <alignment horizontal="center"/>
    </xf>
    <xf numFmtId="0" fontId="0" fillId="0" borderId="4" xfId="0" applyFont="1" applyFill="1" applyBorder="1" applyAlignment="1">
      <alignment horizontal="center"/>
    </xf>
    <xf numFmtId="167" fontId="36" fillId="0" borderId="0" xfId="1" applyNumberFormat="1" applyFont="1" applyBorder="1" applyAlignment="1">
      <alignment horizontal="center"/>
    </xf>
    <xf numFmtId="167" fontId="36" fillId="0" borderId="0" xfId="1" applyNumberFormat="1" applyFont="1" applyFill="1" applyBorder="1" applyAlignment="1">
      <alignment horizontal="center"/>
    </xf>
    <xf numFmtId="0" fontId="53" fillId="0" borderId="1" xfId="0" applyFont="1" applyBorder="1" applyAlignment="1">
      <alignment horizontal="center" vertical="center" wrapText="1"/>
    </xf>
    <xf numFmtId="167" fontId="36" fillId="0" borderId="4" xfId="1" applyNumberFormat="1" applyFont="1" applyFill="1" applyBorder="1" applyAlignment="1">
      <alignment horizontal="center"/>
    </xf>
    <xf numFmtId="167" fontId="32" fillId="0" borderId="4" xfId="1" applyNumberFormat="1" applyFont="1" applyFill="1" applyBorder="1" applyAlignment="1">
      <alignment horizontal="center"/>
    </xf>
    <xf numFmtId="167" fontId="39" fillId="0" borderId="12" xfId="0" applyNumberFormat="1" applyFont="1" applyBorder="1" applyAlignment="1">
      <alignment horizontal="center"/>
    </xf>
    <xf numFmtId="0" fontId="32" fillId="0" borderId="1" xfId="0" applyFont="1" applyBorder="1"/>
    <xf numFmtId="0" fontId="0" fillId="0" borderId="1" xfId="0" applyFont="1" applyFill="1" applyBorder="1"/>
    <xf numFmtId="0" fontId="0" fillId="0" borderId="5" xfId="0" applyFont="1" applyFill="1" applyBorder="1"/>
    <xf numFmtId="0" fontId="0" fillId="0" borderId="4" xfId="0" applyFont="1" applyFill="1" applyBorder="1"/>
    <xf numFmtId="167" fontId="0" fillId="0" borderId="1" xfId="0" applyNumberFormat="1" applyFont="1" applyFill="1" applyBorder="1" applyAlignment="1">
      <alignment horizontal="center"/>
    </xf>
    <xf numFmtId="166" fontId="39" fillId="0" borderId="0" xfId="0" applyNumberFormat="1" applyFont="1" applyFill="1" applyBorder="1" applyAlignment="1">
      <alignment horizontal="center"/>
    </xf>
    <xf numFmtId="167" fontId="0" fillId="0" borderId="14" xfId="0" applyNumberFormat="1" applyFont="1" applyFill="1" applyBorder="1" applyAlignment="1">
      <alignment horizontal="center"/>
    </xf>
    <xf numFmtId="3" fontId="0" fillId="0" borderId="12" xfId="0" applyNumberFormat="1" applyFont="1" applyFill="1" applyBorder="1" applyAlignment="1">
      <alignment horizontal="center"/>
    </xf>
    <xf numFmtId="167" fontId="0" fillId="0" borderId="12" xfId="0" applyNumberFormat="1" applyFont="1" applyFill="1" applyBorder="1" applyAlignment="1">
      <alignment horizontal="center"/>
    </xf>
    <xf numFmtId="166" fontId="39" fillId="0" borderId="12" xfId="0" applyNumberFormat="1" applyFont="1" applyFill="1" applyBorder="1" applyAlignment="1">
      <alignment horizontal="center"/>
    </xf>
    <xf numFmtId="167" fontId="32" fillId="0" borderId="0" xfId="0" applyNumberFormat="1" applyFont="1" applyFill="1" applyBorder="1" applyAlignment="1">
      <alignment horizontal="center"/>
    </xf>
    <xf numFmtId="167" fontId="0" fillId="0" borderId="5" xfId="0" applyNumberFormat="1" applyFont="1" applyFill="1" applyBorder="1" applyAlignment="1">
      <alignment horizontal="center"/>
    </xf>
    <xf numFmtId="167" fontId="32" fillId="0" borderId="4" xfId="0" applyNumberFormat="1" applyFont="1" applyFill="1" applyBorder="1" applyAlignment="1">
      <alignment horizontal="center"/>
    </xf>
    <xf numFmtId="166" fontId="39" fillId="0" borderId="4" xfId="0" applyNumberFormat="1" applyFont="1" applyFill="1" applyBorder="1" applyAlignment="1">
      <alignment horizontal="center"/>
    </xf>
    <xf numFmtId="165" fontId="0" fillId="0" borderId="0" xfId="1" applyNumberFormat="1" applyFont="1" applyAlignment="1">
      <alignment horizontal="center"/>
    </xf>
    <xf numFmtId="165" fontId="0" fillId="0" borderId="4" xfId="1" applyNumberFormat="1" applyFont="1" applyBorder="1" applyAlignment="1">
      <alignment horizontal="center"/>
    </xf>
    <xf numFmtId="0" fontId="40" fillId="0" borderId="0" xfId="2"/>
    <xf numFmtId="0" fontId="53" fillId="0" borderId="0" xfId="2" applyFont="1"/>
    <xf numFmtId="0" fontId="0" fillId="0" borderId="0" xfId="0" applyFont="1" applyAlignment="1">
      <alignment horizontal="center"/>
    </xf>
    <xf numFmtId="166" fontId="0" fillId="0" borderId="0" xfId="0" applyNumberFormat="1" applyFont="1" applyBorder="1" applyAlignment="1">
      <alignment horizontal="center"/>
    </xf>
    <xf numFmtId="0" fontId="0" fillId="0" borderId="0" xfId="0" applyFont="1" applyBorder="1" applyAlignment="1">
      <alignment horizontal="center"/>
    </xf>
    <xf numFmtId="0" fontId="40" fillId="0" borderId="0" xfId="2"/>
    <xf numFmtId="167" fontId="32" fillId="0" borderId="12" xfId="1" applyNumberFormat="1" applyFont="1" applyFill="1" applyBorder="1" applyAlignment="1">
      <alignment horizontal="center"/>
    </xf>
    <xf numFmtId="9" fontId="0" fillId="0" borderId="12" xfId="1" applyFont="1" applyFill="1" applyBorder="1" applyAlignment="1">
      <alignment horizontal="center"/>
    </xf>
    <xf numFmtId="167" fontId="32" fillId="0" borderId="0" xfId="1" applyNumberFormat="1" applyFont="1" applyFill="1" applyBorder="1" applyAlignment="1">
      <alignment horizontal="center"/>
    </xf>
    <xf numFmtId="0" fontId="53" fillId="0" borderId="0" xfId="0" applyFont="1" applyFill="1" applyAlignment="1">
      <alignment horizontal="center" vertical="center" wrapText="1"/>
    </xf>
    <xf numFmtId="167" fontId="0" fillId="0" borderId="5" xfId="0" applyNumberFormat="1" applyFont="1" applyBorder="1" applyAlignment="1">
      <alignment horizontal="center"/>
    </xf>
    <xf numFmtId="0" fontId="39" fillId="0" borderId="0" xfId="0" applyFont="1" applyFill="1" applyBorder="1" applyAlignment="1">
      <alignment horizontal="center" vertical="center" wrapText="1"/>
    </xf>
    <xf numFmtId="0" fontId="39" fillId="0" borderId="0" xfId="0" applyFont="1" applyFill="1" applyAlignment="1">
      <alignment horizontal="center" vertical="center" wrapText="1"/>
    </xf>
    <xf numFmtId="166" fontId="35" fillId="0" borderId="0" xfId="0" applyNumberFormat="1" applyFont="1" applyFill="1" applyBorder="1" applyAlignment="1">
      <alignment horizontal="center"/>
    </xf>
    <xf numFmtId="9" fontId="35" fillId="0" borderId="4" xfId="1" applyFont="1" applyBorder="1" applyAlignment="1">
      <alignment horizontal="center"/>
    </xf>
    <xf numFmtId="9" fontId="35" fillId="0" borderId="0" xfId="1" applyFont="1" applyFill="1" applyBorder="1" applyAlignment="1">
      <alignment horizontal="center"/>
    </xf>
    <xf numFmtId="166" fontId="35" fillId="0" borderId="12" xfId="0" applyNumberFormat="1" applyFont="1" applyBorder="1" applyAlignment="1">
      <alignment horizontal="center"/>
    </xf>
    <xf numFmtId="9" fontId="35" fillId="0" borderId="12" xfId="1" applyFont="1" applyBorder="1" applyAlignment="1">
      <alignment horizontal="center"/>
    </xf>
    <xf numFmtId="166" fontId="45" fillId="0" borderId="4" xfId="0" applyNumberFormat="1" applyFont="1" applyBorder="1" applyAlignment="1">
      <alignment horizontal="center"/>
    </xf>
    <xf numFmtId="0" fontId="0" fillId="0" borderId="0" xfId="0"/>
    <xf numFmtId="0" fontId="0" fillId="0" borderId="0" xfId="0"/>
    <xf numFmtId="167" fontId="0" fillId="0" borderId="0" xfId="0" applyNumberFormat="1" applyAlignment="1">
      <alignment horizontal="left"/>
    </xf>
    <xf numFmtId="167" fontId="0" fillId="0" borderId="0" xfId="0" applyNumberFormat="1" applyAlignment="1">
      <alignment horizontal="center"/>
    </xf>
    <xf numFmtId="0" fontId="0" fillId="39" borderId="0" xfId="0" applyFill="1"/>
    <xf numFmtId="0" fontId="0" fillId="0" borderId="0" xfId="0" applyAlignment="1">
      <alignment wrapText="1"/>
    </xf>
    <xf numFmtId="0" fontId="0" fillId="0" borderId="0" xfId="0" applyAlignment="1">
      <alignment horizontal="center" wrapText="1"/>
    </xf>
    <xf numFmtId="0" fontId="0" fillId="0" borderId="21" xfId="0" applyBorder="1" applyAlignment="1">
      <alignment horizontal="center" wrapText="1"/>
    </xf>
    <xf numFmtId="0" fontId="0" fillId="0" borderId="0" xfId="0" applyBorder="1"/>
    <xf numFmtId="167" fontId="0" fillId="0" borderId="0" xfId="0" applyNumberFormat="1" applyBorder="1" applyAlignment="1">
      <alignment horizontal="center"/>
    </xf>
    <xf numFmtId="0" fontId="0" fillId="39" borderId="0" xfId="0" applyFill="1" applyBorder="1"/>
    <xf numFmtId="167" fontId="0" fillId="39" borderId="0" xfId="0" applyNumberFormat="1" applyFill="1" applyBorder="1" applyAlignment="1">
      <alignment horizontal="center"/>
    </xf>
    <xf numFmtId="0" fontId="0" fillId="0" borderId="0" xfId="0" applyFill="1" applyBorder="1"/>
    <xf numFmtId="167" fontId="0" fillId="0" borderId="0" xfId="0" applyNumberFormat="1" applyFill="1" applyBorder="1" applyAlignment="1">
      <alignment horizontal="center"/>
    </xf>
    <xf numFmtId="0" fontId="43" fillId="0" borderId="0" xfId="0" applyFont="1" applyBorder="1"/>
    <xf numFmtId="0" fontId="0" fillId="0" borderId="49" xfId="0" applyBorder="1"/>
    <xf numFmtId="167" fontId="0" fillId="0" borderId="49" xfId="0" applyNumberFormat="1" applyBorder="1" applyAlignment="1">
      <alignment horizontal="center"/>
    </xf>
    <xf numFmtId="0" fontId="39" fillId="0" borderId="21" xfId="0" applyFont="1" applyBorder="1" applyAlignment="1">
      <alignment horizontal="center" vertical="center" wrapText="1"/>
    </xf>
    <xf numFmtId="167" fontId="0" fillId="0" borderId="22" xfId="0" applyNumberFormat="1" applyBorder="1" applyAlignment="1">
      <alignment horizontal="center"/>
    </xf>
    <xf numFmtId="0" fontId="0" fillId="0" borderId="21" xfId="0" applyFont="1" applyBorder="1" applyAlignment="1">
      <alignment horizontal="center" vertical="center" wrapText="1"/>
    </xf>
    <xf numFmtId="0" fontId="97" fillId="0" borderId="21" xfId="0" applyFont="1" applyBorder="1" applyAlignment="1">
      <alignment horizontal="center" vertical="center" wrapText="1"/>
    </xf>
    <xf numFmtId="0" fontId="99" fillId="0" borderId="21" xfId="0" applyFont="1" applyBorder="1" applyAlignment="1">
      <alignment horizontal="center" vertical="center" wrapText="1"/>
    </xf>
    <xf numFmtId="167" fontId="39" fillId="0" borderId="0" xfId="0" applyNumberFormat="1" applyFont="1" applyFill="1" applyBorder="1" applyAlignment="1">
      <alignment horizontal="center"/>
    </xf>
    <xf numFmtId="0" fontId="39" fillId="0" borderId="0" xfId="0" applyFont="1" applyFill="1" applyBorder="1"/>
    <xf numFmtId="0" fontId="0" fillId="0" borderId="0" xfId="0" applyAlignment="1">
      <alignment horizontal="left"/>
    </xf>
    <xf numFmtId="0" fontId="58" fillId="0" borderId="0" xfId="0" applyFont="1" applyBorder="1" applyAlignment="1">
      <alignment horizontal="center"/>
    </xf>
    <xf numFmtId="167" fontId="45" fillId="0" borderId="22" xfId="0" applyNumberFormat="1" applyFont="1" applyBorder="1" applyAlignment="1">
      <alignment horizontal="left"/>
    </xf>
    <xf numFmtId="167" fontId="45" fillId="0" borderId="0" xfId="0" applyNumberFormat="1" applyFont="1" applyBorder="1" applyAlignment="1">
      <alignment horizontal="left"/>
    </xf>
    <xf numFmtId="3" fontId="0" fillId="0" borderId="0" xfId="0" applyNumberFormat="1"/>
    <xf numFmtId="9" fontId="0" fillId="0" borderId="0" xfId="0" applyNumberFormat="1"/>
    <xf numFmtId="0" fontId="40" fillId="0" borderId="0" xfId="792"/>
    <xf numFmtId="0" fontId="103" fillId="0" borderId="0" xfId="792" applyFont="1" applyAlignment="1">
      <alignment horizontal="left"/>
    </xf>
    <xf numFmtId="171" fontId="104" fillId="7" borderId="16" xfId="792" applyNumberFormat="1" applyFont="1" applyFill="1" applyBorder="1" applyAlignment="1">
      <alignment horizontal="right"/>
    </xf>
    <xf numFmtId="0" fontId="105" fillId="40" borderId="16" xfId="792" applyFont="1" applyFill="1" applyBorder="1" applyAlignment="1">
      <alignment horizontal="center"/>
    </xf>
    <xf numFmtId="0" fontId="106" fillId="41" borderId="16" xfId="792" applyFont="1" applyFill="1" applyBorder="1" applyAlignment="1">
      <alignment vertical="top" wrapText="1"/>
    </xf>
    <xf numFmtId="171" fontId="104" fillId="0" borderId="16" xfId="792" applyNumberFormat="1" applyFont="1" applyBorder="1" applyAlignment="1">
      <alignment horizontal="right"/>
    </xf>
    <xf numFmtId="0" fontId="103" fillId="41" borderId="16" xfId="792" applyFont="1" applyFill="1" applyBorder="1" applyAlignment="1">
      <alignment vertical="top" wrapText="1"/>
    </xf>
    <xf numFmtId="0" fontId="107" fillId="41" borderId="16" xfId="792" applyFont="1" applyFill="1" applyBorder="1" applyAlignment="1">
      <alignment wrapText="1"/>
    </xf>
    <xf numFmtId="0" fontId="108" fillId="2" borderId="16" xfId="792" applyFont="1" applyFill="1" applyBorder="1" applyAlignment="1">
      <alignment horizontal="center" vertical="top" wrapText="1"/>
    </xf>
    <xf numFmtId="0" fontId="111" fillId="0" borderId="16" xfId="792" applyFont="1" applyBorder="1" applyAlignment="1">
      <alignment horizontal="left" wrapText="1"/>
    </xf>
    <xf numFmtId="0" fontId="104" fillId="0" borderId="16" xfId="792" applyFont="1" applyBorder="1"/>
    <xf numFmtId="0" fontId="104" fillId="0" borderId="16" xfId="792" applyNumberFormat="1" applyFont="1" applyBorder="1" applyAlignment="1">
      <alignment horizontal="right"/>
    </xf>
    <xf numFmtId="0" fontId="104" fillId="7" borderId="16" xfId="792" applyNumberFormat="1" applyFont="1" applyFill="1" applyBorder="1" applyAlignment="1">
      <alignment horizontal="right"/>
    </xf>
    <xf numFmtId="0" fontId="0" fillId="0" borderId="0" xfId="0"/>
    <xf numFmtId="0" fontId="0" fillId="0" borderId="0" xfId="0" applyAlignment="1">
      <alignment horizontal="center"/>
    </xf>
    <xf numFmtId="3" fontId="98" fillId="0" borderId="0" xfId="0" applyNumberFormat="1" applyFont="1" applyAlignment="1">
      <alignment horizontal="center"/>
    </xf>
    <xf numFmtId="0" fontId="0" fillId="0" borderId="0" xfId="0"/>
    <xf numFmtId="0" fontId="113" fillId="0" borderId="0" xfId="0" applyFont="1" applyBorder="1" applyAlignment="1">
      <alignment horizontal="center" vertical="center" wrapText="1"/>
    </xf>
    <xf numFmtId="0" fontId="44" fillId="0" borderId="0" xfId="0" applyFont="1" applyAlignment="1">
      <alignment wrapText="1"/>
    </xf>
    <xf numFmtId="0" fontId="115" fillId="0" borderId="0" xfId="0" applyFont="1" applyAlignment="1">
      <alignment horizontal="center" vertical="center" wrapText="1"/>
    </xf>
    <xf numFmtId="0" fontId="0" fillId="0" borderId="1" xfId="0" applyBorder="1"/>
    <xf numFmtId="3" fontId="0" fillId="0" borderId="1" xfId="0" applyNumberFormat="1" applyBorder="1" applyAlignment="1">
      <alignment horizontal="center"/>
    </xf>
    <xf numFmtId="9" fontId="39" fillId="0" borderId="1" xfId="1" applyFont="1" applyBorder="1" applyAlignment="1">
      <alignment horizontal="center"/>
    </xf>
    <xf numFmtId="0" fontId="113" fillId="0" borderId="0" xfId="0" applyFont="1" applyAlignment="1">
      <alignment horizontal="center" vertical="center" wrapText="1"/>
    </xf>
    <xf numFmtId="0" fontId="116" fillId="0" borderId="0" xfId="0" applyFont="1" applyAlignment="1">
      <alignment horizontal="center" vertical="center" wrapText="1"/>
    </xf>
    <xf numFmtId="3" fontId="112" fillId="0" borderId="1" xfId="0" applyNumberFormat="1" applyFont="1" applyBorder="1" applyAlignment="1">
      <alignment horizontal="center"/>
    </xf>
    <xf numFmtId="0" fontId="39" fillId="0" borderId="1" xfId="0" applyFont="1" applyBorder="1" applyAlignment="1"/>
    <xf numFmtId="0" fontId="0" fillId="0" borderId="7" xfId="0" applyBorder="1"/>
    <xf numFmtId="172" fontId="0" fillId="0" borderId="0" xfId="1" applyNumberFormat="1" applyFont="1" applyAlignment="1">
      <alignment horizontal="center"/>
    </xf>
    <xf numFmtId="3" fontId="39" fillId="0" borderId="0" xfId="1" applyNumberFormat="1" applyFont="1" applyAlignment="1">
      <alignment horizontal="center"/>
    </xf>
    <xf numFmtId="0" fontId="0" fillId="0" borderId="0" xfId="0" applyBorder="1" applyAlignment="1">
      <alignment horizontal="center" vertical="center" wrapText="1"/>
    </xf>
    <xf numFmtId="0" fontId="65" fillId="0" borderId="0" xfId="0" applyFont="1" applyBorder="1" applyAlignment="1">
      <alignment horizontal="center" vertical="center" wrapText="1"/>
    </xf>
    <xf numFmtId="0" fontId="112" fillId="0" borderId="1" xfId="0" applyFont="1" applyBorder="1" applyAlignment="1">
      <alignment horizontal="center" vertical="center" wrapText="1"/>
    </xf>
    <xf numFmtId="0" fontId="114" fillId="0" borderId="1" xfId="0" applyFont="1" applyBorder="1" applyAlignment="1">
      <alignment horizontal="center" vertical="center" wrapText="1"/>
    </xf>
    <xf numFmtId="0" fontId="115" fillId="0" borderId="1" xfId="0" applyFont="1" applyBorder="1" applyAlignment="1">
      <alignment horizontal="center" vertical="center" wrapText="1"/>
    </xf>
    <xf numFmtId="9" fontId="36" fillId="0" borderId="0" xfId="1" applyFont="1" applyBorder="1" applyAlignment="1">
      <alignment horizontal="center"/>
    </xf>
    <xf numFmtId="3" fontId="58" fillId="0" borderId="1" xfId="0" applyNumberFormat="1" applyFont="1" applyBorder="1" applyAlignment="1">
      <alignment horizontal="center"/>
    </xf>
    <xf numFmtId="9" fontId="58" fillId="0" borderId="0" xfId="1" applyFont="1" applyAlignment="1">
      <alignment horizontal="center"/>
    </xf>
    <xf numFmtId="0" fontId="65" fillId="0" borderId="1" xfId="0" applyFont="1" applyBorder="1" applyAlignment="1">
      <alignment horizontal="left" vertical="center"/>
    </xf>
    <xf numFmtId="0" fontId="0" fillId="0" borderId="0" xfId="0"/>
    <xf numFmtId="166" fontId="0" fillId="0" borderId="0" xfId="0" applyNumberFormat="1" applyFont="1" applyAlignment="1">
      <alignment horizontal="center"/>
    </xf>
    <xf numFmtId="0" fontId="0" fillId="0" borderId="0" xfId="0" applyFont="1" applyAlignment="1">
      <alignment horizontal="center"/>
    </xf>
    <xf numFmtId="165" fontId="0" fillId="0" borderId="0" xfId="1" applyNumberFormat="1" applyFont="1" applyBorder="1" applyAlignment="1">
      <alignment horizontal="center"/>
    </xf>
    <xf numFmtId="166" fontId="0" fillId="0" borderId="0" xfId="0" applyNumberFormat="1" applyFont="1" applyBorder="1" applyAlignment="1">
      <alignment horizontal="center"/>
    </xf>
    <xf numFmtId="165" fontId="0" fillId="0" borderId="0" xfId="1" applyNumberFormat="1" applyFont="1" applyAlignment="1">
      <alignment horizontal="center"/>
    </xf>
    <xf numFmtId="166" fontId="0" fillId="0" borderId="12" xfId="0" applyNumberFormat="1" applyFont="1" applyBorder="1" applyAlignment="1">
      <alignment horizontal="center"/>
    </xf>
    <xf numFmtId="9" fontId="0" fillId="0" borderId="0" xfId="0" applyNumberFormat="1" applyAlignment="1">
      <alignment horizontal="center"/>
    </xf>
    <xf numFmtId="0" fontId="0" fillId="0" borderId="0" xfId="0"/>
    <xf numFmtId="165" fontId="0" fillId="0" borderId="0" xfId="1" applyNumberFormat="1" applyFont="1" applyAlignment="1">
      <alignment horizontal="center"/>
    </xf>
    <xf numFmtId="166" fontId="0" fillId="0" borderId="0" xfId="0" applyNumberFormat="1" applyFont="1" applyBorder="1" applyAlignment="1">
      <alignment horizontal="center"/>
    </xf>
    <xf numFmtId="0" fontId="0" fillId="0" borderId="0" xfId="0" applyFont="1" applyBorder="1" applyAlignment="1">
      <alignment horizontal="center"/>
    </xf>
    <xf numFmtId="165" fontId="0" fillId="0" borderId="0" xfId="1" applyNumberFormat="1" applyFont="1" applyBorder="1" applyAlignment="1">
      <alignment horizontal="center"/>
    </xf>
    <xf numFmtId="0" fontId="0" fillId="0" borderId="4" xfId="0" applyFont="1" applyBorder="1" applyAlignment="1">
      <alignment horizontal="center"/>
    </xf>
    <xf numFmtId="165" fontId="0" fillId="0" borderId="4" xfId="1" applyNumberFormat="1" applyFont="1" applyBorder="1" applyAlignment="1">
      <alignment horizontal="center"/>
    </xf>
    <xf numFmtId="9" fontId="36" fillId="0" borderId="0" xfId="1" applyFont="1" applyAlignment="1">
      <alignment horizontal="center"/>
    </xf>
    <xf numFmtId="172" fontId="0" fillId="0" borderId="7" xfId="1" applyNumberFormat="1" applyFont="1" applyBorder="1" applyAlignment="1">
      <alignment horizontal="center"/>
    </xf>
    <xf numFmtId="3" fontId="39" fillId="0" borderId="0" xfId="0" applyNumberFormat="1" applyFont="1" applyAlignment="1">
      <alignment horizontal="center" vertical="center" wrapText="1"/>
    </xf>
    <xf numFmtId="3" fontId="58" fillId="0" borderId="0" xfId="0" applyNumberFormat="1" applyFont="1" applyAlignment="1">
      <alignment horizontal="center"/>
    </xf>
    <xf numFmtId="0" fontId="0" fillId="0" borderId="1" xfId="0" applyBorder="1" applyAlignment="1">
      <alignment horizontal="center" vertical="center" wrapText="1"/>
    </xf>
    <xf numFmtId="3" fontId="0" fillId="0" borderId="1" xfId="0" applyNumberFormat="1" applyBorder="1"/>
    <xf numFmtId="0" fontId="0" fillId="0" borderId="1" xfId="0" applyBorder="1" applyAlignment="1">
      <alignment horizontal="center"/>
    </xf>
    <xf numFmtId="9" fontId="39" fillId="0" borderId="0" xfId="0" applyNumberFormat="1" applyFont="1"/>
    <xf numFmtId="165" fontId="0" fillId="0" borderId="0" xfId="0" applyNumberFormat="1"/>
    <xf numFmtId="165" fontId="0" fillId="0" borderId="0" xfId="0" applyNumberFormat="1" applyAlignment="1">
      <alignment horizontal="center"/>
    </xf>
    <xf numFmtId="166" fontId="0" fillId="0" borderId="0" xfId="0" applyNumberFormat="1" applyBorder="1" applyAlignment="1">
      <alignment horizontal="center"/>
    </xf>
    <xf numFmtId="166" fontId="0" fillId="0" borderId="0" xfId="0" applyNumberFormat="1"/>
    <xf numFmtId="3" fontId="45" fillId="0" borderId="0" xfId="0" applyNumberFormat="1" applyFont="1"/>
    <xf numFmtId="0" fontId="0" fillId="0" borderId="0" xfId="0"/>
    <xf numFmtId="3" fontId="66" fillId="0" borderId="1" xfId="0" applyNumberFormat="1" applyFont="1" applyBorder="1" applyAlignment="1">
      <alignment horizontal="center"/>
    </xf>
    <xf numFmtId="9" fontId="66" fillId="0" borderId="0" xfId="1" applyFont="1" applyAlignment="1">
      <alignment horizontal="center"/>
    </xf>
    <xf numFmtId="0" fontId="0" fillId="0" borderId="0" xfId="0" applyAlignment="1"/>
    <xf numFmtId="172" fontId="45" fillId="0" borderId="0" xfId="1" applyNumberFormat="1" applyFont="1" applyAlignment="1">
      <alignment horizontal="center"/>
    </xf>
    <xf numFmtId="165" fontId="58" fillId="0" borderId="0" xfId="1" applyNumberFormat="1" applyFont="1" applyAlignment="1">
      <alignment horizontal="center"/>
    </xf>
    <xf numFmtId="165" fontId="44" fillId="0" borderId="0" xfId="1" applyNumberFormat="1" applyFont="1" applyAlignment="1">
      <alignment horizontal="center" vertical="center" wrapText="1"/>
    </xf>
    <xf numFmtId="0" fontId="116" fillId="0" borderId="1" xfId="0" applyFont="1" applyBorder="1" applyAlignment="1">
      <alignment horizontal="center" vertical="center" wrapText="1"/>
    </xf>
    <xf numFmtId="165" fontId="36" fillId="0" borderId="1" xfId="1" applyNumberFormat="1" applyFont="1" applyBorder="1" applyAlignment="1">
      <alignment horizontal="center"/>
    </xf>
    <xf numFmtId="165" fontId="45" fillId="0" borderId="1" xfId="1" applyNumberFormat="1" applyFont="1" applyBorder="1" applyAlignment="1">
      <alignment horizontal="center"/>
    </xf>
    <xf numFmtId="9" fontId="58" fillId="0" borderId="0" xfId="1" applyNumberFormat="1" applyFont="1" applyAlignment="1">
      <alignment horizontal="center"/>
    </xf>
    <xf numFmtId="4" fontId="39" fillId="0" borderId="1" xfId="0" applyNumberFormat="1" applyFont="1" applyBorder="1" applyAlignment="1">
      <alignment horizontal="center"/>
    </xf>
    <xf numFmtId="4" fontId="39" fillId="0" borderId="14" xfId="0" applyNumberFormat="1" applyFont="1" applyBorder="1" applyAlignment="1">
      <alignment horizontal="center"/>
    </xf>
    <xf numFmtId="4" fontId="39" fillId="0" borderId="5" xfId="0" applyNumberFormat="1" applyFont="1" applyBorder="1" applyAlignment="1">
      <alignment horizontal="center"/>
    </xf>
    <xf numFmtId="167" fontId="0" fillId="0" borderId="0" xfId="0" applyNumberFormat="1"/>
    <xf numFmtId="0" fontId="0" fillId="0" borderId="8" xfId="0" applyFont="1" applyBorder="1"/>
    <xf numFmtId="9" fontId="36" fillId="0" borderId="0" xfId="1" applyFont="1" applyFill="1" applyBorder="1" applyAlignment="1">
      <alignment horizontal="center"/>
    </xf>
    <xf numFmtId="9" fontId="45" fillId="0" borderId="0" xfId="1" applyFont="1" applyFill="1" applyBorder="1" applyAlignment="1">
      <alignment horizontal="center"/>
    </xf>
    <xf numFmtId="0" fontId="44" fillId="0" borderId="0" xfId="0" applyFont="1" applyAlignment="1">
      <alignment horizontal="left" vertical="center"/>
    </xf>
    <xf numFmtId="3" fontId="39" fillId="39" borderId="1" xfId="0" applyNumberFormat="1" applyFont="1" applyFill="1" applyBorder="1" applyAlignment="1">
      <alignment horizontal="center"/>
    </xf>
    <xf numFmtId="3" fontId="0" fillId="0" borderId="0" xfId="0" applyNumberFormat="1" applyFill="1" applyAlignment="1">
      <alignment horizontal="center"/>
    </xf>
    <xf numFmtId="9" fontId="45" fillId="0" borderId="0" xfId="1" applyFont="1" applyFill="1" applyAlignment="1">
      <alignment horizontal="center"/>
    </xf>
    <xf numFmtId="9" fontId="66" fillId="0" borderId="0" xfId="1" applyFont="1" applyFill="1" applyAlignment="1">
      <alignment horizontal="center"/>
    </xf>
    <xf numFmtId="165" fontId="45" fillId="0" borderId="0" xfId="1" applyNumberFormat="1" applyFont="1" applyFill="1" applyAlignment="1">
      <alignment horizontal="center"/>
    </xf>
    <xf numFmtId="3" fontId="58" fillId="39" borderId="1" xfId="0" applyNumberFormat="1" applyFont="1" applyFill="1" applyBorder="1" applyAlignment="1">
      <alignment horizontal="center"/>
    </xf>
    <xf numFmtId="0" fontId="0" fillId="0" borderId="0" xfId="0"/>
    <xf numFmtId="165" fontId="0" fillId="0" borderId="0" xfId="1" applyNumberFormat="1" applyFont="1" applyAlignment="1">
      <alignment horizontal="center"/>
    </xf>
    <xf numFmtId="0" fontId="0" fillId="0" borderId="0" xfId="0"/>
    <xf numFmtId="9" fontId="58" fillId="0" borderId="0" xfId="1" applyFont="1" applyFill="1" applyAlignment="1">
      <alignment horizontal="center"/>
    </xf>
    <xf numFmtId="0" fontId="117" fillId="0" borderId="0" xfId="0" applyFont="1" applyAlignment="1">
      <alignment horizontal="center" vertical="center" wrapText="1"/>
    </xf>
    <xf numFmtId="0" fontId="0" fillId="0" borderId="0" xfId="0" applyFill="1"/>
    <xf numFmtId="0" fontId="117" fillId="0" borderId="0" xfId="0" applyFont="1" applyFill="1" applyAlignment="1">
      <alignment horizontal="center" vertical="center" wrapText="1"/>
    </xf>
    <xf numFmtId="0" fontId="44" fillId="0" borderId="0" xfId="0" applyFont="1" applyFill="1" applyAlignment="1">
      <alignment horizontal="center" vertical="center" wrapText="1"/>
    </xf>
    <xf numFmtId="9" fontId="45" fillId="0" borderId="0" xfId="1" applyNumberFormat="1" applyFont="1" applyAlignment="1">
      <alignment horizontal="center"/>
    </xf>
    <xf numFmtId="10" fontId="0" fillId="0" borderId="0" xfId="1" applyNumberFormat="1" applyFont="1" applyAlignment="1">
      <alignment horizontal="center"/>
    </xf>
    <xf numFmtId="0" fontId="43" fillId="0" borderId="0" xfId="0" applyFont="1" applyFill="1" applyAlignment="1">
      <alignment horizontal="center" vertical="center" wrapText="1"/>
    </xf>
    <xf numFmtId="0" fontId="0" fillId="0" borderId="0" xfId="0"/>
    <xf numFmtId="171" fontId="118" fillId="7" borderId="16" xfId="792" applyNumberFormat="1" applyFont="1" applyFill="1" applyBorder="1" applyAlignment="1">
      <alignment horizontal="right"/>
    </xf>
    <xf numFmtId="0" fontId="0" fillId="0" borderId="0" xfId="0"/>
    <xf numFmtId="0" fontId="0" fillId="0" borderId="0" xfId="0" applyFont="1" applyAlignment="1">
      <alignment horizontal="center"/>
    </xf>
    <xf numFmtId="3" fontId="0" fillId="0" borderId="0" xfId="0" applyNumberFormat="1" applyAlignment="1">
      <alignment horizontal="right"/>
    </xf>
    <xf numFmtId="0" fontId="43" fillId="0" borderId="0" xfId="0" applyFont="1"/>
    <xf numFmtId="165" fontId="0" fillId="0" borderId="0" xfId="1" applyNumberFormat="1" applyFont="1" applyAlignment="1">
      <alignment horizontal="center"/>
    </xf>
    <xf numFmtId="0" fontId="0" fillId="0" borderId="0" xfId="0" applyFont="1" applyAlignment="1">
      <alignment horizontal="center"/>
    </xf>
    <xf numFmtId="165" fontId="0" fillId="0" borderId="4" xfId="1" applyNumberFormat="1" applyFont="1" applyBorder="1" applyAlignment="1">
      <alignment horizontal="center"/>
    </xf>
    <xf numFmtId="3" fontId="45" fillId="0" borderId="0" xfId="1" applyNumberFormat="1" applyFont="1" applyAlignment="1">
      <alignment horizontal="center"/>
    </xf>
    <xf numFmtId="10" fontId="0" fillId="0" borderId="4" xfId="1" applyNumberFormat="1" applyFont="1" applyBorder="1" applyAlignment="1">
      <alignment horizontal="center"/>
    </xf>
    <xf numFmtId="9" fontId="0" fillId="0" borderId="25" xfId="1" applyFont="1" applyBorder="1" applyAlignment="1">
      <alignment horizontal="center"/>
    </xf>
    <xf numFmtId="10" fontId="0" fillId="0" borderId="25" xfId="1" applyNumberFormat="1" applyFont="1" applyBorder="1" applyAlignment="1">
      <alignment horizontal="center"/>
    </xf>
    <xf numFmtId="0" fontId="0" fillId="0" borderId="0" xfId="0" applyFont="1" applyAlignment="1">
      <alignment wrapText="1"/>
    </xf>
    <xf numFmtId="9" fontId="0" fillId="0" borderId="0" xfId="0" applyNumberFormat="1" applyBorder="1"/>
    <xf numFmtId="166" fontId="0" fillId="0" borderId="0" xfId="0" applyNumberFormat="1" applyFont="1" applyAlignment="1">
      <alignment horizontal="center"/>
    </xf>
    <xf numFmtId="166" fontId="45" fillId="0" borderId="0" xfId="0" applyNumberFormat="1" applyFont="1" applyFill="1" applyAlignment="1">
      <alignment horizontal="center"/>
    </xf>
    <xf numFmtId="0" fontId="40" fillId="0" borderId="0" xfId="2"/>
    <xf numFmtId="9" fontId="39" fillId="0" borderId="0" xfId="1" applyFont="1" applyBorder="1" applyAlignment="1">
      <alignment horizontal="left"/>
    </xf>
    <xf numFmtId="0" fontId="0" fillId="0" borderId="0" xfId="0"/>
    <xf numFmtId="0" fontId="0" fillId="0" borderId="0" xfId="0" applyFont="1" applyAlignment="1">
      <alignment horizontal="center"/>
    </xf>
    <xf numFmtId="166" fontId="0" fillId="0" borderId="4" xfId="0" applyNumberFormat="1" applyFont="1" applyBorder="1" applyAlignment="1">
      <alignment horizontal="center"/>
    </xf>
    <xf numFmtId="166" fontId="0" fillId="0" borderId="0" xfId="0" applyNumberFormat="1" applyFont="1" applyBorder="1" applyAlignment="1">
      <alignment horizontal="center"/>
    </xf>
    <xf numFmtId="0" fontId="0" fillId="0" borderId="0" xfId="0" applyFont="1" applyBorder="1" applyAlignment="1">
      <alignment horizontal="center"/>
    </xf>
    <xf numFmtId="165" fontId="0" fillId="0" borderId="0" xfId="1" applyNumberFormat="1" applyFont="1" applyAlignment="1">
      <alignment horizontal="center"/>
    </xf>
    <xf numFmtId="0" fontId="40" fillId="0" borderId="0" xfId="0" applyFont="1" applyBorder="1" applyAlignment="1">
      <alignment horizontal="center" vertical="center" wrapText="1"/>
    </xf>
    <xf numFmtId="166" fontId="0" fillId="0" borderId="0" xfId="0" applyNumberFormat="1" applyFont="1" applyAlignment="1">
      <alignment horizontal="center"/>
    </xf>
    <xf numFmtId="0" fontId="0" fillId="0" borderId="0" xfId="0" applyFont="1" applyAlignment="1">
      <alignment horizontal="center"/>
    </xf>
    <xf numFmtId="166" fontId="0" fillId="0" borderId="12" xfId="0" applyNumberFormat="1" applyFont="1" applyBorder="1" applyAlignment="1">
      <alignment horizontal="center"/>
    </xf>
    <xf numFmtId="166" fontId="0" fillId="0" borderId="0" xfId="0" applyNumberFormat="1" applyFont="1" applyBorder="1" applyAlignment="1">
      <alignment horizontal="center"/>
    </xf>
    <xf numFmtId="0" fontId="0" fillId="0" borderId="0" xfId="0" applyFont="1" applyBorder="1" applyAlignment="1">
      <alignment horizontal="center"/>
    </xf>
    <xf numFmtId="165" fontId="0" fillId="0" borderId="0" xfId="1" applyNumberFormat="1" applyFont="1" applyBorder="1" applyAlignment="1">
      <alignment horizontal="center"/>
    </xf>
    <xf numFmtId="166" fontId="0" fillId="0" borderId="4" xfId="0" applyNumberFormat="1" applyFont="1" applyBorder="1" applyAlignment="1">
      <alignment horizontal="center"/>
    </xf>
    <xf numFmtId="0" fontId="0" fillId="0" borderId="4" xfId="0" applyFont="1" applyBorder="1" applyAlignment="1">
      <alignment horizontal="center"/>
    </xf>
    <xf numFmtId="165" fontId="0" fillId="0" borderId="4" xfId="1" applyNumberFormat="1" applyFont="1" applyBorder="1" applyAlignment="1">
      <alignment horizontal="center"/>
    </xf>
    <xf numFmtId="165" fontId="0" fillId="0" borderId="12" xfId="1" applyNumberFormat="1" applyFont="1" applyBorder="1" applyAlignment="1">
      <alignment horizontal="center"/>
    </xf>
    <xf numFmtId="0" fontId="77" fillId="7" borderId="7" xfId="0" quotePrefix="1" applyFont="1" applyFill="1" applyBorder="1" applyAlignment="1">
      <alignment horizontal="center"/>
    </xf>
    <xf numFmtId="3" fontId="77" fillId="7" borderId="10" xfId="0" applyNumberFormat="1" applyFont="1" applyFill="1" applyBorder="1"/>
    <xf numFmtId="3" fontId="77" fillId="7" borderId="1" xfId="0" applyNumberFormat="1" applyFont="1" applyFill="1" applyBorder="1"/>
    <xf numFmtId="166" fontId="79" fillId="7" borderId="10" xfId="0" applyNumberFormat="1" applyFont="1" applyFill="1" applyBorder="1"/>
    <xf numFmtId="166" fontId="77" fillId="7" borderId="0" xfId="0" applyNumberFormat="1" applyFont="1" applyFill="1"/>
    <xf numFmtId="0" fontId="77" fillId="7" borderId="7" xfId="0" applyFont="1" applyFill="1" applyBorder="1" applyAlignment="1">
      <alignment horizontal="center"/>
    </xf>
    <xf numFmtId="166" fontId="77" fillId="7" borderId="10" xfId="0" applyNumberFormat="1" applyFont="1" applyFill="1" applyBorder="1"/>
    <xf numFmtId="166" fontId="77" fillId="7" borderId="1" xfId="0" applyNumberFormat="1" applyFont="1" applyFill="1" applyBorder="1"/>
    <xf numFmtId="3" fontId="40" fillId="0" borderId="0" xfId="0" applyNumberFormat="1" applyFont="1"/>
    <xf numFmtId="0" fontId="76" fillId="0" borderId="0" xfId="0" applyFont="1" applyAlignment="1">
      <alignment horizontal="center" vertical="center" wrapText="1"/>
    </xf>
    <xf numFmtId="0" fontId="48" fillId="0" borderId="0" xfId="0" applyFont="1" applyBorder="1" applyAlignment="1">
      <alignment horizontal="center" vertical="center" wrapText="1"/>
    </xf>
    <xf numFmtId="0" fontId="48" fillId="0" borderId="4" xfId="0" applyFont="1" applyBorder="1" applyAlignment="1">
      <alignment horizontal="center" vertical="center" wrapText="1"/>
    </xf>
    <xf numFmtId="0" fontId="66" fillId="0" borderId="4" xfId="0" applyFont="1" applyBorder="1" applyAlignment="1">
      <alignment horizontal="center"/>
    </xf>
    <xf numFmtId="0" fontId="66" fillId="0" borderId="0" xfId="0" applyFont="1" applyBorder="1" applyAlignment="1">
      <alignment horizontal="center"/>
    </xf>
    <xf numFmtId="166" fontId="66" fillId="0" borderId="0" xfId="0" applyNumberFormat="1" applyFont="1" applyBorder="1" applyAlignment="1">
      <alignment horizontal="center"/>
    </xf>
    <xf numFmtId="166" fontId="66" fillId="0" borderId="4" xfId="0" applyNumberFormat="1" applyFont="1" applyBorder="1" applyAlignment="1">
      <alignment horizontal="center"/>
    </xf>
    <xf numFmtId="166" fontId="66" fillId="0" borderId="0" xfId="0" applyNumberFormat="1" applyFont="1" applyFill="1" applyBorder="1" applyAlignment="1">
      <alignment horizontal="center"/>
    </xf>
    <xf numFmtId="0" fontId="48" fillId="0" borderId="1" xfId="0" applyFont="1" applyBorder="1" applyAlignment="1">
      <alignment horizontal="center" vertical="center" wrapText="1"/>
    </xf>
    <xf numFmtId="0" fontId="48" fillId="0" borderId="5" xfId="0" applyFont="1" applyBorder="1" applyAlignment="1">
      <alignment horizontal="center" vertical="center" wrapText="1"/>
    </xf>
    <xf numFmtId="0" fontId="66" fillId="0" borderId="5" xfId="0" applyFont="1" applyBorder="1" applyAlignment="1">
      <alignment horizontal="center"/>
    </xf>
    <xf numFmtId="0" fontId="66" fillId="0" borderId="1" xfId="0" applyFont="1" applyBorder="1" applyAlignment="1">
      <alignment horizontal="center"/>
    </xf>
    <xf numFmtId="166" fontId="66" fillId="0" borderId="1" xfId="0" applyNumberFormat="1" applyFont="1" applyBorder="1" applyAlignment="1">
      <alignment horizontal="center"/>
    </xf>
    <xf numFmtId="166" fontId="66" fillId="0" borderId="5" xfId="0" applyNumberFormat="1" applyFont="1" applyBorder="1" applyAlignment="1">
      <alignment horizontal="center"/>
    </xf>
    <xf numFmtId="166" fontId="66" fillId="0" borderId="1" xfId="0" applyNumberFormat="1" applyFont="1" applyFill="1" applyBorder="1" applyAlignment="1">
      <alignment horizontal="center"/>
    </xf>
    <xf numFmtId="0" fontId="58" fillId="0" borderId="1" xfId="0" applyFont="1" applyBorder="1" applyAlignment="1">
      <alignment horizontal="center"/>
    </xf>
    <xf numFmtId="0" fontId="45" fillId="0" borderId="1" xfId="0" applyFont="1" applyBorder="1"/>
    <xf numFmtId="0" fontId="40" fillId="0" borderId="1" xfId="0" applyFont="1" applyBorder="1" applyAlignment="1">
      <alignment horizontal="center" vertical="center" wrapText="1"/>
    </xf>
    <xf numFmtId="166" fontId="58" fillId="0" borderId="0" xfId="0" applyNumberFormat="1" applyFont="1" applyBorder="1" applyAlignment="1">
      <alignment horizontal="center"/>
    </xf>
    <xf numFmtId="166" fontId="66" fillId="0" borderId="12" xfId="0" applyNumberFormat="1" applyFont="1" applyBorder="1" applyAlignment="1">
      <alignment horizontal="center"/>
    </xf>
    <xf numFmtId="166" fontId="39" fillId="0" borderId="0" xfId="0" applyNumberFormat="1" applyFont="1" applyAlignment="1">
      <alignment horizontal="center"/>
    </xf>
    <xf numFmtId="166" fontId="39" fillId="0" borderId="0" xfId="0" applyNumberFormat="1" applyFont="1" applyFill="1" applyAlignment="1">
      <alignment horizontal="center"/>
    </xf>
    <xf numFmtId="0" fontId="39" fillId="0" borderId="0" xfId="0" applyFont="1" applyBorder="1" applyAlignment="1"/>
    <xf numFmtId="3" fontId="58" fillId="0" borderId="0" xfId="0" applyNumberFormat="1" applyFont="1" applyBorder="1" applyAlignment="1">
      <alignment horizontal="center"/>
    </xf>
    <xf numFmtId="165" fontId="58" fillId="0" borderId="1" xfId="1" applyNumberFormat="1" applyFont="1" applyBorder="1" applyAlignment="1">
      <alignment horizontal="center"/>
    </xf>
    <xf numFmtId="165" fontId="0" fillId="0" borderId="1" xfId="1" applyNumberFormat="1" applyFont="1" applyBorder="1" applyAlignment="1">
      <alignment horizontal="center"/>
    </xf>
    <xf numFmtId="9" fontId="36" fillId="0" borderId="4" xfId="1" applyFont="1" applyBorder="1" applyAlignment="1">
      <alignment horizontal="center"/>
    </xf>
    <xf numFmtId="166" fontId="119" fillId="0" borderId="0" xfId="0" applyNumberFormat="1" applyFont="1" applyFill="1" applyBorder="1" applyAlignment="1">
      <alignment horizontal="center"/>
    </xf>
    <xf numFmtId="166" fontId="0" fillId="0" borderId="0" xfId="0" applyNumberFormat="1" applyFont="1" applyAlignment="1">
      <alignment horizontal="center"/>
    </xf>
    <xf numFmtId="0" fontId="0" fillId="0" borderId="0" xfId="0" applyFont="1" applyAlignment="1">
      <alignment horizontal="center"/>
    </xf>
    <xf numFmtId="166" fontId="0" fillId="0" borderId="4" xfId="0" applyNumberFormat="1" applyFont="1" applyBorder="1" applyAlignment="1">
      <alignment horizontal="center"/>
    </xf>
    <xf numFmtId="166" fontId="0" fillId="0" borderId="12" xfId="0" applyNumberFormat="1" applyFont="1" applyBorder="1" applyAlignment="1">
      <alignment horizontal="center"/>
    </xf>
    <xf numFmtId="0" fontId="0" fillId="0" borderId="0" xfId="0"/>
    <xf numFmtId="0" fontId="40" fillId="0" borderId="0" xfId="792"/>
    <xf numFmtId="167" fontId="39" fillId="0" borderId="12" xfId="1" applyNumberFormat="1" applyFont="1" applyBorder="1" applyAlignment="1">
      <alignment horizontal="center"/>
    </xf>
    <xf numFmtId="165" fontId="0" fillId="0" borderId="14" xfId="1" applyNumberFormat="1" applyFont="1" applyBorder="1" applyAlignment="1">
      <alignment horizontal="center"/>
    </xf>
    <xf numFmtId="165" fontId="0" fillId="0" borderId="5" xfId="1" applyNumberFormat="1" applyFont="1" applyBorder="1" applyAlignment="1">
      <alignment horizontal="center"/>
    </xf>
    <xf numFmtId="165" fontId="0" fillId="0" borderId="1" xfId="1" applyNumberFormat="1" applyFont="1" applyFill="1" applyBorder="1" applyAlignment="1">
      <alignment horizontal="center"/>
    </xf>
    <xf numFmtId="0" fontId="0" fillId="0" borderId="1" xfId="0" applyFont="1" applyBorder="1" applyAlignment="1">
      <alignment horizontal="left"/>
    </xf>
    <xf numFmtId="0" fontId="0" fillId="0" borderId="0" xfId="0" applyFont="1" applyBorder="1" applyAlignment="1">
      <alignment horizontal="left"/>
    </xf>
    <xf numFmtId="167" fontId="45" fillId="0" borderId="12" xfId="0" applyNumberFormat="1" applyFont="1" applyBorder="1" applyAlignment="1">
      <alignment horizontal="center"/>
    </xf>
    <xf numFmtId="167" fontId="45" fillId="0" borderId="0" xfId="0" applyNumberFormat="1" applyFont="1" applyBorder="1" applyAlignment="1">
      <alignment horizontal="center"/>
    </xf>
    <xf numFmtId="167" fontId="45" fillId="0" borderId="4" xfId="0" applyNumberFormat="1" applyFont="1" applyBorder="1" applyAlignment="1">
      <alignment horizontal="center"/>
    </xf>
    <xf numFmtId="166" fontId="45" fillId="0" borderId="12" xfId="0" applyNumberFormat="1" applyFont="1" applyBorder="1" applyAlignment="1">
      <alignment horizontal="center"/>
    </xf>
    <xf numFmtId="9" fontId="32" fillId="0" borderId="8" xfId="1" applyFont="1" applyBorder="1" applyAlignment="1">
      <alignment horizontal="center"/>
    </xf>
    <xf numFmtId="172" fontId="0" fillId="0" borderId="0" xfId="0" applyNumberFormat="1" applyFont="1" applyAlignment="1">
      <alignment horizontal="center"/>
    </xf>
    <xf numFmtId="166" fontId="58" fillId="0" borderId="1" xfId="0" applyNumberFormat="1" applyFont="1" applyBorder="1" applyAlignment="1">
      <alignment horizontal="center"/>
    </xf>
    <xf numFmtId="167" fontId="58" fillId="0" borderId="14" xfId="0" applyNumberFormat="1" applyFont="1" applyBorder="1" applyAlignment="1">
      <alignment horizontal="center"/>
    </xf>
    <xf numFmtId="167" fontId="58" fillId="0" borderId="5" xfId="0" applyNumberFormat="1" applyFont="1" applyBorder="1" applyAlignment="1">
      <alignment horizontal="center"/>
    </xf>
    <xf numFmtId="0" fontId="0" fillId="0" borderId="14" xfId="0" applyFont="1" applyBorder="1"/>
    <xf numFmtId="0" fontId="48" fillId="0" borderId="0" xfId="792" applyFont="1"/>
    <xf numFmtId="9" fontId="30" fillId="0" borderId="0" xfId="1" applyFont="1" applyAlignment="1">
      <alignment horizontal="center"/>
    </xf>
    <xf numFmtId="3" fontId="39" fillId="0" borderId="1" xfId="0" applyNumberFormat="1" applyFont="1" applyBorder="1" applyAlignment="1">
      <alignment horizontal="center" vertical="center" wrapText="1"/>
    </xf>
    <xf numFmtId="2" fontId="66" fillId="0" borderId="1" xfId="0" applyNumberFormat="1" applyFont="1" applyBorder="1" applyAlignment="1">
      <alignment horizontal="center"/>
    </xf>
    <xf numFmtId="173" fontId="35" fillId="0" borderId="0" xfId="0" applyNumberFormat="1" applyFont="1" applyBorder="1" applyAlignment="1">
      <alignment horizontal="center"/>
    </xf>
    <xf numFmtId="2" fontId="35" fillId="0" borderId="0" xfId="0" applyNumberFormat="1" applyFont="1" applyBorder="1" applyAlignment="1">
      <alignment horizontal="center"/>
    </xf>
    <xf numFmtId="166" fontId="66" fillId="0" borderId="14" xfId="0" applyNumberFormat="1" applyFont="1" applyBorder="1" applyAlignment="1">
      <alignment horizontal="center"/>
    </xf>
    <xf numFmtId="0" fontId="31" fillId="0" borderId="0" xfId="0" applyFont="1" applyBorder="1" applyAlignment="1">
      <alignment horizontal="center"/>
    </xf>
    <xf numFmtId="2" fontId="31" fillId="0" borderId="0" xfId="0" applyNumberFormat="1" applyFont="1" applyBorder="1" applyAlignment="1">
      <alignment horizontal="center"/>
    </xf>
    <xf numFmtId="166" fontId="31" fillId="0" borderId="0" xfId="0" applyNumberFormat="1" applyFont="1" applyBorder="1" applyAlignment="1">
      <alignment horizontal="center"/>
    </xf>
    <xf numFmtId="9" fontId="30" fillId="0" borderId="4" xfId="1" applyFont="1" applyBorder="1" applyAlignment="1">
      <alignment horizontal="center"/>
    </xf>
    <xf numFmtId="0" fontId="31" fillId="0" borderId="4" xfId="0" applyFont="1" applyBorder="1" applyAlignment="1">
      <alignment horizontal="center"/>
    </xf>
    <xf numFmtId="9" fontId="30" fillId="0" borderId="15" xfId="1" applyFont="1" applyBorder="1" applyAlignment="1">
      <alignment horizontal="center"/>
    </xf>
    <xf numFmtId="0" fontId="40" fillId="0" borderId="0" xfId="0" applyFont="1" applyFill="1" applyBorder="1" applyAlignment="1">
      <alignment horizontal="center" vertical="center" wrapText="1"/>
    </xf>
    <xf numFmtId="166" fontId="31" fillId="0" borderId="0" xfId="0" applyNumberFormat="1" applyFont="1" applyFill="1" applyBorder="1" applyAlignment="1">
      <alignment horizontal="center"/>
    </xf>
    <xf numFmtId="9" fontId="31" fillId="0" borderId="0" xfId="1" applyFont="1" applyFill="1" applyBorder="1" applyAlignment="1">
      <alignment horizontal="center"/>
    </xf>
    <xf numFmtId="9" fontId="31" fillId="0" borderId="0" xfId="1" applyFont="1" applyBorder="1" applyAlignment="1">
      <alignment horizontal="center"/>
    </xf>
    <xf numFmtId="9" fontId="31" fillId="0" borderId="12" xfId="1" applyFont="1" applyBorder="1" applyAlignment="1">
      <alignment horizontal="center"/>
    </xf>
    <xf numFmtId="9" fontId="31" fillId="0" borderId="4" xfId="1" applyFont="1" applyBorder="1" applyAlignment="1">
      <alignment horizontal="center"/>
    </xf>
    <xf numFmtId="166" fontId="31" fillId="0" borderId="12" xfId="0" applyNumberFormat="1" applyFont="1" applyBorder="1" applyAlignment="1">
      <alignment horizontal="center"/>
    </xf>
    <xf numFmtId="166" fontId="35" fillId="0" borderId="0" xfId="1" applyNumberFormat="1" applyFont="1" applyBorder="1" applyAlignment="1">
      <alignment horizontal="center"/>
    </xf>
    <xf numFmtId="166" fontId="35" fillId="0" borderId="12" xfId="1" applyNumberFormat="1" applyFont="1" applyBorder="1" applyAlignment="1">
      <alignment horizontal="center"/>
    </xf>
    <xf numFmtId="166" fontId="35" fillId="0" borderId="0" xfId="1" applyNumberFormat="1" applyFont="1" applyFill="1" applyBorder="1" applyAlignment="1">
      <alignment horizontal="center"/>
    </xf>
    <xf numFmtId="166" fontId="58" fillId="0" borderId="4" xfId="0" applyNumberFormat="1" applyFont="1" applyBorder="1" applyAlignment="1">
      <alignment horizontal="center"/>
    </xf>
    <xf numFmtId="173" fontId="0" fillId="0" borderId="0" xfId="0" applyNumberFormat="1" applyFont="1"/>
    <xf numFmtId="166" fontId="66" fillId="0" borderId="0" xfId="1" applyNumberFormat="1" applyFont="1" applyBorder="1" applyAlignment="1">
      <alignment horizontal="center"/>
    </xf>
    <xf numFmtId="166" fontId="66" fillId="0" borderId="12" xfId="1" applyNumberFormat="1" applyFont="1" applyBorder="1" applyAlignment="1">
      <alignment horizontal="center"/>
    </xf>
    <xf numFmtId="166" fontId="31" fillId="0" borderId="0" xfId="1" applyNumberFormat="1" applyFont="1" applyFill="1" applyBorder="1" applyAlignment="1">
      <alignment horizontal="center"/>
    </xf>
    <xf numFmtId="166" fontId="66" fillId="0" borderId="4" xfId="0" applyNumberFormat="1" applyFont="1" applyFill="1" applyBorder="1" applyAlignment="1">
      <alignment horizontal="center"/>
    </xf>
    <xf numFmtId="166" fontId="35" fillId="0" borderId="4" xfId="0" applyNumberFormat="1" applyFont="1" applyFill="1" applyBorder="1" applyAlignment="1">
      <alignment horizontal="center"/>
    </xf>
    <xf numFmtId="9" fontId="35" fillId="0" borderId="4" xfId="1" applyFont="1" applyFill="1" applyBorder="1" applyAlignment="1">
      <alignment horizontal="center"/>
    </xf>
    <xf numFmtId="166" fontId="32" fillId="0" borderId="0" xfId="0" applyNumberFormat="1" applyFont="1" applyFill="1" applyBorder="1" applyAlignment="1">
      <alignment horizontal="center"/>
    </xf>
    <xf numFmtId="9" fontId="32" fillId="0" borderId="0" xfId="1" applyFont="1" applyFill="1" applyBorder="1" applyAlignment="1">
      <alignment horizontal="center"/>
    </xf>
    <xf numFmtId="166" fontId="45"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66" fillId="0" borderId="0" xfId="0" applyNumberFormat="1" applyFont="1" applyFill="1" applyBorder="1" applyAlignment="1">
      <alignment horizontal="left" indent="2"/>
    </xf>
    <xf numFmtId="9" fontId="45" fillId="0" borderId="4" xfId="1" applyFont="1" applyFill="1" applyBorder="1" applyAlignment="1">
      <alignment horizontal="center"/>
    </xf>
    <xf numFmtId="0" fontId="35" fillId="0" borderId="4" xfId="0" applyFont="1" applyFill="1" applyBorder="1" applyAlignment="1">
      <alignment horizontal="center"/>
    </xf>
    <xf numFmtId="166" fontId="0" fillId="0" borderId="0" xfId="0" applyNumberFormat="1" applyFont="1" applyFill="1" applyAlignment="1">
      <alignment horizontal="left" indent="2"/>
    </xf>
    <xf numFmtId="9" fontId="35" fillId="0" borderId="0" xfId="1" applyNumberFormat="1" applyFont="1" applyFill="1" applyBorder="1" applyAlignment="1">
      <alignment horizontal="center"/>
    </xf>
    <xf numFmtId="9" fontId="45" fillId="0" borderId="0" xfId="0" applyNumberFormat="1" applyFont="1" applyFill="1" applyBorder="1" applyAlignment="1">
      <alignment horizontal="center"/>
    </xf>
    <xf numFmtId="165" fontId="0" fillId="0" borderId="0" xfId="1" applyNumberFormat="1" applyFont="1" applyBorder="1" applyAlignment="1">
      <alignment horizontal="center"/>
    </xf>
    <xf numFmtId="0" fontId="0" fillId="0" borderId="0" xfId="0" applyFont="1" applyBorder="1" applyAlignment="1">
      <alignment horizontal="center"/>
    </xf>
    <xf numFmtId="165" fontId="0" fillId="0" borderId="4" xfId="1" applyNumberFormat="1" applyFont="1" applyBorder="1" applyAlignment="1">
      <alignment horizontal="center"/>
    </xf>
    <xf numFmtId="165" fontId="0" fillId="0" borderId="0" xfId="1" applyNumberFormat="1" applyFont="1" applyAlignment="1">
      <alignment horizontal="center"/>
    </xf>
    <xf numFmtId="165" fontId="0" fillId="0" borderId="12" xfId="1" applyNumberFormat="1" applyFont="1" applyBorder="1" applyAlignment="1">
      <alignment horizontal="center"/>
    </xf>
    <xf numFmtId="0" fontId="0" fillId="0" borderId="0" xfId="0"/>
    <xf numFmtId="166" fontId="45" fillId="0" borderId="0" xfId="1" applyNumberFormat="1" applyFont="1" applyFill="1" applyBorder="1" applyAlignment="1">
      <alignment horizontal="center"/>
    </xf>
    <xf numFmtId="166" fontId="29" fillId="0" borderId="0" xfId="1" applyNumberFormat="1" applyFont="1" applyFill="1" applyBorder="1" applyAlignment="1">
      <alignment horizontal="center"/>
    </xf>
    <xf numFmtId="166" fontId="29" fillId="0" borderId="4" xfId="0" applyNumberFormat="1" applyFont="1" applyBorder="1" applyAlignment="1">
      <alignment horizontal="center"/>
    </xf>
    <xf numFmtId="9" fontId="0" fillId="0" borderId="0" xfId="1" applyNumberFormat="1" applyFont="1" applyFill="1" applyAlignment="1">
      <alignment horizontal="center"/>
    </xf>
    <xf numFmtId="9" fontId="0" fillId="0" borderId="12" xfId="1" applyFont="1" applyBorder="1"/>
    <xf numFmtId="9" fontId="0" fillId="0" borderId="0" xfId="1" applyFont="1" applyFill="1"/>
    <xf numFmtId="0" fontId="28" fillId="0" borderId="0" xfId="1480" applyFont="1"/>
    <xf numFmtId="0" fontId="121" fillId="0" borderId="56" xfId="1480" applyFont="1" applyBorder="1" applyAlignment="1">
      <alignment horizontal="center" vertical="center"/>
    </xf>
    <xf numFmtId="0" fontId="121" fillId="0" borderId="0" xfId="1480" applyFont="1" applyBorder="1" applyAlignment="1">
      <alignment horizontal="center" vertical="center"/>
    </xf>
    <xf numFmtId="0" fontId="121" fillId="0" borderId="57" xfId="1480" applyFont="1" applyBorder="1" applyAlignment="1">
      <alignment horizontal="center" vertical="center"/>
    </xf>
    <xf numFmtId="0" fontId="28" fillId="0" borderId="56" xfId="1480" applyFont="1" applyBorder="1"/>
    <xf numFmtId="0" fontId="44" fillId="0" borderId="0" xfId="1480" applyFont="1" applyBorder="1" applyAlignment="1">
      <alignment horizontal="center"/>
    </xf>
    <xf numFmtId="0" fontId="44" fillId="0" borderId="57" xfId="1480" applyFont="1" applyBorder="1" applyAlignment="1">
      <alignment horizontal="center"/>
    </xf>
    <xf numFmtId="0" fontId="97" fillId="0" borderId="0" xfId="1480" applyFont="1" applyBorder="1" applyAlignment="1">
      <alignment horizontal="center" vertical="center" wrapText="1"/>
    </xf>
    <xf numFmtId="0" fontId="28" fillId="0" borderId="0" xfId="1480" applyFont="1" applyAlignment="1">
      <alignment horizontal="center" vertical="center" wrapText="1"/>
    </xf>
    <xf numFmtId="3" fontId="66" fillId="0" borderId="61" xfId="1480" applyNumberFormat="1" applyFont="1" applyBorder="1" applyAlignment="1">
      <alignment horizontal="center" vertical="center" wrapText="1"/>
    </xf>
    <xf numFmtId="9" fontId="39" fillId="0" borderId="57" xfId="1482" applyFont="1" applyBorder="1" applyAlignment="1">
      <alignment horizontal="center" vertical="center"/>
    </xf>
    <xf numFmtId="167" fontId="66" fillId="0" borderId="61" xfId="1480" applyNumberFormat="1" applyFont="1" applyBorder="1" applyAlignment="1">
      <alignment horizontal="center" vertical="center" wrapText="1"/>
    </xf>
    <xf numFmtId="2" fontId="28" fillId="0" borderId="0" xfId="1480" applyNumberFormat="1" applyFont="1" applyBorder="1" applyAlignment="1">
      <alignment horizontal="center"/>
    </xf>
    <xf numFmtId="167" fontId="28" fillId="0" borderId="62" xfId="1480" applyNumberFormat="1" applyFont="1" applyBorder="1" applyAlignment="1">
      <alignment horizontal="center" vertical="center"/>
    </xf>
    <xf numFmtId="0" fontId="28" fillId="0" borderId="67" xfId="1480" applyFont="1" applyBorder="1"/>
    <xf numFmtId="0" fontId="28" fillId="0" borderId="68" xfId="1480" applyFont="1" applyBorder="1" applyAlignment="1">
      <alignment horizontal="center"/>
    </xf>
    <xf numFmtId="0" fontId="28" fillId="0" borderId="69" xfId="1480" applyFont="1" applyBorder="1" applyAlignment="1">
      <alignment horizontal="center"/>
    </xf>
    <xf numFmtId="0" fontId="28" fillId="0" borderId="71" xfId="1480" applyFont="1" applyBorder="1" applyAlignment="1">
      <alignment horizontal="center"/>
    </xf>
    <xf numFmtId="0" fontId="28" fillId="0" borderId="72" xfId="1480" applyFont="1" applyBorder="1" applyAlignment="1">
      <alignment horizontal="center"/>
    </xf>
    <xf numFmtId="3" fontId="28" fillId="0" borderId="0" xfId="1480" applyNumberFormat="1" applyFont="1"/>
    <xf numFmtId="0" fontId="39" fillId="0" borderId="0" xfId="1480" applyFont="1"/>
    <xf numFmtId="0" fontId="28" fillId="0" borderId="56" xfId="1480" applyFont="1" applyBorder="1" applyAlignment="1">
      <alignment horizontal="center"/>
    </xf>
    <xf numFmtId="3" fontId="66" fillId="0" borderId="0" xfId="1480" applyNumberFormat="1" applyFont="1" applyBorder="1" applyAlignment="1">
      <alignment horizontal="center" vertical="center" wrapText="1"/>
    </xf>
    <xf numFmtId="3" fontId="28" fillId="0" borderId="0" xfId="1480" applyNumberFormat="1" applyFont="1" applyBorder="1" applyAlignment="1">
      <alignment horizontal="center" vertical="center"/>
    </xf>
    <xf numFmtId="0" fontId="0" fillId="0" borderId="0" xfId="1480" applyFont="1"/>
    <xf numFmtId="1" fontId="28" fillId="0" borderId="0" xfId="1480" applyNumberFormat="1" applyFont="1" applyBorder="1" applyAlignment="1">
      <alignment horizontal="center"/>
    </xf>
    <xf numFmtId="0" fontId="28" fillId="0" borderId="76" xfId="1480" applyFont="1" applyBorder="1" applyAlignment="1">
      <alignment horizontal="center" vertical="center"/>
    </xf>
    <xf numFmtId="167" fontId="28" fillId="0" borderId="0" xfId="1480" applyNumberFormat="1" applyFont="1" applyBorder="1" applyAlignment="1">
      <alignment horizontal="center" vertical="center"/>
    </xf>
    <xf numFmtId="3" fontId="28" fillId="0" borderId="69" xfId="1480" applyNumberFormat="1" applyFont="1" applyBorder="1" applyAlignment="1">
      <alignment horizontal="center"/>
    </xf>
    <xf numFmtId="3" fontId="29" fillId="0" borderId="0" xfId="1480" applyNumberFormat="1" applyFont="1" applyBorder="1" applyAlignment="1">
      <alignment horizontal="center" vertical="center" wrapText="1"/>
    </xf>
    <xf numFmtId="0" fontId="28" fillId="0" borderId="70" xfId="1480" applyFont="1" applyBorder="1" applyAlignment="1">
      <alignment horizontal="center"/>
    </xf>
    <xf numFmtId="9" fontId="39" fillId="0" borderId="63" xfId="1" applyFont="1" applyBorder="1" applyAlignment="1">
      <alignment horizontal="center" vertical="center"/>
    </xf>
    <xf numFmtId="9" fontId="28" fillId="0" borderId="57" xfId="1482" applyFont="1" applyBorder="1" applyAlignment="1">
      <alignment horizontal="center" vertical="center"/>
    </xf>
    <xf numFmtId="9" fontId="28" fillId="0" borderId="57" xfId="1482" applyNumberFormat="1" applyFont="1" applyBorder="1" applyAlignment="1">
      <alignment horizontal="center" vertical="center"/>
    </xf>
    <xf numFmtId="0" fontId="44" fillId="0" borderId="0" xfId="0" applyFont="1" applyBorder="1" applyAlignment="1">
      <alignment horizontal="center"/>
    </xf>
    <xf numFmtId="0" fontId="44" fillId="0" borderId="57" xfId="0" applyFont="1" applyBorder="1" applyAlignment="1">
      <alignment horizontal="center"/>
    </xf>
    <xf numFmtId="0" fontId="0" fillId="0" borderId="61" xfId="0" applyFont="1" applyBorder="1"/>
    <xf numFmtId="0" fontId="0" fillId="0" borderId="61" xfId="0" applyFont="1" applyBorder="1" applyAlignment="1">
      <alignment horizontal="center" vertical="center" wrapText="1"/>
    </xf>
    <xf numFmtId="0" fontId="44" fillId="0" borderId="61" xfId="0" applyFont="1" applyBorder="1" applyAlignment="1">
      <alignment horizontal="center" vertical="center" wrapText="1"/>
    </xf>
    <xf numFmtId="0" fontId="44" fillId="0" borderId="81" xfId="0" applyFont="1" applyBorder="1" applyAlignment="1">
      <alignment horizontal="center" vertical="center" wrapText="1"/>
    </xf>
    <xf numFmtId="0" fontId="0" fillId="0" borderId="81" xfId="0" applyFont="1" applyBorder="1"/>
    <xf numFmtId="0" fontId="0" fillId="0" borderId="82" xfId="0" applyFont="1" applyBorder="1"/>
    <xf numFmtId="0" fontId="39" fillId="0" borderId="61" xfId="0" applyFont="1" applyBorder="1"/>
    <xf numFmtId="3" fontId="0" fillId="0" borderId="61" xfId="1" applyNumberFormat="1" applyFont="1" applyBorder="1" applyAlignment="1">
      <alignment horizontal="center"/>
    </xf>
    <xf numFmtId="3" fontId="0" fillId="0" borderId="81" xfId="1" applyNumberFormat="1" applyFont="1" applyBorder="1" applyAlignment="1">
      <alignment horizontal="center"/>
    </xf>
    <xf numFmtId="3" fontId="0" fillId="0" borderId="64" xfId="1" applyNumberFormat="1" applyFont="1" applyBorder="1" applyAlignment="1">
      <alignment horizontal="center"/>
    </xf>
    <xf numFmtId="3" fontId="0" fillId="0" borderId="22" xfId="1" applyNumberFormat="1" applyFont="1" applyBorder="1" applyAlignment="1">
      <alignment horizontal="center"/>
    </xf>
    <xf numFmtId="3" fontId="0" fillId="0" borderId="22" xfId="0" applyNumberFormat="1" applyFont="1" applyBorder="1" applyAlignment="1">
      <alignment horizontal="center"/>
    </xf>
    <xf numFmtId="3" fontId="45" fillId="0" borderId="4" xfId="0" applyNumberFormat="1" applyFont="1" applyBorder="1" applyAlignment="1">
      <alignment horizontal="center"/>
    </xf>
    <xf numFmtId="9" fontId="28" fillId="0" borderId="0" xfId="1" applyFont="1"/>
    <xf numFmtId="9" fontId="28" fillId="0" borderId="0" xfId="1" applyFont="1" applyAlignment="1">
      <alignment horizontal="center"/>
    </xf>
    <xf numFmtId="0" fontId="28" fillId="0" borderId="83" xfId="1480" applyFont="1" applyBorder="1" applyAlignment="1">
      <alignment horizontal="center"/>
    </xf>
    <xf numFmtId="3" fontId="66" fillId="0" borderId="81" xfId="1480" applyNumberFormat="1" applyFont="1" applyBorder="1" applyAlignment="1">
      <alignment horizontal="center" vertical="center" wrapText="1"/>
    </xf>
    <xf numFmtId="3" fontId="28" fillId="0" borderId="4" xfId="1480" applyNumberFormat="1" applyFont="1" applyBorder="1" applyAlignment="1">
      <alignment horizontal="center" vertical="center"/>
    </xf>
    <xf numFmtId="3" fontId="66" fillId="0" borderId="4" xfId="1480" applyNumberFormat="1" applyFont="1" applyBorder="1" applyAlignment="1">
      <alignment horizontal="center" vertical="center" wrapText="1"/>
    </xf>
    <xf numFmtId="3" fontId="29" fillId="0" borderId="4" xfId="1480" applyNumberFormat="1" applyFont="1" applyBorder="1" applyAlignment="1">
      <alignment horizontal="center" vertical="center" wrapText="1"/>
    </xf>
    <xf numFmtId="9" fontId="39" fillId="0" borderId="84" xfId="1" applyFont="1" applyBorder="1" applyAlignment="1">
      <alignment horizontal="center" vertical="center"/>
    </xf>
    <xf numFmtId="9" fontId="28" fillId="0" borderId="85" xfId="1482" applyFont="1" applyBorder="1" applyAlignment="1">
      <alignment horizontal="center" vertical="center"/>
    </xf>
    <xf numFmtId="0" fontId="28" fillId="0" borderId="86" xfId="1480" applyFont="1" applyBorder="1" applyAlignment="1">
      <alignment horizontal="center"/>
    </xf>
    <xf numFmtId="3" fontId="66" fillId="0" borderId="82" xfId="1480" applyNumberFormat="1" applyFont="1" applyBorder="1" applyAlignment="1">
      <alignment horizontal="center" vertical="center" wrapText="1"/>
    </xf>
    <xf numFmtId="3" fontId="28" fillId="0" borderId="12" xfId="1480" applyNumberFormat="1" applyFont="1" applyBorder="1" applyAlignment="1">
      <alignment horizontal="center" vertical="center"/>
    </xf>
    <xf numFmtId="3" fontId="29" fillId="0" borderId="12" xfId="1480" applyNumberFormat="1" applyFont="1" applyBorder="1" applyAlignment="1">
      <alignment horizontal="center" vertical="center" wrapText="1"/>
    </xf>
    <xf numFmtId="9" fontId="39" fillId="0" borderId="87" xfId="1" applyFont="1" applyBorder="1" applyAlignment="1">
      <alignment horizontal="center" vertical="center"/>
    </xf>
    <xf numFmtId="9" fontId="28" fillId="0" borderId="88" xfId="1482" applyFont="1" applyBorder="1" applyAlignment="1">
      <alignment horizontal="center" vertical="center"/>
    </xf>
    <xf numFmtId="9" fontId="28" fillId="0" borderId="85" xfId="1482" applyFont="1" applyFill="1" applyBorder="1" applyAlignment="1">
      <alignment horizontal="center" vertical="center"/>
    </xf>
    <xf numFmtId="3" fontId="39" fillId="0" borderId="0" xfId="1480" applyNumberFormat="1" applyFont="1" applyBorder="1" applyAlignment="1">
      <alignment horizontal="center" vertical="center"/>
    </xf>
    <xf numFmtId="3" fontId="39" fillId="0" borderId="4" xfId="1480" applyNumberFormat="1" applyFont="1" applyBorder="1" applyAlignment="1">
      <alignment horizontal="center" vertical="center"/>
    </xf>
    <xf numFmtId="167" fontId="66" fillId="0" borderId="81" xfId="1480" applyNumberFormat="1" applyFont="1" applyBorder="1" applyAlignment="1">
      <alignment horizontal="center" vertical="center" wrapText="1"/>
    </xf>
    <xf numFmtId="167" fontId="66" fillId="0" borderId="82" xfId="1480" applyNumberFormat="1" applyFont="1" applyBorder="1" applyAlignment="1">
      <alignment horizontal="center" vertical="center" wrapText="1"/>
    </xf>
    <xf numFmtId="167" fontId="29" fillId="0" borderId="0" xfId="1480" applyNumberFormat="1" applyFont="1" applyBorder="1" applyAlignment="1">
      <alignment horizontal="center" vertical="center" wrapText="1"/>
    </xf>
    <xf numFmtId="167" fontId="39" fillId="0" borderId="0" xfId="1480" applyNumberFormat="1" applyFont="1" applyBorder="1" applyAlignment="1">
      <alignment horizontal="center" vertical="center"/>
    </xf>
    <xf numFmtId="167" fontId="28" fillId="0" borderId="4" xfId="1480" applyNumberFormat="1" applyFont="1" applyBorder="1" applyAlignment="1">
      <alignment horizontal="center" vertical="center"/>
    </xf>
    <xf numFmtId="167" fontId="29" fillId="0" borderId="4" xfId="1480" applyNumberFormat="1" applyFont="1" applyBorder="1" applyAlignment="1">
      <alignment horizontal="center" vertical="center" wrapText="1"/>
    </xf>
    <xf numFmtId="167" fontId="39" fillId="0" borderId="4" xfId="1480" applyNumberFormat="1" applyFont="1" applyBorder="1" applyAlignment="1">
      <alignment horizontal="center" vertical="center"/>
    </xf>
    <xf numFmtId="167" fontId="28" fillId="0" borderId="12" xfId="1480" applyNumberFormat="1" applyFont="1" applyBorder="1" applyAlignment="1">
      <alignment horizontal="center" vertical="center"/>
    </xf>
    <xf numFmtId="167" fontId="29" fillId="0" borderId="12" xfId="1480" applyNumberFormat="1" applyFont="1" applyBorder="1" applyAlignment="1">
      <alignment horizontal="center" vertical="center" wrapText="1"/>
    </xf>
    <xf numFmtId="167" fontId="39" fillId="0" borderId="12" xfId="1480" applyNumberFormat="1" applyFont="1" applyBorder="1" applyAlignment="1">
      <alignment horizontal="center" vertical="center"/>
    </xf>
    <xf numFmtId="167" fontId="28" fillId="0" borderId="0" xfId="1480" applyNumberFormat="1" applyFont="1" applyFill="1" applyBorder="1" applyAlignment="1">
      <alignment horizontal="center" vertical="center"/>
    </xf>
    <xf numFmtId="3" fontId="66" fillId="0" borderId="12" xfId="1480" applyNumberFormat="1" applyFont="1" applyBorder="1" applyAlignment="1">
      <alignment horizontal="center" vertical="center" wrapText="1"/>
    </xf>
    <xf numFmtId="1" fontId="28" fillId="0" borderId="4" xfId="1480" applyNumberFormat="1" applyFont="1" applyBorder="1" applyAlignment="1">
      <alignment horizontal="center"/>
    </xf>
    <xf numFmtId="167" fontId="29" fillId="0" borderId="62" xfId="1480" applyNumberFormat="1" applyFont="1" applyBorder="1" applyAlignment="1">
      <alignment horizontal="center" vertical="center" wrapText="1"/>
    </xf>
    <xf numFmtId="9" fontId="28" fillId="0" borderId="89" xfId="1482" applyFont="1" applyBorder="1" applyAlignment="1">
      <alignment horizontal="center" vertical="center"/>
    </xf>
    <xf numFmtId="0" fontId="28" fillId="0" borderId="0" xfId="1480" applyFont="1" applyBorder="1"/>
    <xf numFmtId="0" fontId="28" fillId="0" borderId="57" xfId="1480" applyFont="1" applyBorder="1"/>
    <xf numFmtId="9" fontId="66" fillId="0" borderId="61" xfId="1" applyFont="1" applyBorder="1" applyAlignment="1">
      <alignment horizontal="center" vertical="center" wrapText="1"/>
    </xf>
    <xf numFmtId="9" fontId="66" fillId="0" borderId="57" xfId="1" applyFont="1" applyBorder="1" applyAlignment="1">
      <alignment horizontal="center" vertical="center" wrapText="1"/>
    </xf>
    <xf numFmtId="9" fontId="66" fillId="0" borderId="81" xfId="1" applyFont="1" applyBorder="1" applyAlignment="1">
      <alignment horizontal="center" vertical="center" wrapText="1"/>
    </xf>
    <xf numFmtId="9" fontId="66" fillId="0" borderId="85" xfId="1" applyFont="1" applyBorder="1" applyAlignment="1">
      <alignment horizontal="center" vertical="center" wrapText="1"/>
    </xf>
    <xf numFmtId="9" fontId="66" fillId="0" borderId="82" xfId="1" applyFont="1" applyBorder="1" applyAlignment="1">
      <alignment horizontal="center" vertical="center" wrapText="1"/>
    </xf>
    <xf numFmtId="9" fontId="66" fillId="0" borderId="88" xfId="1" applyFont="1" applyBorder="1" applyAlignment="1">
      <alignment horizontal="center" vertical="center" wrapText="1"/>
    </xf>
    <xf numFmtId="0" fontId="0" fillId="0" borderId="0" xfId="1480" applyFont="1" applyAlignment="1">
      <alignment horizontal="left" vertical="center"/>
    </xf>
    <xf numFmtId="3" fontId="58" fillId="0" borderId="61" xfId="1480" applyNumberFormat="1" applyFont="1" applyBorder="1" applyAlignment="1">
      <alignment horizontal="center" vertical="center" wrapText="1"/>
    </xf>
    <xf numFmtId="9" fontId="58" fillId="0" borderId="57" xfId="1482" applyFont="1" applyBorder="1" applyAlignment="1">
      <alignment horizontal="center" vertical="center"/>
    </xf>
    <xf numFmtId="0" fontId="0" fillId="0" borderId="0" xfId="1480" applyFont="1" applyBorder="1" applyAlignment="1">
      <alignment horizontal="center" vertical="center" wrapText="1"/>
    </xf>
    <xf numFmtId="166" fontId="0" fillId="0" borderId="0" xfId="0" applyNumberFormat="1" applyFont="1" applyAlignment="1">
      <alignment horizontal="center"/>
    </xf>
    <xf numFmtId="0" fontId="0" fillId="0" borderId="0" xfId="0" applyFont="1" applyAlignment="1">
      <alignment horizontal="center"/>
    </xf>
    <xf numFmtId="166" fontId="0" fillId="0" borderId="4" xfId="0" applyNumberFormat="1" applyFont="1" applyBorder="1" applyAlignment="1">
      <alignment horizontal="center"/>
    </xf>
    <xf numFmtId="165" fontId="0" fillId="0" borderId="0" xfId="1" applyNumberFormat="1" applyFont="1" applyBorder="1" applyAlignment="1">
      <alignment horizontal="center"/>
    </xf>
    <xf numFmtId="166" fontId="0" fillId="0" borderId="0" xfId="0" applyNumberFormat="1" applyFont="1" applyBorder="1" applyAlignment="1">
      <alignment horizontal="center"/>
    </xf>
    <xf numFmtId="0" fontId="0" fillId="0" borderId="0" xfId="0" applyFont="1" applyBorder="1" applyAlignment="1">
      <alignment horizontal="center"/>
    </xf>
    <xf numFmtId="165" fontId="0" fillId="0" borderId="4" xfId="1" applyNumberFormat="1" applyFont="1" applyBorder="1" applyAlignment="1">
      <alignment horizontal="center"/>
    </xf>
    <xf numFmtId="165" fontId="0" fillId="0" borderId="0" xfId="1" applyNumberFormat="1" applyFont="1" applyAlignment="1">
      <alignment horizontal="center"/>
    </xf>
    <xf numFmtId="165" fontId="0" fillId="0" borderId="12" xfId="1" applyNumberFormat="1" applyFont="1" applyBorder="1" applyAlignment="1">
      <alignment horizontal="center"/>
    </xf>
    <xf numFmtId="166" fontId="0" fillId="0" borderId="12" xfId="0" applyNumberFormat="1" applyFont="1" applyBorder="1" applyAlignment="1">
      <alignment horizontal="center"/>
    </xf>
    <xf numFmtId="0" fontId="40" fillId="0" borderId="0" xfId="792"/>
    <xf numFmtId="173" fontId="45" fillId="0" borderId="0" xfId="0" applyNumberFormat="1" applyFont="1" applyBorder="1" applyAlignment="1">
      <alignment horizontal="center"/>
    </xf>
    <xf numFmtId="0" fontId="0" fillId="0" borderId="65" xfId="1480" applyFont="1" applyBorder="1" applyAlignment="1">
      <alignment horizontal="center" vertical="center" wrapText="1"/>
    </xf>
    <xf numFmtId="9" fontId="39" fillId="0" borderId="0" xfId="1" applyFont="1" applyBorder="1" applyAlignment="1">
      <alignment horizontal="center" vertical="center"/>
    </xf>
    <xf numFmtId="9" fontId="39" fillId="0" borderId="4" xfId="1" applyFont="1" applyBorder="1" applyAlignment="1">
      <alignment horizontal="center" vertical="center"/>
    </xf>
    <xf numFmtId="9" fontId="39" fillId="0" borderId="12" xfId="1" applyFont="1" applyBorder="1" applyAlignment="1">
      <alignment horizontal="center" vertical="center"/>
    </xf>
    <xf numFmtId="9" fontId="26" fillId="0" borderId="0" xfId="1" applyFont="1" applyBorder="1" applyAlignment="1">
      <alignment horizontal="center" vertical="center"/>
    </xf>
    <xf numFmtId="9" fontId="26" fillId="0" borderId="4" xfId="1" applyFont="1" applyBorder="1" applyAlignment="1">
      <alignment horizontal="center" vertical="center"/>
    </xf>
    <xf numFmtId="9" fontId="26" fillId="0" borderId="12" xfId="1" applyFont="1" applyBorder="1" applyAlignment="1">
      <alignment horizontal="center" vertical="center"/>
    </xf>
    <xf numFmtId="3" fontId="26" fillId="0" borderId="62" xfId="1480" applyNumberFormat="1" applyFont="1" applyBorder="1" applyAlignment="1">
      <alignment horizontal="center" vertical="center"/>
    </xf>
    <xf numFmtId="3" fontId="26" fillId="0" borderId="90" xfId="1480" applyNumberFormat="1" applyFont="1" applyBorder="1" applyAlignment="1">
      <alignment horizontal="center" vertical="center"/>
    </xf>
    <xf numFmtId="3" fontId="26" fillId="0" borderId="91" xfId="1480" applyNumberFormat="1" applyFont="1" applyBorder="1" applyAlignment="1">
      <alignment horizontal="center" vertical="center"/>
    </xf>
    <xf numFmtId="0" fontId="28" fillId="0" borderId="93" xfId="1480" applyFont="1" applyBorder="1" applyAlignment="1">
      <alignment horizontal="center"/>
    </xf>
    <xf numFmtId="3" fontId="66" fillId="0" borderId="64" xfId="1480" applyNumberFormat="1" applyFont="1" applyBorder="1" applyAlignment="1">
      <alignment horizontal="center" vertical="center" wrapText="1"/>
    </xf>
    <xf numFmtId="3" fontId="28" fillId="0" borderId="22" xfId="1480" applyNumberFormat="1" applyFont="1" applyBorder="1" applyAlignment="1">
      <alignment horizontal="center" vertical="center"/>
    </xf>
    <xf numFmtId="9" fontId="66" fillId="0" borderId="64" xfId="1" applyFont="1" applyBorder="1" applyAlignment="1">
      <alignment horizontal="center" vertical="center" wrapText="1"/>
    </xf>
    <xf numFmtId="9" fontId="66" fillId="0" borderId="66" xfId="1" applyFont="1" applyBorder="1" applyAlignment="1">
      <alignment horizontal="center" vertical="center" wrapText="1"/>
    </xf>
    <xf numFmtId="3" fontId="26" fillId="0" borderId="65" xfId="1480" applyNumberFormat="1" applyFont="1" applyBorder="1" applyAlignment="1">
      <alignment horizontal="center" vertical="center"/>
    </xf>
    <xf numFmtId="9" fontId="39" fillId="0" borderId="22" xfId="1" applyFont="1" applyBorder="1" applyAlignment="1">
      <alignment horizontal="center" vertical="center"/>
    </xf>
    <xf numFmtId="9" fontId="26" fillId="0" borderId="22" xfId="1" applyFont="1" applyBorder="1" applyAlignment="1">
      <alignment horizontal="center" vertical="center"/>
    </xf>
    <xf numFmtId="3" fontId="66" fillId="0" borderId="22" xfId="1480" applyNumberFormat="1" applyFont="1" applyBorder="1" applyAlignment="1">
      <alignment horizontal="center" vertical="center" wrapText="1"/>
    </xf>
    <xf numFmtId="3" fontId="29" fillId="0" borderId="22" xfId="1480" applyNumberFormat="1" applyFont="1" applyBorder="1" applyAlignment="1">
      <alignment horizontal="center" vertical="center" wrapText="1"/>
    </xf>
    <xf numFmtId="9" fontId="39" fillId="0" borderId="94" xfId="1" applyFont="1" applyBorder="1" applyAlignment="1">
      <alignment horizontal="center" vertical="center"/>
    </xf>
    <xf numFmtId="9" fontId="28" fillId="0" borderId="66" xfId="1482" applyFont="1" applyBorder="1" applyAlignment="1">
      <alignment horizontal="center" vertical="center"/>
    </xf>
    <xf numFmtId="0" fontId="0" fillId="0" borderId="22" xfId="1480" applyFont="1" applyFill="1" applyBorder="1" applyAlignment="1">
      <alignment horizontal="center" vertical="center" wrapText="1"/>
    </xf>
    <xf numFmtId="167" fontId="27" fillId="0" borderId="0" xfId="1480" applyNumberFormat="1" applyFont="1" applyBorder="1" applyAlignment="1">
      <alignment horizontal="center" vertical="center" wrapText="1"/>
    </xf>
    <xf numFmtId="167" fontId="27" fillId="0" borderId="4" xfId="1480" applyNumberFormat="1" applyFont="1" applyBorder="1" applyAlignment="1">
      <alignment horizontal="center" vertical="center" wrapText="1"/>
    </xf>
    <xf numFmtId="167" fontId="27" fillId="0" borderId="12" xfId="1480" applyNumberFormat="1" applyFont="1" applyBorder="1" applyAlignment="1">
      <alignment horizontal="center" vertical="center" wrapText="1"/>
    </xf>
    <xf numFmtId="167" fontId="26" fillId="0" borderId="0" xfId="1480" applyNumberFormat="1" applyFont="1" applyBorder="1" applyAlignment="1">
      <alignment horizontal="center" vertical="center"/>
    </xf>
    <xf numFmtId="167" fontId="26" fillId="0" borderId="4" xfId="1480" applyNumberFormat="1" applyFont="1" applyBorder="1" applyAlignment="1">
      <alignment horizontal="center" vertical="center"/>
    </xf>
    <xf numFmtId="9" fontId="39" fillId="0" borderId="85" xfId="1482" applyFont="1" applyBorder="1" applyAlignment="1">
      <alignment horizontal="center" vertical="center"/>
    </xf>
    <xf numFmtId="9" fontId="39" fillId="0" borderId="85" xfId="1482" applyFont="1" applyFill="1" applyBorder="1" applyAlignment="1">
      <alignment horizontal="center" vertical="center"/>
    </xf>
    <xf numFmtId="0" fontId="28" fillId="0" borderId="95" xfId="1480" applyFont="1" applyBorder="1" applyAlignment="1">
      <alignment horizontal="center"/>
    </xf>
    <xf numFmtId="9" fontId="26" fillId="0" borderId="61" xfId="1" applyFont="1" applyBorder="1" applyAlignment="1">
      <alignment horizontal="center" vertical="center"/>
    </xf>
    <xf numFmtId="9" fontId="26" fillId="0" borderId="62" xfId="1" applyFont="1" applyBorder="1" applyAlignment="1">
      <alignment horizontal="center" vertical="center"/>
    </xf>
    <xf numFmtId="9" fontId="26" fillId="0" borderId="81" xfId="1" applyFont="1" applyBorder="1" applyAlignment="1">
      <alignment horizontal="center" vertical="center"/>
    </xf>
    <xf numFmtId="9" fontId="26" fillId="0" borderId="90" xfId="1" applyFont="1" applyBorder="1" applyAlignment="1">
      <alignment horizontal="center" vertical="center"/>
    </xf>
    <xf numFmtId="9" fontId="27" fillId="0" borderId="22" xfId="1" applyFont="1" applyBorder="1" applyAlignment="1">
      <alignment horizontal="center" vertical="center" wrapText="1"/>
    </xf>
    <xf numFmtId="9" fontId="27" fillId="0" borderId="0" xfId="1" applyFont="1" applyBorder="1" applyAlignment="1">
      <alignment horizontal="center" vertical="center" wrapText="1"/>
    </xf>
    <xf numFmtId="9" fontId="27" fillId="0" borderId="4" xfId="1" applyFont="1" applyBorder="1" applyAlignment="1">
      <alignment horizontal="center" vertical="center" wrapText="1"/>
    </xf>
    <xf numFmtId="9" fontId="27" fillId="0" borderId="12" xfId="1" applyFont="1" applyBorder="1" applyAlignment="1">
      <alignment horizontal="center" vertical="center" wrapText="1"/>
    </xf>
    <xf numFmtId="9" fontId="66" fillId="0" borderId="9" xfId="1" applyFont="1" applyBorder="1" applyAlignment="1">
      <alignment horizontal="center" vertical="center" wrapText="1"/>
    </xf>
    <xf numFmtId="9" fontId="66" fillId="0" borderId="1" xfId="1" applyFont="1" applyBorder="1" applyAlignment="1">
      <alignment horizontal="center" vertical="center" wrapText="1"/>
    </xf>
    <xf numFmtId="9" fontId="66" fillId="0" borderId="5" xfId="1" applyFont="1" applyBorder="1" applyAlignment="1">
      <alignment horizontal="center" vertical="center" wrapText="1"/>
    </xf>
    <xf numFmtId="9" fontId="66" fillId="0" borderId="14" xfId="1" applyFont="1" applyBorder="1" applyAlignment="1">
      <alignment horizontal="center" vertical="center" wrapText="1"/>
    </xf>
    <xf numFmtId="0" fontId="28" fillId="0" borderId="98" xfId="1480" applyFont="1" applyBorder="1" applyAlignment="1">
      <alignment horizontal="center"/>
    </xf>
    <xf numFmtId="9" fontId="66" fillId="0" borderId="102" xfId="1" applyFont="1" applyBorder="1" applyAlignment="1">
      <alignment horizontal="center" vertical="center" wrapText="1"/>
    </xf>
    <xf numFmtId="9" fontId="66" fillId="0" borderId="100" xfId="1" applyFont="1" applyBorder="1" applyAlignment="1">
      <alignment horizontal="center" vertical="center" wrapText="1"/>
    </xf>
    <xf numFmtId="9" fontId="66" fillId="0" borderId="103" xfId="1" applyFont="1" applyBorder="1" applyAlignment="1">
      <alignment horizontal="center" vertical="center" wrapText="1"/>
    </xf>
    <xf numFmtId="9" fontId="66" fillId="0" borderId="104" xfId="1" applyFont="1" applyBorder="1" applyAlignment="1">
      <alignment horizontal="center" vertical="center" wrapText="1"/>
    </xf>
    <xf numFmtId="9" fontId="58" fillId="0" borderId="100" xfId="1" applyFont="1" applyBorder="1" applyAlignment="1">
      <alignment horizontal="center" vertical="center" wrapText="1"/>
    </xf>
    <xf numFmtId="0" fontId="28" fillId="0" borderId="99" xfId="1480" applyFont="1" applyBorder="1" applyAlignment="1">
      <alignment horizontal="center"/>
    </xf>
    <xf numFmtId="3" fontId="26" fillId="0" borderId="22" xfId="1480" applyNumberFormat="1" applyFont="1" applyBorder="1" applyAlignment="1">
      <alignment horizontal="center" vertical="center"/>
    </xf>
    <xf numFmtId="3" fontId="26" fillId="0" borderId="0" xfId="1480" applyNumberFormat="1" applyFont="1" applyBorder="1" applyAlignment="1">
      <alignment horizontal="center" vertical="center"/>
    </xf>
    <xf numFmtId="3" fontId="26" fillId="0" borderId="4" xfId="1480" applyNumberFormat="1" applyFont="1" applyBorder="1" applyAlignment="1">
      <alignment horizontal="center" vertical="center"/>
    </xf>
    <xf numFmtId="3" fontId="26" fillId="0" borderId="12" xfId="1480" applyNumberFormat="1" applyFont="1" applyBorder="1" applyAlignment="1">
      <alignment horizontal="center" vertical="center"/>
    </xf>
    <xf numFmtId="9" fontId="26" fillId="0" borderId="66" xfId="1" applyFont="1" applyBorder="1" applyAlignment="1">
      <alignment horizontal="center" vertical="center"/>
    </xf>
    <xf numFmtId="9" fontId="26" fillId="0" borderId="57" xfId="1" applyFont="1" applyBorder="1" applyAlignment="1">
      <alignment horizontal="center" vertical="center"/>
    </xf>
    <xf numFmtId="9" fontId="26" fillId="0" borderId="85" xfId="1" applyFont="1" applyBorder="1" applyAlignment="1">
      <alignment horizontal="center" vertical="center"/>
    </xf>
    <xf numFmtId="9" fontId="26" fillId="0" borderId="88" xfId="1" applyFont="1" applyBorder="1" applyAlignment="1">
      <alignment horizontal="center" vertical="center"/>
    </xf>
    <xf numFmtId="9" fontId="28" fillId="0" borderId="0" xfId="1480" applyNumberFormat="1" applyFont="1" applyAlignment="1">
      <alignment horizontal="center" vertical="center" wrapText="1"/>
    </xf>
    <xf numFmtId="0" fontId="97" fillId="0" borderId="22" xfId="1480" applyFont="1" applyFill="1" applyBorder="1" applyAlignment="1">
      <alignment horizontal="center" vertical="center" wrapText="1"/>
    </xf>
    <xf numFmtId="167" fontId="28" fillId="0" borderId="0" xfId="1480" applyNumberFormat="1" applyFont="1"/>
    <xf numFmtId="4" fontId="28" fillId="0" borderId="0" xfId="1480" applyNumberFormat="1" applyFont="1"/>
    <xf numFmtId="167" fontId="58" fillId="0" borderId="61" xfId="1480" applyNumberFormat="1" applyFont="1" applyBorder="1" applyAlignment="1">
      <alignment horizontal="center" vertical="center" wrapText="1"/>
    </xf>
    <xf numFmtId="167" fontId="58" fillId="0" borderId="81" xfId="1480" applyNumberFormat="1" applyFont="1" applyBorder="1" applyAlignment="1">
      <alignment horizontal="center" vertical="center" wrapText="1"/>
    </xf>
    <xf numFmtId="167" fontId="58" fillId="0" borderId="82" xfId="1480" applyNumberFormat="1" applyFont="1" applyBorder="1" applyAlignment="1">
      <alignment horizontal="center" vertical="center" wrapText="1"/>
    </xf>
    <xf numFmtId="165" fontId="66" fillId="0" borderId="61" xfId="1" applyNumberFormat="1" applyFont="1" applyBorder="1" applyAlignment="1">
      <alignment horizontal="center" vertical="center" wrapText="1"/>
    </xf>
    <xf numFmtId="165" fontId="28" fillId="0" borderId="0" xfId="1" applyNumberFormat="1" applyFont="1" applyBorder="1" applyAlignment="1">
      <alignment horizontal="center" vertical="center"/>
    </xf>
    <xf numFmtId="165" fontId="58" fillId="0" borderId="61" xfId="1" applyNumberFormat="1" applyFont="1" applyBorder="1" applyAlignment="1">
      <alignment horizontal="center" vertical="center" wrapText="1"/>
    </xf>
    <xf numFmtId="165" fontId="27" fillId="0" borderId="0" xfId="1" applyNumberFormat="1" applyFont="1" applyBorder="1" applyAlignment="1">
      <alignment horizontal="center" vertical="center" wrapText="1"/>
    </xf>
    <xf numFmtId="165" fontId="29" fillId="0" borderId="0" xfId="1" applyNumberFormat="1" applyFont="1" applyBorder="1" applyAlignment="1">
      <alignment horizontal="center" vertical="center" wrapText="1"/>
    </xf>
    <xf numFmtId="165" fontId="26" fillId="0" borderId="0" xfId="1" applyNumberFormat="1" applyFont="1" applyBorder="1" applyAlignment="1">
      <alignment horizontal="center" vertical="center"/>
    </xf>
    <xf numFmtId="165" fontId="66" fillId="0" borderId="81" xfId="1" applyNumberFormat="1" applyFont="1" applyBorder="1" applyAlignment="1">
      <alignment horizontal="center" vertical="center" wrapText="1"/>
    </xf>
    <xf numFmtId="165" fontId="28" fillId="0" borderId="4" xfId="1" applyNumberFormat="1" applyFont="1" applyBorder="1" applyAlignment="1">
      <alignment horizontal="center" vertical="center"/>
    </xf>
    <xf numFmtId="165" fontId="58" fillId="0" borderId="81" xfId="1" applyNumberFormat="1" applyFont="1" applyBorder="1" applyAlignment="1">
      <alignment horizontal="center" vertical="center" wrapText="1"/>
    </xf>
    <xf numFmtId="165" fontId="27" fillId="0" borderId="4" xfId="1" applyNumberFormat="1" applyFont="1" applyBorder="1" applyAlignment="1">
      <alignment horizontal="center" vertical="center" wrapText="1"/>
    </xf>
    <xf numFmtId="165" fontId="29" fillId="0" borderId="4" xfId="1" applyNumberFormat="1" applyFont="1" applyBorder="1" applyAlignment="1">
      <alignment horizontal="center" vertical="center" wrapText="1"/>
    </xf>
    <xf numFmtId="165" fontId="26" fillId="0" borderId="4" xfId="1" applyNumberFormat="1" applyFont="1" applyBorder="1" applyAlignment="1">
      <alignment horizontal="center" vertical="center"/>
    </xf>
    <xf numFmtId="165" fontId="66" fillId="0" borderId="82" xfId="1" applyNumberFormat="1" applyFont="1" applyBorder="1" applyAlignment="1">
      <alignment horizontal="center" vertical="center" wrapText="1"/>
    </xf>
    <xf numFmtId="165" fontId="28" fillId="0" borderId="12" xfId="1" applyNumberFormat="1" applyFont="1" applyBorder="1" applyAlignment="1">
      <alignment horizontal="center" vertical="center"/>
    </xf>
    <xf numFmtId="165" fontId="58" fillId="0" borderId="82" xfId="1" applyNumberFormat="1" applyFont="1" applyBorder="1" applyAlignment="1">
      <alignment horizontal="center" vertical="center" wrapText="1"/>
    </xf>
    <xf numFmtId="165" fontId="27" fillId="0" borderId="12" xfId="1" applyNumberFormat="1" applyFont="1" applyBorder="1" applyAlignment="1">
      <alignment horizontal="center" vertical="center" wrapText="1"/>
    </xf>
    <xf numFmtId="165" fontId="29" fillId="0" borderId="12" xfId="1" applyNumberFormat="1" applyFont="1" applyBorder="1" applyAlignment="1">
      <alignment horizontal="center" vertical="center" wrapText="1"/>
    </xf>
    <xf numFmtId="165" fontId="26" fillId="0" borderId="12" xfId="1" applyNumberFormat="1" applyFont="1" applyBorder="1" applyAlignment="1">
      <alignment horizontal="center" vertical="center"/>
    </xf>
    <xf numFmtId="165" fontId="28" fillId="0"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wrapText="1"/>
    </xf>
    <xf numFmtId="9" fontId="58" fillId="0" borderId="63" xfId="1" applyFont="1" applyBorder="1" applyAlignment="1">
      <alignment horizontal="center" vertical="center"/>
    </xf>
    <xf numFmtId="166" fontId="0" fillId="0" borderId="0" xfId="0" applyNumberFormat="1" applyFont="1" applyAlignment="1"/>
    <xf numFmtId="166" fontId="0" fillId="0" borderId="12" xfId="0" applyNumberFormat="1" applyFont="1" applyBorder="1" applyAlignment="1"/>
    <xf numFmtId="166" fontId="0" fillId="0" borderId="4" xfId="0" applyNumberFormat="1" applyFont="1" applyBorder="1" applyAlignment="1"/>
    <xf numFmtId="165" fontId="0" fillId="0" borderId="0" xfId="1" applyNumberFormat="1" applyFont="1" applyAlignment="1"/>
    <xf numFmtId="165" fontId="0" fillId="0" borderId="7" xfId="1" applyNumberFormat="1" applyFont="1" applyBorder="1" applyAlignment="1"/>
    <xf numFmtId="165" fontId="0" fillId="0" borderId="4" xfId="1" applyNumberFormat="1" applyFont="1" applyBorder="1" applyAlignment="1"/>
    <xf numFmtId="165" fontId="0" fillId="0" borderId="8" xfId="1" applyNumberFormat="1" applyFont="1" applyBorder="1" applyAlignment="1"/>
    <xf numFmtId="165" fontId="0" fillId="0" borderId="12" xfId="1" applyNumberFormat="1" applyFont="1" applyBorder="1" applyAlignment="1"/>
    <xf numFmtId="165" fontId="0" fillId="0" borderId="15" xfId="1" applyNumberFormat="1" applyFont="1" applyBorder="1" applyAlignment="1"/>
    <xf numFmtId="165" fontId="0" fillId="0" borderId="0" xfId="1" applyNumberFormat="1" applyFont="1" applyBorder="1" applyAlignment="1"/>
    <xf numFmtId="167" fontId="24" fillId="0" borderId="12" xfId="1" applyNumberFormat="1" applyFont="1" applyBorder="1" applyAlignment="1">
      <alignment horizontal="center"/>
    </xf>
    <xf numFmtId="167" fontId="24" fillId="0" borderId="0" xfId="1" applyNumberFormat="1" applyFont="1" applyBorder="1" applyAlignment="1">
      <alignment horizontal="center"/>
    </xf>
    <xf numFmtId="167" fontId="24" fillId="0" borderId="4" xfId="1" applyNumberFormat="1" applyFont="1" applyBorder="1" applyAlignment="1">
      <alignment horizontal="center"/>
    </xf>
    <xf numFmtId="167" fontId="39" fillId="0" borderId="14" xfId="1" applyNumberFormat="1" applyFont="1" applyBorder="1" applyAlignment="1">
      <alignment horizontal="center"/>
    </xf>
    <xf numFmtId="167" fontId="25" fillId="0" borderId="0" xfId="1480" applyNumberFormat="1" applyFont="1" applyBorder="1" applyAlignment="1">
      <alignment horizontal="center" vertical="center"/>
    </xf>
    <xf numFmtId="167" fontId="25" fillId="0" borderId="4" xfId="1480" applyNumberFormat="1" applyFont="1" applyBorder="1" applyAlignment="1">
      <alignment horizontal="center" vertical="center"/>
    </xf>
    <xf numFmtId="167" fontId="25" fillId="0" borderId="12" xfId="1480" applyNumberFormat="1" applyFont="1" applyBorder="1" applyAlignment="1">
      <alignment horizontal="center" vertical="center"/>
    </xf>
    <xf numFmtId="167" fontId="24" fillId="0" borderId="0" xfId="1" applyNumberFormat="1" applyFont="1" applyFill="1" applyBorder="1" applyAlignment="1">
      <alignment horizontal="center"/>
    </xf>
    <xf numFmtId="0" fontId="28" fillId="0" borderId="0" xfId="1480" applyFont="1" applyFill="1" applyBorder="1" applyAlignment="1">
      <alignment vertical="center" wrapText="1"/>
    </xf>
    <xf numFmtId="0" fontId="0" fillId="0" borderId="0" xfId="1480" applyFont="1" applyFill="1" applyBorder="1" applyAlignment="1">
      <alignment vertical="center" wrapText="1"/>
    </xf>
    <xf numFmtId="1" fontId="66" fillId="0" borderId="5" xfId="0" applyNumberFormat="1" applyFont="1" applyFill="1" applyBorder="1" applyAlignment="1">
      <alignment horizontal="center"/>
    </xf>
    <xf numFmtId="1" fontId="66" fillId="0" borderId="1" xfId="0" applyNumberFormat="1" applyFont="1" applyFill="1" applyBorder="1" applyAlignment="1">
      <alignment horizontal="center"/>
    </xf>
    <xf numFmtId="167" fontId="25" fillId="0" borderId="4" xfId="1" applyNumberFormat="1" applyFont="1" applyBorder="1" applyAlignment="1">
      <alignment horizontal="center"/>
    </xf>
    <xf numFmtId="167" fontId="25" fillId="0" borderId="0" xfId="1" applyNumberFormat="1" applyFont="1" applyAlignment="1">
      <alignment horizontal="center"/>
    </xf>
    <xf numFmtId="166" fontId="58" fillId="0" borderId="1" xfId="0" applyNumberFormat="1" applyFont="1" applyFill="1" applyBorder="1" applyAlignment="1">
      <alignment horizontal="center"/>
    </xf>
    <xf numFmtId="166" fontId="58" fillId="0" borderId="14" xfId="0" applyNumberFormat="1" applyFont="1" applyFill="1" applyBorder="1" applyAlignment="1">
      <alignment horizontal="center"/>
    </xf>
    <xf numFmtId="166" fontId="58" fillId="0" borderId="5" xfId="0" applyNumberFormat="1" applyFont="1" applyBorder="1" applyAlignment="1">
      <alignment horizontal="center"/>
    </xf>
    <xf numFmtId="167" fontId="24" fillId="0" borderId="0" xfId="1480" applyNumberFormat="1" applyFont="1" applyBorder="1" applyAlignment="1">
      <alignment horizontal="center" vertical="center"/>
    </xf>
    <xf numFmtId="167" fontId="24" fillId="0" borderId="4" xfId="1480" applyNumberFormat="1" applyFont="1" applyBorder="1" applyAlignment="1">
      <alignment horizontal="center" vertical="center"/>
    </xf>
    <xf numFmtId="167" fontId="24" fillId="0" borderId="12" xfId="1480" applyNumberFormat="1" applyFont="1" applyBorder="1" applyAlignment="1">
      <alignment horizontal="center" vertical="center"/>
    </xf>
    <xf numFmtId="9" fontId="39" fillId="0" borderId="57" xfId="1" applyFont="1" applyBorder="1" applyAlignment="1">
      <alignment horizontal="center" vertical="center"/>
    </xf>
    <xf numFmtId="9" fontId="39" fillId="0" borderId="85" xfId="1" applyFont="1" applyBorder="1" applyAlignment="1">
      <alignment horizontal="center" vertical="center"/>
    </xf>
    <xf numFmtId="9" fontId="39" fillId="0" borderId="88" xfId="1" applyFont="1" applyBorder="1" applyAlignment="1">
      <alignment horizontal="center" vertical="center"/>
    </xf>
    <xf numFmtId="9" fontId="24" fillId="0" borderId="61" xfId="1" applyFont="1" applyBorder="1" applyAlignment="1">
      <alignment horizontal="center" vertical="center"/>
    </xf>
    <xf numFmtId="9" fontId="24" fillId="0" borderId="62" xfId="1" applyFont="1" applyBorder="1" applyAlignment="1">
      <alignment horizontal="center" vertical="center"/>
    </xf>
    <xf numFmtId="9" fontId="24" fillId="0" borderId="81" xfId="1" applyFont="1" applyBorder="1" applyAlignment="1">
      <alignment horizontal="center" vertical="center"/>
    </xf>
    <xf numFmtId="9" fontId="24" fillId="0" borderId="90" xfId="1" applyFont="1" applyBorder="1" applyAlignment="1">
      <alignment horizontal="center" vertical="center"/>
    </xf>
    <xf numFmtId="9" fontId="24" fillId="0" borderId="82" xfId="1" applyFont="1" applyBorder="1" applyAlignment="1">
      <alignment horizontal="center" vertical="center"/>
    </xf>
    <xf numFmtId="9" fontId="24" fillId="0" borderId="91" xfId="1" applyFont="1" applyBorder="1" applyAlignment="1">
      <alignment horizontal="center" vertical="center"/>
    </xf>
    <xf numFmtId="167" fontId="0" fillId="0" borderId="12" xfId="1" applyNumberFormat="1" applyFont="1" applyFill="1" applyBorder="1" applyAlignment="1">
      <alignment horizontal="center"/>
    </xf>
    <xf numFmtId="3" fontId="28" fillId="0" borderId="0" xfId="1480" applyNumberFormat="1" applyFont="1" applyFill="1" applyBorder="1" applyAlignment="1">
      <alignment horizontal="center" vertical="center"/>
    </xf>
    <xf numFmtId="167" fontId="25" fillId="0" borderId="0" xfId="1480" applyNumberFormat="1" applyFont="1" applyFill="1" applyBorder="1" applyAlignment="1">
      <alignment horizontal="center" vertical="center"/>
    </xf>
    <xf numFmtId="167" fontId="27" fillId="0" borderId="0" xfId="1480" applyNumberFormat="1" applyFont="1" applyFill="1" applyBorder="1" applyAlignment="1">
      <alignment horizontal="center" vertical="center" wrapText="1"/>
    </xf>
    <xf numFmtId="167" fontId="24" fillId="0" borderId="0" xfId="1480" applyNumberFormat="1" applyFont="1" applyFill="1" applyBorder="1" applyAlignment="1">
      <alignment horizontal="center" vertical="center"/>
    </xf>
    <xf numFmtId="9" fontId="24" fillId="0" borderId="61" xfId="1" applyFont="1" applyFill="1" applyBorder="1" applyAlignment="1">
      <alignment horizontal="center" vertical="center"/>
    </xf>
    <xf numFmtId="9" fontId="24" fillId="0" borderId="62" xfId="1" applyFont="1" applyFill="1" applyBorder="1" applyAlignment="1">
      <alignment horizontal="center" vertical="center"/>
    </xf>
    <xf numFmtId="9" fontId="39" fillId="0" borderId="57" xfId="1" applyFont="1" applyFill="1" applyBorder="1" applyAlignment="1">
      <alignment horizontal="center" vertical="center"/>
    </xf>
    <xf numFmtId="165" fontId="39" fillId="0" borderId="0" xfId="1" applyNumberFormat="1" applyFont="1" applyBorder="1" applyAlignment="1">
      <alignment horizontal="center" vertical="center"/>
    </xf>
    <xf numFmtId="165" fontId="39" fillId="0" borderId="4" xfId="1" applyNumberFormat="1" applyFont="1" applyBorder="1" applyAlignment="1">
      <alignment horizontal="center" vertical="center"/>
    </xf>
    <xf numFmtId="165" fontId="39" fillId="0" borderId="12" xfId="1" applyNumberFormat="1" applyFont="1" applyBorder="1" applyAlignment="1">
      <alignment horizontal="center" vertical="center"/>
    </xf>
    <xf numFmtId="3" fontId="39" fillId="0" borderId="57" xfId="1480" applyNumberFormat="1" applyFont="1" applyBorder="1" applyAlignment="1">
      <alignment horizontal="center" vertical="center"/>
    </xf>
    <xf numFmtId="3" fontId="39" fillId="0" borderId="85" xfId="1480" applyNumberFormat="1" applyFont="1" applyBorder="1" applyAlignment="1">
      <alignment horizontal="center" vertical="center"/>
    </xf>
    <xf numFmtId="167" fontId="39" fillId="0" borderId="57" xfId="1480" applyNumberFormat="1" applyFont="1" applyBorder="1" applyAlignment="1">
      <alignment horizontal="center" vertical="center"/>
    </xf>
    <xf numFmtId="167" fontId="39" fillId="0" borderId="85" xfId="1480" applyNumberFormat="1" applyFont="1" applyBorder="1" applyAlignment="1">
      <alignment horizontal="center" vertical="center"/>
    </xf>
    <xf numFmtId="167" fontId="39" fillId="0" borderId="88" xfId="1480" applyNumberFormat="1" applyFont="1" applyBorder="1" applyAlignment="1">
      <alignment horizontal="center" vertical="center"/>
    </xf>
    <xf numFmtId="165" fontId="24" fillId="0" borderId="61" xfId="1" applyNumberFormat="1" applyFont="1" applyBorder="1" applyAlignment="1">
      <alignment horizontal="center" vertical="center"/>
    </xf>
    <xf numFmtId="165" fontId="24" fillId="0" borderId="81" xfId="1" applyNumberFormat="1" applyFont="1" applyBorder="1" applyAlignment="1">
      <alignment horizontal="center" vertical="center"/>
    </xf>
    <xf numFmtId="165" fontId="24" fillId="0" borderId="82" xfId="1" applyNumberFormat="1" applyFont="1" applyBorder="1" applyAlignment="1">
      <alignment horizontal="center" vertical="center"/>
    </xf>
    <xf numFmtId="165" fontId="26" fillId="0" borderId="61" xfId="1" applyNumberFormat="1" applyFont="1" applyBorder="1" applyAlignment="1">
      <alignment horizontal="center" vertical="center"/>
    </xf>
    <xf numFmtId="165" fontId="26" fillId="0" borderId="81" xfId="1" applyNumberFormat="1" applyFont="1" applyBorder="1" applyAlignment="1">
      <alignment horizontal="center" vertical="center"/>
    </xf>
    <xf numFmtId="165" fontId="26" fillId="0" borderId="57" xfId="1" applyNumberFormat="1" applyFont="1" applyBorder="1" applyAlignment="1">
      <alignment horizontal="center" vertical="center"/>
    </xf>
    <xf numFmtId="165" fontId="26" fillId="0" borderId="85" xfId="1" applyNumberFormat="1" applyFont="1" applyBorder="1" applyAlignment="1">
      <alignment horizontal="center" vertical="center"/>
    </xf>
    <xf numFmtId="0" fontId="97" fillId="0" borderId="0" xfId="1480" applyFont="1" applyFill="1" applyBorder="1" applyAlignment="1">
      <alignment vertical="center" wrapText="1"/>
    </xf>
    <xf numFmtId="167" fontId="66" fillId="0" borderId="64" xfId="1480" applyNumberFormat="1" applyFont="1" applyBorder="1" applyAlignment="1">
      <alignment horizontal="center" vertical="center" wrapText="1"/>
    </xf>
    <xf numFmtId="167" fontId="28" fillId="0" borderId="22" xfId="1480" applyNumberFormat="1" applyFont="1" applyBorder="1" applyAlignment="1">
      <alignment horizontal="center" vertical="center"/>
    </xf>
    <xf numFmtId="167" fontId="39" fillId="0" borderId="22" xfId="1480" applyNumberFormat="1" applyFont="1" applyBorder="1" applyAlignment="1">
      <alignment horizontal="center" vertical="center"/>
    </xf>
    <xf numFmtId="167" fontId="58" fillId="0" borderId="64" xfId="1480" applyNumberFormat="1" applyFont="1" applyBorder="1" applyAlignment="1">
      <alignment horizontal="center" vertical="center" wrapText="1"/>
    </xf>
    <xf numFmtId="167" fontId="27" fillId="0" borderId="22" xfId="1480" applyNumberFormat="1" applyFont="1" applyBorder="1" applyAlignment="1">
      <alignment horizontal="center" vertical="center" wrapText="1"/>
    </xf>
    <xf numFmtId="167" fontId="39" fillId="0" borderId="66" xfId="1480" applyNumberFormat="1" applyFont="1" applyBorder="1" applyAlignment="1">
      <alignment horizontal="center" vertical="center"/>
    </xf>
    <xf numFmtId="3" fontId="39" fillId="0" borderId="12" xfId="0" applyNumberFormat="1" applyFont="1" applyBorder="1" applyAlignment="1">
      <alignment horizontal="center"/>
    </xf>
    <xf numFmtId="3" fontId="39" fillId="0" borderId="4" xfId="0" applyNumberFormat="1" applyFont="1" applyBorder="1" applyAlignment="1">
      <alignment horizontal="center"/>
    </xf>
    <xf numFmtId="3" fontId="39" fillId="0" borderId="0" xfId="0" applyNumberFormat="1" applyFont="1" applyFill="1" applyBorder="1" applyAlignment="1">
      <alignment horizontal="center"/>
    </xf>
    <xf numFmtId="3" fontId="0" fillId="0" borderId="0" xfId="0" applyNumberFormat="1" applyFont="1" applyBorder="1"/>
    <xf numFmtId="0" fontId="124" fillId="0" borderId="0" xfId="792" applyFont="1"/>
    <xf numFmtId="1" fontId="45" fillId="0" borderId="0" xfId="1" applyNumberFormat="1" applyFont="1" applyBorder="1" applyAlignment="1">
      <alignment horizontal="center"/>
    </xf>
    <xf numFmtId="1" fontId="45" fillId="0" borderId="12" xfId="1" applyNumberFormat="1" applyFont="1" applyBorder="1" applyAlignment="1">
      <alignment horizontal="center"/>
    </xf>
    <xf numFmtId="1" fontId="45" fillId="0" borderId="4" xfId="1" applyNumberFormat="1" applyFont="1" applyBorder="1" applyAlignment="1">
      <alignment horizontal="center"/>
    </xf>
    <xf numFmtId="1" fontId="45" fillId="0" borderId="0" xfId="1" applyNumberFormat="1" applyFont="1" applyFill="1" applyBorder="1" applyAlignment="1">
      <alignment horizontal="center"/>
    </xf>
    <xf numFmtId="165" fontId="28" fillId="0" borderId="0" xfId="1" applyNumberFormat="1" applyFont="1" applyAlignment="1">
      <alignment horizontal="center"/>
    </xf>
    <xf numFmtId="1" fontId="45" fillId="0" borderId="0" xfId="0" applyNumberFormat="1" applyFont="1"/>
    <xf numFmtId="3" fontId="29" fillId="0" borderId="9" xfId="1480" applyNumberFormat="1" applyFont="1" applyBorder="1" applyAlignment="1">
      <alignment horizontal="center" vertical="center" wrapText="1"/>
    </xf>
    <xf numFmtId="3" fontId="29" fillId="0" borderId="1" xfId="1480" applyNumberFormat="1" applyFont="1" applyBorder="1" applyAlignment="1">
      <alignment horizontal="center" vertical="center" wrapText="1"/>
    </xf>
    <xf numFmtId="3" fontId="29" fillId="0" borderId="5" xfId="1480" applyNumberFormat="1" applyFont="1" applyBorder="1" applyAlignment="1">
      <alignment horizontal="center" vertical="center" wrapText="1"/>
    </xf>
    <xf numFmtId="3" fontId="29" fillId="0" borderId="14" xfId="1480" applyNumberFormat="1" applyFont="1" applyBorder="1" applyAlignment="1">
      <alignment horizontal="center" vertical="center" wrapText="1"/>
    </xf>
    <xf numFmtId="3" fontId="66" fillId="0" borderId="1" xfId="1480" applyNumberFormat="1" applyFont="1" applyBorder="1" applyAlignment="1">
      <alignment horizontal="center" vertical="center" wrapText="1"/>
    </xf>
    <xf numFmtId="167" fontId="28" fillId="0" borderId="61" xfId="1480" applyNumberFormat="1" applyFont="1" applyBorder="1" applyAlignment="1">
      <alignment horizontal="center" vertical="center"/>
    </xf>
    <xf numFmtId="167" fontId="28" fillId="0" borderId="81" xfId="1480" applyNumberFormat="1" applyFont="1" applyBorder="1" applyAlignment="1">
      <alignment horizontal="center" vertical="center"/>
    </xf>
    <xf numFmtId="167" fontId="28" fillId="0" borderId="61" xfId="1480" applyNumberFormat="1" applyFont="1" applyFill="1" applyBorder="1" applyAlignment="1">
      <alignment horizontal="center" vertical="center"/>
    </xf>
    <xf numFmtId="167" fontId="28" fillId="0" borderId="82" xfId="1480" applyNumberFormat="1" applyFont="1" applyBorder="1" applyAlignment="1">
      <alignment horizontal="center" vertical="center"/>
    </xf>
    <xf numFmtId="0" fontId="28" fillId="0" borderId="62" xfId="1480" applyFont="1" applyBorder="1" applyAlignment="1">
      <alignment vertical="center" wrapText="1"/>
    </xf>
    <xf numFmtId="167" fontId="28" fillId="0" borderId="64" xfId="1480" applyNumberFormat="1" applyFont="1" applyBorder="1" applyAlignment="1">
      <alignment horizontal="center" vertical="center"/>
    </xf>
    <xf numFmtId="3" fontId="25" fillId="0" borderId="22" xfId="1480" applyNumberFormat="1" applyFont="1" applyBorder="1" applyAlignment="1">
      <alignment horizontal="center" vertical="center" wrapText="1"/>
    </xf>
    <xf numFmtId="3" fontId="25" fillId="0" borderId="0" xfId="1480" applyNumberFormat="1" applyFont="1" applyBorder="1" applyAlignment="1">
      <alignment horizontal="center" vertical="center" wrapText="1"/>
    </xf>
    <xf numFmtId="3" fontId="25" fillId="0" borderId="4" xfId="1480" applyNumberFormat="1" applyFont="1" applyBorder="1" applyAlignment="1">
      <alignment horizontal="center" vertical="center" wrapText="1"/>
    </xf>
    <xf numFmtId="3" fontId="25" fillId="0" borderId="12" xfId="1480" applyNumberFormat="1" applyFont="1" applyBorder="1" applyAlignment="1">
      <alignment horizontal="center" vertical="center" wrapText="1"/>
    </xf>
    <xf numFmtId="0" fontId="44" fillId="0" borderId="0" xfId="1480" applyFont="1" applyAlignment="1">
      <alignment horizontal="center"/>
    </xf>
    <xf numFmtId="9" fontId="28" fillId="0" borderId="0" xfId="1" applyFont="1" applyAlignment="1">
      <alignment horizontal="center" vertical="center" wrapText="1"/>
    </xf>
    <xf numFmtId="165" fontId="39" fillId="0" borderId="63" xfId="1" applyNumberFormat="1" applyFont="1" applyBorder="1" applyAlignment="1">
      <alignment horizontal="center" vertical="center"/>
    </xf>
    <xf numFmtId="165" fontId="28" fillId="0" borderId="0" xfId="1" applyNumberFormat="1" applyFont="1" applyAlignment="1">
      <alignment horizontal="center" vertical="center" wrapText="1"/>
    </xf>
    <xf numFmtId="9" fontId="58" fillId="0" borderId="94" xfId="1" applyFont="1" applyBorder="1" applyAlignment="1">
      <alignment horizontal="center" vertical="center"/>
    </xf>
    <xf numFmtId="9" fontId="58" fillId="0" borderId="84" xfId="1" applyFont="1" applyBorder="1" applyAlignment="1">
      <alignment horizontal="center" vertical="center"/>
    </xf>
    <xf numFmtId="9" fontId="58" fillId="0" borderId="87" xfId="1" applyFont="1" applyBorder="1" applyAlignment="1">
      <alignment horizontal="center" vertical="center"/>
    </xf>
    <xf numFmtId="165" fontId="26" fillId="0" borderId="1" xfId="1" applyNumberFormat="1" applyFont="1" applyBorder="1" applyAlignment="1">
      <alignment horizontal="center" vertical="center"/>
    </xf>
    <xf numFmtId="165" fontId="28" fillId="0" borderId="7" xfId="1" applyNumberFormat="1" applyFont="1" applyBorder="1" applyAlignment="1">
      <alignment horizontal="center" vertical="center"/>
    </xf>
    <xf numFmtId="165" fontId="26" fillId="0" borderId="5" xfId="1" applyNumberFormat="1" applyFont="1" applyBorder="1" applyAlignment="1">
      <alignment horizontal="center" vertical="center"/>
    </xf>
    <xf numFmtId="165" fontId="28" fillId="0" borderId="8" xfId="1" applyNumberFormat="1" applyFont="1" applyBorder="1" applyAlignment="1">
      <alignment horizontal="center" vertical="center"/>
    </xf>
    <xf numFmtId="165" fontId="26" fillId="0" borderId="14" xfId="1" applyNumberFormat="1" applyFont="1" applyBorder="1" applyAlignment="1">
      <alignment horizontal="center" vertical="center"/>
    </xf>
    <xf numFmtId="165" fontId="28" fillId="0" borderId="15" xfId="1" applyNumberFormat="1" applyFont="1" applyBorder="1" applyAlignment="1">
      <alignment horizontal="center" vertical="center"/>
    </xf>
    <xf numFmtId="165" fontId="28" fillId="0" borderId="7" xfId="1" applyNumberFormat="1" applyFont="1" applyFill="1" applyBorder="1" applyAlignment="1">
      <alignment horizontal="center" vertical="center"/>
    </xf>
    <xf numFmtId="165" fontId="25" fillId="0" borderId="0" xfId="1" applyNumberFormat="1" applyFont="1" applyBorder="1" applyAlignment="1">
      <alignment horizontal="center" vertical="center" wrapText="1"/>
    </xf>
    <xf numFmtId="165" fontId="66" fillId="0" borderId="4" xfId="1" applyNumberFormat="1" applyFont="1" applyBorder="1" applyAlignment="1">
      <alignment horizontal="center" vertical="center" wrapText="1"/>
    </xf>
    <xf numFmtId="165" fontId="66" fillId="0" borderId="12" xfId="1" applyNumberFormat="1" applyFont="1" applyBorder="1" applyAlignment="1">
      <alignment horizontal="center" vertical="center" wrapText="1"/>
    </xf>
    <xf numFmtId="165" fontId="24" fillId="0" borderId="0" xfId="1" applyNumberFormat="1" applyFont="1" applyBorder="1" applyAlignment="1">
      <alignment horizontal="center" vertical="center"/>
    </xf>
    <xf numFmtId="165" fontId="24" fillId="0" borderId="4" xfId="1" applyNumberFormat="1" applyFont="1" applyBorder="1" applyAlignment="1">
      <alignment horizontal="center" vertical="center"/>
    </xf>
    <xf numFmtId="165" fontId="24" fillId="0" borderId="12" xfId="1" applyNumberFormat="1" applyFont="1" applyBorder="1" applyAlignment="1">
      <alignment horizontal="center" vertical="center"/>
    </xf>
    <xf numFmtId="0" fontId="28" fillId="0" borderId="0" xfId="1480" applyFont="1" applyBorder="1" applyAlignment="1">
      <alignment horizontal="center"/>
    </xf>
    <xf numFmtId="0" fontId="28" fillId="0" borderId="0" xfId="1480" applyFont="1" applyBorder="1" applyAlignment="1">
      <alignment horizontal="left" vertical="center" wrapText="1"/>
    </xf>
    <xf numFmtId="165" fontId="28" fillId="0" borderId="22" xfId="1" applyNumberFormat="1" applyFont="1" applyBorder="1" applyAlignment="1">
      <alignment horizontal="center" vertical="center"/>
    </xf>
    <xf numFmtId="165" fontId="66" fillId="0" borderId="64" xfId="1" applyNumberFormat="1" applyFont="1" applyBorder="1" applyAlignment="1">
      <alignment horizontal="center" vertical="center" wrapText="1"/>
    </xf>
    <xf numFmtId="165" fontId="27" fillId="0" borderId="22" xfId="1" applyNumberFormat="1" applyFont="1" applyBorder="1" applyAlignment="1">
      <alignment horizontal="center" vertical="center" wrapText="1"/>
    </xf>
    <xf numFmtId="165" fontId="29" fillId="0" borderId="22" xfId="1" applyNumberFormat="1" applyFont="1" applyBorder="1" applyAlignment="1">
      <alignment horizontal="center" vertical="center" wrapText="1"/>
    </xf>
    <xf numFmtId="165" fontId="26" fillId="0" borderId="22" xfId="1" applyNumberFormat="1" applyFont="1" applyBorder="1" applyAlignment="1">
      <alignment horizontal="center" vertical="center"/>
    </xf>
    <xf numFmtId="165" fontId="26" fillId="0" borderId="9" xfId="1" applyNumberFormat="1" applyFont="1" applyBorder="1" applyAlignment="1">
      <alignment horizontal="center" vertical="center"/>
    </xf>
    <xf numFmtId="165" fontId="66" fillId="0" borderId="22" xfId="1" applyNumberFormat="1" applyFont="1" applyBorder="1" applyAlignment="1">
      <alignment horizontal="center" vertical="center" wrapText="1"/>
    </xf>
    <xf numFmtId="165" fontId="28" fillId="0" borderId="23" xfId="1" applyNumberFormat="1" applyFont="1" applyBorder="1" applyAlignment="1">
      <alignment horizontal="center" vertical="center"/>
    </xf>
    <xf numFmtId="165" fontId="24" fillId="0" borderId="64" xfId="1" applyNumberFormat="1" applyFont="1" applyBorder="1" applyAlignment="1">
      <alignment horizontal="center" vertical="center"/>
    </xf>
    <xf numFmtId="165" fontId="24" fillId="0" borderId="22" xfId="1" applyNumberFormat="1" applyFont="1" applyBorder="1" applyAlignment="1">
      <alignment horizontal="center" vertical="center"/>
    </xf>
    <xf numFmtId="165" fontId="28" fillId="0" borderId="64" xfId="1" applyNumberFormat="1" applyFont="1" applyBorder="1" applyAlignment="1">
      <alignment horizontal="center" vertical="center"/>
    </xf>
    <xf numFmtId="165" fontId="28" fillId="0" borderId="61" xfId="1" applyNumberFormat="1" applyFont="1" applyBorder="1" applyAlignment="1">
      <alignment horizontal="center" vertical="center"/>
    </xf>
    <xf numFmtId="165" fontId="28" fillId="0" borderId="81" xfId="1" applyNumberFormat="1" applyFont="1" applyBorder="1" applyAlignment="1">
      <alignment horizontal="center" vertical="center"/>
    </xf>
    <xf numFmtId="165" fontId="28" fillId="0" borderId="82" xfId="1" applyNumberFormat="1" applyFont="1" applyBorder="1" applyAlignment="1">
      <alignment horizontal="center" vertical="center"/>
    </xf>
    <xf numFmtId="165" fontId="28" fillId="0" borderId="61" xfId="1" applyNumberFormat="1" applyFont="1" applyFill="1" applyBorder="1" applyAlignment="1">
      <alignment horizontal="center" vertical="center"/>
    </xf>
    <xf numFmtId="165" fontId="66" fillId="0" borderId="66" xfId="1" applyNumberFormat="1" applyFont="1" applyBorder="1" applyAlignment="1">
      <alignment horizontal="center" vertical="center" wrapText="1"/>
    </xf>
    <xf numFmtId="165" fontId="66" fillId="0" borderId="57" xfId="1" applyNumberFormat="1" applyFont="1" applyBorder="1" applyAlignment="1">
      <alignment horizontal="center" vertical="center" wrapText="1"/>
    </xf>
    <xf numFmtId="165" fontId="66" fillId="0" borderId="85" xfId="1" applyNumberFormat="1" applyFont="1" applyBorder="1" applyAlignment="1">
      <alignment horizontal="center" vertical="center" wrapText="1"/>
    </xf>
    <xf numFmtId="165" fontId="66" fillId="0" borderId="88" xfId="1" applyNumberFormat="1" applyFont="1" applyBorder="1" applyAlignment="1">
      <alignment horizontal="center" vertical="center" wrapText="1"/>
    </xf>
    <xf numFmtId="165" fontId="58" fillId="0" borderId="22" xfId="1" applyNumberFormat="1" applyFont="1" applyBorder="1" applyAlignment="1">
      <alignment horizontal="center" vertical="center"/>
    </xf>
    <xf numFmtId="165" fontId="58" fillId="0" borderId="0" xfId="1" applyNumberFormat="1" applyFont="1" applyBorder="1" applyAlignment="1">
      <alignment horizontal="center" vertical="center"/>
    </xf>
    <xf numFmtId="165" fontId="58" fillId="0" borderId="4" xfId="1" applyNumberFormat="1" applyFont="1" applyBorder="1" applyAlignment="1">
      <alignment horizontal="center" vertical="center"/>
    </xf>
    <xf numFmtId="165" fontId="58" fillId="0" borderId="12" xfId="1" applyNumberFormat="1" applyFont="1" applyBorder="1" applyAlignment="1">
      <alignment horizontal="center" vertical="center"/>
    </xf>
    <xf numFmtId="0" fontId="26" fillId="0" borderId="25" xfId="1480" applyFont="1" applyBorder="1" applyAlignment="1">
      <alignment horizontal="center" vertical="center" wrapText="1"/>
    </xf>
    <xf numFmtId="0" fontId="0" fillId="0" borderId="22" xfId="1480" applyFont="1" applyBorder="1" applyAlignment="1">
      <alignment horizontal="center" vertical="center" wrapText="1"/>
    </xf>
    <xf numFmtId="3" fontId="58" fillId="0" borderId="0" xfId="1480" applyNumberFormat="1" applyFont="1" applyBorder="1" applyAlignment="1">
      <alignment horizontal="center" vertical="center" wrapText="1"/>
    </xf>
    <xf numFmtId="0" fontId="22" fillId="0" borderId="22" xfId="1480" applyFont="1" applyBorder="1" applyAlignment="1">
      <alignment horizontal="center" vertical="center" wrapText="1"/>
    </xf>
    <xf numFmtId="0" fontId="22" fillId="0" borderId="25" xfId="1480" applyFont="1" applyBorder="1" applyAlignment="1">
      <alignment horizontal="center" vertical="center" wrapText="1"/>
    </xf>
    <xf numFmtId="9" fontId="66" fillId="0" borderId="22" xfId="1" applyFont="1" applyBorder="1" applyAlignment="1">
      <alignment horizontal="center" vertical="center" wrapText="1"/>
    </xf>
    <xf numFmtId="9" fontId="66" fillId="0" borderId="0" xfId="1" applyFont="1" applyBorder="1" applyAlignment="1">
      <alignment horizontal="center" vertical="center" wrapText="1"/>
    </xf>
    <xf numFmtId="9" fontId="66" fillId="0" borderId="4" xfId="1" applyFont="1" applyBorder="1" applyAlignment="1">
      <alignment horizontal="center" vertical="center" wrapText="1"/>
    </xf>
    <xf numFmtId="9" fontId="66" fillId="0" borderId="12" xfId="1" applyFont="1" applyBorder="1" applyAlignment="1">
      <alignment horizontal="center" vertical="center" wrapText="1"/>
    </xf>
    <xf numFmtId="0" fontId="0" fillId="0" borderId="25" xfId="1480" applyFont="1" applyBorder="1" applyAlignment="1">
      <alignment horizontal="center" vertical="center" wrapText="1"/>
    </xf>
    <xf numFmtId="0" fontId="97" fillId="0" borderId="65" xfId="1480" applyFont="1" applyBorder="1" applyAlignment="1">
      <alignment horizontal="center" vertical="center" wrapText="1"/>
    </xf>
    <xf numFmtId="0" fontId="97" fillId="0" borderId="97" xfId="1480" applyFont="1" applyBorder="1" applyAlignment="1">
      <alignment horizontal="center" vertical="center" wrapText="1"/>
    </xf>
    <xf numFmtId="0" fontId="125" fillId="0" borderId="57" xfId="0" applyFont="1" applyBorder="1" applyAlignment="1">
      <alignment horizontal="center" vertical="center"/>
    </xf>
    <xf numFmtId="0" fontId="39" fillId="0" borderId="72" xfId="1480" applyFont="1" applyBorder="1" applyAlignment="1">
      <alignment horizontal="center"/>
    </xf>
    <xf numFmtId="0" fontId="39" fillId="0" borderId="69" xfId="1480" applyFont="1" applyBorder="1" applyAlignment="1">
      <alignment horizontal="center"/>
    </xf>
    <xf numFmtId="9" fontId="23" fillId="0" borderId="22" xfId="1" applyFont="1" applyBorder="1" applyAlignment="1">
      <alignment horizontal="center" vertical="center" wrapText="1"/>
    </xf>
    <xf numFmtId="9" fontId="23" fillId="0" borderId="0" xfId="1" applyFont="1" applyBorder="1" applyAlignment="1">
      <alignment horizontal="center" vertical="center" wrapText="1"/>
    </xf>
    <xf numFmtId="9" fontId="23" fillId="0" borderId="4" xfId="1" applyFont="1" applyBorder="1" applyAlignment="1">
      <alignment horizontal="center" vertical="center" wrapText="1"/>
    </xf>
    <xf numFmtId="9" fontId="23" fillId="0" borderId="12" xfId="1" applyFont="1" applyBorder="1" applyAlignment="1">
      <alignment horizontal="center" vertical="center" wrapText="1"/>
    </xf>
    <xf numFmtId="167" fontId="22" fillId="0" borderId="0" xfId="1480" applyNumberFormat="1" applyFont="1" applyBorder="1" applyAlignment="1">
      <alignment horizontal="center" vertical="center"/>
    </xf>
    <xf numFmtId="0" fontId="22" fillId="0" borderId="69" xfId="1480" applyFont="1" applyBorder="1" applyAlignment="1">
      <alignment horizontal="center"/>
    </xf>
    <xf numFmtId="172" fontId="26" fillId="0" borderId="62" xfId="1480" applyNumberFormat="1" applyFont="1" applyBorder="1" applyAlignment="1">
      <alignment horizontal="center" vertical="center"/>
    </xf>
    <xf numFmtId="0" fontId="22" fillId="0" borderId="64" xfId="1480" applyFont="1" applyBorder="1" applyAlignment="1">
      <alignment horizontal="center" vertical="center" wrapText="1"/>
    </xf>
    <xf numFmtId="0" fontId="22" fillId="0" borderId="96" xfId="1480" applyFont="1" applyBorder="1" applyAlignment="1">
      <alignment horizontal="center" vertical="center" wrapText="1"/>
    </xf>
    <xf numFmtId="3" fontId="23" fillId="0" borderId="64" xfId="1480" applyNumberFormat="1" applyFont="1" applyBorder="1" applyAlignment="1">
      <alignment horizontal="center" vertical="center" wrapText="1"/>
    </xf>
    <xf numFmtId="3" fontId="23" fillId="0" borderId="22" xfId="1480" applyNumberFormat="1" applyFont="1" applyBorder="1" applyAlignment="1">
      <alignment horizontal="center" vertical="center" wrapText="1"/>
    </xf>
    <xf numFmtId="3" fontId="23" fillId="0" borderId="61" xfId="1480" applyNumberFormat="1" applyFont="1" applyBorder="1" applyAlignment="1">
      <alignment horizontal="center" vertical="center" wrapText="1"/>
    </xf>
    <xf numFmtId="3" fontId="23" fillId="0" borderId="0" xfId="1480" applyNumberFormat="1" applyFont="1" applyBorder="1" applyAlignment="1">
      <alignment horizontal="center" vertical="center" wrapText="1"/>
    </xf>
    <xf numFmtId="3" fontId="23" fillId="0" borderId="81" xfId="1480" applyNumberFormat="1" applyFont="1" applyBorder="1" applyAlignment="1">
      <alignment horizontal="center" vertical="center" wrapText="1"/>
    </xf>
    <xf numFmtId="3" fontId="23" fillId="0" borderId="4" xfId="1480" applyNumberFormat="1" applyFont="1" applyBorder="1" applyAlignment="1">
      <alignment horizontal="center" vertical="center" wrapText="1"/>
    </xf>
    <xf numFmtId="3" fontId="23" fillId="0" borderId="82" xfId="1480" applyNumberFormat="1" applyFont="1" applyBorder="1" applyAlignment="1">
      <alignment horizontal="center" vertical="center" wrapText="1"/>
    </xf>
    <xf numFmtId="3" fontId="23" fillId="0" borderId="12" xfId="1480" applyNumberFormat="1" applyFont="1" applyBorder="1" applyAlignment="1">
      <alignment horizontal="center" vertical="center" wrapText="1"/>
    </xf>
    <xf numFmtId="0" fontId="44" fillId="0" borderId="25" xfId="0" applyFont="1" applyBorder="1" applyAlignment="1">
      <alignment horizontal="center"/>
    </xf>
    <xf numFmtId="0" fontId="44" fillId="0" borderId="105" xfId="1480" applyFont="1" applyBorder="1" applyAlignment="1">
      <alignment horizontal="center"/>
    </xf>
    <xf numFmtId="9" fontId="23" fillId="0" borderId="0" xfId="1" applyNumberFormat="1" applyFont="1" applyBorder="1" applyAlignment="1">
      <alignment horizontal="center" vertical="center" wrapText="1"/>
    </xf>
    <xf numFmtId="0" fontId="125" fillId="0" borderId="0" xfId="0" applyFont="1" applyBorder="1" applyAlignment="1">
      <alignment horizontal="center" vertical="center"/>
    </xf>
    <xf numFmtId="9" fontId="23" fillId="0" borderId="61" xfId="1" applyFont="1" applyBorder="1" applyAlignment="1">
      <alignment horizontal="center" vertical="center" wrapText="1"/>
    </xf>
    <xf numFmtId="9" fontId="23" fillId="0" borderId="81" xfId="1" applyFont="1" applyBorder="1" applyAlignment="1">
      <alignment horizontal="center" vertical="center" wrapText="1"/>
    </xf>
    <xf numFmtId="9" fontId="23" fillId="0" borderId="82" xfId="1" applyFont="1" applyBorder="1" applyAlignment="1">
      <alignment horizontal="center" vertical="center" wrapText="1"/>
    </xf>
    <xf numFmtId="9" fontId="23" fillId="0" borderId="61" xfId="1" applyNumberFormat="1" applyFont="1" applyBorder="1" applyAlignment="1">
      <alignment horizontal="center" vertical="center" wrapText="1"/>
    </xf>
    <xf numFmtId="167" fontId="22" fillId="0" borderId="61" xfId="1480" applyNumberFormat="1" applyFont="1" applyBorder="1" applyAlignment="1">
      <alignment horizontal="center" vertical="center"/>
    </xf>
    <xf numFmtId="0" fontId="22" fillId="0" borderId="68" xfId="1480" applyFont="1" applyBorder="1" applyAlignment="1">
      <alignment horizontal="center"/>
    </xf>
    <xf numFmtId="0" fontId="97" fillId="0" borderId="22" xfId="1480" applyFont="1" applyBorder="1" applyAlignment="1">
      <alignment horizontal="center" vertical="center" wrapText="1"/>
    </xf>
    <xf numFmtId="10" fontId="44" fillId="0" borderId="0" xfId="1480" applyNumberFormat="1" applyFont="1" applyAlignment="1">
      <alignment horizontal="center"/>
    </xf>
    <xf numFmtId="0" fontId="65" fillId="0" borderId="0" xfId="1480" applyFont="1" applyAlignment="1">
      <alignment horizontal="center"/>
    </xf>
    <xf numFmtId="0" fontId="44" fillId="0" borderId="0" xfId="1480" applyFont="1" applyAlignment="1">
      <alignment horizontal="center" vertical="center"/>
    </xf>
    <xf numFmtId="10" fontId="44" fillId="0" borderId="0" xfId="1480" applyNumberFormat="1" applyFont="1" applyAlignment="1">
      <alignment horizontal="center" vertical="center"/>
    </xf>
    <xf numFmtId="0" fontId="65" fillId="0" borderId="0" xfId="1480" applyFont="1" applyAlignment="1">
      <alignment horizontal="center" vertical="center"/>
    </xf>
    <xf numFmtId="0" fontId="39" fillId="0" borderId="57" xfId="1480" applyFont="1" applyBorder="1"/>
    <xf numFmtId="0" fontId="0" fillId="0" borderId="0" xfId="1480" applyFont="1" applyBorder="1" applyAlignment="1">
      <alignment horizontal="center" vertical="center" wrapText="1"/>
    </xf>
    <xf numFmtId="0" fontId="28" fillId="0" borderId="0" xfId="1480" applyFont="1" applyBorder="1" applyAlignment="1">
      <alignment horizontal="center" vertical="center" wrapText="1"/>
    </xf>
    <xf numFmtId="0" fontId="26" fillId="0" borderId="25" xfId="1480" applyFont="1" applyBorder="1" applyAlignment="1">
      <alignment horizontal="center" vertical="center" wrapText="1"/>
    </xf>
    <xf numFmtId="0" fontId="39" fillId="0" borderId="96" xfId="1480" applyFont="1" applyBorder="1" applyAlignment="1">
      <alignment horizontal="center" vertical="center" wrapText="1"/>
    </xf>
    <xf numFmtId="0" fontId="0" fillId="0" borderId="0" xfId="1480" applyFont="1" applyFill="1" applyBorder="1" applyAlignment="1">
      <alignment horizontal="center" vertical="center" wrapText="1"/>
    </xf>
    <xf numFmtId="0" fontId="0" fillId="0" borderId="65" xfId="1480" applyFont="1" applyBorder="1" applyAlignment="1">
      <alignment horizontal="center" vertical="center" wrapText="1"/>
    </xf>
    <xf numFmtId="0" fontId="0" fillId="0" borderId="22" xfId="1480" applyFont="1" applyFill="1" applyBorder="1" applyAlignment="1">
      <alignment horizontal="center" vertical="center" wrapText="1"/>
    </xf>
    <xf numFmtId="0" fontId="97" fillId="0" borderId="0" xfId="1480" applyFont="1" applyAlignment="1">
      <alignment horizontal="center" vertical="center" wrapText="1"/>
    </xf>
    <xf numFmtId="9" fontId="21" fillId="0" borderId="66" xfId="1" applyFont="1" applyBorder="1" applyAlignment="1">
      <alignment horizontal="center" vertical="center"/>
    </xf>
    <xf numFmtId="9" fontId="21" fillId="0" borderId="57" xfId="1" applyFont="1" applyBorder="1" applyAlignment="1">
      <alignment horizontal="center" vertical="center"/>
    </xf>
    <xf numFmtId="9" fontId="21" fillId="0" borderId="85" xfId="1" applyFont="1" applyBorder="1" applyAlignment="1">
      <alignment horizontal="center" vertical="center"/>
    </xf>
    <xf numFmtId="9" fontId="21" fillId="0" borderId="88" xfId="1" applyFont="1" applyBorder="1" applyAlignment="1">
      <alignment horizontal="center" vertical="center"/>
    </xf>
    <xf numFmtId="0" fontId="44" fillId="0" borderId="110" xfId="0" applyFont="1" applyBorder="1" applyAlignment="1">
      <alignment horizontal="center"/>
    </xf>
    <xf numFmtId="0" fontId="44" fillId="0" borderId="109" xfId="1480" applyFont="1" applyBorder="1" applyAlignment="1">
      <alignment horizontal="center"/>
    </xf>
    <xf numFmtId="0" fontId="115" fillId="0" borderId="0" xfId="0" applyFont="1" applyAlignment="1">
      <alignment horizontal="center"/>
    </xf>
    <xf numFmtId="167" fontId="24" fillId="0" borderId="57" xfId="1480" applyNumberFormat="1" applyFont="1" applyBorder="1" applyAlignment="1">
      <alignment horizontal="center" vertical="center"/>
    </xf>
    <xf numFmtId="167" fontId="24" fillId="0" borderId="85" xfId="1480" applyNumberFormat="1" applyFont="1" applyBorder="1" applyAlignment="1">
      <alignment horizontal="center" vertical="center"/>
    </xf>
    <xf numFmtId="167" fontId="24" fillId="0" borderId="57" xfId="1480" applyNumberFormat="1" applyFont="1" applyFill="1" applyBorder="1" applyAlignment="1">
      <alignment horizontal="center" vertical="center"/>
    </xf>
    <xf numFmtId="167" fontId="24" fillId="0" borderId="88" xfId="1480" applyNumberFormat="1" applyFont="1" applyBorder="1" applyAlignment="1">
      <alignment horizontal="center" vertical="center"/>
    </xf>
    <xf numFmtId="167" fontId="26" fillId="0" borderId="57" xfId="1480" applyNumberFormat="1" applyFont="1" applyBorder="1" applyAlignment="1">
      <alignment horizontal="center" vertical="center"/>
    </xf>
    <xf numFmtId="167" fontId="26" fillId="0" borderId="85" xfId="1480" applyNumberFormat="1" applyFont="1" applyBorder="1" applyAlignment="1">
      <alignment horizontal="center" vertical="center"/>
    </xf>
    <xf numFmtId="167" fontId="29" fillId="0" borderId="22" xfId="1480" applyNumberFormat="1" applyFont="1" applyBorder="1" applyAlignment="1">
      <alignment horizontal="center" vertical="center" wrapText="1"/>
    </xf>
    <xf numFmtId="167" fontId="25" fillId="0" borderId="22" xfId="1480" applyNumberFormat="1" applyFont="1" applyBorder="1" applyAlignment="1">
      <alignment horizontal="center" vertical="center"/>
    </xf>
    <xf numFmtId="167" fontId="24" fillId="0" borderId="66" xfId="1480" applyNumberFormat="1" applyFont="1" applyBorder="1" applyAlignment="1">
      <alignment horizontal="center" vertical="center"/>
    </xf>
    <xf numFmtId="165" fontId="66" fillId="0" borderId="63" xfId="1" applyNumberFormat="1" applyFont="1" applyBorder="1" applyAlignment="1">
      <alignment horizontal="center" vertical="center"/>
    </xf>
    <xf numFmtId="165" fontId="66" fillId="0" borderId="84" xfId="1" applyNumberFormat="1" applyFont="1" applyBorder="1" applyAlignment="1">
      <alignment horizontal="center" vertical="center"/>
    </xf>
    <xf numFmtId="9" fontId="28" fillId="0" borderId="88" xfId="1482" applyNumberFormat="1" applyFont="1" applyBorder="1" applyAlignment="1">
      <alignment horizontal="center" vertical="center"/>
    </xf>
    <xf numFmtId="9" fontId="28" fillId="0" borderId="0" xfId="1482" applyFont="1" applyBorder="1" applyAlignment="1">
      <alignment horizontal="center" vertical="center"/>
    </xf>
    <xf numFmtId="9" fontId="28" fillId="0" borderId="0" xfId="1482" applyNumberFormat="1" applyFont="1" applyBorder="1" applyAlignment="1">
      <alignment horizontal="center" vertical="center"/>
    </xf>
    <xf numFmtId="9" fontId="58" fillId="0" borderId="0" xfId="1482" applyFont="1" applyBorder="1" applyAlignment="1">
      <alignment horizontal="center" vertical="center"/>
    </xf>
    <xf numFmtId="0" fontId="0" fillId="0" borderId="0" xfId="1480" applyFont="1" applyAlignment="1">
      <alignment horizontal="center" vertical="center" wrapText="1"/>
    </xf>
    <xf numFmtId="9" fontId="39" fillId="0" borderId="0" xfId="1" applyNumberFormat="1" applyFont="1" applyBorder="1" applyAlignment="1">
      <alignment horizontal="center" vertical="center"/>
    </xf>
    <xf numFmtId="9" fontId="39" fillId="0" borderId="4" xfId="1" applyNumberFormat="1" applyFont="1" applyBorder="1" applyAlignment="1">
      <alignment horizontal="center" vertical="center"/>
    </xf>
    <xf numFmtId="9" fontId="39" fillId="0" borderId="0" xfId="1" applyNumberFormat="1" applyFont="1" applyFill="1" applyBorder="1" applyAlignment="1">
      <alignment horizontal="center" vertical="center"/>
    </xf>
    <xf numFmtId="0" fontId="126" fillId="0" borderId="0" xfId="0" applyFont="1" applyBorder="1" applyAlignment="1">
      <alignment horizontal="center"/>
    </xf>
    <xf numFmtId="0" fontId="126" fillId="0" borderId="0" xfId="1480" applyFont="1"/>
    <xf numFmtId="0" fontId="116" fillId="0" borderId="0" xfId="1480" applyFont="1" applyBorder="1" applyAlignment="1">
      <alignment horizontal="center" vertical="center"/>
    </xf>
    <xf numFmtId="0" fontId="126" fillId="0" borderId="0" xfId="1480" applyFont="1" applyBorder="1" applyAlignment="1">
      <alignment horizontal="center" vertical="center" wrapText="1"/>
    </xf>
    <xf numFmtId="0" fontId="126" fillId="0" borderId="0" xfId="1480" applyFont="1" applyBorder="1" applyAlignment="1">
      <alignment horizontal="center"/>
    </xf>
    <xf numFmtId="0" fontId="43" fillId="0" borderId="0" xfId="0" applyFont="1" applyBorder="1" applyAlignment="1">
      <alignment horizontal="center" vertical="center"/>
    </xf>
    <xf numFmtId="9" fontId="20" fillId="0" borderId="22" xfId="1" applyFont="1" applyBorder="1" applyAlignment="1">
      <alignment horizontal="center" vertical="center" wrapText="1"/>
    </xf>
    <xf numFmtId="9" fontId="20" fillId="0" borderId="0" xfId="1" applyFont="1" applyBorder="1" applyAlignment="1">
      <alignment horizontal="center" vertical="center" wrapText="1"/>
    </xf>
    <xf numFmtId="9" fontId="20" fillId="0" borderId="4" xfId="1" applyFont="1" applyBorder="1" applyAlignment="1">
      <alignment horizontal="center" vertical="center" wrapText="1"/>
    </xf>
    <xf numFmtId="9" fontId="20" fillId="0" borderId="12" xfId="1" applyFont="1" applyBorder="1" applyAlignment="1">
      <alignment horizontal="center" vertical="center" wrapText="1"/>
    </xf>
    <xf numFmtId="0" fontId="43" fillId="0" borderId="57" xfId="0" applyFont="1" applyBorder="1" applyAlignment="1">
      <alignment horizontal="center" vertical="center"/>
    </xf>
    <xf numFmtId="9" fontId="20" fillId="0" borderId="66" xfId="1" applyFont="1" applyBorder="1" applyAlignment="1">
      <alignment horizontal="center" vertical="center" wrapText="1"/>
    </xf>
    <xf numFmtId="9" fontId="20" fillId="0" borderId="57" xfId="1" applyFont="1" applyBorder="1" applyAlignment="1">
      <alignment horizontal="center" vertical="center" wrapText="1"/>
    </xf>
    <xf numFmtId="9" fontId="20" fillId="0" borderId="85" xfId="1" applyFont="1" applyBorder="1" applyAlignment="1">
      <alignment horizontal="center" vertical="center" wrapText="1"/>
    </xf>
    <xf numFmtId="9" fontId="20" fillId="0" borderId="88" xfId="1" applyFont="1" applyBorder="1" applyAlignment="1">
      <alignment horizontal="center" vertical="center" wrapText="1"/>
    </xf>
    <xf numFmtId="9" fontId="66" fillId="0" borderId="61" xfId="1" applyNumberFormat="1" applyFont="1" applyBorder="1" applyAlignment="1">
      <alignment horizontal="center" vertical="center" wrapText="1"/>
    </xf>
    <xf numFmtId="0" fontId="39" fillId="0" borderId="25" xfId="1480" applyFont="1" applyBorder="1" applyAlignment="1">
      <alignment horizontal="center" vertical="center" wrapText="1"/>
    </xf>
    <xf numFmtId="0" fontId="19" fillId="0" borderId="25" xfId="1480" applyFont="1" applyBorder="1" applyAlignment="1">
      <alignment horizontal="center" vertical="center" wrapText="1"/>
    </xf>
    <xf numFmtId="0" fontId="125" fillId="0" borderId="105" xfId="0" applyFont="1" applyBorder="1" applyAlignment="1">
      <alignment horizontal="center" vertical="center"/>
    </xf>
    <xf numFmtId="0" fontId="26" fillId="0" borderId="25" xfId="1480" applyFont="1" applyBorder="1" applyAlignment="1">
      <alignment horizontal="center" vertical="center" wrapText="1"/>
    </xf>
    <xf numFmtId="0" fontId="0" fillId="0" borderId="22" xfId="1480" applyFont="1" applyBorder="1" applyAlignment="1">
      <alignment horizontal="center" vertical="center" wrapText="1"/>
    </xf>
    <xf numFmtId="0" fontId="22" fillId="0" borderId="64" xfId="1480" applyFont="1" applyBorder="1" applyAlignment="1">
      <alignment horizontal="center" vertical="center" wrapText="1"/>
    </xf>
    <xf numFmtId="3" fontId="23" fillId="0" borderId="25" xfId="1480" applyNumberFormat="1" applyFont="1" applyBorder="1" applyAlignment="1">
      <alignment horizontal="center" vertical="center" wrapText="1"/>
    </xf>
    <xf numFmtId="3" fontId="18" fillId="0" borderId="0" xfId="1" applyNumberFormat="1" applyFont="1" applyAlignment="1">
      <alignment horizontal="center"/>
    </xf>
    <xf numFmtId="3" fontId="18" fillId="0" borderId="4" xfId="1" applyNumberFormat="1" applyFont="1" applyBorder="1" applyAlignment="1">
      <alignment horizontal="center"/>
    </xf>
    <xf numFmtId="3" fontId="18" fillId="0" borderId="0" xfId="1" applyNumberFormat="1" applyFont="1" applyBorder="1" applyAlignment="1">
      <alignment horizontal="center"/>
    </xf>
    <xf numFmtId="0" fontId="0" fillId="0" borderId="0" xfId="0"/>
    <xf numFmtId="9" fontId="45" fillId="0" borderId="61" xfId="1" applyFont="1" applyBorder="1" applyAlignment="1">
      <alignment horizontal="center" vertical="center" wrapText="1"/>
    </xf>
    <xf numFmtId="9" fontId="45" fillId="0" borderId="64" xfId="1" applyFont="1" applyBorder="1" applyAlignment="1">
      <alignment horizontal="center" vertical="center" wrapText="1"/>
    </xf>
    <xf numFmtId="9" fontId="45" fillId="0" borderId="81" xfId="1" applyFont="1" applyBorder="1" applyAlignment="1">
      <alignment horizontal="center" vertical="center" wrapText="1"/>
    </xf>
    <xf numFmtId="9" fontId="45" fillId="0" borderId="82" xfId="1" applyFont="1" applyBorder="1" applyAlignment="1">
      <alignment horizontal="center" vertical="center" wrapText="1"/>
    </xf>
    <xf numFmtId="9" fontId="28" fillId="0" borderId="0" xfId="1480" applyNumberFormat="1" applyFont="1"/>
    <xf numFmtId="9" fontId="45" fillId="0" borderId="22" xfId="1" applyFont="1" applyBorder="1" applyAlignment="1">
      <alignment horizontal="center" vertical="center" wrapText="1"/>
    </xf>
    <xf numFmtId="9" fontId="45" fillId="0" borderId="0" xfId="1" applyFont="1" applyBorder="1" applyAlignment="1">
      <alignment horizontal="center" vertical="center" wrapText="1"/>
    </xf>
    <xf numFmtId="9" fontId="45" fillId="0" borderId="4" xfId="1" applyFont="1" applyBorder="1" applyAlignment="1">
      <alignment horizontal="center" vertical="center" wrapText="1"/>
    </xf>
    <xf numFmtId="9" fontId="45" fillId="0" borderId="12" xfId="1" applyFont="1" applyBorder="1" applyAlignment="1">
      <alignment horizontal="center" vertical="center" wrapText="1"/>
    </xf>
    <xf numFmtId="3" fontId="65" fillId="0" borderId="1" xfId="0" applyNumberFormat="1" applyFont="1" applyBorder="1" applyAlignment="1">
      <alignment horizontal="center" vertical="center" wrapText="1"/>
    </xf>
    <xf numFmtId="3" fontId="58" fillId="0" borderId="1" xfId="1" applyNumberFormat="1" applyFont="1" applyBorder="1" applyAlignment="1">
      <alignment horizontal="center"/>
    </xf>
    <xf numFmtId="9" fontId="17" fillId="0" borderId="61" xfId="1" applyFont="1" applyBorder="1" applyAlignment="1">
      <alignment horizontal="center" vertical="center" wrapText="1"/>
    </xf>
    <xf numFmtId="9" fontId="17" fillId="0" borderId="0" xfId="1" applyFont="1" applyBorder="1" applyAlignment="1">
      <alignment horizontal="center" vertical="center" wrapText="1"/>
    </xf>
    <xf numFmtId="9" fontId="17" fillId="0" borderId="81" xfId="1" applyFont="1" applyBorder="1" applyAlignment="1">
      <alignment horizontal="center" vertical="center" wrapText="1"/>
    </xf>
    <xf numFmtId="9" fontId="17" fillId="0" borderId="4" xfId="1" applyFont="1" applyBorder="1" applyAlignment="1">
      <alignment horizontal="center" vertical="center" wrapText="1"/>
    </xf>
    <xf numFmtId="165" fontId="28" fillId="0" borderId="0" xfId="1480" applyNumberFormat="1" applyFont="1"/>
    <xf numFmtId="174" fontId="28" fillId="0" borderId="0" xfId="1480" applyNumberFormat="1" applyFont="1"/>
    <xf numFmtId="9" fontId="16" fillId="0" borderId="61" xfId="1" applyFont="1" applyBorder="1" applyAlignment="1">
      <alignment horizontal="center" vertical="center" wrapText="1"/>
    </xf>
    <xf numFmtId="9" fontId="16" fillId="0" borderId="81" xfId="1" applyFont="1" applyBorder="1" applyAlignment="1">
      <alignment horizontal="center" vertical="center" wrapText="1"/>
    </xf>
    <xf numFmtId="9" fontId="16" fillId="0" borderId="82" xfId="1" applyFont="1" applyBorder="1" applyAlignment="1">
      <alignment horizontal="center" vertical="center" wrapText="1"/>
    </xf>
    <xf numFmtId="0" fontId="15" fillId="0" borderId="0" xfId="1744"/>
    <xf numFmtId="0" fontId="128" fillId="0" borderId="0" xfId="1744" applyFont="1"/>
    <xf numFmtId="0" fontId="15" fillId="0" borderId="0" xfId="1744" applyAlignment="1">
      <alignment wrapText="1"/>
    </xf>
    <xf numFmtId="0" fontId="15" fillId="0" borderId="113" xfId="1744" applyBorder="1"/>
    <xf numFmtId="0" fontId="15" fillId="0" borderId="10" xfId="1744" applyBorder="1"/>
    <xf numFmtId="0" fontId="15" fillId="0" borderId="0" xfId="1744" applyBorder="1"/>
    <xf numFmtId="0" fontId="15" fillId="0" borderId="57" xfId="1744" applyBorder="1"/>
    <xf numFmtId="0" fontId="128" fillId="0" borderId="0" xfId="1744" applyFont="1" applyFill="1" applyAlignment="1">
      <alignment wrapText="1"/>
    </xf>
    <xf numFmtId="0" fontId="15" fillId="0" borderId="115" xfId="1744" applyBorder="1"/>
    <xf numFmtId="0" fontId="15" fillId="0" borderId="69" xfId="1744" applyBorder="1"/>
    <xf numFmtId="0" fontId="15" fillId="0" borderId="72" xfId="1744" applyBorder="1"/>
    <xf numFmtId="0" fontId="127" fillId="0" borderId="0" xfId="1744" applyFont="1"/>
    <xf numFmtId="0" fontId="15" fillId="0" borderId="0" xfId="1744" applyFill="1"/>
    <xf numFmtId="0" fontId="15" fillId="0" borderId="1" xfId="1744" applyBorder="1"/>
    <xf numFmtId="0" fontId="15" fillId="0" borderId="98" xfId="1744" applyBorder="1"/>
    <xf numFmtId="0" fontId="40" fillId="0" borderId="0" xfId="819" applyFont="1"/>
    <xf numFmtId="0" fontId="40" fillId="0" borderId="0" xfId="819"/>
    <xf numFmtId="0" fontId="40" fillId="0" borderId="0" xfId="819" applyFill="1" applyBorder="1" applyAlignment="1">
      <alignment horizontal="center" wrapText="1"/>
    </xf>
    <xf numFmtId="0" fontId="15" fillId="0" borderId="111" xfId="1744" applyBorder="1"/>
    <xf numFmtId="0" fontId="128" fillId="0" borderId="0" xfId="1744" applyFont="1" applyBorder="1" applyAlignment="1">
      <alignment horizontal="center"/>
    </xf>
    <xf numFmtId="0" fontId="15" fillId="0" borderId="0" xfId="1744" applyBorder="1" applyAlignment="1">
      <alignment horizontal="center" wrapText="1"/>
    </xf>
    <xf numFmtId="0" fontId="15" fillId="0" borderId="113" xfId="1744" applyBorder="1" applyAlignment="1">
      <alignment horizontal="center"/>
    </xf>
    <xf numFmtId="0" fontId="15" fillId="0" borderId="2" xfId="1744" applyBorder="1"/>
    <xf numFmtId="0" fontId="15" fillId="0" borderId="108" xfId="1744" applyBorder="1"/>
    <xf numFmtId="0" fontId="15" fillId="0" borderId="27" xfId="1744" applyBorder="1"/>
    <xf numFmtId="0" fontId="15" fillId="0" borderId="7" xfId="1744" applyBorder="1"/>
    <xf numFmtId="0" fontId="128" fillId="0" borderId="113" xfId="1744" applyFont="1" applyBorder="1"/>
    <xf numFmtId="0" fontId="128" fillId="0" borderId="114" xfId="1744" applyFont="1" applyBorder="1"/>
    <xf numFmtId="0" fontId="15" fillId="0" borderId="95" xfId="1744" applyBorder="1"/>
    <xf numFmtId="0" fontId="128" fillId="0" borderId="54" xfId="1744" applyFont="1" applyBorder="1"/>
    <xf numFmtId="3" fontId="129" fillId="43" borderId="133" xfId="1744" applyNumberFormat="1" applyFont="1" applyFill="1" applyBorder="1" applyAlignment="1">
      <alignment horizontal="right" vertical="center" wrapText="1"/>
    </xf>
    <xf numFmtId="2" fontId="15" fillId="0" borderId="0" xfId="1744" applyNumberFormat="1"/>
    <xf numFmtId="0" fontId="128" fillId="0" borderId="113" xfId="1744" applyFont="1" applyBorder="1" applyAlignment="1">
      <alignment horizontal="center"/>
    </xf>
    <xf numFmtId="0" fontId="15" fillId="0" borderId="114" xfId="1744" applyBorder="1" applyAlignment="1">
      <alignment horizontal="center"/>
    </xf>
    <xf numFmtId="0" fontId="15" fillId="0" borderId="0" xfId="1744" applyAlignment="1">
      <alignment horizontal="center"/>
    </xf>
    <xf numFmtId="0" fontId="15" fillId="0" borderId="111" xfId="1744" applyBorder="1" applyAlignment="1">
      <alignment horizontal="center"/>
    </xf>
    <xf numFmtId="0" fontId="102" fillId="0" borderId="0" xfId="0" applyFont="1" applyAlignment="1">
      <alignment wrapText="1"/>
    </xf>
    <xf numFmtId="0" fontId="15" fillId="44" borderId="0" xfId="1744" applyFont="1" applyFill="1"/>
    <xf numFmtId="11" fontId="15" fillId="0" borderId="0" xfId="1744" applyNumberFormat="1"/>
    <xf numFmtId="0" fontId="128" fillId="0" borderId="0" xfId="1744" applyFont="1" applyAlignment="1">
      <alignment wrapText="1"/>
    </xf>
    <xf numFmtId="0" fontId="15" fillId="0" borderId="0" xfId="1744" applyFill="1" applyAlignment="1">
      <alignment wrapText="1"/>
    </xf>
    <xf numFmtId="0" fontId="15" fillId="0" borderId="0" xfId="1744" applyAlignment="1"/>
    <xf numFmtId="0" fontId="128" fillId="45" borderId="0" xfId="1744" applyFont="1" applyFill="1" applyAlignment="1">
      <alignment wrapText="1"/>
    </xf>
    <xf numFmtId="0" fontId="15" fillId="39" borderId="0" xfId="1744" applyFill="1" applyAlignment="1">
      <alignment wrapText="1"/>
    </xf>
    <xf numFmtId="0" fontId="132" fillId="0" borderId="0" xfId="1744" applyFont="1"/>
    <xf numFmtId="2" fontId="15" fillId="0" borderId="0" xfId="1744" applyNumberFormat="1" applyAlignment="1"/>
    <xf numFmtId="0" fontId="28" fillId="0" borderId="0" xfId="1480" applyFont="1" applyBorder="1" applyAlignment="1">
      <alignment horizontal="center" vertical="center" wrapText="1"/>
    </xf>
    <xf numFmtId="0" fontId="0" fillId="0" borderId="0" xfId="1480" applyFont="1" applyBorder="1" applyAlignment="1">
      <alignment horizontal="center" vertical="center" wrapText="1"/>
    </xf>
    <xf numFmtId="0" fontId="40" fillId="0" borderId="0" xfId="792"/>
    <xf numFmtId="0" fontId="133" fillId="0" borderId="0" xfId="0" applyFont="1"/>
    <xf numFmtId="0" fontId="134" fillId="0" borderId="0" xfId="0" applyFont="1" applyAlignment="1">
      <alignment wrapText="1"/>
    </xf>
    <xf numFmtId="165" fontId="15" fillId="0" borderId="0" xfId="1" applyNumberFormat="1" applyFont="1" applyBorder="1"/>
    <xf numFmtId="165" fontId="15" fillId="0" borderId="57" xfId="1" applyNumberFormat="1" applyFont="1" applyBorder="1"/>
    <xf numFmtId="165" fontId="15" fillId="0" borderId="69" xfId="1" applyNumberFormat="1" applyFont="1" applyBorder="1"/>
    <xf numFmtId="165" fontId="15" fillId="0" borderId="72" xfId="1" applyNumberFormat="1" applyFont="1" applyBorder="1"/>
    <xf numFmtId="166" fontId="15" fillId="0" borderId="0" xfId="1744" applyNumberFormat="1" applyAlignment="1">
      <alignment horizontal="center"/>
    </xf>
    <xf numFmtId="165" fontId="15" fillId="0" borderId="10" xfId="1" applyNumberFormat="1" applyFont="1" applyBorder="1"/>
    <xf numFmtId="165" fontId="15" fillId="0" borderId="115" xfId="1" applyNumberFormat="1" applyFont="1" applyBorder="1"/>
    <xf numFmtId="0" fontId="0" fillId="0" borderId="0" xfId="0"/>
    <xf numFmtId="165" fontId="66" fillId="0" borderId="87" xfId="1" applyNumberFormat="1" applyFont="1" applyBorder="1" applyAlignment="1">
      <alignment horizontal="center" vertical="center"/>
    </xf>
    <xf numFmtId="0" fontId="0" fillId="0" borderId="0" xfId="1480" applyFont="1" applyAlignment="1">
      <alignment wrapText="1"/>
    </xf>
    <xf numFmtId="165" fontId="28" fillId="0" borderId="0" xfId="1" applyNumberFormat="1" applyFont="1"/>
    <xf numFmtId="9" fontId="45" fillId="0" borderId="57" xfId="1482" applyFont="1" applyBorder="1" applyAlignment="1">
      <alignment horizontal="center" vertical="center"/>
    </xf>
    <xf numFmtId="9" fontId="45" fillId="0" borderId="85" xfId="1482" applyFont="1" applyBorder="1" applyAlignment="1">
      <alignment horizontal="center" vertical="center"/>
    </xf>
    <xf numFmtId="9" fontId="45" fillId="0" borderId="88" xfId="1482" applyFont="1" applyBorder="1" applyAlignment="1">
      <alignment horizontal="center" vertical="center"/>
    </xf>
    <xf numFmtId="165" fontId="66" fillId="0" borderId="94" xfId="1" applyNumberFormat="1" applyFont="1" applyBorder="1" applyAlignment="1">
      <alignment horizontal="center" vertical="center"/>
    </xf>
    <xf numFmtId="9" fontId="45" fillId="0" borderId="66" xfId="1482" applyFont="1" applyBorder="1" applyAlignment="1">
      <alignment horizontal="center" vertical="center"/>
    </xf>
    <xf numFmtId="9" fontId="45" fillId="0" borderId="57" xfId="1482" applyNumberFormat="1" applyFont="1" applyBorder="1" applyAlignment="1">
      <alignment horizontal="center" vertical="center"/>
    </xf>
    <xf numFmtId="166" fontId="126" fillId="0" borderId="0" xfId="1482" applyNumberFormat="1" applyFont="1" applyBorder="1" applyAlignment="1">
      <alignment horizontal="center" vertical="center"/>
    </xf>
    <xf numFmtId="0" fontId="40" fillId="46" borderId="62" xfId="792" applyFill="1" applyBorder="1"/>
    <xf numFmtId="0" fontId="40" fillId="47" borderId="110" xfId="792" applyFill="1" applyBorder="1"/>
    <xf numFmtId="0" fontId="40" fillId="0" borderId="0" xfId="792" applyAlignment="1">
      <alignment wrapText="1"/>
    </xf>
    <xf numFmtId="0" fontId="136" fillId="47" borderId="0" xfId="792" applyFont="1" applyFill="1"/>
    <xf numFmtId="0" fontId="137" fillId="47" borderId="0" xfId="792" applyFont="1" applyFill="1"/>
    <xf numFmtId="0" fontId="0" fillId="0" borderId="0" xfId="0"/>
    <xf numFmtId="165" fontId="39" fillId="0" borderId="0" xfId="1" applyNumberFormat="1" applyFont="1" applyAlignment="1">
      <alignment horizontal="center" vertical="center" wrapText="1"/>
    </xf>
    <xf numFmtId="4" fontId="0" fillId="0" borderId="0" xfId="0" applyNumberFormat="1" applyFont="1" applyAlignment="1">
      <alignment horizontal="center" vertical="center" wrapText="1"/>
    </xf>
    <xf numFmtId="4" fontId="13" fillId="0" borderId="0" xfId="1" applyNumberFormat="1" applyFont="1" applyAlignment="1">
      <alignment horizontal="center"/>
    </xf>
    <xf numFmtId="172" fontId="13" fillId="0" borderId="0" xfId="1" applyNumberFormat="1" applyFont="1" applyAlignment="1">
      <alignment horizontal="center"/>
    </xf>
    <xf numFmtId="1" fontId="26" fillId="0" borderId="102" xfId="1" applyNumberFormat="1" applyFont="1" applyBorder="1" applyAlignment="1">
      <alignment horizontal="center" vertical="center"/>
    </xf>
    <xf numFmtId="1" fontId="26" fillId="0" borderId="100" xfId="1" applyNumberFormat="1" applyFont="1" applyBorder="1" applyAlignment="1">
      <alignment horizontal="center" vertical="center"/>
    </xf>
    <xf numFmtId="1" fontId="26" fillId="0" borderId="103" xfId="1" applyNumberFormat="1" applyFont="1" applyBorder="1" applyAlignment="1">
      <alignment horizontal="center" vertical="center"/>
    </xf>
    <xf numFmtId="1" fontId="26" fillId="0" borderId="104" xfId="1" applyNumberFormat="1" applyFont="1" applyBorder="1" applyAlignment="1">
      <alignment horizontal="center" vertical="center"/>
    </xf>
    <xf numFmtId="1" fontId="24" fillId="0" borderId="100" xfId="1" applyNumberFormat="1" applyFont="1" applyBorder="1" applyAlignment="1">
      <alignment horizontal="center" vertical="center"/>
    </xf>
    <xf numFmtId="0" fontId="0" fillId="0" borderId="0" xfId="0"/>
    <xf numFmtId="3" fontId="45" fillId="0" borderId="0" xfId="1480" applyNumberFormat="1" applyFont="1"/>
    <xf numFmtId="0" fontId="43" fillId="0" borderId="0" xfId="0" applyFont="1" applyBorder="1" applyAlignment="1">
      <alignment horizontal="center" vertical="center" wrapText="1"/>
    </xf>
    <xf numFmtId="0" fontId="97" fillId="0" borderId="0" xfId="1480" applyFont="1" applyAlignment="1">
      <alignment horizontal="center" vertical="center" wrapText="1"/>
    </xf>
    <xf numFmtId="0" fontId="0" fillId="0" borderId="0" xfId="0"/>
    <xf numFmtId="0" fontId="0" fillId="0" borderId="0" xfId="0"/>
    <xf numFmtId="3" fontId="66" fillId="0" borderId="5" xfId="1480" applyNumberFormat="1" applyFont="1" applyBorder="1" applyAlignment="1">
      <alignment horizontal="center" vertical="center" wrapText="1"/>
    </xf>
    <xf numFmtId="3" fontId="66" fillId="0" borderId="14" xfId="1480" applyNumberFormat="1" applyFont="1" applyBorder="1" applyAlignment="1">
      <alignment horizontal="center" vertical="center" wrapText="1"/>
    </xf>
    <xf numFmtId="165" fontId="28" fillId="0" borderId="0" xfId="1482" applyNumberFormat="1" applyFont="1" applyBorder="1" applyAlignment="1">
      <alignment horizontal="center" vertical="center"/>
    </xf>
    <xf numFmtId="0" fontId="39" fillId="0" borderId="78" xfId="1480" applyFont="1" applyBorder="1" applyAlignment="1">
      <alignment horizontal="center" vertical="center" wrapText="1"/>
    </xf>
    <xf numFmtId="3" fontId="28" fillId="0" borderId="0" xfId="1" applyNumberFormat="1" applyFont="1" applyBorder="1" applyAlignment="1">
      <alignment horizontal="center" vertical="center"/>
    </xf>
    <xf numFmtId="3" fontId="39" fillId="0" borderId="0" xfId="1" applyNumberFormat="1" applyFont="1" applyBorder="1" applyAlignment="1">
      <alignment horizontal="center" vertical="center"/>
    </xf>
    <xf numFmtId="3" fontId="28" fillId="0" borderId="4" xfId="1" applyNumberFormat="1" applyFont="1" applyBorder="1" applyAlignment="1">
      <alignment horizontal="center" vertical="center"/>
    </xf>
    <xf numFmtId="3" fontId="39" fillId="0" borderId="4" xfId="1" applyNumberFormat="1" applyFont="1" applyBorder="1" applyAlignment="1">
      <alignment horizontal="center" vertical="center"/>
    </xf>
    <xf numFmtId="3" fontId="28" fillId="0" borderId="12" xfId="1" applyNumberFormat="1" applyFont="1" applyBorder="1" applyAlignment="1">
      <alignment horizontal="center" vertical="center"/>
    </xf>
    <xf numFmtId="3" fontId="39" fillId="0" borderId="12" xfId="1" applyNumberFormat="1" applyFont="1" applyBorder="1" applyAlignment="1">
      <alignment horizontal="center" vertical="center"/>
    </xf>
    <xf numFmtId="3" fontId="28" fillId="0" borderId="0" xfId="1" applyNumberFormat="1" applyFont="1" applyFill="1" applyBorder="1" applyAlignment="1">
      <alignment horizontal="center" vertical="center"/>
    </xf>
    <xf numFmtId="3" fontId="27" fillId="0" borderId="0" xfId="1" applyNumberFormat="1" applyFont="1" applyBorder="1" applyAlignment="1">
      <alignment horizontal="center" vertical="center" wrapText="1"/>
    </xf>
    <xf numFmtId="3" fontId="26" fillId="0" borderId="0" xfId="1" applyNumberFormat="1" applyFont="1" applyBorder="1" applyAlignment="1">
      <alignment horizontal="center" vertical="center"/>
    </xf>
    <xf numFmtId="3" fontId="27" fillId="0" borderId="4" xfId="1" applyNumberFormat="1" applyFont="1" applyBorder="1" applyAlignment="1">
      <alignment horizontal="center" vertical="center" wrapText="1"/>
    </xf>
    <xf numFmtId="3" fontId="26" fillId="0" borderId="4" xfId="1" applyNumberFormat="1" applyFont="1" applyBorder="1" applyAlignment="1">
      <alignment horizontal="center" vertical="center"/>
    </xf>
    <xf numFmtId="3" fontId="27" fillId="0" borderId="12" xfId="1" applyNumberFormat="1" applyFont="1" applyBorder="1" applyAlignment="1">
      <alignment horizontal="center" vertical="center" wrapText="1"/>
    </xf>
    <xf numFmtId="3" fontId="26" fillId="0" borderId="12" xfId="1" applyNumberFormat="1" applyFont="1" applyBorder="1" applyAlignment="1">
      <alignment horizontal="center" vertical="center"/>
    </xf>
    <xf numFmtId="165" fontId="39" fillId="0" borderId="61" xfId="1" applyNumberFormat="1" applyFont="1" applyBorder="1" applyAlignment="1">
      <alignment horizontal="center" vertical="center"/>
    </xf>
    <xf numFmtId="165" fontId="39" fillId="0" borderId="81" xfId="1" applyNumberFormat="1" applyFont="1" applyBorder="1" applyAlignment="1">
      <alignment horizontal="center" vertical="center"/>
    </xf>
    <xf numFmtId="165" fontId="39" fillId="0" borderId="82" xfId="1" applyNumberFormat="1" applyFont="1" applyBorder="1" applyAlignment="1">
      <alignment horizontal="center" vertical="center"/>
    </xf>
    <xf numFmtId="3" fontId="24" fillId="0" borderId="0" xfId="1" applyNumberFormat="1" applyFont="1" applyBorder="1" applyAlignment="1">
      <alignment horizontal="center" vertical="center"/>
    </xf>
    <xf numFmtId="3" fontId="24" fillId="0" borderId="4" xfId="1" applyNumberFormat="1" applyFont="1" applyBorder="1" applyAlignment="1">
      <alignment horizontal="center" vertical="center"/>
    </xf>
    <xf numFmtId="3" fontId="24" fillId="0" borderId="12" xfId="1" applyNumberFormat="1" applyFont="1" applyBorder="1" applyAlignment="1">
      <alignment horizontal="center" vertical="center"/>
    </xf>
    <xf numFmtId="3" fontId="26" fillId="0" borderId="57" xfId="1" applyNumberFormat="1" applyFont="1" applyBorder="1" applyAlignment="1">
      <alignment horizontal="center" vertical="center"/>
    </xf>
    <xf numFmtId="3" fontId="26" fillId="0" borderId="85" xfId="1" applyNumberFormat="1" applyFont="1" applyBorder="1" applyAlignment="1">
      <alignment horizontal="center" vertical="center"/>
    </xf>
    <xf numFmtId="167" fontId="29" fillId="0" borderId="0" xfId="1" applyNumberFormat="1" applyFont="1" applyBorder="1" applyAlignment="1">
      <alignment horizontal="center" vertical="center" wrapText="1"/>
    </xf>
    <xf numFmtId="167" fontId="29" fillId="0" borderId="4" xfId="1" applyNumberFormat="1" applyFont="1" applyBorder="1" applyAlignment="1">
      <alignment horizontal="center" vertical="center" wrapText="1"/>
    </xf>
    <xf numFmtId="167" fontId="66" fillId="0" borderId="0" xfId="1" applyNumberFormat="1" applyFont="1" applyBorder="1" applyAlignment="1">
      <alignment horizontal="center" vertical="center" wrapText="1"/>
    </xf>
    <xf numFmtId="167" fontId="45" fillId="0" borderId="0" xfId="1" applyNumberFormat="1" applyFont="1" applyBorder="1" applyAlignment="1">
      <alignment horizontal="center" vertical="center" wrapText="1"/>
    </xf>
    <xf numFmtId="167" fontId="45" fillId="0" borderId="4" xfId="1" applyNumberFormat="1" applyFont="1" applyBorder="1" applyAlignment="1">
      <alignment horizontal="center" vertical="center" wrapText="1"/>
    </xf>
    <xf numFmtId="167" fontId="45" fillId="0" borderId="12" xfId="1" applyNumberFormat="1" applyFont="1" applyBorder="1" applyAlignment="1">
      <alignment horizontal="center" vertical="center" wrapText="1"/>
    </xf>
    <xf numFmtId="3" fontId="45" fillId="0" borderId="0" xfId="1" applyNumberFormat="1" applyFont="1" applyBorder="1" applyAlignment="1">
      <alignment horizontal="center" vertical="center"/>
    </xf>
    <xf numFmtId="3" fontId="45" fillId="0" borderId="4" xfId="1" applyNumberFormat="1" applyFont="1" applyBorder="1" applyAlignment="1">
      <alignment horizontal="center" vertical="center"/>
    </xf>
    <xf numFmtId="3" fontId="45" fillId="0" borderId="12" xfId="1" applyNumberFormat="1" applyFont="1" applyBorder="1" applyAlignment="1">
      <alignment horizontal="center" vertical="center"/>
    </xf>
    <xf numFmtId="3" fontId="12" fillId="0" borderId="57" xfId="1480" applyNumberFormat="1" applyFont="1" applyBorder="1" applyAlignment="1">
      <alignment horizontal="center" vertical="center"/>
    </xf>
    <xf numFmtId="3" fontId="12" fillId="0" borderId="85" xfId="1480" applyNumberFormat="1" applyFont="1" applyBorder="1" applyAlignment="1">
      <alignment horizontal="center" vertical="center"/>
    </xf>
    <xf numFmtId="3" fontId="12" fillId="0" borderId="88" xfId="1480" applyNumberFormat="1" applyFont="1" applyBorder="1" applyAlignment="1">
      <alignment horizontal="center" vertical="center"/>
    </xf>
    <xf numFmtId="0" fontId="0" fillId="0" borderId="0" xfId="0"/>
    <xf numFmtId="0" fontId="49" fillId="3" borderId="6" xfId="0" applyFont="1" applyFill="1" applyBorder="1" applyAlignment="1">
      <alignment horizontal="center"/>
    </xf>
    <xf numFmtId="167" fontId="26" fillId="0" borderId="65" xfId="1480" applyNumberFormat="1" applyFont="1" applyBorder="1" applyAlignment="1">
      <alignment horizontal="center" vertical="center"/>
    </xf>
    <xf numFmtId="167" fontId="26" fillId="0" borderId="62" xfId="1480" applyNumberFormat="1" applyFont="1" applyBorder="1" applyAlignment="1">
      <alignment horizontal="center" vertical="center"/>
    </xf>
    <xf numFmtId="167" fontId="26" fillId="0" borderId="90" xfId="1480" applyNumberFormat="1" applyFont="1" applyBorder="1" applyAlignment="1">
      <alignment horizontal="center" vertical="center"/>
    </xf>
    <xf numFmtId="167" fontId="26" fillId="0" borderId="91" xfId="1480" applyNumberFormat="1" applyFont="1" applyBorder="1" applyAlignment="1">
      <alignment horizontal="center" vertical="center"/>
    </xf>
    <xf numFmtId="167" fontId="28" fillId="0" borderId="0" xfId="1480" applyNumberFormat="1" applyFont="1" applyBorder="1" applyAlignment="1">
      <alignment horizontal="center"/>
    </xf>
    <xf numFmtId="167" fontId="28" fillId="0" borderId="4" xfId="1480" applyNumberFormat="1" applyFont="1" applyBorder="1" applyAlignment="1">
      <alignment horizontal="center"/>
    </xf>
    <xf numFmtId="0" fontId="138" fillId="0" borderId="0" xfId="792" quotePrefix="1" applyFont="1" applyAlignment="1">
      <alignment horizontal="left"/>
    </xf>
    <xf numFmtId="0" fontId="48" fillId="0" borderId="0" xfId="792" quotePrefix="1" applyFont="1" applyAlignment="1">
      <alignment horizontal="left"/>
    </xf>
    <xf numFmtId="0" fontId="140" fillId="0" borderId="0" xfId="792" quotePrefix="1" applyFont="1" applyAlignment="1">
      <alignment horizontal="left"/>
    </xf>
    <xf numFmtId="0" fontId="40" fillId="0" borderId="0" xfId="792" applyFont="1"/>
    <xf numFmtId="0" fontId="40" fillId="0" borderId="0" xfId="792" quotePrefix="1" applyFont="1" applyAlignment="1">
      <alignment horizontal="left"/>
    </xf>
    <xf numFmtId="0" fontId="40" fillId="0" borderId="0" xfId="792" applyFont="1" applyAlignment="1">
      <alignment horizontal="left"/>
    </xf>
    <xf numFmtId="0" fontId="0" fillId="0" borderId="0" xfId="0"/>
    <xf numFmtId="0" fontId="15" fillId="0" borderId="23" xfId="1744" applyBorder="1"/>
    <xf numFmtId="0" fontId="11" fillId="0" borderId="3" xfId="1744" applyFont="1" applyBorder="1" applyAlignment="1">
      <alignment wrapText="1"/>
    </xf>
    <xf numFmtId="0" fontId="11" fillId="0" borderId="154" xfId="1744" applyFont="1" applyBorder="1" applyAlignment="1">
      <alignment wrapText="1"/>
    </xf>
    <xf numFmtId="0" fontId="128" fillId="0" borderId="155" xfId="1744" applyFont="1" applyBorder="1"/>
    <xf numFmtId="0" fontId="15" fillId="0" borderId="156" xfId="1744" applyBorder="1"/>
    <xf numFmtId="0" fontId="15" fillId="0" borderId="153" xfId="1744" applyBorder="1"/>
    <xf numFmtId="0" fontId="15" fillId="0" borderId="157" xfId="1744" applyBorder="1"/>
    <xf numFmtId="0" fontId="15" fillId="0" borderId="158" xfId="1744" applyBorder="1"/>
    <xf numFmtId="0" fontId="128" fillId="0" borderId="155" xfId="1744" applyFont="1" applyBorder="1" applyAlignment="1">
      <alignment horizontal="right"/>
    </xf>
    <xf numFmtId="0" fontId="11" fillId="0" borderId="1" xfId="1744" applyFont="1" applyBorder="1"/>
    <xf numFmtId="0" fontId="11" fillId="0" borderId="7" xfId="1744" applyFont="1" applyBorder="1"/>
    <xf numFmtId="0" fontId="128" fillId="0" borderId="119" xfId="1744" applyFont="1" applyBorder="1" applyAlignment="1">
      <alignment horizontal="center" wrapText="1"/>
    </xf>
    <xf numFmtId="0" fontId="0" fillId="0" borderId="0" xfId="0"/>
    <xf numFmtId="0" fontId="10" fillId="0" borderId="0" xfId="1744" applyFont="1"/>
    <xf numFmtId="0" fontId="133" fillId="0" borderId="77" xfId="0" applyFont="1" applyBorder="1"/>
    <xf numFmtId="0" fontId="134" fillId="0" borderId="61" xfId="0" applyFont="1" applyBorder="1" applyAlignment="1"/>
    <xf numFmtId="0" fontId="133" fillId="0" borderId="61" xfId="0" applyFont="1" applyBorder="1"/>
    <xf numFmtId="0" fontId="134" fillId="0" borderId="140" xfId="0" applyFont="1" applyBorder="1" applyAlignment="1"/>
    <xf numFmtId="0" fontId="144" fillId="0" borderId="140" xfId="1743" applyFont="1" applyBorder="1"/>
    <xf numFmtId="0" fontId="14" fillId="0" borderId="122" xfId="819" applyFont="1" applyBorder="1" applyAlignment="1">
      <alignment horizontal="center" wrapText="1"/>
    </xf>
    <xf numFmtId="0" fontId="14" fillId="0" borderId="125" xfId="819" applyFont="1" applyBorder="1" applyAlignment="1">
      <alignment horizontal="left" indent="3"/>
    </xf>
    <xf numFmtId="0" fontId="14" fillId="0" borderId="125" xfId="819" applyFont="1" applyBorder="1" applyAlignment="1">
      <alignment horizontal="left"/>
    </xf>
    <xf numFmtId="0" fontId="14" fillId="0" borderId="125" xfId="819" applyFont="1" applyBorder="1" applyAlignment="1">
      <alignment horizontal="left" indent="1"/>
    </xf>
    <xf numFmtId="0" fontId="14" fillId="0" borderId="125" xfId="819" applyFont="1" applyBorder="1" applyAlignment="1">
      <alignment horizontal="left" indent="2"/>
    </xf>
    <xf numFmtId="0" fontId="14" fillId="0" borderId="128" xfId="819" applyFont="1" applyBorder="1" applyAlignment="1">
      <alignment horizontal="left" indent="1"/>
    </xf>
    <xf numFmtId="0" fontId="112" fillId="0" borderId="77" xfId="0" applyFont="1" applyBorder="1"/>
    <xf numFmtId="0" fontId="112" fillId="0" borderId="61" xfId="0" applyFont="1" applyBorder="1"/>
    <xf numFmtId="0" fontId="98" fillId="0" borderId="61" xfId="0" applyFont="1" applyBorder="1" applyAlignment="1"/>
    <xf numFmtId="0" fontId="0" fillId="0" borderId="56" xfId="0" applyBorder="1"/>
    <xf numFmtId="0" fontId="0" fillId="0" borderId="0" xfId="0" applyBorder="1" applyAlignment="1">
      <alignment horizontal="center"/>
    </xf>
    <xf numFmtId="0" fontId="0" fillId="0" borderId="57" xfId="0" applyBorder="1" applyAlignment="1">
      <alignment horizontal="center"/>
    </xf>
    <xf numFmtId="0" fontId="39" fillId="0" borderId="56" xfId="0" applyFont="1" applyBorder="1"/>
    <xf numFmtId="0" fontId="0" fillId="0" borderId="171" xfId="0" applyBorder="1"/>
    <xf numFmtId="0" fontId="0" fillId="0" borderId="7" xfId="0" applyBorder="1" applyAlignment="1">
      <alignment horizontal="center"/>
    </xf>
    <xf numFmtId="0" fontId="0" fillId="0" borderId="0" xfId="0" applyBorder="1" applyAlignment="1">
      <alignment horizontal="center" wrapText="1"/>
    </xf>
    <xf numFmtId="0" fontId="0" fillId="0" borderId="1" xfId="0" applyBorder="1" applyAlignment="1">
      <alignment horizontal="center" wrapText="1"/>
    </xf>
    <xf numFmtId="0" fontId="0" fillId="0" borderId="57" xfId="0" applyBorder="1" applyAlignment="1">
      <alignment horizontal="center" wrapText="1"/>
    </xf>
    <xf numFmtId="0" fontId="0" fillId="0" borderId="61" xfId="0" applyBorder="1" applyAlignment="1">
      <alignment horizontal="center"/>
    </xf>
    <xf numFmtId="166" fontId="0" fillId="0" borderId="1" xfId="0" applyNumberFormat="1" applyBorder="1" applyAlignment="1">
      <alignment horizontal="center"/>
    </xf>
    <xf numFmtId="166" fontId="0" fillId="0" borderId="57" xfId="0" applyNumberFormat="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0" fontId="0" fillId="0" borderId="95" xfId="0" applyBorder="1" applyAlignment="1">
      <alignment horizontal="center"/>
    </xf>
    <xf numFmtId="166" fontId="0" fillId="0" borderId="98" xfId="0" applyNumberFormat="1" applyBorder="1" applyAlignment="1">
      <alignment horizontal="center"/>
    </xf>
    <xf numFmtId="166" fontId="0" fillId="0" borderId="69" xfId="0" applyNumberFormat="1" applyBorder="1" applyAlignment="1">
      <alignment horizontal="center"/>
    </xf>
    <xf numFmtId="166" fontId="0" fillId="0" borderId="72" xfId="0" applyNumberFormat="1" applyBorder="1" applyAlignment="1">
      <alignment horizontal="center"/>
    </xf>
    <xf numFmtId="0" fontId="39" fillId="0" borderId="56" xfId="0" applyFont="1" applyBorder="1" applyAlignment="1">
      <alignment horizontal="center"/>
    </xf>
    <xf numFmtId="0" fontId="39" fillId="0" borderId="67" xfId="0" applyFont="1" applyBorder="1" applyAlignment="1">
      <alignment horizontal="center"/>
    </xf>
    <xf numFmtId="0" fontId="39" fillId="0" borderId="67" xfId="0" applyFont="1" applyBorder="1" applyAlignment="1">
      <alignment horizontal="center" vertical="center"/>
    </xf>
    <xf numFmtId="0" fontId="0" fillId="0" borderId="68"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165" fontId="0" fillId="0" borderId="69" xfId="0" applyNumberFormat="1" applyBorder="1" applyAlignment="1">
      <alignment horizontal="center" vertical="center"/>
    </xf>
    <xf numFmtId="165" fontId="0" fillId="0" borderId="68" xfId="0" applyNumberFormat="1" applyBorder="1" applyAlignment="1">
      <alignment horizontal="center" vertical="center"/>
    </xf>
    <xf numFmtId="165" fontId="0" fillId="0" borderId="72" xfId="0" applyNumberFormat="1" applyBorder="1" applyAlignment="1">
      <alignment horizontal="center" vertical="center"/>
    </xf>
    <xf numFmtId="0" fontId="0" fillId="0" borderId="0" xfId="0" applyAlignment="1">
      <alignment horizontal="center" vertical="center"/>
    </xf>
    <xf numFmtId="0" fontId="0" fillId="0" borderId="98" xfId="0" applyBorder="1" applyAlignment="1">
      <alignment horizontal="center" vertical="center"/>
    </xf>
    <xf numFmtId="0" fontId="0" fillId="0" borderId="95" xfId="0" applyBorder="1" applyAlignment="1">
      <alignment horizontal="center" vertical="center"/>
    </xf>
    <xf numFmtId="165" fontId="0" fillId="0" borderId="115" xfId="0" applyNumberFormat="1" applyBorder="1" applyAlignment="1">
      <alignment horizontal="center" vertical="center"/>
    </xf>
    <xf numFmtId="0" fontId="121" fillId="0" borderId="56" xfId="0" applyFont="1" applyBorder="1" applyAlignment="1">
      <alignment horizontal="center"/>
    </xf>
    <xf numFmtId="0" fontId="0" fillId="0" borderId="109" xfId="0" applyFont="1" applyBorder="1" applyAlignment="1">
      <alignment horizontal="center"/>
    </xf>
    <xf numFmtId="0" fontId="0" fillId="0" borderId="110" xfId="0" applyFont="1" applyBorder="1" applyAlignment="1">
      <alignment horizontal="center"/>
    </xf>
    <xf numFmtId="0" fontId="0" fillId="0" borderId="57" xfId="0" applyFont="1" applyBorder="1" applyAlignment="1">
      <alignment horizontal="center"/>
    </xf>
    <xf numFmtId="0" fontId="0" fillId="0" borderId="56" xfId="0" applyFont="1" applyBorder="1" applyAlignment="1">
      <alignment horizontal="center"/>
    </xf>
    <xf numFmtId="0" fontId="9" fillId="0" borderId="0" xfId="0" applyFont="1"/>
    <xf numFmtId="0" fontId="9" fillId="0" borderId="0" xfId="0" applyFont="1" applyAlignment="1">
      <alignment horizontal="center" vertical="center" wrapText="1"/>
    </xf>
    <xf numFmtId="0" fontId="9" fillId="0" borderId="0" xfId="0" applyFont="1" applyAlignment="1">
      <alignment wrapText="1"/>
    </xf>
    <xf numFmtId="165" fontId="9" fillId="0" borderId="0" xfId="1482" applyNumberFormat="1" applyFont="1" applyAlignment="1">
      <alignment horizontal="center"/>
    </xf>
    <xf numFmtId="9" fontId="9" fillId="0" borderId="0" xfId="1482" applyFont="1" applyAlignment="1">
      <alignment horizontal="center"/>
    </xf>
    <xf numFmtId="0" fontId="9" fillId="0" borderId="0" xfId="0" applyFont="1" applyAlignment="1">
      <alignment horizontal="center"/>
    </xf>
    <xf numFmtId="165"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left" vertical="center" wrapText="1"/>
    </xf>
    <xf numFmtId="0" fontId="0" fillId="0" borderId="0" xfId="0"/>
    <xf numFmtId="0" fontId="9" fillId="0" borderId="0" xfId="1824" applyFont="1"/>
    <xf numFmtId="0" fontId="141" fillId="0" borderId="0" xfId="1824" applyFont="1"/>
    <xf numFmtId="0" fontId="141" fillId="0" borderId="141" xfId="1824" applyFont="1" applyBorder="1"/>
    <xf numFmtId="0" fontId="141" fillId="0" borderId="110" xfId="1824" applyFont="1" applyBorder="1"/>
    <xf numFmtId="0" fontId="141" fillId="0" borderId="62" xfId="1824" applyFont="1" applyBorder="1"/>
    <xf numFmtId="0" fontId="141" fillId="0" borderId="0" xfId="1824" applyFont="1" applyBorder="1"/>
    <xf numFmtId="0" fontId="141" fillId="0" borderId="92" xfId="1824" applyFont="1" applyBorder="1"/>
    <xf numFmtId="0" fontId="141" fillId="0" borderId="76" xfId="1824" applyFont="1" applyBorder="1"/>
    <xf numFmtId="166" fontId="9" fillId="0" borderId="72" xfId="1824" applyNumberFormat="1" applyFont="1" applyBorder="1" applyAlignment="1">
      <alignment horizontal="center" vertical="center"/>
    </xf>
    <xf numFmtId="166" fontId="9" fillId="0" borderId="69" xfId="1824" applyNumberFormat="1" applyFont="1" applyBorder="1" applyAlignment="1">
      <alignment horizontal="center" vertical="center"/>
    </xf>
    <xf numFmtId="166" fontId="9" fillId="0" borderId="70" xfId="1824" applyNumberFormat="1" applyFont="1" applyBorder="1" applyAlignment="1">
      <alignment horizontal="center" vertical="center"/>
    </xf>
    <xf numFmtId="0" fontId="9" fillId="0" borderId="67" xfId="1824" applyFont="1" applyBorder="1" applyAlignment="1">
      <alignment vertical="center" wrapText="1"/>
    </xf>
    <xf numFmtId="166" fontId="9" fillId="0" borderId="57" xfId="1824" applyNumberFormat="1" applyFont="1" applyBorder="1" applyAlignment="1">
      <alignment horizontal="center" vertical="center"/>
    </xf>
    <xf numFmtId="166" fontId="9" fillId="0" borderId="0" xfId="1824" applyNumberFormat="1" applyFont="1" applyBorder="1" applyAlignment="1">
      <alignment horizontal="center" vertical="center"/>
    </xf>
    <xf numFmtId="166" fontId="9" fillId="0" borderId="63" xfId="1824" applyNumberFormat="1" applyFont="1" applyBorder="1" applyAlignment="1">
      <alignment horizontal="center" vertical="center"/>
    </xf>
    <xf numFmtId="0" fontId="0" fillId="0" borderId="56" xfId="1824" applyFont="1" applyBorder="1" applyAlignment="1">
      <alignment wrapText="1"/>
    </xf>
    <xf numFmtId="166" fontId="9" fillId="0" borderId="57" xfId="1824" applyNumberFormat="1" applyFont="1" applyBorder="1" applyAlignment="1">
      <alignment horizontal="center"/>
    </xf>
    <xf numFmtId="166" fontId="9" fillId="0" borderId="0" xfId="1824" applyNumberFormat="1" applyFont="1" applyBorder="1" applyAlignment="1">
      <alignment horizontal="center"/>
    </xf>
    <xf numFmtId="166" fontId="9" fillId="0" borderId="63" xfId="1824" applyNumberFormat="1" applyFont="1" applyBorder="1" applyAlignment="1">
      <alignment horizontal="center"/>
    </xf>
    <xf numFmtId="0" fontId="9" fillId="0" borderId="56" xfId="1824" applyFont="1" applyBorder="1"/>
    <xf numFmtId="0" fontId="0" fillId="0" borderId="148" xfId="1824" applyFont="1" applyBorder="1" applyAlignment="1">
      <alignment horizontal="center" vertical="center" wrapText="1"/>
    </xf>
    <xf numFmtId="0" fontId="0" fillId="0" borderId="59" xfId="1824" applyFont="1" applyBorder="1" applyAlignment="1">
      <alignment horizontal="center" vertical="center" wrapText="1"/>
    </xf>
    <xf numFmtId="0" fontId="39" fillId="0" borderId="147" xfId="1824" applyFont="1" applyBorder="1" applyAlignment="1">
      <alignment horizontal="center" vertical="center" wrapText="1"/>
    </xf>
    <xf numFmtId="0" fontId="9" fillId="0" borderId="143" xfId="1824" applyFont="1" applyBorder="1"/>
    <xf numFmtId="0" fontId="44" fillId="0" borderId="57" xfId="1824" applyFont="1" applyBorder="1" applyAlignment="1">
      <alignment horizontal="center" vertical="center"/>
    </xf>
    <xf numFmtId="0" fontId="44" fillId="0" borderId="0" xfId="1824" applyFont="1" applyBorder="1" applyAlignment="1">
      <alignment horizontal="center" vertical="center"/>
    </xf>
    <xf numFmtId="0" fontId="9" fillId="0" borderId="56" xfId="1824" applyFont="1" applyBorder="1" applyAlignment="1">
      <alignment horizontal="center" vertical="center"/>
    </xf>
    <xf numFmtId="0" fontId="9" fillId="0" borderId="0" xfId="1824" applyFont="1" applyBorder="1"/>
    <xf numFmtId="0" fontId="9" fillId="0" borderId="0" xfId="1824" applyFont="1" applyAlignment="1">
      <alignment wrapText="1"/>
    </xf>
    <xf numFmtId="0" fontId="39" fillId="0" borderId="0" xfId="1824" applyFont="1" applyBorder="1" applyAlignment="1">
      <alignment horizontal="center" vertical="center" wrapText="1"/>
    </xf>
    <xf numFmtId="0" fontId="39" fillId="0" borderId="0" xfId="1824" applyFont="1" applyFill="1" applyAlignment="1">
      <alignment wrapText="1"/>
    </xf>
    <xf numFmtId="0" fontId="9" fillId="0" borderId="0" xfId="1824" applyFont="1" applyFill="1"/>
    <xf numFmtId="166" fontId="44" fillId="0" borderId="0" xfId="1824" applyNumberFormat="1" applyFont="1" applyBorder="1"/>
    <xf numFmtId="166" fontId="44" fillId="0" borderId="0" xfId="1824" applyNumberFormat="1" applyFont="1"/>
    <xf numFmtId="166" fontId="39" fillId="0" borderId="72" xfId="1824" applyNumberFormat="1" applyFont="1" applyFill="1" applyBorder="1" applyAlignment="1">
      <alignment horizontal="center" vertical="center"/>
    </xf>
    <xf numFmtId="166" fontId="66" fillId="0" borderId="95" xfId="1824" applyNumberFormat="1" applyFont="1" applyFill="1" applyBorder="1" applyAlignment="1">
      <alignment horizontal="center" vertical="center"/>
    </xf>
    <xf numFmtId="166" fontId="66" fillId="0" borderId="69" xfId="1824" applyNumberFormat="1" applyFont="1" applyFill="1" applyBorder="1" applyAlignment="1">
      <alignment horizontal="center" vertical="center"/>
    </xf>
    <xf numFmtId="166" fontId="66" fillId="0" borderId="98" xfId="1824" applyNumberFormat="1" applyFont="1" applyFill="1" applyBorder="1" applyAlignment="1">
      <alignment horizontal="center" vertical="center"/>
    </xf>
    <xf numFmtId="166" fontId="39" fillId="0" borderId="69" xfId="1824" applyNumberFormat="1" applyFont="1" applyFill="1" applyBorder="1" applyAlignment="1">
      <alignment horizontal="center" vertical="center"/>
    </xf>
    <xf numFmtId="166" fontId="39" fillId="0" borderId="68" xfId="1824" applyNumberFormat="1" applyFont="1" applyFill="1" applyBorder="1" applyAlignment="1">
      <alignment horizontal="center" vertical="center"/>
    </xf>
    <xf numFmtId="0" fontId="39" fillId="0" borderId="67" xfId="1824" applyFont="1" applyFill="1" applyBorder="1" applyAlignment="1">
      <alignment vertical="center"/>
    </xf>
    <xf numFmtId="0" fontId="14" fillId="0" borderId="0" xfId="1824" applyFont="1"/>
    <xf numFmtId="166" fontId="9" fillId="0" borderId="7" xfId="1824" applyNumberFormat="1" applyFont="1" applyBorder="1" applyAlignment="1">
      <alignment horizontal="center" vertical="center"/>
    </xf>
    <xf numFmtId="166" fontId="9" fillId="0" borderId="1" xfId="1824" applyNumberFormat="1" applyFont="1" applyBorder="1" applyAlignment="1">
      <alignment horizontal="center" vertical="center"/>
    </xf>
    <xf numFmtId="166" fontId="9" fillId="0" borderId="61" xfId="1824" applyNumberFormat="1" applyFont="1" applyBorder="1" applyAlignment="1">
      <alignment horizontal="center" vertical="center"/>
    </xf>
    <xf numFmtId="166" fontId="14" fillId="0" borderId="7" xfId="1824" applyNumberFormat="1" applyFont="1" applyBorder="1" applyAlignment="1">
      <alignment horizontal="center" vertical="center"/>
    </xf>
    <xf numFmtId="166" fontId="14" fillId="0" borderId="0" xfId="1824" applyNumberFormat="1" applyFont="1" applyBorder="1" applyAlignment="1">
      <alignment horizontal="center" vertical="center"/>
    </xf>
    <xf numFmtId="166" fontId="14" fillId="0" borderId="1" xfId="1824" applyNumberFormat="1" applyFont="1" applyBorder="1" applyAlignment="1">
      <alignment horizontal="center" vertical="center"/>
    </xf>
    <xf numFmtId="166" fontId="45" fillId="0" borderId="7" xfId="1824" applyNumberFormat="1" applyFont="1" applyBorder="1" applyAlignment="1">
      <alignment horizontal="center" vertical="center"/>
    </xf>
    <xf numFmtId="166" fontId="45" fillId="0" borderId="0" xfId="1824" applyNumberFormat="1" applyFont="1" applyBorder="1" applyAlignment="1">
      <alignment horizontal="center" vertical="center"/>
    </xf>
    <xf numFmtId="0" fontId="45" fillId="0" borderId="0" xfId="1824" applyFont="1"/>
    <xf numFmtId="166" fontId="14" fillId="0" borderId="23" xfId="1824" applyNumberFormat="1" applyFont="1" applyBorder="1" applyAlignment="1">
      <alignment horizontal="center" vertical="center"/>
    </xf>
    <xf numFmtId="166" fontId="14" fillId="0" borderId="22" xfId="1824" applyNumberFormat="1" applyFont="1" applyBorder="1" applyAlignment="1">
      <alignment horizontal="center" vertical="center"/>
    </xf>
    <xf numFmtId="166" fontId="14" fillId="0" borderId="9" xfId="1824" applyNumberFormat="1" applyFont="1" applyBorder="1" applyAlignment="1">
      <alignment horizontal="center" vertical="center"/>
    </xf>
    <xf numFmtId="0" fontId="9" fillId="0" borderId="28" xfId="1824" applyFont="1" applyBorder="1" applyAlignment="1">
      <alignment horizontal="center" vertical="center" wrapText="1"/>
    </xf>
    <xf numFmtId="0" fontId="9" fillId="0" borderId="2" xfId="1824" applyFont="1" applyBorder="1" applyAlignment="1">
      <alignment horizontal="center" vertical="center" wrapText="1"/>
    </xf>
    <xf numFmtId="0" fontId="9" fillId="0" borderId="3" xfId="1824" applyFont="1" applyBorder="1" applyAlignment="1">
      <alignment horizontal="center" vertical="center" wrapText="1"/>
    </xf>
    <xf numFmtId="0" fontId="9" fillId="0" borderId="78" xfId="1824" applyFont="1" applyBorder="1" applyAlignment="1">
      <alignment horizontal="center" vertical="center" wrapText="1"/>
    </xf>
    <xf numFmtId="0" fontId="39" fillId="0" borderId="143" xfId="1824" applyFont="1" applyBorder="1" applyAlignment="1">
      <alignment vertical="center" wrapText="1"/>
    </xf>
    <xf numFmtId="0" fontId="39" fillId="0" borderId="142" xfId="1824" applyFont="1" applyBorder="1" applyAlignment="1">
      <alignment horizontal="center" vertical="center"/>
    </xf>
    <xf numFmtId="0" fontId="121" fillId="0" borderId="56" xfId="1824" applyFont="1" applyBorder="1" applyAlignment="1">
      <alignment horizontal="center" vertical="center"/>
    </xf>
    <xf numFmtId="0" fontId="8" fillId="0" borderId="0" xfId="1824"/>
    <xf numFmtId="0" fontId="141" fillId="0" borderId="140" xfId="1824" applyFont="1" applyBorder="1"/>
    <xf numFmtId="0" fontId="141" fillId="0" borderId="61" xfId="1824" applyFont="1" applyBorder="1"/>
    <xf numFmtId="0" fontId="100" fillId="0" borderId="62" xfId="1824" applyFont="1" applyBorder="1"/>
    <xf numFmtId="0" fontId="100" fillId="0" borderId="0" xfId="1824" applyFont="1" applyBorder="1"/>
    <xf numFmtId="0" fontId="8" fillId="0" borderId="0" xfId="1824" applyFont="1"/>
    <xf numFmtId="9" fontId="8" fillId="0" borderId="132" xfId="1825" applyFont="1" applyBorder="1" applyAlignment="1">
      <alignment horizontal="center"/>
    </xf>
    <xf numFmtId="3" fontId="8" fillId="0" borderId="131" xfId="1824" applyNumberFormat="1" applyFont="1" applyBorder="1"/>
    <xf numFmtId="3" fontId="8" fillId="0" borderId="130" xfId="1824" applyNumberFormat="1" applyFont="1" applyBorder="1"/>
    <xf numFmtId="3" fontId="8" fillId="0" borderId="129" xfId="1824" applyNumberFormat="1" applyFont="1" applyBorder="1"/>
    <xf numFmtId="9" fontId="8" fillId="0" borderId="127" xfId="1825" applyFont="1" applyBorder="1" applyAlignment="1">
      <alignment horizontal="center"/>
    </xf>
    <xf numFmtId="3" fontId="8" fillId="0" borderId="0" xfId="1824" applyNumberFormat="1" applyFont="1" applyBorder="1"/>
    <xf numFmtId="9" fontId="8" fillId="0" borderId="127" xfId="1825" applyFont="1" applyFill="1" applyBorder="1" applyAlignment="1">
      <alignment horizontal="center"/>
    </xf>
    <xf numFmtId="175" fontId="8" fillId="0" borderId="0" xfId="1824" applyNumberFormat="1"/>
    <xf numFmtId="3" fontId="8" fillId="0" borderId="0" xfId="1824" applyNumberFormat="1"/>
    <xf numFmtId="9" fontId="8" fillId="0" borderId="126" xfId="1825" applyFont="1" applyBorder="1" applyAlignment="1">
      <alignment horizontal="center"/>
    </xf>
    <xf numFmtId="0" fontId="8" fillId="0" borderId="108" xfId="1824" applyBorder="1"/>
    <xf numFmtId="0" fontId="14" fillId="0" borderId="177" xfId="819" applyFont="1" applyBorder="1" applyAlignment="1">
      <alignment horizontal="center" wrapText="1"/>
    </xf>
    <xf numFmtId="0" fontId="76" fillId="0" borderId="178" xfId="819" applyFont="1" applyBorder="1" applyAlignment="1">
      <alignment horizontal="center" wrapText="1"/>
    </xf>
    <xf numFmtId="0" fontId="143" fillId="0" borderId="179" xfId="819" applyFont="1" applyBorder="1" applyAlignment="1">
      <alignment horizontal="center" vertical="center"/>
    </xf>
    <xf numFmtId="0" fontId="128" fillId="0" borderId="0" xfId="1824" applyFont="1" applyBorder="1"/>
    <xf numFmtId="0" fontId="8" fillId="0" borderId="0" xfId="1824" applyBorder="1"/>
    <xf numFmtId="165" fontId="99" fillId="0" borderId="57" xfId="1825" applyNumberFormat="1" applyFont="1" applyBorder="1" applyAlignment="1">
      <alignment horizontal="center"/>
    </xf>
    <xf numFmtId="165" fontId="99" fillId="0" borderId="10" xfId="1825" applyNumberFormat="1" applyFont="1" applyBorder="1" applyAlignment="1">
      <alignment horizontal="center"/>
    </xf>
    <xf numFmtId="165" fontId="99" fillId="0" borderId="61" xfId="1825" applyNumberFormat="1" applyFont="1" applyBorder="1" applyAlignment="1">
      <alignment horizontal="center"/>
    </xf>
    <xf numFmtId="165" fontId="99" fillId="0" borderId="0" xfId="1825" applyNumberFormat="1" applyFont="1" applyBorder="1" applyAlignment="1">
      <alignment horizontal="center"/>
    </xf>
    <xf numFmtId="0" fontId="99" fillId="0" borderId="62" xfId="1824" applyFont="1" applyBorder="1" applyAlignment="1">
      <alignment horizontal="center"/>
    </xf>
    <xf numFmtId="0" fontId="99" fillId="0" borderId="0" xfId="1824" applyFont="1" applyBorder="1" applyAlignment="1">
      <alignment horizontal="center"/>
    </xf>
    <xf numFmtId="0" fontId="99" fillId="0" borderId="7" xfId="1824" applyFont="1" applyBorder="1" applyAlignment="1">
      <alignment horizontal="center"/>
    </xf>
    <xf numFmtId="0" fontId="99" fillId="0" borderId="1" xfId="1824" applyFont="1" applyBorder="1" applyAlignment="1">
      <alignment horizontal="center"/>
    </xf>
    <xf numFmtId="0" fontId="99" fillId="0" borderId="61" xfId="1824" applyFont="1" applyBorder="1" applyAlignment="1">
      <alignment horizontal="center"/>
    </xf>
    <xf numFmtId="0" fontId="147" fillId="0" borderId="173" xfId="1824" applyFont="1" applyBorder="1"/>
    <xf numFmtId="0" fontId="99" fillId="0" borderId="57" xfId="1824" applyFont="1" applyBorder="1" applyAlignment="1">
      <alignment horizontal="center"/>
    </xf>
    <xf numFmtId="0" fontId="99" fillId="0" borderId="10" xfId="1824" applyFont="1" applyBorder="1" applyAlignment="1">
      <alignment horizontal="center"/>
    </xf>
    <xf numFmtId="0" fontId="99" fillId="0" borderId="65" xfId="1824" applyFont="1" applyBorder="1" applyAlignment="1">
      <alignment horizontal="center"/>
    </xf>
    <xf numFmtId="0" fontId="99" fillId="0" borderId="23" xfId="1824" applyFont="1" applyBorder="1" applyAlignment="1">
      <alignment horizontal="center"/>
    </xf>
    <xf numFmtId="0" fontId="99" fillId="0" borderId="9" xfId="1824" applyFont="1" applyBorder="1" applyAlignment="1">
      <alignment horizontal="center"/>
    </xf>
    <xf numFmtId="0" fontId="99" fillId="0" borderId="173" xfId="1824" applyFont="1" applyBorder="1"/>
    <xf numFmtId="0" fontId="99" fillId="0" borderId="108" xfId="1824" applyFont="1" applyBorder="1" applyAlignment="1">
      <alignment horizontal="center"/>
    </xf>
    <xf numFmtId="0" fontId="99" fillId="0" borderId="27" xfId="1824" applyFont="1" applyBorder="1" applyAlignment="1">
      <alignment horizontal="center"/>
    </xf>
    <xf numFmtId="0" fontId="99" fillId="0" borderId="78" xfId="1824" applyFont="1" applyBorder="1" applyAlignment="1">
      <alignment horizontal="center"/>
    </xf>
    <xf numFmtId="0" fontId="99" fillId="0" borderId="2" xfId="1824" applyFont="1" applyBorder="1" applyAlignment="1">
      <alignment horizontal="center"/>
    </xf>
    <xf numFmtId="0" fontId="128" fillId="0" borderId="0" xfId="1824" applyFont="1" applyBorder="1" applyAlignment="1">
      <alignment horizontal="center"/>
    </xf>
    <xf numFmtId="0" fontId="99" fillId="0" borderId="171" xfId="1824" applyFont="1" applyBorder="1"/>
    <xf numFmtId="166" fontId="8" fillId="0" borderId="72" xfId="1824" applyNumberFormat="1" applyBorder="1" applyAlignment="1">
      <alignment horizontal="center"/>
    </xf>
    <xf numFmtId="0" fontId="8" fillId="0" borderId="95" xfId="1824" applyBorder="1" applyAlignment="1">
      <alignment horizontal="center"/>
    </xf>
    <xf numFmtId="0" fontId="8" fillId="0" borderId="69" xfId="1824" applyBorder="1" applyAlignment="1">
      <alignment horizontal="center"/>
    </xf>
    <xf numFmtId="0" fontId="128" fillId="0" borderId="174" xfId="1824" applyFont="1" applyBorder="1" applyAlignment="1">
      <alignment horizontal="center"/>
    </xf>
    <xf numFmtId="166" fontId="8" fillId="0" borderId="57" xfId="1824" applyNumberFormat="1" applyBorder="1" applyAlignment="1">
      <alignment horizontal="center"/>
    </xf>
    <xf numFmtId="0" fontId="8" fillId="0" borderId="7" xfId="1824" applyBorder="1" applyAlignment="1">
      <alignment horizontal="center"/>
    </xf>
    <xf numFmtId="0" fontId="8" fillId="0" borderId="1" xfId="1824" applyBorder="1" applyAlignment="1">
      <alignment horizontal="center"/>
    </xf>
    <xf numFmtId="0" fontId="8" fillId="0" borderId="0" xfId="1824" applyBorder="1" applyAlignment="1">
      <alignment horizontal="center"/>
    </xf>
    <xf numFmtId="0" fontId="128" fillId="0" borderId="173" xfId="1824" applyFont="1" applyBorder="1" applyAlignment="1">
      <alignment horizontal="center"/>
    </xf>
    <xf numFmtId="0" fontId="8" fillId="0" borderId="57" xfId="1824" applyBorder="1" applyAlignment="1">
      <alignment horizontal="center"/>
    </xf>
    <xf numFmtId="0" fontId="8" fillId="0" borderId="7" xfId="1824" applyFont="1" applyBorder="1" applyAlignment="1">
      <alignment horizontal="center"/>
    </xf>
    <xf numFmtId="0" fontId="8" fillId="0" borderId="1" xfId="1824" applyFont="1" applyBorder="1" applyAlignment="1">
      <alignment horizontal="center"/>
    </xf>
    <xf numFmtId="0" fontId="8" fillId="0" borderId="0" xfId="1824" applyFont="1" applyBorder="1" applyAlignment="1">
      <alignment horizontal="center"/>
    </xf>
    <xf numFmtId="0" fontId="8" fillId="0" borderId="173" xfId="1824" applyBorder="1" applyAlignment="1">
      <alignment horizontal="center"/>
    </xf>
    <xf numFmtId="0" fontId="39" fillId="0" borderId="108" xfId="1824" applyFont="1" applyBorder="1" applyAlignment="1">
      <alignment horizontal="center" wrapText="1"/>
    </xf>
    <xf numFmtId="0" fontId="8" fillId="0" borderId="173" xfId="1824" applyBorder="1"/>
    <xf numFmtId="0" fontId="39" fillId="0" borderId="148" xfId="1824" applyFont="1" applyBorder="1" applyAlignment="1">
      <alignment horizontal="center" wrapText="1"/>
    </xf>
    <xf numFmtId="0" fontId="8" fillId="0" borderId="171" xfId="1824" applyBorder="1"/>
    <xf numFmtId="0" fontId="141" fillId="0" borderId="77" xfId="1824" applyFont="1" applyBorder="1" applyAlignment="1"/>
    <xf numFmtId="0" fontId="141" fillId="0" borderId="72" xfId="1824" applyFont="1" applyBorder="1"/>
    <xf numFmtId="0" fontId="141" fillId="0" borderId="69" xfId="1824" applyFont="1" applyBorder="1"/>
    <xf numFmtId="0" fontId="141" fillId="0" borderId="114" xfId="1824" applyFont="1" applyBorder="1"/>
    <xf numFmtId="0" fontId="141" fillId="0" borderId="57" xfId="1824" applyFont="1" applyBorder="1"/>
    <xf numFmtId="0" fontId="141" fillId="0" borderId="0" xfId="1824" applyFont="1" applyBorder="1" applyAlignment="1"/>
    <xf numFmtId="0" fontId="141" fillId="0" borderId="113" xfId="1824" applyFont="1" applyBorder="1"/>
    <xf numFmtId="0" fontId="142" fillId="0" borderId="108" xfId="1824" applyFont="1" applyBorder="1"/>
    <xf numFmtId="0" fontId="142" fillId="0" borderId="2" xfId="1824" applyFont="1" applyBorder="1"/>
    <xf numFmtId="0" fontId="141" fillId="0" borderId="112" xfId="1824" applyFont="1" applyBorder="1"/>
    <xf numFmtId="0" fontId="135" fillId="0" borderId="0" xfId="1824" applyFont="1" applyAlignment="1">
      <alignment wrapText="1"/>
    </xf>
    <xf numFmtId="0" fontId="141" fillId="0" borderId="105" xfId="1824" applyFont="1" applyBorder="1" applyAlignment="1">
      <alignment vertical="center" wrapText="1"/>
    </xf>
    <xf numFmtId="0" fontId="141" fillId="0" borderId="25" xfId="1824" applyFont="1" applyBorder="1" applyAlignment="1">
      <alignment vertical="center" wrapText="1"/>
    </xf>
    <xf numFmtId="0" fontId="141" fillId="0" borderId="24" xfId="1824" applyFont="1" applyBorder="1" applyAlignment="1">
      <alignment vertical="center" wrapText="1"/>
    </xf>
    <xf numFmtId="0" fontId="141" fillId="0" borderId="167" xfId="1824" applyFont="1" applyBorder="1" applyAlignment="1">
      <alignment wrapText="1"/>
    </xf>
    <xf numFmtId="0" fontId="121" fillId="0" borderId="180" xfId="1824" applyFont="1" applyBorder="1" applyAlignment="1">
      <alignment horizontal="center"/>
    </xf>
    <xf numFmtId="0" fontId="9" fillId="0" borderId="141" xfId="1824" applyFont="1" applyBorder="1"/>
    <xf numFmtId="0" fontId="9" fillId="0" borderId="140" xfId="1824" applyFont="1" applyBorder="1"/>
    <xf numFmtId="0" fontId="9" fillId="0" borderId="62" xfId="1824" applyFont="1" applyBorder="1"/>
    <xf numFmtId="0" fontId="9" fillId="0" borderId="61" xfId="1824" applyFont="1" applyBorder="1"/>
    <xf numFmtId="0" fontId="9" fillId="0" borderId="92" xfId="1824" applyFont="1" applyBorder="1"/>
    <xf numFmtId="165" fontId="9" fillId="0" borderId="137" xfId="1825" applyNumberFormat="1" applyFont="1" applyBorder="1" applyAlignment="1">
      <alignment horizontal="center"/>
    </xf>
    <xf numFmtId="0" fontId="9" fillId="0" borderId="114" xfId="1824" applyFont="1" applyBorder="1" applyAlignment="1">
      <alignment horizontal="center"/>
    </xf>
    <xf numFmtId="165" fontId="9" fillId="0" borderId="89" xfId="1825" applyNumberFormat="1" applyFont="1" applyBorder="1" applyAlignment="1">
      <alignment horizontal="center"/>
    </xf>
    <xf numFmtId="0" fontId="9" fillId="0" borderId="113" xfId="1824" applyFont="1" applyBorder="1" applyAlignment="1">
      <alignment horizontal="center"/>
    </xf>
    <xf numFmtId="0" fontId="39" fillId="0" borderId="135" xfId="1824" applyFont="1" applyBorder="1" applyAlignment="1">
      <alignment horizontal="center"/>
    </xf>
    <xf numFmtId="0" fontId="39" fillId="0" borderId="134" xfId="1824" applyFont="1" applyBorder="1" applyAlignment="1">
      <alignment horizontal="center"/>
    </xf>
    <xf numFmtId="0" fontId="9" fillId="0" borderId="0" xfId="1824" applyFont="1" applyAlignment="1">
      <alignment horizontal="center"/>
    </xf>
    <xf numFmtId="0" fontId="9" fillId="0" borderId="67" xfId="1824" applyFont="1" applyBorder="1" applyAlignment="1">
      <alignment horizontal="center"/>
    </xf>
    <xf numFmtId="0" fontId="9" fillId="0" borderId="56" xfId="1824" applyFont="1" applyBorder="1" applyAlignment="1">
      <alignment horizontal="center"/>
    </xf>
    <xf numFmtId="165" fontId="9" fillId="0" borderId="136" xfId="1825" applyNumberFormat="1" applyFont="1" applyBorder="1" applyAlignment="1">
      <alignment horizontal="center"/>
    </xf>
    <xf numFmtId="0" fontId="39" fillId="0" borderId="139" xfId="1824" applyFont="1" applyBorder="1" applyAlignment="1">
      <alignment horizontal="center"/>
    </xf>
    <xf numFmtId="0" fontId="39" fillId="0" borderId="142" xfId="1824" applyFont="1" applyBorder="1" applyAlignment="1">
      <alignment horizontal="center"/>
    </xf>
    <xf numFmtId="2" fontId="9" fillId="0" borderId="137" xfId="1824" applyNumberFormat="1" applyFont="1" applyBorder="1" applyAlignment="1">
      <alignment horizontal="center"/>
    </xf>
    <xf numFmtId="2" fontId="9" fillId="0" borderId="69" xfId="1824" applyNumberFormat="1" applyFont="1" applyBorder="1" applyAlignment="1">
      <alignment horizontal="center"/>
    </xf>
    <xf numFmtId="0" fontId="9" fillId="0" borderId="69" xfId="1824" applyFont="1" applyBorder="1" applyAlignment="1">
      <alignment horizontal="center"/>
    </xf>
    <xf numFmtId="2" fontId="9" fillId="0" borderId="95" xfId="1824" applyNumberFormat="1" applyFont="1" applyBorder="1" applyAlignment="1">
      <alignment horizontal="center"/>
    </xf>
    <xf numFmtId="2" fontId="9" fillId="0" borderId="89" xfId="1824" applyNumberFormat="1" applyFont="1" applyBorder="1" applyAlignment="1">
      <alignment horizontal="center"/>
    </xf>
    <xf numFmtId="2" fontId="9" fillId="0" borderId="0" xfId="1824" applyNumberFormat="1" applyFont="1" applyBorder="1" applyAlignment="1">
      <alignment horizontal="center"/>
    </xf>
    <xf numFmtId="0" fontId="9" fillId="0" borderId="0" xfId="1824" applyFont="1" applyBorder="1" applyAlignment="1">
      <alignment horizontal="center"/>
    </xf>
    <xf numFmtId="2" fontId="9" fillId="0" borderId="7" xfId="1824" applyNumberFormat="1" applyFont="1" applyBorder="1" applyAlignment="1">
      <alignment horizontal="center"/>
    </xf>
    <xf numFmtId="2" fontId="39" fillId="0" borderId="0" xfId="1824" applyNumberFormat="1" applyFont="1" applyBorder="1" applyAlignment="1">
      <alignment horizontal="center"/>
    </xf>
    <xf numFmtId="2" fontId="45" fillId="0" borderId="89" xfId="1824" applyNumberFormat="1" applyFont="1" applyBorder="1" applyAlignment="1">
      <alignment horizontal="center"/>
    </xf>
    <xf numFmtId="2" fontId="45" fillId="0" borderId="0" xfId="1824" applyNumberFormat="1" applyFont="1" applyBorder="1" applyAlignment="1">
      <alignment horizontal="center"/>
    </xf>
    <xf numFmtId="0" fontId="9" fillId="0" borderId="113" xfId="1824" applyFont="1" applyFill="1" applyBorder="1" applyAlignment="1">
      <alignment horizontal="center"/>
    </xf>
    <xf numFmtId="0" fontId="14" fillId="0" borderId="113" xfId="1824" applyFont="1" applyBorder="1" applyAlignment="1">
      <alignment horizontal="center"/>
    </xf>
    <xf numFmtId="0" fontId="128" fillId="0" borderId="0" xfId="1824" applyFont="1" applyAlignment="1">
      <alignment horizontal="center" wrapText="1"/>
    </xf>
    <xf numFmtId="0" fontId="39" fillId="0" borderId="154" xfId="1824" applyFont="1" applyBorder="1" applyAlignment="1">
      <alignment horizontal="center"/>
    </xf>
    <xf numFmtId="0" fontId="39" fillId="0" borderId="2" xfId="1824" applyFont="1" applyBorder="1" applyAlignment="1">
      <alignment horizontal="center" wrapText="1"/>
    </xf>
    <xf numFmtId="0" fontId="39" fillId="0" borderId="2" xfId="1824" applyFont="1" applyBorder="1" applyAlignment="1">
      <alignment horizontal="center"/>
    </xf>
    <xf numFmtId="0" fontId="39" fillId="0" borderId="28" xfId="1824" applyFont="1" applyBorder="1" applyAlignment="1">
      <alignment horizontal="center" wrapText="1"/>
    </xf>
    <xf numFmtId="0" fontId="39" fillId="0" borderId="112" xfId="1824" applyFont="1" applyBorder="1" applyAlignment="1">
      <alignment horizontal="center"/>
    </xf>
    <xf numFmtId="0" fontId="9" fillId="0" borderId="154" xfId="1824" applyFont="1" applyBorder="1"/>
    <xf numFmtId="0" fontId="44" fillId="0" borderId="0" xfId="1824" applyFont="1" applyBorder="1"/>
    <xf numFmtId="0" fontId="44" fillId="0" borderId="0" xfId="1824" applyFont="1" applyBorder="1" applyAlignment="1">
      <alignment horizontal="center" wrapText="1"/>
    </xf>
    <xf numFmtId="0" fontId="44" fillId="0" borderId="7" xfId="1824" applyFont="1" applyBorder="1"/>
    <xf numFmtId="0" fontId="39" fillId="0" borderId="138" xfId="1824" applyFont="1" applyBorder="1" applyAlignment="1">
      <alignment horizontal="center" vertical="center"/>
    </xf>
    <xf numFmtId="0" fontId="9" fillId="0" borderId="105" xfId="1824" applyFont="1" applyBorder="1"/>
    <xf numFmtId="0" fontId="128" fillId="0" borderId="0" xfId="1824" applyFont="1" applyAlignment="1">
      <alignment wrapText="1"/>
    </xf>
    <xf numFmtId="0" fontId="128" fillId="0" borderId="0" xfId="1824" applyFont="1" applyFill="1" applyAlignment="1">
      <alignment wrapText="1"/>
    </xf>
    <xf numFmtId="0" fontId="121" fillId="0" borderId="93" xfId="1824" applyFont="1" applyBorder="1" applyAlignment="1">
      <alignment horizontal="center"/>
    </xf>
    <xf numFmtId="0" fontId="121" fillId="0" borderId="66" xfId="1824" applyFont="1" applyBorder="1" applyAlignment="1">
      <alignment horizontal="center"/>
    </xf>
    <xf numFmtId="0" fontId="128" fillId="0" borderId="0" xfId="1824" applyFont="1"/>
    <xf numFmtId="0" fontId="7" fillId="0" borderId="0" xfId="1824" applyFont="1"/>
    <xf numFmtId="0" fontId="0" fillId="0" borderId="0" xfId="0"/>
    <xf numFmtId="0" fontId="0" fillId="0" borderId="0" xfId="0"/>
    <xf numFmtId="0" fontId="5" fillId="0" borderId="0" xfId="0" applyFont="1"/>
    <xf numFmtId="0" fontId="5" fillId="0" borderId="0" xfId="0" applyFont="1" applyAlignment="1">
      <alignment horizontal="center" vertical="center" wrapText="1"/>
    </xf>
    <xf numFmtId="0" fontId="5" fillId="0" borderId="0" xfId="0" applyFont="1" applyAlignment="1">
      <alignment wrapText="1"/>
    </xf>
    <xf numFmtId="9" fontId="5" fillId="0" borderId="0" xfId="0" applyNumberFormat="1" applyFont="1" applyAlignment="1">
      <alignment horizontal="center"/>
    </xf>
    <xf numFmtId="0" fontId="5" fillId="0" borderId="0" xfId="0" applyFont="1" applyAlignment="1">
      <alignment horizontal="center"/>
    </xf>
    <xf numFmtId="0" fontId="0" fillId="0" borderId="0" xfId="1480" applyFont="1" applyBorder="1" applyAlignment="1">
      <alignment horizontal="left" vertical="center" wrapText="1"/>
    </xf>
    <xf numFmtId="0" fontId="0" fillId="0" borderId="0" xfId="1480" applyFont="1" applyBorder="1" applyAlignment="1">
      <alignment vertical="center" wrapText="1"/>
    </xf>
    <xf numFmtId="165" fontId="3" fillId="0" borderId="0" xfId="1" applyNumberFormat="1" applyFont="1" applyBorder="1" applyAlignment="1">
      <alignment horizontal="center" vertical="center"/>
    </xf>
    <xf numFmtId="165" fontId="3" fillId="0" borderId="4" xfId="1" applyNumberFormat="1" applyFont="1" applyBorder="1" applyAlignment="1">
      <alignment horizontal="center" vertical="center"/>
    </xf>
    <xf numFmtId="0" fontId="120" fillId="0" borderId="0" xfId="1480"/>
    <xf numFmtId="9" fontId="0" fillId="0" borderId="0" xfId="1482" applyFont="1"/>
    <xf numFmtId="9" fontId="120" fillId="0" borderId="0" xfId="1480" applyNumberFormat="1"/>
    <xf numFmtId="9" fontId="120" fillId="0" borderId="0" xfId="1480" applyNumberFormat="1" applyAlignment="1">
      <alignment horizontal="left"/>
    </xf>
    <xf numFmtId="0" fontId="120" fillId="0" borderId="0" xfId="1480" applyAlignment="1"/>
    <xf numFmtId="165" fontId="120" fillId="0" borderId="0" xfId="1480" applyNumberFormat="1" applyAlignment="1">
      <alignment horizontal="center"/>
    </xf>
    <xf numFmtId="165" fontId="0" fillId="0" borderId="0" xfId="1482" applyNumberFormat="1" applyFont="1" applyAlignment="1">
      <alignment horizontal="left"/>
    </xf>
    <xf numFmtId="0" fontId="120" fillId="0" borderId="0" xfId="1480" applyAlignment="1">
      <alignment horizontal="right"/>
    </xf>
    <xf numFmtId="0" fontId="120" fillId="0" borderId="0" xfId="1480" applyAlignment="1">
      <alignment horizontal="left"/>
    </xf>
    <xf numFmtId="165" fontId="120" fillId="0" borderId="0" xfId="1480" applyNumberFormat="1" applyAlignment="1">
      <alignment horizontal="left"/>
    </xf>
    <xf numFmtId="10" fontId="120" fillId="0" borderId="0" xfId="1480" applyNumberFormat="1"/>
    <xf numFmtId="1" fontId="150" fillId="0" borderId="49" xfId="1480" applyNumberFormat="1" applyFont="1" applyBorder="1" applyAlignment="1">
      <alignment horizontal="center" vertical="center"/>
    </xf>
    <xf numFmtId="166" fontId="150" fillId="0" borderId="49" xfId="1480" applyNumberFormat="1" applyFont="1" applyBorder="1" applyAlignment="1">
      <alignment horizontal="center" vertical="center"/>
    </xf>
    <xf numFmtId="0" fontId="151" fillId="0" borderId="49" xfId="1480" applyFont="1" applyBorder="1" applyAlignment="1">
      <alignment horizontal="center" vertical="center"/>
    </xf>
    <xf numFmtId="9" fontId="151" fillId="0" borderId="49" xfId="1480" applyNumberFormat="1" applyFont="1" applyBorder="1" applyAlignment="1">
      <alignment horizontal="center" vertical="center"/>
    </xf>
    <xf numFmtId="0" fontId="152" fillId="0" borderId="49" xfId="1480" applyFont="1" applyBorder="1" applyAlignment="1">
      <alignment horizontal="left" vertical="center"/>
    </xf>
    <xf numFmtId="166" fontId="151" fillId="0" borderId="0" xfId="1480" applyNumberFormat="1" applyFont="1" applyBorder="1" applyAlignment="1">
      <alignment horizontal="center" vertical="center"/>
    </xf>
    <xf numFmtId="0" fontId="151" fillId="0" borderId="0" xfId="1480" applyFont="1" applyBorder="1" applyAlignment="1">
      <alignment horizontal="center" vertical="center"/>
    </xf>
    <xf numFmtId="9" fontId="151" fillId="0" borderId="0" xfId="1480" applyNumberFormat="1" applyFont="1" applyBorder="1" applyAlignment="1">
      <alignment horizontal="center" vertical="center"/>
    </xf>
    <xf numFmtId="0" fontId="152" fillId="0" borderId="0" xfId="1480" applyFont="1" applyBorder="1" applyAlignment="1">
      <alignment horizontal="left" vertical="center"/>
    </xf>
    <xf numFmtId="0" fontId="152" fillId="0" borderId="0" xfId="1480" applyFont="1" applyBorder="1" applyAlignment="1">
      <alignment horizontal="left" vertical="center" wrapText="1"/>
    </xf>
    <xf numFmtId="0" fontId="120" fillId="0" borderId="0" xfId="1480" applyAlignment="1">
      <alignment wrapText="1"/>
    </xf>
    <xf numFmtId="0" fontId="151" fillId="0" borderId="22" xfId="1480" applyFont="1" applyBorder="1" applyAlignment="1">
      <alignment horizontal="center" vertical="center" wrapText="1"/>
    </xf>
    <xf numFmtId="0" fontId="151" fillId="0" borderId="0" xfId="1480" applyFont="1" applyBorder="1" applyAlignment="1">
      <alignment horizontal="center" vertical="center" wrapText="1"/>
    </xf>
    <xf numFmtId="0" fontId="152" fillId="0" borderId="0" xfId="1480" applyFont="1" applyBorder="1" applyAlignment="1">
      <alignment horizontal="center" vertical="center" wrapText="1"/>
    </xf>
    <xf numFmtId="0" fontId="150" fillId="0" borderId="21" xfId="1480" applyFont="1" applyBorder="1" applyAlignment="1">
      <alignment horizontal="center" vertical="center" wrapText="1"/>
    </xf>
    <xf numFmtId="0" fontId="151" fillId="0" borderId="21" xfId="1480" applyFont="1" applyBorder="1" applyAlignment="1">
      <alignment horizontal="center" vertical="center" wrapText="1"/>
    </xf>
    <xf numFmtId="0" fontId="152" fillId="0" borderId="21" xfId="1480" applyFont="1" applyBorder="1" applyAlignment="1">
      <alignment horizontal="center" vertical="center"/>
    </xf>
    <xf numFmtId="0" fontId="142" fillId="0" borderId="0" xfId="0" applyFont="1"/>
    <xf numFmtId="0" fontId="28" fillId="0" borderId="0" xfId="1480" applyFont="1" applyAlignment="1">
      <alignment wrapText="1"/>
    </xf>
    <xf numFmtId="166" fontId="154" fillId="0" borderId="49" xfId="1480" applyNumberFormat="1" applyFont="1" applyBorder="1" applyAlignment="1">
      <alignment horizontal="center" vertical="center"/>
    </xf>
    <xf numFmtId="0" fontId="1" fillId="0" borderId="0" xfId="1885"/>
    <xf numFmtId="0" fontId="142" fillId="0" borderId="0" xfId="1885" applyFont="1"/>
    <xf numFmtId="0" fontId="141" fillId="0" borderId="0" xfId="1885" applyFont="1"/>
    <xf numFmtId="0" fontId="134" fillId="0" borderId="0" xfId="1885" applyFont="1"/>
    <xf numFmtId="0" fontId="155" fillId="0" borderId="0" xfId="1885" applyFont="1" applyAlignment="1">
      <alignment horizontal="left" vertical="center"/>
    </xf>
    <xf numFmtId="0" fontId="1" fillId="0" borderId="0" xfId="1885" applyBorder="1"/>
    <xf numFmtId="0" fontId="39" fillId="0" borderId="0" xfId="1885" applyFont="1" applyBorder="1"/>
    <xf numFmtId="166" fontId="1" fillId="0" borderId="0" xfId="1885" applyNumberFormat="1"/>
    <xf numFmtId="0" fontId="1" fillId="0" borderId="0" xfId="1480" applyFont="1"/>
    <xf numFmtId="0" fontId="99" fillId="0" borderId="0" xfId="1480" applyFont="1"/>
    <xf numFmtId="2" fontId="1" fillId="0" borderId="0" xfId="1885" applyNumberFormat="1"/>
    <xf numFmtId="0" fontId="39" fillId="0" borderId="0" xfId="1885" applyFont="1"/>
    <xf numFmtId="0" fontId="0" fillId="0" borderId="0" xfId="0"/>
    <xf numFmtId="0" fontId="139" fillId="0" borderId="27" xfId="792" applyFont="1" applyBorder="1" applyAlignment="1">
      <alignment horizontal="center" vertical="center" wrapText="1"/>
    </xf>
    <xf numFmtId="0" fontId="40" fillId="0" borderId="27" xfId="792" applyFont="1" applyBorder="1" applyAlignment="1">
      <alignment horizontal="center" vertical="center" wrapText="1"/>
    </xf>
    <xf numFmtId="0" fontId="40" fillId="0" borderId="150" xfId="792" quotePrefix="1" applyFont="1" applyBorder="1" applyAlignment="1">
      <alignment horizontal="center" vertical="center" wrapText="1"/>
    </xf>
    <xf numFmtId="0" fontId="40" fillId="0" borderId="10" xfId="792" applyFont="1" applyBorder="1" applyAlignment="1">
      <alignment horizontal="center" vertical="center" wrapText="1"/>
    </xf>
    <xf numFmtId="0" fontId="40" fillId="0" borderId="149" xfId="792" applyFont="1" applyBorder="1" applyAlignment="1">
      <alignment horizontal="center" vertical="center" wrapText="1"/>
    </xf>
    <xf numFmtId="0" fontId="40" fillId="0" borderId="150" xfId="792" applyFont="1" applyBorder="1" applyAlignment="1">
      <alignment horizontal="center" vertical="center" wrapText="1"/>
    </xf>
    <xf numFmtId="0" fontId="40" fillId="0" borderId="150" xfId="792" applyFont="1" applyBorder="1" applyAlignment="1">
      <alignment wrapText="1"/>
    </xf>
    <xf numFmtId="0" fontId="40" fillId="0" borderId="10" xfId="792" applyFont="1" applyBorder="1" applyAlignment="1">
      <alignment wrapText="1"/>
    </xf>
    <xf numFmtId="0" fontId="40" fillId="0" borderId="149" xfId="792" applyFont="1" applyBorder="1" applyAlignment="1">
      <alignment wrapText="1"/>
    </xf>
    <xf numFmtId="0" fontId="121" fillId="0" borderId="53" xfId="1480" applyFont="1" applyBorder="1" applyAlignment="1">
      <alignment horizontal="center" vertical="center"/>
    </xf>
    <xf numFmtId="0" fontId="121" fillId="0" borderId="54" xfId="1480" applyFont="1" applyBorder="1" applyAlignment="1">
      <alignment horizontal="center" vertical="center"/>
    </xf>
    <xf numFmtId="0" fontId="121" fillId="0" borderId="55" xfId="1480" applyFont="1" applyBorder="1" applyAlignment="1">
      <alignment horizontal="center" vertical="center"/>
    </xf>
    <xf numFmtId="0" fontId="28" fillId="0" borderId="58" xfId="1480" applyFont="1" applyBorder="1" applyAlignment="1">
      <alignment horizontal="center" vertical="center"/>
    </xf>
    <xf numFmtId="0" fontId="28" fillId="0" borderId="59" xfId="1480" applyFont="1" applyBorder="1" applyAlignment="1">
      <alignment horizontal="center" vertical="center"/>
    </xf>
    <xf numFmtId="0" fontId="0" fillId="0" borderId="60" xfId="1480" applyFont="1" applyBorder="1" applyAlignment="1">
      <alignment horizontal="center" vertical="center" wrapText="1"/>
    </xf>
    <xf numFmtId="0" fontId="28" fillId="0" borderId="57" xfId="1480" applyFont="1" applyBorder="1" applyAlignment="1">
      <alignment horizontal="center" vertical="center" wrapText="1"/>
    </xf>
    <xf numFmtId="0" fontId="39" fillId="0" borderId="61" xfId="1480" applyFont="1" applyBorder="1" applyAlignment="1">
      <alignment horizontal="center" vertical="center" wrapText="1"/>
    </xf>
    <xf numFmtId="0" fontId="28" fillId="0" borderId="0" xfId="1480" applyFont="1" applyFill="1" applyBorder="1" applyAlignment="1">
      <alignment horizontal="center" vertical="center" wrapText="1"/>
    </xf>
    <xf numFmtId="0" fontId="0" fillId="0" borderId="0" xfId="1480" applyFont="1" applyBorder="1" applyAlignment="1">
      <alignment horizontal="center" vertical="center" wrapText="1"/>
    </xf>
    <xf numFmtId="0" fontId="28" fillId="0" borderId="0" xfId="1480" applyFont="1" applyBorder="1" applyAlignment="1">
      <alignment horizontal="center" vertical="center" wrapText="1"/>
    </xf>
    <xf numFmtId="0" fontId="0" fillId="0" borderId="73" xfId="1480" applyFont="1" applyBorder="1" applyAlignment="1">
      <alignment horizontal="left" vertical="center" wrapText="1"/>
    </xf>
    <xf numFmtId="0" fontId="28" fillId="0" borderId="74" xfId="1480" applyFont="1" applyBorder="1" applyAlignment="1">
      <alignment horizontal="left" vertical="center" wrapText="1"/>
    </xf>
    <xf numFmtId="0" fontId="28" fillId="0" borderId="75" xfId="1480" applyFont="1" applyBorder="1" applyAlignment="1">
      <alignment horizontal="left" vertical="center" wrapText="1"/>
    </xf>
    <xf numFmtId="0" fontId="39" fillId="0" borderId="78" xfId="1480" applyFont="1" applyBorder="1" applyAlignment="1">
      <alignment horizontal="center" vertical="center"/>
    </xf>
    <xf numFmtId="0" fontId="39" fillId="0" borderId="2" xfId="1480" applyFont="1" applyBorder="1" applyAlignment="1">
      <alignment horizontal="center" vertical="center"/>
    </xf>
    <xf numFmtId="0" fontId="28" fillId="0" borderId="22" xfId="1480" applyFont="1" applyBorder="1" applyAlignment="1">
      <alignment horizontal="center" vertical="center" wrapText="1"/>
    </xf>
    <xf numFmtId="0" fontId="39" fillId="0" borderId="80" xfId="1480" applyFont="1" applyBorder="1" applyAlignment="1">
      <alignment horizontal="center" vertical="center" wrapText="1"/>
    </xf>
    <xf numFmtId="0" fontId="39" fillId="0" borderId="63" xfId="1480" applyFont="1" applyBorder="1" applyAlignment="1">
      <alignment horizontal="center" vertical="center" wrapText="1"/>
    </xf>
    <xf numFmtId="0" fontId="0" fillId="0" borderId="73" xfId="1480" applyFont="1" applyBorder="1" applyAlignment="1">
      <alignment vertical="center" wrapText="1"/>
    </xf>
    <xf numFmtId="0" fontId="0" fillId="0" borderId="74" xfId="1480" applyFont="1" applyBorder="1" applyAlignment="1">
      <alignment vertical="center" wrapText="1"/>
    </xf>
    <xf numFmtId="0" fontId="0" fillId="0" borderId="75" xfId="1480" applyFont="1" applyBorder="1" applyAlignment="1">
      <alignment vertical="center" wrapText="1"/>
    </xf>
    <xf numFmtId="0" fontId="39" fillId="0" borderId="22" xfId="1480" applyFont="1" applyBorder="1" applyAlignment="1">
      <alignment horizontal="center" vertical="center" wrapText="1"/>
    </xf>
    <xf numFmtId="0" fontId="39" fillId="0" borderId="0" xfId="1480" applyFont="1" applyBorder="1" applyAlignment="1">
      <alignment horizontal="center" vertical="center" wrapText="1"/>
    </xf>
    <xf numFmtId="0" fontId="26" fillId="0" borderId="22" xfId="1480" applyFont="1" applyBorder="1" applyAlignment="1">
      <alignment horizontal="center" vertical="center" wrapText="1"/>
    </xf>
    <xf numFmtId="0" fontId="26" fillId="0" borderId="0" xfId="1480" applyFont="1" applyBorder="1" applyAlignment="1">
      <alignment horizontal="center" vertical="center" wrapText="1"/>
    </xf>
    <xf numFmtId="0" fontId="26" fillId="0" borderId="65" xfId="1480" applyFont="1" applyBorder="1" applyAlignment="1">
      <alignment horizontal="center" vertical="center" wrapText="1"/>
    </xf>
    <xf numFmtId="0" fontId="26" fillId="0" borderId="62" xfId="1480" applyFont="1" applyBorder="1" applyAlignment="1">
      <alignment horizontal="center" vertical="center" wrapText="1"/>
    </xf>
    <xf numFmtId="0" fontId="39" fillId="0" borderId="64" xfId="1480" applyFont="1" applyBorder="1" applyAlignment="1">
      <alignment horizontal="center" vertical="center" wrapText="1"/>
    </xf>
    <xf numFmtId="0" fontId="0" fillId="0" borderId="78" xfId="1480" applyFont="1" applyBorder="1" applyAlignment="1">
      <alignment horizontal="center" vertical="center"/>
    </xf>
    <xf numFmtId="0" fontId="28" fillId="0" borderId="2" xfId="1480" applyFont="1" applyBorder="1" applyAlignment="1">
      <alignment horizontal="center" vertical="center"/>
    </xf>
    <xf numFmtId="0" fontId="28" fillId="0" borderId="79" xfId="1480" applyFont="1" applyBorder="1" applyAlignment="1">
      <alignment horizontal="center" vertical="center"/>
    </xf>
    <xf numFmtId="0" fontId="39" fillId="0" borderId="61" xfId="1480" applyFont="1" applyBorder="1" applyAlignment="1">
      <alignment horizontal="center" vertical="center"/>
    </xf>
    <xf numFmtId="0" fontId="39" fillId="0" borderId="0" xfId="1480" applyFont="1" applyBorder="1" applyAlignment="1">
      <alignment horizontal="center" vertical="center"/>
    </xf>
    <xf numFmtId="0" fontId="39" fillId="0" borderId="62" xfId="1480" applyFont="1" applyBorder="1" applyAlignment="1">
      <alignment horizontal="center" vertical="center"/>
    </xf>
    <xf numFmtId="0" fontId="39" fillId="0" borderId="66" xfId="1480" applyFont="1" applyBorder="1" applyAlignment="1">
      <alignment horizontal="center" vertical="center" wrapText="1"/>
    </xf>
    <xf numFmtId="0" fontId="39" fillId="0" borderId="57" xfId="1480" applyFont="1" applyBorder="1" applyAlignment="1">
      <alignment horizontal="center" vertical="center" wrapText="1"/>
    </xf>
    <xf numFmtId="0" fontId="0" fillId="0" borderId="102" xfId="1480" applyFont="1" applyBorder="1" applyAlignment="1">
      <alignment horizontal="center" vertical="center" wrapText="1"/>
    </xf>
    <xf numFmtId="0" fontId="26" fillId="0" borderId="100" xfId="1480" applyFont="1" applyBorder="1" applyAlignment="1">
      <alignment horizontal="center" vertical="center" wrapText="1"/>
    </xf>
    <xf numFmtId="0" fontId="26" fillId="0" borderId="101" xfId="1480" applyFont="1" applyBorder="1" applyAlignment="1">
      <alignment horizontal="center" vertical="center" wrapText="1"/>
    </xf>
    <xf numFmtId="0" fontId="0" fillId="0" borderId="22" xfId="1480" applyFont="1" applyBorder="1" applyAlignment="1">
      <alignment horizontal="center" vertical="center" wrapText="1"/>
    </xf>
    <xf numFmtId="0" fontId="26" fillId="0" borderId="64" xfId="1480" applyFont="1" applyBorder="1" applyAlignment="1">
      <alignment horizontal="center" vertical="center" wrapText="1"/>
    </xf>
    <xf numFmtId="0" fontId="26" fillId="0" borderId="25" xfId="1480" applyFont="1" applyBorder="1" applyAlignment="1">
      <alignment horizontal="center" vertical="center" wrapText="1"/>
    </xf>
    <xf numFmtId="0" fontId="0" fillId="0" borderId="66" xfId="1480" applyFont="1" applyBorder="1" applyAlignment="1">
      <alignment horizontal="center" vertical="center" wrapText="1"/>
    </xf>
    <xf numFmtId="0" fontId="26" fillId="0" borderId="57" xfId="1480" applyFont="1" applyBorder="1" applyAlignment="1">
      <alignment horizontal="center" vertical="center" wrapText="1"/>
    </xf>
    <xf numFmtId="0" fontId="26" fillId="0" borderId="105" xfId="1480" applyFont="1" applyBorder="1" applyAlignment="1">
      <alignment horizontal="center" vertical="center" wrapText="1"/>
    </xf>
    <xf numFmtId="0" fontId="0" fillId="0" borderId="58" xfId="1480" applyFont="1" applyBorder="1" applyAlignment="1">
      <alignment horizontal="center" vertical="center"/>
    </xf>
    <xf numFmtId="0" fontId="0" fillId="0" borderId="59" xfId="1480" applyFont="1" applyBorder="1" applyAlignment="1">
      <alignment horizontal="center" vertical="center"/>
    </xf>
    <xf numFmtId="0" fontId="39" fillId="0" borderId="64" xfId="1480" applyFont="1" applyBorder="1" applyAlignment="1">
      <alignment horizontal="center" vertical="center"/>
    </xf>
    <xf numFmtId="0" fontId="39" fillId="0" borderId="22" xfId="1480" applyFont="1" applyBorder="1" applyAlignment="1">
      <alignment horizontal="center" vertical="center"/>
    </xf>
    <xf numFmtId="0" fontId="39" fillId="0" borderId="65" xfId="1480" applyFont="1" applyBorder="1" applyAlignment="1">
      <alignment horizontal="center" vertical="center"/>
    </xf>
    <xf numFmtId="0" fontId="39" fillId="0" borderId="106" xfId="1480" applyFont="1" applyBorder="1" applyAlignment="1">
      <alignment horizontal="center" vertical="center" wrapText="1"/>
    </xf>
    <xf numFmtId="0" fontId="39" fillId="0" borderId="1" xfId="1480" applyFont="1" applyBorder="1" applyAlignment="1">
      <alignment horizontal="center" vertical="center" wrapText="1"/>
    </xf>
    <xf numFmtId="0" fontId="39" fillId="0" borderId="24" xfId="1480" applyFont="1" applyBorder="1" applyAlignment="1">
      <alignment horizontal="center" vertical="center" wrapText="1"/>
    </xf>
    <xf numFmtId="0" fontId="26" fillId="0" borderId="92" xfId="1480" applyFont="1" applyBorder="1" applyAlignment="1">
      <alignment horizontal="center" vertical="center" wrapText="1"/>
    </xf>
    <xf numFmtId="0" fontId="26" fillId="0" borderId="97" xfId="1480" applyFont="1" applyBorder="1" applyAlignment="1">
      <alignment horizontal="center" vertical="center" wrapText="1"/>
    </xf>
    <xf numFmtId="0" fontId="39" fillId="0" borderId="107" xfId="1480" applyFont="1" applyBorder="1" applyAlignment="1">
      <alignment horizontal="center" vertical="center" wrapText="1"/>
    </xf>
    <xf numFmtId="0" fontId="39" fillId="0" borderId="100" xfId="1480" applyFont="1" applyBorder="1" applyAlignment="1">
      <alignment horizontal="center" vertical="center" wrapText="1"/>
    </xf>
    <xf numFmtId="0" fontId="39" fillId="0" borderId="101" xfId="1480" applyFont="1" applyBorder="1" applyAlignment="1">
      <alignment horizontal="center" vertical="center" wrapText="1"/>
    </xf>
    <xf numFmtId="0" fontId="121" fillId="0" borderId="53" xfId="1480" applyFont="1" applyBorder="1" applyAlignment="1">
      <alignment horizontal="center" vertical="center" wrapText="1"/>
    </xf>
    <xf numFmtId="0" fontId="121" fillId="0" borderId="54" xfId="1480" applyFont="1" applyBorder="1" applyAlignment="1">
      <alignment horizontal="center" vertical="center" wrapText="1"/>
    </xf>
    <xf numFmtId="0" fontId="121" fillId="0" borderId="55" xfId="1480" applyFont="1" applyBorder="1" applyAlignment="1">
      <alignment horizontal="center" vertical="center" wrapText="1"/>
    </xf>
    <xf numFmtId="0" fontId="39" fillId="0" borderId="96" xfId="1480" applyFont="1" applyBorder="1" applyAlignment="1">
      <alignment horizontal="center" vertical="center" wrapText="1"/>
    </xf>
    <xf numFmtId="0" fontId="28" fillId="0" borderId="25" xfId="1480" applyFont="1" applyBorder="1" applyAlignment="1">
      <alignment horizontal="center" vertical="center" wrapText="1"/>
    </xf>
    <xf numFmtId="0" fontId="26" fillId="0" borderId="76" xfId="1480" applyFont="1" applyBorder="1" applyAlignment="1">
      <alignment horizontal="center" vertical="center" wrapText="1"/>
    </xf>
    <xf numFmtId="0" fontId="97" fillId="0" borderId="62" xfId="1480" applyFont="1" applyBorder="1" applyAlignment="1">
      <alignment horizontal="center" vertical="center" wrapText="1"/>
    </xf>
    <xf numFmtId="0" fontId="113" fillId="0" borderId="78" xfId="1480" applyFont="1" applyBorder="1" applyAlignment="1">
      <alignment horizontal="center" vertical="center"/>
    </xf>
    <xf numFmtId="0" fontId="113" fillId="0" borderId="2" xfId="1480" applyFont="1" applyBorder="1" applyAlignment="1">
      <alignment horizontal="center" vertical="center"/>
    </xf>
    <xf numFmtId="0" fontId="113" fillId="0" borderId="79" xfId="1480" applyFont="1" applyBorder="1" applyAlignment="1">
      <alignment horizontal="center" vertical="center"/>
    </xf>
    <xf numFmtId="0" fontId="28" fillId="0" borderId="76" xfId="1480" applyFont="1" applyBorder="1" applyAlignment="1">
      <alignment horizontal="center" vertical="center"/>
    </xf>
    <xf numFmtId="0" fontId="0" fillId="0" borderId="0" xfId="1480" applyFont="1" applyFill="1" applyBorder="1" applyAlignment="1">
      <alignment horizontal="center" vertical="center" wrapText="1"/>
    </xf>
    <xf numFmtId="0" fontId="97" fillId="0" borderId="76" xfId="1480" applyFont="1" applyBorder="1" applyAlignment="1">
      <alignment horizontal="center" vertical="center"/>
    </xf>
    <xf numFmtId="0" fontId="97" fillId="0" borderId="60" xfId="1480" applyFont="1" applyBorder="1" applyAlignment="1">
      <alignment horizontal="center" vertical="center"/>
    </xf>
    <xf numFmtId="0" fontId="0" fillId="0" borderId="64" xfId="1480" applyFont="1" applyBorder="1" applyAlignment="1">
      <alignment horizontal="center" vertical="center" wrapText="1"/>
    </xf>
    <xf numFmtId="0" fontId="0" fillId="0" borderId="61" xfId="1480" applyFont="1" applyBorder="1" applyAlignment="1">
      <alignment horizontal="center" vertical="center" wrapText="1"/>
    </xf>
    <xf numFmtId="0" fontId="0" fillId="0" borderId="65" xfId="1480" applyFont="1" applyBorder="1" applyAlignment="1">
      <alignment horizontal="center" vertical="center" wrapText="1"/>
    </xf>
    <xf numFmtId="0" fontId="0" fillId="0" borderId="62" xfId="1480" applyFont="1" applyBorder="1" applyAlignment="1">
      <alignment horizontal="center" vertical="center" wrapText="1"/>
    </xf>
    <xf numFmtId="0" fontId="0" fillId="0" borderId="57" xfId="1480" applyFont="1" applyBorder="1" applyAlignment="1">
      <alignment horizontal="center" vertical="center" wrapText="1"/>
    </xf>
    <xf numFmtId="0" fontId="97" fillId="0" borderId="77" xfId="1480" applyFont="1" applyBorder="1" applyAlignment="1">
      <alignment horizontal="center" vertical="center"/>
    </xf>
    <xf numFmtId="0" fontId="97" fillId="0" borderId="92" xfId="1480" applyFont="1" applyBorder="1" applyAlignment="1">
      <alignment horizontal="center" vertical="center"/>
    </xf>
    <xf numFmtId="0" fontId="39" fillId="0" borderId="9" xfId="1480" applyFont="1" applyBorder="1" applyAlignment="1">
      <alignment horizontal="center" vertical="center" wrapText="1"/>
    </xf>
    <xf numFmtId="0" fontId="113" fillId="0" borderId="9" xfId="1480" applyFont="1" applyBorder="1" applyAlignment="1">
      <alignment horizontal="center" vertical="center" wrapText="1"/>
    </xf>
    <xf numFmtId="0" fontId="113" fillId="0" borderId="1" xfId="1480" applyFont="1" applyBorder="1" applyAlignment="1">
      <alignment horizontal="center" vertical="center" wrapText="1"/>
    </xf>
    <xf numFmtId="0" fontId="28" fillId="0" borderId="60" xfId="1480" applyFont="1" applyBorder="1" applyAlignment="1">
      <alignment horizontal="center" vertical="center"/>
    </xf>
    <xf numFmtId="0" fontId="113" fillId="0" borderId="108" xfId="1480" applyFont="1" applyBorder="1" applyAlignment="1">
      <alignment horizontal="center" vertical="center"/>
    </xf>
    <xf numFmtId="0" fontId="113" fillId="0" borderId="66" xfId="1480" applyFont="1" applyBorder="1" applyAlignment="1">
      <alignment horizontal="center" vertical="center" wrapText="1"/>
    </xf>
    <xf numFmtId="0" fontId="113" fillId="0" borderId="57" xfId="1480" applyFont="1" applyBorder="1" applyAlignment="1">
      <alignment horizontal="center" vertical="center" wrapText="1"/>
    </xf>
    <xf numFmtId="0" fontId="113" fillId="0" borderId="61" xfId="1480" applyFont="1" applyBorder="1" applyAlignment="1">
      <alignment horizontal="center" vertical="center" wrapText="1"/>
    </xf>
    <xf numFmtId="0" fontId="113" fillId="0" borderId="65" xfId="1480" applyFont="1" applyBorder="1" applyAlignment="1">
      <alignment horizontal="center" vertical="center" wrapText="1"/>
    </xf>
    <xf numFmtId="0" fontId="113" fillId="0" borderId="62" xfId="1480" applyFont="1" applyBorder="1" applyAlignment="1">
      <alignment horizontal="center" vertical="center" wrapText="1"/>
    </xf>
    <xf numFmtId="0" fontId="0" fillId="0" borderId="22" xfId="1480" applyFont="1" applyFill="1" applyBorder="1" applyAlignment="1">
      <alignment horizontal="center" vertical="center" wrapText="1"/>
    </xf>
    <xf numFmtId="0" fontId="97" fillId="0" borderId="0" xfId="1480" applyFont="1" applyBorder="1" applyAlignment="1">
      <alignment horizontal="center" vertical="center" wrapText="1"/>
    </xf>
    <xf numFmtId="0" fontId="0" fillId="0" borderId="61" xfId="1480" applyFont="1" applyFill="1" applyBorder="1" applyAlignment="1">
      <alignment horizontal="center" vertical="center" wrapText="1"/>
    </xf>
    <xf numFmtId="0" fontId="28" fillId="0" borderId="61" xfId="1480" applyFont="1" applyFill="1" applyBorder="1" applyAlignment="1">
      <alignment horizontal="center" vertical="center" wrapText="1"/>
    </xf>
    <xf numFmtId="0" fontId="39" fillId="0" borderId="79" xfId="1480" applyFont="1" applyBorder="1" applyAlignment="1">
      <alignment horizontal="center" vertical="center"/>
    </xf>
    <xf numFmtId="0" fontId="0" fillId="0" borderId="0" xfId="1480" applyFont="1" applyAlignment="1">
      <alignment horizontal="center" wrapText="1"/>
    </xf>
    <xf numFmtId="0" fontId="28" fillId="0" borderId="0" xfId="1480" applyFont="1" applyAlignment="1">
      <alignment horizontal="center" wrapText="1"/>
    </xf>
    <xf numFmtId="0" fontId="0" fillId="0" borderId="65" xfId="1480" applyFont="1" applyFill="1" applyBorder="1" applyAlignment="1">
      <alignment horizontal="center" vertical="center" wrapText="1"/>
    </xf>
    <xf numFmtId="0" fontId="0" fillId="0" borderId="62" xfId="1480" applyFont="1" applyFill="1" applyBorder="1" applyAlignment="1">
      <alignment horizontal="center" vertical="center" wrapText="1"/>
    </xf>
    <xf numFmtId="0" fontId="2" fillId="0" borderId="1" xfId="1480" applyFont="1" applyBorder="1" applyAlignment="1">
      <alignment horizontal="center" vertical="center" wrapText="1"/>
    </xf>
    <xf numFmtId="0" fontId="39" fillId="0" borderId="3" xfId="1480" applyFont="1" applyBorder="1" applyAlignment="1">
      <alignment horizontal="center" vertical="center"/>
    </xf>
    <xf numFmtId="0" fontId="39" fillId="0" borderId="28" xfId="1480" applyFont="1" applyBorder="1" applyAlignment="1">
      <alignment horizontal="center" vertical="center"/>
    </xf>
    <xf numFmtId="0" fontId="39" fillId="0" borderId="22" xfId="1480" applyFont="1" applyFill="1" applyBorder="1" applyAlignment="1">
      <alignment horizontal="center" vertical="center" wrapText="1"/>
    </xf>
    <xf numFmtId="0" fontId="39" fillId="0" borderId="0" xfId="1480" applyFont="1" applyFill="1" applyBorder="1" applyAlignment="1">
      <alignment horizontal="center" vertical="center" wrapText="1"/>
    </xf>
    <xf numFmtId="0" fontId="97" fillId="0" borderId="0" xfId="1480" applyFont="1" applyAlignment="1">
      <alignment horizontal="center" vertical="center" wrapText="1"/>
    </xf>
    <xf numFmtId="0" fontId="0" fillId="0" borderId="7" xfId="1480" applyFont="1" applyFill="1" applyBorder="1" applyAlignment="1">
      <alignment horizontal="center" vertical="center" wrapText="1"/>
    </xf>
    <xf numFmtId="0" fontId="39" fillId="0" borderId="108" xfId="1480" applyFont="1" applyBorder="1" applyAlignment="1">
      <alignment horizontal="center" vertical="center"/>
    </xf>
    <xf numFmtId="0" fontId="39" fillId="0" borderId="23" xfId="1480" applyFont="1" applyBorder="1" applyAlignment="1">
      <alignment horizontal="center" vertical="center" wrapText="1"/>
    </xf>
    <xf numFmtId="0" fontId="39" fillId="0" borderId="26" xfId="1480" applyFont="1" applyBorder="1" applyAlignment="1">
      <alignment horizontal="center" vertical="center" wrapText="1"/>
    </xf>
    <xf numFmtId="0" fontId="21" fillId="0" borderId="9" xfId="1480" applyFont="1" applyBorder="1" applyAlignment="1">
      <alignment horizontal="center" vertical="center" wrapText="1"/>
    </xf>
    <xf numFmtId="0" fontId="21" fillId="0" borderId="1" xfId="1480" applyFont="1" applyBorder="1" applyAlignment="1">
      <alignment horizontal="center" vertical="center" wrapText="1"/>
    </xf>
    <xf numFmtId="0" fontId="21" fillId="0" borderId="24" xfId="1480" applyFont="1" applyBorder="1" applyAlignment="1">
      <alignment horizontal="center" vertical="center" wrapText="1"/>
    </xf>
    <xf numFmtId="0" fontId="39" fillId="0" borderId="66" xfId="1480" applyFont="1" applyFill="1" applyBorder="1" applyAlignment="1">
      <alignment horizontal="center" vertical="center" wrapText="1"/>
    </xf>
    <xf numFmtId="0" fontId="39" fillId="0" borderId="57" xfId="1480" applyFont="1" applyFill="1" applyBorder="1" applyAlignment="1">
      <alignment horizontal="center" vertical="center" wrapText="1"/>
    </xf>
    <xf numFmtId="0" fontId="39" fillId="0" borderId="105" xfId="1480" applyFont="1" applyFill="1" applyBorder="1" applyAlignment="1">
      <alignment horizontal="center" vertical="center" wrapText="1"/>
    </xf>
    <xf numFmtId="0" fontId="0" fillId="0" borderId="2" xfId="1480" applyFont="1" applyBorder="1" applyAlignment="1">
      <alignment horizontal="center" vertical="center"/>
    </xf>
    <xf numFmtId="0" fontId="0" fillId="0" borderId="79" xfId="1480" applyFont="1" applyBorder="1" applyAlignment="1">
      <alignment horizontal="center" vertical="center"/>
    </xf>
    <xf numFmtId="0" fontId="22" fillId="0" borderId="0" xfId="1480" applyFont="1" applyBorder="1" applyAlignment="1">
      <alignment horizontal="center" vertical="center" wrapText="1"/>
    </xf>
    <xf numFmtId="0" fontId="22" fillId="0" borderId="61" xfId="1480" applyFont="1" applyBorder="1" applyAlignment="1">
      <alignment horizontal="center" vertical="center" wrapText="1"/>
    </xf>
    <xf numFmtId="0" fontId="22" fillId="0" borderId="64" xfId="1480" applyFont="1" applyBorder="1" applyAlignment="1">
      <alignment horizontal="center" vertical="center" wrapText="1"/>
    </xf>
    <xf numFmtId="0" fontId="22" fillId="0" borderId="22" xfId="1480" applyFont="1" applyBorder="1" applyAlignment="1">
      <alignment horizontal="center" vertical="center" wrapText="1"/>
    </xf>
    <xf numFmtId="0" fontId="19" fillId="0" borderId="0" xfId="1480" applyFont="1" applyBorder="1" applyAlignment="1">
      <alignment horizontal="center" vertical="center" wrapText="1"/>
    </xf>
    <xf numFmtId="0" fontId="19" fillId="0" borderId="66" xfId="1480" applyFont="1" applyBorder="1" applyAlignment="1">
      <alignment horizontal="center" vertical="center" wrapText="1"/>
    </xf>
    <xf numFmtId="0" fontId="19" fillId="0" borderId="57" xfId="1480" applyFont="1" applyBorder="1" applyAlignment="1">
      <alignment horizontal="center" vertical="center" wrapText="1"/>
    </xf>
    <xf numFmtId="0" fontId="120" fillId="0" borderId="0" xfId="1480" applyAlignment="1">
      <alignment horizontal="center"/>
    </xf>
    <xf numFmtId="0" fontId="148" fillId="0" borderId="0" xfId="1480" applyFont="1" applyAlignment="1">
      <alignment horizontal="center"/>
    </xf>
    <xf numFmtId="0" fontId="153" fillId="0" borderId="0" xfId="1480" applyFont="1" applyAlignment="1">
      <alignment horizontal="center" vertical="center"/>
    </xf>
    <xf numFmtId="0" fontId="149" fillId="0" borderId="0" xfId="1480" applyFont="1" applyAlignment="1">
      <alignment horizontal="center" vertical="center" wrapText="1"/>
    </xf>
    <xf numFmtId="0" fontId="150" fillId="0" borderId="181" xfId="1480" applyFont="1" applyBorder="1" applyAlignment="1">
      <alignment horizontal="center" vertical="center" wrapText="1"/>
    </xf>
    <xf numFmtId="0" fontId="150" fillId="0" borderId="21" xfId="1480" applyFont="1" applyBorder="1" applyAlignment="1">
      <alignment horizontal="center" vertical="center" wrapText="1"/>
    </xf>
    <xf numFmtId="0" fontId="121" fillId="0" borderId="53" xfId="1824" applyFont="1" applyBorder="1" applyAlignment="1">
      <alignment horizontal="center" vertical="center" wrapText="1"/>
    </xf>
    <xf numFmtId="0" fontId="121" fillId="0" borderId="54" xfId="1824" applyFont="1" applyBorder="1" applyAlignment="1">
      <alignment horizontal="center" vertical="center" wrapText="1"/>
    </xf>
    <xf numFmtId="0" fontId="121" fillId="0" borderId="55" xfId="1824" applyFont="1" applyBorder="1" applyAlignment="1">
      <alignment horizontal="center" vertical="center" wrapText="1"/>
    </xf>
    <xf numFmtId="0" fontId="121" fillId="0" borderId="56" xfId="1824" applyFont="1" applyBorder="1" applyAlignment="1">
      <alignment horizontal="center" vertical="center" wrapText="1"/>
    </xf>
    <xf numFmtId="0" fontId="121" fillId="0" borderId="0" xfId="1824" applyFont="1" applyBorder="1" applyAlignment="1">
      <alignment horizontal="center" vertical="center" wrapText="1"/>
    </xf>
    <xf numFmtId="0" fontId="121" fillId="0" borderId="57" xfId="1824" applyFont="1" applyBorder="1" applyAlignment="1">
      <alignment horizontal="center" vertical="center" wrapText="1"/>
    </xf>
    <xf numFmtId="0" fontId="121" fillId="0" borderId="53" xfId="1824" applyFont="1" applyBorder="1" applyAlignment="1">
      <alignment horizontal="center" vertical="center"/>
    </xf>
    <xf numFmtId="0" fontId="121" fillId="0" borderId="54" xfId="1824" applyFont="1" applyBorder="1" applyAlignment="1">
      <alignment horizontal="center" vertical="center"/>
    </xf>
    <xf numFmtId="0" fontId="121" fillId="0" borderId="55" xfId="1824" applyFont="1" applyBorder="1" applyAlignment="1">
      <alignment horizontal="center" vertical="center"/>
    </xf>
    <xf numFmtId="0" fontId="121" fillId="0" borderId="56" xfId="1824" applyFont="1" applyBorder="1" applyAlignment="1">
      <alignment horizontal="center" vertical="center"/>
    </xf>
    <xf numFmtId="0" fontId="121" fillId="0" borderId="0" xfId="1824" applyFont="1" applyBorder="1" applyAlignment="1">
      <alignment horizontal="center" vertical="center"/>
    </xf>
    <xf numFmtId="0" fontId="121" fillId="0" borderId="57" xfId="1824" applyFont="1" applyBorder="1" applyAlignment="1">
      <alignment horizontal="center" vertical="center"/>
    </xf>
    <xf numFmtId="0" fontId="141" fillId="0" borderId="77" xfId="1824" applyFont="1" applyBorder="1" applyAlignment="1">
      <alignment horizontal="left"/>
    </xf>
    <xf numFmtId="0" fontId="141" fillId="0" borderId="76" xfId="1824" applyFont="1" applyBorder="1" applyAlignment="1">
      <alignment horizontal="left"/>
    </xf>
    <xf numFmtId="0" fontId="141" fillId="0" borderId="92" xfId="1824" applyFont="1" applyBorder="1" applyAlignment="1">
      <alignment horizontal="left"/>
    </xf>
    <xf numFmtId="0" fontId="141" fillId="0" borderId="140" xfId="1824" applyFont="1" applyBorder="1" applyAlignment="1">
      <alignment horizontal="left" vertical="center" wrapText="1"/>
    </xf>
    <xf numFmtId="0" fontId="141" fillId="0" borderId="110" xfId="1824" applyFont="1" applyBorder="1" applyAlignment="1">
      <alignment horizontal="left" vertical="center" wrapText="1"/>
    </xf>
    <xf numFmtId="0" fontId="141" fillId="0" borderId="141" xfId="1824" applyFont="1" applyBorder="1" applyAlignment="1">
      <alignment horizontal="left" vertical="center" wrapText="1"/>
    </xf>
    <xf numFmtId="0" fontId="39" fillId="0" borderId="58" xfId="1824" applyFont="1" applyBorder="1" applyAlignment="1">
      <alignment horizontal="center" vertical="center"/>
    </xf>
    <xf numFmtId="0" fontId="39" fillId="0" borderId="59" xfId="1824" applyFont="1" applyBorder="1" applyAlignment="1">
      <alignment horizontal="center" vertical="center"/>
    </xf>
    <xf numFmtId="0" fontId="39" fillId="0" borderId="144" xfId="1824" applyFont="1" applyBorder="1" applyAlignment="1">
      <alignment horizontal="center" vertical="center"/>
    </xf>
    <xf numFmtId="0" fontId="39" fillId="0" borderId="145" xfId="1824" applyFont="1" applyBorder="1" applyAlignment="1">
      <alignment horizontal="center" vertical="center"/>
    </xf>
    <xf numFmtId="0" fontId="9" fillId="0" borderId="146" xfId="1824" applyFont="1" applyBorder="1" applyAlignment="1">
      <alignment horizontal="center" vertical="center" wrapText="1"/>
    </xf>
    <xf numFmtId="0" fontId="9" fillId="0" borderId="139" xfId="1824" applyFont="1" applyBorder="1" applyAlignment="1">
      <alignment horizontal="center" vertical="center" wrapText="1"/>
    </xf>
    <xf numFmtId="0" fontId="143" fillId="0" borderId="162" xfId="819" applyFont="1" applyBorder="1" applyAlignment="1">
      <alignment horizontal="center" vertical="center"/>
    </xf>
    <xf numFmtId="0" fontId="143" fillId="0" borderId="163" xfId="819" applyFont="1" applyBorder="1" applyAlignment="1">
      <alignment horizontal="center" vertical="center"/>
    </xf>
    <xf numFmtId="0" fontId="143" fillId="0" borderId="164" xfId="819" applyFont="1" applyBorder="1" applyAlignment="1">
      <alignment horizontal="center" vertical="center"/>
    </xf>
    <xf numFmtId="0" fontId="143" fillId="0" borderId="165" xfId="819" applyFont="1" applyBorder="1" applyAlignment="1">
      <alignment horizontal="center" vertical="center"/>
    </xf>
    <xf numFmtId="0" fontId="143" fillId="0" borderId="0" xfId="819" applyFont="1" applyBorder="1" applyAlignment="1">
      <alignment horizontal="center" vertical="center"/>
    </xf>
    <xf numFmtId="0" fontId="143" fillId="0" borderId="166" xfId="819" applyFont="1" applyBorder="1" applyAlignment="1">
      <alignment horizontal="center" vertical="center"/>
    </xf>
    <xf numFmtId="0" fontId="66" fillId="0" borderId="127" xfId="819" applyFont="1" applyFill="1" applyBorder="1" applyAlignment="1">
      <alignment horizontal="center" wrapText="1"/>
    </xf>
    <xf numFmtId="0" fontId="66" fillId="0" borderId="124" xfId="819" applyFont="1" applyFill="1" applyBorder="1" applyAlignment="1">
      <alignment horizontal="center" wrapText="1"/>
    </xf>
    <xf numFmtId="0" fontId="14" fillId="0" borderId="159" xfId="819" applyFont="1" applyBorder="1" applyAlignment="1">
      <alignment horizontal="center" wrapText="1"/>
    </xf>
    <xf numFmtId="0" fontId="14" fillId="0" borderId="121" xfId="819" applyFont="1" applyBorder="1" applyAlignment="1">
      <alignment horizontal="center" wrapText="1"/>
    </xf>
    <xf numFmtId="0" fontId="14" fillId="0" borderId="160" xfId="819" applyFont="1" applyBorder="1" applyAlignment="1">
      <alignment horizontal="center" wrapText="1"/>
    </xf>
    <xf numFmtId="0" fontId="14" fillId="0" borderId="161" xfId="819" applyFont="1" applyBorder="1" applyAlignment="1">
      <alignment horizontal="center" wrapText="1"/>
    </xf>
    <xf numFmtId="0" fontId="14" fillId="0" borderId="123" xfId="819" applyFont="1" applyBorder="1" applyAlignment="1">
      <alignment horizontal="center" wrapText="1"/>
    </xf>
    <xf numFmtId="0" fontId="121" fillId="0" borderId="53" xfId="0" applyFont="1" applyBorder="1" applyAlignment="1">
      <alignment horizontal="center"/>
    </xf>
    <xf numFmtId="0" fontId="121" fillId="0" borderId="54" xfId="0" applyFont="1" applyBorder="1" applyAlignment="1">
      <alignment horizontal="center"/>
    </xf>
    <xf numFmtId="0" fontId="121" fillId="0" borderId="55" xfId="0" applyFont="1" applyBorder="1" applyAlignment="1">
      <alignment horizontal="center"/>
    </xf>
    <xf numFmtId="0" fontId="39" fillId="0" borderId="73" xfId="0" applyFont="1" applyBorder="1" applyAlignment="1">
      <alignment horizontal="center"/>
    </xf>
    <xf numFmtId="0" fontId="39" fillId="0" borderId="74" xfId="0" applyFont="1" applyBorder="1" applyAlignment="1">
      <alignment horizontal="center"/>
    </xf>
    <xf numFmtId="0" fontId="39" fillId="0" borderId="168" xfId="0" applyFont="1" applyBorder="1" applyAlignment="1">
      <alignment horizontal="center"/>
    </xf>
    <xf numFmtId="0" fontId="39" fillId="0" borderId="169" xfId="0" applyFont="1" applyBorder="1" applyAlignment="1">
      <alignment horizontal="center"/>
    </xf>
    <xf numFmtId="0" fontId="39" fillId="0" borderId="170" xfId="0" applyFont="1" applyBorder="1" applyAlignment="1">
      <alignment horizontal="center"/>
    </xf>
    <xf numFmtId="0" fontId="0" fillId="0" borderId="77" xfId="0" applyBorder="1" applyAlignment="1">
      <alignment horizontal="center" wrapText="1"/>
    </xf>
    <xf numFmtId="0" fontId="0" fillId="0" borderId="76" xfId="0" applyBorder="1" applyAlignment="1">
      <alignment horizontal="center" wrapText="1"/>
    </xf>
    <xf numFmtId="0" fontId="0" fillId="0" borderId="176" xfId="0" applyBorder="1" applyAlignment="1">
      <alignment horizontal="center" wrapText="1"/>
    </xf>
    <xf numFmtId="0" fontId="0" fillId="0" borderId="106" xfId="0" applyBorder="1" applyAlignment="1">
      <alignment horizontal="center" wrapText="1"/>
    </xf>
    <xf numFmtId="0" fontId="147" fillId="0" borderId="58" xfId="1824" applyFont="1" applyBorder="1" applyAlignment="1">
      <alignment horizontal="center"/>
    </xf>
    <xf numFmtId="0" fontId="147" fillId="0" borderId="59" xfId="1824" applyFont="1" applyBorder="1" applyAlignment="1">
      <alignment horizontal="center"/>
    </xf>
    <xf numFmtId="0" fontId="147" fillId="0" borderId="175" xfId="1824" applyFont="1" applyBorder="1" applyAlignment="1">
      <alignment horizontal="center"/>
    </xf>
    <xf numFmtId="0" fontId="147" fillId="0" borderId="148" xfId="1824" applyFont="1" applyBorder="1" applyAlignment="1">
      <alignment horizontal="center"/>
    </xf>
    <xf numFmtId="0" fontId="99" fillId="0" borderId="78" xfId="1824" applyFont="1" applyBorder="1" applyAlignment="1">
      <alignment horizontal="center" wrapText="1"/>
    </xf>
    <xf numFmtId="0" fontId="99" fillId="0" borderId="28" xfId="1824" applyFont="1" applyBorder="1" applyAlignment="1">
      <alignment horizontal="center" wrapText="1"/>
    </xf>
    <xf numFmtId="0" fontId="99" fillId="0" borderId="3" xfId="1824" applyFont="1" applyBorder="1" applyAlignment="1">
      <alignment horizontal="center" wrapText="1"/>
    </xf>
    <xf numFmtId="0" fontId="99" fillId="0" borderId="79" xfId="1824" applyFont="1" applyBorder="1" applyAlignment="1">
      <alignment horizontal="center" wrapText="1"/>
    </xf>
    <xf numFmtId="0" fontId="99" fillId="0" borderId="2" xfId="1824" applyFont="1" applyBorder="1" applyAlignment="1">
      <alignment horizontal="center" wrapText="1"/>
    </xf>
    <xf numFmtId="0" fontId="39" fillId="0" borderId="58" xfId="1824" applyFont="1" applyBorder="1" applyAlignment="1">
      <alignment horizontal="center"/>
    </xf>
    <xf numFmtId="0" fontId="39" fillId="0" borderId="145" xfId="1824" applyFont="1" applyBorder="1" applyAlignment="1">
      <alignment horizontal="center"/>
    </xf>
    <xf numFmtId="0" fontId="39" fillId="0" borderId="144" xfId="1824" applyFont="1" applyBorder="1" applyAlignment="1">
      <alignment horizontal="center"/>
    </xf>
    <xf numFmtId="0" fontId="9" fillId="0" borderId="3" xfId="1824" applyFont="1" applyBorder="1" applyAlignment="1">
      <alignment horizontal="center"/>
    </xf>
    <xf numFmtId="0" fontId="9" fillId="0" borderId="28" xfId="1824" applyFont="1" applyBorder="1" applyAlignment="1">
      <alignment horizontal="center"/>
    </xf>
    <xf numFmtId="0" fontId="0" fillId="0" borderId="78" xfId="1824" applyFont="1" applyBorder="1" applyAlignment="1">
      <alignment horizontal="center"/>
    </xf>
    <xf numFmtId="0" fontId="121" fillId="0" borderId="53" xfId="1824" applyFont="1" applyBorder="1" applyAlignment="1">
      <alignment horizontal="center"/>
    </xf>
    <xf numFmtId="0" fontId="121" fillId="0" borderId="54" xfId="1824" applyFont="1" applyBorder="1" applyAlignment="1">
      <alignment horizontal="center"/>
    </xf>
    <xf numFmtId="0" fontId="121" fillId="0" borderId="55" xfId="1824" applyFont="1" applyBorder="1" applyAlignment="1">
      <alignment horizontal="center"/>
    </xf>
    <xf numFmtId="0" fontId="121" fillId="0" borderId="120" xfId="1824" applyFont="1" applyBorder="1" applyAlignment="1">
      <alignment horizontal="center"/>
    </xf>
    <xf numFmtId="0" fontId="121" fillId="0" borderId="119" xfId="1824" applyFont="1" applyBorder="1" applyAlignment="1">
      <alignment horizontal="center"/>
    </xf>
    <xf numFmtId="0" fontId="39" fillId="0" borderId="172" xfId="1824" applyFont="1" applyBorder="1" applyAlignment="1">
      <alignment horizontal="center"/>
    </xf>
    <xf numFmtId="0" fontId="39" fillId="0" borderId="59" xfId="1824" applyFont="1" applyBorder="1" applyAlignment="1">
      <alignment horizontal="center"/>
    </xf>
    <xf numFmtId="0" fontId="39" fillId="0" borderId="24" xfId="1824" applyFont="1" applyBorder="1" applyAlignment="1">
      <alignment horizontal="center"/>
    </xf>
    <xf numFmtId="0" fontId="39" fillId="0" borderId="25" xfId="1824" applyFont="1" applyBorder="1" applyAlignment="1">
      <alignment horizontal="center"/>
    </xf>
    <xf numFmtId="0" fontId="44" fillId="0" borderId="2" xfId="1824" applyFont="1" applyBorder="1" applyAlignment="1">
      <alignment horizontal="center"/>
    </xf>
    <xf numFmtId="0" fontId="46" fillId="0" borderId="0" xfId="0" applyFont="1" applyAlignment="1">
      <alignment wrapText="1"/>
    </xf>
    <xf numFmtId="0" fontId="0" fillId="0" borderId="0" xfId="0"/>
    <xf numFmtId="0" fontId="51" fillId="0" borderId="0" xfId="0" applyFont="1"/>
    <xf numFmtId="0" fontId="50" fillId="0" borderId="0" xfId="0" applyFont="1"/>
    <xf numFmtId="0" fontId="47" fillId="0" borderId="0" xfId="0" applyFont="1" applyAlignment="1">
      <alignment wrapText="1"/>
    </xf>
    <xf numFmtId="0" fontId="46" fillId="0" borderId="0" xfId="2" applyFont="1" applyAlignment="1">
      <alignment wrapText="1"/>
    </xf>
    <xf numFmtId="0" fontId="47" fillId="0" borderId="0" xfId="2" applyFont="1" applyAlignment="1">
      <alignment wrapText="1"/>
    </xf>
    <xf numFmtId="0" fontId="79" fillId="7" borderId="25" xfId="2" applyFont="1" applyFill="1" applyBorder="1" applyAlignment="1">
      <alignment horizontal="center" vertical="center"/>
    </xf>
    <xf numFmtId="0" fontId="77" fillId="0" borderId="25" xfId="2" applyFont="1" applyBorder="1" applyAlignment="1">
      <alignment horizontal="center" vertical="center"/>
    </xf>
    <xf numFmtId="0" fontId="77" fillId="7" borderId="22" xfId="2" applyFont="1" applyFill="1" applyBorder="1" applyAlignment="1">
      <alignment horizontal="left"/>
    </xf>
    <xf numFmtId="0" fontId="77" fillId="0" borderId="22" xfId="2" applyFont="1" applyBorder="1" applyAlignment="1">
      <alignment horizontal="left"/>
    </xf>
    <xf numFmtId="0" fontId="77" fillId="7" borderId="9" xfId="2" applyFont="1" applyFill="1" applyBorder="1" applyAlignment="1">
      <alignment horizontal="center" wrapText="1"/>
    </xf>
    <xf numFmtId="0" fontId="77" fillId="0" borderId="24" xfId="2" applyFont="1" applyBorder="1" applyAlignment="1">
      <alignment horizontal="center" wrapText="1"/>
    </xf>
    <xf numFmtId="0" fontId="77" fillId="7" borderId="0" xfId="2" applyFont="1" applyFill="1" applyBorder="1" applyAlignment="1">
      <alignment horizontal="left" wrapText="1"/>
    </xf>
    <xf numFmtId="0" fontId="77" fillId="7" borderId="0" xfId="2" applyFont="1" applyFill="1" applyBorder="1" applyAlignment="1">
      <alignment wrapText="1"/>
    </xf>
    <xf numFmtId="0" fontId="77" fillId="7" borderId="23" xfId="2" applyFont="1" applyFill="1" applyBorder="1" applyAlignment="1">
      <alignment horizontal="center" vertical="center"/>
    </xf>
    <xf numFmtId="0" fontId="77" fillId="7" borderId="26" xfId="2" applyFont="1" applyFill="1" applyBorder="1" applyAlignment="1">
      <alignment horizontal="center" vertical="center"/>
    </xf>
    <xf numFmtId="0" fontId="77" fillId="0" borderId="2" xfId="2" applyFont="1" applyBorder="1" applyAlignment="1">
      <alignment horizontal="center" vertical="center" wrapText="1"/>
    </xf>
    <xf numFmtId="0" fontId="77" fillId="0" borderId="28" xfId="2" applyFont="1" applyBorder="1" applyAlignment="1">
      <alignment horizontal="center" vertical="center" wrapText="1"/>
    </xf>
    <xf numFmtId="0" fontId="51" fillId="0" borderId="0" xfId="792" applyFont="1"/>
    <xf numFmtId="0" fontId="40" fillId="0" borderId="0" xfId="792"/>
    <xf numFmtId="0" fontId="50" fillId="0" borderId="0" xfId="792" applyFont="1"/>
    <xf numFmtId="0" fontId="49" fillId="3" borderId="6" xfId="792" applyFont="1" applyFill="1" applyBorder="1" applyAlignment="1">
      <alignment horizontal="center"/>
    </xf>
    <xf numFmtId="0" fontId="47" fillId="0" borderId="0" xfId="792" applyFont="1" applyAlignment="1">
      <alignment wrapText="1"/>
    </xf>
    <xf numFmtId="0" fontId="46" fillId="0" borderId="0" xfId="792" applyFont="1" applyAlignment="1">
      <alignment wrapText="1"/>
    </xf>
    <xf numFmtId="0" fontId="109" fillId="2" borderId="51" xfId="792" applyFont="1" applyFill="1" applyBorder="1" applyAlignment="1">
      <alignment horizontal="right" vertical="center" wrapText="1"/>
    </xf>
    <xf numFmtId="0" fontId="109" fillId="2" borderId="50" xfId="792" applyFont="1" applyFill="1" applyBorder="1" applyAlignment="1">
      <alignment horizontal="right" vertical="center" wrapText="1"/>
    </xf>
    <xf numFmtId="0" fontId="108" fillId="2" borderId="51" xfId="792" applyFont="1" applyFill="1" applyBorder="1" applyAlignment="1">
      <alignment horizontal="center" vertical="top" wrapText="1"/>
    </xf>
    <xf numFmtId="0" fontId="108" fillId="2" borderId="52" xfId="792" applyFont="1" applyFill="1" applyBorder="1" applyAlignment="1">
      <alignment horizontal="center" vertical="top" wrapText="1"/>
    </xf>
    <xf numFmtId="0" fontId="108" fillId="2" borderId="50" xfId="792" applyFont="1" applyFill="1" applyBorder="1" applyAlignment="1">
      <alignment horizontal="center" vertical="top" wrapText="1"/>
    </xf>
    <xf numFmtId="0" fontId="109" fillId="42" borderId="51" xfId="792" applyFont="1" applyFill="1" applyBorder="1" applyAlignment="1">
      <alignment horizontal="right" vertical="top" wrapText="1"/>
    </xf>
    <xf numFmtId="0" fontId="109" fillId="42" borderId="50" xfId="792" applyFont="1" applyFill="1" applyBorder="1" applyAlignment="1">
      <alignment horizontal="right" vertical="top" wrapText="1"/>
    </xf>
    <xf numFmtId="0" fontId="110" fillId="42" borderId="51" xfId="792" applyFont="1" applyFill="1" applyBorder="1" applyAlignment="1">
      <alignment vertical="top" wrapText="1"/>
    </xf>
    <xf numFmtId="0" fontId="110" fillId="42" borderId="52" xfId="792" applyFont="1" applyFill="1" applyBorder="1" applyAlignment="1">
      <alignment vertical="top" wrapText="1"/>
    </xf>
    <xf numFmtId="0" fontId="110" fillId="42" borderId="50" xfId="792" applyFont="1" applyFill="1" applyBorder="1" applyAlignment="1">
      <alignment vertical="top" wrapText="1"/>
    </xf>
    <xf numFmtId="0" fontId="108" fillId="42" borderId="51" xfId="792" applyFont="1" applyFill="1" applyBorder="1" applyAlignment="1">
      <alignment vertical="top" wrapText="1"/>
    </xf>
    <xf numFmtId="0" fontId="108" fillId="42" borderId="52" xfId="792" applyFont="1" applyFill="1" applyBorder="1" applyAlignment="1">
      <alignment vertical="top" wrapText="1"/>
    </xf>
    <xf numFmtId="0" fontId="108" fillId="42" borderId="50" xfId="792" applyFont="1" applyFill="1" applyBorder="1" applyAlignment="1">
      <alignment vertical="top" wrapText="1"/>
    </xf>
    <xf numFmtId="0" fontId="40" fillId="0" borderId="0" xfId="2"/>
    <xf numFmtId="0" fontId="49" fillId="3" borderId="6" xfId="2" applyFont="1" applyFill="1" applyBorder="1" applyAlignment="1">
      <alignment horizontal="center"/>
    </xf>
    <xf numFmtId="0" fontId="51" fillId="0" borderId="0" xfId="2" applyFont="1"/>
    <xf numFmtId="0" fontId="50" fillId="0" borderId="0" xfId="2" applyFont="1"/>
    <xf numFmtId="0" fontId="53" fillId="0" borderId="0" xfId="2" applyFont="1"/>
    <xf numFmtId="0" fontId="49" fillId="3" borderId="6" xfId="0" applyFont="1" applyFill="1" applyBorder="1" applyAlignment="1">
      <alignment horizontal="center"/>
    </xf>
    <xf numFmtId="0" fontId="15" fillId="0" borderId="3" xfId="1744" applyBorder="1" applyAlignment="1">
      <alignment horizontal="center" wrapText="1"/>
    </xf>
    <xf numFmtId="0" fontId="15" fillId="0" borderId="28" xfId="1744" applyBorder="1" applyAlignment="1">
      <alignment horizontal="center" wrapText="1"/>
    </xf>
    <xf numFmtId="0" fontId="15" fillId="0" borderId="2" xfId="1744" applyBorder="1" applyAlignment="1">
      <alignment horizontal="center" wrapText="1"/>
    </xf>
    <xf numFmtId="0" fontId="128" fillId="0" borderId="116" xfId="1744" applyFont="1" applyBorder="1" applyAlignment="1">
      <alignment horizontal="center"/>
    </xf>
    <xf numFmtId="0" fontId="128" fillId="0" borderId="117" xfId="1744" applyFont="1" applyBorder="1" applyAlignment="1">
      <alignment horizontal="center"/>
    </xf>
    <xf numFmtId="0" fontId="128" fillId="0" borderId="118" xfId="1744" applyFont="1" applyBorder="1" applyAlignment="1">
      <alignment horizontal="center"/>
    </xf>
    <xf numFmtId="0" fontId="128" fillId="0" borderId="119" xfId="1744" applyFont="1" applyBorder="1" applyAlignment="1">
      <alignment horizontal="center"/>
    </xf>
    <xf numFmtId="0" fontId="128" fillId="0" borderId="54" xfId="1744" applyFont="1" applyBorder="1" applyAlignment="1">
      <alignment horizontal="center"/>
    </xf>
    <xf numFmtId="0" fontId="128" fillId="0" borderId="55" xfId="1744" applyFont="1" applyBorder="1" applyAlignment="1">
      <alignment horizontal="center"/>
    </xf>
    <xf numFmtId="0" fontId="15" fillId="0" borderId="108" xfId="1744" applyBorder="1" applyAlignment="1">
      <alignment horizontal="center" wrapText="1"/>
    </xf>
    <xf numFmtId="0" fontId="128" fillId="0" borderId="151" xfId="1744" applyFont="1" applyBorder="1" applyAlignment="1">
      <alignment horizontal="center"/>
    </xf>
    <xf numFmtId="0" fontId="128" fillId="0" borderId="152" xfId="1744" applyFont="1" applyBorder="1" applyAlignment="1">
      <alignment horizontal="center"/>
    </xf>
    <xf numFmtId="0" fontId="11" fillId="0" borderId="3" xfId="1744" applyFont="1" applyBorder="1" applyAlignment="1">
      <alignment horizontal="center" wrapText="1"/>
    </xf>
    <xf numFmtId="0" fontId="94" fillId="0" borderId="0" xfId="294" applyFont="1" applyAlignment="1" applyProtection="1">
      <alignment wrapText="1"/>
    </xf>
    <xf numFmtId="0" fontId="48" fillId="0" borderId="0" xfId="294" applyFont="1" applyAlignment="1" applyProtection="1">
      <alignment horizontal="center" wrapText="1"/>
    </xf>
    <xf numFmtId="0" fontId="40" fillId="0" borderId="40" xfId="294" applyFont="1" applyBorder="1" applyAlignment="1" applyProtection="1">
      <alignment horizontal="center" wrapText="1"/>
    </xf>
    <xf numFmtId="0" fontId="48" fillId="0" borderId="48" xfId="294" applyFont="1" applyBorder="1" applyAlignment="1" applyProtection="1">
      <alignment horizontal="center" vertical="center" wrapText="1"/>
    </xf>
    <xf numFmtId="0" fontId="48" fillId="0" borderId="44" xfId="294" applyFont="1" applyBorder="1" applyAlignment="1" applyProtection="1">
      <alignment horizontal="center" vertical="center" wrapText="1"/>
    </xf>
    <xf numFmtId="0" fontId="48" fillId="0" borderId="46" xfId="294" applyFont="1" applyBorder="1" applyAlignment="1" applyProtection="1">
      <alignment horizontal="center" vertical="center" wrapText="1"/>
    </xf>
    <xf numFmtId="0" fontId="48" fillId="0" borderId="43" xfId="294" applyFont="1" applyBorder="1" applyAlignment="1" applyProtection="1">
      <alignment horizontal="center" vertical="center" wrapText="1"/>
    </xf>
    <xf numFmtId="0" fontId="48" fillId="0" borderId="42" xfId="294" applyFont="1" applyBorder="1" applyAlignment="1" applyProtection="1">
      <alignment horizontal="center" vertical="center" wrapText="1"/>
    </xf>
    <xf numFmtId="0" fontId="48" fillId="0" borderId="45" xfId="294" applyFont="1" applyBorder="1" applyAlignment="1" applyProtection="1">
      <alignment horizontal="center" vertical="center" wrapText="1"/>
    </xf>
    <xf numFmtId="0" fontId="48" fillId="0" borderId="47" xfId="294" applyFont="1" applyBorder="1" applyAlignment="1" applyProtection="1">
      <alignment horizontal="center" vertical="center" wrapText="1"/>
    </xf>
    <xf numFmtId="0" fontId="94" fillId="0" borderId="38" xfId="294" applyFont="1" applyBorder="1" applyAlignment="1" applyProtection="1">
      <alignment wrapText="1"/>
    </xf>
  </cellXfs>
  <cellStyles count="1892">
    <cellStyle name="20% - Accent1 2" xfId="254"/>
    <cellStyle name="20% - Accent2 2" xfId="255"/>
    <cellStyle name="20% - Accent3 2" xfId="256"/>
    <cellStyle name="20% - Accent4 2" xfId="257"/>
    <cellStyle name="20% - Accent5 2" xfId="258"/>
    <cellStyle name="20% - Accent6 2" xfId="259"/>
    <cellStyle name="40% - Accent1 2" xfId="260"/>
    <cellStyle name="40% - Accent2 2" xfId="261"/>
    <cellStyle name="40% - Accent3 2" xfId="262"/>
    <cellStyle name="40% - Accent4 2" xfId="263"/>
    <cellStyle name="40% - Accent5 2" xfId="264"/>
    <cellStyle name="40% - Accent6 2" xfId="265"/>
    <cellStyle name="60% - Accent1 2" xfId="266"/>
    <cellStyle name="60% - Accent2 2" xfId="267"/>
    <cellStyle name="60% - Accent3 2" xfId="268"/>
    <cellStyle name="60% - Accent4 2" xfId="269"/>
    <cellStyle name="60% - Accent5 2" xfId="270"/>
    <cellStyle name="60% - Accent6 2" xfId="271"/>
    <cellStyle name="Accent1 2" xfId="272"/>
    <cellStyle name="Accent2 2" xfId="273"/>
    <cellStyle name="Accent3 2" xfId="274"/>
    <cellStyle name="Accent4 2" xfId="275"/>
    <cellStyle name="Accent5 2" xfId="276"/>
    <cellStyle name="Accent6 2" xfId="277"/>
    <cellStyle name="Bad 2" xfId="278"/>
    <cellStyle name="Calculation 2" xfId="279"/>
    <cellStyle name="Check Cell 2" xfId="280"/>
    <cellStyle name="Comma 10" xfId="775"/>
    <cellStyle name="Comma 11" xfId="776"/>
    <cellStyle name="Comma 12" xfId="1481"/>
    <cellStyle name="Comma 12 2" xfId="1833"/>
    <cellStyle name="Comma 13" xfId="1834"/>
    <cellStyle name="Comma 2" xfId="777"/>
    <cellStyle name="Comma 2 2" xfId="778"/>
    <cellStyle name="Comma 2 2 2" xfId="779"/>
    <cellStyle name="Comma 2 3" xfId="780"/>
    <cellStyle name="Comma 3" xfId="781"/>
    <cellStyle name="Comma 3 2" xfId="782"/>
    <cellStyle name="Comma 4" xfId="783"/>
    <cellStyle name="Comma 4 2" xfId="784"/>
    <cellStyle name="Comma 5" xfId="785"/>
    <cellStyle name="Comma 5 2" xfId="1835"/>
    <cellStyle name="Comma 6" xfId="786"/>
    <cellStyle name="Comma 7" xfId="787"/>
    <cellStyle name="Comma 8" xfId="788"/>
    <cellStyle name="Comma 9" xfId="789"/>
    <cellStyle name="Comma0" xfId="790"/>
    <cellStyle name="Commentaire" xfId="208"/>
    <cellStyle name="Date" xfId="146"/>
    <cellStyle name="Date 2" xfId="1483"/>
    <cellStyle name="En-tête 1" xfId="147"/>
    <cellStyle name="En-tête 1 2" xfId="1484"/>
    <cellStyle name="En-tête 2" xfId="148"/>
    <cellStyle name="En-tête 2 2" xfId="1485"/>
    <cellStyle name="Explanatory Text 2" xfId="281"/>
    <cellStyle name="Financier0" xfId="149"/>
    <cellStyle name="Financier0 2" xfId="1486"/>
    <cellStyle name="Good 2" xfId="282"/>
    <cellStyle name="Heading 1 2" xfId="283"/>
    <cellStyle name="Heading 2 2" xfId="284"/>
    <cellStyle name="Heading 3 2" xfId="285"/>
    <cellStyle name="Heading 4 2" xfId="286"/>
    <cellStyle name="Hyperlink 2" xfId="1487"/>
    <cellStyle name="Input 2" xfId="287"/>
    <cellStyle name="Lien hypertexte" xfId="3" builtinId="8" hidden="1"/>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xfId="17" builtinId="8" hidden="1"/>
    <cellStyle name="Lien hypertexte" xfId="19" builtinId="8" hidden="1"/>
    <cellStyle name="Lien hypertexte" xfId="21" builtinId="8" hidden="1"/>
    <cellStyle name="Lien hypertexte" xfId="23" builtinId="8" hidden="1"/>
    <cellStyle name="Lien hypertexte" xfId="25" builtinId="8" hidden="1"/>
    <cellStyle name="Lien hypertexte" xfId="27" builtinId="8" hidden="1"/>
    <cellStyle name="Lien hypertexte" xfId="29" builtinId="8" hidden="1"/>
    <cellStyle name="Lien hypertexte" xfId="31" builtinId="8" hidden="1"/>
    <cellStyle name="Lien hypertexte" xfId="33" builtinId="8" hidden="1"/>
    <cellStyle name="Lien hypertexte" xfId="35" builtinId="8" hidden="1"/>
    <cellStyle name="Lien hypertexte" xfId="1743" builtinId="8"/>
    <cellStyle name="Lien hypertexte 2" xfId="207"/>
    <cellStyle name="Lien hypertexte visité" xfId="4" builtinId="9"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Lien hypertexte visité" xfId="22" builtinId="9" hidden="1"/>
    <cellStyle name="Lien hypertexte visité" xfId="24" builtinId="9" hidden="1"/>
    <cellStyle name="Lien hypertexte visité" xfId="26" builtinId="9" hidden="1"/>
    <cellStyle name="Lien hypertexte visité" xfId="28" builtinId="9" hidden="1"/>
    <cellStyle name="Lien hypertexte visité" xfId="30" builtinId="9" hidden="1"/>
    <cellStyle name="Lien hypertexte visité" xfId="32" builtinId="9" hidden="1"/>
    <cellStyle name="Lien hypertexte visité" xfId="34" builtinId="9" hidden="1"/>
    <cellStyle name="Lien hypertexte visité" xfId="36" builtinId="9" hidden="1"/>
    <cellStyle name="Lien hypertexte visité" xfId="37" builtinId="9" hidden="1"/>
    <cellStyle name="Lien hypertexte visité" xfId="38" builtinId="9" hidden="1"/>
    <cellStyle name="Lien hypertexte visité" xfId="39" builtinId="9" hidden="1"/>
    <cellStyle name="Lien hypertexte visité" xfId="40" builtinId="9" hidden="1"/>
    <cellStyle name="Lien hypertexte visité" xfId="41" builtinId="9" hidden="1"/>
    <cellStyle name="Lien hypertexte visité" xfId="42" builtinId="9" hidden="1"/>
    <cellStyle name="Lien hypertexte visité" xfId="43" builtinId="9" hidden="1"/>
    <cellStyle name="Lien hypertexte visité" xfId="44" builtinId="9" hidden="1"/>
    <cellStyle name="Lien hypertexte visité" xfId="45" builtinId="9" hidden="1"/>
    <cellStyle name="Lien hypertexte visité" xfId="46" builtinId="9" hidden="1"/>
    <cellStyle name="Lien hypertexte visité" xfId="47" builtinId="9" hidden="1"/>
    <cellStyle name="Lien hypertexte visité" xfId="48" builtinId="9" hidden="1"/>
    <cellStyle name="Lien hypertexte visité" xfId="49" builtinId="9" hidden="1"/>
    <cellStyle name="Lien hypertexte visité" xfId="50" builtinId="9" hidden="1"/>
    <cellStyle name="Lien hypertexte visité" xfId="51" builtinId="9" hidden="1"/>
    <cellStyle name="Lien hypertexte visité" xfId="52" builtinId="9" hidden="1"/>
    <cellStyle name="Lien hypertexte visité" xfId="53" builtinId="9" hidden="1"/>
    <cellStyle name="Lien hypertexte visité" xfId="54" builtinId="9" hidden="1"/>
    <cellStyle name="Lien hypertexte visité" xfId="55" builtinId="9" hidden="1"/>
    <cellStyle name="Lien hypertexte visité" xfId="56" builtinId="9" hidden="1"/>
    <cellStyle name="Lien hypertexte visité" xfId="57" builtinId="9" hidden="1"/>
    <cellStyle name="Lien hypertexte visité" xfId="58" builtinId="9" hidden="1"/>
    <cellStyle name="Lien hypertexte visité" xfId="59" builtinId="9" hidden="1"/>
    <cellStyle name="Lien hypertexte visité" xfId="60" builtinId="9" hidden="1"/>
    <cellStyle name="Lien hypertexte visité" xfId="61" builtinId="9" hidden="1"/>
    <cellStyle name="Lien hypertexte visité" xfId="62" builtinId="9" hidden="1"/>
    <cellStyle name="Lien hypertexte visité" xfId="63" builtinId="9" hidden="1"/>
    <cellStyle name="Lien hypertexte visité" xfId="64" builtinId="9" hidden="1"/>
    <cellStyle name="Lien hypertexte visité" xfId="65" builtinId="9" hidden="1"/>
    <cellStyle name="Lien hypertexte visité" xfId="66" builtinId="9" hidden="1"/>
    <cellStyle name="Lien hypertexte visité" xfId="67" builtinId="9" hidden="1"/>
    <cellStyle name="Lien hypertexte visité" xfId="68" builtinId="9" hidden="1"/>
    <cellStyle name="Lien hypertexte visité" xfId="69" builtinId="9" hidden="1"/>
    <cellStyle name="Lien hypertexte visité" xfId="70" builtinId="9" hidden="1"/>
    <cellStyle name="Lien hypertexte visité" xfId="71" builtinId="9" hidden="1"/>
    <cellStyle name="Lien hypertexte visité" xfId="72" builtinId="9" hidden="1"/>
    <cellStyle name="Lien hypertexte visité" xfId="73" builtinId="9" hidden="1"/>
    <cellStyle name="Lien hypertexte visité" xfId="74" builtinId="9" hidden="1"/>
    <cellStyle name="Lien hypertexte visité" xfId="75" builtinId="9" hidden="1"/>
    <cellStyle name="Lien hypertexte visité" xfId="76" builtinId="9" hidden="1"/>
    <cellStyle name="Lien hypertexte visité" xfId="77" builtinId="9" hidden="1"/>
    <cellStyle name="Lien hypertexte visité" xfId="78" builtinId="9" hidden="1"/>
    <cellStyle name="Lien hypertexte visité" xfId="79" builtinId="9" hidden="1"/>
    <cellStyle name="Lien hypertexte visité" xfId="80" builtinId="9" hidden="1"/>
    <cellStyle name="Lien hypertexte visité" xfId="81" builtinId="9" hidden="1"/>
    <cellStyle name="Lien hypertexte visité" xfId="82" builtinId="9" hidden="1"/>
    <cellStyle name="Lien hypertexte visité" xfId="83" builtinId="9" hidden="1"/>
    <cellStyle name="Lien hypertexte visité" xfId="84" builtinId="9" hidden="1"/>
    <cellStyle name="Lien hypertexte visité" xfId="85" builtinId="9" hidden="1"/>
    <cellStyle name="Lien hypertexte visité" xfId="86" builtinId="9" hidden="1"/>
    <cellStyle name="Lien hypertexte visité" xfId="87" builtinId="9" hidden="1"/>
    <cellStyle name="Lien hypertexte visité" xfId="88" builtinId="9" hidden="1"/>
    <cellStyle name="Lien hypertexte visité" xfId="89" builtinId="9" hidden="1"/>
    <cellStyle name="Lien hypertexte visité" xfId="90" builtinId="9" hidden="1"/>
    <cellStyle name="Lien hypertexte visité" xfId="91" builtinId="9" hidden="1"/>
    <cellStyle name="Lien hypertexte visité" xfId="92" builtinId="9" hidden="1"/>
    <cellStyle name="Lien hypertexte visité" xfId="93" builtinId="9" hidden="1"/>
    <cellStyle name="Lien hypertexte visité" xfId="94" builtinId="9" hidden="1"/>
    <cellStyle name="Lien hypertexte visité" xfId="95" builtinId="9" hidden="1"/>
    <cellStyle name="Lien hypertexte visité" xfId="96" builtinId="9" hidden="1"/>
    <cellStyle name="Lien hypertexte visité" xfId="97" builtinId="9" hidden="1"/>
    <cellStyle name="Lien hypertexte visité" xfId="98" builtinId="9" hidden="1"/>
    <cellStyle name="Lien hypertexte visité" xfId="99" builtinId="9" hidden="1"/>
    <cellStyle name="Lien hypertexte visité" xfId="100" builtinId="9" hidden="1"/>
    <cellStyle name="Lien hypertexte visité" xfId="101" builtinId="9" hidden="1"/>
    <cellStyle name="Lien hypertexte visité" xfId="102" builtinId="9" hidden="1"/>
    <cellStyle name="Lien hypertexte visité" xfId="103" builtinId="9" hidden="1"/>
    <cellStyle name="Lien hypertexte visité" xfId="104" builtinId="9" hidden="1"/>
    <cellStyle name="Lien hypertexte visité" xfId="105" builtinId="9" hidden="1"/>
    <cellStyle name="Lien hypertexte visité" xfId="106" builtinId="9" hidden="1"/>
    <cellStyle name="Lien hypertexte visité" xfId="107" builtinId="9" hidden="1"/>
    <cellStyle name="Lien hypertexte visité" xfId="108" builtinId="9" hidden="1"/>
    <cellStyle name="Lien hypertexte visité" xfId="109" builtinId="9" hidden="1"/>
    <cellStyle name="Lien hypertexte visité" xfId="110" builtinId="9" hidden="1"/>
    <cellStyle name="Lien hypertexte visité" xfId="111" builtinId="9" hidden="1"/>
    <cellStyle name="Lien hypertexte visité" xfId="112" builtinId="9" hidden="1"/>
    <cellStyle name="Lien hypertexte visité" xfId="113" builtinId="9" hidden="1"/>
    <cellStyle name="Lien hypertexte visité" xfId="114" builtinId="9" hidden="1"/>
    <cellStyle name="Lien hypertexte visité" xfId="115" builtinId="9" hidden="1"/>
    <cellStyle name="Lien hypertexte visité" xfId="116" builtinId="9" hidden="1"/>
    <cellStyle name="Lien hypertexte visité" xfId="117" builtinId="9" hidden="1"/>
    <cellStyle name="Lien hypertexte visité" xfId="118" builtinId="9" hidden="1"/>
    <cellStyle name="Lien hypertexte visité" xfId="119" builtinId="9" hidden="1"/>
    <cellStyle name="Lien hypertexte visité" xfId="120" builtinId="9" hidden="1"/>
    <cellStyle name="Lien hypertexte visité" xfId="121" builtinId="9" hidden="1"/>
    <cellStyle name="Lien hypertexte visité" xfId="122" builtinId="9" hidden="1"/>
    <cellStyle name="Lien hypertexte visité" xfId="123" builtinId="9" hidden="1"/>
    <cellStyle name="Lien hypertexte visité" xfId="124" builtinId="9" hidden="1"/>
    <cellStyle name="Lien hypertexte visité" xfId="125" builtinId="9" hidden="1"/>
    <cellStyle name="Lien hypertexte visité" xfId="126" builtinId="9" hidden="1"/>
    <cellStyle name="Lien hypertexte visité" xfId="127" builtinId="9" hidden="1"/>
    <cellStyle name="Lien hypertexte visité" xfId="128" builtinId="9" hidden="1"/>
    <cellStyle name="Lien hypertexte visité" xfId="129" builtinId="9" hidden="1"/>
    <cellStyle name="Lien hypertexte visité" xfId="130" builtinId="9" hidden="1"/>
    <cellStyle name="Lien hypertexte visité" xfId="131" builtinId="9" hidden="1"/>
    <cellStyle name="Lien hypertexte visité" xfId="132" builtinId="9" hidden="1"/>
    <cellStyle name="Lien hypertexte visité" xfId="133" builtinId="9" hidden="1"/>
    <cellStyle name="Lien hypertexte visité" xfId="134" builtinId="9" hidden="1"/>
    <cellStyle name="Lien hypertexte visité" xfId="135" builtinId="9" hidden="1"/>
    <cellStyle name="Lien hypertexte visité" xfId="136" builtinId="9" hidden="1"/>
    <cellStyle name="Lien hypertexte visité" xfId="137" builtinId="9" hidden="1"/>
    <cellStyle name="Lien hypertexte visité" xfId="138" builtinId="9" hidden="1"/>
    <cellStyle name="Lien hypertexte visité" xfId="139" builtinId="9" hidden="1"/>
    <cellStyle name="Lien hypertexte visité" xfId="140" builtinId="9" hidden="1"/>
    <cellStyle name="Lien hypertexte visité" xfId="141" builtinId="9" hidden="1"/>
    <cellStyle name="Lien hypertexte visité" xfId="142" builtinId="9" hidden="1"/>
    <cellStyle name="Lien hypertexte visité" xfId="154" builtinId="9" hidden="1"/>
    <cellStyle name="Lien hypertexte visité" xfId="155" builtinId="9" hidden="1"/>
    <cellStyle name="Lien hypertexte visité" xfId="156" builtinId="9" hidden="1"/>
    <cellStyle name="Lien hypertexte visité" xfId="157" builtinId="9" hidden="1"/>
    <cellStyle name="Lien hypertexte visité" xfId="158" builtinId="9" hidden="1"/>
    <cellStyle name="Lien hypertexte visité" xfId="159" builtinId="9" hidden="1"/>
    <cellStyle name="Lien hypertexte visité" xfId="160" builtinId="9" hidden="1"/>
    <cellStyle name="Lien hypertexte visité" xfId="161" builtinId="9" hidden="1"/>
    <cellStyle name="Lien hypertexte visité" xfId="162" builtinId="9" hidden="1"/>
    <cellStyle name="Lien hypertexte visité" xfId="163" builtinId="9" hidden="1"/>
    <cellStyle name="Lien hypertexte visité" xfId="164" builtinId="9" hidden="1"/>
    <cellStyle name="Lien hypertexte visité" xfId="165" builtinId="9" hidden="1"/>
    <cellStyle name="Lien hypertexte visité" xfId="166" builtinId="9" hidden="1"/>
    <cellStyle name="Lien hypertexte visité" xfId="167" builtinId="9" hidden="1"/>
    <cellStyle name="Lien hypertexte visité" xfId="168" builtinId="9" hidden="1"/>
    <cellStyle name="Lien hypertexte visité" xfId="169" builtinId="9" hidden="1"/>
    <cellStyle name="Lien hypertexte visité" xfId="170" builtinId="9" hidden="1"/>
    <cellStyle name="Lien hypertexte visité" xfId="171" builtinId="9" hidden="1"/>
    <cellStyle name="Lien hypertexte visité" xfId="172" builtinId="9" hidden="1"/>
    <cellStyle name="Lien hypertexte visité" xfId="173" builtinId="9" hidden="1"/>
    <cellStyle name="Lien hypertexte visité" xfId="174" builtinId="9" hidden="1"/>
    <cellStyle name="Lien hypertexte visité" xfId="175" builtinId="9" hidden="1"/>
    <cellStyle name="Lien hypertexte visité" xfId="176" builtinId="9" hidden="1"/>
    <cellStyle name="Lien hypertexte visité" xfId="177" builtinId="9" hidden="1"/>
    <cellStyle name="Lien hypertexte visité" xfId="178" builtinId="9" hidden="1"/>
    <cellStyle name="Lien hypertexte visité" xfId="179" builtinId="9" hidden="1"/>
    <cellStyle name="Lien hypertexte visité" xfId="180" builtinId="9" hidden="1"/>
    <cellStyle name="Lien hypertexte visité" xfId="181" builtinId="9" hidden="1"/>
    <cellStyle name="Lien hypertexte visité" xfId="182" builtinId="9" hidden="1"/>
    <cellStyle name="Lien hypertexte visité" xfId="183" builtinId="9" hidden="1"/>
    <cellStyle name="Lien hypertexte visité" xfId="184" builtinId="9" hidden="1"/>
    <cellStyle name="Lien hypertexte visité" xfId="185" builtinId="9" hidden="1"/>
    <cellStyle name="Lien hypertexte visité" xfId="186" builtinId="9" hidden="1"/>
    <cellStyle name="Lien hypertexte visité" xfId="187" builtinId="9" hidden="1"/>
    <cellStyle name="Lien hypertexte visité" xfId="188" builtinId="9" hidden="1"/>
    <cellStyle name="Lien hypertexte visité" xfId="189" builtinId="9" hidden="1"/>
    <cellStyle name="Lien hypertexte visité" xfId="190" builtinId="9" hidden="1"/>
    <cellStyle name="Lien hypertexte visité" xfId="191" builtinId="9" hidden="1"/>
    <cellStyle name="Lien hypertexte visité" xfId="192" builtinId="9" hidden="1"/>
    <cellStyle name="Lien hypertexte visité" xfId="193" builtinId="9" hidden="1"/>
    <cellStyle name="Lien hypertexte visité" xfId="194" builtinId="9" hidden="1"/>
    <cellStyle name="Lien hypertexte visité" xfId="195" builtinId="9" hidden="1"/>
    <cellStyle name="Lien hypertexte visité" xfId="196" builtinId="9" hidden="1"/>
    <cellStyle name="Lien hypertexte visité" xfId="197" builtinId="9" hidden="1"/>
    <cellStyle name="Lien hypertexte visité" xfId="198" builtinId="9" hidden="1"/>
    <cellStyle name="Lien hypertexte visité" xfId="199" builtinId="9" hidden="1"/>
    <cellStyle name="Lien hypertexte visité" xfId="200" builtinId="9" hidden="1"/>
    <cellStyle name="Lien hypertexte visité" xfId="201" builtinId="9" hidden="1"/>
    <cellStyle name="Lien hypertexte visité" xfId="202" builtinId="9" hidden="1"/>
    <cellStyle name="Lien hypertexte visité" xfId="203" builtinId="9" hidden="1"/>
    <cellStyle name="Lien hypertexte visité" xfId="204" builtinId="9" hidden="1"/>
    <cellStyle name="Lien hypertexte visité" xfId="205" builtinId="9" hidden="1"/>
    <cellStyle name="Lien hypertexte visité" xfId="206" builtinId="9" hidden="1"/>
    <cellStyle name="Lien hypertexte visité" xfId="224" builtinId="9" hidden="1"/>
    <cellStyle name="Lien hypertexte visité" xfId="225" builtinId="9" hidden="1"/>
    <cellStyle name="Lien hypertexte visité" xfId="226" builtinId="9" hidden="1"/>
    <cellStyle name="Lien hypertexte visité" xfId="227" builtinId="9" hidden="1"/>
    <cellStyle name="Lien hypertexte visité" xfId="228" builtinId="9" hidden="1"/>
    <cellStyle name="Lien hypertexte visité" xfId="229" builtinId="9" hidden="1"/>
    <cellStyle name="Lien hypertexte visité" xfId="230" builtinId="9" hidden="1"/>
    <cellStyle name="Lien hypertexte visité" xfId="231" builtinId="9" hidden="1"/>
    <cellStyle name="Lien hypertexte visité" xfId="232" builtinId="9" hidden="1"/>
    <cellStyle name="Lien hypertexte visité" xfId="233" builtinId="9" hidden="1"/>
    <cellStyle name="Lien hypertexte visité" xfId="234" builtinId="9" hidden="1"/>
    <cellStyle name="Lien hypertexte visité" xfId="235" builtinId="9" hidden="1"/>
    <cellStyle name="Lien hypertexte visité" xfId="236" builtinId="9" hidden="1"/>
    <cellStyle name="Lien hypertexte visité" xfId="237" builtinId="9" hidden="1"/>
    <cellStyle name="Lien hypertexte visité" xfId="238" builtinId="9" hidden="1"/>
    <cellStyle name="Lien hypertexte visité" xfId="239" builtinId="9" hidden="1"/>
    <cellStyle name="Lien hypertexte visité" xfId="240" builtinId="9" hidden="1"/>
    <cellStyle name="Lien hypertexte visité" xfId="241" builtinId="9" hidden="1"/>
    <cellStyle name="Lien hypertexte visité" xfId="242" builtinId="9" hidden="1"/>
    <cellStyle name="Lien hypertexte visité" xfId="243" builtinId="9" hidden="1"/>
    <cellStyle name="Lien hypertexte visité" xfId="244" builtinId="9" hidden="1"/>
    <cellStyle name="Lien hypertexte visité" xfId="245" builtinId="9" hidden="1"/>
    <cellStyle name="Lien hypertexte visité" xfId="246" builtinId="9" hidden="1"/>
    <cellStyle name="Lien hypertexte visité" xfId="247" builtinId="9" hidden="1"/>
    <cellStyle name="Lien hypertexte visité" xfId="248" builtinId="9" hidden="1"/>
    <cellStyle name="Lien hypertexte visité" xfId="249" builtinId="9" hidden="1"/>
    <cellStyle name="Lien hypertexte visité" xfId="250" builtinId="9" hidden="1"/>
    <cellStyle name="Lien hypertexte visité" xfId="251" builtinId="9" hidden="1"/>
    <cellStyle name="Lien hypertexte visité" xfId="252" builtinId="9" hidden="1"/>
    <cellStyle name="Lien hypertexte visité" xfId="253" builtinId="9" hidden="1"/>
    <cellStyle name="Lien hypertexte visité" xfId="295" builtinId="9" hidden="1"/>
    <cellStyle name="Lien hypertexte visité" xfId="296" builtinId="9" hidden="1"/>
    <cellStyle name="Lien hypertexte visité" xfId="297" builtinId="9" hidden="1"/>
    <cellStyle name="Lien hypertexte visité" xfId="298" builtinId="9" hidden="1"/>
    <cellStyle name="Lien hypertexte visité" xfId="299" builtinId="9" hidden="1"/>
    <cellStyle name="Lien hypertexte visité" xfId="300" builtinId="9" hidden="1"/>
    <cellStyle name="Lien hypertexte visité" xfId="301" builtinId="9" hidden="1"/>
    <cellStyle name="Lien hypertexte visité" xfId="302" builtinId="9" hidden="1"/>
    <cellStyle name="Lien hypertexte visité" xfId="303" builtinId="9" hidden="1"/>
    <cellStyle name="Lien hypertexte visité" xfId="304" builtinId="9" hidden="1"/>
    <cellStyle name="Lien hypertexte visité" xfId="305" builtinId="9" hidden="1"/>
    <cellStyle name="Lien hypertexte visité" xfId="306" builtinId="9" hidden="1"/>
    <cellStyle name="Lien hypertexte visité" xfId="307" builtinId="9" hidden="1"/>
    <cellStyle name="Lien hypertexte visité" xfId="308" builtinId="9" hidden="1"/>
    <cellStyle name="Lien hypertexte visité" xfId="309" builtinId="9" hidden="1"/>
    <cellStyle name="Lien hypertexte visité" xfId="310" builtinId="9" hidden="1"/>
    <cellStyle name="Lien hypertexte visité" xfId="311" builtinId="9" hidden="1"/>
    <cellStyle name="Lien hypertexte visité" xfId="312" builtinId="9" hidden="1"/>
    <cellStyle name="Lien hypertexte visité" xfId="313" builtinId="9" hidden="1"/>
    <cellStyle name="Lien hypertexte visité" xfId="314" builtinId="9" hidden="1"/>
    <cellStyle name="Lien hypertexte visité" xfId="315" builtinId="9" hidden="1"/>
    <cellStyle name="Lien hypertexte visité" xfId="316" builtinId="9" hidden="1"/>
    <cellStyle name="Lien hypertexte visité" xfId="317" builtinId="9" hidden="1"/>
    <cellStyle name="Lien hypertexte visité" xfId="318" builtinId="9" hidden="1"/>
    <cellStyle name="Lien hypertexte visité" xfId="319" builtinId="9" hidden="1"/>
    <cellStyle name="Lien hypertexte visité" xfId="320" builtinId="9" hidden="1"/>
    <cellStyle name="Lien hypertexte visité" xfId="321" builtinId="9" hidden="1"/>
    <cellStyle name="Lien hypertexte visité" xfId="322" builtinId="9" hidden="1"/>
    <cellStyle name="Lien hypertexte visité" xfId="323" builtinId="9" hidden="1"/>
    <cellStyle name="Lien hypertexte visité" xfId="324" builtinId="9" hidden="1"/>
    <cellStyle name="Lien hypertexte visité" xfId="325" builtinId="9" hidden="1"/>
    <cellStyle name="Lien hypertexte visité" xfId="326" builtinId="9" hidden="1"/>
    <cellStyle name="Lien hypertexte visité" xfId="327" builtinId="9" hidden="1"/>
    <cellStyle name="Lien hypertexte visité" xfId="328" builtinId="9" hidden="1"/>
    <cellStyle name="Lien hypertexte visité" xfId="329" builtinId="9" hidden="1"/>
    <cellStyle name="Lien hypertexte visité" xfId="330" builtinId="9" hidden="1"/>
    <cellStyle name="Lien hypertexte visité" xfId="331" builtinId="9" hidden="1"/>
    <cellStyle name="Lien hypertexte visité" xfId="332" builtinId="9" hidden="1"/>
    <cellStyle name="Lien hypertexte visité" xfId="333" builtinId="9" hidden="1"/>
    <cellStyle name="Lien hypertexte visité" xfId="334" builtinId="9" hidden="1"/>
    <cellStyle name="Lien hypertexte visité" xfId="335" builtinId="9" hidden="1"/>
    <cellStyle name="Lien hypertexte visité" xfId="336" builtinId="9" hidden="1"/>
    <cellStyle name="Lien hypertexte visité" xfId="338" builtinId="9" hidden="1"/>
    <cellStyle name="Lien hypertexte visité" xfId="339" builtinId="9" hidden="1"/>
    <cellStyle name="Lien hypertexte visité" xfId="340" builtinId="9" hidden="1"/>
    <cellStyle name="Lien hypertexte visité" xfId="341" builtinId="9" hidden="1"/>
    <cellStyle name="Lien hypertexte visité" xfId="342" builtinId="9" hidden="1"/>
    <cellStyle name="Lien hypertexte visité" xfId="343" builtinId="9" hidden="1"/>
    <cellStyle name="Lien hypertexte visité" xfId="344" builtinId="9" hidden="1"/>
    <cellStyle name="Lien hypertexte visité" xfId="345" builtinId="9" hidden="1"/>
    <cellStyle name="Lien hypertexte visité" xfId="346" builtinId="9" hidden="1"/>
    <cellStyle name="Lien hypertexte visité" xfId="347" builtinId="9" hidden="1"/>
    <cellStyle name="Lien hypertexte visité" xfId="348" builtinId="9" hidden="1"/>
    <cellStyle name="Lien hypertexte visité" xfId="349" builtinId="9" hidden="1"/>
    <cellStyle name="Lien hypertexte visité" xfId="350" builtinId="9" hidden="1"/>
    <cellStyle name="Lien hypertexte visité" xfId="351" builtinId="9" hidden="1"/>
    <cellStyle name="Lien hypertexte visité" xfId="352" builtinId="9" hidden="1"/>
    <cellStyle name="Lien hypertexte visité" xfId="353" builtinId="9" hidden="1"/>
    <cellStyle name="Lien hypertexte visité" xfId="354" builtinId="9" hidden="1"/>
    <cellStyle name="Lien hypertexte visité" xfId="355" builtinId="9" hidden="1"/>
    <cellStyle name="Lien hypertexte visité" xfId="356" builtinId="9" hidden="1"/>
    <cellStyle name="Lien hypertexte visité" xfId="357" builtinId="9" hidden="1"/>
    <cellStyle name="Lien hypertexte visité" xfId="358" builtinId="9" hidden="1"/>
    <cellStyle name="Lien hypertexte visité" xfId="359" builtinId="9" hidden="1"/>
    <cellStyle name="Lien hypertexte visité" xfId="360" builtinId="9" hidden="1"/>
    <cellStyle name="Lien hypertexte visité" xfId="361" builtinId="9" hidden="1"/>
    <cellStyle name="Lien hypertexte visité" xfId="362" builtinId="9" hidden="1"/>
    <cellStyle name="Lien hypertexte visité" xfId="363" builtinId="9" hidden="1"/>
    <cellStyle name="Lien hypertexte visité" xfId="364" builtinId="9" hidden="1"/>
    <cellStyle name="Lien hypertexte visité" xfId="365" builtinId="9" hidden="1"/>
    <cellStyle name="Lien hypertexte visité" xfId="366" builtinId="9" hidden="1"/>
    <cellStyle name="Lien hypertexte visité" xfId="367" builtinId="9" hidden="1"/>
    <cellStyle name="Lien hypertexte visité" xfId="368" builtinId="9" hidden="1"/>
    <cellStyle name="Lien hypertexte visité" xfId="369" builtinId="9" hidden="1"/>
    <cellStyle name="Lien hypertexte visité" xfId="370" builtinId="9" hidden="1"/>
    <cellStyle name="Lien hypertexte visité" xfId="371" builtinId="9" hidden="1"/>
    <cellStyle name="Lien hypertexte visité" xfId="372" builtinId="9" hidden="1"/>
    <cellStyle name="Lien hypertexte visité" xfId="373" builtinId="9" hidden="1"/>
    <cellStyle name="Lien hypertexte visité" xfId="374" builtinId="9" hidden="1"/>
    <cellStyle name="Lien hypertexte visité" xfId="375" builtinId="9" hidden="1"/>
    <cellStyle name="Lien hypertexte visité" xfId="376" builtinId="9" hidden="1"/>
    <cellStyle name="Lien hypertexte visité" xfId="377" builtinId="9" hidden="1"/>
    <cellStyle name="Lien hypertexte visité" xfId="378" builtinId="9" hidden="1"/>
    <cellStyle name="Lien hypertexte visité" xfId="379" builtinId="9" hidden="1"/>
    <cellStyle name="Lien hypertexte visité" xfId="380" builtinId="9" hidden="1"/>
    <cellStyle name="Lien hypertexte visité" xfId="381" builtinId="9" hidden="1"/>
    <cellStyle name="Lien hypertexte visité" xfId="382" builtinId="9" hidden="1"/>
    <cellStyle name="Lien hypertexte visité" xfId="383" builtinId="9" hidden="1"/>
    <cellStyle name="Lien hypertexte visité" xfId="384" builtinId="9" hidden="1"/>
    <cellStyle name="Lien hypertexte visité" xfId="385" builtinId="9" hidden="1"/>
    <cellStyle name="Lien hypertexte visité" xfId="386" builtinId="9" hidden="1"/>
    <cellStyle name="Lien hypertexte visité" xfId="387" builtinId="9" hidden="1"/>
    <cellStyle name="Lien hypertexte visité" xfId="388" builtinId="9" hidden="1"/>
    <cellStyle name="Lien hypertexte visité" xfId="389" builtinId="9" hidden="1"/>
    <cellStyle name="Lien hypertexte visité" xfId="390" builtinId="9" hidden="1"/>
    <cellStyle name="Lien hypertexte visité" xfId="391" builtinId="9" hidden="1"/>
    <cellStyle name="Lien hypertexte visité" xfId="392" builtinId="9" hidden="1"/>
    <cellStyle name="Lien hypertexte visité" xfId="393" builtinId="9" hidden="1"/>
    <cellStyle name="Lien hypertexte visité" xfId="394" builtinId="9" hidden="1"/>
    <cellStyle name="Lien hypertexte visité" xfId="395" builtinId="9" hidden="1"/>
    <cellStyle name="Lien hypertexte visité" xfId="396" builtinId="9" hidden="1"/>
    <cellStyle name="Lien hypertexte visité" xfId="397" builtinId="9" hidden="1"/>
    <cellStyle name="Lien hypertexte visité" xfId="398" builtinId="9" hidden="1"/>
    <cellStyle name="Lien hypertexte visité" xfId="399" builtinId="9" hidden="1"/>
    <cellStyle name="Lien hypertexte visité" xfId="400" builtinId="9" hidden="1"/>
    <cellStyle name="Lien hypertexte visité" xfId="401" builtinId="9" hidden="1"/>
    <cellStyle name="Lien hypertexte visité" xfId="402" builtinId="9" hidden="1"/>
    <cellStyle name="Lien hypertexte visité" xfId="403" builtinId="9" hidden="1"/>
    <cellStyle name="Lien hypertexte visité" xfId="404" builtinId="9" hidden="1"/>
    <cellStyle name="Lien hypertexte visité" xfId="405" builtinId="9" hidden="1"/>
    <cellStyle name="Lien hypertexte visité" xfId="406" builtinId="9" hidden="1"/>
    <cellStyle name="Lien hypertexte visité" xfId="407" builtinId="9" hidden="1"/>
    <cellStyle name="Lien hypertexte visité" xfId="408" builtinId="9" hidden="1"/>
    <cellStyle name="Lien hypertexte visité" xfId="409" builtinId="9" hidden="1"/>
    <cellStyle name="Lien hypertexte visité" xfId="410" builtinId="9" hidden="1"/>
    <cellStyle name="Lien hypertexte visité" xfId="411" builtinId="9" hidden="1"/>
    <cellStyle name="Lien hypertexte visité" xfId="412" builtinId="9" hidden="1"/>
    <cellStyle name="Lien hypertexte visité" xfId="413" builtinId="9" hidden="1"/>
    <cellStyle name="Lien hypertexte visité" xfId="414" builtinId="9" hidden="1"/>
    <cellStyle name="Lien hypertexte visité" xfId="415" builtinId="9" hidden="1"/>
    <cellStyle name="Lien hypertexte visité" xfId="416" builtinId="9" hidden="1"/>
    <cellStyle name="Lien hypertexte visité" xfId="417" builtinId="9" hidden="1"/>
    <cellStyle name="Lien hypertexte visité" xfId="418" builtinId="9" hidden="1"/>
    <cellStyle name="Lien hypertexte visité" xfId="419" builtinId="9" hidden="1"/>
    <cellStyle name="Lien hypertexte visité" xfId="420" builtinId="9" hidden="1"/>
    <cellStyle name="Lien hypertexte visité" xfId="421" builtinId="9" hidden="1"/>
    <cellStyle name="Lien hypertexte visité" xfId="422" builtinId="9" hidden="1"/>
    <cellStyle name="Lien hypertexte visité" xfId="423" builtinId="9" hidden="1"/>
    <cellStyle name="Lien hypertexte visité" xfId="424" builtinId="9" hidden="1"/>
    <cellStyle name="Lien hypertexte visité" xfId="425" builtinId="9" hidden="1"/>
    <cellStyle name="Lien hypertexte visité" xfId="426" builtinId="9" hidden="1"/>
    <cellStyle name="Lien hypertexte visité" xfId="427" builtinId="9" hidden="1"/>
    <cellStyle name="Lien hypertexte visité" xfId="428" builtinId="9" hidden="1"/>
    <cellStyle name="Lien hypertexte visité" xfId="429" builtinId="9" hidden="1"/>
    <cellStyle name="Lien hypertexte visité" xfId="430" builtinId="9" hidden="1"/>
    <cellStyle name="Lien hypertexte visité" xfId="431" builtinId="9" hidden="1"/>
    <cellStyle name="Lien hypertexte visité" xfId="432" builtinId="9" hidden="1"/>
    <cellStyle name="Lien hypertexte visité" xfId="433" builtinId="9" hidden="1"/>
    <cellStyle name="Lien hypertexte visité" xfId="434" builtinId="9" hidden="1"/>
    <cellStyle name="Lien hypertexte visité" xfId="435" builtinId="9" hidden="1"/>
    <cellStyle name="Lien hypertexte visité" xfId="436" builtinId="9" hidden="1"/>
    <cellStyle name="Lien hypertexte visité" xfId="437" builtinId="9" hidden="1"/>
    <cellStyle name="Lien hypertexte visité" xfId="438" builtinId="9" hidden="1"/>
    <cellStyle name="Lien hypertexte visité" xfId="439" builtinId="9" hidden="1"/>
    <cellStyle name="Lien hypertexte visité" xfId="440" builtinId="9" hidden="1"/>
    <cellStyle name="Lien hypertexte visité" xfId="441" builtinId="9" hidden="1"/>
    <cellStyle name="Lien hypertexte visité" xfId="442" builtinId="9" hidden="1"/>
    <cellStyle name="Lien hypertexte visité" xfId="443" builtinId="9" hidden="1"/>
    <cellStyle name="Lien hypertexte visité" xfId="444" builtinId="9" hidden="1"/>
    <cellStyle name="Lien hypertexte visité" xfId="445" builtinId="9" hidden="1"/>
    <cellStyle name="Lien hypertexte visité" xfId="446" builtinId="9" hidden="1"/>
    <cellStyle name="Lien hypertexte visité" xfId="447" builtinId="9" hidden="1"/>
    <cellStyle name="Lien hypertexte visité" xfId="448" builtinId="9" hidden="1"/>
    <cellStyle name="Lien hypertexte visité" xfId="449" builtinId="9" hidden="1"/>
    <cellStyle name="Lien hypertexte visité" xfId="450" builtinId="9" hidden="1"/>
    <cellStyle name="Lien hypertexte visité" xfId="451" builtinId="9" hidden="1"/>
    <cellStyle name="Lien hypertexte visité" xfId="452" builtinId="9" hidden="1"/>
    <cellStyle name="Lien hypertexte visité" xfId="453" builtinId="9" hidden="1"/>
    <cellStyle name="Lien hypertexte visité" xfId="454" builtinId="9" hidden="1"/>
    <cellStyle name="Lien hypertexte visité" xfId="455" builtinId="9" hidden="1"/>
    <cellStyle name="Lien hypertexte visité" xfId="456" builtinId="9" hidden="1"/>
    <cellStyle name="Lien hypertexte visité" xfId="457" builtinId="9" hidden="1"/>
    <cellStyle name="Lien hypertexte visité" xfId="458" builtinId="9" hidden="1"/>
    <cellStyle name="Lien hypertexte visité" xfId="459" builtinId="9" hidden="1"/>
    <cellStyle name="Lien hypertexte visité" xfId="460" builtinId="9" hidden="1"/>
    <cellStyle name="Lien hypertexte visité" xfId="461" builtinId="9" hidden="1"/>
    <cellStyle name="Lien hypertexte visité" xfId="462" builtinId="9" hidden="1"/>
    <cellStyle name="Lien hypertexte visité" xfId="463" builtinId="9" hidden="1"/>
    <cellStyle name="Lien hypertexte visité" xfId="464" builtinId="9" hidden="1"/>
    <cellStyle name="Lien hypertexte visité" xfId="465" builtinId="9" hidden="1"/>
    <cellStyle name="Lien hypertexte visité" xfId="466" builtinId="9" hidden="1"/>
    <cellStyle name="Lien hypertexte visité" xfId="467" builtinId="9" hidden="1"/>
    <cellStyle name="Lien hypertexte visité" xfId="468" builtinId="9" hidden="1"/>
    <cellStyle name="Lien hypertexte visité" xfId="469" builtinId="9" hidden="1"/>
    <cellStyle name="Lien hypertexte visité" xfId="470" builtinId="9" hidden="1"/>
    <cellStyle name="Lien hypertexte visité" xfId="471" builtinId="9" hidden="1"/>
    <cellStyle name="Lien hypertexte visité" xfId="472" builtinId="9" hidden="1"/>
    <cellStyle name="Lien hypertexte visité" xfId="473" builtinId="9" hidden="1"/>
    <cellStyle name="Lien hypertexte visité" xfId="474" builtinId="9" hidden="1"/>
    <cellStyle name="Lien hypertexte visité" xfId="475" builtinId="9" hidden="1"/>
    <cellStyle name="Lien hypertexte visité" xfId="476" builtinId="9" hidden="1"/>
    <cellStyle name="Lien hypertexte visité" xfId="477" builtinId="9" hidden="1"/>
    <cellStyle name="Lien hypertexte visité" xfId="478" builtinId="9" hidden="1"/>
    <cellStyle name="Lien hypertexte visité" xfId="479" builtinId="9" hidden="1"/>
    <cellStyle name="Lien hypertexte visité" xfId="480" builtinId="9" hidden="1"/>
    <cellStyle name="Lien hypertexte visité" xfId="481" builtinId="9" hidden="1"/>
    <cellStyle name="Lien hypertexte visité" xfId="482" builtinId="9" hidden="1"/>
    <cellStyle name="Lien hypertexte visité" xfId="483" builtinId="9" hidden="1"/>
    <cellStyle name="Lien hypertexte visité" xfId="484" builtinId="9" hidden="1"/>
    <cellStyle name="Lien hypertexte visité" xfId="485" builtinId="9" hidden="1"/>
    <cellStyle name="Lien hypertexte visité" xfId="486" builtinId="9" hidden="1"/>
    <cellStyle name="Lien hypertexte visité" xfId="487" builtinId="9" hidden="1"/>
    <cellStyle name="Lien hypertexte visité" xfId="488" builtinId="9" hidden="1"/>
    <cellStyle name="Lien hypertexte visité" xfId="489" builtinId="9" hidden="1"/>
    <cellStyle name="Lien hypertexte visité" xfId="490" builtinId="9" hidden="1"/>
    <cellStyle name="Lien hypertexte visité" xfId="491" builtinId="9" hidden="1"/>
    <cellStyle name="Lien hypertexte visité" xfId="492" builtinId="9" hidden="1"/>
    <cellStyle name="Lien hypertexte visité" xfId="493" builtinId="9" hidden="1"/>
    <cellStyle name="Lien hypertexte visité" xfId="494" builtinId="9" hidden="1"/>
    <cellStyle name="Lien hypertexte visité" xfId="495" builtinId="9" hidden="1"/>
    <cellStyle name="Lien hypertexte visité" xfId="496" builtinId="9" hidden="1"/>
    <cellStyle name="Lien hypertexte visité" xfId="497" builtinId="9" hidden="1"/>
    <cellStyle name="Lien hypertexte visité" xfId="498" builtinId="9" hidden="1"/>
    <cellStyle name="Lien hypertexte visité" xfId="499" builtinId="9" hidden="1"/>
    <cellStyle name="Lien hypertexte visité" xfId="500" builtinId="9" hidden="1"/>
    <cellStyle name="Lien hypertexte visité" xfId="501" builtinId="9" hidden="1"/>
    <cellStyle name="Lien hypertexte visité" xfId="502" builtinId="9" hidden="1"/>
    <cellStyle name="Lien hypertexte visité" xfId="503" builtinId="9" hidden="1"/>
    <cellStyle name="Lien hypertexte visité" xfId="504" builtinId="9" hidden="1"/>
    <cellStyle name="Lien hypertexte visité" xfId="505" builtinId="9" hidden="1"/>
    <cellStyle name="Lien hypertexte visité" xfId="506" builtinId="9" hidden="1"/>
    <cellStyle name="Lien hypertexte visité" xfId="507" builtinId="9" hidden="1"/>
    <cellStyle name="Lien hypertexte visité" xfId="508" builtinId="9" hidden="1"/>
    <cellStyle name="Lien hypertexte visité" xfId="509" builtinId="9" hidden="1"/>
    <cellStyle name="Lien hypertexte visité" xfId="510" builtinId="9" hidden="1"/>
    <cellStyle name="Lien hypertexte visité" xfId="511" builtinId="9" hidden="1"/>
    <cellStyle name="Lien hypertexte visité" xfId="512" builtinId="9" hidden="1"/>
    <cellStyle name="Lien hypertexte visité" xfId="513" builtinId="9" hidden="1"/>
    <cellStyle name="Lien hypertexte visité" xfId="514" builtinId="9" hidden="1"/>
    <cellStyle name="Lien hypertexte visité" xfId="515" builtinId="9" hidden="1"/>
    <cellStyle name="Lien hypertexte visité" xfId="516" builtinId="9" hidden="1"/>
    <cellStyle name="Lien hypertexte visité" xfId="517" builtinId="9" hidden="1"/>
    <cellStyle name="Lien hypertexte visité" xfId="518" builtinId="9" hidden="1"/>
    <cellStyle name="Lien hypertexte visité" xfId="519" builtinId="9" hidden="1"/>
    <cellStyle name="Lien hypertexte visité" xfId="520" builtinId="9" hidden="1"/>
    <cellStyle name="Lien hypertexte visité" xfId="521" builtinId="9" hidden="1"/>
    <cellStyle name="Lien hypertexte visité" xfId="522" builtinId="9" hidden="1"/>
    <cellStyle name="Lien hypertexte visité" xfId="523" builtinId="9" hidden="1"/>
    <cellStyle name="Lien hypertexte visité" xfId="524" builtinId="9" hidden="1"/>
    <cellStyle name="Lien hypertexte visité" xfId="525" builtinId="9" hidden="1"/>
    <cellStyle name="Lien hypertexte visité" xfId="526" builtinId="9" hidden="1"/>
    <cellStyle name="Lien hypertexte visité" xfId="527" builtinId="9" hidden="1"/>
    <cellStyle name="Lien hypertexte visité" xfId="528" builtinId="9" hidden="1"/>
    <cellStyle name="Lien hypertexte visité" xfId="529" builtinId="9" hidden="1"/>
    <cellStyle name="Lien hypertexte visité" xfId="530" builtinId="9" hidden="1"/>
    <cellStyle name="Lien hypertexte visité" xfId="531" builtinId="9" hidden="1"/>
    <cellStyle name="Lien hypertexte visité" xfId="532" builtinId="9" hidden="1"/>
    <cellStyle name="Lien hypertexte visité" xfId="533" builtinId="9" hidden="1"/>
    <cellStyle name="Lien hypertexte visité" xfId="534" builtinId="9" hidden="1"/>
    <cellStyle name="Lien hypertexte visité" xfId="535" builtinId="9" hidden="1"/>
    <cellStyle name="Lien hypertexte visité" xfId="536" builtinId="9" hidden="1"/>
    <cellStyle name="Lien hypertexte visité" xfId="537" builtinId="9" hidden="1"/>
    <cellStyle name="Lien hypertexte visité" xfId="538" builtinId="9" hidden="1"/>
    <cellStyle name="Lien hypertexte visité" xfId="539" builtinId="9" hidden="1"/>
    <cellStyle name="Lien hypertexte visité" xfId="540" builtinId="9" hidden="1"/>
    <cellStyle name="Lien hypertexte visité" xfId="541" builtinId="9" hidden="1"/>
    <cellStyle name="Lien hypertexte visité" xfId="542" builtinId="9" hidden="1"/>
    <cellStyle name="Lien hypertexte visité" xfId="543" builtinId="9" hidden="1"/>
    <cellStyle name="Lien hypertexte visité" xfId="544" builtinId="9" hidden="1"/>
    <cellStyle name="Lien hypertexte visité" xfId="545" builtinId="9" hidden="1"/>
    <cellStyle name="Lien hypertexte visité" xfId="546" builtinId="9" hidden="1"/>
    <cellStyle name="Lien hypertexte visité" xfId="547" builtinId="9" hidden="1"/>
    <cellStyle name="Lien hypertexte visité" xfId="548" builtinId="9" hidden="1"/>
    <cellStyle name="Lien hypertexte visité" xfId="549" builtinId="9" hidden="1"/>
    <cellStyle name="Lien hypertexte visité" xfId="550" builtinId="9" hidden="1"/>
    <cellStyle name="Lien hypertexte visité" xfId="551" builtinId="9" hidden="1"/>
    <cellStyle name="Lien hypertexte visité" xfId="552" builtinId="9" hidden="1"/>
    <cellStyle name="Lien hypertexte visité" xfId="553" builtinId="9" hidden="1"/>
    <cellStyle name="Lien hypertexte visité" xfId="554" builtinId="9" hidden="1"/>
    <cellStyle name="Lien hypertexte visité" xfId="555" builtinId="9" hidden="1"/>
    <cellStyle name="Lien hypertexte visité" xfId="556" builtinId="9" hidden="1"/>
    <cellStyle name="Lien hypertexte visité" xfId="557" builtinId="9" hidden="1"/>
    <cellStyle name="Lien hypertexte visité" xfId="558" builtinId="9" hidden="1"/>
    <cellStyle name="Lien hypertexte visité" xfId="559" builtinId="9" hidden="1"/>
    <cellStyle name="Lien hypertexte visité" xfId="560" builtinId="9" hidden="1"/>
    <cellStyle name="Lien hypertexte visité" xfId="561" builtinId="9" hidden="1"/>
    <cellStyle name="Lien hypertexte visité" xfId="562" builtinId="9" hidden="1"/>
    <cellStyle name="Lien hypertexte visité" xfId="563" builtinId="9" hidden="1"/>
    <cellStyle name="Lien hypertexte visité" xfId="564" builtinId="9" hidden="1"/>
    <cellStyle name="Lien hypertexte visité" xfId="565" builtinId="9" hidden="1"/>
    <cellStyle name="Lien hypertexte visité" xfId="566" builtinId="9" hidden="1"/>
    <cellStyle name="Lien hypertexte visité" xfId="567" builtinId="9" hidden="1"/>
    <cellStyle name="Lien hypertexte visité" xfId="568" builtinId="9" hidden="1"/>
    <cellStyle name="Lien hypertexte visité" xfId="569" builtinId="9" hidden="1"/>
    <cellStyle name="Lien hypertexte visité" xfId="570" builtinId="9" hidden="1"/>
    <cellStyle name="Lien hypertexte visité" xfId="571" builtinId="9" hidden="1"/>
    <cellStyle name="Lien hypertexte visité" xfId="572" builtinId="9" hidden="1"/>
    <cellStyle name="Lien hypertexte visité" xfId="573" builtinId="9" hidden="1"/>
    <cellStyle name="Lien hypertexte visité" xfId="574" builtinId="9" hidden="1"/>
    <cellStyle name="Lien hypertexte visité" xfId="575" builtinId="9" hidden="1"/>
    <cellStyle name="Lien hypertexte visité" xfId="576" builtinId="9" hidden="1"/>
    <cellStyle name="Lien hypertexte visité" xfId="577" builtinId="9" hidden="1"/>
    <cellStyle name="Lien hypertexte visité" xfId="578" builtinId="9" hidden="1"/>
    <cellStyle name="Lien hypertexte visité" xfId="579" builtinId="9" hidden="1"/>
    <cellStyle name="Lien hypertexte visité" xfId="580" builtinId="9" hidden="1"/>
    <cellStyle name="Lien hypertexte visité" xfId="581" builtinId="9" hidden="1"/>
    <cellStyle name="Lien hypertexte visité" xfId="582" builtinId="9" hidden="1"/>
    <cellStyle name="Lien hypertexte visité" xfId="583" builtinId="9" hidden="1"/>
    <cellStyle name="Lien hypertexte visité" xfId="584" builtinId="9" hidden="1"/>
    <cellStyle name="Lien hypertexte visité" xfId="585" builtinId="9" hidden="1"/>
    <cellStyle name="Lien hypertexte visité" xfId="586" builtinId="9" hidden="1"/>
    <cellStyle name="Lien hypertexte visité" xfId="587" builtinId="9" hidden="1"/>
    <cellStyle name="Lien hypertexte visité" xfId="588" builtinId="9" hidden="1"/>
    <cellStyle name="Lien hypertexte visité" xfId="589" builtinId="9" hidden="1"/>
    <cellStyle name="Lien hypertexte visité" xfId="590" builtinId="9" hidden="1"/>
    <cellStyle name="Lien hypertexte visité" xfId="591" builtinId="9" hidden="1"/>
    <cellStyle name="Lien hypertexte visité" xfId="592" builtinId="9" hidden="1"/>
    <cellStyle name="Lien hypertexte visité" xfId="593" builtinId="9" hidden="1"/>
    <cellStyle name="Lien hypertexte visité" xfId="594" builtinId="9" hidden="1"/>
    <cellStyle name="Lien hypertexte visité" xfId="595" builtinId="9" hidden="1"/>
    <cellStyle name="Lien hypertexte visité" xfId="596" builtinId="9" hidden="1"/>
    <cellStyle name="Lien hypertexte visité" xfId="597" builtinId="9" hidden="1"/>
    <cellStyle name="Lien hypertexte visité" xfId="598" builtinId="9" hidden="1"/>
    <cellStyle name="Lien hypertexte visité" xfId="599" builtinId="9" hidden="1"/>
    <cellStyle name="Lien hypertexte visité" xfId="600" builtinId="9" hidden="1"/>
    <cellStyle name="Lien hypertexte visité" xfId="601" builtinId="9" hidden="1"/>
    <cellStyle name="Lien hypertexte visité" xfId="602" builtinId="9" hidden="1"/>
    <cellStyle name="Lien hypertexte visité" xfId="603" builtinId="9" hidden="1"/>
    <cellStyle name="Lien hypertexte visité" xfId="604" builtinId="9" hidden="1"/>
    <cellStyle name="Lien hypertexte visité" xfId="605" builtinId="9" hidden="1"/>
    <cellStyle name="Lien hypertexte visité" xfId="606" builtinId="9" hidden="1"/>
    <cellStyle name="Lien hypertexte visité" xfId="607" builtinId="9" hidden="1"/>
    <cellStyle name="Lien hypertexte visité" xfId="608" builtinId="9" hidden="1"/>
    <cellStyle name="Lien hypertexte visité" xfId="609" builtinId="9" hidden="1"/>
    <cellStyle name="Lien hypertexte visité" xfId="610" builtinId="9" hidden="1"/>
    <cellStyle name="Lien hypertexte visité" xfId="611" builtinId="9" hidden="1"/>
    <cellStyle name="Lien hypertexte visité" xfId="612" builtinId="9" hidden="1"/>
    <cellStyle name="Lien hypertexte visité" xfId="613" builtinId="9" hidden="1"/>
    <cellStyle name="Lien hypertexte visité" xfId="614" builtinId="9" hidden="1"/>
    <cellStyle name="Lien hypertexte visité" xfId="615" builtinId="9" hidden="1"/>
    <cellStyle name="Lien hypertexte visité" xfId="616" builtinId="9" hidden="1"/>
    <cellStyle name="Lien hypertexte visité" xfId="617" builtinId="9" hidden="1"/>
    <cellStyle name="Lien hypertexte visité" xfId="618" builtinId="9" hidden="1"/>
    <cellStyle name="Lien hypertexte visité" xfId="619" builtinId="9" hidden="1"/>
    <cellStyle name="Lien hypertexte visité" xfId="620" builtinId="9" hidden="1"/>
    <cellStyle name="Lien hypertexte visité" xfId="621" builtinId="9" hidden="1"/>
    <cellStyle name="Lien hypertexte visité" xfId="622" builtinId="9" hidden="1"/>
    <cellStyle name="Lien hypertexte visité" xfId="623" builtinId="9" hidden="1"/>
    <cellStyle name="Lien hypertexte visité" xfId="624" builtinId="9" hidden="1"/>
    <cellStyle name="Lien hypertexte visité" xfId="625" builtinId="9" hidden="1"/>
    <cellStyle name="Lien hypertexte visité" xfId="626" builtinId="9" hidden="1"/>
    <cellStyle name="Lien hypertexte visité" xfId="627" builtinId="9" hidden="1"/>
    <cellStyle name="Lien hypertexte visité" xfId="628" builtinId="9" hidden="1"/>
    <cellStyle name="Lien hypertexte visité" xfId="629" builtinId="9" hidden="1"/>
    <cellStyle name="Lien hypertexte visité" xfId="630" builtinId="9" hidden="1"/>
    <cellStyle name="Lien hypertexte visité" xfId="631" builtinId="9" hidden="1"/>
    <cellStyle name="Lien hypertexte visité" xfId="632" builtinId="9" hidden="1"/>
    <cellStyle name="Lien hypertexte visité" xfId="633" builtinId="9" hidden="1"/>
    <cellStyle name="Lien hypertexte visité" xfId="634" builtinId="9" hidden="1"/>
    <cellStyle name="Lien hypertexte visité" xfId="635" builtinId="9" hidden="1"/>
    <cellStyle name="Lien hypertexte visité" xfId="636" builtinId="9" hidden="1"/>
    <cellStyle name="Lien hypertexte visité" xfId="637" builtinId="9" hidden="1"/>
    <cellStyle name="Lien hypertexte visité" xfId="638" builtinId="9" hidden="1"/>
    <cellStyle name="Lien hypertexte visité" xfId="639" builtinId="9" hidden="1"/>
    <cellStyle name="Lien hypertexte visité" xfId="640" builtinId="9" hidden="1"/>
    <cellStyle name="Lien hypertexte visité" xfId="641" builtinId="9" hidden="1"/>
    <cellStyle name="Lien hypertexte visité" xfId="642" builtinId="9" hidden="1"/>
    <cellStyle name="Lien hypertexte visité" xfId="643" builtinId="9" hidden="1"/>
    <cellStyle name="Lien hypertexte visité" xfId="644" builtinId="9" hidden="1"/>
    <cellStyle name="Lien hypertexte visité" xfId="645" builtinId="9" hidden="1"/>
    <cellStyle name="Lien hypertexte visité" xfId="646" builtinId="9" hidden="1"/>
    <cellStyle name="Lien hypertexte visité" xfId="647" builtinId="9" hidden="1"/>
    <cellStyle name="Lien hypertexte visité" xfId="648" builtinId="9" hidden="1"/>
    <cellStyle name="Lien hypertexte visité" xfId="649" builtinId="9" hidden="1"/>
    <cellStyle name="Lien hypertexte visité" xfId="650" builtinId="9" hidden="1"/>
    <cellStyle name="Lien hypertexte visité" xfId="651" builtinId="9" hidden="1"/>
    <cellStyle name="Lien hypertexte visité" xfId="652" builtinId="9" hidden="1"/>
    <cellStyle name="Lien hypertexte visité" xfId="653" builtinId="9" hidden="1"/>
    <cellStyle name="Lien hypertexte visité" xfId="654" builtinId="9" hidden="1"/>
    <cellStyle name="Lien hypertexte visité" xfId="655" builtinId="9" hidden="1"/>
    <cellStyle name="Lien hypertexte visité" xfId="656" builtinId="9" hidden="1"/>
    <cellStyle name="Lien hypertexte visité" xfId="657" builtinId="9" hidden="1"/>
    <cellStyle name="Lien hypertexte visité" xfId="658" builtinId="9" hidden="1"/>
    <cellStyle name="Lien hypertexte visité" xfId="659" builtinId="9" hidden="1"/>
    <cellStyle name="Lien hypertexte visité" xfId="660" builtinId="9" hidden="1"/>
    <cellStyle name="Lien hypertexte visité" xfId="661" builtinId="9" hidden="1"/>
    <cellStyle name="Lien hypertexte visité" xfId="662" builtinId="9" hidden="1"/>
    <cellStyle name="Lien hypertexte visité" xfId="663" builtinId="9" hidden="1"/>
    <cellStyle name="Lien hypertexte visité" xfId="664" builtinId="9" hidden="1"/>
    <cellStyle name="Lien hypertexte visité" xfId="665" builtinId="9" hidden="1"/>
    <cellStyle name="Lien hypertexte visité" xfId="666" builtinId="9" hidden="1"/>
    <cellStyle name="Lien hypertexte visité" xfId="667" builtinId="9" hidden="1"/>
    <cellStyle name="Lien hypertexte visité" xfId="668" builtinId="9" hidden="1"/>
    <cellStyle name="Lien hypertexte visité" xfId="669" builtinId="9" hidden="1"/>
    <cellStyle name="Lien hypertexte visité" xfId="670" builtinId="9" hidden="1"/>
    <cellStyle name="Lien hypertexte visité" xfId="671" builtinId="9" hidden="1"/>
    <cellStyle name="Lien hypertexte visité" xfId="672" builtinId="9" hidden="1"/>
    <cellStyle name="Lien hypertexte visité" xfId="673" builtinId="9" hidden="1"/>
    <cellStyle name="Lien hypertexte visité" xfId="674" builtinId="9" hidden="1"/>
    <cellStyle name="Lien hypertexte visité" xfId="675" builtinId="9" hidden="1"/>
    <cellStyle name="Lien hypertexte visité" xfId="676" builtinId="9" hidden="1"/>
    <cellStyle name="Lien hypertexte visité" xfId="677" builtinId="9" hidden="1"/>
    <cellStyle name="Lien hypertexte visité" xfId="678" builtinId="9" hidden="1"/>
    <cellStyle name="Lien hypertexte visité" xfId="679" builtinId="9" hidden="1"/>
    <cellStyle name="Lien hypertexte visité" xfId="680" builtinId="9" hidden="1"/>
    <cellStyle name="Lien hypertexte visité" xfId="681" builtinId="9" hidden="1"/>
    <cellStyle name="Lien hypertexte visité" xfId="682" builtinId="9" hidden="1"/>
    <cellStyle name="Lien hypertexte visité" xfId="683" builtinId="9" hidden="1"/>
    <cellStyle name="Lien hypertexte visité" xfId="684" builtinId="9" hidden="1"/>
    <cellStyle name="Lien hypertexte visité" xfId="685" builtinId="9" hidden="1"/>
    <cellStyle name="Lien hypertexte visité" xfId="686" builtinId="9" hidden="1"/>
    <cellStyle name="Lien hypertexte visité" xfId="687" builtinId="9" hidden="1"/>
    <cellStyle name="Lien hypertexte visité" xfId="688" builtinId="9" hidden="1"/>
    <cellStyle name="Lien hypertexte visité" xfId="689" builtinId="9" hidden="1"/>
    <cellStyle name="Lien hypertexte visité" xfId="690" builtinId="9" hidden="1"/>
    <cellStyle name="Lien hypertexte visité" xfId="691" builtinId="9" hidden="1"/>
    <cellStyle name="Lien hypertexte visité" xfId="692" builtinId="9" hidden="1"/>
    <cellStyle name="Lien hypertexte visité" xfId="693" builtinId="9" hidden="1"/>
    <cellStyle name="Lien hypertexte visité" xfId="694" builtinId="9" hidden="1"/>
    <cellStyle name="Lien hypertexte visité" xfId="695" builtinId="9" hidden="1"/>
    <cellStyle name="Lien hypertexte visité" xfId="696" builtinId="9" hidden="1"/>
    <cellStyle name="Lien hypertexte visité" xfId="697" builtinId="9" hidden="1"/>
    <cellStyle name="Lien hypertexte visité" xfId="698" builtinId="9" hidden="1"/>
    <cellStyle name="Lien hypertexte visité" xfId="699" builtinId="9" hidden="1"/>
    <cellStyle name="Lien hypertexte visité" xfId="700" builtinId="9" hidden="1"/>
    <cellStyle name="Lien hypertexte visité" xfId="701" builtinId="9" hidden="1"/>
    <cellStyle name="Lien hypertexte visité" xfId="702" builtinId="9" hidden="1"/>
    <cellStyle name="Lien hypertexte visité" xfId="703" builtinId="9" hidden="1"/>
    <cellStyle name="Lien hypertexte visité" xfId="704" builtinId="9" hidden="1"/>
    <cellStyle name="Lien hypertexte visité" xfId="705" builtinId="9" hidden="1"/>
    <cellStyle name="Lien hypertexte visité" xfId="706" builtinId="9" hidden="1"/>
    <cellStyle name="Lien hypertexte visité" xfId="707" builtinId="9" hidden="1"/>
    <cellStyle name="Lien hypertexte visité" xfId="708" builtinId="9" hidden="1"/>
    <cellStyle name="Lien hypertexte visité" xfId="709" builtinId="9" hidden="1"/>
    <cellStyle name="Lien hypertexte visité" xfId="710" builtinId="9" hidden="1"/>
    <cellStyle name="Lien hypertexte visité" xfId="711" builtinId="9" hidden="1"/>
    <cellStyle name="Lien hypertexte visité" xfId="712" builtinId="9" hidden="1"/>
    <cellStyle name="Lien hypertexte visité" xfId="713" builtinId="9" hidden="1"/>
    <cellStyle name="Lien hypertexte visité" xfId="714" builtinId="9" hidden="1"/>
    <cellStyle name="Lien hypertexte visité" xfId="715" builtinId="9" hidden="1"/>
    <cellStyle name="Lien hypertexte visité" xfId="716" builtinId="9" hidden="1"/>
    <cellStyle name="Lien hypertexte visité" xfId="717" builtinId="9" hidden="1"/>
    <cellStyle name="Lien hypertexte visité" xfId="718" builtinId="9" hidden="1"/>
    <cellStyle name="Lien hypertexte visité" xfId="719" builtinId="9" hidden="1"/>
    <cellStyle name="Lien hypertexte visité" xfId="720" builtinId="9" hidden="1"/>
    <cellStyle name="Lien hypertexte visité" xfId="721" builtinId="9" hidden="1"/>
    <cellStyle name="Lien hypertexte visité" xfId="722" builtinId="9" hidden="1"/>
    <cellStyle name="Lien hypertexte visité" xfId="723" builtinId="9" hidden="1"/>
    <cellStyle name="Lien hypertexte visité" xfId="724" builtinId="9" hidden="1"/>
    <cellStyle name="Lien hypertexte visité" xfId="725" builtinId="9" hidden="1"/>
    <cellStyle name="Lien hypertexte visité" xfId="726" builtinId="9" hidden="1"/>
    <cellStyle name="Lien hypertexte visité" xfId="727" builtinId="9" hidden="1"/>
    <cellStyle name="Lien hypertexte visité" xfId="728" builtinId="9" hidden="1"/>
    <cellStyle name="Lien hypertexte visité" xfId="729" builtinId="9" hidden="1"/>
    <cellStyle name="Lien hypertexte visité" xfId="730" builtinId="9" hidden="1"/>
    <cellStyle name="Lien hypertexte visité" xfId="731" builtinId="9" hidden="1"/>
    <cellStyle name="Lien hypertexte visité" xfId="732" builtinId="9" hidden="1"/>
    <cellStyle name="Lien hypertexte visité" xfId="733" builtinId="9" hidden="1"/>
    <cellStyle name="Lien hypertexte visité" xfId="734" builtinId="9" hidden="1"/>
    <cellStyle name="Lien hypertexte visité" xfId="735" builtinId="9" hidden="1"/>
    <cellStyle name="Lien hypertexte visité" xfId="736" builtinId="9" hidden="1"/>
    <cellStyle name="Lien hypertexte visité" xfId="737" builtinId="9" hidden="1"/>
    <cellStyle name="Lien hypertexte visité" xfId="738" builtinId="9" hidden="1"/>
    <cellStyle name="Lien hypertexte visité" xfId="739" builtinId="9" hidden="1"/>
    <cellStyle name="Lien hypertexte visité" xfId="740" builtinId="9" hidden="1"/>
    <cellStyle name="Lien hypertexte visité" xfId="741" builtinId="9" hidden="1"/>
    <cellStyle name="Lien hypertexte visité" xfId="742" builtinId="9" hidden="1"/>
    <cellStyle name="Lien hypertexte visité" xfId="743" builtinId="9" hidden="1"/>
    <cellStyle name="Lien hypertexte visité" xfId="744" builtinId="9" hidden="1"/>
    <cellStyle name="Lien hypertexte visité" xfId="745" builtinId="9" hidden="1"/>
    <cellStyle name="Lien hypertexte visité" xfId="746" builtinId="9" hidden="1"/>
    <cellStyle name="Lien hypertexte visité" xfId="747" builtinId="9" hidden="1"/>
    <cellStyle name="Lien hypertexte visité" xfId="748" builtinId="9" hidden="1"/>
    <cellStyle name="Lien hypertexte visité" xfId="749" builtinId="9" hidden="1"/>
    <cellStyle name="Lien hypertexte visité" xfId="750" builtinId="9" hidden="1"/>
    <cellStyle name="Lien hypertexte visité" xfId="751" builtinId="9" hidden="1"/>
    <cellStyle name="Lien hypertexte visité" xfId="752" builtinId="9" hidden="1"/>
    <cellStyle name="Lien hypertexte visité" xfId="753" builtinId="9" hidden="1"/>
    <cellStyle name="Lien hypertexte visité" xfId="754" builtinId="9" hidden="1"/>
    <cellStyle name="Lien hypertexte visité" xfId="755" builtinId="9" hidden="1"/>
    <cellStyle name="Lien hypertexte visité" xfId="756" builtinId="9" hidden="1"/>
    <cellStyle name="Lien hypertexte visité" xfId="757" builtinId="9" hidden="1"/>
    <cellStyle name="Lien hypertexte visité" xfId="758" builtinId="9" hidden="1"/>
    <cellStyle name="Lien hypertexte visité" xfId="759" builtinId="9" hidden="1"/>
    <cellStyle name="Lien hypertexte visité" xfId="760" builtinId="9" hidden="1"/>
    <cellStyle name="Lien hypertexte visité" xfId="761" builtinId="9" hidden="1"/>
    <cellStyle name="Lien hypertexte visité" xfId="762" builtinId="9" hidden="1"/>
    <cellStyle name="Lien hypertexte visité" xfId="763" builtinId="9" hidden="1"/>
    <cellStyle name="Lien hypertexte visité" xfId="764" builtinId="9" hidden="1"/>
    <cellStyle name="Lien hypertexte visité" xfId="765" builtinId="9" hidden="1"/>
    <cellStyle name="Lien hypertexte visité" xfId="766" builtinId="9" hidden="1"/>
    <cellStyle name="Lien hypertexte visité" xfId="767" builtinId="9" hidden="1"/>
    <cellStyle name="Lien hypertexte visité" xfId="768" builtinId="9" hidden="1"/>
    <cellStyle name="Lien hypertexte visité" xfId="769" builtinId="9" hidden="1"/>
    <cellStyle name="Lien hypertexte visité" xfId="770" builtinId="9" hidden="1"/>
    <cellStyle name="Lien hypertexte visité" xfId="771" builtinId="9" hidden="1"/>
    <cellStyle name="Lien hypertexte visité" xfId="772" builtinId="9" hidden="1"/>
    <cellStyle name="Lien hypertexte visité" xfId="773" builtinId="9" hidden="1"/>
    <cellStyle name="Lien hypertexte visité" xfId="774" builtinId="9" hidden="1"/>
    <cellStyle name="Lien hypertexte visité" xfId="861" builtinId="9" hidden="1"/>
    <cellStyle name="Lien hypertexte visité" xfId="862" builtinId="9" hidden="1"/>
    <cellStyle name="Lien hypertexte visité" xfId="863" builtinId="9" hidden="1"/>
    <cellStyle name="Lien hypertexte visité" xfId="864" builtinId="9" hidden="1"/>
    <cellStyle name="Lien hypertexte visité" xfId="865" builtinId="9" hidden="1"/>
    <cellStyle name="Lien hypertexte visité" xfId="866" builtinId="9" hidden="1"/>
    <cellStyle name="Lien hypertexte visité" xfId="867" builtinId="9" hidden="1"/>
    <cellStyle name="Lien hypertexte visité" xfId="868" builtinId="9" hidden="1"/>
    <cellStyle name="Lien hypertexte visité" xfId="869" builtinId="9" hidden="1"/>
    <cellStyle name="Lien hypertexte visité" xfId="870" builtinId="9" hidden="1"/>
    <cellStyle name="Lien hypertexte visité" xfId="871" builtinId="9" hidden="1"/>
    <cellStyle name="Lien hypertexte visité" xfId="872" builtinId="9" hidden="1"/>
    <cellStyle name="Lien hypertexte visité" xfId="873" builtinId="9" hidden="1"/>
    <cellStyle name="Lien hypertexte visité" xfId="874" builtinId="9" hidden="1"/>
    <cellStyle name="Lien hypertexte visité" xfId="875" builtinId="9" hidden="1"/>
    <cellStyle name="Lien hypertexte visité" xfId="876" builtinId="9" hidden="1"/>
    <cellStyle name="Lien hypertexte visité" xfId="877" builtinId="9" hidden="1"/>
    <cellStyle name="Lien hypertexte visité" xfId="878" builtinId="9" hidden="1"/>
    <cellStyle name="Lien hypertexte visité" xfId="879" builtinId="9" hidden="1"/>
    <cellStyle name="Lien hypertexte visité" xfId="880" builtinId="9" hidden="1"/>
    <cellStyle name="Lien hypertexte visité" xfId="881" builtinId="9" hidden="1"/>
    <cellStyle name="Lien hypertexte visité" xfId="882" builtinId="9" hidden="1"/>
    <cellStyle name="Lien hypertexte visité" xfId="883" builtinId="9" hidden="1"/>
    <cellStyle name="Lien hypertexte visité" xfId="884" builtinId="9" hidden="1"/>
    <cellStyle name="Lien hypertexte visité" xfId="885" builtinId="9" hidden="1"/>
    <cellStyle name="Lien hypertexte visité" xfId="886" builtinId="9" hidden="1"/>
    <cellStyle name="Lien hypertexte visité" xfId="887" builtinId="9" hidden="1"/>
    <cellStyle name="Lien hypertexte visité" xfId="888" builtinId="9" hidden="1"/>
    <cellStyle name="Lien hypertexte visité" xfId="889" builtinId="9" hidden="1"/>
    <cellStyle name="Lien hypertexte visité" xfId="890" builtinId="9" hidden="1"/>
    <cellStyle name="Lien hypertexte visité" xfId="891" builtinId="9" hidden="1"/>
    <cellStyle name="Lien hypertexte visité" xfId="892" builtinId="9" hidden="1"/>
    <cellStyle name="Lien hypertexte visité" xfId="893" builtinId="9" hidden="1"/>
    <cellStyle name="Lien hypertexte visité" xfId="894" builtinId="9" hidden="1"/>
    <cellStyle name="Lien hypertexte visité" xfId="895" builtinId="9" hidden="1"/>
    <cellStyle name="Lien hypertexte visité" xfId="896" builtinId="9" hidden="1"/>
    <cellStyle name="Lien hypertexte visité" xfId="897" builtinId="9" hidden="1"/>
    <cellStyle name="Lien hypertexte visité" xfId="898" builtinId="9" hidden="1"/>
    <cellStyle name="Lien hypertexte visité" xfId="899" builtinId="9" hidden="1"/>
    <cellStyle name="Lien hypertexte visité" xfId="900" builtinId="9" hidden="1"/>
    <cellStyle name="Lien hypertexte visité" xfId="901" builtinId="9" hidden="1"/>
    <cellStyle name="Lien hypertexte visité" xfId="902" builtinId="9" hidden="1"/>
    <cellStyle name="Lien hypertexte visité" xfId="903" builtinId="9" hidden="1"/>
    <cellStyle name="Lien hypertexte visité" xfId="904" builtinId="9" hidden="1"/>
    <cellStyle name="Lien hypertexte visité" xfId="905" builtinId="9" hidden="1"/>
    <cellStyle name="Lien hypertexte visité" xfId="906" builtinId="9" hidden="1"/>
    <cellStyle name="Lien hypertexte visité" xfId="907" builtinId="9" hidden="1"/>
    <cellStyle name="Lien hypertexte visité" xfId="908" builtinId="9" hidden="1"/>
    <cellStyle name="Lien hypertexte visité" xfId="909" builtinId="9" hidden="1"/>
    <cellStyle name="Lien hypertexte visité" xfId="910" builtinId="9" hidden="1"/>
    <cellStyle name="Lien hypertexte visité" xfId="911" builtinId="9" hidden="1"/>
    <cellStyle name="Lien hypertexte visité" xfId="912" builtinId="9" hidden="1"/>
    <cellStyle name="Lien hypertexte visité" xfId="913" builtinId="9" hidden="1"/>
    <cellStyle name="Lien hypertexte visité" xfId="914" builtinId="9" hidden="1"/>
    <cellStyle name="Lien hypertexte visité" xfId="915" builtinId="9" hidden="1"/>
    <cellStyle name="Lien hypertexte visité" xfId="916" builtinId="9" hidden="1"/>
    <cellStyle name="Lien hypertexte visité" xfId="917" builtinId="9" hidden="1"/>
    <cellStyle name="Lien hypertexte visité" xfId="918" builtinId="9" hidden="1"/>
    <cellStyle name="Lien hypertexte visité" xfId="919" builtinId="9" hidden="1"/>
    <cellStyle name="Lien hypertexte visité" xfId="920" builtinId="9" hidden="1"/>
    <cellStyle name="Lien hypertexte visité" xfId="921" builtinId="9" hidden="1"/>
    <cellStyle name="Lien hypertexte visité" xfId="922" builtinId="9" hidden="1"/>
    <cellStyle name="Lien hypertexte visité" xfId="923" builtinId="9" hidden="1"/>
    <cellStyle name="Lien hypertexte visité" xfId="924" builtinId="9" hidden="1"/>
    <cellStyle name="Lien hypertexte visité" xfId="925" builtinId="9" hidden="1"/>
    <cellStyle name="Lien hypertexte visité" xfId="926" builtinId="9" hidden="1"/>
    <cellStyle name="Lien hypertexte visité" xfId="927" builtinId="9" hidden="1"/>
    <cellStyle name="Lien hypertexte visité" xfId="928" builtinId="9" hidden="1"/>
    <cellStyle name="Lien hypertexte visité" xfId="929" builtinId="9" hidden="1"/>
    <cellStyle name="Lien hypertexte visité" xfId="930" builtinId="9" hidden="1"/>
    <cellStyle name="Lien hypertexte visité" xfId="931" builtinId="9" hidden="1"/>
    <cellStyle name="Lien hypertexte visité" xfId="932" builtinId="9" hidden="1"/>
    <cellStyle name="Lien hypertexte visité" xfId="933" builtinId="9" hidden="1"/>
    <cellStyle name="Lien hypertexte visité" xfId="934" builtinId="9" hidden="1"/>
    <cellStyle name="Lien hypertexte visité" xfId="935" builtinId="9" hidden="1"/>
    <cellStyle name="Lien hypertexte visité" xfId="936" builtinId="9" hidden="1"/>
    <cellStyle name="Lien hypertexte visité" xfId="937" builtinId="9" hidden="1"/>
    <cellStyle name="Lien hypertexte visité" xfId="938" builtinId="9" hidden="1"/>
    <cellStyle name="Lien hypertexte visité" xfId="939" builtinId="9" hidden="1"/>
    <cellStyle name="Lien hypertexte visité" xfId="940" builtinId="9" hidden="1"/>
    <cellStyle name="Lien hypertexte visité" xfId="941" builtinId="9" hidden="1"/>
    <cellStyle name="Lien hypertexte visité" xfId="942" builtinId="9" hidden="1"/>
    <cellStyle name="Lien hypertexte visité" xfId="943" builtinId="9" hidden="1"/>
    <cellStyle name="Lien hypertexte visité" xfId="944" builtinId="9" hidden="1"/>
    <cellStyle name="Lien hypertexte visité" xfId="945" builtinId="9" hidden="1"/>
    <cellStyle name="Lien hypertexte visité" xfId="946" builtinId="9" hidden="1"/>
    <cellStyle name="Lien hypertexte visité" xfId="947" builtinId="9" hidden="1"/>
    <cellStyle name="Lien hypertexte visité" xfId="948" builtinId="9" hidden="1"/>
    <cellStyle name="Lien hypertexte visité" xfId="949" builtinId="9" hidden="1"/>
    <cellStyle name="Lien hypertexte visité" xfId="950" builtinId="9" hidden="1"/>
    <cellStyle name="Lien hypertexte visité" xfId="951" builtinId="9" hidden="1"/>
    <cellStyle name="Lien hypertexte visité" xfId="952" builtinId="9" hidden="1"/>
    <cellStyle name="Lien hypertexte visité" xfId="953" builtinId="9" hidden="1"/>
    <cellStyle name="Lien hypertexte visité" xfId="954" builtinId="9" hidden="1"/>
    <cellStyle name="Lien hypertexte visité" xfId="955" builtinId="9" hidden="1"/>
    <cellStyle name="Lien hypertexte visité" xfId="956" builtinId="9" hidden="1"/>
    <cellStyle name="Lien hypertexte visité" xfId="957" builtinId="9" hidden="1"/>
    <cellStyle name="Lien hypertexte visité" xfId="958" builtinId="9" hidden="1"/>
    <cellStyle name="Lien hypertexte visité" xfId="959" builtinId="9" hidden="1"/>
    <cellStyle name="Lien hypertexte visité" xfId="960" builtinId="9" hidden="1"/>
    <cellStyle name="Lien hypertexte visité" xfId="961" builtinId="9" hidden="1"/>
    <cellStyle name="Lien hypertexte visité" xfId="962" builtinId="9" hidden="1"/>
    <cellStyle name="Lien hypertexte visité" xfId="963" builtinId="9" hidden="1"/>
    <cellStyle name="Lien hypertexte visité" xfId="964" builtinId="9" hidden="1"/>
    <cellStyle name="Lien hypertexte visité" xfId="965" builtinId="9" hidden="1"/>
    <cellStyle name="Lien hypertexte visité" xfId="966" builtinId="9" hidden="1"/>
    <cellStyle name="Lien hypertexte visité" xfId="967" builtinId="9" hidden="1"/>
    <cellStyle name="Lien hypertexte visité" xfId="968" builtinId="9" hidden="1"/>
    <cellStyle name="Lien hypertexte visité" xfId="969" builtinId="9" hidden="1"/>
    <cellStyle name="Lien hypertexte visité" xfId="970" builtinId="9" hidden="1"/>
    <cellStyle name="Lien hypertexte visité" xfId="971" builtinId="9" hidden="1"/>
    <cellStyle name="Lien hypertexte visité" xfId="972" builtinId="9" hidden="1"/>
    <cellStyle name="Lien hypertexte visité" xfId="973" builtinId="9" hidden="1"/>
    <cellStyle name="Lien hypertexte visité" xfId="974" builtinId="9" hidden="1"/>
    <cellStyle name="Lien hypertexte visité" xfId="975" builtinId="9" hidden="1"/>
    <cellStyle name="Lien hypertexte visité" xfId="976" builtinId="9" hidden="1"/>
    <cellStyle name="Lien hypertexte visité" xfId="977" builtinId="9" hidden="1"/>
    <cellStyle name="Lien hypertexte visité" xfId="978" builtinId="9" hidden="1"/>
    <cellStyle name="Lien hypertexte visité" xfId="979" builtinId="9" hidden="1"/>
    <cellStyle name="Lien hypertexte visité" xfId="980" builtinId="9" hidden="1"/>
    <cellStyle name="Lien hypertexte visité" xfId="981" builtinId="9" hidden="1"/>
    <cellStyle name="Lien hypertexte visité" xfId="982" builtinId="9" hidden="1"/>
    <cellStyle name="Lien hypertexte visité" xfId="983" builtinId="9" hidden="1"/>
    <cellStyle name="Lien hypertexte visité" xfId="984" builtinId="9" hidden="1"/>
    <cellStyle name="Lien hypertexte visité" xfId="985" builtinId="9" hidden="1"/>
    <cellStyle name="Lien hypertexte visité" xfId="986" builtinId="9" hidden="1"/>
    <cellStyle name="Lien hypertexte visité" xfId="987" builtinId="9" hidden="1"/>
    <cellStyle name="Lien hypertexte visité" xfId="988" builtinId="9" hidden="1"/>
    <cellStyle name="Lien hypertexte visité" xfId="989" builtinId="9" hidden="1"/>
    <cellStyle name="Lien hypertexte visité" xfId="990" builtinId="9" hidden="1"/>
    <cellStyle name="Lien hypertexte visité" xfId="991" builtinId="9" hidden="1"/>
    <cellStyle name="Lien hypertexte visité" xfId="992" builtinId="9" hidden="1"/>
    <cellStyle name="Lien hypertexte visité" xfId="993" builtinId="9" hidden="1"/>
    <cellStyle name="Lien hypertexte visité" xfId="994" builtinId="9" hidden="1"/>
    <cellStyle name="Lien hypertexte visité" xfId="995" builtinId="9" hidden="1"/>
    <cellStyle name="Lien hypertexte visité" xfId="996" builtinId="9" hidden="1"/>
    <cellStyle name="Lien hypertexte visité" xfId="997" builtinId="9" hidden="1"/>
    <cellStyle name="Lien hypertexte visité" xfId="998" builtinId="9" hidden="1"/>
    <cellStyle name="Lien hypertexte visité" xfId="999" builtinId="9" hidden="1"/>
    <cellStyle name="Lien hypertexte visité" xfId="1000" builtinId="9" hidden="1"/>
    <cellStyle name="Lien hypertexte visité" xfId="1001" builtinId="9" hidden="1"/>
    <cellStyle name="Lien hypertexte visité" xfId="1002" builtinId="9" hidden="1"/>
    <cellStyle name="Lien hypertexte visité" xfId="1003" builtinId="9" hidden="1"/>
    <cellStyle name="Lien hypertexte visité" xfId="1004" builtinId="9" hidden="1"/>
    <cellStyle name="Lien hypertexte visité" xfId="1005" builtinId="9" hidden="1"/>
    <cellStyle name="Lien hypertexte visité" xfId="1006" builtinId="9" hidden="1"/>
    <cellStyle name="Lien hypertexte visité" xfId="1007" builtinId="9" hidden="1"/>
    <cellStyle name="Lien hypertexte visité" xfId="1008" builtinId="9" hidden="1"/>
    <cellStyle name="Lien hypertexte visité" xfId="1009" builtinId="9" hidden="1"/>
    <cellStyle name="Lien hypertexte visité" xfId="1010" builtinId="9" hidden="1"/>
    <cellStyle name="Lien hypertexte visité" xfId="1011" builtinId="9" hidden="1"/>
    <cellStyle name="Lien hypertexte visité" xfId="1012" builtinId="9" hidden="1"/>
    <cellStyle name="Lien hypertexte visité" xfId="1013" builtinId="9" hidden="1"/>
    <cellStyle name="Lien hypertexte visité" xfId="1014" builtinId="9" hidden="1"/>
    <cellStyle name="Lien hypertexte visité" xfId="1015" builtinId="9" hidden="1"/>
    <cellStyle name="Lien hypertexte visité" xfId="1016" builtinId="9" hidden="1"/>
    <cellStyle name="Lien hypertexte visité" xfId="1017" builtinId="9" hidden="1"/>
    <cellStyle name="Lien hypertexte visité" xfId="1018" builtinId="9" hidden="1"/>
    <cellStyle name="Lien hypertexte visité" xfId="1019" builtinId="9" hidden="1"/>
    <cellStyle name="Lien hypertexte visité" xfId="1020" builtinId="9" hidden="1"/>
    <cellStyle name="Lien hypertexte visité" xfId="1021" builtinId="9" hidden="1"/>
    <cellStyle name="Lien hypertexte visité" xfId="1022" builtinId="9" hidden="1"/>
    <cellStyle name="Lien hypertexte visité" xfId="1023" builtinId="9" hidden="1"/>
    <cellStyle name="Lien hypertexte visité" xfId="1024" builtinId="9" hidden="1"/>
    <cellStyle name="Lien hypertexte visité" xfId="1025" builtinId="9" hidden="1"/>
    <cellStyle name="Lien hypertexte visité" xfId="1026" builtinId="9" hidden="1"/>
    <cellStyle name="Lien hypertexte visité" xfId="1027" builtinId="9" hidden="1"/>
    <cellStyle name="Lien hypertexte visité" xfId="1028" builtinId="9" hidden="1"/>
    <cellStyle name="Lien hypertexte visité" xfId="1029" builtinId="9" hidden="1"/>
    <cellStyle name="Lien hypertexte visité" xfId="1030" builtinId="9" hidden="1"/>
    <cellStyle name="Lien hypertexte visité" xfId="1031" builtinId="9" hidden="1"/>
    <cellStyle name="Lien hypertexte visité" xfId="1032" builtinId="9" hidden="1"/>
    <cellStyle name="Lien hypertexte visité" xfId="1033" builtinId="9" hidden="1"/>
    <cellStyle name="Lien hypertexte visité" xfId="1034" builtinId="9" hidden="1"/>
    <cellStyle name="Lien hypertexte visité" xfId="1035" builtinId="9" hidden="1"/>
    <cellStyle name="Lien hypertexte visité" xfId="1036" builtinId="9" hidden="1"/>
    <cellStyle name="Lien hypertexte visité" xfId="1037" builtinId="9" hidden="1"/>
    <cellStyle name="Lien hypertexte visité" xfId="1038" builtinId="9" hidden="1"/>
    <cellStyle name="Lien hypertexte visité" xfId="1039" builtinId="9" hidden="1"/>
    <cellStyle name="Lien hypertexte visité" xfId="1040" builtinId="9" hidden="1"/>
    <cellStyle name="Lien hypertexte visité" xfId="1041" builtinId="9" hidden="1"/>
    <cellStyle name="Lien hypertexte visité" xfId="1042" builtinId="9" hidden="1"/>
    <cellStyle name="Lien hypertexte visité" xfId="1043" builtinId="9" hidden="1"/>
    <cellStyle name="Lien hypertexte visité" xfId="1044" builtinId="9" hidden="1"/>
    <cellStyle name="Lien hypertexte visité" xfId="1045" builtinId="9" hidden="1"/>
    <cellStyle name="Lien hypertexte visité" xfId="1046" builtinId="9" hidden="1"/>
    <cellStyle name="Lien hypertexte visité" xfId="1047" builtinId="9" hidden="1"/>
    <cellStyle name="Lien hypertexte visité" xfId="1048" builtinId="9" hidden="1"/>
    <cellStyle name="Lien hypertexte visité" xfId="1049" builtinId="9" hidden="1"/>
    <cellStyle name="Lien hypertexte visité" xfId="1050" builtinId="9" hidden="1"/>
    <cellStyle name="Lien hypertexte visité" xfId="1051" builtinId="9" hidden="1"/>
    <cellStyle name="Lien hypertexte visité" xfId="1052" builtinId="9" hidden="1"/>
    <cellStyle name="Lien hypertexte visité" xfId="1053" builtinId="9" hidden="1"/>
    <cellStyle name="Lien hypertexte visité" xfId="1054" builtinId="9" hidden="1"/>
    <cellStyle name="Lien hypertexte visité" xfId="1055" builtinId="9" hidden="1"/>
    <cellStyle name="Lien hypertexte visité" xfId="1056" builtinId="9" hidden="1"/>
    <cellStyle name="Lien hypertexte visité" xfId="1057" builtinId="9" hidden="1"/>
    <cellStyle name="Lien hypertexte visité" xfId="1058" builtinId="9" hidden="1"/>
    <cellStyle name="Lien hypertexte visité" xfId="1059" builtinId="9" hidden="1"/>
    <cellStyle name="Lien hypertexte visité" xfId="1060" builtinId="9" hidden="1"/>
    <cellStyle name="Lien hypertexte visité" xfId="1061" builtinId="9" hidden="1"/>
    <cellStyle name="Lien hypertexte visité" xfId="1062" builtinId="9" hidden="1"/>
    <cellStyle name="Lien hypertexte visité" xfId="1063" builtinId="9" hidden="1"/>
    <cellStyle name="Lien hypertexte visité" xfId="1064" builtinId="9" hidden="1"/>
    <cellStyle name="Lien hypertexte visité" xfId="1065" builtinId="9" hidden="1"/>
    <cellStyle name="Lien hypertexte visité" xfId="1066" builtinId="9" hidden="1"/>
    <cellStyle name="Lien hypertexte visité" xfId="1067" builtinId="9" hidden="1"/>
    <cellStyle name="Lien hypertexte visité" xfId="1068" builtinId="9" hidden="1"/>
    <cellStyle name="Lien hypertexte visité" xfId="1069" builtinId="9" hidden="1"/>
    <cellStyle name="Lien hypertexte visité" xfId="1070" builtinId="9" hidden="1"/>
    <cellStyle name="Lien hypertexte visité" xfId="1071" builtinId="9" hidden="1"/>
    <cellStyle name="Lien hypertexte visité" xfId="1072" builtinId="9" hidden="1"/>
    <cellStyle name="Lien hypertexte visité" xfId="1073" builtinId="9" hidden="1"/>
    <cellStyle name="Lien hypertexte visité" xfId="1074" builtinId="9" hidden="1"/>
    <cellStyle name="Lien hypertexte visité" xfId="1075" builtinId="9" hidden="1"/>
    <cellStyle name="Lien hypertexte visité" xfId="1076" builtinId="9" hidden="1"/>
    <cellStyle name="Lien hypertexte visité" xfId="1077" builtinId="9" hidden="1"/>
    <cellStyle name="Lien hypertexte visité" xfId="1078" builtinId="9" hidden="1"/>
    <cellStyle name="Lien hypertexte visité" xfId="1079" builtinId="9" hidden="1"/>
    <cellStyle name="Lien hypertexte visité" xfId="1080" builtinId="9" hidden="1"/>
    <cellStyle name="Lien hypertexte visité" xfId="1081" builtinId="9" hidden="1"/>
    <cellStyle name="Lien hypertexte visité" xfId="1082" builtinId="9" hidden="1"/>
    <cellStyle name="Lien hypertexte visité" xfId="1083" builtinId="9" hidden="1"/>
    <cellStyle name="Lien hypertexte visité" xfId="1084" builtinId="9" hidden="1"/>
    <cellStyle name="Lien hypertexte visité" xfId="1085" builtinId="9" hidden="1"/>
    <cellStyle name="Lien hypertexte visité" xfId="1086" builtinId="9" hidden="1"/>
    <cellStyle name="Lien hypertexte visité" xfId="1087" builtinId="9" hidden="1"/>
    <cellStyle name="Lien hypertexte visité" xfId="1088" builtinId="9" hidden="1"/>
    <cellStyle name="Lien hypertexte visité" xfId="1089" builtinId="9" hidden="1"/>
    <cellStyle name="Lien hypertexte visité" xfId="1090" builtinId="9" hidden="1"/>
    <cellStyle name="Lien hypertexte visité" xfId="1091" builtinId="9" hidden="1"/>
    <cellStyle name="Lien hypertexte visité" xfId="1092" builtinId="9" hidden="1"/>
    <cellStyle name="Lien hypertexte visité" xfId="1093" builtinId="9" hidden="1"/>
    <cellStyle name="Lien hypertexte visité" xfId="1094" builtinId="9" hidden="1"/>
    <cellStyle name="Lien hypertexte visité" xfId="1095" builtinId="9" hidden="1"/>
    <cellStyle name="Lien hypertexte visité" xfId="1096" builtinId="9" hidden="1"/>
    <cellStyle name="Lien hypertexte visité" xfId="1097" builtinId="9" hidden="1"/>
    <cellStyle name="Lien hypertexte visité" xfId="1098" builtinId="9" hidden="1"/>
    <cellStyle name="Lien hypertexte visité" xfId="1099" builtinId="9" hidden="1"/>
    <cellStyle name="Lien hypertexte visité" xfId="1100" builtinId="9" hidden="1"/>
    <cellStyle name="Lien hypertexte visité" xfId="1101" builtinId="9" hidden="1"/>
    <cellStyle name="Lien hypertexte visité" xfId="1102" builtinId="9" hidden="1"/>
    <cellStyle name="Lien hypertexte visité" xfId="1103" builtinId="9" hidden="1"/>
    <cellStyle name="Lien hypertexte visité" xfId="1104" builtinId="9" hidden="1"/>
    <cellStyle name="Lien hypertexte visité" xfId="1105" builtinId="9" hidden="1"/>
    <cellStyle name="Lien hypertexte visité" xfId="1106" builtinId="9" hidden="1"/>
    <cellStyle name="Lien hypertexte visité" xfId="1107" builtinId="9" hidden="1"/>
    <cellStyle name="Lien hypertexte visité" xfId="1108" builtinId="9" hidden="1"/>
    <cellStyle name="Lien hypertexte visité" xfId="1109" builtinId="9" hidden="1"/>
    <cellStyle name="Lien hypertexte visité" xfId="1110" builtinId="9" hidden="1"/>
    <cellStyle name="Lien hypertexte visité" xfId="1111" builtinId="9" hidden="1"/>
    <cellStyle name="Lien hypertexte visité" xfId="1112" builtinId="9" hidden="1"/>
    <cellStyle name="Lien hypertexte visité" xfId="1113" builtinId="9" hidden="1"/>
    <cellStyle name="Lien hypertexte visité" xfId="1114" builtinId="9" hidden="1"/>
    <cellStyle name="Lien hypertexte visité" xfId="1115" builtinId="9" hidden="1"/>
    <cellStyle name="Lien hypertexte visité" xfId="1116" builtinId="9" hidden="1"/>
    <cellStyle name="Lien hypertexte visité" xfId="1117" builtinId="9" hidden="1"/>
    <cellStyle name="Lien hypertexte visité" xfId="1118" builtinId="9" hidden="1"/>
    <cellStyle name="Lien hypertexte visité" xfId="1119" builtinId="9" hidden="1"/>
    <cellStyle name="Lien hypertexte visité" xfId="1120" builtinId="9" hidden="1"/>
    <cellStyle name="Lien hypertexte visité" xfId="1121" builtinId="9" hidden="1"/>
    <cellStyle name="Lien hypertexte visité" xfId="1122" builtinId="9" hidden="1"/>
    <cellStyle name="Lien hypertexte visité" xfId="1123" builtinId="9" hidden="1"/>
    <cellStyle name="Lien hypertexte visité" xfId="1124" builtinId="9" hidden="1"/>
    <cellStyle name="Lien hypertexte visité" xfId="1125" builtinId="9" hidden="1"/>
    <cellStyle name="Lien hypertexte visité" xfId="1126" builtinId="9" hidden="1"/>
    <cellStyle name="Lien hypertexte visité" xfId="1127" builtinId="9" hidden="1"/>
    <cellStyle name="Lien hypertexte visité" xfId="1128" builtinId="9" hidden="1"/>
    <cellStyle name="Lien hypertexte visité" xfId="1129" builtinId="9" hidden="1"/>
    <cellStyle name="Lien hypertexte visité" xfId="1130" builtinId="9" hidden="1"/>
    <cellStyle name="Lien hypertexte visité" xfId="1131" builtinId="9" hidden="1"/>
    <cellStyle name="Lien hypertexte visité" xfId="1132" builtinId="9" hidden="1"/>
    <cellStyle name="Lien hypertexte visité" xfId="1133" builtinId="9" hidden="1"/>
    <cellStyle name="Lien hypertexte visité" xfId="1134" builtinId="9" hidden="1"/>
    <cellStyle name="Lien hypertexte visité" xfId="1135" builtinId="9" hidden="1"/>
    <cellStyle name="Lien hypertexte visité" xfId="1136" builtinId="9" hidden="1"/>
    <cellStyle name="Lien hypertexte visité" xfId="1137" builtinId="9" hidden="1"/>
    <cellStyle name="Lien hypertexte visité" xfId="1138" builtinId="9" hidden="1"/>
    <cellStyle name="Lien hypertexte visité" xfId="1139" builtinId="9" hidden="1"/>
    <cellStyle name="Lien hypertexte visité" xfId="1140" builtinId="9" hidden="1"/>
    <cellStyle name="Lien hypertexte visité" xfId="1141" builtinId="9" hidden="1"/>
    <cellStyle name="Lien hypertexte visité" xfId="1142" builtinId="9" hidden="1"/>
    <cellStyle name="Lien hypertexte visité" xfId="1143" builtinId="9" hidden="1"/>
    <cellStyle name="Lien hypertexte visité" xfId="1144" builtinId="9" hidden="1"/>
    <cellStyle name="Lien hypertexte visité" xfId="1145" builtinId="9" hidden="1"/>
    <cellStyle name="Lien hypertexte visité" xfId="1146" builtinId="9" hidden="1"/>
    <cellStyle name="Lien hypertexte visité" xfId="1147" builtinId="9" hidden="1"/>
    <cellStyle name="Lien hypertexte visité" xfId="1148" builtinId="9" hidden="1"/>
    <cellStyle name="Lien hypertexte visité" xfId="1149" builtinId="9" hidden="1"/>
    <cellStyle name="Lien hypertexte visité" xfId="1150" builtinId="9" hidden="1"/>
    <cellStyle name="Lien hypertexte visité" xfId="1151" builtinId="9" hidden="1"/>
    <cellStyle name="Lien hypertexte visité" xfId="1152" builtinId="9" hidden="1"/>
    <cellStyle name="Lien hypertexte visité" xfId="1153" builtinId="9" hidden="1"/>
    <cellStyle name="Lien hypertexte visité" xfId="1154" builtinId="9" hidden="1"/>
    <cellStyle name="Lien hypertexte visité" xfId="1155" builtinId="9" hidden="1"/>
    <cellStyle name="Lien hypertexte visité" xfId="1156" builtinId="9" hidden="1"/>
    <cellStyle name="Lien hypertexte visité" xfId="1157" builtinId="9" hidden="1"/>
    <cellStyle name="Lien hypertexte visité" xfId="1158" builtinId="9" hidden="1"/>
    <cellStyle name="Lien hypertexte visité" xfId="1159" builtinId="9" hidden="1"/>
    <cellStyle name="Lien hypertexte visité" xfId="1160" builtinId="9" hidden="1"/>
    <cellStyle name="Lien hypertexte visité" xfId="1161" builtinId="9" hidden="1"/>
    <cellStyle name="Lien hypertexte visité" xfId="1162" builtinId="9" hidden="1"/>
    <cellStyle name="Lien hypertexte visité" xfId="1163" builtinId="9" hidden="1"/>
    <cellStyle name="Lien hypertexte visité" xfId="1164" builtinId="9" hidden="1"/>
    <cellStyle name="Lien hypertexte visité" xfId="1165" builtinId="9" hidden="1"/>
    <cellStyle name="Lien hypertexte visité" xfId="1166" builtinId="9" hidden="1"/>
    <cellStyle name="Lien hypertexte visité" xfId="1167" builtinId="9" hidden="1"/>
    <cellStyle name="Lien hypertexte visité" xfId="1168" builtinId="9" hidden="1"/>
    <cellStyle name="Lien hypertexte visité" xfId="1169" builtinId="9" hidden="1"/>
    <cellStyle name="Lien hypertexte visité" xfId="1170" builtinId="9" hidden="1"/>
    <cellStyle name="Lien hypertexte visité" xfId="1171" builtinId="9" hidden="1"/>
    <cellStyle name="Lien hypertexte visité" xfId="1172" builtinId="9" hidden="1"/>
    <cellStyle name="Lien hypertexte visité" xfId="1173" builtinId="9" hidden="1"/>
    <cellStyle name="Lien hypertexte visité" xfId="1174" builtinId="9" hidden="1"/>
    <cellStyle name="Lien hypertexte visité" xfId="1175" builtinId="9" hidden="1"/>
    <cellStyle name="Lien hypertexte visité" xfId="1176" builtinId="9" hidden="1"/>
    <cellStyle name="Lien hypertexte visité" xfId="1177" builtinId="9" hidden="1"/>
    <cellStyle name="Lien hypertexte visité" xfId="1178" builtinId="9" hidden="1"/>
    <cellStyle name="Lien hypertexte visité" xfId="1179" builtinId="9" hidden="1"/>
    <cellStyle name="Lien hypertexte visité" xfId="1180" builtinId="9" hidden="1"/>
    <cellStyle name="Lien hypertexte visité" xfId="1181" builtinId="9" hidden="1"/>
    <cellStyle name="Lien hypertexte visité" xfId="1182" builtinId="9" hidden="1"/>
    <cellStyle name="Lien hypertexte visité" xfId="1183" builtinId="9" hidden="1"/>
    <cellStyle name="Lien hypertexte visité" xfId="1184" builtinId="9" hidden="1"/>
    <cellStyle name="Lien hypertexte visité" xfId="1185" builtinId="9" hidden="1"/>
    <cellStyle name="Lien hypertexte visité" xfId="1186" builtinId="9" hidden="1"/>
    <cellStyle name="Lien hypertexte visité" xfId="1187" builtinId="9" hidden="1"/>
    <cellStyle name="Lien hypertexte visité" xfId="1188" builtinId="9" hidden="1"/>
    <cellStyle name="Lien hypertexte visité" xfId="1189" builtinId="9" hidden="1"/>
    <cellStyle name="Lien hypertexte visité" xfId="1190" builtinId="9" hidden="1"/>
    <cellStyle name="Lien hypertexte visité" xfId="1191" builtinId="9" hidden="1"/>
    <cellStyle name="Lien hypertexte visité" xfId="1192" builtinId="9" hidden="1"/>
    <cellStyle name="Lien hypertexte visité" xfId="1193" builtinId="9" hidden="1"/>
    <cellStyle name="Lien hypertexte visité" xfId="1194" builtinId="9" hidden="1"/>
    <cellStyle name="Lien hypertexte visité" xfId="1195" builtinId="9" hidden="1"/>
    <cellStyle name="Lien hypertexte visité" xfId="1196" builtinId="9" hidden="1"/>
    <cellStyle name="Lien hypertexte visité" xfId="1197" builtinId="9" hidden="1"/>
    <cellStyle name="Lien hypertexte visité" xfId="1198" builtinId="9" hidden="1"/>
    <cellStyle name="Lien hypertexte visité" xfId="1199" builtinId="9" hidden="1"/>
    <cellStyle name="Lien hypertexte visité" xfId="1200" builtinId="9" hidden="1"/>
    <cellStyle name="Lien hypertexte visité" xfId="1201" builtinId="9" hidden="1"/>
    <cellStyle name="Lien hypertexte visité" xfId="1202" builtinId="9" hidden="1"/>
    <cellStyle name="Lien hypertexte visité" xfId="1203" builtinId="9" hidden="1"/>
    <cellStyle name="Lien hypertexte visité" xfId="1204" builtinId="9" hidden="1"/>
    <cellStyle name="Lien hypertexte visité" xfId="1205" builtinId="9" hidden="1"/>
    <cellStyle name="Lien hypertexte visité" xfId="1206" builtinId="9" hidden="1"/>
    <cellStyle name="Lien hypertexte visité" xfId="1207" builtinId="9" hidden="1"/>
    <cellStyle name="Lien hypertexte visité" xfId="1208" builtinId="9" hidden="1"/>
    <cellStyle name="Lien hypertexte visité" xfId="1209" builtinId="9" hidden="1"/>
    <cellStyle name="Lien hypertexte visité" xfId="1210" builtinId="9" hidden="1"/>
    <cellStyle name="Lien hypertexte visité" xfId="1211" builtinId="9" hidden="1"/>
    <cellStyle name="Lien hypertexte visité" xfId="1212" builtinId="9" hidden="1"/>
    <cellStyle name="Lien hypertexte visité" xfId="1213" builtinId="9" hidden="1"/>
    <cellStyle name="Lien hypertexte visité" xfId="1214" builtinId="9" hidden="1"/>
    <cellStyle name="Lien hypertexte visité" xfId="1215" builtinId="9" hidden="1"/>
    <cellStyle name="Lien hypertexte visité" xfId="1216" builtinId="9" hidden="1"/>
    <cellStyle name="Lien hypertexte visité" xfId="1217" builtinId="9" hidden="1"/>
    <cellStyle name="Lien hypertexte visité" xfId="1218" builtinId="9" hidden="1"/>
    <cellStyle name="Lien hypertexte visité" xfId="1219" builtinId="9" hidden="1"/>
    <cellStyle name="Lien hypertexte visité" xfId="1220" builtinId="9" hidden="1"/>
    <cellStyle name="Lien hypertexte visité" xfId="1221" builtinId="9" hidden="1"/>
    <cellStyle name="Lien hypertexte visité" xfId="1222" builtinId="9" hidden="1"/>
    <cellStyle name="Lien hypertexte visité" xfId="1223" builtinId="9" hidden="1"/>
    <cellStyle name="Lien hypertexte visité" xfId="1224" builtinId="9" hidden="1"/>
    <cellStyle name="Lien hypertexte visité" xfId="1225" builtinId="9" hidden="1"/>
    <cellStyle name="Lien hypertexte visité" xfId="1226" builtinId="9" hidden="1"/>
    <cellStyle name="Lien hypertexte visité" xfId="1227" builtinId="9" hidden="1"/>
    <cellStyle name="Lien hypertexte visité" xfId="1228" builtinId="9" hidden="1"/>
    <cellStyle name="Lien hypertexte visité" xfId="1229" builtinId="9" hidden="1"/>
    <cellStyle name="Lien hypertexte visité" xfId="1230" builtinId="9" hidden="1"/>
    <cellStyle name="Lien hypertexte visité" xfId="1231" builtinId="9" hidden="1"/>
    <cellStyle name="Lien hypertexte visité" xfId="1232" builtinId="9" hidden="1"/>
    <cellStyle name="Lien hypertexte visité" xfId="1233" builtinId="9" hidden="1"/>
    <cellStyle name="Lien hypertexte visité" xfId="1234" builtinId="9" hidden="1"/>
    <cellStyle name="Lien hypertexte visité" xfId="1235" builtinId="9" hidden="1"/>
    <cellStyle name="Lien hypertexte visité" xfId="1236" builtinId="9" hidden="1"/>
    <cellStyle name="Lien hypertexte visité" xfId="1237" builtinId="9" hidden="1"/>
    <cellStyle name="Lien hypertexte visité" xfId="1238" builtinId="9" hidden="1"/>
    <cellStyle name="Lien hypertexte visité" xfId="1239" builtinId="9" hidden="1"/>
    <cellStyle name="Lien hypertexte visité" xfId="1240" builtinId="9" hidden="1"/>
    <cellStyle name="Lien hypertexte visité" xfId="1241" builtinId="9" hidden="1"/>
    <cellStyle name="Lien hypertexte visité" xfId="1242" builtinId="9" hidden="1"/>
    <cellStyle name="Lien hypertexte visité" xfId="1243" builtinId="9" hidden="1"/>
    <cellStyle name="Lien hypertexte visité" xfId="1244" builtinId="9" hidden="1"/>
    <cellStyle name="Lien hypertexte visité" xfId="1245" builtinId="9" hidden="1"/>
    <cellStyle name="Lien hypertexte visité" xfId="1246" builtinId="9" hidden="1"/>
    <cellStyle name="Lien hypertexte visité" xfId="1247" builtinId="9" hidden="1"/>
    <cellStyle name="Lien hypertexte visité" xfId="1248" builtinId="9" hidden="1"/>
    <cellStyle name="Lien hypertexte visité" xfId="1249" builtinId="9" hidden="1"/>
    <cellStyle name="Lien hypertexte visité" xfId="1250" builtinId="9" hidden="1"/>
    <cellStyle name="Lien hypertexte visité" xfId="1251" builtinId="9" hidden="1"/>
    <cellStyle name="Lien hypertexte visité" xfId="1252" builtinId="9" hidden="1"/>
    <cellStyle name="Lien hypertexte visité" xfId="1253" builtinId="9" hidden="1"/>
    <cellStyle name="Lien hypertexte visité" xfId="1254" builtinId="9" hidden="1"/>
    <cellStyle name="Lien hypertexte visité" xfId="1255" builtinId="9" hidden="1"/>
    <cellStyle name="Lien hypertexte visité" xfId="1256" builtinId="9" hidden="1"/>
    <cellStyle name="Lien hypertexte visité" xfId="1257" builtinId="9" hidden="1"/>
    <cellStyle name="Lien hypertexte visité" xfId="1258" builtinId="9" hidden="1"/>
    <cellStyle name="Lien hypertexte visité" xfId="1259" builtinId="9" hidden="1"/>
    <cellStyle name="Lien hypertexte visité" xfId="1260" builtinId="9" hidden="1"/>
    <cellStyle name="Lien hypertexte visité" xfId="1261" builtinId="9" hidden="1"/>
    <cellStyle name="Lien hypertexte visité" xfId="1262" builtinId="9" hidden="1"/>
    <cellStyle name="Lien hypertexte visité" xfId="1263" builtinId="9" hidden="1"/>
    <cellStyle name="Lien hypertexte visité" xfId="1264" builtinId="9" hidden="1"/>
    <cellStyle name="Lien hypertexte visité" xfId="1265" builtinId="9" hidden="1"/>
    <cellStyle name="Lien hypertexte visité" xfId="1266" builtinId="9" hidden="1"/>
    <cellStyle name="Lien hypertexte visité" xfId="1267" builtinId="9" hidden="1"/>
    <cellStyle name="Lien hypertexte visité" xfId="1268" builtinId="9" hidden="1"/>
    <cellStyle name="Lien hypertexte visité" xfId="1269" builtinId="9" hidden="1"/>
    <cellStyle name="Lien hypertexte visité" xfId="1270" builtinId="9" hidden="1"/>
    <cellStyle name="Lien hypertexte visité" xfId="1271" builtinId="9" hidden="1"/>
    <cellStyle name="Lien hypertexte visité" xfId="1272" builtinId="9" hidden="1"/>
    <cellStyle name="Lien hypertexte visité" xfId="1273" builtinId="9" hidden="1"/>
    <cellStyle name="Lien hypertexte visité" xfId="1274" builtinId="9" hidden="1"/>
    <cellStyle name="Lien hypertexte visité" xfId="1275" builtinId="9" hidden="1"/>
    <cellStyle name="Lien hypertexte visité" xfId="1276" builtinId="9" hidden="1"/>
    <cellStyle name="Lien hypertexte visité" xfId="1277" builtinId="9" hidden="1"/>
    <cellStyle name="Lien hypertexte visité" xfId="1278" builtinId="9" hidden="1"/>
    <cellStyle name="Lien hypertexte visité" xfId="1279" builtinId="9" hidden="1"/>
    <cellStyle name="Lien hypertexte visité" xfId="1280" builtinId="9" hidden="1"/>
    <cellStyle name="Lien hypertexte visité" xfId="1281" builtinId="9" hidden="1"/>
    <cellStyle name="Lien hypertexte visité" xfId="1282" builtinId="9" hidden="1"/>
    <cellStyle name="Lien hypertexte visité" xfId="1283" builtinId="9" hidden="1"/>
    <cellStyle name="Lien hypertexte visité" xfId="1284" builtinId="9" hidden="1"/>
    <cellStyle name="Lien hypertexte visité" xfId="1285" builtinId="9" hidden="1"/>
    <cellStyle name="Lien hypertexte visité" xfId="1286" builtinId="9" hidden="1"/>
    <cellStyle name="Lien hypertexte visité" xfId="1287" builtinId="9" hidden="1"/>
    <cellStyle name="Lien hypertexte visité" xfId="1288" builtinId="9" hidden="1"/>
    <cellStyle name="Lien hypertexte visité" xfId="1289" builtinId="9" hidden="1"/>
    <cellStyle name="Lien hypertexte visité" xfId="1290" builtinId="9" hidden="1"/>
    <cellStyle name="Lien hypertexte visité" xfId="1291" builtinId="9" hidden="1"/>
    <cellStyle name="Lien hypertexte visité" xfId="1292" builtinId="9" hidden="1"/>
    <cellStyle name="Lien hypertexte visité" xfId="1293" builtinId="9" hidden="1"/>
    <cellStyle name="Lien hypertexte visité" xfId="1294" builtinId="9" hidden="1"/>
    <cellStyle name="Lien hypertexte visité" xfId="1295" builtinId="9" hidden="1"/>
    <cellStyle name="Lien hypertexte visité" xfId="1296" builtinId="9" hidden="1"/>
    <cellStyle name="Lien hypertexte visité" xfId="1297" builtinId="9" hidden="1"/>
    <cellStyle name="Lien hypertexte visité" xfId="1298" builtinId="9" hidden="1"/>
    <cellStyle name="Lien hypertexte visité" xfId="1299" builtinId="9" hidden="1"/>
    <cellStyle name="Lien hypertexte visité" xfId="1300" builtinId="9" hidden="1"/>
    <cellStyle name="Lien hypertexte visité" xfId="1301" builtinId="9" hidden="1"/>
    <cellStyle name="Lien hypertexte visité" xfId="1302" builtinId="9" hidden="1"/>
    <cellStyle name="Lien hypertexte visité" xfId="1303" builtinId="9" hidden="1"/>
    <cellStyle name="Lien hypertexte visité" xfId="1304" builtinId="9" hidden="1"/>
    <cellStyle name="Lien hypertexte visité" xfId="1305" builtinId="9" hidden="1"/>
    <cellStyle name="Lien hypertexte visité" xfId="1306" builtinId="9" hidden="1"/>
    <cellStyle name="Lien hypertexte visité" xfId="1307" builtinId="9" hidden="1"/>
    <cellStyle name="Lien hypertexte visité" xfId="1308" builtinId="9" hidden="1"/>
    <cellStyle name="Lien hypertexte visité" xfId="1309" builtinId="9" hidden="1"/>
    <cellStyle name="Lien hypertexte visité" xfId="1310" builtinId="9" hidden="1"/>
    <cellStyle name="Lien hypertexte visité" xfId="1311" builtinId="9" hidden="1"/>
    <cellStyle name="Lien hypertexte visité" xfId="1312" builtinId="9" hidden="1"/>
    <cellStyle name="Lien hypertexte visité" xfId="1313" builtinId="9" hidden="1"/>
    <cellStyle name="Lien hypertexte visité" xfId="1314" builtinId="9" hidden="1"/>
    <cellStyle name="Lien hypertexte visité" xfId="1315" builtinId="9" hidden="1"/>
    <cellStyle name="Lien hypertexte visité" xfId="1316" builtinId="9" hidden="1"/>
    <cellStyle name="Lien hypertexte visité" xfId="1317" builtinId="9" hidden="1"/>
    <cellStyle name="Lien hypertexte visité" xfId="1318" builtinId="9" hidden="1"/>
    <cellStyle name="Lien hypertexte visité" xfId="1319" builtinId="9" hidden="1"/>
    <cellStyle name="Lien hypertexte visité" xfId="1320" builtinId="9" hidden="1"/>
    <cellStyle name="Lien hypertexte visité" xfId="1321" builtinId="9" hidden="1"/>
    <cellStyle name="Lien hypertexte visité" xfId="1322" builtinId="9" hidden="1"/>
    <cellStyle name="Lien hypertexte visité" xfId="1323" builtinId="9" hidden="1"/>
    <cellStyle name="Lien hypertexte visité" xfId="1324" builtinId="9" hidden="1"/>
    <cellStyle name="Lien hypertexte visité" xfId="1325" builtinId="9" hidden="1"/>
    <cellStyle name="Lien hypertexte visité" xfId="1326" builtinId="9" hidden="1"/>
    <cellStyle name="Lien hypertexte visité" xfId="1327" builtinId="9" hidden="1"/>
    <cellStyle name="Lien hypertexte visité" xfId="1328" builtinId="9" hidden="1"/>
    <cellStyle name="Lien hypertexte visité" xfId="1329" builtinId="9" hidden="1"/>
    <cellStyle name="Lien hypertexte visité" xfId="1330" builtinId="9" hidden="1"/>
    <cellStyle name="Lien hypertexte visité" xfId="1331" builtinId="9" hidden="1"/>
    <cellStyle name="Lien hypertexte visité" xfId="1332" builtinId="9" hidden="1"/>
    <cellStyle name="Lien hypertexte visité" xfId="1333" builtinId="9" hidden="1"/>
    <cellStyle name="Lien hypertexte visité" xfId="1334" builtinId="9" hidden="1"/>
    <cellStyle name="Lien hypertexte visité" xfId="1335" builtinId="9" hidden="1"/>
    <cellStyle name="Lien hypertexte visité" xfId="1336" builtinId="9" hidden="1"/>
    <cellStyle name="Lien hypertexte visité" xfId="1337" builtinId="9" hidden="1"/>
    <cellStyle name="Lien hypertexte visité" xfId="1338" builtinId="9" hidden="1"/>
    <cellStyle name="Lien hypertexte visité" xfId="1339" builtinId="9" hidden="1"/>
    <cellStyle name="Lien hypertexte visité" xfId="1340" builtinId="9" hidden="1"/>
    <cellStyle name="Lien hypertexte visité" xfId="1341" builtinId="9" hidden="1"/>
    <cellStyle name="Lien hypertexte visité" xfId="1342" builtinId="9" hidden="1"/>
    <cellStyle name="Lien hypertexte visité" xfId="1343" builtinId="9" hidden="1"/>
    <cellStyle name="Lien hypertexte visité" xfId="1344" builtinId="9" hidden="1"/>
    <cellStyle name="Lien hypertexte visité" xfId="1345" builtinId="9" hidden="1"/>
    <cellStyle name="Lien hypertexte visité" xfId="1346" builtinId="9" hidden="1"/>
    <cellStyle name="Lien hypertexte visité" xfId="1347" builtinId="9" hidden="1"/>
    <cellStyle name="Lien hypertexte visité" xfId="1348" builtinId="9" hidden="1"/>
    <cellStyle name="Lien hypertexte visité" xfId="1349" builtinId="9" hidden="1"/>
    <cellStyle name="Lien hypertexte visité" xfId="1350" builtinId="9" hidden="1"/>
    <cellStyle name="Lien hypertexte visité" xfId="1351" builtinId="9" hidden="1"/>
    <cellStyle name="Lien hypertexte visité" xfId="1352" builtinId="9" hidden="1"/>
    <cellStyle name="Lien hypertexte visité" xfId="1353" builtinId="9" hidden="1"/>
    <cellStyle name="Lien hypertexte visité" xfId="1354" builtinId="9" hidden="1"/>
    <cellStyle name="Lien hypertexte visité" xfId="1355" builtinId="9" hidden="1"/>
    <cellStyle name="Lien hypertexte visité" xfId="1356" builtinId="9" hidden="1"/>
    <cellStyle name="Lien hypertexte visité" xfId="1357" builtinId="9" hidden="1"/>
    <cellStyle name="Lien hypertexte visité" xfId="1358" builtinId="9" hidden="1"/>
    <cellStyle name="Lien hypertexte visité" xfId="1359" builtinId="9" hidden="1"/>
    <cellStyle name="Lien hypertexte visité" xfId="1360" builtinId="9" hidden="1"/>
    <cellStyle name="Lien hypertexte visité" xfId="1361" builtinId="9" hidden="1"/>
    <cellStyle name="Lien hypertexte visité" xfId="1362" builtinId="9" hidden="1"/>
    <cellStyle name="Lien hypertexte visité" xfId="1363" builtinId="9" hidden="1"/>
    <cellStyle name="Lien hypertexte visité" xfId="1364" builtinId="9" hidden="1"/>
    <cellStyle name="Lien hypertexte visité" xfId="1365" builtinId="9" hidden="1"/>
    <cellStyle name="Lien hypertexte visité" xfId="1366" builtinId="9" hidden="1"/>
    <cellStyle name="Lien hypertexte visité" xfId="1367" builtinId="9" hidden="1"/>
    <cellStyle name="Lien hypertexte visité" xfId="1368" builtinId="9" hidden="1"/>
    <cellStyle name="Lien hypertexte visité" xfId="1369" builtinId="9" hidden="1"/>
    <cellStyle name="Lien hypertexte visité" xfId="1370" builtinId="9" hidden="1"/>
    <cellStyle name="Lien hypertexte visité" xfId="1371" builtinId="9" hidden="1"/>
    <cellStyle name="Lien hypertexte visité" xfId="1372" builtinId="9" hidden="1"/>
    <cellStyle name="Lien hypertexte visité" xfId="1373" builtinId="9" hidden="1"/>
    <cellStyle name="Lien hypertexte visité" xfId="1374" builtinId="9" hidden="1"/>
    <cellStyle name="Lien hypertexte visité" xfId="1375" builtinId="9" hidden="1"/>
    <cellStyle name="Lien hypertexte visité" xfId="1376" builtinId="9" hidden="1"/>
    <cellStyle name="Lien hypertexte visité" xfId="1377" builtinId="9" hidden="1"/>
    <cellStyle name="Lien hypertexte visité" xfId="1378" builtinId="9" hidden="1"/>
    <cellStyle name="Lien hypertexte visité" xfId="1379" builtinId="9" hidden="1"/>
    <cellStyle name="Lien hypertexte visité" xfId="1380" builtinId="9" hidden="1"/>
    <cellStyle name="Lien hypertexte visité" xfId="1381" builtinId="9" hidden="1"/>
    <cellStyle name="Lien hypertexte visité" xfId="1382" builtinId="9" hidden="1"/>
    <cellStyle name="Lien hypertexte visité" xfId="1383" builtinId="9" hidden="1"/>
    <cellStyle name="Lien hypertexte visité" xfId="1384" builtinId="9" hidden="1"/>
    <cellStyle name="Lien hypertexte visité" xfId="1385" builtinId="9" hidden="1"/>
    <cellStyle name="Lien hypertexte visité" xfId="1386" builtinId="9" hidden="1"/>
    <cellStyle name="Lien hypertexte visité" xfId="1387" builtinId="9" hidden="1"/>
    <cellStyle name="Lien hypertexte visité" xfId="1388" builtinId="9" hidden="1"/>
    <cellStyle name="Lien hypertexte visité" xfId="1389" builtinId="9" hidden="1"/>
    <cellStyle name="Lien hypertexte visité" xfId="1390" builtinId="9" hidden="1"/>
    <cellStyle name="Lien hypertexte visité" xfId="1391" builtinId="9" hidden="1"/>
    <cellStyle name="Lien hypertexte visité" xfId="1392" builtinId="9" hidden="1"/>
    <cellStyle name="Lien hypertexte visité" xfId="1393" builtinId="9" hidden="1"/>
    <cellStyle name="Lien hypertexte visité" xfId="1394" builtinId="9" hidden="1"/>
    <cellStyle name="Lien hypertexte visité" xfId="1395" builtinId="9" hidden="1"/>
    <cellStyle name="Lien hypertexte visité" xfId="1396" builtinId="9" hidden="1"/>
    <cellStyle name="Lien hypertexte visité" xfId="1397" builtinId="9" hidden="1"/>
    <cellStyle name="Lien hypertexte visité" xfId="1398" builtinId="9" hidden="1"/>
    <cellStyle name="Lien hypertexte visité" xfId="1399" builtinId="9" hidden="1"/>
    <cellStyle name="Lien hypertexte visité" xfId="1400" builtinId="9" hidden="1"/>
    <cellStyle name="Lien hypertexte visité" xfId="1401" builtinId="9" hidden="1"/>
    <cellStyle name="Lien hypertexte visité" xfId="1402" builtinId="9" hidden="1"/>
    <cellStyle name="Lien hypertexte visité" xfId="1403" builtinId="9" hidden="1"/>
    <cellStyle name="Lien hypertexte visité" xfId="1404" builtinId="9" hidden="1"/>
    <cellStyle name="Lien hypertexte visité" xfId="1405" builtinId="9" hidden="1"/>
    <cellStyle name="Lien hypertexte visité" xfId="1406" builtinId="9" hidden="1"/>
    <cellStyle name="Lien hypertexte visité" xfId="1407" builtinId="9" hidden="1"/>
    <cellStyle name="Lien hypertexte visité" xfId="1408" builtinId="9" hidden="1"/>
    <cellStyle name="Lien hypertexte visité" xfId="1409" builtinId="9" hidden="1"/>
    <cellStyle name="Lien hypertexte visité" xfId="1410" builtinId="9" hidden="1"/>
    <cellStyle name="Lien hypertexte visité" xfId="1411" builtinId="9" hidden="1"/>
    <cellStyle name="Lien hypertexte visité" xfId="1412" builtinId="9" hidden="1"/>
    <cellStyle name="Lien hypertexte visité" xfId="1413" builtinId="9" hidden="1"/>
    <cellStyle name="Lien hypertexte visité" xfId="1414" builtinId="9" hidden="1"/>
    <cellStyle name="Lien hypertexte visité" xfId="1415" builtinId="9" hidden="1"/>
    <cellStyle name="Lien hypertexte visité" xfId="1416" builtinId="9" hidden="1"/>
    <cellStyle name="Lien hypertexte visité" xfId="1417" builtinId="9" hidden="1"/>
    <cellStyle name="Lien hypertexte visité" xfId="1418" builtinId="9" hidden="1"/>
    <cellStyle name="Lien hypertexte visité" xfId="1419" builtinId="9" hidden="1"/>
    <cellStyle name="Lien hypertexte visité" xfId="1420" builtinId="9" hidden="1"/>
    <cellStyle name="Lien hypertexte visité" xfId="1421" builtinId="9" hidden="1"/>
    <cellStyle name="Lien hypertexte visité" xfId="1422" builtinId="9" hidden="1"/>
    <cellStyle name="Lien hypertexte visité" xfId="1423" builtinId="9" hidden="1"/>
    <cellStyle name="Lien hypertexte visité" xfId="1424" builtinId="9" hidden="1"/>
    <cellStyle name="Lien hypertexte visité" xfId="1425" builtinId="9" hidden="1"/>
    <cellStyle name="Lien hypertexte visité" xfId="1426" builtinId="9" hidden="1"/>
    <cellStyle name="Lien hypertexte visité" xfId="1427" builtinId="9" hidden="1"/>
    <cellStyle name="Lien hypertexte visité" xfId="1428" builtinId="9" hidden="1"/>
    <cellStyle name="Lien hypertexte visité" xfId="1429" builtinId="9" hidden="1"/>
    <cellStyle name="Lien hypertexte visité" xfId="1430" builtinId="9" hidden="1"/>
    <cellStyle name="Lien hypertexte visité" xfId="1431" builtinId="9" hidden="1"/>
    <cellStyle name="Lien hypertexte visité" xfId="1432" builtinId="9" hidden="1"/>
    <cellStyle name="Lien hypertexte visité" xfId="1433" builtinId="9" hidden="1"/>
    <cellStyle name="Lien hypertexte visité" xfId="1434" builtinId="9" hidden="1"/>
    <cellStyle name="Lien hypertexte visité" xfId="1435" builtinId="9" hidden="1"/>
    <cellStyle name="Lien hypertexte visité" xfId="1436" builtinId="9" hidden="1"/>
    <cellStyle name="Lien hypertexte visité" xfId="1437" builtinId="9" hidden="1"/>
    <cellStyle name="Lien hypertexte visité" xfId="1438" builtinId="9" hidden="1"/>
    <cellStyle name="Lien hypertexte visité" xfId="1439" builtinId="9" hidden="1"/>
    <cellStyle name="Lien hypertexte visité" xfId="1440" builtinId="9" hidden="1"/>
    <cellStyle name="Lien hypertexte visité" xfId="1441" builtinId="9" hidden="1"/>
    <cellStyle name="Lien hypertexte visité" xfId="1442" builtinId="9" hidden="1"/>
    <cellStyle name="Lien hypertexte visité" xfId="1443" builtinId="9" hidden="1"/>
    <cellStyle name="Lien hypertexte visité" xfId="1444" builtinId="9" hidden="1"/>
    <cellStyle name="Lien hypertexte visité" xfId="1445" builtinId="9" hidden="1"/>
    <cellStyle name="Lien hypertexte visité" xfId="1446" builtinId="9" hidden="1"/>
    <cellStyle name="Lien hypertexte visité" xfId="1447" builtinId="9" hidden="1"/>
    <cellStyle name="Lien hypertexte visité" xfId="1448" builtinId="9" hidden="1"/>
    <cellStyle name="Lien hypertexte visité" xfId="1449" builtinId="9" hidden="1"/>
    <cellStyle name="Lien hypertexte visité" xfId="1450" builtinId="9" hidden="1"/>
    <cellStyle name="Lien hypertexte visité" xfId="1451" builtinId="9" hidden="1"/>
    <cellStyle name="Lien hypertexte visité" xfId="1452" builtinId="9" hidden="1"/>
    <cellStyle name="Lien hypertexte visité" xfId="1453" builtinId="9" hidden="1"/>
    <cellStyle name="Lien hypertexte visité" xfId="1454" builtinId="9" hidden="1"/>
    <cellStyle name="Lien hypertexte visité" xfId="1455" builtinId="9" hidden="1"/>
    <cellStyle name="Lien hypertexte visité" xfId="1456" builtinId="9" hidden="1"/>
    <cellStyle name="Lien hypertexte visité" xfId="1457" builtinId="9" hidden="1"/>
    <cellStyle name="Lien hypertexte visité" xfId="1458" builtinId="9" hidden="1"/>
    <cellStyle name="Lien hypertexte visité" xfId="1459" builtinId="9" hidden="1"/>
    <cellStyle name="Lien hypertexte visité" xfId="1460" builtinId="9" hidden="1"/>
    <cellStyle name="Lien hypertexte visité" xfId="1461" builtinId="9" hidden="1"/>
    <cellStyle name="Lien hypertexte visité" xfId="1462" builtinId="9" hidden="1"/>
    <cellStyle name="Lien hypertexte visité" xfId="1463" builtinId="9" hidden="1"/>
    <cellStyle name="Lien hypertexte visité" xfId="1464" builtinId="9" hidden="1"/>
    <cellStyle name="Lien hypertexte visité" xfId="1465" builtinId="9" hidden="1"/>
    <cellStyle name="Lien hypertexte visité" xfId="1466" builtinId="9" hidden="1"/>
    <cellStyle name="Lien hypertexte visité" xfId="1467" builtinId="9" hidden="1"/>
    <cellStyle name="Lien hypertexte visité" xfId="1468" builtinId="9" hidden="1"/>
    <cellStyle name="Lien hypertexte visité" xfId="1469" builtinId="9" hidden="1"/>
    <cellStyle name="Lien hypertexte visité" xfId="1470" builtinId="9" hidden="1"/>
    <cellStyle name="Lien hypertexte visité" xfId="1471" builtinId="9" hidden="1"/>
    <cellStyle name="Lien hypertexte visité" xfId="1472" builtinId="9" hidden="1"/>
    <cellStyle name="Lien hypertexte visité" xfId="1473" builtinId="9" hidden="1"/>
    <cellStyle name="Lien hypertexte visité" xfId="1474" builtinId="9" hidden="1"/>
    <cellStyle name="Lien hypertexte visité" xfId="1475" builtinId="9" hidden="1"/>
    <cellStyle name="Lien hypertexte visité" xfId="1476" builtinId="9" hidden="1"/>
    <cellStyle name="Lien hypertexte visité" xfId="1477" builtinId="9" hidden="1"/>
    <cellStyle name="Lien hypertexte visité" xfId="1478" builtinId="9" hidden="1"/>
    <cellStyle name="Lien hypertexte visité" xfId="1479" builtinId="9" hidden="1"/>
    <cellStyle name="Lien hypertexte visité" xfId="1491" builtinId="9" hidden="1"/>
    <cellStyle name="Lien hypertexte visité" xfId="1492" builtinId="9" hidden="1"/>
    <cellStyle name="Lien hypertexte visité" xfId="1493" builtinId="9" hidden="1"/>
    <cellStyle name="Lien hypertexte visité" xfId="1494" builtinId="9" hidden="1"/>
    <cellStyle name="Lien hypertexte visité" xfId="1495" builtinId="9" hidden="1"/>
    <cellStyle name="Lien hypertexte visité" xfId="1496" builtinId="9" hidden="1"/>
    <cellStyle name="Lien hypertexte visité" xfId="1497" builtinId="9" hidden="1"/>
    <cellStyle name="Lien hypertexte visité" xfId="1498" builtinId="9" hidden="1"/>
    <cellStyle name="Lien hypertexte visité" xfId="1499" builtinId="9" hidden="1"/>
    <cellStyle name="Lien hypertexte visité" xfId="1500" builtinId="9" hidden="1"/>
    <cellStyle name="Lien hypertexte visité" xfId="1501" builtinId="9" hidden="1"/>
    <cellStyle name="Lien hypertexte visité" xfId="1502" builtinId="9" hidden="1"/>
    <cellStyle name="Lien hypertexte visité" xfId="1503" builtinId="9" hidden="1"/>
    <cellStyle name="Lien hypertexte visité" xfId="1504" builtinId="9" hidden="1"/>
    <cellStyle name="Lien hypertexte visité" xfId="1505" builtinId="9" hidden="1"/>
    <cellStyle name="Lien hypertexte visité" xfId="1506" builtinId="9" hidden="1"/>
    <cellStyle name="Lien hypertexte visité" xfId="1507" builtinId="9" hidden="1"/>
    <cellStyle name="Lien hypertexte visité" xfId="1508" builtinId="9" hidden="1"/>
    <cellStyle name="Lien hypertexte visité" xfId="1509" builtinId="9" hidden="1"/>
    <cellStyle name="Lien hypertexte visité" xfId="1510" builtinId="9" hidden="1"/>
    <cellStyle name="Lien hypertexte visité" xfId="1511" builtinId="9" hidden="1"/>
    <cellStyle name="Lien hypertexte visité" xfId="1512" builtinId="9" hidden="1"/>
    <cellStyle name="Lien hypertexte visité" xfId="1513" builtinId="9" hidden="1"/>
    <cellStyle name="Lien hypertexte visité" xfId="1514" builtinId="9" hidden="1"/>
    <cellStyle name="Lien hypertexte visité" xfId="1515" builtinId="9" hidden="1"/>
    <cellStyle name="Lien hypertexte visité" xfId="1516" builtinId="9" hidden="1"/>
    <cellStyle name="Lien hypertexte visité" xfId="1517" builtinId="9" hidden="1"/>
    <cellStyle name="Lien hypertexte visité" xfId="1518" builtinId="9" hidden="1"/>
    <cellStyle name="Lien hypertexte visité" xfId="1519" builtinId="9" hidden="1"/>
    <cellStyle name="Lien hypertexte visité" xfId="1520" builtinId="9" hidden="1"/>
    <cellStyle name="Lien hypertexte visité" xfId="1521" builtinId="9" hidden="1"/>
    <cellStyle name="Lien hypertexte visité" xfId="1522" builtinId="9" hidden="1"/>
    <cellStyle name="Lien hypertexte visité" xfId="1523" builtinId="9" hidden="1"/>
    <cellStyle name="Lien hypertexte visité" xfId="1524" builtinId="9" hidden="1"/>
    <cellStyle name="Lien hypertexte visité" xfId="1525" builtinId="9" hidden="1"/>
    <cellStyle name="Lien hypertexte visité" xfId="1526" builtinId="9" hidden="1"/>
    <cellStyle name="Lien hypertexte visité" xfId="1527" builtinId="9" hidden="1"/>
    <cellStyle name="Lien hypertexte visité" xfId="1528" builtinId="9" hidden="1"/>
    <cellStyle name="Lien hypertexte visité" xfId="1529" builtinId="9" hidden="1"/>
    <cellStyle name="Lien hypertexte visité" xfId="1530" builtinId="9" hidden="1"/>
    <cellStyle name="Lien hypertexte visité" xfId="1531" builtinId="9" hidden="1"/>
    <cellStyle name="Lien hypertexte visité" xfId="1532" builtinId="9" hidden="1"/>
    <cellStyle name="Lien hypertexte visité" xfId="1533" builtinId="9" hidden="1"/>
    <cellStyle name="Lien hypertexte visité" xfId="1534" builtinId="9" hidden="1"/>
    <cellStyle name="Lien hypertexte visité" xfId="1535" builtinId="9" hidden="1"/>
    <cellStyle name="Lien hypertexte visité" xfId="1536" builtinId="9" hidden="1"/>
    <cellStyle name="Lien hypertexte visité" xfId="1537" builtinId="9" hidden="1"/>
    <cellStyle name="Lien hypertexte visité" xfId="1538" builtinId="9" hidden="1"/>
    <cellStyle name="Lien hypertexte visité" xfId="1539" builtinId="9" hidden="1"/>
    <cellStyle name="Lien hypertexte visité" xfId="1540" builtinId="9" hidden="1"/>
    <cellStyle name="Lien hypertexte visité" xfId="1541" builtinId="9" hidden="1"/>
    <cellStyle name="Lien hypertexte visité" xfId="1542" builtinId="9" hidden="1"/>
    <cellStyle name="Lien hypertexte visité" xfId="1543" builtinId="9" hidden="1"/>
    <cellStyle name="Lien hypertexte visité" xfId="1544" builtinId="9" hidden="1"/>
    <cellStyle name="Lien hypertexte visité" xfId="1545" builtinId="9" hidden="1"/>
    <cellStyle name="Lien hypertexte visité" xfId="1546" builtinId="9" hidden="1"/>
    <cellStyle name="Lien hypertexte visité" xfId="1547" builtinId="9" hidden="1"/>
    <cellStyle name="Lien hypertexte visité" xfId="1548" builtinId="9" hidden="1"/>
    <cellStyle name="Lien hypertexte visité" xfId="1549" builtinId="9" hidden="1"/>
    <cellStyle name="Lien hypertexte visité" xfId="1550" builtinId="9" hidden="1"/>
    <cellStyle name="Lien hypertexte visité" xfId="1551" builtinId="9" hidden="1"/>
    <cellStyle name="Lien hypertexte visité" xfId="1552" builtinId="9" hidden="1"/>
    <cellStyle name="Lien hypertexte visité" xfId="1553" builtinId="9" hidden="1"/>
    <cellStyle name="Lien hypertexte visité" xfId="1554" builtinId="9" hidden="1"/>
    <cellStyle name="Lien hypertexte visité" xfId="1555" builtinId="9" hidden="1"/>
    <cellStyle name="Lien hypertexte visité" xfId="1556" builtinId="9" hidden="1"/>
    <cellStyle name="Lien hypertexte visité" xfId="1557" builtinId="9" hidden="1"/>
    <cellStyle name="Lien hypertexte visité" xfId="1558" builtinId="9" hidden="1"/>
    <cellStyle name="Lien hypertexte visité" xfId="1559" builtinId="9" hidden="1"/>
    <cellStyle name="Lien hypertexte visité" xfId="1560" builtinId="9" hidden="1"/>
    <cellStyle name="Lien hypertexte visité" xfId="1561" builtinId="9" hidden="1"/>
    <cellStyle name="Lien hypertexte visité" xfId="1562" builtinId="9" hidden="1"/>
    <cellStyle name="Lien hypertexte visité" xfId="1563" builtinId="9" hidden="1"/>
    <cellStyle name="Lien hypertexte visité" xfId="1564" builtinId="9" hidden="1"/>
    <cellStyle name="Lien hypertexte visité" xfId="1565" builtinId="9" hidden="1"/>
    <cellStyle name="Lien hypertexte visité" xfId="1566" builtinId="9" hidden="1"/>
    <cellStyle name="Lien hypertexte visité" xfId="1567" builtinId="9" hidden="1"/>
    <cellStyle name="Lien hypertexte visité" xfId="1568" builtinId="9" hidden="1"/>
    <cellStyle name="Lien hypertexte visité" xfId="1569" builtinId="9" hidden="1"/>
    <cellStyle name="Lien hypertexte visité" xfId="1570" builtinId="9" hidden="1"/>
    <cellStyle name="Lien hypertexte visité" xfId="1571" builtinId="9" hidden="1"/>
    <cellStyle name="Lien hypertexte visité" xfId="1572" builtinId="9" hidden="1"/>
    <cellStyle name="Lien hypertexte visité" xfId="1573" builtinId="9" hidden="1"/>
    <cellStyle name="Lien hypertexte visité" xfId="1574" builtinId="9" hidden="1"/>
    <cellStyle name="Lien hypertexte visité" xfId="1575" builtinId="9" hidden="1"/>
    <cellStyle name="Lien hypertexte visité" xfId="1576" builtinId="9" hidden="1"/>
    <cellStyle name="Lien hypertexte visité" xfId="1577" builtinId="9" hidden="1"/>
    <cellStyle name="Lien hypertexte visité" xfId="1578" builtinId="9" hidden="1"/>
    <cellStyle name="Lien hypertexte visité" xfId="1579" builtinId="9" hidden="1"/>
    <cellStyle name="Lien hypertexte visité" xfId="1580" builtinId="9" hidden="1"/>
    <cellStyle name="Lien hypertexte visité" xfId="1581" builtinId="9" hidden="1"/>
    <cellStyle name="Lien hypertexte visité" xfId="1582" builtinId="9" hidden="1"/>
    <cellStyle name="Lien hypertexte visité" xfId="1583" builtinId="9" hidden="1"/>
    <cellStyle name="Lien hypertexte visité" xfId="1584" builtinId="9" hidden="1"/>
    <cellStyle name="Lien hypertexte visité" xfId="1585" builtinId="9" hidden="1"/>
    <cellStyle name="Lien hypertexte visité" xfId="1586" builtinId="9" hidden="1"/>
    <cellStyle name="Lien hypertexte visité" xfId="1587" builtinId="9" hidden="1"/>
    <cellStyle name="Lien hypertexte visité" xfId="1588" builtinId="9" hidden="1"/>
    <cellStyle name="Lien hypertexte visité" xfId="1589" builtinId="9" hidden="1"/>
    <cellStyle name="Lien hypertexte visité" xfId="1590" builtinId="9" hidden="1"/>
    <cellStyle name="Lien hypertexte visité" xfId="1591" builtinId="9" hidden="1"/>
    <cellStyle name="Lien hypertexte visité" xfId="1592" builtinId="9" hidden="1"/>
    <cellStyle name="Lien hypertexte visité" xfId="1593" builtinId="9" hidden="1"/>
    <cellStyle name="Lien hypertexte visité" xfId="1594" builtinId="9" hidden="1"/>
    <cellStyle name="Lien hypertexte visité" xfId="1595" builtinId="9" hidden="1"/>
    <cellStyle name="Lien hypertexte visité" xfId="1596" builtinId="9" hidden="1"/>
    <cellStyle name="Lien hypertexte visité" xfId="1597" builtinId="9" hidden="1"/>
    <cellStyle name="Lien hypertexte visité" xfId="1598" builtinId="9" hidden="1"/>
    <cellStyle name="Lien hypertexte visité" xfId="1599" builtinId="9" hidden="1"/>
    <cellStyle name="Lien hypertexte visité" xfId="1600" builtinId="9" hidden="1"/>
    <cellStyle name="Lien hypertexte visité" xfId="1601" builtinId="9" hidden="1"/>
    <cellStyle name="Lien hypertexte visité" xfId="1602" builtinId="9" hidden="1"/>
    <cellStyle name="Lien hypertexte visité" xfId="1603" builtinId="9" hidden="1"/>
    <cellStyle name="Lien hypertexte visité" xfId="1604" builtinId="9" hidden="1"/>
    <cellStyle name="Lien hypertexte visité" xfId="1605" builtinId="9" hidden="1"/>
    <cellStyle name="Lien hypertexte visité" xfId="1606" builtinId="9" hidden="1"/>
    <cellStyle name="Lien hypertexte visité" xfId="1607" builtinId="9" hidden="1"/>
    <cellStyle name="Lien hypertexte visité" xfId="1608" builtinId="9" hidden="1"/>
    <cellStyle name="Lien hypertexte visité" xfId="1609" builtinId="9" hidden="1"/>
    <cellStyle name="Lien hypertexte visité" xfId="1610" builtinId="9" hidden="1"/>
    <cellStyle name="Lien hypertexte visité" xfId="1611" builtinId="9" hidden="1"/>
    <cellStyle name="Lien hypertexte visité" xfId="1612" builtinId="9" hidden="1"/>
    <cellStyle name="Lien hypertexte visité" xfId="1613" builtinId="9" hidden="1"/>
    <cellStyle name="Lien hypertexte visité" xfId="1614" builtinId="9" hidden="1"/>
    <cellStyle name="Lien hypertexte visité" xfId="1615" builtinId="9" hidden="1"/>
    <cellStyle name="Lien hypertexte visité" xfId="1616" builtinId="9" hidden="1"/>
    <cellStyle name="Lien hypertexte visité" xfId="1617" builtinId="9" hidden="1"/>
    <cellStyle name="Lien hypertexte visité" xfId="1618" builtinId="9" hidden="1"/>
    <cellStyle name="Lien hypertexte visité" xfId="1619" builtinId="9" hidden="1"/>
    <cellStyle name="Lien hypertexte visité" xfId="1620" builtinId="9" hidden="1"/>
    <cellStyle name="Lien hypertexte visité" xfId="1621" builtinId="9" hidden="1"/>
    <cellStyle name="Lien hypertexte visité" xfId="1622" builtinId="9" hidden="1"/>
    <cellStyle name="Lien hypertexte visité" xfId="1623" builtinId="9" hidden="1"/>
    <cellStyle name="Lien hypertexte visité" xfId="1624" builtinId="9" hidden="1"/>
    <cellStyle name="Lien hypertexte visité" xfId="1625" builtinId="9" hidden="1"/>
    <cellStyle name="Lien hypertexte visité" xfId="1626" builtinId="9" hidden="1"/>
    <cellStyle name="Lien hypertexte visité" xfId="1627" builtinId="9" hidden="1"/>
    <cellStyle name="Lien hypertexte visité" xfId="1628" builtinId="9" hidden="1"/>
    <cellStyle name="Lien hypertexte visité" xfId="1629" builtinId="9" hidden="1"/>
    <cellStyle name="Lien hypertexte visité" xfId="1630" builtinId="9" hidden="1"/>
    <cellStyle name="Lien hypertexte visité" xfId="1631" builtinId="9" hidden="1"/>
    <cellStyle name="Lien hypertexte visité" xfId="1632" builtinId="9" hidden="1"/>
    <cellStyle name="Lien hypertexte visité" xfId="1633" builtinId="9" hidden="1"/>
    <cellStyle name="Lien hypertexte visité" xfId="1634" builtinId="9" hidden="1"/>
    <cellStyle name="Lien hypertexte visité" xfId="1635" builtinId="9" hidden="1"/>
    <cellStyle name="Lien hypertexte visité" xfId="1636" builtinId="9" hidden="1"/>
    <cellStyle name="Lien hypertexte visité" xfId="1637" builtinId="9" hidden="1"/>
    <cellStyle name="Lien hypertexte visité" xfId="1638" builtinId="9" hidden="1"/>
    <cellStyle name="Lien hypertexte visité" xfId="1639" builtinId="9" hidden="1"/>
    <cellStyle name="Lien hypertexte visité" xfId="1640" builtinId="9" hidden="1"/>
    <cellStyle name="Lien hypertexte visité" xfId="1641" builtinId="9" hidden="1"/>
    <cellStyle name="Lien hypertexte visité" xfId="1642" builtinId="9" hidden="1"/>
    <cellStyle name="Lien hypertexte visité" xfId="1643" builtinId="9" hidden="1"/>
    <cellStyle name="Lien hypertexte visité" xfId="1644" builtinId="9" hidden="1"/>
    <cellStyle name="Lien hypertexte visité" xfId="1645" builtinId="9" hidden="1"/>
    <cellStyle name="Lien hypertexte visité" xfId="1646" builtinId="9" hidden="1"/>
    <cellStyle name="Lien hypertexte visité" xfId="1647" builtinId="9" hidden="1"/>
    <cellStyle name="Lien hypertexte visité" xfId="1648" builtinId="9" hidden="1"/>
    <cellStyle name="Lien hypertexte visité" xfId="1649" builtinId="9" hidden="1"/>
    <cellStyle name="Lien hypertexte visité" xfId="1650" builtinId="9" hidden="1"/>
    <cellStyle name="Lien hypertexte visité" xfId="1651" builtinId="9" hidden="1"/>
    <cellStyle name="Lien hypertexte visité" xfId="1652" builtinId="9" hidden="1"/>
    <cellStyle name="Lien hypertexte visité" xfId="1653" builtinId="9" hidden="1"/>
    <cellStyle name="Lien hypertexte visité" xfId="1654" builtinId="9" hidden="1"/>
    <cellStyle name="Lien hypertexte visité" xfId="1655" builtinId="9" hidden="1"/>
    <cellStyle name="Lien hypertexte visité" xfId="1656" builtinId="9" hidden="1"/>
    <cellStyle name="Lien hypertexte visité" xfId="1657" builtinId="9" hidden="1"/>
    <cellStyle name="Lien hypertexte visité" xfId="1658" builtinId="9" hidden="1"/>
    <cellStyle name="Lien hypertexte visité" xfId="1659" builtinId="9" hidden="1"/>
    <cellStyle name="Lien hypertexte visité" xfId="1660" builtinId="9" hidden="1"/>
    <cellStyle name="Lien hypertexte visité" xfId="1661" builtinId="9" hidden="1"/>
    <cellStyle name="Lien hypertexte visité" xfId="1662" builtinId="9" hidden="1"/>
    <cellStyle name="Lien hypertexte visité" xfId="1663" builtinId="9" hidden="1"/>
    <cellStyle name="Lien hypertexte visité" xfId="1664" builtinId="9" hidden="1"/>
    <cellStyle name="Lien hypertexte visité" xfId="1665" builtinId="9" hidden="1"/>
    <cellStyle name="Lien hypertexte visité" xfId="1666" builtinId="9" hidden="1"/>
    <cellStyle name="Lien hypertexte visité" xfId="1667" builtinId="9" hidden="1"/>
    <cellStyle name="Lien hypertexte visité" xfId="1668" builtinId="9" hidden="1"/>
    <cellStyle name="Lien hypertexte visité" xfId="1669" builtinId="9" hidden="1"/>
    <cellStyle name="Lien hypertexte visité" xfId="1670" builtinId="9" hidden="1"/>
    <cellStyle name="Lien hypertexte visité" xfId="1671" builtinId="9" hidden="1"/>
    <cellStyle name="Lien hypertexte visité" xfId="1672" builtinId="9" hidden="1"/>
    <cellStyle name="Lien hypertexte visité" xfId="1673" builtinId="9" hidden="1"/>
    <cellStyle name="Lien hypertexte visité" xfId="1674" builtinId="9" hidden="1"/>
    <cellStyle name="Lien hypertexte visité" xfId="1675" builtinId="9" hidden="1"/>
    <cellStyle name="Lien hypertexte visité" xfId="1676" builtinId="9" hidden="1"/>
    <cellStyle name="Lien hypertexte visité" xfId="1677" builtinId="9" hidden="1"/>
    <cellStyle name="Lien hypertexte visité" xfId="1678" builtinId="9" hidden="1"/>
    <cellStyle name="Lien hypertexte visité" xfId="1679" builtinId="9" hidden="1"/>
    <cellStyle name="Lien hypertexte visité" xfId="1680" builtinId="9" hidden="1"/>
    <cellStyle name="Lien hypertexte visité" xfId="1681" builtinId="9" hidden="1"/>
    <cellStyle name="Lien hypertexte visité" xfId="1682" builtinId="9" hidden="1"/>
    <cellStyle name="Lien hypertexte visité" xfId="1683" builtinId="9" hidden="1"/>
    <cellStyle name="Lien hypertexte visité" xfId="1684" builtinId="9" hidden="1"/>
    <cellStyle name="Lien hypertexte visité" xfId="1685" builtinId="9" hidden="1"/>
    <cellStyle name="Lien hypertexte visité" xfId="1686" builtinId="9" hidden="1"/>
    <cellStyle name="Lien hypertexte visité" xfId="1687" builtinId="9" hidden="1"/>
    <cellStyle name="Lien hypertexte visité" xfId="1688" builtinId="9" hidden="1"/>
    <cellStyle name="Lien hypertexte visité" xfId="1689" builtinId="9" hidden="1"/>
    <cellStyle name="Lien hypertexte visité" xfId="1690" builtinId="9" hidden="1"/>
    <cellStyle name="Lien hypertexte visité" xfId="1691" builtinId="9" hidden="1"/>
    <cellStyle name="Lien hypertexte visité" xfId="1692" builtinId="9" hidden="1"/>
    <cellStyle name="Lien hypertexte visité" xfId="1693" builtinId="9" hidden="1"/>
    <cellStyle name="Lien hypertexte visité" xfId="1694" builtinId="9" hidden="1"/>
    <cellStyle name="Lien hypertexte visité" xfId="1695" builtinId="9" hidden="1"/>
    <cellStyle name="Lien hypertexte visité" xfId="1696" builtinId="9" hidden="1"/>
    <cellStyle name="Lien hypertexte visité" xfId="1697" builtinId="9" hidden="1"/>
    <cellStyle name="Lien hypertexte visité" xfId="1698" builtinId="9" hidden="1"/>
    <cellStyle name="Lien hypertexte visité" xfId="1699" builtinId="9" hidden="1"/>
    <cellStyle name="Lien hypertexte visité" xfId="1700" builtinId="9" hidden="1"/>
    <cellStyle name="Lien hypertexte visité" xfId="1701" builtinId="9" hidden="1"/>
    <cellStyle name="Lien hypertexte visité" xfId="1702" builtinId="9" hidden="1"/>
    <cellStyle name="Lien hypertexte visité" xfId="1703" builtinId="9" hidden="1"/>
    <cellStyle name="Lien hypertexte visité" xfId="1704" builtinId="9" hidden="1"/>
    <cellStyle name="Lien hypertexte visité" xfId="1705" builtinId="9" hidden="1"/>
    <cellStyle name="Lien hypertexte visité" xfId="1706" builtinId="9" hidden="1"/>
    <cellStyle name="Lien hypertexte visité" xfId="1707" builtinId="9" hidden="1"/>
    <cellStyle name="Lien hypertexte visité" xfId="1708" builtinId="9" hidden="1"/>
    <cellStyle name="Lien hypertexte visité" xfId="1709" builtinId="9" hidden="1"/>
    <cellStyle name="Lien hypertexte visité" xfId="1710" builtinId="9" hidden="1"/>
    <cellStyle name="Lien hypertexte visité" xfId="1711" builtinId="9" hidden="1"/>
    <cellStyle name="Lien hypertexte visité" xfId="1712" builtinId="9" hidden="1"/>
    <cellStyle name="Lien hypertexte visité" xfId="1713" builtinId="9" hidden="1"/>
    <cellStyle name="Lien hypertexte visité" xfId="1714" builtinId="9" hidden="1"/>
    <cellStyle name="Lien hypertexte visité" xfId="1715" builtinId="9" hidden="1"/>
    <cellStyle name="Lien hypertexte visité" xfId="1716" builtinId="9" hidden="1"/>
    <cellStyle name="Lien hypertexte visité" xfId="1717" builtinId="9" hidden="1"/>
    <cellStyle name="Lien hypertexte visité" xfId="1718" builtinId="9" hidden="1"/>
    <cellStyle name="Lien hypertexte visité" xfId="1719" builtinId="9" hidden="1"/>
    <cellStyle name="Lien hypertexte visité" xfId="1720" builtinId="9" hidden="1"/>
    <cellStyle name="Lien hypertexte visité" xfId="1721" builtinId="9" hidden="1"/>
    <cellStyle name="Lien hypertexte visité" xfId="1722" builtinId="9" hidden="1"/>
    <cellStyle name="Lien hypertexte visité" xfId="1723" builtinId="9" hidden="1"/>
    <cellStyle name="Lien hypertexte visité" xfId="1724" builtinId="9" hidden="1"/>
    <cellStyle name="Lien hypertexte visité" xfId="1725" builtinId="9" hidden="1"/>
    <cellStyle name="Lien hypertexte visité" xfId="1726" builtinId="9" hidden="1"/>
    <cellStyle name="Lien hypertexte visité" xfId="1727" builtinId="9" hidden="1"/>
    <cellStyle name="Lien hypertexte visité" xfId="1728" builtinId="9" hidden="1"/>
    <cellStyle name="Lien hypertexte visité" xfId="1729" builtinId="9" hidden="1"/>
    <cellStyle name="Lien hypertexte visité" xfId="1730" builtinId="9" hidden="1"/>
    <cellStyle name="Lien hypertexte visité" xfId="1731" builtinId="9" hidden="1"/>
    <cellStyle name="Lien hypertexte visité" xfId="1732" builtinId="9" hidden="1"/>
    <cellStyle name="Lien hypertexte visité" xfId="1733" builtinId="9" hidden="1"/>
    <cellStyle name="Lien hypertexte visité" xfId="1734" builtinId="9" hidden="1"/>
    <cellStyle name="Lien hypertexte visité" xfId="1735" builtinId="9" hidden="1"/>
    <cellStyle name="Lien hypertexte visité" xfId="1736" builtinId="9" hidden="1"/>
    <cellStyle name="Lien hypertexte visité" xfId="1737" builtinId="9" hidden="1"/>
    <cellStyle name="Lien hypertexte visité" xfId="1738" builtinId="9" hidden="1"/>
    <cellStyle name="Lien hypertexte visité" xfId="1739" builtinId="9" hidden="1"/>
    <cellStyle name="Lien hypertexte visité" xfId="1740" builtinId="9" hidden="1"/>
    <cellStyle name="Lien hypertexte visité" xfId="1741" builtinId="9" hidden="1"/>
    <cellStyle name="Lien hypertexte visité" xfId="1742" builtinId="9" hidden="1"/>
    <cellStyle name="Lien hypertexte visité" xfId="1745" builtinId="9" hidden="1"/>
    <cellStyle name="Lien hypertexte visité" xfId="1746" builtinId="9" hidden="1"/>
    <cellStyle name="Lien hypertexte visité" xfId="1747" builtinId="9" hidden="1"/>
    <cellStyle name="Lien hypertexte visité" xfId="1748" builtinId="9" hidden="1"/>
    <cellStyle name="Lien hypertexte visité" xfId="1749" builtinId="9" hidden="1"/>
    <cellStyle name="Lien hypertexte visité" xfId="1750" builtinId="9" hidden="1"/>
    <cellStyle name="Lien hypertexte visité" xfId="1751" builtinId="9" hidden="1"/>
    <cellStyle name="Lien hypertexte visité" xfId="1752" builtinId="9" hidden="1"/>
    <cellStyle name="Lien hypertexte visité" xfId="1753" builtinId="9" hidden="1"/>
    <cellStyle name="Lien hypertexte visité" xfId="1754" builtinId="9" hidden="1"/>
    <cellStyle name="Lien hypertexte visité" xfId="1755" builtinId="9" hidden="1"/>
    <cellStyle name="Lien hypertexte visité" xfId="1756" builtinId="9" hidden="1"/>
    <cellStyle name="Lien hypertexte visité" xfId="1757" builtinId="9" hidden="1"/>
    <cellStyle name="Lien hypertexte visité" xfId="1758" builtinId="9" hidden="1"/>
    <cellStyle name="Lien hypertexte visité" xfId="1759" builtinId="9" hidden="1"/>
    <cellStyle name="Lien hypertexte visité" xfId="1760" builtinId="9" hidden="1"/>
    <cellStyle name="Lien hypertexte visité" xfId="1761" builtinId="9" hidden="1"/>
    <cellStyle name="Lien hypertexte visité" xfId="1762" builtinId="9" hidden="1"/>
    <cellStyle name="Lien hypertexte visité" xfId="1763" builtinId="9" hidden="1"/>
    <cellStyle name="Lien hypertexte visité" xfId="1764" builtinId="9" hidden="1"/>
    <cellStyle name="Lien hypertexte visité" xfId="1765" builtinId="9" hidden="1"/>
    <cellStyle name="Lien hypertexte visité" xfId="1766" builtinId="9" hidden="1"/>
    <cellStyle name="Lien hypertexte visité" xfId="1767" builtinId="9" hidden="1"/>
    <cellStyle name="Lien hypertexte visité" xfId="1768" builtinId="9" hidden="1"/>
    <cellStyle name="Lien hypertexte visité" xfId="1769" builtinId="9" hidden="1"/>
    <cellStyle name="Lien hypertexte visité" xfId="1770" builtinId="9" hidden="1"/>
    <cellStyle name="Lien hypertexte visité" xfId="1771" builtinId="9" hidden="1"/>
    <cellStyle name="Lien hypertexte visité" xfId="1772" builtinId="9" hidden="1"/>
    <cellStyle name="Lien hypertexte visité" xfId="1773" builtinId="9" hidden="1"/>
    <cellStyle name="Lien hypertexte visité" xfId="1774" builtinId="9" hidden="1"/>
    <cellStyle name="Lien hypertexte visité" xfId="1775" builtinId="9" hidden="1"/>
    <cellStyle name="Lien hypertexte visité" xfId="1776" builtinId="9" hidden="1"/>
    <cellStyle name="Lien hypertexte visité" xfId="1777" builtinId="9" hidden="1"/>
    <cellStyle name="Lien hypertexte visité" xfId="1778" builtinId="9" hidden="1"/>
    <cellStyle name="Lien hypertexte visité" xfId="1779" builtinId="9" hidden="1"/>
    <cellStyle name="Lien hypertexte visité" xfId="1780" builtinId="9" hidden="1"/>
    <cellStyle name="Lien hypertexte visité" xfId="1781" builtinId="9" hidden="1"/>
    <cellStyle name="Lien hypertexte visité" xfId="1782" builtinId="9" hidden="1"/>
    <cellStyle name="Lien hypertexte visité" xfId="1783" builtinId="9" hidden="1"/>
    <cellStyle name="Lien hypertexte visité" xfId="1784" builtinId="9" hidden="1"/>
    <cellStyle name="Lien hypertexte visité" xfId="1785" builtinId="9" hidden="1"/>
    <cellStyle name="Lien hypertexte visité" xfId="1786" builtinId="9" hidden="1"/>
    <cellStyle name="Lien hypertexte visité" xfId="1787" builtinId="9" hidden="1"/>
    <cellStyle name="Lien hypertexte visité" xfId="1788" builtinId="9" hidden="1"/>
    <cellStyle name="Lien hypertexte visité" xfId="1789" builtinId="9" hidden="1"/>
    <cellStyle name="Lien hypertexte visité" xfId="1790" builtinId="9" hidden="1"/>
    <cellStyle name="Lien hypertexte visité" xfId="1791" builtinId="9" hidden="1"/>
    <cellStyle name="Lien hypertexte visité" xfId="1792" builtinId="9" hidden="1"/>
    <cellStyle name="Lien hypertexte visité" xfId="1793" builtinId="9" hidden="1"/>
    <cellStyle name="Lien hypertexte visité" xfId="1794" builtinId="9" hidden="1"/>
    <cellStyle name="Lien hypertexte visité" xfId="1795" builtinId="9" hidden="1"/>
    <cellStyle name="Lien hypertexte visité" xfId="1796" builtinId="9" hidden="1"/>
    <cellStyle name="Lien hypertexte visité" xfId="1797" builtinId="9" hidden="1"/>
    <cellStyle name="Lien hypertexte visité" xfId="1798" builtinId="9" hidden="1"/>
    <cellStyle name="Lien hypertexte visité" xfId="1799" builtinId="9" hidden="1"/>
    <cellStyle name="Lien hypertexte visité" xfId="1800" builtinId="9" hidden="1"/>
    <cellStyle name="Lien hypertexte visité" xfId="1801" builtinId="9" hidden="1"/>
    <cellStyle name="Lien hypertexte visité" xfId="1802" builtinId="9" hidden="1"/>
    <cellStyle name="Lien hypertexte visité" xfId="1803" builtinId="9" hidden="1"/>
    <cellStyle name="Lien hypertexte visité" xfId="1804" builtinId="9" hidden="1"/>
    <cellStyle name="Lien hypertexte visité" xfId="1805" builtinId="9" hidden="1"/>
    <cellStyle name="Lien hypertexte visité" xfId="1806" builtinId="9" hidden="1"/>
    <cellStyle name="Lien hypertexte visité" xfId="1807" builtinId="9" hidden="1"/>
    <cellStyle name="Lien hypertexte visité" xfId="1808" builtinId="9" hidden="1"/>
    <cellStyle name="Lien hypertexte visité" xfId="1809" builtinId="9" hidden="1"/>
    <cellStyle name="Lien hypertexte visité" xfId="1810" builtinId="9" hidden="1"/>
    <cellStyle name="Lien hypertexte visité" xfId="1811" builtinId="9" hidden="1"/>
    <cellStyle name="Lien hypertexte visité" xfId="1812" builtinId="9" hidden="1"/>
    <cellStyle name="Lien hypertexte visité" xfId="1813" builtinId="9" hidden="1"/>
    <cellStyle name="Lien hypertexte visité" xfId="1814" builtinId="9" hidden="1"/>
    <cellStyle name="Lien hypertexte visité" xfId="1815" builtinId="9" hidden="1"/>
    <cellStyle name="Lien hypertexte visité" xfId="1816" builtinId="9" hidden="1"/>
    <cellStyle name="Lien hypertexte visité" xfId="1817" builtinId="9" hidden="1"/>
    <cellStyle name="Lien hypertexte visité" xfId="1818" builtinId="9" hidden="1"/>
    <cellStyle name="Lien hypertexte visité" xfId="1819" builtinId="9" hidden="1"/>
    <cellStyle name="Lien hypertexte visité" xfId="1820" builtinId="9" hidden="1"/>
    <cellStyle name="Lien hypertexte visité" xfId="1821" builtinId="9" hidden="1"/>
    <cellStyle name="Lien hypertexte visité" xfId="1822" builtinId="9" hidden="1"/>
    <cellStyle name="Lien hypertexte visité" xfId="1823" builtinId="9" hidden="1"/>
    <cellStyle name="Lien hypertexte visité" xfId="1826" builtinId="9" hidden="1"/>
    <cellStyle name="Lien hypertexte visité" xfId="1827" builtinId="9" hidden="1"/>
    <cellStyle name="Lien hypertexte visité" xfId="1828" builtinId="9" hidden="1"/>
    <cellStyle name="Lien hypertexte visité" xfId="1829" builtinId="9" hidden="1"/>
    <cellStyle name="Lien hypertexte visité" xfId="1830" builtinId="9" hidden="1"/>
    <cellStyle name="Lien hypertexte visité" xfId="1831" builtinId="9" hidden="1"/>
    <cellStyle name="Lien hypertexte visité" xfId="1832" builtinId="9" hidden="1"/>
    <cellStyle name="Lien hypertexte visité" xfId="1858" builtinId="9" hidden="1"/>
    <cellStyle name="Lien hypertexte visité" xfId="1859" builtinId="9" hidden="1"/>
    <cellStyle name="Lien hypertexte visité" xfId="1860" builtinId="9" hidden="1"/>
    <cellStyle name="Lien hypertexte visité" xfId="1861" builtinId="9" hidden="1"/>
    <cellStyle name="Lien hypertexte visité" xfId="1862" builtinId="9" hidden="1"/>
    <cellStyle name="Lien hypertexte visité" xfId="1863" builtinId="9" hidden="1"/>
    <cellStyle name="Lien hypertexte visité" xfId="1864" builtinId="9" hidden="1"/>
    <cellStyle name="Lien hypertexte visité" xfId="1865" builtinId="9" hidden="1"/>
    <cellStyle name="Lien hypertexte visité" xfId="1866" builtinId="9" hidden="1"/>
    <cellStyle name="Lien hypertexte visité" xfId="1867" builtinId="9" hidden="1"/>
    <cellStyle name="Lien hypertexte visité" xfId="1868" builtinId="9" hidden="1"/>
    <cellStyle name="Lien hypertexte visité" xfId="1869" builtinId="9" hidden="1"/>
    <cellStyle name="Lien hypertexte visité" xfId="1870" builtinId="9" hidden="1"/>
    <cellStyle name="Lien hypertexte visité" xfId="1871" builtinId="9" hidden="1"/>
    <cellStyle name="Lien hypertexte visité" xfId="1872" builtinId="9" hidden="1"/>
    <cellStyle name="Lien hypertexte visité" xfId="1873" builtinId="9" hidden="1"/>
    <cellStyle name="Lien hypertexte visité" xfId="1874" builtinId="9" hidden="1"/>
    <cellStyle name="Lien hypertexte visité" xfId="1875" builtinId="9" hidden="1"/>
    <cellStyle name="Lien hypertexte visité" xfId="1876" builtinId="9" hidden="1"/>
    <cellStyle name="Lien hypertexte visité" xfId="1877" builtinId="9" hidden="1"/>
    <cellStyle name="Lien hypertexte visité" xfId="1878" builtinId="9" hidden="1"/>
    <cellStyle name="Lien hypertexte visité" xfId="1879" builtinId="9" hidden="1"/>
    <cellStyle name="Lien hypertexte visité" xfId="1880" builtinId="9" hidden="1"/>
    <cellStyle name="Lien hypertexte visité" xfId="1881" builtinId="9" hidden="1"/>
    <cellStyle name="Lien hypertexte visité" xfId="1882" builtinId="9" hidden="1"/>
    <cellStyle name="Lien hypertexte visité" xfId="1883" builtinId="9" hidden="1"/>
    <cellStyle name="Lien hypertexte visité" xfId="1884" builtinId="9" hidden="1"/>
    <cellStyle name="Lien hypertexte visité" xfId="1886" builtinId="9" hidden="1"/>
    <cellStyle name="Lien hypertexte visité" xfId="1887" builtinId="9" hidden="1"/>
    <cellStyle name="Lien hypertexte visité" xfId="1888" builtinId="9" hidden="1"/>
    <cellStyle name="Lien hypertexte visité" xfId="1889" builtinId="9" hidden="1"/>
    <cellStyle name="Lien hypertexte visité" xfId="1890" builtinId="9" hidden="1"/>
    <cellStyle name="Lien hypertexte visité" xfId="1891" builtinId="9" hidden="1"/>
    <cellStyle name="Linked Cell 2" xfId="288"/>
    <cellStyle name="Monétaire0" xfId="150"/>
    <cellStyle name="Monétaire0 2" xfId="1488"/>
    <cellStyle name="Neutral 2" xfId="289"/>
    <cellStyle name="Normal" xfId="0" builtinId="0"/>
    <cellStyle name="Normal 10" xfId="791"/>
    <cellStyle name="Normal 10 2" xfId="1836"/>
    <cellStyle name="Normal 11" xfId="792"/>
    <cellStyle name="Normal 11 2" xfId="793"/>
    <cellStyle name="Normal 12" xfId="794"/>
    <cellStyle name="Normal 12 2" xfId="795"/>
    <cellStyle name="Normal 13" xfId="796"/>
    <cellStyle name="Normal 13 2" xfId="1837"/>
    <cellStyle name="Normal 14" xfId="797"/>
    <cellStyle name="Normal 15" xfId="798"/>
    <cellStyle name="Normal 15 2" xfId="799"/>
    <cellStyle name="Normal 15 3" xfId="1838"/>
    <cellStyle name="Normal 15 4" xfId="1839"/>
    <cellStyle name="Normal 16" xfId="800"/>
    <cellStyle name="Normal 17" xfId="801"/>
    <cellStyle name="Normal 18" xfId="802"/>
    <cellStyle name="Normal 19" xfId="803"/>
    <cellStyle name="Normal 2" xfId="2"/>
    <cellStyle name="Normal 2 2" xfId="804"/>
    <cellStyle name="Normal 2 2 2" xfId="1489"/>
    <cellStyle name="Normal 2 3" xfId="805"/>
    <cellStyle name="Normal 2 4" xfId="806"/>
    <cellStyle name="Normal 2 5" xfId="1840"/>
    <cellStyle name="Normal 2 6" xfId="1841"/>
    <cellStyle name="Normal 20" xfId="807"/>
    <cellStyle name="Normal 21" xfId="808"/>
    <cellStyle name="Normal 22" xfId="809"/>
    <cellStyle name="Normal 23" xfId="810"/>
    <cellStyle name="Normal 24" xfId="811"/>
    <cellStyle name="Normal 25" xfId="812"/>
    <cellStyle name="Normal 26" xfId="813"/>
    <cellStyle name="Normal 27" xfId="814"/>
    <cellStyle name="Normal 28" xfId="815"/>
    <cellStyle name="Normal 29" xfId="816"/>
    <cellStyle name="Normal 3" xfId="144"/>
    <cellStyle name="Normal 3 2" xfId="145"/>
    <cellStyle name="Normal 3 2 2" xfId="817"/>
    <cellStyle name="Normal 3 2 2 2" xfId="1842"/>
    <cellStyle name="Normal 3 2 3" xfId="818"/>
    <cellStyle name="Normal 3 2 4" xfId="819"/>
    <cellStyle name="Normal 3 2 4 2" xfId="820"/>
    <cellStyle name="Normal 3 2 5" xfId="821"/>
    <cellStyle name="Normal 3 2 6" xfId="822"/>
    <cellStyle name="Normal 3 3" xfId="823"/>
    <cellStyle name="Normal 3 4" xfId="824"/>
    <cellStyle name="Normal 3 5" xfId="825"/>
    <cellStyle name="Normal 3 6" xfId="826"/>
    <cellStyle name="Normal 3 7" xfId="827"/>
    <cellStyle name="Normal 3 8" xfId="828"/>
    <cellStyle name="Normal 3 9" xfId="829"/>
    <cellStyle name="Normal 30" xfId="830"/>
    <cellStyle name="Normal 31" xfId="831"/>
    <cellStyle name="Normal 32" xfId="1480"/>
    <cellStyle name="Normal 33" xfId="1744"/>
    <cellStyle name="Normal 33 2" xfId="1824"/>
    <cellStyle name="Normal 34" xfId="1843"/>
    <cellStyle name="Normal 35" xfId="1844"/>
    <cellStyle name="Normal 36" xfId="1845"/>
    <cellStyle name="Normal 36 2" xfId="1885"/>
    <cellStyle name="Normal 4" xfId="209"/>
    <cellStyle name="Normal 4 2" xfId="832"/>
    <cellStyle name="Normal 4 3" xfId="833"/>
    <cellStyle name="Normal 4 4" xfId="1846"/>
    <cellStyle name="Normal 4 4 2" xfId="1847"/>
    <cellStyle name="Normal 4 5" xfId="1848"/>
    <cellStyle name="Normal 4 5 2" xfId="1849"/>
    <cellStyle name="Normal 5" xfId="210"/>
    <cellStyle name="Normal 5 2" xfId="834"/>
    <cellStyle name="Normal 6" xfId="211"/>
    <cellStyle name="Normal 6 2" xfId="835"/>
    <cellStyle name="Normal 7" xfId="212"/>
    <cellStyle name="Normal 7 2" xfId="836"/>
    <cellStyle name="Normal 8" xfId="294"/>
    <cellStyle name="Normal 8 2" xfId="837"/>
    <cellStyle name="Normal 9" xfId="337"/>
    <cellStyle name="Note 2" xfId="290"/>
    <cellStyle name="Note 3" xfId="838"/>
    <cellStyle name="Output 2" xfId="291"/>
    <cellStyle name="Percent 10" xfId="839"/>
    <cellStyle name="Percent 10 2" xfId="1850"/>
    <cellStyle name="Percent 11" xfId="840"/>
    <cellStyle name="Percent 12" xfId="841"/>
    <cellStyle name="Percent 12 2" xfId="842"/>
    <cellStyle name="Percent 13" xfId="843"/>
    <cellStyle name="Percent 14" xfId="844"/>
    <cellStyle name="Percent 15" xfId="845"/>
    <cellStyle name="Percent 16" xfId="846"/>
    <cellStyle name="Percent 17" xfId="1482"/>
    <cellStyle name="Percent 18" xfId="1825"/>
    <cellStyle name="Percent 2" xfId="847"/>
    <cellStyle name="Percent 2 2" xfId="848"/>
    <cellStyle name="Percent 2 3" xfId="849"/>
    <cellStyle name="Percent 2 4" xfId="850"/>
    <cellStyle name="Percent 3" xfId="851"/>
    <cellStyle name="Percent 3 2" xfId="852"/>
    <cellStyle name="Percent 4" xfId="853"/>
    <cellStyle name="Percent 4 2" xfId="1851"/>
    <cellStyle name="Percent 4 2 2" xfId="1852"/>
    <cellStyle name="Percent 4 3" xfId="1853"/>
    <cellStyle name="Percent 4 3 2" xfId="1854"/>
    <cellStyle name="Percent 5" xfId="854"/>
    <cellStyle name="Percent 6" xfId="855"/>
    <cellStyle name="Percent 6 2" xfId="856"/>
    <cellStyle name="Percent 7" xfId="857"/>
    <cellStyle name="Percent 8" xfId="858"/>
    <cellStyle name="Percent 8 2" xfId="1855"/>
    <cellStyle name="Percent 9" xfId="859"/>
    <cellStyle name="Pourcentage" xfId="1" builtinId="5"/>
    <cellStyle name="Pourcentage 2" xfId="143"/>
    <cellStyle name="Pourcentage 3" xfId="213"/>
    <cellStyle name="Pourcentage 3 2" xfId="214"/>
    <cellStyle name="Pourcentage 4" xfId="215"/>
    <cellStyle name="Pourcentage 4 2" xfId="860"/>
    <cellStyle name="Pourcentage 5" xfId="216"/>
    <cellStyle name="Satisfaisant" xfId="217"/>
    <cellStyle name="Standard 11" xfId="151"/>
    <cellStyle name="style_col_headings" xfId="152"/>
    <cellStyle name="Titre" xfId="218"/>
    <cellStyle name="Titre 1" xfId="219"/>
    <cellStyle name="Titre 2" xfId="220"/>
    <cellStyle name="Titre 3" xfId="221"/>
    <cellStyle name="Titre 4" xfId="222"/>
    <cellStyle name="Total 2" xfId="292"/>
    <cellStyle name="Vérification" xfId="223"/>
    <cellStyle name="Virgule fixe" xfId="153"/>
    <cellStyle name="Virgule fixe 2" xfId="1490"/>
    <cellStyle name="Warning Text 2" xfId="293"/>
    <cellStyle name="一般 2 3" xfId="1856"/>
    <cellStyle name="一般 3" xfId="1857"/>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60" Type="http://schemas.openxmlformats.org/officeDocument/2006/relationships/worksheet" Target="worksheets/sheet31.xml"/><Relationship Id="rId61" Type="http://schemas.openxmlformats.org/officeDocument/2006/relationships/worksheet" Target="worksheets/sheet32.xml"/><Relationship Id="rId62" Type="http://schemas.openxmlformats.org/officeDocument/2006/relationships/worksheet" Target="worksheets/sheet33.xml"/><Relationship Id="rId63" Type="http://schemas.openxmlformats.org/officeDocument/2006/relationships/worksheet" Target="worksheets/sheet34.xml"/><Relationship Id="rId64" Type="http://schemas.openxmlformats.org/officeDocument/2006/relationships/worksheet" Target="worksheets/sheet35.xml"/><Relationship Id="rId65" Type="http://schemas.openxmlformats.org/officeDocument/2006/relationships/worksheet" Target="worksheets/sheet36.xml"/><Relationship Id="rId66" Type="http://schemas.openxmlformats.org/officeDocument/2006/relationships/worksheet" Target="worksheets/sheet37.xml"/><Relationship Id="rId67" Type="http://schemas.openxmlformats.org/officeDocument/2006/relationships/worksheet" Target="worksheets/sheet38.xml"/><Relationship Id="rId68" Type="http://schemas.openxmlformats.org/officeDocument/2006/relationships/worksheet" Target="worksheets/sheet39.xml"/><Relationship Id="rId69" Type="http://schemas.openxmlformats.org/officeDocument/2006/relationships/worksheet" Target="worksheets/sheet40.xml"/><Relationship Id="rId120" Type="http://schemas.openxmlformats.org/officeDocument/2006/relationships/worksheet" Target="worksheets/sheet82.xml"/><Relationship Id="rId121" Type="http://schemas.openxmlformats.org/officeDocument/2006/relationships/worksheet" Target="worksheets/sheet83.xml"/><Relationship Id="rId122" Type="http://schemas.openxmlformats.org/officeDocument/2006/relationships/worksheet" Target="worksheets/sheet84.xml"/><Relationship Id="rId123" Type="http://schemas.openxmlformats.org/officeDocument/2006/relationships/worksheet" Target="worksheets/sheet85.xml"/><Relationship Id="rId124" Type="http://schemas.openxmlformats.org/officeDocument/2006/relationships/worksheet" Target="worksheets/sheet86.xml"/><Relationship Id="rId125" Type="http://schemas.openxmlformats.org/officeDocument/2006/relationships/worksheet" Target="worksheets/sheet87.xml"/><Relationship Id="rId126" Type="http://schemas.openxmlformats.org/officeDocument/2006/relationships/worksheet" Target="worksheets/sheet88.xml"/><Relationship Id="rId127" Type="http://schemas.openxmlformats.org/officeDocument/2006/relationships/worksheet" Target="worksheets/sheet89.xml"/><Relationship Id="rId128" Type="http://schemas.openxmlformats.org/officeDocument/2006/relationships/worksheet" Target="worksheets/sheet90.xml"/><Relationship Id="rId129" Type="http://schemas.openxmlformats.org/officeDocument/2006/relationships/worksheet" Target="worksheets/sheet91.xml"/><Relationship Id="rId40" Type="http://schemas.openxmlformats.org/officeDocument/2006/relationships/chartsheet" Target="chartsheets/sheet11.xml"/><Relationship Id="rId41" Type="http://schemas.openxmlformats.org/officeDocument/2006/relationships/chartsheet" Target="chartsheets/sheet12.xml"/><Relationship Id="rId42" Type="http://schemas.openxmlformats.org/officeDocument/2006/relationships/chartsheet" Target="chartsheets/sheet13.xml"/><Relationship Id="rId90" Type="http://schemas.openxmlformats.org/officeDocument/2006/relationships/worksheet" Target="worksheets/sheet52.xml"/><Relationship Id="rId91" Type="http://schemas.openxmlformats.org/officeDocument/2006/relationships/worksheet" Target="worksheets/sheet53.xml"/><Relationship Id="rId92" Type="http://schemas.openxmlformats.org/officeDocument/2006/relationships/worksheet" Target="worksheets/sheet54.xml"/><Relationship Id="rId93" Type="http://schemas.openxmlformats.org/officeDocument/2006/relationships/worksheet" Target="worksheets/sheet55.xml"/><Relationship Id="rId94" Type="http://schemas.openxmlformats.org/officeDocument/2006/relationships/worksheet" Target="worksheets/sheet56.xml"/><Relationship Id="rId95" Type="http://schemas.openxmlformats.org/officeDocument/2006/relationships/worksheet" Target="worksheets/sheet57.xml"/><Relationship Id="rId96" Type="http://schemas.openxmlformats.org/officeDocument/2006/relationships/worksheet" Target="worksheets/sheet58.xml"/><Relationship Id="rId101" Type="http://schemas.openxmlformats.org/officeDocument/2006/relationships/worksheet" Target="worksheets/sheet63.xml"/><Relationship Id="rId102" Type="http://schemas.openxmlformats.org/officeDocument/2006/relationships/worksheet" Target="worksheets/sheet64.xml"/><Relationship Id="rId103" Type="http://schemas.openxmlformats.org/officeDocument/2006/relationships/worksheet" Target="worksheets/sheet65.xml"/><Relationship Id="rId104" Type="http://schemas.openxmlformats.org/officeDocument/2006/relationships/worksheet" Target="worksheets/sheet66.xml"/><Relationship Id="rId105" Type="http://schemas.openxmlformats.org/officeDocument/2006/relationships/worksheet" Target="worksheets/sheet67.xml"/><Relationship Id="rId106" Type="http://schemas.openxmlformats.org/officeDocument/2006/relationships/worksheet" Target="worksheets/sheet68.xml"/><Relationship Id="rId107" Type="http://schemas.openxmlformats.org/officeDocument/2006/relationships/worksheet" Target="worksheets/sheet69.xml"/><Relationship Id="rId108" Type="http://schemas.openxmlformats.org/officeDocument/2006/relationships/worksheet" Target="worksheets/sheet70.xml"/><Relationship Id="rId109" Type="http://schemas.openxmlformats.org/officeDocument/2006/relationships/worksheet" Target="worksheets/sheet71.xml"/><Relationship Id="rId97" Type="http://schemas.openxmlformats.org/officeDocument/2006/relationships/worksheet" Target="worksheets/sheet59.xml"/><Relationship Id="rId98" Type="http://schemas.openxmlformats.org/officeDocument/2006/relationships/worksheet" Target="worksheets/sheet60.xml"/><Relationship Id="rId99" Type="http://schemas.openxmlformats.org/officeDocument/2006/relationships/worksheet" Target="worksheets/sheet61.xml"/><Relationship Id="rId43" Type="http://schemas.openxmlformats.org/officeDocument/2006/relationships/chartsheet" Target="chartsheets/sheet14.xml"/><Relationship Id="rId44" Type="http://schemas.openxmlformats.org/officeDocument/2006/relationships/chartsheet" Target="chartsheets/sheet15.xml"/><Relationship Id="rId45" Type="http://schemas.openxmlformats.org/officeDocument/2006/relationships/chartsheet" Target="chartsheets/sheet16.xml"/><Relationship Id="rId46" Type="http://schemas.openxmlformats.org/officeDocument/2006/relationships/chartsheet" Target="chartsheets/sheet17.xml"/><Relationship Id="rId47" Type="http://schemas.openxmlformats.org/officeDocument/2006/relationships/chartsheet" Target="chartsheets/sheet18.xml"/><Relationship Id="rId48" Type="http://schemas.openxmlformats.org/officeDocument/2006/relationships/chartsheet" Target="chartsheets/sheet19.xml"/><Relationship Id="rId49" Type="http://schemas.openxmlformats.org/officeDocument/2006/relationships/chartsheet" Target="chartsheets/sheet20.xml"/><Relationship Id="rId100" Type="http://schemas.openxmlformats.org/officeDocument/2006/relationships/worksheet" Target="worksheets/sheet62.xml"/><Relationship Id="rId150" Type="http://schemas.openxmlformats.org/officeDocument/2006/relationships/theme" Target="theme/theme1.xml"/><Relationship Id="rId151" Type="http://schemas.openxmlformats.org/officeDocument/2006/relationships/connections" Target="connections.xml"/><Relationship Id="rId152" Type="http://schemas.openxmlformats.org/officeDocument/2006/relationships/styles" Target="styles.xml"/><Relationship Id="rId153" Type="http://schemas.openxmlformats.org/officeDocument/2006/relationships/sharedStrings" Target="sharedStrings.xml"/><Relationship Id="rId154" Type="http://schemas.openxmlformats.org/officeDocument/2006/relationships/calcChain" Target="calcChain.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70" Type="http://schemas.openxmlformats.org/officeDocument/2006/relationships/worksheet" Target="worksheets/sheet41.xml"/><Relationship Id="rId71" Type="http://schemas.openxmlformats.org/officeDocument/2006/relationships/worksheet" Target="worksheets/sheet42.xml"/><Relationship Id="rId72" Type="http://schemas.openxmlformats.org/officeDocument/2006/relationships/worksheet" Target="worksheets/sheet43.xml"/><Relationship Id="rId73" Type="http://schemas.openxmlformats.org/officeDocument/2006/relationships/worksheet" Target="worksheets/sheet44.xml"/><Relationship Id="rId74" Type="http://schemas.openxmlformats.org/officeDocument/2006/relationships/worksheet" Target="worksheets/sheet45.xml"/><Relationship Id="rId75" Type="http://schemas.openxmlformats.org/officeDocument/2006/relationships/worksheet" Target="worksheets/sheet46.xml"/><Relationship Id="rId76" Type="http://schemas.openxmlformats.org/officeDocument/2006/relationships/worksheet" Target="worksheets/sheet47.xml"/><Relationship Id="rId77" Type="http://schemas.openxmlformats.org/officeDocument/2006/relationships/chartsheet" Target="chartsheets/sheet30.xml"/><Relationship Id="rId78" Type="http://schemas.openxmlformats.org/officeDocument/2006/relationships/chartsheet" Target="chartsheets/sheet31.xml"/><Relationship Id="rId79" Type="http://schemas.openxmlformats.org/officeDocument/2006/relationships/chartsheet" Target="chartsheets/sheet3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30" Type="http://schemas.openxmlformats.org/officeDocument/2006/relationships/worksheet" Target="worksheets/sheet92.xml"/><Relationship Id="rId131" Type="http://schemas.openxmlformats.org/officeDocument/2006/relationships/worksheet" Target="worksheets/sheet93.xml"/><Relationship Id="rId132" Type="http://schemas.openxmlformats.org/officeDocument/2006/relationships/worksheet" Target="worksheets/sheet94.xml"/><Relationship Id="rId133" Type="http://schemas.openxmlformats.org/officeDocument/2006/relationships/worksheet" Target="worksheets/sheet95.xml"/><Relationship Id="rId134" Type="http://schemas.openxmlformats.org/officeDocument/2006/relationships/worksheet" Target="worksheets/sheet96.xml"/><Relationship Id="rId135" Type="http://schemas.openxmlformats.org/officeDocument/2006/relationships/worksheet" Target="worksheets/sheet97.xml"/><Relationship Id="rId136" Type="http://schemas.openxmlformats.org/officeDocument/2006/relationships/worksheet" Target="worksheets/sheet98.xml"/><Relationship Id="rId137" Type="http://schemas.openxmlformats.org/officeDocument/2006/relationships/worksheet" Target="worksheets/sheet99.xml"/><Relationship Id="rId138" Type="http://schemas.openxmlformats.org/officeDocument/2006/relationships/worksheet" Target="worksheets/sheet100.xml"/><Relationship Id="rId139" Type="http://schemas.openxmlformats.org/officeDocument/2006/relationships/worksheet" Target="worksheets/sheet101.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50" Type="http://schemas.openxmlformats.org/officeDocument/2006/relationships/chartsheet" Target="chartsheets/sheet21.xml"/><Relationship Id="rId51" Type="http://schemas.openxmlformats.org/officeDocument/2006/relationships/chartsheet" Target="chartsheets/sheet22.xml"/><Relationship Id="rId52" Type="http://schemas.openxmlformats.org/officeDocument/2006/relationships/chartsheet" Target="chartsheets/sheet23.xml"/><Relationship Id="rId53" Type="http://schemas.openxmlformats.org/officeDocument/2006/relationships/chartsheet" Target="chartsheets/sheet24.xml"/><Relationship Id="rId54" Type="http://schemas.openxmlformats.org/officeDocument/2006/relationships/chartsheet" Target="chartsheets/sheet25.xml"/><Relationship Id="rId55" Type="http://schemas.openxmlformats.org/officeDocument/2006/relationships/chartsheet" Target="chartsheets/sheet26.xml"/><Relationship Id="rId56" Type="http://schemas.openxmlformats.org/officeDocument/2006/relationships/chartsheet" Target="chartsheets/sheet27.xml"/><Relationship Id="rId57" Type="http://schemas.openxmlformats.org/officeDocument/2006/relationships/chartsheet" Target="chartsheets/sheet28.xml"/><Relationship Id="rId58" Type="http://schemas.openxmlformats.org/officeDocument/2006/relationships/chartsheet" Target="chartsheets/sheet29.xml"/><Relationship Id="rId59" Type="http://schemas.openxmlformats.org/officeDocument/2006/relationships/worksheet" Target="worksheets/sheet30.xml"/><Relationship Id="rId110" Type="http://schemas.openxmlformats.org/officeDocument/2006/relationships/worksheet" Target="worksheets/sheet72.xml"/><Relationship Id="rId111" Type="http://schemas.openxmlformats.org/officeDocument/2006/relationships/worksheet" Target="worksheets/sheet73.xml"/><Relationship Id="rId112" Type="http://schemas.openxmlformats.org/officeDocument/2006/relationships/worksheet" Target="worksheets/sheet74.xml"/><Relationship Id="rId113" Type="http://schemas.openxmlformats.org/officeDocument/2006/relationships/worksheet" Target="worksheets/sheet75.xml"/><Relationship Id="rId114" Type="http://schemas.openxmlformats.org/officeDocument/2006/relationships/worksheet" Target="worksheets/sheet76.xml"/><Relationship Id="rId115" Type="http://schemas.openxmlformats.org/officeDocument/2006/relationships/worksheet" Target="worksheets/sheet77.xml"/><Relationship Id="rId116" Type="http://schemas.openxmlformats.org/officeDocument/2006/relationships/worksheet" Target="worksheets/sheet78.xml"/><Relationship Id="rId117" Type="http://schemas.openxmlformats.org/officeDocument/2006/relationships/worksheet" Target="worksheets/sheet79.xml"/><Relationship Id="rId118" Type="http://schemas.openxmlformats.org/officeDocument/2006/relationships/worksheet" Target="worksheets/sheet80.xml"/><Relationship Id="rId119" Type="http://schemas.openxmlformats.org/officeDocument/2006/relationships/worksheet" Target="worksheets/sheet81.xml"/><Relationship Id="rId30" Type="http://schemas.openxmlformats.org/officeDocument/2006/relationships/chartsheet" Target="chartsheets/sheet1.xml"/><Relationship Id="rId31" Type="http://schemas.openxmlformats.org/officeDocument/2006/relationships/chartsheet" Target="chartsheets/sheet2.xml"/><Relationship Id="rId32" Type="http://schemas.openxmlformats.org/officeDocument/2006/relationships/chartsheet" Target="chartsheets/sheet3.xml"/><Relationship Id="rId33" Type="http://schemas.openxmlformats.org/officeDocument/2006/relationships/chartsheet" Target="chartsheets/sheet4.xml"/><Relationship Id="rId34" Type="http://schemas.openxmlformats.org/officeDocument/2006/relationships/chartsheet" Target="chartsheets/sheet5.xml"/><Relationship Id="rId35" Type="http://schemas.openxmlformats.org/officeDocument/2006/relationships/chartsheet" Target="chartsheets/sheet6.xml"/><Relationship Id="rId36" Type="http://schemas.openxmlformats.org/officeDocument/2006/relationships/chartsheet" Target="chartsheets/sheet7.xml"/><Relationship Id="rId37" Type="http://schemas.openxmlformats.org/officeDocument/2006/relationships/chartsheet" Target="chartsheets/sheet8.xml"/><Relationship Id="rId38" Type="http://schemas.openxmlformats.org/officeDocument/2006/relationships/chartsheet" Target="chartsheets/sheet9.xml"/><Relationship Id="rId39" Type="http://schemas.openxmlformats.org/officeDocument/2006/relationships/chartsheet" Target="chartsheets/sheet10.xml"/><Relationship Id="rId80" Type="http://schemas.openxmlformats.org/officeDocument/2006/relationships/chartsheet" Target="chartsheets/sheet33.xml"/><Relationship Id="rId81" Type="http://schemas.openxmlformats.org/officeDocument/2006/relationships/chartsheet" Target="chartsheets/sheet34.xml"/><Relationship Id="rId82" Type="http://schemas.openxmlformats.org/officeDocument/2006/relationships/chartsheet" Target="chartsheets/sheet35.xml"/><Relationship Id="rId83" Type="http://schemas.openxmlformats.org/officeDocument/2006/relationships/chartsheet" Target="chartsheets/sheet36.xml"/><Relationship Id="rId84" Type="http://schemas.openxmlformats.org/officeDocument/2006/relationships/chartsheet" Target="chartsheets/sheet37.xml"/><Relationship Id="rId85" Type="http://schemas.openxmlformats.org/officeDocument/2006/relationships/chartsheet" Target="chartsheets/sheet38.xml"/><Relationship Id="rId86" Type="http://schemas.openxmlformats.org/officeDocument/2006/relationships/worksheet" Target="worksheets/sheet48.xml"/><Relationship Id="rId87" Type="http://schemas.openxmlformats.org/officeDocument/2006/relationships/worksheet" Target="worksheets/sheet49.xml"/><Relationship Id="rId88" Type="http://schemas.openxmlformats.org/officeDocument/2006/relationships/worksheet" Target="worksheets/sheet50.xml"/><Relationship Id="rId89" Type="http://schemas.openxmlformats.org/officeDocument/2006/relationships/worksheet" Target="worksheets/sheet51.xml"/><Relationship Id="rId140" Type="http://schemas.openxmlformats.org/officeDocument/2006/relationships/worksheet" Target="worksheets/sheet102.xml"/><Relationship Id="rId141" Type="http://schemas.openxmlformats.org/officeDocument/2006/relationships/worksheet" Target="worksheets/sheet103.xml"/><Relationship Id="rId142" Type="http://schemas.openxmlformats.org/officeDocument/2006/relationships/worksheet" Target="worksheets/sheet104.xml"/><Relationship Id="rId143" Type="http://schemas.openxmlformats.org/officeDocument/2006/relationships/worksheet" Target="worksheets/sheet105.xml"/><Relationship Id="rId144" Type="http://schemas.openxmlformats.org/officeDocument/2006/relationships/worksheet" Target="worksheets/sheet106.xml"/><Relationship Id="rId145" Type="http://schemas.openxmlformats.org/officeDocument/2006/relationships/chartsheet" Target="chartsheets/sheet39.xml"/><Relationship Id="rId146" Type="http://schemas.openxmlformats.org/officeDocument/2006/relationships/chartsheet" Target="chartsheets/sheet40.xml"/><Relationship Id="rId147" Type="http://schemas.openxmlformats.org/officeDocument/2006/relationships/chartsheet" Target="chartsheets/sheet41.xml"/><Relationship Id="rId148" Type="http://schemas.openxmlformats.org/officeDocument/2006/relationships/chartsheet" Target="chartsheets/sheet42.xml"/><Relationship Id="rId149" Type="http://schemas.openxmlformats.org/officeDocument/2006/relationships/chartsheet" Target="chartsheets/sheet4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154.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158.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162.xml.rels><?xml version="1.0" encoding="UTF-8" standalone="yes"?>
<Relationships xmlns="http://schemas.openxmlformats.org/package/2006/relationships"><Relationship Id="rId1" Type="http://schemas.microsoft.com/office/2011/relationships/chartStyle" Target="style8.xml"/><Relationship Id="rId2" Type="http://schemas.microsoft.com/office/2011/relationships/chartColorStyle" Target="colors8.xml"/></Relationships>
</file>

<file path=xl/charts/_rels/chart163.xml.rels><?xml version="1.0" encoding="UTF-8" standalone="yes"?>
<Relationships xmlns="http://schemas.openxmlformats.org/package/2006/relationships"><Relationship Id="rId1" Type="http://schemas.microsoft.com/office/2011/relationships/chartStyle" Target="style9.xml"/><Relationship Id="rId2" Type="http://schemas.microsoft.com/office/2011/relationships/chartColorStyle" Target="colors9.xml"/></Relationships>
</file>

<file path=xl/charts/_rels/chart164.xml.rels><?xml version="1.0" encoding="UTF-8" standalone="yes"?>
<Relationships xmlns="http://schemas.openxmlformats.org/package/2006/relationships"><Relationship Id="rId1" Type="http://schemas.microsoft.com/office/2011/relationships/chartStyle" Target="style10.xml"/><Relationship Id="rId2" Type="http://schemas.microsoft.com/office/2011/relationships/chartColorStyle" Target="colors10.xml"/></Relationships>
</file>

<file path=xl/charts/_rels/chart165.xml.rels><?xml version="1.0" encoding="UTF-8" standalone="yes"?>
<Relationships xmlns="http://schemas.openxmlformats.org/package/2006/relationships"><Relationship Id="rId1" Type="http://schemas.microsoft.com/office/2011/relationships/chartStyle" Target="style11.xml"/><Relationship Id="rId2" Type="http://schemas.microsoft.com/office/2011/relationships/chartColorStyle" Target="colors11.xml"/></Relationships>
</file>

<file path=xl/charts/_rels/chart166.xml.rels><?xml version="1.0" encoding="UTF-8" standalone="yes"?>
<Relationships xmlns="http://schemas.openxmlformats.org/package/2006/relationships"><Relationship Id="rId1" Type="http://schemas.microsoft.com/office/2011/relationships/chartStyle" Target="style12.xml"/><Relationship Id="rId2" Type="http://schemas.microsoft.com/office/2011/relationships/chartColorStyle" Target="colors12.xml"/></Relationships>
</file>

<file path=xl/charts/_rels/chart167.xml.rels><?xml version="1.0" encoding="UTF-8" standalone="yes"?>
<Relationships xmlns="http://schemas.openxmlformats.org/package/2006/relationships"><Relationship Id="rId1" Type="http://schemas.microsoft.com/office/2011/relationships/chartStyle" Target="style13.xml"/><Relationship Id="rId2" Type="http://schemas.microsoft.com/office/2011/relationships/chartColorStyle" Target="colors13.xml"/></Relationships>
</file>

<file path=xl/charts/_rels/chart168.xml.rels><?xml version="1.0" encoding="UTF-8" standalone="yes"?>
<Relationships xmlns="http://schemas.openxmlformats.org/package/2006/relationships"><Relationship Id="rId1" Type="http://schemas.microsoft.com/office/2011/relationships/chartStyle" Target="style14.xml"/><Relationship Id="rId2" Type="http://schemas.microsoft.com/office/2011/relationships/chartColorStyle" Target="colors14.xml"/></Relationships>
</file>

<file path=xl/charts/_rels/chart169.xml.rels><?xml version="1.0" encoding="UTF-8" standalone="yes"?>
<Relationships xmlns="http://schemas.openxmlformats.org/package/2006/relationships"><Relationship Id="rId1" Type="http://schemas.microsoft.com/office/2011/relationships/chartStyle" Target="style15.xml"/><Relationship Id="rId2" Type="http://schemas.microsoft.com/office/2011/relationships/chartColorStyle" Target="colors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173.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xml"/><Relationship Id="rId2" Type="http://schemas.openxmlformats.org/officeDocument/2006/relationships/chartUserShapes" Target="../drawings/drawing27.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xml"/><Relationship Id="rId2" Type="http://schemas.openxmlformats.org/officeDocument/2006/relationships/chartUserShapes" Target="../drawings/drawing29.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3.xml"/><Relationship Id="rId2" Type="http://schemas.openxmlformats.org/officeDocument/2006/relationships/chartUserShapes" Target="../drawings/drawing31.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4.xml"/><Relationship Id="rId2" Type="http://schemas.openxmlformats.org/officeDocument/2006/relationships/chartUserShapes" Target="../drawings/drawing33.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5.xml"/><Relationship Id="rId2" Type="http://schemas.openxmlformats.org/officeDocument/2006/relationships/chartUserShapes" Target="../drawings/drawing35.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6.xml"/><Relationship Id="rId2" Type="http://schemas.openxmlformats.org/officeDocument/2006/relationships/chartUserShapes" Target="../drawings/drawing37.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Tax rate FDIUS</c:v>
          </c:tx>
          <c:marker>
            <c:symbol val="none"/>
          </c:marker>
          <c:cat>
            <c:strRef>
              <c:f>T.A4!$A$67:$A$70</c:f>
              <c:strCache>
                <c:ptCount val="4"/>
                <c:pt idx="0">
                  <c:v>1980-89</c:v>
                </c:pt>
                <c:pt idx="1">
                  <c:v>1990-99</c:v>
                </c:pt>
                <c:pt idx="2">
                  <c:v>2000-09</c:v>
                </c:pt>
                <c:pt idx="3">
                  <c:v>2010-15</c:v>
                </c:pt>
              </c:strCache>
            </c:strRef>
          </c:cat>
          <c:val>
            <c:numRef>
              <c:f>T.A4!$C$67:$C$70</c:f>
              <c:numCache>
                <c:formatCode>0%</c:formatCode>
                <c:ptCount val="4"/>
                <c:pt idx="0">
                  <c:v>0.517696856065916</c:v>
                </c:pt>
                <c:pt idx="1">
                  <c:v>0.576601834311101</c:v>
                </c:pt>
                <c:pt idx="2">
                  <c:v>0.330153878363679</c:v>
                </c:pt>
                <c:pt idx="3">
                  <c:v>0.997070321557951</c:v>
                </c:pt>
              </c:numCache>
            </c:numRef>
          </c:val>
          <c:smooth val="0"/>
        </c:ser>
        <c:ser>
          <c:idx val="1"/>
          <c:order val="1"/>
          <c:tx>
            <c:v>Tax rate USDIA non oil</c:v>
          </c:tx>
          <c:marker>
            <c:symbol val="none"/>
          </c:marker>
          <c:cat>
            <c:strRef>
              <c:f>T.A4!$A$67:$A$70</c:f>
              <c:strCache>
                <c:ptCount val="4"/>
                <c:pt idx="0">
                  <c:v>1980-89</c:v>
                </c:pt>
                <c:pt idx="1">
                  <c:v>1990-99</c:v>
                </c:pt>
                <c:pt idx="2">
                  <c:v>2000-09</c:v>
                </c:pt>
                <c:pt idx="3">
                  <c:v>2010-15</c:v>
                </c:pt>
              </c:strCache>
            </c:strRef>
          </c:cat>
          <c:val>
            <c:numRef>
              <c:f>T.A4!$D$67:$D$70</c:f>
              <c:numCache>
                <c:formatCode>0%</c:formatCode>
                <c:ptCount val="4"/>
                <c:pt idx="0">
                  <c:v>0.362060134569654</c:v>
                </c:pt>
                <c:pt idx="1">
                  <c:v>0.325888977404403</c:v>
                </c:pt>
                <c:pt idx="2">
                  <c:v>0.260534434816715</c:v>
                </c:pt>
                <c:pt idx="3">
                  <c:v>0.206258319943597</c:v>
                </c:pt>
              </c:numCache>
            </c:numRef>
          </c:val>
          <c:smooth val="0"/>
        </c:ser>
        <c:ser>
          <c:idx val="2"/>
          <c:order val="2"/>
          <c:tx>
            <c:v>Tax rate USDIA</c:v>
          </c:tx>
          <c:marker>
            <c:symbol val="none"/>
          </c:marker>
          <c:val>
            <c:numRef>
              <c:f>T.A4!$E$67:$E$70</c:f>
              <c:numCache>
                <c:formatCode>0%</c:formatCode>
                <c:ptCount val="4"/>
                <c:pt idx="0">
                  <c:v>0.468826868473086</c:v>
                </c:pt>
                <c:pt idx="1">
                  <c:v>0.34181142987713</c:v>
                </c:pt>
                <c:pt idx="2">
                  <c:v>0.307541896347895</c:v>
                </c:pt>
                <c:pt idx="3">
                  <c:v>0.260468009808346</c:v>
                </c:pt>
              </c:numCache>
            </c:numRef>
          </c:val>
          <c:smooth val="0"/>
        </c:ser>
        <c:dLbls>
          <c:showLegendKey val="0"/>
          <c:showVal val="0"/>
          <c:showCatName val="0"/>
          <c:showSerName val="0"/>
          <c:showPercent val="0"/>
          <c:showBubbleSize val="0"/>
        </c:dLbls>
        <c:marker val="1"/>
        <c:smooth val="0"/>
        <c:axId val="-2105733992"/>
        <c:axId val="-2105730952"/>
      </c:lineChart>
      <c:catAx>
        <c:axId val="-2105733992"/>
        <c:scaling>
          <c:orientation val="minMax"/>
        </c:scaling>
        <c:delete val="0"/>
        <c:axPos val="b"/>
        <c:numFmt formatCode="General" sourceLinked="0"/>
        <c:majorTickMark val="out"/>
        <c:minorTickMark val="none"/>
        <c:tickLblPos val="nextTo"/>
        <c:crossAx val="-2105730952"/>
        <c:crosses val="autoZero"/>
        <c:auto val="1"/>
        <c:lblAlgn val="ctr"/>
        <c:lblOffset val="100"/>
        <c:noMultiLvlLbl val="0"/>
      </c:catAx>
      <c:valAx>
        <c:axId val="-2105730952"/>
        <c:scaling>
          <c:orientation val="minMax"/>
        </c:scaling>
        <c:delete val="0"/>
        <c:axPos val="l"/>
        <c:majorGridlines/>
        <c:numFmt formatCode="0%" sourceLinked="1"/>
        <c:majorTickMark val="out"/>
        <c:minorTickMark val="none"/>
        <c:tickLblPos val="nextTo"/>
        <c:crossAx val="-2105733992"/>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000"/>
              <a:t>Figure A.0: The</a:t>
            </a:r>
            <a:r>
              <a:rPr lang="en-US" sz="2000" baseline="0"/>
              <a:t> net foreign assets and income of the United States </a:t>
            </a:r>
            <a:r>
              <a:rPr lang="en-US" sz="2000" b="0" baseline="0"/>
              <a:t>(% of U.S. national income)</a:t>
            </a:r>
            <a:endParaRPr lang="en-US" sz="2000" b="0"/>
          </a:p>
        </c:rich>
      </c:tx>
      <c:layout>
        <c:manualLayout>
          <c:xMode val="edge"/>
          <c:yMode val="edge"/>
          <c:x val="0.139784193642461"/>
          <c:y val="0.0"/>
        </c:manualLayout>
      </c:layout>
      <c:overlay val="0"/>
    </c:title>
    <c:autoTitleDeleted val="0"/>
    <c:plotArea>
      <c:layout>
        <c:manualLayout>
          <c:layoutTarget val="inner"/>
          <c:xMode val="edge"/>
          <c:yMode val="edge"/>
          <c:x val="0.0905280839895013"/>
          <c:y val="0.138071466556876"/>
          <c:w val="0.843968737241178"/>
          <c:h val="0.77728097713276"/>
        </c:manualLayout>
      </c:layout>
      <c:lineChart>
        <c:grouping val="standard"/>
        <c:varyColors val="0"/>
        <c:ser>
          <c:idx val="0"/>
          <c:order val="0"/>
          <c:spPr>
            <a:ln w="38100">
              <a:solidFill>
                <a:schemeClr val="accent2">
                  <a:lumMod val="75000"/>
                </a:schemeClr>
              </a:solidFill>
            </a:ln>
          </c:spPr>
          <c:marker>
            <c:symbol val="none"/>
          </c:marker>
          <c:cat>
            <c:numLit>
              <c:formatCode>General</c:formatCode>
              <c:ptCount val="52"/>
              <c:pt idx="0">
                <c:v>1965.0</c:v>
              </c:pt>
              <c:pt idx="1">
                <c:v>1966.0</c:v>
              </c:pt>
              <c:pt idx="2">
                <c:v>1967.0</c:v>
              </c:pt>
              <c:pt idx="3">
                <c:v>1968.0</c:v>
              </c:pt>
              <c:pt idx="4">
                <c:v>1969.0</c:v>
              </c:pt>
              <c:pt idx="5">
                <c:v>1970.0</c:v>
              </c:pt>
              <c:pt idx="6">
                <c:v>1971.0</c:v>
              </c:pt>
              <c:pt idx="7">
                <c:v>1972.0</c:v>
              </c:pt>
              <c:pt idx="8">
                <c:v>1973.0</c:v>
              </c:pt>
              <c:pt idx="9">
                <c:v>1974.0</c:v>
              </c:pt>
              <c:pt idx="10">
                <c:v>1975.0</c:v>
              </c:pt>
              <c:pt idx="11">
                <c:v>1976.0</c:v>
              </c:pt>
              <c:pt idx="12">
                <c:v>1977.0</c:v>
              </c:pt>
              <c:pt idx="13">
                <c:v>1978.0</c:v>
              </c:pt>
              <c:pt idx="14">
                <c:v>1979.0</c:v>
              </c:pt>
              <c:pt idx="15">
                <c:v>1980.0</c:v>
              </c:pt>
              <c:pt idx="16">
                <c:v>1981.0</c:v>
              </c:pt>
              <c:pt idx="17">
                <c:v>1982.0</c:v>
              </c:pt>
              <c:pt idx="18">
                <c:v>1983.0</c:v>
              </c:pt>
              <c:pt idx="19">
                <c:v>1984.0</c:v>
              </c:pt>
              <c:pt idx="20">
                <c:v>1985.0</c:v>
              </c:pt>
              <c:pt idx="21">
                <c:v>1986.0</c:v>
              </c:pt>
              <c:pt idx="22">
                <c:v>1987.0</c:v>
              </c:pt>
              <c:pt idx="23">
                <c:v>1988.0</c:v>
              </c:pt>
              <c:pt idx="24">
                <c:v>1989.0</c:v>
              </c:pt>
              <c:pt idx="25">
                <c:v>1990.0</c:v>
              </c:pt>
              <c:pt idx="26">
                <c:v>1991.0</c:v>
              </c:pt>
              <c:pt idx="27">
                <c:v>1992.0</c:v>
              </c:pt>
              <c:pt idx="28">
                <c:v>1993.0</c:v>
              </c:pt>
              <c:pt idx="29">
                <c:v>1994.0</c:v>
              </c:pt>
              <c:pt idx="30">
                <c:v>1995.0</c:v>
              </c:pt>
              <c:pt idx="31">
                <c:v>1996.0</c:v>
              </c:pt>
              <c:pt idx="32">
                <c:v>1997.0</c:v>
              </c:pt>
              <c:pt idx="33">
                <c:v>1998.0</c:v>
              </c:pt>
              <c:pt idx="34">
                <c:v>1999.0</c:v>
              </c:pt>
              <c:pt idx="35">
                <c:v>2000.0</c:v>
              </c:pt>
              <c:pt idx="36">
                <c:v>2001.0</c:v>
              </c:pt>
              <c:pt idx="37">
                <c:v>2002.0</c:v>
              </c:pt>
              <c:pt idx="38">
                <c:v>2003.0</c:v>
              </c:pt>
              <c:pt idx="39">
                <c:v>2004.0</c:v>
              </c:pt>
              <c:pt idx="40">
                <c:v>2005.0</c:v>
              </c:pt>
              <c:pt idx="41">
                <c:v>2006.0</c:v>
              </c:pt>
              <c:pt idx="42">
                <c:v>2007.0</c:v>
              </c:pt>
              <c:pt idx="43">
                <c:v>2008.0</c:v>
              </c:pt>
              <c:pt idx="44">
                <c:v>2009.0</c:v>
              </c:pt>
              <c:pt idx="45">
                <c:v>2010.0</c:v>
              </c:pt>
              <c:pt idx="46">
                <c:v>2011.0</c:v>
              </c:pt>
              <c:pt idx="47">
                <c:v>2012.0</c:v>
              </c:pt>
              <c:pt idx="48">
                <c:v>2013.0</c:v>
              </c:pt>
              <c:pt idx="49">
                <c:v>2014.0</c:v>
              </c:pt>
              <c:pt idx="50">
                <c:v>2015.0</c:v>
              </c:pt>
              <c:pt idx="51">
                <c:v>2016.0</c:v>
              </c:pt>
            </c:numLit>
          </c:cat>
          <c:val>
            <c:numLit>
              <c:formatCode>0%</c:formatCode>
              <c:ptCount val="52"/>
              <c:pt idx="1">
                <c:v>0.0865931297402045</c:v>
              </c:pt>
              <c:pt idx="2">
                <c:v>0.0875531734634275</c:v>
              </c:pt>
              <c:pt idx="3">
                <c:v>0.0890346959190237</c:v>
              </c:pt>
              <c:pt idx="4">
                <c:v>0.0841900780866323</c:v>
              </c:pt>
              <c:pt idx="5">
                <c:v>0.0804012420032486</c:v>
              </c:pt>
              <c:pt idx="6">
                <c:v>0.0662992226236286</c:v>
              </c:pt>
              <c:pt idx="7">
                <c:v>0.0487735197677931</c:v>
              </c:pt>
              <c:pt idx="8">
                <c:v>0.0400461856164139</c:v>
              </c:pt>
              <c:pt idx="9">
                <c:v>0.0251070033475998</c:v>
              </c:pt>
              <c:pt idx="10">
                <c:v>0.0385724303759483</c:v>
              </c:pt>
              <c:pt idx="11">
                <c:v>0.0269971513500124</c:v>
              </c:pt>
              <c:pt idx="12">
                <c:v>0.0293567576583088</c:v>
              </c:pt>
              <c:pt idx="13">
                <c:v>0.0324163751908961</c:v>
              </c:pt>
              <c:pt idx="14">
                <c:v>0.0430451027488658</c:v>
              </c:pt>
              <c:pt idx="15">
                <c:v>0.0581201582330641</c:v>
              </c:pt>
              <c:pt idx="16">
                <c:v>0.0445788178244737</c:v>
              </c:pt>
              <c:pt idx="17">
                <c:v>0.0414487396141388</c:v>
              </c:pt>
              <c:pt idx="18">
                <c:v>0.0526090508086914</c:v>
              </c:pt>
              <c:pt idx="19">
                <c:v>0.0171132404181185</c:v>
              </c:pt>
              <c:pt idx="20">
                <c:v>0.00500705716302051</c:v>
              </c:pt>
              <c:pt idx="21">
                <c:v>0.00176809937113455</c:v>
              </c:pt>
              <c:pt idx="22">
                <c:v>-0.0165158283161779</c:v>
              </c:pt>
              <c:pt idx="23">
                <c:v>-0.0191291672230382</c:v>
              </c:pt>
              <c:pt idx="24">
                <c:v>-0.0290403998159843</c:v>
              </c:pt>
              <c:pt idx="25">
                <c:v>-0.0500246222275173</c:v>
              </c:pt>
              <c:pt idx="26">
                <c:v>-0.0647644665548292</c:v>
              </c:pt>
              <c:pt idx="27">
                <c:v>-0.0944227866974562</c:v>
              </c:pt>
              <c:pt idx="28">
                <c:v>-0.0389810245360395</c:v>
              </c:pt>
              <c:pt idx="29">
                <c:v>-0.0342694049053776</c:v>
              </c:pt>
              <c:pt idx="30">
                <c:v>-0.0584684003395324</c:v>
              </c:pt>
              <c:pt idx="31">
                <c:v>-0.0616001391425341</c:v>
              </c:pt>
              <c:pt idx="32">
                <c:v>-0.117087691724026</c:v>
              </c:pt>
              <c:pt idx="33">
                <c:v>-0.141151031524824</c:v>
              </c:pt>
              <c:pt idx="34">
                <c:v>-0.12952501081159</c:v>
              </c:pt>
              <c:pt idx="35">
                <c:v>-0.180602335241945</c:v>
              </c:pt>
              <c:pt idx="36">
                <c:v>-0.257755155368769</c:v>
              </c:pt>
              <c:pt idx="37">
                <c:v>-0.265106497965412</c:v>
              </c:pt>
              <c:pt idx="38">
                <c:v>-0.24349455607145</c:v>
              </c:pt>
              <c:pt idx="39">
                <c:v>-0.235021582597311</c:v>
              </c:pt>
              <c:pt idx="40">
                <c:v>-0.177230911582057</c:v>
              </c:pt>
              <c:pt idx="41">
                <c:v>-0.164412651606024</c:v>
              </c:pt>
              <c:pt idx="42">
                <c:v>-0.121537974580811</c:v>
              </c:pt>
              <c:pt idx="43">
                <c:v>-0.339781860023496</c:v>
              </c:pt>
              <c:pt idx="44">
                <c:v>-0.240143657070286</c:v>
              </c:pt>
              <c:pt idx="45">
                <c:v>-0.226015542211233</c:v>
              </c:pt>
              <c:pt idx="46">
                <c:v>-0.363634130449436</c:v>
              </c:pt>
              <c:pt idx="47">
                <c:v>-0.352138260121321</c:v>
              </c:pt>
              <c:pt idx="48">
                <c:v>-0.393749238480283</c:v>
              </c:pt>
              <c:pt idx="49">
                <c:v>-0.48174940570523</c:v>
              </c:pt>
              <c:pt idx="50">
                <c:v>-0.493701745914763</c:v>
              </c:pt>
              <c:pt idx="51">
                <c:v>-0.536971592324944</c:v>
              </c:pt>
            </c:numLit>
          </c:val>
          <c:smooth val="0"/>
        </c:ser>
        <c:dLbls>
          <c:showLegendKey val="0"/>
          <c:showVal val="0"/>
          <c:showCatName val="0"/>
          <c:showSerName val="0"/>
          <c:showPercent val="0"/>
          <c:showBubbleSize val="0"/>
        </c:dLbls>
        <c:marker val="1"/>
        <c:smooth val="0"/>
        <c:axId val="-2113465752"/>
        <c:axId val="-2113462488"/>
      </c:lineChart>
      <c:lineChart>
        <c:grouping val="standard"/>
        <c:varyColors val="0"/>
        <c:ser>
          <c:idx val="1"/>
          <c:order val="1"/>
          <c:spPr>
            <a:ln w="38100">
              <a:solidFill>
                <a:schemeClr val="tx2">
                  <a:lumMod val="75000"/>
                </a:schemeClr>
              </a:solidFill>
            </a:ln>
          </c:spPr>
          <c:marker>
            <c:symbol val="none"/>
          </c:marker>
          <c:val>
            <c:numLit>
              <c:formatCode>0%</c:formatCode>
              <c:ptCount val="52"/>
              <c:pt idx="1">
                <c:v>0.00701125468945394</c:v>
              </c:pt>
              <c:pt idx="2">
                <c:v>0.00693764798737174</c:v>
              </c:pt>
              <c:pt idx="3">
                <c:v>0.00719865400793174</c:v>
              </c:pt>
              <c:pt idx="4">
                <c:v>0.00671928849360756</c:v>
              </c:pt>
              <c:pt idx="5">
                <c:v>0.00663120944580363</c:v>
              </c:pt>
              <c:pt idx="6">
                <c:v>0.00714847590953785</c:v>
              </c:pt>
              <c:pt idx="7">
                <c:v>0.00729474621549421</c:v>
              </c:pt>
              <c:pt idx="8">
                <c:v>0.00966825775656324</c:v>
              </c:pt>
              <c:pt idx="9">
                <c:v>0.0114769025762511</c:v>
              </c:pt>
              <c:pt idx="10">
                <c:v>0.00881124664047963</c:v>
              </c:pt>
              <c:pt idx="11">
                <c:v>0.00994674263066633</c:v>
              </c:pt>
              <c:pt idx="12">
                <c:v>0.010083393562017</c:v>
              </c:pt>
              <c:pt idx="13">
                <c:v>0.0100532045913592</c:v>
              </c:pt>
              <c:pt idx="14">
                <c:v>0.013732763988969</c:v>
              </c:pt>
              <c:pt idx="15">
                <c:v>0.0123916268336905</c:v>
              </c:pt>
              <c:pt idx="16">
                <c:v>0.0120873590242827</c:v>
              </c:pt>
              <c:pt idx="17">
                <c:v>0.0123795944233207</c:v>
              </c:pt>
              <c:pt idx="18">
                <c:v>0.0118895605293253</c:v>
              </c:pt>
              <c:pt idx="19">
                <c:v>0.010181475029036</c:v>
              </c:pt>
              <c:pt idx="20">
                <c:v>0.00698170566201618</c:v>
              </c:pt>
              <c:pt idx="21">
                <c:v>0.00448625331323736</c:v>
              </c:pt>
              <c:pt idx="22">
                <c:v>0.00379636822684016</c:v>
              </c:pt>
              <c:pt idx="23">
                <c:v>0.00434793252325633</c:v>
              </c:pt>
              <c:pt idx="24">
                <c:v>0.00441073146250679</c:v>
              </c:pt>
              <c:pt idx="25">
                <c:v>0.00612398482953079</c:v>
              </c:pt>
              <c:pt idx="26">
                <c:v>0.0051801932087696</c:v>
              </c:pt>
              <c:pt idx="27">
                <c:v>0.00494445151553721</c:v>
              </c:pt>
              <c:pt idx="28">
                <c:v>0.00497515117814694</c:v>
              </c:pt>
              <c:pt idx="29">
                <c:v>0.00344516465261718</c:v>
              </c:pt>
              <c:pt idx="30">
                <c:v>0.00385430974612238</c:v>
              </c:pt>
              <c:pt idx="31">
                <c:v>0.0038317824738383</c:v>
              </c:pt>
              <c:pt idx="32">
                <c:v>0.0023038046718335</c:v>
              </c:pt>
              <c:pt idx="33">
                <c:v>0.00112290481463098</c:v>
              </c:pt>
              <c:pt idx="34">
                <c:v>0.00219799625198212</c:v>
              </c:pt>
              <c:pt idx="35">
                <c:v>0.00276512855057819</c:v>
              </c:pt>
              <c:pt idx="36">
                <c:v>0.00378143849487185</c:v>
              </c:pt>
              <c:pt idx="37">
                <c:v>0.00322747117667006</c:v>
              </c:pt>
              <c:pt idx="38">
                <c:v>0.00435443320289531</c:v>
              </c:pt>
              <c:pt idx="39">
                <c:v>0.00599047519661509</c:v>
              </c:pt>
              <c:pt idx="40">
                <c:v>0.00578391074574281</c:v>
              </c:pt>
              <c:pt idx="41">
                <c:v>0.00318697520991603</c:v>
              </c:pt>
              <c:pt idx="42">
                <c:v>0.00775139188728554</c:v>
              </c:pt>
              <c:pt idx="43">
                <c:v>0.0113733726001384</c:v>
              </c:pt>
              <c:pt idx="44">
                <c:v>0.0102125168025994</c:v>
              </c:pt>
              <c:pt idx="45">
                <c:v>0.0138350798696966</c:v>
              </c:pt>
              <c:pt idx="46">
                <c:v>0.0164138013675547</c:v>
              </c:pt>
              <c:pt idx="47">
                <c:v>0.0153691179712557</c:v>
              </c:pt>
              <c:pt idx="48">
                <c:v>0.0149112483385024</c:v>
              </c:pt>
              <c:pt idx="49">
                <c:v>0.0146150950871632</c:v>
              </c:pt>
              <c:pt idx="50">
                <c:v>0.0122428778367938</c:v>
              </c:pt>
              <c:pt idx="51">
                <c:v>0.0116385497134313</c:v>
              </c:pt>
            </c:numLit>
          </c:val>
          <c:smooth val="0"/>
        </c:ser>
        <c:dLbls>
          <c:showLegendKey val="0"/>
          <c:showVal val="0"/>
          <c:showCatName val="0"/>
          <c:showSerName val="0"/>
          <c:showPercent val="0"/>
          <c:showBubbleSize val="0"/>
        </c:dLbls>
        <c:marker val="1"/>
        <c:smooth val="0"/>
        <c:axId val="-2113468104"/>
        <c:axId val="-2113471368"/>
      </c:lineChart>
      <c:catAx>
        <c:axId val="-2113465752"/>
        <c:scaling>
          <c:orientation val="minMax"/>
        </c:scaling>
        <c:delete val="0"/>
        <c:axPos val="b"/>
        <c:numFmt formatCode="General" sourceLinked="1"/>
        <c:majorTickMark val="none"/>
        <c:minorTickMark val="none"/>
        <c:tickLblPos val="low"/>
        <c:spPr>
          <a:ln w="3175">
            <a:solidFill>
              <a:schemeClr val="tx1"/>
            </a:solidFill>
          </a:ln>
        </c:spPr>
        <c:txPr>
          <a:bodyPr rot="0" vert="horz"/>
          <a:lstStyle/>
          <a:p>
            <a:pPr>
              <a:defRPr sz="1600"/>
            </a:pPr>
            <a:endParaRPr lang="fr-FR"/>
          </a:p>
        </c:txPr>
        <c:crossAx val="-2113462488"/>
        <c:crosses val="autoZero"/>
        <c:auto val="1"/>
        <c:lblAlgn val="ctr"/>
        <c:lblOffset val="100"/>
        <c:tickLblSkip val="5"/>
        <c:tickMarkSkip val="5"/>
        <c:noMultiLvlLbl val="0"/>
      </c:catAx>
      <c:valAx>
        <c:axId val="-2113462488"/>
        <c:scaling>
          <c:orientation val="minMax"/>
        </c:scaling>
        <c:delete val="0"/>
        <c:axPos val="l"/>
        <c:numFmt formatCode="0%" sourceLinked="0"/>
        <c:majorTickMark val="none"/>
        <c:minorTickMark val="none"/>
        <c:tickLblPos val="nextTo"/>
        <c:txPr>
          <a:bodyPr/>
          <a:lstStyle/>
          <a:p>
            <a:pPr>
              <a:defRPr sz="1600"/>
            </a:pPr>
            <a:endParaRPr lang="fr-FR"/>
          </a:p>
        </c:txPr>
        <c:crossAx val="-2113465752"/>
        <c:crosses val="autoZero"/>
        <c:crossBetween val="between"/>
      </c:valAx>
      <c:valAx>
        <c:axId val="-2113471368"/>
        <c:scaling>
          <c:orientation val="minMax"/>
          <c:max val="0.02"/>
          <c:min val="-0.06"/>
        </c:scaling>
        <c:delete val="0"/>
        <c:axPos val="r"/>
        <c:numFmt formatCode="0%" sourceLinked="0"/>
        <c:majorTickMark val="none"/>
        <c:minorTickMark val="none"/>
        <c:tickLblPos val="nextTo"/>
        <c:txPr>
          <a:bodyPr/>
          <a:lstStyle/>
          <a:p>
            <a:pPr>
              <a:defRPr sz="1600"/>
            </a:pPr>
            <a:endParaRPr lang="fr-FR"/>
          </a:p>
        </c:txPr>
        <c:crossAx val="-2113468104"/>
        <c:crosses val="max"/>
        <c:crossBetween val="between"/>
      </c:valAx>
      <c:catAx>
        <c:axId val="-2113468104"/>
        <c:scaling>
          <c:orientation val="minMax"/>
        </c:scaling>
        <c:delete val="1"/>
        <c:axPos val="b"/>
        <c:numFmt formatCode="General" sourceLinked="1"/>
        <c:majorTickMark val="out"/>
        <c:minorTickMark val="none"/>
        <c:tickLblPos val="nextTo"/>
        <c:crossAx val="-2113471368"/>
        <c:crosses val="autoZero"/>
        <c:auto val="1"/>
        <c:lblAlgn val="ctr"/>
        <c:lblOffset val="100"/>
        <c:noMultiLvlLbl val="0"/>
      </c:catAx>
      <c:spPr>
        <a:ln>
          <a:solidFill>
            <a:schemeClr val="bg1">
              <a:lumMod val="85000"/>
            </a:schemeClr>
          </a:solidFill>
        </a:ln>
      </c:spPr>
    </c:plotArea>
    <c:plotVisOnly val="1"/>
    <c:dispBlanksAs val="gap"/>
    <c:showDLblsOverMax val="0"/>
  </c:chart>
  <c:spPr>
    <a:ln>
      <a:noFill/>
    </a:ln>
  </c:spPr>
  <c:txPr>
    <a:bodyPr/>
    <a:lstStyle/>
    <a:p>
      <a:pPr>
        <a:defRPr>
          <a:latin typeface="Arial"/>
          <a:cs typeface="Arial"/>
        </a:defRPr>
      </a:pPr>
      <a:endParaRPr lang="fr-FR"/>
    </a:p>
  </c:txPr>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lineChart>
        <c:grouping val="standard"/>
        <c:varyColors val="0"/>
        <c:ser>
          <c:idx val="0"/>
          <c:order val="0"/>
          <c:tx>
            <c:strRef>
              <c:f>'Assets(MOFA)'!$N$3</c:f>
              <c:strCache>
                <c:ptCount val="1"/>
                <c:pt idx="0">
                  <c:v>Share oil in comp</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'Assets(MOFA)'!$N$11:$N$60</c:f>
              <c:numCache>
                <c:formatCode>0%</c:formatCode>
                <c:ptCount val="50"/>
                <c:pt idx="0">
                  <c:v>0.114630361173815</c:v>
                </c:pt>
                <c:pt idx="1">
                  <c:v>0.106235862538463</c:v>
                </c:pt>
                <c:pt idx="2">
                  <c:v>0.0978413639031115</c:v>
                </c:pt>
                <c:pt idx="3">
                  <c:v>0.0894468652677598</c:v>
                </c:pt>
                <c:pt idx="4">
                  <c:v>0.0810523666324081</c:v>
                </c:pt>
                <c:pt idx="5">
                  <c:v>0.0811738540055448</c:v>
                </c:pt>
                <c:pt idx="6">
                  <c:v>0.0812953413786814</c:v>
                </c:pt>
                <c:pt idx="7">
                  <c:v>0.081416828751818</c:v>
                </c:pt>
                <c:pt idx="8">
                  <c:v>0.0815383161249547</c:v>
                </c:pt>
                <c:pt idx="9">
                  <c:v>0.0816598034980913</c:v>
                </c:pt>
                <c:pt idx="10">
                  <c:v>0.0817812908712279</c:v>
                </c:pt>
                <c:pt idx="11">
                  <c:v>0.0819027782443645</c:v>
                </c:pt>
                <c:pt idx="12">
                  <c:v>0.0819027782443645</c:v>
                </c:pt>
                <c:pt idx="13">
                  <c:v>0.0931208675727519</c:v>
                </c:pt>
                <c:pt idx="14">
                  <c:v>0.104338956901139</c:v>
                </c:pt>
                <c:pt idx="15">
                  <c:v>0.115557046229527</c:v>
                </c:pt>
                <c:pt idx="16">
                  <c:v>0.115557046229527</c:v>
                </c:pt>
                <c:pt idx="17">
                  <c:v>0.119050811100684</c:v>
                </c:pt>
                <c:pt idx="18">
                  <c:v>0.115185282786834</c:v>
                </c:pt>
                <c:pt idx="19">
                  <c:v>0.105893186003683</c:v>
                </c:pt>
                <c:pt idx="20">
                  <c:v>0.0923010051616408</c:v>
                </c:pt>
                <c:pt idx="21">
                  <c:v>0.0803114213101695</c:v>
                </c:pt>
                <c:pt idx="22">
                  <c:v>0.0755505970123831</c:v>
                </c:pt>
                <c:pt idx="23">
                  <c:v>0.0699807641534342</c:v>
                </c:pt>
                <c:pt idx="24">
                  <c:v>0.0522671150803371</c:v>
                </c:pt>
                <c:pt idx="25">
                  <c:v>0.0510238502767332</c:v>
                </c:pt>
                <c:pt idx="26">
                  <c:v>0.0501665929529707</c:v>
                </c:pt>
                <c:pt idx="27">
                  <c:v>0.0479188695568586</c:v>
                </c:pt>
                <c:pt idx="28">
                  <c:v>0.044631817463819</c:v>
                </c:pt>
                <c:pt idx="29">
                  <c:v>0.0423232732935739</c:v>
                </c:pt>
                <c:pt idx="30">
                  <c:v>0.0419703526553544</c:v>
                </c:pt>
                <c:pt idx="31">
                  <c:v>0.0419846283043669</c:v>
                </c:pt>
                <c:pt idx="32">
                  <c:v>0.0386317889524217</c:v>
                </c:pt>
                <c:pt idx="33">
                  <c:v>0.0251056201284309</c:v>
                </c:pt>
                <c:pt idx="34">
                  <c:v>0.0259195204377822</c:v>
                </c:pt>
                <c:pt idx="35">
                  <c:v>0.0247254511592062</c:v>
                </c:pt>
                <c:pt idx="36">
                  <c:v>0.025487228496313</c:v>
                </c:pt>
                <c:pt idx="37">
                  <c:v>0.0256762187604302</c:v>
                </c:pt>
                <c:pt idx="38">
                  <c:v>0.0238153398895634</c:v>
                </c:pt>
                <c:pt idx="39">
                  <c:v>0.0215550210063074</c:v>
                </c:pt>
                <c:pt idx="40">
                  <c:v>0.0209888763559259</c:v>
                </c:pt>
                <c:pt idx="41">
                  <c:v>0.0224883307531787</c:v>
                </c:pt>
                <c:pt idx="42">
                  <c:v>0.0238904182252179</c:v>
                </c:pt>
                <c:pt idx="43">
                  <c:v>0.0242282295489388</c:v>
                </c:pt>
                <c:pt idx="44">
                  <c:v>0.0248324146271795</c:v>
                </c:pt>
                <c:pt idx="45">
                  <c:v>0.0244449353190241</c:v>
                </c:pt>
                <c:pt idx="46">
                  <c:v>0.0220036627796108</c:v>
                </c:pt>
                <c:pt idx="47">
                  <c:v>0.0221474175837826</c:v>
                </c:pt>
                <c:pt idx="48">
                  <c:v>0.0198199024260686</c:v>
                </c:pt>
                <c:pt idx="49">
                  <c:v>0.019682322700486</c:v>
                </c:pt>
              </c:numCache>
            </c:numRef>
          </c:val>
          <c:smooth val="0"/>
        </c:ser>
        <c:dLbls>
          <c:showLegendKey val="0"/>
          <c:showVal val="0"/>
          <c:showCatName val="0"/>
          <c:showSerName val="0"/>
          <c:showPercent val="0"/>
          <c:showBubbleSize val="0"/>
        </c:dLbls>
        <c:marker val="1"/>
        <c:smooth val="0"/>
        <c:axId val="-2102250424"/>
        <c:axId val="-2102259608"/>
      </c:lineChart>
      <c:catAx>
        <c:axId val="-2102250424"/>
        <c:scaling>
          <c:orientation val="minMax"/>
        </c:scaling>
        <c:delete val="0"/>
        <c:axPos val="b"/>
        <c:numFmt formatCode="General" sourceLinked="1"/>
        <c:majorTickMark val="out"/>
        <c:minorTickMark val="none"/>
        <c:tickLblPos val="nextTo"/>
        <c:crossAx val="-2102259608"/>
        <c:crosses val="autoZero"/>
        <c:auto val="1"/>
        <c:lblAlgn val="ctr"/>
        <c:lblOffset val="100"/>
        <c:noMultiLvlLbl val="0"/>
      </c:catAx>
      <c:valAx>
        <c:axId val="-2102259608"/>
        <c:scaling>
          <c:orientation val="minMax"/>
        </c:scaling>
        <c:delete val="0"/>
        <c:axPos val="l"/>
        <c:majorGridlines/>
        <c:numFmt formatCode="0%" sourceLinked="1"/>
        <c:majorTickMark val="out"/>
        <c:minorTickMark val="none"/>
        <c:tickLblPos val="nextTo"/>
        <c:crossAx val="-2102250424"/>
        <c:crosses val="autoZero"/>
        <c:crossBetween val="between"/>
      </c:valAx>
    </c:plotArea>
    <c:plotVisOnly val="1"/>
    <c:dispBlanksAs val="gap"/>
    <c:showDLblsOverMax val="0"/>
  </c:chart>
  <c:printSettings>
    <c:headerFooter/>
    <c:pageMargins b="1.0" l="0.75" r="0.75" t="1.0"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7303587051619"/>
          <c:y val="0.0601851851851852"/>
          <c:w val="0.869198381452318"/>
          <c:h val="0.78080271216098"/>
        </c:manualLayout>
      </c:layout>
      <c:lineChart>
        <c:grouping val="standard"/>
        <c:varyColors val="0"/>
        <c:ser>
          <c:idx val="0"/>
          <c:order val="0"/>
          <c:tx>
            <c:strRef>
              <c:f>'Assets(MOFA)'!$EB$3</c:f>
              <c:strCache>
                <c:ptCount val="1"/>
                <c:pt idx="0">
                  <c:v>Havens excl. Oil</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'Assets(MOFA)'!$EB$11:$EB$60</c:f>
              <c:numCache>
                <c:formatCode>0%</c:formatCode>
                <c:ptCount val="50"/>
                <c:pt idx="0">
                  <c:v>0.495081072086241</c:v>
                </c:pt>
                <c:pt idx="1">
                  <c:v>0.530858760214832</c:v>
                </c:pt>
                <c:pt idx="2">
                  <c:v>0.525888290400909</c:v>
                </c:pt>
                <c:pt idx="3">
                  <c:v>0.553323269590012</c:v>
                </c:pt>
                <c:pt idx="4">
                  <c:v>0.701717159955083</c:v>
                </c:pt>
                <c:pt idx="5">
                  <c:v>0.828849210409123</c:v>
                </c:pt>
                <c:pt idx="6">
                  <c:v>0.828544520316032</c:v>
                </c:pt>
                <c:pt idx="7">
                  <c:v>0.877446104213799</c:v>
                </c:pt>
                <c:pt idx="8">
                  <c:v>0.879108960902101</c:v>
                </c:pt>
                <c:pt idx="9">
                  <c:v>0.848875880239944</c:v>
                </c:pt>
                <c:pt idx="10">
                  <c:v>0.902695645313692</c:v>
                </c:pt>
                <c:pt idx="11">
                  <c:v>0.86798182350929</c:v>
                </c:pt>
                <c:pt idx="12">
                  <c:v>1.074361508937145</c:v>
                </c:pt>
                <c:pt idx="13">
                  <c:v>1.381554877959193</c:v>
                </c:pt>
                <c:pt idx="14">
                  <c:v>1.490310384013395</c:v>
                </c:pt>
                <c:pt idx="15">
                  <c:v>1.27778984769542</c:v>
                </c:pt>
                <c:pt idx="16">
                  <c:v>1.334708680189494</c:v>
                </c:pt>
                <c:pt idx="17">
                  <c:v>1.421432767102015</c:v>
                </c:pt>
                <c:pt idx="18">
                  <c:v>1.551394354663544</c:v>
                </c:pt>
                <c:pt idx="19">
                  <c:v>1.678238991227445</c:v>
                </c:pt>
                <c:pt idx="20">
                  <c:v>1.372038065912929</c:v>
                </c:pt>
                <c:pt idx="21">
                  <c:v>1.681453993678892</c:v>
                </c:pt>
                <c:pt idx="22">
                  <c:v>1.425073880171702</c:v>
                </c:pt>
                <c:pt idx="23">
                  <c:v>1.584155194752868</c:v>
                </c:pt>
                <c:pt idx="24">
                  <c:v>1.549846169636861</c:v>
                </c:pt>
                <c:pt idx="25">
                  <c:v>1.29708616778208</c:v>
                </c:pt>
                <c:pt idx="26">
                  <c:v>1.116893961874085</c:v>
                </c:pt>
                <c:pt idx="27">
                  <c:v>1.104922858194326</c:v>
                </c:pt>
                <c:pt idx="28">
                  <c:v>1.092497290835724</c:v>
                </c:pt>
                <c:pt idx="29">
                  <c:v>1.460399477867374</c:v>
                </c:pt>
                <c:pt idx="30">
                  <c:v>1.45015016029363</c:v>
                </c:pt>
                <c:pt idx="31">
                  <c:v>1.83661436640687</c:v>
                </c:pt>
                <c:pt idx="32">
                  <c:v>1.854730943315459</c:v>
                </c:pt>
                <c:pt idx="33">
                  <c:v>1.694293169745939</c:v>
                </c:pt>
                <c:pt idx="34">
                  <c:v>2.001730597961344</c:v>
                </c:pt>
                <c:pt idx="35">
                  <c:v>1.817009836656776</c:v>
                </c:pt>
                <c:pt idx="36">
                  <c:v>1.926045446185717</c:v>
                </c:pt>
                <c:pt idx="37">
                  <c:v>2.264764860414849</c:v>
                </c:pt>
                <c:pt idx="38">
                  <c:v>2.603370127204285</c:v>
                </c:pt>
                <c:pt idx="39">
                  <c:v>2.551174231426764</c:v>
                </c:pt>
                <c:pt idx="40">
                  <c:v>2.775752976511287</c:v>
                </c:pt>
                <c:pt idx="41">
                  <c:v>2.952541488270101</c:v>
                </c:pt>
                <c:pt idx="42">
                  <c:v>2.475317708601427</c:v>
                </c:pt>
                <c:pt idx="43">
                  <c:v>2.731557318175955</c:v>
                </c:pt>
                <c:pt idx="44">
                  <c:v>2.684956521417541</c:v>
                </c:pt>
                <c:pt idx="45">
                  <c:v>3.112007671393882</c:v>
                </c:pt>
                <c:pt idx="46">
                  <c:v>3.16923485220422</c:v>
                </c:pt>
                <c:pt idx="47">
                  <c:v>2.816314373942114</c:v>
                </c:pt>
                <c:pt idx="48">
                  <c:v>3.015125544246132</c:v>
                </c:pt>
                <c:pt idx="49">
                  <c:v>3.47152420942343</c:v>
                </c:pt>
              </c:numCache>
            </c:numRef>
          </c:val>
          <c:smooth val="0"/>
        </c:ser>
        <c:ser>
          <c:idx val="1"/>
          <c:order val="1"/>
          <c:tx>
            <c:strRef>
              <c:f>'Assets(MOFA)'!$EE$3</c:f>
              <c:strCache>
                <c:ptCount val="1"/>
                <c:pt idx="0">
                  <c:v>Non havens, excl. Oil</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'Assets(MOFA)'!$EE$11:$EE$60</c:f>
              <c:numCache>
                <c:formatCode>0%</c:formatCode>
                <c:ptCount val="50"/>
                <c:pt idx="0">
                  <c:v>0.468846646552435</c:v>
                </c:pt>
                <c:pt idx="1">
                  <c:v>0.429038544517616</c:v>
                </c:pt>
                <c:pt idx="2">
                  <c:v>0.419010963259543</c:v>
                </c:pt>
                <c:pt idx="3">
                  <c:v>0.430244718961769</c:v>
                </c:pt>
                <c:pt idx="4">
                  <c:v>0.417452893777705</c:v>
                </c:pt>
                <c:pt idx="5">
                  <c:v>0.467499983232497</c:v>
                </c:pt>
                <c:pt idx="6">
                  <c:v>0.46918326154032</c:v>
                </c:pt>
                <c:pt idx="7">
                  <c:v>0.491808360536349</c:v>
                </c:pt>
                <c:pt idx="8">
                  <c:v>0.4228459478404</c:v>
                </c:pt>
                <c:pt idx="9">
                  <c:v>0.415538450150195</c:v>
                </c:pt>
                <c:pt idx="10">
                  <c:v>0.4398010002078</c:v>
                </c:pt>
                <c:pt idx="11">
                  <c:v>0.365338707783822</c:v>
                </c:pt>
                <c:pt idx="12">
                  <c:v>0.410207984870766</c:v>
                </c:pt>
                <c:pt idx="13">
                  <c:v>0.42937937813109</c:v>
                </c:pt>
                <c:pt idx="14">
                  <c:v>0.407332172636881</c:v>
                </c:pt>
                <c:pt idx="15">
                  <c:v>0.321256958883959</c:v>
                </c:pt>
                <c:pt idx="16">
                  <c:v>0.246140686733738</c:v>
                </c:pt>
                <c:pt idx="17">
                  <c:v>0.315304827997911</c:v>
                </c:pt>
                <c:pt idx="18">
                  <c:v>0.380316790508516</c:v>
                </c:pt>
                <c:pt idx="19">
                  <c:v>0.373549745412193</c:v>
                </c:pt>
                <c:pt idx="20">
                  <c:v>0.423041747710381</c:v>
                </c:pt>
                <c:pt idx="21">
                  <c:v>0.483184717630164</c:v>
                </c:pt>
                <c:pt idx="22">
                  <c:v>0.56009337207281</c:v>
                </c:pt>
                <c:pt idx="23">
                  <c:v>0.506276223929363</c:v>
                </c:pt>
                <c:pt idx="24">
                  <c:v>0.38347037676266</c:v>
                </c:pt>
                <c:pt idx="25">
                  <c:v>0.306895077997008</c:v>
                </c:pt>
                <c:pt idx="26">
                  <c:v>0.281038654628568</c:v>
                </c:pt>
                <c:pt idx="27">
                  <c:v>0.297175791717209</c:v>
                </c:pt>
                <c:pt idx="28">
                  <c:v>0.338700055924936</c:v>
                </c:pt>
                <c:pt idx="29">
                  <c:v>0.421604818340781</c:v>
                </c:pt>
                <c:pt idx="30">
                  <c:v>0.433698843874267</c:v>
                </c:pt>
                <c:pt idx="31">
                  <c:v>0.452283343465361</c:v>
                </c:pt>
                <c:pt idx="32">
                  <c:v>0.397563117674968</c:v>
                </c:pt>
                <c:pt idx="33">
                  <c:v>0.389526162727134</c:v>
                </c:pt>
                <c:pt idx="34">
                  <c:v>0.377502254663149</c:v>
                </c:pt>
                <c:pt idx="35">
                  <c:v>0.287284896847186</c:v>
                </c:pt>
                <c:pt idx="36">
                  <c:v>0.332054428208993</c:v>
                </c:pt>
                <c:pt idx="37">
                  <c:v>0.41727255796983</c:v>
                </c:pt>
                <c:pt idx="38">
                  <c:v>0.415884012307029</c:v>
                </c:pt>
                <c:pt idx="39">
                  <c:v>0.499138946324352</c:v>
                </c:pt>
                <c:pt idx="40">
                  <c:v>0.491610540583004</c:v>
                </c:pt>
                <c:pt idx="41">
                  <c:v>0.517543760028747</c:v>
                </c:pt>
                <c:pt idx="42">
                  <c:v>0.485542523107016</c:v>
                </c:pt>
                <c:pt idx="43">
                  <c:v>0.450991133992138</c:v>
                </c:pt>
                <c:pt idx="44">
                  <c:v>0.520974750708993</c:v>
                </c:pt>
                <c:pt idx="45">
                  <c:v>0.548289521367629</c:v>
                </c:pt>
                <c:pt idx="46">
                  <c:v>0.502141720471523</c:v>
                </c:pt>
                <c:pt idx="47">
                  <c:v>0.476681254265869</c:v>
                </c:pt>
                <c:pt idx="48">
                  <c:v>0.48686939173533</c:v>
                </c:pt>
                <c:pt idx="49">
                  <c:v>0.448186600452169</c:v>
                </c:pt>
              </c:numCache>
            </c:numRef>
          </c:val>
          <c:smooth val="0"/>
        </c:ser>
        <c:dLbls>
          <c:showLegendKey val="0"/>
          <c:showVal val="0"/>
          <c:showCatName val="0"/>
          <c:showSerName val="0"/>
          <c:showPercent val="0"/>
          <c:showBubbleSize val="0"/>
        </c:dLbls>
        <c:marker val="1"/>
        <c:smooth val="0"/>
        <c:axId val="-2102303480"/>
        <c:axId val="-2102300760"/>
      </c:lineChart>
      <c:catAx>
        <c:axId val="-2102303480"/>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2102300760"/>
        <c:crosses val="autoZero"/>
        <c:auto val="1"/>
        <c:lblAlgn val="ctr"/>
        <c:lblOffset val="100"/>
        <c:noMultiLvlLbl val="0"/>
      </c:catAx>
      <c:valAx>
        <c:axId val="-2102300760"/>
        <c:scaling>
          <c:orientation val="minMax"/>
        </c:scaling>
        <c:delete val="0"/>
        <c:axPos val="l"/>
        <c:majorGridlines/>
        <c:numFmt formatCode="0%" sourceLinked="1"/>
        <c:majorTickMark val="out"/>
        <c:minorTickMark val="none"/>
        <c:tickLblPos val="nextTo"/>
        <c:crossAx val="-2102303480"/>
        <c:crosses val="autoZero"/>
        <c:crossBetween val="between"/>
      </c:valAx>
    </c:plotArea>
    <c:legend>
      <c:legendPos val="r"/>
      <c:layout>
        <c:manualLayout>
          <c:xMode val="edge"/>
          <c:yMode val="edge"/>
          <c:x val="0.211819116360455"/>
          <c:y val="0.0998714815820436"/>
          <c:w val="0.396514216972878"/>
          <c:h val="0.190806709506139"/>
        </c:manualLayout>
      </c:layout>
      <c:overlay val="0"/>
    </c:legend>
    <c:plotVisOnly val="1"/>
    <c:dispBlanksAs val="span"/>
    <c:showDLblsOverMax val="0"/>
  </c:chart>
  <c:printSettings>
    <c:headerFooter/>
    <c:pageMargins b="1.0" l="0.75" r="0.75" t="1.0"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manualLayout>
          <c:layoutTarget val="inner"/>
          <c:xMode val="edge"/>
          <c:yMode val="edge"/>
          <c:x val="0.107303587051619"/>
          <c:y val="0.0601851851851852"/>
          <c:w val="0.878415471166135"/>
          <c:h val="0.721786384140866"/>
        </c:manualLayout>
      </c:layout>
      <c:lineChart>
        <c:grouping val="standard"/>
        <c:varyColors val="0"/>
        <c:ser>
          <c:idx val="1"/>
          <c:order val="0"/>
          <c:tx>
            <c:strRef>
              <c:f>'Assets(MOFA)'!$EE$3</c:f>
              <c:strCache>
                <c:ptCount val="1"/>
                <c:pt idx="0">
                  <c:v>Non havens, excl. Oil</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'Assets(MOFA)'!$EE$11:$EE$60</c:f>
              <c:numCache>
                <c:formatCode>0%</c:formatCode>
                <c:ptCount val="50"/>
                <c:pt idx="0">
                  <c:v>0.468846646552435</c:v>
                </c:pt>
                <c:pt idx="1">
                  <c:v>0.429038544517616</c:v>
                </c:pt>
                <c:pt idx="2">
                  <c:v>0.419010963259543</c:v>
                </c:pt>
                <c:pt idx="3">
                  <c:v>0.430244718961769</c:v>
                </c:pt>
                <c:pt idx="4">
                  <c:v>0.417452893777705</c:v>
                </c:pt>
                <c:pt idx="5">
                  <c:v>0.467499983232497</c:v>
                </c:pt>
                <c:pt idx="6">
                  <c:v>0.46918326154032</c:v>
                </c:pt>
                <c:pt idx="7">
                  <c:v>0.491808360536349</c:v>
                </c:pt>
                <c:pt idx="8">
                  <c:v>0.4228459478404</c:v>
                </c:pt>
                <c:pt idx="9">
                  <c:v>0.415538450150195</c:v>
                </c:pt>
                <c:pt idx="10">
                  <c:v>0.4398010002078</c:v>
                </c:pt>
                <c:pt idx="11">
                  <c:v>0.365338707783822</c:v>
                </c:pt>
                <c:pt idx="12">
                  <c:v>0.410207984870766</c:v>
                </c:pt>
                <c:pt idx="13">
                  <c:v>0.42937937813109</c:v>
                </c:pt>
                <c:pt idx="14">
                  <c:v>0.407332172636881</c:v>
                </c:pt>
                <c:pt idx="15">
                  <c:v>0.321256958883959</c:v>
                </c:pt>
                <c:pt idx="16">
                  <c:v>0.246140686733738</c:v>
                </c:pt>
                <c:pt idx="17">
                  <c:v>0.315304827997911</c:v>
                </c:pt>
                <c:pt idx="18">
                  <c:v>0.380316790508516</c:v>
                </c:pt>
                <c:pt idx="19">
                  <c:v>0.373549745412193</c:v>
                </c:pt>
                <c:pt idx="20">
                  <c:v>0.423041747710381</c:v>
                </c:pt>
                <c:pt idx="21">
                  <c:v>0.483184717630164</c:v>
                </c:pt>
                <c:pt idx="22">
                  <c:v>0.56009337207281</c:v>
                </c:pt>
                <c:pt idx="23">
                  <c:v>0.506276223929363</c:v>
                </c:pt>
                <c:pt idx="24">
                  <c:v>0.38347037676266</c:v>
                </c:pt>
                <c:pt idx="25">
                  <c:v>0.306895077997008</c:v>
                </c:pt>
                <c:pt idx="26">
                  <c:v>0.281038654628568</c:v>
                </c:pt>
                <c:pt idx="27">
                  <c:v>0.297175791717209</c:v>
                </c:pt>
                <c:pt idx="28">
                  <c:v>0.338700055924936</c:v>
                </c:pt>
                <c:pt idx="29">
                  <c:v>0.421604818340781</c:v>
                </c:pt>
                <c:pt idx="30">
                  <c:v>0.433698843874267</c:v>
                </c:pt>
                <c:pt idx="31">
                  <c:v>0.452283343465361</c:v>
                </c:pt>
                <c:pt idx="32">
                  <c:v>0.397563117674968</c:v>
                </c:pt>
                <c:pt idx="33">
                  <c:v>0.389526162727134</c:v>
                </c:pt>
                <c:pt idx="34">
                  <c:v>0.377502254663149</c:v>
                </c:pt>
                <c:pt idx="35">
                  <c:v>0.287284896847186</c:v>
                </c:pt>
                <c:pt idx="36">
                  <c:v>0.332054428208993</c:v>
                </c:pt>
                <c:pt idx="37">
                  <c:v>0.41727255796983</c:v>
                </c:pt>
                <c:pt idx="38">
                  <c:v>0.415884012307029</c:v>
                </c:pt>
                <c:pt idx="39">
                  <c:v>0.499138946324352</c:v>
                </c:pt>
                <c:pt idx="40">
                  <c:v>0.491610540583004</c:v>
                </c:pt>
                <c:pt idx="41">
                  <c:v>0.517543760028747</c:v>
                </c:pt>
                <c:pt idx="42">
                  <c:v>0.485542523107016</c:v>
                </c:pt>
                <c:pt idx="43">
                  <c:v>0.450991133992138</c:v>
                </c:pt>
                <c:pt idx="44">
                  <c:v>0.520974750708993</c:v>
                </c:pt>
                <c:pt idx="45">
                  <c:v>0.548289521367629</c:v>
                </c:pt>
                <c:pt idx="46">
                  <c:v>0.502141720471523</c:v>
                </c:pt>
                <c:pt idx="47">
                  <c:v>0.476681254265869</c:v>
                </c:pt>
                <c:pt idx="48">
                  <c:v>0.48686939173533</c:v>
                </c:pt>
                <c:pt idx="49">
                  <c:v>0.448186600452169</c:v>
                </c:pt>
              </c:numCache>
            </c:numRef>
          </c:val>
          <c:smooth val="0"/>
        </c:ser>
        <c:dLbls>
          <c:showLegendKey val="0"/>
          <c:showVal val="0"/>
          <c:showCatName val="0"/>
          <c:showSerName val="0"/>
          <c:showPercent val="0"/>
          <c:showBubbleSize val="0"/>
        </c:dLbls>
        <c:marker val="1"/>
        <c:smooth val="0"/>
        <c:axId val="-2102327048"/>
        <c:axId val="-2102324040"/>
      </c:lineChart>
      <c:catAx>
        <c:axId val="-2102327048"/>
        <c:scaling>
          <c:orientation val="minMax"/>
        </c:scaling>
        <c:delete val="0"/>
        <c:axPos val="b"/>
        <c:numFmt formatCode="General" sourceLinked="1"/>
        <c:majorTickMark val="out"/>
        <c:minorTickMark val="none"/>
        <c:tickLblPos val="nextTo"/>
        <c:crossAx val="-2102324040"/>
        <c:crosses val="autoZero"/>
        <c:auto val="1"/>
        <c:lblAlgn val="ctr"/>
        <c:lblOffset val="100"/>
        <c:noMultiLvlLbl val="0"/>
      </c:catAx>
      <c:valAx>
        <c:axId val="-2102324040"/>
        <c:scaling>
          <c:orientation val="minMax"/>
        </c:scaling>
        <c:delete val="0"/>
        <c:axPos val="l"/>
        <c:majorGridlines/>
        <c:numFmt formatCode="0%" sourceLinked="1"/>
        <c:majorTickMark val="out"/>
        <c:minorTickMark val="none"/>
        <c:tickLblPos val="nextTo"/>
        <c:crossAx val="-2102327048"/>
        <c:crosses val="autoZero"/>
        <c:crossBetween val="between"/>
      </c:valAx>
    </c:plotArea>
    <c:legend>
      <c:legendPos val="r"/>
      <c:layout>
        <c:manualLayout>
          <c:xMode val="edge"/>
          <c:yMode val="edge"/>
          <c:x val="0.479093613298338"/>
          <c:y val="0.226467993584135"/>
          <c:w val="0.365350831146107"/>
          <c:h val="0.125767716535433"/>
        </c:manualLayout>
      </c:layout>
      <c:overlay val="0"/>
    </c:legend>
    <c:plotVisOnly val="1"/>
    <c:dispBlanksAs val="gap"/>
    <c:showDLblsOverMax val="0"/>
  </c:chart>
  <c:printSettings>
    <c:headerFooter/>
    <c:pageMargins b="1.0" l="0.75" r="0.75" t="1.0"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32248468941382"/>
          <c:y val="0.0601851851851852"/>
          <c:w val="0.866771434820647"/>
          <c:h val="0.783642096821231"/>
        </c:manualLayout>
      </c:layout>
      <c:lineChart>
        <c:grouping val="standard"/>
        <c:varyColors val="0"/>
        <c:ser>
          <c:idx val="0"/>
          <c:order val="0"/>
          <c:tx>
            <c:strRef>
              <c:f>'Assets(MOFA)'!$N$3</c:f>
              <c:strCache>
                <c:ptCount val="1"/>
                <c:pt idx="0">
                  <c:v>Share oil in comp</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'Assets(MOFA)'!$N$11:$N$60</c:f>
              <c:numCache>
                <c:formatCode>0%</c:formatCode>
                <c:ptCount val="50"/>
                <c:pt idx="0">
                  <c:v>0.114630361173815</c:v>
                </c:pt>
                <c:pt idx="1">
                  <c:v>0.106235862538463</c:v>
                </c:pt>
                <c:pt idx="2">
                  <c:v>0.0978413639031115</c:v>
                </c:pt>
                <c:pt idx="3">
                  <c:v>0.0894468652677598</c:v>
                </c:pt>
                <c:pt idx="4">
                  <c:v>0.0810523666324081</c:v>
                </c:pt>
                <c:pt idx="5">
                  <c:v>0.0811738540055448</c:v>
                </c:pt>
                <c:pt idx="6">
                  <c:v>0.0812953413786814</c:v>
                </c:pt>
                <c:pt idx="7">
                  <c:v>0.081416828751818</c:v>
                </c:pt>
                <c:pt idx="8">
                  <c:v>0.0815383161249547</c:v>
                </c:pt>
                <c:pt idx="9">
                  <c:v>0.0816598034980913</c:v>
                </c:pt>
                <c:pt idx="10">
                  <c:v>0.0817812908712279</c:v>
                </c:pt>
                <c:pt idx="11">
                  <c:v>0.0819027782443645</c:v>
                </c:pt>
                <c:pt idx="12">
                  <c:v>0.0819027782443645</c:v>
                </c:pt>
                <c:pt idx="13">
                  <c:v>0.0931208675727519</c:v>
                </c:pt>
                <c:pt idx="14">
                  <c:v>0.104338956901139</c:v>
                </c:pt>
                <c:pt idx="15">
                  <c:v>0.115557046229527</c:v>
                </c:pt>
                <c:pt idx="16">
                  <c:v>0.115557046229527</c:v>
                </c:pt>
                <c:pt idx="17">
                  <c:v>0.119050811100684</c:v>
                </c:pt>
                <c:pt idx="18">
                  <c:v>0.115185282786834</c:v>
                </c:pt>
                <c:pt idx="19">
                  <c:v>0.105893186003683</c:v>
                </c:pt>
                <c:pt idx="20">
                  <c:v>0.0923010051616408</c:v>
                </c:pt>
                <c:pt idx="21">
                  <c:v>0.0803114213101695</c:v>
                </c:pt>
                <c:pt idx="22">
                  <c:v>0.0755505970123831</c:v>
                </c:pt>
                <c:pt idx="23">
                  <c:v>0.0699807641534342</c:v>
                </c:pt>
                <c:pt idx="24">
                  <c:v>0.0522671150803371</c:v>
                </c:pt>
                <c:pt idx="25">
                  <c:v>0.0510238502767332</c:v>
                </c:pt>
                <c:pt idx="26">
                  <c:v>0.0501665929529707</c:v>
                </c:pt>
                <c:pt idx="27">
                  <c:v>0.0479188695568586</c:v>
                </c:pt>
                <c:pt idx="28">
                  <c:v>0.044631817463819</c:v>
                </c:pt>
                <c:pt idx="29">
                  <c:v>0.0423232732935739</c:v>
                </c:pt>
                <c:pt idx="30">
                  <c:v>0.0419703526553544</c:v>
                </c:pt>
                <c:pt idx="31">
                  <c:v>0.0419846283043669</c:v>
                </c:pt>
                <c:pt idx="32">
                  <c:v>0.0386317889524217</c:v>
                </c:pt>
                <c:pt idx="33">
                  <c:v>0.0251056201284309</c:v>
                </c:pt>
                <c:pt idx="34">
                  <c:v>0.0259195204377822</c:v>
                </c:pt>
                <c:pt idx="35">
                  <c:v>0.0247254511592062</c:v>
                </c:pt>
                <c:pt idx="36">
                  <c:v>0.025487228496313</c:v>
                </c:pt>
                <c:pt idx="37">
                  <c:v>0.0256762187604302</c:v>
                </c:pt>
                <c:pt idx="38">
                  <c:v>0.0238153398895634</c:v>
                </c:pt>
                <c:pt idx="39">
                  <c:v>0.0215550210063074</c:v>
                </c:pt>
                <c:pt idx="40">
                  <c:v>0.0209888763559259</c:v>
                </c:pt>
                <c:pt idx="41">
                  <c:v>0.0224883307531787</c:v>
                </c:pt>
                <c:pt idx="42">
                  <c:v>0.0238904182252179</c:v>
                </c:pt>
                <c:pt idx="43">
                  <c:v>0.0242282295489388</c:v>
                </c:pt>
                <c:pt idx="44">
                  <c:v>0.0248324146271795</c:v>
                </c:pt>
                <c:pt idx="45">
                  <c:v>0.0244449353190241</c:v>
                </c:pt>
                <c:pt idx="46">
                  <c:v>0.0220036627796108</c:v>
                </c:pt>
                <c:pt idx="47">
                  <c:v>0.0221474175837826</c:v>
                </c:pt>
                <c:pt idx="48">
                  <c:v>0.0198199024260686</c:v>
                </c:pt>
                <c:pt idx="49">
                  <c:v>0.019682322700486</c:v>
                </c:pt>
              </c:numCache>
            </c:numRef>
          </c:val>
          <c:smooth val="0"/>
        </c:ser>
        <c:ser>
          <c:idx val="1"/>
          <c:order val="1"/>
          <c:tx>
            <c:strRef>
              <c:f>'Assets(MOFA)'!$M$3</c:f>
              <c:strCache>
                <c:ptCount val="1"/>
                <c:pt idx="0">
                  <c:v>Share havens in comp.</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'Assets(MOFA)'!$M$11:$M$60</c:f>
              <c:numCache>
                <c:formatCode>0%</c:formatCode>
                <c:ptCount val="50"/>
                <c:pt idx="0">
                  <c:v>0.0395640513141905</c:v>
                </c:pt>
                <c:pt idx="1">
                  <c:v>0.0395640513141905</c:v>
                </c:pt>
                <c:pt idx="2">
                  <c:v>0.0395640513141905</c:v>
                </c:pt>
                <c:pt idx="3">
                  <c:v>0.0395640513141905</c:v>
                </c:pt>
                <c:pt idx="4">
                  <c:v>0.0395640513141905</c:v>
                </c:pt>
                <c:pt idx="5">
                  <c:v>0.0395640513141905</c:v>
                </c:pt>
                <c:pt idx="6">
                  <c:v>0.0395640513141905</c:v>
                </c:pt>
                <c:pt idx="7">
                  <c:v>0.0435839181770285</c:v>
                </c:pt>
                <c:pt idx="8">
                  <c:v>0.0476037850398665</c:v>
                </c:pt>
                <c:pt idx="9">
                  <c:v>0.0516236519027044</c:v>
                </c:pt>
                <c:pt idx="10">
                  <c:v>0.0556435187655424</c:v>
                </c:pt>
                <c:pt idx="11">
                  <c:v>0.0596633856283804</c:v>
                </c:pt>
                <c:pt idx="12">
                  <c:v>0.0599303842811156</c:v>
                </c:pt>
                <c:pt idx="13">
                  <c:v>0.0601973829338509</c:v>
                </c:pt>
                <c:pt idx="14">
                  <c:v>0.0604643815865861</c:v>
                </c:pt>
                <c:pt idx="15">
                  <c:v>0.0607313802393213</c:v>
                </c:pt>
                <c:pt idx="16">
                  <c:v>0.0609983788920566</c:v>
                </c:pt>
                <c:pt idx="17">
                  <c:v>0.0643030384282563</c:v>
                </c:pt>
                <c:pt idx="18">
                  <c:v>0.0640489904503758</c:v>
                </c:pt>
                <c:pt idx="19">
                  <c:v>0.0607610372803743</c:v>
                </c:pt>
                <c:pt idx="20">
                  <c:v>0.0640912795436023</c:v>
                </c:pt>
                <c:pt idx="21">
                  <c:v>0.0678412927208588</c:v>
                </c:pt>
                <c:pt idx="22">
                  <c:v>0.0670638232638948</c:v>
                </c:pt>
                <c:pt idx="23">
                  <c:v>0.0688492437672085</c:v>
                </c:pt>
                <c:pt idx="24">
                  <c:v>0.0693341983833275</c:v>
                </c:pt>
                <c:pt idx="25">
                  <c:v>0.071988106095626</c:v>
                </c:pt>
                <c:pt idx="26">
                  <c:v>0.0700280112044818</c:v>
                </c:pt>
                <c:pt idx="27">
                  <c:v>0.0754289627991925</c:v>
                </c:pt>
                <c:pt idx="28">
                  <c:v>0.0788001590491909</c:v>
                </c:pt>
                <c:pt idx="29">
                  <c:v>0.0813766581038653</c:v>
                </c:pt>
                <c:pt idx="30">
                  <c:v>0.0821707854078882</c:v>
                </c:pt>
                <c:pt idx="31">
                  <c:v>0.0796242880093472</c:v>
                </c:pt>
                <c:pt idx="32">
                  <c:v>0.0790849498566059</c:v>
                </c:pt>
                <c:pt idx="33">
                  <c:v>0.0778980319547471</c:v>
                </c:pt>
                <c:pt idx="34">
                  <c:v>0.0760896302996128</c:v>
                </c:pt>
                <c:pt idx="35">
                  <c:v>0.0767301204728247</c:v>
                </c:pt>
                <c:pt idx="36">
                  <c:v>0.0789605792078656</c:v>
                </c:pt>
                <c:pt idx="37">
                  <c:v>0.07822408707913</c:v>
                </c:pt>
                <c:pt idx="38">
                  <c:v>0.0803092948282985</c:v>
                </c:pt>
                <c:pt idx="39">
                  <c:v>0.0807662036780437</c:v>
                </c:pt>
                <c:pt idx="40">
                  <c:v>0.083313510789858</c:v>
                </c:pt>
                <c:pt idx="41">
                  <c:v>0.083971736182511</c:v>
                </c:pt>
                <c:pt idx="42">
                  <c:v>0.092026924448753</c:v>
                </c:pt>
                <c:pt idx="43">
                  <c:v>0.0896707956377154</c:v>
                </c:pt>
                <c:pt idx="44">
                  <c:v>0.089401149446244</c:v>
                </c:pt>
                <c:pt idx="45">
                  <c:v>0.0894173421864007</c:v>
                </c:pt>
                <c:pt idx="46">
                  <c:v>0.0905548499447704</c:v>
                </c:pt>
                <c:pt idx="47">
                  <c:v>0.0939078187606247</c:v>
                </c:pt>
                <c:pt idx="48">
                  <c:v>0.0966317074173261</c:v>
                </c:pt>
                <c:pt idx="49">
                  <c:v>0.0972326690256457</c:v>
                </c:pt>
              </c:numCache>
            </c:numRef>
          </c:val>
          <c:smooth val="0"/>
        </c:ser>
        <c:dLbls>
          <c:showLegendKey val="0"/>
          <c:showVal val="0"/>
          <c:showCatName val="0"/>
          <c:showSerName val="0"/>
          <c:showPercent val="0"/>
          <c:showBubbleSize val="0"/>
        </c:dLbls>
        <c:marker val="1"/>
        <c:smooth val="0"/>
        <c:axId val="-2102363288"/>
        <c:axId val="-2102376184"/>
      </c:lineChart>
      <c:catAx>
        <c:axId val="-2102363288"/>
        <c:scaling>
          <c:orientation val="minMax"/>
        </c:scaling>
        <c:delete val="0"/>
        <c:axPos val="b"/>
        <c:numFmt formatCode="General" sourceLinked="1"/>
        <c:majorTickMark val="out"/>
        <c:minorTickMark val="none"/>
        <c:tickLblPos val="nextTo"/>
        <c:crossAx val="-2102376184"/>
        <c:crosses val="autoZero"/>
        <c:auto val="1"/>
        <c:lblAlgn val="ctr"/>
        <c:lblOffset val="100"/>
        <c:noMultiLvlLbl val="0"/>
      </c:catAx>
      <c:valAx>
        <c:axId val="-2102376184"/>
        <c:scaling>
          <c:orientation val="minMax"/>
        </c:scaling>
        <c:delete val="0"/>
        <c:axPos val="l"/>
        <c:majorGridlines/>
        <c:numFmt formatCode="0%" sourceLinked="1"/>
        <c:majorTickMark val="out"/>
        <c:minorTickMark val="none"/>
        <c:tickLblPos val="nextTo"/>
        <c:crossAx val="-2102363288"/>
        <c:crosses val="autoZero"/>
        <c:crossBetween val="between"/>
      </c:valAx>
    </c:plotArea>
    <c:legend>
      <c:legendPos val="r"/>
      <c:layout>
        <c:manualLayout>
          <c:xMode val="edge"/>
          <c:yMode val="edge"/>
          <c:x val="0.551662948381452"/>
          <c:y val="0.133875400991543"/>
          <c:w val="0.342781496062992"/>
          <c:h val="0.185952901720618"/>
        </c:manualLayout>
      </c:layout>
      <c:overlay val="0"/>
    </c:legend>
    <c:plotVisOnly val="1"/>
    <c:dispBlanksAs val="gap"/>
    <c:showDLblsOverMax val="0"/>
  </c:chart>
  <c:printSettings>
    <c:headerFooter/>
    <c:pageMargins b="1.0" l="0.75" r="0.75" t="1.0"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32248468941382"/>
          <c:y val="0.0601851851851852"/>
          <c:w val="0.866771434820647"/>
          <c:h val="0.783642096821231"/>
        </c:manualLayout>
      </c:layout>
      <c:lineChart>
        <c:grouping val="standard"/>
        <c:varyColors val="0"/>
        <c:ser>
          <c:idx val="0"/>
          <c:order val="0"/>
          <c:tx>
            <c:strRef>
              <c:f>'Assets(MOFA)'!$BJ$3</c:f>
              <c:strCache>
                <c:ptCount val="1"/>
                <c:pt idx="0">
                  <c:v>Share oil in profits</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'Assets(MOFA)'!$BJ$11:$BJ$60</c:f>
              <c:numCache>
                <c:formatCode>0%</c:formatCode>
                <c:ptCount val="50"/>
                <c:pt idx="0">
                  <c:v>0.370371524181478</c:v>
                </c:pt>
                <c:pt idx="1">
                  <c:v>0.405993551231651</c:v>
                </c:pt>
                <c:pt idx="2">
                  <c:v>0.417260808954939</c:v>
                </c:pt>
                <c:pt idx="3">
                  <c:v>0.400389638478241</c:v>
                </c:pt>
                <c:pt idx="4">
                  <c:v>0.399879361195989</c:v>
                </c:pt>
                <c:pt idx="5">
                  <c:v>0.427288345054674</c:v>
                </c:pt>
                <c:pt idx="6">
                  <c:v>0.454505274927559</c:v>
                </c:pt>
                <c:pt idx="7">
                  <c:v>0.546973460059411</c:v>
                </c:pt>
                <c:pt idx="8">
                  <c:v>0.72764896178262</c:v>
                </c:pt>
                <c:pt idx="9">
                  <c:v>0.693880711659695</c:v>
                </c:pt>
                <c:pt idx="10">
                  <c:v>0.708461324395311</c:v>
                </c:pt>
                <c:pt idx="11">
                  <c:v>0.671897289586305</c:v>
                </c:pt>
                <c:pt idx="12">
                  <c:v>0.599332626591157</c:v>
                </c:pt>
                <c:pt idx="13">
                  <c:v>0.647293789029904</c:v>
                </c:pt>
                <c:pt idx="14">
                  <c:v>0.48708882368948</c:v>
                </c:pt>
                <c:pt idx="15">
                  <c:v>0.512384735576886</c:v>
                </c:pt>
                <c:pt idx="16">
                  <c:v>0.511805879608026</c:v>
                </c:pt>
                <c:pt idx="17">
                  <c:v>0.495950649619189</c:v>
                </c:pt>
                <c:pt idx="18">
                  <c:v>0.480856345020168</c:v>
                </c:pt>
                <c:pt idx="19">
                  <c:v>0.460474465946619</c:v>
                </c:pt>
                <c:pt idx="20">
                  <c:v>0.270369056068133</c:v>
                </c:pt>
                <c:pt idx="21">
                  <c:v>0.21434032792456</c:v>
                </c:pt>
                <c:pt idx="22">
                  <c:v>0.15769868065332</c:v>
                </c:pt>
                <c:pt idx="23">
                  <c:v>0.156821739841578</c:v>
                </c:pt>
                <c:pt idx="24">
                  <c:v>0.202825894176766</c:v>
                </c:pt>
                <c:pt idx="25">
                  <c:v>0.203939918964271</c:v>
                </c:pt>
                <c:pt idx="26">
                  <c:v>0.20202456549599</c:v>
                </c:pt>
                <c:pt idx="27">
                  <c:v>0.219903234987193</c:v>
                </c:pt>
                <c:pt idx="28">
                  <c:v>0.1686925795053</c:v>
                </c:pt>
                <c:pt idx="29">
                  <c:v>0.149277506963788</c:v>
                </c:pt>
                <c:pt idx="30">
                  <c:v>0.188268975415813</c:v>
                </c:pt>
                <c:pt idx="31">
                  <c:v>0.171905431912224</c:v>
                </c:pt>
                <c:pt idx="32">
                  <c:v>0.102314456899884</c:v>
                </c:pt>
                <c:pt idx="33">
                  <c:v>0.131871847614754</c:v>
                </c:pt>
                <c:pt idx="34">
                  <c:v>0.237867038424675</c:v>
                </c:pt>
                <c:pt idx="35">
                  <c:v>0.246200371110072</c:v>
                </c:pt>
                <c:pt idx="36">
                  <c:v>0.203210550071629</c:v>
                </c:pt>
                <c:pt idx="37">
                  <c:v>0.212222624652904</c:v>
                </c:pt>
                <c:pt idx="38">
                  <c:v>0.246731565177402</c:v>
                </c:pt>
                <c:pt idx="39">
                  <c:v>0.263856388955074</c:v>
                </c:pt>
                <c:pt idx="40">
                  <c:v>0.271244889234251</c:v>
                </c:pt>
                <c:pt idx="41">
                  <c:v>0.267877933810207</c:v>
                </c:pt>
                <c:pt idx="42">
                  <c:v>0.347821514840303</c:v>
                </c:pt>
                <c:pt idx="43">
                  <c:v>0.21427012709473</c:v>
                </c:pt>
                <c:pt idx="44">
                  <c:v>0.239681598007706</c:v>
                </c:pt>
                <c:pt idx="45">
                  <c:v>0.25791141496521</c:v>
                </c:pt>
                <c:pt idx="46">
                  <c:v>0.242739887371637</c:v>
                </c:pt>
                <c:pt idx="47">
                  <c:v>0.236999878841411</c:v>
                </c:pt>
                <c:pt idx="48">
                  <c:v>0.17137593689217</c:v>
                </c:pt>
                <c:pt idx="49">
                  <c:v>0.0638619120513271</c:v>
                </c:pt>
              </c:numCache>
            </c:numRef>
          </c:val>
          <c:smooth val="0"/>
        </c:ser>
        <c:ser>
          <c:idx val="1"/>
          <c:order val="1"/>
          <c:tx>
            <c:strRef>
              <c:f>'Assets(MOFA)'!$AZ$3</c:f>
              <c:strCache>
                <c:ptCount val="1"/>
                <c:pt idx="0">
                  <c:v>Share havens (less oil) in pre-tax profits</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'Assets(MOFA)'!$AZ$11:$AZ$60</c:f>
              <c:numCache>
                <c:formatCode>0%</c:formatCode>
                <c:ptCount val="50"/>
                <c:pt idx="0">
                  <c:v>0.0283976486701768</c:v>
                </c:pt>
                <c:pt idx="1">
                  <c:v>0.0308327501391117</c:v>
                </c:pt>
                <c:pt idx="2">
                  <c:v>0.0305607324637119</c:v>
                </c:pt>
                <c:pt idx="3">
                  <c:v>0.0318748923796103</c:v>
                </c:pt>
                <c:pt idx="4">
                  <c:v>0.0401022737335993</c:v>
                </c:pt>
                <c:pt idx="5">
                  <c:v>0.0403007885458603</c:v>
                </c:pt>
                <c:pt idx="6">
                  <c:v>0.0383617292253364</c:v>
                </c:pt>
                <c:pt idx="7">
                  <c:v>0.0317680737715358</c:v>
                </c:pt>
                <c:pt idx="8">
                  <c:v>0.0233710815103317</c:v>
                </c:pt>
                <c:pt idx="9">
                  <c:v>0.0293542124502396</c:v>
                </c:pt>
                <c:pt idx="10">
                  <c:v>0.0317924702849563</c:v>
                </c:pt>
                <c:pt idx="11">
                  <c:v>0.0437237508810029</c:v>
                </c:pt>
                <c:pt idx="12">
                  <c:v>0.0564064531122636</c:v>
                </c:pt>
                <c:pt idx="13">
                  <c:v>0.0551529157990261</c:v>
                </c:pt>
                <c:pt idx="14">
                  <c:v>0.0865883090349947</c:v>
                </c:pt>
                <c:pt idx="15">
                  <c:v>0.0930963658434553</c:v>
                </c:pt>
                <c:pt idx="16">
                  <c:v>0.121866542230518</c:v>
                </c:pt>
                <c:pt idx="17">
                  <c:v>0.119179932872103</c:v>
                </c:pt>
                <c:pt idx="18">
                  <c:v>0.113998164792393</c:v>
                </c:pt>
                <c:pt idx="19">
                  <c:v>0.121266847845283</c:v>
                </c:pt>
                <c:pt idx="20">
                  <c:v>0.132751199031799</c:v>
                </c:pt>
                <c:pt idx="21">
                  <c:v>0.157996390577673</c:v>
                </c:pt>
                <c:pt idx="22">
                  <c:v>0.127573980539941</c:v>
                </c:pt>
                <c:pt idx="23">
                  <c:v>0.157514014144567</c:v>
                </c:pt>
                <c:pt idx="24">
                  <c:v>0.182815146361202</c:v>
                </c:pt>
                <c:pt idx="25">
                  <c:v>0.193319963444028</c:v>
                </c:pt>
                <c:pt idx="26">
                  <c:v>0.184187746198899</c:v>
                </c:pt>
                <c:pt idx="27">
                  <c:v>0.182757346746049</c:v>
                </c:pt>
                <c:pt idx="28">
                  <c:v>0.180942285041225</c:v>
                </c:pt>
                <c:pt idx="29">
                  <c:v>0.201713982987914</c:v>
                </c:pt>
                <c:pt idx="30">
                  <c:v>0.187759024454048</c:v>
                </c:pt>
                <c:pt idx="31">
                  <c:v>0.216346012701453</c:v>
                </c:pt>
                <c:pt idx="32">
                  <c:v>0.256328078167834</c:v>
                </c:pt>
                <c:pt idx="33">
                  <c:v>0.231971705970817</c:v>
                </c:pt>
                <c:pt idx="34">
                  <c:v>0.229741439818984</c:v>
                </c:pt>
                <c:pt idx="35">
                  <c:v>0.256958157361559</c:v>
                </c:pt>
                <c:pt idx="36">
                  <c:v>0.262989606527378</c:v>
                </c:pt>
                <c:pt idx="37">
                  <c:v>0.247140306605773</c:v>
                </c:pt>
                <c:pt idx="38">
                  <c:v>0.264165863940962</c:v>
                </c:pt>
                <c:pt idx="39">
                  <c:v>0.225985583014723</c:v>
                </c:pt>
                <c:pt idx="40">
                  <c:v>0.244655591705218</c:v>
                </c:pt>
                <c:pt idx="41">
                  <c:v>0.249225209422687</c:v>
                </c:pt>
                <c:pt idx="42">
                  <c:v>0.219365345301378</c:v>
                </c:pt>
                <c:pt idx="43">
                  <c:v>0.292348469745493</c:v>
                </c:pt>
                <c:pt idx="44">
                  <c:v>0.254165007478244</c:v>
                </c:pt>
                <c:pt idx="45">
                  <c:v>0.263847281795064</c:v>
                </c:pt>
                <c:pt idx="46">
                  <c:v>0.290327287567199</c:v>
                </c:pt>
                <c:pt idx="47">
                  <c:v>0.288102966688155</c:v>
                </c:pt>
                <c:pt idx="48">
                  <c:v>0.329136710516538</c:v>
                </c:pt>
                <c:pt idx="49">
                  <c:v>0.425248005706195</c:v>
                </c:pt>
              </c:numCache>
            </c:numRef>
          </c:val>
          <c:smooth val="0"/>
        </c:ser>
        <c:dLbls>
          <c:showLegendKey val="0"/>
          <c:showVal val="0"/>
          <c:showCatName val="0"/>
          <c:showSerName val="0"/>
          <c:showPercent val="0"/>
          <c:showBubbleSize val="0"/>
        </c:dLbls>
        <c:marker val="1"/>
        <c:smooth val="0"/>
        <c:axId val="-2134047496"/>
        <c:axId val="-2134824360"/>
      </c:lineChart>
      <c:catAx>
        <c:axId val="-2134047496"/>
        <c:scaling>
          <c:orientation val="minMax"/>
        </c:scaling>
        <c:delete val="0"/>
        <c:axPos val="b"/>
        <c:numFmt formatCode="General" sourceLinked="1"/>
        <c:majorTickMark val="out"/>
        <c:minorTickMark val="none"/>
        <c:tickLblPos val="nextTo"/>
        <c:crossAx val="-2134824360"/>
        <c:crosses val="autoZero"/>
        <c:auto val="1"/>
        <c:lblAlgn val="ctr"/>
        <c:lblOffset val="100"/>
        <c:noMultiLvlLbl val="0"/>
      </c:catAx>
      <c:valAx>
        <c:axId val="-2134824360"/>
        <c:scaling>
          <c:orientation val="minMax"/>
        </c:scaling>
        <c:delete val="0"/>
        <c:axPos val="l"/>
        <c:majorGridlines/>
        <c:numFmt formatCode="0%" sourceLinked="1"/>
        <c:majorTickMark val="out"/>
        <c:minorTickMark val="none"/>
        <c:tickLblPos val="nextTo"/>
        <c:crossAx val="-2134047496"/>
        <c:crosses val="autoZero"/>
        <c:crossBetween val="between"/>
      </c:valAx>
    </c:plotArea>
    <c:legend>
      <c:legendPos val="r"/>
      <c:layout>
        <c:manualLayout>
          <c:xMode val="edge"/>
          <c:yMode val="edge"/>
          <c:x val="0.538888888888889"/>
          <c:y val="0.0609189368570308"/>
          <c:w val="0.415058511022777"/>
          <c:h val="0.343360309128026"/>
        </c:manualLayout>
      </c:layout>
      <c:overlay val="0"/>
    </c:legend>
    <c:plotVisOnly val="1"/>
    <c:dispBlanksAs val="gap"/>
    <c:showDLblsOverMax val="0"/>
  </c:chart>
  <c:printSettings>
    <c:headerFooter/>
    <c:pageMargins b="1.0" l="0.75" r="0.75" t="1.0"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0932248468941382"/>
          <c:y val="0.0601851851851852"/>
          <c:w val="0.881712817147856"/>
          <c:h val="0.783642096821231"/>
        </c:manualLayout>
      </c:layout>
      <c:lineChart>
        <c:grouping val="standard"/>
        <c:varyColors val="0"/>
        <c:ser>
          <c:idx val="0"/>
          <c:order val="0"/>
          <c:tx>
            <c:strRef>
              <c:f>'Assets(MOFA)'!$HM$3</c:f>
              <c:strCache>
                <c:ptCount val="1"/>
                <c:pt idx="0">
                  <c:v>Tax rate non oil</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'Assets(MOFA)'!$HM$11:$HM$60</c:f>
              <c:numCache>
                <c:formatCode>0%</c:formatCode>
                <c:ptCount val="50"/>
                <c:pt idx="0">
                  <c:v>0.457751758391684</c:v>
                </c:pt>
                <c:pt idx="1">
                  <c:v>0.450081517949517</c:v>
                </c:pt>
                <c:pt idx="2">
                  <c:v>0.425936258859697</c:v>
                </c:pt>
                <c:pt idx="3">
                  <c:v>0.410768668656898</c:v>
                </c:pt>
                <c:pt idx="4">
                  <c:v>0.444391892592315</c:v>
                </c:pt>
                <c:pt idx="5">
                  <c:v>0.419725427929804</c:v>
                </c:pt>
                <c:pt idx="6">
                  <c:v>0.375463347376349</c:v>
                </c:pt>
                <c:pt idx="7">
                  <c:v>0.366748175165739</c:v>
                </c:pt>
                <c:pt idx="8">
                  <c:v>0.403358023575326</c:v>
                </c:pt>
                <c:pt idx="9">
                  <c:v>0.375387333319798</c:v>
                </c:pt>
                <c:pt idx="10">
                  <c:v>0.394602963430226</c:v>
                </c:pt>
                <c:pt idx="11">
                  <c:v>0.436557231588287</c:v>
                </c:pt>
                <c:pt idx="12">
                  <c:v>0.390488688206375</c:v>
                </c:pt>
                <c:pt idx="13">
                  <c:v>0.390300083478616</c:v>
                </c:pt>
                <c:pt idx="14">
                  <c:v>0.379310470608751</c:v>
                </c:pt>
                <c:pt idx="15">
                  <c:v>0.395673170658392</c:v>
                </c:pt>
                <c:pt idx="16">
                  <c:v>0.413343528961958</c:v>
                </c:pt>
                <c:pt idx="17">
                  <c:v>0.368077396417339</c:v>
                </c:pt>
                <c:pt idx="18">
                  <c:v>0.355994501553909</c:v>
                </c:pt>
                <c:pt idx="19">
                  <c:v>0.372198237624933</c:v>
                </c:pt>
                <c:pt idx="20">
                  <c:v>0.364525071737756</c:v>
                </c:pt>
                <c:pt idx="21">
                  <c:v>0.336469146482122</c:v>
                </c:pt>
                <c:pt idx="22">
                  <c:v>0.345959857415433</c:v>
                </c:pt>
                <c:pt idx="23">
                  <c:v>0.349212287483892</c:v>
                </c:pt>
                <c:pt idx="24">
                  <c:v>0.354755936577624</c:v>
                </c:pt>
                <c:pt idx="25">
                  <c:v>0.361564299424184</c:v>
                </c:pt>
                <c:pt idx="26">
                  <c:v>0.342151325405561</c:v>
                </c:pt>
                <c:pt idx="27">
                  <c:v>0.293097757161967</c:v>
                </c:pt>
                <c:pt idx="28">
                  <c:v>0.319773867210746</c:v>
                </c:pt>
                <c:pt idx="29">
                  <c:v>0.312234603145368</c:v>
                </c:pt>
                <c:pt idx="30">
                  <c:v>0.312401898674332</c:v>
                </c:pt>
                <c:pt idx="31">
                  <c:v>0.307553881565181</c:v>
                </c:pt>
                <c:pt idx="32">
                  <c:v>0.32064841976837</c:v>
                </c:pt>
                <c:pt idx="33">
                  <c:v>0.308245967087539</c:v>
                </c:pt>
                <c:pt idx="34">
                  <c:v>0.322411493464426</c:v>
                </c:pt>
                <c:pt idx="35">
                  <c:v>0.378089914032038</c:v>
                </c:pt>
                <c:pt idx="36">
                  <c:v>0.302308589067862</c:v>
                </c:pt>
                <c:pt idx="37">
                  <c:v>0.248349465760227</c:v>
                </c:pt>
                <c:pt idx="38">
                  <c:v>0.251716106260068</c:v>
                </c:pt>
                <c:pt idx="39">
                  <c:v>0.275915128268789</c:v>
                </c:pt>
                <c:pt idx="40">
                  <c:v>0.276257300274908</c:v>
                </c:pt>
                <c:pt idx="41">
                  <c:v>0.245196495281441</c:v>
                </c:pt>
                <c:pt idx="42">
                  <c:v>0.217773820854958</c:v>
                </c:pt>
                <c:pt idx="43">
                  <c:v>0.220190324991334</c:v>
                </c:pt>
                <c:pt idx="44">
                  <c:v>0.227740240883965</c:v>
                </c:pt>
                <c:pt idx="45">
                  <c:v>0.224272714391045</c:v>
                </c:pt>
                <c:pt idx="46">
                  <c:v>0.205723247373571</c:v>
                </c:pt>
                <c:pt idx="47">
                  <c:v>0.209331668374352</c:v>
                </c:pt>
                <c:pt idx="48">
                  <c:v>0.199462160720313</c:v>
                </c:pt>
                <c:pt idx="49">
                  <c:v>0.177495811459846</c:v>
                </c:pt>
              </c:numCache>
            </c:numRef>
          </c:val>
          <c:smooth val="0"/>
        </c:ser>
        <c:dLbls>
          <c:showLegendKey val="0"/>
          <c:showVal val="0"/>
          <c:showCatName val="0"/>
          <c:showSerName val="0"/>
          <c:showPercent val="0"/>
          <c:showBubbleSize val="0"/>
        </c:dLbls>
        <c:marker val="1"/>
        <c:smooth val="0"/>
        <c:axId val="-2134409928"/>
        <c:axId val="-2134606376"/>
      </c:lineChart>
      <c:catAx>
        <c:axId val="-2134409928"/>
        <c:scaling>
          <c:orientation val="minMax"/>
        </c:scaling>
        <c:delete val="0"/>
        <c:axPos val="b"/>
        <c:numFmt formatCode="General" sourceLinked="1"/>
        <c:majorTickMark val="out"/>
        <c:minorTickMark val="none"/>
        <c:tickLblPos val="nextTo"/>
        <c:crossAx val="-2134606376"/>
        <c:crosses val="autoZero"/>
        <c:auto val="1"/>
        <c:lblAlgn val="ctr"/>
        <c:lblOffset val="100"/>
        <c:noMultiLvlLbl val="0"/>
      </c:catAx>
      <c:valAx>
        <c:axId val="-2134606376"/>
        <c:scaling>
          <c:orientation val="minMax"/>
        </c:scaling>
        <c:delete val="0"/>
        <c:axPos val="l"/>
        <c:majorGridlines/>
        <c:numFmt formatCode="0%" sourceLinked="1"/>
        <c:majorTickMark val="out"/>
        <c:minorTickMark val="none"/>
        <c:tickLblPos val="nextTo"/>
        <c:crossAx val="-2134409928"/>
        <c:crosses val="autoZero"/>
        <c:crossBetween val="between"/>
      </c:valAx>
    </c:plotArea>
    <c:legend>
      <c:legendPos val="r"/>
      <c:layout>
        <c:manualLayout>
          <c:xMode val="edge"/>
          <c:yMode val="edge"/>
          <c:x val="0.224937664041995"/>
          <c:y val="0.425542067658209"/>
          <c:w val="0.263951224846894"/>
          <c:h val="0.185952901720618"/>
        </c:manualLayout>
      </c:layout>
      <c:overlay val="0"/>
    </c:legend>
    <c:plotVisOnly val="1"/>
    <c:dispBlanksAs val="gap"/>
    <c:showDLblsOverMax val="0"/>
  </c:chart>
  <c:printSettings>
    <c:headerFooter/>
    <c:pageMargins b="1.0" l="0.75" r="0.75" t="1.0"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0932248468941382"/>
          <c:y val="0.0601851851851852"/>
          <c:w val="0.890108486439195"/>
          <c:h val="0.783642096821231"/>
        </c:manualLayout>
      </c:layout>
      <c:lineChart>
        <c:grouping val="standard"/>
        <c:varyColors val="0"/>
        <c:ser>
          <c:idx val="0"/>
          <c:order val="0"/>
          <c:tx>
            <c:strRef>
              <c:f>'Assets(MOFA)'!$DC$3</c:f>
              <c:strCache>
                <c:ptCount val="1"/>
                <c:pt idx="0">
                  <c:v>Share havens (less oil) in after-tax non-oil profits</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'Assets(MOFA)'!$DC$11:$DC$60</c:f>
              <c:numCache>
                <c:formatCode>0%</c:formatCode>
                <c:ptCount val="50"/>
                <c:pt idx="0">
                  <c:v>0.0612793080202367</c:v>
                </c:pt>
                <c:pt idx="1">
                  <c:v>0.0690314430602366</c:v>
                </c:pt>
                <c:pt idx="2">
                  <c:v>0.0676357117017516</c:v>
                </c:pt>
                <c:pt idx="3">
                  <c:v>0.0667761835140506</c:v>
                </c:pt>
                <c:pt idx="4">
                  <c:v>0.0868285628925642</c:v>
                </c:pt>
                <c:pt idx="5">
                  <c:v>0.0884570419117813</c:v>
                </c:pt>
                <c:pt idx="6">
                  <c:v>0.082949580773018</c:v>
                </c:pt>
                <c:pt idx="7">
                  <c:v>0.0809858649262838</c:v>
                </c:pt>
                <c:pt idx="8">
                  <c:v>0.110591866741648</c:v>
                </c:pt>
                <c:pt idx="9">
                  <c:v>0.117016204602835</c:v>
                </c:pt>
                <c:pt idx="10">
                  <c:v>0.143429545764667</c:v>
                </c:pt>
                <c:pt idx="11">
                  <c:v>0.180222595017768</c:v>
                </c:pt>
                <c:pt idx="12">
                  <c:v>0.18402912001273</c:v>
                </c:pt>
                <c:pt idx="13">
                  <c:v>0.21307793939188</c:v>
                </c:pt>
                <c:pt idx="14">
                  <c:v>0.224462164594295</c:v>
                </c:pt>
                <c:pt idx="15">
                  <c:v>0.261515899850693</c:v>
                </c:pt>
                <c:pt idx="16">
                  <c:v>0.364051094890511</c:v>
                </c:pt>
                <c:pt idx="17">
                  <c:v>0.326100006066662</c:v>
                </c:pt>
                <c:pt idx="18">
                  <c:v>0.295660931524293</c:v>
                </c:pt>
                <c:pt idx="19">
                  <c:v>0.308424469654053</c:v>
                </c:pt>
                <c:pt idx="20">
                  <c:v>0.248493734307358</c:v>
                </c:pt>
                <c:pt idx="21">
                  <c:v>0.26613606442418</c:v>
                </c:pt>
                <c:pt idx="22">
                  <c:v>0.19070476043661</c:v>
                </c:pt>
                <c:pt idx="23">
                  <c:v>0.248727953642694</c:v>
                </c:pt>
                <c:pt idx="24">
                  <c:v>0.302263562797457</c:v>
                </c:pt>
                <c:pt idx="25">
                  <c:v>0.312079568383809</c:v>
                </c:pt>
                <c:pt idx="26">
                  <c:v>0.295739035192067</c:v>
                </c:pt>
                <c:pt idx="27">
                  <c:v>0.285963125805364</c:v>
                </c:pt>
                <c:pt idx="28">
                  <c:v>0.270574267324877</c:v>
                </c:pt>
                <c:pt idx="29">
                  <c:v>0.289916382099139</c:v>
                </c:pt>
                <c:pt idx="30">
                  <c:v>0.282290260801391</c:v>
                </c:pt>
                <c:pt idx="31">
                  <c:v>0.327224595604792</c:v>
                </c:pt>
                <c:pt idx="32">
                  <c:v>0.355974357098488</c:v>
                </c:pt>
                <c:pt idx="33">
                  <c:v>0.332606163896869</c:v>
                </c:pt>
                <c:pt idx="34">
                  <c:v>0.386201611012273</c:v>
                </c:pt>
                <c:pt idx="35">
                  <c:v>0.459508664808473</c:v>
                </c:pt>
                <c:pt idx="36">
                  <c:v>0.395609634887847</c:v>
                </c:pt>
                <c:pt idx="37">
                  <c:v>0.365821712127127</c:v>
                </c:pt>
                <c:pt idx="38">
                  <c:v>0.42042648628978</c:v>
                </c:pt>
                <c:pt idx="39">
                  <c:v>0.366990984974019</c:v>
                </c:pt>
                <c:pt idx="40">
                  <c:v>0.407448286869014</c:v>
                </c:pt>
                <c:pt idx="41">
                  <c:v>0.407597538783312</c:v>
                </c:pt>
                <c:pt idx="42">
                  <c:v>0.383072193123839</c:v>
                </c:pt>
                <c:pt idx="43">
                  <c:v>0.438259660558309</c:v>
                </c:pt>
                <c:pt idx="44">
                  <c:v>0.382989642049726</c:v>
                </c:pt>
                <c:pt idx="45">
                  <c:v>0.415479550214222</c:v>
                </c:pt>
                <c:pt idx="46">
                  <c:v>0.443950106931019</c:v>
                </c:pt>
                <c:pt idx="47">
                  <c:v>0.435539796144698</c:v>
                </c:pt>
                <c:pt idx="48">
                  <c:v>0.457256962312476</c:v>
                </c:pt>
                <c:pt idx="49">
                  <c:v>0.513974930416752</c:v>
                </c:pt>
              </c:numCache>
            </c:numRef>
          </c:val>
          <c:smooth val="0"/>
        </c:ser>
        <c:ser>
          <c:idx val="1"/>
          <c:order val="1"/>
          <c:tx>
            <c:strRef>
              <c:f>'Assets(MOFA)'!$BA$3</c:f>
              <c:strCache>
                <c:ptCount val="1"/>
                <c:pt idx="0">
                  <c:v>Share havens (less oil) in non oil pre-tax profits</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'Assets(MOFA)'!$BA$11:$BA$60</c:f>
              <c:numCache>
                <c:formatCode>0%</c:formatCode>
                <c:ptCount val="50"/>
                <c:pt idx="0">
                  <c:v>0.0451022305388263</c:v>
                </c:pt>
                <c:pt idx="1">
                  <c:v>0.0519064232434553</c:v>
                </c:pt>
                <c:pt idx="2">
                  <c:v>0.0524432420769666</c:v>
                </c:pt>
                <c:pt idx="3">
                  <c:v>0.0531593421746659</c:v>
                </c:pt>
                <c:pt idx="4">
                  <c:v>0.0668236870065322</c:v>
                </c:pt>
                <c:pt idx="5">
                  <c:v>0.070368375076473</c:v>
                </c:pt>
                <c:pt idx="6">
                  <c:v>0.0703246566137592</c:v>
                </c:pt>
                <c:pt idx="7">
                  <c:v>0.0701240898065308</c:v>
                </c:pt>
                <c:pt idx="8">
                  <c:v>0.0858123459462558</c:v>
                </c:pt>
                <c:pt idx="9">
                  <c:v>0.0958914173928409</c:v>
                </c:pt>
                <c:pt idx="10">
                  <c:v>0.109050609559828</c:v>
                </c:pt>
                <c:pt idx="11">
                  <c:v>0.133262388554709</c:v>
                </c:pt>
                <c:pt idx="12">
                  <c:v>0.140781248626167</c:v>
                </c:pt>
                <c:pt idx="13">
                  <c:v>0.156370696300844</c:v>
                </c:pt>
                <c:pt idx="14">
                  <c:v>0.168817356755302</c:v>
                </c:pt>
                <c:pt idx="15">
                  <c:v>0.190921762782786</c:v>
                </c:pt>
                <c:pt idx="16">
                  <c:v>0.249627222328427</c:v>
                </c:pt>
                <c:pt idx="17">
                  <c:v>0.236444968696145</c:v>
                </c:pt>
                <c:pt idx="18">
                  <c:v>0.219588862733614</c:v>
                </c:pt>
                <c:pt idx="19">
                  <c:v>0.224765725051457</c:v>
                </c:pt>
                <c:pt idx="20">
                  <c:v>0.181942939969655</c:v>
                </c:pt>
                <c:pt idx="21">
                  <c:v>0.201100293413689</c:v>
                </c:pt>
                <c:pt idx="22">
                  <c:v>0.151458839740263</c:v>
                </c:pt>
                <c:pt idx="23">
                  <c:v>0.186809861671448</c:v>
                </c:pt>
                <c:pt idx="24">
                  <c:v>0.22932900733449</c:v>
                </c:pt>
                <c:pt idx="25">
                  <c:v>0.242845945990038</c:v>
                </c:pt>
                <c:pt idx="26">
                  <c:v>0.230818817515834</c:v>
                </c:pt>
                <c:pt idx="27">
                  <c:v>0.234275227052184</c:v>
                </c:pt>
                <c:pt idx="28">
                  <c:v>0.217659894017966</c:v>
                </c:pt>
                <c:pt idx="29">
                  <c:v>0.23710902749027</c:v>
                </c:pt>
                <c:pt idx="30">
                  <c:v>0.231306946226712</c:v>
                </c:pt>
                <c:pt idx="31">
                  <c:v>0.261257616024504</c:v>
                </c:pt>
                <c:pt idx="32">
                  <c:v>0.285543284213553</c:v>
                </c:pt>
                <c:pt idx="33">
                  <c:v>0.267209058171259</c:v>
                </c:pt>
                <c:pt idx="34">
                  <c:v>0.301445353241394</c:v>
                </c:pt>
                <c:pt idx="35">
                  <c:v>0.340883900062361</c:v>
                </c:pt>
                <c:pt idx="36">
                  <c:v>0.330061607305443</c:v>
                </c:pt>
                <c:pt idx="37">
                  <c:v>0.313718462017119</c:v>
                </c:pt>
                <c:pt idx="38">
                  <c:v>0.350692862901092</c:v>
                </c:pt>
                <c:pt idx="39">
                  <c:v>0.3069857289041</c:v>
                </c:pt>
                <c:pt idx="40">
                  <c:v>0.335717153939603</c:v>
                </c:pt>
                <c:pt idx="41">
                  <c:v>0.340414830985409</c:v>
                </c:pt>
                <c:pt idx="42">
                  <c:v>0.336357838065852</c:v>
                </c:pt>
                <c:pt idx="43">
                  <c:v>0.37207248932069</c:v>
                </c:pt>
                <c:pt idx="44">
                  <c:v>0.334287591635616</c:v>
                </c:pt>
                <c:pt idx="45">
                  <c:v>0.355546880946423</c:v>
                </c:pt>
                <c:pt idx="46">
                  <c:v>0.383391760275748</c:v>
                </c:pt>
                <c:pt idx="47">
                  <c:v>0.377592294809443</c:v>
                </c:pt>
                <c:pt idx="48">
                  <c:v>0.397208728506002</c:v>
                </c:pt>
                <c:pt idx="49">
                  <c:v>0.454257775835215</c:v>
                </c:pt>
              </c:numCache>
            </c:numRef>
          </c:val>
          <c:smooth val="0"/>
        </c:ser>
        <c:dLbls>
          <c:showLegendKey val="0"/>
          <c:showVal val="0"/>
          <c:showCatName val="0"/>
          <c:showSerName val="0"/>
          <c:showPercent val="0"/>
          <c:showBubbleSize val="0"/>
        </c:dLbls>
        <c:marker val="1"/>
        <c:smooth val="0"/>
        <c:axId val="-2102394872"/>
        <c:axId val="-2102393464"/>
      </c:lineChart>
      <c:catAx>
        <c:axId val="-2102394872"/>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2102393464"/>
        <c:crosses val="autoZero"/>
        <c:auto val="1"/>
        <c:lblAlgn val="ctr"/>
        <c:lblOffset val="100"/>
        <c:noMultiLvlLbl val="0"/>
      </c:catAx>
      <c:valAx>
        <c:axId val="-2102393464"/>
        <c:scaling>
          <c:orientation val="minMax"/>
        </c:scaling>
        <c:delete val="0"/>
        <c:axPos val="l"/>
        <c:majorGridlines/>
        <c:numFmt formatCode="0%" sourceLinked="1"/>
        <c:majorTickMark val="out"/>
        <c:minorTickMark val="none"/>
        <c:tickLblPos val="nextTo"/>
        <c:crossAx val="-2102394872"/>
        <c:crosses val="autoZero"/>
        <c:crossBetween val="between"/>
      </c:valAx>
    </c:plotArea>
    <c:legend>
      <c:legendPos val="r"/>
      <c:layout>
        <c:manualLayout>
          <c:xMode val="edge"/>
          <c:yMode val="edge"/>
          <c:x val="0.508333333333333"/>
          <c:y val="0.573306357538641"/>
          <c:w val="0.469857072321405"/>
          <c:h val="0.297831729367162"/>
        </c:manualLayout>
      </c:layout>
      <c:overlay val="0"/>
    </c:legend>
    <c:plotVisOnly val="1"/>
    <c:dispBlanksAs val="span"/>
    <c:showDLblsOverMax val="0"/>
  </c:chart>
  <c:printSettings>
    <c:headerFooter/>
    <c:pageMargins b="1.0" l="0.75" r="0.75" t="1.0"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manualLayout>
          <c:layoutTarget val="inner"/>
          <c:xMode val="edge"/>
          <c:yMode val="edge"/>
          <c:x val="0.0932248468941382"/>
          <c:y val="0.112037037037037"/>
          <c:w val="0.876307305336833"/>
          <c:h val="0.770617526975795"/>
        </c:manualLayout>
      </c:layout>
      <c:lineChart>
        <c:grouping val="standard"/>
        <c:varyColors val="0"/>
        <c:ser>
          <c:idx val="0"/>
          <c:order val="0"/>
          <c:tx>
            <c:strRef>
              <c:f>'Assets(MOFA)'!$GS$3</c:f>
              <c:strCache>
                <c:ptCount val="1"/>
                <c:pt idx="0">
                  <c:v>Taxes paid by US firms (excl oil), % Irish corporate tax revenue</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'Assets(MOFA)'!$GS$11:$GS$60</c:f>
              <c:numCache>
                <c:formatCode>0%</c:formatCode>
                <c:ptCount val="50"/>
                <c:pt idx="0">
                  <c:v>0.0532320341493415</c:v>
                </c:pt>
                <c:pt idx="1">
                  <c:v>0.0753663004306189</c:v>
                </c:pt>
                <c:pt idx="2">
                  <c:v>0.0418837962357677</c:v>
                </c:pt>
                <c:pt idx="3">
                  <c:v>0.037748553024184</c:v>
                </c:pt>
                <c:pt idx="4">
                  <c:v>0.0753389432153934</c:v>
                </c:pt>
                <c:pt idx="5">
                  <c:v>0.0919396118661126</c:v>
                </c:pt>
                <c:pt idx="6">
                  <c:v>0.0671297159883697</c:v>
                </c:pt>
                <c:pt idx="7">
                  <c:v>0.0907272390694013</c:v>
                </c:pt>
                <c:pt idx="8">
                  <c:v>0.0887455571783027</c:v>
                </c:pt>
                <c:pt idx="9">
                  <c:v>0.089542916813462</c:v>
                </c:pt>
                <c:pt idx="10">
                  <c:v>0.119405185203579</c:v>
                </c:pt>
                <c:pt idx="11">
                  <c:v>0.110641839572907</c:v>
                </c:pt>
                <c:pt idx="12">
                  <c:v>0.113252362633809</c:v>
                </c:pt>
                <c:pt idx="13">
                  <c:v>0.0968745395766905</c:v>
                </c:pt>
                <c:pt idx="14">
                  <c:v>0.110985468266614</c:v>
                </c:pt>
                <c:pt idx="15">
                  <c:v>0.102959201540082</c:v>
                </c:pt>
                <c:pt idx="16">
                  <c:v>0.0790276979027197</c:v>
                </c:pt>
                <c:pt idx="17">
                  <c:v>0.0926839919278904</c:v>
                </c:pt>
                <c:pt idx="18">
                  <c:v>0.0768857702902867</c:v>
                </c:pt>
                <c:pt idx="19">
                  <c:v>0.0865433950892527</c:v>
                </c:pt>
                <c:pt idx="20">
                  <c:v>0.0880732328353055</c:v>
                </c:pt>
                <c:pt idx="21">
                  <c:v>0.139909764611138</c:v>
                </c:pt>
                <c:pt idx="22">
                  <c:v>0.106090400372355</c:v>
                </c:pt>
                <c:pt idx="23">
                  <c:v>0.135036822780441</c:v>
                </c:pt>
                <c:pt idx="24">
                  <c:v>0.212591755360667</c:v>
                </c:pt>
                <c:pt idx="25">
                  <c:v>0.250978519371462</c:v>
                </c:pt>
                <c:pt idx="26">
                  <c:v>0.246627390108948</c:v>
                </c:pt>
                <c:pt idx="27">
                  <c:v>0.228860531790896</c:v>
                </c:pt>
                <c:pt idx="28">
                  <c:v>0.236241602582249</c:v>
                </c:pt>
                <c:pt idx="29">
                  <c:v>0.336744814086293</c:v>
                </c:pt>
                <c:pt idx="30">
                  <c:v>0.280520059288321</c:v>
                </c:pt>
                <c:pt idx="31">
                  <c:v>0.315997016513638</c:v>
                </c:pt>
                <c:pt idx="32">
                  <c:v>0.376561587982071</c:v>
                </c:pt>
                <c:pt idx="33">
                  <c:v>0.300786137491042</c:v>
                </c:pt>
                <c:pt idx="34">
                  <c:v>0.374904012633603</c:v>
                </c:pt>
                <c:pt idx="35">
                  <c:v>0.339442805487608</c:v>
                </c:pt>
                <c:pt idx="36">
                  <c:v>0.458245615985873</c:v>
                </c:pt>
                <c:pt idx="37">
                  <c:v>0.34661313715658</c:v>
                </c:pt>
                <c:pt idx="38">
                  <c:v>0.289488283902434</c:v>
                </c:pt>
                <c:pt idx="39">
                  <c:v>0.387073767230325</c:v>
                </c:pt>
                <c:pt idx="40">
                  <c:v>0.298930315505034</c:v>
                </c:pt>
                <c:pt idx="41">
                  <c:v>0.398987801828623</c:v>
                </c:pt>
                <c:pt idx="42">
                  <c:v>0.465049090478056</c:v>
                </c:pt>
                <c:pt idx="43">
                  <c:v>0.431526169261341</c:v>
                </c:pt>
                <c:pt idx="44">
                  <c:v>0.59353763781911</c:v>
                </c:pt>
                <c:pt idx="45">
                  <c:v>0.45067976240109</c:v>
                </c:pt>
                <c:pt idx="46">
                  <c:v>0.566100518705001</c:v>
                </c:pt>
                <c:pt idx="47">
                  <c:v>0.63711610567951</c:v>
                </c:pt>
                <c:pt idx="48">
                  <c:v>0.626746779513454</c:v>
                </c:pt>
                <c:pt idx="49">
                  <c:v>0.508885822911624</c:v>
                </c:pt>
              </c:numCache>
            </c:numRef>
          </c:val>
          <c:smooth val="0"/>
        </c:ser>
        <c:dLbls>
          <c:showLegendKey val="0"/>
          <c:showVal val="0"/>
          <c:showCatName val="0"/>
          <c:showSerName val="0"/>
          <c:showPercent val="0"/>
          <c:showBubbleSize val="0"/>
        </c:dLbls>
        <c:marker val="1"/>
        <c:smooth val="0"/>
        <c:axId val="-2133888648"/>
        <c:axId val="-2133885640"/>
      </c:lineChart>
      <c:catAx>
        <c:axId val="-2133888648"/>
        <c:scaling>
          <c:orientation val="minMax"/>
        </c:scaling>
        <c:delete val="0"/>
        <c:axPos val="b"/>
        <c:numFmt formatCode="General" sourceLinked="1"/>
        <c:majorTickMark val="out"/>
        <c:minorTickMark val="none"/>
        <c:tickLblPos val="nextTo"/>
        <c:crossAx val="-2133885640"/>
        <c:crosses val="autoZero"/>
        <c:auto val="1"/>
        <c:lblAlgn val="ctr"/>
        <c:lblOffset val="100"/>
        <c:noMultiLvlLbl val="0"/>
      </c:catAx>
      <c:valAx>
        <c:axId val="-2133885640"/>
        <c:scaling>
          <c:orientation val="minMax"/>
        </c:scaling>
        <c:delete val="0"/>
        <c:axPos val="l"/>
        <c:majorGridlines/>
        <c:numFmt formatCode="0%" sourceLinked="1"/>
        <c:majorTickMark val="out"/>
        <c:minorTickMark val="none"/>
        <c:tickLblPos val="nextTo"/>
        <c:crossAx val="-2133888648"/>
        <c:crosses val="autoZero"/>
        <c:crossBetween val="between"/>
      </c:valAx>
    </c:plotArea>
    <c:plotVisOnly val="1"/>
    <c:dispBlanksAs val="gap"/>
    <c:showDLblsOverMax val="0"/>
  </c:chart>
  <c:printSettings>
    <c:headerFooter/>
    <c:pageMargins b="1.0" l="0.75" r="0.75" t="1.0"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lineChart>
        <c:grouping val="standard"/>
        <c:varyColors val="0"/>
        <c:ser>
          <c:idx val="0"/>
          <c:order val="0"/>
          <c:tx>
            <c:strRef>
              <c:f>'Assets(MOFA)'!$GV$3</c:f>
              <c:strCache>
                <c:ptCount val="1"/>
                <c:pt idx="0">
                  <c:v>Ireland</c:v>
                </c:pt>
              </c:strCache>
            </c:strRef>
          </c:tx>
          <c:marker>
            <c:symbol val="none"/>
          </c:marker>
          <c:cat>
            <c:numRef>
              <c:f>'Assets(MOFA)'!$A$28:$A$60</c:f>
              <c:numCache>
                <c:formatCode>General</c:formatCode>
                <c:ptCount val="33"/>
                <c:pt idx="0">
                  <c:v>1983.0</c:v>
                </c:pt>
                <c:pt idx="1">
                  <c:v>1984.0</c:v>
                </c:pt>
                <c:pt idx="2">
                  <c:v>1985.0</c:v>
                </c:pt>
                <c:pt idx="3">
                  <c:v>1986.0</c:v>
                </c:pt>
                <c:pt idx="4">
                  <c:v>1987.0</c:v>
                </c:pt>
                <c:pt idx="5">
                  <c:v>1988.0</c:v>
                </c:pt>
                <c:pt idx="6">
                  <c:v>1989.0</c:v>
                </c:pt>
                <c:pt idx="7">
                  <c:v>1990.0</c:v>
                </c:pt>
                <c:pt idx="8">
                  <c:v>1991.0</c:v>
                </c:pt>
                <c:pt idx="9">
                  <c:v>1992.0</c:v>
                </c:pt>
                <c:pt idx="10">
                  <c:v>1993.0</c:v>
                </c:pt>
                <c:pt idx="11">
                  <c:v>1994.0</c:v>
                </c:pt>
                <c:pt idx="12">
                  <c:v>1995.0</c:v>
                </c:pt>
                <c:pt idx="13">
                  <c:v>1996.0</c:v>
                </c:pt>
                <c:pt idx="14">
                  <c:v>1997.0</c:v>
                </c:pt>
                <c:pt idx="15">
                  <c:v>1998.0</c:v>
                </c:pt>
                <c:pt idx="16">
                  <c:v>1999.0</c:v>
                </c:pt>
                <c:pt idx="17">
                  <c:v>2000.0</c:v>
                </c:pt>
                <c:pt idx="18">
                  <c:v>2001.0</c:v>
                </c:pt>
                <c:pt idx="19">
                  <c:v>2002.0</c:v>
                </c:pt>
                <c:pt idx="20">
                  <c:v>2003.0</c:v>
                </c:pt>
                <c:pt idx="21">
                  <c:v>2004.0</c:v>
                </c:pt>
                <c:pt idx="22">
                  <c:v>2005.0</c:v>
                </c:pt>
                <c:pt idx="23">
                  <c:v>2006.0</c:v>
                </c:pt>
                <c:pt idx="24">
                  <c:v>2007.0</c:v>
                </c:pt>
                <c:pt idx="25">
                  <c:v>2008.0</c:v>
                </c:pt>
                <c:pt idx="26">
                  <c:v>2009.0</c:v>
                </c:pt>
                <c:pt idx="27">
                  <c:v>2010.0</c:v>
                </c:pt>
                <c:pt idx="28">
                  <c:v>2011.0</c:v>
                </c:pt>
                <c:pt idx="29">
                  <c:v>2012.0</c:v>
                </c:pt>
                <c:pt idx="30">
                  <c:v>2013.0</c:v>
                </c:pt>
                <c:pt idx="31">
                  <c:v>2014.0</c:v>
                </c:pt>
                <c:pt idx="32">
                  <c:v>2015.0</c:v>
                </c:pt>
              </c:numCache>
            </c:numRef>
          </c:cat>
          <c:val>
            <c:numRef>
              <c:f>'Assets(MOFA)'!$GV$28:$GV$60</c:f>
              <c:numCache>
                <c:formatCode>0%</c:formatCode>
                <c:ptCount val="33"/>
                <c:pt idx="0">
                  <c:v>0.0324607329842932</c:v>
                </c:pt>
                <c:pt idx="1">
                  <c:v>0.0189873417721519</c:v>
                </c:pt>
                <c:pt idx="2">
                  <c:v>0.0206834532374101</c:v>
                </c:pt>
                <c:pt idx="3">
                  <c:v>0.0393518518518518</c:v>
                </c:pt>
                <c:pt idx="4">
                  <c:v>0.0286720321931589</c:v>
                </c:pt>
                <c:pt idx="5">
                  <c:v>0.0304513322457857</c:v>
                </c:pt>
                <c:pt idx="6">
                  <c:v>0.0216498693542367</c:v>
                </c:pt>
                <c:pt idx="7">
                  <c:v>0.0529822335025381</c:v>
                </c:pt>
                <c:pt idx="8">
                  <c:v>0.079628400796284</c:v>
                </c:pt>
                <c:pt idx="9">
                  <c:v>0.0894660894660895</c:v>
                </c:pt>
                <c:pt idx="10">
                  <c:v>0.0967838893898407</c:v>
                </c:pt>
                <c:pt idx="11">
                  <c:v>0.104242110708743</c:v>
                </c:pt>
                <c:pt idx="12">
                  <c:v>0.118456247611769</c:v>
                </c:pt>
                <c:pt idx="13">
                  <c:v>0.113031211426556</c:v>
                </c:pt>
                <c:pt idx="14">
                  <c:v>0.100086175058476</c:v>
                </c:pt>
                <c:pt idx="15">
                  <c:v>0.10209932488671</c:v>
                </c:pt>
                <c:pt idx="16">
                  <c:v>0.0978444069901534</c:v>
                </c:pt>
                <c:pt idx="17">
                  <c:v>0.10791539817337</c:v>
                </c:pt>
                <c:pt idx="18">
                  <c:v>0.0992606575428661</c:v>
                </c:pt>
                <c:pt idx="19">
                  <c:v>0.114653552878771</c:v>
                </c:pt>
                <c:pt idx="20">
                  <c:v>0.0865335162009257</c:v>
                </c:pt>
                <c:pt idx="21">
                  <c:v>0.064882400648824</c:v>
                </c:pt>
                <c:pt idx="22">
                  <c:v>0.0862736171181425</c:v>
                </c:pt>
                <c:pt idx="23">
                  <c:v>0.0662528067626469</c:v>
                </c:pt>
                <c:pt idx="24">
                  <c:v>0.0737954353338969</c:v>
                </c:pt>
                <c:pt idx="25">
                  <c:v>0.0899768355847063</c:v>
                </c:pt>
                <c:pt idx="26">
                  <c:v>0.0528102858953754</c:v>
                </c:pt>
                <c:pt idx="27">
                  <c:v>0.0603413048977447</c:v>
                </c:pt>
                <c:pt idx="28">
                  <c:v>0.0374053331636225</c:v>
                </c:pt>
                <c:pt idx="29">
                  <c:v>0.0414737265955305</c:v>
                </c:pt>
                <c:pt idx="30">
                  <c:v>0.0585453544301747</c:v>
                </c:pt>
                <c:pt idx="31">
                  <c:v>0.0623660105242643</c:v>
                </c:pt>
                <c:pt idx="32">
                  <c:v>0.0527023722181462</c:v>
                </c:pt>
              </c:numCache>
            </c:numRef>
          </c:val>
          <c:smooth val="0"/>
        </c:ser>
        <c:dLbls>
          <c:showLegendKey val="0"/>
          <c:showVal val="0"/>
          <c:showCatName val="0"/>
          <c:showSerName val="0"/>
          <c:showPercent val="0"/>
          <c:showBubbleSize val="0"/>
        </c:dLbls>
        <c:marker val="1"/>
        <c:smooth val="0"/>
        <c:axId val="-2133950584"/>
        <c:axId val="-2133964072"/>
      </c:lineChart>
      <c:catAx>
        <c:axId val="-2133950584"/>
        <c:scaling>
          <c:orientation val="minMax"/>
        </c:scaling>
        <c:delete val="0"/>
        <c:axPos val="b"/>
        <c:numFmt formatCode="General" sourceLinked="1"/>
        <c:majorTickMark val="out"/>
        <c:minorTickMark val="none"/>
        <c:tickLblPos val="nextTo"/>
        <c:crossAx val="-2133964072"/>
        <c:crosses val="autoZero"/>
        <c:auto val="1"/>
        <c:lblAlgn val="ctr"/>
        <c:lblOffset val="100"/>
        <c:noMultiLvlLbl val="0"/>
      </c:catAx>
      <c:valAx>
        <c:axId val="-2133964072"/>
        <c:scaling>
          <c:orientation val="minMax"/>
        </c:scaling>
        <c:delete val="0"/>
        <c:axPos val="l"/>
        <c:majorGridlines/>
        <c:numFmt formatCode="0%" sourceLinked="1"/>
        <c:majorTickMark val="out"/>
        <c:minorTickMark val="none"/>
        <c:tickLblPos val="nextTo"/>
        <c:crossAx val="-2133950584"/>
        <c:crosses val="autoZero"/>
        <c:crossBetween val="between"/>
      </c:valAx>
    </c:plotArea>
    <c:legend>
      <c:legendPos val="r"/>
      <c:layout>
        <c:manualLayout>
          <c:xMode val="edge"/>
          <c:yMode val="edge"/>
          <c:x val="0.443015035617138"/>
          <c:y val="0.657063931707771"/>
          <c:w val="0.118144100135883"/>
          <c:h val="0.0751766874543507"/>
        </c:manualLayout>
      </c:layout>
      <c:overlay val="0"/>
    </c:legend>
    <c:plotVisOnly val="1"/>
    <c:dispBlanksAs val="gap"/>
    <c:showDLblsOverMax val="0"/>
  </c:chart>
  <c:printSettings>
    <c:headerFooter/>
    <c:pageMargins b="1.0" l="0.75" r="0.75" t="1.0"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32248468941382"/>
          <c:y val="0.0601851851851852"/>
          <c:w val="0.869265966754156"/>
          <c:h val="0.757654564012832"/>
        </c:manualLayout>
      </c:layout>
      <c:lineChart>
        <c:grouping val="standard"/>
        <c:varyColors val="0"/>
        <c:ser>
          <c:idx val="0"/>
          <c:order val="0"/>
          <c:tx>
            <c:strRef>
              <c:f>'Assets(MOFA)'!$DJ$3</c:f>
              <c:strCache>
                <c:ptCount val="1"/>
                <c:pt idx="0">
                  <c:v>Share havens excl. NL in after-tax profits</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'Assets(MOFA)'!$DJ$11:$DJ$60</c:f>
              <c:numCache>
                <c:formatCode>0%</c:formatCode>
                <c:ptCount val="50"/>
                <c:pt idx="0">
                  <c:v>0.0438126214032756</c:v>
                </c:pt>
                <c:pt idx="1">
                  <c:v>0.0468678899302069</c:v>
                </c:pt>
                <c:pt idx="2">
                  <c:v>0.0473555997248542</c:v>
                </c:pt>
                <c:pt idx="3">
                  <c:v>0.049332222745869</c:v>
                </c:pt>
                <c:pt idx="4">
                  <c:v>0.0559770280672538</c:v>
                </c:pt>
                <c:pt idx="5">
                  <c:v>0.0589323309515108</c:v>
                </c:pt>
                <c:pt idx="6">
                  <c:v>0.0592827174491878</c:v>
                </c:pt>
                <c:pt idx="7">
                  <c:v>0.0717192427913023</c:v>
                </c:pt>
                <c:pt idx="8">
                  <c:v>0.0945652310111937</c:v>
                </c:pt>
                <c:pt idx="9">
                  <c:v>0.110428013846958</c:v>
                </c:pt>
                <c:pt idx="10">
                  <c:v>0.10378362081848</c:v>
                </c:pt>
                <c:pt idx="11">
                  <c:v>0.109644179681211</c:v>
                </c:pt>
                <c:pt idx="12">
                  <c:v>0.134303014381945</c:v>
                </c:pt>
                <c:pt idx="13">
                  <c:v>0.159408855904319</c:v>
                </c:pt>
                <c:pt idx="14">
                  <c:v>0.170829017805812</c:v>
                </c:pt>
                <c:pt idx="15">
                  <c:v>0.179298591293379</c:v>
                </c:pt>
                <c:pt idx="16">
                  <c:v>0.25709893676075</c:v>
                </c:pt>
                <c:pt idx="17">
                  <c:v>0.208010891372886</c:v>
                </c:pt>
                <c:pt idx="18">
                  <c:v>0.199883393256243</c:v>
                </c:pt>
                <c:pt idx="19">
                  <c:v>0.205572085474709</c:v>
                </c:pt>
                <c:pt idx="20">
                  <c:v>0.165266720992917</c:v>
                </c:pt>
                <c:pt idx="21">
                  <c:v>0.180219214014708</c:v>
                </c:pt>
                <c:pt idx="22">
                  <c:v>0.120971168437026</c:v>
                </c:pt>
                <c:pt idx="23">
                  <c:v>0.178077739326616</c:v>
                </c:pt>
                <c:pt idx="24">
                  <c:v>0.20063537687682</c:v>
                </c:pt>
                <c:pt idx="25">
                  <c:v>0.205475616060658</c:v>
                </c:pt>
                <c:pt idx="26">
                  <c:v>0.203970908070438</c:v>
                </c:pt>
                <c:pt idx="27">
                  <c:v>0.200400234480807</c:v>
                </c:pt>
                <c:pt idx="28">
                  <c:v>0.197058770652428</c:v>
                </c:pt>
                <c:pt idx="29">
                  <c:v>0.198583051827705</c:v>
                </c:pt>
                <c:pt idx="30">
                  <c:v>0.204218814266408</c:v>
                </c:pt>
                <c:pt idx="31">
                  <c:v>0.227121834183067</c:v>
                </c:pt>
                <c:pt idx="32">
                  <c:v>0.274414155906265</c:v>
                </c:pt>
                <c:pt idx="33">
                  <c:v>0.257658327140616</c:v>
                </c:pt>
                <c:pt idx="34">
                  <c:v>0.266746177261157</c:v>
                </c:pt>
                <c:pt idx="35">
                  <c:v>0.310406587272051</c:v>
                </c:pt>
                <c:pt idx="36">
                  <c:v>0.311333431415821</c:v>
                </c:pt>
                <c:pt idx="37">
                  <c:v>0.280972897657714</c:v>
                </c:pt>
                <c:pt idx="38">
                  <c:v>0.306315817970167</c:v>
                </c:pt>
                <c:pt idx="39">
                  <c:v>0.267191470236162</c:v>
                </c:pt>
                <c:pt idx="40">
                  <c:v>0.306819177144131</c:v>
                </c:pt>
                <c:pt idx="41">
                  <c:v>0.311551148388587</c:v>
                </c:pt>
                <c:pt idx="42">
                  <c:v>0.285536474843929</c:v>
                </c:pt>
                <c:pt idx="43">
                  <c:v>0.363998893709702</c:v>
                </c:pt>
                <c:pt idx="44">
                  <c:v>0.324593470695666</c:v>
                </c:pt>
                <c:pt idx="45">
                  <c:v>0.328204224465648</c:v>
                </c:pt>
                <c:pt idx="46">
                  <c:v>0.35131157652804</c:v>
                </c:pt>
                <c:pt idx="47">
                  <c:v>0.377474746662593</c:v>
                </c:pt>
                <c:pt idx="48">
                  <c:v>0.380992941657048</c:v>
                </c:pt>
                <c:pt idx="49">
                  <c:v>0.442756085074696</c:v>
                </c:pt>
              </c:numCache>
            </c:numRef>
          </c:val>
          <c:smooth val="0"/>
        </c:ser>
        <c:ser>
          <c:idx val="1"/>
          <c:order val="1"/>
          <c:tx>
            <c:strRef>
              <c:f>'Assets(MOFA)'!$DK$3</c:f>
              <c:strCache>
                <c:ptCount val="1"/>
                <c:pt idx="0">
                  <c:v>Share havens excl. NL in USDIA equity income</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'Assets(MOFA)'!$DK$11:$DK$60</c:f>
              <c:numCache>
                <c:formatCode>0%</c:formatCode>
                <c:ptCount val="50"/>
                <c:pt idx="0">
                  <c:v>0.0647610123353212</c:v>
                </c:pt>
                <c:pt idx="1">
                  <c:v>0.0697290543188737</c:v>
                </c:pt>
                <c:pt idx="2">
                  <c:v>0.0624650477744049</c:v>
                </c:pt>
                <c:pt idx="3">
                  <c:v>0.0763181421517313</c:v>
                </c:pt>
                <c:pt idx="4">
                  <c:v>0.0711541291095177</c:v>
                </c:pt>
                <c:pt idx="5">
                  <c:v>0.0762633670725505</c:v>
                </c:pt>
                <c:pt idx="6">
                  <c:v>0.0767312603053251</c:v>
                </c:pt>
                <c:pt idx="7">
                  <c:v>0.088148370555566</c:v>
                </c:pt>
                <c:pt idx="8">
                  <c:v>0.10809797972355</c:v>
                </c:pt>
                <c:pt idx="9">
                  <c:v>0.127567181074083</c:v>
                </c:pt>
                <c:pt idx="10">
                  <c:v>0.138086278779456</c:v>
                </c:pt>
                <c:pt idx="11">
                  <c:v>0.123422713316851</c:v>
                </c:pt>
                <c:pt idx="12">
                  <c:v>0.146795730736092</c:v>
                </c:pt>
                <c:pt idx="13">
                  <c:v>0.154118692948819</c:v>
                </c:pt>
                <c:pt idx="14">
                  <c:v>0.158080063601174</c:v>
                </c:pt>
                <c:pt idx="15">
                  <c:v>0.178545210221407</c:v>
                </c:pt>
                <c:pt idx="16">
                  <c:v>0.229747841769868</c:v>
                </c:pt>
                <c:pt idx="17">
                  <c:v>0.172946360621363</c:v>
                </c:pt>
                <c:pt idx="18">
                  <c:v>0.163222150053074</c:v>
                </c:pt>
                <c:pt idx="19">
                  <c:v>0.160224305529789</c:v>
                </c:pt>
                <c:pt idx="20">
                  <c:v>0.157704466468168</c:v>
                </c:pt>
                <c:pt idx="21">
                  <c:v>0.173690151518803</c:v>
                </c:pt>
                <c:pt idx="22">
                  <c:v>0.149019250590287</c:v>
                </c:pt>
                <c:pt idx="23">
                  <c:v>0.166368916135111</c:v>
                </c:pt>
                <c:pt idx="24">
                  <c:v>0.180160701187358</c:v>
                </c:pt>
                <c:pt idx="25">
                  <c:v>0.186351498783519</c:v>
                </c:pt>
                <c:pt idx="26">
                  <c:v>0.210978367443447</c:v>
                </c:pt>
                <c:pt idx="27">
                  <c:v>0.207590897046278</c:v>
                </c:pt>
                <c:pt idx="28">
                  <c:v>0.220550845511991</c:v>
                </c:pt>
                <c:pt idx="29">
                  <c:v>0.182037390569923</c:v>
                </c:pt>
                <c:pt idx="30">
                  <c:v>0.175779962671696</c:v>
                </c:pt>
                <c:pt idx="31">
                  <c:v>0.190107909522738</c:v>
                </c:pt>
                <c:pt idx="32">
                  <c:v>0.239018433543183</c:v>
                </c:pt>
                <c:pt idx="33">
                  <c:v>0.237117592020961</c:v>
                </c:pt>
                <c:pt idx="34">
                  <c:v>0.218160934487086</c:v>
                </c:pt>
                <c:pt idx="35">
                  <c:v>0.297080289074716</c:v>
                </c:pt>
                <c:pt idx="36">
                  <c:v>0.325763947256001</c:v>
                </c:pt>
                <c:pt idx="37">
                  <c:v>0.316153211969969</c:v>
                </c:pt>
                <c:pt idx="38">
                  <c:v>0.303466576649122</c:v>
                </c:pt>
                <c:pt idx="39">
                  <c:v>0.32979603003182</c:v>
                </c:pt>
                <c:pt idx="40">
                  <c:v>0.312651585023937</c:v>
                </c:pt>
                <c:pt idx="41">
                  <c:v>0.339897939879294</c:v>
                </c:pt>
                <c:pt idx="42">
                  <c:v>0.356910588468775</c:v>
                </c:pt>
                <c:pt idx="43">
                  <c:v>0.367508170947426</c:v>
                </c:pt>
                <c:pt idx="44">
                  <c:v>0.362174096726925</c:v>
                </c:pt>
                <c:pt idx="45">
                  <c:v>0.349774188912711</c:v>
                </c:pt>
                <c:pt idx="46">
                  <c:v>0.383331140075843</c:v>
                </c:pt>
                <c:pt idx="47">
                  <c:v>0.409768937920779</c:v>
                </c:pt>
                <c:pt idx="48">
                  <c:v>0.45819472239061</c:v>
                </c:pt>
                <c:pt idx="49">
                  <c:v>0.486462663904238</c:v>
                </c:pt>
              </c:numCache>
            </c:numRef>
          </c:val>
          <c:smooth val="0"/>
        </c:ser>
        <c:dLbls>
          <c:showLegendKey val="0"/>
          <c:showVal val="0"/>
          <c:showCatName val="0"/>
          <c:showSerName val="0"/>
          <c:showPercent val="0"/>
          <c:showBubbleSize val="0"/>
        </c:dLbls>
        <c:marker val="1"/>
        <c:smooth val="0"/>
        <c:axId val="-2134066488"/>
        <c:axId val="-2134063480"/>
      </c:lineChart>
      <c:catAx>
        <c:axId val="-2134066488"/>
        <c:scaling>
          <c:orientation val="minMax"/>
        </c:scaling>
        <c:delete val="0"/>
        <c:axPos val="b"/>
        <c:numFmt formatCode="General" sourceLinked="1"/>
        <c:majorTickMark val="out"/>
        <c:minorTickMark val="none"/>
        <c:tickLblPos val="nextTo"/>
        <c:crossAx val="-2134063480"/>
        <c:crosses val="autoZero"/>
        <c:auto val="1"/>
        <c:lblAlgn val="ctr"/>
        <c:lblOffset val="100"/>
        <c:noMultiLvlLbl val="0"/>
      </c:catAx>
      <c:valAx>
        <c:axId val="-2134063480"/>
        <c:scaling>
          <c:orientation val="minMax"/>
        </c:scaling>
        <c:delete val="0"/>
        <c:axPos val="l"/>
        <c:majorGridlines/>
        <c:numFmt formatCode="0%" sourceLinked="1"/>
        <c:majorTickMark val="out"/>
        <c:minorTickMark val="none"/>
        <c:tickLblPos val="nextTo"/>
        <c:crossAx val="-2134066488"/>
        <c:crosses val="autoZero"/>
        <c:crossBetween val="between"/>
      </c:valAx>
    </c:plotArea>
    <c:legend>
      <c:legendPos val="r"/>
      <c:layout>
        <c:manualLayout>
          <c:xMode val="edge"/>
          <c:yMode val="edge"/>
          <c:x val="0.137228783902012"/>
          <c:y val="0.100700277048702"/>
          <c:w val="0.548882327209099"/>
          <c:h val="0.206006853310003"/>
        </c:manualLayout>
      </c:layout>
      <c:overlay val="0"/>
    </c:legend>
    <c:plotVisOnly val="1"/>
    <c:dispBlanksAs val="gap"/>
    <c:showDLblsOverMax val="0"/>
  </c:chart>
  <c:printSettings>
    <c:headerFooter/>
    <c:pageMargins b="1.0" l="0.75" r="0.75" t="1.0"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000"/>
              <a:t>Figure A.1a: The</a:t>
            </a:r>
            <a:r>
              <a:rPr lang="en-US" sz="2000" baseline="0"/>
              <a:t> net foreign income of the United States </a:t>
            </a:r>
            <a:r>
              <a:rPr lang="en-US" sz="2000" b="0" baseline="0"/>
              <a:t>(% of U.S. national income)</a:t>
            </a:r>
            <a:endParaRPr lang="en-US" sz="2000" b="0"/>
          </a:p>
        </c:rich>
      </c:tx>
      <c:layout>
        <c:manualLayout>
          <c:xMode val="edge"/>
          <c:yMode val="edge"/>
          <c:x val="0.135339749198017"/>
          <c:y val="0.0"/>
        </c:manualLayout>
      </c:layout>
      <c:overlay val="0"/>
    </c:title>
    <c:autoTitleDeleted val="0"/>
    <c:plotArea>
      <c:layout>
        <c:manualLayout>
          <c:layoutTarget val="inner"/>
          <c:xMode val="edge"/>
          <c:yMode val="edge"/>
          <c:x val="0.0905280839895013"/>
          <c:y val="0.138071466556876"/>
          <c:w val="0.878042811315252"/>
          <c:h val="0.77728097713276"/>
        </c:manualLayout>
      </c:layout>
      <c:lineChart>
        <c:grouping val="standard"/>
        <c:varyColors val="0"/>
        <c:ser>
          <c:idx val="0"/>
          <c:order val="0"/>
          <c:spPr>
            <a:ln w="38100">
              <a:solidFill>
                <a:schemeClr val="accent2">
                  <a:lumMod val="75000"/>
                </a:schemeClr>
              </a:solidFill>
            </a:ln>
          </c:spPr>
          <c:marker>
            <c:symbol val="none"/>
          </c:marker>
          <c:cat>
            <c:numRef>
              <c:f>'Assets(BoP)'!$B$52:$B$108</c:f>
              <c:numCache>
                <c:formatCode>General</c:formatCode>
                <c:ptCount val="57"/>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pt idx="56">
                  <c:v>2016.0</c:v>
                </c:pt>
              </c:numCache>
            </c:numRef>
          </c:cat>
          <c:val>
            <c:numRef>
              <c:f>'Assets(BoP)'!$NS$52:$NS$108</c:f>
              <c:numCache>
                <c:formatCode>0.0%</c:formatCode>
                <c:ptCount val="57"/>
                <c:pt idx="0">
                  <c:v>0.00672431756615961</c:v>
                </c:pt>
                <c:pt idx="1">
                  <c:v>0.00682019308125503</c:v>
                </c:pt>
                <c:pt idx="2">
                  <c:v>0.00717862481315396</c:v>
                </c:pt>
                <c:pt idx="3">
                  <c:v>0.00737204376985527</c:v>
                </c:pt>
                <c:pt idx="4">
                  <c:v>0.00752424790399474</c:v>
                </c:pt>
                <c:pt idx="5">
                  <c:v>0.00734363168256853</c:v>
                </c:pt>
                <c:pt idx="6">
                  <c:v>0.00632068917604557</c:v>
                </c:pt>
                <c:pt idx="7">
                  <c:v>0.0062904498816101</c:v>
                </c:pt>
                <c:pt idx="8">
                  <c:v>0.00686816488402836</c:v>
                </c:pt>
                <c:pt idx="9">
                  <c:v>0.00756086714841578</c:v>
                </c:pt>
                <c:pt idx="10">
                  <c:v>0.00775874906924795</c:v>
                </c:pt>
                <c:pt idx="11">
                  <c:v>0.00786234021632252</c:v>
                </c:pt>
                <c:pt idx="12">
                  <c:v>0.00860641139804096</c:v>
                </c:pt>
                <c:pt idx="13">
                  <c:v>0.01187907716786</c:v>
                </c:pt>
                <c:pt idx="14">
                  <c:v>0.0131966242226829</c:v>
                </c:pt>
                <c:pt idx="15">
                  <c:v>0.0098966301426504</c:v>
                </c:pt>
                <c:pt idx="16">
                  <c:v>0.00983960862026257</c:v>
                </c:pt>
                <c:pt idx="17">
                  <c:v>0.00936176127202979</c:v>
                </c:pt>
                <c:pt idx="18">
                  <c:v>0.0104670180797084</c:v>
                </c:pt>
                <c:pt idx="19">
                  <c:v>0.0141562138599769</c:v>
                </c:pt>
                <c:pt idx="20">
                  <c:v>0.0117483929454426</c:v>
                </c:pt>
                <c:pt idx="21">
                  <c:v>0.00942323941074905</c:v>
                </c:pt>
                <c:pt idx="22">
                  <c:v>0.00963068581889874</c:v>
                </c:pt>
                <c:pt idx="23">
                  <c:v>0.00902793661166476</c:v>
                </c:pt>
                <c:pt idx="24">
                  <c:v>0.0078054587688734</c:v>
                </c:pt>
                <c:pt idx="25">
                  <c:v>0.00772623636067531</c:v>
                </c:pt>
                <c:pt idx="26">
                  <c:v>0.00781716127020425</c:v>
                </c:pt>
                <c:pt idx="27">
                  <c:v>0.00937366478927947</c:v>
                </c:pt>
                <c:pt idx="28">
                  <c:v>0.0103028886811768</c:v>
                </c:pt>
                <c:pt idx="29">
                  <c:v>0.0114875998494417</c:v>
                </c:pt>
                <c:pt idx="30">
                  <c:v>0.0124149639602073</c:v>
                </c:pt>
                <c:pt idx="31">
                  <c:v>0.0117591253543125</c:v>
                </c:pt>
                <c:pt idx="32">
                  <c:v>0.0100640034910995</c:v>
                </c:pt>
                <c:pt idx="33">
                  <c:v>0.0103049628136512</c:v>
                </c:pt>
                <c:pt idx="34">
                  <c:v>0.00898895801439692</c:v>
                </c:pt>
                <c:pt idx="35">
                  <c:v>0.0100226869357203</c:v>
                </c:pt>
                <c:pt idx="36">
                  <c:v>0.0100605849784039</c:v>
                </c:pt>
                <c:pt idx="37">
                  <c:v>0.0098061080700233</c:v>
                </c:pt>
                <c:pt idx="38">
                  <c:v>0.00834192407060949</c:v>
                </c:pt>
                <c:pt idx="39">
                  <c:v>0.00929676613329489</c:v>
                </c:pt>
                <c:pt idx="40">
                  <c:v>0.0105332884248344</c:v>
                </c:pt>
                <c:pt idx="41">
                  <c:v>0.0123776756744986</c:v>
                </c:pt>
                <c:pt idx="42">
                  <c:v>0.0105794337063411</c:v>
                </c:pt>
                <c:pt idx="43">
                  <c:v>0.0106063340159364</c:v>
                </c:pt>
                <c:pt idx="44">
                  <c:v>0.013341365538047</c:v>
                </c:pt>
                <c:pt idx="45">
                  <c:v>0.014188152814107</c:v>
                </c:pt>
                <c:pt idx="46">
                  <c:v>0.0131289151006264</c:v>
                </c:pt>
                <c:pt idx="47">
                  <c:v>0.0185843329491779</c:v>
                </c:pt>
                <c:pt idx="48">
                  <c:v>0.0215480616038237</c:v>
                </c:pt>
                <c:pt idx="49">
                  <c:v>0.0205563206636924</c:v>
                </c:pt>
                <c:pt idx="50">
                  <c:v>0.0218671847403744</c:v>
                </c:pt>
                <c:pt idx="51">
                  <c:v>0.0216199456273451</c:v>
                </c:pt>
                <c:pt idx="52">
                  <c:v>0.0203026618024591</c:v>
                </c:pt>
                <c:pt idx="53">
                  <c:v>0.0196112787992911</c:v>
                </c:pt>
                <c:pt idx="54">
                  <c:v>0.0182711304807184</c:v>
                </c:pt>
                <c:pt idx="55">
                  <c:v>0.0169336577803756</c:v>
                </c:pt>
                <c:pt idx="56">
                  <c:v>0.0161242835783703</c:v>
                </c:pt>
              </c:numCache>
            </c:numRef>
          </c:val>
          <c:smooth val="0"/>
        </c:ser>
        <c:dLbls>
          <c:showLegendKey val="0"/>
          <c:showVal val="0"/>
          <c:showCatName val="0"/>
          <c:showSerName val="0"/>
          <c:showPercent val="0"/>
          <c:showBubbleSize val="0"/>
        </c:dLbls>
        <c:marker val="1"/>
        <c:smooth val="0"/>
        <c:axId val="-2113571096"/>
        <c:axId val="-2113578104"/>
      </c:lineChart>
      <c:lineChart>
        <c:grouping val="standard"/>
        <c:varyColors val="0"/>
        <c:ser>
          <c:idx val="1"/>
          <c:order val="1"/>
          <c:tx>
            <c:strRef>
              <c:f>'Assets(BoP)'!$NR$3</c:f>
              <c:strCache>
                <c:ptCount val="1"/>
                <c:pt idx="0">
                  <c:v>Net inv. income received, % of NI</c:v>
                </c:pt>
              </c:strCache>
            </c:strRef>
          </c:tx>
          <c:spPr>
            <a:ln w="38100">
              <a:solidFill>
                <a:schemeClr val="tx2">
                  <a:lumMod val="75000"/>
                </a:schemeClr>
              </a:solidFill>
            </a:ln>
          </c:spPr>
          <c:marker>
            <c:symbol val="none"/>
          </c:marker>
          <c:cat>
            <c:numRef>
              <c:f>'Assets(BoP)'!$B$52:$B$108</c:f>
              <c:numCache>
                <c:formatCode>General</c:formatCode>
                <c:ptCount val="57"/>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pt idx="56">
                  <c:v>2016.0</c:v>
                </c:pt>
              </c:numCache>
            </c:numRef>
          </c:cat>
          <c:val>
            <c:numRef>
              <c:f>'Assets(BoP)'!$NR$52:$NR$108</c:f>
              <c:numCache>
                <c:formatCode>0.0%</c:formatCode>
                <c:ptCount val="57"/>
                <c:pt idx="0">
                  <c:v>0.00703896645134403</c:v>
                </c:pt>
                <c:pt idx="1">
                  <c:v>0.00755229283990346</c:v>
                </c:pt>
                <c:pt idx="2">
                  <c:v>0.00802316890881913</c:v>
                </c:pt>
                <c:pt idx="3">
                  <c:v>0.00810977762089657</c:v>
                </c:pt>
                <c:pt idx="4">
                  <c:v>0.00828702942626993</c:v>
                </c:pt>
                <c:pt idx="5">
                  <c:v>0.00810086324398001</c:v>
                </c:pt>
                <c:pt idx="6">
                  <c:v>0.00701125468945394</c:v>
                </c:pt>
                <c:pt idx="7">
                  <c:v>0.00693764798737174</c:v>
                </c:pt>
                <c:pt idx="8">
                  <c:v>0.00719865400793174</c:v>
                </c:pt>
                <c:pt idx="9">
                  <c:v>0.00671928849360756</c:v>
                </c:pt>
                <c:pt idx="10">
                  <c:v>0.00663120944580363</c:v>
                </c:pt>
                <c:pt idx="11">
                  <c:v>0.00714847590953785</c:v>
                </c:pt>
                <c:pt idx="12">
                  <c:v>0.00729474621549421</c:v>
                </c:pt>
                <c:pt idx="13">
                  <c:v>0.00966825775656324</c:v>
                </c:pt>
                <c:pt idx="14">
                  <c:v>0.0114769025762511</c:v>
                </c:pt>
                <c:pt idx="15">
                  <c:v>0.00881124664047963</c:v>
                </c:pt>
                <c:pt idx="16">
                  <c:v>0.00994674263066633</c:v>
                </c:pt>
                <c:pt idx="17">
                  <c:v>0.010083393562017</c:v>
                </c:pt>
                <c:pt idx="18">
                  <c:v>0.0100532045913592</c:v>
                </c:pt>
                <c:pt idx="19">
                  <c:v>0.013732763988969</c:v>
                </c:pt>
                <c:pt idx="20">
                  <c:v>0.0123916268336905</c:v>
                </c:pt>
                <c:pt idx="21">
                  <c:v>0.0120873590242827</c:v>
                </c:pt>
                <c:pt idx="22">
                  <c:v>0.0123795944233207</c:v>
                </c:pt>
                <c:pt idx="23">
                  <c:v>0.0118895605293253</c:v>
                </c:pt>
                <c:pt idx="24">
                  <c:v>0.010181475029036</c:v>
                </c:pt>
                <c:pt idx="25">
                  <c:v>0.00698170566201618</c:v>
                </c:pt>
                <c:pt idx="26">
                  <c:v>0.00448625331323736</c:v>
                </c:pt>
                <c:pt idx="27">
                  <c:v>0.00379636822684016</c:v>
                </c:pt>
                <c:pt idx="28">
                  <c:v>0.00434793252325633</c:v>
                </c:pt>
                <c:pt idx="29">
                  <c:v>0.00441073146250679</c:v>
                </c:pt>
                <c:pt idx="30">
                  <c:v>0.00612398482953079</c:v>
                </c:pt>
                <c:pt idx="31">
                  <c:v>0.0051801932087696</c:v>
                </c:pt>
                <c:pt idx="32">
                  <c:v>0.00494445151553721</c:v>
                </c:pt>
                <c:pt idx="33">
                  <c:v>0.00497515117814694</c:v>
                </c:pt>
                <c:pt idx="34">
                  <c:v>0.00344516465261718</c:v>
                </c:pt>
                <c:pt idx="35">
                  <c:v>0.00385430974612238</c:v>
                </c:pt>
                <c:pt idx="36">
                  <c:v>0.0038317824738383</c:v>
                </c:pt>
                <c:pt idx="37">
                  <c:v>0.0023038046718335</c:v>
                </c:pt>
                <c:pt idx="38">
                  <c:v>0.00112290481463098</c:v>
                </c:pt>
                <c:pt idx="39">
                  <c:v>0.00219799625198212</c:v>
                </c:pt>
                <c:pt idx="40">
                  <c:v>0.00276512855057819</c:v>
                </c:pt>
                <c:pt idx="41">
                  <c:v>0.00378143849487185</c:v>
                </c:pt>
                <c:pt idx="42">
                  <c:v>0.00322747117667006</c:v>
                </c:pt>
                <c:pt idx="43">
                  <c:v>0.00435443320289531</c:v>
                </c:pt>
                <c:pt idx="44">
                  <c:v>0.00599047519661509</c:v>
                </c:pt>
                <c:pt idx="45">
                  <c:v>0.00578391074574281</c:v>
                </c:pt>
                <c:pt idx="46">
                  <c:v>0.00318697520991603</c:v>
                </c:pt>
                <c:pt idx="47">
                  <c:v>0.00775139188728554</c:v>
                </c:pt>
                <c:pt idx="48">
                  <c:v>0.0113733726001384</c:v>
                </c:pt>
                <c:pt idx="49">
                  <c:v>0.0102125168025994</c:v>
                </c:pt>
                <c:pt idx="50">
                  <c:v>0.0138350798696966</c:v>
                </c:pt>
                <c:pt idx="51">
                  <c:v>0.0164138013675547</c:v>
                </c:pt>
                <c:pt idx="52">
                  <c:v>0.0153691179712557</c:v>
                </c:pt>
                <c:pt idx="53">
                  <c:v>0.0149112483385024</c:v>
                </c:pt>
                <c:pt idx="54">
                  <c:v>0.0146150950871632</c:v>
                </c:pt>
                <c:pt idx="55">
                  <c:v>0.0122428778367938</c:v>
                </c:pt>
                <c:pt idx="56">
                  <c:v>0.0116385497134313</c:v>
                </c:pt>
              </c:numCache>
            </c:numRef>
          </c:val>
          <c:smooth val="0"/>
        </c:ser>
        <c:ser>
          <c:idx val="2"/>
          <c:order val="2"/>
          <c:spPr>
            <a:ln w="38100">
              <a:solidFill>
                <a:schemeClr val="accent3">
                  <a:lumMod val="75000"/>
                </a:schemeClr>
              </a:solidFill>
            </a:ln>
          </c:spPr>
          <c:marker>
            <c:symbol val="none"/>
          </c:marker>
          <c:cat>
            <c:numRef>
              <c:f>'Assets(BoP)'!$B$52:$B$108</c:f>
              <c:numCache>
                <c:formatCode>General</c:formatCode>
                <c:ptCount val="57"/>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pt idx="56">
                  <c:v>2016.0</c:v>
                </c:pt>
              </c:numCache>
            </c:numRef>
          </c:cat>
          <c:val>
            <c:numRef>
              <c:f>'Assets(BoP)'!$NT$52:$NT$108</c:f>
              <c:numCache>
                <c:formatCode>0.0%</c:formatCode>
                <c:ptCount val="57"/>
                <c:pt idx="0">
                  <c:v>0.000314648885184413</c:v>
                </c:pt>
                <c:pt idx="1">
                  <c:v>0.000732099758648431</c:v>
                </c:pt>
                <c:pt idx="2">
                  <c:v>0.000844544095665173</c:v>
                </c:pt>
                <c:pt idx="3">
                  <c:v>0.0007377338510413</c:v>
                </c:pt>
                <c:pt idx="4">
                  <c:v>0.000762781522275194</c:v>
                </c:pt>
                <c:pt idx="5">
                  <c:v>0.000757231561411479</c:v>
                </c:pt>
                <c:pt idx="6">
                  <c:v>0.000690565513408363</c:v>
                </c:pt>
                <c:pt idx="7">
                  <c:v>0.000647198105761642</c:v>
                </c:pt>
                <c:pt idx="8">
                  <c:v>0.000330489123903378</c:v>
                </c:pt>
                <c:pt idx="9">
                  <c:v>-0.000841578654808226</c:v>
                </c:pt>
                <c:pt idx="10">
                  <c:v>-0.00112753962344431</c:v>
                </c:pt>
                <c:pt idx="11">
                  <c:v>-0.000713864306784662</c:v>
                </c:pt>
                <c:pt idx="12">
                  <c:v>-0.00131166518254675</c:v>
                </c:pt>
                <c:pt idx="13">
                  <c:v>-0.00221081941129674</c:v>
                </c:pt>
                <c:pt idx="14">
                  <c:v>-0.00171972164643174</c:v>
                </c:pt>
                <c:pt idx="15">
                  <c:v>-0.00108538350217077</c:v>
                </c:pt>
                <c:pt idx="16">
                  <c:v>0.000107134010403763</c:v>
                </c:pt>
                <c:pt idx="17">
                  <c:v>0.000721632289987213</c:v>
                </c:pt>
                <c:pt idx="18">
                  <c:v>-0.000413813488349178</c:v>
                </c:pt>
                <c:pt idx="19">
                  <c:v>-0.000423449871007916</c:v>
                </c:pt>
                <c:pt idx="20">
                  <c:v>0.000643233888247899</c:v>
                </c:pt>
                <c:pt idx="21">
                  <c:v>0.00266411961353367</c:v>
                </c:pt>
                <c:pt idx="22">
                  <c:v>0.00274890860442191</c:v>
                </c:pt>
                <c:pt idx="23">
                  <c:v>0.00286162391766051</c:v>
                </c:pt>
                <c:pt idx="24">
                  <c:v>0.0023760162601626</c:v>
                </c:pt>
                <c:pt idx="25">
                  <c:v>-0.000744530698659137</c:v>
                </c:pt>
                <c:pt idx="26">
                  <c:v>-0.00333090795696689</c:v>
                </c:pt>
                <c:pt idx="27">
                  <c:v>-0.00557729656243931</c:v>
                </c:pt>
                <c:pt idx="28">
                  <c:v>-0.00595495615792051</c:v>
                </c:pt>
                <c:pt idx="29">
                  <c:v>-0.00707686838693488</c:v>
                </c:pt>
                <c:pt idx="30">
                  <c:v>-0.00629097913067651</c:v>
                </c:pt>
                <c:pt idx="31">
                  <c:v>-0.00657893214554289</c:v>
                </c:pt>
                <c:pt idx="32">
                  <c:v>-0.0051195519755623</c:v>
                </c:pt>
                <c:pt idx="33">
                  <c:v>-0.00532981163550427</c:v>
                </c:pt>
                <c:pt idx="34">
                  <c:v>-0.00554379336177975</c:v>
                </c:pt>
                <c:pt idx="35">
                  <c:v>-0.00616837718959796</c:v>
                </c:pt>
                <c:pt idx="36">
                  <c:v>-0.00622880250456562</c:v>
                </c:pt>
                <c:pt idx="37">
                  <c:v>-0.0075023033981898</c:v>
                </c:pt>
                <c:pt idx="38">
                  <c:v>-0.00721901925597851</c:v>
                </c:pt>
                <c:pt idx="39">
                  <c:v>-0.00709876988131277</c:v>
                </c:pt>
                <c:pt idx="40">
                  <c:v>-0.0077681598742562</c:v>
                </c:pt>
                <c:pt idx="41">
                  <c:v>-0.00859623717962676</c:v>
                </c:pt>
                <c:pt idx="42">
                  <c:v>-0.00735196252967108</c:v>
                </c:pt>
                <c:pt idx="43">
                  <c:v>-0.0062519008130411</c:v>
                </c:pt>
                <c:pt idx="44">
                  <c:v>-0.00735089034143195</c:v>
                </c:pt>
                <c:pt idx="45">
                  <c:v>-0.0084042420683642</c:v>
                </c:pt>
                <c:pt idx="46">
                  <c:v>-0.00994193989071038</c:v>
                </c:pt>
                <c:pt idx="47">
                  <c:v>-0.0108329410618923</c:v>
                </c:pt>
                <c:pt idx="48">
                  <c:v>-0.0101746890036853</c:v>
                </c:pt>
                <c:pt idx="49">
                  <c:v>-0.010343803861093</c:v>
                </c:pt>
                <c:pt idx="50">
                  <c:v>-0.00803210487067781</c:v>
                </c:pt>
                <c:pt idx="51">
                  <c:v>-0.00520614425979044</c:v>
                </c:pt>
                <c:pt idx="52">
                  <c:v>-0.00493354383120347</c:v>
                </c:pt>
                <c:pt idx="53">
                  <c:v>-0.00470003046078866</c:v>
                </c:pt>
                <c:pt idx="54">
                  <c:v>-0.0036560353935552</c:v>
                </c:pt>
                <c:pt idx="55">
                  <c:v>-0.00469077994358179</c:v>
                </c:pt>
                <c:pt idx="56">
                  <c:v>-0.00448573386493895</c:v>
                </c:pt>
              </c:numCache>
            </c:numRef>
          </c:val>
          <c:smooth val="0"/>
        </c:ser>
        <c:dLbls>
          <c:showLegendKey val="0"/>
          <c:showVal val="0"/>
          <c:showCatName val="0"/>
          <c:showSerName val="0"/>
          <c:showPercent val="0"/>
          <c:showBubbleSize val="0"/>
        </c:dLbls>
        <c:marker val="1"/>
        <c:smooth val="0"/>
        <c:axId val="-2113584376"/>
        <c:axId val="-2113587384"/>
      </c:lineChart>
      <c:catAx>
        <c:axId val="-2113571096"/>
        <c:scaling>
          <c:orientation val="minMax"/>
        </c:scaling>
        <c:delete val="0"/>
        <c:axPos val="b"/>
        <c:numFmt formatCode="General" sourceLinked="1"/>
        <c:majorTickMark val="none"/>
        <c:minorTickMark val="none"/>
        <c:tickLblPos val="low"/>
        <c:spPr>
          <a:ln w="3175">
            <a:solidFill>
              <a:schemeClr val="tx1"/>
            </a:solidFill>
          </a:ln>
        </c:spPr>
        <c:txPr>
          <a:bodyPr rot="0" vert="horz"/>
          <a:lstStyle/>
          <a:p>
            <a:pPr>
              <a:defRPr sz="1600"/>
            </a:pPr>
            <a:endParaRPr lang="fr-FR"/>
          </a:p>
        </c:txPr>
        <c:crossAx val="-2113578104"/>
        <c:crosses val="autoZero"/>
        <c:auto val="1"/>
        <c:lblAlgn val="ctr"/>
        <c:lblOffset val="100"/>
        <c:tickLblSkip val="5"/>
        <c:tickMarkSkip val="5"/>
        <c:noMultiLvlLbl val="0"/>
      </c:catAx>
      <c:valAx>
        <c:axId val="-2113578104"/>
        <c:scaling>
          <c:orientation val="minMax"/>
        </c:scaling>
        <c:delete val="0"/>
        <c:axPos val="l"/>
        <c:numFmt formatCode="0.0%" sourceLinked="1"/>
        <c:majorTickMark val="none"/>
        <c:minorTickMark val="none"/>
        <c:tickLblPos val="nextTo"/>
        <c:txPr>
          <a:bodyPr/>
          <a:lstStyle/>
          <a:p>
            <a:pPr>
              <a:defRPr sz="1600"/>
            </a:pPr>
            <a:endParaRPr lang="fr-FR"/>
          </a:p>
        </c:txPr>
        <c:crossAx val="-2113571096"/>
        <c:crosses val="autoZero"/>
        <c:crossBetween val="between"/>
      </c:valAx>
      <c:valAx>
        <c:axId val="-2113587384"/>
        <c:scaling>
          <c:orientation val="minMax"/>
          <c:max val="0.02"/>
          <c:min val="-0.06"/>
        </c:scaling>
        <c:delete val="1"/>
        <c:axPos val="r"/>
        <c:numFmt formatCode="0%" sourceLinked="0"/>
        <c:majorTickMark val="none"/>
        <c:minorTickMark val="none"/>
        <c:tickLblPos val="nextTo"/>
        <c:crossAx val="-2113584376"/>
        <c:crosses val="max"/>
        <c:crossBetween val="between"/>
      </c:valAx>
      <c:catAx>
        <c:axId val="-2113584376"/>
        <c:scaling>
          <c:orientation val="minMax"/>
        </c:scaling>
        <c:delete val="1"/>
        <c:axPos val="b"/>
        <c:numFmt formatCode="General" sourceLinked="1"/>
        <c:majorTickMark val="out"/>
        <c:minorTickMark val="none"/>
        <c:tickLblPos val="nextTo"/>
        <c:crossAx val="-2113587384"/>
        <c:crosses val="autoZero"/>
        <c:auto val="1"/>
        <c:lblAlgn val="ctr"/>
        <c:lblOffset val="100"/>
        <c:noMultiLvlLbl val="0"/>
      </c:catAx>
      <c:spPr>
        <a:ln>
          <a:solidFill>
            <a:schemeClr val="bg1">
              <a:lumMod val="85000"/>
            </a:schemeClr>
          </a:solidFill>
        </a:ln>
      </c:spPr>
    </c:plotArea>
    <c:plotVisOnly val="1"/>
    <c:dispBlanksAs val="gap"/>
    <c:showDLblsOverMax val="0"/>
  </c:chart>
  <c:spPr>
    <a:ln>
      <a:noFill/>
    </a:ln>
  </c:spPr>
  <c:txPr>
    <a:bodyPr/>
    <a:lstStyle/>
    <a:p>
      <a:pPr>
        <a:defRPr>
          <a:latin typeface="Arial"/>
          <a:cs typeface="Arial"/>
        </a:defRPr>
      </a:pPr>
      <a:endParaRPr lang="fr-FR"/>
    </a:p>
  </c:txPr>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areaChart>
        <c:grouping val="stacked"/>
        <c:varyColors val="0"/>
        <c:ser>
          <c:idx val="0"/>
          <c:order val="0"/>
          <c:tx>
            <c:strRef>
              <c:f>'Assets(MOFA)'!$BZ$3</c:f>
              <c:strCache>
                <c:ptCount val="1"/>
                <c:pt idx="0">
                  <c:v>Ireland non oil, % total after-tax profits</c:v>
                </c:pt>
              </c:strCache>
            </c:strRef>
          </c:tx>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'Assets(MOFA)'!$BZ$11:$BZ$60</c:f>
              <c:numCache>
                <c:formatCode>0.0%</c:formatCode>
                <c:ptCount val="50"/>
                <c:pt idx="0">
                  <c:v>0.00161281789210099</c:v>
                </c:pt>
                <c:pt idx="1">
                  <c:v>0.00232869094310776</c:v>
                </c:pt>
                <c:pt idx="2">
                  <c:v>0.00162245924586079</c:v>
                </c:pt>
                <c:pt idx="3">
                  <c:v>0.00173148541096598</c:v>
                </c:pt>
                <c:pt idx="4">
                  <c:v>0.00485144913872211</c:v>
                </c:pt>
                <c:pt idx="5">
                  <c:v>0.00445268381879976</c:v>
                </c:pt>
                <c:pt idx="6">
                  <c:v>0.00339255243907206</c:v>
                </c:pt>
                <c:pt idx="7">
                  <c:v>0.00393090333268689</c:v>
                </c:pt>
                <c:pt idx="8">
                  <c:v>0.00565418322939349</c:v>
                </c:pt>
                <c:pt idx="9">
                  <c:v>0.00665752873616493</c:v>
                </c:pt>
                <c:pt idx="10">
                  <c:v>0.00876485786587069</c:v>
                </c:pt>
                <c:pt idx="11">
                  <c:v>0.0110556539472978</c:v>
                </c:pt>
                <c:pt idx="12">
                  <c:v>0.0144068965208465</c:v>
                </c:pt>
                <c:pt idx="13">
                  <c:v>0.0158009953026125</c:v>
                </c:pt>
                <c:pt idx="14">
                  <c:v>0.0200180607928246</c:v>
                </c:pt>
                <c:pt idx="15">
                  <c:v>0.024372585785066</c:v>
                </c:pt>
                <c:pt idx="16">
                  <c:v>0.0283957470429993</c:v>
                </c:pt>
                <c:pt idx="17">
                  <c:v>0.0315360882100045</c:v>
                </c:pt>
                <c:pt idx="18">
                  <c:v>0.0343437345786629</c:v>
                </c:pt>
                <c:pt idx="19">
                  <c:v>0.0360884819169756</c:v>
                </c:pt>
                <c:pt idx="20">
                  <c:v>0.025261706262145</c:v>
                </c:pt>
                <c:pt idx="21">
                  <c:v>0.044596385558767</c:v>
                </c:pt>
                <c:pt idx="22">
                  <c:v>0.0358082656431313</c:v>
                </c:pt>
                <c:pt idx="23">
                  <c:v>0.0501118482687417</c:v>
                </c:pt>
                <c:pt idx="24">
                  <c:v>0.0564464278960705</c:v>
                </c:pt>
                <c:pt idx="25">
                  <c:v>0.0597535757366879</c:v>
                </c:pt>
                <c:pt idx="26">
                  <c:v>0.0737821847010126</c:v>
                </c:pt>
                <c:pt idx="27">
                  <c:v>0.0607426573143862</c:v>
                </c:pt>
                <c:pt idx="28">
                  <c:v>0.0622584182802078</c:v>
                </c:pt>
                <c:pt idx="29">
                  <c:v>0.060647484851273</c:v>
                </c:pt>
                <c:pt idx="30">
                  <c:v>0.0591104060168047</c:v>
                </c:pt>
                <c:pt idx="31">
                  <c:v>0.0755969678480201</c:v>
                </c:pt>
                <c:pt idx="32">
                  <c:v>0.116080822572932</c:v>
                </c:pt>
                <c:pt idx="33">
                  <c:v>0.104966559326232</c:v>
                </c:pt>
                <c:pt idx="34">
                  <c:v>0.0991063958559553</c:v>
                </c:pt>
                <c:pt idx="35">
                  <c:v>0.133187569780424</c:v>
                </c:pt>
                <c:pt idx="36">
                  <c:v>0.157157569515963</c:v>
                </c:pt>
                <c:pt idx="37">
                  <c:v>0.144155782667217</c:v>
                </c:pt>
                <c:pt idx="38">
                  <c:v>0.149825387801511</c:v>
                </c:pt>
                <c:pt idx="39">
                  <c:v>0.12503615626627</c:v>
                </c:pt>
                <c:pt idx="40">
                  <c:v>0.140727145325551</c:v>
                </c:pt>
                <c:pt idx="41">
                  <c:v>0.148887960349086</c:v>
                </c:pt>
                <c:pt idx="42">
                  <c:v>0.113330351296862</c:v>
                </c:pt>
                <c:pt idx="43">
                  <c:v>0.144661285025324</c:v>
                </c:pt>
                <c:pt idx="44">
                  <c:v>0.146256659387654</c:v>
                </c:pt>
                <c:pt idx="45">
                  <c:v>0.152314896402407</c:v>
                </c:pt>
                <c:pt idx="46">
                  <c:v>0.170595808176334</c:v>
                </c:pt>
                <c:pt idx="47">
                  <c:v>0.155800160270584</c:v>
                </c:pt>
                <c:pt idx="48">
                  <c:v>0.137110449292503</c:v>
                </c:pt>
                <c:pt idx="49">
                  <c:v>0.180271792246475</c:v>
                </c:pt>
              </c:numCache>
            </c:numRef>
          </c:val>
        </c:ser>
        <c:ser>
          <c:idx val="2"/>
          <c:order val="1"/>
          <c:tx>
            <c:strRef>
              <c:f>'Assets(MOFA)'!$CI$3</c:f>
              <c:strCache>
                <c:ptCount val="1"/>
                <c:pt idx="0">
                  <c:v>Switzerland non oil, % total after-tax profits</c:v>
                </c:pt>
              </c:strCache>
            </c:strRef>
          </c:tx>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'Assets(MOFA)'!$CI$11:$CI$60</c:f>
              <c:numCache>
                <c:formatCode>0%</c:formatCode>
                <c:ptCount val="50"/>
                <c:pt idx="0">
                  <c:v>0.0177199412616028</c:v>
                </c:pt>
                <c:pt idx="1">
                  <c:v>0.0192219009276591</c:v>
                </c:pt>
                <c:pt idx="2">
                  <c:v>0.0207263852006131</c:v>
                </c:pt>
                <c:pt idx="3">
                  <c:v>0.0222330414301516</c:v>
                </c:pt>
                <c:pt idx="4">
                  <c:v>0.0237415297533127</c:v>
                </c:pt>
                <c:pt idx="5">
                  <c:v>0.0251915087662322</c:v>
                </c:pt>
                <c:pt idx="6">
                  <c:v>0.0247885758704988</c:v>
                </c:pt>
                <c:pt idx="7">
                  <c:v>0.0138975716312437</c:v>
                </c:pt>
                <c:pt idx="8">
                  <c:v>0.0162860846289527</c:v>
                </c:pt>
                <c:pt idx="9">
                  <c:v>0.0295639866099847</c:v>
                </c:pt>
                <c:pt idx="10">
                  <c:v>0.0261596574328068</c:v>
                </c:pt>
                <c:pt idx="11">
                  <c:v>0.0312254349493782</c:v>
                </c:pt>
                <c:pt idx="12">
                  <c:v>0.0324540571361909</c:v>
                </c:pt>
                <c:pt idx="13">
                  <c:v>0.02225820718314</c:v>
                </c:pt>
                <c:pt idx="14">
                  <c:v>0.0244835538327076</c:v>
                </c:pt>
                <c:pt idx="15">
                  <c:v>0.0267379488830729</c:v>
                </c:pt>
                <c:pt idx="16">
                  <c:v>0.0333916905077074</c:v>
                </c:pt>
                <c:pt idx="17">
                  <c:v>0.0279660040775496</c:v>
                </c:pt>
                <c:pt idx="18">
                  <c:v>0.0308291401588571</c:v>
                </c:pt>
                <c:pt idx="19">
                  <c:v>0.0427922743454135</c:v>
                </c:pt>
                <c:pt idx="20">
                  <c:v>0.0381621941470553</c:v>
                </c:pt>
                <c:pt idx="21">
                  <c:v>0.0367956097765941</c:v>
                </c:pt>
                <c:pt idx="22">
                  <c:v>0.0282029264539597</c:v>
                </c:pt>
                <c:pt idx="23">
                  <c:v>0.0298674313030817</c:v>
                </c:pt>
                <c:pt idx="24">
                  <c:v>0.0339183193539858</c:v>
                </c:pt>
                <c:pt idx="25">
                  <c:v>0.0405674691292839</c:v>
                </c:pt>
                <c:pt idx="26">
                  <c:v>0.0244496478123952</c:v>
                </c:pt>
                <c:pt idx="27">
                  <c:v>0.0307471766572345</c:v>
                </c:pt>
                <c:pt idx="28">
                  <c:v>0.034590007730615</c:v>
                </c:pt>
                <c:pt idx="29">
                  <c:v>0.0384337333561167</c:v>
                </c:pt>
                <c:pt idx="30">
                  <c:v>0.02406721899054</c:v>
                </c:pt>
                <c:pt idx="31">
                  <c:v>0.0255230255333671</c:v>
                </c:pt>
                <c:pt idx="32">
                  <c:v>0.032831181252989</c:v>
                </c:pt>
                <c:pt idx="33">
                  <c:v>0.0275042254269661</c:v>
                </c:pt>
                <c:pt idx="34">
                  <c:v>0.0244608316311766</c:v>
                </c:pt>
                <c:pt idx="35">
                  <c:v>0.023999917780284</c:v>
                </c:pt>
                <c:pt idx="36">
                  <c:v>0.0336433235793767</c:v>
                </c:pt>
                <c:pt idx="37">
                  <c:v>0.0280112593556027</c:v>
                </c:pt>
                <c:pt idx="38">
                  <c:v>0.0405513115455931</c:v>
                </c:pt>
                <c:pt idx="39">
                  <c:v>0.0416472935944443</c:v>
                </c:pt>
                <c:pt idx="40">
                  <c:v>0.0482763519835381</c:v>
                </c:pt>
                <c:pt idx="41">
                  <c:v>0.045924148293232</c:v>
                </c:pt>
                <c:pt idx="42">
                  <c:v>0.0528464464449866</c:v>
                </c:pt>
                <c:pt idx="43">
                  <c:v>0.0696007968035417</c:v>
                </c:pt>
                <c:pt idx="44">
                  <c:v>0.0571938225808581</c:v>
                </c:pt>
                <c:pt idx="45">
                  <c:v>0.0565588971408957</c:v>
                </c:pt>
                <c:pt idx="46">
                  <c:v>0.0533366730187021</c:v>
                </c:pt>
                <c:pt idx="47">
                  <c:v>0.0844598031783211</c:v>
                </c:pt>
                <c:pt idx="48">
                  <c:v>0.0833436100312778</c:v>
                </c:pt>
                <c:pt idx="49">
                  <c:v>0.0935937417528771</c:v>
                </c:pt>
              </c:numCache>
            </c:numRef>
          </c:val>
        </c:ser>
        <c:ser>
          <c:idx val="3"/>
          <c:order val="2"/>
          <c:tx>
            <c:strRef>
              <c:f>'Assets(MOFA)'!$CL$3</c:f>
              <c:strCache>
                <c:ptCount val="1"/>
                <c:pt idx="0">
                  <c:v>Bermuda and Carib. non oil, % total after-tax profits</c:v>
                </c:pt>
              </c:strCache>
            </c:strRef>
          </c:tx>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'Assets(MOFA)'!$CL$11:$CL$60</c:f>
              <c:numCache>
                <c:formatCode>0%</c:formatCode>
                <c:ptCount val="50"/>
                <c:pt idx="0">
                  <c:v>0.0185761449166586</c:v>
                </c:pt>
                <c:pt idx="1">
                  <c:v>0.0184649370852632</c:v>
                </c:pt>
                <c:pt idx="2">
                  <c:v>0.0183387582569004</c:v>
                </c:pt>
                <c:pt idx="3">
                  <c:v>0.0181966992046345</c:v>
                </c:pt>
                <c:pt idx="4">
                  <c:v>0.0180377755539924</c:v>
                </c:pt>
                <c:pt idx="5">
                  <c:v>0.0199622406692772</c:v>
                </c:pt>
                <c:pt idx="6">
                  <c:v>0.0191785446814286</c:v>
                </c:pt>
                <c:pt idx="7">
                  <c:v>0.0150132241448006</c:v>
                </c:pt>
                <c:pt idx="8">
                  <c:v>0.0176677210963995</c:v>
                </c:pt>
                <c:pt idx="9">
                  <c:v>0.0249732561508163</c:v>
                </c:pt>
                <c:pt idx="10">
                  <c:v>0.0441869069936484</c:v>
                </c:pt>
                <c:pt idx="11">
                  <c:v>0.0484624054097569</c:v>
                </c:pt>
                <c:pt idx="12">
                  <c:v>0.0543014825693072</c:v>
                </c:pt>
                <c:pt idx="13">
                  <c:v>0.0624362397426299</c:v>
                </c:pt>
                <c:pt idx="14">
                  <c:v>0.0676789511552993</c:v>
                </c:pt>
                <c:pt idx="15">
                  <c:v>0.0738242666907465</c:v>
                </c:pt>
                <c:pt idx="16">
                  <c:v>0.138520005124045</c:v>
                </c:pt>
                <c:pt idx="17">
                  <c:v>0.104710801625698</c:v>
                </c:pt>
                <c:pt idx="18">
                  <c:v>0.0932572717754176</c:v>
                </c:pt>
                <c:pt idx="19">
                  <c:v>0.0933307757771693</c:v>
                </c:pt>
                <c:pt idx="20">
                  <c:v>0.0682690412317542</c:v>
                </c:pt>
                <c:pt idx="21">
                  <c:v>0.0660966854326757</c:v>
                </c:pt>
                <c:pt idx="22">
                  <c:v>0.0271701916018321</c:v>
                </c:pt>
                <c:pt idx="23">
                  <c:v>0.0700194197356904</c:v>
                </c:pt>
                <c:pt idx="24">
                  <c:v>0.0639294305610801</c:v>
                </c:pt>
                <c:pt idx="25">
                  <c:v>0.0590645227194349</c:v>
                </c:pt>
                <c:pt idx="26">
                  <c:v>0.0645255557968969</c:v>
                </c:pt>
                <c:pt idx="27">
                  <c:v>0.0548172975440346</c:v>
                </c:pt>
                <c:pt idx="28">
                  <c:v>0.0469410136094781</c:v>
                </c:pt>
                <c:pt idx="29">
                  <c:v>0.0481538926642043</c:v>
                </c:pt>
                <c:pt idx="30">
                  <c:v>0.0472060638110347</c:v>
                </c:pt>
                <c:pt idx="31">
                  <c:v>0.0704882261083591</c:v>
                </c:pt>
                <c:pt idx="32">
                  <c:v>0.0828909612625538</c:v>
                </c:pt>
                <c:pt idx="33">
                  <c:v>0.0721514193515255</c:v>
                </c:pt>
                <c:pt idx="34">
                  <c:v>0.066903461196224</c:v>
                </c:pt>
                <c:pt idx="35">
                  <c:v>0.0949814650691978</c:v>
                </c:pt>
                <c:pt idx="36">
                  <c:v>0.0739927654496468</c:v>
                </c:pt>
                <c:pt idx="37">
                  <c:v>0.0649651869217498</c:v>
                </c:pt>
                <c:pt idx="38">
                  <c:v>0.0740174528436191</c:v>
                </c:pt>
                <c:pt idx="39">
                  <c:v>0.0663539075672907</c:v>
                </c:pt>
                <c:pt idx="40">
                  <c:v>0.0793788322279961</c:v>
                </c:pt>
                <c:pt idx="41">
                  <c:v>0.074499750755472</c:v>
                </c:pt>
                <c:pt idx="42">
                  <c:v>0.0821065253741845</c:v>
                </c:pt>
                <c:pt idx="43">
                  <c:v>0.0771678942348538</c:v>
                </c:pt>
                <c:pt idx="44">
                  <c:v>0.0708689988592612</c:v>
                </c:pt>
                <c:pt idx="45">
                  <c:v>0.049647194669992</c:v>
                </c:pt>
                <c:pt idx="46">
                  <c:v>0.0577875999001107</c:v>
                </c:pt>
                <c:pt idx="47">
                  <c:v>0.052276301553646</c:v>
                </c:pt>
                <c:pt idx="48">
                  <c:v>0.0765686731608653</c:v>
                </c:pt>
                <c:pt idx="49">
                  <c:v>0.0748941918849349</c:v>
                </c:pt>
              </c:numCache>
            </c:numRef>
          </c:val>
        </c:ser>
        <c:ser>
          <c:idx val="4"/>
          <c:order val="3"/>
          <c:tx>
            <c:strRef>
              <c:f>'Assets(MOFA)'!$CO$3</c:f>
              <c:strCache>
                <c:ptCount val="1"/>
                <c:pt idx="0">
                  <c:v>Singapore non oil, % total after-tax profits</c:v>
                </c:pt>
              </c:strCache>
            </c:strRef>
          </c:tx>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'Assets(MOFA)'!$CO$11:$CO$60</c:f>
              <c:numCache>
                <c:formatCode>0%</c:formatCode>
                <c:ptCount val="50"/>
                <c:pt idx="0">
                  <c:v>0.00044408201709193</c:v>
                </c:pt>
                <c:pt idx="1">
                  <c:v>0.000716519284107141</c:v>
                </c:pt>
                <c:pt idx="2">
                  <c:v>0.000995666902320841</c:v>
                </c:pt>
                <c:pt idx="3">
                  <c:v>0.00128134833496556</c:v>
                </c:pt>
                <c:pt idx="4">
                  <c:v>0.00157339318391059</c:v>
                </c:pt>
                <c:pt idx="5">
                  <c:v>0.00116072701347925</c:v>
                </c:pt>
                <c:pt idx="6">
                  <c:v>0.00369644530705964</c:v>
                </c:pt>
                <c:pt idx="7">
                  <c:v>0.00306021014327679</c:v>
                </c:pt>
                <c:pt idx="8">
                  <c:v>0.00283979611305197</c:v>
                </c:pt>
                <c:pt idx="9">
                  <c:v>0.00385969440571787</c:v>
                </c:pt>
                <c:pt idx="10">
                  <c:v>0.00544393856218027</c:v>
                </c:pt>
                <c:pt idx="11">
                  <c:v>0.00649385498846133</c:v>
                </c:pt>
                <c:pt idx="12">
                  <c:v>0.0079613651612792</c:v>
                </c:pt>
                <c:pt idx="13">
                  <c:v>0.00751450326544308</c:v>
                </c:pt>
                <c:pt idx="14">
                  <c:v>0.00996209777474057</c:v>
                </c:pt>
                <c:pt idx="15">
                  <c:v>0.0128102905955154</c:v>
                </c:pt>
                <c:pt idx="16">
                  <c:v>0.0166531448823605</c:v>
                </c:pt>
                <c:pt idx="17">
                  <c:v>0.017516579990581</c:v>
                </c:pt>
                <c:pt idx="18">
                  <c:v>0.0170355046938847</c:v>
                </c:pt>
                <c:pt idx="19">
                  <c:v>0.00992722080719983</c:v>
                </c:pt>
                <c:pt idx="20">
                  <c:v>0.0187885279546711</c:v>
                </c:pt>
                <c:pt idx="21">
                  <c:v>0.0185957305567821</c:v>
                </c:pt>
                <c:pt idx="22">
                  <c:v>0.0171328526524115</c:v>
                </c:pt>
                <c:pt idx="23">
                  <c:v>0.0157161157103799</c:v>
                </c:pt>
                <c:pt idx="24">
                  <c:v>0.0308943229340353</c:v>
                </c:pt>
                <c:pt idx="25">
                  <c:v>0.0285760315720345</c:v>
                </c:pt>
                <c:pt idx="26">
                  <c:v>0.0293047189577728</c:v>
                </c:pt>
                <c:pt idx="27">
                  <c:v>0.0440771682523656</c:v>
                </c:pt>
                <c:pt idx="28">
                  <c:v>0.0428060334753609</c:v>
                </c:pt>
                <c:pt idx="29">
                  <c:v>0.0448342569997325</c:v>
                </c:pt>
                <c:pt idx="30">
                  <c:v>0.062133508366583</c:v>
                </c:pt>
                <c:pt idx="31">
                  <c:v>0.0469007923853689</c:v>
                </c:pt>
                <c:pt idx="32">
                  <c:v>0.0326652783588238</c:v>
                </c:pt>
                <c:pt idx="33">
                  <c:v>0.0440250183196606</c:v>
                </c:pt>
                <c:pt idx="34">
                  <c:v>0.0678987595207239</c:v>
                </c:pt>
                <c:pt idx="35">
                  <c:v>0.0499303485675747</c:v>
                </c:pt>
                <c:pt idx="36">
                  <c:v>0.0398688159890948</c:v>
                </c:pt>
                <c:pt idx="37">
                  <c:v>0.0389457605771029</c:v>
                </c:pt>
                <c:pt idx="38">
                  <c:v>0.0397740780489964</c:v>
                </c:pt>
                <c:pt idx="39">
                  <c:v>0.0297861882490013</c:v>
                </c:pt>
                <c:pt idx="40">
                  <c:v>0.0388731205400866</c:v>
                </c:pt>
                <c:pt idx="41">
                  <c:v>0.0381353381625465</c:v>
                </c:pt>
                <c:pt idx="42">
                  <c:v>0.0365429470399811</c:v>
                </c:pt>
                <c:pt idx="43">
                  <c:v>0.0414896162084741</c:v>
                </c:pt>
                <c:pt idx="44">
                  <c:v>0.0422760036294086</c:v>
                </c:pt>
                <c:pt idx="45">
                  <c:v>0.0531954163834787</c:v>
                </c:pt>
                <c:pt idx="46">
                  <c:v>0.0544560782377535</c:v>
                </c:pt>
                <c:pt idx="47">
                  <c:v>0.0640365081288141</c:v>
                </c:pt>
                <c:pt idx="48">
                  <c:v>0.0628580429335894</c:v>
                </c:pt>
                <c:pt idx="49">
                  <c:v>0.0688051921434248</c:v>
                </c:pt>
              </c:numCache>
            </c:numRef>
          </c:val>
        </c:ser>
        <c:dLbls>
          <c:showLegendKey val="0"/>
          <c:showVal val="0"/>
          <c:showCatName val="0"/>
          <c:showSerName val="0"/>
          <c:showPercent val="0"/>
          <c:showBubbleSize val="0"/>
        </c:dLbls>
        <c:axId val="-2134157176"/>
        <c:axId val="-2134160040"/>
      </c:areaChart>
      <c:catAx>
        <c:axId val="-2134157176"/>
        <c:scaling>
          <c:orientation val="minMax"/>
        </c:scaling>
        <c:delete val="0"/>
        <c:axPos val="b"/>
        <c:numFmt formatCode="General" sourceLinked="1"/>
        <c:majorTickMark val="out"/>
        <c:minorTickMark val="none"/>
        <c:tickLblPos val="nextTo"/>
        <c:crossAx val="-2134160040"/>
        <c:crosses val="autoZero"/>
        <c:auto val="1"/>
        <c:lblAlgn val="ctr"/>
        <c:lblOffset val="100"/>
        <c:noMultiLvlLbl val="0"/>
      </c:catAx>
      <c:valAx>
        <c:axId val="-2134160040"/>
        <c:scaling>
          <c:orientation val="minMax"/>
          <c:max val="0.4"/>
        </c:scaling>
        <c:delete val="0"/>
        <c:axPos val="l"/>
        <c:majorGridlines/>
        <c:numFmt formatCode="0.0%" sourceLinked="1"/>
        <c:majorTickMark val="out"/>
        <c:minorTickMark val="none"/>
        <c:tickLblPos val="nextTo"/>
        <c:crossAx val="-2134157176"/>
        <c:crosses val="autoZero"/>
        <c:crossBetween val="midCat"/>
      </c:valAx>
    </c:plotArea>
    <c:legend>
      <c:legendPos val="r"/>
      <c:overlay val="0"/>
    </c:legend>
    <c:plotVisOnly val="1"/>
    <c:dispBlanksAs val="zero"/>
    <c:showDLblsOverMax val="0"/>
  </c:chart>
  <c:printSettings>
    <c:headerFooter/>
    <c:pageMargins b="1.0" l="0.75" r="0.75" t="1.0"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0932248468941382"/>
          <c:y val="0.0601851851851852"/>
          <c:w val="0.881712817147856"/>
          <c:h val="0.783642096821231"/>
        </c:manualLayout>
      </c:layout>
      <c:lineChart>
        <c:grouping val="standard"/>
        <c:varyColors val="0"/>
        <c:ser>
          <c:idx val="0"/>
          <c:order val="0"/>
          <c:tx>
            <c:strRef>
              <c:f>'Assets(MOFA)'!$HO$3</c:f>
              <c:strCache>
                <c:ptCount val="1"/>
                <c:pt idx="0">
                  <c:v>Tax rate non-haven non oil</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'Assets(MOFA)'!$HO$11:$HO$60</c:f>
              <c:numCache>
                <c:formatCode>0%</c:formatCode>
                <c:ptCount val="50"/>
                <c:pt idx="0">
                  <c:v>0.467019430574736</c:v>
                </c:pt>
                <c:pt idx="1">
                  <c:v>0.460113009892122</c:v>
                </c:pt>
                <c:pt idx="2">
                  <c:v>0.434898454681938</c:v>
                </c:pt>
                <c:pt idx="3">
                  <c:v>0.41878643756628</c:v>
                </c:pt>
                <c:pt idx="4">
                  <c:v>0.456375214779475</c:v>
                </c:pt>
                <c:pt idx="5">
                  <c:v>0.430416911179916</c:v>
                </c:pt>
                <c:pt idx="6">
                  <c:v>0.382680498364148</c:v>
                </c:pt>
                <c:pt idx="7">
                  <c:v>0.376410978113496</c:v>
                </c:pt>
                <c:pt idx="8">
                  <c:v>0.42598961297182</c:v>
                </c:pt>
                <c:pt idx="9">
                  <c:v>0.388271442726872</c:v>
                </c:pt>
                <c:pt idx="10">
                  <c:v>0.408049533983438</c:v>
                </c:pt>
                <c:pt idx="11">
                  <c:v>0.459482620106047</c:v>
                </c:pt>
                <c:pt idx="12">
                  <c:v>0.412070998108411</c:v>
                </c:pt>
                <c:pt idx="13">
                  <c:v>0.430585474927507</c:v>
                </c:pt>
                <c:pt idx="14">
                  <c:v>0.424214376746002</c:v>
                </c:pt>
                <c:pt idx="15">
                  <c:v>0.456513946100689</c:v>
                </c:pt>
                <c:pt idx="16">
                  <c:v>0.514920845054884</c:v>
                </c:pt>
                <c:pt idx="17">
                  <c:v>0.446679604297818</c:v>
                </c:pt>
                <c:pt idx="18">
                  <c:v>0.421949748743719</c:v>
                </c:pt>
                <c:pt idx="19">
                  <c:v>0.443458448255186</c:v>
                </c:pt>
                <c:pt idx="20">
                  <c:v>0.417544607514768</c:v>
                </c:pt>
                <c:pt idx="21">
                  <c:v>0.391392498387245</c:v>
                </c:pt>
                <c:pt idx="22">
                  <c:v>0.377168091370198</c:v>
                </c:pt>
                <c:pt idx="23">
                  <c:v>0.400262989428517</c:v>
                </c:pt>
                <c:pt idx="24">
                  <c:v>0.418317610062893</c:v>
                </c:pt>
                <c:pt idx="25">
                  <c:v>0.422258326563769</c:v>
                </c:pt>
                <c:pt idx="26">
                  <c:v>0.398244651673066</c:v>
                </c:pt>
                <c:pt idx="27">
                  <c:v>0.340474598159721</c:v>
                </c:pt>
                <c:pt idx="28">
                  <c:v>0.366136459537307</c:v>
                </c:pt>
                <c:pt idx="29">
                  <c:v>0.359203036053131</c:v>
                </c:pt>
                <c:pt idx="30">
                  <c:v>0.357625573057849</c:v>
                </c:pt>
                <c:pt idx="31">
                  <c:v>0.369184109551272</c:v>
                </c:pt>
                <c:pt idx="32">
                  <c:v>0.388060838432826</c:v>
                </c:pt>
                <c:pt idx="33">
                  <c:v>0.370760404621033</c:v>
                </c:pt>
                <c:pt idx="34">
                  <c:v>0.405733678663928</c:v>
                </c:pt>
                <c:pt idx="35">
                  <c:v>0.493553438410092</c:v>
                </c:pt>
                <c:pt idx="36">
                  <c:v>0.370531080793808</c:v>
                </c:pt>
                <c:pt idx="37">
                  <c:v>0.304392971973513</c:v>
                </c:pt>
                <c:pt idx="38">
                  <c:v>0.332000485653001</c:v>
                </c:pt>
                <c:pt idx="39">
                  <c:v>0.33857026741275</c:v>
                </c:pt>
                <c:pt idx="40">
                  <c:v>0.354581358601652</c:v>
                </c:pt>
                <c:pt idx="41">
                  <c:v>0.320733234165088</c:v>
                </c:pt>
                <c:pt idx="42">
                  <c:v>0.267892226163033</c:v>
                </c:pt>
                <c:pt idx="43">
                  <c:v>0.300500947724117</c:v>
                </c:pt>
                <c:pt idx="44">
                  <c:v>0.282049334697157</c:v>
                </c:pt>
                <c:pt idx="45">
                  <c:v>0.293704129623333</c:v>
                </c:pt>
                <c:pt idx="46">
                  <c:v>0.280342674439157</c:v>
                </c:pt>
                <c:pt idx="47">
                  <c:v>0.280411877339446</c:v>
                </c:pt>
                <c:pt idx="48">
                  <c:v>0.277723407226649</c:v>
                </c:pt>
                <c:pt idx="49">
                  <c:v>0.267016182673756</c:v>
                </c:pt>
              </c:numCache>
            </c:numRef>
          </c:val>
          <c:smooth val="0"/>
        </c:ser>
        <c:dLbls>
          <c:showLegendKey val="0"/>
          <c:showVal val="0"/>
          <c:showCatName val="0"/>
          <c:showSerName val="0"/>
          <c:showPercent val="0"/>
          <c:showBubbleSize val="0"/>
        </c:dLbls>
        <c:marker val="1"/>
        <c:smooth val="0"/>
        <c:axId val="-2134168712"/>
        <c:axId val="-2134188296"/>
      </c:lineChart>
      <c:catAx>
        <c:axId val="-2134168712"/>
        <c:scaling>
          <c:orientation val="minMax"/>
        </c:scaling>
        <c:delete val="0"/>
        <c:axPos val="b"/>
        <c:numFmt formatCode="General" sourceLinked="1"/>
        <c:majorTickMark val="out"/>
        <c:minorTickMark val="none"/>
        <c:tickLblPos val="nextTo"/>
        <c:crossAx val="-2134188296"/>
        <c:crosses val="autoZero"/>
        <c:auto val="1"/>
        <c:lblAlgn val="ctr"/>
        <c:lblOffset val="100"/>
        <c:noMultiLvlLbl val="0"/>
      </c:catAx>
      <c:valAx>
        <c:axId val="-2134188296"/>
        <c:scaling>
          <c:orientation val="minMax"/>
        </c:scaling>
        <c:delete val="0"/>
        <c:axPos val="l"/>
        <c:majorGridlines/>
        <c:numFmt formatCode="0%" sourceLinked="1"/>
        <c:majorTickMark val="out"/>
        <c:minorTickMark val="none"/>
        <c:tickLblPos val="nextTo"/>
        <c:crossAx val="-2134168712"/>
        <c:crosses val="autoZero"/>
        <c:crossBetween val="between"/>
      </c:valAx>
    </c:plotArea>
    <c:legend>
      <c:legendPos val="r"/>
      <c:layout>
        <c:manualLayout>
          <c:xMode val="edge"/>
          <c:yMode val="edge"/>
          <c:x val="0.224937664041995"/>
          <c:y val="0.425542067658209"/>
          <c:w val="0.263951224846894"/>
          <c:h val="0.185952901720618"/>
        </c:manualLayout>
      </c:layout>
      <c:overlay val="0"/>
    </c:legend>
    <c:plotVisOnly val="1"/>
    <c:dispBlanksAs val="gap"/>
    <c:showDLblsOverMax val="0"/>
  </c:chart>
  <c:printSettings>
    <c:headerFooter/>
    <c:pageMargins b="1.0" l="0.75" r="0.75" t="1.0"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Pre-tax returns of majority-owned affiliates of U.S. multinationals</a:t>
            </a:r>
          </a:p>
        </c:rich>
      </c:tx>
      <c:overlay val="0"/>
    </c:title>
    <c:autoTitleDeleted val="0"/>
    <c:plotArea>
      <c:layout/>
      <c:barChart>
        <c:barDir val="col"/>
        <c:grouping val="clustered"/>
        <c:varyColors val="0"/>
        <c:ser>
          <c:idx val="0"/>
          <c:order val="0"/>
          <c:invertIfNegative val="0"/>
          <c:cat>
            <c:strRef>
              <c:f>'Assets(MOFA)'!$MC$77:$MC$81</c:f>
              <c:strCache>
                <c:ptCount val="5"/>
                <c:pt idx="0">
                  <c:v>U.K.</c:v>
                </c:pt>
                <c:pt idx="1">
                  <c:v>Luxembourg, Netherlands, Carribbean</c:v>
                </c:pt>
                <c:pt idx="2">
                  <c:v>Non-havens excluding oil</c:v>
                </c:pt>
                <c:pt idx="3">
                  <c:v>Ireland, Switzerland, Singapore</c:v>
                </c:pt>
                <c:pt idx="4">
                  <c:v>Oil</c:v>
                </c:pt>
              </c:strCache>
            </c:strRef>
          </c:cat>
          <c:val>
            <c:numRef>
              <c:f>'Assets(MOFA)'!$MD$77:$MD$81</c:f>
              <c:numCache>
                <c:formatCode>General</c:formatCode>
                <c:ptCount val="5"/>
              </c:numCache>
            </c:numRef>
          </c:val>
        </c:ser>
        <c:ser>
          <c:idx val="1"/>
          <c:order val="1"/>
          <c:invertIfNegative val="0"/>
          <c:cat>
            <c:strRef>
              <c:f>'Assets(MOFA)'!$MC$77:$MC$81</c:f>
              <c:strCache>
                <c:ptCount val="5"/>
                <c:pt idx="0">
                  <c:v>U.K.</c:v>
                </c:pt>
                <c:pt idx="1">
                  <c:v>Luxembourg, Netherlands, Carribbean</c:v>
                </c:pt>
                <c:pt idx="2">
                  <c:v>Non-havens excluding oil</c:v>
                </c:pt>
                <c:pt idx="3">
                  <c:v>Ireland, Switzerland, Singapore</c:v>
                </c:pt>
                <c:pt idx="4">
                  <c:v>Oil</c:v>
                </c:pt>
              </c:strCache>
            </c:strRef>
          </c:cat>
          <c:val>
            <c:numRef>
              <c:f>'Assets(MOFA)'!$ME$77:$ME$81</c:f>
              <c:numCache>
                <c:formatCode>General</c:formatCode>
                <c:ptCount val="5"/>
              </c:numCache>
            </c:numRef>
          </c:val>
        </c:ser>
        <c:ser>
          <c:idx val="2"/>
          <c:order val="2"/>
          <c:invertIfNegative val="0"/>
          <c:cat>
            <c:strRef>
              <c:f>'Assets(MOFA)'!$MC$77:$MC$81</c:f>
              <c:strCache>
                <c:ptCount val="5"/>
                <c:pt idx="0">
                  <c:v>U.K.</c:v>
                </c:pt>
                <c:pt idx="1">
                  <c:v>Luxembourg, Netherlands, Carribbean</c:v>
                </c:pt>
                <c:pt idx="2">
                  <c:v>Non-havens excluding oil</c:v>
                </c:pt>
                <c:pt idx="3">
                  <c:v>Ireland, Switzerland, Singapore</c:v>
                </c:pt>
                <c:pt idx="4">
                  <c:v>Oil</c:v>
                </c:pt>
              </c:strCache>
            </c:strRef>
          </c:cat>
          <c:val>
            <c:numRef>
              <c:f>'Assets(MOFA)'!$MF$77:$MF$81</c:f>
              <c:numCache>
                <c:formatCode>0.0%</c:formatCode>
                <c:ptCount val="5"/>
                <c:pt idx="0">
                  <c:v>0.0616105293752968</c:v>
                </c:pt>
                <c:pt idx="1">
                  <c:v>0.0857502097894299</c:v>
                </c:pt>
                <c:pt idx="2" formatCode="0%">
                  <c:v>0.103426829838389</c:v>
                </c:pt>
                <c:pt idx="3" formatCode="0%">
                  <c:v>0.187857637407596</c:v>
                </c:pt>
                <c:pt idx="4" formatCode="0%">
                  <c:v>0.24896793899042</c:v>
                </c:pt>
              </c:numCache>
            </c:numRef>
          </c:val>
        </c:ser>
        <c:dLbls>
          <c:showLegendKey val="0"/>
          <c:showVal val="0"/>
          <c:showCatName val="0"/>
          <c:showSerName val="0"/>
          <c:showPercent val="0"/>
          <c:showBubbleSize val="0"/>
        </c:dLbls>
        <c:gapWidth val="150"/>
        <c:axId val="-2134252376"/>
        <c:axId val="-2134249400"/>
      </c:barChart>
      <c:catAx>
        <c:axId val="-2134252376"/>
        <c:scaling>
          <c:orientation val="minMax"/>
        </c:scaling>
        <c:delete val="0"/>
        <c:axPos val="b"/>
        <c:numFmt formatCode="General" sourceLinked="0"/>
        <c:majorTickMark val="out"/>
        <c:minorTickMark val="none"/>
        <c:tickLblPos val="nextTo"/>
        <c:crossAx val="-2134249400"/>
        <c:crosses val="autoZero"/>
        <c:auto val="1"/>
        <c:lblAlgn val="ctr"/>
        <c:lblOffset val="100"/>
        <c:noMultiLvlLbl val="0"/>
      </c:catAx>
      <c:valAx>
        <c:axId val="-2134249400"/>
        <c:scaling>
          <c:orientation val="minMax"/>
          <c:max val="0.25"/>
        </c:scaling>
        <c:delete val="0"/>
        <c:axPos val="l"/>
        <c:majorGridlines/>
        <c:numFmt formatCode="0%" sourceLinked="0"/>
        <c:majorTickMark val="out"/>
        <c:minorTickMark val="none"/>
        <c:tickLblPos val="nextTo"/>
        <c:crossAx val="-2134252376"/>
        <c:crosses val="autoZero"/>
        <c:crossBetween val="between"/>
      </c:valAx>
    </c:plotArea>
    <c:plotVisOnly val="1"/>
    <c:dispBlanksAs val="gap"/>
    <c:showDLblsOverMax val="0"/>
  </c:chart>
  <c:printSettings>
    <c:headerFooter/>
    <c:pageMargins b="1.0" l="0.75" r="0.75" t="1.0"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Pre-tax returns of majority-owned affiliates of U.S. multinationals</a:t>
            </a:r>
          </a:p>
        </c:rich>
      </c:tx>
      <c:overlay val="0"/>
    </c:title>
    <c:autoTitleDeleted val="0"/>
    <c:plotArea>
      <c:layout/>
      <c:barChart>
        <c:barDir val="col"/>
        <c:grouping val="clustered"/>
        <c:varyColors val="0"/>
        <c:ser>
          <c:idx val="0"/>
          <c:order val="0"/>
          <c:invertIfNegative val="0"/>
          <c:cat>
            <c:strRef>
              <c:f>'Assets(MOFA)'!$MC$82:$MC$88</c:f>
              <c:strCache>
                <c:ptCount val="7"/>
                <c:pt idx="0">
                  <c:v>U.K.</c:v>
                </c:pt>
                <c:pt idx="1">
                  <c:v>Carribbean</c:v>
                </c:pt>
                <c:pt idx="2">
                  <c:v>Luxembourg</c:v>
                </c:pt>
                <c:pt idx="3">
                  <c:v>Netherlands</c:v>
                </c:pt>
                <c:pt idx="4">
                  <c:v>Singapore</c:v>
                </c:pt>
                <c:pt idx="5">
                  <c:v>Switzerland</c:v>
                </c:pt>
                <c:pt idx="6">
                  <c:v>Ireland</c:v>
                </c:pt>
              </c:strCache>
            </c:strRef>
          </c:cat>
          <c:val>
            <c:numRef>
              <c:f>'Assets(MOFA)'!$MD$77:$MD$81</c:f>
              <c:numCache>
                <c:formatCode>General</c:formatCode>
                <c:ptCount val="5"/>
              </c:numCache>
            </c:numRef>
          </c:val>
        </c:ser>
        <c:ser>
          <c:idx val="1"/>
          <c:order val="1"/>
          <c:invertIfNegative val="0"/>
          <c:cat>
            <c:strRef>
              <c:f>'Assets(MOFA)'!$MC$82:$MC$88</c:f>
              <c:strCache>
                <c:ptCount val="7"/>
                <c:pt idx="0">
                  <c:v>U.K.</c:v>
                </c:pt>
                <c:pt idx="1">
                  <c:v>Carribbean</c:v>
                </c:pt>
                <c:pt idx="2">
                  <c:v>Luxembourg</c:v>
                </c:pt>
                <c:pt idx="3">
                  <c:v>Netherlands</c:v>
                </c:pt>
                <c:pt idx="4">
                  <c:v>Singapore</c:v>
                </c:pt>
                <c:pt idx="5">
                  <c:v>Switzerland</c:v>
                </c:pt>
                <c:pt idx="6">
                  <c:v>Ireland</c:v>
                </c:pt>
              </c:strCache>
            </c:strRef>
          </c:cat>
          <c:val>
            <c:numRef>
              <c:f>'Assets(MOFA)'!$ME$77:$ME$81</c:f>
              <c:numCache>
                <c:formatCode>General</c:formatCode>
                <c:ptCount val="5"/>
              </c:numCache>
            </c:numRef>
          </c:val>
        </c:ser>
        <c:ser>
          <c:idx val="2"/>
          <c:order val="2"/>
          <c:invertIfNegative val="0"/>
          <c:cat>
            <c:strRef>
              <c:f>'Assets(MOFA)'!$MC$82:$MC$88</c:f>
              <c:strCache>
                <c:ptCount val="7"/>
                <c:pt idx="0">
                  <c:v>U.K.</c:v>
                </c:pt>
                <c:pt idx="1">
                  <c:v>Carribbean</c:v>
                </c:pt>
                <c:pt idx="2">
                  <c:v>Luxembourg</c:v>
                </c:pt>
                <c:pt idx="3">
                  <c:v>Netherlands</c:v>
                </c:pt>
                <c:pt idx="4">
                  <c:v>Singapore</c:v>
                </c:pt>
                <c:pt idx="5">
                  <c:v>Switzerland</c:v>
                </c:pt>
                <c:pt idx="6">
                  <c:v>Ireland</c:v>
                </c:pt>
              </c:strCache>
            </c:strRef>
          </c:cat>
          <c:val>
            <c:numRef>
              <c:f>'Assets(MOFA)'!$MF$82:$MF$88</c:f>
              <c:numCache>
                <c:formatCode>0.0%</c:formatCode>
                <c:ptCount val="7"/>
                <c:pt idx="0">
                  <c:v>0.0616105293752968</c:v>
                </c:pt>
                <c:pt idx="1">
                  <c:v>0.070667104937445</c:v>
                </c:pt>
                <c:pt idx="2">
                  <c:v>0.0724617603163708</c:v>
                </c:pt>
                <c:pt idx="3">
                  <c:v>0.160244706728311</c:v>
                </c:pt>
                <c:pt idx="4">
                  <c:v>0.165452875005602</c:v>
                </c:pt>
                <c:pt idx="5">
                  <c:v>0.190896709706294</c:v>
                </c:pt>
                <c:pt idx="6">
                  <c:v>0.198105514274064</c:v>
                </c:pt>
              </c:numCache>
            </c:numRef>
          </c:val>
        </c:ser>
        <c:dLbls>
          <c:showLegendKey val="0"/>
          <c:showVal val="0"/>
          <c:showCatName val="0"/>
          <c:showSerName val="0"/>
          <c:showPercent val="0"/>
          <c:showBubbleSize val="0"/>
        </c:dLbls>
        <c:gapWidth val="150"/>
        <c:axId val="-2134216616"/>
        <c:axId val="-2134265400"/>
      </c:barChart>
      <c:catAx>
        <c:axId val="-2134216616"/>
        <c:scaling>
          <c:orientation val="minMax"/>
        </c:scaling>
        <c:delete val="0"/>
        <c:axPos val="b"/>
        <c:numFmt formatCode="General" sourceLinked="0"/>
        <c:majorTickMark val="out"/>
        <c:minorTickMark val="none"/>
        <c:tickLblPos val="nextTo"/>
        <c:crossAx val="-2134265400"/>
        <c:crosses val="autoZero"/>
        <c:auto val="1"/>
        <c:lblAlgn val="ctr"/>
        <c:lblOffset val="100"/>
        <c:noMultiLvlLbl val="0"/>
      </c:catAx>
      <c:valAx>
        <c:axId val="-2134265400"/>
        <c:scaling>
          <c:orientation val="minMax"/>
          <c:max val="0.2"/>
        </c:scaling>
        <c:delete val="0"/>
        <c:axPos val="l"/>
        <c:majorGridlines/>
        <c:numFmt formatCode="0%" sourceLinked="0"/>
        <c:majorTickMark val="out"/>
        <c:minorTickMark val="none"/>
        <c:tickLblPos val="nextTo"/>
        <c:crossAx val="-2134216616"/>
        <c:crosses val="autoZero"/>
        <c:crossBetween val="between"/>
      </c:valAx>
    </c:plotArea>
    <c:plotVisOnly val="1"/>
    <c:dispBlanksAs val="gap"/>
    <c:showDLblsOverMax val="0"/>
  </c:chart>
  <c:printSettings>
    <c:headerFooter/>
    <c:pageMargins b="1.0" l="0.75" r="0.75" t="1.0"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68005558128763"/>
          <c:y val="0.102330829335988"/>
          <c:w val="0.866771434820647"/>
          <c:h val="0.783642096821231"/>
        </c:manualLayout>
      </c:layout>
      <c:lineChart>
        <c:grouping val="standard"/>
        <c:varyColors val="0"/>
        <c:ser>
          <c:idx val="0"/>
          <c:order val="0"/>
          <c:tx>
            <c:strRef>
              <c:f>'Assets(MOFA)'!$BJ$3</c:f>
              <c:strCache>
                <c:ptCount val="1"/>
                <c:pt idx="0">
                  <c:v>Share oil in profits</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'Assets(MOFA)'!$BJ$11:$BJ$60</c:f>
              <c:numCache>
                <c:formatCode>0%</c:formatCode>
                <c:ptCount val="50"/>
                <c:pt idx="0">
                  <c:v>0.370371524181478</c:v>
                </c:pt>
                <c:pt idx="1">
                  <c:v>0.405993551231651</c:v>
                </c:pt>
                <c:pt idx="2">
                  <c:v>0.417260808954939</c:v>
                </c:pt>
                <c:pt idx="3">
                  <c:v>0.400389638478241</c:v>
                </c:pt>
                <c:pt idx="4">
                  <c:v>0.399879361195989</c:v>
                </c:pt>
                <c:pt idx="5">
                  <c:v>0.427288345054674</c:v>
                </c:pt>
                <c:pt idx="6">
                  <c:v>0.454505274927559</c:v>
                </c:pt>
                <c:pt idx="7">
                  <c:v>0.546973460059411</c:v>
                </c:pt>
                <c:pt idx="8">
                  <c:v>0.72764896178262</c:v>
                </c:pt>
                <c:pt idx="9">
                  <c:v>0.693880711659695</c:v>
                </c:pt>
                <c:pt idx="10">
                  <c:v>0.708461324395311</c:v>
                </c:pt>
                <c:pt idx="11">
                  <c:v>0.671897289586305</c:v>
                </c:pt>
                <c:pt idx="12">
                  <c:v>0.599332626591157</c:v>
                </c:pt>
                <c:pt idx="13">
                  <c:v>0.647293789029904</c:v>
                </c:pt>
                <c:pt idx="14">
                  <c:v>0.48708882368948</c:v>
                </c:pt>
                <c:pt idx="15">
                  <c:v>0.512384735576886</c:v>
                </c:pt>
                <c:pt idx="16">
                  <c:v>0.511805879608026</c:v>
                </c:pt>
                <c:pt idx="17">
                  <c:v>0.495950649619189</c:v>
                </c:pt>
                <c:pt idx="18">
                  <c:v>0.480856345020168</c:v>
                </c:pt>
                <c:pt idx="19">
                  <c:v>0.460474465946619</c:v>
                </c:pt>
                <c:pt idx="20">
                  <c:v>0.270369056068133</c:v>
                </c:pt>
                <c:pt idx="21">
                  <c:v>0.21434032792456</c:v>
                </c:pt>
                <c:pt idx="22">
                  <c:v>0.15769868065332</c:v>
                </c:pt>
                <c:pt idx="23">
                  <c:v>0.156821739841578</c:v>
                </c:pt>
                <c:pt idx="24">
                  <c:v>0.202825894176766</c:v>
                </c:pt>
                <c:pt idx="25">
                  <c:v>0.203939918964271</c:v>
                </c:pt>
                <c:pt idx="26">
                  <c:v>0.20202456549599</c:v>
                </c:pt>
                <c:pt idx="27">
                  <c:v>0.219903234987193</c:v>
                </c:pt>
                <c:pt idx="28">
                  <c:v>0.1686925795053</c:v>
                </c:pt>
                <c:pt idx="29">
                  <c:v>0.149277506963788</c:v>
                </c:pt>
                <c:pt idx="30">
                  <c:v>0.188268975415813</c:v>
                </c:pt>
                <c:pt idx="31">
                  <c:v>0.171905431912224</c:v>
                </c:pt>
                <c:pt idx="32">
                  <c:v>0.102314456899884</c:v>
                </c:pt>
                <c:pt idx="33">
                  <c:v>0.131871847614754</c:v>
                </c:pt>
                <c:pt idx="34">
                  <c:v>0.237867038424675</c:v>
                </c:pt>
                <c:pt idx="35">
                  <c:v>0.246200371110072</c:v>
                </c:pt>
                <c:pt idx="36">
                  <c:v>0.203210550071629</c:v>
                </c:pt>
                <c:pt idx="37">
                  <c:v>0.212222624652904</c:v>
                </c:pt>
                <c:pt idx="38">
                  <c:v>0.246731565177402</c:v>
                </c:pt>
                <c:pt idx="39">
                  <c:v>0.263856388955074</c:v>
                </c:pt>
                <c:pt idx="40">
                  <c:v>0.271244889234251</c:v>
                </c:pt>
                <c:pt idx="41">
                  <c:v>0.267877933810207</c:v>
                </c:pt>
                <c:pt idx="42">
                  <c:v>0.347821514840303</c:v>
                </c:pt>
                <c:pt idx="43">
                  <c:v>0.21427012709473</c:v>
                </c:pt>
                <c:pt idx="44">
                  <c:v>0.239681598007706</c:v>
                </c:pt>
                <c:pt idx="45">
                  <c:v>0.25791141496521</c:v>
                </c:pt>
                <c:pt idx="46">
                  <c:v>0.242739887371637</c:v>
                </c:pt>
                <c:pt idx="47">
                  <c:v>0.236999878841411</c:v>
                </c:pt>
                <c:pt idx="48">
                  <c:v>0.17137593689217</c:v>
                </c:pt>
                <c:pt idx="49">
                  <c:v>0.0638619120513271</c:v>
                </c:pt>
              </c:numCache>
            </c:numRef>
          </c:val>
          <c:smooth val="0"/>
        </c:ser>
        <c:ser>
          <c:idx val="1"/>
          <c:order val="1"/>
          <c:tx>
            <c:strRef>
              <c:f>'Assets(MOFA)'!$AY$3</c:f>
              <c:strCache>
                <c:ptCount val="1"/>
                <c:pt idx="0">
                  <c:v>Share havens in pre-tax profits</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'Assets(MOFA)'!$AY$11:$AY$60</c:f>
              <c:numCache>
                <c:formatCode>0%</c:formatCode>
                <c:ptCount val="50"/>
                <c:pt idx="0">
                  <c:v>0.033040656503871</c:v>
                </c:pt>
                <c:pt idx="1">
                  <c:v>0.0361995350160986</c:v>
                </c:pt>
                <c:pt idx="2">
                  <c:v>0.0355790514245522</c:v>
                </c:pt>
                <c:pt idx="3">
                  <c:v>0.0371688318296681</c:v>
                </c:pt>
                <c:pt idx="4">
                  <c:v>0.0478726295428846</c:v>
                </c:pt>
                <c:pt idx="5">
                  <c:v>0.0480413106176903</c:v>
                </c:pt>
                <c:pt idx="6">
                  <c:v>0.0458574905714482</c:v>
                </c:pt>
                <c:pt idx="7">
                  <c:v>0.0589573524543508</c:v>
                </c:pt>
                <c:pt idx="8">
                  <c:v>0.0518990767289853</c:v>
                </c:pt>
                <c:pt idx="9">
                  <c:v>0.0518371464816503</c:v>
                </c:pt>
                <c:pt idx="10">
                  <c:v>0.0447759379121944</c:v>
                </c:pt>
                <c:pt idx="11">
                  <c:v>0.0563189612506914</c:v>
                </c:pt>
                <c:pt idx="12">
                  <c:v>0.0770435022390459</c:v>
                </c:pt>
                <c:pt idx="13">
                  <c:v>0.0898288815107603</c:v>
                </c:pt>
                <c:pt idx="14">
                  <c:v>0.128693843071415</c:v>
                </c:pt>
                <c:pt idx="15">
                  <c:v>0.125986859675276</c:v>
                </c:pt>
                <c:pt idx="16">
                  <c:v>0.149808679421372</c:v>
                </c:pt>
                <c:pt idx="17">
                  <c:v>0.140004135506772</c:v>
                </c:pt>
                <c:pt idx="18">
                  <c:v>0.133245423518461</c:v>
                </c:pt>
                <c:pt idx="19">
                  <c:v>0.140409374451588</c:v>
                </c:pt>
                <c:pt idx="20">
                  <c:v>0.146912704045422</c:v>
                </c:pt>
                <c:pt idx="21">
                  <c:v>0.171098462322657</c:v>
                </c:pt>
                <c:pt idx="22">
                  <c:v>0.139820847920067</c:v>
                </c:pt>
                <c:pt idx="23">
                  <c:v>0.167932331705493</c:v>
                </c:pt>
                <c:pt idx="24">
                  <c:v>0.195577889447236</c:v>
                </c:pt>
                <c:pt idx="25">
                  <c:v>0.208278195386148</c:v>
                </c:pt>
                <c:pt idx="26">
                  <c:v>0.194220052702061</c:v>
                </c:pt>
                <c:pt idx="27">
                  <c:v>0.192418718744494</c:v>
                </c:pt>
                <c:pt idx="28">
                  <c:v>0.189293286219081</c:v>
                </c:pt>
                <c:pt idx="29">
                  <c:v>0.208487116991643</c:v>
                </c:pt>
                <c:pt idx="30">
                  <c:v>0.197295202130681</c:v>
                </c:pt>
                <c:pt idx="31">
                  <c:v>0.224769020703231</c:v>
                </c:pt>
                <c:pt idx="32">
                  <c:v>0.263376175750548</c:v>
                </c:pt>
                <c:pt idx="33">
                  <c:v>0.24067316633323</c:v>
                </c:pt>
                <c:pt idx="34">
                  <c:v>0.241811158548982</c:v>
                </c:pt>
                <c:pt idx="35">
                  <c:v>0.269862179350982</c:v>
                </c:pt>
                <c:pt idx="36">
                  <c:v>0.273675190193039</c:v>
                </c:pt>
                <c:pt idx="37">
                  <c:v>0.257587830496197</c:v>
                </c:pt>
                <c:pt idx="38">
                  <c:v>0.275823823344141</c:v>
                </c:pt>
                <c:pt idx="39">
                  <c:v>0.238448941396655</c:v>
                </c:pt>
                <c:pt idx="40">
                  <c:v>0.257351431129707</c:v>
                </c:pt>
                <c:pt idx="41">
                  <c:v>0.261489691335955</c:v>
                </c:pt>
                <c:pt idx="42">
                  <c:v>0.234182626158278</c:v>
                </c:pt>
                <c:pt idx="43">
                  <c:v>0.302546660345792</c:v>
                </c:pt>
                <c:pt idx="44">
                  <c:v>0.265306743333485</c:v>
                </c:pt>
                <c:pt idx="45">
                  <c:v>0.275596697844188</c:v>
                </c:pt>
                <c:pt idx="46">
                  <c:v>0.301402333541904</c:v>
                </c:pt>
                <c:pt idx="47">
                  <c:v>0.298974451171134</c:v>
                </c:pt>
                <c:pt idx="48">
                  <c:v>0.33766189244099</c:v>
                </c:pt>
                <c:pt idx="49">
                  <c:v>0.429958510042075</c:v>
                </c:pt>
              </c:numCache>
            </c:numRef>
          </c:val>
          <c:smooth val="0"/>
        </c:ser>
        <c:dLbls>
          <c:showLegendKey val="0"/>
          <c:showVal val="0"/>
          <c:showCatName val="0"/>
          <c:showSerName val="0"/>
          <c:showPercent val="0"/>
          <c:showBubbleSize val="0"/>
        </c:dLbls>
        <c:marker val="1"/>
        <c:smooth val="0"/>
        <c:axId val="-2134393240"/>
        <c:axId val="-2134407448"/>
      </c:lineChart>
      <c:catAx>
        <c:axId val="-2134393240"/>
        <c:scaling>
          <c:orientation val="minMax"/>
        </c:scaling>
        <c:delete val="0"/>
        <c:axPos val="b"/>
        <c:numFmt formatCode="General" sourceLinked="1"/>
        <c:majorTickMark val="out"/>
        <c:minorTickMark val="none"/>
        <c:tickLblPos val="nextTo"/>
        <c:crossAx val="-2134407448"/>
        <c:crosses val="autoZero"/>
        <c:auto val="1"/>
        <c:lblAlgn val="ctr"/>
        <c:lblOffset val="100"/>
        <c:noMultiLvlLbl val="0"/>
      </c:catAx>
      <c:valAx>
        <c:axId val="-2134407448"/>
        <c:scaling>
          <c:orientation val="minMax"/>
        </c:scaling>
        <c:delete val="0"/>
        <c:axPos val="l"/>
        <c:majorGridlines/>
        <c:numFmt formatCode="0%" sourceLinked="1"/>
        <c:majorTickMark val="out"/>
        <c:minorTickMark val="none"/>
        <c:tickLblPos val="nextTo"/>
        <c:crossAx val="-2134393240"/>
        <c:crosses val="autoZero"/>
        <c:crossBetween val="between"/>
      </c:valAx>
    </c:plotArea>
    <c:legend>
      <c:legendPos val="r"/>
      <c:layout>
        <c:manualLayout>
          <c:xMode val="edge"/>
          <c:yMode val="edge"/>
          <c:x val="0.311111111111111"/>
          <c:y val="0.110727252843395"/>
          <c:w val="0.555041499449933"/>
          <c:h val="0.172146043763265"/>
        </c:manualLayout>
      </c:layout>
      <c:overlay val="0"/>
    </c:legend>
    <c:plotVisOnly val="1"/>
    <c:dispBlanksAs val="gap"/>
    <c:showDLblsOverMax val="0"/>
  </c:chart>
  <c:printSettings>
    <c:headerFooter/>
    <c:pageMargins b="1.0" l="0.75" r="0.75" t="1.0"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lineChart>
        <c:grouping val="standard"/>
        <c:varyColors val="0"/>
        <c:ser>
          <c:idx val="0"/>
          <c:order val="0"/>
          <c:tx>
            <c:strRef>
              <c:f>'Assets(MOFA)'!$P$3</c:f>
              <c:strCache>
                <c:ptCount val="1"/>
                <c:pt idx="0">
                  <c:v>MOFA / US domestic</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'Assets(MOFA)'!$P$11:$P$60</c:f>
              <c:numCache>
                <c:formatCode>0.0%</c:formatCode>
                <c:ptCount val="50"/>
                <c:pt idx="0">
                  <c:v>0.0491369150779896</c:v>
                </c:pt>
                <c:pt idx="1">
                  <c:v>0.0505621059181883</c:v>
                </c:pt>
                <c:pt idx="2">
                  <c:v>0.051987296758387</c:v>
                </c:pt>
                <c:pt idx="3">
                  <c:v>0.0534124875985857</c:v>
                </c:pt>
                <c:pt idx="4">
                  <c:v>0.0548376784387843</c:v>
                </c:pt>
                <c:pt idx="5">
                  <c:v>0.056262869278983</c:v>
                </c:pt>
                <c:pt idx="6">
                  <c:v>0.0576880601191817</c:v>
                </c:pt>
                <c:pt idx="7">
                  <c:v>0.0591132509593804</c:v>
                </c:pt>
                <c:pt idx="8">
                  <c:v>0.0636215781055014</c:v>
                </c:pt>
                <c:pt idx="9">
                  <c:v>0.0681299052516223</c:v>
                </c:pt>
                <c:pt idx="10">
                  <c:v>0.0726382323977432</c:v>
                </c:pt>
                <c:pt idx="11">
                  <c:v>0.0771465595438642</c:v>
                </c:pt>
                <c:pt idx="12">
                  <c:v>0.0757467355183946</c:v>
                </c:pt>
                <c:pt idx="13">
                  <c:v>0.0743469114929251</c:v>
                </c:pt>
                <c:pt idx="14">
                  <c:v>0.0729470874674555</c:v>
                </c:pt>
                <c:pt idx="15">
                  <c:v>0.0715472634419859</c:v>
                </c:pt>
                <c:pt idx="16">
                  <c:v>0.0701474394165163</c:v>
                </c:pt>
                <c:pt idx="17">
                  <c:v>0.0606422764227642</c:v>
                </c:pt>
                <c:pt idx="18">
                  <c:v>0.0530870694823796</c:v>
                </c:pt>
                <c:pt idx="19">
                  <c:v>0.0497332755739835</c:v>
                </c:pt>
                <c:pt idx="20" formatCode="0%">
                  <c:v>0.0533973540675409</c:v>
                </c:pt>
                <c:pt idx="21" formatCode="0%">
                  <c:v>0.0570751244858194</c:v>
                </c:pt>
                <c:pt idx="22" formatCode="0%">
                  <c:v>0.058641562203466</c:v>
                </c:pt>
                <c:pt idx="23" formatCode="0%">
                  <c:v>0.0625513141131506</c:v>
                </c:pt>
                <c:pt idx="24" formatCode="0%">
                  <c:v>0.0675873640878786</c:v>
                </c:pt>
                <c:pt idx="25" formatCode="0%">
                  <c:v>0.0702792167881289</c:v>
                </c:pt>
                <c:pt idx="26" formatCode="0%">
                  <c:v>0.070057839289403</c:v>
                </c:pt>
                <c:pt idx="27" formatCode="0%">
                  <c:v>0.0661636920141511</c:v>
                </c:pt>
                <c:pt idx="28" formatCode="0%">
                  <c:v>0.0693057757644394</c:v>
                </c:pt>
                <c:pt idx="29" formatCode="0%">
                  <c:v>0.0716313354137523</c:v>
                </c:pt>
                <c:pt idx="30" formatCode="0%">
                  <c:v>0.0713491552967465</c:v>
                </c:pt>
                <c:pt idx="31" formatCode="0%">
                  <c:v>0.0689743751180507</c:v>
                </c:pt>
                <c:pt idx="32" formatCode="0%">
                  <c:v>0.0651358955765047</c:v>
                </c:pt>
                <c:pt idx="33" formatCode="0%">
                  <c:v>0.0691917053442988</c:v>
                </c:pt>
                <c:pt idx="34" formatCode="0%">
                  <c:v>0.0659135922572276</c:v>
                </c:pt>
                <c:pt idx="35" formatCode="0%">
                  <c:v>0.065919663313079</c:v>
                </c:pt>
                <c:pt idx="36" formatCode="0%">
                  <c:v>0.0676713052668663</c:v>
                </c:pt>
                <c:pt idx="37" formatCode="0%">
                  <c:v>0.0726417615042058</c:v>
                </c:pt>
                <c:pt idx="38" formatCode="0%">
                  <c:v>0.0781782388306024</c:v>
                </c:pt>
                <c:pt idx="39" formatCode="0%">
                  <c:v>0.0811888851389358</c:v>
                </c:pt>
                <c:pt idx="40" formatCode="0%">
                  <c:v>0.0834833020157157</c:v>
                </c:pt>
                <c:pt idx="41" formatCode="0%">
                  <c:v>0.0872628244430819</c:v>
                </c:pt>
                <c:pt idx="42" formatCode="0%">
                  <c:v>0.0885422191631071</c:v>
                </c:pt>
                <c:pt idx="43" formatCode="0%">
                  <c:v>0.10456420824295</c:v>
                </c:pt>
                <c:pt idx="44" formatCode="0%">
                  <c:v>0.10487348360917</c:v>
                </c:pt>
                <c:pt idx="45" formatCode="0%">
                  <c:v>0.109099212215719</c:v>
                </c:pt>
                <c:pt idx="46" formatCode="0%">
                  <c:v>0.107065372317886</c:v>
                </c:pt>
                <c:pt idx="47" formatCode="0%">
                  <c:v>0.105183567575639</c:v>
                </c:pt>
                <c:pt idx="48" formatCode="0%">
                  <c:v>0.112056192315187</c:v>
                </c:pt>
                <c:pt idx="49" formatCode="0%">
                  <c:v>0.103014132430475</c:v>
                </c:pt>
              </c:numCache>
            </c:numRef>
          </c:val>
          <c:smooth val="0"/>
        </c:ser>
        <c:dLbls>
          <c:showLegendKey val="0"/>
          <c:showVal val="0"/>
          <c:showCatName val="0"/>
          <c:showSerName val="0"/>
          <c:showPercent val="0"/>
          <c:showBubbleSize val="0"/>
        </c:dLbls>
        <c:marker val="1"/>
        <c:smooth val="0"/>
        <c:axId val="-2134478936"/>
        <c:axId val="-2134475928"/>
      </c:lineChart>
      <c:catAx>
        <c:axId val="-2134478936"/>
        <c:scaling>
          <c:orientation val="minMax"/>
        </c:scaling>
        <c:delete val="0"/>
        <c:axPos val="b"/>
        <c:numFmt formatCode="General" sourceLinked="1"/>
        <c:majorTickMark val="out"/>
        <c:minorTickMark val="none"/>
        <c:tickLblPos val="nextTo"/>
        <c:crossAx val="-2134475928"/>
        <c:crosses val="autoZero"/>
        <c:auto val="1"/>
        <c:lblAlgn val="ctr"/>
        <c:lblOffset val="100"/>
        <c:noMultiLvlLbl val="0"/>
      </c:catAx>
      <c:valAx>
        <c:axId val="-2134475928"/>
        <c:scaling>
          <c:orientation val="minMax"/>
        </c:scaling>
        <c:delete val="0"/>
        <c:axPos val="l"/>
        <c:majorGridlines/>
        <c:numFmt formatCode="0.0%" sourceLinked="1"/>
        <c:majorTickMark val="out"/>
        <c:minorTickMark val="none"/>
        <c:tickLblPos val="nextTo"/>
        <c:crossAx val="-2134478936"/>
        <c:crosses val="autoZero"/>
        <c:crossBetween val="between"/>
      </c:valAx>
    </c:plotArea>
    <c:plotVisOnly val="1"/>
    <c:dispBlanksAs val="gap"/>
    <c:showDLblsOverMax val="0"/>
  </c:chart>
  <c:printSettings>
    <c:headerFooter/>
    <c:pageMargins b="1.0" l="0.75" r="0.75" t="1.0"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lineChart>
        <c:grouping val="standard"/>
        <c:varyColors val="0"/>
        <c:ser>
          <c:idx val="0"/>
          <c:order val="0"/>
          <c:tx>
            <c:strRef>
              <c:f>'Assets(MOFA)'!$DH$3</c:f>
              <c:strCache>
                <c:ptCount val="1"/>
                <c:pt idx="0">
                  <c:v>Share oil in after-tax profits</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'Assets(MOFA)'!$DH$11:$DH$60</c:f>
              <c:numCache>
                <c:formatCode>0%</c:formatCode>
                <c:ptCount val="50"/>
                <c:pt idx="0">
                  <c:v>0.278522872970661</c:v>
                </c:pt>
                <c:pt idx="1">
                  <c:v>0.309532299888469</c:v>
                </c:pt>
                <c:pt idx="2">
                  <c:v>0.313492402963538</c:v>
                </c:pt>
                <c:pt idx="3">
                  <c:v>0.277542111023808</c:v>
                </c:pt>
                <c:pt idx="4">
                  <c:v>0.313053541005187</c:v>
                </c:pt>
                <c:pt idx="5">
                  <c:v>0.306804466974676</c:v>
                </c:pt>
                <c:pt idx="6">
                  <c:v>0.28948308358056</c:v>
                </c:pt>
                <c:pt idx="7">
                  <c:v>0.402917440219053</c:v>
                </c:pt>
                <c:pt idx="8">
                  <c:v>0.473906039600188</c:v>
                </c:pt>
                <c:pt idx="9">
                  <c:v>0.309848768026704</c:v>
                </c:pt>
                <c:pt idx="10">
                  <c:v>0.285566201286525</c:v>
                </c:pt>
                <c:pt idx="11">
                  <c:v>0.299951698599259</c:v>
                </c:pt>
                <c:pt idx="12">
                  <c:v>0.261714205922986</c:v>
                </c:pt>
                <c:pt idx="13">
                  <c:v>0.385920094246701</c:v>
                </c:pt>
                <c:pt idx="14">
                  <c:v>0.355916169649018</c:v>
                </c:pt>
                <c:pt idx="15">
                  <c:v>0.389155180765842</c:v>
                </c:pt>
                <c:pt idx="16">
                  <c:v>0.344805499807848</c:v>
                </c:pt>
                <c:pt idx="17">
                  <c:v>0.337740040126111</c:v>
                </c:pt>
                <c:pt idx="18">
                  <c:v>0.301946684805493</c:v>
                </c:pt>
                <c:pt idx="19">
                  <c:v>0.282154449553692</c:v>
                </c:pt>
                <c:pt idx="20">
                  <c:v>0.18096909672162</c:v>
                </c:pt>
                <c:pt idx="21">
                  <c:v>0.137711368213968</c:v>
                </c:pt>
                <c:pt idx="22">
                  <c:v>0.105331310065756</c:v>
                </c:pt>
                <c:pt idx="23">
                  <c:v>0.102001797220045</c:v>
                </c:pt>
                <c:pt idx="24">
                  <c:v>0.177357134752846</c:v>
                </c:pt>
                <c:pt idx="25">
                  <c:v>0.197527141133896</c:v>
                </c:pt>
                <c:pt idx="26">
                  <c:v>0.147447440424686</c:v>
                </c:pt>
                <c:pt idx="27">
                  <c:v>0.177497928079077</c:v>
                </c:pt>
                <c:pt idx="28">
                  <c:v>0.136885820613775</c:v>
                </c:pt>
                <c:pt idx="29">
                  <c:v>0.116497325148858</c:v>
                </c:pt>
                <c:pt idx="30">
                  <c:v>0.14543745225924</c:v>
                </c:pt>
                <c:pt idx="31">
                  <c:v>0.144440882343816</c:v>
                </c:pt>
                <c:pt idx="32">
                  <c:v>0.0945958871353419</c:v>
                </c:pt>
                <c:pt idx="33">
                  <c:v>0.120128395673355</c:v>
                </c:pt>
                <c:pt idx="34">
                  <c:v>0.208724210976022</c:v>
                </c:pt>
                <c:pt idx="35">
                  <c:v>0.230170729438035</c:v>
                </c:pt>
                <c:pt idx="36">
                  <c:v>0.166465597567554</c:v>
                </c:pt>
                <c:pt idx="37">
                  <c:v>0.170656151291538</c:v>
                </c:pt>
                <c:pt idx="38">
                  <c:v>0.210298058962073</c:v>
                </c:pt>
                <c:pt idx="39">
                  <c:v>0.229431695780756</c:v>
                </c:pt>
                <c:pt idx="40">
                  <c:v>0.233127638627268</c:v>
                </c:pt>
                <c:pt idx="41">
                  <c:v>0.212393924394459</c:v>
                </c:pt>
                <c:pt idx="42">
                  <c:v>0.257283491698994</c:v>
                </c:pt>
                <c:pt idx="43">
                  <c:v>0.155490830114727</c:v>
                </c:pt>
                <c:pt idx="44">
                  <c:v>0.181651134405297</c:v>
                </c:pt>
                <c:pt idx="45">
                  <c:v>0.186840713980011</c:v>
                </c:pt>
                <c:pt idx="46">
                  <c:v>0.163506210003959</c:v>
                </c:pt>
                <c:pt idx="47">
                  <c:v>0.172612281662849</c:v>
                </c:pt>
                <c:pt idx="48">
                  <c:v>0.126867302202526</c:v>
                </c:pt>
                <c:pt idx="49">
                  <c:v>0.0480186986446585</c:v>
                </c:pt>
              </c:numCache>
            </c:numRef>
          </c:val>
          <c:smooth val="0"/>
        </c:ser>
        <c:dLbls>
          <c:showLegendKey val="0"/>
          <c:showVal val="0"/>
          <c:showCatName val="0"/>
          <c:showSerName val="0"/>
          <c:showPercent val="0"/>
          <c:showBubbleSize val="0"/>
        </c:dLbls>
        <c:marker val="1"/>
        <c:smooth val="0"/>
        <c:axId val="-2134578296"/>
        <c:axId val="-2134575288"/>
      </c:lineChart>
      <c:catAx>
        <c:axId val="-2134578296"/>
        <c:scaling>
          <c:orientation val="minMax"/>
        </c:scaling>
        <c:delete val="0"/>
        <c:axPos val="b"/>
        <c:numFmt formatCode="General" sourceLinked="1"/>
        <c:majorTickMark val="out"/>
        <c:minorTickMark val="none"/>
        <c:tickLblPos val="nextTo"/>
        <c:crossAx val="-2134575288"/>
        <c:crosses val="autoZero"/>
        <c:auto val="1"/>
        <c:lblAlgn val="ctr"/>
        <c:lblOffset val="100"/>
        <c:noMultiLvlLbl val="0"/>
      </c:catAx>
      <c:valAx>
        <c:axId val="-2134575288"/>
        <c:scaling>
          <c:orientation val="minMax"/>
        </c:scaling>
        <c:delete val="0"/>
        <c:axPos val="l"/>
        <c:majorGridlines/>
        <c:numFmt formatCode="0%" sourceLinked="1"/>
        <c:majorTickMark val="out"/>
        <c:minorTickMark val="none"/>
        <c:tickLblPos val="nextTo"/>
        <c:crossAx val="-2134578296"/>
        <c:crosses val="autoZero"/>
        <c:crossBetween val="between"/>
      </c:valAx>
    </c:plotArea>
    <c:plotVisOnly val="1"/>
    <c:dispBlanksAs val="gap"/>
    <c:showDLblsOverMax val="0"/>
  </c:chart>
  <c:printSettings>
    <c:headerFooter/>
    <c:pageMargins b="1.0" l="0.75" r="0.75" t="1.0"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32248468941382"/>
          <c:y val="0.0601851851851852"/>
          <c:w val="0.868087489063867"/>
          <c:h val="0.771543452901721"/>
        </c:manualLayout>
      </c:layout>
      <c:lineChart>
        <c:grouping val="standard"/>
        <c:varyColors val="0"/>
        <c:ser>
          <c:idx val="0"/>
          <c:order val="0"/>
          <c:tx>
            <c:strRef>
              <c:f>'Assets(MOFA)'!$DH$3</c:f>
              <c:strCache>
                <c:ptCount val="1"/>
                <c:pt idx="0">
                  <c:v>Share oil in after-tax profits</c:v>
                </c:pt>
              </c:strCache>
            </c:strRef>
          </c:tx>
          <c:marker>
            <c:symbol val="none"/>
          </c:marker>
          <c:cat>
            <c:numRef>
              <c:f>'Assets(MOFA)'!$A$11:$A$27</c:f>
              <c:numCache>
                <c:formatCode>General</c:formatCode>
                <c:ptCount val="17"/>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numCache>
            </c:numRef>
          </c:cat>
          <c:val>
            <c:numRef>
              <c:f>'Assets(MOFA)'!$DH$11:$DH$27</c:f>
              <c:numCache>
                <c:formatCode>0%</c:formatCode>
                <c:ptCount val="17"/>
                <c:pt idx="0">
                  <c:v>0.278522872970661</c:v>
                </c:pt>
                <c:pt idx="1">
                  <c:v>0.309532299888469</c:v>
                </c:pt>
                <c:pt idx="2">
                  <c:v>0.313492402963538</c:v>
                </c:pt>
                <c:pt idx="3">
                  <c:v>0.277542111023808</c:v>
                </c:pt>
                <c:pt idx="4">
                  <c:v>0.313053541005187</c:v>
                </c:pt>
                <c:pt idx="5">
                  <c:v>0.306804466974676</c:v>
                </c:pt>
                <c:pt idx="6">
                  <c:v>0.28948308358056</c:v>
                </c:pt>
                <c:pt idx="7">
                  <c:v>0.402917440219053</c:v>
                </c:pt>
                <c:pt idx="8">
                  <c:v>0.473906039600188</c:v>
                </c:pt>
                <c:pt idx="9">
                  <c:v>0.309848768026704</c:v>
                </c:pt>
                <c:pt idx="10">
                  <c:v>0.285566201286525</c:v>
                </c:pt>
                <c:pt idx="11">
                  <c:v>0.299951698599259</c:v>
                </c:pt>
                <c:pt idx="12">
                  <c:v>0.261714205922986</c:v>
                </c:pt>
                <c:pt idx="13">
                  <c:v>0.385920094246701</c:v>
                </c:pt>
                <c:pt idx="14">
                  <c:v>0.355916169649018</c:v>
                </c:pt>
                <c:pt idx="15">
                  <c:v>0.389155180765842</c:v>
                </c:pt>
                <c:pt idx="16">
                  <c:v>0.344805499807848</c:v>
                </c:pt>
              </c:numCache>
            </c:numRef>
          </c:val>
          <c:smooth val="0"/>
        </c:ser>
        <c:ser>
          <c:idx val="1"/>
          <c:order val="1"/>
          <c:tx>
            <c:strRef>
              <c:f>'Assets(MOFA)'!$DI$3</c:f>
              <c:strCache>
                <c:ptCount val="1"/>
                <c:pt idx="0">
                  <c:v>Share oil in USDIA income (after tax)</c:v>
                </c:pt>
              </c:strCache>
            </c:strRef>
          </c:tx>
          <c:marker>
            <c:symbol val="none"/>
          </c:marker>
          <c:cat>
            <c:numRef>
              <c:f>'Assets(MOFA)'!$A$11:$A$27</c:f>
              <c:numCache>
                <c:formatCode>General</c:formatCode>
                <c:ptCount val="17"/>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numCache>
            </c:numRef>
          </c:cat>
          <c:val>
            <c:numRef>
              <c:f>'Assets(MOFA)'!$DI$11:$DI$27</c:f>
              <c:numCache>
                <c:formatCode>0%</c:formatCode>
                <c:ptCount val="17"/>
                <c:pt idx="0">
                  <c:v>0.284410646387833</c:v>
                </c:pt>
                <c:pt idx="1">
                  <c:v>0.315009816169909</c:v>
                </c:pt>
                <c:pt idx="2">
                  <c:v>0.300864815657715</c:v>
                </c:pt>
                <c:pt idx="3">
                  <c:v>0.264871224996732</c:v>
                </c:pt>
                <c:pt idx="4">
                  <c:v>0.300648794222059</c:v>
                </c:pt>
                <c:pt idx="5">
                  <c:v>0.314192139737991</c:v>
                </c:pt>
                <c:pt idx="6">
                  <c:v>0.282674216823454</c:v>
                </c:pt>
                <c:pt idx="7">
                  <c:v>0.345605126345061</c:v>
                </c:pt>
                <c:pt idx="8">
                  <c:v>0.407631675105705</c:v>
                </c:pt>
                <c:pt idx="9">
                  <c:v>0.288942452545948</c:v>
                </c:pt>
                <c:pt idx="10">
                  <c:v>0.269645770830044</c:v>
                </c:pt>
                <c:pt idx="11">
                  <c:v>0.270980531693184</c:v>
                </c:pt>
                <c:pt idx="12">
                  <c:v>0.236075104093016</c:v>
                </c:pt>
                <c:pt idx="13">
                  <c:v>0.348113034596548</c:v>
                </c:pt>
                <c:pt idx="14">
                  <c:v>0.354843051741776</c:v>
                </c:pt>
                <c:pt idx="15">
                  <c:v>0.409536391286983</c:v>
                </c:pt>
                <c:pt idx="16">
                  <c:v>0.309274152499236</c:v>
                </c:pt>
              </c:numCache>
            </c:numRef>
          </c:val>
          <c:smooth val="0"/>
        </c:ser>
        <c:dLbls>
          <c:showLegendKey val="0"/>
          <c:showVal val="0"/>
          <c:showCatName val="0"/>
          <c:showSerName val="0"/>
          <c:showPercent val="0"/>
          <c:showBubbleSize val="0"/>
        </c:dLbls>
        <c:marker val="1"/>
        <c:smooth val="0"/>
        <c:axId val="-2134543896"/>
        <c:axId val="-2134540888"/>
      </c:lineChart>
      <c:catAx>
        <c:axId val="-2134543896"/>
        <c:scaling>
          <c:orientation val="minMax"/>
        </c:scaling>
        <c:delete val="0"/>
        <c:axPos val="b"/>
        <c:numFmt formatCode="General" sourceLinked="1"/>
        <c:majorTickMark val="out"/>
        <c:minorTickMark val="none"/>
        <c:tickLblPos val="nextTo"/>
        <c:crossAx val="-2134540888"/>
        <c:crosses val="autoZero"/>
        <c:auto val="1"/>
        <c:lblAlgn val="ctr"/>
        <c:lblOffset val="100"/>
        <c:noMultiLvlLbl val="0"/>
      </c:catAx>
      <c:valAx>
        <c:axId val="-2134540888"/>
        <c:scaling>
          <c:orientation val="minMax"/>
        </c:scaling>
        <c:delete val="0"/>
        <c:axPos val="l"/>
        <c:majorGridlines/>
        <c:numFmt formatCode="0%" sourceLinked="1"/>
        <c:majorTickMark val="out"/>
        <c:minorTickMark val="none"/>
        <c:tickLblPos val="nextTo"/>
        <c:crossAx val="-2134543896"/>
        <c:crosses val="autoZero"/>
        <c:crossBetween val="between"/>
      </c:valAx>
    </c:plotArea>
    <c:legend>
      <c:legendPos val="r"/>
      <c:layout>
        <c:manualLayout>
          <c:xMode val="edge"/>
          <c:yMode val="edge"/>
          <c:x val="0.401443350831146"/>
          <c:y val="0.545528579760863"/>
          <c:w val="0.318001093613298"/>
          <c:h val="0.297831729367162"/>
        </c:manualLayout>
      </c:layout>
      <c:overlay val="0"/>
    </c:legend>
    <c:plotVisOnly val="1"/>
    <c:dispBlanksAs val="gap"/>
    <c:showDLblsOverMax val="0"/>
  </c:chart>
  <c:printSettings>
    <c:headerFooter/>
    <c:pageMargins b="1.0" l="0.75" r="0.75" t="1.0"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lineChart>
        <c:grouping val="standard"/>
        <c:varyColors val="0"/>
        <c:ser>
          <c:idx val="0"/>
          <c:order val="0"/>
          <c:tx>
            <c:strRef>
              <c:f>'Assets(MOFA)'!$HJ$3</c:f>
              <c:strCache>
                <c:ptCount val="1"/>
                <c:pt idx="0">
                  <c:v>Tax rate oil</c:v>
                </c:pt>
              </c:strCache>
            </c:strRef>
          </c:tx>
          <c:marker>
            <c:symbol val="none"/>
          </c:marker>
          <c:val>
            <c:numRef>
              <c:f>'Assets(MOFA)'!$HJ$11:$HJ$60</c:f>
              <c:numCache>
                <c:formatCode>0%</c:formatCode>
                <c:ptCount val="50"/>
                <c:pt idx="0">
                  <c:v>0.644136681762042</c:v>
                </c:pt>
                <c:pt idx="1">
                  <c:v>0.639310958311295</c:v>
                </c:pt>
                <c:pt idx="2">
                  <c:v>0.633892672519898</c:v>
                </c:pt>
                <c:pt idx="3">
                  <c:v>0.66100875643719</c:v>
                </c:pt>
                <c:pt idx="4">
                  <c:v>0.620008502767339</c:v>
                </c:pt>
                <c:pt idx="5">
                  <c:v>0.655765465750924</c:v>
                </c:pt>
                <c:pt idx="6">
                  <c:v>0.694607528738468</c:v>
                </c:pt>
                <c:pt idx="7">
                  <c:v>0.646071511688968</c:v>
                </c:pt>
                <c:pt idx="8">
                  <c:v>0.798836189654354</c:v>
                </c:pt>
                <c:pt idx="9">
                  <c:v>0.876285053096272</c:v>
                </c:pt>
                <c:pt idx="10">
                  <c:v>0.90042160251118</c:v>
                </c:pt>
                <c:pt idx="11">
                  <c:v>0.871463234975519</c:v>
                </c:pt>
                <c:pt idx="12">
                  <c:v>0.855555631853983</c:v>
                </c:pt>
                <c:pt idx="13">
                  <c:v>0.791214512032025</c:v>
                </c:pt>
                <c:pt idx="14">
                  <c:v>0.63882827834158</c:v>
                </c:pt>
                <c:pt idx="15">
                  <c:v>0.633608907973137</c:v>
                </c:pt>
                <c:pt idx="16">
                  <c:v>0.705506929248724</c:v>
                </c:pt>
                <c:pt idx="17">
                  <c:v>0.672468904176221</c:v>
                </c:pt>
                <c:pt idx="18">
                  <c:v>0.699251516324687</c:v>
                </c:pt>
                <c:pt idx="19">
                  <c:v>0.710875515365693</c:v>
                </c:pt>
                <c:pt idx="20">
                  <c:v>0.621078881743011</c:v>
                </c:pt>
                <c:pt idx="21">
                  <c:v>0.611573523583036</c:v>
                </c:pt>
                <c:pt idx="22">
                  <c:v>0.588718596934745</c:v>
                </c:pt>
                <c:pt idx="23">
                  <c:v>0.602547865603814</c:v>
                </c:pt>
                <c:pt idx="24">
                  <c:v>0.453247056080215</c:v>
                </c:pt>
                <c:pt idx="25">
                  <c:v>0.386581042210181</c:v>
                </c:pt>
                <c:pt idx="26">
                  <c:v>0.550605844618674</c:v>
                </c:pt>
                <c:pt idx="27">
                  <c:v>0.458831504991988</c:v>
                </c:pt>
                <c:pt idx="28">
                  <c:v>0.468370339338081</c:v>
                </c:pt>
                <c:pt idx="29">
                  <c:v>0.483176861624584</c:v>
                </c:pt>
                <c:pt idx="30">
                  <c:v>0.495454360145134</c:v>
                </c:pt>
                <c:pt idx="31">
                  <c:v>0.436859930650754</c:v>
                </c:pt>
                <c:pt idx="32">
                  <c:v>0.377253049980323</c:v>
                </c:pt>
                <c:pt idx="33">
                  <c:v>0.378258547008547</c:v>
                </c:pt>
                <c:pt idx="34">
                  <c:v>0.427326007326007</c:v>
                </c:pt>
                <c:pt idx="35">
                  <c:v>0.430687800247389</c:v>
                </c:pt>
                <c:pt idx="36">
                  <c:v>0.453661677128601</c:v>
                </c:pt>
                <c:pt idx="37">
                  <c:v>0.42586355982342</c:v>
                </c:pt>
                <c:pt idx="38">
                  <c:v>0.391635993421568</c:v>
                </c:pt>
                <c:pt idx="39">
                  <c:v>0.398512397371404</c:v>
                </c:pt>
                <c:pt idx="40">
                  <c:v>0.408880992306683</c:v>
                </c:pt>
                <c:pt idx="41">
                  <c:v>0.443694317644679</c:v>
                </c:pt>
                <c:pt idx="42">
                  <c:v>0.491921033729543</c:v>
                </c:pt>
                <c:pt idx="43">
                  <c:v>0.473497219024463</c:v>
                </c:pt>
                <c:pt idx="44">
                  <c:v>0.456219230246158</c:v>
                </c:pt>
                <c:pt idx="45">
                  <c:v>0.487150251190303</c:v>
                </c:pt>
                <c:pt idx="46">
                  <c:v>0.515663367480842</c:v>
                </c:pt>
                <c:pt idx="47">
                  <c:v>0.468952399658962</c:v>
                </c:pt>
                <c:pt idx="48">
                  <c:v>0.437582253292764</c:v>
                </c:pt>
                <c:pt idx="49">
                  <c:v>0.391839675158818</c:v>
                </c:pt>
              </c:numCache>
            </c:numRef>
          </c:val>
          <c:smooth val="0"/>
        </c:ser>
        <c:dLbls>
          <c:showLegendKey val="0"/>
          <c:showVal val="0"/>
          <c:showCatName val="0"/>
          <c:showSerName val="0"/>
          <c:showPercent val="0"/>
          <c:showBubbleSize val="0"/>
        </c:dLbls>
        <c:marker val="1"/>
        <c:smooth val="0"/>
        <c:axId val="-2134519320"/>
        <c:axId val="-2134516376"/>
      </c:lineChart>
      <c:catAx>
        <c:axId val="-2134519320"/>
        <c:scaling>
          <c:orientation val="minMax"/>
        </c:scaling>
        <c:delete val="0"/>
        <c:axPos val="b"/>
        <c:majorTickMark val="out"/>
        <c:minorTickMark val="none"/>
        <c:tickLblPos val="nextTo"/>
        <c:crossAx val="-2134516376"/>
        <c:crosses val="autoZero"/>
        <c:auto val="1"/>
        <c:lblAlgn val="ctr"/>
        <c:lblOffset val="100"/>
        <c:noMultiLvlLbl val="0"/>
      </c:catAx>
      <c:valAx>
        <c:axId val="-2134516376"/>
        <c:scaling>
          <c:orientation val="minMax"/>
        </c:scaling>
        <c:delete val="0"/>
        <c:axPos val="l"/>
        <c:majorGridlines/>
        <c:numFmt formatCode="0%" sourceLinked="1"/>
        <c:majorTickMark val="out"/>
        <c:minorTickMark val="none"/>
        <c:tickLblPos val="nextTo"/>
        <c:crossAx val="-2134519320"/>
        <c:crosses val="autoZero"/>
        <c:crossBetween val="between"/>
      </c:valAx>
    </c:plotArea>
    <c:plotVisOnly val="1"/>
    <c:dispBlanksAs val="gap"/>
    <c:showDLblsOverMax val="0"/>
  </c:chart>
  <c:printSettings>
    <c:headerFooter/>
    <c:pageMargins b="1.0" l="0.75" r="0.75" t="1.0"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manualLayout>
          <c:layoutTarget val="inner"/>
          <c:xMode val="edge"/>
          <c:yMode val="edge"/>
          <c:x val="0.114655074365704"/>
          <c:y val="0.0888888888888889"/>
          <c:w val="0.849233814523185"/>
          <c:h val="0.755169874599008"/>
        </c:manualLayout>
      </c:layout>
      <c:lineChart>
        <c:grouping val="standard"/>
        <c:varyColors val="0"/>
        <c:ser>
          <c:idx val="0"/>
          <c:order val="0"/>
          <c:tx>
            <c:strRef>
              <c:f>'Assets(MOFA)'!$BZ$3</c:f>
              <c:strCache>
                <c:ptCount val="1"/>
                <c:pt idx="0">
                  <c:v>Ireland non oil, % total after-tax profits</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'Assets(MOFA)'!$BZ$11:$BZ$60</c:f>
              <c:numCache>
                <c:formatCode>0.0%</c:formatCode>
                <c:ptCount val="50"/>
                <c:pt idx="0">
                  <c:v>0.00161281789210099</c:v>
                </c:pt>
                <c:pt idx="1">
                  <c:v>0.00232869094310776</c:v>
                </c:pt>
                <c:pt idx="2">
                  <c:v>0.00162245924586079</c:v>
                </c:pt>
                <c:pt idx="3">
                  <c:v>0.00173148541096598</c:v>
                </c:pt>
                <c:pt idx="4">
                  <c:v>0.00485144913872211</c:v>
                </c:pt>
                <c:pt idx="5">
                  <c:v>0.00445268381879976</c:v>
                </c:pt>
                <c:pt idx="6">
                  <c:v>0.00339255243907206</c:v>
                </c:pt>
                <c:pt idx="7">
                  <c:v>0.00393090333268689</c:v>
                </c:pt>
                <c:pt idx="8">
                  <c:v>0.00565418322939349</c:v>
                </c:pt>
                <c:pt idx="9">
                  <c:v>0.00665752873616493</c:v>
                </c:pt>
                <c:pt idx="10">
                  <c:v>0.00876485786587069</c:v>
                </c:pt>
                <c:pt idx="11">
                  <c:v>0.0110556539472978</c:v>
                </c:pt>
                <c:pt idx="12">
                  <c:v>0.0144068965208465</c:v>
                </c:pt>
                <c:pt idx="13">
                  <c:v>0.0158009953026125</c:v>
                </c:pt>
                <c:pt idx="14">
                  <c:v>0.0200180607928246</c:v>
                </c:pt>
                <c:pt idx="15">
                  <c:v>0.024372585785066</c:v>
                </c:pt>
                <c:pt idx="16">
                  <c:v>0.0283957470429993</c:v>
                </c:pt>
                <c:pt idx="17">
                  <c:v>0.0315360882100045</c:v>
                </c:pt>
                <c:pt idx="18">
                  <c:v>0.0343437345786629</c:v>
                </c:pt>
                <c:pt idx="19">
                  <c:v>0.0360884819169756</c:v>
                </c:pt>
                <c:pt idx="20">
                  <c:v>0.025261706262145</c:v>
                </c:pt>
                <c:pt idx="21">
                  <c:v>0.044596385558767</c:v>
                </c:pt>
                <c:pt idx="22">
                  <c:v>0.0358082656431313</c:v>
                </c:pt>
                <c:pt idx="23">
                  <c:v>0.0501118482687417</c:v>
                </c:pt>
                <c:pt idx="24">
                  <c:v>0.0564464278960705</c:v>
                </c:pt>
                <c:pt idx="25">
                  <c:v>0.0597535757366879</c:v>
                </c:pt>
                <c:pt idx="26">
                  <c:v>0.0737821847010126</c:v>
                </c:pt>
                <c:pt idx="27">
                  <c:v>0.0607426573143862</c:v>
                </c:pt>
                <c:pt idx="28">
                  <c:v>0.0622584182802078</c:v>
                </c:pt>
                <c:pt idx="29">
                  <c:v>0.060647484851273</c:v>
                </c:pt>
                <c:pt idx="30">
                  <c:v>0.0591104060168047</c:v>
                </c:pt>
                <c:pt idx="31">
                  <c:v>0.0755969678480201</c:v>
                </c:pt>
                <c:pt idx="32">
                  <c:v>0.116080822572932</c:v>
                </c:pt>
                <c:pt idx="33">
                  <c:v>0.104966559326232</c:v>
                </c:pt>
                <c:pt idx="34">
                  <c:v>0.0991063958559553</c:v>
                </c:pt>
                <c:pt idx="35">
                  <c:v>0.133187569780424</c:v>
                </c:pt>
                <c:pt idx="36">
                  <c:v>0.157157569515963</c:v>
                </c:pt>
                <c:pt idx="37">
                  <c:v>0.144155782667217</c:v>
                </c:pt>
                <c:pt idx="38">
                  <c:v>0.149825387801511</c:v>
                </c:pt>
                <c:pt idx="39">
                  <c:v>0.12503615626627</c:v>
                </c:pt>
                <c:pt idx="40">
                  <c:v>0.140727145325551</c:v>
                </c:pt>
                <c:pt idx="41">
                  <c:v>0.148887960349086</c:v>
                </c:pt>
                <c:pt idx="42">
                  <c:v>0.113330351296862</c:v>
                </c:pt>
                <c:pt idx="43">
                  <c:v>0.144661285025324</c:v>
                </c:pt>
                <c:pt idx="44">
                  <c:v>0.146256659387654</c:v>
                </c:pt>
                <c:pt idx="45">
                  <c:v>0.152314896402407</c:v>
                </c:pt>
                <c:pt idx="46">
                  <c:v>0.170595808176334</c:v>
                </c:pt>
                <c:pt idx="47">
                  <c:v>0.155800160270584</c:v>
                </c:pt>
                <c:pt idx="48">
                  <c:v>0.137110449292503</c:v>
                </c:pt>
                <c:pt idx="49">
                  <c:v>0.180271792246475</c:v>
                </c:pt>
              </c:numCache>
            </c:numRef>
          </c:val>
          <c:smooth val="0"/>
        </c:ser>
        <c:dLbls>
          <c:showLegendKey val="0"/>
          <c:showVal val="0"/>
          <c:showCatName val="0"/>
          <c:showSerName val="0"/>
          <c:showPercent val="0"/>
          <c:showBubbleSize val="0"/>
        </c:dLbls>
        <c:marker val="1"/>
        <c:smooth val="0"/>
        <c:axId val="-2134489784"/>
        <c:axId val="-2134486776"/>
      </c:lineChart>
      <c:catAx>
        <c:axId val="-2134489784"/>
        <c:scaling>
          <c:orientation val="minMax"/>
        </c:scaling>
        <c:delete val="0"/>
        <c:axPos val="b"/>
        <c:numFmt formatCode="General" sourceLinked="1"/>
        <c:majorTickMark val="out"/>
        <c:minorTickMark val="none"/>
        <c:tickLblPos val="nextTo"/>
        <c:crossAx val="-2134486776"/>
        <c:crosses val="autoZero"/>
        <c:auto val="1"/>
        <c:lblAlgn val="ctr"/>
        <c:lblOffset val="100"/>
        <c:noMultiLvlLbl val="0"/>
      </c:catAx>
      <c:valAx>
        <c:axId val="-2134486776"/>
        <c:scaling>
          <c:orientation val="minMax"/>
        </c:scaling>
        <c:delete val="0"/>
        <c:axPos val="l"/>
        <c:majorGridlines/>
        <c:numFmt formatCode="0.0%" sourceLinked="1"/>
        <c:majorTickMark val="out"/>
        <c:minorTickMark val="none"/>
        <c:tickLblPos val="nextTo"/>
        <c:crossAx val="-2134489784"/>
        <c:crosses val="autoZero"/>
        <c:crossBetween val="between"/>
      </c:valAx>
    </c:plotArea>
    <c:plotVisOnly val="1"/>
    <c:dispBlanksAs val="gap"/>
    <c:showDLblsOverMax val="0"/>
  </c:chart>
  <c:printSettings>
    <c:headerFooter/>
    <c:pageMargins b="1.0" l="0.75" r="0.75" t="1.0"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000"/>
              <a:t>Figure A.1b:</a:t>
            </a:r>
            <a:r>
              <a:rPr lang="en-US" sz="2000" baseline="0"/>
              <a:t> </a:t>
            </a:r>
            <a:r>
              <a:rPr lang="en-US" sz="2000"/>
              <a:t>Return on US direct</a:t>
            </a:r>
            <a:r>
              <a:rPr lang="en-US" sz="2000" baseline="0"/>
              <a:t> investment</a:t>
            </a:r>
            <a:r>
              <a:rPr lang="en-US" sz="2000"/>
              <a:t> equity assets &amp;</a:t>
            </a:r>
            <a:r>
              <a:rPr lang="en-US" sz="2000" baseline="0"/>
              <a:t> liabilities </a:t>
            </a:r>
            <a:r>
              <a:rPr lang="en-US" sz="2000" b="0" baseline="0"/>
              <a:t>(no current-cost adjustment for income)</a:t>
            </a:r>
            <a:endParaRPr lang="en-US" sz="2000" baseline="0"/>
          </a:p>
        </c:rich>
      </c:tx>
      <c:layout>
        <c:manualLayout>
          <c:xMode val="edge"/>
          <c:yMode val="edge"/>
          <c:x val="0.127932341790609"/>
          <c:y val="0.0"/>
        </c:manualLayout>
      </c:layout>
      <c:overlay val="0"/>
    </c:title>
    <c:autoTitleDeleted val="0"/>
    <c:plotArea>
      <c:layout>
        <c:manualLayout>
          <c:layoutTarget val="inner"/>
          <c:xMode val="edge"/>
          <c:yMode val="edge"/>
          <c:x val="0.0905280839895013"/>
          <c:y val="0.138071466556876"/>
          <c:w val="0.879312717586859"/>
          <c:h val="0.77728097713276"/>
        </c:manualLayout>
      </c:layout>
      <c:lineChart>
        <c:grouping val="standard"/>
        <c:varyColors val="0"/>
        <c:ser>
          <c:idx val="0"/>
          <c:order val="0"/>
          <c:spPr>
            <a:ln w="38100">
              <a:solidFill>
                <a:schemeClr val="accent2">
                  <a:lumMod val="75000"/>
                </a:schemeClr>
              </a:solidFill>
            </a:ln>
          </c:spPr>
          <c:marker>
            <c:symbol val="none"/>
          </c:marker>
          <c:cat>
            <c:numRef>
              <c:f>DataFA1bc!$A$3:$A$54</c:f>
              <c:numCache>
                <c:formatCode>General</c:formatCode>
                <c:ptCount val="52"/>
                <c:pt idx="0">
                  <c:v>1965.0</c:v>
                </c:pt>
                <c:pt idx="1">
                  <c:v>1966.0</c:v>
                </c:pt>
                <c:pt idx="2">
                  <c:v>1967.0</c:v>
                </c:pt>
                <c:pt idx="3">
                  <c:v>1968.0</c:v>
                </c:pt>
                <c:pt idx="4">
                  <c:v>1969.0</c:v>
                </c:pt>
                <c:pt idx="5">
                  <c:v>1970.0</c:v>
                </c:pt>
                <c:pt idx="6">
                  <c:v>1971.0</c:v>
                </c:pt>
                <c:pt idx="7">
                  <c:v>1972.0</c:v>
                </c:pt>
                <c:pt idx="8">
                  <c:v>1973.0</c:v>
                </c:pt>
                <c:pt idx="9">
                  <c:v>1974.0</c:v>
                </c:pt>
                <c:pt idx="10">
                  <c:v>1975.0</c:v>
                </c:pt>
                <c:pt idx="11">
                  <c:v>1976.0</c:v>
                </c:pt>
                <c:pt idx="12">
                  <c:v>1977.0</c:v>
                </c:pt>
                <c:pt idx="13">
                  <c:v>1978.0</c:v>
                </c:pt>
                <c:pt idx="14">
                  <c:v>1979.0</c:v>
                </c:pt>
                <c:pt idx="15">
                  <c:v>1980.0</c:v>
                </c:pt>
                <c:pt idx="16">
                  <c:v>1981.0</c:v>
                </c:pt>
                <c:pt idx="17">
                  <c:v>1982.0</c:v>
                </c:pt>
                <c:pt idx="18">
                  <c:v>1983.0</c:v>
                </c:pt>
                <c:pt idx="19">
                  <c:v>1984.0</c:v>
                </c:pt>
                <c:pt idx="20">
                  <c:v>1985.0</c:v>
                </c:pt>
                <c:pt idx="21">
                  <c:v>1986.0</c:v>
                </c:pt>
                <c:pt idx="22">
                  <c:v>1987.0</c:v>
                </c:pt>
                <c:pt idx="23">
                  <c:v>1988.0</c:v>
                </c:pt>
                <c:pt idx="24">
                  <c:v>1989.0</c:v>
                </c:pt>
                <c:pt idx="25">
                  <c:v>1990.0</c:v>
                </c:pt>
                <c:pt idx="26">
                  <c:v>1991.0</c:v>
                </c:pt>
                <c:pt idx="27">
                  <c:v>1992.0</c:v>
                </c:pt>
                <c:pt idx="28">
                  <c:v>1993.0</c:v>
                </c:pt>
                <c:pt idx="29">
                  <c:v>1994.0</c:v>
                </c:pt>
                <c:pt idx="30">
                  <c:v>1995.0</c:v>
                </c:pt>
                <c:pt idx="31">
                  <c:v>1996.0</c:v>
                </c:pt>
                <c:pt idx="32">
                  <c:v>1997.0</c:v>
                </c:pt>
                <c:pt idx="33">
                  <c:v>1998.0</c:v>
                </c:pt>
                <c:pt idx="34">
                  <c:v>1999.0</c:v>
                </c:pt>
                <c:pt idx="35">
                  <c:v>2000.0</c:v>
                </c:pt>
                <c:pt idx="36">
                  <c:v>2001.0</c:v>
                </c:pt>
                <c:pt idx="37">
                  <c:v>2002.0</c:v>
                </c:pt>
                <c:pt idx="38">
                  <c:v>2003.0</c:v>
                </c:pt>
                <c:pt idx="39">
                  <c:v>2004.0</c:v>
                </c:pt>
                <c:pt idx="40">
                  <c:v>2005.0</c:v>
                </c:pt>
                <c:pt idx="41">
                  <c:v>2006.0</c:v>
                </c:pt>
                <c:pt idx="42">
                  <c:v>2007.0</c:v>
                </c:pt>
                <c:pt idx="43">
                  <c:v>2008.0</c:v>
                </c:pt>
                <c:pt idx="44">
                  <c:v>2009.0</c:v>
                </c:pt>
                <c:pt idx="45">
                  <c:v>2010.0</c:v>
                </c:pt>
                <c:pt idx="46">
                  <c:v>2011.0</c:v>
                </c:pt>
                <c:pt idx="47">
                  <c:v>2012.0</c:v>
                </c:pt>
                <c:pt idx="48">
                  <c:v>2013.0</c:v>
                </c:pt>
                <c:pt idx="49">
                  <c:v>2014.0</c:v>
                </c:pt>
                <c:pt idx="50">
                  <c:v>2015.0</c:v>
                </c:pt>
                <c:pt idx="51">
                  <c:v>2016.0</c:v>
                </c:pt>
              </c:numCache>
            </c:numRef>
          </c:cat>
          <c:val>
            <c:numRef>
              <c:f>DataFA1bc!$D$3:$D$54</c:f>
              <c:numCache>
                <c:formatCode>0.0%</c:formatCode>
                <c:ptCount val="52"/>
                <c:pt idx="1">
                  <c:v>0.0951769768590563</c:v>
                </c:pt>
                <c:pt idx="2">
                  <c:v>0.101286865678588</c:v>
                </c:pt>
                <c:pt idx="3">
                  <c:v>0.100225939246524</c:v>
                </c:pt>
                <c:pt idx="4">
                  <c:v>0.0869248693490665</c:v>
                </c:pt>
                <c:pt idx="5">
                  <c:v>0.0792473876997316</c:v>
                </c:pt>
                <c:pt idx="6">
                  <c:v>0.102341516249061</c:v>
                </c:pt>
                <c:pt idx="7">
                  <c:v>0.10435077595902</c:v>
                </c:pt>
                <c:pt idx="8">
                  <c:v>0.10805604466752</c:v>
                </c:pt>
                <c:pt idx="9">
                  <c:v>0.0705170401044883</c:v>
                </c:pt>
                <c:pt idx="10">
                  <c:v>0.106137118572789</c:v>
                </c:pt>
                <c:pt idx="11">
                  <c:v>0.0783701345340441</c:v>
                </c:pt>
                <c:pt idx="12">
                  <c:v>0.0612530791857198</c:v>
                </c:pt>
                <c:pt idx="13">
                  <c:v>0.0733927964765497</c:v>
                </c:pt>
                <c:pt idx="14">
                  <c:v>0.0799459159804757</c:v>
                </c:pt>
                <c:pt idx="15">
                  <c:v>0.0526961338046132</c:v>
                </c:pt>
                <c:pt idx="16">
                  <c:v>0.039785747488111</c:v>
                </c:pt>
                <c:pt idx="17">
                  <c:v>0.00656875382472038</c:v>
                </c:pt>
                <c:pt idx="18">
                  <c:v>0.0182533754307558</c:v>
                </c:pt>
                <c:pt idx="19">
                  <c:v>0.0358068510111432</c:v>
                </c:pt>
                <c:pt idx="20">
                  <c:v>0.0225697219114592</c:v>
                </c:pt>
                <c:pt idx="21">
                  <c:v>0.0190544336672497</c:v>
                </c:pt>
                <c:pt idx="22">
                  <c:v>0.0202223492691369</c:v>
                </c:pt>
                <c:pt idx="23">
                  <c:v>0.0249965026516259</c:v>
                </c:pt>
                <c:pt idx="24">
                  <c:v>0.000778046177181055</c:v>
                </c:pt>
                <c:pt idx="25">
                  <c:v>-0.013514455973405</c:v>
                </c:pt>
                <c:pt idx="26">
                  <c:v>-0.0269399274419225</c:v>
                </c:pt>
                <c:pt idx="27">
                  <c:v>-0.0126138291040229</c:v>
                </c:pt>
                <c:pt idx="28">
                  <c:v>0.00209398685305597</c:v>
                </c:pt>
                <c:pt idx="29">
                  <c:v>0.0286881943483121</c:v>
                </c:pt>
                <c:pt idx="30">
                  <c:v>0.0418548712864015</c:v>
                </c:pt>
                <c:pt idx="31">
                  <c:v>0.0357553393040236</c:v>
                </c:pt>
                <c:pt idx="32">
                  <c:v>0.0477189880093691</c:v>
                </c:pt>
                <c:pt idx="33">
                  <c:v>0.0309768843486547</c:v>
                </c:pt>
                <c:pt idx="34">
                  <c:v>0.0364642471813766</c:v>
                </c:pt>
                <c:pt idx="35">
                  <c:v>0.0248678730336529</c:v>
                </c:pt>
                <c:pt idx="36">
                  <c:v>-0.0147240180873725</c:v>
                </c:pt>
                <c:pt idx="37">
                  <c:v>0.00973178120986597</c:v>
                </c:pt>
                <c:pt idx="38">
                  <c:v>0.0334000279117184</c:v>
                </c:pt>
                <c:pt idx="39">
                  <c:v>0.0488869547043674</c:v>
                </c:pt>
                <c:pt idx="40">
                  <c:v>0.0568182837112352</c:v>
                </c:pt>
                <c:pt idx="41">
                  <c:v>0.0679771614042583</c:v>
                </c:pt>
                <c:pt idx="42">
                  <c:v>0.0480528966477361</c:v>
                </c:pt>
                <c:pt idx="43">
                  <c:v>0.0478632899338382</c:v>
                </c:pt>
                <c:pt idx="44">
                  <c:v>0.035637509025427</c:v>
                </c:pt>
                <c:pt idx="45">
                  <c:v>0.0528648765378885</c:v>
                </c:pt>
                <c:pt idx="46">
                  <c:v>0.0575318510304279</c:v>
                </c:pt>
                <c:pt idx="47">
                  <c:v>0.0504334841594921</c:v>
                </c:pt>
                <c:pt idx="48">
                  <c:v>0.0503441645454936</c:v>
                </c:pt>
                <c:pt idx="49">
                  <c:v>0.0509629409857567</c:v>
                </c:pt>
                <c:pt idx="50">
                  <c:v>0.036498755041717</c:v>
                </c:pt>
                <c:pt idx="51">
                  <c:v>0.0350608231500949</c:v>
                </c:pt>
              </c:numCache>
            </c:numRef>
          </c:val>
          <c:smooth val="0"/>
        </c:ser>
        <c:dLbls>
          <c:showLegendKey val="0"/>
          <c:showVal val="0"/>
          <c:showCatName val="0"/>
          <c:showSerName val="0"/>
          <c:showPercent val="0"/>
          <c:showBubbleSize val="0"/>
        </c:dLbls>
        <c:marker val="1"/>
        <c:smooth val="0"/>
        <c:axId val="-2113686728"/>
        <c:axId val="-2113709336"/>
      </c:lineChart>
      <c:lineChart>
        <c:grouping val="standard"/>
        <c:varyColors val="0"/>
        <c:ser>
          <c:idx val="1"/>
          <c:order val="1"/>
          <c:spPr>
            <a:ln w="38100">
              <a:solidFill>
                <a:schemeClr val="tx2">
                  <a:lumMod val="75000"/>
                </a:schemeClr>
              </a:solidFill>
            </a:ln>
          </c:spPr>
          <c:marker>
            <c:symbol val="none"/>
          </c:marker>
          <c:val>
            <c:numRef>
              <c:f>DataFA1bc!$B$3:$B$54</c:f>
              <c:numCache>
                <c:formatCode>0.0%</c:formatCode>
                <c:ptCount val="52"/>
                <c:pt idx="1">
                  <c:v>0.0952202715719214</c:v>
                </c:pt>
                <c:pt idx="2">
                  <c:v>0.0904549047650517</c:v>
                </c:pt>
                <c:pt idx="3">
                  <c:v>0.0946232642196</c:v>
                </c:pt>
                <c:pt idx="4">
                  <c:v>0.0968361838974706</c:v>
                </c:pt>
                <c:pt idx="5">
                  <c:v>0.0913913824707566</c:v>
                </c:pt>
                <c:pt idx="6">
                  <c:v>0.0931152593970846</c:v>
                </c:pt>
                <c:pt idx="7">
                  <c:v>0.0924807157065864</c:v>
                </c:pt>
                <c:pt idx="8">
                  <c:v>0.140321554770803</c:v>
                </c:pt>
                <c:pt idx="9">
                  <c:v>0.152055345111698</c:v>
                </c:pt>
                <c:pt idx="10">
                  <c:v>0.11796603993172</c:v>
                </c:pt>
                <c:pt idx="11">
                  <c:v>0.0920010214989254</c:v>
                </c:pt>
                <c:pt idx="12">
                  <c:v>0.0798922864256248</c:v>
                </c:pt>
                <c:pt idx="13">
                  <c:v>0.0895540127108811</c:v>
                </c:pt>
                <c:pt idx="14">
                  <c:v>0.114156440752313</c:v>
                </c:pt>
                <c:pt idx="15">
                  <c:v>0.0953667499391677</c:v>
                </c:pt>
                <c:pt idx="16">
                  <c:v>0.0786515118460603</c:v>
                </c:pt>
                <c:pt idx="17">
                  <c:v>0.0655482565960664</c:v>
                </c:pt>
                <c:pt idx="18">
                  <c:v>0.0761727052543127</c:v>
                </c:pt>
                <c:pt idx="19">
                  <c:v>0.085977409328457</c:v>
                </c:pt>
                <c:pt idx="20">
                  <c:v>0.077233402294527</c:v>
                </c:pt>
                <c:pt idx="21">
                  <c:v>0.0766957219838944</c:v>
                </c:pt>
                <c:pt idx="22">
                  <c:v>0.0833031631472488</c:v>
                </c:pt>
                <c:pt idx="23">
                  <c:v>0.101374547596204</c:v>
                </c:pt>
                <c:pt idx="24">
                  <c:v>0.0990669158823377</c:v>
                </c:pt>
                <c:pt idx="25">
                  <c:v>0.0933627598484169</c:v>
                </c:pt>
                <c:pt idx="26">
                  <c:v>0.0802242928116458</c:v>
                </c:pt>
                <c:pt idx="27">
                  <c:v>0.0774020013542999</c:v>
                </c:pt>
                <c:pt idx="28">
                  <c:v>0.0868273024682255</c:v>
                </c:pt>
                <c:pt idx="29">
                  <c:v>0.0918431857592857</c:v>
                </c:pt>
                <c:pt idx="30">
                  <c:v>0.102600207649177</c:v>
                </c:pt>
                <c:pt idx="31">
                  <c:v>0.0991366594360086</c:v>
                </c:pt>
                <c:pt idx="32">
                  <c:v>0.103271572281753</c:v>
                </c:pt>
                <c:pt idx="33">
                  <c:v>0.0799259642391585</c:v>
                </c:pt>
                <c:pt idx="34">
                  <c:v>0.0868750469666467</c:v>
                </c:pt>
                <c:pt idx="35">
                  <c:v>0.0917579228528117</c:v>
                </c:pt>
                <c:pt idx="36">
                  <c:v>0.0666437232901565</c:v>
                </c:pt>
                <c:pt idx="37">
                  <c:v>0.0684825820922109</c:v>
                </c:pt>
                <c:pt idx="38">
                  <c:v>0.082006851110126</c:v>
                </c:pt>
                <c:pt idx="39">
                  <c:v>0.0913926886671257</c:v>
                </c:pt>
                <c:pt idx="40">
                  <c:v>0.100826632325978</c:v>
                </c:pt>
                <c:pt idx="41">
                  <c:v>0.100651189844394</c:v>
                </c:pt>
                <c:pt idx="42">
                  <c:v>0.0968724234254039</c:v>
                </c:pt>
                <c:pt idx="43">
                  <c:v>0.102458758829025</c:v>
                </c:pt>
                <c:pt idx="44">
                  <c:v>0.0838729699340113</c:v>
                </c:pt>
                <c:pt idx="45">
                  <c:v>0.0980715949029939</c:v>
                </c:pt>
                <c:pt idx="46">
                  <c:v>0.0971811182584449</c:v>
                </c:pt>
                <c:pt idx="47">
                  <c:v>0.0877577218553783</c:v>
                </c:pt>
                <c:pt idx="48">
                  <c:v>0.0864599263564659</c:v>
                </c:pt>
                <c:pt idx="49">
                  <c:v>0.0809413252386696</c:v>
                </c:pt>
                <c:pt idx="50">
                  <c:v>0.0714124598413875</c:v>
                </c:pt>
                <c:pt idx="51">
                  <c:v>0.0677462134952055</c:v>
                </c:pt>
              </c:numCache>
            </c:numRef>
          </c:val>
          <c:smooth val="0"/>
        </c:ser>
        <c:dLbls>
          <c:showLegendKey val="0"/>
          <c:showVal val="0"/>
          <c:showCatName val="0"/>
          <c:showSerName val="0"/>
          <c:showPercent val="0"/>
          <c:showBubbleSize val="0"/>
        </c:dLbls>
        <c:marker val="1"/>
        <c:smooth val="0"/>
        <c:axId val="-2113911784"/>
        <c:axId val="-2113779400"/>
      </c:lineChart>
      <c:catAx>
        <c:axId val="-2113686728"/>
        <c:scaling>
          <c:orientation val="minMax"/>
        </c:scaling>
        <c:delete val="0"/>
        <c:axPos val="b"/>
        <c:numFmt formatCode="General" sourceLinked="1"/>
        <c:majorTickMark val="none"/>
        <c:minorTickMark val="none"/>
        <c:tickLblPos val="low"/>
        <c:spPr>
          <a:ln w="3175">
            <a:solidFill>
              <a:schemeClr val="tx1"/>
            </a:solidFill>
          </a:ln>
        </c:spPr>
        <c:txPr>
          <a:bodyPr rot="0" vert="horz"/>
          <a:lstStyle/>
          <a:p>
            <a:pPr>
              <a:defRPr sz="1600"/>
            </a:pPr>
            <a:endParaRPr lang="fr-FR"/>
          </a:p>
        </c:txPr>
        <c:crossAx val="-2113709336"/>
        <c:crosses val="autoZero"/>
        <c:auto val="1"/>
        <c:lblAlgn val="ctr"/>
        <c:lblOffset val="100"/>
        <c:tickLblSkip val="5"/>
        <c:tickMarkSkip val="5"/>
        <c:noMultiLvlLbl val="0"/>
      </c:catAx>
      <c:valAx>
        <c:axId val="-2113709336"/>
        <c:scaling>
          <c:orientation val="minMax"/>
          <c:max val="0.155"/>
          <c:min val="-0.04"/>
        </c:scaling>
        <c:delete val="0"/>
        <c:axPos val="l"/>
        <c:numFmt formatCode="0%" sourceLinked="0"/>
        <c:majorTickMark val="none"/>
        <c:minorTickMark val="none"/>
        <c:tickLblPos val="nextTo"/>
        <c:txPr>
          <a:bodyPr/>
          <a:lstStyle/>
          <a:p>
            <a:pPr>
              <a:defRPr sz="1600"/>
            </a:pPr>
            <a:endParaRPr lang="fr-FR"/>
          </a:p>
        </c:txPr>
        <c:crossAx val="-2113686728"/>
        <c:crosses val="autoZero"/>
        <c:crossBetween val="between"/>
      </c:valAx>
      <c:valAx>
        <c:axId val="-2113779400"/>
        <c:scaling>
          <c:orientation val="minMax"/>
          <c:max val="0.02"/>
          <c:min val="-0.06"/>
        </c:scaling>
        <c:delete val="1"/>
        <c:axPos val="r"/>
        <c:numFmt formatCode="0%" sourceLinked="0"/>
        <c:majorTickMark val="none"/>
        <c:minorTickMark val="none"/>
        <c:tickLblPos val="nextTo"/>
        <c:crossAx val="-2113911784"/>
        <c:crosses val="max"/>
        <c:crossBetween val="between"/>
      </c:valAx>
      <c:catAx>
        <c:axId val="-2113911784"/>
        <c:scaling>
          <c:orientation val="minMax"/>
        </c:scaling>
        <c:delete val="1"/>
        <c:axPos val="b"/>
        <c:numFmt formatCode="General" sourceLinked="1"/>
        <c:majorTickMark val="out"/>
        <c:minorTickMark val="none"/>
        <c:tickLblPos val="nextTo"/>
        <c:crossAx val="-2113779400"/>
        <c:crosses val="autoZero"/>
        <c:auto val="1"/>
        <c:lblAlgn val="ctr"/>
        <c:lblOffset val="100"/>
        <c:noMultiLvlLbl val="0"/>
      </c:catAx>
      <c:spPr>
        <a:ln>
          <a:solidFill>
            <a:schemeClr val="bg1">
              <a:lumMod val="85000"/>
            </a:schemeClr>
          </a:solidFill>
        </a:ln>
      </c:spPr>
    </c:plotArea>
    <c:plotVisOnly val="1"/>
    <c:dispBlanksAs val="gap"/>
    <c:showDLblsOverMax val="0"/>
  </c:chart>
  <c:spPr>
    <a:ln>
      <a:noFill/>
    </a:ln>
  </c:spPr>
  <c:txPr>
    <a:bodyPr/>
    <a:lstStyle/>
    <a:p>
      <a:pPr>
        <a:defRPr>
          <a:latin typeface="Arial"/>
          <a:cs typeface="Arial"/>
        </a:defRPr>
      </a:pPr>
      <a:endParaRPr lang="fr-FR"/>
    </a:p>
  </c:txPr>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manualLayout>
          <c:layoutTarget val="inner"/>
          <c:xMode val="edge"/>
          <c:yMode val="edge"/>
          <c:x val="0.114655074365704"/>
          <c:y val="0.0888888888888889"/>
          <c:w val="0.849233814523185"/>
          <c:h val="0.755169874599008"/>
        </c:manualLayout>
      </c:layout>
      <c:lineChart>
        <c:grouping val="standard"/>
        <c:varyColors val="0"/>
        <c:ser>
          <c:idx val="0"/>
          <c:order val="0"/>
          <c:tx>
            <c:strRef>
              <c:f>'Assets(MOFA)'!$CC$3</c:f>
              <c:strCache>
                <c:ptCount val="1"/>
                <c:pt idx="0">
                  <c:v>Luxembourg non oil, % total after-tax profits</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'Assets(MOFA)'!$CC$11:$CC$60</c:f>
              <c:numCache>
                <c:formatCode>0.0%</c:formatCode>
                <c:ptCount val="50"/>
                <c:pt idx="0">
                  <c:v>0.000849921897709636</c:v>
                </c:pt>
                <c:pt idx="1">
                  <c:v>0.000778320508775707</c:v>
                </c:pt>
                <c:pt idx="2">
                  <c:v>0.000706719119841777</c:v>
                </c:pt>
                <c:pt idx="3">
                  <c:v>0.000635117730907847</c:v>
                </c:pt>
                <c:pt idx="4">
                  <c:v>0.000563516341973917</c:v>
                </c:pt>
                <c:pt idx="5">
                  <c:v>0.000788922878763484</c:v>
                </c:pt>
                <c:pt idx="6">
                  <c:v>0.000601084098105511</c:v>
                </c:pt>
                <c:pt idx="7">
                  <c:v>0.00141845626061145</c:v>
                </c:pt>
                <c:pt idx="8">
                  <c:v>0.00139392654973564</c:v>
                </c:pt>
                <c:pt idx="9">
                  <c:v>0.0010596398614426</c:v>
                </c:pt>
                <c:pt idx="10">
                  <c:v>0.00121519717911284</c:v>
                </c:pt>
                <c:pt idx="11">
                  <c:v>0.00101969623785756</c:v>
                </c:pt>
                <c:pt idx="12">
                  <c:v>0.00112816035713103</c:v>
                </c:pt>
                <c:pt idx="13">
                  <c:v>0.00128926721848107</c:v>
                </c:pt>
                <c:pt idx="14">
                  <c:v>0.00153495440414288</c:v>
                </c:pt>
                <c:pt idx="15">
                  <c:v>0.00180228342118663</c:v>
                </c:pt>
                <c:pt idx="16">
                  <c:v>0.00209231820316837</c:v>
                </c:pt>
                <c:pt idx="17">
                  <c:v>0.00182717110920034</c:v>
                </c:pt>
                <c:pt idx="18">
                  <c:v>0.00119845819972144</c:v>
                </c:pt>
                <c:pt idx="19">
                  <c:v>0.0006086015688396</c:v>
                </c:pt>
                <c:pt idx="20">
                  <c:v>0.00147307716416975</c:v>
                </c:pt>
                <c:pt idx="21">
                  <c:v>0.00222492856808281</c:v>
                </c:pt>
                <c:pt idx="22">
                  <c:v>0.00141628730399595</c:v>
                </c:pt>
                <c:pt idx="23">
                  <c:v>0.00195017494216393</c:v>
                </c:pt>
                <c:pt idx="24">
                  <c:v>0.00279868386218373</c:v>
                </c:pt>
                <c:pt idx="25">
                  <c:v>0.00359727727037739</c:v>
                </c:pt>
                <c:pt idx="26">
                  <c:v>0.0032740113654966</c:v>
                </c:pt>
                <c:pt idx="27">
                  <c:v>0.00187988922803258</c:v>
                </c:pt>
                <c:pt idx="28">
                  <c:v>0.00339787497977455</c:v>
                </c:pt>
                <c:pt idx="29">
                  <c:v>0.00228709630778533</c:v>
                </c:pt>
                <c:pt idx="30">
                  <c:v>0.00424231740995358</c:v>
                </c:pt>
                <c:pt idx="31">
                  <c:v>0.00321623214784326</c:v>
                </c:pt>
                <c:pt idx="32">
                  <c:v>0.00572692491630799</c:v>
                </c:pt>
                <c:pt idx="33">
                  <c:v>0.00264222607546858</c:v>
                </c:pt>
                <c:pt idx="34">
                  <c:v>-0.00165548178079997</c:v>
                </c:pt>
                <c:pt idx="35">
                  <c:v>-0.00302381838481578</c:v>
                </c:pt>
                <c:pt idx="36">
                  <c:v>-0.00177529302143102</c:v>
                </c:pt>
                <c:pt idx="37">
                  <c:v>-0.00314514329002279</c:v>
                </c:pt>
                <c:pt idx="38">
                  <c:v>-0.00718481821381196</c:v>
                </c:pt>
                <c:pt idx="39">
                  <c:v>-0.00588290264730619</c:v>
                </c:pt>
                <c:pt idx="40">
                  <c:v>-0.0109087724047871</c:v>
                </c:pt>
                <c:pt idx="41">
                  <c:v>-0.00565956333717205</c:v>
                </c:pt>
                <c:pt idx="42">
                  <c:v>-0.0111793954245188</c:v>
                </c:pt>
                <c:pt idx="43">
                  <c:v>0.023508668821628</c:v>
                </c:pt>
                <c:pt idx="44">
                  <c:v>-0.000545168744870113</c:v>
                </c:pt>
                <c:pt idx="45">
                  <c:v>0.0075098814229249</c:v>
                </c:pt>
                <c:pt idx="46">
                  <c:v>0.00700258245822381</c:v>
                </c:pt>
                <c:pt idx="47">
                  <c:v>0.0127385633001804</c:v>
                </c:pt>
                <c:pt idx="48">
                  <c:v>0.015016790876403</c:v>
                </c:pt>
                <c:pt idx="49">
                  <c:v>0.0224037273183268</c:v>
                </c:pt>
              </c:numCache>
            </c:numRef>
          </c:val>
          <c:smooth val="0"/>
        </c:ser>
        <c:dLbls>
          <c:showLegendKey val="0"/>
          <c:showVal val="0"/>
          <c:showCatName val="0"/>
          <c:showSerName val="0"/>
          <c:showPercent val="0"/>
          <c:showBubbleSize val="0"/>
        </c:dLbls>
        <c:marker val="1"/>
        <c:smooth val="0"/>
        <c:axId val="-2134631160"/>
        <c:axId val="-2134641000"/>
      </c:lineChart>
      <c:catAx>
        <c:axId val="-2134631160"/>
        <c:scaling>
          <c:orientation val="minMax"/>
        </c:scaling>
        <c:delete val="0"/>
        <c:axPos val="b"/>
        <c:numFmt formatCode="General" sourceLinked="1"/>
        <c:majorTickMark val="out"/>
        <c:minorTickMark val="none"/>
        <c:tickLblPos val="nextTo"/>
        <c:crossAx val="-2134641000"/>
        <c:crosses val="autoZero"/>
        <c:auto val="1"/>
        <c:lblAlgn val="ctr"/>
        <c:lblOffset val="100"/>
        <c:noMultiLvlLbl val="0"/>
      </c:catAx>
      <c:valAx>
        <c:axId val="-2134641000"/>
        <c:scaling>
          <c:orientation val="minMax"/>
        </c:scaling>
        <c:delete val="0"/>
        <c:axPos val="l"/>
        <c:majorGridlines/>
        <c:numFmt formatCode="0.0%" sourceLinked="1"/>
        <c:majorTickMark val="out"/>
        <c:minorTickMark val="none"/>
        <c:tickLblPos val="nextTo"/>
        <c:crossAx val="-2134631160"/>
        <c:crosses val="autoZero"/>
        <c:crossBetween val="between"/>
      </c:valAx>
    </c:plotArea>
    <c:plotVisOnly val="1"/>
    <c:dispBlanksAs val="gap"/>
    <c:showDLblsOverMax val="0"/>
  </c:chart>
  <c:printSettings>
    <c:headerFooter/>
    <c:pageMargins b="1.0" l="0.75" r="0.75" t="1.0"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manualLayout>
          <c:layoutTarget val="inner"/>
          <c:xMode val="edge"/>
          <c:yMode val="edge"/>
          <c:x val="0.114655074365704"/>
          <c:y val="0.0888888888888889"/>
          <c:w val="0.849233814523185"/>
          <c:h val="0.755169874599008"/>
        </c:manualLayout>
      </c:layout>
      <c:lineChart>
        <c:grouping val="standard"/>
        <c:varyColors val="0"/>
        <c:ser>
          <c:idx val="0"/>
          <c:order val="0"/>
          <c:tx>
            <c:strRef>
              <c:f>'Assets(MOFA)'!$CF$3</c:f>
              <c:strCache>
                <c:ptCount val="1"/>
                <c:pt idx="0">
                  <c:v>Netherlands non oil, % total after-tax profits</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'Assets(MOFA)'!$CF$11:$CF$60</c:f>
              <c:numCache>
                <c:formatCode>0.00%</c:formatCode>
                <c:ptCount val="50"/>
                <c:pt idx="0">
                  <c:v>0.00500871111162242</c:v>
                </c:pt>
                <c:pt idx="1">
                  <c:v>0.00615361297626887</c:v>
                </c:pt>
                <c:pt idx="2">
                  <c:v>0.00404244118868344</c:v>
                </c:pt>
                <c:pt idx="3">
                  <c:v>0.00416528846382236</c:v>
                </c:pt>
                <c:pt idx="4">
                  <c:v>0.0108789098467436</c:v>
                </c:pt>
                <c:pt idx="5">
                  <c:v>0.00976194317132873</c:v>
                </c:pt>
                <c:pt idx="6">
                  <c:v>0.00727987795296542</c:v>
                </c:pt>
                <c:pt idx="7">
                  <c:v>0.0110348820236402</c:v>
                </c:pt>
                <c:pt idx="8">
                  <c:v>0.0143400015445883</c:v>
                </c:pt>
                <c:pt idx="9">
                  <c:v>0.0146447720033597</c:v>
                </c:pt>
                <c:pt idx="10">
                  <c:v>0.0167003571947798</c:v>
                </c:pt>
                <c:pt idx="11">
                  <c:v>0.0279074759834702</c:v>
                </c:pt>
                <c:pt idx="12">
                  <c:v>0.0256141232571378</c:v>
                </c:pt>
                <c:pt idx="13">
                  <c:v>0.0215476682275662</c:v>
                </c:pt>
                <c:pt idx="14">
                  <c:v>0.0208948327810508</c:v>
                </c:pt>
                <c:pt idx="15">
                  <c:v>0.0201982571955676</c:v>
                </c:pt>
                <c:pt idx="16">
                  <c:v>0.0194713694009138</c:v>
                </c:pt>
                <c:pt idx="17">
                  <c:v>0.0324063319195491</c:v>
                </c:pt>
                <c:pt idx="18">
                  <c:v>0.0297229840174849</c:v>
                </c:pt>
                <c:pt idx="19">
                  <c:v>0.0386537787743265</c:v>
                </c:pt>
                <c:pt idx="20">
                  <c:v>0.0515695009089779</c:v>
                </c:pt>
                <c:pt idx="21">
                  <c:v>0.0611767629683433</c:v>
                </c:pt>
                <c:pt idx="22">
                  <c:v>0.0608870545287149</c:v>
                </c:pt>
                <c:pt idx="23">
                  <c:v>0.0556922653922175</c:v>
                </c:pt>
                <c:pt idx="24">
                  <c:v>0.0606677787521578</c:v>
                </c:pt>
                <c:pt idx="25">
                  <c:v>0.0588765070068361</c:v>
                </c:pt>
                <c:pt idx="26">
                  <c:v>0.0567969527857562</c:v>
                </c:pt>
                <c:pt idx="27">
                  <c:v>0.0429410744718423</c:v>
                </c:pt>
                <c:pt idx="28">
                  <c:v>0.0435431386297035</c:v>
                </c:pt>
                <c:pt idx="29">
                  <c:v>0.061785434888643</c:v>
                </c:pt>
                <c:pt idx="30">
                  <c:v>0.0444751698779241</c:v>
                </c:pt>
                <c:pt idx="31">
                  <c:v>0.0582347422680791</c:v>
                </c:pt>
                <c:pt idx="32">
                  <c:v>0.0521054786277174</c:v>
                </c:pt>
                <c:pt idx="33">
                  <c:v>0.0413612705370158</c:v>
                </c:pt>
                <c:pt idx="34">
                  <c:v>0.0488780180527875</c:v>
                </c:pt>
                <c:pt idx="35">
                  <c:v>0.0546677374337443</c:v>
                </c:pt>
                <c:pt idx="36">
                  <c:v>0.0268670591001091</c:v>
                </c:pt>
                <c:pt idx="37">
                  <c:v>0.0304591404449811</c:v>
                </c:pt>
                <c:pt idx="38">
                  <c:v>0.0350282002608875</c:v>
                </c:pt>
                <c:pt idx="39">
                  <c:v>0.0258509779254798</c:v>
                </c:pt>
                <c:pt idx="40">
                  <c:v>0.0161141522161301</c:v>
                </c:pt>
                <c:pt idx="41">
                  <c:v>0.0192386637244379</c:v>
                </c:pt>
                <c:pt idx="42">
                  <c:v>0.0108671669726512</c:v>
                </c:pt>
                <c:pt idx="43">
                  <c:v>0.0136860410384775</c:v>
                </c:pt>
                <c:pt idx="44">
                  <c:v>-0.00263117660639776</c:v>
                </c:pt>
                <c:pt idx="45">
                  <c:v>0.0186247683884053</c:v>
                </c:pt>
                <c:pt idx="46">
                  <c:v>0.0281827657247515</c:v>
                </c:pt>
                <c:pt idx="47">
                  <c:v>-0.00895105825435579</c:v>
                </c:pt>
                <c:pt idx="48">
                  <c:v>0.0243484387959317</c:v>
                </c:pt>
                <c:pt idx="49">
                  <c:v>0.0493258777761221</c:v>
                </c:pt>
              </c:numCache>
            </c:numRef>
          </c:val>
          <c:smooth val="0"/>
        </c:ser>
        <c:dLbls>
          <c:showLegendKey val="0"/>
          <c:showVal val="0"/>
          <c:showCatName val="0"/>
          <c:showSerName val="0"/>
          <c:showPercent val="0"/>
          <c:showBubbleSize val="0"/>
        </c:dLbls>
        <c:marker val="1"/>
        <c:smooth val="0"/>
        <c:axId val="-2134663032"/>
        <c:axId val="-2134680824"/>
      </c:lineChart>
      <c:catAx>
        <c:axId val="-2134663032"/>
        <c:scaling>
          <c:orientation val="minMax"/>
        </c:scaling>
        <c:delete val="0"/>
        <c:axPos val="b"/>
        <c:numFmt formatCode="General" sourceLinked="1"/>
        <c:majorTickMark val="out"/>
        <c:minorTickMark val="none"/>
        <c:tickLblPos val="nextTo"/>
        <c:crossAx val="-2134680824"/>
        <c:crosses val="autoZero"/>
        <c:auto val="1"/>
        <c:lblAlgn val="ctr"/>
        <c:lblOffset val="100"/>
        <c:noMultiLvlLbl val="0"/>
      </c:catAx>
      <c:valAx>
        <c:axId val="-2134680824"/>
        <c:scaling>
          <c:orientation val="minMax"/>
        </c:scaling>
        <c:delete val="0"/>
        <c:axPos val="l"/>
        <c:majorGridlines/>
        <c:numFmt formatCode="0.00%" sourceLinked="1"/>
        <c:majorTickMark val="out"/>
        <c:minorTickMark val="none"/>
        <c:tickLblPos val="nextTo"/>
        <c:crossAx val="-2134663032"/>
        <c:crosses val="autoZero"/>
        <c:crossBetween val="between"/>
      </c:valAx>
    </c:plotArea>
    <c:plotVisOnly val="1"/>
    <c:dispBlanksAs val="gap"/>
    <c:showDLblsOverMax val="0"/>
  </c:chart>
  <c:printSettings>
    <c:headerFooter/>
    <c:pageMargins b="1.0" l="0.75" r="0.75" t="1.0"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manualLayout>
          <c:layoutTarget val="inner"/>
          <c:xMode val="edge"/>
          <c:yMode val="edge"/>
          <c:x val="0.114655074365704"/>
          <c:y val="0.0888888888888889"/>
          <c:w val="0.849233814523185"/>
          <c:h val="0.755169874599008"/>
        </c:manualLayout>
      </c:layout>
      <c:lineChart>
        <c:grouping val="standard"/>
        <c:varyColors val="0"/>
        <c:ser>
          <c:idx val="0"/>
          <c:order val="0"/>
          <c:tx>
            <c:strRef>
              <c:f>'Assets(MOFA)'!$CI$3</c:f>
              <c:strCache>
                <c:ptCount val="1"/>
                <c:pt idx="0">
                  <c:v>Switzerland non oil, % total after-tax profits</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'Assets(MOFA)'!$CI$11:$CI$60</c:f>
              <c:numCache>
                <c:formatCode>0%</c:formatCode>
                <c:ptCount val="50"/>
                <c:pt idx="0">
                  <c:v>0.0177199412616028</c:v>
                </c:pt>
                <c:pt idx="1">
                  <c:v>0.0192219009276591</c:v>
                </c:pt>
                <c:pt idx="2">
                  <c:v>0.0207263852006131</c:v>
                </c:pt>
                <c:pt idx="3">
                  <c:v>0.0222330414301516</c:v>
                </c:pt>
                <c:pt idx="4">
                  <c:v>0.0237415297533127</c:v>
                </c:pt>
                <c:pt idx="5">
                  <c:v>0.0251915087662322</c:v>
                </c:pt>
                <c:pt idx="6">
                  <c:v>0.0247885758704988</c:v>
                </c:pt>
                <c:pt idx="7">
                  <c:v>0.0138975716312437</c:v>
                </c:pt>
                <c:pt idx="8">
                  <c:v>0.0162860846289527</c:v>
                </c:pt>
                <c:pt idx="9">
                  <c:v>0.0295639866099847</c:v>
                </c:pt>
                <c:pt idx="10">
                  <c:v>0.0261596574328068</c:v>
                </c:pt>
                <c:pt idx="11">
                  <c:v>0.0312254349493782</c:v>
                </c:pt>
                <c:pt idx="12">
                  <c:v>0.0324540571361909</c:v>
                </c:pt>
                <c:pt idx="13">
                  <c:v>0.02225820718314</c:v>
                </c:pt>
                <c:pt idx="14">
                  <c:v>0.0244835538327076</c:v>
                </c:pt>
                <c:pt idx="15">
                  <c:v>0.0267379488830729</c:v>
                </c:pt>
                <c:pt idx="16">
                  <c:v>0.0333916905077074</c:v>
                </c:pt>
                <c:pt idx="17">
                  <c:v>0.0279660040775496</c:v>
                </c:pt>
                <c:pt idx="18">
                  <c:v>0.0308291401588571</c:v>
                </c:pt>
                <c:pt idx="19">
                  <c:v>0.0427922743454135</c:v>
                </c:pt>
                <c:pt idx="20">
                  <c:v>0.0381621941470553</c:v>
                </c:pt>
                <c:pt idx="21">
                  <c:v>0.0367956097765941</c:v>
                </c:pt>
                <c:pt idx="22">
                  <c:v>0.0282029264539597</c:v>
                </c:pt>
                <c:pt idx="23">
                  <c:v>0.0298674313030817</c:v>
                </c:pt>
                <c:pt idx="24">
                  <c:v>0.0339183193539858</c:v>
                </c:pt>
                <c:pt idx="25">
                  <c:v>0.0405674691292839</c:v>
                </c:pt>
                <c:pt idx="26">
                  <c:v>0.0244496478123952</c:v>
                </c:pt>
                <c:pt idx="27">
                  <c:v>0.0307471766572345</c:v>
                </c:pt>
                <c:pt idx="28">
                  <c:v>0.034590007730615</c:v>
                </c:pt>
                <c:pt idx="29">
                  <c:v>0.0384337333561167</c:v>
                </c:pt>
                <c:pt idx="30">
                  <c:v>0.02406721899054</c:v>
                </c:pt>
                <c:pt idx="31">
                  <c:v>0.0255230255333671</c:v>
                </c:pt>
                <c:pt idx="32">
                  <c:v>0.032831181252989</c:v>
                </c:pt>
                <c:pt idx="33">
                  <c:v>0.0275042254269661</c:v>
                </c:pt>
                <c:pt idx="34">
                  <c:v>0.0244608316311766</c:v>
                </c:pt>
                <c:pt idx="35">
                  <c:v>0.023999917780284</c:v>
                </c:pt>
                <c:pt idx="36">
                  <c:v>0.0336433235793767</c:v>
                </c:pt>
                <c:pt idx="37">
                  <c:v>0.0280112593556027</c:v>
                </c:pt>
                <c:pt idx="38">
                  <c:v>0.0405513115455931</c:v>
                </c:pt>
                <c:pt idx="39">
                  <c:v>0.0416472935944443</c:v>
                </c:pt>
                <c:pt idx="40">
                  <c:v>0.0482763519835381</c:v>
                </c:pt>
                <c:pt idx="41">
                  <c:v>0.045924148293232</c:v>
                </c:pt>
                <c:pt idx="42">
                  <c:v>0.0528464464449866</c:v>
                </c:pt>
                <c:pt idx="43">
                  <c:v>0.0696007968035417</c:v>
                </c:pt>
                <c:pt idx="44">
                  <c:v>0.0571938225808581</c:v>
                </c:pt>
                <c:pt idx="45">
                  <c:v>0.0565588971408957</c:v>
                </c:pt>
                <c:pt idx="46">
                  <c:v>0.0533366730187021</c:v>
                </c:pt>
                <c:pt idx="47">
                  <c:v>0.0844598031783211</c:v>
                </c:pt>
                <c:pt idx="48">
                  <c:v>0.0833436100312778</c:v>
                </c:pt>
                <c:pt idx="49">
                  <c:v>0.0935937417528771</c:v>
                </c:pt>
              </c:numCache>
            </c:numRef>
          </c:val>
          <c:smooth val="0"/>
        </c:ser>
        <c:dLbls>
          <c:showLegendKey val="0"/>
          <c:showVal val="0"/>
          <c:showCatName val="0"/>
          <c:showSerName val="0"/>
          <c:showPercent val="0"/>
          <c:showBubbleSize val="0"/>
        </c:dLbls>
        <c:marker val="1"/>
        <c:smooth val="0"/>
        <c:axId val="-2134712536"/>
        <c:axId val="-2134709528"/>
      </c:lineChart>
      <c:catAx>
        <c:axId val="-2134712536"/>
        <c:scaling>
          <c:orientation val="minMax"/>
        </c:scaling>
        <c:delete val="0"/>
        <c:axPos val="b"/>
        <c:numFmt formatCode="General" sourceLinked="1"/>
        <c:majorTickMark val="out"/>
        <c:minorTickMark val="none"/>
        <c:tickLblPos val="nextTo"/>
        <c:crossAx val="-2134709528"/>
        <c:crosses val="autoZero"/>
        <c:auto val="1"/>
        <c:lblAlgn val="ctr"/>
        <c:lblOffset val="100"/>
        <c:noMultiLvlLbl val="0"/>
      </c:catAx>
      <c:valAx>
        <c:axId val="-2134709528"/>
        <c:scaling>
          <c:orientation val="minMax"/>
        </c:scaling>
        <c:delete val="0"/>
        <c:axPos val="l"/>
        <c:majorGridlines/>
        <c:numFmt formatCode="0%" sourceLinked="1"/>
        <c:majorTickMark val="out"/>
        <c:minorTickMark val="none"/>
        <c:tickLblPos val="nextTo"/>
        <c:crossAx val="-2134712536"/>
        <c:crosses val="autoZero"/>
        <c:crossBetween val="between"/>
      </c:valAx>
    </c:plotArea>
    <c:plotVisOnly val="1"/>
    <c:dispBlanksAs val="gap"/>
    <c:showDLblsOverMax val="0"/>
  </c:chart>
  <c:printSettings>
    <c:headerFooter/>
    <c:pageMargins b="1.0" l="0.75" r="0.75" t="1.0"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manualLayout>
          <c:layoutTarget val="inner"/>
          <c:xMode val="edge"/>
          <c:yMode val="edge"/>
          <c:x val="0.114655074365704"/>
          <c:y val="0.0888888888888889"/>
          <c:w val="0.849233814523185"/>
          <c:h val="0.755169874599008"/>
        </c:manualLayout>
      </c:layout>
      <c:lineChart>
        <c:grouping val="standard"/>
        <c:varyColors val="0"/>
        <c:ser>
          <c:idx val="0"/>
          <c:order val="0"/>
          <c:tx>
            <c:strRef>
              <c:f>'Assets(MOFA)'!$CO$3</c:f>
              <c:strCache>
                <c:ptCount val="1"/>
                <c:pt idx="0">
                  <c:v>Singapore non oil, % total after-tax profits</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'Assets(MOFA)'!$CO$11:$CO$60</c:f>
              <c:numCache>
                <c:formatCode>0%</c:formatCode>
                <c:ptCount val="50"/>
                <c:pt idx="0">
                  <c:v>0.00044408201709193</c:v>
                </c:pt>
                <c:pt idx="1">
                  <c:v>0.000716519284107141</c:v>
                </c:pt>
                <c:pt idx="2">
                  <c:v>0.000995666902320841</c:v>
                </c:pt>
                <c:pt idx="3">
                  <c:v>0.00128134833496556</c:v>
                </c:pt>
                <c:pt idx="4">
                  <c:v>0.00157339318391059</c:v>
                </c:pt>
                <c:pt idx="5">
                  <c:v>0.00116072701347925</c:v>
                </c:pt>
                <c:pt idx="6">
                  <c:v>0.00369644530705964</c:v>
                </c:pt>
                <c:pt idx="7">
                  <c:v>0.00306021014327679</c:v>
                </c:pt>
                <c:pt idx="8">
                  <c:v>0.00283979611305197</c:v>
                </c:pt>
                <c:pt idx="9">
                  <c:v>0.00385969440571787</c:v>
                </c:pt>
                <c:pt idx="10">
                  <c:v>0.00544393856218027</c:v>
                </c:pt>
                <c:pt idx="11">
                  <c:v>0.00649385498846133</c:v>
                </c:pt>
                <c:pt idx="12">
                  <c:v>0.0079613651612792</c:v>
                </c:pt>
                <c:pt idx="13">
                  <c:v>0.00751450326544308</c:v>
                </c:pt>
                <c:pt idx="14">
                  <c:v>0.00996209777474057</c:v>
                </c:pt>
                <c:pt idx="15">
                  <c:v>0.0128102905955154</c:v>
                </c:pt>
                <c:pt idx="16">
                  <c:v>0.0166531448823605</c:v>
                </c:pt>
                <c:pt idx="17">
                  <c:v>0.017516579990581</c:v>
                </c:pt>
                <c:pt idx="18">
                  <c:v>0.0170355046938847</c:v>
                </c:pt>
                <c:pt idx="19">
                  <c:v>0.00992722080719983</c:v>
                </c:pt>
                <c:pt idx="20">
                  <c:v>0.0187885279546711</c:v>
                </c:pt>
                <c:pt idx="21">
                  <c:v>0.0185957305567821</c:v>
                </c:pt>
                <c:pt idx="22">
                  <c:v>0.0171328526524115</c:v>
                </c:pt>
                <c:pt idx="23">
                  <c:v>0.0157161157103799</c:v>
                </c:pt>
                <c:pt idx="24">
                  <c:v>0.0308943229340353</c:v>
                </c:pt>
                <c:pt idx="25">
                  <c:v>0.0285760315720345</c:v>
                </c:pt>
                <c:pt idx="26">
                  <c:v>0.0293047189577728</c:v>
                </c:pt>
                <c:pt idx="27">
                  <c:v>0.0440771682523656</c:v>
                </c:pt>
                <c:pt idx="28">
                  <c:v>0.0428060334753609</c:v>
                </c:pt>
                <c:pt idx="29">
                  <c:v>0.0448342569997325</c:v>
                </c:pt>
                <c:pt idx="30">
                  <c:v>0.062133508366583</c:v>
                </c:pt>
                <c:pt idx="31">
                  <c:v>0.0469007923853689</c:v>
                </c:pt>
                <c:pt idx="32">
                  <c:v>0.0326652783588238</c:v>
                </c:pt>
                <c:pt idx="33">
                  <c:v>0.0440250183196606</c:v>
                </c:pt>
                <c:pt idx="34">
                  <c:v>0.0678987595207239</c:v>
                </c:pt>
                <c:pt idx="35">
                  <c:v>0.0499303485675747</c:v>
                </c:pt>
                <c:pt idx="36">
                  <c:v>0.0398688159890948</c:v>
                </c:pt>
                <c:pt idx="37">
                  <c:v>0.0389457605771029</c:v>
                </c:pt>
                <c:pt idx="38">
                  <c:v>0.0397740780489964</c:v>
                </c:pt>
                <c:pt idx="39">
                  <c:v>0.0297861882490013</c:v>
                </c:pt>
                <c:pt idx="40">
                  <c:v>0.0388731205400866</c:v>
                </c:pt>
                <c:pt idx="41">
                  <c:v>0.0381353381625465</c:v>
                </c:pt>
                <c:pt idx="42">
                  <c:v>0.0365429470399811</c:v>
                </c:pt>
                <c:pt idx="43">
                  <c:v>0.0414896162084741</c:v>
                </c:pt>
                <c:pt idx="44">
                  <c:v>0.0422760036294086</c:v>
                </c:pt>
                <c:pt idx="45">
                  <c:v>0.0531954163834787</c:v>
                </c:pt>
                <c:pt idx="46">
                  <c:v>0.0544560782377535</c:v>
                </c:pt>
                <c:pt idx="47">
                  <c:v>0.0640365081288141</c:v>
                </c:pt>
                <c:pt idx="48">
                  <c:v>0.0628580429335894</c:v>
                </c:pt>
                <c:pt idx="49">
                  <c:v>0.0688051921434248</c:v>
                </c:pt>
              </c:numCache>
            </c:numRef>
          </c:val>
          <c:smooth val="0"/>
        </c:ser>
        <c:dLbls>
          <c:showLegendKey val="0"/>
          <c:showVal val="0"/>
          <c:showCatName val="0"/>
          <c:showSerName val="0"/>
          <c:showPercent val="0"/>
          <c:showBubbleSize val="0"/>
        </c:dLbls>
        <c:marker val="1"/>
        <c:smooth val="0"/>
        <c:axId val="-2134750888"/>
        <c:axId val="-2134747880"/>
      </c:lineChart>
      <c:catAx>
        <c:axId val="-2134750888"/>
        <c:scaling>
          <c:orientation val="minMax"/>
        </c:scaling>
        <c:delete val="0"/>
        <c:axPos val="b"/>
        <c:numFmt formatCode="General" sourceLinked="1"/>
        <c:majorTickMark val="out"/>
        <c:minorTickMark val="none"/>
        <c:tickLblPos val="nextTo"/>
        <c:crossAx val="-2134747880"/>
        <c:crosses val="autoZero"/>
        <c:auto val="1"/>
        <c:lblAlgn val="ctr"/>
        <c:lblOffset val="100"/>
        <c:noMultiLvlLbl val="0"/>
      </c:catAx>
      <c:valAx>
        <c:axId val="-2134747880"/>
        <c:scaling>
          <c:orientation val="minMax"/>
        </c:scaling>
        <c:delete val="0"/>
        <c:axPos val="l"/>
        <c:majorGridlines/>
        <c:numFmt formatCode="0%" sourceLinked="1"/>
        <c:majorTickMark val="out"/>
        <c:minorTickMark val="none"/>
        <c:tickLblPos val="nextTo"/>
        <c:crossAx val="-2134750888"/>
        <c:crosses val="autoZero"/>
        <c:crossBetween val="between"/>
      </c:valAx>
    </c:plotArea>
    <c:plotVisOnly val="1"/>
    <c:dispBlanksAs val="gap"/>
    <c:showDLblsOverMax val="0"/>
  </c:chart>
  <c:printSettings>
    <c:headerFooter/>
    <c:pageMargins b="1.0" l="0.75" r="0.75" t="1.0"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manualLayout>
          <c:layoutTarget val="inner"/>
          <c:xMode val="edge"/>
          <c:yMode val="edge"/>
          <c:x val="0.114655074365704"/>
          <c:y val="0.0888888888888889"/>
          <c:w val="0.849233814523185"/>
          <c:h val="0.755169874599008"/>
        </c:manualLayout>
      </c:layout>
      <c:lineChart>
        <c:grouping val="standard"/>
        <c:varyColors val="0"/>
        <c:ser>
          <c:idx val="0"/>
          <c:order val="0"/>
          <c:tx>
            <c:strRef>
              <c:f>'Assets(MOFA)'!$CL$3</c:f>
              <c:strCache>
                <c:ptCount val="1"/>
                <c:pt idx="0">
                  <c:v>Bermuda and Carib. non oil, % total after-tax profits</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'Assets(MOFA)'!$CL$11:$CL$60</c:f>
              <c:numCache>
                <c:formatCode>0%</c:formatCode>
                <c:ptCount val="50"/>
                <c:pt idx="0">
                  <c:v>0.0185761449166586</c:v>
                </c:pt>
                <c:pt idx="1">
                  <c:v>0.0184649370852632</c:v>
                </c:pt>
                <c:pt idx="2">
                  <c:v>0.0183387582569004</c:v>
                </c:pt>
                <c:pt idx="3">
                  <c:v>0.0181966992046345</c:v>
                </c:pt>
                <c:pt idx="4">
                  <c:v>0.0180377755539924</c:v>
                </c:pt>
                <c:pt idx="5">
                  <c:v>0.0199622406692772</c:v>
                </c:pt>
                <c:pt idx="6">
                  <c:v>0.0191785446814286</c:v>
                </c:pt>
                <c:pt idx="7">
                  <c:v>0.0150132241448006</c:v>
                </c:pt>
                <c:pt idx="8">
                  <c:v>0.0176677210963995</c:v>
                </c:pt>
                <c:pt idx="9">
                  <c:v>0.0249732561508163</c:v>
                </c:pt>
                <c:pt idx="10">
                  <c:v>0.0441869069936484</c:v>
                </c:pt>
                <c:pt idx="11">
                  <c:v>0.0484624054097569</c:v>
                </c:pt>
                <c:pt idx="12">
                  <c:v>0.0543014825693072</c:v>
                </c:pt>
                <c:pt idx="13">
                  <c:v>0.0624362397426299</c:v>
                </c:pt>
                <c:pt idx="14">
                  <c:v>0.0676789511552993</c:v>
                </c:pt>
                <c:pt idx="15">
                  <c:v>0.0738242666907465</c:v>
                </c:pt>
                <c:pt idx="16">
                  <c:v>0.138520005124045</c:v>
                </c:pt>
                <c:pt idx="17">
                  <c:v>0.104710801625698</c:v>
                </c:pt>
                <c:pt idx="18">
                  <c:v>0.0932572717754176</c:v>
                </c:pt>
                <c:pt idx="19">
                  <c:v>0.0933307757771693</c:v>
                </c:pt>
                <c:pt idx="20">
                  <c:v>0.0682690412317542</c:v>
                </c:pt>
                <c:pt idx="21">
                  <c:v>0.0660966854326757</c:v>
                </c:pt>
                <c:pt idx="22">
                  <c:v>0.0271701916018321</c:v>
                </c:pt>
                <c:pt idx="23">
                  <c:v>0.0700194197356904</c:v>
                </c:pt>
                <c:pt idx="24">
                  <c:v>0.0639294305610801</c:v>
                </c:pt>
                <c:pt idx="25">
                  <c:v>0.0590645227194349</c:v>
                </c:pt>
                <c:pt idx="26">
                  <c:v>0.0645255557968969</c:v>
                </c:pt>
                <c:pt idx="27">
                  <c:v>0.0548172975440346</c:v>
                </c:pt>
                <c:pt idx="28">
                  <c:v>0.0469410136094781</c:v>
                </c:pt>
                <c:pt idx="29">
                  <c:v>0.0481538926642043</c:v>
                </c:pt>
                <c:pt idx="30">
                  <c:v>0.0472060638110347</c:v>
                </c:pt>
                <c:pt idx="31">
                  <c:v>0.0704882261083591</c:v>
                </c:pt>
                <c:pt idx="32">
                  <c:v>0.0828909612625538</c:v>
                </c:pt>
                <c:pt idx="33">
                  <c:v>0.0721514193515255</c:v>
                </c:pt>
                <c:pt idx="34">
                  <c:v>0.066903461196224</c:v>
                </c:pt>
                <c:pt idx="35">
                  <c:v>0.0949814650691978</c:v>
                </c:pt>
                <c:pt idx="36">
                  <c:v>0.0739927654496468</c:v>
                </c:pt>
                <c:pt idx="37">
                  <c:v>0.0649651869217498</c:v>
                </c:pt>
                <c:pt idx="38">
                  <c:v>0.0740174528436191</c:v>
                </c:pt>
                <c:pt idx="39">
                  <c:v>0.0663539075672907</c:v>
                </c:pt>
                <c:pt idx="40">
                  <c:v>0.0793788322279961</c:v>
                </c:pt>
                <c:pt idx="41">
                  <c:v>0.074499750755472</c:v>
                </c:pt>
                <c:pt idx="42">
                  <c:v>0.0821065253741845</c:v>
                </c:pt>
                <c:pt idx="43">
                  <c:v>0.0771678942348538</c:v>
                </c:pt>
                <c:pt idx="44">
                  <c:v>0.0708689988592612</c:v>
                </c:pt>
                <c:pt idx="45">
                  <c:v>0.049647194669992</c:v>
                </c:pt>
                <c:pt idx="46">
                  <c:v>0.0577875999001107</c:v>
                </c:pt>
                <c:pt idx="47">
                  <c:v>0.052276301553646</c:v>
                </c:pt>
                <c:pt idx="48">
                  <c:v>0.0765686731608653</c:v>
                </c:pt>
                <c:pt idx="49">
                  <c:v>0.0748941918849349</c:v>
                </c:pt>
              </c:numCache>
            </c:numRef>
          </c:val>
          <c:smooth val="0"/>
        </c:ser>
        <c:dLbls>
          <c:showLegendKey val="0"/>
          <c:showVal val="0"/>
          <c:showCatName val="0"/>
          <c:showSerName val="0"/>
          <c:showPercent val="0"/>
          <c:showBubbleSize val="0"/>
        </c:dLbls>
        <c:marker val="1"/>
        <c:smooth val="0"/>
        <c:axId val="-2134815336"/>
        <c:axId val="-2134820904"/>
      </c:lineChart>
      <c:catAx>
        <c:axId val="-2134815336"/>
        <c:scaling>
          <c:orientation val="minMax"/>
        </c:scaling>
        <c:delete val="0"/>
        <c:axPos val="b"/>
        <c:numFmt formatCode="General" sourceLinked="1"/>
        <c:majorTickMark val="out"/>
        <c:minorTickMark val="none"/>
        <c:tickLblPos val="nextTo"/>
        <c:crossAx val="-2134820904"/>
        <c:crosses val="autoZero"/>
        <c:auto val="1"/>
        <c:lblAlgn val="ctr"/>
        <c:lblOffset val="100"/>
        <c:noMultiLvlLbl val="0"/>
      </c:catAx>
      <c:valAx>
        <c:axId val="-2134820904"/>
        <c:scaling>
          <c:orientation val="minMax"/>
        </c:scaling>
        <c:delete val="0"/>
        <c:axPos val="l"/>
        <c:majorGridlines/>
        <c:numFmt formatCode="0%" sourceLinked="1"/>
        <c:majorTickMark val="out"/>
        <c:minorTickMark val="none"/>
        <c:tickLblPos val="nextTo"/>
        <c:crossAx val="-2134815336"/>
        <c:crosses val="autoZero"/>
        <c:crossBetween val="between"/>
      </c:valAx>
    </c:plotArea>
    <c:plotVisOnly val="1"/>
    <c:dispBlanksAs val="gap"/>
    <c:showDLblsOverMax val="0"/>
  </c:chart>
  <c:printSettings>
    <c:headerFooter/>
    <c:pageMargins b="1.0" l="0.75" r="0.75" t="1.0"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775079558473205"/>
          <c:y val="0.0328282828282828"/>
          <c:w val="0.877842374206688"/>
          <c:h val="0.889562355841883"/>
        </c:manualLayout>
      </c:layout>
      <c:areaChart>
        <c:grouping val="stacked"/>
        <c:varyColors val="0"/>
        <c:ser>
          <c:idx val="0"/>
          <c:order val="0"/>
          <c:tx>
            <c:strRef>
              <c:f>'Assets(MOFA)'!$BZ$3</c:f>
              <c:strCache>
                <c:ptCount val="1"/>
                <c:pt idx="0">
                  <c:v>Ireland non oil, % total after-tax profits</c:v>
                </c:pt>
              </c:strCache>
            </c:strRef>
          </c:tx>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'Assets(MOFA)'!$BB$11:$BB$60</c:f>
              <c:numCache>
                <c:formatCode>0%</c:formatCode>
                <c:ptCount val="50"/>
                <c:pt idx="0">
                  <c:v>0.00170397882964485</c:v>
                </c:pt>
                <c:pt idx="1">
                  <c:v>0.00251010511974973</c:v>
                </c:pt>
                <c:pt idx="2">
                  <c:v>0.00177533662564469</c:v>
                </c:pt>
                <c:pt idx="3">
                  <c:v>0.00179306461958966</c:v>
                </c:pt>
                <c:pt idx="4">
                  <c:v>0.00484886223118369</c:v>
                </c:pt>
                <c:pt idx="5">
                  <c:v>0.0044942591292499</c:v>
                </c:pt>
                <c:pt idx="6">
                  <c:v>0.00351614523975558</c:v>
                </c:pt>
                <c:pt idx="7">
                  <c:v>0.00484587929353463</c:v>
                </c:pt>
                <c:pt idx="8">
                  <c:v>0.00722580650995501</c:v>
                </c:pt>
                <c:pt idx="9">
                  <c:v>0.00666235772099498</c:v>
                </c:pt>
                <c:pt idx="10">
                  <c:v>0.00811603555681489</c:v>
                </c:pt>
                <c:pt idx="11">
                  <c:v>0.00980479148181011</c:v>
                </c:pt>
                <c:pt idx="12">
                  <c:v>0.0126825996572203</c:v>
                </c:pt>
                <c:pt idx="13">
                  <c:v>0.0164543965624442</c:v>
                </c:pt>
                <c:pt idx="14">
                  <c:v>0.0201952615095412</c:v>
                </c:pt>
                <c:pt idx="15">
                  <c:v>0.0251742263486736</c:v>
                </c:pt>
                <c:pt idx="16">
                  <c:v>0.0264194226725291</c:v>
                </c:pt>
                <c:pt idx="17">
                  <c:v>0.030937480968047</c:v>
                </c:pt>
                <c:pt idx="18">
                  <c:v>0.0322066909479546</c:v>
                </c:pt>
                <c:pt idx="19">
                  <c:v>0.032150349050851</c:v>
                </c:pt>
                <c:pt idx="20">
                  <c:v>0.0203436464318717</c:v>
                </c:pt>
                <c:pt idx="21">
                  <c:v>0.0352750961976486</c:v>
                </c:pt>
                <c:pt idx="22">
                  <c:v>0.0269777866330013</c:v>
                </c:pt>
                <c:pt idx="23">
                  <c:v>0.0371201729226421</c:v>
                </c:pt>
                <c:pt idx="24">
                  <c:v>0.0467510122958722</c:v>
                </c:pt>
                <c:pt idx="25">
                  <c:v>0.0516520427748835</c:v>
                </c:pt>
                <c:pt idx="26">
                  <c:v>0.0625259396935958</c:v>
                </c:pt>
                <c:pt idx="27">
                  <c:v>0.0577995517798509</c:v>
                </c:pt>
                <c:pt idx="28">
                  <c:v>0.0547762758933379</c:v>
                </c:pt>
                <c:pt idx="29">
                  <c:v>0.0535551667331757</c:v>
                </c:pt>
                <c:pt idx="30">
                  <c:v>0.0536224209988842</c:v>
                </c:pt>
                <c:pt idx="31">
                  <c:v>0.0679891190625654</c:v>
                </c:pt>
                <c:pt idx="32">
                  <c:v>0.097002807905195</c:v>
                </c:pt>
                <c:pt idx="33">
                  <c:v>0.0914748936998929</c:v>
                </c:pt>
                <c:pt idx="34">
                  <c:v>0.0951335696048169</c:v>
                </c:pt>
                <c:pt idx="35">
                  <c:v>0.119453187391366</c:v>
                </c:pt>
                <c:pt idx="36">
                  <c:v>0.148580529694761</c:v>
                </c:pt>
                <c:pt idx="37">
                  <c:v>0.143027910426717</c:v>
                </c:pt>
                <c:pt idx="38">
                  <c:v>0.151817687437794</c:v>
                </c:pt>
                <c:pt idx="39">
                  <c:v>0.128587212657219</c:v>
                </c:pt>
                <c:pt idx="40">
                  <c:v>0.142236048643831</c:v>
                </c:pt>
                <c:pt idx="41">
                  <c:v>0.154055608533729</c:v>
                </c:pt>
                <c:pt idx="42">
                  <c:v>0.131160498074865</c:v>
                </c:pt>
                <c:pt idx="43">
                  <c:v>0.141026132148352</c:v>
                </c:pt>
                <c:pt idx="44">
                  <c:v>0.146882627658784</c:v>
                </c:pt>
                <c:pt idx="45">
                  <c:v>0.150949740259428</c:v>
                </c:pt>
                <c:pt idx="46">
                  <c:v>0.168994847866239</c:v>
                </c:pt>
                <c:pt idx="47">
                  <c:v>0.158144383232551</c:v>
                </c:pt>
                <c:pt idx="48">
                  <c:v>0.134072227242539</c:v>
                </c:pt>
                <c:pt idx="49">
                  <c:v>0.164418630626606</c:v>
                </c:pt>
              </c:numCache>
            </c:numRef>
          </c:val>
        </c:ser>
        <c:ser>
          <c:idx val="2"/>
          <c:order val="1"/>
          <c:tx>
            <c:strRef>
              <c:f>'Assets(MOFA)'!$CI$3</c:f>
              <c:strCache>
                <c:ptCount val="1"/>
                <c:pt idx="0">
                  <c:v>Switzerland non oil, % total after-tax profits</c:v>
                </c:pt>
              </c:strCache>
            </c:strRef>
          </c:tx>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'Assets(MOFA)'!$BE$11:$BE$60</c:f>
              <c:numCache>
                <c:formatCode>0%</c:formatCode>
                <c:ptCount val="50"/>
                <c:pt idx="0">
                  <c:v>0.0192197583056578</c:v>
                </c:pt>
                <c:pt idx="1">
                  <c:v>0.0218809412588733</c:v>
                </c:pt>
                <c:pt idx="2">
                  <c:v>0.0245365298739278</c:v>
                </c:pt>
                <c:pt idx="3">
                  <c:v>0.0254308348333573</c:v>
                </c:pt>
                <c:pt idx="4">
                  <c:v>0.0266813749678751</c:v>
                </c:pt>
                <c:pt idx="5">
                  <c:v>0.0290336178885565</c:v>
                </c:pt>
                <c:pt idx="6">
                  <c:v>0.0297281556431005</c:v>
                </c:pt>
                <c:pt idx="7">
                  <c:v>0.022814702168546</c:v>
                </c:pt>
                <c:pt idx="8">
                  <c:v>0.0279539648194424</c:v>
                </c:pt>
                <c:pt idx="9">
                  <c:v>0.0355997896583067</c:v>
                </c:pt>
                <c:pt idx="10">
                  <c:v>0.0292357881161168</c:v>
                </c:pt>
                <c:pt idx="11">
                  <c:v>0.033710005741427</c:v>
                </c:pt>
                <c:pt idx="12">
                  <c:v>0.0352013711592579</c:v>
                </c:pt>
                <c:pt idx="13">
                  <c:v>0.031154544703949</c:v>
                </c:pt>
                <c:pt idx="14">
                  <c:v>0.033091042983412</c:v>
                </c:pt>
                <c:pt idx="15">
                  <c:v>0.0369120925990632</c:v>
                </c:pt>
                <c:pt idx="16">
                  <c:v>0.0405658573886446</c:v>
                </c:pt>
                <c:pt idx="17">
                  <c:v>0.0335558043038561</c:v>
                </c:pt>
                <c:pt idx="18">
                  <c:v>0.0360661580879233</c:v>
                </c:pt>
                <c:pt idx="19">
                  <c:v>0.0442936895310286</c:v>
                </c:pt>
                <c:pt idx="20">
                  <c:v>0.0347442060774772</c:v>
                </c:pt>
                <c:pt idx="21">
                  <c:v>0.0343390396780754</c:v>
                </c:pt>
                <c:pt idx="22">
                  <c:v>0.0269578135055452</c:v>
                </c:pt>
                <c:pt idx="23">
                  <c:v>0.0274647193394172</c:v>
                </c:pt>
                <c:pt idx="24">
                  <c:v>0.0351415697034162</c:v>
                </c:pt>
                <c:pt idx="25">
                  <c:v>0.0437533869470411</c:v>
                </c:pt>
                <c:pt idx="26">
                  <c:v>0.0249472216686085</c:v>
                </c:pt>
                <c:pt idx="27">
                  <c:v>0.0325286899330734</c:v>
                </c:pt>
                <c:pt idx="28">
                  <c:v>0.0316812604494318</c:v>
                </c:pt>
                <c:pt idx="29">
                  <c:v>0.0362423386642928</c:v>
                </c:pt>
                <c:pt idx="30">
                  <c:v>0.0245466064032981</c:v>
                </c:pt>
                <c:pt idx="31">
                  <c:v>0.0260472902280812</c:v>
                </c:pt>
                <c:pt idx="32">
                  <c:v>0.0292273326694835</c:v>
                </c:pt>
                <c:pt idx="33">
                  <c:v>0.0272866640084237</c:v>
                </c:pt>
                <c:pt idx="34">
                  <c:v>0.026873741067534</c:v>
                </c:pt>
                <c:pt idx="35">
                  <c:v>0.030716806088431</c:v>
                </c:pt>
                <c:pt idx="36">
                  <c:v>0.0338288850534215</c:v>
                </c:pt>
                <c:pt idx="37">
                  <c:v>0.0308895322920837</c:v>
                </c:pt>
                <c:pt idx="38">
                  <c:v>0.044156599675039</c:v>
                </c:pt>
                <c:pt idx="39">
                  <c:v>0.044979845779613</c:v>
                </c:pt>
                <c:pt idx="40">
                  <c:v>0.0513362542231445</c:v>
                </c:pt>
                <c:pt idx="41">
                  <c:v>0.049276038586429</c:v>
                </c:pt>
                <c:pt idx="42">
                  <c:v>0.0617678958438381</c:v>
                </c:pt>
                <c:pt idx="43">
                  <c:v>0.0711424044222844</c:v>
                </c:pt>
                <c:pt idx="44">
                  <c:v>0.0606403628407288</c:v>
                </c:pt>
                <c:pt idx="45">
                  <c:v>0.0633265833963377</c:v>
                </c:pt>
                <c:pt idx="46">
                  <c:v>0.0566605951555798</c:v>
                </c:pt>
                <c:pt idx="47">
                  <c:v>0.0879284435591116</c:v>
                </c:pt>
                <c:pt idx="48">
                  <c:v>0.0821428579685496</c:v>
                </c:pt>
                <c:pt idx="49">
                  <c:v>0.0877110766665258</c:v>
                </c:pt>
              </c:numCache>
            </c:numRef>
          </c:val>
        </c:ser>
        <c:ser>
          <c:idx val="3"/>
          <c:order val="2"/>
          <c:tx>
            <c:strRef>
              <c:f>'Assets(MOFA)'!$BF$3</c:f>
              <c:strCache>
                <c:ptCount val="1"/>
                <c:pt idx="0">
                  <c:v>Bermuda and Car</c:v>
                </c:pt>
              </c:strCache>
            </c:strRef>
          </c:tx>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'Assets(MOFA)'!$BF$11:$BF$60</c:f>
              <c:numCache>
                <c:formatCode>0%</c:formatCode>
                <c:ptCount val="50"/>
                <c:pt idx="0">
                  <c:v>0.0162019665821094</c:v>
                </c:pt>
                <c:pt idx="1">
                  <c:v>0.0173166829856938</c:v>
                </c:pt>
                <c:pt idx="2">
                  <c:v>0.0183365656273169</c:v>
                </c:pt>
                <c:pt idx="3">
                  <c:v>0.0180362664288319</c:v>
                </c:pt>
                <c:pt idx="4">
                  <c:v>0.0180370956676167</c:v>
                </c:pt>
                <c:pt idx="5">
                  <c:v>0.0210392389756818</c:v>
                </c:pt>
                <c:pt idx="6">
                  <c:v>0.0216390374459055</c:v>
                </c:pt>
                <c:pt idx="7">
                  <c:v>0.0186985232743878</c:v>
                </c:pt>
                <c:pt idx="8">
                  <c:v>0.0223002956092882</c:v>
                </c:pt>
                <c:pt idx="9">
                  <c:v>0.0267432503272475</c:v>
                </c:pt>
                <c:pt idx="10">
                  <c:v>0.0415956915273582</c:v>
                </c:pt>
                <c:pt idx="11">
                  <c:v>0.0443172452800078</c:v>
                </c:pt>
                <c:pt idx="12">
                  <c:v>0.0491159800286974</c:v>
                </c:pt>
                <c:pt idx="13">
                  <c:v>0.0669773633456847</c:v>
                </c:pt>
                <c:pt idx="14">
                  <c:v>0.0714234767166645</c:v>
                </c:pt>
                <c:pt idx="15">
                  <c:v>0.0794721862649731</c:v>
                </c:pt>
                <c:pt idx="16">
                  <c:v>0.13316765436819</c:v>
                </c:pt>
                <c:pt idx="17">
                  <c:v>0.106766276321902</c:v>
                </c:pt>
                <c:pt idx="18">
                  <c:v>0.093208764972158</c:v>
                </c:pt>
                <c:pt idx="19">
                  <c:v>0.0898577318540591</c:v>
                </c:pt>
                <c:pt idx="20">
                  <c:v>0.0568467042529819</c:v>
                </c:pt>
                <c:pt idx="21">
                  <c:v>0.0544666608192297</c:v>
                </c:pt>
                <c:pt idx="22">
                  <c:v>0.0225923100770086</c:v>
                </c:pt>
                <c:pt idx="23">
                  <c:v>0.0535842057119316</c:v>
                </c:pt>
                <c:pt idx="24">
                  <c:v>0.0536432883957674</c:v>
                </c:pt>
                <c:pt idx="25">
                  <c:v>0.0517453989644589</c:v>
                </c:pt>
                <c:pt idx="26">
                  <c:v>0.0530073761123724</c:v>
                </c:pt>
                <c:pt idx="27">
                  <c:v>0.0503914547488914</c:v>
                </c:pt>
                <c:pt idx="28">
                  <c:v>0.0390348267165406</c:v>
                </c:pt>
                <c:pt idx="29">
                  <c:v>0.0408519302984723</c:v>
                </c:pt>
                <c:pt idx="30">
                  <c:v>0.0420299173584977</c:v>
                </c:pt>
                <c:pt idx="31">
                  <c:v>0.0635028248587571</c:v>
                </c:pt>
                <c:pt idx="32">
                  <c:v>0.0689237559544635</c:v>
                </c:pt>
                <c:pt idx="33">
                  <c:v>0.0602499027934623</c:v>
                </c:pt>
                <c:pt idx="34">
                  <c:v>0.062394961950254</c:v>
                </c:pt>
                <c:pt idx="35">
                  <c:v>0.08283530250849</c:v>
                </c:pt>
                <c:pt idx="36">
                  <c:v>0.0688616620987732</c:v>
                </c:pt>
                <c:pt idx="37">
                  <c:v>0.0650835804994604</c:v>
                </c:pt>
                <c:pt idx="38">
                  <c:v>0.0718331340997959</c:v>
                </c:pt>
                <c:pt idx="39">
                  <c:v>0.0653837474725956</c:v>
                </c:pt>
                <c:pt idx="40">
                  <c:v>0.0798454037719376</c:v>
                </c:pt>
                <c:pt idx="41">
                  <c:v>0.0751416212882651</c:v>
                </c:pt>
                <c:pt idx="42">
                  <c:v>0.0919429986763439</c:v>
                </c:pt>
                <c:pt idx="43">
                  <c:v>0.0730500352151123</c:v>
                </c:pt>
                <c:pt idx="44">
                  <c:v>0.0694021081965721</c:v>
                </c:pt>
                <c:pt idx="45">
                  <c:v>0.0485078691342148</c:v>
                </c:pt>
                <c:pt idx="46">
                  <c:v>0.0557381737904734</c:v>
                </c:pt>
                <c:pt idx="47">
                  <c:v>0.052271122222312</c:v>
                </c:pt>
                <c:pt idx="48">
                  <c:v>0.0727327288967832</c:v>
                </c:pt>
                <c:pt idx="49">
                  <c:v>0.0671775639709134</c:v>
                </c:pt>
              </c:numCache>
            </c:numRef>
          </c:val>
        </c:ser>
        <c:ser>
          <c:idx val="4"/>
          <c:order val="3"/>
          <c:tx>
            <c:strRef>
              <c:f>'Assets(MOFA)'!$BG$3</c:f>
              <c:strCache>
                <c:ptCount val="1"/>
                <c:pt idx="0">
                  <c:v>Singapore</c:v>
                </c:pt>
              </c:strCache>
            </c:strRef>
          </c:tx>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'Assets(MOFA)'!$BG$11:$BG$60</c:f>
              <c:numCache>
                <c:formatCode>0%</c:formatCode>
                <c:ptCount val="50"/>
                <c:pt idx="0">
                  <c:v>0.000469528109884375</c:v>
                </c:pt>
                <c:pt idx="1">
                  <c:v>0.00079209102954928</c:v>
                </c:pt>
                <c:pt idx="2">
                  <c:v>0.00114068373487971</c:v>
                </c:pt>
                <c:pt idx="3">
                  <c:v>0.00141379867840368</c:v>
                </c:pt>
                <c:pt idx="4">
                  <c:v>0.00170058962337331</c:v>
                </c:pt>
                <c:pt idx="5">
                  <c:v>0.00128305603560474</c:v>
                </c:pt>
                <c:pt idx="6">
                  <c:v>0.00424103292497965</c:v>
                </c:pt>
                <c:pt idx="7">
                  <c:v>0.00429296556958566</c:v>
                </c:pt>
                <c:pt idx="8">
                  <c:v>0.0042543353054865</c:v>
                </c:pt>
                <c:pt idx="9">
                  <c:v>0.00447874097704243</c:v>
                </c:pt>
                <c:pt idx="10">
                  <c:v>0.00576612737400207</c:v>
                </c:pt>
                <c:pt idx="11">
                  <c:v>0.00652173913043478</c:v>
                </c:pt>
                <c:pt idx="12">
                  <c:v>0.00795055078069357</c:v>
                </c:pt>
                <c:pt idx="13">
                  <c:v>0.00876490418166279</c:v>
                </c:pt>
                <c:pt idx="14">
                  <c:v>0.0115402199635335</c:v>
                </c:pt>
                <c:pt idx="15">
                  <c:v>0.0155205924732915</c:v>
                </c:pt>
                <c:pt idx="16">
                  <c:v>0.0185815331676544</c:v>
                </c:pt>
                <c:pt idx="17">
                  <c:v>0.0194601313353905</c:v>
                </c:pt>
                <c:pt idx="18">
                  <c:v>0.0171558685403137</c:v>
                </c:pt>
                <c:pt idx="19">
                  <c:v>0.0101362023706554</c:v>
                </c:pt>
                <c:pt idx="20">
                  <c:v>0.0153247727067354</c:v>
                </c:pt>
                <c:pt idx="21">
                  <c:v>0.0149882357609549</c:v>
                </c:pt>
                <c:pt idx="22">
                  <c:v>0.013577929998561</c:v>
                </c:pt>
                <c:pt idx="23">
                  <c:v>0.0127613584403708</c:v>
                </c:pt>
                <c:pt idx="24">
                  <c:v>0.0264120408477684</c:v>
                </c:pt>
                <c:pt idx="25">
                  <c:v>0.0251522120483375</c:v>
                </c:pt>
                <c:pt idx="26">
                  <c:v>0.0246113624851043</c:v>
                </c:pt>
                <c:pt idx="27">
                  <c:v>0.0413965009219741</c:v>
                </c:pt>
                <c:pt idx="28">
                  <c:v>0.0377879792569923</c:v>
                </c:pt>
                <c:pt idx="29">
                  <c:v>0.0393920891504077</c:v>
                </c:pt>
                <c:pt idx="30">
                  <c:v>0.0542176047039718</c:v>
                </c:pt>
                <c:pt idx="31">
                  <c:v>0.0412774957223781</c:v>
                </c:pt>
                <c:pt idx="32">
                  <c:v>0.0270984668850794</c:v>
                </c:pt>
                <c:pt idx="33">
                  <c:v>0.0388847051813438</c:v>
                </c:pt>
                <c:pt idx="34">
                  <c:v>0.0622630169682847</c:v>
                </c:pt>
                <c:pt idx="35">
                  <c:v>0.0465084176699848</c:v>
                </c:pt>
                <c:pt idx="36">
                  <c:v>0.0402682693442227</c:v>
                </c:pt>
                <c:pt idx="37">
                  <c:v>0.0391524762205435</c:v>
                </c:pt>
                <c:pt idx="38">
                  <c:v>0.0422563639026519</c:v>
                </c:pt>
                <c:pt idx="39">
                  <c:v>0.0304697525910161</c:v>
                </c:pt>
                <c:pt idx="40">
                  <c:v>0.0412658306995188</c:v>
                </c:pt>
                <c:pt idx="41">
                  <c:v>0.0396271820134882</c:v>
                </c:pt>
                <c:pt idx="42">
                  <c:v>0.0415042901213625</c:v>
                </c:pt>
                <c:pt idx="43">
                  <c:v>0.0416253581097561</c:v>
                </c:pt>
                <c:pt idx="44">
                  <c:v>0.0431261276036305</c:v>
                </c:pt>
                <c:pt idx="45">
                  <c:v>0.0551739605151677</c:v>
                </c:pt>
                <c:pt idx="46">
                  <c:v>0.0558822831851079</c:v>
                </c:pt>
                <c:pt idx="47">
                  <c:v>0.0657603489690164</c:v>
                </c:pt>
                <c:pt idx="48">
                  <c:v>0.0617151418177977</c:v>
                </c:pt>
                <c:pt idx="49">
                  <c:v>0.0632937660735541</c:v>
                </c:pt>
              </c:numCache>
            </c:numRef>
          </c:val>
        </c:ser>
        <c:ser>
          <c:idx val="1"/>
          <c:order val="4"/>
          <c:tx>
            <c:strRef>
              <c:f>'Assets(MOFA)'!$BH$3</c:f>
              <c:strCache>
                <c:ptCount val="1"/>
                <c:pt idx="0">
                  <c:v>Netherlands + Luxembourg</c:v>
                </c:pt>
              </c:strCache>
            </c:strRef>
          </c:tx>
          <c:spPr>
            <a:ln w="25400">
              <a:noFill/>
            </a:ln>
          </c:spPr>
          <c:val>
            <c:numRef>
              <c:f>'Assets(MOFA)'!$BH$11:$BH$60</c:f>
              <c:numCache>
                <c:formatCode>0%</c:formatCode>
                <c:ptCount val="50"/>
                <c:pt idx="0">
                  <c:v>0.00750699871152996</c:v>
                </c:pt>
                <c:pt idx="1">
                  <c:v>0.00940660284958912</c:v>
                </c:pt>
                <c:pt idx="2">
                  <c:v>0.00665412621519748</c:v>
                </c:pt>
                <c:pt idx="3">
                  <c:v>0.00648537761448336</c:v>
                </c:pt>
                <c:pt idx="4">
                  <c:v>0.0155557645164833</c:v>
                </c:pt>
                <c:pt idx="5">
                  <c:v>0.0145182030473801</c:v>
                </c:pt>
                <c:pt idx="6">
                  <c:v>0.0112002853600179</c:v>
                </c:pt>
                <c:pt idx="7">
                  <c:v>0.0194720195004768</c:v>
                </c:pt>
                <c:pt idx="8">
                  <c:v>0.0240779437020838</c:v>
                </c:pt>
                <c:pt idx="9">
                  <c:v>0.0224072787092493</c:v>
                </c:pt>
                <c:pt idx="10">
                  <c:v>0.0243369669855362</c:v>
                </c:pt>
                <c:pt idx="11">
                  <c:v>0.0389086069210293</c:v>
                </c:pt>
                <c:pt idx="12">
                  <c:v>0.0358307470002979</c:v>
                </c:pt>
                <c:pt idx="13">
                  <c:v>0.0330194875071028</c:v>
                </c:pt>
                <c:pt idx="14">
                  <c:v>0.032567355582151</c:v>
                </c:pt>
                <c:pt idx="15">
                  <c:v>0.0338426650967847</c:v>
                </c:pt>
                <c:pt idx="16">
                  <c:v>0.0308927547314089</c:v>
                </c:pt>
                <c:pt idx="17">
                  <c:v>0.0457252757669492</c:v>
                </c:pt>
                <c:pt idx="18">
                  <c:v>0.0409513801852641</c:v>
                </c:pt>
                <c:pt idx="19">
                  <c:v>0.0483277522448623</c:v>
                </c:pt>
                <c:pt idx="20">
                  <c:v>0.0546836105005893</c:v>
                </c:pt>
                <c:pt idx="21">
                  <c:v>0.0620312609577801</c:v>
                </c:pt>
                <c:pt idx="22">
                  <c:v>0.0613529995261467</c:v>
                </c:pt>
                <c:pt idx="23">
                  <c:v>0.055879405257086</c:v>
                </c:pt>
                <c:pt idx="24">
                  <c:v>0.0673810960916653</c:v>
                </c:pt>
                <c:pt idx="25">
                  <c:v>0.0705429052553175</c:v>
                </c:pt>
                <c:pt idx="26">
                  <c:v>0.0657269175561529</c:v>
                </c:pt>
                <c:pt idx="27">
                  <c:v>0.0521590296683939</c:v>
                </c:pt>
                <c:pt idx="28">
                  <c:v>0.0543795517016634</c:v>
                </c:pt>
                <c:pt idx="29">
                  <c:v>0.0670675026439213</c:v>
                </c:pt>
                <c:pt idx="30">
                  <c:v>0.0568903967620601</c:v>
                </c:pt>
                <c:pt idx="31">
                  <c:v>0.0624408861527219</c:v>
                </c:pt>
                <c:pt idx="32">
                  <c:v>0.0632909207993315</c:v>
                </c:pt>
                <c:pt idx="33">
                  <c:v>0.049312892488136</c:v>
                </c:pt>
                <c:pt idx="34">
                  <c:v>0.0547800636505047</c:v>
                </c:pt>
                <c:pt idx="35">
                  <c:v>0.06137018640409</c:v>
                </c:pt>
                <c:pt idx="36">
                  <c:v>0.0385222611142648</c:v>
                </c:pt>
                <c:pt idx="37">
                  <c:v>0.0355649625783135</c:v>
                </c:pt>
                <c:pt idx="38">
                  <c:v>0.0406290777858111</c:v>
                </c:pt>
                <c:pt idx="39">
                  <c:v>0.0375651704036566</c:v>
                </c:pt>
                <c:pt idx="40">
                  <c:v>0.0210336166011721</c:v>
                </c:pt>
                <c:pt idx="41">
                  <c:v>0.0223143805634979</c:v>
                </c:pt>
                <c:pt idx="42">
                  <c:v>0.00998215534944281</c:v>
                </c:pt>
                <c:pt idx="43">
                  <c:v>0.0452285594251849</c:v>
                </c:pt>
                <c:pt idx="44">
                  <c:v>0.0142363653359002</c:v>
                </c:pt>
                <c:pt idx="45">
                  <c:v>0.0375887276412743</c:v>
                </c:pt>
                <c:pt idx="46">
                  <c:v>0.0461158602783481</c:v>
                </c:pt>
                <c:pt idx="47">
                  <c:v>0.0134879968264518</c:v>
                </c:pt>
                <c:pt idx="48">
                  <c:v>0.0465457725803324</c:v>
                </c:pt>
                <c:pt idx="49">
                  <c:v>0.0716567384976161</c:v>
                </c:pt>
              </c:numCache>
            </c:numRef>
          </c:val>
        </c:ser>
        <c:dLbls>
          <c:showLegendKey val="0"/>
          <c:showVal val="0"/>
          <c:showCatName val="0"/>
          <c:showSerName val="0"/>
          <c:showPercent val="0"/>
          <c:showBubbleSize val="0"/>
        </c:dLbls>
        <c:axId val="-2134891032"/>
        <c:axId val="-2078303736"/>
      </c:areaChart>
      <c:catAx>
        <c:axId val="-2134891032"/>
        <c:scaling>
          <c:orientation val="minMax"/>
        </c:scaling>
        <c:delete val="0"/>
        <c:axPos val="b"/>
        <c:numFmt formatCode="General" sourceLinked="1"/>
        <c:majorTickMark val="out"/>
        <c:minorTickMark val="none"/>
        <c:tickLblPos val="nextTo"/>
        <c:crossAx val="-2078303736"/>
        <c:crosses val="autoZero"/>
        <c:auto val="1"/>
        <c:lblAlgn val="ctr"/>
        <c:lblOffset val="100"/>
        <c:noMultiLvlLbl val="0"/>
      </c:catAx>
      <c:valAx>
        <c:axId val="-2078303736"/>
        <c:scaling>
          <c:orientation val="minMax"/>
          <c:max val="0.45"/>
        </c:scaling>
        <c:delete val="0"/>
        <c:axPos val="l"/>
        <c:majorGridlines/>
        <c:numFmt formatCode="0%" sourceLinked="1"/>
        <c:majorTickMark val="out"/>
        <c:minorTickMark val="none"/>
        <c:tickLblPos val="nextTo"/>
        <c:crossAx val="-2134891032"/>
        <c:crosses val="autoZero"/>
        <c:crossBetween val="midCat"/>
      </c:valAx>
    </c:plotArea>
    <c:legend>
      <c:legendPos val="r"/>
      <c:layout>
        <c:manualLayout>
          <c:xMode val="edge"/>
          <c:yMode val="edge"/>
          <c:x val="0.0869900529177501"/>
          <c:y val="0.0393571542193589"/>
          <c:w val="0.342571148006037"/>
          <c:h val="0.406134176409767"/>
        </c:manualLayout>
      </c:layout>
      <c:overlay val="0"/>
    </c:legend>
    <c:plotVisOnly val="1"/>
    <c:dispBlanksAs val="zero"/>
    <c:showDLblsOverMax val="0"/>
  </c:chart>
  <c:printSettings>
    <c:headerFooter/>
    <c:pageMargins b="1.0" l="0.75" r="0.75" t="1.0"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7303587051619"/>
          <c:y val="0.0601851851851852"/>
          <c:w val="0.869198381452318"/>
          <c:h val="0.78080271216098"/>
        </c:manualLayout>
      </c:layout>
      <c:lineChart>
        <c:grouping val="standard"/>
        <c:varyColors val="0"/>
        <c:ser>
          <c:idx val="0"/>
          <c:order val="0"/>
          <c:tx>
            <c:strRef>
              <c:f>'Assets(MOFA)'!$EB$3</c:f>
              <c:strCache>
                <c:ptCount val="1"/>
                <c:pt idx="0">
                  <c:v>Havens excl. Oil</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'Assets(MOFA)'!$EB$11:$EB$60</c:f>
              <c:numCache>
                <c:formatCode>0%</c:formatCode>
                <c:ptCount val="50"/>
                <c:pt idx="0">
                  <c:v>0.495081072086241</c:v>
                </c:pt>
                <c:pt idx="1">
                  <c:v>0.530858760214832</c:v>
                </c:pt>
                <c:pt idx="2">
                  <c:v>0.525888290400909</c:v>
                </c:pt>
                <c:pt idx="3">
                  <c:v>0.553323269590012</c:v>
                </c:pt>
                <c:pt idx="4">
                  <c:v>0.701717159955083</c:v>
                </c:pt>
                <c:pt idx="5">
                  <c:v>0.828849210409123</c:v>
                </c:pt>
                <c:pt idx="6">
                  <c:v>0.828544520316032</c:v>
                </c:pt>
                <c:pt idx="7">
                  <c:v>0.877446104213799</c:v>
                </c:pt>
                <c:pt idx="8">
                  <c:v>0.879108960902101</c:v>
                </c:pt>
                <c:pt idx="9">
                  <c:v>0.848875880239944</c:v>
                </c:pt>
                <c:pt idx="10">
                  <c:v>0.902695645313692</c:v>
                </c:pt>
                <c:pt idx="11">
                  <c:v>0.86798182350929</c:v>
                </c:pt>
                <c:pt idx="12">
                  <c:v>1.074361508937145</c:v>
                </c:pt>
                <c:pt idx="13">
                  <c:v>1.381554877959193</c:v>
                </c:pt>
                <c:pt idx="14">
                  <c:v>1.490310384013395</c:v>
                </c:pt>
                <c:pt idx="15">
                  <c:v>1.27778984769542</c:v>
                </c:pt>
                <c:pt idx="16">
                  <c:v>1.334708680189494</c:v>
                </c:pt>
                <c:pt idx="17">
                  <c:v>1.421432767102015</c:v>
                </c:pt>
                <c:pt idx="18">
                  <c:v>1.551394354663544</c:v>
                </c:pt>
                <c:pt idx="19">
                  <c:v>1.678238991227445</c:v>
                </c:pt>
                <c:pt idx="20">
                  <c:v>1.372038065912929</c:v>
                </c:pt>
                <c:pt idx="21">
                  <c:v>1.681453993678892</c:v>
                </c:pt>
                <c:pt idx="22">
                  <c:v>1.425073880171702</c:v>
                </c:pt>
                <c:pt idx="23">
                  <c:v>1.584155194752868</c:v>
                </c:pt>
                <c:pt idx="24">
                  <c:v>1.549846169636861</c:v>
                </c:pt>
                <c:pt idx="25">
                  <c:v>1.29708616778208</c:v>
                </c:pt>
                <c:pt idx="26">
                  <c:v>1.116893961874085</c:v>
                </c:pt>
                <c:pt idx="27">
                  <c:v>1.104922858194326</c:v>
                </c:pt>
                <c:pt idx="28">
                  <c:v>1.092497290835724</c:v>
                </c:pt>
                <c:pt idx="29">
                  <c:v>1.460399477867374</c:v>
                </c:pt>
                <c:pt idx="30">
                  <c:v>1.45015016029363</c:v>
                </c:pt>
                <c:pt idx="31">
                  <c:v>1.83661436640687</c:v>
                </c:pt>
                <c:pt idx="32">
                  <c:v>1.854730943315459</c:v>
                </c:pt>
                <c:pt idx="33">
                  <c:v>1.694293169745939</c:v>
                </c:pt>
                <c:pt idx="34">
                  <c:v>2.001730597961344</c:v>
                </c:pt>
                <c:pt idx="35">
                  <c:v>1.817009836656776</c:v>
                </c:pt>
                <c:pt idx="36">
                  <c:v>1.926045446185717</c:v>
                </c:pt>
                <c:pt idx="37">
                  <c:v>2.264764860414849</c:v>
                </c:pt>
                <c:pt idx="38">
                  <c:v>2.603370127204285</c:v>
                </c:pt>
                <c:pt idx="39">
                  <c:v>2.551174231426764</c:v>
                </c:pt>
                <c:pt idx="40">
                  <c:v>2.775752976511287</c:v>
                </c:pt>
                <c:pt idx="41">
                  <c:v>2.952541488270101</c:v>
                </c:pt>
                <c:pt idx="42">
                  <c:v>2.475317708601427</c:v>
                </c:pt>
                <c:pt idx="43">
                  <c:v>2.731557318175955</c:v>
                </c:pt>
                <c:pt idx="44">
                  <c:v>2.684956521417541</c:v>
                </c:pt>
                <c:pt idx="45">
                  <c:v>3.112007671393882</c:v>
                </c:pt>
                <c:pt idx="46">
                  <c:v>3.16923485220422</c:v>
                </c:pt>
                <c:pt idx="47">
                  <c:v>2.816314373942114</c:v>
                </c:pt>
                <c:pt idx="48">
                  <c:v>3.015125544246132</c:v>
                </c:pt>
                <c:pt idx="49">
                  <c:v>3.47152420942343</c:v>
                </c:pt>
              </c:numCache>
            </c:numRef>
          </c:val>
          <c:smooth val="0"/>
        </c:ser>
        <c:ser>
          <c:idx val="1"/>
          <c:order val="1"/>
          <c:tx>
            <c:strRef>
              <c:f>'Assets(MOFA)'!$EE$3</c:f>
              <c:strCache>
                <c:ptCount val="1"/>
                <c:pt idx="0">
                  <c:v>Non havens, excl. Oil</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'Assets(MOFA)'!$EE$11:$EE$60</c:f>
              <c:numCache>
                <c:formatCode>0%</c:formatCode>
                <c:ptCount val="50"/>
                <c:pt idx="0">
                  <c:v>0.468846646552435</c:v>
                </c:pt>
                <c:pt idx="1">
                  <c:v>0.429038544517616</c:v>
                </c:pt>
                <c:pt idx="2">
                  <c:v>0.419010963259543</c:v>
                </c:pt>
                <c:pt idx="3">
                  <c:v>0.430244718961769</c:v>
                </c:pt>
                <c:pt idx="4">
                  <c:v>0.417452893777705</c:v>
                </c:pt>
                <c:pt idx="5">
                  <c:v>0.467499983232497</c:v>
                </c:pt>
                <c:pt idx="6">
                  <c:v>0.46918326154032</c:v>
                </c:pt>
                <c:pt idx="7">
                  <c:v>0.491808360536349</c:v>
                </c:pt>
                <c:pt idx="8">
                  <c:v>0.4228459478404</c:v>
                </c:pt>
                <c:pt idx="9">
                  <c:v>0.415538450150195</c:v>
                </c:pt>
                <c:pt idx="10">
                  <c:v>0.4398010002078</c:v>
                </c:pt>
                <c:pt idx="11">
                  <c:v>0.365338707783822</c:v>
                </c:pt>
                <c:pt idx="12">
                  <c:v>0.410207984870766</c:v>
                </c:pt>
                <c:pt idx="13">
                  <c:v>0.42937937813109</c:v>
                </c:pt>
                <c:pt idx="14">
                  <c:v>0.407332172636881</c:v>
                </c:pt>
                <c:pt idx="15">
                  <c:v>0.321256958883959</c:v>
                </c:pt>
                <c:pt idx="16">
                  <c:v>0.246140686733738</c:v>
                </c:pt>
                <c:pt idx="17">
                  <c:v>0.315304827997911</c:v>
                </c:pt>
                <c:pt idx="18">
                  <c:v>0.380316790508516</c:v>
                </c:pt>
                <c:pt idx="19">
                  <c:v>0.373549745412193</c:v>
                </c:pt>
                <c:pt idx="20">
                  <c:v>0.423041747710381</c:v>
                </c:pt>
                <c:pt idx="21">
                  <c:v>0.483184717630164</c:v>
                </c:pt>
                <c:pt idx="22">
                  <c:v>0.56009337207281</c:v>
                </c:pt>
                <c:pt idx="23">
                  <c:v>0.506276223929363</c:v>
                </c:pt>
                <c:pt idx="24">
                  <c:v>0.38347037676266</c:v>
                </c:pt>
                <c:pt idx="25">
                  <c:v>0.306895077997008</c:v>
                </c:pt>
                <c:pt idx="26">
                  <c:v>0.281038654628568</c:v>
                </c:pt>
                <c:pt idx="27">
                  <c:v>0.297175791717209</c:v>
                </c:pt>
                <c:pt idx="28">
                  <c:v>0.338700055924936</c:v>
                </c:pt>
                <c:pt idx="29">
                  <c:v>0.421604818340781</c:v>
                </c:pt>
                <c:pt idx="30">
                  <c:v>0.433698843874267</c:v>
                </c:pt>
                <c:pt idx="31">
                  <c:v>0.452283343465361</c:v>
                </c:pt>
                <c:pt idx="32">
                  <c:v>0.397563117674968</c:v>
                </c:pt>
                <c:pt idx="33">
                  <c:v>0.389526162727134</c:v>
                </c:pt>
                <c:pt idx="34">
                  <c:v>0.377502254663149</c:v>
                </c:pt>
                <c:pt idx="35">
                  <c:v>0.287284896847186</c:v>
                </c:pt>
                <c:pt idx="36">
                  <c:v>0.332054428208993</c:v>
                </c:pt>
                <c:pt idx="37">
                  <c:v>0.41727255796983</c:v>
                </c:pt>
                <c:pt idx="38">
                  <c:v>0.415884012307029</c:v>
                </c:pt>
                <c:pt idx="39">
                  <c:v>0.499138946324352</c:v>
                </c:pt>
                <c:pt idx="40">
                  <c:v>0.491610540583004</c:v>
                </c:pt>
                <c:pt idx="41">
                  <c:v>0.517543760028747</c:v>
                </c:pt>
                <c:pt idx="42">
                  <c:v>0.485542523107016</c:v>
                </c:pt>
                <c:pt idx="43">
                  <c:v>0.450991133992138</c:v>
                </c:pt>
                <c:pt idx="44">
                  <c:v>0.520974750708993</c:v>
                </c:pt>
                <c:pt idx="45">
                  <c:v>0.548289521367629</c:v>
                </c:pt>
                <c:pt idx="46">
                  <c:v>0.502141720471523</c:v>
                </c:pt>
                <c:pt idx="47">
                  <c:v>0.476681254265869</c:v>
                </c:pt>
                <c:pt idx="48">
                  <c:v>0.48686939173533</c:v>
                </c:pt>
                <c:pt idx="49">
                  <c:v>0.448186600452169</c:v>
                </c:pt>
              </c:numCache>
            </c:numRef>
          </c:val>
          <c:smooth val="0"/>
        </c:ser>
        <c:ser>
          <c:idx val="2"/>
          <c:order val="2"/>
          <c:tx>
            <c:strRef>
              <c:f>'Assets(MOFA)'!$EF$3</c:f>
              <c:strCache>
                <c:ptCount val="1"/>
                <c:pt idx="0">
                  <c:v>Memo: pre-tax profits / comp, domestic US corp sector</c:v>
                </c:pt>
              </c:strCache>
            </c:strRef>
          </c:tx>
          <c:marker>
            <c:symbol val="none"/>
          </c:marker>
          <c:val>
            <c:numRef>
              <c:f>'Assets(MOFA)'!$EF$11:$EF$60</c:f>
              <c:numCache>
                <c:formatCode>0.0%</c:formatCode>
                <c:ptCount val="50"/>
                <c:pt idx="0">
                  <c:v>0.327417096434315</c:v>
                </c:pt>
                <c:pt idx="1">
                  <c:v>0.29903572424437</c:v>
                </c:pt>
                <c:pt idx="2">
                  <c:v>0.293445861333051</c:v>
                </c:pt>
                <c:pt idx="3">
                  <c:v>0.254624404563205</c:v>
                </c:pt>
                <c:pt idx="4">
                  <c:v>0.208258586467677</c:v>
                </c:pt>
                <c:pt idx="5">
                  <c:v>0.228163168504684</c:v>
                </c:pt>
                <c:pt idx="6">
                  <c:v>0.238304462054382</c:v>
                </c:pt>
                <c:pt idx="7">
                  <c:v>0.234374524772651</c:v>
                </c:pt>
                <c:pt idx="8">
                  <c:v>0.198360706849903</c:v>
                </c:pt>
                <c:pt idx="9">
                  <c:v>0.217952113876381</c:v>
                </c:pt>
                <c:pt idx="10">
                  <c:v>0.242204731790048</c:v>
                </c:pt>
                <c:pt idx="11">
                  <c:v>0.249678629926811</c:v>
                </c:pt>
                <c:pt idx="12">
                  <c:v>0.252747265168453</c:v>
                </c:pt>
                <c:pt idx="13">
                  <c:v>0.224196344036136</c:v>
                </c:pt>
                <c:pt idx="14">
                  <c:v>0.181607491086685</c:v>
                </c:pt>
                <c:pt idx="15">
                  <c:v>0.190146210856275</c:v>
                </c:pt>
                <c:pt idx="16">
                  <c:v>0.167751275572223</c:v>
                </c:pt>
                <c:pt idx="17">
                  <c:v>0.195270440065633</c:v>
                </c:pt>
                <c:pt idx="18">
                  <c:v>0.218655067844847</c:v>
                </c:pt>
                <c:pt idx="19">
                  <c:v>0.214902740277895</c:v>
                </c:pt>
                <c:pt idx="20">
                  <c:v>0.182310298586534</c:v>
                </c:pt>
                <c:pt idx="21">
                  <c:v>0.185581606806521</c:v>
                </c:pt>
                <c:pt idx="22">
                  <c:v>0.191900950352818</c:v>
                </c:pt>
                <c:pt idx="23">
                  <c:v>0.17965047477224</c:v>
                </c:pt>
                <c:pt idx="24">
                  <c:v>0.167815847146617</c:v>
                </c:pt>
                <c:pt idx="25">
                  <c:v>0.179342968276686</c:v>
                </c:pt>
                <c:pt idx="26">
                  <c:v>0.180185599397145</c:v>
                </c:pt>
                <c:pt idx="27">
                  <c:v>0.189534045278165</c:v>
                </c:pt>
                <c:pt idx="28">
                  <c:v>0.217495264275689</c:v>
                </c:pt>
                <c:pt idx="29">
                  <c:v>0.232063316701879</c:v>
                </c:pt>
                <c:pt idx="30">
                  <c:v>0.246412885275639</c:v>
                </c:pt>
                <c:pt idx="31">
                  <c:v>0.249508118484734</c:v>
                </c:pt>
                <c:pt idx="32">
                  <c:v>0.218766977976093</c:v>
                </c:pt>
                <c:pt idx="33">
                  <c:v>0.206845945728809</c:v>
                </c:pt>
                <c:pt idx="34">
                  <c:v>0.176458688322337</c:v>
                </c:pt>
                <c:pt idx="35">
                  <c:v>0.166546510964799</c:v>
                </c:pt>
                <c:pt idx="36">
                  <c:v>0.203914891732385</c:v>
                </c:pt>
                <c:pt idx="37">
                  <c:v>0.232748125389191</c:v>
                </c:pt>
                <c:pt idx="38">
                  <c:v>0.267088484638152</c:v>
                </c:pt>
                <c:pt idx="39">
                  <c:v>0.29214590679432</c:v>
                </c:pt>
                <c:pt idx="40">
                  <c:v>0.30717164524095</c:v>
                </c:pt>
                <c:pt idx="41">
                  <c:v>0.254346337704911</c:v>
                </c:pt>
                <c:pt idx="42">
                  <c:v>0.197182665196133</c:v>
                </c:pt>
                <c:pt idx="43">
                  <c:v>0.246535104920832</c:v>
                </c:pt>
                <c:pt idx="44">
                  <c:v>0.308286733633132</c:v>
                </c:pt>
                <c:pt idx="45">
                  <c:v>0.304594456226417</c:v>
                </c:pt>
                <c:pt idx="46">
                  <c:v>0.318691577804482</c:v>
                </c:pt>
                <c:pt idx="47">
                  <c:v>0.316493275804112</c:v>
                </c:pt>
                <c:pt idx="48">
                  <c:v>0.326356333480447</c:v>
                </c:pt>
                <c:pt idx="49">
                  <c:v>0.313757665943573</c:v>
                </c:pt>
              </c:numCache>
            </c:numRef>
          </c:val>
          <c:smooth val="0"/>
        </c:ser>
        <c:dLbls>
          <c:showLegendKey val="0"/>
          <c:showVal val="0"/>
          <c:showCatName val="0"/>
          <c:showSerName val="0"/>
          <c:showPercent val="0"/>
          <c:showBubbleSize val="0"/>
        </c:dLbls>
        <c:marker val="1"/>
        <c:smooth val="0"/>
        <c:axId val="-2078333336"/>
        <c:axId val="-2078335128"/>
      </c:lineChart>
      <c:catAx>
        <c:axId val="-2078333336"/>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2078335128"/>
        <c:crosses val="autoZero"/>
        <c:auto val="1"/>
        <c:lblAlgn val="ctr"/>
        <c:lblOffset val="100"/>
        <c:noMultiLvlLbl val="0"/>
      </c:catAx>
      <c:valAx>
        <c:axId val="-2078335128"/>
        <c:scaling>
          <c:orientation val="minMax"/>
        </c:scaling>
        <c:delete val="0"/>
        <c:axPos val="l"/>
        <c:majorGridlines/>
        <c:numFmt formatCode="0%" sourceLinked="1"/>
        <c:majorTickMark val="out"/>
        <c:minorTickMark val="none"/>
        <c:tickLblPos val="nextTo"/>
        <c:crossAx val="-2078333336"/>
        <c:crosses val="autoZero"/>
        <c:crossBetween val="between"/>
      </c:valAx>
    </c:plotArea>
    <c:legend>
      <c:legendPos val="r"/>
      <c:layout>
        <c:manualLayout>
          <c:xMode val="edge"/>
          <c:yMode val="edge"/>
          <c:x val="0.187527674613301"/>
          <c:y val="0.0998714815820436"/>
          <c:w val="0.450671143442817"/>
          <c:h val="0.286733206023655"/>
        </c:manualLayout>
      </c:layout>
      <c:overlay val="0"/>
    </c:legend>
    <c:plotVisOnly val="1"/>
    <c:dispBlanksAs val="span"/>
    <c:showDLblsOverMax val="0"/>
  </c:chart>
  <c:printSettings>
    <c:headerFooter/>
    <c:pageMargins b="1.0" l="0.75" r="0.75" t="1.0"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'Assets(MOFA)'!$DM$3</c:f>
              <c:strCache>
                <c:ptCount val="1"/>
                <c:pt idx="0">
                  <c:v>Ireland</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'Assets(MOFA)'!$DN$11:$DN$60</c:f>
              <c:numCache>
                <c:formatCode>0%</c:formatCode>
                <c:ptCount val="50"/>
                <c:pt idx="0">
                  <c:v>0.657443453936524</c:v>
                </c:pt>
                <c:pt idx="1">
                  <c:v>0.916706407043662</c:v>
                </c:pt>
                <c:pt idx="2">
                  <c:v>0.57536810395029</c:v>
                </c:pt>
                <c:pt idx="3">
                  <c:v>0.594843179790758</c:v>
                </c:pt>
                <c:pt idx="4">
                  <c:v>1.859467657071276</c:v>
                </c:pt>
                <c:pt idx="5">
                  <c:v>1.80405285674402</c:v>
                </c:pt>
                <c:pt idx="6">
                  <c:v>1.318088886926592</c:v>
                </c:pt>
                <c:pt idx="7">
                  <c:v>1.81358597334792</c:v>
                </c:pt>
                <c:pt idx="8">
                  <c:v>1.893751178442995</c:v>
                </c:pt>
                <c:pt idx="9">
                  <c:v>1.302575212803604</c:v>
                </c:pt>
                <c:pt idx="10">
                  <c:v>1.382264920898691</c:v>
                </c:pt>
                <c:pt idx="11">
                  <c:v>1.266119917575564</c:v>
                </c:pt>
                <c:pt idx="12">
                  <c:v>1.626778793837494</c:v>
                </c:pt>
                <c:pt idx="13">
                  <c:v>2.121746688859314</c:v>
                </c:pt>
                <c:pt idx="14">
                  <c:v>2.251400755557609</c:v>
                </c:pt>
                <c:pt idx="15">
                  <c:v>1.905775335393319</c:v>
                </c:pt>
                <c:pt idx="16">
                  <c:v>1.442964898593805</c:v>
                </c:pt>
                <c:pt idx="17">
                  <c:v>1.971532027618124</c:v>
                </c:pt>
                <c:pt idx="18">
                  <c:v>2.210171292769486</c:v>
                </c:pt>
                <c:pt idx="19">
                  <c:v>2.271250009021054</c:v>
                </c:pt>
                <c:pt idx="20">
                  <c:v>1.39263612648397</c:v>
                </c:pt>
                <c:pt idx="21">
                  <c:v>2.453274741342616</c:v>
                </c:pt>
                <c:pt idx="22">
                  <c:v>2.107514768141837</c:v>
                </c:pt>
                <c:pt idx="23">
                  <c:v>2.753340184994861</c:v>
                </c:pt>
                <c:pt idx="24">
                  <c:v>2.844765342960289</c:v>
                </c:pt>
                <c:pt idx="25">
                  <c:v>2.558573853989813</c:v>
                </c:pt>
                <c:pt idx="26">
                  <c:v>2.605263157894737</c:v>
                </c:pt>
                <c:pt idx="27">
                  <c:v>2.471768202080238</c:v>
                </c:pt>
                <c:pt idx="28">
                  <c:v>2.45772409408773</c:v>
                </c:pt>
                <c:pt idx="29">
                  <c:v>2.791466666666666</c:v>
                </c:pt>
                <c:pt idx="30">
                  <c:v>3.005299417064123</c:v>
                </c:pt>
                <c:pt idx="31">
                  <c:v>3.89405560882071</c:v>
                </c:pt>
                <c:pt idx="32">
                  <c:v>4.451626183614655</c:v>
                </c:pt>
                <c:pt idx="33">
                  <c:v>3.963783403656822</c:v>
                </c:pt>
                <c:pt idx="34">
                  <c:v>4.075089781260202</c:v>
                </c:pt>
                <c:pt idx="35">
                  <c:v>4.090733590733591</c:v>
                </c:pt>
                <c:pt idx="36">
                  <c:v>5.719974715549937</c:v>
                </c:pt>
                <c:pt idx="37">
                  <c:v>6.316188413643746</c:v>
                </c:pt>
                <c:pt idx="38">
                  <c:v>6.476690741956664</c:v>
                </c:pt>
                <c:pt idx="39">
                  <c:v>6.274433789022648</c:v>
                </c:pt>
                <c:pt idx="40">
                  <c:v>7.220102994468815</c:v>
                </c:pt>
                <c:pt idx="41">
                  <c:v>7.861771058315335</c:v>
                </c:pt>
                <c:pt idx="42">
                  <c:v>5.752507860458152</c:v>
                </c:pt>
                <c:pt idx="43">
                  <c:v>6.038408966648442</c:v>
                </c:pt>
                <c:pt idx="44">
                  <c:v>7.147566063977747</c:v>
                </c:pt>
                <c:pt idx="45">
                  <c:v>8.469478506939765</c:v>
                </c:pt>
                <c:pt idx="46">
                  <c:v>8.52390291738171</c:v>
                </c:pt>
                <c:pt idx="47">
                  <c:v>7.46909398814564</c:v>
                </c:pt>
                <c:pt idx="48">
                  <c:v>6.594409339188176</c:v>
                </c:pt>
                <c:pt idx="49">
                  <c:v>8.224606101240361</c:v>
                </c:pt>
              </c:numCache>
            </c:numRef>
          </c:val>
          <c:smooth val="0"/>
        </c:ser>
        <c:ser>
          <c:idx val="1"/>
          <c:order val="1"/>
          <c:tx>
            <c:strRef>
              <c:f>'Assets(MOFA)'!$DY$3</c:f>
              <c:strCache>
                <c:ptCount val="1"/>
                <c:pt idx="0">
                  <c:v>Netherlands + Luxembourg</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'Assets(MOFA)'!$DZ$11:$DZ$60</c:f>
              <c:numCache>
                <c:formatCode>0%</c:formatCode>
                <c:ptCount val="50"/>
                <c:pt idx="0">
                  <c:v>0.203705559911568</c:v>
                </c:pt>
                <c:pt idx="1">
                  <c:v>0.238115681063415</c:v>
                </c:pt>
                <c:pt idx="2">
                  <c:v>0.164830325983278</c:v>
                </c:pt>
                <c:pt idx="3">
                  <c:v>0.166542221164703</c:v>
                </c:pt>
                <c:pt idx="4">
                  <c:v>0.405262272342142</c:v>
                </c:pt>
                <c:pt idx="5">
                  <c:v>0.42257948389882</c:v>
                </c:pt>
                <c:pt idx="6">
                  <c:v>0.324835100758544</c:v>
                </c:pt>
                <c:pt idx="7">
                  <c:v>0.517026565095899</c:v>
                </c:pt>
                <c:pt idx="8">
                  <c:v>0.496000416154167</c:v>
                </c:pt>
                <c:pt idx="9">
                  <c:v>0.37396673759458</c:v>
                </c:pt>
                <c:pt idx="10">
                  <c:v>0.368704465835993</c:v>
                </c:pt>
                <c:pt idx="11">
                  <c:v>0.44519843375926</c:v>
                </c:pt>
                <c:pt idx="12">
                  <c:v>0.487021895510854</c:v>
                </c:pt>
                <c:pt idx="13">
                  <c:v>0.524004790674282</c:v>
                </c:pt>
                <c:pt idx="14">
                  <c:v>0.505553728801621</c:v>
                </c:pt>
                <c:pt idx="15">
                  <c:v>0.42216856990748</c:v>
                </c:pt>
                <c:pt idx="16">
                  <c:v>0.321865715185766</c:v>
                </c:pt>
                <c:pt idx="17">
                  <c:v>0.561246927358596</c:v>
                </c:pt>
                <c:pt idx="18">
                  <c:v>0.618429946868483</c:v>
                </c:pt>
                <c:pt idx="19">
                  <c:v>0.738399540518807</c:v>
                </c:pt>
                <c:pt idx="20">
                  <c:v>0.785856586598736</c:v>
                </c:pt>
                <c:pt idx="21">
                  <c:v>1.001244509100456</c:v>
                </c:pt>
                <c:pt idx="22">
                  <c:v>1.125859623721551</c:v>
                </c:pt>
                <c:pt idx="23">
                  <c:v>0.894765297295029</c:v>
                </c:pt>
                <c:pt idx="24">
                  <c:v>0.886985623672842</c:v>
                </c:pt>
                <c:pt idx="25">
                  <c:v>0.747222897051471</c:v>
                </c:pt>
                <c:pt idx="26">
                  <c:v>0.622065267157746</c:v>
                </c:pt>
                <c:pt idx="27">
                  <c:v>0.518536020736175</c:v>
                </c:pt>
                <c:pt idx="28">
                  <c:v>0.604895055874937</c:v>
                </c:pt>
                <c:pt idx="29">
                  <c:v>0.938301177202457</c:v>
                </c:pt>
                <c:pt idx="30">
                  <c:v>0.797178649420841</c:v>
                </c:pt>
                <c:pt idx="31">
                  <c:v>0.955865660462574</c:v>
                </c:pt>
                <c:pt idx="32">
                  <c:v>0.927194063651243</c:v>
                </c:pt>
                <c:pt idx="33">
                  <c:v>0.755184424714602</c:v>
                </c:pt>
                <c:pt idx="34">
                  <c:v>0.882232205663038</c:v>
                </c:pt>
                <c:pt idx="35">
                  <c:v>0.800086884859617</c:v>
                </c:pt>
                <c:pt idx="36">
                  <c:v>0.536387274782292</c:v>
                </c:pt>
                <c:pt idx="37">
                  <c:v>0.607649858660875</c:v>
                </c:pt>
                <c:pt idx="38">
                  <c:v>0.702893220350928</c:v>
                </c:pt>
                <c:pt idx="39">
                  <c:v>0.733977307334565</c:v>
                </c:pt>
                <c:pt idx="40">
                  <c:v>0.387588114903596</c:v>
                </c:pt>
                <c:pt idx="41">
                  <c:v>0.448438054440293</c:v>
                </c:pt>
                <c:pt idx="42">
                  <c:v>0.162242118659284</c:v>
                </c:pt>
                <c:pt idx="43">
                  <c:v>0.814093006074537</c:v>
                </c:pt>
                <c:pt idx="44">
                  <c:v>0.287564257714485</c:v>
                </c:pt>
                <c:pt idx="45">
                  <c:v>0.861247186678115</c:v>
                </c:pt>
                <c:pt idx="46">
                  <c:v>1.049440420256791</c:v>
                </c:pt>
                <c:pt idx="47">
                  <c:v>0.265738795900298</c:v>
                </c:pt>
                <c:pt idx="48">
                  <c:v>1.037970205592486</c:v>
                </c:pt>
                <c:pt idx="49">
                  <c:v>1.657576906580491</c:v>
                </c:pt>
              </c:numCache>
            </c:numRef>
          </c:val>
          <c:smooth val="0"/>
        </c:ser>
        <c:ser>
          <c:idx val="3"/>
          <c:order val="2"/>
          <c:tx>
            <c:strRef>
              <c:f>'Assets(MOFA)'!$DS$3</c:f>
              <c:strCache>
                <c:ptCount val="1"/>
                <c:pt idx="0">
                  <c:v>Switzerland</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'Assets(MOFA)'!$DT$11:$DT$60</c:f>
              <c:numCache>
                <c:formatCode>0%</c:formatCode>
                <c:ptCount val="50"/>
                <c:pt idx="0">
                  <c:v>0.682804694866921</c:v>
                </c:pt>
                <c:pt idx="1">
                  <c:v>0.724628164943894</c:v>
                </c:pt>
                <c:pt idx="2">
                  <c:v>0.801218521219493</c:v>
                </c:pt>
                <c:pt idx="3">
                  <c:v>0.861557594196427</c:v>
                </c:pt>
                <c:pt idx="4">
                  <c:v>0.902397843784512</c:v>
                </c:pt>
                <c:pt idx="5">
                  <c:v>1.104204811276561</c:v>
                </c:pt>
                <c:pt idx="6">
                  <c:v>1.134634438601773</c:v>
                </c:pt>
                <c:pt idx="7">
                  <c:v>1.000718157370142</c:v>
                </c:pt>
                <c:pt idx="8">
                  <c:v>1.03048746502229</c:v>
                </c:pt>
                <c:pt idx="9">
                  <c:v>1.145872229376931</c:v>
                </c:pt>
                <c:pt idx="10">
                  <c:v>0.933663510270704</c:v>
                </c:pt>
                <c:pt idx="11">
                  <c:v>0.873534628286648</c:v>
                </c:pt>
                <c:pt idx="12">
                  <c:v>1.046764374409751</c:v>
                </c:pt>
                <c:pt idx="13">
                  <c:v>1.084465736624206</c:v>
                </c:pt>
                <c:pt idx="14">
                  <c:v>1.153534970032418</c:v>
                </c:pt>
                <c:pt idx="15">
                  <c:v>1.014961356964175</c:v>
                </c:pt>
                <c:pt idx="16">
                  <c:v>0.865700906413454</c:v>
                </c:pt>
                <c:pt idx="17">
                  <c:v>0.809908957898266</c:v>
                </c:pt>
                <c:pt idx="18">
                  <c:v>1.034021158674299</c:v>
                </c:pt>
                <c:pt idx="19">
                  <c:v>1.269126390865044</c:v>
                </c:pt>
                <c:pt idx="20">
                  <c:v>0.997365427034761</c:v>
                </c:pt>
                <c:pt idx="21">
                  <c:v>1.075701000549306</c:v>
                </c:pt>
                <c:pt idx="22">
                  <c:v>0.92118699202566</c:v>
                </c:pt>
                <c:pt idx="23">
                  <c:v>0.927114947265966</c:v>
                </c:pt>
                <c:pt idx="24">
                  <c:v>0.933714469437369</c:v>
                </c:pt>
                <c:pt idx="25">
                  <c:v>0.864175765223227</c:v>
                </c:pt>
                <c:pt idx="26">
                  <c:v>0.529583570410425</c:v>
                </c:pt>
                <c:pt idx="27">
                  <c:v>0.622317602571699</c:v>
                </c:pt>
                <c:pt idx="28">
                  <c:v>0.665123351916804</c:v>
                </c:pt>
                <c:pt idx="29">
                  <c:v>0.921829972881773</c:v>
                </c:pt>
                <c:pt idx="30">
                  <c:v>0.674253085675937</c:v>
                </c:pt>
                <c:pt idx="31">
                  <c:v>0.885856431524716</c:v>
                </c:pt>
                <c:pt idx="32">
                  <c:v>0.905730715453239</c:v>
                </c:pt>
                <c:pt idx="33">
                  <c:v>0.833672387692764</c:v>
                </c:pt>
                <c:pt idx="34">
                  <c:v>0.891213204341499</c:v>
                </c:pt>
                <c:pt idx="35">
                  <c:v>0.808673940873182</c:v>
                </c:pt>
                <c:pt idx="36">
                  <c:v>0.957360356110244</c:v>
                </c:pt>
                <c:pt idx="37">
                  <c:v>1.008400779783957</c:v>
                </c:pt>
                <c:pt idx="38">
                  <c:v>1.523229858229885</c:v>
                </c:pt>
                <c:pt idx="39">
                  <c:v>1.713985030371367</c:v>
                </c:pt>
                <c:pt idx="40">
                  <c:v>1.984038361568763</c:v>
                </c:pt>
                <c:pt idx="41">
                  <c:v>1.892296861250322</c:v>
                </c:pt>
                <c:pt idx="42">
                  <c:v>2.08705407870614</c:v>
                </c:pt>
                <c:pt idx="43">
                  <c:v>2.40522555195001</c:v>
                </c:pt>
                <c:pt idx="44">
                  <c:v>2.186299145434163</c:v>
                </c:pt>
                <c:pt idx="45">
                  <c:v>2.381434727296346</c:v>
                </c:pt>
                <c:pt idx="46">
                  <c:v>2.049739674368063</c:v>
                </c:pt>
                <c:pt idx="47">
                  <c:v>3.079424297808317</c:v>
                </c:pt>
                <c:pt idx="48">
                  <c:v>2.89823117204222</c:v>
                </c:pt>
                <c:pt idx="49">
                  <c:v>2.98600854931115</c:v>
                </c:pt>
              </c:numCache>
            </c:numRef>
          </c:val>
          <c:smooth val="0"/>
        </c:ser>
        <c:ser>
          <c:idx val="5"/>
          <c:order val="3"/>
          <c:tx>
            <c:strRef>
              <c:f>'Assets(MOFA)'!$DW$3</c:f>
              <c:strCache>
                <c:ptCount val="1"/>
                <c:pt idx="0">
                  <c:v>Singapore</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'Assets(MOFA)'!$DX$11:$DX$60</c:f>
              <c:numCache>
                <c:formatCode>0%</c:formatCode>
                <c:ptCount val="50"/>
                <c:pt idx="0">
                  <c:v>0.0942715961034785</c:v>
                </c:pt>
                <c:pt idx="1">
                  <c:v>0.148988747624997</c:v>
                </c:pt>
                <c:pt idx="2">
                  <c:v>0.212578130890561</c:v>
                </c:pt>
                <c:pt idx="3">
                  <c:v>0.274615389465171</c:v>
                </c:pt>
                <c:pt idx="4">
                  <c:v>0.330360680470563</c:v>
                </c:pt>
                <c:pt idx="5">
                  <c:v>0.277379956880637</c:v>
                </c:pt>
                <c:pt idx="6">
                  <c:v>0.955166275923761</c:v>
                </c:pt>
                <c:pt idx="7">
                  <c:v>1.160252627239317</c:v>
                </c:pt>
                <c:pt idx="8">
                  <c:v>0.988549083312481</c:v>
                </c:pt>
                <c:pt idx="9">
                  <c:v>0.976651700571306</c:v>
                </c:pt>
                <c:pt idx="10">
                  <c:v>1.139103713574236</c:v>
                </c:pt>
                <c:pt idx="11">
                  <c:v>1.032242939754314</c:v>
                </c:pt>
                <c:pt idx="12">
                  <c:v>1.307738495016839</c:v>
                </c:pt>
                <c:pt idx="13">
                  <c:v>1.541256786912617</c:v>
                </c:pt>
                <c:pt idx="14">
                  <c:v>1.957871969582495</c:v>
                </c:pt>
                <c:pt idx="15">
                  <c:v>1.823385611657886</c:v>
                </c:pt>
                <c:pt idx="16">
                  <c:v>1.498950541601521</c:v>
                </c:pt>
                <c:pt idx="17">
                  <c:v>1.64787228638892</c:v>
                </c:pt>
                <c:pt idx="18">
                  <c:v>1.326042675251392</c:v>
                </c:pt>
                <c:pt idx="19">
                  <c:v>0.837281538987913</c:v>
                </c:pt>
                <c:pt idx="20">
                  <c:v>1.728008372312074</c:v>
                </c:pt>
                <c:pt idx="21">
                  <c:v>1.98962924933353</c:v>
                </c:pt>
                <c:pt idx="22">
                  <c:v>1.863160879747163</c:v>
                </c:pt>
                <c:pt idx="23">
                  <c:v>1.525464379705</c:v>
                </c:pt>
                <c:pt idx="24">
                  <c:v>2.087147205973046</c:v>
                </c:pt>
                <c:pt idx="25">
                  <c:v>1.437056908029034</c:v>
                </c:pt>
                <c:pt idx="26">
                  <c:v>1.06484589329284</c:v>
                </c:pt>
                <c:pt idx="27">
                  <c:v>1.472934686795811</c:v>
                </c:pt>
                <c:pt idx="28">
                  <c:v>1.33377714849839</c:v>
                </c:pt>
                <c:pt idx="29">
                  <c:v>1.644376677807998</c:v>
                </c:pt>
                <c:pt idx="30">
                  <c:v>2.140966989822705</c:v>
                </c:pt>
                <c:pt idx="31">
                  <c:v>1.749373901987094</c:v>
                </c:pt>
                <c:pt idx="32">
                  <c:v>1.069616029481613</c:v>
                </c:pt>
                <c:pt idx="33">
                  <c:v>1.405475185555969</c:v>
                </c:pt>
                <c:pt idx="34">
                  <c:v>2.31309129579597</c:v>
                </c:pt>
                <c:pt idx="35">
                  <c:v>1.421967106991049</c:v>
                </c:pt>
                <c:pt idx="36">
                  <c:v>1.455775182715702</c:v>
                </c:pt>
                <c:pt idx="37">
                  <c:v>1.901473202359206</c:v>
                </c:pt>
                <c:pt idx="38">
                  <c:v>2.245811689663876</c:v>
                </c:pt>
                <c:pt idx="39">
                  <c:v>1.760320091999052</c:v>
                </c:pt>
                <c:pt idx="40">
                  <c:v>2.487005721801934</c:v>
                </c:pt>
                <c:pt idx="41">
                  <c:v>2.407504579777028</c:v>
                </c:pt>
                <c:pt idx="42">
                  <c:v>2.263604231616004</c:v>
                </c:pt>
                <c:pt idx="43">
                  <c:v>1.733304174394654</c:v>
                </c:pt>
                <c:pt idx="44">
                  <c:v>1.826969429402557</c:v>
                </c:pt>
                <c:pt idx="45">
                  <c:v>2.301706780972531</c:v>
                </c:pt>
                <c:pt idx="46">
                  <c:v>2.153364447516103</c:v>
                </c:pt>
                <c:pt idx="47">
                  <c:v>2.246270514341046</c:v>
                </c:pt>
                <c:pt idx="48">
                  <c:v>2.037642092835048</c:v>
                </c:pt>
                <c:pt idx="49">
                  <c:v>2.077732570978096</c:v>
                </c:pt>
              </c:numCache>
            </c:numRef>
          </c:val>
          <c:smooth val="0"/>
        </c:ser>
        <c:dLbls>
          <c:showLegendKey val="0"/>
          <c:showVal val="0"/>
          <c:showCatName val="0"/>
          <c:showSerName val="0"/>
          <c:showPercent val="0"/>
          <c:showBubbleSize val="0"/>
        </c:dLbls>
        <c:marker val="1"/>
        <c:smooth val="0"/>
        <c:axId val="-2078446456"/>
        <c:axId val="-2078443304"/>
      </c:lineChart>
      <c:catAx>
        <c:axId val="-2078446456"/>
        <c:scaling>
          <c:orientation val="minMax"/>
        </c:scaling>
        <c:delete val="0"/>
        <c:axPos val="b"/>
        <c:numFmt formatCode="General" sourceLinked="1"/>
        <c:majorTickMark val="out"/>
        <c:minorTickMark val="none"/>
        <c:tickLblPos val="nextTo"/>
        <c:crossAx val="-2078443304"/>
        <c:crosses val="autoZero"/>
        <c:auto val="1"/>
        <c:lblAlgn val="ctr"/>
        <c:lblOffset val="100"/>
        <c:noMultiLvlLbl val="0"/>
      </c:catAx>
      <c:valAx>
        <c:axId val="-2078443304"/>
        <c:scaling>
          <c:orientation val="minMax"/>
        </c:scaling>
        <c:delete val="0"/>
        <c:axPos val="l"/>
        <c:majorGridlines/>
        <c:numFmt formatCode="0%" sourceLinked="1"/>
        <c:majorTickMark val="out"/>
        <c:minorTickMark val="none"/>
        <c:tickLblPos val="nextTo"/>
        <c:crossAx val="-2078446456"/>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1"/>
          <c:order val="0"/>
          <c:tx>
            <c:strRef>
              <c:f>'Assets(MOFA)'!$DY$3</c:f>
              <c:strCache>
                <c:ptCount val="1"/>
                <c:pt idx="0">
                  <c:v>Netherlands + Luxembourg</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'Assets(MOFA)'!$DZ$11:$DZ$60</c:f>
              <c:numCache>
                <c:formatCode>0%</c:formatCode>
                <c:ptCount val="50"/>
                <c:pt idx="0">
                  <c:v>0.203705559911568</c:v>
                </c:pt>
                <c:pt idx="1">
                  <c:v>0.238115681063415</c:v>
                </c:pt>
                <c:pt idx="2">
                  <c:v>0.164830325983278</c:v>
                </c:pt>
                <c:pt idx="3">
                  <c:v>0.166542221164703</c:v>
                </c:pt>
                <c:pt idx="4">
                  <c:v>0.405262272342142</c:v>
                </c:pt>
                <c:pt idx="5">
                  <c:v>0.42257948389882</c:v>
                </c:pt>
                <c:pt idx="6">
                  <c:v>0.324835100758544</c:v>
                </c:pt>
                <c:pt idx="7">
                  <c:v>0.517026565095899</c:v>
                </c:pt>
                <c:pt idx="8">
                  <c:v>0.496000416154167</c:v>
                </c:pt>
                <c:pt idx="9">
                  <c:v>0.37396673759458</c:v>
                </c:pt>
                <c:pt idx="10">
                  <c:v>0.368704465835993</c:v>
                </c:pt>
                <c:pt idx="11">
                  <c:v>0.44519843375926</c:v>
                </c:pt>
                <c:pt idx="12">
                  <c:v>0.487021895510854</c:v>
                </c:pt>
                <c:pt idx="13">
                  <c:v>0.524004790674282</c:v>
                </c:pt>
                <c:pt idx="14">
                  <c:v>0.505553728801621</c:v>
                </c:pt>
                <c:pt idx="15">
                  <c:v>0.42216856990748</c:v>
                </c:pt>
                <c:pt idx="16">
                  <c:v>0.321865715185766</c:v>
                </c:pt>
                <c:pt idx="17">
                  <c:v>0.561246927358596</c:v>
                </c:pt>
                <c:pt idx="18">
                  <c:v>0.618429946868483</c:v>
                </c:pt>
                <c:pt idx="19">
                  <c:v>0.738399540518807</c:v>
                </c:pt>
                <c:pt idx="20">
                  <c:v>0.785856586598736</c:v>
                </c:pt>
                <c:pt idx="21">
                  <c:v>1.001244509100456</c:v>
                </c:pt>
                <c:pt idx="22">
                  <c:v>1.125859623721551</c:v>
                </c:pt>
                <c:pt idx="23">
                  <c:v>0.894765297295029</c:v>
                </c:pt>
                <c:pt idx="24">
                  <c:v>0.886985623672842</c:v>
                </c:pt>
                <c:pt idx="25">
                  <c:v>0.747222897051471</c:v>
                </c:pt>
                <c:pt idx="26">
                  <c:v>0.622065267157746</c:v>
                </c:pt>
                <c:pt idx="27">
                  <c:v>0.518536020736175</c:v>
                </c:pt>
                <c:pt idx="28">
                  <c:v>0.604895055874937</c:v>
                </c:pt>
                <c:pt idx="29">
                  <c:v>0.938301177202457</c:v>
                </c:pt>
                <c:pt idx="30">
                  <c:v>0.797178649420841</c:v>
                </c:pt>
                <c:pt idx="31">
                  <c:v>0.955865660462574</c:v>
                </c:pt>
                <c:pt idx="32">
                  <c:v>0.927194063651243</c:v>
                </c:pt>
                <c:pt idx="33">
                  <c:v>0.755184424714602</c:v>
                </c:pt>
                <c:pt idx="34">
                  <c:v>0.882232205663038</c:v>
                </c:pt>
                <c:pt idx="35">
                  <c:v>0.800086884859617</c:v>
                </c:pt>
                <c:pt idx="36">
                  <c:v>0.536387274782292</c:v>
                </c:pt>
                <c:pt idx="37">
                  <c:v>0.607649858660875</c:v>
                </c:pt>
                <c:pt idx="38">
                  <c:v>0.702893220350928</c:v>
                </c:pt>
                <c:pt idx="39">
                  <c:v>0.733977307334565</c:v>
                </c:pt>
                <c:pt idx="40">
                  <c:v>0.387588114903596</c:v>
                </c:pt>
                <c:pt idx="41">
                  <c:v>0.448438054440293</c:v>
                </c:pt>
                <c:pt idx="42">
                  <c:v>0.162242118659284</c:v>
                </c:pt>
                <c:pt idx="43">
                  <c:v>0.814093006074537</c:v>
                </c:pt>
                <c:pt idx="44">
                  <c:v>0.287564257714485</c:v>
                </c:pt>
                <c:pt idx="45">
                  <c:v>0.861247186678115</c:v>
                </c:pt>
                <c:pt idx="46">
                  <c:v>1.049440420256791</c:v>
                </c:pt>
                <c:pt idx="47">
                  <c:v>0.265738795900298</c:v>
                </c:pt>
                <c:pt idx="48">
                  <c:v>1.037970205592486</c:v>
                </c:pt>
                <c:pt idx="49">
                  <c:v>1.657576906580491</c:v>
                </c:pt>
              </c:numCache>
            </c:numRef>
          </c:val>
          <c:smooth val="0"/>
        </c:ser>
        <c:ser>
          <c:idx val="3"/>
          <c:order val="1"/>
          <c:tx>
            <c:strRef>
              <c:f>'Assets(MOFA)'!$DS$3</c:f>
              <c:strCache>
                <c:ptCount val="1"/>
                <c:pt idx="0">
                  <c:v>Switzerland</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'Assets(MOFA)'!$DT$11:$DT$60</c:f>
              <c:numCache>
                <c:formatCode>0%</c:formatCode>
                <c:ptCount val="50"/>
                <c:pt idx="0">
                  <c:v>0.682804694866921</c:v>
                </c:pt>
                <c:pt idx="1">
                  <c:v>0.724628164943894</c:v>
                </c:pt>
                <c:pt idx="2">
                  <c:v>0.801218521219493</c:v>
                </c:pt>
                <c:pt idx="3">
                  <c:v>0.861557594196427</c:v>
                </c:pt>
                <c:pt idx="4">
                  <c:v>0.902397843784512</c:v>
                </c:pt>
                <c:pt idx="5">
                  <c:v>1.104204811276561</c:v>
                </c:pt>
                <c:pt idx="6">
                  <c:v>1.134634438601773</c:v>
                </c:pt>
                <c:pt idx="7">
                  <c:v>1.000718157370142</c:v>
                </c:pt>
                <c:pt idx="8">
                  <c:v>1.03048746502229</c:v>
                </c:pt>
                <c:pt idx="9">
                  <c:v>1.145872229376931</c:v>
                </c:pt>
                <c:pt idx="10">
                  <c:v>0.933663510270704</c:v>
                </c:pt>
                <c:pt idx="11">
                  <c:v>0.873534628286648</c:v>
                </c:pt>
                <c:pt idx="12">
                  <c:v>1.046764374409751</c:v>
                </c:pt>
                <c:pt idx="13">
                  <c:v>1.084465736624206</c:v>
                </c:pt>
                <c:pt idx="14">
                  <c:v>1.153534970032418</c:v>
                </c:pt>
                <c:pt idx="15">
                  <c:v>1.014961356964175</c:v>
                </c:pt>
                <c:pt idx="16">
                  <c:v>0.865700906413454</c:v>
                </c:pt>
                <c:pt idx="17">
                  <c:v>0.809908957898266</c:v>
                </c:pt>
                <c:pt idx="18">
                  <c:v>1.034021158674299</c:v>
                </c:pt>
                <c:pt idx="19">
                  <c:v>1.269126390865044</c:v>
                </c:pt>
                <c:pt idx="20">
                  <c:v>0.997365427034761</c:v>
                </c:pt>
                <c:pt idx="21">
                  <c:v>1.075701000549306</c:v>
                </c:pt>
                <c:pt idx="22">
                  <c:v>0.92118699202566</c:v>
                </c:pt>
                <c:pt idx="23">
                  <c:v>0.927114947265966</c:v>
                </c:pt>
                <c:pt idx="24">
                  <c:v>0.933714469437369</c:v>
                </c:pt>
                <c:pt idx="25">
                  <c:v>0.864175765223227</c:v>
                </c:pt>
                <c:pt idx="26">
                  <c:v>0.529583570410425</c:v>
                </c:pt>
                <c:pt idx="27">
                  <c:v>0.622317602571699</c:v>
                </c:pt>
                <c:pt idx="28">
                  <c:v>0.665123351916804</c:v>
                </c:pt>
                <c:pt idx="29">
                  <c:v>0.921829972881773</c:v>
                </c:pt>
                <c:pt idx="30">
                  <c:v>0.674253085675937</c:v>
                </c:pt>
                <c:pt idx="31">
                  <c:v>0.885856431524716</c:v>
                </c:pt>
                <c:pt idx="32">
                  <c:v>0.905730715453239</c:v>
                </c:pt>
                <c:pt idx="33">
                  <c:v>0.833672387692764</c:v>
                </c:pt>
                <c:pt idx="34">
                  <c:v>0.891213204341499</c:v>
                </c:pt>
                <c:pt idx="35">
                  <c:v>0.808673940873182</c:v>
                </c:pt>
                <c:pt idx="36">
                  <c:v>0.957360356110244</c:v>
                </c:pt>
                <c:pt idx="37">
                  <c:v>1.008400779783957</c:v>
                </c:pt>
                <c:pt idx="38">
                  <c:v>1.523229858229885</c:v>
                </c:pt>
                <c:pt idx="39">
                  <c:v>1.713985030371367</c:v>
                </c:pt>
                <c:pt idx="40">
                  <c:v>1.984038361568763</c:v>
                </c:pt>
                <c:pt idx="41">
                  <c:v>1.892296861250322</c:v>
                </c:pt>
                <c:pt idx="42">
                  <c:v>2.08705407870614</c:v>
                </c:pt>
                <c:pt idx="43">
                  <c:v>2.40522555195001</c:v>
                </c:pt>
                <c:pt idx="44">
                  <c:v>2.186299145434163</c:v>
                </c:pt>
                <c:pt idx="45">
                  <c:v>2.381434727296346</c:v>
                </c:pt>
                <c:pt idx="46">
                  <c:v>2.049739674368063</c:v>
                </c:pt>
                <c:pt idx="47">
                  <c:v>3.079424297808317</c:v>
                </c:pt>
                <c:pt idx="48">
                  <c:v>2.89823117204222</c:v>
                </c:pt>
                <c:pt idx="49">
                  <c:v>2.98600854931115</c:v>
                </c:pt>
              </c:numCache>
            </c:numRef>
          </c:val>
          <c:smooth val="0"/>
        </c:ser>
        <c:ser>
          <c:idx val="5"/>
          <c:order val="2"/>
          <c:tx>
            <c:strRef>
              <c:f>'Assets(MOFA)'!$DW$3</c:f>
              <c:strCache>
                <c:ptCount val="1"/>
                <c:pt idx="0">
                  <c:v>Singapore</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'Assets(MOFA)'!$DX$11:$DX$60</c:f>
              <c:numCache>
                <c:formatCode>0%</c:formatCode>
                <c:ptCount val="50"/>
                <c:pt idx="0">
                  <c:v>0.0942715961034785</c:v>
                </c:pt>
                <c:pt idx="1">
                  <c:v>0.148988747624997</c:v>
                </c:pt>
                <c:pt idx="2">
                  <c:v>0.212578130890561</c:v>
                </c:pt>
                <c:pt idx="3">
                  <c:v>0.274615389465171</c:v>
                </c:pt>
                <c:pt idx="4">
                  <c:v>0.330360680470563</c:v>
                </c:pt>
                <c:pt idx="5">
                  <c:v>0.277379956880637</c:v>
                </c:pt>
                <c:pt idx="6">
                  <c:v>0.955166275923761</c:v>
                </c:pt>
                <c:pt idx="7">
                  <c:v>1.160252627239317</c:v>
                </c:pt>
                <c:pt idx="8">
                  <c:v>0.988549083312481</c:v>
                </c:pt>
                <c:pt idx="9">
                  <c:v>0.976651700571306</c:v>
                </c:pt>
                <c:pt idx="10">
                  <c:v>1.139103713574236</c:v>
                </c:pt>
                <c:pt idx="11">
                  <c:v>1.032242939754314</c:v>
                </c:pt>
                <c:pt idx="12">
                  <c:v>1.307738495016839</c:v>
                </c:pt>
                <c:pt idx="13">
                  <c:v>1.541256786912617</c:v>
                </c:pt>
                <c:pt idx="14">
                  <c:v>1.957871969582495</c:v>
                </c:pt>
                <c:pt idx="15">
                  <c:v>1.823385611657886</c:v>
                </c:pt>
                <c:pt idx="16">
                  <c:v>1.498950541601521</c:v>
                </c:pt>
                <c:pt idx="17">
                  <c:v>1.64787228638892</c:v>
                </c:pt>
                <c:pt idx="18">
                  <c:v>1.326042675251392</c:v>
                </c:pt>
                <c:pt idx="19">
                  <c:v>0.837281538987913</c:v>
                </c:pt>
                <c:pt idx="20">
                  <c:v>1.728008372312074</c:v>
                </c:pt>
                <c:pt idx="21">
                  <c:v>1.98962924933353</c:v>
                </c:pt>
                <c:pt idx="22">
                  <c:v>1.863160879747163</c:v>
                </c:pt>
                <c:pt idx="23">
                  <c:v>1.525464379705</c:v>
                </c:pt>
                <c:pt idx="24">
                  <c:v>2.087147205973046</c:v>
                </c:pt>
                <c:pt idx="25">
                  <c:v>1.437056908029034</c:v>
                </c:pt>
                <c:pt idx="26">
                  <c:v>1.06484589329284</c:v>
                </c:pt>
                <c:pt idx="27">
                  <c:v>1.472934686795811</c:v>
                </c:pt>
                <c:pt idx="28">
                  <c:v>1.33377714849839</c:v>
                </c:pt>
                <c:pt idx="29">
                  <c:v>1.644376677807998</c:v>
                </c:pt>
                <c:pt idx="30">
                  <c:v>2.140966989822705</c:v>
                </c:pt>
                <c:pt idx="31">
                  <c:v>1.749373901987094</c:v>
                </c:pt>
                <c:pt idx="32">
                  <c:v>1.069616029481613</c:v>
                </c:pt>
                <c:pt idx="33">
                  <c:v>1.405475185555969</c:v>
                </c:pt>
                <c:pt idx="34">
                  <c:v>2.31309129579597</c:v>
                </c:pt>
                <c:pt idx="35">
                  <c:v>1.421967106991049</c:v>
                </c:pt>
                <c:pt idx="36">
                  <c:v>1.455775182715702</c:v>
                </c:pt>
                <c:pt idx="37">
                  <c:v>1.901473202359206</c:v>
                </c:pt>
                <c:pt idx="38">
                  <c:v>2.245811689663876</c:v>
                </c:pt>
                <c:pt idx="39">
                  <c:v>1.760320091999052</c:v>
                </c:pt>
                <c:pt idx="40">
                  <c:v>2.487005721801934</c:v>
                </c:pt>
                <c:pt idx="41">
                  <c:v>2.407504579777028</c:v>
                </c:pt>
                <c:pt idx="42">
                  <c:v>2.263604231616004</c:v>
                </c:pt>
                <c:pt idx="43">
                  <c:v>1.733304174394654</c:v>
                </c:pt>
                <c:pt idx="44">
                  <c:v>1.826969429402557</c:v>
                </c:pt>
                <c:pt idx="45">
                  <c:v>2.301706780972531</c:v>
                </c:pt>
                <c:pt idx="46">
                  <c:v>2.153364447516103</c:v>
                </c:pt>
                <c:pt idx="47">
                  <c:v>2.246270514341046</c:v>
                </c:pt>
                <c:pt idx="48">
                  <c:v>2.037642092835048</c:v>
                </c:pt>
                <c:pt idx="49">
                  <c:v>2.077732570978096</c:v>
                </c:pt>
              </c:numCache>
            </c:numRef>
          </c:val>
          <c:smooth val="0"/>
        </c:ser>
        <c:dLbls>
          <c:showLegendKey val="0"/>
          <c:showVal val="0"/>
          <c:showCatName val="0"/>
          <c:showSerName val="0"/>
          <c:showPercent val="0"/>
          <c:showBubbleSize val="0"/>
        </c:dLbls>
        <c:marker val="1"/>
        <c:smooth val="0"/>
        <c:axId val="-2078409096"/>
        <c:axId val="-2078406056"/>
      </c:lineChart>
      <c:catAx>
        <c:axId val="-2078409096"/>
        <c:scaling>
          <c:orientation val="minMax"/>
        </c:scaling>
        <c:delete val="0"/>
        <c:axPos val="b"/>
        <c:numFmt formatCode="General" sourceLinked="1"/>
        <c:majorTickMark val="out"/>
        <c:minorTickMark val="none"/>
        <c:tickLblPos val="nextTo"/>
        <c:crossAx val="-2078406056"/>
        <c:crosses val="autoZero"/>
        <c:auto val="1"/>
        <c:lblAlgn val="ctr"/>
        <c:lblOffset val="100"/>
        <c:noMultiLvlLbl val="0"/>
      </c:catAx>
      <c:valAx>
        <c:axId val="-2078406056"/>
        <c:scaling>
          <c:orientation val="minMax"/>
        </c:scaling>
        <c:delete val="0"/>
        <c:axPos val="l"/>
        <c:majorGridlines/>
        <c:numFmt formatCode="0%" sourceLinked="1"/>
        <c:majorTickMark val="out"/>
        <c:minorTickMark val="none"/>
        <c:tickLblPos val="nextTo"/>
        <c:crossAx val="-2078409096"/>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7303587051619"/>
          <c:y val="0.0601851851851852"/>
          <c:w val="0.861621172353456"/>
          <c:h val="0.822469378827647"/>
        </c:manualLayout>
      </c:layout>
      <c:lineChart>
        <c:grouping val="standard"/>
        <c:varyColors val="0"/>
        <c:ser>
          <c:idx val="0"/>
          <c:order val="0"/>
          <c:tx>
            <c:strRef>
              <c:f>'Assets(MOFA)'!$EM$3</c:f>
              <c:strCache>
                <c:ptCount val="1"/>
                <c:pt idx="0">
                  <c:v>Non-haven, non oil</c:v>
                </c:pt>
              </c:strCache>
            </c:strRef>
          </c:tx>
          <c:marker>
            <c:symbol val="none"/>
          </c:marker>
          <c:val>
            <c:numRef>
              <c:f>'Assets(MOFA)'!$EM$11:$EM$61</c:f>
              <c:numCache>
                <c:formatCode>0%</c:formatCode>
                <c:ptCount val="51"/>
                <c:pt idx="0">
                  <c:v>0.249886152652642</c:v>
                </c:pt>
                <c:pt idx="1">
                  <c:v>0.231632328439881</c:v>
                </c:pt>
                <c:pt idx="2">
                  <c:v>0.236783742843177</c:v>
                </c:pt>
                <c:pt idx="3">
                  <c:v>0.250064065826065</c:v>
                </c:pt>
                <c:pt idx="4">
                  <c:v>0.226937739719592</c:v>
                </c:pt>
                <c:pt idx="5">
                  <c:v>0.266280084472903</c:v>
                </c:pt>
                <c:pt idx="6">
                  <c:v>0.289635977189954</c:v>
                </c:pt>
                <c:pt idx="7">
                  <c:v>0.306686294502467</c:v>
                </c:pt>
                <c:pt idx="8">
                  <c:v>0.242717966173166</c:v>
                </c:pt>
                <c:pt idx="9">
                  <c:v>0.254196736601891</c:v>
                </c:pt>
                <c:pt idx="10">
                  <c:v>0.260340407027557</c:v>
                </c:pt>
                <c:pt idx="11">
                  <c:v>0.204203028998552</c:v>
                </c:pt>
                <c:pt idx="12">
                  <c:v>0.24117317111303</c:v>
                </c:pt>
                <c:pt idx="13">
                  <c:v>0.244494854674437</c:v>
                </c:pt>
                <c:pt idx="14">
                  <c:v>0.234536008893132</c:v>
                </c:pt>
                <c:pt idx="15">
                  <c:v>0.174598676871536</c:v>
                </c:pt>
                <c:pt idx="16">
                  <c:v>0.119397716318412</c:v>
                </c:pt>
                <c:pt idx="17">
                  <c:v>0.174464592194612</c:v>
                </c:pt>
                <c:pt idx="18">
                  <c:v>0.21984221631043</c:v>
                </c:pt>
                <c:pt idx="19">
                  <c:v>0.207895954965582</c:v>
                </c:pt>
                <c:pt idx="20">
                  <c:v>0.246402947200289</c:v>
                </c:pt>
                <c:pt idx="21">
                  <c:v>0.294069843814358</c:v>
                </c:pt>
                <c:pt idx="22">
                  <c:v>0.34884402393901</c:v>
                </c:pt>
                <c:pt idx="23">
                  <c:v>0.303632589062815</c:v>
                </c:pt>
                <c:pt idx="24">
                  <c:v>0.223057965225387</c:v>
                </c:pt>
                <c:pt idx="25">
                  <c:v>0.177306075931334</c:v>
                </c:pt>
                <c:pt idx="26">
                  <c:v>0.169116513509347</c:v>
                </c:pt>
                <c:pt idx="27">
                  <c:v>0.195994983449495</c:v>
                </c:pt>
                <c:pt idx="28">
                  <c:v>0.214689616603492</c:v>
                </c:pt>
                <c:pt idx="29">
                  <c:v>0.270163087578144</c:v>
                </c:pt>
                <c:pt idx="30">
                  <c:v>0.278597046299206</c:v>
                </c:pt>
                <c:pt idx="31">
                  <c:v>0.28530752004323</c:v>
                </c:pt>
                <c:pt idx="32">
                  <c:v>0.243284440900051</c:v>
                </c:pt>
                <c:pt idx="33">
                  <c:v>0.245105285023943</c:v>
                </c:pt>
                <c:pt idx="34">
                  <c:v>0.224336876174743</c:v>
                </c:pt>
                <c:pt idx="35">
                  <c:v>0.145494448204969</c:v>
                </c:pt>
                <c:pt idx="36">
                  <c:v>0.209017942042345</c:v>
                </c:pt>
                <c:pt idx="37">
                  <c:v>0.290257723926404</c:v>
                </c:pt>
                <c:pt idx="38">
                  <c:v>0.277810318245777</c:v>
                </c:pt>
                <c:pt idx="39">
                  <c:v>0.330145339791197</c:v>
                </c:pt>
                <c:pt idx="40">
                  <c:v>0.31729460720019</c:v>
                </c:pt>
                <c:pt idx="41">
                  <c:v>0.351550276052767</c:v>
                </c:pt>
                <c:pt idx="42">
                  <c:v>0.355469455695062</c:v>
                </c:pt>
                <c:pt idx="43">
                  <c:v>0.315467870812327</c:v>
                </c:pt>
                <c:pt idx="44">
                  <c:v>0.374034168877504</c:v>
                </c:pt>
                <c:pt idx="45">
                  <c:v>0.387254624712756</c:v>
                </c:pt>
                <c:pt idx="46">
                  <c:v>0.361369967607057</c:v>
                </c:pt>
                <c:pt idx="47">
                  <c:v>0.343014168864655</c:v>
                </c:pt>
                <c:pt idx="48">
                  <c:v>0.351654365388228</c:v>
                </c:pt>
                <c:pt idx="49">
                  <c:v>0.328513525273903</c:v>
                </c:pt>
                <c:pt idx="50">
                  <c:v>0.283870711787943</c:v>
                </c:pt>
              </c:numCache>
            </c:numRef>
          </c:val>
          <c:smooth val="0"/>
        </c:ser>
        <c:ser>
          <c:idx val="1"/>
          <c:order val="1"/>
          <c:tx>
            <c:strRef>
              <c:f>'Assets(MOFA)'!$EK$3</c:f>
              <c:strCache>
                <c:ptCount val="1"/>
                <c:pt idx="0">
                  <c:v>Havens (excl. Oil)</c:v>
                </c:pt>
              </c:strCache>
            </c:strRef>
          </c:tx>
          <c:marker>
            <c:symbol val="none"/>
          </c:marker>
          <c:val>
            <c:numRef>
              <c:f>'Assets(MOFA)'!$EK$11:$EK$61</c:f>
              <c:numCache>
                <c:formatCode>0%</c:formatCode>
                <c:ptCount val="51"/>
                <c:pt idx="0">
                  <c:v>0.372141992127512</c:v>
                </c:pt>
                <c:pt idx="1">
                  <c:v>0.395898713698826</c:v>
                </c:pt>
                <c:pt idx="2">
                  <c:v>0.395051594367474</c:v>
                </c:pt>
                <c:pt idx="3">
                  <c:v>0.416874591870967</c:v>
                </c:pt>
                <c:pt idx="4">
                  <c:v>0.516105771579539</c:v>
                </c:pt>
                <c:pt idx="5">
                  <c:v>0.617340373604286</c:v>
                </c:pt>
                <c:pt idx="6">
                  <c:v>0.626647679160341</c:v>
                </c:pt>
                <c:pt idx="7">
                  <c:v>0.703741163004469</c:v>
                </c:pt>
                <c:pt idx="8">
                  <c:v>0.798645558320956</c:v>
                </c:pt>
                <c:pt idx="9">
                  <c:v>0.812753053352482</c:v>
                </c:pt>
                <c:pt idx="10">
                  <c:v>0.782752128759217</c:v>
                </c:pt>
                <c:pt idx="11">
                  <c:v>0.706455369416158</c:v>
                </c:pt>
                <c:pt idx="12">
                  <c:v>0.950832612844067</c:v>
                </c:pt>
                <c:pt idx="13">
                  <c:v>1.355910910792363</c:v>
                </c:pt>
                <c:pt idx="14">
                  <c:v>1.398667506502985</c:v>
                </c:pt>
                <c:pt idx="15">
                  <c:v>1.180761841446319</c:v>
                </c:pt>
                <c:pt idx="16">
                  <c:v>1.323044565711687</c:v>
                </c:pt>
                <c:pt idx="17">
                  <c:v>1.345162364006316</c:v>
                </c:pt>
                <c:pt idx="18">
                  <c:v>1.476296158883134</c:v>
                </c:pt>
                <c:pt idx="19">
                  <c:v>1.593949112719926</c:v>
                </c:pt>
                <c:pt idx="20">
                  <c:v>1.261221561424591</c:v>
                </c:pt>
                <c:pt idx="21">
                  <c:v>1.559065839823395</c:v>
                </c:pt>
                <c:pt idx="22">
                  <c:v>1.251608412504476</c:v>
                </c:pt>
                <c:pt idx="23">
                  <c:v>1.452274054143725</c:v>
                </c:pt>
                <c:pt idx="24">
                  <c:v>1.336963908618807</c:v>
                </c:pt>
                <c:pt idx="25">
                  <c:v>1.069705404336151</c:v>
                </c:pt>
                <c:pt idx="26">
                  <c:v>0.956095119410324</c:v>
                </c:pt>
                <c:pt idx="27">
                  <c:v>0.958347473146941</c:v>
                </c:pt>
                <c:pt idx="28">
                  <c:v>0.930364228149344</c:v>
                </c:pt>
                <c:pt idx="29">
                  <c:v>1.231723815580672</c:v>
                </c:pt>
                <c:pt idx="30">
                  <c:v>1.224174824343396</c:v>
                </c:pt>
                <c:pt idx="31">
                  <c:v>1.596854767069582</c:v>
                </c:pt>
                <c:pt idx="32">
                  <c:v>1.573392754042552</c:v>
                </c:pt>
                <c:pt idx="33">
                  <c:v>1.462174999778585</c:v>
                </c:pt>
                <c:pt idx="34">
                  <c:v>1.741482561816697</c:v>
                </c:pt>
                <c:pt idx="35">
                  <c:v>1.526627132018375</c:v>
                </c:pt>
                <c:pt idx="36">
                  <c:v>1.614790196899981</c:v>
                </c:pt>
                <c:pt idx="37">
                  <c:v>1.988936883751831</c:v>
                </c:pt>
                <c:pt idx="38">
                  <c:v>2.338498899116626</c:v>
                </c:pt>
                <c:pt idx="39">
                  <c:v>2.211080030553738</c:v>
                </c:pt>
                <c:pt idx="40">
                  <c:v>2.441169408470604</c:v>
                </c:pt>
                <c:pt idx="41">
                  <c:v>2.67258857237288</c:v>
                </c:pt>
                <c:pt idx="42">
                  <c:v>2.209043593071001</c:v>
                </c:pt>
                <c:pt idx="43">
                  <c:v>2.514098938363867</c:v>
                </c:pt>
                <c:pt idx="44">
                  <c:v>2.379849129212503</c:v>
                </c:pt>
                <c:pt idx="45">
                  <c:v>2.826776965713782</c:v>
                </c:pt>
                <c:pt idx="46">
                  <c:v>2.921112304285458</c:v>
                </c:pt>
                <c:pt idx="47">
                  <c:v>2.572631238481437</c:v>
                </c:pt>
                <c:pt idx="48">
                  <c:v>2.782330330207977</c:v>
                </c:pt>
                <c:pt idx="49">
                  <c:v>3.236569133378145</c:v>
                </c:pt>
                <c:pt idx="50">
                  <c:v>3.214984888651426</c:v>
                </c:pt>
              </c:numCache>
            </c:numRef>
          </c:val>
          <c:smooth val="0"/>
        </c:ser>
        <c:ser>
          <c:idx val="2"/>
          <c:order val="2"/>
          <c:tx>
            <c:strRef>
              <c:f>'Assets(MOFA)'!$EL$3</c:f>
              <c:strCache>
                <c:ptCount val="1"/>
                <c:pt idx="0">
                  <c:v>Oil</c:v>
                </c:pt>
              </c:strCache>
            </c:strRef>
          </c:tx>
          <c:marker>
            <c:symbol val="none"/>
          </c:marker>
          <c:val>
            <c:numRef>
              <c:f>'Assets(MOFA)'!$EL$11:$EL$61</c:f>
              <c:numCache>
                <c:formatCode>0%</c:formatCode>
                <c:ptCount val="51"/>
                <c:pt idx="0">
                  <c:v>0.764272325375774</c:v>
                </c:pt>
                <c:pt idx="1">
                  <c:v>0.90563451069343</c:v>
                </c:pt>
                <c:pt idx="2">
                  <c:v>1.031362129955005</c:v>
                </c:pt>
                <c:pt idx="3">
                  <c:v>1.011013755553134</c:v>
                </c:pt>
                <c:pt idx="4">
                  <c:v>1.246203131814764</c:v>
                </c:pt>
                <c:pt idx="5">
                  <c:v>1.419622099213007</c:v>
                </c:pt>
                <c:pt idx="6">
                  <c:v>1.409540794928122</c:v>
                </c:pt>
                <c:pt idx="7">
                  <c:v>2.59656204340292</c:v>
                </c:pt>
                <c:pt idx="8">
                  <c:v>2.998648285081564</c:v>
                </c:pt>
                <c:pt idx="9">
                  <c:v>1.488919093889134</c:v>
                </c:pt>
                <c:pt idx="10">
                  <c:v>1.326175235381524</c:v>
                </c:pt>
                <c:pt idx="11">
                  <c:v>1.14622641509434</c:v>
                </c:pt>
                <c:pt idx="12">
                  <c:v>1.149754688779966</c:v>
                </c:pt>
                <c:pt idx="13">
                  <c:v>2.007072138769499</c:v>
                </c:pt>
                <c:pt idx="14">
                  <c:v>1.492917893956809</c:v>
                </c:pt>
                <c:pt idx="15">
                  <c:v>1.188802839033406</c:v>
                </c:pt>
                <c:pt idx="16">
                  <c:v>0.78125</c:v>
                </c:pt>
                <c:pt idx="17">
                  <c:v>0.96509009009009</c:v>
                </c:pt>
                <c:pt idx="18">
                  <c:v>1.015579039111014</c:v>
                </c:pt>
                <c:pt idx="19">
                  <c:v>0.980611045828437</c:v>
                </c:pt>
                <c:pt idx="20">
                  <c:v>0.679773958088062</c:v>
                </c:pt>
                <c:pt idx="21">
                  <c:v>0.69429684732554</c:v>
                </c:pt>
                <c:pt idx="22">
                  <c:v>0.58685604779619</c:v>
                </c:pt>
                <c:pt idx="23">
                  <c:v>0.575078150264094</c:v>
                </c:pt>
                <c:pt idx="24">
                  <c:v>1.187967067764408</c:v>
                </c:pt>
                <c:pt idx="25">
                  <c:v>1.122673849167483</c:v>
                </c:pt>
                <c:pt idx="26">
                  <c:v>0.741154343481838</c:v>
                </c:pt>
                <c:pt idx="27">
                  <c:v>1.10092778335005</c:v>
                </c:pt>
                <c:pt idx="28">
                  <c:v>0.929216499877959</c:v>
                </c:pt>
                <c:pt idx="29">
                  <c:v>1.048627543776621</c:v>
                </c:pt>
                <c:pt idx="30">
                  <c:v>1.399208592425099</c:v>
                </c:pt>
                <c:pt idx="31">
                  <c:v>1.518317208392217</c:v>
                </c:pt>
                <c:pt idx="32">
                  <c:v>0.912046109510086</c:v>
                </c:pt>
                <c:pt idx="33">
                  <c:v>1.81859375</c:v>
                </c:pt>
                <c:pt idx="34">
                  <c:v>3.424003504161191</c:v>
                </c:pt>
                <c:pt idx="35">
                  <c:v>3.023834988540871</c:v>
                </c:pt>
                <c:pt idx="36">
                  <c:v>2.476218266705573</c:v>
                </c:pt>
                <c:pt idx="37">
                  <c:v>3.346730335588274</c:v>
                </c:pt>
                <c:pt idx="38">
                  <c:v>4.918450044320628</c:v>
                </c:pt>
                <c:pt idx="39">
                  <c:v>6.628652769883748</c:v>
                </c:pt>
                <c:pt idx="40">
                  <c:v>7.135705764631427</c:v>
                </c:pt>
                <c:pt idx="41">
                  <c:v>6.51137129036372</c:v>
                </c:pt>
                <c:pt idx="42">
                  <c:v>7.596474223181485</c:v>
                </c:pt>
                <c:pt idx="43">
                  <c:v>3.851057459100542</c:v>
                </c:pt>
                <c:pt idx="44">
                  <c:v>4.89282917278512</c:v>
                </c:pt>
                <c:pt idx="45">
                  <c:v>5.635583567469056</c:v>
                </c:pt>
                <c:pt idx="46">
                  <c:v>5.223121725883166</c:v>
                </c:pt>
                <c:pt idx="47">
                  <c:v>5.160237314458834</c:v>
                </c:pt>
                <c:pt idx="48">
                  <c:v>4.260907713169019</c:v>
                </c:pt>
                <c:pt idx="49">
                  <c:v>1.542909362798039</c:v>
                </c:pt>
                <c:pt idx="50">
                  <c:v>0.690886222910217</c:v>
                </c:pt>
              </c:numCache>
            </c:numRef>
          </c:val>
          <c:smooth val="0"/>
        </c:ser>
        <c:dLbls>
          <c:showLegendKey val="0"/>
          <c:showVal val="0"/>
          <c:showCatName val="0"/>
          <c:showSerName val="0"/>
          <c:showPercent val="0"/>
          <c:showBubbleSize val="0"/>
        </c:dLbls>
        <c:marker val="1"/>
        <c:smooth val="0"/>
        <c:axId val="-2078375704"/>
        <c:axId val="-2078372728"/>
      </c:lineChart>
      <c:catAx>
        <c:axId val="-2078375704"/>
        <c:scaling>
          <c:orientation val="minMax"/>
        </c:scaling>
        <c:delete val="0"/>
        <c:axPos val="b"/>
        <c:majorTickMark val="out"/>
        <c:minorTickMark val="none"/>
        <c:tickLblPos val="nextTo"/>
        <c:crossAx val="-2078372728"/>
        <c:crosses val="autoZero"/>
        <c:auto val="1"/>
        <c:lblAlgn val="ctr"/>
        <c:lblOffset val="100"/>
        <c:noMultiLvlLbl val="0"/>
      </c:catAx>
      <c:valAx>
        <c:axId val="-2078372728"/>
        <c:scaling>
          <c:orientation val="minMax"/>
        </c:scaling>
        <c:delete val="0"/>
        <c:axPos val="l"/>
        <c:majorGridlines/>
        <c:numFmt formatCode="0%" sourceLinked="1"/>
        <c:majorTickMark val="out"/>
        <c:minorTickMark val="none"/>
        <c:tickLblPos val="nextTo"/>
        <c:crossAx val="-2078375704"/>
        <c:crosses val="autoZero"/>
        <c:crossBetween val="between"/>
      </c:valAx>
    </c:plotArea>
    <c:legend>
      <c:legendPos val="r"/>
      <c:layout>
        <c:manualLayout>
          <c:xMode val="edge"/>
          <c:yMode val="edge"/>
          <c:x val="0.254180227471566"/>
          <c:y val="0.263312919218431"/>
          <c:w val="0.326851098836526"/>
          <c:h val="0.278929352580927"/>
        </c:manualLayout>
      </c:layout>
      <c:overlay val="0"/>
    </c:legend>
    <c:plotVisOnly val="1"/>
    <c:dispBlanksAs val="gap"/>
    <c:showDLblsOverMax val="0"/>
  </c:chart>
  <c:printSettings>
    <c:headerFooter/>
    <c:pageMargins b="1.0" l="0.75" r="0.75" t="1.0"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000"/>
              <a:t>Figure A.1c: Return on US direct</a:t>
            </a:r>
            <a:r>
              <a:rPr lang="en-US" sz="2000" baseline="0"/>
              <a:t> investment</a:t>
            </a:r>
            <a:r>
              <a:rPr lang="en-US" sz="2000"/>
              <a:t> equity assets &amp;</a:t>
            </a:r>
            <a:r>
              <a:rPr lang="en-US" sz="2000" baseline="0"/>
              <a:t> liabilities</a:t>
            </a:r>
            <a:r>
              <a:rPr lang="en-US" sz="2000" b="0" baseline="0"/>
              <a:t> (with current-cost adjust. for income)</a:t>
            </a:r>
          </a:p>
        </c:rich>
      </c:tx>
      <c:layout>
        <c:manualLayout>
          <c:xMode val="edge"/>
          <c:yMode val="edge"/>
          <c:x val="0.160524934383202"/>
          <c:y val="0.0"/>
        </c:manualLayout>
      </c:layout>
      <c:overlay val="0"/>
    </c:title>
    <c:autoTitleDeleted val="0"/>
    <c:plotArea>
      <c:layout>
        <c:manualLayout>
          <c:layoutTarget val="inner"/>
          <c:xMode val="edge"/>
          <c:yMode val="edge"/>
          <c:x val="0.0905280839895013"/>
          <c:y val="0.138071466556876"/>
          <c:w val="0.879312717586859"/>
          <c:h val="0.77728097713276"/>
        </c:manualLayout>
      </c:layout>
      <c:lineChart>
        <c:grouping val="standard"/>
        <c:varyColors val="0"/>
        <c:ser>
          <c:idx val="0"/>
          <c:order val="0"/>
          <c:spPr>
            <a:ln w="38100">
              <a:solidFill>
                <a:schemeClr val="accent2">
                  <a:lumMod val="75000"/>
                </a:schemeClr>
              </a:solidFill>
            </a:ln>
          </c:spPr>
          <c:marker>
            <c:symbol val="none"/>
          </c:marker>
          <c:cat>
            <c:numRef>
              <c:f>DataFA1bc!$A$3:$A$54</c:f>
              <c:numCache>
                <c:formatCode>General</c:formatCode>
                <c:ptCount val="52"/>
                <c:pt idx="0">
                  <c:v>1965.0</c:v>
                </c:pt>
                <c:pt idx="1">
                  <c:v>1966.0</c:v>
                </c:pt>
                <c:pt idx="2">
                  <c:v>1967.0</c:v>
                </c:pt>
                <c:pt idx="3">
                  <c:v>1968.0</c:v>
                </c:pt>
                <c:pt idx="4">
                  <c:v>1969.0</c:v>
                </c:pt>
                <c:pt idx="5">
                  <c:v>1970.0</c:v>
                </c:pt>
                <c:pt idx="6">
                  <c:v>1971.0</c:v>
                </c:pt>
                <c:pt idx="7">
                  <c:v>1972.0</c:v>
                </c:pt>
                <c:pt idx="8">
                  <c:v>1973.0</c:v>
                </c:pt>
                <c:pt idx="9">
                  <c:v>1974.0</c:v>
                </c:pt>
                <c:pt idx="10">
                  <c:v>1975.0</c:v>
                </c:pt>
                <c:pt idx="11">
                  <c:v>1976.0</c:v>
                </c:pt>
                <c:pt idx="12">
                  <c:v>1977.0</c:v>
                </c:pt>
                <c:pt idx="13">
                  <c:v>1978.0</c:v>
                </c:pt>
                <c:pt idx="14">
                  <c:v>1979.0</c:v>
                </c:pt>
                <c:pt idx="15">
                  <c:v>1980.0</c:v>
                </c:pt>
                <c:pt idx="16">
                  <c:v>1981.0</c:v>
                </c:pt>
                <c:pt idx="17">
                  <c:v>1982.0</c:v>
                </c:pt>
                <c:pt idx="18">
                  <c:v>1983.0</c:v>
                </c:pt>
                <c:pt idx="19">
                  <c:v>1984.0</c:v>
                </c:pt>
                <c:pt idx="20">
                  <c:v>1985.0</c:v>
                </c:pt>
                <c:pt idx="21">
                  <c:v>1986.0</c:v>
                </c:pt>
                <c:pt idx="22">
                  <c:v>1987.0</c:v>
                </c:pt>
                <c:pt idx="23">
                  <c:v>1988.0</c:v>
                </c:pt>
                <c:pt idx="24">
                  <c:v>1989.0</c:v>
                </c:pt>
                <c:pt idx="25">
                  <c:v>1990.0</c:v>
                </c:pt>
                <c:pt idx="26">
                  <c:v>1991.0</c:v>
                </c:pt>
                <c:pt idx="27">
                  <c:v>1992.0</c:v>
                </c:pt>
                <c:pt idx="28">
                  <c:v>1993.0</c:v>
                </c:pt>
                <c:pt idx="29">
                  <c:v>1994.0</c:v>
                </c:pt>
                <c:pt idx="30">
                  <c:v>1995.0</c:v>
                </c:pt>
                <c:pt idx="31">
                  <c:v>1996.0</c:v>
                </c:pt>
                <c:pt idx="32">
                  <c:v>1997.0</c:v>
                </c:pt>
                <c:pt idx="33">
                  <c:v>1998.0</c:v>
                </c:pt>
                <c:pt idx="34">
                  <c:v>1999.0</c:v>
                </c:pt>
                <c:pt idx="35">
                  <c:v>2000.0</c:v>
                </c:pt>
                <c:pt idx="36">
                  <c:v>2001.0</c:v>
                </c:pt>
                <c:pt idx="37">
                  <c:v>2002.0</c:v>
                </c:pt>
                <c:pt idx="38">
                  <c:v>2003.0</c:v>
                </c:pt>
                <c:pt idx="39">
                  <c:v>2004.0</c:v>
                </c:pt>
                <c:pt idx="40">
                  <c:v>2005.0</c:v>
                </c:pt>
                <c:pt idx="41">
                  <c:v>2006.0</c:v>
                </c:pt>
                <c:pt idx="42">
                  <c:v>2007.0</c:v>
                </c:pt>
                <c:pt idx="43">
                  <c:v>2008.0</c:v>
                </c:pt>
                <c:pt idx="44">
                  <c:v>2009.0</c:v>
                </c:pt>
                <c:pt idx="45">
                  <c:v>2010.0</c:v>
                </c:pt>
                <c:pt idx="46">
                  <c:v>2011.0</c:v>
                </c:pt>
                <c:pt idx="47">
                  <c:v>2012.0</c:v>
                </c:pt>
                <c:pt idx="48">
                  <c:v>2013.0</c:v>
                </c:pt>
                <c:pt idx="49">
                  <c:v>2014.0</c:v>
                </c:pt>
                <c:pt idx="50">
                  <c:v>2015.0</c:v>
                </c:pt>
                <c:pt idx="51">
                  <c:v>2016.0</c:v>
                </c:pt>
              </c:numCache>
            </c:numRef>
          </c:cat>
          <c:val>
            <c:numRef>
              <c:f>DataFA1bc!$E$3:$E$54</c:f>
              <c:numCache>
                <c:formatCode>0.0%</c:formatCode>
                <c:ptCount val="52"/>
                <c:pt idx="1">
                  <c:v>0.0875275360820033</c:v>
                </c:pt>
                <c:pt idx="2">
                  <c:v>0.0936374249015352</c:v>
                </c:pt>
                <c:pt idx="3">
                  <c:v>0.0925764984694709</c:v>
                </c:pt>
                <c:pt idx="4">
                  <c:v>0.0792754285720135</c:v>
                </c:pt>
                <c:pt idx="5">
                  <c:v>0.0715979469226787</c:v>
                </c:pt>
                <c:pt idx="6">
                  <c:v>0.0946920754720077</c:v>
                </c:pt>
                <c:pt idx="7">
                  <c:v>0.0967013351819669</c:v>
                </c:pt>
                <c:pt idx="8">
                  <c:v>0.100406603890467</c:v>
                </c:pt>
                <c:pt idx="9">
                  <c:v>0.0628675993274353</c:v>
                </c:pt>
                <c:pt idx="10">
                  <c:v>0.0984876777957359</c:v>
                </c:pt>
                <c:pt idx="11">
                  <c:v>0.0707206937569911</c:v>
                </c:pt>
                <c:pt idx="12">
                  <c:v>0.0536036384086668</c:v>
                </c:pt>
                <c:pt idx="13">
                  <c:v>0.0657433556994967</c:v>
                </c:pt>
                <c:pt idx="14">
                  <c:v>0.0722964752034227</c:v>
                </c:pt>
                <c:pt idx="15">
                  <c:v>0.0450466930275602</c:v>
                </c:pt>
                <c:pt idx="16">
                  <c:v>0.032136306711058</c:v>
                </c:pt>
                <c:pt idx="17">
                  <c:v>-0.00108068695233259</c:v>
                </c:pt>
                <c:pt idx="18">
                  <c:v>0.011059988827026</c:v>
                </c:pt>
                <c:pt idx="19">
                  <c:v>0.0297592516164534</c:v>
                </c:pt>
                <c:pt idx="20">
                  <c:v>0.0188339060252517</c:v>
                </c:pt>
                <c:pt idx="21">
                  <c:v>0.0158521934241444</c:v>
                </c:pt>
                <c:pt idx="22">
                  <c:v>0.0159306529868043</c:v>
                </c:pt>
                <c:pt idx="23">
                  <c:v>0.0223385178873472</c:v>
                </c:pt>
                <c:pt idx="24">
                  <c:v>-0.00128925341272962</c:v>
                </c:pt>
                <c:pt idx="25">
                  <c:v>-0.0133284772214774</c:v>
                </c:pt>
                <c:pt idx="26">
                  <c:v>-0.0260555960774779</c:v>
                </c:pt>
                <c:pt idx="27">
                  <c:v>-0.0112000075278353</c:v>
                </c:pt>
                <c:pt idx="28">
                  <c:v>0.00364945636451838</c:v>
                </c:pt>
                <c:pt idx="29">
                  <c:v>0.0308080421986087</c:v>
                </c:pt>
                <c:pt idx="30">
                  <c:v>0.0400260732253681</c:v>
                </c:pt>
                <c:pt idx="31">
                  <c:v>0.0391904160184994</c:v>
                </c:pt>
                <c:pt idx="32">
                  <c:v>0.0511377914281725</c:v>
                </c:pt>
                <c:pt idx="33">
                  <c:v>0.0374578686824107</c:v>
                </c:pt>
                <c:pt idx="34">
                  <c:v>0.0432122177254074</c:v>
                </c:pt>
                <c:pt idx="35">
                  <c:v>0.0304907700035115</c:v>
                </c:pt>
                <c:pt idx="36">
                  <c:v>-0.007432503592674</c:v>
                </c:pt>
                <c:pt idx="37">
                  <c:v>0.0192025883360226</c:v>
                </c:pt>
                <c:pt idx="38">
                  <c:v>0.045613270454849</c:v>
                </c:pt>
                <c:pt idx="39">
                  <c:v>0.0594056262723399</c:v>
                </c:pt>
                <c:pt idx="40">
                  <c:v>0.0639210175045744</c:v>
                </c:pt>
                <c:pt idx="41">
                  <c:v>0.0734608134917966</c:v>
                </c:pt>
                <c:pt idx="42">
                  <c:v>0.0539052027907171</c:v>
                </c:pt>
                <c:pt idx="43">
                  <c:v>0.0535821030446539</c:v>
                </c:pt>
                <c:pt idx="44">
                  <c:v>0.0424359826038351</c:v>
                </c:pt>
                <c:pt idx="45">
                  <c:v>0.0583054469270094</c:v>
                </c:pt>
                <c:pt idx="46">
                  <c:v>0.062528912060994</c:v>
                </c:pt>
                <c:pt idx="47">
                  <c:v>0.0551102234559125</c:v>
                </c:pt>
                <c:pt idx="48">
                  <c:v>0.0559840520460752</c:v>
                </c:pt>
                <c:pt idx="49">
                  <c:v>0.0545178783950961</c:v>
                </c:pt>
                <c:pt idx="50">
                  <c:v>0.0398110599861186</c:v>
                </c:pt>
                <c:pt idx="51">
                  <c:v>0.0381565460518136</c:v>
                </c:pt>
              </c:numCache>
            </c:numRef>
          </c:val>
          <c:smooth val="0"/>
        </c:ser>
        <c:dLbls>
          <c:showLegendKey val="0"/>
          <c:showVal val="0"/>
          <c:showCatName val="0"/>
          <c:showSerName val="0"/>
          <c:showPercent val="0"/>
          <c:showBubbleSize val="0"/>
        </c:dLbls>
        <c:marker val="1"/>
        <c:smooth val="0"/>
        <c:axId val="-2099300824"/>
        <c:axId val="-2099358232"/>
      </c:lineChart>
      <c:lineChart>
        <c:grouping val="standard"/>
        <c:varyColors val="0"/>
        <c:ser>
          <c:idx val="1"/>
          <c:order val="1"/>
          <c:spPr>
            <a:ln w="38100">
              <a:solidFill>
                <a:schemeClr val="tx2">
                  <a:lumMod val="75000"/>
                </a:schemeClr>
              </a:solidFill>
            </a:ln>
          </c:spPr>
          <c:marker>
            <c:symbol val="none"/>
          </c:marker>
          <c:val>
            <c:numRef>
              <c:f>DataFA1bc!$C$3:$C$54</c:f>
              <c:numCache>
                <c:formatCode>0.0%</c:formatCode>
                <c:ptCount val="52"/>
                <c:pt idx="1">
                  <c:v>0.103758090328611</c:v>
                </c:pt>
                <c:pt idx="2">
                  <c:v>0.098992723521741</c:v>
                </c:pt>
                <c:pt idx="3">
                  <c:v>0.103161082976289</c:v>
                </c:pt>
                <c:pt idx="4">
                  <c:v>0.10537400265416</c:v>
                </c:pt>
                <c:pt idx="5">
                  <c:v>0.099929201227446</c:v>
                </c:pt>
                <c:pt idx="6">
                  <c:v>0.101653078153774</c:v>
                </c:pt>
                <c:pt idx="7">
                  <c:v>0.101018534463276</c:v>
                </c:pt>
                <c:pt idx="8">
                  <c:v>0.148859373527492</c:v>
                </c:pt>
                <c:pt idx="9">
                  <c:v>0.160593163868387</c:v>
                </c:pt>
                <c:pt idx="10">
                  <c:v>0.12650385868841</c:v>
                </c:pt>
                <c:pt idx="11">
                  <c:v>0.100538840255615</c:v>
                </c:pt>
                <c:pt idx="12">
                  <c:v>0.0884301051823141</c:v>
                </c:pt>
                <c:pt idx="13">
                  <c:v>0.0980918314675704</c:v>
                </c:pt>
                <c:pt idx="14">
                  <c:v>0.122694259509002</c:v>
                </c:pt>
                <c:pt idx="15">
                  <c:v>0.103904568695857</c:v>
                </c:pt>
                <c:pt idx="16">
                  <c:v>0.0871893306027497</c:v>
                </c:pt>
                <c:pt idx="17">
                  <c:v>0.0740860753527558</c:v>
                </c:pt>
                <c:pt idx="18">
                  <c:v>0.0835944837131135</c:v>
                </c:pt>
                <c:pt idx="19">
                  <c:v>0.09421849415133</c:v>
                </c:pt>
                <c:pt idx="20">
                  <c:v>0.0902553131465112</c:v>
                </c:pt>
                <c:pt idx="21">
                  <c:v>0.0864595643720665</c:v>
                </c:pt>
                <c:pt idx="22">
                  <c:v>0.0929051528054338</c:v>
                </c:pt>
                <c:pt idx="23">
                  <c:v>0.108839091487684</c:v>
                </c:pt>
                <c:pt idx="24">
                  <c:v>0.109837383087989</c:v>
                </c:pt>
                <c:pt idx="25">
                  <c:v>0.103660379489121</c:v>
                </c:pt>
                <c:pt idx="26">
                  <c:v>0.0884198498822668</c:v>
                </c:pt>
                <c:pt idx="27">
                  <c:v>0.0862096531487473</c:v>
                </c:pt>
                <c:pt idx="28">
                  <c:v>0.0969141914688063</c:v>
                </c:pt>
                <c:pt idx="29">
                  <c:v>0.101368949810683</c:v>
                </c:pt>
                <c:pt idx="30">
                  <c:v>0.110669275778171</c:v>
                </c:pt>
                <c:pt idx="31">
                  <c:v>0.107225596529284</c:v>
                </c:pt>
                <c:pt idx="32">
                  <c:v>0.112357708531554</c:v>
                </c:pt>
                <c:pt idx="33">
                  <c:v>0.0905442029798573</c:v>
                </c:pt>
                <c:pt idx="34">
                  <c:v>0.0985409687587753</c:v>
                </c:pt>
                <c:pt idx="35">
                  <c:v>0.102419887312455</c:v>
                </c:pt>
                <c:pt idx="36">
                  <c:v>0.0772774057784229</c:v>
                </c:pt>
                <c:pt idx="37">
                  <c:v>0.0793323684242179</c:v>
                </c:pt>
                <c:pt idx="38">
                  <c:v>0.0914133542584134</c:v>
                </c:pt>
                <c:pt idx="39">
                  <c:v>0.0984594197387488</c:v>
                </c:pt>
                <c:pt idx="40">
                  <c:v>0.105197035765908</c:v>
                </c:pt>
                <c:pt idx="41">
                  <c:v>0.10349974476705</c:v>
                </c:pt>
                <c:pt idx="42">
                  <c:v>0.100113644776155</c:v>
                </c:pt>
                <c:pt idx="43">
                  <c:v>0.105826064356146</c:v>
                </c:pt>
                <c:pt idx="44">
                  <c:v>0.0892425521598416</c:v>
                </c:pt>
                <c:pt idx="45">
                  <c:v>0.102490489433948</c:v>
                </c:pt>
                <c:pt idx="46">
                  <c:v>0.101302274932249</c:v>
                </c:pt>
                <c:pt idx="47">
                  <c:v>0.0918860207125271</c:v>
                </c:pt>
                <c:pt idx="48">
                  <c:v>0.0900910870760424</c:v>
                </c:pt>
                <c:pt idx="49">
                  <c:v>0.08441933505878</c:v>
                </c:pt>
                <c:pt idx="50">
                  <c:v>0.0748438812877715</c:v>
                </c:pt>
                <c:pt idx="51">
                  <c:v>0.071104895285065</c:v>
                </c:pt>
              </c:numCache>
            </c:numRef>
          </c:val>
          <c:smooth val="0"/>
        </c:ser>
        <c:dLbls>
          <c:showLegendKey val="0"/>
          <c:showVal val="0"/>
          <c:showCatName val="0"/>
          <c:showSerName val="0"/>
          <c:showPercent val="0"/>
          <c:showBubbleSize val="0"/>
        </c:dLbls>
        <c:marker val="1"/>
        <c:smooth val="0"/>
        <c:axId val="-2100250408"/>
        <c:axId val="-2099375864"/>
      </c:lineChart>
      <c:catAx>
        <c:axId val="-2099300824"/>
        <c:scaling>
          <c:orientation val="minMax"/>
        </c:scaling>
        <c:delete val="0"/>
        <c:axPos val="b"/>
        <c:numFmt formatCode="General" sourceLinked="1"/>
        <c:majorTickMark val="none"/>
        <c:minorTickMark val="none"/>
        <c:tickLblPos val="low"/>
        <c:spPr>
          <a:ln w="3175">
            <a:solidFill>
              <a:schemeClr val="tx1"/>
            </a:solidFill>
          </a:ln>
        </c:spPr>
        <c:txPr>
          <a:bodyPr rot="0" vert="horz"/>
          <a:lstStyle/>
          <a:p>
            <a:pPr>
              <a:defRPr sz="1600"/>
            </a:pPr>
            <a:endParaRPr lang="fr-FR"/>
          </a:p>
        </c:txPr>
        <c:crossAx val="-2099358232"/>
        <c:crosses val="autoZero"/>
        <c:auto val="1"/>
        <c:lblAlgn val="ctr"/>
        <c:lblOffset val="100"/>
        <c:tickLblSkip val="5"/>
        <c:tickMarkSkip val="5"/>
        <c:noMultiLvlLbl val="0"/>
      </c:catAx>
      <c:valAx>
        <c:axId val="-2099358232"/>
        <c:scaling>
          <c:orientation val="minMax"/>
          <c:max val="0.16"/>
          <c:min val="-0.04"/>
        </c:scaling>
        <c:delete val="0"/>
        <c:axPos val="l"/>
        <c:numFmt formatCode="0%" sourceLinked="0"/>
        <c:majorTickMark val="none"/>
        <c:minorTickMark val="none"/>
        <c:tickLblPos val="nextTo"/>
        <c:txPr>
          <a:bodyPr/>
          <a:lstStyle/>
          <a:p>
            <a:pPr>
              <a:defRPr sz="1600"/>
            </a:pPr>
            <a:endParaRPr lang="fr-FR"/>
          </a:p>
        </c:txPr>
        <c:crossAx val="-2099300824"/>
        <c:crosses val="autoZero"/>
        <c:crossBetween val="between"/>
        <c:majorUnit val="0.02"/>
      </c:valAx>
      <c:valAx>
        <c:axId val="-2099375864"/>
        <c:scaling>
          <c:orientation val="minMax"/>
          <c:max val="0.02"/>
          <c:min val="-0.06"/>
        </c:scaling>
        <c:delete val="1"/>
        <c:axPos val="r"/>
        <c:numFmt formatCode="0%" sourceLinked="0"/>
        <c:majorTickMark val="none"/>
        <c:minorTickMark val="none"/>
        <c:tickLblPos val="nextTo"/>
        <c:crossAx val="-2100250408"/>
        <c:crosses val="max"/>
        <c:crossBetween val="between"/>
      </c:valAx>
      <c:catAx>
        <c:axId val="-2100250408"/>
        <c:scaling>
          <c:orientation val="minMax"/>
        </c:scaling>
        <c:delete val="1"/>
        <c:axPos val="b"/>
        <c:numFmt formatCode="General" sourceLinked="1"/>
        <c:majorTickMark val="out"/>
        <c:minorTickMark val="none"/>
        <c:tickLblPos val="nextTo"/>
        <c:crossAx val="-2099375864"/>
        <c:crosses val="autoZero"/>
        <c:auto val="1"/>
        <c:lblAlgn val="ctr"/>
        <c:lblOffset val="100"/>
        <c:noMultiLvlLbl val="0"/>
      </c:catAx>
      <c:spPr>
        <a:ln>
          <a:solidFill>
            <a:schemeClr val="bg1">
              <a:lumMod val="85000"/>
            </a:schemeClr>
          </a:solidFill>
        </a:ln>
      </c:spPr>
    </c:plotArea>
    <c:plotVisOnly val="1"/>
    <c:dispBlanksAs val="gap"/>
    <c:showDLblsOverMax val="0"/>
  </c:chart>
  <c:spPr>
    <a:ln>
      <a:noFill/>
    </a:ln>
  </c:spPr>
  <c:txPr>
    <a:bodyPr/>
    <a:lstStyle/>
    <a:p>
      <a:pPr>
        <a:defRPr>
          <a:latin typeface="Arial"/>
          <a:cs typeface="Arial"/>
        </a:defRPr>
      </a:pPr>
      <a:endParaRPr lang="fr-FR"/>
    </a:p>
  </c:txPr>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areaChart>
        <c:grouping val="stacked"/>
        <c:varyColors val="0"/>
        <c:ser>
          <c:idx val="0"/>
          <c:order val="0"/>
          <c:cat>
            <c:numRef>
              <c:f>'Assets(MOFA)'!$A$27:$A$61</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'Assets(MOFA)'!$CV$27:$CV$60</c:f>
              <c:numCache>
                <c:formatCode>0%</c:formatCode>
                <c:ptCount val="34"/>
                <c:pt idx="0" formatCode="0.0%">
                  <c:v>0.0307869678466203</c:v>
                </c:pt>
                <c:pt idx="1">
                  <c:v>0.0331040412725709</c:v>
                </c:pt>
                <c:pt idx="2">
                  <c:v>0.0351439769377773</c:v>
                </c:pt>
                <c:pt idx="3">
                  <c:v>0.0368203949147958</c:v>
                </c:pt>
                <c:pt idx="4">
                  <c:v>0.0260139158778913</c:v>
                </c:pt>
                <c:pt idx="5">
                  <c:v>0.0452246006838728</c:v>
                </c:pt>
                <c:pt idx="6">
                  <c:v>0.0360748609003541</c:v>
                </c:pt>
                <c:pt idx="7">
                  <c:v>0.0501118482687417</c:v>
                </c:pt>
                <c:pt idx="8">
                  <c:v>0.0564464278960705</c:v>
                </c:pt>
                <c:pt idx="9">
                  <c:v>0.0597535757366879</c:v>
                </c:pt>
                <c:pt idx="10">
                  <c:v>0.0737821847010126</c:v>
                </c:pt>
                <c:pt idx="11">
                  <c:v>0.0607426573143862</c:v>
                </c:pt>
                <c:pt idx="12">
                  <c:v>0.0622584182802078</c:v>
                </c:pt>
                <c:pt idx="13">
                  <c:v>0.060647484851273</c:v>
                </c:pt>
                <c:pt idx="14">
                  <c:v>0.0591104060168047</c:v>
                </c:pt>
                <c:pt idx="15">
                  <c:v>0.0755969678480201</c:v>
                </c:pt>
                <c:pt idx="16">
                  <c:v>0.116080822572932</c:v>
                </c:pt>
                <c:pt idx="17">
                  <c:v>0.104966559326232</c:v>
                </c:pt>
                <c:pt idx="18">
                  <c:v>0.0991063958559553</c:v>
                </c:pt>
                <c:pt idx="19">
                  <c:v>0.133187569780424</c:v>
                </c:pt>
                <c:pt idx="20">
                  <c:v>0.157157569515963</c:v>
                </c:pt>
                <c:pt idx="21">
                  <c:v>0.144155782667217</c:v>
                </c:pt>
                <c:pt idx="22">
                  <c:v>0.149825387801511</c:v>
                </c:pt>
                <c:pt idx="23">
                  <c:v>0.12503615626627</c:v>
                </c:pt>
                <c:pt idx="24">
                  <c:v>0.140727145325551</c:v>
                </c:pt>
                <c:pt idx="25">
                  <c:v>0.148887960349086</c:v>
                </c:pt>
                <c:pt idx="26">
                  <c:v>0.113330351296862</c:v>
                </c:pt>
                <c:pt idx="27">
                  <c:v>0.144661285025324</c:v>
                </c:pt>
                <c:pt idx="28">
                  <c:v>0.146256659387654</c:v>
                </c:pt>
                <c:pt idx="29">
                  <c:v>0.152314896402407</c:v>
                </c:pt>
                <c:pt idx="30">
                  <c:v>0.170595808176334</c:v>
                </c:pt>
                <c:pt idx="31">
                  <c:v>0.155800160270584</c:v>
                </c:pt>
                <c:pt idx="32">
                  <c:v>0.137110449292503</c:v>
                </c:pt>
                <c:pt idx="33">
                  <c:v>0.180271792246475</c:v>
                </c:pt>
              </c:numCache>
            </c:numRef>
          </c:val>
        </c:ser>
        <c:ser>
          <c:idx val="2"/>
          <c:order val="1"/>
          <c:cat>
            <c:numRef>
              <c:f>'Assets(MOFA)'!$A$27:$A$61</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'Assets(MOFA)'!$CX$27:$CX$60</c:f>
              <c:numCache>
                <c:formatCode>0%</c:formatCode>
                <c:ptCount val="34"/>
                <c:pt idx="0" formatCode="0.0%">
                  <c:v>0.0225884965199197</c:v>
                </c:pt>
                <c:pt idx="1">
                  <c:v>0.035432788764689</c:v>
                </c:pt>
                <c:pt idx="2">
                  <c:v>0.0324231529167881</c:v>
                </c:pt>
                <c:pt idx="3">
                  <c:v>0.0415201514741682</c:v>
                </c:pt>
                <c:pt idx="4">
                  <c:v>0.0542217764683758</c:v>
                </c:pt>
                <c:pt idx="5">
                  <c:v>0.0633987540400019</c:v>
                </c:pt>
                <c:pt idx="6">
                  <c:v>0.0631461810824481</c:v>
                </c:pt>
                <c:pt idx="7">
                  <c:v>0.0571860122746305</c:v>
                </c:pt>
                <c:pt idx="8">
                  <c:v>0.0623463560379713</c:v>
                </c:pt>
                <c:pt idx="9">
                  <c:v>0.060809064277098</c:v>
                </c:pt>
                <c:pt idx="10">
                  <c:v>0.0585346460559856</c:v>
                </c:pt>
                <c:pt idx="11">
                  <c:v>0.0440055790260961</c:v>
                </c:pt>
                <c:pt idx="12">
                  <c:v>0.0449094798914118</c:v>
                </c:pt>
                <c:pt idx="13">
                  <c:v>0.0634866388885238</c:v>
                </c:pt>
                <c:pt idx="14">
                  <c:v>0.0460309066337623</c:v>
                </c:pt>
                <c:pt idx="15">
                  <c:v>0.0605809901031056</c:v>
                </c:pt>
                <c:pt idx="16">
                  <c:v>0.0547106647537063</c:v>
                </c:pt>
                <c:pt idx="17">
                  <c:v>0.0437412269837338</c:v>
                </c:pt>
                <c:pt idx="18">
                  <c:v>0.0507414066254873</c:v>
                </c:pt>
                <c:pt idx="19">
                  <c:v>0.0569524562709341</c:v>
                </c:pt>
                <c:pt idx="20">
                  <c:v>0.0284733460840567</c:v>
                </c:pt>
                <c:pt idx="21">
                  <c:v>0.031823439095822</c:v>
                </c:pt>
                <c:pt idx="22">
                  <c:v>0.036552153550448</c:v>
                </c:pt>
                <c:pt idx="23">
                  <c:v>0.0274876623694481</c:v>
                </c:pt>
                <c:pt idx="24">
                  <c:v>0.017676988860312</c:v>
                </c:pt>
                <c:pt idx="25">
                  <c:v>0.0204233462083304</c:v>
                </c:pt>
                <c:pt idx="26">
                  <c:v>0.0116558729911771</c:v>
                </c:pt>
                <c:pt idx="27">
                  <c:v>0.0146652607560803</c:v>
                </c:pt>
                <c:pt idx="28">
                  <c:v>-0.00156887449912622</c:v>
                </c:pt>
                <c:pt idx="29">
                  <c:v>0.0195387830115052</c:v>
                </c:pt>
                <c:pt idx="30">
                  <c:v>0.028934281685022</c:v>
                </c:pt>
                <c:pt idx="31">
                  <c:v>-0.00803497007657074</c:v>
                </c:pt>
                <c:pt idx="32">
                  <c:v>0.025381060271409</c:v>
                </c:pt>
                <c:pt idx="33">
                  <c:v>0.050503405159709</c:v>
                </c:pt>
              </c:numCache>
            </c:numRef>
          </c:val>
        </c:ser>
        <c:ser>
          <c:idx val="3"/>
          <c:order val="2"/>
          <c:cat>
            <c:numRef>
              <c:f>'Assets(MOFA)'!$A$27:$A$61</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'Assets(MOFA)'!$CY$27:$CY$60</c:f>
              <c:numCache>
                <c:formatCode>0%</c:formatCode>
                <c:ptCount val="34"/>
                <c:pt idx="0" formatCode="0.0%">
                  <c:v>0.0482514197873521</c:v>
                </c:pt>
                <c:pt idx="1">
                  <c:v>0.0361134995700774</c:v>
                </c:pt>
                <c:pt idx="2">
                  <c:v>0.0391928222071065</c:v>
                </c:pt>
                <c:pt idx="3">
                  <c:v>0.0497700838517717</c:v>
                </c:pt>
                <c:pt idx="4">
                  <c:v>0.0431893687707641</c:v>
                </c:pt>
                <c:pt idx="5">
                  <c:v>0.0416881352756569</c:v>
                </c:pt>
                <c:pt idx="6">
                  <c:v>0.0323925139099646</c:v>
                </c:pt>
                <c:pt idx="7">
                  <c:v>0.0325411544270883</c:v>
                </c:pt>
                <c:pt idx="8">
                  <c:v>0.0375174917741386</c:v>
                </c:pt>
                <c:pt idx="9">
                  <c:v>0.0452998449078063</c:v>
                </c:pt>
                <c:pt idx="10">
                  <c:v>0.0270105937653469</c:v>
                </c:pt>
                <c:pt idx="11">
                  <c:v>0.0330294515979058</c:v>
                </c:pt>
                <c:pt idx="12">
                  <c:v>0.036369847005735</c:v>
                </c:pt>
                <c:pt idx="13">
                  <c:v>0.0390252237805439</c:v>
                </c:pt>
                <c:pt idx="14">
                  <c:v>0.0278747282449027</c:v>
                </c:pt>
                <c:pt idx="15">
                  <c:v>0.0277568073466602</c:v>
                </c:pt>
                <c:pt idx="16">
                  <c:v>0.0347680535628886</c:v>
                </c:pt>
                <c:pt idx="17">
                  <c:v>0.0292812319379077</c:v>
                </c:pt>
                <c:pt idx="18">
                  <c:v>0.0261672926642576</c:v>
                </c:pt>
                <c:pt idx="19">
                  <c:v>0.026121138816524</c:v>
                </c:pt>
                <c:pt idx="20">
                  <c:v>0.0352802707076651</c:v>
                </c:pt>
                <c:pt idx="21">
                  <c:v>0.0292532144717174</c:v>
                </c:pt>
                <c:pt idx="22">
                  <c:v>0.0417553263488454</c:v>
                </c:pt>
                <c:pt idx="23">
                  <c:v>0.0429781193401537</c:v>
                </c:pt>
                <c:pt idx="24">
                  <c:v>0.0496030640114024</c:v>
                </c:pt>
                <c:pt idx="25">
                  <c:v>0.0470837622168095</c:v>
                </c:pt>
                <c:pt idx="26">
                  <c:v>0.0537836208405453</c:v>
                </c:pt>
                <c:pt idx="27">
                  <c:v>0.0706815785379682</c:v>
                </c:pt>
                <c:pt idx="28">
                  <c:v>0.058287624972363</c:v>
                </c:pt>
                <c:pt idx="29">
                  <c:v>0.0576244304020543</c:v>
                </c:pt>
                <c:pt idx="30">
                  <c:v>0.0543186430960833</c:v>
                </c:pt>
                <c:pt idx="31">
                  <c:v>0.0854526303940566</c:v>
                </c:pt>
                <c:pt idx="32">
                  <c:v>0.0843296236658734</c:v>
                </c:pt>
                <c:pt idx="33">
                  <c:v>0.0945248548217785</c:v>
                </c:pt>
              </c:numCache>
            </c:numRef>
          </c:val>
        </c:ser>
        <c:ser>
          <c:idx val="4"/>
          <c:order val="3"/>
          <c:cat>
            <c:numRef>
              <c:f>'Assets(MOFA)'!$A$27:$A$61</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'Assets(MOFA)'!$CZ$27:$CZ$60</c:f>
              <c:numCache>
                <c:formatCode>0%</c:formatCode>
                <c:ptCount val="34"/>
                <c:pt idx="0" formatCode="0.0%">
                  <c:v>0.154831547034459</c:v>
                </c:pt>
                <c:pt idx="1">
                  <c:v>0.114717684150186</c:v>
                </c:pt>
                <c:pt idx="2">
                  <c:v>0.102711106792343</c:v>
                </c:pt>
                <c:pt idx="3">
                  <c:v>0.103327021909656</c:v>
                </c:pt>
                <c:pt idx="4">
                  <c:v>0.0729016485927412</c:v>
                </c:pt>
                <c:pt idx="5">
                  <c:v>0.069886177338517</c:v>
                </c:pt>
                <c:pt idx="6">
                  <c:v>0.0298027314112291</c:v>
                </c:pt>
                <c:pt idx="7">
                  <c:v>0.0724241439305585</c:v>
                </c:pt>
                <c:pt idx="8">
                  <c:v>0.0668469422487803</c:v>
                </c:pt>
                <c:pt idx="9">
                  <c:v>0.0632216095123212</c:v>
                </c:pt>
                <c:pt idx="10">
                  <c:v>0.0676083346975047</c:v>
                </c:pt>
                <c:pt idx="11">
                  <c:v>0.0578116472276687</c:v>
                </c:pt>
                <c:pt idx="12">
                  <c:v>0.0490983945490175</c:v>
                </c:pt>
                <c:pt idx="13">
                  <c:v>0.0504738495511245</c:v>
                </c:pt>
                <c:pt idx="14">
                  <c:v>0.0491333215817616</c:v>
                </c:pt>
                <c:pt idx="15">
                  <c:v>0.0722980030404252</c:v>
                </c:pt>
                <c:pt idx="16">
                  <c:v>0.0844811095169775</c:v>
                </c:pt>
                <c:pt idx="17">
                  <c:v>0.0758607877136487</c:v>
                </c:pt>
                <c:pt idx="18">
                  <c:v>0.0733485234170568</c:v>
                </c:pt>
                <c:pt idx="19">
                  <c:v>0.102088760699665</c:v>
                </c:pt>
                <c:pt idx="20">
                  <c:v>0.0791329508116326</c:v>
                </c:pt>
                <c:pt idx="21">
                  <c:v>0.0702347697281649</c:v>
                </c:pt>
                <c:pt idx="22">
                  <c:v>0.0805111129158883</c:v>
                </c:pt>
                <c:pt idx="23">
                  <c:v>0.0734383830472724</c:v>
                </c:pt>
                <c:pt idx="24">
                  <c:v>0.086577432377555</c:v>
                </c:pt>
                <c:pt idx="25">
                  <c:v>0.081058127724047</c:v>
                </c:pt>
                <c:pt idx="26">
                  <c:v>0.0900510187544163</c:v>
                </c:pt>
                <c:pt idx="27">
                  <c:v>0.0819691967295293</c:v>
                </c:pt>
                <c:pt idx="28">
                  <c:v>0.0764780887595291</c:v>
                </c:pt>
                <c:pt idx="29">
                  <c:v>0.0554165302988344</c:v>
                </c:pt>
                <c:pt idx="30">
                  <c:v>0.0628364042148585</c:v>
                </c:pt>
                <c:pt idx="31">
                  <c:v>0.057606286466248</c:v>
                </c:pt>
                <c:pt idx="32">
                  <c:v>0.0804861279336535</c:v>
                </c:pt>
                <c:pt idx="33">
                  <c:v>0.0763769307539959</c:v>
                </c:pt>
              </c:numCache>
            </c:numRef>
          </c:val>
        </c:ser>
        <c:ser>
          <c:idx val="5"/>
          <c:order val="4"/>
          <c:spPr>
            <a:ln w="25400">
              <a:noFill/>
            </a:ln>
          </c:spPr>
          <c:cat>
            <c:numRef>
              <c:f>'Assets(MOFA)'!$A$27:$A$61</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'Assets(MOFA)'!$DB$27:$DB$60</c:f>
              <c:numCache>
                <c:formatCode>0%</c:formatCode>
                <c:ptCount val="34"/>
                <c:pt idx="0" formatCode="0.0%">
                  <c:v>0.0211366838891498</c:v>
                </c:pt>
                <c:pt idx="1">
                  <c:v>0.0222484952708512</c:v>
                </c:pt>
                <c:pt idx="2">
                  <c:v>0.0216370291192952</c:v>
                </c:pt>
                <c:pt idx="3">
                  <c:v>0.0150459832296457</c:v>
                </c:pt>
                <c:pt idx="4">
                  <c:v>0.0216887105873503</c:v>
                </c:pt>
                <c:pt idx="5">
                  <c:v>0.0211953721485784</c:v>
                </c:pt>
                <c:pt idx="6">
                  <c:v>0.021284774911482</c:v>
                </c:pt>
                <c:pt idx="7">
                  <c:v>0.0210504177580636</c:v>
                </c:pt>
                <c:pt idx="8">
                  <c:v>0.0370258310956469</c:v>
                </c:pt>
                <c:pt idx="9">
                  <c:v>0.0336033086334654</c:v>
                </c:pt>
                <c:pt idx="10">
                  <c:v>0.0322957835410771</c:v>
                </c:pt>
                <c:pt idx="11">
                  <c:v>0.0469365891128136</c:v>
                </c:pt>
                <c:pt idx="12">
                  <c:v>0.0459881703611815</c:v>
                </c:pt>
                <c:pt idx="13">
                  <c:v>0.0461493973369787</c:v>
                </c:pt>
                <c:pt idx="14">
                  <c:v>0.0638580410129855</c:v>
                </c:pt>
                <c:pt idx="15">
                  <c:v>0.0482538238001179</c:v>
                </c:pt>
                <c:pt idx="16">
                  <c:v>0.0333572453371592</c:v>
                </c:pt>
                <c:pt idx="17">
                  <c:v>0.0449075220873586</c:v>
                </c:pt>
                <c:pt idx="18">
                  <c:v>0.069779447104687</c:v>
                </c:pt>
                <c:pt idx="19">
                  <c:v>0.0520329363602531</c:v>
                </c:pt>
                <c:pt idx="20">
                  <c:v>0.0415379334019911</c:v>
                </c:pt>
                <c:pt idx="21">
                  <c:v>0.0404742740806374</c:v>
                </c:pt>
                <c:pt idx="22">
                  <c:v>0.0414088091177346</c:v>
                </c:pt>
                <c:pt idx="23">
                  <c:v>0.0316217142297714</c:v>
                </c:pt>
                <c:pt idx="24">
                  <c:v>0.0408203078344096</c:v>
                </c:pt>
                <c:pt idx="25">
                  <c:v>0.0401808614358169</c:v>
                </c:pt>
                <c:pt idx="26">
                  <c:v>0.0395508793766247</c:v>
                </c:pt>
                <c:pt idx="27">
                  <c:v>0.0431781645952533</c:v>
                </c:pt>
                <c:pt idx="28">
                  <c:v>0.0441162663209893</c:v>
                </c:pt>
                <c:pt idx="29">
                  <c:v>0.0553384859394275</c:v>
                </c:pt>
                <c:pt idx="30">
                  <c:v>0.0565581385825401</c:v>
                </c:pt>
                <c:pt idx="31">
                  <c:v>0.065877106231524</c:v>
                </c:pt>
                <c:pt idx="32">
                  <c:v>0.064049949888615</c:v>
                </c:pt>
                <c:pt idx="33">
                  <c:v>0.0691787799341204</c:v>
                </c:pt>
              </c:numCache>
            </c:numRef>
          </c:val>
        </c:ser>
        <c:dLbls>
          <c:showLegendKey val="0"/>
          <c:showVal val="0"/>
          <c:showCatName val="0"/>
          <c:showSerName val="0"/>
          <c:showPercent val="0"/>
          <c:showBubbleSize val="0"/>
        </c:dLbls>
        <c:axId val="-2078474488"/>
        <c:axId val="-2078517880"/>
      </c:areaChart>
      <c:catAx>
        <c:axId val="-2078474488"/>
        <c:scaling>
          <c:orientation val="minMax"/>
        </c:scaling>
        <c:delete val="0"/>
        <c:axPos val="b"/>
        <c:numFmt formatCode="General" sourceLinked="1"/>
        <c:majorTickMark val="out"/>
        <c:minorTickMark val="none"/>
        <c:tickLblPos val="nextTo"/>
        <c:crossAx val="-2078517880"/>
        <c:crosses val="autoZero"/>
        <c:auto val="1"/>
        <c:lblAlgn val="ctr"/>
        <c:lblOffset val="100"/>
        <c:noMultiLvlLbl val="0"/>
      </c:catAx>
      <c:valAx>
        <c:axId val="-2078517880"/>
        <c:scaling>
          <c:orientation val="minMax"/>
          <c:max val="0.5"/>
        </c:scaling>
        <c:delete val="0"/>
        <c:axPos val="l"/>
        <c:majorGridlines/>
        <c:numFmt formatCode="0.0%" sourceLinked="1"/>
        <c:majorTickMark val="out"/>
        <c:minorTickMark val="none"/>
        <c:tickLblPos val="nextTo"/>
        <c:crossAx val="-2078474488"/>
        <c:crosses val="autoZero"/>
        <c:crossBetween val="midCat"/>
      </c:valAx>
    </c:plotArea>
    <c:legend>
      <c:legendPos val="r"/>
      <c:overlay val="0"/>
    </c:legend>
    <c:plotVisOnly val="1"/>
    <c:dispBlanksAs val="zero"/>
    <c:showDLblsOverMax val="0"/>
  </c:chart>
  <c:printSettings>
    <c:headerFooter/>
    <c:pageMargins b="1.0" l="0.75" r="0.75" t="1.0"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areaChart>
        <c:grouping val="stacked"/>
        <c:varyColors val="0"/>
        <c:ser>
          <c:idx val="0"/>
          <c:order val="0"/>
          <c:val>
            <c:numRef>
              <c:f>'Assets(MOFA)'!$BB$27:$BB$60</c:f>
              <c:numCache>
                <c:formatCode>0%</c:formatCode>
                <c:ptCount val="34"/>
                <c:pt idx="0">
                  <c:v>0.0264194226725291</c:v>
                </c:pt>
                <c:pt idx="1">
                  <c:v>0.030937480968047</c:v>
                </c:pt>
                <c:pt idx="2">
                  <c:v>0.0322066909479546</c:v>
                </c:pt>
                <c:pt idx="3">
                  <c:v>0.032150349050851</c:v>
                </c:pt>
                <c:pt idx="4">
                  <c:v>0.0203436464318717</c:v>
                </c:pt>
                <c:pt idx="5">
                  <c:v>0.0352750961976486</c:v>
                </c:pt>
                <c:pt idx="6">
                  <c:v>0.0269777866330013</c:v>
                </c:pt>
                <c:pt idx="7">
                  <c:v>0.0371201729226421</c:v>
                </c:pt>
                <c:pt idx="8">
                  <c:v>0.0467510122958722</c:v>
                </c:pt>
                <c:pt idx="9">
                  <c:v>0.0516520427748835</c:v>
                </c:pt>
                <c:pt idx="10">
                  <c:v>0.0625259396935958</c:v>
                </c:pt>
                <c:pt idx="11">
                  <c:v>0.0577995517798509</c:v>
                </c:pt>
                <c:pt idx="12">
                  <c:v>0.0547762758933379</c:v>
                </c:pt>
                <c:pt idx="13">
                  <c:v>0.0535551667331757</c:v>
                </c:pt>
                <c:pt idx="14">
                  <c:v>0.0536224209988842</c:v>
                </c:pt>
                <c:pt idx="15">
                  <c:v>0.0679891190625654</c:v>
                </c:pt>
                <c:pt idx="16">
                  <c:v>0.097002807905195</c:v>
                </c:pt>
                <c:pt idx="17">
                  <c:v>0.0914748936998929</c:v>
                </c:pt>
                <c:pt idx="18">
                  <c:v>0.0951335696048169</c:v>
                </c:pt>
                <c:pt idx="19">
                  <c:v>0.119453187391366</c:v>
                </c:pt>
                <c:pt idx="20">
                  <c:v>0.148580529694761</c:v>
                </c:pt>
                <c:pt idx="21">
                  <c:v>0.143027910426717</c:v>
                </c:pt>
                <c:pt idx="22">
                  <c:v>0.151817687437794</c:v>
                </c:pt>
                <c:pt idx="23">
                  <c:v>0.128587212657219</c:v>
                </c:pt>
                <c:pt idx="24">
                  <c:v>0.142236048643831</c:v>
                </c:pt>
                <c:pt idx="25">
                  <c:v>0.154055608533729</c:v>
                </c:pt>
                <c:pt idx="26">
                  <c:v>0.131160498074865</c:v>
                </c:pt>
                <c:pt idx="27">
                  <c:v>0.141026132148352</c:v>
                </c:pt>
                <c:pt idx="28">
                  <c:v>0.146882627658784</c:v>
                </c:pt>
                <c:pt idx="29">
                  <c:v>0.150949740259428</c:v>
                </c:pt>
                <c:pt idx="30">
                  <c:v>0.168994847866239</c:v>
                </c:pt>
                <c:pt idx="31">
                  <c:v>0.158144383232551</c:v>
                </c:pt>
                <c:pt idx="32">
                  <c:v>0.134072227242539</c:v>
                </c:pt>
                <c:pt idx="33">
                  <c:v>0.164418630626606</c:v>
                </c:pt>
              </c:numCache>
            </c:numRef>
          </c:val>
        </c:ser>
        <c:ser>
          <c:idx val="2"/>
          <c:order val="1"/>
          <c:val>
            <c:numRef>
              <c:f>'Assets(MOFA)'!$BD$27:$BD$60</c:f>
              <c:numCache>
                <c:formatCode>0%</c:formatCode>
                <c:ptCount val="34"/>
                <c:pt idx="0">
                  <c:v>0.0279487669661633</c:v>
                </c:pt>
                <c:pt idx="1">
                  <c:v>0.0428878629404758</c:v>
                </c:pt>
                <c:pt idx="2">
                  <c:v>0.0389193457602103</c:v>
                </c:pt>
                <c:pt idx="3">
                  <c:v>0.0469083897751716</c:v>
                </c:pt>
                <c:pt idx="4">
                  <c:v>0.0524706831137891</c:v>
                </c:pt>
                <c:pt idx="5">
                  <c:v>0.0594541271630858</c:v>
                </c:pt>
                <c:pt idx="6">
                  <c:v>0.0595189241811483</c:v>
                </c:pt>
                <c:pt idx="7">
                  <c:v>0.0537594401741579</c:v>
                </c:pt>
                <c:pt idx="8">
                  <c:v>0.0643405004315594</c:v>
                </c:pt>
                <c:pt idx="9">
                  <c:v>0.0670982932454464</c:v>
                </c:pt>
                <c:pt idx="10">
                  <c:v>0.0622622767419623</c:v>
                </c:pt>
                <c:pt idx="11">
                  <c:v>0.0501611491590212</c:v>
                </c:pt>
                <c:pt idx="12">
                  <c:v>0.0509507211879056</c:v>
                </c:pt>
                <c:pt idx="13">
                  <c:v>0.064468532000011</c:v>
                </c:pt>
                <c:pt idx="14">
                  <c:v>0.0524651996138538</c:v>
                </c:pt>
                <c:pt idx="15">
                  <c:v>0.0589840960292651</c:v>
                </c:pt>
                <c:pt idx="16">
                  <c:v>0.0581505703942934</c:v>
                </c:pt>
                <c:pt idx="17">
                  <c:v>0.0464241262185394</c:v>
                </c:pt>
                <c:pt idx="18">
                  <c:v>0.0554126614935747</c:v>
                </c:pt>
                <c:pt idx="19">
                  <c:v>0.0629674053640186</c:v>
                </c:pt>
                <c:pt idx="20">
                  <c:v>0.0378901083467492</c:v>
                </c:pt>
                <c:pt idx="21">
                  <c:v>0.0408675145463878</c:v>
                </c:pt>
                <c:pt idx="22">
                  <c:v>0.0469958576624772</c:v>
                </c:pt>
                <c:pt idx="23">
                  <c:v>0.0408476965633235</c:v>
                </c:pt>
                <c:pt idx="24">
                  <c:v>0.0291796409958313</c:v>
                </c:pt>
                <c:pt idx="25">
                  <c:v>0.0261234478074637</c:v>
                </c:pt>
                <c:pt idx="26">
                  <c:v>0.0204521912047202</c:v>
                </c:pt>
                <c:pt idx="27">
                  <c:v>0.0190325651202439</c:v>
                </c:pt>
                <c:pt idx="28">
                  <c:v>0.0090059707412129</c:v>
                </c:pt>
                <c:pt idx="29">
                  <c:v>0.0281525676228294</c:v>
                </c:pt>
                <c:pt idx="30">
                  <c:v>0.0369805438595671</c:v>
                </c:pt>
                <c:pt idx="31">
                  <c:v>0.000249324228122182</c:v>
                </c:pt>
                <c:pt idx="32">
                  <c:v>0.0310464203827037</c:v>
                </c:pt>
                <c:pt idx="33">
                  <c:v>0.050285131215141</c:v>
                </c:pt>
              </c:numCache>
            </c:numRef>
          </c:val>
        </c:ser>
        <c:ser>
          <c:idx val="3"/>
          <c:order val="2"/>
          <c:val>
            <c:numRef>
              <c:f>'Assets(MOFA)'!$BE$27:$BE$60</c:f>
              <c:numCache>
                <c:formatCode>0%</c:formatCode>
                <c:ptCount val="34"/>
                <c:pt idx="0">
                  <c:v>0.0405658573886446</c:v>
                </c:pt>
                <c:pt idx="1">
                  <c:v>0.0335558043038561</c:v>
                </c:pt>
                <c:pt idx="2">
                  <c:v>0.0360661580879233</c:v>
                </c:pt>
                <c:pt idx="3">
                  <c:v>0.0442936895310286</c:v>
                </c:pt>
                <c:pt idx="4">
                  <c:v>0.0347442060774772</c:v>
                </c:pt>
                <c:pt idx="5">
                  <c:v>0.0343390396780754</c:v>
                </c:pt>
                <c:pt idx="6">
                  <c:v>0.0269578135055452</c:v>
                </c:pt>
                <c:pt idx="7">
                  <c:v>0.0274647193394172</c:v>
                </c:pt>
                <c:pt idx="8">
                  <c:v>0.0351415697034162</c:v>
                </c:pt>
                <c:pt idx="9">
                  <c:v>0.0437533869470411</c:v>
                </c:pt>
                <c:pt idx="10">
                  <c:v>0.0249472216686085</c:v>
                </c:pt>
                <c:pt idx="11">
                  <c:v>0.0325286899330734</c:v>
                </c:pt>
                <c:pt idx="12">
                  <c:v>0.0316812604494318</c:v>
                </c:pt>
                <c:pt idx="13">
                  <c:v>0.0362423386642928</c:v>
                </c:pt>
                <c:pt idx="14">
                  <c:v>0.0245466064032981</c:v>
                </c:pt>
                <c:pt idx="15">
                  <c:v>0.0260472902280812</c:v>
                </c:pt>
                <c:pt idx="16">
                  <c:v>0.0292273326694835</c:v>
                </c:pt>
                <c:pt idx="17">
                  <c:v>0.0272866640084237</c:v>
                </c:pt>
                <c:pt idx="18">
                  <c:v>0.026873741067534</c:v>
                </c:pt>
                <c:pt idx="19">
                  <c:v>0.030716806088431</c:v>
                </c:pt>
                <c:pt idx="20">
                  <c:v>0.0338288850534215</c:v>
                </c:pt>
                <c:pt idx="21">
                  <c:v>0.0308895322920837</c:v>
                </c:pt>
                <c:pt idx="22">
                  <c:v>0.044156599675039</c:v>
                </c:pt>
                <c:pt idx="23">
                  <c:v>0.044979845779613</c:v>
                </c:pt>
                <c:pt idx="24">
                  <c:v>0.0513362542231445</c:v>
                </c:pt>
                <c:pt idx="25">
                  <c:v>0.049276038586429</c:v>
                </c:pt>
                <c:pt idx="26">
                  <c:v>0.0617678958438381</c:v>
                </c:pt>
                <c:pt idx="27">
                  <c:v>0.0711424044222844</c:v>
                </c:pt>
                <c:pt idx="28">
                  <c:v>0.0606403628407288</c:v>
                </c:pt>
                <c:pt idx="29">
                  <c:v>0.0633265833963377</c:v>
                </c:pt>
                <c:pt idx="30">
                  <c:v>0.0566605951555798</c:v>
                </c:pt>
                <c:pt idx="31">
                  <c:v>0.0879284435591116</c:v>
                </c:pt>
                <c:pt idx="32">
                  <c:v>0.0821428579685496</c:v>
                </c:pt>
                <c:pt idx="33">
                  <c:v>0.0877110766665258</c:v>
                </c:pt>
              </c:numCache>
            </c:numRef>
          </c:val>
        </c:ser>
        <c:ser>
          <c:idx val="4"/>
          <c:order val="3"/>
          <c:val>
            <c:numRef>
              <c:f>'Assets(MOFA)'!$BF$27:$BF$60</c:f>
              <c:numCache>
                <c:formatCode>0%</c:formatCode>
                <c:ptCount val="34"/>
                <c:pt idx="0">
                  <c:v>0.13316765436819</c:v>
                </c:pt>
                <c:pt idx="1">
                  <c:v>0.106766276321902</c:v>
                </c:pt>
                <c:pt idx="2">
                  <c:v>0.093208764972158</c:v>
                </c:pt>
                <c:pt idx="3">
                  <c:v>0.0898577318540591</c:v>
                </c:pt>
                <c:pt idx="4">
                  <c:v>0.0568467042529819</c:v>
                </c:pt>
                <c:pt idx="5">
                  <c:v>0.0544666608192297</c:v>
                </c:pt>
                <c:pt idx="6">
                  <c:v>0.0225923100770086</c:v>
                </c:pt>
                <c:pt idx="7">
                  <c:v>0.0535842057119316</c:v>
                </c:pt>
                <c:pt idx="8">
                  <c:v>0.0536432883957674</c:v>
                </c:pt>
                <c:pt idx="9">
                  <c:v>0.0517453989644589</c:v>
                </c:pt>
                <c:pt idx="10">
                  <c:v>0.0530073761123724</c:v>
                </c:pt>
                <c:pt idx="11">
                  <c:v>0.0503914547488914</c:v>
                </c:pt>
                <c:pt idx="12">
                  <c:v>0.0390348267165406</c:v>
                </c:pt>
                <c:pt idx="13">
                  <c:v>0.0408519302984723</c:v>
                </c:pt>
                <c:pt idx="14">
                  <c:v>0.0420299173584977</c:v>
                </c:pt>
                <c:pt idx="15">
                  <c:v>0.0635028248587571</c:v>
                </c:pt>
                <c:pt idx="16">
                  <c:v>0.0689237559544635</c:v>
                </c:pt>
                <c:pt idx="17">
                  <c:v>0.0602499027934623</c:v>
                </c:pt>
                <c:pt idx="18">
                  <c:v>0.062394961950254</c:v>
                </c:pt>
                <c:pt idx="19">
                  <c:v>0.08283530250849</c:v>
                </c:pt>
                <c:pt idx="20">
                  <c:v>0.0688616620987732</c:v>
                </c:pt>
                <c:pt idx="21">
                  <c:v>0.0650835804994604</c:v>
                </c:pt>
                <c:pt idx="22">
                  <c:v>0.0718331340997959</c:v>
                </c:pt>
                <c:pt idx="23">
                  <c:v>0.0653837474725956</c:v>
                </c:pt>
                <c:pt idx="24">
                  <c:v>0.0798454037719376</c:v>
                </c:pt>
                <c:pt idx="25">
                  <c:v>0.0751416212882651</c:v>
                </c:pt>
                <c:pt idx="26">
                  <c:v>0.0919429986763439</c:v>
                </c:pt>
                <c:pt idx="27">
                  <c:v>0.0730500352151123</c:v>
                </c:pt>
                <c:pt idx="28">
                  <c:v>0.0694021081965721</c:v>
                </c:pt>
                <c:pt idx="29">
                  <c:v>0.0485078691342148</c:v>
                </c:pt>
                <c:pt idx="30">
                  <c:v>0.0557381737904734</c:v>
                </c:pt>
                <c:pt idx="31">
                  <c:v>0.052271122222312</c:v>
                </c:pt>
                <c:pt idx="32">
                  <c:v>0.0727327288967832</c:v>
                </c:pt>
                <c:pt idx="33">
                  <c:v>0.0671775639709134</c:v>
                </c:pt>
              </c:numCache>
            </c:numRef>
          </c:val>
        </c:ser>
        <c:ser>
          <c:idx val="5"/>
          <c:order val="4"/>
          <c:val>
            <c:numRef>
              <c:f>'Assets(MOFA)'!$BG$27:$BG$60</c:f>
              <c:numCache>
                <c:formatCode>0%</c:formatCode>
                <c:ptCount val="34"/>
                <c:pt idx="0">
                  <c:v>0.0185815331676544</c:v>
                </c:pt>
                <c:pt idx="1">
                  <c:v>0.0194601313353905</c:v>
                </c:pt>
                <c:pt idx="2">
                  <c:v>0.0171558685403137</c:v>
                </c:pt>
                <c:pt idx="3">
                  <c:v>0.0101362023706554</c:v>
                </c:pt>
                <c:pt idx="4">
                  <c:v>0.0153247727067354</c:v>
                </c:pt>
                <c:pt idx="5">
                  <c:v>0.0149882357609549</c:v>
                </c:pt>
                <c:pt idx="6">
                  <c:v>0.013577929998561</c:v>
                </c:pt>
                <c:pt idx="7">
                  <c:v>0.0127613584403708</c:v>
                </c:pt>
                <c:pt idx="8">
                  <c:v>0.0264120408477684</c:v>
                </c:pt>
                <c:pt idx="9">
                  <c:v>0.0251522120483375</c:v>
                </c:pt>
                <c:pt idx="10">
                  <c:v>0.0246113624851043</c:v>
                </c:pt>
                <c:pt idx="11">
                  <c:v>0.0413965009219741</c:v>
                </c:pt>
                <c:pt idx="12">
                  <c:v>0.0377879792569923</c:v>
                </c:pt>
                <c:pt idx="13">
                  <c:v>0.0393920891504077</c:v>
                </c:pt>
                <c:pt idx="14">
                  <c:v>0.0542176047039718</c:v>
                </c:pt>
                <c:pt idx="15">
                  <c:v>0.0412774957223781</c:v>
                </c:pt>
                <c:pt idx="16">
                  <c:v>0.0270984668850794</c:v>
                </c:pt>
                <c:pt idx="17">
                  <c:v>0.0388847051813438</c:v>
                </c:pt>
                <c:pt idx="18">
                  <c:v>0.0622630169682847</c:v>
                </c:pt>
                <c:pt idx="19">
                  <c:v>0.0465084176699848</c:v>
                </c:pt>
                <c:pt idx="20">
                  <c:v>0.0402682693442227</c:v>
                </c:pt>
                <c:pt idx="21">
                  <c:v>0.0391524762205435</c:v>
                </c:pt>
                <c:pt idx="22">
                  <c:v>0.0422563639026519</c:v>
                </c:pt>
                <c:pt idx="23">
                  <c:v>0.0304697525910161</c:v>
                </c:pt>
                <c:pt idx="24">
                  <c:v>0.0412658306995188</c:v>
                </c:pt>
                <c:pt idx="25">
                  <c:v>0.0396271820134882</c:v>
                </c:pt>
                <c:pt idx="26">
                  <c:v>0.0415042901213625</c:v>
                </c:pt>
                <c:pt idx="27">
                  <c:v>0.0416253581097561</c:v>
                </c:pt>
                <c:pt idx="28">
                  <c:v>0.0431261276036305</c:v>
                </c:pt>
                <c:pt idx="29">
                  <c:v>0.0551739605151677</c:v>
                </c:pt>
                <c:pt idx="30">
                  <c:v>0.0558822831851079</c:v>
                </c:pt>
                <c:pt idx="31">
                  <c:v>0.0657603489690164</c:v>
                </c:pt>
                <c:pt idx="32">
                  <c:v>0.0617151418177977</c:v>
                </c:pt>
                <c:pt idx="33">
                  <c:v>0.0632937660735541</c:v>
                </c:pt>
              </c:numCache>
            </c:numRef>
          </c:val>
        </c:ser>
        <c:ser>
          <c:idx val="6"/>
          <c:order val="5"/>
          <c:val>
            <c:numRef>
              <c:f>'Assets(MOFA)'!$BH$27:$BH$60</c:f>
              <c:numCache>
                <c:formatCode>0%</c:formatCode>
                <c:ptCount val="34"/>
                <c:pt idx="0">
                  <c:v>0.0308927547314089</c:v>
                </c:pt>
                <c:pt idx="1">
                  <c:v>0.0457252757669492</c:v>
                </c:pt>
                <c:pt idx="2">
                  <c:v>0.0409513801852641</c:v>
                </c:pt>
                <c:pt idx="3">
                  <c:v>0.0483277522448623</c:v>
                </c:pt>
                <c:pt idx="4">
                  <c:v>0.0546836105005893</c:v>
                </c:pt>
                <c:pt idx="5">
                  <c:v>0.0620312609577801</c:v>
                </c:pt>
                <c:pt idx="6">
                  <c:v>0.0613529995261467</c:v>
                </c:pt>
                <c:pt idx="7">
                  <c:v>0.055879405257086</c:v>
                </c:pt>
                <c:pt idx="8">
                  <c:v>0.0673810960916653</c:v>
                </c:pt>
                <c:pt idx="9">
                  <c:v>0.0705429052553175</c:v>
                </c:pt>
                <c:pt idx="10">
                  <c:v>0.0657269175561529</c:v>
                </c:pt>
                <c:pt idx="11">
                  <c:v>0.0521590296683939</c:v>
                </c:pt>
                <c:pt idx="12">
                  <c:v>0.0543795517016634</c:v>
                </c:pt>
                <c:pt idx="13">
                  <c:v>0.0670675026439213</c:v>
                </c:pt>
                <c:pt idx="14">
                  <c:v>0.0568903967620601</c:v>
                </c:pt>
                <c:pt idx="15">
                  <c:v>0.0624408861527219</c:v>
                </c:pt>
                <c:pt idx="16">
                  <c:v>0.0632909207993315</c:v>
                </c:pt>
                <c:pt idx="17">
                  <c:v>0.049312892488136</c:v>
                </c:pt>
                <c:pt idx="18">
                  <c:v>0.0547800636505047</c:v>
                </c:pt>
                <c:pt idx="19">
                  <c:v>0.06137018640409</c:v>
                </c:pt>
                <c:pt idx="20">
                  <c:v>0.0385222611142648</c:v>
                </c:pt>
                <c:pt idx="21">
                  <c:v>0.0355649625783135</c:v>
                </c:pt>
                <c:pt idx="22">
                  <c:v>0.0406290777858111</c:v>
                </c:pt>
                <c:pt idx="23">
                  <c:v>0.0375651704036566</c:v>
                </c:pt>
                <c:pt idx="24">
                  <c:v>0.0210336166011721</c:v>
                </c:pt>
                <c:pt idx="25">
                  <c:v>0.0223143805634979</c:v>
                </c:pt>
                <c:pt idx="26">
                  <c:v>0.00998215534944281</c:v>
                </c:pt>
                <c:pt idx="27">
                  <c:v>0.0452285594251849</c:v>
                </c:pt>
                <c:pt idx="28">
                  <c:v>0.0142363653359002</c:v>
                </c:pt>
                <c:pt idx="29">
                  <c:v>0.0375887276412743</c:v>
                </c:pt>
                <c:pt idx="30">
                  <c:v>0.0461158602783481</c:v>
                </c:pt>
                <c:pt idx="31">
                  <c:v>0.0134879968264518</c:v>
                </c:pt>
                <c:pt idx="32">
                  <c:v>0.0465457725803324</c:v>
                </c:pt>
                <c:pt idx="33">
                  <c:v>0.0716567384976161</c:v>
                </c:pt>
              </c:numCache>
            </c:numRef>
          </c:val>
        </c:ser>
        <c:dLbls>
          <c:showLegendKey val="0"/>
          <c:showVal val="0"/>
          <c:showCatName val="0"/>
          <c:showSerName val="0"/>
          <c:showPercent val="0"/>
          <c:showBubbleSize val="0"/>
        </c:dLbls>
        <c:axId val="-2078525256"/>
        <c:axId val="-2078522120"/>
      </c:areaChart>
      <c:catAx>
        <c:axId val="-2078525256"/>
        <c:scaling>
          <c:orientation val="minMax"/>
        </c:scaling>
        <c:delete val="0"/>
        <c:axPos val="b"/>
        <c:majorTickMark val="out"/>
        <c:minorTickMark val="none"/>
        <c:tickLblPos val="nextTo"/>
        <c:crossAx val="-2078522120"/>
        <c:crosses val="autoZero"/>
        <c:auto val="1"/>
        <c:lblAlgn val="ctr"/>
        <c:lblOffset val="100"/>
        <c:noMultiLvlLbl val="0"/>
      </c:catAx>
      <c:valAx>
        <c:axId val="-2078522120"/>
        <c:scaling>
          <c:orientation val="minMax"/>
        </c:scaling>
        <c:delete val="0"/>
        <c:axPos val="l"/>
        <c:majorGridlines/>
        <c:numFmt formatCode="0%" sourceLinked="1"/>
        <c:majorTickMark val="out"/>
        <c:minorTickMark val="none"/>
        <c:tickLblPos val="nextTo"/>
        <c:crossAx val="-2078525256"/>
        <c:crosses val="autoZero"/>
        <c:crossBetween val="midCat"/>
      </c:valAx>
    </c:plotArea>
    <c:legend>
      <c:legendPos val="r"/>
      <c:overlay val="0"/>
    </c:legend>
    <c:plotVisOnly val="1"/>
    <c:dispBlanksAs val="zero"/>
    <c:showDLblsOverMax val="0"/>
  </c:chart>
  <c:printSettings>
    <c:headerFooter/>
    <c:pageMargins b="1.0" l="0.75" r="0.75" t="1.0"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manualLayout>
          <c:layoutTarget val="inner"/>
          <c:xMode val="edge"/>
          <c:yMode val="edge"/>
          <c:x val="0.0900500317861671"/>
          <c:y val="0.168217930407064"/>
          <c:w val="0.871902063533882"/>
          <c:h val="0.701388773910535"/>
        </c:manualLayout>
      </c:layout>
      <c:lineChart>
        <c:grouping val="standard"/>
        <c:varyColors val="0"/>
        <c:ser>
          <c:idx val="0"/>
          <c:order val="0"/>
          <c:tx>
            <c:strRef>
              <c:f>Liabilities!$J$3</c:f>
              <c:strCache>
                <c:ptCount val="1"/>
                <c:pt idx="0">
                  <c:v>(net foreign profits % of national income)</c:v>
                </c:pt>
              </c:strCache>
            </c:strRef>
          </c:tx>
          <c:marker>
            <c:symbol val="none"/>
          </c:marker>
          <c:cat>
            <c:numRef>
              <c:f>Liabilities!$B$42:$B$109</c:f>
              <c:numCache>
                <c:formatCode>General</c:formatCode>
                <c:ptCount val="68"/>
                <c:pt idx="0">
                  <c:v>1950.0</c:v>
                </c:pt>
                <c:pt idx="1">
                  <c:v>1951.0</c:v>
                </c:pt>
                <c:pt idx="2">
                  <c:v>1952.0</c:v>
                </c:pt>
                <c:pt idx="3">
                  <c:v>1953.0</c:v>
                </c:pt>
                <c:pt idx="4">
                  <c:v>1954.0</c:v>
                </c:pt>
                <c:pt idx="5">
                  <c:v>1955.0</c:v>
                </c:pt>
                <c:pt idx="6">
                  <c:v>1956.0</c:v>
                </c:pt>
                <c:pt idx="7">
                  <c:v>1957.0</c:v>
                </c:pt>
                <c:pt idx="8">
                  <c:v>1958.0</c:v>
                </c:pt>
                <c:pt idx="9">
                  <c:v>1959.0</c:v>
                </c:pt>
                <c:pt idx="10">
                  <c:v>1960.0</c:v>
                </c:pt>
                <c:pt idx="11">
                  <c:v>1961.0</c:v>
                </c:pt>
                <c:pt idx="12">
                  <c:v>1962.0</c:v>
                </c:pt>
                <c:pt idx="13">
                  <c:v>1963.0</c:v>
                </c:pt>
                <c:pt idx="14">
                  <c:v>1964.0</c:v>
                </c:pt>
                <c:pt idx="15">
                  <c:v>1965.0</c:v>
                </c:pt>
                <c:pt idx="16">
                  <c:v>1966.0</c:v>
                </c:pt>
                <c:pt idx="17">
                  <c:v>1967.0</c:v>
                </c:pt>
                <c:pt idx="18">
                  <c:v>1968.0</c:v>
                </c:pt>
                <c:pt idx="19">
                  <c:v>1969.0</c:v>
                </c:pt>
                <c:pt idx="20">
                  <c:v>1970.0</c:v>
                </c:pt>
                <c:pt idx="21">
                  <c:v>1971.0</c:v>
                </c:pt>
                <c:pt idx="22">
                  <c:v>1972.0</c:v>
                </c:pt>
                <c:pt idx="23">
                  <c:v>1973.0</c:v>
                </c:pt>
                <c:pt idx="24">
                  <c:v>1974.0</c:v>
                </c:pt>
                <c:pt idx="25">
                  <c:v>1975.0</c:v>
                </c:pt>
                <c:pt idx="26">
                  <c:v>1976.0</c:v>
                </c:pt>
                <c:pt idx="27">
                  <c:v>1977.0</c:v>
                </c:pt>
                <c:pt idx="28">
                  <c:v>1978.0</c:v>
                </c:pt>
                <c:pt idx="29">
                  <c:v>1979.0</c:v>
                </c:pt>
                <c:pt idx="30">
                  <c:v>1980.0</c:v>
                </c:pt>
                <c:pt idx="31">
                  <c:v>1981.0</c:v>
                </c:pt>
                <c:pt idx="32">
                  <c:v>1982.0</c:v>
                </c:pt>
                <c:pt idx="33">
                  <c:v>1983.0</c:v>
                </c:pt>
                <c:pt idx="34">
                  <c:v>1984.0</c:v>
                </c:pt>
                <c:pt idx="35">
                  <c:v>1985.0</c:v>
                </c:pt>
                <c:pt idx="36">
                  <c:v>1986.0</c:v>
                </c:pt>
                <c:pt idx="37">
                  <c:v>1987.0</c:v>
                </c:pt>
                <c:pt idx="38">
                  <c:v>1988.0</c:v>
                </c:pt>
                <c:pt idx="39">
                  <c:v>1989.0</c:v>
                </c:pt>
                <c:pt idx="40">
                  <c:v>1990.0</c:v>
                </c:pt>
                <c:pt idx="41">
                  <c:v>1991.0</c:v>
                </c:pt>
                <c:pt idx="42">
                  <c:v>1992.0</c:v>
                </c:pt>
                <c:pt idx="43">
                  <c:v>1993.0</c:v>
                </c:pt>
                <c:pt idx="44">
                  <c:v>1994.0</c:v>
                </c:pt>
                <c:pt idx="45">
                  <c:v>1995.0</c:v>
                </c:pt>
                <c:pt idx="46">
                  <c:v>1996.0</c:v>
                </c:pt>
                <c:pt idx="47">
                  <c:v>1997.0</c:v>
                </c:pt>
                <c:pt idx="48">
                  <c:v>1998.0</c:v>
                </c:pt>
                <c:pt idx="49">
                  <c:v>1999.0</c:v>
                </c:pt>
                <c:pt idx="50">
                  <c:v>2000.0</c:v>
                </c:pt>
                <c:pt idx="51">
                  <c:v>2001.0</c:v>
                </c:pt>
                <c:pt idx="52">
                  <c:v>2002.0</c:v>
                </c:pt>
                <c:pt idx="53">
                  <c:v>2003.0</c:v>
                </c:pt>
                <c:pt idx="54">
                  <c:v>2004.0</c:v>
                </c:pt>
                <c:pt idx="55">
                  <c:v>2005.0</c:v>
                </c:pt>
                <c:pt idx="56">
                  <c:v>2006.0</c:v>
                </c:pt>
                <c:pt idx="57">
                  <c:v>2007.0</c:v>
                </c:pt>
                <c:pt idx="58">
                  <c:v>2008.0</c:v>
                </c:pt>
                <c:pt idx="59">
                  <c:v>2009.0</c:v>
                </c:pt>
                <c:pt idx="60">
                  <c:v>2010.0</c:v>
                </c:pt>
                <c:pt idx="61">
                  <c:v>2011.0</c:v>
                </c:pt>
                <c:pt idx="62">
                  <c:v>2012.0</c:v>
                </c:pt>
                <c:pt idx="63">
                  <c:v>2013.0</c:v>
                </c:pt>
                <c:pt idx="64">
                  <c:v>2014.0</c:v>
                </c:pt>
                <c:pt idx="65">
                  <c:v>2015.0</c:v>
                </c:pt>
                <c:pt idx="66">
                  <c:v>2016.0</c:v>
                </c:pt>
                <c:pt idx="67">
                  <c:v>2017.0</c:v>
                </c:pt>
              </c:numCache>
            </c:numRef>
          </c:cat>
          <c:val>
            <c:numRef>
              <c:f>Liabilities!$J$42:$J$109</c:f>
              <c:numCache>
                <c:formatCode>0.0%</c:formatCode>
                <c:ptCount val="68"/>
                <c:pt idx="0">
                  <c:v>0.0048689138576779</c:v>
                </c:pt>
                <c:pt idx="1">
                  <c:v>0.00551948051948052</c:v>
                </c:pt>
                <c:pt idx="2">
                  <c:v>0.00581929555895865</c:v>
                </c:pt>
                <c:pt idx="3">
                  <c:v>0.00522648083623693</c:v>
                </c:pt>
                <c:pt idx="4">
                  <c:v>0.00580720092915215</c:v>
                </c:pt>
                <c:pt idx="5">
                  <c:v>0.00635593220338983</c:v>
                </c:pt>
                <c:pt idx="6">
                  <c:v>0.00698428535794462</c:v>
                </c:pt>
                <c:pt idx="7">
                  <c:v>0.00739151168335718</c:v>
                </c:pt>
                <c:pt idx="8">
                  <c:v>0.00592979127134725</c:v>
                </c:pt>
                <c:pt idx="9">
                  <c:v>0.00587467362924282</c:v>
                </c:pt>
                <c:pt idx="10">
                  <c:v>0.00645967909981246</c:v>
                </c:pt>
                <c:pt idx="11">
                  <c:v>0.00663716814159292</c:v>
                </c:pt>
                <c:pt idx="12">
                  <c:v>0.00710014947683109</c:v>
                </c:pt>
                <c:pt idx="13">
                  <c:v>0.00723614542887398</c:v>
                </c:pt>
                <c:pt idx="14">
                  <c:v>0.00739766562551373</c:v>
                </c:pt>
                <c:pt idx="15">
                  <c:v>0.00711797667726791</c:v>
                </c:pt>
                <c:pt idx="16">
                  <c:v>0.00625260525218841</c:v>
                </c:pt>
                <c:pt idx="17">
                  <c:v>0.00631412786108918</c:v>
                </c:pt>
                <c:pt idx="18">
                  <c:v>0.00672996034130513</c:v>
                </c:pt>
                <c:pt idx="19">
                  <c:v>0.00733740967204002</c:v>
                </c:pt>
                <c:pt idx="20">
                  <c:v>0.00755238804382512</c:v>
                </c:pt>
                <c:pt idx="21">
                  <c:v>0.00776794493608653</c:v>
                </c:pt>
                <c:pt idx="22">
                  <c:v>0.00845948352626892</c:v>
                </c:pt>
                <c:pt idx="23">
                  <c:v>0.0118536197295147</c:v>
                </c:pt>
                <c:pt idx="24">
                  <c:v>0.0129552857565887</c:v>
                </c:pt>
                <c:pt idx="25">
                  <c:v>0.0100613327820274</c:v>
                </c:pt>
                <c:pt idx="26">
                  <c:v>0.0102179836512262</c:v>
                </c:pt>
                <c:pt idx="27">
                  <c:v>0.0106187802301662</c:v>
                </c:pt>
                <c:pt idx="28">
                  <c:v>0.0112813439085669</c:v>
                </c:pt>
                <c:pt idx="29">
                  <c:v>0.0153900898496575</c:v>
                </c:pt>
                <c:pt idx="30">
                  <c:v>0.0146283171254327</c:v>
                </c:pt>
                <c:pt idx="31">
                  <c:v>0.0109106939495243</c:v>
                </c:pt>
                <c:pt idx="32">
                  <c:v>0.011477256724405</c:v>
                </c:pt>
                <c:pt idx="33">
                  <c:v>0.0114687142623754</c:v>
                </c:pt>
                <c:pt idx="34">
                  <c:v>0.0106271777003484</c:v>
                </c:pt>
                <c:pt idx="35">
                  <c:v>0.0103414581184518</c:v>
                </c:pt>
                <c:pt idx="36">
                  <c:v>0.010264539265111</c:v>
                </c:pt>
                <c:pt idx="37">
                  <c:v>0.0116527481064284</c:v>
                </c:pt>
                <c:pt idx="38">
                  <c:v>0.0126852717318734</c:v>
                </c:pt>
                <c:pt idx="39">
                  <c:v>0.0140311990297353</c:v>
                </c:pt>
                <c:pt idx="40">
                  <c:v>0.0151108993070034</c:v>
                </c:pt>
                <c:pt idx="41">
                  <c:v>0.0147509689361948</c:v>
                </c:pt>
                <c:pt idx="42">
                  <c:v>0.0132916340891321</c:v>
                </c:pt>
                <c:pt idx="43">
                  <c:v>0.0133627580454577</c:v>
                </c:pt>
                <c:pt idx="44">
                  <c:v>0.0127031692778737</c:v>
                </c:pt>
                <c:pt idx="45">
                  <c:v>0.0143375260436762</c:v>
                </c:pt>
                <c:pt idx="46">
                  <c:v>0.0147838942516741</c:v>
                </c:pt>
                <c:pt idx="47">
                  <c:v>0.0145791556013224</c:v>
                </c:pt>
                <c:pt idx="48">
                  <c:v>0.0130833746961424</c:v>
                </c:pt>
                <c:pt idx="49">
                  <c:v>0.0146557109221085</c:v>
                </c:pt>
                <c:pt idx="50">
                  <c:v>0.0164140563601662</c:v>
                </c:pt>
                <c:pt idx="51">
                  <c:v>0.0185527948958038</c:v>
                </c:pt>
                <c:pt idx="52">
                  <c:v>0.0168277382163445</c:v>
                </c:pt>
                <c:pt idx="53">
                  <c:v>0.0168893574745038</c:v>
                </c:pt>
                <c:pt idx="54">
                  <c:v>0.0194480547201852</c:v>
                </c:pt>
                <c:pt idx="55">
                  <c:v>0.0212726205092617</c:v>
                </c:pt>
                <c:pt idx="56">
                  <c:v>0.0213414634146341</c:v>
                </c:pt>
                <c:pt idx="57">
                  <c:v>0.0286818056389696</c:v>
                </c:pt>
                <c:pt idx="58">
                  <c:v>0.0327250197138673</c:v>
                </c:pt>
                <c:pt idx="59">
                  <c:v>0.0294571214157891</c:v>
                </c:pt>
                <c:pt idx="60">
                  <c:v>0.0310216256524981</c:v>
                </c:pt>
                <c:pt idx="61">
                  <c:v>0.0315975524815949</c:v>
                </c:pt>
                <c:pt idx="62">
                  <c:v>0.0291781338225986</c:v>
                </c:pt>
                <c:pt idx="63">
                  <c:v>0.0285085290208241</c:v>
                </c:pt>
                <c:pt idx="64">
                  <c:v>0.0262480190174326</c:v>
                </c:pt>
                <c:pt idx="65">
                  <c:v>0.0258286953501571</c:v>
                </c:pt>
                <c:pt idx="66">
                  <c:v>0.0253260237561259</c:v>
                </c:pt>
              </c:numCache>
            </c:numRef>
          </c:val>
          <c:smooth val="0"/>
        </c:ser>
        <c:dLbls>
          <c:showLegendKey val="0"/>
          <c:showVal val="0"/>
          <c:showCatName val="0"/>
          <c:showSerName val="0"/>
          <c:showPercent val="0"/>
          <c:showBubbleSize val="0"/>
        </c:dLbls>
        <c:marker val="1"/>
        <c:smooth val="0"/>
        <c:axId val="-2078721656"/>
        <c:axId val="-2078737304"/>
      </c:lineChart>
      <c:catAx>
        <c:axId val="-2078721656"/>
        <c:scaling>
          <c:orientation val="minMax"/>
        </c:scaling>
        <c:delete val="0"/>
        <c:axPos val="b"/>
        <c:numFmt formatCode="General" sourceLinked="1"/>
        <c:majorTickMark val="out"/>
        <c:minorTickMark val="none"/>
        <c:tickLblPos val="nextTo"/>
        <c:crossAx val="-2078737304"/>
        <c:crosses val="autoZero"/>
        <c:auto val="1"/>
        <c:lblAlgn val="ctr"/>
        <c:lblOffset val="100"/>
        <c:noMultiLvlLbl val="0"/>
      </c:catAx>
      <c:valAx>
        <c:axId val="-2078737304"/>
        <c:scaling>
          <c:orientation val="minMax"/>
        </c:scaling>
        <c:delete val="0"/>
        <c:axPos val="l"/>
        <c:majorGridlines/>
        <c:numFmt formatCode="0.0%" sourceLinked="1"/>
        <c:majorTickMark val="out"/>
        <c:minorTickMark val="none"/>
        <c:tickLblPos val="nextTo"/>
        <c:crossAx val="-2078721656"/>
        <c:crosses val="autoZero"/>
        <c:crossBetween val="between"/>
      </c:valAx>
    </c:plotArea>
    <c:legend>
      <c:legendPos val="r"/>
      <c:layout>
        <c:manualLayout>
          <c:xMode val="edge"/>
          <c:yMode val="edge"/>
          <c:x val="0.186996679407191"/>
          <c:y val="0.316351199952827"/>
          <c:w val="0.303199258174876"/>
          <c:h val="0.118659403714028"/>
        </c:manualLayout>
      </c:layout>
      <c:overlay val="0"/>
    </c:legend>
    <c:plotVisOnly val="1"/>
    <c:dispBlanksAs val="gap"/>
    <c:showDLblsOverMax val="0"/>
  </c:chart>
  <c:printSettings>
    <c:headerFooter/>
    <c:pageMargins b="1.0" l="0.75" r="0.75" t="1.0"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32248468941382"/>
          <c:y val="0.0790569271570157"/>
          <c:w val="0.872173017835743"/>
          <c:h val="0.771190342364741"/>
        </c:manualLayout>
      </c:layout>
      <c:lineChart>
        <c:grouping val="standard"/>
        <c:varyColors val="0"/>
        <c:ser>
          <c:idx val="0"/>
          <c:order val="0"/>
          <c:tx>
            <c:strRef>
              <c:f>Liabilities!$H$3</c:f>
              <c:strCache>
                <c:ptCount val="1"/>
                <c:pt idx="0">
                  <c:v>(domestic profits % national income)</c:v>
                </c:pt>
              </c:strCache>
            </c:strRef>
          </c:tx>
          <c:marker>
            <c:symbol val="none"/>
          </c:marker>
          <c:cat>
            <c:numRef>
              <c:f>Liabilities!$B$75:$B$109</c:f>
              <c:numCache>
                <c:formatCode>General</c:formatCode>
                <c:ptCount val="35"/>
                <c:pt idx="0">
                  <c:v>1983.0</c:v>
                </c:pt>
                <c:pt idx="1">
                  <c:v>1984.0</c:v>
                </c:pt>
                <c:pt idx="2">
                  <c:v>1985.0</c:v>
                </c:pt>
                <c:pt idx="3">
                  <c:v>1986.0</c:v>
                </c:pt>
                <c:pt idx="4">
                  <c:v>1987.0</c:v>
                </c:pt>
                <c:pt idx="5">
                  <c:v>1988.0</c:v>
                </c:pt>
                <c:pt idx="6">
                  <c:v>1989.0</c:v>
                </c:pt>
                <c:pt idx="7">
                  <c:v>1990.0</c:v>
                </c:pt>
                <c:pt idx="8">
                  <c:v>1991.0</c:v>
                </c:pt>
                <c:pt idx="9">
                  <c:v>1992.0</c:v>
                </c:pt>
                <c:pt idx="10">
                  <c:v>1993.0</c:v>
                </c:pt>
                <c:pt idx="11">
                  <c:v>1994.0</c:v>
                </c:pt>
                <c:pt idx="12">
                  <c:v>1995.0</c:v>
                </c:pt>
                <c:pt idx="13">
                  <c:v>1996.0</c:v>
                </c:pt>
                <c:pt idx="14">
                  <c:v>1997.0</c:v>
                </c:pt>
                <c:pt idx="15">
                  <c:v>1998.0</c:v>
                </c:pt>
                <c:pt idx="16">
                  <c:v>1999.0</c:v>
                </c:pt>
                <c:pt idx="17">
                  <c:v>2000.0</c:v>
                </c:pt>
                <c:pt idx="18">
                  <c:v>2001.0</c:v>
                </c:pt>
                <c:pt idx="19">
                  <c:v>2002.0</c:v>
                </c:pt>
                <c:pt idx="20">
                  <c:v>2003.0</c:v>
                </c:pt>
                <c:pt idx="21">
                  <c:v>2004.0</c:v>
                </c:pt>
                <c:pt idx="22">
                  <c:v>2005.0</c:v>
                </c:pt>
                <c:pt idx="23">
                  <c:v>2006.0</c:v>
                </c:pt>
                <c:pt idx="24">
                  <c:v>2007.0</c:v>
                </c:pt>
                <c:pt idx="25">
                  <c:v>2008.0</c:v>
                </c:pt>
                <c:pt idx="26">
                  <c:v>2009.0</c:v>
                </c:pt>
                <c:pt idx="27">
                  <c:v>2010.0</c:v>
                </c:pt>
                <c:pt idx="28">
                  <c:v>2011.0</c:v>
                </c:pt>
                <c:pt idx="29">
                  <c:v>2012.0</c:v>
                </c:pt>
                <c:pt idx="30">
                  <c:v>2013.0</c:v>
                </c:pt>
                <c:pt idx="31">
                  <c:v>2014.0</c:v>
                </c:pt>
                <c:pt idx="32">
                  <c:v>2015.0</c:v>
                </c:pt>
                <c:pt idx="33">
                  <c:v>2016.0</c:v>
                </c:pt>
                <c:pt idx="34">
                  <c:v>2017.0</c:v>
                </c:pt>
              </c:numCache>
            </c:numRef>
          </c:cat>
          <c:val>
            <c:numRef>
              <c:f>Liabilities!$H$75:$H$109</c:f>
              <c:numCache>
                <c:formatCode>0%</c:formatCode>
                <c:ptCount val="35"/>
                <c:pt idx="0">
                  <c:v>0.0799542558405489</c:v>
                </c:pt>
                <c:pt idx="1">
                  <c:v>0.0874854819976771</c:v>
                </c:pt>
                <c:pt idx="2">
                  <c:v>0.0858802453721296</c:v>
                </c:pt>
                <c:pt idx="3">
                  <c:v>0.0740346135855725</c:v>
                </c:pt>
                <c:pt idx="4">
                  <c:v>0.0771994562050884</c:v>
                </c:pt>
                <c:pt idx="5">
                  <c:v>0.0796501535585525</c:v>
                </c:pt>
                <c:pt idx="6">
                  <c:v>0.0725816569779599</c:v>
                </c:pt>
                <c:pt idx="7">
                  <c:v>0.0677309823077381</c:v>
                </c:pt>
                <c:pt idx="8">
                  <c:v>0.0722701066311872</c:v>
                </c:pt>
                <c:pt idx="9">
                  <c:v>0.0731312617051839</c:v>
                </c:pt>
                <c:pt idx="10">
                  <c:v>0.0773441301174671</c:v>
                </c:pt>
                <c:pt idx="11">
                  <c:v>0.0885801765414807</c:v>
                </c:pt>
                <c:pt idx="12">
                  <c:v>0.0941584998842503</c:v>
                </c:pt>
                <c:pt idx="13">
                  <c:v>0.0991535495840218</c:v>
                </c:pt>
                <c:pt idx="14">
                  <c:v>0.10273155926508</c:v>
                </c:pt>
                <c:pt idx="15">
                  <c:v>0.0892545785447927</c:v>
                </c:pt>
                <c:pt idx="16">
                  <c:v>0.0850752006150593</c:v>
                </c:pt>
                <c:pt idx="17">
                  <c:v>0.0712922420568093</c:v>
                </c:pt>
                <c:pt idx="18">
                  <c:v>0.0635411449600418</c:v>
                </c:pt>
                <c:pt idx="19">
                  <c:v>0.0793065445913869</c:v>
                </c:pt>
                <c:pt idx="20">
                  <c:v>0.090204983678352</c:v>
                </c:pt>
                <c:pt idx="21">
                  <c:v>0.102296767828174</c:v>
                </c:pt>
                <c:pt idx="22">
                  <c:v>0.110197690350362</c:v>
                </c:pt>
                <c:pt idx="23">
                  <c:v>0.115812008529921</c:v>
                </c:pt>
                <c:pt idx="24">
                  <c:v>0.0954112357361988</c:v>
                </c:pt>
                <c:pt idx="25">
                  <c:v>0.0706802491189108</c:v>
                </c:pt>
                <c:pt idx="26">
                  <c:v>0.0857489217473054</c:v>
                </c:pt>
                <c:pt idx="27">
                  <c:v>0.106063817261274</c:v>
                </c:pt>
                <c:pt idx="28">
                  <c:v>0.104453914306898</c:v>
                </c:pt>
                <c:pt idx="29">
                  <c:v>0.112922151345124</c:v>
                </c:pt>
                <c:pt idx="30">
                  <c:v>0.112227237483385</c:v>
                </c:pt>
                <c:pt idx="31">
                  <c:v>0.115101690438457</c:v>
                </c:pt>
                <c:pt idx="32">
                  <c:v>0.108704583767482</c:v>
                </c:pt>
                <c:pt idx="33">
                  <c:v>0.103847910956059</c:v>
                </c:pt>
              </c:numCache>
            </c:numRef>
          </c:val>
          <c:smooth val="0"/>
        </c:ser>
        <c:ser>
          <c:idx val="1"/>
          <c:order val="1"/>
          <c:tx>
            <c:strRef>
              <c:f>Liabilities!$J$3</c:f>
              <c:strCache>
                <c:ptCount val="1"/>
                <c:pt idx="0">
                  <c:v>(net foreign profits % of national income)</c:v>
                </c:pt>
              </c:strCache>
            </c:strRef>
          </c:tx>
          <c:marker>
            <c:symbol val="none"/>
          </c:marker>
          <c:cat>
            <c:numRef>
              <c:f>Liabilities!$B$75:$B$109</c:f>
              <c:numCache>
                <c:formatCode>General</c:formatCode>
                <c:ptCount val="35"/>
                <c:pt idx="0">
                  <c:v>1983.0</c:v>
                </c:pt>
                <c:pt idx="1">
                  <c:v>1984.0</c:v>
                </c:pt>
                <c:pt idx="2">
                  <c:v>1985.0</c:v>
                </c:pt>
                <c:pt idx="3">
                  <c:v>1986.0</c:v>
                </c:pt>
                <c:pt idx="4">
                  <c:v>1987.0</c:v>
                </c:pt>
                <c:pt idx="5">
                  <c:v>1988.0</c:v>
                </c:pt>
                <c:pt idx="6">
                  <c:v>1989.0</c:v>
                </c:pt>
                <c:pt idx="7">
                  <c:v>1990.0</c:v>
                </c:pt>
                <c:pt idx="8">
                  <c:v>1991.0</c:v>
                </c:pt>
                <c:pt idx="9">
                  <c:v>1992.0</c:v>
                </c:pt>
                <c:pt idx="10">
                  <c:v>1993.0</c:v>
                </c:pt>
                <c:pt idx="11">
                  <c:v>1994.0</c:v>
                </c:pt>
                <c:pt idx="12">
                  <c:v>1995.0</c:v>
                </c:pt>
                <c:pt idx="13">
                  <c:v>1996.0</c:v>
                </c:pt>
                <c:pt idx="14">
                  <c:v>1997.0</c:v>
                </c:pt>
                <c:pt idx="15">
                  <c:v>1998.0</c:v>
                </c:pt>
                <c:pt idx="16">
                  <c:v>1999.0</c:v>
                </c:pt>
                <c:pt idx="17">
                  <c:v>2000.0</c:v>
                </c:pt>
                <c:pt idx="18">
                  <c:v>2001.0</c:v>
                </c:pt>
                <c:pt idx="19">
                  <c:v>2002.0</c:v>
                </c:pt>
                <c:pt idx="20">
                  <c:v>2003.0</c:v>
                </c:pt>
                <c:pt idx="21">
                  <c:v>2004.0</c:v>
                </c:pt>
                <c:pt idx="22">
                  <c:v>2005.0</c:v>
                </c:pt>
                <c:pt idx="23">
                  <c:v>2006.0</c:v>
                </c:pt>
                <c:pt idx="24">
                  <c:v>2007.0</c:v>
                </c:pt>
                <c:pt idx="25">
                  <c:v>2008.0</c:v>
                </c:pt>
                <c:pt idx="26">
                  <c:v>2009.0</c:v>
                </c:pt>
                <c:pt idx="27">
                  <c:v>2010.0</c:v>
                </c:pt>
                <c:pt idx="28">
                  <c:v>2011.0</c:v>
                </c:pt>
                <c:pt idx="29">
                  <c:v>2012.0</c:v>
                </c:pt>
                <c:pt idx="30">
                  <c:v>2013.0</c:v>
                </c:pt>
                <c:pt idx="31">
                  <c:v>2014.0</c:v>
                </c:pt>
                <c:pt idx="32">
                  <c:v>2015.0</c:v>
                </c:pt>
                <c:pt idx="33">
                  <c:v>2016.0</c:v>
                </c:pt>
                <c:pt idx="34">
                  <c:v>2017.0</c:v>
                </c:pt>
              </c:numCache>
            </c:numRef>
          </c:cat>
          <c:val>
            <c:numRef>
              <c:f>Liabilities!$J$75:$J$109</c:f>
              <c:numCache>
                <c:formatCode>0.0%</c:formatCode>
                <c:ptCount val="35"/>
                <c:pt idx="0">
                  <c:v>0.0114687142623754</c:v>
                </c:pt>
                <c:pt idx="1">
                  <c:v>0.0106271777003484</c:v>
                </c:pt>
                <c:pt idx="2">
                  <c:v>0.0103414581184518</c:v>
                </c:pt>
                <c:pt idx="3">
                  <c:v>0.010264539265111</c:v>
                </c:pt>
                <c:pt idx="4">
                  <c:v>0.0116527481064284</c:v>
                </c:pt>
                <c:pt idx="5">
                  <c:v>0.0126852717318734</c:v>
                </c:pt>
                <c:pt idx="6">
                  <c:v>0.0140311990297353</c:v>
                </c:pt>
                <c:pt idx="7">
                  <c:v>0.0151108993070034</c:v>
                </c:pt>
                <c:pt idx="8">
                  <c:v>0.0147509689361948</c:v>
                </c:pt>
                <c:pt idx="9">
                  <c:v>0.0132916340891321</c:v>
                </c:pt>
                <c:pt idx="10">
                  <c:v>0.0133627580454577</c:v>
                </c:pt>
                <c:pt idx="11">
                  <c:v>0.0127031692778737</c:v>
                </c:pt>
                <c:pt idx="12">
                  <c:v>0.0143375260436762</c:v>
                </c:pt>
                <c:pt idx="13">
                  <c:v>0.0147838942516741</c:v>
                </c:pt>
                <c:pt idx="14">
                  <c:v>0.0145791556013224</c:v>
                </c:pt>
                <c:pt idx="15">
                  <c:v>0.0130833746961424</c:v>
                </c:pt>
                <c:pt idx="16">
                  <c:v>0.0146557109221085</c:v>
                </c:pt>
                <c:pt idx="17">
                  <c:v>0.0164140563601662</c:v>
                </c:pt>
                <c:pt idx="18">
                  <c:v>0.0185527948958038</c:v>
                </c:pt>
                <c:pt idx="19">
                  <c:v>0.0168277382163445</c:v>
                </c:pt>
                <c:pt idx="20">
                  <c:v>0.0168893574745038</c:v>
                </c:pt>
                <c:pt idx="21">
                  <c:v>0.0194480547201852</c:v>
                </c:pt>
                <c:pt idx="22">
                  <c:v>0.0212726205092617</c:v>
                </c:pt>
                <c:pt idx="23">
                  <c:v>0.0213414634146341</c:v>
                </c:pt>
                <c:pt idx="24">
                  <c:v>0.0286818056389696</c:v>
                </c:pt>
                <c:pt idx="25">
                  <c:v>0.0327250197138673</c:v>
                </c:pt>
                <c:pt idx="26">
                  <c:v>0.0294571214157891</c:v>
                </c:pt>
                <c:pt idx="27">
                  <c:v>0.0310216256524981</c:v>
                </c:pt>
                <c:pt idx="28">
                  <c:v>0.0315975524815949</c:v>
                </c:pt>
                <c:pt idx="29">
                  <c:v>0.0291781338225986</c:v>
                </c:pt>
                <c:pt idx="30">
                  <c:v>0.0285085290208241</c:v>
                </c:pt>
                <c:pt idx="31">
                  <c:v>0.0262480190174326</c:v>
                </c:pt>
                <c:pt idx="32">
                  <c:v>0.0258286953501571</c:v>
                </c:pt>
                <c:pt idx="33">
                  <c:v>0.0253260237561259</c:v>
                </c:pt>
              </c:numCache>
            </c:numRef>
          </c:val>
          <c:smooth val="0"/>
        </c:ser>
        <c:dLbls>
          <c:showLegendKey val="0"/>
          <c:showVal val="0"/>
          <c:showCatName val="0"/>
          <c:showSerName val="0"/>
          <c:showPercent val="0"/>
          <c:showBubbleSize val="0"/>
        </c:dLbls>
        <c:marker val="1"/>
        <c:smooth val="0"/>
        <c:axId val="-2079123704"/>
        <c:axId val="-2079120664"/>
      </c:lineChart>
      <c:catAx>
        <c:axId val="-2079123704"/>
        <c:scaling>
          <c:orientation val="minMax"/>
        </c:scaling>
        <c:delete val="0"/>
        <c:axPos val="b"/>
        <c:numFmt formatCode="General" sourceLinked="1"/>
        <c:majorTickMark val="out"/>
        <c:minorTickMark val="none"/>
        <c:tickLblPos val="nextTo"/>
        <c:crossAx val="-2079120664"/>
        <c:crosses val="autoZero"/>
        <c:auto val="1"/>
        <c:lblAlgn val="ctr"/>
        <c:lblOffset val="100"/>
        <c:noMultiLvlLbl val="0"/>
      </c:catAx>
      <c:valAx>
        <c:axId val="-2079120664"/>
        <c:scaling>
          <c:orientation val="minMax"/>
          <c:max val="0.12"/>
          <c:min val="0.0"/>
        </c:scaling>
        <c:delete val="0"/>
        <c:axPos val="l"/>
        <c:majorGridlines/>
        <c:numFmt formatCode="0%" sourceLinked="1"/>
        <c:majorTickMark val="out"/>
        <c:minorTickMark val="none"/>
        <c:tickLblPos val="nextTo"/>
        <c:crossAx val="-2079123704"/>
        <c:crosses val="autoZero"/>
        <c:crossBetween val="between"/>
      </c:valAx>
    </c:plotArea>
    <c:legend>
      <c:legendPos val="r"/>
      <c:layout>
        <c:manualLayout>
          <c:xMode val="edge"/>
          <c:yMode val="edge"/>
          <c:x val="0.148689851268591"/>
          <c:y val="0.459338363954506"/>
          <c:w val="0.409423941181161"/>
          <c:h val="0.257904117129101"/>
        </c:manualLayout>
      </c:layout>
      <c:overlay val="0"/>
    </c:legend>
    <c:plotVisOnly val="1"/>
    <c:dispBlanksAs val="gap"/>
    <c:showDLblsOverMax val="0"/>
  </c:chart>
  <c:printSettings>
    <c:headerFooter/>
    <c:pageMargins b="1.0" l="0.75" r="0.75" t="1.0"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0932248672845291"/>
          <c:y val="0.211111111111111"/>
          <c:w val="0.881775127247403"/>
          <c:h val="0.666913823272091"/>
        </c:manualLayout>
      </c:layout>
      <c:lineChart>
        <c:grouping val="standard"/>
        <c:varyColors val="0"/>
        <c:ser>
          <c:idx val="0"/>
          <c:order val="0"/>
          <c:tx>
            <c:strRef>
              <c:f>Liabilities!$DY$3</c:f>
              <c:strCache>
                <c:ptCount val="1"/>
                <c:pt idx="0">
                  <c:v>Top 6 havens % of total DI liabilities</c:v>
                </c:pt>
              </c:strCache>
            </c:strRef>
          </c:tx>
          <c:marker>
            <c:symbol val="none"/>
          </c:marker>
          <c:cat>
            <c:numRef>
              <c:f>Liabilities!$B$74:$B$108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Liabilities!$DY$74:$DY$108</c:f>
              <c:numCache>
                <c:formatCode>0%</c:formatCode>
                <c:ptCount val="35"/>
                <c:pt idx="0">
                  <c:v>0.35807790557754</c:v>
                </c:pt>
                <c:pt idx="1">
                  <c:v>0.362280026317312</c:v>
                </c:pt>
                <c:pt idx="2">
                  <c:v>0.343287692040453</c:v>
                </c:pt>
                <c:pt idx="3">
                  <c:v>0.335295371907905</c:v>
                </c:pt>
                <c:pt idx="4">
                  <c:v>0.300789412467219</c:v>
                </c:pt>
                <c:pt idx="5">
                  <c:v>0.258551827300546</c:v>
                </c:pt>
                <c:pt idx="6">
                  <c:v>0.224032101260032</c:v>
                </c:pt>
                <c:pt idx="7">
                  <c:v>0.240255445566024</c:v>
                </c:pt>
                <c:pt idx="8">
                  <c:v>0.256252674653276</c:v>
                </c:pt>
                <c:pt idx="9">
                  <c:v>0.221582503793771</c:v>
                </c:pt>
                <c:pt idx="10">
                  <c:v>0.24525501558619</c:v>
                </c:pt>
                <c:pt idx="11">
                  <c:v>0.248960232086468</c:v>
                </c:pt>
                <c:pt idx="12">
                  <c:v>0.240686379551748</c:v>
                </c:pt>
                <c:pt idx="13">
                  <c:v>0.232511067998872</c:v>
                </c:pt>
                <c:pt idx="14">
                  <c:v>0.227781298650047</c:v>
                </c:pt>
                <c:pt idx="15">
                  <c:v>0.25161547689934</c:v>
                </c:pt>
                <c:pt idx="16">
                  <c:v>0.257541577918291</c:v>
                </c:pt>
                <c:pt idx="17">
                  <c:v>0.274535797916976</c:v>
                </c:pt>
                <c:pt idx="18">
                  <c:v>0.26531049029054</c:v>
                </c:pt>
                <c:pt idx="19">
                  <c:v>0.332241308881708</c:v>
                </c:pt>
                <c:pt idx="20">
                  <c:v>0.336198829087457</c:v>
                </c:pt>
                <c:pt idx="21">
                  <c:v>0.334582653303315</c:v>
                </c:pt>
                <c:pt idx="22">
                  <c:v>0.307628150989663</c:v>
                </c:pt>
                <c:pt idx="23">
                  <c:v>0.260164332996149</c:v>
                </c:pt>
                <c:pt idx="24">
                  <c:v>0.260872400042815</c:v>
                </c:pt>
                <c:pt idx="25">
                  <c:v>0.270003451812101</c:v>
                </c:pt>
                <c:pt idx="26">
                  <c:v>0.272202737921552</c:v>
                </c:pt>
                <c:pt idx="27">
                  <c:v>0.263977949568917</c:v>
                </c:pt>
                <c:pt idx="28">
                  <c:v>0.296117092477163</c:v>
                </c:pt>
                <c:pt idx="29">
                  <c:v>0.281654400767838</c:v>
                </c:pt>
                <c:pt idx="30">
                  <c:v>0.287028554095859</c:v>
                </c:pt>
                <c:pt idx="31">
                  <c:v>0.290682503459716</c:v>
                </c:pt>
                <c:pt idx="32">
                  <c:v>0.296937159578314</c:v>
                </c:pt>
                <c:pt idx="33">
                  <c:v>0.316590214391271</c:v>
                </c:pt>
                <c:pt idx="34">
                  <c:v>0.346745787989428</c:v>
                </c:pt>
              </c:numCache>
            </c:numRef>
          </c:val>
          <c:smooth val="0"/>
        </c:ser>
        <c:dLbls>
          <c:showLegendKey val="0"/>
          <c:showVal val="0"/>
          <c:showCatName val="0"/>
          <c:showSerName val="0"/>
          <c:showPercent val="0"/>
          <c:showBubbleSize val="0"/>
        </c:dLbls>
        <c:marker val="1"/>
        <c:smooth val="0"/>
        <c:axId val="-2079096408"/>
        <c:axId val="-2079093400"/>
      </c:lineChart>
      <c:catAx>
        <c:axId val="-2079096408"/>
        <c:scaling>
          <c:orientation val="minMax"/>
        </c:scaling>
        <c:delete val="0"/>
        <c:axPos val="b"/>
        <c:numFmt formatCode="General" sourceLinked="1"/>
        <c:majorTickMark val="out"/>
        <c:minorTickMark val="none"/>
        <c:tickLblPos val="nextTo"/>
        <c:crossAx val="-2079093400"/>
        <c:crosses val="autoZero"/>
        <c:auto val="1"/>
        <c:lblAlgn val="ctr"/>
        <c:lblOffset val="100"/>
        <c:noMultiLvlLbl val="0"/>
      </c:catAx>
      <c:valAx>
        <c:axId val="-2079093400"/>
        <c:scaling>
          <c:orientation val="minMax"/>
        </c:scaling>
        <c:delete val="0"/>
        <c:axPos val="l"/>
        <c:majorGridlines/>
        <c:numFmt formatCode="0%" sourceLinked="1"/>
        <c:majorTickMark val="out"/>
        <c:minorTickMark val="none"/>
        <c:tickLblPos val="nextTo"/>
        <c:crossAx val="-2079096408"/>
        <c:crosses val="autoZero"/>
        <c:crossBetween val="between"/>
      </c:valAx>
    </c:plotArea>
    <c:legend>
      <c:legendPos val="r"/>
      <c:layout>
        <c:manualLayout>
          <c:xMode val="edge"/>
          <c:yMode val="edge"/>
          <c:x val="0.433187049157326"/>
          <c:y val="0.654213314346178"/>
          <c:w val="0.344373525012121"/>
          <c:h val="0.149876633346969"/>
        </c:manualLayout>
      </c:layout>
      <c:overlay val="0"/>
    </c:legend>
    <c:plotVisOnly val="1"/>
    <c:dispBlanksAs val="gap"/>
    <c:showDLblsOverMax val="0"/>
  </c:chart>
  <c:printSettings>
    <c:headerFooter/>
    <c:pageMargins b="1.0" l="0.75" r="0.75" t="1.0"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Foreign profits outflows  % of national income)</a:t>
            </a:r>
          </a:p>
        </c:rich>
      </c:tx>
      <c:overlay val="0"/>
    </c:title>
    <c:autoTitleDeleted val="0"/>
    <c:plotArea>
      <c:layout>
        <c:manualLayout>
          <c:layoutTarget val="inner"/>
          <c:xMode val="edge"/>
          <c:yMode val="edge"/>
          <c:x val="0.0900500317861671"/>
          <c:y val="0.168217930407064"/>
          <c:w val="0.871902063533882"/>
          <c:h val="0.701388773910535"/>
        </c:manualLayout>
      </c:layout>
      <c:lineChart>
        <c:grouping val="standard"/>
        <c:varyColors val="0"/>
        <c:ser>
          <c:idx val="0"/>
          <c:order val="0"/>
          <c:tx>
            <c:strRef>
              <c:f>Liabilities!$O$3</c:f>
              <c:strCache>
                <c:ptCount val="1"/>
                <c:pt idx="0">
                  <c:v>(Foreign profits outflows % NI)</c:v>
                </c:pt>
              </c:strCache>
            </c:strRef>
          </c:tx>
          <c:marker>
            <c:symbol val="none"/>
          </c:marker>
          <c:cat>
            <c:numRef>
              <c:f>Liabilities!$B$42:$B$109</c:f>
              <c:numCache>
                <c:formatCode>General</c:formatCode>
                <c:ptCount val="68"/>
                <c:pt idx="0">
                  <c:v>1950.0</c:v>
                </c:pt>
                <c:pt idx="1">
                  <c:v>1951.0</c:v>
                </c:pt>
                <c:pt idx="2">
                  <c:v>1952.0</c:v>
                </c:pt>
                <c:pt idx="3">
                  <c:v>1953.0</c:v>
                </c:pt>
                <c:pt idx="4">
                  <c:v>1954.0</c:v>
                </c:pt>
                <c:pt idx="5">
                  <c:v>1955.0</c:v>
                </c:pt>
                <c:pt idx="6">
                  <c:v>1956.0</c:v>
                </c:pt>
                <c:pt idx="7">
                  <c:v>1957.0</c:v>
                </c:pt>
                <c:pt idx="8">
                  <c:v>1958.0</c:v>
                </c:pt>
                <c:pt idx="9">
                  <c:v>1959.0</c:v>
                </c:pt>
                <c:pt idx="10">
                  <c:v>1960.0</c:v>
                </c:pt>
                <c:pt idx="11">
                  <c:v>1961.0</c:v>
                </c:pt>
                <c:pt idx="12">
                  <c:v>1962.0</c:v>
                </c:pt>
                <c:pt idx="13">
                  <c:v>1963.0</c:v>
                </c:pt>
                <c:pt idx="14">
                  <c:v>1964.0</c:v>
                </c:pt>
                <c:pt idx="15">
                  <c:v>1965.0</c:v>
                </c:pt>
                <c:pt idx="16">
                  <c:v>1966.0</c:v>
                </c:pt>
                <c:pt idx="17">
                  <c:v>1967.0</c:v>
                </c:pt>
                <c:pt idx="18">
                  <c:v>1968.0</c:v>
                </c:pt>
                <c:pt idx="19">
                  <c:v>1969.0</c:v>
                </c:pt>
                <c:pt idx="20">
                  <c:v>1970.0</c:v>
                </c:pt>
                <c:pt idx="21">
                  <c:v>1971.0</c:v>
                </c:pt>
                <c:pt idx="22">
                  <c:v>1972.0</c:v>
                </c:pt>
                <c:pt idx="23">
                  <c:v>1973.0</c:v>
                </c:pt>
                <c:pt idx="24">
                  <c:v>1974.0</c:v>
                </c:pt>
                <c:pt idx="25">
                  <c:v>1975.0</c:v>
                </c:pt>
                <c:pt idx="26">
                  <c:v>1976.0</c:v>
                </c:pt>
                <c:pt idx="27">
                  <c:v>1977.0</c:v>
                </c:pt>
                <c:pt idx="28">
                  <c:v>1978.0</c:v>
                </c:pt>
                <c:pt idx="29">
                  <c:v>1979.0</c:v>
                </c:pt>
                <c:pt idx="30">
                  <c:v>1980.0</c:v>
                </c:pt>
                <c:pt idx="31">
                  <c:v>1981.0</c:v>
                </c:pt>
                <c:pt idx="32">
                  <c:v>1982.0</c:v>
                </c:pt>
                <c:pt idx="33">
                  <c:v>1983.0</c:v>
                </c:pt>
                <c:pt idx="34">
                  <c:v>1984.0</c:v>
                </c:pt>
                <c:pt idx="35">
                  <c:v>1985.0</c:v>
                </c:pt>
                <c:pt idx="36">
                  <c:v>1986.0</c:v>
                </c:pt>
                <c:pt idx="37">
                  <c:v>1987.0</c:v>
                </c:pt>
                <c:pt idx="38">
                  <c:v>1988.0</c:v>
                </c:pt>
                <c:pt idx="39">
                  <c:v>1989.0</c:v>
                </c:pt>
                <c:pt idx="40">
                  <c:v>1990.0</c:v>
                </c:pt>
                <c:pt idx="41">
                  <c:v>1991.0</c:v>
                </c:pt>
                <c:pt idx="42">
                  <c:v>1992.0</c:v>
                </c:pt>
                <c:pt idx="43">
                  <c:v>1993.0</c:v>
                </c:pt>
                <c:pt idx="44">
                  <c:v>1994.0</c:v>
                </c:pt>
                <c:pt idx="45">
                  <c:v>1995.0</c:v>
                </c:pt>
                <c:pt idx="46">
                  <c:v>1996.0</c:v>
                </c:pt>
                <c:pt idx="47">
                  <c:v>1997.0</c:v>
                </c:pt>
                <c:pt idx="48">
                  <c:v>1998.0</c:v>
                </c:pt>
                <c:pt idx="49">
                  <c:v>1999.0</c:v>
                </c:pt>
                <c:pt idx="50">
                  <c:v>2000.0</c:v>
                </c:pt>
                <c:pt idx="51">
                  <c:v>2001.0</c:v>
                </c:pt>
                <c:pt idx="52">
                  <c:v>2002.0</c:v>
                </c:pt>
                <c:pt idx="53">
                  <c:v>2003.0</c:v>
                </c:pt>
                <c:pt idx="54">
                  <c:v>2004.0</c:v>
                </c:pt>
                <c:pt idx="55">
                  <c:v>2005.0</c:v>
                </c:pt>
                <c:pt idx="56">
                  <c:v>2006.0</c:v>
                </c:pt>
                <c:pt idx="57">
                  <c:v>2007.0</c:v>
                </c:pt>
                <c:pt idx="58">
                  <c:v>2008.0</c:v>
                </c:pt>
                <c:pt idx="59">
                  <c:v>2009.0</c:v>
                </c:pt>
                <c:pt idx="60">
                  <c:v>2010.0</c:v>
                </c:pt>
                <c:pt idx="61">
                  <c:v>2011.0</c:v>
                </c:pt>
                <c:pt idx="62">
                  <c:v>2012.0</c:v>
                </c:pt>
                <c:pt idx="63">
                  <c:v>2013.0</c:v>
                </c:pt>
                <c:pt idx="64">
                  <c:v>2014.0</c:v>
                </c:pt>
                <c:pt idx="65">
                  <c:v>2015.0</c:v>
                </c:pt>
                <c:pt idx="66">
                  <c:v>2016.0</c:v>
                </c:pt>
                <c:pt idx="67">
                  <c:v>2017.0</c:v>
                </c:pt>
              </c:numCache>
            </c:numRef>
          </c:cat>
          <c:val>
            <c:numRef>
              <c:f>Liabilities!$O$42:$O$109</c:f>
              <c:numCache>
                <c:formatCode>0.0%</c:formatCode>
                <c:ptCount val="68"/>
                <c:pt idx="0">
                  <c:v>0.00187265917602996</c:v>
                </c:pt>
                <c:pt idx="1">
                  <c:v>0.00194805194805195</c:v>
                </c:pt>
                <c:pt idx="2">
                  <c:v>0.00122511485451761</c:v>
                </c:pt>
                <c:pt idx="3">
                  <c:v>0.00145180023228804</c:v>
                </c:pt>
                <c:pt idx="4">
                  <c:v>0.00116144018583043</c:v>
                </c:pt>
                <c:pt idx="5">
                  <c:v>0.00132415254237288</c:v>
                </c:pt>
                <c:pt idx="6">
                  <c:v>0.00149663257670242</c:v>
                </c:pt>
                <c:pt idx="7">
                  <c:v>0.00143061516452074</c:v>
                </c:pt>
                <c:pt idx="8">
                  <c:v>0.00118595825426945</c:v>
                </c:pt>
                <c:pt idx="9">
                  <c:v>0.0015230635335074</c:v>
                </c:pt>
                <c:pt idx="10">
                  <c:v>0.00145863721608668</c:v>
                </c:pt>
                <c:pt idx="11">
                  <c:v>0.00160901045856798</c:v>
                </c:pt>
                <c:pt idx="12">
                  <c:v>0.00130792227204783</c:v>
                </c:pt>
                <c:pt idx="13">
                  <c:v>0.00123543946346629</c:v>
                </c:pt>
                <c:pt idx="14">
                  <c:v>0.00147953312510275</c:v>
                </c:pt>
                <c:pt idx="15">
                  <c:v>0.00151446312282296</c:v>
                </c:pt>
                <c:pt idx="16">
                  <c:v>0.00152841461720161</c:v>
                </c:pt>
                <c:pt idx="17">
                  <c:v>0.00144698763483294</c:v>
                </c:pt>
                <c:pt idx="18">
                  <c:v>0.00168249008532628</c:v>
                </c:pt>
                <c:pt idx="19">
                  <c:v>0.00155642023346303</c:v>
                </c:pt>
                <c:pt idx="20">
                  <c:v>0.00159557493883629</c:v>
                </c:pt>
                <c:pt idx="21">
                  <c:v>0.00186823992133727</c:v>
                </c:pt>
                <c:pt idx="22">
                  <c:v>0.00195903829029385</c:v>
                </c:pt>
                <c:pt idx="23">
                  <c:v>0.00214797136038186</c:v>
                </c:pt>
                <c:pt idx="24">
                  <c:v>0.00214687592537755</c:v>
                </c:pt>
                <c:pt idx="25">
                  <c:v>0.00227413686169113</c:v>
                </c:pt>
                <c:pt idx="26">
                  <c:v>0.00278672281397077</c:v>
                </c:pt>
                <c:pt idx="27">
                  <c:v>0.00255740256852171</c:v>
                </c:pt>
                <c:pt idx="28">
                  <c:v>0.00300507414158333</c:v>
                </c:pt>
                <c:pt idx="29">
                  <c:v>0.00355840227737745</c:v>
                </c:pt>
                <c:pt idx="30">
                  <c:v>0.00346134827756716</c:v>
                </c:pt>
                <c:pt idx="31">
                  <c:v>0.00304911649094449</c:v>
                </c:pt>
                <c:pt idx="32">
                  <c:v>0.00144345866779327</c:v>
                </c:pt>
                <c:pt idx="33">
                  <c:v>0.00196046397647443</c:v>
                </c:pt>
                <c:pt idx="34">
                  <c:v>0.00278745644599303</c:v>
                </c:pt>
                <c:pt idx="35">
                  <c:v>0.00236143531838662</c:v>
                </c:pt>
                <c:pt idx="36">
                  <c:v>0.00239072813263344</c:v>
                </c:pt>
                <c:pt idx="37">
                  <c:v>0.00264614488250146</c:v>
                </c:pt>
                <c:pt idx="38">
                  <c:v>0.00324920995237459</c:v>
                </c:pt>
                <c:pt idx="39">
                  <c:v>0.00175651373844674</c:v>
                </c:pt>
                <c:pt idx="40">
                  <c:v>0.000972975119636227</c:v>
                </c:pt>
                <c:pt idx="41">
                  <c:v>-0.000212105435683846</c:v>
                </c:pt>
                <c:pt idx="42">
                  <c:v>0.000945506118515558</c:v>
                </c:pt>
                <c:pt idx="43">
                  <c:v>0.002102592618336</c:v>
                </c:pt>
                <c:pt idx="44">
                  <c:v>0.0043321064460441</c:v>
                </c:pt>
                <c:pt idx="45">
                  <c:v>0.00532448491395941</c:v>
                </c:pt>
                <c:pt idx="46">
                  <c:v>0.00542076122561382</c:v>
                </c:pt>
                <c:pt idx="47">
                  <c:v>0.00649016313478944</c:v>
                </c:pt>
                <c:pt idx="48">
                  <c:v>0.00558716098405304</c:v>
                </c:pt>
                <c:pt idx="49">
                  <c:v>0.00664312142616885</c:v>
                </c:pt>
                <c:pt idx="50">
                  <c:v>0.00638823397327944</c:v>
                </c:pt>
                <c:pt idx="51">
                  <c:v>0.00140452496570346</c:v>
                </c:pt>
                <c:pt idx="52">
                  <c:v>0.00492751780264496</c:v>
                </c:pt>
                <c:pt idx="53">
                  <c:v>0.0084548164068044</c:v>
                </c:pt>
                <c:pt idx="54">
                  <c:v>0.0116783196880722</c:v>
                </c:pt>
                <c:pt idx="55">
                  <c:v>0.012864997597822</c:v>
                </c:pt>
                <c:pt idx="56">
                  <c:v>0.0147940823670532</c:v>
                </c:pt>
                <c:pt idx="57">
                  <c:v>0.0127420585323096</c:v>
                </c:pt>
                <c:pt idx="58">
                  <c:v>0.0141054732132799</c:v>
                </c:pt>
                <c:pt idx="59">
                  <c:v>0.0116195644106514</c:v>
                </c:pt>
                <c:pt idx="60">
                  <c:v>0.0148671454923663</c:v>
                </c:pt>
                <c:pt idx="61">
                  <c:v>0.0166563064041401</c:v>
                </c:pt>
                <c:pt idx="62">
                  <c:v>0.0170673948755147</c:v>
                </c:pt>
                <c:pt idx="63">
                  <c:v>0.0177434093929996</c:v>
                </c:pt>
                <c:pt idx="64">
                  <c:v>0.0190702588483888</c:v>
                </c:pt>
                <c:pt idx="65">
                  <c:v>0.015665370572738</c:v>
                </c:pt>
                <c:pt idx="66">
                  <c:v>0.0165005399119528</c:v>
                </c:pt>
              </c:numCache>
            </c:numRef>
          </c:val>
          <c:smooth val="0"/>
        </c:ser>
        <c:dLbls>
          <c:showLegendKey val="0"/>
          <c:showVal val="0"/>
          <c:showCatName val="0"/>
          <c:showSerName val="0"/>
          <c:showPercent val="0"/>
          <c:showBubbleSize val="0"/>
        </c:dLbls>
        <c:marker val="1"/>
        <c:smooth val="0"/>
        <c:axId val="-2079068216"/>
        <c:axId val="-2079065208"/>
      </c:lineChart>
      <c:catAx>
        <c:axId val="-2079068216"/>
        <c:scaling>
          <c:orientation val="minMax"/>
        </c:scaling>
        <c:delete val="0"/>
        <c:axPos val="b"/>
        <c:numFmt formatCode="General" sourceLinked="1"/>
        <c:majorTickMark val="out"/>
        <c:minorTickMark val="none"/>
        <c:tickLblPos val="nextTo"/>
        <c:crossAx val="-2079065208"/>
        <c:crosses val="autoZero"/>
        <c:auto val="1"/>
        <c:lblAlgn val="ctr"/>
        <c:lblOffset val="100"/>
        <c:tickLblSkip val="5"/>
        <c:tickMarkSkip val="5"/>
        <c:noMultiLvlLbl val="0"/>
      </c:catAx>
      <c:valAx>
        <c:axId val="-2079065208"/>
        <c:scaling>
          <c:orientation val="minMax"/>
          <c:max val="0.02"/>
        </c:scaling>
        <c:delete val="0"/>
        <c:axPos val="l"/>
        <c:majorGridlines/>
        <c:numFmt formatCode="0.0%" sourceLinked="1"/>
        <c:majorTickMark val="out"/>
        <c:minorTickMark val="none"/>
        <c:tickLblPos val="nextTo"/>
        <c:crossAx val="-2079068216"/>
        <c:crosses val="autoZero"/>
        <c:crossBetween val="between"/>
      </c:valAx>
    </c:plotArea>
    <c:plotVisOnly val="1"/>
    <c:dispBlanksAs val="gap"/>
    <c:showDLblsOverMax val="0"/>
  </c:chart>
  <c:printSettings>
    <c:headerFooter/>
    <c:pageMargins b="1.0" l="0.75" r="0.75" t="1.0"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Yield on DI liabilities</a:t>
            </a:r>
          </a:p>
        </c:rich>
      </c:tx>
      <c:overlay val="0"/>
    </c:title>
    <c:autoTitleDeleted val="0"/>
    <c:plotArea>
      <c:layout>
        <c:manualLayout>
          <c:layoutTarget val="inner"/>
          <c:xMode val="edge"/>
          <c:yMode val="edge"/>
          <c:x val="0.0868676781256001"/>
          <c:y val="0.221359223300971"/>
          <c:w val="0.830319761859036"/>
          <c:h val="0.655598960324134"/>
        </c:manualLayout>
      </c:layout>
      <c:lineChart>
        <c:grouping val="standard"/>
        <c:varyColors val="0"/>
        <c:ser>
          <c:idx val="0"/>
          <c:order val="0"/>
          <c:tx>
            <c:v>Havens</c:v>
          </c:tx>
          <c:marker>
            <c:symbol val="none"/>
          </c:marker>
          <c:cat>
            <c:strRef>
              <c:f>Liabilities!$B$162:$B$192</c:f>
              <c:strCache>
                <c:ptCount val="4"/>
                <c:pt idx="0">
                  <c:v>1980-89</c:v>
                </c:pt>
                <c:pt idx="1">
                  <c:v>1990-99</c:v>
                </c:pt>
                <c:pt idx="2">
                  <c:v>2000-09</c:v>
                </c:pt>
                <c:pt idx="3">
                  <c:v>2010-16</c:v>
                </c:pt>
              </c:strCache>
            </c:strRef>
          </c:cat>
          <c:val>
            <c:numRef>
              <c:f>Liabilities!$IF$162:$IF$192</c:f>
              <c:numCache>
                <c:formatCode>0%</c:formatCode>
                <c:ptCount val="4"/>
                <c:pt idx="0">
                  <c:v>0.0183053950571697</c:v>
                </c:pt>
                <c:pt idx="1">
                  <c:v>0.0200070368616255</c:v>
                </c:pt>
                <c:pt idx="2">
                  <c:v>0.0441578850427448</c:v>
                </c:pt>
                <c:pt idx="3">
                  <c:v>0.0581524336372471</c:v>
                </c:pt>
              </c:numCache>
            </c:numRef>
          </c:val>
          <c:smooth val="0"/>
        </c:ser>
        <c:ser>
          <c:idx val="1"/>
          <c:order val="1"/>
          <c:tx>
            <c:v>Non-havens</c:v>
          </c:tx>
          <c:marker>
            <c:symbol val="none"/>
          </c:marker>
          <c:cat>
            <c:strRef>
              <c:f>Liabilities!$B$162:$B$192</c:f>
              <c:strCache>
                <c:ptCount val="4"/>
                <c:pt idx="0">
                  <c:v>1980-89</c:v>
                </c:pt>
                <c:pt idx="1">
                  <c:v>1990-99</c:v>
                </c:pt>
                <c:pt idx="2">
                  <c:v>2000-09</c:v>
                </c:pt>
                <c:pt idx="3">
                  <c:v>2010-16</c:v>
                </c:pt>
              </c:strCache>
            </c:strRef>
          </c:cat>
          <c:val>
            <c:numRef>
              <c:f>Liabilities!$IG$162:$IG$192</c:f>
              <c:numCache>
                <c:formatCode>0%</c:formatCode>
                <c:ptCount val="4"/>
                <c:pt idx="0">
                  <c:v>0.0107192295838502</c:v>
                </c:pt>
                <c:pt idx="1">
                  <c:v>0.0171940225377379</c:v>
                </c:pt>
                <c:pt idx="2">
                  <c:v>0.0417903221895967</c:v>
                </c:pt>
                <c:pt idx="3">
                  <c:v>0.0487591852201189</c:v>
                </c:pt>
              </c:numCache>
            </c:numRef>
          </c:val>
          <c:smooth val="0"/>
        </c:ser>
        <c:dLbls>
          <c:showLegendKey val="0"/>
          <c:showVal val="0"/>
          <c:showCatName val="0"/>
          <c:showSerName val="0"/>
          <c:showPercent val="0"/>
          <c:showBubbleSize val="0"/>
        </c:dLbls>
        <c:marker val="1"/>
        <c:smooth val="0"/>
        <c:axId val="-2079034920"/>
        <c:axId val="-2079031880"/>
      </c:lineChart>
      <c:catAx>
        <c:axId val="-2079034920"/>
        <c:scaling>
          <c:orientation val="minMax"/>
        </c:scaling>
        <c:delete val="0"/>
        <c:axPos val="b"/>
        <c:numFmt formatCode="General" sourceLinked="0"/>
        <c:majorTickMark val="out"/>
        <c:minorTickMark val="none"/>
        <c:tickLblPos val="nextTo"/>
        <c:crossAx val="-2079031880"/>
        <c:crosses val="autoZero"/>
        <c:auto val="1"/>
        <c:lblAlgn val="ctr"/>
        <c:lblOffset val="100"/>
        <c:noMultiLvlLbl val="0"/>
      </c:catAx>
      <c:valAx>
        <c:axId val="-2079031880"/>
        <c:scaling>
          <c:orientation val="minMax"/>
        </c:scaling>
        <c:delete val="0"/>
        <c:axPos val="l"/>
        <c:majorGridlines/>
        <c:numFmt formatCode="0%" sourceLinked="1"/>
        <c:majorTickMark val="out"/>
        <c:minorTickMark val="none"/>
        <c:tickLblPos val="nextTo"/>
        <c:crossAx val="-2079034920"/>
        <c:crosses val="autoZero"/>
        <c:crossBetween val="between"/>
      </c:valAx>
    </c:plotArea>
    <c:legend>
      <c:legendPos val="r"/>
      <c:layout>
        <c:manualLayout>
          <c:xMode val="edge"/>
          <c:yMode val="edge"/>
          <c:x val="0.66541122527367"/>
          <c:y val="0.593286828224142"/>
          <c:w val="0.246174140579988"/>
          <c:h val="0.194979741609969"/>
        </c:manualLayout>
      </c:layout>
      <c:overlay val="0"/>
    </c:legend>
    <c:plotVisOnly val="1"/>
    <c:dispBlanksAs val="gap"/>
    <c:showDLblsOverMax val="0"/>
  </c:chart>
  <c:printSettings>
    <c:headerFooter/>
    <c:pageMargins b="1.0" l="0.75" r="0.75" t="1.0"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14655074365704"/>
          <c:y val="0.0601851851851852"/>
          <c:w val="0.851489938757655"/>
          <c:h val="0.783642096821231"/>
        </c:manualLayout>
      </c:layout>
      <c:lineChart>
        <c:grouping val="standard"/>
        <c:varyColors val="0"/>
        <c:ser>
          <c:idx val="0"/>
          <c:order val="0"/>
          <c:tx>
            <c:strRef>
              <c:f>Liabilities!$HV$3</c:f>
              <c:strCache>
                <c:ptCount val="1"/>
                <c:pt idx="0">
                  <c:v>Equity yield (current cost)</c:v>
                </c:pt>
              </c:strCache>
            </c:strRef>
          </c:tx>
          <c:marker>
            <c:symbol val="none"/>
          </c:marker>
          <c:cat>
            <c:numRef>
              <c:f>Liabilities!$B$75:$B$108</c:f>
              <c:numCache>
                <c:formatCode>General</c:formatCode>
                <c:ptCount val="34"/>
                <c:pt idx="0">
                  <c:v>1983.0</c:v>
                </c:pt>
                <c:pt idx="1">
                  <c:v>1984.0</c:v>
                </c:pt>
                <c:pt idx="2">
                  <c:v>1985.0</c:v>
                </c:pt>
                <c:pt idx="3">
                  <c:v>1986.0</c:v>
                </c:pt>
                <c:pt idx="4">
                  <c:v>1987.0</c:v>
                </c:pt>
                <c:pt idx="5">
                  <c:v>1988.0</c:v>
                </c:pt>
                <c:pt idx="6">
                  <c:v>1989.0</c:v>
                </c:pt>
                <c:pt idx="7">
                  <c:v>1990.0</c:v>
                </c:pt>
                <c:pt idx="8">
                  <c:v>1991.0</c:v>
                </c:pt>
                <c:pt idx="9">
                  <c:v>1992.0</c:v>
                </c:pt>
                <c:pt idx="10">
                  <c:v>1993.0</c:v>
                </c:pt>
                <c:pt idx="11">
                  <c:v>1994.0</c:v>
                </c:pt>
                <c:pt idx="12">
                  <c:v>1995.0</c:v>
                </c:pt>
                <c:pt idx="13">
                  <c:v>1996.0</c:v>
                </c:pt>
                <c:pt idx="14">
                  <c:v>1997.0</c:v>
                </c:pt>
                <c:pt idx="15">
                  <c:v>1998.0</c:v>
                </c:pt>
                <c:pt idx="16">
                  <c:v>1999.0</c:v>
                </c:pt>
                <c:pt idx="17">
                  <c:v>2000.0</c:v>
                </c:pt>
                <c:pt idx="18">
                  <c:v>2001.0</c:v>
                </c:pt>
                <c:pt idx="19">
                  <c:v>2002.0</c:v>
                </c:pt>
                <c:pt idx="20">
                  <c:v>2003.0</c:v>
                </c:pt>
                <c:pt idx="21">
                  <c:v>2004.0</c:v>
                </c:pt>
                <c:pt idx="22">
                  <c:v>2005.0</c:v>
                </c:pt>
                <c:pt idx="23">
                  <c:v>2006.0</c:v>
                </c:pt>
                <c:pt idx="24">
                  <c:v>2007.0</c:v>
                </c:pt>
                <c:pt idx="25">
                  <c:v>2008.0</c:v>
                </c:pt>
                <c:pt idx="26">
                  <c:v>2009.0</c:v>
                </c:pt>
                <c:pt idx="27">
                  <c:v>2010.0</c:v>
                </c:pt>
                <c:pt idx="28">
                  <c:v>2011.0</c:v>
                </c:pt>
                <c:pt idx="29">
                  <c:v>2012.0</c:v>
                </c:pt>
                <c:pt idx="30">
                  <c:v>2013.0</c:v>
                </c:pt>
                <c:pt idx="31">
                  <c:v>2014.0</c:v>
                </c:pt>
                <c:pt idx="32">
                  <c:v>2015.0</c:v>
                </c:pt>
                <c:pt idx="33">
                  <c:v>2016.0</c:v>
                </c:pt>
              </c:numCache>
            </c:numRef>
          </c:cat>
          <c:val>
            <c:numRef>
              <c:f>Liabilities!$HV$75:$HV$108</c:f>
              <c:numCache>
                <c:formatCode>0.0%</c:formatCode>
                <c:ptCount val="34"/>
                <c:pt idx="0">
                  <c:v>0.00638816372137058</c:v>
                </c:pt>
                <c:pt idx="1">
                  <c:v>0.0285302738548476</c:v>
                </c:pt>
                <c:pt idx="2">
                  <c:v>0.0180916975109893</c:v>
                </c:pt>
                <c:pt idx="3">
                  <c:v>0.0152042484920111</c:v>
                </c:pt>
                <c:pt idx="4">
                  <c:v>0.0147744758360595</c:v>
                </c:pt>
                <c:pt idx="5">
                  <c:v>0.0220235226805405</c:v>
                </c:pt>
                <c:pt idx="6">
                  <c:v>0.00202563220420776</c:v>
                </c:pt>
                <c:pt idx="7">
                  <c:v>-0.0133258456167303</c:v>
                </c:pt>
                <c:pt idx="8">
                  <c:v>-0.0260255817204924</c:v>
                </c:pt>
                <c:pt idx="9">
                  <c:v>-0.0110215351969618</c:v>
                </c:pt>
                <c:pt idx="10">
                  <c:v>0.00298539782156153</c:v>
                </c:pt>
                <c:pt idx="11">
                  <c:v>0.0306621791515693</c:v>
                </c:pt>
                <c:pt idx="12">
                  <c:v>0.0399425151323919</c:v>
                </c:pt>
                <c:pt idx="13">
                  <c:v>0.038889194134053</c:v>
                </c:pt>
                <c:pt idx="14">
                  <c:v>0.0509093250102989</c:v>
                </c:pt>
                <c:pt idx="15">
                  <c:v>0.036336323534113</c:v>
                </c:pt>
                <c:pt idx="16">
                  <c:v>0.0421586175706833</c:v>
                </c:pt>
                <c:pt idx="17">
                  <c:v>0.0294538342249135</c:v>
                </c:pt>
                <c:pt idx="18">
                  <c:v>-0.000279303737001924</c:v>
                </c:pt>
                <c:pt idx="19">
                  <c:v>0.0145313358286732</c:v>
                </c:pt>
                <c:pt idx="20">
                  <c:v>0.0423432436055446</c:v>
                </c:pt>
                <c:pt idx="21">
                  <c:v>0.0575431351499058</c:v>
                </c:pt>
                <c:pt idx="22">
                  <c:v>0.0631317215373216</c:v>
                </c:pt>
                <c:pt idx="23">
                  <c:v>0.0730514736167281</c:v>
                </c:pt>
                <c:pt idx="24">
                  <c:v>0.0532698376419365</c:v>
                </c:pt>
                <c:pt idx="25">
                  <c:v>0.0529717797516155</c:v>
                </c:pt>
                <c:pt idx="26">
                  <c:v>0.0413468304230597</c:v>
                </c:pt>
                <c:pt idx="27">
                  <c:v>0.0577978158223463</c:v>
                </c:pt>
                <c:pt idx="28">
                  <c:v>0.0621295668921728</c:v>
                </c:pt>
                <c:pt idx="29">
                  <c:v>0.0547133480837017</c:v>
                </c:pt>
                <c:pt idx="30">
                  <c:v>0.0554158521552101</c:v>
                </c:pt>
                <c:pt idx="31">
                  <c:v>0.0542860722361562</c:v>
                </c:pt>
                <c:pt idx="32">
                  <c:v>0.0395354741552331</c:v>
                </c:pt>
                <c:pt idx="33">
                  <c:v>0.0379053833739546</c:v>
                </c:pt>
              </c:numCache>
            </c:numRef>
          </c:val>
          <c:smooth val="0"/>
        </c:ser>
        <c:ser>
          <c:idx val="1"/>
          <c:order val="1"/>
          <c:tx>
            <c:strRef>
              <c:f>Liabilities!$HW$3</c:f>
              <c:strCache>
                <c:ptCount val="1"/>
                <c:pt idx="0">
                  <c:v>Memo: FDIUS equity liabilities (end of t), % of NI </c:v>
                </c:pt>
              </c:strCache>
            </c:strRef>
          </c:tx>
          <c:marker>
            <c:symbol val="none"/>
          </c:marker>
          <c:cat>
            <c:numRef>
              <c:f>Liabilities!$B$75:$B$108</c:f>
              <c:numCache>
                <c:formatCode>General</c:formatCode>
                <c:ptCount val="34"/>
                <c:pt idx="0">
                  <c:v>1983.0</c:v>
                </c:pt>
                <c:pt idx="1">
                  <c:v>1984.0</c:v>
                </c:pt>
                <c:pt idx="2">
                  <c:v>1985.0</c:v>
                </c:pt>
                <c:pt idx="3">
                  <c:v>1986.0</c:v>
                </c:pt>
                <c:pt idx="4">
                  <c:v>1987.0</c:v>
                </c:pt>
                <c:pt idx="5">
                  <c:v>1988.0</c:v>
                </c:pt>
                <c:pt idx="6">
                  <c:v>1989.0</c:v>
                </c:pt>
                <c:pt idx="7">
                  <c:v>1990.0</c:v>
                </c:pt>
                <c:pt idx="8">
                  <c:v>1991.0</c:v>
                </c:pt>
                <c:pt idx="9">
                  <c:v>1992.0</c:v>
                </c:pt>
                <c:pt idx="10">
                  <c:v>1993.0</c:v>
                </c:pt>
                <c:pt idx="11">
                  <c:v>1994.0</c:v>
                </c:pt>
                <c:pt idx="12">
                  <c:v>1995.0</c:v>
                </c:pt>
                <c:pt idx="13">
                  <c:v>1996.0</c:v>
                </c:pt>
                <c:pt idx="14">
                  <c:v>1997.0</c:v>
                </c:pt>
                <c:pt idx="15">
                  <c:v>1998.0</c:v>
                </c:pt>
                <c:pt idx="16">
                  <c:v>1999.0</c:v>
                </c:pt>
                <c:pt idx="17">
                  <c:v>2000.0</c:v>
                </c:pt>
                <c:pt idx="18">
                  <c:v>2001.0</c:v>
                </c:pt>
                <c:pt idx="19">
                  <c:v>2002.0</c:v>
                </c:pt>
                <c:pt idx="20">
                  <c:v>2003.0</c:v>
                </c:pt>
                <c:pt idx="21">
                  <c:v>2004.0</c:v>
                </c:pt>
                <c:pt idx="22">
                  <c:v>2005.0</c:v>
                </c:pt>
                <c:pt idx="23">
                  <c:v>2006.0</c:v>
                </c:pt>
                <c:pt idx="24">
                  <c:v>2007.0</c:v>
                </c:pt>
                <c:pt idx="25">
                  <c:v>2008.0</c:v>
                </c:pt>
                <c:pt idx="26">
                  <c:v>2009.0</c:v>
                </c:pt>
                <c:pt idx="27">
                  <c:v>2010.0</c:v>
                </c:pt>
                <c:pt idx="28">
                  <c:v>2011.0</c:v>
                </c:pt>
                <c:pt idx="29">
                  <c:v>2012.0</c:v>
                </c:pt>
                <c:pt idx="30">
                  <c:v>2013.0</c:v>
                </c:pt>
                <c:pt idx="31">
                  <c:v>2014.0</c:v>
                </c:pt>
                <c:pt idx="32">
                  <c:v>2015.0</c:v>
                </c:pt>
                <c:pt idx="33">
                  <c:v>2016.0</c:v>
                </c:pt>
              </c:numCache>
            </c:numRef>
          </c:cat>
          <c:val>
            <c:numRef>
              <c:f>Liabilities!$HW$75:$HW$108</c:f>
              <c:numCache>
                <c:formatCode>0.0%</c:formatCode>
                <c:ptCount val="34"/>
                <c:pt idx="0">
                  <c:v>0.0520545662473452</c:v>
                </c:pt>
                <c:pt idx="1">
                  <c:v>0.0527656794425087</c:v>
                </c:pt>
                <c:pt idx="2">
                  <c:v>0.054346669561913</c:v>
                </c:pt>
                <c:pt idx="3">
                  <c:v>0.0588337404500806</c:v>
                </c:pt>
                <c:pt idx="4">
                  <c:v>0.0628452126626529</c:v>
                </c:pt>
                <c:pt idx="5">
                  <c:v>0.0699968843192237</c:v>
                </c:pt>
                <c:pt idx="6">
                  <c:v>0.0744469072811677</c:v>
                </c:pt>
                <c:pt idx="7">
                  <c:v>0.0768731756716507</c:v>
                </c:pt>
                <c:pt idx="8">
                  <c:v>0.0808943136460924</c:v>
                </c:pt>
                <c:pt idx="9">
                  <c:v>0.0772931250795498</c:v>
                </c:pt>
                <c:pt idx="10">
                  <c:v>0.0780882046291791</c:v>
                </c:pt>
                <c:pt idx="11">
                  <c:v>0.0788243053972183</c:v>
                </c:pt>
                <c:pt idx="12">
                  <c:v>0.0840527818504514</c:v>
                </c:pt>
                <c:pt idx="13">
                  <c:v>0.0863714236020524</c:v>
                </c:pt>
                <c:pt idx="14">
                  <c:v>0.0873489241775513</c:v>
                </c:pt>
                <c:pt idx="15">
                  <c:v>0.0905484072136739</c:v>
                </c:pt>
                <c:pt idx="16">
                  <c:v>0.101988852049397</c:v>
                </c:pt>
                <c:pt idx="17">
                  <c:v>0.126289996631863</c:v>
                </c:pt>
                <c:pt idx="18">
                  <c:v>0.128192409032511</c:v>
                </c:pt>
                <c:pt idx="19">
                  <c:v>0.128717361817565</c:v>
                </c:pt>
                <c:pt idx="20">
                  <c:v>0.135838588025385</c:v>
                </c:pt>
                <c:pt idx="21">
                  <c:v>0.143439175023006</c:v>
                </c:pt>
                <c:pt idx="22">
                  <c:v>0.148835121621381</c:v>
                </c:pt>
                <c:pt idx="23">
                  <c:v>0.154807493669199</c:v>
                </c:pt>
                <c:pt idx="24">
                  <c:v>0.163115068092912</c:v>
                </c:pt>
                <c:pt idx="25">
                  <c:v>0.17001005809556</c:v>
                </c:pt>
                <c:pt idx="26">
                  <c:v>0.171435910968902</c:v>
                </c:pt>
                <c:pt idx="27">
                  <c:v>0.180291063228541</c:v>
                </c:pt>
                <c:pt idx="28">
                  <c:v>0.184241366655932</c:v>
                </c:pt>
                <c:pt idx="29">
                  <c:v>0.189070467006592</c:v>
                </c:pt>
                <c:pt idx="30">
                  <c:v>0.194925440296854</c:v>
                </c:pt>
                <c:pt idx="31">
                  <c:v>0.196745773903856</c:v>
                </c:pt>
                <c:pt idx="32">
                  <c:v>0.20943962997789</c:v>
                </c:pt>
                <c:pt idx="33">
                  <c:v>0.225486543732868</c:v>
                </c:pt>
              </c:numCache>
            </c:numRef>
          </c:val>
          <c:smooth val="0"/>
        </c:ser>
        <c:ser>
          <c:idx val="2"/>
          <c:order val="2"/>
          <c:tx>
            <c:v>USDIA equity income (% NI)</c:v>
          </c:tx>
          <c:marker>
            <c:symbol val="none"/>
          </c:marker>
          <c:val>
            <c:numRef>
              <c:f>Liabilities!$HX$75:$HX$108</c:f>
              <c:numCache>
                <c:formatCode>0.0%</c:formatCode>
                <c:ptCount val="34"/>
                <c:pt idx="0">
                  <c:v>0.000332533091632972</c:v>
                </c:pt>
                <c:pt idx="1">
                  <c:v>0.00150541928463188</c:v>
                </c:pt>
                <c:pt idx="2">
                  <c:v>0.000983223506443819</c:v>
                </c:pt>
                <c:pt idx="3">
                  <c:v>0.00089452280951751</c:v>
                </c:pt>
                <c:pt idx="4">
                  <c:v>0.000928505075896387</c:v>
                </c:pt>
                <c:pt idx="5">
                  <c:v>0.0015415779693716</c:v>
                </c:pt>
                <c:pt idx="6">
                  <c:v>0.000150802052892402</c:v>
                </c:pt>
                <c:pt idx="7">
                  <c:v>-0.0010244000710682</c:v>
                </c:pt>
                <c:pt idx="8">
                  <c:v>-0.00210532157051952</c:v>
                </c:pt>
                <c:pt idx="9">
                  <c:v>-0.000851888898547432</c:v>
                </c:pt>
                <c:pt idx="10">
                  <c:v>0.000233124355989602</c:v>
                </c:pt>
                <c:pt idx="11">
                  <c:v>0.00241692497358752</c:v>
                </c:pt>
                <c:pt idx="12">
                  <c:v>0.00335727951098129</c:v>
                </c:pt>
                <c:pt idx="13">
                  <c:v>0.00335891506009474</c:v>
                </c:pt>
                <c:pt idx="14">
                  <c:v>0.00444687477025491</c:v>
                </c:pt>
                <c:pt idx="15">
                  <c:v>0.00329019622001466</c:v>
                </c:pt>
                <c:pt idx="16">
                  <c:v>0.00429970901002353</c:v>
                </c:pt>
                <c:pt idx="17">
                  <c:v>0.00371972462505976</c:v>
                </c:pt>
                <c:pt idx="18">
                  <c:v>-3.58046188980595E-5</c:v>
                </c:pt>
                <c:pt idx="19">
                  <c:v>0.00187043521155188</c:v>
                </c:pt>
                <c:pt idx="20">
                  <c:v>0.00575184642379208</c:v>
                </c:pt>
                <c:pt idx="21">
                  <c:v>0.0082539398341398</c:v>
                </c:pt>
                <c:pt idx="22">
                  <c:v>0.00939621745317443</c:v>
                </c:pt>
                <c:pt idx="23">
                  <c:v>0.0113089155394473</c:v>
                </c:pt>
                <c:pt idx="24">
                  <c:v>0.00868911319426281</c:v>
                </c:pt>
                <c:pt idx="25">
                  <c:v>0.00900573535299736</c:v>
                </c:pt>
                <c:pt idx="26">
                  <c:v>0.00708833153925395</c:v>
                </c:pt>
                <c:pt idx="27">
                  <c:v>0.0104204296668982</c:v>
                </c:pt>
                <c:pt idx="28">
                  <c:v>0.0114468363139551</c:v>
                </c:pt>
                <c:pt idx="29">
                  <c:v>0.0103446782736797</c:v>
                </c:pt>
                <c:pt idx="30">
                  <c:v>0.0108019593807797</c:v>
                </c:pt>
                <c:pt idx="31">
                  <c:v>0.0106805552943032</c:v>
                </c:pt>
                <c:pt idx="32">
                  <c:v>0.00828029507807246</c:v>
                </c:pt>
                <c:pt idx="33">
                  <c:v>0.00854715388586234</c:v>
                </c:pt>
              </c:numCache>
            </c:numRef>
          </c:val>
          <c:smooth val="0"/>
        </c:ser>
        <c:dLbls>
          <c:showLegendKey val="0"/>
          <c:showVal val="0"/>
          <c:showCatName val="0"/>
          <c:showSerName val="0"/>
          <c:showPercent val="0"/>
          <c:showBubbleSize val="0"/>
        </c:dLbls>
        <c:marker val="1"/>
        <c:smooth val="0"/>
        <c:axId val="-2078997176"/>
        <c:axId val="-2078994136"/>
      </c:lineChart>
      <c:catAx>
        <c:axId val="-2078997176"/>
        <c:scaling>
          <c:orientation val="minMax"/>
        </c:scaling>
        <c:delete val="0"/>
        <c:axPos val="b"/>
        <c:numFmt formatCode="General" sourceLinked="1"/>
        <c:majorTickMark val="out"/>
        <c:minorTickMark val="none"/>
        <c:tickLblPos val="nextTo"/>
        <c:crossAx val="-2078994136"/>
        <c:crosses val="autoZero"/>
        <c:auto val="1"/>
        <c:lblAlgn val="ctr"/>
        <c:lblOffset val="100"/>
        <c:noMultiLvlLbl val="0"/>
      </c:catAx>
      <c:valAx>
        <c:axId val="-2078994136"/>
        <c:scaling>
          <c:orientation val="minMax"/>
        </c:scaling>
        <c:delete val="0"/>
        <c:axPos val="l"/>
        <c:majorGridlines/>
        <c:numFmt formatCode="0.0%" sourceLinked="1"/>
        <c:majorTickMark val="out"/>
        <c:minorTickMark val="none"/>
        <c:tickLblPos val="nextTo"/>
        <c:crossAx val="-2078997176"/>
        <c:crosses val="autoZero"/>
        <c:crossBetween val="between"/>
      </c:valAx>
    </c:plotArea>
    <c:legend>
      <c:legendPos val="r"/>
      <c:layout>
        <c:manualLayout>
          <c:xMode val="edge"/>
          <c:yMode val="edge"/>
          <c:x val="0.170860454943132"/>
          <c:y val="0.0598013269174686"/>
          <c:w val="0.496996850393701"/>
          <c:h val="0.399299722951298"/>
        </c:manualLayout>
      </c:layout>
      <c:overlay val="0"/>
    </c:legend>
    <c:plotVisOnly val="1"/>
    <c:dispBlanksAs val="gap"/>
    <c:showDLblsOverMax val="0"/>
  </c:chart>
  <c:printSettings>
    <c:headerFooter/>
    <c:pageMargins b="1.0" l="0.75" r="0.75" t="1.0"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lineChart>
        <c:grouping val="standard"/>
        <c:varyColors val="0"/>
        <c:ser>
          <c:idx val="0"/>
          <c:order val="0"/>
          <c:tx>
            <c:strRef>
              <c:f>Liabilities!$AG$3</c:f>
              <c:strCache>
                <c:ptCount val="1"/>
                <c:pt idx="0">
                  <c:v>Memo: interest payments by US affiliates, % of pre-tax corp profits</c:v>
                </c:pt>
              </c:strCache>
            </c:strRef>
          </c:tx>
          <c:marker>
            <c:symbol val="none"/>
          </c:marker>
          <c:cat>
            <c:numRef>
              <c:f>Liabilities!$B$74:$B$108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Liabilities!$AG$74:$AG$108</c:f>
              <c:numCache>
                <c:formatCode>0%</c:formatCode>
                <c:ptCount val="35"/>
                <c:pt idx="0">
                  <c:v>0.0121835580687255</c:v>
                </c:pt>
                <c:pt idx="1">
                  <c:v>0.0100786275911365</c:v>
                </c:pt>
                <c:pt idx="2">
                  <c:v>0.0105504587155963</c:v>
                </c:pt>
                <c:pt idx="3">
                  <c:v>0.0105867418899859</c:v>
                </c:pt>
                <c:pt idx="4">
                  <c:v>0.0123520345252774</c:v>
                </c:pt>
                <c:pt idx="5">
                  <c:v>0.0127704918032787</c:v>
                </c:pt>
                <c:pt idx="6">
                  <c:v>0.0150132562063148</c:v>
                </c:pt>
                <c:pt idx="7">
                  <c:v>0.0220111057460164</c:v>
                </c:pt>
                <c:pt idx="8">
                  <c:v>0.0243072866730585</c:v>
                </c:pt>
                <c:pt idx="9">
                  <c:v>0.0245357855085309</c:v>
                </c:pt>
                <c:pt idx="10">
                  <c:v>0.0196339154218388</c:v>
                </c:pt>
                <c:pt idx="11">
                  <c:v>0.0174367816091954</c:v>
                </c:pt>
                <c:pt idx="12">
                  <c:v>0.0134426756713298</c:v>
                </c:pt>
                <c:pt idx="13">
                  <c:v>0.0137567567567568</c:v>
                </c:pt>
                <c:pt idx="14">
                  <c:v>0.013418140185727</c:v>
                </c:pt>
                <c:pt idx="15">
                  <c:v>0.0126865326865327</c:v>
                </c:pt>
                <c:pt idx="16">
                  <c:v>0.0151573187414501</c:v>
                </c:pt>
                <c:pt idx="17">
                  <c:v>0.0204733799084558</c:v>
                </c:pt>
                <c:pt idx="18">
                  <c:v>0.0287903225806452</c:v>
                </c:pt>
                <c:pt idx="19">
                  <c:v>0.0308633952254642</c:v>
                </c:pt>
                <c:pt idx="20">
                  <c:v>0.0243860229276896</c:v>
                </c:pt>
                <c:pt idx="21">
                  <c:v>0.0167815221507005</c:v>
                </c:pt>
                <c:pt idx="22">
                  <c:v>0.0126135743785553</c:v>
                </c:pt>
                <c:pt idx="23">
                  <c:v>0.0126209650131962</c:v>
                </c:pt>
                <c:pt idx="24">
                  <c:v>0.013986638323717</c:v>
                </c:pt>
                <c:pt idx="25">
                  <c:v>0.0199908436886854</c:v>
                </c:pt>
                <c:pt idx="26">
                  <c:v>0.0234923352268306</c:v>
                </c:pt>
                <c:pt idx="27">
                  <c:v>0.0202927702219041</c:v>
                </c:pt>
                <c:pt idx="28">
                  <c:v>0.0159917544663307</c:v>
                </c:pt>
                <c:pt idx="29">
                  <c:v>0.0158570956732357</c:v>
                </c:pt>
                <c:pt idx="30">
                  <c:v>0.0149494545090581</c:v>
                </c:pt>
                <c:pt idx="31">
                  <c:v>0.0147892173741945</c:v>
                </c:pt>
                <c:pt idx="32">
                  <c:v>0.0140161636924227</c:v>
                </c:pt>
                <c:pt idx="33">
                  <c:v>0.0155102715466352</c:v>
                </c:pt>
                <c:pt idx="34">
                  <c:v>0.0191560163973957</c:v>
                </c:pt>
              </c:numCache>
            </c:numRef>
          </c:val>
          <c:smooth val="0"/>
        </c:ser>
        <c:dLbls>
          <c:showLegendKey val="0"/>
          <c:showVal val="0"/>
          <c:showCatName val="0"/>
          <c:showSerName val="0"/>
          <c:showPercent val="0"/>
          <c:showBubbleSize val="0"/>
        </c:dLbls>
        <c:marker val="1"/>
        <c:smooth val="0"/>
        <c:axId val="-2078970376"/>
        <c:axId val="-2078967368"/>
      </c:lineChart>
      <c:catAx>
        <c:axId val="-2078970376"/>
        <c:scaling>
          <c:orientation val="minMax"/>
        </c:scaling>
        <c:delete val="0"/>
        <c:axPos val="b"/>
        <c:numFmt formatCode="General" sourceLinked="1"/>
        <c:majorTickMark val="out"/>
        <c:minorTickMark val="none"/>
        <c:tickLblPos val="nextTo"/>
        <c:crossAx val="-2078967368"/>
        <c:crosses val="autoZero"/>
        <c:auto val="1"/>
        <c:lblAlgn val="ctr"/>
        <c:lblOffset val="100"/>
        <c:noMultiLvlLbl val="0"/>
      </c:catAx>
      <c:valAx>
        <c:axId val="-2078967368"/>
        <c:scaling>
          <c:orientation val="minMax"/>
        </c:scaling>
        <c:delete val="0"/>
        <c:axPos val="l"/>
        <c:majorGridlines/>
        <c:numFmt formatCode="0%" sourceLinked="1"/>
        <c:majorTickMark val="out"/>
        <c:minorTickMark val="none"/>
        <c:tickLblPos val="nextTo"/>
        <c:crossAx val="-2078970376"/>
        <c:crosses val="autoZero"/>
        <c:crossBetween val="between"/>
      </c:valAx>
    </c:plotArea>
    <c:plotVisOnly val="1"/>
    <c:dispBlanksAs val="gap"/>
    <c:showDLblsOverMax val="0"/>
  </c:chart>
  <c:printSettings>
    <c:headerFooter/>
    <c:pageMargins b="1.0" l="0.75" r="0.75" t="1.0"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44679991924086"/>
          <c:y val="0.0601851851851852"/>
          <c:w val="0.841429436705027"/>
          <c:h val="0.884259259259259"/>
        </c:manualLayout>
      </c:layout>
      <c:lineChart>
        <c:grouping val="standard"/>
        <c:varyColors val="0"/>
        <c:ser>
          <c:idx val="0"/>
          <c:order val="0"/>
          <c:tx>
            <c:v>Change in net debt</c:v>
          </c:tx>
          <c:marker>
            <c:symbol val="none"/>
          </c:marker>
          <c:cat>
            <c:numRef>
              <c:f>Liabilities!$B$75:$B$108</c:f>
              <c:numCache>
                <c:formatCode>General</c:formatCode>
                <c:ptCount val="34"/>
                <c:pt idx="0">
                  <c:v>1983.0</c:v>
                </c:pt>
                <c:pt idx="1">
                  <c:v>1984.0</c:v>
                </c:pt>
                <c:pt idx="2">
                  <c:v>1985.0</c:v>
                </c:pt>
                <c:pt idx="3">
                  <c:v>1986.0</c:v>
                </c:pt>
                <c:pt idx="4">
                  <c:v>1987.0</c:v>
                </c:pt>
                <c:pt idx="5">
                  <c:v>1988.0</c:v>
                </c:pt>
                <c:pt idx="6">
                  <c:v>1989.0</c:v>
                </c:pt>
                <c:pt idx="7">
                  <c:v>1990.0</c:v>
                </c:pt>
                <c:pt idx="8">
                  <c:v>1991.0</c:v>
                </c:pt>
                <c:pt idx="9">
                  <c:v>1992.0</c:v>
                </c:pt>
                <c:pt idx="10">
                  <c:v>1993.0</c:v>
                </c:pt>
                <c:pt idx="11">
                  <c:v>1994.0</c:v>
                </c:pt>
                <c:pt idx="12">
                  <c:v>1995.0</c:v>
                </c:pt>
                <c:pt idx="13">
                  <c:v>1996.0</c:v>
                </c:pt>
                <c:pt idx="14">
                  <c:v>1997.0</c:v>
                </c:pt>
                <c:pt idx="15">
                  <c:v>1998.0</c:v>
                </c:pt>
                <c:pt idx="16">
                  <c:v>1999.0</c:v>
                </c:pt>
                <c:pt idx="17">
                  <c:v>2000.0</c:v>
                </c:pt>
                <c:pt idx="18">
                  <c:v>2001.0</c:v>
                </c:pt>
                <c:pt idx="19">
                  <c:v>2002.0</c:v>
                </c:pt>
                <c:pt idx="20">
                  <c:v>2003.0</c:v>
                </c:pt>
                <c:pt idx="21">
                  <c:v>2004.0</c:v>
                </c:pt>
                <c:pt idx="22">
                  <c:v>2005.0</c:v>
                </c:pt>
                <c:pt idx="23">
                  <c:v>2006.0</c:v>
                </c:pt>
                <c:pt idx="24">
                  <c:v>2007.0</c:v>
                </c:pt>
                <c:pt idx="25">
                  <c:v>2008.0</c:v>
                </c:pt>
                <c:pt idx="26">
                  <c:v>2009.0</c:v>
                </c:pt>
                <c:pt idx="27">
                  <c:v>2010.0</c:v>
                </c:pt>
                <c:pt idx="28">
                  <c:v>2011.0</c:v>
                </c:pt>
                <c:pt idx="29">
                  <c:v>2012.0</c:v>
                </c:pt>
                <c:pt idx="30">
                  <c:v>2013.0</c:v>
                </c:pt>
                <c:pt idx="31">
                  <c:v>2014.0</c:v>
                </c:pt>
                <c:pt idx="32">
                  <c:v>2015.0</c:v>
                </c:pt>
                <c:pt idx="33">
                  <c:v>2016.0</c:v>
                </c:pt>
              </c:numCache>
            </c:numRef>
          </c:cat>
          <c:val>
            <c:numRef>
              <c:f>Liabilities!$DO$75:$DO$108</c:f>
              <c:numCache>
                <c:formatCode>#,##0</c:formatCode>
                <c:ptCount val="34"/>
                <c:pt idx="0">
                  <c:v>3.159000000000002</c:v>
                </c:pt>
                <c:pt idx="1">
                  <c:v>7.417999999999999</c:v>
                </c:pt>
                <c:pt idx="2">
                  <c:v>5.186</c:v>
                </c:pt>
                <c:pt idx="3">
                  <c:v>11.29799999999999</c:v>
                </c:pt>
                <c:pt idx="4">
                  <c:v>17.38300000000001</c:v>
                </c:pt>
                <c:pt idx="5">
                  <c:v>11.562</c:v>
                </c:pt>
                <c:pt idx="6">
                  <c:v>24.624</c:v>
                </c:pt>
                <c:pt idx="7">
                  <c:v>6.338999999999999</c:v>
                </c:pt>
                <c:pt idx="8">
                  <c:v>-4.326999999999998</c:v>
                </c:pt>
                <c:pt idx="9">
                  <c:v>1.302999999999997</c:v>
                </c:pt>
                <c:pt idx="10">
                  <c:v>28.75000000000001</c:v>
                </c:pt>
                <c:pt idx="11">
                  <c:v>-9.945999999999997</c:v>
                </c:pt>
                <c:pt idx="12">
                  <c:v>1.460999999999984</c:v>
                </c:pt>
                <c:pt idx="13">
                  <c:v>14.262</c:v>
                </c:pt>
                <c:pt idx="14">
                  <c:v>29.75800000000001</c:v>
                </c:pt>
                <c:pt idx="15">
                  <c:v>29.11199999999999</c:v>
                </c:pt>
                <c:pt idx="16">
                  <c:v>63.754</c:v>
                </c:pt>
                <c:pt idx="17">
                  <c:v>61.89499999999998</c:v>
                </c:pt>
                <c:pt idx="18">
                  <c:v>59.97000000000003</c:v>
                </c:pt>
                <c:pt idx="19">
                  <c:v>-30.93200000000002</c:v>
                </c:pt>
                <c:pt idx="20">
                  <c:v>-44.92899999999997</c:v>
                </c:pt>
                <c:pt idx="21">
                  <c:v>0.329999999999984</c:v>
                </c:pt>
                <c:pt idx="22">
                  <c:v>15.608</c:v>
                </c:pt>
                <c:pt idx="23">
                  <c:v>63.248</c:v>
                </c:pt>
                <c:pt idx="24">
                  <c:v>56.272</c:v>
                </c:pt>
                <c:pt idx="25">
                  <c:v>32.14400000000001</c:v>
                </c:pt>
                <c:pt idx="26">
                  <c:v>-4.379999999999995</c:v>
                </c:pt>
                <c:pt idx="27">
                  <c:v>12.98200000000003</c:v>
                </c:pt>
                <c:pt idx="28">
                  <c:v>35.82400000000001</c:v>
                </c:pt>
                <c:pt idx="29">
                  <c:v>-30.40200000000004</c:v>
                </c:pt>
                <c:pt idx="30">
                  <c:v>5.24000000000001</c:v>
                </c:pt>
                <c:pt idx="31">
                  <c:v>55.93399999999997</c:v>
                </c:pt>
                <c:pt idx="32">
                  <c:v>72.10200000000009</c:v>
                </c:pt>
                <c:pt idx="33">
                  <c:v>138.884</c:v>
                </c:pt>
              </c:numCache>
            </c:numRef>
          </c:val>
          <c:smooth val="0"/>
        </c:ser>
        <c:ser>
          <c:idx val="1"/>
          <c:order val="1"/>
          <c:tx>
            <c:v>Net debt outflows</c:v>
          </c:tx>
          <c:marker>
            <c:symbol val="none"/>
          </c:marker>
          <c:cat>
            <c:numRef>
              <c:f>Liabilities!$B$75:$B$108</c:f>
              <c:numCache>
                <c:formatCode>General</c:formatCode>
                <c:ptCount val="34"/>
                <c:pt idx="0">
                  <c:v>1983.0</c:v>
                </c:pt>
                <c:pt idx="1">
                  <c:v>1984.0</c:v>
                </c:pt>
                <c:pt idx="2">
                  <c:v>1985.0</c:v>
                </c:pt>
                <c:pt idx="3">
                  <c:v>1986.0</c:v>
                </c:pt>
                <c:pt idx="4">
                  <c:v>1987.0</c:v>
                </c:pt>
                <c:pt idx="5">
                  <c:v>1988.0</c:v>
                </c:pt>
                <c:pt idx="6">
                  <c:v>1989.0</c:v>
                </c:pt>
                <c:pt idx="7">
                  <c:v>1990.0</c:v>
                </c:pt>
                <c:pt idx="8">
                  <c:v>1991.0</c:v>
                </c:pt>
                <c:pt idx="9">
                  <c:v>1992.0</c:v>
                </c:pt>
                <c:pt idx="10">
                  <c:v>1993.0</c:v>
                </c:pt>
                <c:pt idx="11">
                  <c:v>1994.0</c:v>
                </c:pt>
                <c:pt idx="12">
                  <c:v>1995.0</c:v>
                </c:pt>
                <c:pt idx="13">
                  <c:v>1996.0</c:v>
                </c:pt>
                <c:pt idx="14">
                  <c:v>1997.0</c:v>
                </c:pt>
                <c:pt idx="15">
                  <c:v>1998.0</c:v>
                </c:pt>
                <c:pt idx="16">
                  <c:v>1999.0</c:v>
                </c:pt>
                <c:pt idx="17">
                  <c:v>2000.0</c:v>
                </c:pt>
                <c:pt idx="18">
                  <c:v>2001.0</c:v>
                </c:pt>
                <c:pt idx="19">
                  <c:v>2002.0</c:v>
                </c:pt>
                <c:pt idx="20">
                  <c:v>2003.0</c:v>
                </c:pt>
                <c:pt idx="21">
                  <c:v>2004.0</c:v>
                </c:pt>
                <c:pt idx="22">
                  <c:v>2005.0</c:v>
                </c:pt>
                <c:pt idx="23">
                  <c:v>2006.0</c:v>
                </c:pt>
                <c:pt idx="24">
                  <c:v>2007.0</c:v>
                </c:pt>
                <c:pt idx="25">
                  <c:v>2008.0</c:v>
                </c:pt>
                <c:pt idx="26">
                  <c:v>2009.0</c:v>
                </c:pt>
                <c:pt idx="27">
                  <c:v>2010.0</c:v>
                </c:pt>
                <c:pt idx="28">
                  <c:v>2011.0</c:v>
                </c:pt>
                <c:pt idx="29">
                  <c:v>2012.0</c:v>
                </c:pt>
                <c:pt idx="30">
                  <c:v>2013.0</c:v>
                </c:pt>
                <c:pt idx="31">
                  <c:v>2014.0</c:v>
                </c:pt>
                <c:pt idx="32">
                  <c:v>2015.0</c:v>
                </c:pt>
                <c:pt idx="33">
                  <c:v>2016.0</c:v>
                </c:pt>
              </c:numCache>
            </c:numRef>
          </c:cat>
          <c:val>
            <c:numRef>
              <c:f>Liabilities!$DF$75:$DF$108</c:f>
              <c:numCache>
                <c:formatCode>#,##0</c:formatCode>
                <c:ptCount val="34"/>
                <c:pt idx="0">
                  <c:v>3.159</c:v>
                </c:pt>
                <c:pt idx="1">
                  <c:v>7.418</c:v>
                </c:pt>
                <c:pt idx="2">
                  <c:v>5.186</c:v>
                </c:pt>
                <c:pt idx="3">
                  <c:v>11.298</c:v>
                </c:pt>
                <c:pt idx="4">
                  <c:v>24.683</c:v>
                </c:pt>
                <c:pt idx="5">
                  <c:v>11.562</c:v>
                </c:pt>
                <c:pt idx="6">
                  <c:v>24.624</c:v>
                </c:pt>
                <c:pt idx="7">
                  <c:v>6.339</c:v>
                </c:pt>
                <c:pt idx="8">
                  <c:v>-4.328</c:v>
                </c:pt>
                <c:pt idx="9">
                  <c:v>-0.202</c:v>
                </c:pt>
                <c:pt idx="10">
                  <c:v>28.75</c:v>
                </c:pt>
                <c:pt idx="11">
                  <c:v>4.027</c:v>
                </c:pt>
                <c:pt idx="12">
                  <c:v>1.461</c:v>
                </c:pt>
                <c:pt idx="13">
                  <c:v>14.262</c:v>
                </c:pt>
                <c:pt idx="14">
                  <c:v>31.136</c:v>
                </c:pt>
                <c:pt idx="15">
                  <c:v>29.112</c:v>
                </c:pt>
                <c:pt idx="16">
                  <c:v>63.754</c:v>
                </c:pt>
                <c:pt idx="17">
                  <c:v>61.895</c:v>
                </c:pt>
                <c:pt idx="18">
                  <c:v>59.969</c:v>
                </c:pt>
                <c:pt idx="19">
                  <c:v>-22.555</c:v>
                </c:pt>
                <c:pt idx="20">
                  <c:v>-43.957</c:v>
                </c:pt>
                <c:pt idx="21">
                  <c:v>3.532</c:v>
                </c:pt>
                <c:pt idx="22">
                  <c:v>0.18</c:v>
                </c:pt>
                <c:pt idx="23">
                  <c:v>59.008</c:v>
                </c:pt>
                <c:pt idx="24">
                  <c:v>30.748</c:v>
                </c:pt>
                <c:pt idx="25">
                  <c:v>15.231</c:v>
                </c:pt>
                <c:pt idx="26">
                  <c:v>1.977</c:v>
                </c:pt>
                <c:pt idx="27">
                  <c:v>2.703</c:v>
                </c:pt>
                <c:pt idx="28">
                  <c:v>51.017</c:v>
                </c:pt>
                <c:pt idx="29">
                  <c:v>0.049</c:v>
                </c:pt>
                <c:pt idx="30">
                  <c:v>5.504</c:v>
                </c:pt>
                <c:pt idx="31">
                  <c:v>65.913</c:v>
                </c:pt>
                <c:pt idx="32">
                  <c:v>86.524</c:v>
                </c:pt>
                <c:pt idx="33">
                  <c:v>116.561</c:v>
                </c:pt>
              </c:numCache>
            </c:numRef>
          </c:val>
          <c:smooth val="0"/>
        </c:ser>
        <c:dLbls>
          <c:showLegendKey val="0"/>
          <c:showVal val="0"/>
          <c:showCatName val="0"/>
          <c:showSerName val="0"/>
          <c:showPercent val="0"/>
          <c:showBubbleSize val="0"/>
        </c:dLbls>
        <c:marker val="1"/>
        <c:smooth val="0"/>
        <c:axId val="-2078937000"/>
        <c:axId val="-2078933992"/>
      </c:lineChart>
      <c:catAx>
        <c:axId val="-2078937000"/>
        <c:scaling>
          <c:orientation val="minMax"/>
        </c:scaling>
        <c:delete val="0"/>
        <c:axPos val="b"/>
        <c:numFmt formatCode="General" sourceLinked="1"/>
        <c:majorTickMark val="out"/>
        <c:minorTickMark val="none"/>
        <c:tickLblPos val="nextTo"/>
        <c:crossAx val="-2078933992"/>
        <c:crosses val="autoZero"/>
        <c:auto val="1"/>
        <c:lblAlgn val="ctr"/>
        <c:lblOffset val="100"/>
        <c:noMultiLvlLbl val="0"/>
      </c:catAx>
      <c:valAx>
        <c:axId val="-2078933992"/>
        <c:scaling>
          <c:orientation val="minMax"/>
        </c:scaling>
        <c:delete val="0"/>
        <c:axPos val="l"/>
        <c:majorGridlines/>
        <c:numFmt formatCode="#,##0" sourceLinked="1"/>
        <c:majorTickMark val="out"/>
        <c:minorTickMark val="none"/>
        <c:tickLblPos val="nextTo"/>
        <c:crossAx val="-2078937000"/>
        <c:crosses val="autoZero"/>
        <c:crossBetween val="between"/>
      </c:valAx>
    </c:plotArea>
    <c:legend>
      <c:legendPos val="r"/>
      <c:layout>
        <c:manualLayout>
          <c:xMode val="edge"/>
          <c:yMode val="edge"/>
          <c:x val="0.400641025641026"/>
          <c:y val="0.0505420676582094"/>
          <c:w val="0.346153846153846"/>
          <c:h val="0.185952901720618"/>
        </c:manualLayout>
      </c:layout>
      <c:overlay val="0"/>
    </c:legend>
    <c:plotVisOnly val="1"/>
    <c:dispBlanksAs val="gap"/>
    <c:showDLblsOverMax val="0"/>
  </c:chart>
  <c:printSettings>
    <c:headerFooter/>
    <c:pageMargins b="1.0" l="0.75" r="0.75" t="1.0"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000"/>
              <a:t>Figure A.1d: Return on US direct</a:t>
            </a:r>
            <a:r>
              <a:rPr lang="en-US" sz="2000" baseline="0"/>
              <a:t> investment</a:t>
            </a:r>
            <a:r>
              <a:rPr lang="en-US" sz="2000"/>
              <a:t> equity assets &amp;</a:t>
            </a:r>
            <a:r>
              <a:rPr lang="en-US" sz="2000" baseline="0"/>
              <a:t> liabilities</a:t>
            </a:r>
            <a:r>
              <a:rPr lang="en-US" sz="2000" b="0" baseline="0"/>
              <a:t> (with current-cost adjust. for income)</a:t>
            </a:r>
          </a:p>
        </c:rich>
      </c:tx>
      <c:layout>
        <c:manualLayout>
          <c:xMode val="edge"/>
          <c:yMode val="edge"/>
          <c:x val="0.160524934383202"/>
          <c:y val="0.0"/>
        </c:manualLayout>
      </c:layout>
      <c:overlay val="0"/>
    </c:title>
    <c:autoTitleDeleted val="0"/>
    <c:plotArea>
      <c:layout>
        <c:manualLayout>
          <c:layoutTarget val="inner"/>
          <c:xMode val="edge"/>
          <c:yMode val="edge"/>
          <c:x val="0.0905280839895013"/>
          <c:y val="0.138071466556876"/>
          <c:w val="0.879655833080212"/>
          <c:h val="0.77728097713276"/>
        </c:manualLayout>
      </c:layout>
      <c:lineChart>
        <c:grouping val="standard"/>
        <c:varyColors val="0"/>
        <c:ser>
          <c:idx val="0"/>
          <c:order val="0"/>
          <c:spPr>
            <a:ln w="38100">
              <a:solidFill>
                <a:schemeClr val="accent2">
                  <a:lumMod val="75000"/>
                </a:schemeClr>
              </a:solidFill>
            </a:ln>
          </c:spPr>
          <c:marker>
            <c:symbol val="none"/>
          </c:marker>
          <c:cat>
            <c:numRef>
              <c:f>DataFA1bc!$A$3:$A$54</c:f>
              <c:numCache>
                <c:formatCode>General</c:formatCode>
                <c:ptCount val="52"/>
                <c:pt idx="0">
                  <c:v>1965.0</c:v>
                </c:pt>
                <c:pt idx="1">
                  <c:v>1966.0</c:v>
                </c:pt>
                <c:pt idx="2">
                  <c:v>1967.0</c:v>
                </c:pt>
                <c:pt idx="3">
                  <c:v>1968.0</c:v>
                </c:pt>
                <c:pt idx="4">
                  <c:v>1969.0</c:v>
                </c:pt>
                <c:pt idx="5">
                  <c:v>1970.0</c:v>
                </c:pt>
                <c:pt idx="6">
                  <c:v>1971.0</c:v>
                </c:pt>
                <c:pt idx="7">
                  <c:v>1972.0</c:v>
                </c:pt>
                <c:pt idx="8">
                  <c:v>1973.0</c:v>
                </c:pt>
                <c:pt idx="9">
                  <c:v>1974.0</c:v>
                </c:pt>
                <c:pt idx="10">
                  <c:v>1975.0</c:v>
                </c:pt>
                <c:pt idx="11">
                  <c:v>1976.0</c:v>
                </c:pt>
                <c:pt idx="12">
                  <c:v>1977.0</c:v>
                </c:pt>
                <c:pt idx="13">
                  <c:v>1978.0</c:v>
                </c:pt>
                <c:pt idx="14">
                  <c:v>1979.0</c:v>
                </c:pt>
                <c:pt idx="15">
                  <c:v>1980.0</c:v>
                </c:pt>
                <c:pt idx="16">
                  <c:v>1981.0</c:v>
                </c:pt>
                <c:pt idx="17">
                  <c:v>1982.0</c:v>
                </c:pt>
                <c:pt idx="18">
                  <c:v>1983.0</c:v>
                </c:pt>
                <c:pt idx="19">
                  <c:v>1984.0</c:v>
                </c:pt>
                <c:pt idx="20">
                  <c:v>1985.0</c:v>
                </c:pt>
                <c:pt idx="21">
                  <c:v>1986.0</c:v>
                </c:pt>
                <c:pt idx="22">
                  <c:v>1987.0</c:v>
                </c:pt>
                <c:pt idx="23">
                  <c:v>1988.0</c:v>
                </c:pt>
                <c:pt idx="24">
                  <c:v>1989.0</c:v>
                </c:pt>
                <c:pt idx="25">
                  <c:v>1990.0</c:v>
                </c:pt>
                <c:pt idx="26">
                  <c:v>1991.0</c:v>
                </c:pt>
                <c:pt idx="27">
                  <c:v>1992.0</c:v>
                </c:pt>
                <c:pt idx="28">
                  <c:v>1993.0</c:v>
                </c:pt>
                <c:pt idx="29">
                  <c:v>1994.0</c:v>
                </c:pt>
                <c:pt idx="30">
                  <c:v>1995.0</c:v>
                </c:pt>
                <c:pt idx="31">
                  <c:v>1996.0</c:v>
                </c:pt>
                <c:pt idx="32">
                  <c:v>1997.0</c:v>
                </c:pt>
                <c:pt idx="33">
                  <c:v>1998.0</c:v>
                </c:pt>
                <c:pt idx="34">
                  <c:v>1999.0</c:v>
                </c:pt>
                <c:pt idx="35">
                  <c:v>2000.0</c:v>
                </c:pt>
                <c:pt idx="36">
                  <c:v>2001.0</c:v>
                </c:pt>
                <c:pt idx="37">
                  <c:v>2002.0</c:v>
                </c:pt>
                <c:pt idx="38">
                  <c:v>2003.0</c:v>
                </c:pt>
                <c:pt idx="39">
                  <c:v>2004.0</c:v>
                </c:pt>
                <c:pt idx="40">
                  <c:v>2005.0</c:v>
                </c:pt>
                <c:pt idx="41">
                  <c:v>2006.0</c:v>
                </c:pt>
                <c:pt idx="42">
                  <c:v>2007.0</c:v>
                </c:pt>
                <c:pt idx="43">
                  <c:v>2008.0</c:v>
                </c:pt>
                <c:pt idx="44">
                  <c:v>2009.0</c:v>
                </c:pt>
                <c:pt idx="45">
                  <c:v>2010.0</c:v>
                </c:pt>
                <c:pt idx="46">
                  <c:v>2011.0</c:v>
                </c:pt>
                <c:pt idx="47">
                  <c:v>2012.0</c:v>
                </c:pt>
                <c:pt idx="48">
                  <c:v>2013.0</c:v>
                </c:pt>
                <c:pt idx="49">
                  <c:v>2014.0</c:v>
                </c:pt>
                <c:pt idx="50">
                  <c:v>2015.0</c:v>
                </c:pt>
                <c:pt idx="51">
                  <c:v>2016.0</c:v>
                </c:pt>
              </c:numCache>
            </c:numRef>
          </c:cat>
          <c:val>
            <c:numRef>
              <c:f>DataFA1bc!$E$3:$E$54</c:f>
              <c:numCache>
                <c:formatCode>0.0%</c:formatCode>
                <c:ptCount val="52"/>
                <c:pt idx="1">
                  <c:v>0.0875275360820033</c:v>
                </c:pt>
                <c:pt idx="2">
                  <c:v>0.0936374249015352</c:v>
                </c:pt>
                <c:pt idx="3">
                  <c:v>0.0925764984694709</c:v>
                </c:pt>
                <c:pt idx="4">
                  <c:v>0.0792754285720135</c:v>
                </c:pt>
                <c:pt idx="5">
                  <c:v>0.0715979469226787</c:v>
                </c:pt>
                <c:pt idx="6">
                  <c:v>0.0946920754720077</c:v>
                </c:pt>
                <c:pt idx="7">
                  <c:v>0.0967013351819669</c:v>
                </c:pt>
                <c:pt idx="8">
                  <c:v>0.100406603890467</c:v>
                </c:pt>
                <c:pt idx="9">
                  <c:v>0.0628675993274353</c:v>
                </c:pt>
                <c:pt idx="10">
                  <c:v>0.0984876777957359</c:v>
                </c:pt>
                <c:pt idx="11">
                  <c:v>0.0707206937569911</c:v>
                </c:pt>
                <c:pt idx="12">
                  <c:v>0.0536036384086668</c:v>
                </c:pt>
                <c:pt idx="13">
                  <c:v>0.0657433556994967</c:v>
                </c:pt>
                <c:pt idx="14">
                  <c:v>0.0722964752034227</c:v>
                </c:pt>
                <c:pt idx="15">
                  <c:v>0.0450466930275602</c:v>
                </c:pt>
                <c:pt idx="16">
                  <c:v>0.032136306711058</c:v>
                </c:pt>
                <c:pt idx="17">
                  <c:v>-0.00108068695233259</c:v>
                </c:pt>
                <c:pt idx="18">
                  <c:v>0.011059988827026</c:v>
                </c:pt>
                <c:pt idx="19">
                  <c:v>0.0297592516164534</c:v>
                </c:pt>
                <c:pt idx="20">
                  <c:v>0.0188339060252517</c:v>
                </c:pt>
                <c:pt idx="21">
                  <c:v>0.0158521934241444</c:v>
                </c:pt>
                <c:pt idx="22">
                  <c:v>0.0159306529868043</c:v>
                </c:pt>
                <c:pt idx="23">
                  <c:v>0.0223385178873472</c:v>
                </c:pt>
                <c:pt idx="24">
                  <c:v>-0.00128925341272962</c:v>
                </c:pt>
                <c:pt idx="25">
                  <c:v>-0.0133284772214774</c:v>
                </c:pt>
                <c:pt idx="26">
                  <c:v>-0.0260555960774779</c:v>
                </c:pt>
                <c:pt idx="27">
                  <c:v>-0.0112000075278353</c:v>
                </c:pt>
                <c:pt idx="28">
                  <c:v>0.00364945636451838</c:v>
                </c:pt>
                <c:pt idx="29">
                  <c:v>0.0308080421986087</c:v>
                </c:pt>
                <c:pt idx="30">
                  <c:v>0.0400260732253681</c:v>
                </c:pt>
                <c:pt idx="31">
                  <c:v>0.0391904160184994</c:v>
                </c:pt>
                <c:pt idx="32">
                  <c:v>0.0511377914281725</c:v>
                </c:pt>
                <c:pt idx="33">
                  <c:v>0.0374578686824107</c:v>
                </c:pt>
                <c:pt idx="34">
                  <c:v>0.0432122177254074</c:v>
                </c:pt>
                <c:pt idx="35">
                  <c:v>0.0304907700035115</c:v>
                </c:pt>
                <c:pt idx="36">
                  <c:v>-0.007432503592674</c:v>
                </c:pt>
                <c:pt idx="37">
                  <c:v>0.0192025883360226</c:v>
                </c:pt>
                <c:pt idx="38">
                  <c:v>0.045613270454849</c:v>
                </c:pt>
                <c:pt idx="39">
                  <c:v>0.0594056262723399</c:v>
                </c:pt>
                <c:pt idx="40">
                  <c:v>0.0639210175045744</c:v>
                </c:pt>
                <c:pt idx="41">
                  <c:v>0.0734608134917966</c:v>
                </c:pt>
                <c:pt idx="42">
                  <c:v>0.0539052027907171</c:v>
                </c:pt>
                <c:pt idx="43">
                  <c:v>0.0535821030446539</c:v>
                </c:pt>
                <c:pt idx="44">
                  <c:v>0.0424359826038351</c:v>
                </c:pt>
                <c:pt idx="45">
                  <c:v>0.0583054469270094</c:v>
                </c:pt>
                <c:pt idx="46">
                  <c:v>0.062528912060994</c:v>
                </c:pt>
                <c:pt idx="47">
                  <c:v>0.0551102234559125</c:v>
                </c:pt>
                <c:pt idx="48">
                  <c:v>0.0559840520460752</c:v>
                </c:pt>
                <c:pt idx="49">
                  <c:v>0.0545178783950961</c:v>
                </c:pt>
                <c:pt idx="50">
                  <c:v>0.0398110599861186</c:v>
                </c:pt>
                <c:pt idx="51">
                  <c:v>0.0381565460518136</c:v>
                </c:pt>
              </c:numCache>
            </c:numRef>
          </c:val>
          <c:smooth val="0"/>
        </c:ser>
        <c:dLbls>
          <c:showLegendKey val="0"/>
          <c:showVal val="0"/>
          <c:showCatName val="0"/>
          <c:showSerName val="0"/>
          <c:showPercent val="0"/>
          <c:showBubbleSize val="0"/>
        </c:dLbls>
        <c:marker val="1"/>
        <c:smooth val="0"/>
        <c:axId val="-2105284120"/>
        <c:axId val="-2105114440"/>
      </c:lineChart>
      <c:lineChart>
        <c:grouping val="standard"/>
        <c:varyColors val="0"/>
        <c:ser>
          <c:idx val="1"/>
          <c:order val="1"/>
          <c:spPr>
            <a:ln w="38100">
              <a:solidFill>
                <a:schemeClr val="tx2">
                  <a:lumMod val="75000"/>
                </a:schemeClr>
              </a:solidFill>
            </a:ln>
          </c:spPr>
          <c:marker>
            <c:symbol val="none"/>
          </c:marker>
          <c:val>
            <c:numRef>
              <c:f>DataFA1bc!$C$3:$C$54</c:f>
              <c:numCache>
                <c:formatCode>0.0%</c:formatCode>
                <c:ptCount val="52"/>
                <c:pt idx="1">
                  <c:v>0.103758090328611</c:v>
                </c:pt>
                <c:pt idx="2">
                  <c:v>0.098992723521741</c:v>
                </c:pt>
                <c:pt idx="3">
                  <c:v>0.103161082976289</c:v>
                </c:pt>
                <c:pt idx="4">
                  <c:v>0.10537400265416</c:v>
                </c:pt>
                <c:pt idx="5">
                  <c:v>0.099929201227446</c:v>
                </c:pt>
                <c:pt idx="6">
                  <c:v>0.101653078153774</c:v>
                </c:pt>
                <c:pt idx="7">
                  <c:v>0.101018534463276</c:v>
                </c:pt>
                <c:pt idx="8">
                  <c:v>0.148859373527492</c:v>
                </c:pt>
                <c:pt idx="9">
                  <c:v>0.160593163868387</c:v>
                </c:pt>
                <c:pt idx="10">
                  <c:v>0.12650385868841</c:v>
                </c:pt>
                <c:pt idx="11">
                  <c:v>0.100538840255615</c:v>
                </c:pt>
                <c:pt idx="12">
                  <c:v>0.0884301051823141</c:v>
                </c:pt>
                <c:pt idx="13">
                  <c:v>0.0980918314675704</c:v>
                </c:pt>
                <c:pt idx="14">
                  <c:v>0.122694259509002</c:v>
                </c:pt>
                <c:pt idx="15">
                  <c:v>0.103904568695857</c:v>
                </c:pt>
                <c:pt idx="16">
                  <c:v>0.0871893306027497</c:v>
                </c:pt>
                <c:pt idx="17">
                  <c:v>0.0740860753527558</c:v>
                </c:pt>
                <c:pt idx="18">
                  <c:v>0.0835944837131135</c:v>
                </c:pt>
                <c:pt idx="19">
                  <c:v>0.09421849415133</c:v>
                </c:pt>
                <c:pt idx="20">
                  <c:v>0.0902553131465112</c:v>
                </c:pt>
                <c:pt idx="21">
                  <c:v>0.0864595643720665</c:v>
                </c:pt>
                <c:pt idx="22">
                  <c:v>0.0929051528054338</c:v>
                </c:pt>
                <c:pt idx="23">
                  <c:v>0.108839091487684</c:v>
                </c:pt>
                <c:pt idx="24">
                  <c:v>0.109837383087989</c:v>
                </c:pt>
                <c:pt idx="25">
                  <c:v>0.103660379489121</c:v>
                </c:pt>
                <c:pt idx="26">
                  <c:v>0.0884198498822668</c:v>
                </c:pt>
                <c:pt idx="27">
                  <c:v>0.0862096531487473</c:v>
                </c:pt>
                <c:pt idx="28">
                  <c:v>0.0969141914688063</c:v>
                </c:pt>
                <c:pt idx="29">
                  <c:v>0.101368949810683</c:v>
                </c:pt>
                <c:pt idx="30">
                  <c:v>0.110669275778171</c:v>
                </c:pt>
                <c:pt idx="31">
                  <c:v>0.107225596529284</c:v>
                </c:pt>
                <c:pt idx="32">
                  <c:v>0.112357708531554</c:v>
                </c:pt>
                <c:pt idx="33">
                  <c:v>0.0905442029798573</c:v>
                </c:pt>
                <c:pt idx="34">
                  <c:v>0.0985409687587753</c:v>
                </c:pt>
                <c:pt idx="35">
                  <c:v>0.102419887312455</c:v>
                </c:pt>
                <c:pt idx="36">
                  <c:v>0.0772774057784229</c:v>
                </c:pt>
                <c:pt idx="37">
                  <c:v>0.0793323684242179</c:v>
                </c:pt>
                <c:pt idx="38">
                  <c:v>0.0914133542584134</c:v>
                </c:pt>
                <c:pt idx="39">
                  <c:v>0.0984594197387488</c:v>
                </c:pt>
                <c:pt idx="40">
                  <c:v>0.105197035765908</c:v>
                </c:pt>
                <c:pt idx="41">
                  <c:v>0.10349974476705</c:v>
                </c:pt>
                <c:pt idx="42">
                  <c:v>0.100113644776155</c:v>
                </c:pt>
                <c:pt idx="43">
                  <c:v>0.105826064356146</c:v>
                </c:pt>
                <c:pt idx="44">
                  <c:v>0.0892425521598416</c:v>
                </c:pt>
                <c:pt idx="45">
                  <c:v>0.102490489433948</c:v>
                </c:pt>
                <c:pt idx="46">
                  <c:v>0.101302274932249</c:v>
                </c:pt>
                <c:pt idx="47">
                  <c:v>0.0918860207125271</c:v>
                </c:pt>
                <c:pt idx="48">
                  <c:v>0.0900910870760424</c:v>
                </c:pt>
                <c:pt idx="49">
                  <c:v>0.08441933505878</c:v>
                </c:pt>
                <c:pt idx="50">
                  <c:v>0.0748438812877715</c:v>
                </c:pt>
                <c:pt idx="51">
                  <c:v>0.071104895285065</c:v>
                </c:pt>
              </c:numCache>
            </c:numRef>
          </c:val>
          <c:smooth val="0"/>
        </c:ser>
        <c:ser>
          <c:idx val="2"/>
          <c:order val="2"/>
          <c:marker>
            <c:symbol val="none"/>
          </c:marker>
          <c:val>
            <c:numRef>
              <c:f>DataFA1bc!$G$3:$G$54</c:f>
              <c:numCache>
                <c:formatCode>0.0%</c:formatCode>
                <c:ptCount val="52"/>
                <c:pt idx="1">
                  <c:v>0.0954722911497105</c:v>
                </c:pt>
                <c:pt idx="2">
                  <c:v>0.0855151422918886</c:v>
                </c:pt>
                <c:pt idx="3">
                  <c:v>0.0779842606654701</c:v>
                </c:pt>
                <c:pt idx="4">
                  <c:v>0.0648536402301726</c:v>
                </c:pt>
                <c:pt idx="5">
                  <c:v>0.050462710322874</c:v>
                </c:pt>
                <c:pt idx="6">
                  <c:v>0.0567317478450514</c:v>
                </c:pt>
                <c:pt idx="7">
                  <c:v>0.0625284716240788</c:v>
                </c:pt>
                <c:pt idx="8">
                  <c:v>0.058121129866825</c:v>
                </c:pt>
                <c:pt idx="9">
                  <c:v>0.0385076388888889</c:v>
                </c:pt>
                <c:pt idx="10">
                  <c:v>0.0454802932514568</c:v>
                </c:pt>
                <c:pt idx="11">
                  <c:v>0.0527527801539778</c:v>
                </c:pt>
                <c:pt idx="12">
                  <c:v>0.0575385798513202</c:v>
                </c:pt>
                <c:pt idx="13">
                  <c:v>0.0590917712943727</c:v>
                </c:pt>
                <c:pt idx="14">
                  <c:v>0.0486780709308698</c:v>
                </c:pt>
                <c:pt idx="15">
                  <c:v>0.0343786841118948</c:v>
                </c:pt>
                <c:pt idx="16">
                  <c:v>0.0401673186879326</c:v>
                </c:pt>
                <c:pt idx="17">
                  <c:v>0.0368951021329421</c:v>
                </c:pt>
                <c:pt idx="18">
                  <c:v>0.0448002512219764</c:v>
                </c:pt>
                <c:pt idx="19">
                  <c:v>0.0523632345761492</c:v>
                </c:pt>
                <c:pt idx="20">
                  <c:v>0.0527133590846148</c:v>
                </c:pt>
                <c:pt idx="21">
                  <c:v>0.0405921189797762</c:v>
                </c:pt>
                <c:pt idx="22">
                  <c:v>0.0411968102633949</c:v>
                </c:pt>
                <c:pt idx="23">
                  <c:v>0.0445962387099435</c:v>
                </c:pt>
                <c:pt idx="24">
                  <c:v>0.0390674310143801</c:v>
                </c:pt>
                <c:pt idx="25">
                  <c:v>0.035918520966439</c:v>
                </c:pt>
                <c:pt idx="26">
                  <c:v>0.0422463612630976</c:v>
                </c:pt>
                <c:pt idx="27">
                  <c:v>0.043733416144782</c:v>
                </c:pt>
                <c:pt idx="28">
                  <c:v>0.0450706402855216</c:v>
                </c:pt>
                <c:pt idx="29">
                  <c:v>0.0545909649709777</c:v>
                </c:pt>
                <c:pt idx="30">
                  <c:v>0.0576430303475641</c:v>
                </c:pt>
                <c:pt idx="31">
                  <c:v>0.0632029100861575</c:v>
                </c:pt>
                <c:pt idx="32">
                  <c:v>0.0676382989949086</c:v>
                </c:pt>
                <c:pt idx="33">
                  <c:v>0.0565790262546526</c:v>
                </c:pt>
                <c:pt idx="34">
                  <c:v>0.0529445511196975</c:v>
                </c:pt>
                <c:pt idx="35">
                  <c:v>0.0407262698989365</c:v>
                </c:pt>
                <c:pt idx="36">
                  <c:v>0.0399693148381673</c:v>
                </c:pt>
                <c:pt idx="37">
                  <c:v>0.056596338025302</c:v>
                </c:pt>
                <c:pt idx="38">
                  <c:v>0.0637002011675607</c:v>
                </c:pt>
                <c:pt idx="39">
                  <c:v>0.0703982934189055</c:v>
                </c:pt>
                <c:pt idx="40">
                  <c:v>0.0691169926220869</c:v>
                </c:pt>
                <c:pt idx="41">
                  <c:v>0.0710733302846867</c:v>
                </c:pt>
                <c:pt idx="42">
                  <c:v>0.0536759645924009</c:v>
                </c:pt>
                <c:pt idx="43">
                  <c:v>0.039458854354396</c:v>
                </c:pt>
                <c:pt idx="44">
                  <c:v>0.055217403770339</c:v>
                </c:pt>
                <c:pt idx="45">
                  <c:v>0.0685939412591717</c:v>
                </c:pt>
                <c:pt idx="46">
                  <c:v>0.0683099159935162</c:v>
                </c:pt>
                <c:pt idx="47">
                  <c:v>0.0742207872519089</c:v>
                </c:pt>
                <c:pt idx="48">
                  <c:v>0.0724146721249717</c:v>
                </c:pt>
                <c:pt idx="49">
                  <c:v>0.074447892983026</c:v>
                </c:pt>
                <c:pt idx="50">
                  <c:v>0.0721892364896319</c:v>
                </c:pt>
                <c:pt idx="51">
                  <c:v>0.0695698658386954</c:v>
                </c:pt>
              </c:numCache>
            </c:numRef>
          </c:val>
          <c:smooth val="0"/>
        </c:ser>
        <c:dLbls>
          <c:showLegendKey val="0"/>
          <c:showVal val="0"/>
          <c:showCatName val="0"/>
          <c:showSerName val="0"/>
          <c:showPercent val="0"/>
          <c:showBubbleSize val="0"/>
        </c:dLbls>
        <c:marker val="1"/>
        <c:smooth val="0"/>
        <c:axId val="-2104935864"/>
        <c:axId val="-2105344456"/>
      </c:lineChart>
      <c:catAx>
        <c:axId val="-2105284120"/>
        <c:scaling>
          <c:orientation val="minMax"/>
        </c:scaling>
        <c:delete val="0"/>
        <c:axPos val="b"/>
        <c:numFmt formatCode="General" sourceLinked="1"/>
        <c:majorTickMark val="none"/>
        <c:minorTickMark val="none"/>
        <c:tickLblPos val="low"/>
        <c:spPr>
          <a:ln w="3175">
            <a:solidFill>
              <a:schemeClr val="tx1"/>
            </a:solidFill>
          </a:ln>
        </c:spPr>
        <c:txPr>
          <a:bodyPr rot="0" vert="horz"/>
          <a:lstStyle/>
          <a:p>
            <a:pPr>
              <a:defRPr sz="1600"/>
            </a:pPr>
            <a:endParaRPr lang="fr-FR"/>
          </a:p>
        </c:txPr>
        <c:crossAx val="-2105114440"/>
        <c:crosses val="autoZero"/>
        <c:auto val="1"/>
        <c:lblAlgn val="ctr"/>
        <c:lblOffset val="100"/>
        <c:tickLblSkip val="5"/>
        <c:tickMarkSkip val="5"/>
        <c:noMultiLvlLbl val="0"/>
      </c:catAx>
      <c:valAx>
        <c:axId val="-2105114440"/>
        <c:scaling>
          <c:orientation val="minMax"/>
          <c:max val="0.16"/>
          <c:min val="-0.04"/>
        </c:scaling>
        <c:delete val="0"/>
        <c:axPos val="l"/>
        <c:numFmt formatCode="0%" sourceLinked="0"/>
        <c:majorTickMark val="none"/>
        <c:minorTickMark val="none"/>
        <c:tickLblPos val="nextTo"/>
        <c:txPr>
          <a:bodyPr/>
          <a:lstStyle/>
          <a:p>
            <a:pPr>
              <a:defRPr sz="1600"/>
            </a:pPr>
            <a:endParaRPr lang="fr-FR"/>
          </a:p>
        </c:txPr>
        <c:crossAx val="-2105284120"/>
        <c:crosses val="autoZero"/>
        <c:crossBetween val="between"/>
        <c:majorUnit val="0.02"/>
      </c:valAx>
      <c:valAx>
        <c:axId val="-2105344456"/>
        <c:scaling>
          <c:orientation val="minMax"/>
          <c:max val="0.02"/>
          <c:min val="-0.06"/>
        </c:scaling>
        <c:delete val="1"/>
        <c:axPos val="r"/>
        <c:numFmt formatCode="0%" sourceLinked="0"/>
        <c:majorTickMark val="none"/>
        <c:minorTickMark val="none"/>
        <c:tickLblPos val="nextTo"/>
        <c:crossAx val="-2104935864"/>
        <c:crosses val="max"/>
        <c:crossBetween val="between"/>
      </c:valAx>
      <c:catAx>
        <c:axId val="-2104935864"/>
        <c:scaling>
          <c:orientation val="minMax"/>
        </c:scaling>
        <c:delete val="1"/>
        <c:axPos val="b"/>
        <c:numFmt formatCode="General" sourceLinked="1"/>
        <c:majorTickMark val="out"/>
        <c:minorTickMark val="none"/>
        <c:tickLblPos val="nextTo"/>
        <c:crossAx val="-2105344456"/>
        <c:crosses val="autoZero"/>
        <c:auto val="1"/>
        <c:lblAlgn val="ctr"/>
        <c:lblOffset val="100"/>
        <c:noMultiLvlLbl val="0"/>
      </c:catAx>
      <c:spPr>
        <a:ln>
          <a:solidFill>
            <a:schemeClr val="bg1">
              <a:lumMod val="85000"/>
            </a:schemeClr>
          </a:solidFill>
        </a:ln>
      </c:spPr>
    </c:plotArea>
    <c:plotVisOnly val="1"/>
    <c:dispBlanksAs val="gap"/>
    <c:showDLblsOverMax val="0"/>
  </c:chart>
  <c:spPr>
    <a:ln>
      <a:noFill/>
    </a:ln>
  </c:spPr>
  <c:txPr>
    <a:bodyPr/>
    <a:lstStyle/>
    <a:p>
      <a:pPr>
        <a:defRPr>
          <a:latin typeface="Arial"/>
          <a:cs typeface="Arial"/>
        </a:defRPr>
      </a:pPr>
      <a:endParaRPr lang="fr-FR"/>
    </a:p>
  </c:txPr>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34845261333976"/>
          <c:y val="0.0609756097560975"/>
          <c:w val="0.872732217664992"/>
          <c:h val="0.792836196835621"/>
        </c:manualLayout>
      </c:layout>
      <c:lineChart>
        <c:grouping val="standard"/>
        <c:varyColors val="0"/>
        <c:ser>
          <c:idx val="0"/>
          <c:order val="0"/>
          <c:tx>
            <c:v>DI equity liabilities</c:v>
          </c:tx>
          <c:marker>
            <c:symbol val="none"/>
          </c:marker>
          <c:cat>
            <c:numRef>
              <c:f>Liabilities!$B$74:$B$108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Liabilities!$FZ$74:$FZ$108</c:f>
              <c:numCache>
                <c:formatCode>0.0%</c:formatCode>
                <c:ptCount val="35"/>
                <c:pt idx="0">
                  <c:v>0.357879186569151</c:v>
                </c:pt>
                <c:pt idx="1">
                  <c:v>0.35809296871013</c:v>
                </c:pt>
                <c:pt idx="2">
                  <c:v>0.349323767482638</c:v>
                </c:pt>
                <c:pt idx="3">
                  <c:v>0.329843443203202</c:v>
                </c:pt>
                <c:pt idx="4">
                  <c:v>0.301774074267761</c:v>
                </c:pt>
                <c:pt idx="5">
                  <c:v>0.259242837713314</c:v>
                </c:pt>
                <c:pt idx="6">
                  <c:v>0.217212762573038</c:v>
                </c:pt>
                <c:pt idx="7">
                  <c:v>0.221874090821982</c:v>
                </c:pt>
                <c:pt idx="8">
                  <c:v>0.223105064720379</c:v>
                </c:pt>
                <c:pt idx="9">
                  <c:v>0.186497100673319</c:v>
                </c:pt>
                <c:pt idx="10">
                  <c:v>0.21180552050176</c:v>
                </c:pt>
                <c:pt idx="11">
                  <c:v>0.208368657416849</c:v>
                </c:pt>
                <c:pt idx="12">
                  <c:v>0.196743730676865</c:v>
                </c:pt>
                <c:pt idx="13">
                  <c:v>0.197715886096762</c:v>
                </c:pt>
                <c:pt idx="14">
                  <c:v>0.194006218955322</c:v>
                </c:pt>
                <c:pt idx="15">
                  <c:v>0.211368596506436</c:v>
                </c:pt>
                <c:pt idx="16">
                  <c:v>0.208097539556678</c:v>
                </c:pt>
                <c:pt idx="17">
                  <c:v>0.212500106144349</c:v>
                </c:pt>
                <c:pt idx="18">
                  <c:v>0.193175030389445</c:v>
                </c:pt>
                <c:pt idx="19">
                  <c:v>0.2319373525739</c:v>
                </c:pt>
                <c:pt idx="20">
                  <c:v>0.255879998587534</c:v>
                </c:pt>
                <c:pt idx="21">
                  <c:v>0.260860893608808</c:v>
                </c:pt>
                <c:pt idx="22">
                  <c:v>0.245588778452374</c:v>
                </c:pt>
                <c:pt idx="23">
                  <c:v>0.197612880622502</c:v>
                </c:pt>
                <c:pt idx="24">
                  <c:v>0.201762034484121</c:v>
                </c:pt>
                <c:pt idx="25">
                  <c:v>0.222845139756391</c:v>
                </c:pt>
                <c:pt idx="26">
                  <c:v>0.228011742002161</c:v>
                </c:pt>
                <c:pt idx="27">
                  <c:v>0.213440562259113</c:v>
                </c:pt>
                <c:pt idx="28">
                  <c:v>0.23789585461584</c:v>
                </c:pt>
                <c:pt idx="29">
                  <c:v>0.232611884313186</c:v>
                </c:pt>
                <c:pt idx="30">
                  <c:v>0.242718297576779</c:v>
                </c:pt>
                <c:pt idx="31">
                  <c:v>0.24354377687984</c:v>
                </c:pt>
                <c:pt idx="32">
                  <c:v>0.247283573877858</c:v>
                </c:pt>
                <c:pt idx="33">
                  <c:v>0.270978913609762</c:v>
                </c:pt>
                <c:pt idx="34">
                  <c:v>0.294229804858773</c:v>
                </c:pt>
              </c:numCache>
            </c:numRef>
          </c:val>
          <c:smooth val="0"/>
        </c:ser>
        <c:ser>
          <c:idx val="1"/>
          <c:order val="1"/>
          <c:tx>
            <c:v>DI liabilities (equity + debt)</c:v>
          </c:tx>
          <c:marker>
            <c:symbol val="none"/>
          </c:marker>
          <c:cat>
            <c:numRef>
              <c:f>Liabilities!$B$74:$B$108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Liabilities!$DY$74:$DY$108</c:f>
              <c:numCache>
                <c:formatCode>0%</c:formatCode>
                <c:ptCount val="35"/>
                <c:pt idx="0">
                  <c:v>0.35807790557754</c:v>
                </c:pt>
                <c:pt idx="1">
                  <c:v>0.362280026317312</c:v>
                </c:pt>
                <c:pt idx="2">
                  <c:v>0.343287692040453</c:v>
                </c:pt>
                <c:pt idx="3">
                  <c:v>0.335295371907905</c:v>
                </c:pt>
                <c:pt idx="4">
                  <c:v>0.300789412467219</c:v>
                </c:pt>
                <c:pt idx="5">
                  <c:v>0.258551827300546</c:v>
                </c:pt>
                <c:pt idx="6">
                  <c:v>0.224032101260032</c:v>
                </c:pt>
                <c:pt idx="7">
                  <c:v>0.240255445566024</c:v>
                </c:pt>
                <c:pt idx="8">
                  <c:v>0.256252674653276</c:v>
                </c:pt>
                <c:pt idx="9">
                  <c:v>0.221582503793771</c:v>
                </c:pt>
                <c:pt idx="10">
                  <c:v>0.24525501558619</c:v>
                </c:pt>
                <c:pt idx="11">
                  <c:v>0.248960232086468</c:v>
                </c:pt>
                <c:pt idx="12">
                  <c:v>0.240686379551748</c:v>
                </c:pt>
                <c:pt idx="13">
                  <c:v>0.232511067998872</c:v>
                </c:pt>
                <c:pt idx="14">
                  <c:v>0.227781298650047</c:v>
                </c:pt>
                <c:pt idx="15">
                  <c:v>0.25161547689934</c:v>
                </c:pt>
                <c:pt idx="16">
                  <c:v>0.257541577918291</c:v>
                </c:pt>
                <c:pt idx="17">
                  <c:v>0.274535797916976</c:v>
                </c:pt>
                <c:pt idx="18">
                  <c:v>0.26531049029054</c:v>
                </c:pt>
                <c:pt idx="19">
                  <c:v>0.332241308881708</c:v>
                </c:pt>
                <c:pt idx="20">
                  <c:v>0.336198829087457</c:v>
                </c:pt>
                <c:pt idx="21">
                  <c:v>0.334582653303315</c:v>
                </c:pt>
                <c:pt idx="22">
                  <c:v>0.307628150989663</c:v>
                </c:pt>
                <c:pt idx="23">
                  <c:v>0.260164332996149</c:v>
                </c:pt>
                <c:pt idx="24">
                  <c:v>0.260872400042815</c:v>
                </c:pt>
                <c:pt idx="25">
                  <c:v>0.270003451812101</c:v>
                </c:pt>
                <c:pt idx="26">
                  <c:v>0.272202737921552</c:v>
                </c:pt>
                <c:pt idx="27">
                  <c:v>0.263977949568917</c:v>
                </c:pt>
                <c:pt idx="28">
                  <c:v>0.296117092477163</c:v>
                </c:pt>
                <c:pt idx="29">
                  <c:v>0.281654400767838</c:v>
                </c:pt>
                <c:pt idx="30">
                  <c:v>0.287028554095859</c:v>
                </c:pt>
                <c:pt idx="31">
                  <c:v>0.290682503459716</c:v>
                </c:pt>
                <c:pt idx="32">
                  <c:v>0.296937159578314</c:v>
                </c:pt>
                <c:pt idx="33">
                  <c:v>0.316590214391271</c:v>
                </c:pt>
                <c:pt idx="34">
                  <c:v>0.346745787989428</c:v>
                </c:pt>
              </c:numCache>
            </c:numRef>
          </c:val>
          <c:smooth val="0"/>
        </c:ser>
        <c:dLbls>
          <c:showLegendKey val="0"/>
          <c:showVal val="0"/>
          <c:showCatName val="0"/>
          <c:showSerName val="0"/>
          <c:showPercent val="0"/>
          <c:showBubbleSize val="0"/>
        </c:dLbls>
        <c:marker val="1"/>
        <c:smooth val="0"/>
        <c:axId val="-2078905464"/>
        <c:axId val="-2078902456"/>
      </c:lineChart>
      <c:catAx>
        <c:axId val="-2078905464"/>
        <c:scaling>
          <c:orientation val="minMax"/>
        </c:scaling>
        <c:delete val="0"/>
        <c:axPos val="b"/>
        <c:numFmt formatCode="General" sourceLinked="1"/>
        <c:majorTickMark val="out"/>
        <c:minorTickMark val="none"/>
        <c:tickLblPos val="nextTo"/>
        <c:crossAx val="-2078902456"/>
        <c:crosses val="autoZero"/>
        <c:auto val="1"/>
        <c:lblAlgn val="ctr"/>
        <c:lblOffset val="100"/>
        <c:noMultiLvlLbl val="0"/>
      </c:catAx>
      <c:valAx>
        <c:axId val="-2078902456"/>
        <c:scaling>
          <c:orientation val="minMax"/>
        </c:scaling>
        <c:delete val="0"/>
        <c:axPos val="l"/>
        <c:majorGridlines/>
        <c:numFmt formatCode="0.0%" sourceLinked="1"/>
        <c:majorTickMark val="out"/>
        <c:minorTickMark val="none"/>
        <c:tickLblPos val="nextTo"/>
        <c:crossAx val="-2078905464"/>
        <c:crosses val="autoZero"/>
        <c:crossBetween val="between"/>
      </c:valAx>
    </c:plotArea>
    <c:legend>
      <c:legendPos val="r"/>
      <c:layout>
        <c:manualLayout>
          <c:xMode val="edge"/>
          <c:yMode val="edge"/>
          <c:x val="0.320855378689175"/>
          <c:y val="0.550816947600124"/>
          <c:w val="0.539868860816858"/>
          <c:h val="0.301743215493936"/>
        </c:manualLayout>
      </c:layout>
      <c:overlay val="0"/>
    </c:legend>
    <c:plotVisOnly val="1"/>
    <c:dispBlanksAs val="gap"/>
    <c:showDLblsOverMax val="0"/>
  </c:chart>
  <c:printSettings>
    <c:headerFooter/>
    <c:pageMargins b="1.0" l="0.75" r="0.75" t="1.0"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marker>
            <c:symbol val="none"/>
          </c:marker>
          <c:cat>
            <c:numRef>
              <c:f>Liabilities!$B$58:$B$108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Liabilities!$GA$58:$GA$108</c:f>
              <c:numCache>
                <c:formatCode>0%</c:formatCode>
                <c:ptCount val="51"/>
                <c:pt idx="16">
                  <c:v>0.00141265611455357</c:v>
                </c:pt>
                <c:pt idx="17">
                  <c:v>0.00213313073461516</c:v>
                </c:pt>
                <c:pt idx="18">
                  <c:v>0.00232139511773953</c:v>
                </c:pt>
                <c:pt idx="19">
                  <c:v>0.00234346047363334</c:v>
                </c:pt>
                <c:pt idx="20">
                  <c:v>0.00222061844223616</c:v>
                </c:pt>
                <c:pt idx="21">
                  <c:v>0.00286606220100792</c:v>
                </c:pt>
                <c:pt idx="22">
                  <c:v>0.0030855515313478</c:v>
                </c:pt>
                <c:pt idx="23">
                  <c:v>0.0054190104956858</c:v>
                </c:pt>
                <c:pt idx="24">
                  <c:v>0.00544621367082752</c:v>
                </c:pt>
                <c:pt idx="25">
                  <c:v>0.00660157913704419</c:v>
                </c:pt>
                <c:pt idx="26">
                  <c:v>0.00586783568761162</c:v>
                </c:pt>
                <c:pt idx="27">
                  <c:v>0.00646712954662083</c:v>
                </c:pt>
                <c:pt idx="28">
                  <c:v>-0.00224990048517085</c:v>
                </c:pt>
                <c:pt idx="29">
                  <c:v>-0.000774792742941264</c:v>
                </c:pt>
                <c:pt idx="30">
                  <c:v>4.01505198377022E-5</c:v>
                </c:pt>
                <c:pt idx="31">
                  <c:v>0.00553270856888068</c:v>
                </c:pt>
                <c:pt idx="32">
                  <c:v>0.00623419515268294</c:v>
                </c:pt>
                <c:pt idx="33">
                  <c:v>0.00969936859356595</c:v>
                </c:pt>
                <c:pt idx="34">
                  <c:v>0.0154637778548513</c:v>
                </c:pt>
                <c:pt idx="35">
                  <c:v>0.0131202548771256</c:v>
                </c:pt>
                <c:pt idx="36">
                  <c:v>0.0170758529108159</c:v>
                </c:pt>
                <c:pt idx="37">
                  <c:v>0.0159455175084485</c:v>
                </c:pt>
                <c:pt idx="38">
                  <c:v>0.0115732630743254</c:v>
                </c:pt>
                <c:pt idx="39">
                  <c:v>0.0134877412495471</c:v>
                </c:pt>
                <c:pt idx="40">
                  <c:v>0.0157359280358158</c:v>
                </c:pt>
                <c:pt idx="41">
                  <c:v>0.0153998864464629</c:v>
                </c:pt>
                <c:pt idx="42">
                  <c:v>0.0123756746072173</c:v>
                </c:pt>
                <c:pt idx="43">
                  <c:v>0.0122912310753961</c:v>
                </c:pt>
                <c:pt idx="44">
                  <c:v>0.00890504865853003</c:v>
                </c:pt>
                <c:pt idx="45">
                  <c:v>0.0084518703598244</c:v>
                </c:pt>
                <c:pt idx="46">
                  <c:v>0.00668954395403564</c:v>
                </c:pt>
                <c:pt idx="47">
                  <c:v>0.00945459486381631</c:v>
                </c:pt>
                <c:pt idx="48">
                  <c:v>0.0151245943340327</c:v>
                </c:pt>
                <c:pt idx="49">
                  <c:v>0.0248226073904974</c:v>
                </c:pt>
                <c:pt idx="50">
                  <c:v>0.0351322606564799</c:v>
                </c:pt>
              </c:numCache>
            </c:numRef>
          </c:val>
          <c:smooth val="0"/>
        </c:ser>
        <c:ser>
          <c:idx val="1"/>
          <c:order val="1"/>
          <c:marker>
            <c:symbol val="none"/>
          </c:marker>
          <c:cat>
            <c:numRef>
              <c:f>Liabilities!$B$58:$B$108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Liabilities!$GB$58:$GB$108</c:f>
              <c:numCache>
                <c:formatCode>0%</c:formatCode>
                <c:ptCount val="51"/>
                <c:pt idx="16">
                  <c:v>0.215499482764458</c:v>
                </c:pt>
                <c:pt idx="17">
                  <c:v>0.212032096010303</c:v>
                </c:pt>
                <c:pt idx="18">
                  <c:v>0.208880657231706</c:v>
                </c:pt>
                <c:pt idx="19">
                  <c:v>0.203801035983881</c:v>
                </c:pt>
                <c:pt idx="20">
                  <c:v>0.191377136074525</c:v>
                </c:pt>
                <c:pt idx="21">
                  <c:v>0.16975019001776</c:v>
                </c:pt>
                <c:pt idx="22">
                  <c:v>0.134280772746025</c:v>
                </c:pt>
                <c:pt idx="23">
                  <c:v>0.135376013074846</c:v>
                </c:pt>
                <c:pt idx="24">
                  <c:v>0.136713649754591</c:v>
                </c:pt>
                <c:pt idx="25">
                  <c:v>0.110328234999816</c:v>
                </c:pt>
                <c:pt idx="26">
                  <c:v>0.129805121509965</c:v>
                </c:pt>
                <c:pt idx="27">
                  <c:v>0.12454939430631</c:v>
                </c:pt>
                <c:pt idx="28">
                  <c:v>0.112000297589704</c:v>
                </c:pt>
                <c:pt idx="29">
                  <c:v>0.106555214402632</c:v>
                </c:pt>
                <c:pt idx="30">
                  <c:v>0.0992687858014239</c:v>
                </c:pt>
                <c:pt idx="31">
                  <c:v>0.105694713061519</c:v>
                </c:pt>
                <c:pt idx="32">
                  <c:v>0.104623021455097</c:v>
                </c:pt>
                <c:pt idx="33">
                  <c:v>0.110614633073104</c:v>
                </c:pt>
                <c:pt idx="34">
                  <c:v>0.0853144099204389</c:v>
                </c:pt>
                <c:pt idx="35">
                  <c:v>0.0715888939450824</c:v>
                </c:pt>
                <c:pt idx="36">
                  <c:v>0.0791805075904718</c:v>
                </c:pt>
                <c:pt idx="37">
                  <c:v>0.0827132102202439</c:v>
                </c:pt>
                <c:pt idx="38">
                  <c:v>0.0881867227193579</c:v>
                </c:pt>
                <c:pt idx="39">
                  <c:v>0.080607553942113</c:v>
                </c:pt>
                <c:pt idx="40">
                  <c:v>0.0858729310775179</c:v>
                </c:pt>
                <c:pt idx="41">
                  <c:v>0.0784344367640593</c:v>
                </c:pt>
                <c:pt idx="42">
                  <c:v>0.0706688475296372</c:v>
                </c:pt>
                <c:pt idx="43">
                  <c:v>0.0826315590598786</c:v>
                </c:pt>
                <c:pt idx="44">
                  <c:v>0.0962758974496836</c:v>
                </c:pt>
                <c:pt idx="45">
                  <c:v>0.0896314337288887</c:v>
                </c:pt>
                <c:pt idx="46">
                  <c:v>0.0948302574989951</c:v>
                </c:pt>
                <c:pt idx="47">
                  <c:v>0.0887662909994182</c:v>
                </c:pt>
                <c:pt idx="48">
                  <c:v>0.0824159764561725</c:v>
                </c:pt>
                <c:pt idx="49">
                  <c:v>0.0842822733216794</c:v>
                </c:pt>
                <c:pt idx="50">
                  <c:v>0.0896184840197244</c:v>
                </c:pt>
              </c:numCache>
            </c:numRef>
          </c:val>
          <c:smooth val="0"/>
        </c:ser>
        <c:ser>
          <c:idx val="2"/>
          <c:order val="2"/>
          <c:marker>
            <c:symbol val="none"/>
          </c:marker>
          <c:cat>
            <c:numRef>
              <c:f>Liabilities!$B$58:$B$108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Liabilities!$GC$74:$GC$108</c:f>
              <c:numCache>
                <c:formatCode>0%</c:formatCode>
                <c:ptCount val="35"/>
                <c:pt idx="0">
                  <c:v>0.00226804359880807</c:v>
                </c:pt>
                <c:pt idx="1">
                  <c:v>0.00187918358479171</c:v>
                </c:pt>
                <c:pt idx="2">
                  <c:v>0.00478067509359886</c:v>
                </c:pt>
                <c:pt idx="3">
                  <c:v>0.00138738863596958</c:v>
                </c:pt>
                <c:pt idx="4">
                  <c:v>0.000918646791614854</c:v>
                </c:pt>
                <c:pt idx="5">
                  <c:v>0.00306278840105813</c:v>
                </c:pt>
                <c:pt idx="6">
                  <c:v>0.0017490429600031</c:v>
                </c:pt>
                <c:pt idx="7">
                  <c:v>0.00185144310589916</c:v>
                </c:pt>
                <c:pt idx="8">
                  <c:v>0.0030968907863083</c:v>
                </c:pt>
                <c:pt idx="9">
                  <c:v>0.00253883386926654</c:v>
                </c:pt>
                <c:pt idx="10">
                  <c:v>0.00245471103073949</c:v>
                </c:pt>
                <c:pt idx="11">
                  <c:v>0.00376814865097973</c:v>
                </c:pt>
                <c:pt idx="12">
                  <c:v>0.00248045258166338</c:v>
                </c:pt>
                <c:pt idx="13">
                  <c:v>0.00236418823443785</c:v>
                </c:pt>
                <c:pt idx="14">
                  <c:v>0.00591088873603091</c:v>
                </c:pt>
                <c:pt idx="15">
                  <c:v>0.0116773656821111</c:v>
                </c:pt>
                <c:pt idx="16">
                  <c:v>0.012800813317954</c:v>
                </c:pt>
                <c:pt idx="17">
                  <c:v>5.01651594790686E-6</c:v>
                </c:pt>
                <c:pt idx="18">
                  <c:v>0.000859954328791539</c:v>
                </c:pt>
                <c:pt idx="19">
                  <c:v>0.0539691661238275</c:v>
                </c:pt>
                <c:pt idx="20">
                  <c:v>0.0600665296496192</c:v>
                </c:pt>
                <c:pt idx="21">
                  <c:v>0.0532115568314535</c:v>
                </c:pt>
                <c:pt idx="22">
                  <c:v>0.0538829793574631</c:v>
                </c:pt>
                <c:pt idx="23">
                  <c:v>0.0186640645106049</c:v>
                </c:pt>
                <c:pt idx="24">
                  <c:v>0.0149135988065451</c:v>
                </c:pt>
                <c:pt idx="25">
                  <c:v>0.0370973724880464</c:v>
                </c:pt>
                <c:pt idx="26">
                  <c:v>0.0417064032207971</c:v>
                </c:pt>
                <c:pt idx="27">
                  <c:v>0.0472919868000101</c:v>
                </c:pt>
                <c:pt idx="28">
                  <c:v>0.0528489434915856</c:v>
                </c:pt>
                <c:pt idx="29">
                  <c:v>0.0551499250847393</c:v>
                </c:pt>
                <c:pt idx="30">
                  <c:v>0.0580588714404536</c:v>
                </c:pt>
                <c:pt idx="31">
                  <c:v>0.0548316111189347</c:v>
                </c:pt>
                <c:pt idx="32">
                  <c:v>0.0570635046771886</c:v>
                </c:pt>
                <c:pt idx="33">
                  <c:v>0.0686790635527654</c:v>
                </c:pt>
                <c:pt idx="34">
                  <c:v>0.0747622064424946</c:v>
                </c:pt>
              </c:numCache>
            </c:numRef>
          </c:val>
          <c:smooth val="0"/>
        </c:ser>
        <c:ser>
          <c:idx val="3"/>
          <c:order val="3"/>
          <c:marker>
            <c:symbol val="none"/>
          </c:marker>
          <c:cat>
            <c:numRef>
              <c:f>Liabilities!$B$58:$B$108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Liabilities!$GD$58:$GD$108</c:f>
              <c:numCache>
                <c:formatCode>0%</c:formatCode>
                <c:ptCount val="51"/>
                <c:pt idx="16">
                  <c:v>0.0540333312212845</c:v>
                </c:pt>
                <c:pt idx="17">
                  <c:v>0.0561035640099746</c:v>
                </c:pt>
                <c:pt idx="18">
                  <c:v>0.0491641226563932</c:v>
                </c:pt>
                <c:pt idx="19">
                  <c:v>0.0479514050055447</c:v>
                </c:pt>
                <c:pt idx="20">
                  <c:v>0.0460465497304296</c:v>
                </c:pt>
                <c:pt idx="21">
                  <c:v>0.0427295167257</c:v>
                </c:pt>
                <c:pt idx="22">
                  <c:v>0.0406436957287881</c:v>
                </c:pt>
                <c:pt idx="23">
                  <c:v>0.0468218398285525</c:v>
                </c:pt>
                <c:pt idx="24">
                  <c:v>0.0468834376654212</c:v>
                </c:pt>
                <c:pt idx="25">
                  <c:v>0.0445727107513942</c:v>
                </c:pt>
                <c:pt idx="26">
                  <c:v>0.0447245608139245</c:v>
                </c:pt>
                <c:pt idx="27">
                  <c:v>0.0460177954342067</c:v>
                </c:pt>
                <c:pt idx="28">
                  <c:v>0.0522090229739301</c:v>
                </c:pt>
                <c:pt idx="29">
                  <c:v>0.0568871039563118</c:v>
                </c:pt>
                <c:pt idx="30">
                  <c:v>0.0542119646377599</c:v>
                </c:pt>
                <c:pt idx="31">
                  <c:v>0.051228419555568</c:v>
                </c:pt>
                <c:pt idx="32">
                  <c:v>0.0543202902259543</c:v>
                </c:pt>
                <c:pt idx="33">
                  <c:v>0.0493812926677076</c:v>
                </c:pt>
                <c:pt idx="34">
                  <c:v>0.0460688117821122</c:v>
                </c:pt>
                <c:pt idx="35">
                  <c:v>0.0480062755939444</c:v>
                </c:pt>
                <c:pt idx="36">
                  <c:v>0.0473489903078084</c:v>
                </c:pt>
                <c:pt idx="37">
                  <c:v>0.0557667587919724</c:v>
                </c:pt>
                <c:pt idx="38">
                  <c:v>0.0473790004424321</c:v>
                </c:pt>
                <c:pt idx="39">
                  <c:v>0.0476301660908153</c:v>
                </c:pt>
                <c:pt idx="40">
                  <c:v>0.0471183337509862</c:v>
                </c:pt>
                <c:pt idx="41">
                  <c:v>0.0466898747674461</c:v>
                </c:pt>
                <c:pt idx="42">
                  <c:v>0.0435575752397336</c:v>
                </c:pt>
                <c:pt idx="43">
                  <c:v>0.0254420988991611</c:v>
                </c:pt>
                <c:pt idx="44">
                  <c:v>0.0302211588436654</c:v>
                </c:pt>
                <c:pt idx="45">
                  <c:v>0.0276850238825228</c:v>
                </c:pt>
                <c:pt idx="46">
                  <c:v>0.0346958334492547</c:v>
                </c:pt>
                <c:pt idx="47">
                  <c:v>0.0408908753306341</c:v>
                </c:pt>
                <c:pt idx="48">
                  <c:v>0.0420693273126262</c:v>
                </c:pt>
                <c:pt idx="49">
                  <c:v>0.0437272595182351</c:v>
                </c:pt>
                <c:pt idx="50">
                  <c:v>0.0488562443939773</c:v>
                </c:pt>
              </c:numCache>
            </c:numRef>
          </c:val>
          <c:smooth val="0"/>
        </c:ser>
        <c:ser>
          <c:idx val="4"/>
          <c:order val="4"/>
          <c:marker>
            <c:symbol val="none"/>
          </c:marker>
          <c:cat>
            <c:numRef>
              <c:f>Liabilities!$B$58:$B$108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Liabilities!$GE$58:$GE$108</c:f>
              <c:numCache>
                <c:formatCode>0%</c:formatCode>
                <c:ptCount val="51"/>
                <c:pt idx="16">
                  <c:v>0.08268496810778</c:v>
                </c:pt>
                <c:pt idx="17">
                  <c:v>0.0839632020820824</c:v>
                </c:pt>
                <c:pt idx="18">
                  <c:v>0.0821868853797645</c:v>
                </c:pt>
                <c:pt idx="19">
                  <c:v>0.0723687197436296</c:v>
                </c:pt>
                <c:pt idx="20">
                  <c:v>0.0591928428539825</c:v>
                </c:pt>
                <c:pt idx="21">
                  <c:v>0.0395450851026512</c:v>
                </c:pt>
                <c:pt idx="22">
                  <c:v>0.0362757397629974</c:v>
                </c:pt>
                <c:pt idx="23">
                  <c:v>0.0311920504514898</c:v>
                </c:pt>
                <c:pt idx="24">
                  <c:v>0.0297289039809728</c:v>
                </c:pt>
                <c:pt idx="25">
                  <c:v>0.0224557419157982</c:v>
                </c:pt>
                <c:pt idx="26">
                  <c:v>0.0285701123720054</c:v>
                </c:pt>
                <c:pt idx="27">
                  <c:v>0.0268459021057093</c:v>
                </c:pt>
                <c:pt idx="28">
                  <c:v>0.0293212976299868</c:v>
                </c:pt>
                <c:pt idx="29">
                  <c:v>0.029914913023164</c:v>
                </c:pt>
                <c:pt idx="30">
                  <c:v>0.0318642691712243</c:v>
                </c:pt>
                <c:pt idx="31">
                  <c:v>0.0340226565460115</c:v>
                </c:pt>
                <c:pt idx="32">
                  <c:v>0.0287030348903625</c:v>
                </c:pt>
                <c:pt idx="33">
                  <c:v>0.0414565018839164</c:v>
                </c:pt>
                <c:pt idx="34">
                  <c:v>0.0395421465630788</c:v>
                </c:pt>
                <c:pt idx="35">
                  <c:v>0.0424284564761711</c:v>
                </c:pt>
                <c:pt idx="36">
                  <c:v>0.0488670212364902</c:v>
                </c:pt>
                <c:pt idx="37">
                  <c:v>0.0496424817309428</c:v>
                </c:pt>
                <c:pt idx="38">
                  <c:v>0.0418967319949162</c:v>
                </c:pt>
                <c:pt idx="39">
                  <c:v>0.033520226692033</c:v>
                </c:pt>
                <c:pt idx="40">
                  <c:v>0.0326230932020452</c:v>
                </c:pt>
                <c:pt idx="41">
                  <c:v>0.036869675491084</c:v>
                </c:pt>
                <c:pt idx="42">
                  <c:v>0.0432090695797095</c:v>
                </c:pt>
                <c:pt idx="43">
                  <c:v>0.0332311005869461</c:v>
                </c:pt>
                <c:pt idx="44">
                  <c:v>0.038508454755632</c:v>
                </c:pt>
                <c:pt idx="45">
                  <c:v>0.0443024475120358</c:v>
                </c:pt>
                <c:pt idx="46">
                  <c:v>0.0407143124390213</c:v>
                </c:pt>
                <c:pt idx="47">
                  <c:v>0.0419310877283282</c:v>
                </c:pt>
                <c:pt idx="48">
                  <c:v>0.0433672067997982</c:v>
                </c:pt>
                <c:pt idx="49">
                  <c:v>0.0424263054852776</c:v>
                </c:pt>
                <c:pt idx="50">
                  <c:v>0.0392463067547896</c:v>
                </c:pt>
              </c:numCache>
            </c:numRef>
          </c:val>
          <c:smooth val="0"/>
        </c:ser>
        <c:ser>
          <c:idx val="5"/>
          <c:order val="5"/>
          <c:marker>
            <c:symbol val="none"/>
          </c:marker>
          <c:cat>
            <c:numRef>
              <c:f>Liabilities!$B$58:$B$108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Liabilities!$GF$58:$GF$108</c:f>
              <c:numCache>
                <c:formatCode>0%</c:formatCode>
                <c:ptCount val="51"/>
                <c:pt idx="16">
                  <c:v>0.0019807047622668</c:v>
                </c:pt>
                <c:pt idx="17">
                  <c:v>0.00198179228836377</c:v>
                </c:pt>
                <c:pt idx="18">
                  <c:v>0.0019900320034359</c:v>
                </c:pt>
                <c:pt idx="19">
                  <c:v>0.00199143336054366</c:v>
                </c:pt>
                <c:pt idx="20">
                  <c:v>0.00201828037497346</c:v>
                </c:pt>
                <c:pt idx="21">
                  <c:v>0.00128919526513739</c:v>
                </c:pt>
                <c:pt idx="22">
                  <c:v>0.00117795984387637</c:v>
                </c:pt>
                <c:pt idx="23">
                  <c:v>0.00121373386550895</c:v>
                </c:pt>
                <c:pt idx="24">
                  <c:v>0.00123596886225814</c:v>
                </c:pt>
                <c:pt idx="25">
                  <c:v>0.0</c:v>
                </c:pt>
                <c:pt idx="26">
                  <c:v>0.000383179087514207</c:v>
                </c:pt>
                <c:pt idx="27">
                  <c:v>0.000720287373022301</c:v>
                </c:pt>
                <c:pt idx="28">
                  <c:v>0.00298256038675212</c:v>
                </c:pt>
                <c:pt idx="29">
                  <c:v>0.0027692592231578</c:v>
                </c:pt>
                <c:pt idx="30">
                  <c:v>0.00271016008904493</c:v>
                </c:pt>
                <c:pt idx="31">
                  <c:v>0.00321273309234517</c:v>
                </c:pt>
                <c:pt idx="32">
                  <c:v>0.00141618451462776</c:v>
                </c:pt>
                <c:pt idx="33">
                  <c:v>0.00134329341010689</c:v>
                </c:pt>
                <c:pt idx="34">
                  <c:v>0.00592592994017168</c:v>
                </c:pt>
                <c:pt idx="35">
                  <c:v>0.00282430555774902</c:v>
                </c:pt>
                <c:pt idx="36">
                  <c:v>0.0033410968923286</c:v>
                </c:pt>
                <c:pt idx="37">
                  <c:v>0.00358136852574657</c:v>
                </c:pt>
                <c:pt idx="38">
                  <c:v>0.00267008086387955</c:v>
                </c:pt>
                <c:pt idx="39">
                  <c:v>0.00370312813738848</c:v>
                </c:pt>
                <c:pt idx="40">
                  <c:v>0.00549814961121044</c:v>
                </c:pt>
                <c:pt idx="41">
                  <c:v>0.0083538937992926</c:v>
                </c:pt>
                <c:pt idx="42">
                  <c:v>0.0164941718250665</c:v>
                </c:pt>
                <c:pt idx="43">
                  <c:v>0.0125525858377207</c:v>
                </c:pt>
                <c:pt idx="44">
                  <c:v>0.0111363514167428</c:v>
                </c:pt>
                <c:pt idx="45">
                  <c:v>0.00739118374517464</c:v>
                </c:pt>
                <c:pt idx="46">
                  <c:v>0.00772947879501867</c:v>
                </c:pt>
                <c:pt idx="47">
                  <c:v>0.00766931683870814</c:v>
                </c:pt>
                <c:pt idx="48">
                  <c:v>0.00724296429804009</c:v>
                </c:pt>
                <c:pt idx="49">
                  <c:v>0.00704140434130682</c:v>
                </c:pt>
                <c:pt idx="50">
                  <c:v>0.00661430259130727</c:v>
                </c:pt>
              </c:numCache>
            </c:numRef>
          </c:val>
          <c:smooth val="0"/>
        </c:ser>
        <c:dLbls>
          <c:showLegendKey val="0"/>
          <c:showVal val="0"/>
          <c:showCatName val="0"/>
          <c:showSerName val="0"/>
          <c:showPercent val="0"/>
          <c:showBubbleSize val="0"/>
        </c:dLbls>
        <c:marker val="1"/>
        <c:smooth val="0"/>
        <c:axId val="-2078855176"/>
        <c:axId val="-2078852056"/>
      </c:lineChart>
      <c:catAx>
        <c:axId val="-2078855176"/>
        <c:scaling>
          <c:orientation val="minMax"/>
        </c:scaling>
        <c:delete val="0"/>
        <c:axPos val="b"/>
        <c:numFmt formatCode="General" sourceLinked="1"/>
        <c:majorTickMark val="out"/>
        <c:minorTickMark val="none"/>
        <c:tickLblPos val="nextTo"/>
        <c:crossAx val="-2078852056"/>
        <c:crosses val="autoZero"/>
        <c:auto val="1"/>
        <c:lblAlgn val="ctr"/>
        <c:lblOffset val="100"/>
        <c:noMultiLvlLbl val="0"/>
      </c:catAx>
      <c:valAx>
        <c:axId val="-2078852056"/>
        <c:scaling>
          <c:orientation val="minMax"/>
        </c:scaling>
        <c:delete val="0"/>
        <c:axPos val="l"/>
        <c:majorGridlines/>
        <c:numFmt formatCode="0%" sourceLinked="1"/>
        <c:majorTickMark val="out"/>
        <c:minorTickMark val="none"/>
        <c:tickLblPos val="nextTo"/>
        <c:crossAx val="-2078855176"/>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09099518810149"/>
          <c:y val="0.12962962962963"/>
          <c:w val="0.863106736657918"/>
          <c:h val="0.72586176727909"/>
        </c:manualLayout>
      </c:layout>
      <c:lineChart>
        <c:grouping val="standard"/>
        <c:varyColors val="0"/>
        <c:ser>
          <c:idx val="0"/>
          <c:order val="0"/>
          <c:tx>
            <c:strRef>
              <c:f>Liabilities!$GG$3</c:f>
              <c:strCache>
                <c:ptCount val="1"/>
                <c:pt idx="0">
                  <c:v>DI equity liabilities, % national income</c:v>
                </c:pt>
              </c:strCache>
            </c:strRef>
          </c:tx>
          <c:marker>
            <c:symbol val="none"/>
          </c:marker>
          <c:cat>
            <c:numRef>
              <c:f>Liabilities!$B$74:$B$108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Liabilities!$GG$74:$GG$108</c:f>
              <c:numCache>
                <c:formatCode>0%</c:formatCode>
                <c:ptCount val="35"/>
                <c:pt idx="0">
                  <c:v>0.032897127165188</c:v>
                </c:pt>
                <c:pt idx="1">
                  <c:v>0.033545499101454</c:v>
                </c:pt>
                <c:pt idx="2">
                  <c:v>0.0356477932636469</c:v>
                </c:pt>
                <c:pt idx="3">
                  <c:v>0.0373532924379784</c:v>
                </c:pt>
                <c:pt idx="4">
                  <c:v>0.0421280078997973</c:v>
                </c:pt>
                <c:pt idx="5">
                  <c:v>0.0455704991260439</c:v>
                </c:pt>
                <c:pt idx="6">
                  <c:v>0.0506324831975787</c:v>
                </c:pt>
                <c:pt idx="7">
                  <c:v>0.0537530843544812</c:v>
                </c:pt>
                <c:pt idx="8">
                  <c:v>0.0549445007049105</c:v>
                </c:pt>
                <c:pt idx="9">
                  <c:v>0.0588554019398006</c:v>
                </c:pt>
                <c:pt idx="10">
                  <c:v>0.0559939633070895</c:v>
                </c:pt>
                <c:pt idx="11">
                  <c:v>0.0562108153193855</c:v>
                </c:pt>
                <c:pt idx="12">
                  <c:v>0.0564610273281001</c:v>
                </c:pt>
                <c:pt idx="13">
                  <c:v>0.0617496720425959</c:v>
                </c:pt>
                <c:pt idx="14">
                  <c:v>0.0649785488593211</c:v>
                </c:pt>
                <c:pt idx="15">
                  <c:v>0.0680689393528806</c:v>
                </c:pt>
                <c:pt idx="16">
                  <c:v>0.072523767706464</c:v>
                </c:pt>
                <c:pt idx="17">
                  <c:v>0.0820954062755273</c:v>
                </c:pt>
                <c:pt idx="18">
                  <c:v>0.103585943639834</c:v>
                </c:pt>
                <c:pt idx="19">
                  <c:v>0.10341125362019</c:v>
                </c:pt>
                <c:pt idx="20">
                  <c:v>0.102143205323839</c:v>
                </c:pt>
                <c:pt idx="21">
                  <c:v>0.109164757405568</c:v>
                </c:pt>
                <c:pt idx="22">
                  <c:v>0.113998709787589</c:v>
                </c:pt>
                <c:pt idx="23">
                  <c:v>0.115646808662076</c:v>
                </c:pt>
                <c:pt idx="24">
                  <c:v>0.120196921231507</c:v>
                </c:pt>
                <c:pt idx="25">
                  <c:v>0.124934017238301</c:v>
                </c:pt>
                <c:pt idx="26">
                  <c:v>0.125583208612948</c:v>
                </c:pt>
                <c:pt idx="27">
                  <c:v>0.130947295503088</c:v>
                </c:pt>
                <c:pt idx="28">
                  <c:v>0.14015495113623</c:v>
                </c:pt>
                <c:pt idx="29">
                  <c:v>0.142558510518787</c:v>
                </c:pt>
                <c:pt idx="30">
                  <c:v>0.148254929988124</c:v>
                </c:pt>
                <c:pt idx="31">
                  <c:v>0.153870112428002</c:v>
                </c:pt>
                <c:pt idx="32">
                  <c:v>0.15746559693608</c:v>
                </c:pt>
                <c:pt idx="33">
                  <c:v>0.169657932857252</c:v>
                </c:pt>
                <c:pt idx="34">
                  <c:v>0.183983117368552</c:v>
                </c:pt>
              </c:numCache>
            </c:numRef>
          </c:val>
          <c:smooth val="0"/>
        </c:ser>
        <c:dLbls>
          <c:showLegendKey val="0"/>
          <c:showVal val="0"/>
          <c:showCatName val="0"/>
          <c:showSerName val="0"/>
          <c:showPercent val="0"/>
          <c:showBubbleSize val="0"/>
        </c:dLbls>
        <c:marker val="1"/>
        <c:smooth val="0"/>
        <c:axId val="-2044754808"/>
        <c:axId val="-2046000696"/>
      </c:lineChart>
      <c:catAx>
        <c:axId val="-2044754808"/>
        <c:scaling>
          <c:orientation val="minMax"/>
        </c:scaling>
        <c:delete val="0"/>
        <c:axPos val="b"/>
        <c:numFmt formatCode="General" sourceLinked="1"/>
        <c:majorTickMark val="out"/>
        <c:minorTickMark val="none"/>
        <c:tickLblPos val="nextTo"/>
        <c:crossAx val="-2046000696"/>
        <c:crosses val="autoZero"/>
        <c:auto val="1"/>
        <c:lblAlgn val="ctr"/>
        <c:lblOffset val="100"/>
        <c:noMultiLvlLbl val="0"/>
      </c:catAx>
      <c:valAx>
        <c:axId val="-2046000696"/>
        <c:scaling>
          <c:orientation val="minMax"/>
        </c:scaling>
        <c:delete val="0"/>
        <c:axPos val="l"/>
        <c:majorGridlines/>
        <c:numFmt formatCode="0%" sourceLinked="1"/>
        <c:majorTickMark val="out"/>
        <c:minorTickMark val="none"/>
        <c:tickLblPos val="nextTo"/>
        <c:crossAx val="-2044754808"/>
        <c:crosses val="autoZero"/>
        <c:crossBetween val="between"/>
      </c:valAx>
    </c:plotArea>
    <c:legend>
      <c:legendPos val="r"/>
      <c:layout>
        <c:manualLayout>
          <c:xMode val="edge"/>
          <c:yMode val="edge"/>
          <c:x val="0.240105540897098"/>
          <c:y val="0.213259484609878"/>
          <c:w val="0.313984168865435"/>
          <c:h val="0.146208303507516"/>
        </c:manualLayout>
      </c:layout>
      <c:overlay val="0"/>
    </c:legend>
    <c:plotVisOnly val="1"/>
    <c:dispBlanksAs val="gap"/>
    <c:showDLblsOverMax val="0"/>
  </c:chart>
  <c:printSettings>
    <c:headerFooter/>
    <c:pageMargins b="1.0" l="0.75" r="0.75" t="1.0"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32248468941382"/>
          <c:y val="0.0601851851851852"/>
          <c:w val="0.870474190726159"/>
          <c:h val="0.836358267716535"/>
        </c:manualLayout>
      </c:layout>
      <c:areaChart>
        <c:grouping val="stacked"/>
        <c:varyColors val="0"/>
        <c:ser>
          <c:idx val="1"/>
          <c:order val="0"/>
          <c:tx>
            <c:v>Non havens</c:v>
          </c:tx>
          <c:cat>
            <c:numRef>
              <c:f>Liabilities!$B$74:$B$108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Liabilities!$GH$74:$GH$108</c:f>
              <c:numCache>
                <c:formatCode>0%</c:formatCode>
                <c:ptCount val="35"/>
                <c:pt idx="0">
                  <c:v>0.0211239300548486</c:v>
                </c:pt>
                <c:pt idx="1">
                  <c:v>0.0215330917413513</c:v>
                </c:pt>
                <c:pt idx="2">
                  <c:v>0.0231948814583011</c:v>
                </c:pt>
                <c:pt idx="3">
                  <c:v>0.0250322824159125</c:v>
                </c:pt>
                <c:pt idx="4">
                  <c:v>0.029414867315091</c:v>
                </c:pt>
                <c:pt idx="5">
                  <c:v>0.0337566736165962</c:v>
                </c:pt>
                <c:pt idx="6">
                  <c:v>0.0396344616462997</c:v>
                </c:pt>
                <c:pt idx="7">
                  <c:v>0.0418266676344534</c:v>
                </c:pt>
                <c:pt idx="8">
                  <c:v>0.0426861043191126</c:v>
                </c:pt>
                <c:pt idx="9">
                  <c:v>0.047879040119065</c:v>
                </c:pt>
                <c:pt idx="10">
                  <c:v>0.0441341327638749</c:v>
                </c:pt>
                <c:pt idx="11">
                  <c:v>0.0444980694309937</c:v>
                </c:pt>
                <c:pt idx="12">
                  <c:v>0.0453526741737212</c:v>
                </c:pt>
                <c:pt idx="13">
                  <c:v>0.0495407809185096</c:v>
                </c:pt>
                <c:pt idx="14">
                  <c:v>0.0523723062819206</c:v>
                </c:pt>
                <c:pt idx="15">
                  <c:v>0.0536813031761805</c:v>
                </c:pt>
                <c:pt idx="16">
                  <c:v>0.0574316228171869</c:v>
                </c:pt>
                <c:pt idx="17">
                  <c:v>0.0646500035992363</c:v>
                </c:pt>
                <c:pt idx="18">
                  <c:v>0.0835757258292896</c:v>
                </c:pt>
                <c:pt idx="19">
                  <c:v>0.0794262123512709</c:v>
                </c:pt>
                <c:pt idx="20">
                  <c:v>0.0760068020898486</c:v>
                </c:pt>
                <c:pt idx="21">
                  <c:v>0.0806879412381625</c:v>
                </c:pt>
                <c:pt idx="22">
                  <c:v>0.0860020007742681</c:v>
                </c:pt>
                <c:pt idx="23">
                  <c:v>0.0927935096675637</c:v>
                </c:pt>
                <c:pt idx="24">
                  <c:v>0.0959458291651242</c:v>
                </c:pt>
                <c:pt idx="25">
                  <c:v>0.0970930787065043</c:v>
                </c:pt>
                <c:pt idx="26">
                  <c:v>0.0969488429156537</c:v>
                </c:pt>
                <c:pt idx="27">
                  <c:v>0.102997748657854</c:v>
                </c:pt>
                <c:pt idx="28">
                  <c:v>0.106812669257035</c:v>
                </c:pt>
                <c:pt idx="29">
                  <c:v>0.109397706762131</c:v>
                </c:pt>
                <c:pt idx="30">
                  <c:v>0.112270816888187</c:v>
                </c:pt>
                <c:pt idx="31">
                  <c:v>0.116396004098361</c:v>
                </c:pt>
                <c:pt idx="32">
                  <c:v>0.118526941362916</c:v>
                </c:pt>
                <c:pt idx="33">
                  <c:v>0.123684210526316</c:v>
                </c:pt>
                <c:pt idx="34">
                  <c:v>0.129849738350361</c:v>
                </c:pt>
              </c:numCache>
            </c:numRef>
          </c:val>
        </c:ser>
        <c:ser>
          <c:idx val="0"/>
          <c:order val="1"/>
          <c:tx>
            <c:v>Havens</c:v>
          </c:tx>
          <c:cat>
            <c:numRef>
              <c:f>Liabilities!$B$74:$B$108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Liabilities!$GI$74:$GI$108</c:f>
              <c:numCache>
                <c:formatCode>0%</c:formatCode>
                <c:ptCount val="35"/>
                <c:pt idx="0">
                  <c:v>0.0117731971103394</c:v>
                </c:pt>
                <c:pt idx="1">
                  <c:v>0.0120124073601027</c:v>
                </c:pt>
                <c:pt idx="2">
                  <c:v>0.0124526214452993</c:v>
                </c:pt>
                <c:pt idx="3">
                  <c:v>0.0123207385927189</c:v>
                </c:pt>
                <c:pt idx="4">
                  <c:v>0.0127131405847063</c:v>
                </c:pt>
                <c:pt idx="5">
                  <c:v>0.0118138255094477</c:v>
                </c:pt>
                <c:pt idx="6">
                  <c:v>0.010998021551279</c:v>
                </c:pt>
                <c:pt idx="7">
                  <c:v>0.0119264167200278</c:v>
                </c:pt>
                <c:pt idx="8">
                  <c:v>0.012258396385798</c:v>
                </c:pt>
                <c:pt idx="9">
                  <c:v>0.0109763618207356</c:v>
                </c:pt>
                <c:pt idx="10">
                  <c:v>0.0118598305432146</c:v>
                </c:pt>
                <c:pt idx="11">
                  <c:v>0.0117125721204068</c:v>
                </c:pt>
                <c:pt idx="12">
                  <c:v>0.0111083531543789</c:v>
                </c:pt>
                <c:pt idx="13">
                  <c:v>0.0122088911240863</c:v>
                </c:pt>
                <c:pt idx="14">
                  <c:v>0.0126062425774005</c:v>
                </c:pt>
                <c:pt idx="15">
                  <c:v>0.0143876361767001</c:v>
                </c:pt>
                <c:pt idx="16">
                  <c:v>0.0150920176190952</c:v>
                </c:pt>
                <c:pt idx="17">
                  <c:v>0.017445282547513</c:v>
                </c:pt>
                <c:pt idx="18">
                  <c:v>0.0200102178105442</c:v>
                </c:pt>
                <c:pt idx="19">
                  <c:v>0.0239849323910151</c:v>
                </c:pt>
                <c:pt idx="20">
                  <c:v>0.02613640323399</c:v>
                </c:pt>
                <c:pt idx="21">
                  <c:v>0.0284768161674051</c:v>
                </c:pt>
                <c:pt idx="22">
                  <c:v>0.0279968038818808</c:v>
                </c:pt>
                <c:pt idx="23">
                  <c:v>0.0228532989945121</c:v>
                </c:pt>
                <c:pt idx="24">
                  <c:v>0.0242511753663965</c:v>
                </c:pt>
                <c:pt idx="25">
                  <c:v>0.0278409385317965</c:v>
                </c:pt>
                <c:pt idx="26">
                  <c:v>0.0286344461620592</c:v>
                </c:pt>
                <c:pt idx="27">
                  <c:v>0.0279494643784894</c:v>
                </c:pt>
                <c:pt idx="28">
                  <c:v>0.0333422818791946</c:v>
                </c:pt>
                <c:pt idx="29">
                  <c:v>0.0331608037566562</c:v>
                </c:pt>
                <c:pt idx="30">
                  <c:v>0.035984184214082</c:v>
                </c:pt>
                <c:pt idx="31">
                  <c:v>0.0374741083296411</c:v>
                </c:pt>
                <c:pt idx="32">
                  <c:v>0.0389386555731643</c:v>
                </c:pt>
                <c:pt idx="33">
                  <c:v>0.045973722330936</c:v>
                </c:pt>
                <c:pt idx="34">
                  <c:v>0.0541333167206579</c:v>
                </c:pt>
              </c:numCache>
            </c:numRef>
          </c:val>
        </c:ser>
        <c:dLbls>
          <c:showLegendKey val="0"/>
          <c:showVal val="0"/>
          <c:showCatName val="0"/>
          <c:showSerName val="0"/>
          <c:showPercent val="0"/>
          <c:showBubbleSize val="0"/>
        </c:dLbls>
        <c:axId val="-2045235048"/>
        <c:axId val="-2045616280"/>
      </c:areaChart>
      <c:catAx>
        <c:axId val="-2045235048"/>
        <c:scaling>
          <c:orientation val="minMax"/>
        </c:scaling>
        <c:delete val="0"/>
        <c:axPos val="b"/>
        <c:numFmt formatCode="General" sourceLinked="1"/>
        <c:majorTickMark val="out"/>
        <c:minorTickMark val="none"/>
        <c:tickLblPos val="nextTo"/>
        <c:crossAx val="-2045616280"/>
        <c:crosses val="autoZero"/>
        <c:auto val="1"/>
        <c:lblAlgn val="ctr"/>
        <c:lblOffset val="100"/>
        <c:noMultiLvlLbl val="0"/>
      </c:catAx>
      <c:valAx>
        <c:axId val="-2045616280"/>
        <c:scaling>
          <c:orientation val="minMax"/>
        </c:scaling>
        <c:delete val="0"/>
        <c:axPos val="l"/>
        <c:majorGridlines/>
        <c:numFmt formatCode="0%" sourceLinked="1"/>
        <c:majorTickMark val="out"/>
        <c:minorTickMark val="none"/>
        <c:tickLblPos val="nextTo"/>
        <c:crossAx val="-2045235048"/>
        <c:crosses val="autoZero"/>
        <c:crossBetween val="midCat"/>
      </c:valAx>
    </c:plotArea>
    <c:legend>
      <c:legendPos val="r"/>
      <c:layout>
        <c:manualLayout>
          <c:xMode val="edge"/>
          <c:yMode val="edge"/>
          <c:x val="0.233531058617673"/>
          <c:y val="0.231097623213765"/>
          <c:w val="0.177060367454068"/>
          <c:h val="0.18174582249617"/>
        </c:manualLayout>
      </c:layout>
      <c:overlay val="0"/>
    </c:legend>
    <c:plotVisOnly val="1"/>
    <c:dispBlanksAs val="zero"/>
    <c:showDLblsOverMax val="0"/>
  </c:chart>
  <c:printSettings>
    <c:headerFooter/>
    <c:pageMargins b="1.0" l="0.75" r="0.75" t="1.0"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Equity income paid to tax havens</a:t>
            </a:r>
          </a:p>
        </c:rich>
      </c:tx>
      <c:overlay val="0"/>
    </c:title>
    <c:autoTitleDeleted val="0"/>
    <c:plotArea>
      <c:layout/>
      <c:lineChart>
        <c:grouping val="standard"/>
        <c:varyColors val="0"/>
        <c:ser>
          <c:idx val="0"/>
          <c:order val="0"/>
          <c:marker>
            <c:symbol val="none"/>
          </c:marker>
          <c:cat>
            <c:numRef>
              <c:f>Liabilities!$B$68:$B$108</c:f>
              <c:numCache>
                <c:formatCode>General</c:formatCode>
                <c:ptCount val="41"/>
                <c:pt idx="0">
                  <c:v>1976.0</c:v>
                </c:pt>
                <c:pt idx="1">
                  <c:v>1977.0</c:v>
                </c:pt>
                <c:pt idx="2">
                  <c:v>1978.0</c:v>
                </c:pt>
                <c:pt idx="3">
                  <c:v>1979.0</c:v>
                </c:pt>
                <c:pt idx="4">
                  <c:v>1980.0</c:v>
                </c:pt>
                <c:pt idx="5">
                  <c:v>1981.0</c:v>
                </c:pt>
                <c:pt idx="6">
                  <c:v>1982.0</c:v>
                </c:pt>
                <c:pt idx="7">
                  <c:v>1983.0</c:v>
                </c:pt>
                <c:pt idx="8">
                  <c:v>1984.0</c:v>
                </c:pt>
                <c:pt idx="9">
                  <c:v>1985.0</c:v>
                </c:pt>
                <c:pt idx="10">
                  <c:v>1986.0</c:v>
                </c:pt>
                <c:pt idx="11">
                  <c:v>1987.0</c:v>
                </c:pt>
                <c:pt idx="12">
                  <c:v>1988.0</c:v>
                </c:pt>
                <c:pt idx="13">
                  <c:v>1989.0</c:v>
                </c:pt>
                <c:pt idx="14">
                  <c:v>1990.0</c:v>
                </c:pt>
                <c:pt idx="15">
                  <c:v>1991.0</c:v>
                </c:pt>
                <c:pt idx="16">
                  <c:v>1992.0</c:v>
                </c:pt>
                <c:pt idx="17">
                  <c:v>1993.0</c:v>
                </c:pt>
                <c:pt idx="18">
                  <c:v>1994.0</c:v>
                </c:pt>
                <c:pt idx="19">
                  <c:v>1995.0</c:v>
                </c:pt>
                <c:pt idx="20">
                  <c:v>1996.0</c:v>
                </c:pt>
                <c:pt idx="21">
                  <c:v>1997.0</c:v>
                </c:pt>
                <c:pt idx="22">
                  <c:v>1998.0</c:v>
                </c:pt>
                <c:pt idx="23">
                  <c:v>1999.0</c:v>
                </c:pt>
                <c:pt idx="24">
                  <c:v>2000.0</c:v>
                </c:pt>
                <c:pt idx="25">
                  <c:v>2001.0</c:v>
                </c:pt>
                <c:pt idx="26">
                  <c:v>2002.0</c:v>
                </c:pt>
                <c:pt idx="27">
                  <c:v>2003.0</c:v>
                </c:pt>
                <c:pt idx="28">
                  <c:v>2004.0</c:v>
                </c:pt>
                <c:pt idx="29">
                  <c:v>2005.0</c:v>
                </c:pt>
                <c:pt idx="30">
                  <c:v>2006.0</c:v>
                </c:pt>
                <c:pt idx="31">
                  <c:v>2007.0</c:v>
                </c:pt>
                <c:pt idx="32">
                  <c:v>2008.0</c:v>
                </c:pt>
                <c:pt idx="33">
                  <c:v>2009.0</c:v>
                </c:pt>
                <c:pt idx="34">
                  <c:v>2010.0</c:v>
                </c:pt>
                <c:pt idx="35">
                  <c:v>2011.0</c:v>
                </c:pt>
                <c:pt idx="36">
                  <c:v>2012.0</c:v>
                </c:pt>
                <c:pt idx="37">
                  <c:v>2013.0</c:v>
                </c:pt>
                <c:pt idx="38">
                  <c:v>2014.0</c:v>
                </c:pt>
                <c:pt idx="39">
                  <c:v>2015.0</c:v>
                </c:pt>
                <c:pt idx="40">
                  <c:v>2016.0</c:v>
                </c:pt>
              </c:numCache>
            </c:numRef>
          </c:cat>
          <c:val>
            <c:numRef>
              <c:f>Liabilities!$CK$96:$CK$108</c:f>
              <c:numCache>
                <c:formatCode>0%</c:formatCode>
                <c:ptCount val="13"/>
                <c:pt idx="0">
                  <c:v>0.191226297183701</c:v>
                </c:pt>
                <c:pt idx="1">
                  <c:v>0.18573766178518</c:v>
                </c:pt>
                <c:pt idx="2">
                  <c:v>0.174428538022254</c:v>
                </c:pt>
                <c:pt idx="3">
                  <c:v>0.283568335094657</c:v>
                </c:pt>
                <c:pt idx="4">
                  <c:v>0.343712588132279</c:v>
                </c:pt>
                <c:pt idx="5">
                  <c:v>0.307948320495434</c:v>
                </c:pt>
                <c:pt idx="6">
                  <c:v>0.210070570367967</c:v>
                </c:pt>
                <c:pt idx="7">
                  <c:v>0.254918264803503</c:v>
                </c:pt>
                <c:pt idx="8">
                  <c:v>0.284618386054052</c:v>
                </c:pt>
                <c:pt idx="9">
                  <c:v>0.282594109395082</c:v>
                </c:pt>
                <c:pt idx="10">
                  <c:v>0.302631290353951</c:v>
                </c:pt>
                <c:pt idx="11">
                  <c:v>0.334177516454759</c:v>
                </c:pt>
                <c:pt idx="12">
                  <c:v>0.343785549545647</c:v>
                </c:pt>
              </c:numCache>
            </c:numRef>
          </c:val>
          <c:smooth val="0"/>
        </c:ser>
        <c:dLbls>
          <c:showLegendKey val="0"/>
          <c:showVal val="0"/>
          <c:showCatName val="0"/>
          <c:showSerName val="0"/>
          <c:showPercent val="0"/>
          <c:showBubbleSize val="0"/>
        </c:dLbls>
        <c:marker val="1"/>
        <c:smooth val="0"/>
        <c:axId val="-2045602264"/>
        <c:axId val="-2045599192"/>
      </c:lineChart>
      <c:catAx>
        <c:axId val="-2045602264"/>
        <c:scaling>
          <c:orientation val="minMax"/>
        </c:scaling>
        <c:delete val="0"/>
        <c:axPos val="b"/>
        <c:numFmt formatCode="General" sourceLinked="1"/>
        <c:majorTickMark val="out"/>
        <c:minorTickMark val="none"/>
        <c:tickLblPos val="nextTo"/>
        <c:crossAx val="-2045599192"/>
        <c:crosses val="autoZero"/>
        <c:auto val="1"/>
        <c:lblAlgn val="ctr"/>
        <c:lblOffset val="100"/>
        <c:noMultiLvlLbl val="0"/>
      </c:catAx>
      <c:valAx>
        <c:axId val="-2045599192"/>
        <c:scaling>
          <c:orientation val="minMax"/>
        </c:scaling>
        <c:delete val="0"/>
        <c:axPos val="l"/>
        <c:majorGridlines/>
        <c:numFmt formatCode="0%" sourceLinked="1"/>
        <c:majorTickMark val="out"/>
        <c:minorTickMark val="none"/>
        <c:tickLblPos val="nextTo"/>
        <c:crossAx val="-2045602264"/>
        <c:crosses val="autoZero"/>
        <c:crossBetween val="between"/>
      </c:valAx>
    </c:plotArea>
    <c:plotVisOnly val="1"/>
    <c:dispBlanksAs val="gap"/>
    <c:showDLblsOverMax val="0"/>
  </c:chart>
  <c:printSettings>
    <c:headerFooter/>
    <c:pageMargins b="1.0" l="0.75" r="0.75" t="1.0"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Profits made in </a:t>
            </a:r>
            <a:r>
              <a:rPr lang="en-US" baseline="0"/>
              <a:t>U.S. by foreign firms</a:t>
            </a:r>
          </a:p>
          <a:p>
            <a:pPr>
              <a:defRPr/>
            </a:pPr>
            <a:r>
              <a:rPr lang="en-US" b="0" baseline="0"/>
              <a:t>(% of U.S. corporate profits)</a:t>
            </a:r>
            <a:endParaRPr lang="en-US" b="0"/>
          </a:p>
        </c:rich>
      </c:tx>
      <c:overlay val="0"/>
    </c:title>
    <c:autoTitleDeleted val="0"/>
    <c:plotArea>
      <c:layout>
        <c:manualLayout>
          <c:layoutTarget val="inner"/>
          <c:xMode val="edge"/>
          <c:yMode val="edge"/>
          <c:x val="0.0932248468941382"/>
          <c:y val="0.125925925925926"/>
          <c:w val="0.876417322834646"/>
          <c:h val="0.718132837561971"/>
        </c:manualLayout>
      </c:layout>
      <c:areaChart>
        <c:grouping val="stacked"/>
        <c:varyColors val="0"/>
        <c:ser>
          <c:idx val="1"/>
          <c:order val="0"/>
          <c:tx>
            <c:v>Non havens</c:v>
          </c:tx>
          <c:cat>
            <c:numRef>
              <c:f>Liabilities!$B$74:$B$108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Liabilities!$CN$74:$CN$108</c:f>
              <c:numCache>
                <c:formatCode>0%</c:formatCode>
                <c:ptCount val="35"/>
                <c:pt idx="0">
                  <c:v>-0.00508237839861714</c:v>
                </c:pt>
                <c:pt idx="1">
                  <c:v>0.0139886147470734</c:v>
                </c:pt>
                <c:pt idx="2">
                  <c:v>0.0171829111456644</c:v>
                </c:pt>
                <c:pt idx="3">
                  <c:v>0.0179595701784793</c:v>
                </c:pt>
                <c:pt idx="4">
                  <c:v>0.0183743422339328</c:v>
                </c:pt>
                <c:pt idx="5">
                  <c:v>0.0213769676567957</c:v>
                </c:pt>
                <c:pt idx="6">
                  <c:v>0.0251976616470729</c:v>
                </c:pt>
                <c:pt idx="7">
                  <c:v>-0.00712284686901202</c:v>
                </c:pt>
                <c:pt idx="8">
                  <c:v>0.00519876769144333</c:v>
                </c:pt>
                <c:pt idx="9">
                  <c:v>-0.00180381013183126</c:v>
                </c:pt>
                <c:pt idx="10">
                  <c:v>0.00881070151367334</c:v>
                </c:pt>
                <c:pt idx="11">
                  <c:v>0.0066798735014463</c:v>
                </c:pt>
                <c:pt idx="12">
                  <c:v>0.030598671377315</c:v>
                </c:pt>
                <c:pt idx="13">
                  <c:v>0.0399352457480804</c:v>
                </c:pt>
                <c:pt idx="14">
                  <c:v>0.03825057696787</c:v>
                </c:pt>
                <c:pt idx="15">
                  <c:v>0.0410454800454669</c:v>
                </c:pt>
                <c:pt idx="16">
                  <c:v>0.0433122649088425</c:v>
                </c:pt>
                <c:pt idx="17">
                  <c:v>0.049808875588546</c:v>
                </c:pt>
                <c:pt idx="18">
                  <c:v>0.0493507408920753</c:v>
                </c:pt>
                <c:pt idx="19">
                  <c:v>0.00840351207088403</c:v>
                </c:pt>
                <c:pt idx="20">
                  <c:v>0.0564688402628258</c:v>
                </c:pt>
                <c:pt idx="21">
                  <c:v>0.0671712214944154</c:v>
                </c:pt>
                <c:pt idx="22">
                  <c:v>0.0775812692407749</c:v>
                </c:pt>
                <c:pt idx="23">
                  <c:v>0.0796794573363084</c:v>
                </c:pt>
                <c:pt idx="24">
                  <c:v>0.0890504048874872</c:v>
                </c:pt>
                <c:pt idx="25">
                  <c:v>0.0735642716743877</c:v>
                </c:pt>
                <c:pt idx="26">
                  <c:v>0.0895239151042032</c:v>
                </c:pt>
                <c:pt idx="27">
                  <c:v>0.0697996289493152</c:v>
                </c:pt>
                <c:pt idx="28">
                  <c:v>0.0856691674142848</c:v>
                </c:pt>
                <c:pt idx="29">
                  <c:v>0.0912177572980849</c:v>
                </c:pt>
                <c:pt idx="30">
                  <c:v>0.0859231244855507</c:v>
                </c:pt>
                <c:pt idx="31">
                  <c:v>0.0904477002125243</c:v>
                </c:pt>
                <c:pt idx="32">
                  <c:v>0.0940858092804723</c:v>
                </c:pt>
                <c:pt idx="33">
                  <c:v>0.0775299316927847</c:v>
                </c:pt>
                <c:pt idx="34">
                  <c:v>0.0838241302678288</c:v>
                </c:pt>
              </c:numCache>
            </c:numRef>
          </c:val>
        </c:ser>
        <c:ser>
          <c:idx val="0"/>
          <c:order val="1"/>
          <c:tx>
            <c:v>Havens</c:v>
          </c:tx>
          <c:cat>
            <c:numRef>
              <c:f>Liabilities!$B$74:$B$108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Liabilities!$CM$74:$CM$108</c:f>
              <c:numCache>
                <c:formatCode>0%</c:formatCode>
                <c:ptCount val="35"/>
                <c:pt idx="0">
                  <c:v>0.0229162191989651</c:v>
                </c:pt>
                <c:pt idx="1">
                  <c:v>0.00745527374470645</c:v>
                </c:pt>
                <c:pt idx="2">
                  <c:v>0.0112278612722107</c:v>
                </c:pt>
                <c:pt idx="3">
                  <c:v>0.00658203771996917</c:v>
                </c:pt>
                <c:pt idx="4">
                  <c:v>0.00998570708789216</c:v>
                </c:pt>
                <c:pt idx="5">
                  <c:v>0.00840445310823162</c:v>
                </c:pt>
                <c:pt idx="6">
                  <c:v>0.00999154057032888</c:v>
                </c:pt>
                <c:pt idx="7">
                  <c:v>0.0274029048120347</c:v>
                </c:pt>
                <c:pt idx="8">
                  <c:v>0.00654619875150971</c:v>
                </c:pt>
                <c:pt idx="9">
                  <c:v>-0.000633592926001652</c:v>
                </c:pt>
                <c:pt idx="10">
                  <c:v>0.00212975714401657</c:v>
                </c:pt>
                <c:pt idx="11">
                  <c:v>0.0165002031269062</c:v>
                </c:pt>
                <c:pt idx="12">
                  <c:v>0.012173478486007</c:v>
                </c:pt>
                <c:pt idx="13">
                  <c:v>0.00914014543257397</c:v>
                </c:pt>
                <c:pt idx="14">
                  <c:v>0.00932606722498075</c:v>
                </c:pt>
                <c:pt idx="15">
                  <c:v>0.0142790752790884</c:v>
                </c:pt>
                <c:pt idx="16">
                  <c:v>0.011282934693197</c:v>
                </c:pt>
                <c:pt idx="17">
                  <c:v>0.016801579723427</c:v>
                </c:pt>
                <c:pt idx="18">
                  <c:v>0.0234859206542637</c:v>
                </c:pt>
                <c:pt idx="19">
                  <c:v>0.00870524124476585</c:v>
                </c:pt>
                <c:pt idx="20">
                  <c:v>-0.00521222650621207</c:v>
                </c:pt>
                <c:pt idx="21">
                  <c:v>0.0117761469266372</c:v>
                </c:pt>
                <c:pt idx="22">
                  <c:v>0.018343300228562</c:v>
                </c:pt>
                <c:pt idx="23">
                  <c:v>0.0181753169751215</c:v>
                </c:pt>
                <c:pt idx="24">
                  <c:v>0.0188147636518387</c:v>
                </c:pt>
                <c:pt idx="25">
                  <c:v>0.0291172194963121</c:v>
                </c:pt>
                <c:pt idx="26">
                  <c:v>0.0468857028243627</c:v>
                </c:pt>
                <c:pt idx="27">
                  <c:v>0.0310593545868337</c:v>
                </c:pt>
                <c:pt idx="28">
                  <c:v>0.0227825045967092</c:v>
                </c:pt>
                <c:pt idx="29">
                  <c:v>0.0312087537665413</c:v>
                </c:pt>
                <c:pt idx="30">
                  <c:v>0.034184972802008</c:v>
                </c:pt>
                <c:pt idx="31">
                  <c:v>0.0356283487815236</c:v>
                </c:pt>
                <c:pt idx="32">
                  <c:v>0.0408296349874899</c:v>
                </c:pt>
                <c:pt idx="33">
                  <c:v>0.0389124138404699</c:v>
                </c:pt>
                <c:pt idx="34">
                  <c:v>0.0439147974710989</c:v>
                </c:pt>
              </c:numCache>
            </c:numRef>
          </c:val>
        </c:ser>
        <c:dLbls>
          <c:showLegendKey val="0"/>
          <c:showVal val="0"/>
          <c:showCatName val="0"/>
          <c:showSerName val="0"/>
          <c:showPercent val="0"/>
          <c:showBubbleSize val="0"/>
        </c:dLbls>
        <c:axId val="-2045180584"/>
        <c:axId val="-2045177576"/>
      </c:areaChart>
      <c:catAx>
        <c:axId val="-2045180584"/>
        <c:scaling>
          <c:orientation val="minMax"/>
        </c:scaling>
        <c:delete val="0"/>
        <c:axPos val="b"/>
        <c:numFmt formatCode="General" sourceLinked="1"/>
        <c:majorTickMark val="out"/>
        <c:minorTickMark val="none"/>
        <c:tickLblPos val="nextTo"/>
        <c:crossAx val="-2045177576"/>
        <c:crosses val="autoZero"/>
        <c:auto val="1"/>
        <c:lblAlgn val="ctr"/>
        <c:lblOffset val="100"/>
        <c:noMultiLvlLbl val="0"/>
      </c:catAx>
      <c:valAx>
        <c:axId val="-2045177576"/>
        <c:scaling>
          <c:orientation val="minMax"/>
          <c:max val="0.15"/>
        </c:scaling>
        <c:delete val="0"/>
        <c:axPos val="l"/>
        <c:majorGridlines/>
        <c:numFmt formatCode="0%" sourceLinked="1"/>
        <c:majorTickMark val="out"/>
        <c:minorTickMark val="none"/>
        <c:tickLblPos val="nextTo"/>
        <c:crossAx val="-2045180584"/>
        <c:crosses val="autoZero"/>
        <c:crossBetween val="midCat"/>
      </c:valAx>
    </c:plotArea>
    <c:legend>
      <c:legendPos val="r"/>
      <c:layout>
        <c:manualLayout>
          <c:xMode val="edge"/>
          <c:yMode val="edge"/>
          <c:x val="0.255753280839895"/>
          <c:y val="0.351930956547098"/>
          <c:w val="0.185913385826772"/>
          <c:h val="0.185952901720618"/>
        </c:manualLayout>
      </c:layout>
      <c:overlay val="0"/>
    </c:legend>
    <c:plotVisOnly val="1"/>
    <c:dispBlanksAs val="zero"/>
    <c:showDLblsOverMax val="0"/>
  </c:chart>
  <c:printSettings>
    <c:headerFooter/>
    <c:pageMargins b="1.0" l="0.75" r="0.75" t="1.0" header="0.5" footer="0.5"/>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Profits made in U.S. by foreign firms</a:t>
            </a:r>
            <a:endParaRPr lang="en-US" baseline="0"/>
          </a:p>
          <a:p>
            <a:pPr>
              <a:defRPr/>
            </a:pPr>
            <a:r>
              <a:rPr lang="en-US" b="0" baseline="0"/>
              <a:t>(% of U.S. national income)</a:t>
            </a:r>
            <a:endParaRPr lang="en-US" b="0"/>
          </a:p>
        </c:rich>
      </c:tx>
      <c:overlay val="0"/>
    </c:title>
    <c:autoTitleDeleted val="0"/>
    <c:plotArea>
      <c:layout>
        <c:manualLayout>
          <c:layoutTarget val="inner"/>
          <c:xMode val="edge"/>
          <c:yMode val="edge"/>
          <c:x val="0.0868772965879265"/>
          <c:y val="0.0886836027713626"/>
          <c:w val="0.866098206474191"/>
          <c:h val="0.71358767798367"/>
        </c:manualLayout>
      </c:layout>
      <c:areaChart>
        <c:grouping val="stacked"/>
        <c:varyColors val="0"/>
        <c:ser>
          <c:idx val="1"/>
          <c:order val="0"/>
          <c:tx>
            <c:v>Non havens</c:v>
          </c:tx>
          <c:cat>
            <c:numRef>
              <c:f>Liabilities!$B$74:$B$108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Liabilities!$CR$74:$CR$108</c:f>
              <c:numCache>
                <c:formatCode>0%</c:formatCode>
                <c:ptCount val="35"/>
                <c:pt idx="0">
                  <c:v>-0.000411364171892015</c:v>
                </c:pt>
                <c:pt idx="1">
                  <c:v>0.00127888070780302</c:v>
                </c:pt>
                <c:pt idx="2">
                  <c:v>0.00168586111385599</c:v>
                </c:pt>
                <c:pt idx="3">
                  <c:v>0.00172810043653193</c:v>
                </c:pt>
                <c:pt idx="4">
                  <c:v>0.00154894148450907</c:v>
                </c:pt>
                <c:pt idx="5">
                  <c:v>0.0018993906978023</c:v>
                </c:pt>
                <c:pt idx="6">
                  <c:v>0.00232663680450673</c:v>
                </c:pt>
                <c:pt idx="7">
                  <c:v>-0.000616930110230601</c:v>
                </c:pt>
                <c:pt idx="8">
                  <c:v>0.000430675697637091</c:v>
                </c:pt>
                <c:pt idx="9">
                  <c:v>-0.000156969497791298</c:v>
                </c:pt>
                <c:pt idx="10">
                  <c:v>0.000761446338791014</c:v>
                </c:pt>
                <c:pt idx="11">
                  <c:v>0.000605910538638175</c:v>
                </c:pt>
                <c:pt idx="12">
                  <c:v>0.00309913581472138</c:v>
                </c:pt>
                <c:pt idx="13">
                  <c:v>0.00433281545812184</c:v>
                </c:pt>
                <c:pt idx="14">
                  <c:v>0.00435817296495965</c:v>
                </c:pt>
                <c:pt idx="15">
                  <c:v>0.0048150746061684</c:v>
                </c:pt>
                <c:pt idx="16">
                  <c:v>0.00443248854100012</c:v>
                </c:pt>
                <c:pt idx="17">
                  <c:v>0.00496748456508708</c:v>
                </c:pt>
                <c:pt idx="18">
                  <c:v>0.00432837080777919</c:v>
                </c:pt>
                <c:pt idx="19">
                  <c:v>0.000689877414525026</c:v>
                </c:pt>
                <c:pt idx="20">
                  <c:v>0.00542859145965111</c:v>
                </c:pt>
                <c:pt idx="21">
                  <c:v>0.00719365771037696</c:v>
                </c:pt>
                <c:pt idx="22">
                  <c:v>0.00944511785679462</c:v>
                </c:pt>
                <c:pt idx="23">
                  <c:v>0.0104754830251306</c:v>
                </c:pt>
                <c:pt idx="24">
                  <c:v>0.0122135722083873</c:v>
                </c:pt>
                <c:pt idx="25">
                  <c:v>0.00912881420862393</c:v>
                </c:pt>
                <c:pt idx="26">
                  <c:v>0.00925724450831294</c:v>
                </c:pt>
                <c:pt idx="27">
                  <c:v>0.00804133906550278</c:v>
                </c:pt>
                <c:pt idx="28">
                  <c:v>0.0117439957590413</c:v>
                </c:pt>
                <c:pt idx="29">
                  <c:v>0.0124103096775612</c:v>
                </c:pt>
                <c:pt idx="30">
                  <c:v>0.0122097004918985</c:v>
                </c:pt>
                <c:pt idx="31">
                  <c:v>0.0127292264179525</c:v>
                </c:pt>
                <c:pt idx="32">
                  <c:v>0.013299001805717</c:v>
                </c:pt>
                <c:pt idx="33">
                  <c:v>0.0104303559403969</c:v>
                </c:pt>
                <c:pt idx="34">
                  <c:v>0.0108278927305222</c:v>
                </c:pt>
              </c:numCache>
            </c:numRef>
          </c:val>
        </c:ser>
        <c:ser>
          <c:idx val="0"/>
          <c:order val="1"/>
          <c:tx>
            <c:v>Havens</c:v>
          </c:tx>
          <c:cat>
            <c:numRef>
              <c:f>Liabilities!$B$74:$B$108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Liabilities!$CO$74:$CO$108</c:f>
              <c:numCache>
                <c:formatCode>0%</c:formatCode>
                <c:ptCount val="35"/>
                <c:pt idx="0">
                  <c:v>0.00185482283968528</c:v>
                </c:pt>
                <c:pt idx="1">
                  <c:v>0.000681583268671415</c:v>
                </c:pt>
                <c:pt idx="2">
                  <c:v>0.00110159533213705</c:v>
                </c:pt>
                <c:pt idx="3">
                  <c:v>0.000633334881854696</c:v>
                </c:pt>
                <c:pt idx="4">
                  <c:v>0.000841786648124374</c:v>
                </c:pt>
                <c:pt idx="5">
                  <c:v>0.000746754184699158</c:v>
                </c:pt>
                <c:pt idx="6">
                  <c:v>0.000922573147867862</c:v>
                </c:pt>
                <c:pt idx="7">
                  <c:v>0.00237344384867734</c:v>
                </c:pt>
                <c:pt idx="8">
                  <c:v>0.000542299421999136</c:v>
                </c:pt>
                <c:pt idx="9">
                  <c:v>-5.51359378925484E-5</c:v>
                </c:pt>
                <c:pt idx="10">
                  <c:v>0.000184059779724545</c:v>
                </c:pt>
                <c:pt idx="11">
                  <c:v>0.00149668207969782</c:v>
                </c:pt>
                <c:pt idx="12">
                  <c:v>0.00123297063132272</c:v>
                </c:pt>
                <c:pt idx="13">
                  <c:v>0.000991669455837565</c:v>
                </c:pt>
                <c:pt idx="14">
                  <c:v>0.00106258826065417</c:v>
                </c:pt>
                <c:pt idx="15">
                  <c:v>0.00167508852862104</c:v>
                </c:pt>
                <c:pt idx="16">
                  <c:v>0.00115467244305292</c:v>
                </c:pt>
                <c:pt idx="17">
                  <c:v>0.00167563686108177</c:v>
                </c:pt>
                <c:pt idx="18">
                  <c:v>0.00205986316550026</c:v>
                </c:pt>
                <c:pt idx="19">
                  <c:v>0.000714647551178434</c:v>
                </c:pt>
                <c:pt idx="20">
                  <c:v>-0.000501073657006146</c:v>
                </c:pt>
                <c:pt idx="21">
                  <c:v>0.00126115869642744</c:v>
                </c:pt>
                <c:pt idx="22">
                  <c:v>0.00223320183127755</c:v>
                </c:pt>
                <c:pt idx="23">
                  <c:v>0.00238951457269142</c:v>
                </c:pt>
                <c:pt idx="24">
                  <c:v>0.0025805101586659</c:v>
                </c:pt>
                <c:pt idx="25">
                  <c:v>0.00361324432368571</c:v>
                </c:pt>
                <c:pt idx="26">
                  <c:v>0.00484822870496697</c:v>
                </c:pt>
                <c:pt idx="27">
                  <c:v>0.00357822534514862</c:v>
                </c:pt>
                <c:pt idx="28">
                  <c:v>0.00312314973332493</c:v>
                </c:pt>
                <c:pt idx="29">
                  <c:v>0.00424599672657886</c:v>
                </c:pt>
                <c:pt idx="30">
                  <c:v>0.00485769438361618</c:v>
                </c:pt>
                <c:pt idx="31">
                  <c:v>0.00501418297504703</c:v>
                </c:pt>
                <c:pt idx="32">
                  <c:v>0.00577125704267175</c:v>
                </c:pt>
                <c:pt idx="33">
                  <c:v>0.00523501463234104</c:v>
                </c:pt>
                <c:pt idx="34">
                  <c:v>0.00567264718143057</c:v>
                </c:pt>
              </c:numCache>
            </c:numRef>
          </c:val>
        </c:ser>
        <c:dLbls>
          <c:showLegendKey val="0"/>
          <c:showVal val="0"/>
          <c:showCatName val="0"/>
          <c:showSerName val="0"/>
          <c:showPercent val="0"/>
          <c:showBubbleSize val="0"/>
        </c:dLbls>
        <c:axId val="-2045145800"/>
        <c:axId val="-2045142792"/>
      </c:areaChart>
      <c:catAx>
        <c:axId val="-2045145800"/>
        <c:scaling>
          <c:orientation val="minMax"/>
        </c:scaling>
        <c:delete val="0"/>
        <c:axPos val="b"/>
        <c:numFmt formatCode="General" sourceLinked="1"/>
        <c:majorTickMark val="out"/>
        <c:minorTickMark val="none"/>
        <c:tickLblPos val="nextTo"/>
        <c:crossAx val="-2045142792"/>
        <c:crosses val="autoZero"/>
        <c:auto val="1"/>
        <c:lblAlgn val="ctr"/>
        <c:lblOffset val="100"/>
        <c:noMultiLvlLbl val="0"/>
      </c:catAx>
      <c:valAx>
        <c:axId val="-2045142792"/>
        <c:scaling>
          <c:orientation val="minMax"/>
        </c:scaling>
        <c:delete val="0"/>
        <c:axPos val="l"/>
        <c:majorGridlines/>
        <c:numFmt formatCode="0%" sourceLinked="1"/>
        <c:majorTickMark val="out"/>
        <c:minorTickMark val="none"/>
        <c:tickLblPos val="nextTo"/>
        <c:crossAx val="-2045145800"/>
        <c:crosses val="autoZero"/>
        <c:crossBetween val="midCat"/>
      </c:valAx>
    </c:plotArea>
    <c:legend>
      <c:legendPos val="r"/>
      <c:layout>
        <c:manualLayout>
          <c:xMode val="edge"/>
          <c:yMode val="edge"/>
          <c:x val="0.258531058617673"/>
          <c:y val="0.333797166809114"/>
          <c:w val="0.174748874406365"/>
          <c:h val="0.185523449291702"/>
        </c:manualLayout>
      </c:layout>
      <c:overlay val="0"/>
    </c:legend>
    <c:plotVisOnly val="1"/>
    <c:dispBlanksAs val="zero"/>
    <c:showDLblsOverMax val="0"/>
  </c:chart>
  <c:printSettings>
    <c:headerFooter/>
    <c:pageMargins b="1.0" l="0.75" r="0.75" t="1.0"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0766185476815"/>
          <c:y val="0.0601851851851852"/>
          <c:w val="0.884183070866142"/>
          <c:h val="0.795521653543307"/>
        </c:manualLayout>
      </c:layout>
      <c:lineChart>
        <c:grouping val="standard"/>
        <c:varyColors val="0"/>
        <c:ser>
          <c:idx val="0"/>
          <c:order val="0"/>
          <c:tx>
            <c:strRef>
              <c:f>Liabilities!$FK$3</c:f>
              <c:strCache>
                <c:ptCount val="1"/>
                <c:pt idx="0">
                  <c:v>Returns on loans from US subs to foreign parents</c:v>
                </c:pt>
              </c:strCache>
            </c:strRef>
          </c:tx>
          <c:marker>
            <c:symbol val="none"/>
          </c:marker>
          <c:cat>
            <c:numRef>
              <c:f>Liabilities!$B$74:$B$108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Liabilities!$FK$74:$FK$108</c:f>
              <c:numCache>
                <c:formatCode>0.0%</c:formatCode>
                <c:ptCount val="35"/>
                <c:pt idx="0">
                  <c:v>0.010488472574953</c:v>
                </c:pt>
                <c:pt idx="1">
                  <c:v>0.00844232337572114</c:v>
                </c:pt>
                <c:pt idx="2">
                  <c:v>0.00842868140911625</c:v>
                </c:pt>
                <c:pt idx="3">
                  <c:v>0.0098398977955367</c:v>
                </c:pt>
                <c:pt idx="4">
                  <c:v>0.0132168425439445</c:v>
                </c:pt>
                <c:pt idx="5">
                  <c:v>0.0190429761886626</c:v>
                </c:pt>
                <c:pt idx="6">
                  <c:v>0.0225498253544278</c:v>
                </c:pt>
                <c:pt idx="7">
                  <c:v>0.0297664669722044</c:v>
                </c:pt>
                <c:pt idx="8">
                  <c:v>0.0267239160763386</c:v>
                </c:pt>
                <c:pt idx="9">
                  <c:v>0.0339020235391286</c:v>
                </c:pt>
                <c:pt idx="10">
                  <c:v>0.0336564915498493</c:v>
                </c:pt>
                <c:pt idx="11">
                  <c:v>0.0371937026005556</c:v>
                </c:pt>
                <c:pt idx="12">
                  <c:v>0.0170829995995194</c:v>
                </c:pt>
                <c:pt idx="13">
                  <c:v>0.0172440909499416</c:v>
                </c:pt>
                <c:pt idx="14">
                  <c:v>0.0155183315650152</c:v>
                </c:pt>
                <c:pt idx="15">
                  <c:v>0.0172762571305307</c:v>
                </c:pt>
                <c:pt idx="16">
                  <c:v>0.0150130387213004</c:v>
                </c:pt>
                <c:pt idx="17">
                  <c:v>0.0111181972789116</c:v>
                </c:pt>
                <c:pt idx="18">
                  <c:v>0.0171804590013309</c:v>
                </c:pt>
                <c:pt idx="19">
                  <c:v>0.0130645255360927</c:v>
                </c:pt>
                <c:pt idx="20">
                  <c:v>0.00984149571601963</c:v>
                </c:pt>
                <c:pt idx="21">
                  <c:v>0.00795956248623593</c:v>
                </c:pt>
                <c:pt idx="22">
                  <c:v>0.0091684585140717</c:v>
                </c:pt>
                <c:pt idx="23">
                  <c:v>0.0134021437078206</c:v>
                </c:pt>
                <c:pt idx="24">
                  <c:v>0.0160453520743975</c:v>
                </c:pt>
                <c:pt idx="25">
                  <c:v>0.018961662664569</c:v>
                </c:pt>
                <c:pt idx="26">
                  <c:v>0.0169640502768744</c:v>
                </c:pt>
                <c:pt idx="27">
                  <c:v>0.0128068825829278</c:v>
                </c:pt>
                <c:pt idx="28">
                  <c:v>0.0107025343480773</c:v>
                </c:pt>
                <c:pt idx="29">
                  <c:v>0.0102846220301359</c:v>
                </c:pt>
                <c:pt idx="30">
                  <c:v>0.00863817875226835</c:v>
                </c:pt>
                <c:pt idx="31">
                  <c:v>0.00718982585446925</c:v>
                </c:pt>
                <c:pt idx="32">
                  <c:v>0.0086256861341243</c:v>
                </c:pt>
                <c:pt idx="33">
                  <c:v>0.00827839845753504</c:v>
                </c:pt>
                <c:pt idx="34">
                  <c:v>0.0113040990103569</c:v>
                </c:pt>
              </c:numCache>
            </c:numRef>
          </c:val>
          <c:smooth val="0"/>
        </c:ser>
        <c:ser>
          <c:idx val="1"/>
          <c:order val="1"/>
          <c:tx>
            <c:strRef>
              <c:f>Liabilities!$FL$3</c:f>
              <c:strCache>
                <c:ptCount val="1"/>
                <c:pt idx="0">
                  <c:v>Returns on loans from foreign parents to US subs</c:v>
                </c:pt>
              </c:strCache>
            </c:strRef>
          </c:tx>
          <c:marker>
            <c:symbol val="none"/>
          </c:marker>
          <c:cat>
            <c:numRef>
              <c:f>Liabilities!$B$74:$B$108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Liabilities!$FL$74:$FL$108</c:f>
              <c:numCache>
                <c:formatCode>0.0%</c:formatCode>
                <c:ptCount val="35"/>
                <c:pt idx="0">
                  <c:v>0.0701284394481861</c:v>
                </c:pt>
                <c:pt idx="1">
                  <c:v>0.0624404933241813</c:v>
                </c:pt>
                <c:pt idx="2">
                  <c:v>0.0662380855056576</c:v>
                </c:pt>
                <c:pt idx="3">
                  <c:v>0.059796376846231</c:v>
                </c:pt>
                <c:pt idx="4">
                  <c:v>0.0526032504529104</c:v>
                </c:pt>
                <c:pt idx="5">
                  <c:v>0.0460288542025703</c:v>
                </c:pt>
                <c:pt idx="6">
                  <c:v>0.0522028443803793</c:v>
                </c:pt>
                <c:pt idx="7">
                  <c:v>0.0626856435643564</c:v>
                </c:pt>
                <c:pt idx="8">
                  <c:v>0.0611106089366959</c:v>
                </c:pt>
                <c:pt idx="9">
                  <c:v>0.0645900778720798</c:v>
                </c:pt>
                <c:pt idx="10">
                  <c:v>0.0508320396546559</c:v>
                </c:pt>
                <c:pt idx="11">
                  <c:v>0.0438995451848922</c:v>
                </c:pt>
                <c:pt idx="12">
                  <c:v>0.0481616757497897</c:v>
                </c:pt>
                <c:pt idx="13">
                  <c:v>0.0548721673115985</c:v>
                </c:pt>
                <c:pt idx="14">
                  <c:v>0.0534462927588076</c:v>
                </c:pt>
                <c:pt idx="15">
                  <c:v>0.0472334624828529</c:v>
                </c:pt>
                <c:pt idx="16">
                  <c:v>0.0440776530494156</c:v>
                </c:pt>
                <c:pt idx="17">
                  <c:v>0.0495572589415617</c:v>
                </c:pt>
                <c:pt idx="18">
                  <c:v>0.0527008883067341</c:v>
                </c:pt>
                <c:pt idx="19">
                  <c:v>0.0485404086230093</c:v>
                </c:pt>
                <c:pt idx="20">
                  <c:v>0.0484551007847698</c:v>
                </c:pt>
                <c:pt idx="21">
                  <c:v>0.040678650592236</c:v>
                </c:pt>
                <c:pt idx="22">
                  <c:v>0.0350851715460494</c:v>
                </c:pt>
                <c:pt idx="23">
                  <c:v>0.0379413607623264</c:v>
                </c:pt>
                <c:pt idx="24">
                  <c:v>0.0403966516510195</c:v>
                </c:pt>
                <c:pt idx="25">
                  <c:v>0.0430115092303211</c:v>
                </c:pt>
                <c:pt idx="26">
                  <c:v>0.0396819659331834</c:v>
                </c:pt>
                <c:pt idx="27">
                  <c:v>0.037417013132713</c:v>
                </c:pt>
                <c:pt idx="28">
                  <c:v>0.036119366695378</c:v>
                </c:pt>
                <c:pt idx="29">
                  <c:v>0.0357370597999638</c:v>
                </c:pt>
                <c:pt idx="30">
                  <c:v>0.0361589142642026</c:v>
                </c:pt>
                <c:pt idx="31">
                  <c:v>0.0344184129637156</c:v>
                </c:pt>
                <c:pt idx="32">
                  <c:v>0.0317218818922114</c:v>
                </c:pt>
                <c:pt idx="33">
                  <c:v>0.0315358091739314</c:v>
                </c:pt>
                <c:pt idx="34">
                  <c:v>0.0337281015715155</c:v>
                </c:pt>
              </c:numCache>
            </c:numRef>
          </c:val>
          <c:smooth val="0"/>
        </c:ser>
        <c:dLbls>
          <c:showLegendKey val="0"/>
          <c:showVal val="0"/>
          <c:showCatName val="0"/>
          <c:showSerName val="0"/>
          <c:showPercent val="0"/>
          <c:showBubbleSize val="0"/>
        </c:dLbls>
        <c:marker val="1"/>
        <c:smooth val="0"/>
        <c:axId val="-2045112376"/>
        <c:axId val="-2045109368"/>
      </c:lineChart>
      <c:catAx>
        <c:axId val="-2045112376"/>
        <c:scaling>
          <c:orientation val="minMax"/>
        </c:scaling>
        <c:delete val="0"/>
        <c:axPos val="b"/>
        <c:numFmt formatCode="General" sourceLinked="1"/>
        <c:majorTickMark val="out"/>
        <c:minorTickMark val="none"/>
        <c:tickLblPos val="nextTo"/>
        <c:crossAx val="-2045109368"/>
        <c:crosses val="autoZero"/>
        <c:auto val="1"/>
        <c:lblAlgn val="ctr"/>
        <c:lblOffset val="100"/>
        <c:noMultiLvlLbl val="0"/>
      </c:catAx>
      <c:valAx>
        <c:axId val="-2045109368"/>
        <c:scaling>
          <c:orientation val="minMax"/>
        </c:scaling>
        <c:delete val="0"/>
        <c:axPos val="l"/>
        <c:majorGridlines/>
        <c:numFmt formatCode="0.0%" sourceLinked="1"/>
        <c:majorTickMark val="out"/>
        <c:minorTickMark val="none"/>
        <c:tickLblPos val="nextTo"/>
        <c:crossAx val="-2045112376"/>
        <c:crosses val="autoZero"/>
        <c:crossBetween val="between"/>
      </c:valAx>
    </c:plotArea>
    <c:legend>
      <c:legendPos val="r"/>
      <c:layout>
        <c:manualLayout>
          <c:xMode val="edge"/>
          <c:yMode val="edge"/>
          <c:x val="0.258573889970537"/>
          <c:y val="0.0565767200448258"/>
          <c:w val="0.695922608297816"/>
          <c:h val="0.206362810417929"/>
        </c:manualLayout>
      </c:layout>
      <c:overlay val="0"/>
    </c:legend>
    <c:plotVisOnly val="1"/>
    <c:dispBlanksAs val="gap"/>
    <c:showDLblsOverMax val="0"/>
  </c:chart>
  <c:printSettings>
    <c:headerFooter/>
    <c:pageMargins b="1.0" l="0.75" r="0.75" t="1.0"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32248468941382"/>
          <c:y val="0.0601851851851852"/>
          <c:w val="0.871754593175853"/>
          <c:h val="0.807314814814815"/>
        </c:manualLayout>
      </c:layout>
      <c:lineChart>
        <c:grouping val="standard"/>
        <c:varyColors val="0"/>
        <c:ser>
          <c:idx val="0"/>
          <c:order val="0"/>
          <c:tx>
            <c:strRef>
              <c:f>Liabilities!$BH$3</c:f>
              <c:strCache>
                <c:ptCount val="1"/>
                <c:pt idx="0">
                  <c:v>Share top 5 non-havens in FDIUS</c:v>
                </c:pt>
              </c:strCache>
            </c:strRef>
          </c:tx>
          <c:marker>
            <c:symbol val="none"/>
          </c:marker>
          <c:cat>
            <c:numRef>
              <c:f>Liabilities!$B$85:$B$109</c:f>
              <c:numCache>
                <c:formatCode>General</c:formatCode>
                <c:ptCount val="25"/>
                <c:pt idx="0">
                  <c:v>1993.0</c:v>
                </c:pt>
                <c:pt idx="1">
                  <c:v>1994.0</c:v>
                </c:pt>
                <c:pt idx="2">
                  <c:v>1995.0</c:v>
                </c:pt>
                <c:pt idx="3">
                  <c:v>1996.0</c:v>
                </c:pt>
                <c:pt idx="4">
                  <c:v>1997.0</c:v>
                </c:pt>
                <c:pt idx="5">
                  <c:v>1998.0</c:v>
                </c:pt>
                <c:pt idx="6">
                  <c:v>1999.0</c:v>
                </c:pt>
                <c:pt idx="7">
                  <c:v>2000.0</c:v>
                </c:pt>
                <c:pt idx="8">
                  <c:v>2001.0</c:v>
                </c:pt>
                <c:pt idx="9">
                  <c:v>2002.0</c:v>
                </c:pt>
                <c:pt idx="10">
                  <c:v>2003.0</c:v>
                </c:pt>
                <c:pt idx="11">
                  <c:v>2004.0</c:v>
                </c:pt>
                <c:pt idx="12">
                  <c:v>2005.0</c:v>
                </c:pt>
                <c:pt idx="13">
                  <c:v>2006.0</c:v>
                </c:pt>
                <c:pt idx="14">
                  <c:v>2007.0</c:v>
                </c:pt>
                <c:pt idx="15">
                  <c:v>2008.0</c:v>
                </c:pt>
                <c:pt idx="16">
                  <c:v>2009.0</c:v>
                </c:pt>
                <c:pt idx="17">
                  <c:v>2010.0</c:v>
                </c:pt>
                <c:pt idx="18">
                  <c:v>2011.0</c:v>
                </c:pt>
                <c:pt idx="19">
                  <c:v>2012.0</c:v>
                </c:pt>
                <c:pt idx="20">
                  <c:v>2013.0</c:v>
                </c:pt>
                <c:pt idx="21">
                  <c:v>2014.0</c:v>
                </c:pt>
                <c:pt idx="22">
                  <c:v>2015.0</c:v>
                </c:pt>
                <c:pt idx="23">
                  <c:v>2016.0</c:v>
                </c:pt>
                <c:pt idx="24">
                  <c:v>2017.0</c:v>
                </c:pt>
              </c:numCache>
            </c:numRef>
          </c:cat>
          <c:val>
            <c:numRef>
              <c:f>Liabilities!$BH$85:$BH$108</c:f>
              <c:numCache>
                <c:formatCode>0%</c:formatCode>
                <c:ptCount val="24"/>
                <c:pt idx="0">
                  <c:v>0.686183000989959</c:v>
                </c:pt>
                <c:pt idx="1">
                  <c:v>0.622892720306513</c:v>
                </c:pt>
                <c:pt idx="2">
                  <c:v>0.687659629497915</c:v>
                </c:pt>
                <c:pt idx="3">
                  <c:v>0.704344394382872</c:v>
                </c:pt>
                <c:pt idx="4">
                  <c:v>0.631718613093003</c:v>
                </c:pt>
                <c:pt idx="5">
                  <c:v>0.58604407135362</c:v>
                </c:pt>
                <c:pt idx="6">
                  <c:v>0.586331788293629</c:v>
                </c:pt>
                <c:pt idx="7">
                  <c:v>0.524842970722648</c:v>
                </c:pt>
                <c:pt idx="8">
                  <c:v>0.510230879422692</c:v>
                </c:pt>
                <c:pt idx="9">
                  <c:v>0.495618788122736</c:v>
                </c:pt>
                <c:pt idx="10">
                  <c:v>0.590036742995866</c:v>
                </c:pt>
                <c:pt idx="11">
                  <c:v>0.614176811923996</c:v>
                </c:pt>
                <c:pt idx="12">
                  <c:v>0.628467060657699</c:v>
                </c:pt>
                <c:pt idx="13">
                  <c:v>0.636758661186142</c:v>
                </c:pt>
                <c:pt idx="14">
                  <c:v>0.501727843915344</c:v>
                </c:pt>
                <c:pt idx="15">
                  <c:v>0.533077210648977</c:v>
                </c:pt>
                <c:pt idx="16">
                  <c:v>0.578579446882335</c:v>
                </c:pt>
                <c:pt idx="17">
                  <c:v>0.60367501102779</c:v>
                </c:pt>
                <c:pt idx="18">
                  <c:v>0.550642292490119</c:v>
                </c:pt>
                <c:pt idx="19">
                  <c:v>0.544377775560102</c:v>
                </c:pt>
                <c:pt idx="20">
                  <c:v>0.525449520016643</c:v>
                </c:pt>
                <c:pt idx="21">
                  <c:v>0.511432987015917</c:v>
                </c:pt>
                <c:pt idx="22">
                  <c:v>0.487234974887923</c:v>
                </c:pt>
                <c:pt idx="23">
                  <c:v>0.499389667540955</c:v>
                </c:pt>
              </c:numCache>
            </c:numRef>
          </c:val>
          <c:smooth val="0"/>
        </c:ser>
        <c:ser>
          <c:idx val="1"/>
          <c:order val="1"/>
          <c:tx>
            <c:strRef>
              <c:f>Liabilities!$BI$3</c:f>
              <c:strCache>
                <c:ptCount val="1"/>
                <c:pt idx="0">
                  <c:v>Memo: share top 5 non-havens, USDIA</c:v>
                </c:pt>
              </c:strCache>
            </c:strRef>
          </c:tx>
          <c:marker>
            <c:symbol val="none"/>
          </c:marker>
          <c:cat>
            <c:numRef>
              <c:f>Liabilities!$B$85:$B$109</c:f>
              <c:numCache>
                <c:formatCode>General</c:formatCode>
                <c:ptCount val="25"/>
                <c:pt idx="0">
                  <c:v>1993.0</c:v>
                </c:pt>
                <c:pt idx="1">
                  <c:v>1994.0</c:v>
                </c:pt>
                <c:pt idx="2">
                  <c:v>1995.0</c:v>
                </c:pt>
                <c:pt idx="3">
                  <c:v>1996.0</c:v>
                </c:pt>
                <c:pt idx="4">
                  <c:v>1997.0</c:v>
                </c:pt>
                <c:pt idx="5">
                  <c:v>1998.0</c:v>
                </c:pt>
                <c:pt idx="6">
                  <c:v>1999.0</c:v>
                </c:pt>
                <c:pt idx="7">
                  <c:v>2000.0</c:v>
                </c:pt>
                <c:pt idx="8">
                  <c:v>2001.0</c:v>
                </c:pt>
                <c:pt idx="9">
                  <c:v>2002.0</c:v>
                </c:pt>
                <c:pt idx="10">
                  <c:v>2003.0</c:v>
                </c:pt>
                <c:pt idx="11">
                  <c:v>2004.0</c:v>
                </c:pt>
                <c:pt idx="12">
                  <c:v>2005.0</c:v>
                </c:pt>
                <c:pt idx="13">
                  <c:v>2006.0</c:v>
                </c:pt>
                <c:pt idx="14">
                  <c:v>2007.0</c:v>
                </c:pt>
                <c:pt idx="15">
                  <c:v>2008.0</c:v>
                </c:pt>
                <c:pt idx="16">
                  <c:v>2009.0</c:v>
                </c:pt>
                <c:pt idx="17">
                  <c:v>2010.0</c:v>
                </c:pt>
                <c:pt idx="18">
                  <c:v>2011.0</c:v>
                </c:pt>
                <c:pt idx="19">
                  <c:v>2012.0</c:v>
                </c:pt>
                <c:pt idx="20">
                  <c:v>2013.0</c:v>
                </c:pt>
                <c:pt idx="21">
                  <c:v>2014.0</c:v>
                </c:pt>
                <c:pt idx="22">
                  <c:v>2015.0</c:v>
                </c:pt>
                <c:pt idx="23">
                  <c:v>2016.0</c:v>
                </c:pt>
                <c:pt idx="24">
                  <c:v>2017.0</c:v>
                </c:pt>
              </c:numCache>
            </c:numRef>
          </c:cat>
          <c:val>
            <c:numRef>
              <c:f>Liabilities!$BI$85:$BI$108</c:f>
              <c:numCache>
                <c:formatCode>0%</c:formatCode>
                <c:ptCount val="24"/>
                <c:pt idx="0">
                  <c:v>0.333827318502551</c:v>
                </c:pt>
                <c:pt idx="1">
                  <c:v>0.289605287952803</c:v>
                </c:pt>
                <c:pt idx="2">
                  <c:v>0.351853547958693</c:v>
                </c:pt>
                <c:pt idx="3">
                  <c:v>0.341624463106609</c:v>
                </c:pt>
                <c:pt idx="4">
                  <c:v>0.328253525965227</c:v>
                </c:pt>
                <c:pt idx="5">
                  <c:v>0.316599761789228</c:v>
                </c:pt>
                <c:pt idx="6">
                  <c:v>0.333814321194949</c:v>
                </c:pt>
                <c:pt idx="7">
                  <c:v>0.361831672800167</c:v>
                </c:pt>
                <c:pt idx="8">
                  <c:v>0.285779203664488</c:v>
                </c:pt>
                <c:pt idx="9">
                  <c:v>0.297438770609893</c:v>
                </c:pt>
                <c:pt idx="10">
                  <c:v>0.280721294407487</c:v>
                </c:pt>
                <c:pt idx="11">
                  <c:v>0.264194771327767</c:v>
                </c:pt>
                <c:pt idx="12">
                  <c:v>0.24165707286751</c:v>
                </c:pt>
                <c:pt idx="13">
                  <c:v>0.236171304181984</c:v>
                </c:pt>
                <c:pt idx="14">
                  <c:v>0.18642804729369</c:v>
                </c:pt>
                <c:pt idx="15">
                  <c:v>0.195590323549321</c:v>
                </c:pt>
                <c:pt idx="16">
                  <c:v>0.189122424192519</c:v>
                </c:pt>
                <c:pt idx="17">
                  <c:v>0.175424144825852</c:v>
                </c:pt>
                <c:pt idx="18">
                  <c:v>0.183513112541412</c:v>
                </c:pt>
                <c:pt idx="19">
                  <c:v>0.182325965728425</c:v>
                </c:pt>
                <c:pt idx="20">
                  <c:v>0.172808483147319</c:v>
                </c:pt>
                <c:pt idx="21">
                  <c:v>0.180805939683501</c:v>
                </c:pt>
                <c:pt idx="22">
                  <c:v>0.182484982455968</c:v>
                </c:pt>
                <c:pt idx="23">
                  <c:v>0.19435758087256</c:v>
                </c:pt>
              </c:numCache>
            </c:numRef>
          </c:val>
          <c:smooth val="0"/>
        </c:ser>
        <c:dLbls>
          <c:showLegendKey val="0"/>
          <c:showVal val="0"/>
          <c:showCatName val="0"/>
          <c:showSerName val="0"/>
          <c:showPercent val="0"/>
          <c:showBubbleSize val="0"/>
        </c:dLbls>
        <c:marker val="1"/>
        <c:smooth val="0"/>
        <c:axId val="-2045078104"/>
        <c:axId val="-2045075096"/>
      </c:lineChart>
      <c:catAx>
        <c:axId val="-2045078104"/>
        <c:scaling>
          <c:orientation val="minMax"/>
        </c:scaling>
        <c:delete val="0"/>
        <c:axPos val="b"/>
        <c:numFmt formatCode="General" sourceLinked="1"/>
        <c:majorTickMark val="out"/>
        <c:minorTickMark val="none"/>
        <c:tickLblPos val="nextTo"/>
        <c:crossAx val="-2045075096"/>
        <c:crosses val="autoZero"/>
        <c:auto val="1"/>
        <c:lblAlgn val="ctr"/>
        <c:lblOffset val="100"/>
        <c:noMultiLvlLbl val="0"/>
      </c:catAx>
      <c:valAx>
        <c:axId val="-2045075096"/>
        <c:scaling>
          <c:orientation val="minMax"/>
        </c:scaling>
        <c:delete val="0"/>
        <c:axPos val="l"/>
        <c:majorGridlines/>
        <c:numFmt formatCode="0%" sourceLinked="1"/>
        <c:majorTickMark val="out"/>
        <c:minorTickMark val="none"/>
        <c:tickLblPos val="nextTo"/>
        <c:crossAx val="-2045078104"/>
        <c:crosses val="autoZero"/>
        <c:crossBetween val="between"/>
      </c:valAx>
    </c:plotArea>
    <c:legend>
      <c:legendPos val="r"/>
      <c:layout>
        <c:manualLayout>
          <c:xMode val="edge"/>
          <c:yMode val="edge"/>
          <c:x val="0.323312773403324"/>
          <c:y val="0.0408989501312336"/>
          <c:w val="0.565576115485564"/>
          <c:h val="0.182090988626422"/>
        </c:manualLayout>
      </c:layout>
      <c:overlay val="0"/>
    </c:legend>
    <c:plotVisOnly val="1"/>
    <c:dispBlanksAs val="gap"/>
    <c:showDLblsOverMax val="0"/>
  </c:chart>
  <c:printSettings>
    <c:headerFooter/>
    <c:pageMargins b="1.0" l="0.75" r="0.75" t="1.0"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lineChart>
        <c:grouping val="standard"/>
        <c:varyColors val="0"/>
        <c:ser>
          <c:idx val="0"/>
          <c:order val="0"/>
          <c:tx>
            <c:strRef>
              <c:f>Liabilities!$EO$3</c:f>
              <c:strCache>
                <c:ptCount val="1"/>
                <c:pt idx="0">
                  <c:v>Share havens in FDIUS net debt</c:v>
                </c:pt>
              </c:strCache>
            </c:strRef>
          </c:tx>
          <c:marker>
            <c:symbol val="none"/>
          </c:marker>
          <c:cat>
            <c:numRef>
              <c:f>Liabilities!$B$74:$B$108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Liabilities!$EO$74:$EO$108</c:f>
              <c:numCache>
                <c:formatCode>0%</c:formatCode>
                <c:ptCount val="35"/>
                <c:pt idx="0">
                  <c:v>0.358672363986519</c:v>
                </c:pt>
                <c:pt idx="1">
                  <c:v>0.37477801894121</c:v>
                </c:pt>
                <c:pt idx="2">
                  <c:v>0.325556404981295</c:v>
                </c:pt>
                <c:pt idx="3">
                  <c:v>0.351251940711141</c:v>
                </c:pt>
                <c:pt idx="4">
                  <c:v>0.29805118550668</c:v>
                </c:pt>
                <c:pt idx="5">
                  <c:v>0.256837869469912</c:v>
                </c:pt>
                <c:pt idx="6">
                  <c:v>0.241815753438515</c:v>
                </c:pt>
                <c:pt idx="7">
                  <c:v>0.282494144436048</c:v>
                </c:pt>
                <c:pt idx="8">
                  <c:v>0.333847891049303</c:v>
                </c:pt>
                <c:pt idx="9">
                  <c:v>0.315622771399945</c:v>
                </c:pt>
                <c:pt idx="10">
                  <c:v>0.33468618922811</c:v>
                </c:pt>
                <c:pt idx="11">
                  <c:v>0.340187242230533</c:v>
                </c:pt>
                <c:pt idx="12">
                  <c:v>0.354386610153994</c:v>
                </c:pt>
                <c:pt idx="13">
                  <c:v>0.335295911001306</c:v>
                </c:pt>
                <c:pt idx="14">
                  <c:v>0.328923570961357</c:v>
                </c:pt>
                <c:pt idx="15">
                  <c:v>0.364277857429724</c:v>
                </c:pt>
                <c:pt idx="16">
                  <c:v>0.392622855533579</c:v>
                </c:pt>
                <c:pt idx="17">
                  <c:v>0.430208311771966</c:v>
                </c:pt>
                <c:pt idx="18">
                  <c:v>0.464441801414855</c:v>
                </c:pt>
                <c:pt idx="19">
                  <c:v>0.573916062175721</c:v>
                </c:pt>
                <c:pt idx="20">
                  <c:v>0.549320716175472</c:v>
                </c:pt>
                <c:pt idx="21">
                  <c:v>0.583958427452386</c:v>
                </c:pt>
                <c:pt idx="22">
                  <c:v>0.541571708188143</c:v>
                </c:pt>
                <c:pt idx="23">
                  <c:v>0.503399875435968</c:v>
                </c:pt>
                <c:pt idx="24">
                  <c:v>0.475434038773912</c:v>
                </c:pt>
                <c:pt idx="25">
                  <c:v>0.429974085100997</c:v>
                </c:pt>
                <c:pt idx="26">
                  <c:v>0.41413478671592</c:v>
                </c:pt>
                <c:pt idx="27">
                  <c:v>0.430618949326976</c:v>
                </c:pt>
                <c:pt idx="28">
                  <c:v>0.506321025599547</c:v>
                </c:pt>
                <c:pt idx="29">
                  <c:v>0.457668695461984</c:v>
                </c:pt>
                <c:pt idx="30">
                  <c:v>0.471793856333081</c:v>
                </c:pt>
                <c:pt idx="31">
                  <c:v>0.498068099492876</c:v>
                </c:pt>
                <c:pt idx="32">
                  <c:v>0.507949944398506</c:v>
                </c:pt>
                <c:pt idx="33">
                  <c:v>0.508931870797394</c:v>
                </c:pt>
                <c:pt idx="34">
                  <c:v>0.54761423712833</c:v>
                </c:pt>
              </c:numCache>
            </c:numRef>
          </c:val>
          <c:smooth val="0"/>
        </c:ser>
        <c:dLbls>
          <c:showLegendKey val="0"/>
          <c:showVal val="0"/>
          <c:showCatName val="0"/>
          <c:showSerName val="0"/>
          <c:showPercent val="0"/>
          <c:showBubbleSize val="0"/>
        </c:dLbls>
        <c:marker val="1"/>
        <c:smooth val="0"/>
        <c:axId val="-2045052808"/>
        <c:axId val="-2045049800"/>
      </c:lineChart>
      <c:catAx>
        <c:axId val="-2045052808"/>
        <c:scaling>
          <c:orientation val="minMax"/>
        </c:scaling>
        <c:delete val="0"/>
        <c:axPos val="b"/>
        <c:numFmt formatCode="General" sourceLinked="1"/>
        <c:majorTickMark val="out"/>
        <c:minorTickMark val="none"/>
        <c:tickLblPos val="nextTo"/>
        <c:crossAx val="-2045049800"/>
        <c:crosses val="autoZero"/>
        <c:auto val="1"/>
        <c:lblAlgn val="ctr"/>
        <c:lblOffset val="100"/>
        <c:noMultiLvlLbl val="0"/>
      </c:catAx>
      <c:valAx>
        <c:axId val="-2045049800"/>
        <c:scaling>
          <c:orientation val="minMax"/>
        </c:scaling>
        <c:delete val="0"/>
        <c:axPos val="l"/>
        <c:majorGridlines/>
        <c:numFmt formatCode="0%" sourceLinked="1"/>
        <c:majorTickMark val="out"/>
        <c:minorTickMark val="none"/>
        <c:tickLblPos val="nextTo"/>
        <c:crossAx val="-2045052808"/>
        <c:crosses val="autoZero"/>
        <c:crossBetween val="between"/>
      </c:valAx>
    </c:plotArea>
    <c:plotVisOnly val="1"/>
    <c:dispBlanksAs val="gap"/>
    <c:showDLblsOverMax val="0"/>
  </c:chart>
  <c:printSettings>
    <c:headerFooter/>
    <c:pageMargins b="1.0" l="0.75" r="0.75" t="1.0"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2000">
                <a:latin typeface="Arial"/>
                <a:cs typeface="Arial"/>
              </a:rPr>
              <a:t>Figure A.2: Profits made abroad by U.S. firms</a:t>
            </a:r>
          </a:p>
          <a:p>
            <a:pPr>
              <a:defRPr/>
            </a:pPr>
            <a:r>
              <a:rPr lang="fr-FR" sz="2000" b="0">
                <a:latin typeface="Arial"/>
                <a:cs typeface="Arial"/>
              </a:rPr>
              <a:t>(% of U.S. corporate profits)</a:t>
            </a:r>
          </a:p>
        </c:rich>
      </c:tx>
      <c:layout>
        <c:manualLayout>
          <c:xMode val="edge"/>
          <c:yMode val="edge"/>
          <c:x val="0.232495357045886"/>
          <c:y val="0.0090414009334806"/>
        </c:manualLayout>
      </c:layout>
      <c:overlay val="0"/>
    </c:title>
    <c:autoTitleDeleted val="0"/>
    <c:plotArea>
      <c:layout>
        <c:manualLayout>
          <c:layoutTarget val="inner"/>
          <c:xMode val="edge"/>
          <c:yMode val="edge"/>
          <c:x val="0.0776362747759978"/>
          <c:y val="0.0709685751950689"/>
          <c:w val="0.893428943795818"/>
          <c:h val="0.789593116471301"/>
        </c:manualLayout>
      </c:layout>
      <c:lineChart>
        <c:grouping val="standard"/>
        <c:varyColors val="0"/>
        <c:ser>
          <c:idx val="0"/>
          <c:order val="0"/>
          <c:tx>
            <c:strRef>
              <c:f>'Assets(BoP)'!$N$3</c:f>
              <c:strCache>
                <c:ptCount val="1"/>
                <c:pt idx="0">
                  <c:v>(Foreign profits inflows, % BEA profits)</c:v>
                </c:pt>
              </c:strCache>
            </c:strRef>
          </c:tx>
          <c:spPr>
            <a:ln w="38100">
              <a:solidFill>
                <a:schemeClr val="tx1"/>
              </a:solidFill>
            </a:ln>
            <a:effectLst/>
          </c:spPr>
          <c:marker>
            <c:symbol val="circle"/>
            <c:size val="11"/>
            <c:spPr>
              <a:solidFill>
                <a:schemeClr val="bg1"/>
              </a:solidFill>
              <a:ln w="19050">
                <a:solidFill>
                  <a:schemeClr val="tx1"/>
                </a:solidFill>
              </a:ln>
              <a:effectLst/>
            </c:spPr>
          </c:marker>
          <c:cat>
            <c:strRef>
              <c:f>'Assets(BoP)'!$B$112:$B$192</c:f>
              <c:strCache>
                <c:ptCount val="9"/>
                <c:pt idx="0">
                  <c:v>1930-39</c:v>
                </c:pt>
                <c:pt idx="1">
                  <c:v>1940-49</c:v>
                </c:pt>
                <c:pt idx="2">
                  <c:v>1950-59</c:v>
                </c:pt>
                <c:pt idx="3">
                  <c:v>1960-69</c:v>
                </c:pt>
                <c:pt idx="4">
                  <c:v>1970-70</c:v>
                </c:pt>
                <c:pt idx="5">
                  <c:v>1980-89</c:v>
                </c:pt>
                <c:pt idx="6">
                  <c:v>1990-99</c:v>
                </c:pt>
                <c:pt idx="7">
                  <c:v>2000-09</c:v>
                </c:pt>
                <c:pt idx="8">
                  <c:v>2010-16</c:v>
                </c:pt>
              </c:strCache>
            </c:strRef>
          </c:cat>
          <c:val>
            <c:numRef>
              <c:f>'Assets(BoP)'!$N$112:$N$192</c:f>
              <c:numCache>
                <c:formatCode>0%</c:formatCode>
                <c:ptCount val="9"/>
                <c:pt idx="0">
                  <c:v>0.0349910176835954</c:v>
                </c:pt>
                <c:pt idx="1">
                  <c:v>0.0369178362306865</c:v>
                </c:pt>
                <c:pt idx="2">
                  <c:v>0.0612724819328082</c:v>
                </c:pt>
                <c:pt idx="3">
                  <c:v>0.068577669634618</c:v>
                </c:pt>
                <c:pt idx="4">
                  <c:v>0.124837667796627</c:v>
                </c:pt>
                <c:pt idx="5">
                  <c:v>0.159104018055371</c:v>
                </c:pt>
                <c:pt idx="6">
                  <c:v>0.179881490296196</c:v>
                </c:pt>
                <c:pt idx="7">
                  <c:v>0.288808454265278</c:v>
                </c:pt>
                <c:pt idx="8">
                  <c:v>0.328049595707376</c:v>
                </c:pt>
              </c:numCache>
            </c:numRef>
          </c:val>
          <c:smooth val="0"/>
        </c:ser>
        <c:dLbls>
          <c:showLegendKey val="0"/>
          <c:showVal val="0"/>
          <c:showCatName val="0"/>
          <c:showSerName val="0"/>
          <c:showPercent val="0"/>
          <c:showBubbleSize val="0"/>
        </c:dLbls>
        <c:marker val="1"/>
        <c:smooth val="0"/>
        <c:axId val="-2104754872"/>
        <c:axId val="-2104752024"/>
      </c:lineChart>
      <c:catAx>
        <c:axId val="-2104754872"/>
        <c:scaling>
          <c:orientation val="minMax"/>
        </c:scaling>
        <c:delete val="0"/>
        <c:axPos val="b"/>
        <c:numFmt formatCode="General" sourceLinked="1"/>
        <c:majorTickMark val="none"/>
        <c:minorTickMark val="none"/>
        <c:tickLblPos val="nextTo"/>
        <c:txPr>
          <a:bodyPr/>
          <a:lstStyle/>
          <a:p>
            <a:pPr>
              <a:defRPr sz="1600">
                <a:latin typeface="Arial"/>
                <a:cs typeface="Arial"/>
              </a:defRPr>
            </a:pPr>
            <a:endParaRPr lang="fr-FR"/>
          </a:p>
        </c:txPr>
        <c:crossAx val="-2104752024"/>
        <c:crosses val="autoZero"/>
        <c:auto val="1"/>
        <c:lblAlgn val="ctr"/>
        <c:lblOffset val="100"/>
        <c:tickLblSkip val="1"/>
        <c:tickMarkSkip val="1"/>
        <c:noMultiLvlLbl val="0"/>
      </c:catAx>
      <c:valAx>
        <c:axId val="-2104752024"/>
        <c:scaling>
          <c:orientation val="minMax"/>
        </c:scaling>
        <c:delete val="0"/>
        <c:axPos val="l"/>
        <c:numFmt formatCode="0%" sourceLinked="0"/>
        <c:majorTickMark val="none"/>
        <c:minorTickMark val="none"/>
        <c:tickLblPos val="nextTo"/>
        <c:txPr>
          <a:bodyPr/>
          <a:lstStyle/>
          <a:p>
            <a:pPr>
              <a:defRPr sz="1600">
                <a:latin typeface="Arial"/>
                <a:cs typeface="Arial"/>
              </a:defRPr>
            </a:pPr>
            <a:endParaRPr lang="fr-FR"/>
          </a:p>
        </c:txPr>
        <c:crossAx val="-2104754872"/>
        <c:crosses val="autoZero"/>
        <c:crossBetween val="between"/>
      </c:valAx>
    </c:plotArea>
    <c:plotVisOnly val="1"/>
    <c:dispBlanksAs val="gap"/>
    <c:showDLblsOverMax val="0"/>
  </c:chart>
  <c:spPr>
    <a:ln>
      <a:noFill/>
    </a:ln>
  </c:spPr>
  <c:userShapes r:id="rId1"/>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Liabilities!$EY$3</c:f>
              <c:strCache>
                <c:ptCount val="1"/>
                <c:pt idx="0">
                  <c:v>Share top 6 havens if FDIUS debt liabilities</c:v>
                </c:pt>
              </c:strCache>
            </c:strRef>
          </c:tx>
          <c:marker>
            <c:symbol val="none"/>
          </c:marker>
          <c:cat>
            <c:numRef>
              <c:f>Liabilities!$B$74:$B$108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Liabilities!$EY$74:$EY$108</c:f>
              <c:numCache>
                <c:formatCode>0%</c:formatCode>
                <c:ptCount val="35"/>
                <c:pt idx="0">
                  <c:v>0.344212870302874</c:v>
                </c:pt>
                <c:pt idx="1">
                  <c:v>0.355992841507952</c:v>
                </c:pt>
                <c:pt idx="2">
                  <c:v>0.319704464409461</c:v>
                </c:pt>
                <c:pt idx="3">
                  <c:v>0.339210319180357</c:v>
                </c:pt>
                <c:pt idx="4">
                  <c:v>0.300101683572739</c:v>
                </c:pt>
                <c:pt idx="5">
                  <c:v>0.272786407811382</c:v>
                </c:pt>
                <c:pt idx="6">
                  <c:v>0.265088647708863</c:v>
                </c:pt>
                <c:pt idx="7">
                  <c:v>0.295554643980568</c:v>
                </c:pt>
                <c:pt idx="8">
                  <c:v>0.339191094189148</c:v>
                </c:pt>
                <c:pt idx="9">
                  <c:v>0.331758830569209</c:v>
                </c:pt>
                <c:pt idx="10">
                  <c:v>0.348654895530652</c:v>
                </c:pt>
                <c:pt idx="11">
                  <c:v>0.355328161183801</c:v>
                </c:pt>
                <c:pt idx="12">
                  <c:v>0.374629876639478</c:v>
                </c:pt>
                <c:pt idx="13">
                  <c:v>0.364360852190331</c:v>
                </c:pt>
                <c:pt idx="14">
                  <c:v>0.361131974247141</c:v>
                </c:pt>
                <c:pt idx="15">
                  <c:v>0.387820158560285</c:v>
                </c:pt>
                <c:pt idx="16">
                  <c:v>0.408232457914689</c:v>
                </c:pt>
                <c:pt idx="17">
                  <c:v>0.43755985499821</c:v>
                </c:pt>
                <c:pt idx="18">
                  <c:v>0.461793356200032</c:v>
                </c:pt>
                <c:pt idx="19">
                  <c:v>0.555761153789545</c:v>
                </c:pt>
                <c:pt idx="20">
                  <c:v>0.533940147534206</c:v>
                </c:pt>
                <c:pt idx="21">
                  <c:v>0.551339610192366</c:v>
                </c:pt>
                <c:pt idx="22">
                  <c:v>0.51526415715644</c:v>
                </c:pt>
                <c:pt idx="23">
                  <c:v>0.488833567218759</c:v>
                </c:pt>
                <c:pt idx="24">
                  <c:v>0.47059299705933</c:v>
                </c:pt>
                <c:pt idx="25">
                  <c:v>0.43496863305122</c:v>
                </c:pt>
                <c:pt idx="26">
                  <c:v>0.426071626561442</c:v>
                </c:pt>
                <c:pt idx="27">
                  <c:v>0.438966541278955</c:v>
                </c:pt>
                <c:pt idx="28">
                  <c:v>0.47734779763429</c:v>
                </c:pt>
                <c:pt idx="29">
                  <c:v>0.439254690132423</c:v>
                </c:pt>
                <c:pt idx="30">
                  <c:v>0.448008850896528</c:v>
                </c:pt>
                <c:pt idx="31">
                  <c:v>0.466419008259732</c:v>
                </c:pt>
                <c:pt idx="32">
                  <c:v>0.474548907078982</c:v>
                </c:pt>
                <c:pt idx="33">
                  <c:v>0.515679566297406</c:v>
                </c:pt>
                <c:pt idx="34">
                  <c:v>0.540407913027012</c:v>
                </c:pt>
              </c:numCache>
            </c:numRef>
          </c:val>
          <c:smooth val="0"/>
        </c:ser>
        <c:ser>
          <c:idx val="1"/>
          <c:order val="1"/>
          <c:tx>
            <c:strRef>
              <c:f>Liabilities!$FI$3</c:f>
              <c:strCache>
                <c:ptCount val="1"/>
                <c:pt idx="0">
                  <c:v>Share top 6 havens in FDIUS debt assets</c:v>
                </c:pt>
              </c:strCache>
            </c:strRef>
          </c:tx>
          <c:marker>
            <c:symbol val="none"/>
          </c:marker>
          <c:cat>
            <c:numRef>
              <c:f>Liabilities!$B$74:$B$108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Liabilities!$FI$74:$FI$108</c:f>
              <c:numCache>
                <c:formatCode>0%</c:formatCode>
                <c:ptCount val="35"/>
                <c:pt idx="0">
                  <c:v>0.292328120767857</c:v>
                </c:pt>
                <c:pt idx="1">
                  <c:v>0.295989481755268</c:v>
                </c:pt>
                <c:pt idx="2">
                  <c:v>0.29932744982501</c:v>
                </c:pt>
                <c:pt idx="3">
                  <c:v>0.303309268030568</c:v>
                </c:pt>
                <c:pt idx="4">
                  <c:v>0.306788369580293</c:v>
                </c:pt>
                <c:pt idx="5">
                  <c:v>0.3194635717493</c:v>
                </c:pt>
                <c:pt idx="6">
                  <c:v>0.328377630032786</c:v>
                </c:pt>
                <c:pt idx="7">
                  <c:v>0.339071229494576</c:v>
                </c:pt>
                <c:pt idx="8">
                  <c:v>0.352420950224868</c:v>
                </c:pt>
                <c:pt idx="9">
                  <c:v>0.363684437290849</c:v>
                </c:pt>
                <c:pt idx="10">
                  <c:v>0.372175882031925</c:v>
                </c:pt>
                <c:pt idx="11">
                  <c:v>0.389697899155961</c:v>
                </c:pt>
                <c:pt idx="12">
                  <c:v>0.443127340085129</c:v>
                </c:pt>
                <c:pt idx="13">
                  <c:v>0.460849333177799</c:v>
                </c:pt>
                <c:pt idx="14">
                  <c:v>0.462327290814288</c:v>
                </c:pt>
                <c:pt idx="15">
                  <c:v>0.467416296814975</c:v>
                </c:pt>
                <c:pt idx="16">
                  <c:v>0.456158675205695</c:v>
                </c:pt>
                <c:pt idx="17">
                  <c:v>0.465899588452661</c:v>
                </c:pt>
                <c:pt idx="18">
                  <c:v>0.45223284543745</c:v>
                </c:pt>
                <c:pt idx="19">
                  <c:v>0.471781121154353</c:v>
                </c:pt>
                <c:pt idx="20">
                  <c:v>0.474056948165814</c:v>
                </c:pt>
                <c:pt idx="21">
                  <c:v>0.462940812609167</c:v>
                </c:pt>
                <c:pt idx="22">
                  <c:v>0.45651824421626</c:v>
                </c:pt>
                <c:pt idx="23">
                  <c:v>0.457873980046057</c:v>
                </c:pt>
                <c:pt idx="24">
                  <c:v>0.459440168404076</c:v>
                </c:pt>
                <c:pt idx="25">
                  <c:v>0.44379273046306</c:v>
                </c:pt>
                <c:pt idx="26">
                  <c:v>0.447175253779756</c:v>
                </c:pt>
                <c:pt idx="27">
                  <c:v>0.453528003448138</c:v>
                </c:pt>
                <c:pt idx="28">
                  <c:v>0.425931375011662</c:v>
                </c:pt>
                <c:pt idx="29">
                  <c:v>0.403830389205267</c:v>
                </c:pt>
                <c:pt idx="30">
                  <c:v>0.411549192139069</c:v>
                </c:pt>
                <c:pt idx="31">
                  <c:v>0.423007061928305</c:v>
                </c:pt>
                <c:pt idx="32">
                  <c:v>0.425826275482351</c:v>
                </c:pt>
                <c:pt idx="33">
                  <c:v>0.526146889001575</c:v>
                </c:pt>
                <c:pt idx="34">
                  <c:v>0.526687232295435</c:v>
                </c:pt>
              </c:numCache>
            </c:numRef>
          </c:val>
          <c:smooth val="0"/>
        </c:ser>
        <c:dLbls>
          <c:showLegendKey val="0"/>
          <c:showVal val="0"/>
          <c:showCatName val="0"/>
          <c:showSerName val="0"/>
          <c:showPercent val="0"/>
          <c:showBubbleSize val="0"/>
        </c:dLbls>
        <c:marker val="1"/>
        <c:smooth val="0"/>
        <c:axId val="-2045018824"/>
        <c:axId val="-2045015816"/>
      </c:lineChart>
      <c:catAx>
        <c:axId val="-2045018824"/>
        <c:scaling>
          <c:orientation val="minMax"/>
        </c:scaling>
        <c:delete val="0"/>
        <c:axPos val="b"/>
        <c:numFmt formatCode="General" sourceLinked="1"/>
        <c:majorTickMark val="out"/>
        <c:minorTickMark val="none"/>
        <c:tickLblPos val="nextTo"/>
        <c:crossAx val="-2045015816"/>
        <c:crosses val="autoZero"/>
        <c:auto val="1"/>
        <c:lblAlgn val="ctr"/>
        <c:lblOffset val="100"/>
        <c:noMultiLvlLbl val="0"/>
      </c:catAx>
      <c:valAx>
        <c:axId val="-2045015816"/>
        <c:scaling>
          <c:orientation val="minMax"/>
        </c:scaling>
        <c:delete val="0"/>
        <c:axPos val="l"/>
        <c:majorGridlines/>
        <c:numFmt formatCode="0%" sourceLinked="1"/>
        <c:majorTickMark val="out"/>
        <c:minorTickMark val="none"/>
        <c:tickLblPos val="nextTo"/>
        <c:crossAx val="-2045018824"/>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lineChart>
        <c:grouping val="standard"/>
        <c:varyColors val="0"/>
        <c:ser>
          <c:idx val="0"/>
          <c:order val="0"/>
          <c:tx>
            <c:strRef>
              <c:f>Liabilities!$DE$3</c:f>
              <c:strCache>
                <c:ptCount val="1"/>
                <c:pt idx="0">
                  <c:v>Share havens in net interest payments</c:v>
                </c:pt>
              </c:strCache>
            </c:strRef>
          </c:tx>
          <c:marker>
            <c:symbol val="none"/>
          </c:marker>
          <c:cat>
            <c:numRef>
              <c:f>Liabilities!$B$74:$B$108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Liabilities!$DE$74:$DE$108</c:f>
              <c:numCache>
                <c:formatCode>0%</c:formatCode>
                <c:ptCount val="35"/>
                <c:pt idx="0">
                  <c:v>0.433002338423178</c:v>
                </c:pt>
                <c:pt idx="1">
                  <c:v>0.432106287285872</c:v>
                </c:pt>
                <c:pt idx="2">
                  <c:v>0.37865221965703</c:v>
                </c:pt>
                <c:pt idx="3">
                  <c:v>0.404756738962304</c:v>
                </c:pt>
                <c:pt idx="4">
                  <c:v>0.362302102877424</c:v>
                </c:pt>
                <c:pt idx="5">
                  <c:v>0.326419119225787</c:v>
                </c:pt>
                <c:pt idx="6">
                  <c:v>0.287801695932902</c:v>
                </c:pt>
                <c:pt idx="7">
                  <c:v>0.326547116734638</c:v>
                </c:pt>
                <c:pt idx="8">
                  <c:v>0.36607717002357</c:v>
                </c:pt>
                <c:pt idx="9">
                  <c:v>0.350924524764428</c:v>
                </c:pt>
                <c:pt idx="10">
                  <c:v>0.354400382320513</c:v>
                </c:pt>
                <c:pt idx="11">
                  <c:v>0.377678767525345</c:v>
                </c:pt>
                <c:pt idx="12">
                  <c:v>0.404883300826222</c:v>
                </c:pt>
                <c:pt idx="13">
                  <c:v>0.393252107504762</c:v>
                </c:pt>
                <c:pt idx="14">
                  <c:v>0.381028573366366</c:v>
                </c:pt>
                <c:pt idx="15">
                  <c:v>0.417248607183669</c:v>
                </c:pt>
                <c:pt idx="16">
                  <c:v>0.435231389813376</c:v>
                </c:pt>
                <c:pt idx="17">
                  <c:v>0.458369503556288</c:v>
                </c:pt>
                <c:pt idx="18">
                  <c:v>0.484620329561347</c:v>
                </c:pt>
                <c:pt idx="19">
                  <c:v>0.583762335586602</c:v>
                </c:pt>
                <c:pt idx="20">
                  <c:v>0.55562922385878</c:v>
                </c:pt>
                <c:pt idx="21">
                  <c:v>0.57626716382728</c:v>
                </c:pt>
                <c:pt idx="22">
                  <c:v>0.554123158535106</c:v>
                </c:pt>
                <c:pt idx="23">
                  <c:v>0.533693547683557</c:v>
                </c:pt>
                <c:pt idx="24">
                  <c:v>0.519174357528798</c:v>
                </c:pt>
                <c:pt idx="25">
                  <c:v>0.456622273779408</c:v>
                </c:pt>
                <c:pt idx="26">
                  <c:v>0.43825614554381</c:v>
                </c:pt>
                <c:pt idx="27">
                  <c:v>0.453488754490516</c:v>
                </c:pt>
                <c:pt idx="28">
                  <c:v>0.509613439614276</c:v>
                </c:pt>
                <c:pt idx="29">
                  <c:v>0.470931909158059</c:v>
                </c:pt>
                <c:pt idx="30">
                  <c:v>0.465812067724948</c:v>
                </c:pt>
                <c:pt idx="31">
                  <c:v>0.487207635276532</c:v>
                </c:pt>
                <c:pt idx="32">
                  <c:v>0.503947177343091</c:v>
                </c:pt>
                <c:pt idx="33">
                  <c:v>0.541043993832185</c:v>
                </c:pt>
                <c:pt idx="34">
                  <c:v>0.57999702874045</c:v>
                </c:pt>
              </c:numCache>
            </c:numRef>
          </c:val>
          <c:smooth val="0"/>
        </c:ser>
        <c:dLbls>
          <c:showLegendKey val="0"/>
          <c:showVal val="0"/>
          <c:showCatName val="0"/>
          <c:showSerName val="0"/>
          <c:showPercent val="0"/>
          <c:showBubbleSize val="0"/>
        </c:dLbls>
        <c:marker val="1"/>
        <c:smooth val="0"/>
        <c:axId val="-2044991720"/>
        <c:axId val="-2044988712"/>
      </c:lineChart>
      <c:catAx>
        <c:axId val="-2044991720"/>
        <c:scaling>
          <c:orientation val="minMax"/>
        </c:scaling>
        <c:delete val="0"/>
        <c:axPos val="b"/>
        <c:numFmt formatCode="General" sourceLinked="1"/>
        <c:majorTickMark val="out"/>
        <c:minorTickMark val="none"/>
        <c:tickLblPos val="nextTo"/>
        <c:crossAx val="-2044988712"/>
        <c:crosses val="autoZero"/>
        <c:auto val="1"/>
        <c:lblAlgn val="ctr"/>
        <c:lblOffset val="100"/>
        <c:noMultiLvlLbl val="0"/>
      </c:catAx>
      <c:valAx>
        <c:axId val="-2044988712"/>
        <c:scaling>
          <c:orientation val="minMax"/>
        </c:scaling>
        <c:delete val="0"/>
        <c:axPos val="l"/>
        <c:majorGridlines/>
        <c:numFmt formatCode="0%" sourceLinked="1"/>
        <c:majorTickMark val="out"/>
        <c:minorTickMark val="none"/>
        <c:tickLblPos val="nextTo"/>
        <c:crossAx val="-2044991720"/>
        <c:crosses val="autoZero"/>
        <c:crossBetween val="between"/>
      </c:valAx>
    </c:plotArea>
    <c:plotVisOnly val="1"/>
    <c:dispBlanksAs val="gap"/>
    <c:showDLblsOverMax val="0"/>
  </c:chart>
  <c:printSettings>
    <c:headerFooter/>
    <c:pageMargins b="1.0" l="0.75" r="0.75" t="1.0"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Liabilities!$IG$3</c:f>
              <c:strCache>
                <c:ptCount val="1"/>
                <c:pt idx="0">
                  <c:v>Non havens</c:v>
                </c:pt>
              </c:strCache>
            </c:strRef>
          </c:tx>
          <c:marker>
            <c:symbol val="none"/>
          </c:marker>
          <c:cat>
            <c:numRef>
              <c:f>Liabilities!$B$74:$B$108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Liabilities!$IF$75:$IF$108</c:f>
              <c:numCache>
                <c:formatCode>0%</c:formatCode>
                <c:ptCount val="34"/>
                <c:pt idx="0">
                  <c:v>0.00620212191516238</c:v>
                </c:pt>
                <c:pt idx="1">
                  <c:v>0.0322768988830528</c:v>
                </c:pt>
                <c:pt idx="2">
                  <c:v>0.014710546804555</c:v>
                </c:pt>
                <c:pt idx="3">
                  <c:v>0.0177400513852203</c:v>
                </c:pt>
                <c:pt idx="4">
                  <c:v>0.0160830851506991</c:v>
                </c:pt>
                <c:pt idx="5">
                  <c:v>0.028788860947541</c:v>
                </c:pt>
                <c:pt idx="6">
                  <c:v>0.0123362003139571</c:v>
                </c:pt>
                <c:pt idx="7">
                  <c:v>-0.0332906867974229</c:v>
                </c:pt>
                <c:pt idx="8">
                  <c:v>-0.0362753264254008</c:v>
                </c:pt>
                <c:pt idx="9">
                  <c:v>-0.010129765013781</c:v>
                </c:pt>
                <c:pt idx="10">
                  <c:v>0.0101986864853869</c:v>
                </c:pt>
                <c:pt idx="11">
                  <c:v>0.0443563423996474</c:v>
                </c:pt>
                <c:pt idx="12">
                  <c:v>0.0376255778856198</c:v>
                </c:pt>
                <c:pt idx="13">
                  <c:v>0.0392932569132077</c:v>
                </c:pt>
                <c:pt idx="14">
                  <c:v>0.062164010694246</c:v>
                </c:pt>
                <c:pt idx="15">
                  <c:v>0.0360862417905321</c:v>
                </c:pt>
                <c:pt idx="16">
                  <c:v>0.0500420306842198</c:v>
                </c:pt>
                <c:pt idx="17">
                  <c:v>0.0491641354425733</c:v>
                </c:pt>
                <c:pt idx="18">
                  <c:v>-0.000612729087186629</c:v>
                </c:pt>
                <c:pt idx="19">
                  <c:v>-0.00577487474788058</c:v>
                </c:pt>
                <c:pt idx="20">
                  <c:v>0.0242125596056674</c:v>
                </c:pt>
                <c:pt idx="21">
                  <c:v>0.0448056329462612</c:v>
                </c:pt>
                <c:pt idx="22">
                  <c:v>0.0593379252702416</c:v>
                </c:pt>
                <c:pt idx="23">
                  <c:v>0.0631549031308961</c:v>
                </c:pt>
                <c:pt idx="24">
                  <c:v>0.0677853651526784</c:v>
                </c:pt>
                <c:pt idx="25">
                  <c:v>0.0798514469321857</c:v>
                </c:pt>
                <c:pt idx="26">
                  <c:v>0.0596544857820114</c:v>
                </c:pt>
                <c:pt idx="27">
                  <c:v>0.0510375439514472</c:v>
                </c:pt>
                <c:pt idx="28">
                  <c:v>0.0680874987617649</c:v>
                </c:pt>
                <c:pt idx="29">
                  <c:v>0.0641584296802787</c:v>
                </c:pt>
                <c:pt idx="30">
                  <c:v>0.064301348968147</c:v>
                </c:pt>
                <c:pt idx="31">
                  <c:v>0.0664365361250821</c:v>
                </c:pt>
                <c:pt idx="32">
                  <c:v>0.0487560688359817</c:v>
                </c:pt>
                <c:pt idx="33">
                  <c:v>0.0442896091380283</c:v>
                </c:pt>
              </c:numCache>
            </c:numRef>
          </c:val>
          <c:smooth val="0"/>
        </c:ser>
        <c:ser>
          <c:idx val="1"/>
          <c:order val="1"/>
          <c:tx>
            <c:strRef>
              <c:f>Liabilities!$IG$3</c:f>
              <c:strCache>
                <c:ptCount val="1"/>
                <c:pt idx="0">
                  <c:v>Non havens</c:v>
                </c:pt>
              </c:strCache>
            </c:strRef>
          </c:tx>
          <c:marker>
            <c:symbol val="none"/>
          </c:marker>
          <c:cat>
            <c:numRef>
              <c:f>Liabilities!$B$74:$B$108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Liabilities!$IG$75:$IG$108</c:f>
              <c:numCache>
                <c:formatCode>0%</c:formatCode>
                <c:ptCount val="34"/>
                <c:pt idx="0">
                  <c:v>0.00489002537142023</c:v>
                </c:pt>
                <c:pt idx="1">
                  <c:v>0.0229222298590836</c:v>
                </c:pt>
                <c:pt idx="2">
                  <c:v>0.0163575620270203</c:v>
                </c:pt>
                <c:pt idx="3">
                  <c:v>0.0108186072874714</c:v>
                </c:pt>
                <c:pt idx="4">
                  <c:v>0.011430567794687</c:v>
                </c:pt>
                <c:pt idx="5">
                  <c:v>0.0180220671473764</c:v>
                </c:pt>
                <c:pt idx="6">
                  <c:v>-0.00940645240010757</c:v>
                </c:pt>
                <c:pt idx="7">
                  <c:v>-0.00987815170830441</c:v>
                </c:pt>
                <c:pt idx="8">
                  <c:v>-0.0255884811693058</c:v>
                </c:pt>
                <c:pt idx="9">
                  <c:v>-0.0119568462779923</c:v>
                </c:pt>
                <c:pt idx="10">
                  <c:v>-0.00137272610557404</c:v>
                </c:pt>
                <c:pt idx="11">
                  <c:v>0.0254150437797303</c:v>
                </c:pt>
                <c:pt idx="12">
                  <c:v>0.0386975740085498</c:v>
                </c:pt>
                <c:pt idx="13">
                  <c:v>0.0371873747581276</c:v>
                </c:pt>
                <c:pt idx="14">
                  <c:v>0.0460358248185762</c:v>
                </c:pt>
                <c:pt idx="15">
                  <c:v>0.0347259032206822</c:v>
                </c:pt>
                <c:pt idx="16">
                  <c:v>0.038674710052889</c:v>
                </c:pt>
                <c:pt idx="17">
                  <c:v>0.023490790317863</c:v>
                </c:pt>
                <c:pt idx="18">
                  <c:v>-0.000197551898428869</c:v>
                </c:pt>
                <c:pt idx="19">
                  <c:v>0.0203100962585219</c:v>
                </c:pt>
                <c:pt idx="20">
                  <c:v>0.0479957758113287</c:v>
                </c:pt>
                <c:pt idx="21">
                  <c:v>0.0607560190840123</c:v>
                </c:pt>
                <c:pt idx="22">
                  <c:v>0.0630162871039095</c:v>
                </c:pt>
                <c:pt idx="23">
                  <c:v>0.074222564088377</c:v>
                </c:pt>
                <c:pt idx="24">
                  <c:v>0.0481759502462692</c:v>
                </c:pt>
                <c:pt idx="25">
                  <c:v>0.0443987556937687</c:v>
                </c:pt>
                <c:pt idx="26">
                  <c:v>0.0357345351903454</c:v>
                </c:pt>
                <c:pt idx="27">
                  <c:v>0.0591095371999687</c:v>
                </c:pt>
                <c:pt idx="28">
                  <c:v>0.0594462794383693</c:v>
                </c:pt>
                <c:pt idx="29">
                  <c:v>0.051247720722619</c:v>
                </c:pt>
                <c:pt idx="30">
                  <c:v>0.0520725001909917</c:v>
                </c:pt>
                <c:pt idx="31">
                  <c:v>0.0497073860667338</c:v>
                </c:pt>
                <c:pt idx="32">
                  <c:v>0.0354561083508238</c:v>
                </c:pt>
                <c:pt idx="33">
                  <c:v>0.034274764571326</c:v>
                </c:pt>
              </c:numCache>
            </c:numRef>
          </c:val>
          <c:smooth val="0"/>
        </c:ser>
        <c:dLbls>
          <c:showLegendKey val="0"/>
          <c:showVal val="0"/>
          <c:showCatName val="0"/>
          <c:showSerName val="0"/>
          <c:showPercent val="0"/>
          <c:showBubbleSize val="0"/>
        </c:dLbls>
        <c:marker val="1"/>
        <c:smooth val="0"/>
        <c:axId val="-2044958488"/>
        <c:axId val="-2044941496"/>
      </c:lineChart>
      <c:catAx>
        <c:axId val="-2044958488"/>
        <c:scaling>
          <c:orientation val="minMax"/>
        </c:scaling>
        <c:delete val="0"/>
        <c:axPos val="b"/>
        <c:numFmt formatCode="General" sourceLinked="1"/>
        <c:majorTickMark val="out"/>
        <c:minorTickMark val="none"/>
        <c:tickLblPos val="nextTo"/>
        <c:crossAx val="-2044941496"/>
        <c:crosses val="autoZero"/>
        <c:auto val="1"/>
        <c:lblAlgn val="ctr"/>
        <c:lblOffset val="100"/>
        <c:noMultiLvlLbl val="0"/>
      </c:catAx>
      <c:valAx>
        <c:axId val="-2044941496"/>
        <c:scaling>
          <c:orientation val="minMax"/>
        </c:scaling>
        <c:delete val="0"/>
        <c:axPos val="l"/>
        <c:majorGridlines/>
        <c:numFmt formatCode="0%" sourceLinked="1"/>
        <c:majorTickMark val="out"/>
        <c:minorTickMark val="none"/>
        <c:tickLblPos val="nextTo"/>
        <c:crossAx val="-2044958488"/>
        <c:crosses val="autoZero"/>
        <c:crossBetween val="between"/>
      </c:valAx>
    </c:plotArea>
    <c:legend>
      <c:legendPos val="r"/>
      <c:layout>
        <c:manualLayout>
          <c:xMode val="edge"/>
          <c:yMode val="edge"/>
          <c:x val="0.647376859142607"/>
          <c:y val="0.407023549139691"/>
          <c:w val="0.330400918635171"/>
          <c:h val="0.306323272090989"/>
        </c:manualLayout>
      </c:layout>
      <c:overlay val="0"/>
    </c:legend>
    <c:plotVisOnly val="1"/>
    <c:dispBlanksAs val="gap"/>
    <c:showDLblsOverMax val="0"/>
  </c:chart>
  <c:printSettings>
    <c:headerFooter/>
    <c:pageMargins b="1.0" l="0.75" r="0.75" t="1.0"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Figure B.1a: Returns to DI equity assets, 2014-2016</a:t>
            </a:r>
          </a:p>
        </c:rich>
      </c:tx>
      <c:layout>
        <c:manualLayout>
          <c:xMode val="edge"/>
          <c:yMode val="edge"/>
          <c:x val="0.191507752702668"/>
          <c:y val="0.00105136156391192"/>
        </c:manualLayout>
      </c:layout>
      <c:overlay val="0"/>
      <c:spPr>
        <a:noFill/>
        <a:ln>
          <a:noFill/>
        </a:ln>
        <a:effectLst/>
      </c:spPr>
    </c:title>
    <c:autoTitleDeleted val="0"/>
    <c:plotArea>
      <c:layout>
        <c:manualLayout>
          <c:layoutTarget val="inner"/>
          <c:xMode val="edge"/>
          <c:yMode val="edge"/>
          <c:x val="0.0560129161289132"/>
          <c:y val="0.0458978857993509"/>
          <c:w val="0.925448702491914"/>
          <c:h val="0.528581070486908"/>
        </c:manualLayout>
      </c:layout>
      <c:barChart>
        <c:barDir val="col"/>
        <c:grouping val="clustered"/>
        <c:varyColors val="0"/>
        <c:ser>
          <c:idx val="0"/>
          <c:order val="0"/>
          <c:tx>
            <c:v>Returns to DI equity assets (%)</c:v>
          </c:tx>
          <c:spPr>
            <a:solidFill>
              <a:srgbClr val="002060"/>
            </a:solidFill>
            <a:ln>
              <a:noFill/>
            </a:ln>
            <a:effectLst/>
          </c:spPr>
          <c:invertIfNegative val="0"/>
          <c:dPt>
            <c:idx val="21"/>
            <c:invertIfNegative val="0"/>
            <c:bubble3D val="0"/>
            <c:spPr>
              <a:solidFill>
                <a:srgbClr val="C00000"/>
              </a:solidFill>
              <a:ln>
                <a:noFill/>
              </a:ln>
              <a:effectLst/>
            </c:spPr>
          </c:dPt>
          <c:cat>
            <c:strRef>
              <c:f>DataFB1a!$A$2:$A$25</c:f>
              <c:strCache>
                <c:ptCount val="24"/>
                <c:pt idx="0">
                  <c:v>Turkey</c:v>
                </c:pt>
                <c:pt idx="1">
                  <c:v>Luxembourg</c:v>
                </c:pt>
                <c:pt idx="2">
                  <c:v>Austria</c:v>
                </c:pt>
                <c:pt idx="3">
                  <c:v>Ireland</c:v>
                </c:pt>
                <c:pt idx="4">
                  <c:v>Portugal</c:v>
                </c:pt>
                <c:pt idx="5">
                  <c:v>Canada</c:v>
                </c:pt>
                <c:pt idx="6">
                  <c:v>Italy</c:v>
                </c:pt>
                <c:pt idx="7">
                  <c:v>Belgium</c:v>
                </c:pt>
                <c:pt idx="8">
                  <c:v>Australia</c:v>
                </c:pt>
                <c:pt idx="9">
                  <c:v>New Zealand</c:v>
                </c:pt>
                <c:pt idx="10">
                  <c:v>United Kingdom</c:v>
                </c:pt>
                <c:pt idx="11">
                  <c:v>Netherlands</c:v>
                </c:pt>
                <c:pt idx="12">
                  <c:v>Korea</c:v>
                </c:pt>
                <c:pt idx="13">
                  <c:v>Germany</c:v>
                </c:pt>
                <c:pt idx="14">
                  <c:v>Chile</c:v>
                </c:pt>
                <c:pt idx="15">
                  <c:v>Spain</c:v>
                </c:pt>
                <c:pt idx="16">
                  <c:v>France</c:v>
                </c:pt>
                <c:pt idx="17">
                  <c:v>Norway</c:v>
                </c:pt>
                <c:pt idx="18">
                  <c:v>Eastern Europe exc SR</c:v>
                </c:pt>
                <c:pt idx="19">
                  <c:v>Denmark</c:v>
                </c:pt>
                <c:pt idx="20">
                  <c:v>Sweden</c:v>
                </c:pt>
                <c:pt idx="21">
                  <c:v>United States</c:v>
                </c:pt>
                <c:pt idx="22">
                  <c:v>Switzerland</c:v>
                </c:pt>
                <c:pt idx="23">
                  <c:v>Japan</c:v>
                </c:pt>
              </c:strCache>
            </c:strRef>
          </c:cat>
          <c:val>
            <c:numRef>
              <c:f>DataFB1a!$B$2:$B$25</c:f>
              <c:numCache>
                <c:formatCode>0.0</c:formatCode>
                <c:ptCount val="24"/>
                <c:pt idx="0">
                  <c:v>0.804673333333333</c:v>
                </c:pt>
                <c:pt idx="1">
                  <c:v>2.120143333333333</c:v>
                </c:pt>
                <c:pt idx="2">
                  <c:v>2.877513333333333</c:v>
                </c:pt>
                <c:pt idx="3">
                  <c:v>3.059236666666667</c:v>
                </c:pt>
                <c:pt idx="4">
                  <c:v>3.128813333333333</c:v>
                </c:pt>
                <c:pt idx="5">
                  <c:v>3.67282</c:v>
                </c:pt>
                <c:pt idx="6">
                  <c:v>3.741003333333333</c:v>
                </c:pt>
                <c:pt idx="7">
                  <c:v>4.003516666666667</c:v>
                </c:pt>
                <c:pt idx="8">
                  <c:v>4.187486666666667</c:v>
                </c:pt>
                <c:pt idx="9">
                  <c:v>4.642786666666667</c:v>
                </c:pt>
                <c:pt idx="10">
                  <c:v>5.081616666666666</c:v>
                </c:pt>
                <c:pt idx="11">
                  <c:v>5.13637</c:v>
                </c:pt>
                <c:pt idx="12">
                  <c:v>5.163063333333334</c:v>
                </c:pt>
                <c:pt idx="13">
                  <c:v>5.402490000000001</c:v>
                </c:pt>
                <c:pt idx="14">
                  <c:v>5.49885</c:v>
                </c:pt>
                <c:pt idx="15">
                  <c:v>5.82243</c:v>
                </c:pt>
                <c:pt idx="16">
                  <c:v>5.836863333333332</c:v>
                </c:pt>
                <c:pt idx="17">
                  <c:v>5.999233333333333</c:v>
                </c:pt>
                <c:pt idx="18">
                  <c:v>6.871792666666665</c:v>
                </c:pt>
                <c:pt idx="19">
                  <c:v>6.873253333333333</c:v>
                </c:pt>
                <c:pt idx="20">
                  <c:v>7.895416666666666</c:v>
                </c:pt>
                <c:pt idx="21">
                  <c:v>8.065026145844324</c:v>
                </c:pt>
                <c:pt idx="22">
                  <c:v>8.108633333333333</c:v>
                </c:pt>
                <c:pt idx="23">
                  <c:v>8.706996666666666</c:v>
                </c:pt>
              </c:numCache>
            </c:numRef>
          </c:val>
        </c:ser>
        <c:dLbls>
          <c:showLegendKey val="0"/>
          <c:showVal val="0"/>
          <c:showCatName val="0"/>
          <c:showSerName val="0"/>
          <c:showPercent val="0"/>
          <c:showBubbleSize val="0"/>
        </c:dLbls>
        <c:gapWidth val="219"/>
        <c:overlap val="-27"/>
        <c:axId val="-2078805176"/>
        <c:axId val="-2078801720"/>
      </c:barChart>
      <c:catAx>
        <c:axId val="-20788051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fr-FR"/>
          </a:p>
        </c:txPr>
        <c:crossAx val="-2078801720"/>
        <c:crosses val="autoZero"/>
        <c:auto val="1"/>
        <c:lblAlgn val="ctr"/>
        <c:lblOffset val="100"/>
        <c:noMultiLvlLbl val="0"/>
      </c:catAx>
      <c:valAx>
        <c:axId val="-2078801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a:t>
                </a:r>
              </a:p>
            </c:rich>
          </c:tx>
          <c:layout>
            <c:manualLayout>
              <c:xMode val="edge"/>
              <c:yMode val="edge"/>
              <c:x val="0.000133628015814362"/>
              <c:y val="0.352948554588328"/>
            </c:manualLayout>
          </c:layout>
          <c:overlay val="0"/>
          <c:spPr>
            <a:noFill/>
            <a:ln>
              <a:noFill/>
            </a:ln>
            <a:effectLst/>
          </c:spPr>
        </c:title>
        <c:numFmt formatCode="General" sourceLinked="0"/>
        <c:majorTickMark val="none"/>
        <c:minorTickMark val="none"/>
        <c:tickLblPos val="nextTo"/>
        <c:spPr>
          <a:noFill/>
          <a:ln>
            <a:noFill/>
          </a:ln>
          <a:effectLst/>
        </c:spPr>
        <c:txPr>
          <a:bodyPr rot="-60000000" vert="horz"/>
          <a:lstStyle/>
          <a:p>
            <a:pPr>
              <a:defRPr sz="1400"/>
            </a:pPr>
            <a:endParaRPr lang="fr-FR"/>
          </a:p>
        </c:txPr>
        <c:crossAx val="-20788051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a:cs typeface="Arial"/>
        </a:defRPr>
      </a:pPr>
      <a:endParaRPr lang="fr-FR"/>
    </a:p>
  </c:txPr>
  <c:userShapes r:id="rId1"/>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Figure B.1b: Return to DI equity liabilities, 2014-2016</a:t>
            </a:r>
          </a:p>
        </c:rich>
      </c:tx>
      <c:overlay val="0"/>
      <c:spPr>
        <a:noFill/>
        <a:ln>
          <a:noFill/>
        </a:ln>
        <a:effectLst/>
      </c:spPr>
    </c:title>
    <c:autoTitleDeleted val="0"/>
    <c:plotArea>
      <c:layout>
        <c:manualLayout>
          <c:layoutTarget val="inner"/>
          <c:xMode val="edge"/>
          <c:yMode val="edge"/>
          <c:x val="0.0679683600410091"/>
          <c:y val="0.0765288472340495"/>
          <c:w val="0.92089710489806"/>
          <c:h val="0.516380427888557"/>
        </c:manualLayout>
      </c:layout>
      <c:barChart>
        <c:barDir val="col"/>
        <c:grouping val="clustered"/>
        <c:varyColors val="0"/>
        <c:ser>
          <c:idx val="0"/>
          <c:order val="0"/>
          <c:tx>
            <c:strRef>
              <c:f>DataFB1b!$B$1</c:f>
              <c:strCache>
                <c:ptCount val="1"/>
                <c:pt idx="0">
                  <c:v>Return to DI equity liabilities</c:v>
                </c:pt>
              </c:strCache>
            </c:strRef>
          </c:tx>
          <c:spPr>
            <a:solidFill>
              <a:srgbClr val="002060"/>
            </a:solidFill>
            <a:ln>
              <a:noFill/>
            </a:ln>
            <a:effectLst/>
          </c:spPr>
          <c:invertIfNegative val="0"/>
          <c:dPt>
            <c:idx val="12"/>
            <c:invertIfNegative val="0"/>
            <c:bubble3D val="0"/>
            <c:spPr>
              <a:solidFill>
                <a:srgbClr val="C00000"/>
              </a:solidFill>
              <a:ln>
                <a:noFill/>
              </a:ln>
              <a:effectLst/>
            </c:spPr>
          </c:dPt>
          <c:dPt>
            <c:idx val="21"/>
            <c:invertIfNegative val="0"/>
            <c:bubble3D val="0"/>
          </c:dPt>
          <c:cat>
            <c:strRef>
              <c:f>DataFB1b!$A$2:$A$25</c:f>
              <c:strCache>
                <c:ptCount val="24"/>
                <c:pt idx="0">
                  <c:v>Japan</c:v>
                </c:pt>
                <c:pt idx="1">
                  <c:v>New Zealand</c:v>
                </c:pt>
                <c:pt idx="2">
                  <c:v>Ireland</c:v>
                </c:pt>
                <c:pt idx="3">
                  <c:v>Eastern Europe exc SR</c:v>
                </c:pt>
                <c:pt idx="4">
                  <c:v>Switzerland</c:v>
                </c:pt>
                <c:pt idx="5">
                  <c:v>Sweden</c:v>
                </c:pt>
                <c:pt idx="6">
                  <c:v>Korea</c:v>
                </c:pt>
                <c:pt idx="7">
                  <c:v>Chile</c:v>
                </c:pt>
                <c:pt idx="8">
                  <c:v>Netherlands</c:v>
                </c:pt>
                <c:pt idx="9">
                  <c:v>Australia</c:v>
                </c:pt>
                <c:pt idx="10">
                  <c:v>Denmark</c:v>
                </c:pt>
                <c:pt idx="11">
                  <c:v>United Kingdom</c:v>
                </c:pt>
                <c:pt idx="12">
                  <c:v>United States</c:v>
                </c:pt>
                <c:pt idx="13">
                  <c:v>Norway</c:v>
                </c:pt>
                <c:pt idx="14">
                  <c:v>Germany</c:v>
                </c:pt>
                <c:pt idx="15">
                  <c:v>Canada</c:v>
                </c:pt>
                <c:pt idx="16">
                  <c:v>Spain</c:v>
                </c:pt>
                <c:pt idx="17">
                  <c:v>Belgium</c:v>
                </c:pt>
                <c:pt idx="18">
                  <c:v>Portugal</c:v>
                </c:pt>
                <c:pt idx="19">
                  <c:v>Italy</c:v>
                </c:pt>
                <c:pt idx="20">
                  <c:v>France</c:v>
                </c:pt>
                <c:pt idx="21">
                  <c:v>Luxembourg</c:v>
                </c:pt>
                <c:pt idx="22">
                  <c:v>Austria</c:v>
                </c:pt>
                <c:pt idx="23">
                  <c:v>Turkey</c:v>
                </c:pt>
              </c:strCache>
            </c:strRef>
          </c:cat>
          <c:val>
            <c:numRef>
              <c:f>DataFB1b!$B$2:$B$25</c:f>
              <c:numCache>
                <c:formatCode>0.0</c:formatCode>
                <c:ptCount val="24"/>
                <c:pt idx="0">
                  <c:v>15.27204666666667</c:v>
                </c:pt>
                <c:pt idx="1">
                  <c:v>11.94769</c:v>
                </c:pt>
                <c:pt idx="2">
                  <c:v>10.97565</c:v>
                </c:pt>
                <c:pt idx="3">
                  <c:v>9.344413333333333</c:v>
                </c:pt>
                <c:pt idx="4">
                  <c:v>7.837273333333333</c:v>
                </c:pt>
                <c:pt idx="5">
                  <c:v>7.332973333333332</c:v>
                </c:pt>
                <c:pt idx="6">
                  <c:v>6.760110000000001</c:v>
                </c:pt>
                <c:pt idx="7">
                  <c:v>5.73218</c:v>
                </c:pt>
                <c:pt idx="8">
                  <c:v>5.668753333333334</c:v>
                </c:pt>
                <c:pt idx="9">
                  <c:v>5.63159</c:v>
                </c:pt>
                <c:pt idx="10">
                  <c:v>5.525976666666666</c:v>
                </c:pt>
                <c:pt idx="11">
                  <c:v>5.471993333333332</c:v>
                </c:pt>
                <c:pt idx="12">
                  <c:v>4.787745337574424</c:v>
                </c:pt>
                <c:pt idx="13">
                  <c:v>4.550136666666668</c:v>
                </c:pt>
                <c:pt idx="14">
                  <c:v>4.482539999999999</c:v>
                </c:pt>
                <c:pt idx="15">
                  <c:v>4.305326666666667</c:v>
                </c:pt>
                <c:pt idx="16">
                  <c:v>3.892259999999999</c:v>
                </c:pt>
                <c:pt idx="17">
                  <c:v>3.83559</c:v>
                </c:pt>
                <c:pt idx="18">
                  <c:v>3.74448</c:v>
                </c:pt>
                <c:pt idx="19">
                  <c:v>3.623560000000001</c:v>
                </c:pt>
                <c:pt idx="20">
                  <c:v>3.494336666666667</c:v>
                </c:pt>
                <c:pt idx="21">
                  <c:v>2.314073333333333</c:v>
                </c:pt>
                <c:pt idx="22">
                  <c:v>2.073706666666667</c:v>
                </c:pt>
                <c:pt idx="23">
                  <c:v>1.834256666666667</c:v>
                </c:pt>
              </c:numCache>
            </c:numRef>
          </c:val>
        </c:ser>
        <c:dLbls>
          <c:showLegendKey val="0"/>
          <c:showVal val="0"/>
          <c:showCatName val="0"/>
          <c:showSerName val="0"/>
          <c:showPercent val="0"/>
          <c:showBubbleSize val="0"/>
        </c:dLbls>
        <c:gapWidth val="219"/>
        <c:overlap val="-27"/>
        <c:axId val="-2079278936"/>
        <c:axId val="-2079275480"/>
      </c:barChart>
      <c:catAx>
        <c:axId val="-20792789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fr-FR"/>
          </a:p>
        </c:txPr>
        <c:crossAx val="-2079275480"/>
        <c:crosses val="autoZero"/>
        <c:auto val="1"/>
        <c:lblAlgn val="ctr"/>
        <c:lblOffset val="100"/>
        <c:noMultiLvlLbl val="0"/>
      </c:catAx>
      <c:valAx>
        <c:axId val="-20792754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a:t>
                </a:r>
              </a:p>
            </c:rich>
          </c:tx>
          <c:overlay val="0"/>
          <c:spPr>
            <a:noFill/>
            <a:ln>
              <a:noFill/>
            </a:ln>
            <a:effectLst/>
          </c:spPr>
        </c:title>
        <c:numFmt formatCode="General" sourceLinked="0"/>
        <c:majorTickMark val="none"/>
        <c:minorTickMark val="none"/>
        <c:tickLblPos val="nextTo"/>
        <c:spPr>
          <a:noFill/>
          <a:ln>
            <a:noFill/>
          </a:ln>
          <a:effectLst/>
        </c:spPr>
        <c:txPr>
          <a:bodyPr rot="-60000000" vert="horz"/>
          <a:lstStyle/>
          <a:p>
            <a:pPr>
              <a:defRPr sz="1400"/>
            </a:pPr>
            <a:endParaRPr lang="fr-FR"/>
          </a:p>
        </c:txPr>
        <c:crossAx val="-207927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a:cs typeface="Arial"/>
        </a:defRPr>
      </a:pPr>
      <a:endParaRPr lang="fr-FR"/>
    </a:p>
  </c:txPr>
  <c:userShapes r:id="rId1"/>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Figure B.1c: DI equity returns differentials, 2014-2016</a:t>
            </a:r>
          </a:p>
        </c:rich>
      </c:tx>
      <c:layout>
        <c:manualLayout>
          <c:xMode val="edge"/>
          <c:yMode val="edge"/>
          <c:x val="0.167455885609056"/>
          <c:y val="0.0"/>
        </c:manualLayout>
      </c:layout>
      <c:overlay val="0"/>
      <c:spPr>
        <a:noFill/>
        <a:ln>
          <a:noFill/>
        </a:ln>
        <a:effectLst/>
      </c:spPr>
    </c:title>
    <c:autoTitleDeleted val="0"/>
    <c:plotArea>
      <c:layout>
        <c:manualLayout>
          <c:layoutTarget val="inner"/>
          <c:xMode val="edge"/>
          <c:yMode val="edge"/>
          <c:x val="0.0522139075018221"/>
          <c:y val="0.0547466707143782"/>
          <c:w val="0.918994573971597"/>
          <c:h val="0.568386686802316"/>
        </c:manualLayout>
      </c:layout>
      <c:barChart>
        <c:barDir val="col"/>
        <c:grouping val="clustered"/>
        <c:varyColors val="0"/>
        <c:ser>
          <c:idx val="0"/>
          <c:order val="0"/>
          <c:tx>
            <c:strRef>
              <c:f>DataFB1c!$B$1</c:f>
              <c:strCache>
                <c:ptCount val="1"/>
                <c:pt idx="0">
                  <c:v>DI equity returns differential</c:v>
                </c:pt>
              </c:strCache>
            </c:strRef>
          </c:tx>
          <c:spPr>
            <a:solidFill>
              <a:srgbClr val="002060"/>
            </a:solidFill>
            <a:ln>
              <a:noFill/>
            </a:ln>
            <a:effectLst/>
          </c:spPr>
          <c:invertIfNegative val="0"/>
          <c:dPt>
            <c:idx val="21"/>
            <c:invertIfNegative val="0"/>
            <c:bubble3D val="0"/>
          </c:dPt>
          <c:dPt>
            <c:idx val="23"/>
            <c:invertIfNegative val="0"/>
            <c:bubble3D val="0"/>
            <c:spPr>
              <a:solidFill>
                <a:srgbClr val="C00000"/>
              </a:solidFill>
              <a:ln>
                <a:noFill/>
              </a:ln>
              <a:effectLst/>
            </c:spPr>
          </c:dPt>
          <c:cat>
            <c:strRef>
              <c:f>DataFB1c!$A$2:$A$25</c:f>
              <c:strCache>
                <c:ptCount val="24"/>
                <c:pt idx="0">
                  <c:v>Ireland</c:v>
                </c:pt>
                <c:pt idx="1">
                  <c:v>New Zealand</c:v>
                </c:pt>
                <c:pt idx="2">
                  <c:v>Japan</c:v>
                </c:pt>
                <c:pt idx="3">
                  <c:v>Eastern Europe exc SR</c:v>
                </c:pt>
                <c:pt idx="4">
                  <c:v>Korea</c:v>
                </c:pt>
                <c:pt idx="5">
                  <c:v>Australia</c:v>
                </c:pt>
                <c:pt idx="6">
                  <c:v>Turkey</c:v>
                </c:pt>
                <c:pt idx="7">
                  <c:v>Canada</c:v>
                </c:pt>
                <c:pt idx="8">
                  <c:v>Portugal</c:v>
                </c:pt>
                <c:pt idx="9">
                  <c:v>Netherlands</c:v>
                </c:pt>
                <c:pt idx="10">
                  <c:v>United Kingdom</c:v>
                </c:pt>
                <c:pt idx="11">
                  <c:v>Chile</c:v>
                </c:pt>
                <c:pt idx="12">
                  <c:v>Luxembourg</c:v>
                </c:pt>
                <c:pt idx="13">
                  <c:v>Italy</c:v>
                </c:pt>
                <c:pt idx="14">
                  <c:v>Belgium</c:v>
                </c:pt>
                <c:pt idx="15">
                  <c:v>Switzerland</c:v>
                </c:pt>
                <c:pt idx="16">
                  <c:v>Sweden</c:v>
                </c:pt>
                <c:pt idx="17">
                  <c:v>Austria</c:v>
                </c:pt>
                <c:pt idx="18">
                  <c:v>Germany</c:v>
                </c:pt>
                <c:pt idx="19">
                  <c:v>Denmark</c:v>
                </c:pt>
                <c:pt idx="20">
                  <c:v>Norway</c:v>
                </c:pt>
                <c:pt idx="21">
                  <c:v>Spain</c:v>
                </c:pt>
                <c:pt idx="22">
                  <c:v>France</c:v>
                </c:pt>
                <c:pt idx="23">
                  <c:v>United States</c:v>
                </c:pt>
              </c:strCache>
            </c:strRef>
          </c:cat>
          <c:val>
            <c:numRef>
              <c:f>DataFB1c!$B$2:$B$25</c:f>
              <c:numCache>
                <c:formatCode>0.0</c:formatCode>
                <c:ptCount val="24"/>
                <c:pt idx="0">
                  <c:v>-7.916416666666666</c:v>
                </c:pt>
                <c:pt idx="1">
                  <c:v>-7.3049</c:v>
                </c:pt>
                <c:pt idx="2">
                  <c:v>-6.565053333333333</c:v>
                </c:pt>
                <c:pt idx="3">
                  <c:v>-2.472621333333334</c:v>
                </c:pt>
                <c:pt idx="4">
                  <c:v>-1.597043333333333</c:v>
                </c:pt>
                <c:pt idx="5">
                  <c:v>-1.444103333333333</c:v>
                </c:pt>
                <c:pt idx="6">
                  <c:v>-1.02959</c:v>
                </c:pt>
                <c:pt idx="7">
                  <c:v>-0.632506666666667</c:v>
                </c:pt>
                <c:pt idx="8">
                  <c:v>-0.615666666666667</c:v>
                </c:pt>
                <c:pt idx="9">
                  <c:v>-0.532386666666667</c:v>
                </c:pt>
                <c:pt idx="10">
                  <c:v>-0.390376666666667</c:v>
                </c:pt>
                <c:pt idx="11">
                  <c:v>-0.23333</c:v>
                </c:pt>
                <c:pt idx="12">
                  <c:v>-0.193926666666667</c:v>
                </c:pt>
                <c:pt idx="13">
                  <c:v>0.117446666666667</c:v>
                </c:pt>
                <c:pt idx="14">
                  <c:v>0.167926666666667</c:v>
                </c:pt>
                <c:pt idx="15">
                  <c:v>0.27136</c:v>
                </c:pt>
                <c:pt idx="16">
                  <c:v>0.562443333333333</c:v>
                </c:pt>
                <c:pt idx="17">
                  <c:v>0.803806666666667</c:v>
                </c:pt>
                <c:pt idx="18">
                  <c:v>0.91995</c:v>
                </c:pt>
                <c:pt idx="19">
                  <c:v>1.347276666666667</c:v>
                </c:pt>
                <c:pt idx="20">
                  <c:v>1.449096666666666</c:v>
                </c:pt>
                <c:pt idx="21">
                  <c:v>1.93017</c:v>
                </c:pt>
                <c:pt idx="22">
                  <c:v>2.342526666666667</c:v>
                </c:pt>
                <c:pt idx="23">
                  <c:v>3.2772808082699</c:v>
                </c:pt>
              </c:numCache>
            </c:numRef>
          </c:val>
        </c:ser>
        <c:dLbls>
          <c:showLegendKey val="0"/>
          <c:showVal val="0"/>
          <c:showCatName val="0"/>
          <c:showSerName val="0"/>
          <c:showPercent val="0"/>
          <c:showBubbleSize val="0"/>
        </c:dLbls>
        <c:gapWidth val="219"/>
        <c:overlap val="-27"/>
        <c:axId val="-2079221704"/>
        <c:axId val="-2079218248"/>
      </c:barChart>
      <c:catAx>
        <c:axId val="-2079221704"/>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fr-FR"/>
          </a:p>
        </c:txPr>
        <c:crossAx val="-2079218248"/>
        <c:crosses val="autoZero"/>
        <c:auto val="1"/>
        <c:lblAlgn val="ctr"/>
        <c:lblOffset val="100"/>
        <c:noMultiLvlLbl val="0"/>
      </c:catAx>
      <c:valAx>
        <c:axId val="-2079218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n-US"/>
                  <a:t>%</a:t>
                </a:r>
              </a:p>
            </c:rich>
          </c:tx>
          <c:overlay val="0"/>
          <c:spPr>
            <a:noFill/>
            <a:ln>
              <a:noFill/>
            </a:ln>
            <a:effectLst/>
          </c:spPr>
        </c:title>
        <c:numFmt formatCode="General" sourceLinked="0"/>
        <c:majorTickMark val="none"/>
        <c:minorTickMark val="none"/>
        <c:tickLblPos val="nextTo"/>
        <c:spPr>
          <a:noFill/>
          <a:ln>
            <a:noFill/>
          </a:ln>
          <a:effectLst/>
        </c:spPr>
        <c:txPr>
          <a:bodyPr rot="-60000000" vert="horz"/>
          <a:lstStyle/>
          <a:p>
            <a:pPr>
              <a:defRPr sz="1400"/>
            </a:pPr>
            <a:endParaRPr lang="fr-FR"/>
          </a:p>
        </c:txPr>
        <c:crossAx val="-2079221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a:cs typeface="Arial"/>
        </a:defRPr>
      </a:pPr>
      <a:endParaRPr lang="fr-FR"/>
    </a:p>
  </c:txPr>
  <c:userShapes r:id="rId1"/>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Figure B.2: DI equity return differential and corporate tax rates, 2014-2016</a:t>
            </a:r>
          </a:p>
        </c:rich>
      </c:tx>
      <c:layout>
        <c:manualLayout>
          <c:xMode val="edge"/>
          <c:yMode val="edge"/>
          <c:x val="0.154809416246931"/>
          <c:y val="0.0"/>
        </c:manualLayout>
      </c:layout>
      <c:overlay val="0"/>
    </c:title>
    <c:autoTitleDeleted val="0"/>
    <c:plotArea>
      <c:layout>
        <c:manualLayout>
          <c:layoutTarget val="inner"/>
          <c:xMode val="edge"/>
          <c:yMode val="edge"/>
          <c:x val="0.0784916815355227"/>
          <c:y val="0.0482404194239859"/>
          <c:w val="0.893691593149669"/>
          <c:h val="0.820344875757578"/>
        </c:manualLayout>
      </c:layout>
      <c:scatterChart>
        <c:scatterStyle val="lineMarker"/>
        <c:varyColors val="0"/>
        <c:ser>
          <c:idx val="0"/>
          <c:order val="0"/>
          <c:tx>
            <c:strRef>
              <c:f>DataFB2!$C$3</c:f>
              <c:strCache>
                <c:ptCount val="1"/>
                <c:pt idx="0">
                  <c:v>DI equity return differential (pp)</c:v>
                </c:pt>
              </c:strCache>
            </c:strRef>
          </c:tx>
          <c:spPr>
            <a:ln w="28575">
              <a:noFill/>
            </a:ln>
          </c:spPr>
          <c:marker>
            <c:symbol val="circle"/>
            <c:size val="10"/>
            <c:spPr>
              <a:solidFill>
                <a:schemeClr val="tx1"/>
              </a:solidFill>
              <a:ln w="9525">
                <a:solidFill>
                  <a:schemeClr val="tx1"/>
                </a:solidFill>
              </a:ln>
              <a:effectLst/>
            </c:spPr>
          </c:marker>
          <c:trendline>
            <c:spPr>
              <a:ln w="25400">
                <a:solidFill>
                  <a:srgbClr val="FF0000"/>
                </a:solidFill>
                <a:prstDash val="sysDot"/>
              </a:ln>
            </c:spPr>
            <c:trendlineType val="linear"/>
            <c:dispRSqr val="0"/>
            <c:dispEq val="0"/>
          </c:trendline>
          <c:xVal>
            <c:numRef>
              <c:f>DataFB2!$B$4:$B$18</c:f>
              <c:numCache>
                <c:formatCode>General</c:formatCode>
                <c:ptCount val="15"/>
                <c:pt idx="0">
                  <c:v>18.0</c:v>
                </c:pt>
                <c:pt idx="1">
                  <c:v>20.428571</c:v>
                </c:pt>
                <c:pt idx="2">
                  <c:v>21.148581</c:v>
                </c:pt>
                <c:pt idx="3">
                  <c:v>22.1</c:v>
                </c:pt>
                <c:pt idx="4">
                  <c:v>24.1</c:v>
                </c:pt>
                <c:pt idx="5">
                  <c:v>25.0</c:v>
                </c:pt>
                <c:pt idx="6">
                  <c:v>26.533334</c:v>
                </c:pt>
                <c:pt idx="7">
                  <c:v>27.666667</c:v>
                </c:pt>
                <c:pt idx="8">
                  <c:v>29.332</c:v>
                </c:pt>
                <c:pt idx="9">
                  <c:v>29.994</c:v>
                </c:pt>
                <c:pt idx="10">
                  <c:v>30.733874</c:v>
                </c:pt>
                <c:pt idx="11">
                  <c:v>33.116001</c:v>
                </c:pt>
                <c:pt idx="12">
                  <c:v>36.853101</c:v>
                </c:pt>
                <c:pt idx="13" formatCode="0.00">
                  <c:v>12.5</c:v>
                </c:pt>
                <c:pt idx="14" formatCode="0.00">
                  <c:v>39.0</c:v>
                </c:pt>
              </c:numCache>
            </c:numRef>
          </c:xVal>
          <c:yVal>
            <c:numRef>
              <c:f>DataFB2!$C$4:$C$18</c:f>
              <c:numCache>
                <c:formatCode>General</c:formatCode>
                <c:ptCount val="15"/>
                <c:pt idx="0">
                  <c:v>-3.324819</c:v>
                </c:pt>
                <c:pt idx="1">
                  <c:v>0.158259</c:v>
                </c:pt>
                <c:pt idx="2">
                  <c:v>0.271358</c:v>
                </c:pt>
                <c:pt idx="3">
                  <c:v>0.509143</c:v>
                </c:pt>
                <c:pt idx="4">
                  <c:v>-0.296351</c:v>
                </c:pt>
                <c:pt idx="5">
                  <c:v>0.49523</c:v>
                </c:pt>
                <c:pt idx="6">
                  <c:v>-0.632506</c:v>
                </c:pt>
                <c:pt idx="7">
                  <c:v>-2.854871</c:v>
                </c:pt>
                <c:pt idx="8">
                  <c:v>-0.310104</c:v>
                </c:pt>
                <c:pt idx="9">
                  <c:v>-2.047442</c:v>
                </c:pt>
                <c:pt idx="10">
                  <c:v>0.518698</c:v>
                </c:pt>
                <c:pt idx="11">
                  <c:v>-1.1252</c:v>
                </c:pt>
                <c:pt idx="12">
                  <c:v>0.173396</c:v>
                </c:pt>
                <c:pt idx="13" formatCode="0.00">
                  <c:v>-7.9</c:v>
                </c:pt>
                <c:pt idx="14" formatCode="0.00">
                  <c:v>3.3</c:v>
                </c:pt>
              </c:numCache>
            </c:numRef>
          </c:yVal>
          <c:smooth val="0"/>
        </c:ser>
        <c:dLbls>
          <c:showLegendKey val="0"/>
          <c:showVal val="0"/>
          <c:showCatName val="0"/>
          <c:showSerName val="0"/>
          <c:showPercent val="0"/>
          <c:showBubbleSize val="0"/>
        </c:dLbls>
        <c:axId val="-2079157992"/>
        <c:axId val="-2079151928"/>
      </c:scatterChart>
      <c:valAx>
        <c:axId val="-2079157992"/>
        <c:scaling>
          <c:orientation val="minMax"/>
          <c:max val="40.0"/>
          <c:min val="10.0"/>
        </c:scaling>
        <c:delete val="0"/>
        <c:axPos val="b"/>
        <c:title>
          <c:tx>
            <c:rich>
              <a:bodyPr/>
              <a:lstStyle/>
              <a:p>
                <a:pPr>
                  <a:defRPr/>
                </a:pPr>
                <a:r>
                  <a:rPr lang="en-US" sz="1600" b="0">
                    <a:latin typeface="Arial"/>
                    <a:cs typeface="Arial"/>
                  </a:rPr>
                  <a:t>Statutory corporate tax rate</a:t>
                </a:r>
                <a:r>
                  <a:rPr lang="en-US" sz="1600" b="0" baseline="0">
                    <a:latin typeface="Arial"/>
                    <a:cs typeface="Arial"/>
                  </a:rPr>
                  <a:t> (%)</a:t>
                </a:r>
                <a:endParaRPr lang="en-US" sz="1600" b="0">
                  <a:latin typeface="Arial"/>
                  <a:cs typeface="Arial"/>
                </a:endParaRPr>
              </a:p>
            </c:rich>
          </c:tx>
          <c:layout>
            <c:manualLayout>
              <c:xMode val="edge"/>
              <c:yMode val="edge"/>
              <c:x val="0.317718054465113"/>
              <c:y val="0.946462197165169"/>
            </c:manualLayout>
          </c:layout>
          <c:overlay val="0"/>
        </c:title>
        <c:numFmt formatCode="General"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a:ea typeface="+mn-ea"/>
                <a:cs typeface="Arial"/>
              </a:defRPr>
            </a:pPr>
            <a:endParaRPr lang="fr-FR"/>
          </a:p>
        </c:txPr>
        <c:crossAx val="-2079151928"/>
        <c:crosses val="autoZero"/>
        <c:crossBetween val="midCat"/>
      </c:valAx>
      <c:valAx>
        <c:axId val="-2079151928"/>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solidFill>
                      <a:schemeClr val="tx1"/>
                    </a:solidFill>
                    <a:latin typeface="Arial" charset="0"/>
                    <a:ea typeface="Arial" charset="0"/>
                    <a:cs typeface="Arial" charset="0"/>
                  </a:rPr>
                  <a:t>DI</a:t>
                </a:r>
                <a:r>
                  <a:rPr lang="en-US" sz="1600" baseline="0">
                    <a:solidFill>
                      <a:schemeClr val="tx1"/>
                    </a:solidFill>
                    <a:latin typeface="Arial" charset="0"/>
                    <a:ea typeface="Arial" charset="0"/>
                    <a:cs typeface="Arial" charset="0"/>
                  </a:rPr>
                  <a:t> equity return differential (pp)</a:t>
                </a:r>
                <a:endParaRPr lang="en-US" sz="1600">
                  <a:solidFill>
                    <a:schemeClr val="tx1"/>
                  </a:solidFill>
                  <a:latin typeface="Arial" charset="0"/>
                  <a:ea typeface="Arial" charset="0"/>
                  <a:cs typeface="Arial" charset="0"/>
                </a:endParaRPr>
              </a:p>
            </c:rich>
          </c:tx>
          <c:layout>
            <c:manualLayout>
              <c:xMode val="edge"/>
              <c:yMode val="edge"/>
              <c:x val="0.00147034783104013"/>
              <c:y val="0.17635383486707"/>
            </c:manualLayout>
          </c:layout>
          <c:overlay val="0"/>
          <c:spPr>
            <a:noFill/>
            <a:ln>
              <a:noFill/>
            </a:ln>
            <a:effectLst/>
          </c:sp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la"/>
                <a:ea typeface="+mn-ea"/>
                <a:cs typeface="Arila"/>
              </a:defRPr>
            </a:pPr>
            <a:endParaRPr lang="fr-FR"/>
          </a:p>
        </c:txPr>
        <c:crossAx val="-2079157992"/>
        <c:crosses val="autoZero"/>
        <c:crossBetween val="midCat"/>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userShapes r:id="rId1"/>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Figure B.2b: After tax DI equity liability returns (%) and corporate tax rates (%), 2014-2016</a:t>
            </a:r>
          </a:p>
        </c:rich>
      </c:tx>
      <c:layout>
        <c:manualLayout>
          <c:xMode val="edge"/>
          <c:yMode val="edge"/>
          <c:x val="0.141699391144366"/>
          <c:y val="0.0130779393698493"/>
        </c:manualLayout>
      </c:layout>
      <c:overlay val="0"/>
    </c:title>
    <c:autoTitleDeleted val="0"/>
    <c:plotArea>
      <c:layout>
        <c:manualLayout>
          <c:layoutTarget val="inner"/>
          <c:xMode val="edge"/>
          <c:yMode val="edge"/>
          <c:x val="0.0840064134892927"/>
          <c:y val="0.0907277539492808"/>
          <c:w val="0.891712384403098"/>
          <c:h val="0.791445707011174"/>
        </c:manualLayout>
      </c:layout>
      <c:scatterChart>
        <c:scatterStyle val="lineMarker"/>
        <c:varyColors val="0"/>
        <c:ser>
          <c:idx val="0"/>
          <c:order val="0"/>
          <c:tx>
            <c:strRef>
              <c:f>DataFB2!$E$1</c:f>
              <c:strCache>
                <c:ptCount val="1"/>
                <c:pt idx="0">
                  <c:v>DI equity liability returns after tax (OECD)</c:v>
                </c:pt>
              </c:strCache>
            </c:strRef>
          </c:tx>
          <c:spPr>
            <a:ln w="28575">
              <a:noFill/>
            </a:ln>
          </c:spPr>
          <c:marker>
            <c:symbol val="circle"/>
            <c:size val="10"/>
            <c:spPr>
              <a:solidFill>
                <a:schemeClr val="tx1"/>
              </a:solidFill>
              <a:ln w="9525">
                <a:solidFill>
                  <a:schemeClr val="tx1"/>
                </a:solidFill>
              </a:ln>
              <a:effectLst/>
            </c:spPr>
          </c:marker>
          <c:trendline>
            <c:spPr>
              <a:ln w="19050" cap="rnd">
                <a:solidFill>
                  <a:srgbClr val="C00000"/>
                </a:solidFill>
                <a:prstDash val="sysDot"/>
              </a:ln>
              <a:effectLst/>
            </c:spPr>
            <c:trendlineType val="linear"/>
            <c:forward val="2.0"/>
            <c:dispRSqr val="0"/>
            <c:dispEq val="0"/>
          </c:trendline>
          <c:xVal>
            <c:numRef>
              <c:f>DataFB2!$E$4:$E$22</c:f>
              <c:numCache>
                <c:formatCode>General</c:formatCode>
                <c:ptCount val="19"/>
                <c:pt idx="0">
                  <c:v>18.0</c:v>
                </c:pt>
                <c:pt idx="1">
                  <c:v>20.0</c:v>
                </c:pt>
                <c:pt idx="2">
                  <c:v>21.0</c:v>
                </c:pt>
                <c:pt idx="3">
                  <c:v>21.148581</c:v>
                </c:pt>
                <c:pt idx="4">
                  <c:v>22.0</c:v>
                </c:pt>
                <c:pt idx="5">
                  <c:v>23.0</c:v>
                </c:pt>
                <c:pt idx="6">
                  <c:v>24.150001</c:v>
                </c:pt>
                <c:pt idx="7">
                  <c:v>24.944444</c:v>
                </c:pt>
                <c:pt idx="8">
                  <c:v>26.200001</c:v>
                </c:pt>
                <c:pt idx="9">
                  <c:v>26.85</c:v>
                </c:pt>
                <c:pt idx="10">
                  <c:v>28.914999</c:v>
                </c:pt>
                <c:pt idx="11">
                  <c:v>29.5</c:v>
                </c:pt>
                <c:pt idx="12">
                  <c:v>30.0</c:v>
                </c:pt>
                <c:pt idx="13">
                  <c:v>30.174999</c:v>
                </c:pt>
                <c:pt idx="14">
                  <c:v>31.344562</c:v>
                </c:pt>
                <c:pt idx="15">
                  <c:v>33.990002</c:v>
                </c:pt>
                <c:pt idx="16">
                  <c:v>36.807467</c:v>
                </c:pt>
                <c:pt idx="17">
                  <c:v>12.5</c:v>
                </c:pt>
                <c:pt idx="18">
                  <c:v>39.0</c:v>
                </c:pt>
              </c:numCache>
            </c:numRef>
          </c:xVal>
          <c:yVal>
            <c:numRef>
              <c:f>DataFB2!$F$4:$F$22</c:f>
              <c:numCache>
                <c:formatCode>General</c:formatCode>
                <c:ptCount val="19"/>
                <c:pt idx="0">
                  <c:v>9.791691</c:v>
                </c:pt>
                <c:pt idx="1">
                  <c:v>6.174433</c:v>
                </c:pt>
                <c:pt idx="2">
                  <c:v>7.357676</c:v>
                </c:pt>
                <c:pt idx="3">
                  <c:v>7.837272</c:v>
                </c:pt>
                <c:pt idx="4">
                  <c:v>6.879922</c:v>
                </c:pt>
                <c:pt idx="5">
                  <c:v>4.738323</c:v>
                </c:pt>
                <c:pt idx="6">
                  <c:v>6.253861</c:v>
                </c:pt>
                <c:pt idx="7">
                  <c:v>4.201447</c:v>
                </c:pt>
                <c:pt idx="8">
                  <c:v>5.088485</c:v>
                </c:pt>
                <c:pt idx="9">
                  <c:v>4.305898</c:v>
                </c:pt>
                <c:pt idx="10">
                  <c:v>2.692949</c:v>
                </c:pt>
                <c:pt idx="11">
                  <c:v>4.065284999999999</c:v>
                </c:pt>
                <c:pt idx="12">
                  <c:v>5.19093</c:v>
                </c:pt>
                <c:pt idx="13">
                  <c:v>4.482541</c:v>
                </c:pt>
                <c:pt idx="14">
                  <c:v>3.493386</c:v>
                </c:pt>
                <c:pt idx="15">
                  <c:v>3.835589</c:v>
                </c:pt>
                <c:pt idx="16">
                  <c:v>3.494336</c:v>
                </c:pt>
                <c:pt idx="17">
                  <c:v>11.0</c:v>
                </c:pt>
                <c:pt idx="18">
                  <c:v>4.8</c:v>
                </c:pt>
              </c:numCache>
            </c:numRef>
          </c:yVal>
          <c:smooth val="0"/>
        </c:ser>
        <c:dLbls>
          <c:showLegendKey val="0"/>
          <c:showVal val="0"/>
          <c:showCatName val="0"/>
          <c:showSerName val="0"/>
          <c:showPercent val="0"/>
          <c:showBubbleSize val="0"/>
        </c:dLbls>
        <c:axId val="-2074696904"/>
        <c:axId val="-2079314824"/>
      </c:scatterChart>
      <c:valAx>
        <c:axId val="-2074696904"/>
        <c:scaling>
          <c:orientation val="minMax"/>
          <c:max val="40.0"/>
          <c:min val="10.0"/>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solidFill>
                      <a:schemeClr val="tx1"/>
                    </a:solidFill>
                    <a:latin typeface="Arial" charset="0"/>
                    <a:ea typeface="Arial" charset="0"/>
                    <a:cs typeface="Arial" charset="0"/>
                  </a:rPr>
                  <a:t>Stautory corporate tax rates (%)</a:t>
                </a:r>
              </a:p>
            </c:rich>
          </c:tx>
          <c:layout>
            <c:manualLayout>
              <c:xMode val="edge"/>
              <c:yMode val="edge"/>
              <c:x val="0.360040714428976"/>
              <c:y val="0.957646282238672"/>
            </c:manualLayout>
          </c:layout>
          <c:overlay val="0"/>
          <c:spPr>
            <a:noFill/>
            <a:ln>
              <a:noFill/>
            </a:ln>
            <a:effectLst/>
          </c:sp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a:ea typeface="+mn-ea"/>
                <a:cs typeface="Arial"/>
              </a:defRPr>
            </a:pPr>
            <a:endParaRPr lang="fr-FR"/>
          </a:p>
        </c:txPr>
        <c:crossAx val="-2079314824"/>
        <c:crosses val="autoZero"/>
        <c:crossBetween val="midCat"/>
      </c:valAx>
      <c:valAx>
        <c:axId val="-2079314824"/>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solidFill>
                      <a:schemeClr val="tx1"/>
                    </a:solidFill>
                    <a:latin typeface="Arial" charset="0"/>
                    <a:ea typeface="Arial" charset="0"/>
                    <a:cs typeface="Arial" charset="0"/>
                  </a:rPr>
                  <a:t>After tax DI equity liability returns</a:t>
                </a:r>
                <a:r>
                  <a:rPr lang="en-US" sz="1600" baseline="0">
                    <a:solidFill>
                      <a:schemeClr val="tx1"/>
                    </a:solidFill>
                    <a:latin typeface="Arial" charset="0"/>
                    <a:ea typeface="Arial" charset="0"/>
                    <a:cs typeface="Arial" charset="0"/>
                  </a:rPr>
                  <a:t> (%)</a:t>
                </a:r>
                <a:endParaRPr lang="en-US" sz="1600">
                  <a:solidFill>
                    <a:schemeClr val="tx1"/>
                  </a:solidFill>
                  <a:latin typeface="Arial" charset="0"/>
                  <a:ea typeface="Arial" charset="0"/>
                  <a:cs typeface="Arial" charset="0"/>
                </a:endParaRPr>
              </a:p>
            </c:rich>
          </c:tx>
          <c:overlay val="0"/>
          <c:spPr>
            <a:noFill/>
            <a:ln>
              <a:noFill/>
            </a:ln>
            <a:effectLst/>
          </c:sp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a:ea typeface="+mn-ea"/>
                <a:cs typeface="Arial"/>
              </a:defRPr>
            </a:pPr>
            <a:endParaRPr lang="fr-FR"/>
          </a:p>
        </c:txPr>
        <c:crossAx val="-2074696904"/>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userShapes r:id="rId1"/>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Figure B.2c: Before and after tax DI equity liability returns and corporate tax rates,  2014-2016</a:t>
            </a:r>
          </a:p>
        </c:rich>
      </c:tx>
      <c:layout>
        <c:manualLayout>
          <c:xMode val="edge"/>
          <c:yMode val="edge"/>
          <c:x val="0.202509429797401"/>
          <c:y val="0.00217965656164155"/>
        </c:manualLayout>
      </c:layout>
      <c:overlay val="0"/>
    </c:title>
    <c:autoTitleDeleted val="0"/>
    <c:plotArea>
      <c:layout>
        <c:manualLayout>
          <c:layoutTarget val="inner"/>
          <c:xMode val="edge"/>
          <c:yMode val="edge"/>
          <c:x val="0.100211688005964"/>
          <c:y val="0.0456309803079092"/>
          <c:w val="0.842949079583508"/>
          <c:h val="0.846288907599991"/>
        </c:manualLayout>
      </c:layout>
      <c:scatterChart>
        <c:scatterStyle val="lineMarker"/>
        <c:varyColors val="0"/>
        <c:ser>
          <c:idx val="0"/>
          <c:order val="0"/>
          <c:tx>
            <c:strRef>
              <c:f>DataFB2!$J$3</c:f>
              <c:strCache>
                <c:ptCount val="1"/>
                <c:pt idx="0">
                  <c:v>DI equity liability return (after taxes)</c:v>
                </c:pt>
              </c:strCache>
            </c:strRef>
          </c:tx>
          <c:spPr>
            <a:ln w="28575">
              <a:noFill/>
            </a:ln>
          </c:spPr>
          <c:marker>
            <c:symbol val="triangle"/>
            <c:size val="10"/>
            <c:spPr>
              <a:solidFill>
                <a:schemeClr val="tx2">
                  <a:lumMod val="75000"/>
                </a:schemeClr>
              </a:solidFill>
              <a:ln>
                <a:solidFill>
                  <a:schemeClr val="tx2">
                    <a:lumMod val="75000"/>
                  </a:schemeClr>
                </a:solidFill>
              </a:ln>
            </c:spPr>
          </c:marker>
          <c:trendline>
            <c:spPr>
              <a:ln w="19050" cap="rnd">
                <a:solidFill>
                  <a:srgbClr val="002060"/>
                </a:solidFill>
                <a:prstDash val="sysDot"/>
              </a:ln>
              <a:effectLst/>
            </c:spPr>
            <c:trendlineType val="linear"/>
            <c:forward val="2.0"/>
            <c:dispRSqr val="0"/>
            <c:dispEq val="0"/>
          </c:trendline>
          <c:xVal>
            <c:numRef>
              <c:f>DataFB2!$I$4:$I$21</c:f>
              <c:numCache>
                <c:formatCode>General</c:formatCode>
                <c:ptCount val="18"/>
                <c:pt idx="0">
                  <c:v>19.0</c:v>
                </c:pt>
                <c:pt idx="1">
                  <c:v>20.5</c:v>
                </c:pt>
                <c:pt idx="2">
                  <c:v>21.148581</c:v>
                </c:pt>
                <c:pt idx="3">
                  <c:v>22.0</c:v>
                </c:pt>
                <c:pt idx="4">
                  <c:v>23.333333</c:v>
                </c:pt>
                <c:pt idx="5">
                  <c:v>24.200001</c:v>
                </c:pt>
                <c:pt idx="6">
                  <c:v>24.944444</c:v>
                </c:pt>
                <c:pt idx="7">
                  <c:v>26.200001</c:v>
                </c:pt>
                <c:pt idx="8">
                  <c:v>26.85</c:v>
                </c:pt>
                <c:pt idx="9">
                  <c:v>28.914999</c:v>
                </c:pt>
                <c:pt idx="10">
                  <c:v>30.0</c:v>
                </c:pt>
                <c:pt idx="11">
                  <c:v>30.174999</c:v>
                </c:pt>
                <c:pt idx="12">
                  <c:v>31.292749</c:v>
                </c:pt>
                <c:pt idx="13">
                  <c:v>33.990002</c:v>
                </c:pt>
                <c:pt idx="14">
                  <c:v>34.43</c:v>
                </c:pt>
                <c:pt idx="15">
                  <c:v>37.996201</c:v>
                </c:pt>
                <c:pt idx="16">
                  <c:v>12.5</c:v>
                </c:pt>
                <c:pt idx="17">
                  <c:v>39.0</c:v>
                </c:pt>
              </c:numCache>
            </c:numRef>
          </c:xVal>
          <c:yVal>
            <c:numRef>
              <c:f>DataFB2!$J$4:$J$21</c:f>
              <c:numCache>
                <c:formatCode>General</c:formatCode>
                <c:ptCount val="18"/>
                <c:pt idx="0">
                  <c:v>12.012014</c:v>
                </c:pt>
                <c:pt idx="1">
                  <c:v>6.026212</c:v>
                </c:pt>
                <c:pt idx="2">
                  <c:v>7.837272</c:v>
                </c:pt>
                <c:pt idx="3">
                  <c:v>5.520764</c:v>
                </c:pt>
                <c:pt idx="4">
                  <c:v>4.737254</c:v>
                </c:pt>
                <c:pt idx="5">
                  <c:v>6.760109</c:v>
                </c:pt>
                <c:pt idx="6">
                  <c:v>4.201447</c:v>
                </c:pt>
                <c:pt idx="7">
                  <c:v>5.088485</c:v>
                </c:pt>
                <c:pt idx="8">
                  <c:v>4.305898</c:v>
                </c:pt>
                <c:pt idx="9">
                  <c:v>2.692949</c:v>
                </c:pt>
                <c:pt idx="10">
                  <c:v>5.19093</c:v>
                </c:pt>
                <c:pt idx="11">
                  <c:v>4.482541</c:v>
                </c:pt>
                <c:pt idx="12">
                  <c:v>3.623558</c:v>
                </c:pt>
                <c:pt idx="13">
                  <c:v>3.835589</c:v>
                </c:pt>
                <c:pt idx="14">
                  <c:v>3.782482</c:v>
                </c:pt>
                <c:pt idx="15">
                  <c:v>3.350262</c:v>
                </c:pt>
                <c:pt idx="16">
                  <c:v>11.0</c:v>
                </c:pt>
                <c:pt idx="17">
                  <c:v>4.8</c:v>
                </c:pt>
              </c:numCache>
            </c:numRef>
          </c:yVal>
          <c:smooth val="0"/>
        </c:ser>
        <c:ser>
          <c:idx val="1"/>
          <c:order val="1"/>
          <c:tx>
            <c:strRef>
              <c:f>DataFB2!$M$3</c:f>
              <c:strCache>
                <c:ptCount val="1"/>
                <c:pt idx="0">
                  <c:v>DI equity liability return (before taxes)</c:v>
                </c:pt>
              </c:strCache>
            </c:strRef>
          </c:tx>
          <c:spPr>
            <a:ln w="28575">
              <a:noFill/>
            </a:ln>
          </c:spPr>
          <c:marker>
            <c:symbol val="triangle"/>
            <c:size val="10"/>
            <c:spPr>
              <a:solidFill>
                <a:srgbClr val="FF0000"/>
              </a:solidFill>
              <a:ln>
                <a:solidFill>
                  <a:srgbClr val="FF0000"/>
                </a:solidFill>
              </a:ln>
            </c:spPr>
          </c:marker>
          <c:trendline>
            <c:spPr>
              <a:ln w="19050" cap="rnd">
                <a:solidFill>
                  <a:srgbClr val="FF0000"/>
                </a:solidFill>
                <a:prstDash val="sysDot"/>
              </a:ln>
              <a:effectLst/>
            </c:spPr>
            <c:trendlineType val="linear"/>
            <c:dispRSqr val="0"/>
            <c:dispEq val="0"/>
          </c:trendline>
          <c:xVal>
            <c:numRef>
              <c:f>DataFB2!$L$4:$L$21</c:f>
              <c:numCache>
                <c:formatCode>General</c:formatCode>
                <c:ptCount val="18"/>
                <c:pt idx="0">
                  <c:v>19.0</c:v>
                </c:pt>
                <c:pt idx="1">
                  <c:v>20.5</c:v>
                </c:pt>
                <c:pt idx="2">
                  <c:v>21.148581</c:v>
                </c:pt>
                <c:pt idx="3">
                  <c:v>22.0</c:v>
                </c:pt>
                <c:pt idx="4">
                  <c:v>23.333333</c:v>
                </c:pt>
                <c:pt idx="5">
                  <c:v>24.200001</c:v>
                </c:pt>
                <c:pt idx="6">
                  <c:v>24.944444</c:v>
                </c:pt>
                <c:pt idx="7">
                  <c:v>26.200001</c:v>
                </c:pt>
                <c:pt idx="8">
                  <c:v>26.85</c:v>
                </c:pt>
                <c:pt idx="9">
                  <c:v>28.914999</c:v>
                </c:pt>
                <c:pt idx="10">
                  <c:v>30.0</c:v>
                </c:pt>
                <c:pt idx="11">
                  <c:v>30.174999</c:v>
                </c:pt>
                <c:pt idx="12">
                  <c:v>31.292749</c:v>
                </c:pt>
                <c:pt idx="13">
                  <c:v>33.990002</c:v>
                </c:pt>
                <c:pt idx="14">
                  <c:v>34.43</c:v>
                </c:pt>
                <c:pt idx="15">
                  <c:v>37.996201</c:v>
                </c:pt>
                <c:pt idx="16">
                  <c:v>12.5</c:v>
                </c:pt>
                <c:pt idx="17">
                  <c:v>39.0</c:v>
                </c:pt>
              </c:numCache>
            </c:numRef>
          </c:xVal>
          <c:yVal>
            <c:numRef>
              <c:f>DataFB2!$M$4:$M$21</c:f>
              <c:numCache>
                <c:formatCode>General</c:formatCode>
                <c:ptCount val="18"/>
                <c:pt idx="0">
                  <c:v>14.523696</c:v>
                </c:pt>
                <c:pt idx="1">
                  <c:v>8.117813</c:v>
                </c:pt>
                <c:pt idx="2">
                  <c:v>11.490244</c:v>
                </c:pt>
                <c:pt idx="3">
                  <c:v>13.45809</c:v>
                </c:pt>
                <c:pt idx="4">
                  <c:v>8.345236</c:v>
                </c:pt>
                <c:pt idx="5">
                  <c:v>8.669141</c:v>
                </c:pt>
                <c:pt idx="6">
                  <c:v>7.519022</c:v>
                </c:pt>
                <c:pt idx="7">
                  <c:v>6.461281</c:v>
                </c:pt>
                <c:pt idx="8">
                  <c:v>8.054789</c:v>
                </c:pt>
                <c:pt idx="9">
                  <c:v>3.583039</c:v>
                </c:pt>
                <c:pt idx="10">
                  <c:v>7.456699</c:v>
                </c:pt>
                <c:pt idx="11">
                  <c:v>6.812579</c:v>
                </c:pt>
                <c:pt idx="12">
                  <c:v>7.27571</c:v>
                </c:pt>
                <c:pt idx="13">
                  <c:v>5.001354999999999</c:v>
                </c:pt>
                <c:pt idx="14">
                  <c:v>7.953679</c:v>
                </c:pt>
                <c:pt idx="15">
                  <c:v>7.615931</c:v>
                </c:pt>
                <c:pt idx="16">
                  <c:v>11.60510438639943</c:v>
                </c:pt>
                <c:pt idx="17">
                  <c:v>6.560065600656007</c:v>
                </c:pt>
              </c:numCache>
            </c:numRef>
          </c:yVal>
          <c:smooth val="0"/>
        </c:ser>
        <c:dLbls>
          <c:showLegendKey val="0"/>
          <c:showVal val="0"/>
          <c:showCatName val="0"/>
          <c:showSerName val="0"/>
          <c:showPercent val="0"/>
          <c:showBubbleSize val="0"/>
        </c:dLbls>
        <c:axId val="-2079581496"/>
        <c:axId val="-2079574632"/>
      </c:scatterChart>
      <c:valAx>
        <c:axId val="-2079581496"/>
        <c:scaling>
          <c:orientation val="minMax"/>
          <c:max val="40.0"/>
          <c:min val="10.0"/>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solidFill>
                      <a:schemeClr val="tx1"/>
                    </a:solidFill>
                    <a:latin typeface="Arial" charset="0"/>
                    <a:ea typeface="Arial" charset="0"/>
                    <a:cs typeface="Arial" charset="0"/>
                  </a:rPr>
                  <a:t>Statutory</a:t>
                </a:r>
                <a:r>
                  <a:rPr lang="en-US" sz="1600" baseline="0">
                    <a:solidFill>
                      <a:schemeClr val="tx1"/>
                    </a:solidFill>
                    <a:latin typeface="Arial" charset="0"/>
                    <a:ea typeface="Arial" charset="0"/>
                    <a:cs typeface="Arial" charset="0"/>
                  </a:rPr>
                  <a:t> corporate tax rate (%)</a:t>
                </a:r>
                <a:endParaRPr lang="en-US" sz="1600">
                  <a:solidFill>
                    <a:schemeClr val="tx1"/>
                  </a:solidFill>
                  <a:latin typeface="Arial" charset="0"/>
                  <a:ea typeface="Arial" charset="0"/>
                  <a:cs typeface="Arial" charset="0"/>
                </a:endParaRPr>
              </a:p>
            </c:rich>
          </c:tx>
          <c:layout>
            <c:manualLayout>
              <c:xMode val="edge"/>
              <c:yMode val="edge"/>
              <c:x val="0.335105820821546"/>
              <c:y val="0.954952943808324"/>
            </c:manualLayout>
          </c:layout>
          <c:overlay val="0"/>
          <c:spPr>
            <a:noFill/>
            <a:ln>
              <a:noFill/>
            </a:ln>
            <a:effectLst/>
          </c:sp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a:ea typeface="+mn-ea"/>
                <a:cs typeface="Arial"/>
              </a:defRPr>
            </a:pPr>
            <a:endParaRPr lang="fr-FR"/>
          </a:p>
        </c:txPr>
        <c:crossAx val="-2079574632"/>
        <c:crosses val="autoZero"/>
        <c:crossBetween val="midCat"/>
      </c:valAx>
      <c:valAx>
        <c:axId val="-2079574632"/>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solidFill>
                      <a:schemeClr val="tx1"/>
                    </a:solidFill>
                    <a:latin typeface="Arial" charset="0"/>
                    <a:ea typeface="Arial" charset="0"/>
                    <a:cs typeface="Arial" charset="0"/>
                  </a:rPr>
                  <a:t>DI equity liability returns (%)</a:t>
                </a:r>
              </a:p>
            </c:rich>
          </c:tx>
          <c:layout>
            <c:manualLayout>
              <c:xMode val="edge"/>
              <c:yMode val="edge"/>
              <c:x val="0.00954548550950333"/>
              <c:y val="0.262639909338075"/>
            </c:manualLayout>
          </c:layout>
          <c:overlay val="0"/>
          <c:spPr>
            <a:noFill/>
            <a:ln>
              <a:noFill/>
            </a:ln>
            <a:effectLst/>
          </c:sp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a:ea typeface="+mn-ea"/>
                <a:cs typeface="Arial"/>
              </a:defRPr>
            </a:pPr>
            <a:endParaRPr lang="fr-FR"/>
          </a:p>
        </c:txPr>
        <c:crossAx val="-207958149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userShapes r:id="rId1"/>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Figure B.2d: Conditional DI equity return differential and corporate tax rate, 2014-2016</a:t>
            </a:r>
          </a:p>
        </c:rich>
      </c:tx>
      <c:layout>
        <c:manualLayout>
          <c:xMode val="edge"/>
          <c:yMode val="edge"/>
          <c:x val="0.161241043399655"/>
          <c:y val="0.00871862624656618"/>
        </c:manualLayout>
      </c:layout>
      <c:overlay val="0"/>
      <c:spPr>
        <a:noFill/>
        <a:ln>
          <a:noFill/>
        </a:ln>
        <a:effectLst/>
      </c:spPr>
    </c:title>
    <c:autoTitleDeleted val="0"/>
    <c:plotArea>
      <c:layout>
        <c:manualLayout>
          <c:layoutTarget val="inner"/>
          <c:xMode val="edge"/>
          <c:yMode val="edge"/>
          <c:x val="0.0986038191715459"/>
          <c:y val="0.169109088346054"/>
          <c:w val="0.852713410851075"/>
          <c:h val="0.62578918155784"/>
        </c:manualLayout>
      </c:layout>
      <c:scatterChart>
        <c:scatterStyle val="lineMarker"/>
        <c:varyColors val="0"/>
        <c:ser>
          <c:idx val="0"/>
          <c:order val="0"/>
          <c:tx>
            <c:strRef>
              <c:f>DataFB2!$Q$3</c:f>
              <c:strCache>
                <c:ptCount val="1"/>
                <c:pt idx="0">
                  <c:v>Conditional DI equity return differential (pp)</c:v>
                </c:pt>
              </c:strCache>
            </c:strRef>
          </c:tx>
          <c:spPr>
            <a:ln w="25400" cap="rnd">
              <a:noFill/>
              <a:round/>
            </a:ln>
            <a:effectLst/>
          </c:spPr>
          <c:marker>
            <c:symbol val="circle"/>
            <c:size val="10"/>
            <c:spPr>
              <a:solidFill>
                <a:schemeClr val="tx1"/>
              </a:solidFill>
              <a:ln w="9525">
                <a:solidFill>
                  <a:schemeClr val="tx1"/>
                </a:solidFill>
              </a:ln>
              <a:effectLst/>
            </c:spPr>
          </c:marker>
          <c:trendline>
            <c:spPr>
              <a:ln w="19050" cap="rnd">
                <a:solidFill>
                  <a:srgbClr val="C00000"/>
                </a:solidFill>
                <a:prstDash val="sysDot"/>
              </a:ln>
              <a:effectLst/>
            </c:spPr>
            <c:trendlineType val="linear"/>
            <c:forward val="2.0"/>
            <c:dispRSqr val="0"/>
            <c:dispEq val="0"/>
          </c:trendline>
          <c:xVal>
            <c:numRef>
              <c:f>DataFB2!$P$4:$P$23</c:f>
              <c:numCache>
                <c:formatCode>General</c:formatCode>
                <c:ptCount val="20"/>
                <c:pt idx="0">
                  <c:v>13.062968</c:v>
                </c:pt>
                <c:pt idx="1">
                  <c:v>19.821002</c:v>
                </c:pt>
                <c:pt idx="2">
                  <c:v>21.164033</c:v>
                </c:pt>
                <c:pt idx="3">
                  <c:v>21.316087</c:v>
                </c:pt>
                <c:pt idx="4">
                  <c:v>21.696211</c:v>
                </c:pt>
                <c:pt idx="5">
                  <c:v>22.157183</c:v>
                </c:pt>
                <c:pt idx="6">
                  <c:v>22.579538</c:v>
                </c:pt>
                <c:pt idx="7">
                  <c:v>23.315055</c:v>
                </c:pt>
                <c:pt idx="8">
                  <c:v>23.830565</c:v>
                </c:pt>
                <c:pt idx="9">
                  <c:v>24.42318</c:v>
                </c:pt>
                <c:pt idx="10">
                  <c:v>25.319053</c:v>
                </c:pt>
                <c:pt idx="11">
                  <c:v>25.79283</c:v>
                </c:pt>
                <c:pt idx="12">
                  <c:v>26.488047</c:v>
                </c:pt>
                <c:pt idx="13">
                  <c:v>27.145335</c:v>
                </c:pt>
                <c:pt idx="14">
                  <c:v>28.663348</c:v>
                </c:pt>
                <c:pt idx="15">
                  <c:v>31.415958</c:v>
                </c:pt>
                <c:pt idx="16">
                  <c:v>32.181993</c:v>
                </c:pt>
                <c:pt idx="17">
                  <c:v>33.661592</c:v>
                </c:pt>
                <c:pt idx="18">
                  <c:v>35.359423</c:v>
                </c:pt>
                <c:pt idx="19">
                  <c:v>38.357388</c:v>
                </c:pt>
              </c:numCache>
            </c:numRef>
          </c:xVal>
          <c:yVal>
            <c:numRef>
              <c:f>DataFB2!$Q$4:$Q$23</c:f>
              <c:numCache>
                <c:formatCode>General</c:formatCode>
                <c:ptCount val="20"/>
                <c:pt idx="0">
                  <c:v>-6.531869</c:v>
                </c:pt>
                <c:pt idx="1">
                  <c:v>0.362808</c:v>
                </c:pt>
                <c:pt idx="2">
                  <c:v>-0.532473</c:v>
                </c:pt>
                <c:pt idx="3">
                  <c:v>-4.222517</c:v>
                </c:pt>
                <c:pt idx="4">
                  <c:v>-2.703788</c:v>
                </c:pt>
                <c:pt idx="5">
                  <c:v>-0.957959</c:v>
                </c:pt>
                <c:pt idx="6">
                  <c:v>-0.010025</c:v>
                </c:pt>
                <c:pt idx="7">
                  <c:v>1.233707</c:v>
                </c:pt>
                <c:pt idx="8">
                  <c:v>0.95545</c:v>
                </c:pt>
                <c:pt idx="9">
                  <c:v>-0.036149</c:v>
                </c:pt>
                <c:pt idx="10">
                  <c:v>0.041239</c:v>
                </c:pt>
                <c:pt idx="11">
                  <c:v>-3.228981</c:v>
                </c:pt>
                <c:pt idx="12">
                  <c:v>-1.868462</c:v>
                </c:pt>
                <c:pt idx="13">
                  <c:v>-2.923257</c:v>
                </c:pt>
                <c:pt idx="14">
                  <c:v>-1.956249</c:v>
                </c:pt>
                <c:pt idx="15">
                  <c:v>0.361687</c:v>
                </c:pt>
                <c:pt idx="16">
                  <c:v>-2.440571</c:v>
                </c:pt>
                <c:pt idx="17">
                  <c:v>1.80904</c:v>
                </c:pt>
                <c:pt idx="18">
                  <c:v>1.51117</c:v>
                </c:pt>
                <c:pt idx="19">
                  <c:v>1.299987</c:v>
                </c:pt>
              </c:numCache>
            </c:numRef>
          </c:yVal>
          <c:smooth val="0"/>
        </c:ser>
        <c:dLbls>
          <c:showLegendKey val="0"/>
          <c:showVal val="0"/>
          <c:showCatName val="0"/>
          <c:showSerName val="0"/>
          <c:showPercent val="0"/>
          <c:showBubbleSize val="0"/>
        </c:dLbls>
        <c:axId val="-2074152456"/>
        <c:axId val="-2074159352"/>
      </c:scatterChart>
      <c:valAx>
        <c:axId val="-2074152456"/>
        <c:scaling>
          <c:orientation val="minMax"/>
          <c:max val="40.0"/>
          <c:min val="10.0"/>
        </c:scaling>
        <c:delete val="0"/>
        <c:axPos val="b"/>
        <c:title>
          <c:tx>
            <c:rich>
              <a:bodyPr rot="0" vert="horz"/>
              <a:lstStyle/>
              <a:p>
                <a:pPr>
                  <a:defRPr sz="1400" b="0"/>
                </a:pPr>
                <a:r>
                  <a:rPr lang="en-US" sz="1400" b="0"/>
                  <a:t>Statutory corporate tax rate (%)</a:t>
                </a:r>
              </a:p>
            </c:rich>
          </c:tx>
          <c:overlay val="0"/>
          <c:spPr>
            <a:noFill/>
            <a:ln>
              <a:noFill/>
            </a:ln>
            <a:effectLst/>
          </c:sp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sz="1400"/>
            </a:pPr>
            <a:endParaRPr lang="fr-FR"/>
          </a:p>
        </c:txPr>
        <c:crossAx val="-2074159352"/>
        <c:crosses val="autoZero"/>
        <c:crossBetween val="midCat"/>
      </c:valAx>
      <c:valAx>
        <c:axId val="-2074159352"/>
        <c:scaling>
          <c:orientation val="minMax"/>
        </c:scaling>
        <c:delete val="0"/>
        <c:axPos val="l"/>
        <c:title>
          <c:tx>
            <c:rich>
              <a:bodyPr rot="-5400000" vert="horz"/>
              <a:lstStyle/>
              <a:p>
                <a:pPr>
                  <a:defRPr sz="1400"/>
                </a:pPr>
                <a:r>
                  <a:rPr lang="en-US" sz="1400" b="0"/>
                  <a:t>Conditional DI equity return differntial (pp)</a:t>
                </a:r>
              </a:p>
            </c:rich>
          </c:tx>
          <c:layout>
            <c:manualLayout>
              <c:xMode val="edge"/>
              <c:yMode val="edge"/>
              <c:x val="0.014838339076289"/>
              <c:y val="0.138971813093248"/>
            </c:manualLayout>
          </c:layout>
          <c:overlay val="0"/>
          <c:spPr>
            <a:noFill/>
            <a:ln>
              <a:noFill/>
            </a:ln>
            <a:effectLst/>
          </c:sp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sz="1400"/>
            </a:pPr>
            <a:endParaRPr lang="fr-FR"/>
          </a:p>
        </c:txPr>
        <c:crossAx val="-207415245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a:cs typeface="Arial"/>
        </a:defRPr>
      </a:pPr>
      <a:endParaRPr lang="fr-FR"/>
    </a:p>
  </c:txPr>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2000" b="1" i="0" baseline="0">
                <a:effectLst/>
                <a:latin typeface="Arial"/>
                <a:cs typeface="Arial"/>
              </a:rPr>
              <a:t>Figure A.2b: Profits made abroad </a:t>
            </a:r>
            <a:r>
              <a:rPr lang="fr-FR" sz="2000" b="0" i="0" baseline="0">
                <a:effectLst/>
                <a:latin typeface="Arial"/>
                <a:cs typeface="Arial"/>
              </a:rPr>
              <a:t>(% of total U.S. corporate profits) (BoP immediate counterpart basis)</a:t>
            </a:r>
            <a:endParaRPr lang="fr-FR" sz="2000" b="0">
              <a:effectLst/>
              <a:latin typeface="Arial"/>
              <a:cs typeface="Arial"/>
            </a:endParaRPr>
          </a:p>
        </c:rich>
      </c:tx>
      <c:layout>
        <c:manualLayout>
          <c:xMode val="edge"/>
          <c:yMode val="edge"/>
          <c:x val="0.174583377077865"/>
          <c:y val="0.00869555521246119"/>
        </c:manualLayout>
      </c:layout>
      <c:overlay val="0"/>
    </c:title>
    <c:autoTitleDeleted val="0"/>
    <c:plotArea>
      <c:layout>
        <c:manualLayout>
          <c:layoutTarget val="inner"/>
          <c:xMode val="edge"/>
          <c:yMode val="edge"/>
          <c:x val="0.0811437652151338"/>
          <c:y val="0.0692454922960832"/>
          <c:w val="0.863522044907591"/>
          <c:h val="0.852682984205355"/>
        </c:manualLayout>
      </c:layout>
      <c:areaChart>
        <c:grouping val="stacked"/>
        <c:varyColors val="0"/>
        <c:ser>
          <c:idx val="1"/>
          <c:order val="0"/>
          <c:spPr>
            <a:solidFill>
              <a:schemeClr val="tx2">
                <a:lumMod val="40000"/>
                <a:lumOff val="60000"/>
              </a:schemeClr>
            </a:solidFill>
            <a:ln>
              <a:solidFill>
                <a:schemeClr val="tx1"/>
              </a:solidFill>
            </a:ln>
          </c:spPr>
          <c:cat>
            <c:strRef>
              <c:f>'Assets(BoP)'!$B$112:$B$192</c:f>
              <c:strCache>
                <c:ptCount val="9"/>
                <c:pt idx="0">
                  <c:v>1930-39</c:v>
                </c:pt>
                <c:pt idx="1">
                  <c:v>1940-49</c:v>
                </c:pt>
                <c:pt idx="2">
                  <c:v>1950-59</c:v>
                </c:pt>
                <c:pt idx="3">
                  <c:v>1960-69</c:v>
                </c:pt>
                <c:pt idx="4">
                  <c:v>1970-70</c:v>
                </c:pt>
                <c:pt idx="5">
                  <c:v>1980-89</c:v>
                </c:pt>
                <c:pt idx="6">
                  <c:v>1990-99</c:v>
                </c:pt>
                <c:pt idx="7">
                  <c:v>2000-09</c:v>
                </c:pt>
                <c:pt idx="8">
                  <c:v>2010-16</c:v>
                </c:pt>
              </c:strCache>
            </c:strRef>
          </c:cat>
          <c:val>
            <c:numRef>
              <c:f>'Assets(BoP)'!$FR$112:$FR$192</c:f>
              <c:numCache>
                <c:formatCode>0.0%</c:formatCode>
                <c:ptCount val="9"/>
                <c:pt idx="0">
                  <c:v>0.0327440155031111</c:v>
                </c:pt>
                <c:pt idx="1">
                  <c:v>0.0347410423475641</c:v>
                </c:pt>
                <c:pt idx="2">
                  <c:v>0.0571681873747129</c:v>
                </c:pt>
                <c:pt idx="3">
                  <c:v>0.0634083095701331</c:v>
                </c:pt>
                <c:pt idx="4">
                  <c:v>0.10608828870616</c:v>
                </c:pt>
                <c:pt idx="5">
                  <c:v>0.123547886455474</c:v>
                </c:pt>
                <c:pt idx="6">
                  <c:v>0.127095017083652</c:v>
                </c:pt>
                <c:pt idx="7">
                  <c:v>0.160304200899121</c:v>
                </c:pt>
                <c:pt idx="8">
                  <c:v>0.137200534004321</c:v>
                </c:pt>
              </c:numCache>
            </c:numRef>
          </c:val>
        </c:ser>
        <c:ser>
          <c:idx val="0"/>
          <c:order val="1"/>
          <c:spPr>
            <a:solidFill>
              <a:schemeClr val="accent2">
                <a:lumMod val="60000"/>
                <a:lumOff val="40000"/>
              </a:schemeClr>
            </a:solidFill>
            <a:ln>
              <a:solidFill>
                <a:schemeClr val="tx1"/>
              </a:solidFill>
            </a:ln>
          </c:spPr>
          <c:cat>
            <c:strRef>
              <c:f>'Assets(BoP)'!$B$112:$B$192</c:f>
              <c:strCache>
                <c:ptCount val="9"/>
                <c:pt idx="0">
                  <c:v>1930-39</c:v>
                </c:pt>
                <c:pt idx="1">
                  <c:v>1940-49</c:v>
                </c:pt>
                <c:pt idx="2">
                  <c:v>1950-59</c:v>
                </c:pt>
                <c:pt idx="3">
                  <c:v>1960-69</c:v>
                </c:pt>
                <c:pt idx="4">
                  <c:v>1970-70</c:v>
                </c:pt>
                <c:pt idx="5">
                  <c:v>1980-89</c:v>
                </c:pt>
                <c:pt idx="6">
                  <c:v>1990-99</c:v>
                </c:pt>
                <c:pt idx="7">
                  <c:v>2000-09</c:v>
                </c:pt>
                <c:pt idx="8">
                  <c:v>2010-16</c:v>
                </c:pt>
              </c:strCache>
            </c:strRef>
          </c:cat>
          <c:val>
            <c:numRef>
              <c:f>'Assets(BoP)'!$FQ$112:$FQ$192</c:f>
              <c:numCache>
                <c:formatCode>0.0%</c:formatCode>
                <c:ptCount val="9"/>
                <c:pt idx="0">
                  <c:v>0.00178339998613992</c:v>
                </c:pt>
                <c:pt idx="1">
                  <c:v>0.00217679388312241</c:v>
                </c:pt>
                <c:pt idx="2">
                  <c:v>0.00410429455809528</c:v>
                </c:pt>
                <c:pt idx="3">
                  <c:v>0.00516936006448486</c:v>
                </c:pt>
                <c:pt idx="4">
                  <c:v>0.018749379090467</c:v>
                </c:pt>
                <c:pt idx="5">
                  <c:v>0.0355561315998968</c:v>
                </c:pt>
                <c:pt idx="6">
                  <c:v>0.0527864732125438</c:v>
                </c:pt>
                <c:pt idx="7">
                  <c:v>0.128504253366157</c:v>
                </c:pt>
                <c:pt idx="8">
                  <c:v>0.190849061703055</c:v>
                </c:pt>
              </c:numCache>
            </c:numRef>
          </c:val>
        </c:ser>
        <c:dLbls>
          <c:showLegendKey val="0"/>
          <c:showVal val="0"/>
          <c:showCatName val="0"/>
          <c:showSerName val="0"/>
          <c:showPercent val="0"/>
          <c:showBubbleSize val="0"/>
        </c:dLbls>
        <c:axId val="-2104811048"/>
        <c:axId val="-2104824184"/>
      </c:areaChart>
      <c:catAx>
        <c:axId val="-2104811048"/>
        <c:scaling>
          <c:orientation val="minMax"/>
        </c:scaling>
        <c:delete val="0"/>
        <c:axPos val="b"/>
        <c:numFmt formatCode="General" sourceLinked="0"/>
        <c:majorTickMark val="out"/>
        <c:minorTickMark val="none"/>
        <c:tickLblPos val="nextTo"/>
        <c:txPr>
          <a:bodyPr/>
          <a:lstStyle/>
          <a:p>
            <a:pPr>
              <a:defRPr sz="1600">
                <a:latin typeface="Arial"/>
                <a:cs typeface="Arial"/>
              </a:defRPr>
            </a:pPr>
            <a:endParaRPr lang="fr-FR"/>
          </a:p>
        </c:txPr>
        <c:crossAx val="-2104824184"/>
        <c:crosses val="autoZero"/>
        <c:auto val="1"/>
        <c:lblAlgn val="ctr"/>
        <c:lblOffset val="100"/>
        <c:noMultiLvlLbl val="0"/>
      </c:catAx>
      <c:valAx>
        <c:axId val="-2104824184"/>
        <c:scaling>
          <c:orientation val="minMax"/>
        </c:scaling>
        <c:delete val="0"/>
        <c:axPos val="l"/>
        <c:numFmt formatCode="0%" sourceLinked="0"/>
        <c:majorTickMark val="none"/>
        <c:minorTickMark val="none"/>
        <c:tickLblPos val="nextTo"/>
        <c:txPr>
          <a:bodyPr/>
          <a:lstStyle/>
          <a:p>
            <a:pPr>
              <a:defRPr sz="1600">
                <a:latin typeface="Arial"/>
                <a:cs typeface="Arial"/>
              </a:defRPr>
            </a:pPr>
            <a:endParaRPr lang="fr-FR"/>
          </a:p>
        </c:txPr>
        <c:crossAx val="-2104811048"/>
        <c:crosses val="autoZero"/>
        <c:crossBetween val="midCat"/>
      </c:valAx>
    </c:plotArea>
    <c:plotVisOnly val="1"/>
    <c:dispBlanksAs val="zero"/>
    <c:showDLblsOverMax val="0"/>
  </c:chart>
  <c:spPr>
    <a:ln>
      <a:noFill/>
    </a:ln>
  </c:spPr>
  <c:userShapes r:id="rId1"/>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charset="0"/>
                <a:ea typeface="Arial" charset="0"/>
                <a:cs typeface="Arial" charset="0"/>
              </a:defRPr>
            </a:pPr>
            <a:r>
              <a:rPr lang="en-US" sz="1800" b="0">
                <a:solidFill>
                  <a:schemeClr val="tx1"/>
                </a:solidFill>
              </a:rPr>
              <a:t>Figure B.3: After tax DI equity asset yields and corporate tax rates, 2014-2016</a:t>
            </a:r>
          </a:p>
        </c:rich>
      </c:tx>
      <c:layout>
        <c:manualLayout>
          <c:xMode val="edge"/>
          <c:yMode val="edge"/>
          <c:x val="0.13087682145118"/>
          <c:y val="0.00718840436439327"/>
        </c:manualLayout>
      </c:layout>
      <c:overlay val="0"/>
      <c:spPr>
        <a:noFill/>
        <a:ln>
          <a:noFill/>
        </a:ln>
        <a:effectLst/>
      </c:spPr>
    </c:title>
    <c:autoTitleDeleted val="0"/>
    <c:plotArea>
      <c:layout>
        <c:manualLayout>
          <c:layoutTarget val="inner"/>
          <c:xMode val="edge"/>
          <c:yMode val="edge"/>
          <c:x val="0.0943608955124443"/>
          <c:y val="0.101777526427981"/>
          <c:w val="0.881480084641804"/>
          <c:h val="0.763491405702858"/>
        </c:manualLayout>
      </c:layout>
      <c:scatterChart>
        <c:scatterStyle val="lineMarker"/>
        <c:varyColors val="0"/>
        <c:ser>
          <c:idx val="0"/>
          <c:order val="0"/>
          <c:spPr>
            <a:ln w="25400" cap="rnd">
              <a:noFill/>
              <a:round/>
            </a:ln>
            <a:effectLst/>
          </c:spPr>
          <c:marker>
            <c:symbol val="circle"/>
            <c:size val="10"/>
            <c:spPr>
              <a:solidFill>
                <a:schemeClr val="tx1"/>
              </a:solidFill>
              <a:ln w="9525">
                <a:solidFill>
                  <a:schemeClr val="tx1"/>
                </a:solidFill>
              </a:ln>
              <a:effectLst/>
            </c:spPr>
          </c:marker>
          <c:trendline>
            <c:spPr>
              <a:ln w="19050" cap="rnd">
                <a:solidFill>
                  <a:srgbClr val="C00000"/>
                </a:solidFill>
                <a:prstDash val="sysDot"/>
              </a:ln>
              <a:effectLst/>
            </c:spPr>
            <c:trendlineType val="linear"/>
            <c:forward val="2.0"/>
            <c:dispRSqr val="0"/>
            <c:dispEq val="0"/>
          </c:trendline>
          <c:xVal>
            <c:numRef>
              <c:f>DataFB3!$B$7:$B$25</c:f>
              <c:numCache>
                <c:formatCode>General</c:formatCode>
                <c:ptCount val="19"/>
                <c:pt idx="0">
                  <c:v>18.0</c:v>
                </c:pt>
                <c:pt idx="1">
                  <c:v>20.0</c:v>
                </c:pt>
                <c:pt idx="2">
                  <c:v>21.0</c:v>
                </c:pt>
                <c:pt idx="3">
                  <c:v>21.148581</c:v>
                </c:pt>
                <c:pt idx="4">
                  <c:v>22.0</c:v>
                </c:pt>
                <c:pt idx="5">
                  <c:v>23.333333</c:v>
                </c:pt>
                <c:pt idx="6">
                  <c:v>24.275001</c:v>
                </c:pt>
                <c:pt idx="7">
                  <c:v>25.0</c:v>
                </c:pt>
                <c:pt idx="8">
                  <c:v>26.533334</c:v>
                </c:pt>
                <c:pt idx="9">
                  <c:v>27.666667</c:v>
                </c:pt>
                <c:pt idx="10">
                  <c:v>29.219999</c:v>
                </c:pt>
                <c:pt idx="11">
                  <c:v>29.656666</c:v>
                </c:pt>
                <c:pt idx="12">
                  <c:v>30.0</c:v>
                </c:pt>
                <c:pt idx="13">
                  <c:v>30.733874</c:v>
                </c:pt>
                <c:pt idx="14">
                  <c:v>31.805</c:v>
                </c:pt>
                <c:pt idx="15">
                  <c:v>34.100001</c:v>
                </c:pt>
                <c:pt idx="16">
                  <c:v>37.660801</c:v>
                </c:pt>
                <c:pt idx="17">
                  <c:v>12.5</c:v>
                </c:pt>
                <c:pt idx="18">
                  <c:v>39.0</c:v>
                </c:pt>
              </c:numCache>
            </c:numRef>
          </c:xVal>
          <c:yVal>
            <c:numRef>
              <c:f>DataFB3!$C$7:$C$25</c:f>
              <c:numCache>
                <c:formatCode>General</c:formatCode>
                <c:ptCount val="19"/>
                <c:pt idx="0">
                  <c:v>6.466871</c:v>
                </c:pt>
                <c:pt idx="1">
                  <c:v>6.203474</c:v>
                </c:pt>
                <c:pt idx="2">
                  <c:v>8.263691</c:v>
                </c:pt>
                <c:pt idx="3">
                  <c:v>8.10863</c:v>
                </c:pt>
                <c:pt idx="4">
                  <c:v>7.540599</c:v>
                </c:pt>
                <c:pt idx="5">
                  <c:v>5.346158</c:v>
                </c:pt>
                <c:pt idx="6">
                  <c:v>5.7329</c:v>
                </c:pt>
                <c:pt idx="7">
                  <c:v>4.427724</c:v>
                </c:pt>
                <c:pt idx="8">
                  <c:v>3.672819</c:v>
                </c:pt>
                <c:pt idx="9">
                  <c:v>5.323253</c:v>
                </c:pt>
                <c:pt idx="10">
                  <c:v>2.120144</c:v>
                </c:pt>
                <c:pt idx="11">
                  <c:v>5.137704</c:v>
                </c:pt>
                <c:pt idx="12">
                  <c:v>4.659039</c:v>
                </c:pt>
                <c:pt idx="13">
                  <c:v>4.571748</c:v>
                </c:pt>
                <c:pt idx="14">
                  <c:v>5.429022</c:v>
                </c:pt>
                <c:pt idx="15">
                  <c:v>4.524139</c:v>
                </c:pt>
                <c:pt idx="16">
                  <c:v>6.886947999999999</c:v>
                </c:pt>
                <c:pt idx="17">
                  <c:v>3.1</c:v>
                </c:pt>
                <c:pt idx="18">
                  <c:v>8.1</c:v>
                </c:pt>
              </c:numCache>
            </c:numRef>
          </c:yVal>
          <c:smooth val="0"/>
        </c:ser>
        <c:dLbls>
          <c:showLegendKey val="0"/>
          <c:showVal val="0"/>
          <c:showCatName val="0"/>
          <c:showSerName val="0"/>
          <c:showPercent val="0"/>
          <c:showBubbleSize val="0"/>
        </c:dLbls>
        <c:axId val="-2074225896"/>
        <c:axId val="-2074236232"/>
      </c:scatterChart>
      <c:valAx>
        <c:axId val="-2074225896"/>
        <c:scaling>
          <c:orientation val="minMax"/>
          <c:max val="40.0"/>
          <c:min val="10.0"/>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Arial" charset="0"/>
                    <a:ea typeface="Arial" charset="0"/>
                    <a:cs typeface="Arial" charset="0"/>
                  </a:defRPr>
                </a:pPr>
                <a:r>
                  <a:rPr lang="en-US" sz="1600">
                    <a:solidFill>
                      <a:schemeClr val="tx1"/>
                    </a:solidFill>
                  </a:rPr>
                  <a:t>Statutory corporate tax rates (%)</a:t>
                </a:r>
              </a:p>
            </c:rich>
          </c:tx>
          <c:overlay val="0"/>
          <c:spPr>
            <a:noFill/>
            <a:ln>
              <a:noFill/>
            </a:ln>
            <a:effectLst/>
          </c:sp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charset="0"/>
                <a:ea typeface="Arial" charset="0"/>
                <a:cs typeface="Arial" charset="0"/>
              </a:defRPr>
            </a:pPr>
            <a:endParaRPr lang="fr-FR"/>
          </a:p>
        </c:txPr>
        <c:crossAx val="-2074236232"/>
        <c:crosses val="autoZero"/>
        <c:crossBetween val="midCat"/>
      </c:valAx>
      <c:valAx>
        <c:axId val="-2074236232"/>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Arial" charset="0"/>
                    <a:ea typeface="Arial" charset="0"/>
                    <a:cs typeface="Arial" charset="0"/>
                  </a:defRPr>
                </a:pPr>
                <a:r>
                  <a:rPr lang="en-US" sz="1600">
                    <a:solidFill>
                      <a:schemeClr val="tx1"/>
                    </a:solidFill>
                  </a:rPr>
                  <a:t>After</a:t>
                </a:r>
                <a:r>
                  <a:rPr lang="en-US" sz="1600" baseline="0">
                    <a:solidFill>
                      <a:schemeClr val="tx1"/>
                    </a:solidFill>
                  </a:rPr>
                  <a:t> tax DI equity asset yields (%)</a:t>
                </a:r>
                <a:endParaRPr lang="en-US" sz="1600">
                  <a:solidFill>
                    <a:schemeClr val="tx1"/>
                  </a:solidFill>
                </a:endParaRPr>
              </a:p>
            </c:rich>
          </c:tx>
          <c:layout>
            <c:manualLayout>
              <c:xMode val="edge"/>
              <c:yMode val="edge"/>
              <c:x val="0.00837804483536771"/>
              <c:y val="0.21147882890959"/>
            </c:manualLayout>
          </c:layout>
          <c:overlay val="0"/>
          <c:spPr>
            <a:noFill/>
            <a:ln>
              <a:noFill/>
            </a:ln>
            <a:effectLst/>
          </c:sp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charset="0"/>
                <a:ea typeface="Arial" charset="0"/>
                <a:cs typeface="Arial" charset="0"/>
              </a:defRPr>
            </a:pPr>
            <a:endParaRPr lang="fr-FR"/>
          </a:p>
        </c:txPr>
        <c:crossAx val="-207422589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charset="0"/>
          <a:ea typeface="Arial" charset="0"/>
          <a:cs typeface="Arial" charset="0"/>
        </a:defRPr>
      </a:pPr>
      <a:endParaRPr lang="fr-FR"/>
    </a:p>
  </c:txPr>
  <c:userShapes r:id="rId1"/>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Figure B.4: Share of top 5 havens in outward FDI income, 2014-16 </a:t>
            </a:r>
          </a:p>
        </c:rich>
      </c:tx>
      <c:layout>
        <c:manualLayout>
          <c:xMode val="edge"/>
          <c:yMode val="edge"/>
          <c:x val="0.15379094022723"/>
          <c:y val="0.00653896968492464"/>
        </c:manualLayout>
      </c:layout>
      <c:overlay val="0"/>
      <c:spPr>
        <a:noFill/>
        <a:ln>
          <a:noFill/>
        </a:ln>
        <a:effectLst/>
      </c:spPr>
    </c:title>
    <c:autoTitleDeleted val="0"/>
    <c:plotArea>
      <c:layout>
        <c:manualLayout>
          <c:layoutTarget val="inner"/>
          <c:xMode val="edge"/>
          <c:yMode val="edge"/>
          <c:x val="0.0465760920509936"/>
          <c:y val="0.104262308540378"/>
          <c:w val="0.934078669853768"/>
          <c:h val="0.73865763362067"/>
        </c:manualLayout>
      </c:layout>
      <c:barChart>
        <c:barDir val="col"/>
        <c:grouping val="clustered"/>
        <c:varyColors val="0"/>
        <c:ser>
          <c:idx val="0"/>
          <c:order val="0"/>
          <c:tx>
            <c:v>Share of top 5 havens </c:v>
          </c:tx>
          <c:spPr>
            <a:solidFill>
              <a:schemeClr val="accent1"/>
            </a:solidFill>
            <a:ln>
              <a:noFill/>
            </a:ln>
            <a:effectLst/>
          </c:spPr>
          <c:invertIfNegative val="0"/>
          <c:dPt>
            <c:idx val="2"/>
            <c:invertIfNegative val="0"/>
            <c:bubble3D val="0"/>
            <c:spPr>
              <a:solidFill>
                <a:srgbClr val="C00000"/>
              </a:solidFill>
              <a:ln>
                <a:noFill/>
              </a:ln>
              <a:effectLst/>
            </c:spPr>
          </c:dPt>
          <c:cat>
            <c:strLit>
              <c:ptCount val="3"/>
              <c:pt idx="0">
                <c:v>Other OECD</c:v>
              </c:pt>
              <c:pt idx="1">
                <c:v>European countries</c:v>
              </c:pt>
              <c:pt idx="2">
                <c:v>United States</c:v>
              </c:pt>
            </c:strLit>
          </c:cat>
          <c:val>
            <c:numLit>
              <c:formatCode>General</c:formatCode>
              <c:ptCount val="3"/>
              <c:pt idx="0">
                <c:v>0.145066752189029</c:v>
              </c:pt>
              <c:pt idx="1">
                <c:v>0.21918892525786</c:v>
              </c:pt>
              <c:pt idx="2">
                <c:v>0.47540301883923</c:v>
              </c:pt>
            </c:numLit>
          </c:val>
        </c:ser>
        <c:dLbls>
          <c:showLegendKey val="0"/>
          <c:showVal val="0"/>
          <c:showCatName val="0"/>
          <c:showSerName val="0"/>
          <c:showPercent val="0"/>
          <c:showBubbleSize val="0"/>
        </c:dLbls>
        <c:gapWidth val="219"/>
        <c:overlap val="-27"/>
        <c:axId val="-2074285576"/>
        <c:axId val="-2074282184"/>
      </c:barChart>
      <c:catAx>
        <c:axId val="-2074285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400"/>
            </a:pPr>
            <a:endParaRPr lang="fr-FR"/>
          </a:p>
        </c:txPr>
        <c:crossAx val="-2074282184"/>
        <c:crosses val="autoZero"/>
        <c:auto val="1"/>
        <c:lblAlgn val="ctr"/>
        <c:lblOffset val="100"/>
        <c:noMultiLvlLbl val="0"/>
      </c:catAx>
      <c:valAx>
        <c:axId val="-2074282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vert="horz"/>
          <a:lstStyle/>
          <a:p>
            <a:pPr>
              <a:defRPr sz="1400"/>
            </a:pPr>
            <a:endParaRPr lang="fr-FR"/>
          </a:p>
        </c:txPr>
        <c:crossAx val="-20742855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a:cs typeface="Arial"/>
        </a:defRPr>
      </a:pPr>
      <a:endParaRPr lang="fr-FR"/>
    </a:p>
  </c:txPr>
  <c:userShapes r:id="rId1"/>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Income yield on US</a:t>
            </a:r>
            <a:r>
              <a:rPr lang="en-US" baseline="0"/>
              <a:t> external assets</a:t>
            </a:r>
            <a:endParaRPr lang="en-US"/>
          </a:p>
        </c:rich>
      </c:tx>
      <c:layout>
        <c:manualLayout>
          <c:xMode val="edge"/>
          <c:yMode val="edge"/>
          <c:x val="0.389299958557812"/>
          <c:y val="0.118213058419244"/>
        </c:manualLayout>
      </c:layout>
      <c:overlay val="0"/>
      <c:spPr>
        <a:noFill/>
        <a:ln>
          <a:noFill/>
        </a:ln>
        <a:effectLst/>
      </c:spPr>
    </c:title>
    <c:autoTitleDeleted val="0"/>
    <c:plotArea>
      <c:layout>
        <c:manualLayout>
          <c:layoutTarget val="inner"/>
          <c:xMode val="edge"/>
          <c:yMode val="edge"/>
          <c:x val="0.0806103719793646"/>
          <c:y val="0.0638716934576726"/>
          <c:w val="0.876432852143482"/>
          <c:h val="0.830100612423447"/>
        </c:manualLayout>
      </c:layout>
      <c:lineChart>
        <c:grouping val="standard"/>
        <c:varyColors val="0"/>
        <c:ser>
          <c:idx val="0"/>
          <c:order val="0"/>
          <c:tx>
            <c:strRef>
              <c:f>'Ext returns comps'!$BZ$4</c:f>
              <c:strCache>
                <c:ptCount val="1"/>
                <c:pt idx="0">
                  <c:v>Direct Investment at market value</c:v>
                </c:pt>
              </c:strCache>
            </c:strRef>
          </c:tx>
          <c:spPr>
            <a:ln w="28575" cap="rnd">
              <a:solidFill>
                <a:schemeClr val="accent1"/>
              </a:solidFill>
              <a:round/>
            </a:ln>
            <a:effectLst/>
          </c:spPr>
          <c:marker>
            <c:symbol val="none"/>
          </c:marker>
          <c:cat>
            <c:strRef>
              <c:f>'Ext returns comps'!$D$22:$D$61</c:f>
              <c:strCache>
                <c:ptCount val="40"/>
                <c:pt idx="0">
                  <c:v> 1977</c:v>
                </c:pt>
                <c:pt idx="1">
                  <c:v> 1978</c:v>
                </c:pt>
                <c:pt idx="2">
                  <c:v> 1979</c:v>
                </c:pt>
                <c:pt idx="3">
                  <c:v> 1980</c:v>
                </c:pt>
                <c:pt idx="4">
                  <c:v> 1981</c:v>
                </c:pt>
                <c:pt idx="5">
                  <c:v> 1982</c:v>
                </c:pt>
                <c:pt idx="6">
                  <c:v> 1983</c:v>
                </c:pt>
                <c:pt idx="7">
                  <c:v> 1984</c:v>
                </c:pt>
                <c:pt idx="8">
                  <c:v> 1985</c:v>
                </c:pt>
                <c:pt idx="9">
                  <c:v> 1986</c:v>
                </c:pt>
                <c:pt idx="10">
                  <c:v> 1987</c:v>
                </c:pt>
                <c:pt idx="11">
                  <c:v> 1988</c:v>
                </c:pt>
                <c:pt idx="12">
                  <c:v> 1989</c:v>
                </c:pt>
                <c:pt idx="13">
                  <c:v> 1990</c:v>
                </c:pt>
                <c:pt idx="14">
                  <c:v> 1991</c:v>
                </c:pt>
                <c:pt idx="15">
                  <c:v> 1992</c:v>
                </c:pt>
                <c:pt idx="16">
                  <c:v> 1993</c:v>
                </c:pt>
                <c:pt idx="17">
                  <c:v> 1994</c:v>
                </c:pt>
                <c:pt idx="18">
                  <c:v> 1995</c:v>
                </c:pt>
                <c:pt idx="19">
                  <c:v> 1996</c:v>
                </c:pt>
                <c:pt idx="20">
                  <c:v> 1997</c:v>
                </c:pt>
                <c:pt idx="21">
                  <c:v> 1998</c:v>
                </c:pt>
                <c:pt idx="22">
                  <c:v> 1999</c:v>
                </c:pt>
                <c:pt idx="23">
                  <c:v> 2000</c:v>
                </c:pt>
                <c:pt idx="24">
                  <c:v> 2001</c:v>
                </c:pt>
                <c:pt idx="25">
                  <c:v> 2002</c:v>
                </c:pt>
                <c:pt idx="26">
                  <c:v> 2003</c:v>
                </c:pt>
                <c:pt idx="27">
                  <c:v> 2004</c:v>
                </c:pt>
                <c:pt idx="28">
                  <c:v> 2005</c:v>
                </c:pt>
                <c:pt idx="29">
                  <c:v> 2006</c:v>
                </c:pt>
                <c:pt idx="30">
                  <c:v> 2007</c:v>
                </c:pt>
                <c:pt idx="31">
                  <c:v> 2008</c:v>
                </c:pt>
                <c:pt idx="32">
                  <c:v> 2009</c:v>
                </c:pt>
                <c:pt idx="33">
                  <c:v> 2010</c:v>
                </c:pt>
                <c:pt idx="34">
                  <c:v> 2011</c:v>
                </c:pt>
                <c:pt idx="35">
                  <c:v> 2012</c:v>
                </c:pt>
                <c:pt idx="36">
                  <c:v> 2013</c:v>
                </c:pt>
                <c:pt idx="37">
                  <c:v> 2014</c:v>
                </c:pt>
                <c:pt idx="38">
                  <c:v> 2015</c:v>
                </c:pt>
                <c:pt idx="39">
                  <c:v> 2016</c:v>
                </c:pt>
              </c:strCache>
            </c:strRef>
          </c:cat>
          <c:val>
            <c:numRef>
              <c:f>'Ext returns comps'!$BZ$22:$BZ$61</c:f>
              <c:numCache>
                <c:formatCode>General</c:formatCode>
                <c:ptCount val="40"/>
                <c:pt idx="0">
                  <c:v>0.14399274551531</c:v>
                </c:pt>
                <c:pt idx="1">
                  <c:v>0.156453395554464</c:v>
                </c:pt>
                <c:pt idx="2">
                  <c:v>0.201139739187225</c:v>
                </c:pt>
                <c:pt idx="3">
                  <c:v>0.161436147092063</c:v>
                </c:pt>
                <c:pt idx="4">
                  <c:v>0.109534587303135</c:v>
                </c:pt>
                <c:pt idx="5">
                  <c:v>0.100133846411243</c:v>
                </c:pt>
                <c:pt idx="6">
                  <c:v>0.0910531419246505</c:v>
                </c:pt>
                <c:pt idx="7">
                  <c:v>0.0890059062121967</c:v>
                </c:pt>
                <c:pt idx="8">
                  <c:v>0.0852983907018328</c:v>
                </c:pt>
                <c:pt idx="9">
                  <c:v>0.0776509219181279</c:v>
                </c:pt>
                <c:pt idx="10">
                  <c:v>0.0752465300469163</c:v>
                </c:pt>
                <c:pt idx="11">
                  <c:v>0.0857263135660967</c:v>
                </c:pt>
                <c:pt idx="12">
                  <c:v>0.079149674243595</c:v>
                </c:pt>
                <c:pt idx="13">
                  <c:v>0.0709489066792836</c:v>
                </c:pt>
                <c:pt idx="14">
                  <c:v>0.0688126881596942</c:v>
                </c:pt>
                <c:pt idx="15">
                  <c:v>0.0597663367900085</c:v>
                </c:pt>
                <c:pt idx="16">
                  <c:v>0.0713086359030024</c:v>
                </c:pt>
                <c:pt idx="17">
                  <c:v>0.0642032988242677</c:v>
                </c:pt>
                <c:pt idx="18">
                  <c:v>0.0772070620800529</c:v>
                </c:pt>
                <c:pt idx="19">
                  <c:v>0.0686324198635653</c:v>
                </c:pt>
                <c:pt idx="20">
                  <c:v>0.0659349830989442</c:v>
                </c:pt>
                <c:pt idx="21">
                  <c:v>0.0510489912214589</c:v>
                </c:pt>
                <c:pt idx="22">
                  <c:v>0.0548046956475956</c:v>
                </c:pt>
                <c:pt idx="23">
                  <c:v>0.0511453088479926</c:v>
                </c:pt>
                <c:pt idx="24">
                  <c:v>0.0453940441018616</c:v>
                </c:pt>
                <c:pt idx="25">
                  <c:v>0.0584913541515379</c:v>
                </c:pt>
                <c:pt idx="26">
                  <c:v>0.0825091398209747</c:v>
                </c:pt>
                <c:pt idx="27">
                  <c:v>0.0826059357747903</c:v>
                </c:pt>
                <c:pt idx="28">
                  <c:v>0.0777765293259988</c:v>
                </c:pt>
                <c:pt idx="29">
                  <c:v>0.0793082573749064</c:v>
                </c:pt>
                <c:pt idx="30">
                  <c:v>0.0754162565833085</c:v>
                </c:pt>
                <c:pt idx="31">
                  <c:v>0.0708829733678643</c:v>
                </c:pt>
                <c:pt idx="32">
                  <c:v>0.0995821387021132</c:v>
                </c:pt>
                <c:pt idx="33">
                  <c:v>0.0895854076968559</c:v>
                </c:pt>
                <c:pt idx="34">
                  <c:v>0.0863274236196436</c:v>
                </c:pt>
                <c:pt idx="35">
                  <c:v>0.0891329835357881</c:v>
                </c:pt>
                <c:pt idx="36">
                  <c:v>0.0797741587154171</c:v>
                </c:pt>
                <c:pt idx="37">
                  <c:v>0.0666795118673926</c:v>
                </c:pt>
                <c:pt idx="38">
                  <c:v>0.06077096622537</c:v>
                </c:pt>
                <c:pt idx="39">
                  <c:v>0.0634432398350095</c:v>
                </c:pt>
              </c:numCache>
            </c:numRef>
          </c:val>
          <c:smooth val="0"/>
          <c:extLst xmlns:c16r2="http://schemas.microsoft.com/office/drawing/2015/06/chart">
            <c:ext xmlns:c16="http://schemas.microsoft.com/office/drawing/2014/chart" uri="{C3380CC4-5D6E-409C-BE32-E72D297353CC}">
              <c16:uniqueId val="{00000000-F722-4938-AB71-BA17E82FDA53}"/>
            </c:ext>
          </c:extLst>
        </c:ser>
        <c:ser>
          <c:idx val="1"/>
          <c:order val="1"/>
          <c:tx>
            <c:strRef>
              <c:f>'Ext returns comps'!$BY$4</c:f>
              <c:strCache>
                <c:ptCount val="1"/>
                <c:pt idx="0">
                  <c:v>US int inv assets, exc fin deriv</c:v>
                </c:pt>
              </c:strCache>
            </c:strRef>
          </c:tx>
          <c:spPr>
            <a:ln w="28575" cap="rnd">
              <a:solidFill>
                <a:schemeClr val="accent2"/>
              </a:solidFill>
              <a:round/>
            </a:ln>
            <a:effectLst/>
          </c:spPr>
          <c:marker>
            <c:symbol val="none"/>
          </c:marker>
          <c:cat>
            <c:strRef>
              <c:f>'Ext returns comps'!$D$22:$D$61</c:f>
              <c:strCache>
                <c:ptCount val="40"/>
                <c:pt idx="0">
                  <c:v> 1977</c:v>
                </c:pt>
                <c:pt idx="1">
                  <c:v> 1978</c:v>
                </c:pt>
                <c:pt idx="2">
                  <c:v> 1979</c:v>
                </c:pt>
                <c:pt idx="3">
                  <c:v> 1980</c:v>
                </c:pt>
                <c:pt idx="4">
                  <c:v> 1981</c:v>
                </c:pt>
                <c:pt idx="5">
                  <c:v> 1982</c:v>
                </c:pt>
                <c:pt idx="6">
                  <c:v> 1983</c:v>
                </c:pt>
                <c:pt idx="7">
                  <c:v> 1984</c:v>
                </c:pt>
                <c:pt idx="8">
                  <c:v> 1985</c:v>
                </c:pt>
                <c:pt idx="9">
                  <c:v> 1986</c:v>
                </c:pt>
                <c:pt idx="10">
                  <c:v> 1987</c:v>
                </c:pt>
                <c:pt idx="11">
                  <c:v> 1988</c:v>
                </c:pt>
                <c:pt idx="12">
                  <c:v> 1989</c:v>
                </c:pt>
                <c:pt idx="13">
                  <c:v> 1990</c:v>
                </c:pt>
                <c:pt idx="14">
                  <c:v> 1991</c:v>
                </c:pt>
                <c:pt idx="15">
                  <c:v> 1992</c:v>
                </c:pt>
                <c:pt idx="16">
                  <c:v> 1993</c:v>
                </c:pt>
                <c:pt idx="17">
                  <c:v> 1994</c:v>
                </c:pt>
                <c:pt idx="18">
                  <c:v> 1995</c:v>
                </c:pt>
                <c:pt idx="19">
                  <c:v> 1996</c:v>
                </c:pt>
                <c:pt idx="20">
                  <c:v> 1997</c:v>
                </c:pt>
                <c:pt idx="21">
                  <c:v> 1998</c:v>
                </c:pt>
                <c:pt idx="22">
                  <c:v> 1999</c:v>
                </c:pt>
                <c:pt idx="23">
                  <c:v> 2000</c:v>
                </c:pt>
                <c:pt idx="24">
                  <c:v> 2001</c:v>
                </c:pt>
                <c:pt idx="25">
                  <c:v> 2002</c:v>
                </c:pt>
                <c:pt idx="26">
                  <c:v> 2003</c:v>
                </c:pt>
                <c:pt idx="27">
                  <c:v> 2004</c:v>
                </c:pt>
                <c:pt idx="28">
                  <c:v> 2005</c:v>
                </c:pt>
                <c:pt idx="29">
                  <c:v> 2006</c:v>
                </c:pt>
                <c:pt idx="30">
                  <c:v> 2007</c:v>
                </c:pt>
                <c:pt idx="31">
                  <c:v> 2008</c:v>
                </c:pt>
                <c:pt idx="32">
                  <c:v> 2009</c:v>
                </c:pt>
                <c:pt idx="33">
                  <c:v> 2010</c:v>
                </c:pt>
                <c:pt idx="34">
                  <c:v> 2011</c:v>
                </c:pt>
                <c:pt idx="35">
                  <c:v> 2012</c:v>
                </c:pt>
                <c:pt idx="36">
                  <c:v> 2013</c:v>
                </c:pt>
                <c:pt idx="37">
                  <c:v> 2014</c:v>
                </c:pt>
                <c:pt idx="38">
                  <c:v> 2015</c:v>
                </c:pt>
                <c:pt idx="39">
                  <c:v> 2016</c:v>
                </c:pt>
              </c:strCache>
            </c:strRef>
          </c:cat>
          <c:val>
            <c:numRef>
              <c:f>'Ext returns comps'!$BY$22:$BY$61</c:f>
              <c:numCache>
                <c:formatCode>General</c:formatCode>
                <c:ptCount val="40"/>
                <c:pt idx="0">
                  <c:v>0.0872318428534505</c:v>
                </c:pt>
                <c:pt idx="1">
                  <c:v>0.0989838251060458</c:v>
                </c:pt>
                <c:pt idx="2">
                  <c:v>0.122355490505427</c:v>
                </c:pt>
                <c:pt idx="3">
                  <c:v>0.106795403109661</c:v>
                </c:pt>
                <c:pt idx="4">
                  <c:v>0.103267495587445</c:v>
                </c:pt>
                <c:pt idx="5">
                  <c:v>0.10363254148243</c:v>
                </c:pt>
                <c:pt idx="6">
                  <c:v>0.0827508497046657</c:v>
                </c:pt>
                <c:pt idx="7">
                  <c:v>0.086898834464835</c:v>
                </c:pt>
                <c:pt idx="8">
                  <c:v>0.0771780139286179</c:v>
                </c:pt>
                <c:pt idx="9">
                  <c:v>0.0697272302132174</c:v>
                </c:pt>
                <c:pt idx="10">
                  <c:v>0.0644061257974562</c:v>
                </c:pt>
                <c:pt idx="11">
                  <c:v>0.0738897512506648</c:v>
                </c:pt>
                <c:pt idx="12">
                  <c:v>0.0768468080869009</c:v>
                </c:pt>
                <c:pt idx="13">
                  <c:v>0.0701667660780965</c:v>
                </c:pt>
                <c:pt idx="14">
                  <c:v>0.0617803708643705</c:v>
                </c:pt>
                <c:pt idx="15">
                  <c:v>0.0513329756523648</c:v>
                </c:pt>
                <c:pt idx="16">
                  <c:v>0.0521137548205252</c:v>
                </c:pt>
                <c:pt idx="17">
                  <c:v>0.0514778190348322</c:v>
                </c:pt>
                <c:pt idx="18">
                  <c:v>0.0612186964736011</c:v>
                </c:pt>
                <c:pt idx="19">
                  <c:v>0.0552303343001068</c:v>
                </c:pt>
                <c:pt idx="20">
                  <c:v>0.0535957916405456</c:v>
                </c:pt>
                <c:pt idx="21">
                  <c:v>0.0472908042858737</c:v>
                </c:pt>
                <c:pt idx="22">
                  <c:v>0.0469670038407065</c:v>
                </c:pt>
                <c:pt idx="23">
                  <c:v>0.0468641754263942</c:v>
                </c:pt>
                <c:pt idx="24">
                  <c:v>0.0388628360945689</c:v>
                </c:pt>
                <c:pt idx="25">
                  <c:v>0.0399614338216681</c:v>
                </c:pt>
                <c:pt idx="26">
                  <c:v>0.045911659396502</c:v>
                </c:pt>
                <c:pt idx="27">
                  <c:v>0.0482646079879512</c:v>
                </c:pt>
                <c:pt idx="28">
                  <c:v>0.0504498865473926</c:v>
                </c:pt>
                <c:pt idx="29">
                  <c:v>0.0559570614611425</c:v>
                </c:pt>
                <c:pt idx="30">
                  <c:v>0.0550384019049148</c:v>
                </c:pt>
                <c:pt idx="31">
                  <c:v>0.0449468897261977</c:v>
                </c:pt>
                <c:pt idx="32">
                  <c:v>0.0461230120474135</c:v>
                </c:pt>
                <c:pt idx="33">
                  <c:v>0.0426792782436492</c:v>
                </c:pt>
                <c:pt idx="34">
                  <c:v>0.0417287635338418</c:v>
                </c:pt>
                <c:pt idx="35">
                  <c:v>0.0439034437860094</c:v>
                </c:pt>
                <c:pt idx="36">
                  <c:v>0.0418541451001908</c:v>
                </c:pt>
                <c:pt idx="37">
                  <c:v>0.0386861781999202</c:v>
                </c:pt>
                <c:pt idx="38">
                  <c:v>0.0362824384768035</c:v>
                </c:pt>
                <c:pt idx="39">
                  <c:v>0.038901115601939</c:v>
                </c:pt>
              </c:numCache>
            </c:numRef>
          </c:val>
          <c:smooth val="0"/>
          <c:extLst xmlns:c16r2="http://schemas.microsoft.com/office/drawing/2015/06/chart">
            <c:ext xmlns:c16="http://schemas.microsoft.com/office/drawing/2014/chart" uri="{C3380CC4-5D6E-409C-BE32-E72D297353CC}">
              <c16:uniqueId val="{00000001-F722-4938-AB71-BA17E82FDA53}"/>
            </c:ext>
          </c:extLst>
        </c:ser>
        <c:ser>
          <c:idx val="2"/>
          <c:order val="2"/>
          <c:tx>
            <c:strRef>
              <c:f>'Ext returns comps'!$CC$4</c:f>
              <c:strCache>
                <c:ptCount val="1"/>
                <c:pt idx="0">
                  <c:v>Portfolio Investment</c:v>
                </c:pt>
              </c:strCache>
            </c:strRef>
          </c:tx>
          <c:spPr>
            <a:ln w="28575" cap="rnd">
              <a:solidFill>
                <a:schemeClr val="accent3"/>
              </a:solidFill>
              <a:round/>
            </a:ln>
            <a:effectLst/>
          </c:spPr>
          <c:marker>
            <c:symbol val="none"/>
          </c:marker>
          <c:cat>
            <c:strRef>
              <c:f>'Ext returns comps'!$D$22:$D$61</c:f>
              <c:strCache>
                <c:ptCount val="40"/>
                <c:pt idx="0">
                  <c:v> 1977</c:v>
                </c:pt>
                <c:pt idx="1">
                  <c:v> 1978</c:v>
                </c:pt>
                <c:pt idx="2">
                  <c:v> 1979</c:v>
                </c:pt>
                <c:pt idx="3">
                  <c:v> 1980</c:v>
                </c:pt>
                <c:pt idx="4">
                  <c:v> 1981</c:v>
                </c:pt>
                <c:pt idx="5">
                  <c:v> 1982</c:v>
                </c:pt>
                <c:pt idx="6">
                  <c:v> 1983</c:v>
                </c:pt>
                <c:pt idx="7">
                  <c:v> 1984</c:v>
                </c:pt>
                <c:pt idx="8">
                  <c:v> 1985</c:v>
                </c:pt>
                <c:pt idx="9">
                  <c:v> 1986</c:v>
                </c:pt>
                <c:pt idx="10">
                  <c:v> 1987</c:v>
                </c:pt>
                <c:pt idx="11">
                  <c:v> 1988</c:v>
                </c:pt>
                <c:pt idx="12">
                  <c:v> 1989</c:v>
                </c:pt>
                <c:pt idx="13">
                  <c:v> 1990</c:v>
                </c:pt>
                <c:pt idx="14">
                  <c:v> 1991</c:v>
                </c:pt>
                <c:pt idx="15">
                  <c:v> 1992</c:v>
                </c:pt>
                <c:pt idx="16">
                  <c:v> 1993</c:v>
                </c:pt>
                <c:pt idx="17">
                  <c:v> 1994</c:v>
                </c:pt>
                <c:pt idx="18">
                  <c:v> 1995</c:v>
                </c:pt>
                <c:pt idx="19">
                  <c:v> 1996</c:v>
                </c:pt>
                <c:pt idx="20">
                  <c:v> 1997</c:v>
                </c:pt>
                <c:pt idx="21">
                  <c:v> 1998</c:v>
                </c:pt>
                <c:pt idx="22">
                  <c:v> 1999</c:v>
                </c:pt>
                <c:pt idx="23">
                  <c:v> 2000</c:v>
                </c:pt>
                <c:pt idx="24">
                  <c:v> 2001</c:v>
                </c:pt>
                <c:pt idx="25">
                  <c:v> 2002</c:v>
                </c:pt>
                <c:pt idx="26">
                  <c:v> 2003</c:v>
                </c:pt>
                <c:pt idx="27">
                  <c:v> 2004</c:v>
                </c:pt>
                <c:pt idx="28">
                  <c:v> 2005</c:v>
                </c:pt>
                <c:pt idx="29">
                  <c:v> 2006</c:v>
                </c:pt>
                <c:pt idx="30">
                  <c:v> 2007</c:v>
                </c:pt>
                <c:pt idx="31">
                  <c:v> 2008</c:v>
                </c:pt>
                <c:pt idx="32">
                  <c:v> 2009</c:v>
                </c:pt>
                <c:pt idx="33">
                  <c:v> 2010</c:v>
                </c:pt>
                <c:pt idx="34">
                  <c:v> 2011</c:v>
                </c:pt>
                <c:pt idx="35">
                  <c:v> 2012</c:v>
                </c:pt>
                <c:pt idx="36">
                  <c:v> 2013</c:v>
                </c:pt>
                <c:pt idx="37">
                  <c:v> 2014</c:v>
                </c:pt>
                <c:pt idx="38">
                  <c:v> 2015</c:v>
                </c:pt>
                <c:pt idx="39">
                  <c:v> 2016</c:v>
                </c:pt>
              </c:strCache>
            </c:strRef>
          </c:cat>
          <c:val>
            <c:numRef>
              <c:f>'Ext returns comps'!$CC$22:$CC$61</c:f>
              <c:numCache>
                <c:formatCode>General</c:formatCode>
                <c:ptCount val="40"/>
                <c:pt idx="9">
                  <c:v>0.0652971492413594</c:v>
                </c:pt>
                <c:pt idx="10">
                  <c:v>0.058616544160029</c:v>
                </c:pt>
                <c:pt idx="11">
                  <c:v>0.057658452748682</c:v>
                </c:pt>
                <c:pt idx="12">
                  <c:v>0.0485277830568899</c:v>
                </c:pt>
                <c:pt idx="13">
                  <c:v>0.04796235788814</c:v>
                </c:pt>
                <c:pt idx="14">
                  <c:v>0.0526392472587642</c:v>
                </c:pt>
                <c:pt idx="15">
                  <c:v>0.0523817228350353</c:v>
                </c:pt>
                <c:pt idx="16">
                  <c:v>0.0529779633780616</c:v>
                </c:pt>
                <c:pt idx="17">
                  <c:v>0.0429623000823952</c:v>
                </c:pt>
                <c:pt idx="18">
                  <c:v>0.0445400761779423</c:v>
                </c:pt>
                <c:pt idx="19">
                  <c:v>0.0402409593328339</c:v>
                </c:pt>
                <c:pt idx="20">
                  <c:v>0.0354034558685183</c:v>
                </c:pt>
                <c:pt idx="21">
                  <c:v>0.0336794260166461</c:v>
                </c:pt>
                <c:pt idx="22">
                  <c:v>0.0335763278746794</c:v>
                </c:pt>
                <c:pt idx="23">
                  <c:v>0.0295770886022466</c:v>
                </c:pt>
                <c:pt idx="24">
                  <c:v>0.0289164441321702</c:v>
                </c:pt>
                <c:pt idx="25">
                  <c:v>0.0353629446861265</c:v>
                </c:pt>
                <c:pt idx="26">
                  <c:v>0.0398187815191938</c:v>
                </c:pt>
                <c:pt idx="27">
                  <c:v>0.0342062918117916</c:v>
                </c:pt>
                <c:pt idx="28">
                  <c:v>0.0338771336139623</c:v>
                </c:pt>
                <c:pt idx="29">
                  <c:v>0.0358928039839463</c:v>
                </c:pt>
                <c:pt idx="30">
                  <c:v>0.0368296582395448</c:v>
                </c:pt>
                <c:pt idx="31">
                  <c:v>0.0332315484137044</c:v>
                </c:pt>
                <c:pt idx="32">
                  <c:v>0.0426810287586682</c:v>
                </c:pt>
                <c:pt idx="33">
                  <c:v>0.0321614695519756</c:v>
                </c:pt>
                <c:pt idx="34">
                  <c:v>0.0331469089708543</c:v>
                </c:pt>
                <c:pt idx="35">
                  <c:v>0.0378984512201582</c:v>
                </c:pt>
                <c:pt idx="36">
                  <c:v>0.0348749198549442</c:v>
                </c:pt>
                <c:pt idx="37">
                  <c:v>0.0331285597980905</c:v>
                </c:pt>
                <c:pt idx="38">
                  <c:v>0.0317348649787186</c:v>
                </c:pt>
                <c:pt idx="39">
                  <c:v>0.0338602649792036</c:v>
                </c:pt>
              </c:numCache>
            </c:numRef>
          </c:val>
          <c:smooth val="0"/>
          <c:extLst xmlns:c16r2="http://schemas.microsoft.com/office/drawing/2015/06/chart">
            <c:ext xmlns:c16="http://schemas.microsoft.com/office/drawing/2014/chart" uri="{C3380CC4-5D6E-409C-BE32-E72D297353CC}">
              <c16:uniqueId val="{00000002-F722-4938-AB71-BA17E82FDA53}"/>
            </c:ext>
          </c:extLst>
        </c:ser>
        <c:ser>
          <c:idx val="3"/>
          <c:order val="3"/>
          <c:tx>
            <c:strRef>
              <c:f>'Ext returns comps'!$CF$4</c:f>
              <c:strCache>
                <c:ptCount val="1"/>
                <c:pt idx="0">
                  <c:v>Other investment</c:v>
                </c:pt>
              </c:strCache>
            </c:strRef>
          </c:tx>
          <c:spPr>
            <a:ln w="28575" cap="rnd">
              <a:solidFill>
                <a:schemeClr val="accent4"/>
              </a:solidFill>
              <a:round/>
            </a:ln>
            <a:effectLst/>
          </c:spPr>
          <c:marker>
            <c:symbol val="none"/>
          </c:marker>
          <c:cat>
            <c:strRef>
              <c:f>'Ext returns comps'!$D$22:$D$61</c:f>
              <c:strCache>
                <c:ptCount val="40"/>
                <c:pt idx="0">
                  <c:v> 1977</c:v>
                </c:pt>
                <c:pt idx="1">
                  <c:v> 1978</c:v>
                </c:pt>
                <c:pt idx="2">
                  <c:v> 1979</c:v>
                </c:pt>
                <c:pt idx="3">
                  <c:v> 1980</c:v>
                </c:pt>
                <c:pt idx="4">
                  <c:v> 1981</c:v>
                </c:pt>
                <c:pt idx="5">
                  <c:v> 1982</c:v>
                </c:pt>
                <c:pt idx="6">
                  <c:v> 1983</c:v>
                </c:pt>
                <c:pt idx="7">
                  <c:v> 1984</c:v>
                </c:pt>
                <c:pt idx="8">
                  <c:v> 1985</c:v>
                </c:pt>
                <c:pt idx="9">
                  <c:v> 1986</c:v>
                </c:pt>
                <c:pt idx="10">
                  <c:v> 1987</c:v>
                </c:pt>
                <c:pt idx="11">
                  <c:v> 1988</c:v>
                </c:pt>
                <c:pt idx="12">
                  <c:v> 1989</c:v>
                </c:pt>
                <c:pt idx="13">
                  <c:v> 1990</c:v>
                </c:pt>
                <c:pt idx="14">
                  <c:v> 1991</c:v>
                </c:pt>
                <c:pt idx="15">
                  <c:v> 1992</c:v>
                </c:pt>
                <c:pt idx="16">
                  <c:v> 1993</c:v>
                </c:pt>
                <c:pt idx="17">
                  <c:v> 1994</c:v>
                </c:pt>
                <c:pt idx="18">
                  <c:v> 1995</c:v>
                </c:pt>
                <c:pt idx="19">
                  <c:v> 1996</c:v>
                </c:pt>
                <c:pt idx="20">
                  <c:v> 1997</c:v>
                </c:pt>
                <c:pt idx="21">
                  <c:v> 1998</c:v>
                </c:pt>
                <c:pt idx="22">
                  <c:v> 1999</c:v>
                </c:pt>
                <c:pt idx="23">
                  <c:v> 2000</c:v>
                </c:pt>
                <c:pt idx="24">
                  <c:v> 2001</c:v>
                </c:pt>
                <c:pt idx="25">
                  <c:v> 2002</c:v>
                </c:pt>
                <c:pt idx="26">
                  <c:v> 2003</c:v>
                </c:pt>
                <c:pt idx="27">
                  <c:v> 2004</c:v>
                </c:pt>
                <c:pt idx="28">
                  <c:v> 2005</c:v>
                </c:pt>
                <c:pt idx="29">
                  <c:v> 2006</c:v>
                </c:pt>
                <c:pt idx="30">
                  <c:v> 2007</c:v>
                </c:pt>
                <c:pt idx="31">
                  <c:v> 2008</c:v>
                </c:pt>
                <c:pt idx="32">
                  <c:v> 2009</c:v>
                </c:pt>
                <c:pt idx="33">
                  <c:v> 2010</c:v>
                </c:pt>
                <c:pt idx="34">
                  <c:v> 2011</c:v>
                </c:pt>
                <c:pt idx="35">
                  <c:v> 2012</c:v>
                </c:pt>
                <c:pt idx="36">
                  <c:v> 2013</c:v>
                </c:pt>
                <c:pt idx="37">
                  <c:v> 2014</c:v>
                </c:pt>
                <c:pt idx="38">
                  <c:v> 2015</c:v>
                </c:pt>
                <c:pt idx="39">
                  <c:v> 2016</c:v>
                </c:pt>
              </c:strCache>
            </c:strRef>
          </c:cat>
          <c:val>
            <c:numRef>
              <c:f>'Ext returns comps'!$CF$22:$CF$61</c:f>
              <c:numCache>
                <c:formatCode>General</c:formatCode>
                <c:ptCount val="40"/>
                <c:pt idx="0">
                  <c:v>0.0854333128457283</c:v>
                </c:pt>
                <c:pt idx="1">
                  <c:v>0.10264100131591</c:v>
                </c:pt>
                <c:pt idx="2">
                  <c:v>0.124764414015924</c:v>
                </c:pt>
                <c:pt idx="3">
                  <c:v>0.14940721790695</c:v>
                </c:pt>
                <c:pt idx="4">
                  <c:v>0.184745495973232</c:v>
                </c:pt>
                <c:pt idx="5">
                  <c:v>0.163602511548026</c:v>
                </c:pt>
                <c:pt idx="6">
                  <c:v>0.119790670262464</c:v>
                </c:pt>
                <c:pt idx="7">
                  <c:v>0.11828609313298</c:v>
                </c:pt>
                <c:pt idx="8">
                  <c:v>0.0987949770624611</c:v>
                </c:pt>
                <c:pt idx="9">
                  <c:v>0.0760336215978596</c:v>
                </c:pt>
                <c:pt idx="10">
                  <c:v>0.0676398181367637</c:v>
                </c:pt>
                <c:pt idx="11">
                  <c:v>0.0820171722664104</c:v>
                </c:pt>
                <c:pt idx="12">
                  <c:v>0.0963488083052234</c:v>
                </c:pt>
                <c:pt idx="13">
                  <c:v>0.0898111260062056</c:v>
                </c:pt>
                <c:pt idx="14">
                  <c:v>0.0694507239733879</c:v>
                </c:pt>
                <c:pt idx="15">
                  <c:v>0.0489424254627475</c:v>
                </c:pt>
                <c:pt idx="16">
                  <c:v>0.0384650378656105</c:v>
                </c:pt>
                <c:pt idx="17">
                  <c:v>0.0504467456806153</c:v>
                </c:pt>
                <c:pt idx="18">
                  <c:v>0.0656328220498298</c:v>
                </c:pt>
                <c:pt idx="19">
                  <c:v>0.0610704521794826</c:v>
                </c:pt>
                <c:pt idx="20">
                  <c:v>0.0638210996904971</c:v>
                </c:pt>
                <c:pt idx="21">
                  <c:v>0.0612964229142415</c:v>
                </c:pt>
                <c:pt idx="22">
                  <c:v>0.0537034127803462</c:v>
                </c:pt>
                <c:pt idx="23">
                  <c:v>0.0657539006336115</c:v>
                </c:pt>
                <c:pt idx="24">
                  <c:v>0.0415446302320752</c:v>
                </c:pt>
                <c:pt idx="25">
                  <c:v>0.0228529407018587</c:v>
                </c:pt>
                <c:pt idx="26">
                  <c:v>0.0168681783415607</c:v>
                </c:pt>
                <c:pt idx="27">
                  <c:v>0.0227713627112303</c:v>
                </c:pt>
                <c:pt idx="28">
                  <c:v>0.0379305045881305</c:v>
                </c:pt>
                <c:pt idx="29">
                  <c:v>0.0567439984667466</c:v>
                </c:pt>
                <c:pt idx="30">
                  <c:v>0.0586685387772391</c:v>
                </c:pt>
                <c:pt idx="31">
                  <c:v>0.0320295333207105</c:v>
                </c:pt>
                <c:pt idx="32">
                  <c:v>0.0106831163337893</c:v>
                </c:pt>
                <c:pt idx="33">
                  <c:v>0.00787342985142514</c:v>
                </c:pt>
                <c:pt idx="34">
                  <c:v>0.00763400777978845</c:v>
                </c:pt>
                <c:pt idx="35">
                  <c:v>0.00738468793562501</c:v>
                </c:pt>
                <c:pt idx="36">
                  <c:v>0.00705955073733689</c:v>
                </c:pt>
                <c:pt idx="37">
                  <c:v>0.00706298768836376</c:v>
                </c:pt>
                <c:pt idx="38">
                  <c:v>0.00736815073808496</c:v>
                </c:pt>
                <c:pt idx="39">
                  <c:v>0.00987889397078508</c:v>
                </c:pt>
              </c:numCache>
            </c:numRef>
          </c:val>
          <c:smooth val="0"/>
          <c:extLst xmlns:c16r2="http://schemas.microsoft.com/office/drawing/2015/06/chart">
            <c:ext xmlns:c16="http://schemas.microsoft.com/office/drawing/2014/chart" uri="{C3380CC4-5D6E-409C-BE32-E72D297353CC}">
              <c16:uniqueId val="{00000003-F722-4938-AB71-BA17E82FDA53}"/>
            </c:ext>
          </c:extLst>
        </c:ser>
        <c:dLbls>
          <c:showLegendKey val="0"/>
          <c:showVal val="0"/>
          <c:showCatName val="0"/>
          <c:showSerName val="0"/>
          <c:showPercent val="0"/>
          <c:showBubbleSize val="0"/>
        </c:dLbls>
        <c:marker val="1"/>
        <c:smooth val="0"/>
        <c:axId val="-2079805144"/>
        <c:axId val="-2079801528"/>
      </c:lineChart>
      <c:catAx>
        <c:axId val="-2079805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9801528"/>
        <c:crosses val="autoZero"/>
        <c:auto val="0"/>
        <c:lblAlgn val="ctr"/>
        <c:lblOffset val="100"/>
        <c:tickLblSkip val="5"/>
        <c:noMultiLvlLbl val="0"/>
      </c:catAx>
      <c:valAx>
        <c:axId val="-2079801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9805144"/>
        <c:crosses val="autoZero"/>
        <c:crossBetween val="between"/>
      </c:valAx>
      <c:spPr>
        <a:noFill/>
        <a:ln>
          <a:noFill/>
        </a:ln>
        <a:effectLst/>
      </c:spPr>
    </c:plotArea>
    <c:legend>
      <c:legendPos val="t"/>
      <c:layout>
        <c:manualLayout>
          <c:xMode val="edge"/>
          <c:yMode val="edge"/>
          <c:x val="0.277105180273518"/>
          <c:y val="0.24192439862543"/>
          <c:w val="0.72289491763129"/>
          <c:h val="0.07200318153173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450795113271588"/>
          <c:y val="0.0659188846616369"/>
          <c:w val="0.921106919348289"/>
          <c:h val="0.822860467940853"/>
        </c:manualLayout>
      </c:layout>
      <c:lineChart>
        <c:grouping val="standard"/>
        <c:varyColors val="0"/>
        <c:ser>
          <c:idx val="0"/>
          <c:order val="0"/>
          <c:tx>
            <c:strRef>
              <c:f>'Ext returns comps'!$HL$4</c:f>
              <c:strCache>
                <c:ptCount val="1"/>
                <c:pt idx="0">
                  <c:v>US net int investment </c:v>
                </c:pt>
              </c:strCache>
            </c:strRef>
          </c:tx>
          <c:spPr>
            <a:ln w="28575" cap="rnd">
              <a:solidFill>
                <a:schemeClr val="accent1"/>
              </a:solidFill>
              <a:round/>
            </a:ln>
            <a:effectLst/>
          </c:spPr>
          <c:marker>
            <c:symbol val="none"/>
          </c:marker>
          <c:cat>
            <c:strRef>
              <c:f>'Ext returns comps'!$D$22:$D$61</c:f>
              <c:strCache>
                <c:ptCount val="40"/>
                <c:pt idx="0">
                  <c:v> 1977</c:v>
                </c:pt>
                <c:pt idx="1">
                  <c:v> 1978</c:v>
                </c:pt>
                <c:pt idx="2">
                  <c:v> 1979</c:v>
                </c:pt>
                <c:pt idx="3">
                  <c:v> 1980</c:v>
                </c:pt>
                <c:pt idx="4">
                  <c:v> 1981</c:v>
                </c:pt>
                <c:pt idx="5">
                  <c:v> 1982</c:v>
                </c:pt>
                <c:pt idx="6">
                  <c:v> 1983</c:v>
                </c:pt>
                <c:pt idx="7">
                  <c:v> 1984</c:v>
                </c:pt>
                <c:pt idx="8">
                  <c:v> 1985</c:v>
                </c:pt>
                <c:pt idx="9">
                  <c:v> 1986</c:v>
                </c:pt>
                <c:pt idx="10">
                  <c:v> 1987</c:v>
                </c:pt>
                <c:pt idx="11">
                  <c:v> 1988</c:v>
                </c:pt>
                <c:pt idx="12">
                  <c:v> 1989</c:v>
                </c:pt>
                <c:pt idx="13">
                  <c:v> 1990</c:v>
                </c:pt>
                <c:pt idx="14">
                  <c:v> 1991</c:v>
                </c:pt>
                <c:pt idx="15">
                  <c:v> 1992</c:v>
                </c:pt>
                <c:pt idx="16">
                  <c:v> 1993</c:v>
                </c:pt>
                <c:pt idx="17">
                  <c:v> 1994</c:v>
                </c:pt>
                <c:pt idx="18">
                  <c:v> 1995</c:v>
                </c:pt>
                <c:pt idx="19">
                  <c:v> 1996</c:v>
                </c:pt>
                <c:pt idx="20">
                  <c:v> 1997</c:v>
                </c:pt>
                <c:pt idx="21">
                  <c:v> 1998</c:v>
                </c:pt>
                <c:pt idx="22">
                  <c:v> 1999</c:v>
                </c:pt>
                <c:pt idx="23">
                  <c:v> 2000</c:v>
                </c:pt>
                <c:pt idx="24">
                  <c:v> 2001</c:v>
                </c:pt>
                <c:pt idx="25">
                  <c:v> 2002</c:v>
                </c:pt>
                <c:pt idx="26">
                  <c:v> 2003</c:v>
                </c:pt>
                <c:pt idx="27">
                  <c:v> 2004</c:v>
                </c:pt>
                <c:pt idx="28">
                  <c:v> 2005</c:v>
                </c:pt>
                <c:pt idx="29">
                  <c:v> 2006</c:v>
                </c:pt>
                <c:pt idx="30">
                  <c:v> 2007</c:v>
                </c:pt>
                <c:pt idx="31">
                  <c:v> 2008</c:v>
                </c:pt>
                <c:pt idx="32">
                  <c:v> 2009</c:v>
                </c:pt>
                <c:pt idx="33">
                  <c:v> 2010</c:v>
                </c:pt>
                <c:pt idx="34">
                  <c:v> 2011</c:v>
                </c:pt>
                <c:pt idx="35">
                  <c:v> 2012</c:v>
                </c:pt>
                <c:pt idx="36">
                  <c:v> 2013</c:v>
                </c:pt>
                <c:pt idx="37">
                  <c:v> 2014</c:v>
                </c:pt>
                <c:pt idx="38">
                  <c:v> 2015</c:v>
                </c:pt>
                <c:pt idx="39">
                  <c:v> 2016</c:v>
                </c:pt>
              </c:strCache>
            </c:strRef>
          </c:cat>
          <c:val>
            <c:numRef>
              <c:f>'Ext returns comps'!$HL$22:$HL$61</c:f>
              <c:numCache>
                <c:formatCode>General</c:formatCode>
                <c:ptCount val="40"/>
                <c:pt idx="0">
                  <c:v>0.0383122033975322</c:v>
                </c:pt>
                <c:pt idx="1">
                  <c:v>0.0333811892979782</c:v>
                </c:pt>
                <c:pt idx="2">
                  <c:v>0.039503238903553</c:v>
                </c:pt>
                <c:pt idx="3">
                  <c:v>0.0118846285987431</c:v>
                </c:pt>
                <c:pt idx="4">
                  <c:v>0.00439646194701441</c:v>
                </c:pt>
                <c:pt idx="5">
                  <c:v>0.0105226765603979</c:v>
                </c:pt>
                <c:pt idx="6">
                  <c:v>0.0149344831280733</c:v>
                </c:pt>
                <c:pt idx="7">
                  <c:v>0.00856513934883787</c:v>
                </c:pt>
                <c:pt idx="8">
                  <c:v>0.00914167013865821</c:v>
                </c:pt>
                <c:pt idx="9">
                  <c:v>0.00845472518815902</c:v>
                </c:pt>
                <c:pt idx="10">
                  <c:v>0.00611008787842601</c:v>
                </c:pt>
                <c:pt idx="11">
                  <c:v>0.00900087893705349</c:v>
                </c:pt>
                <c:pt idx="12">
                  <c:v>0.00984389216879058</c:v>
                </c:pt>
                <c:pt idx="13">
                  <c:v>0.0138570104482772</c:v>
                </c:pt>
                <c:pt idx="14">
                  <c:v>0.0145750577838</c:v>
                </c:pt>
                <c:pt idx="15">
                  <c:v>0.0145588706592213</c:v>
                </c:pt>
                <c:pt idx="16">
                  <c:v>0.0174119650551853</c:v>
                </c:pt>
                <c:pt idx="17">
                  <c:v>0.00874556958662308</c:v>
                </c:pt>
                <c:pt idx="18">
                  <c:v>0.00956724140481408</c:v>
                </c:pt>
                <c:pt idx="19">
                  <c:v>0.0100538666091822</c:v>
                </c:pt>
                <c:pt idx="20">
                  <c:v>0.0072042771957628</c:v>
                </c:pt>
                <c:pt idx="21">
                  <c:v>0.00767618745040626</c:v>
                </c:pt>
                <c:pt idx="22">
                  <c:v>0.00960436475055672</c:v>
                </c:pt>
                <c:pt idx="23">
                  <c:v>0.00882203395987303</c:v>
                </c:pt>
                <c:pt idx="24">
                  <c:v>0.0107827651285372</c:v>
                </c:pt>
                <c:pt idx="25">
                  <c:v>0.0133899265232487</c:v>
                </c:pt>
                <c:pt idx="26">
                  <c:v>0.0167070096966148</c:v>
                </c:pt>
                <c:pt idx="27">
                  <c:v>0.0163600171160925</c:v>
                </c:pt>
                <c:pt idx="28">
                  <c:v>0.0145947416917429</c:v>
                </c:pt>
                <c:pt idx="29">
                  <c:v>0.0106889198204289</c:v>
                </c:pt>
                <c:pt idx="30">
                  <c:v>0.0119462253688768</c:v>
                </c:pt>
                <c:pt idx="31">
                  <c:v>0.0106396822403834</c:v>
                </c:pt>
                <c:pt idx="32">
                  <c:v>0.0184070243913086</c:v>
                </c:pt>
                <c:pt idx="33">
                  <c:v>0.0160357297990836</c:v>
                </c:pt>
                <c:pt idx="34">
                  <c:v>0.0161390692034947</c:v>
                </c:pt>
                <c:pt idx="35">
                  <c:v>0.0191430737854555</c:v>
                </c:pt>
                <c:pt idx="36">
                  <c:v>0.0175831850741094</c:v>
                </c:pt>
                <c:pt idx="37">
                  <c:v>0.0165056331894084</c:v>
                </c:pt>
                <c:pt idx="38">
                  <c:v>0.0159051800022863</c:v>
                </c:pt>
                <c:pt idx="39">
                  <c:v>0.0171053834144402</c:v>
                </c:pt>
              </c:numCache>
            </c:numRef>
          </c:val>
          <c:smooth val="0"/>
          <c:extLst xmlns:c16r2="http://schemas.microsoft.com/office/drawing/2015/06/chart">
            <c:ext xmlns:c16="http://schemas.microsoft.com/office/drawing/2014/chart" uri="{C3380CC4-5D6E-409C-BE32-E72D297353CC}">
              <c16:uniqueId val="{00000000-6999-48FA-B913-9C7A0C360A42}"/>
            </c:ext>
          </c:extLst>
        </c:ser>
        <c:ser>
          <c:idx val="1"/>
          <c:order val="1"/>
          <c:tx>
            <c:strRef>
              <c:f>'Ext returns comps'!$HM$4</c:f>
              <c:strCache>
                <c:ptCount val="1"/>
                <c:pt idx="0">
                  <c:v>Direct Investment at market value</c:v>
                </c:pt>
              </c:strCache>
            </c:strRef>
          </c:tx>
          <c:spPr>
            <a:ln w="28575" cap="rnd">
              <a:solidFill>
                <a:schemeClr val="accent2"/>
              </a:solidFill>
              <a:round/>
            </a:ln>
            <a:effectLst/>
          </c:spPr>
          <c:marker>
            <c:symbol val="none"/>
          </c:marker>
          <c:cat>
            <c:strRef>
              <c:f>'Ext returns comps'!$D$22:$D$61</c:f>
              <c:strCache>
                <c:ptCount val="40"/>
                <c:pt idx="0">
                  <c:v> 1977</c:v>
                </c:pt>
                <c:pt idx="1">
                  <c:v> 1978</c:v>
                </c:pt>
                <c:pt idx="2">
                  <c:v> 1979</c:v>
                </c:pt>
                <c:pt idx="3">
                  <c:v> 1980</c:v>
                </c:pt>
                <c:pt idx="4">
                  <c:v> 1981</c:v>
                </c:pt>
                <c:pt idx="5">
                  <c:v> 1982</c:v>
                </c:pt>
                <c:pt idx="6">
                  <c:v> 1983</c:v>
                </c:pt>
                <c:pt idx="7">
                  <c:v> 1984</c:v>
                </c:pt>
                <c:pt idx="8">
                  <c:v> 1985</c:v>
                </c:pt>
                <c:pt idx="9">
                  <c:v> 1986</c:v>
                </c:pt>
                <c:pt idx="10">
                  <c:v> 1987</c:v>
                </c:pt>
                <c:pt idx="11">
                  <c:v> 1988</c:v>
                </c:pt>
                <c:pt idx="12">
                  <c:v> 1989</c:v>
                </c:pt>
                <c:pt idx="13">
                  <c:v> 1990</c:v>
                </c:pt>
                <c:pt idx="14">
                  <c:v> 1991</c:v>
                </c:pt>
                <c:pt idx="15">
                  <c:v> 1992</c:v>
                </c:pt>
                <c:pt idx="16">
                  <c:v> 1993</c:v>
                </c:pt>
                <c:pt idx="17">
                  <c:v> 1994</c:v>
                </c:pt>
                <c:pt idx="18">
                  <c:v> 1995</c:v>
                </c:pt>
                <c:pt idx="19">
                  <c:v> 1996</c:v>
                </c:pt>
                <c:pt idx="20">
                  <c:v> 1997</c:v>
                </c:pt>
                <c:pt idx="21">
                  <c:v> 1998</c:v>
                </c:pt>
                <c:pt idx="22">
                  <c:v> 1999</c:v>
                </c:pt>
                <c:pt idx="23">
                  <c:v> 2000</c:v>
                </c:pt>
                <c:pt idx="24">
                  <c:v> 2001</c:v>
                </c:pt>
                <c:pt idx="25">
                  <c:v> 2002</c:v>
                </c:pt>
                <c:pt idx="26">
                  <c:v> 2003</c:v>
                </c:pt>
                <c:pt idx="27">
                  <c:v> 2004</c:v>
                </c:pt>
                <c:pt idx="28">
                  <c:v> 2005</c:v>
                </c:pt>
                <c:pt idx="29">
                  <c:v> 2006</c:v>
                </c:pt>
                <c:pt idx="30">
                  <c:v> 2007</c:v>
                </c:pt>
                <c:pt idx="31">
                  <c:v> 2008</c:v>
                </c:pt>
                <c:pt idx="32">
                  <c:v> 2009</c:v>
                </c:pt>
                <c:pt idx="33">
                  <c:v> 2010</c:v>
                </c:pt>
                <c:pt idx="34">
                  <c:v> 2011</c:v>
                </c:pt>
                <c:pt idx="35">
                  <c:v> 2012</c:v>
                </c:pt>
                <c:pt idx="36">
                  <c:v> 2013</c:v>
                </c:pt>
                <c:pt idx="37">
                  <c:v> 2014</c:v>
                </c:pt>
                <c:pt idx="38">
                  <c:v> 2015</c:v>
                </c:pt>
                <c:pt idx="39">
                  <c:v> 2016</c:v>
                </c:pt>
              </c:strCache>
            </c:strRef>
          </c:cat>
          <c:val>
            <c:numRef>
              <c:f>'Ext returns comps'!$HM$22:$HM$61</c:f>
              <c:numCache>
                <c:formatCode>General</c:formatCode>
                <c:ptCount val="40"/>
                <c:pt idx="0">
                  <c:v>0.0794517789860285</c:v>
                </c:pt>
                <c:pt idx="1">
                  <c:v>0.0590402806486377</c:v>
                </c:pt>
                <c:pt idx="2">
                  <c:v>0.0755200350650814</c:v>
                </c:pt>
                <c:pt idx="3">
                  <c:v>0.0300313015383831</c:v>
                </c:pt>
                <c:pt idx="4">
                  <c:v>0.040743094617864</c:v>
                </c:pt>
                <c:pt idx="5">
                  <c:v>0.0822917353692638</c:v>
                </c:pt>
                <c:pt idx="6">
                  <c:v>0.0700290693615658</c:v>
                </c:pt>
                <c:pt idx="7">
                  <c:v>0.0511422501114585</c:v>
                </c:pt>
                <c:pt idx="8">
                  <c:v>0.0575380460269292</c:v>
                </c:pt>
                <c:pt idx="9">
                  <c:v>0.0554906958870551</c:v>
                </c:pt>
                <c:pt idx="10">
                  <c:v>0.0538097789366741</c:v>
                </c:pt>
                <c:pt idx="11">
                  <c:v>0.0559180693901464</c:v>
                </c:pt>
                <c:pt idx="12">
                  <c:v>0.064523573396111</c:v>
                </c:pt>
                <c:pt idx="13">
                  <c:v>0.0654921094870826</c:v>
                </c:pt>
                <c:pt idx="14">
                  <c:v>0.0722157463746767</c:v>
                </c:pt>
                <c:pt idx="15">
                  <c:v>0.0570679426453995</c:v>
                </c:pt>
                <c:pt idx="16">
                  <c:v>0.0618665064055045</c:v>
                </c:pt>
                <c:pt idx="17">
                  <c:v>0.0399082927368057</c:v>
                </c:pt>
                <c:pt idx="18">
                  <c:v>0.0426372077225188</c:v>
                </c:pt>
                <c:pt idx="19">
                  <c:v>0.0394921502830479</c:v>
                </c:pt>
                <c:pt idx="20">
                  <c:v>0.0345863571833016</c:v>
                </c:pt>
                <c:pt idx="21">
                  <c:v>0.0296482184312517</c:v>
                </c:pt>
                <c:pt idx="22">
                  <c:v>0.0303473317974438</c:v>
                </c:pt>
                <c:pt idx="23">
                  <c:v>0.0304646216091673</c:v>
                </c:pt>
                <c:pt idx="24">
                  <c:v>0.0389359279351411</c:v>
                </c:pt>
                <c:pt idx="25">
                  <c:v>0.0407838062101145</c:v>
                </c:pt>
                <c:pt idx="26">
                  <c:v>0.0458117594663433</c:v>
                </c:pt>
                <c:pt idx="27">
                  <c:v>0.0426972982166619</c:v>
                </c:pt>
                <c:pt idx="28">
                  <c:v>0.0352328803875991</c:v>
                </c:pt>
                <c:pt idx="29">
                  <c:v>0.0286870269618849</c:v>
                </c:pt>
                <c:pt idx="30">
                  <c:v>0.0373602623691606</c:v>
                </c:pt>
                <c:pt idx="31">
                  <c:v>0.0352219968253858</c:v>
                </c:pt>
                <c:pt idx="32">
                  <c:v>0.0607941442403439</c:v>
                </c:pt>
                <c:pt idx="33">
                  <c:v>0.0441397556130562</c:v>
                </c:pt>
                <c:pt idx="34">
                  <c:v>0.0412082180970614</c:v>
                </c:pt>
                <c:pt idx="35">
                  <c:v>0.0464298656985682</c:v>
                </c:pt>
                <c:pt idx="36">
                  <c:v>0.0383944844937552</c:v>
                </c:pt>
                <c:pt idx="37">
                  <c:v>0.0326106873663448</c:v>
                </c:pt>
                <c:pt idx="38">
                  <c:v>0.0340215576353404</c:v>
                </c:pt>
                <c:pt idx="39">
                  <c:v>0.0358032475594211</c:v>
                </c:pt>
              </c:numCache>
            </c:numRef>
          </c:val>
          <c:smooth val="0"/>
          <c:extLst xmlns:c16r2="http://schemas.microsoft.com/office/drawing/2015/06/chart">
            <c:ext xmlns:c16="http://schemas.microsoft.com/office/drawing/2014/chart" uri="{C3380CC4-5D6E-409C-BE32-E72D297353CC}">
              <c16:uniqueId val="{00000001-6999-48FA-B913-9C7A0C360A42}"/>
            </c:ext>
          </c:extLst>
        </c:ser>
        <c:ser>
          <c:idx val="2"/>
          <c:order val="2"/>
          <c:tx>
            <c:strRef>
              <c:f>'Ext returns comps'!$HP$4</c:f>
              <c:strCache>
                <c:ptCount val="1"/>
                <c:pt idx="0">
                  <c:v>Portfolio Investment</c:v>
                </c:pt>
              </c:strCache>
            </c:strRef>
          </c:tx>
          <c:spPr>
            <a:ln w="28575" cap="rnd">
              <a:solidFill>
                <a:schemeClr val="accent3"/>
              </a:solidFill>
              <a:round/>
            </a:ln>
            <a:effectLst/>
          </c:spPr>
          <c:marker>
            <c:symbol val="none"/>
          </c:marker>
          <c:cat>
            <c:strRef>
              <c:f>'Ext returns comps'!$D$22:$D$61</c:f>
              <c:strCache>
                <c:ptCount val="40"/>
                <c:pt idx="0">
                  <c:v> 1977</c:v>
                </c:pt>
                <c:pt idx="1">
                  <c:v> 1978</c:v>
                </c:pt>
                <c:pt idx="2">
                  <c:v> 1979</c:v>
                </c:pt>
                <c:pt idx="3">
                  <c:v> 1980</c:v>
                </c:pt>
                <c:pt idx="4">
                  <c:v> 1981</c:v>
                </c:pt>
                <c:pt idx="5">
                  <c:v> 1982</c:v>
                </c:pt>
                <c:pt idx="6">
                  <c:v> 1983</c:v>
                </c:pt>
                <c:pt idx="7">
                  <c:v> 1984</c:v>
                </c:pt>
                <c:pt idx="8">
                  <c:v> 1985</c:v>
                </c:pt>
                <c:pt idx="9">
                  <c:v> 1986</c:v>
                </c:pt>
                <c:pt idx="10">
                  <c:v> 1987</c:v>
                </c:pt>
                <c:pt idx="11">
                  <c:v> 1988</c:v>
                </c:pt>
                <c:pt idx="12">
                  <c:v> 1989</c:v>
                </c:pt>
                <c:pt idx="13">
                  <c:v> 1990</c:v>
                </c:pt>
                <c:pt idx="14">
                  <c:v> 1991</c:v>
                </c:pt>
                <c:pt idx="15">
                  <c:v> 1992</c:v>
                </c:pt>
                <c:pt idx="16">
                  <c:v> 1993</c:v>
                </c:pt>
                <c:pt idx="17">
                  <c:v> 1994</c:v>
                </c:pt>
                <c:pt idx="18">
                  <c:v> 1995</c:v>
                </c:pt>
                <c:pt idx="19">
                  <c:v> 1996</c:v>
                </c:pt>
                <c:pt idx="20">
                  <c:v> 1997</c:v>
                </c:pt>
                <c:pt idx="21">
                  <c:v> 1998</c:v>
                </c:pt>
                <c:pt idx="22">
                  <c:v> 1999</c:v>
                </c:pt>
                <c:pt idx="23">
                  <c:v> 2000</c:v>
                </c:pt>
                <c:pt idx="24">
                  <c:v> 2001</c:v>
                </c:pt>
                <c:pt idx="25">
                  <c:v> 2002</c:v>
                </c:pt>
                <c:pt idx="26">
                  <c:v> 2003</c:v>
                </c:pt>
                <c:pt idx="27">
                  <c:v> 2004</c:v>
                </c:pt>
                <c:pt idx="28">
                  <c:v> 2005</c:v>
                </c:pt>
                <c:pt idx="29">
                  <c:v> 2006</c:v>
                </c:pt>
                <c:pt idx="30">
                  <c:v> 2007</c:v>
                </c:pt>
                <c:pt idx="31">
                  <c:v> 2008</c:v>
                </c:pt>
                <c:pt idx="32">
                  <c:v> 2009</c:v>
                </c:pt>
                <c:pt idx="33">
                  <c:v> 2010</c:v>
                </c:pt>
                <c:pt idx="34">
                  <c:v> 2011</c:v>
                </c:pt>
                <c:pt idx="35">
                  <c:v> 2012</c:v>
                </c:pt>
                <c:pt idx="36">
                  <c:v> 2013</c:v>
                </c:pt>
                <c:pt idx="37">
                  <c:v> 2014</c:v>
                </c:pt>
                <c:pt idx="38">
                  <c:v> 2015</c:v>
                </c:pt>
                <c:pt idx="39">
                  <c:v> 2016</c:v>
                </c:pt>
              </c:strCache>
            </c:strRef>
          </c:cat>
          <c:val>
            <c:numRef>
              <c:f>'Ext returns comps'!$HP$22:$HP$61</c:f>
              <c:numCache>
                <c:formatCode>General</c:formatCode>
                <c:ptCount val="40"/>
                <c:pt idx="9">
                  <c:v>-0.00804616162493389</c:v>
                </c:pt>
                <c:pt idx="10">
                  <c:v>-0.00872088575932049</c:v>
                </c:pt>
                <c:pt idx="11">
                  <c:v>-0.0126763885057941</c:v>
                </c:pt>
                <c:pt idx="12">
                  <c:v>-0.024130136121208</c:v>
                </c:pt>
                <c:pt idx="13">
                  <c:v>-0.0177650870226241</c:v>
                </c:pt>
                <c:pt idx="14">
                  <c:v>-0.0148269879394311</c:v>
                </c:pt>
                <c:pt idx="15">
                  <c:v>-0.00533314731347383</c:v>
                </c:pt>
                <c:pt idx="16">
                  <c:v>-0.000242494757464823</c:v>
                </c:pt>
                <c:pt idx="17">
                  <c:v>-0.0076322719737022</c:v>
                </c:pt>
                <c:pt idx="18">
                  <c:v>-0.00930562334014769</c:v>
                </c:pt>
                <c:pt idx="19">
                  <c:v>-0.00829314203753357</c:v>
                </c:pt>
                <c:pt idx="20">
                  <c:v>-0.0122188618009099</c:v>
                </c:pt>
                <c:pt idx="21">
                  <c:v>-0.00857118676721531</c:v>
                </c:pt>
                <c:pt idx="22">
                  <c:v>-0.00992334431732328</c:v>
                </c:pt>
                <c:pt idx="23">
                  <c:v>-0.0147640343053779</c:v>
                </c:pt>
                <c:pt idx="24">
                  <c:v>-0.0116122060545717</c:v>
                </c:pt>
                <c:pt idx="25">
                  <c:v>-0.00159524094534376</c:v>
                </c:pt>
                <c:pt idx="26">
                  <c:v>0.00404727604640988</c:v>
                </c:pt>
                <c:pt idx="27">
                  <c:v>-0.00109515237179909</c:v>
                </c:pt>
                <c:pt idx="28">
                  <c:v>-0.00215214555578661</c:v>
                </c:pt>
                <c:pt idx="29">
                  <c:v>-0.00566359514467946</c:v>
                </c:pt>
                <c:pt idx="30">
                  <c:v>-0.00634171136055692</c:v>
                </c:pt>
                <c:pt idx="31">
                  <c:v>-0.00550506504150523</c:v>
                </c:pt>
                <c:pt idx="32">
                  <c:v>0.00759244114251928</c:v>
                </c:pt>
                <c:pt idx="33">
                  <c:v>0.00219702452474979</c:v>
                </c:pt>
                <c:pt idx="34">
                  <c:v>0.00576980667081238</c:v>
                </c:pt>
                <c:pt idx="35">
                  <c:v>0.0106000906209351</c:v>
                </c:pt>
                <c:pt idx="36">
                  <c:v>0.00899649553365629</c:v>
                </c:pt>
                <c:pt idx="37">
                  <c:v>0.00883598515271607</c:v>
                </c:pt>
                <c:pt idx="38">
                  <c:v>0.00819191659053711</c:v>
                </c:pt>
                <c:pt idx="39">
                  <c:v>0.00928043887724403</c:v>
                </c:pt>
              </c:numCache>
            </c:numRef>
          </c:val>
          <c:smooth val="0"/>
          <c:extLst xmlns:c16r2="http://schemas.microsoft.com/office/drawing/2015/06/chart">
            <c:ext xmlns:c16="http://schemas.microsoft.com/office/drawing/2014/chart" uri="{C3380CC4-5D6E-409C-BE32-E72D297353CC}">
              <c16:uniqueId val="{00000002-6999-48FA-B913-9C7A0C360A42}"/>
            </c:ext>
          </c:extLst>
        </c:ser>
        <c:ser>
          <c:idx val="3"/>
          <c:order val="3"/>
          <c:tx>
            <c:strRef>
              <c:f>'Ext returns comps'!$HS$4</c:f>
              <c:strCache>
                <c:ptCount val="1"/>
                <c:pt idx="0">
                  <c:v>Other investment</c:v>
                </c:pt>
              </c:strCache>
            </c:strRef>
          </c:tx>
          <c:spPr>
            <a:ln w="28575" cap="rnd">
              <a:solidFill>
                <a:schemeClr val="accent4"/>
              </a:solidFill>
              <a:round/>
            </a:ln>
            <a:effectLst/>
          </c:spPr>
          <c:marker>
            <c:symbol val="none"/>
          </c:marker>
          <c:cat>
            <c:strRef>
              <c:f>'Ext returns comps'!$D$22:$D$61</c:f>
              <c:strCache>
                <c:ptCount val="40"/>
                <c:pt idx="0">
                  <c:v> 1977</c:v>
                </c:pt>
                <c:pt idx="1">
                  <c:v> 1978</c:v>
                </c:pt>
                <c:pt idx="2">
                  <c:v> 1979</c:v>
                </c:pt>
                <c:pt idx="3">
                  <c:v> 1980</c:v>
                </c:pt>
                <c:pt idx="4">
                  <c:v> 1981</c:v>
                </c:pt>
                <c:pt idx="5">
                  <c:v> 1982</c:v>
                </c:pt>
                <c:pt idx="6">
                  <c:v> 1983</c:v>
                </c:pt>
                <c:pt idx="7">
                  <c:v> 1984</c:v>
                </c:pt>
                <c:pt idx="8">
                  <c:v> 1985</c:v>
                </c:pt>
                <c:pt idx="9">
                  <c:v> 1986</c:v>
                </c:pt>
                <c:pt idx="10">
                  <c:v> 1987</c:v>
                </c:pt>
                <c:pt idx="11">
                  <c:v> 1988</c:v>
                </c:pt>
                <c:pt idx="12">
                  <c:v> 1989</c:v>
                </c:pt>
                <c:pt idx="13">
                  <c:v> 1990</c:v>
                </c:pt>
                <c:pt idx="14">
                  <c:v> 1991</c:v>
                </c:pt>
                <c:pt idx="15">
                  <c:v> 1992</c:v>
                </c:pt>
                <c:pt idx="16">
                  <c:v> 1993</c:v>
                </c:pt>
                <c:pt idx="17">
                  <c:v> 1994</c:v>
                </c:pt>
                <c:pt idx="18">
                  <c:v> 1995</c:v>
                </c:pt>
                <c:pt idx="19">
                  <c:v> 1996</c:v>
                </c:pt>
                <c:pt idx="20">
                  <c:v> 1997</c:v>
                </c:pt>
                <c:pt idx="21">
                  <c:v> 1998</c:v>
                </c:pt>
                <c:pt idx="22">
                  <c:v> 1999</c:v>
                </c:pt>
                <c:pt idx="23">
                  <c:v> 2000</c:v>
                </c:pt>
                <c:pt idx="24">
                  <c:v> 2001</c:v>
                </c:pt>
                <c:pt idx="25">
                  <c:v> 2002</c:v>
                </c:pt>
                <c:pt idx="26">
                  <c:v> 2003</c:v>
                </c:pt>
                <c:pt idx="27">
                  <c:v> 2004</c:v>
                </c:pt>
                <c:pt idx="28">
                  <c:v> 2005</c:v>
                </c:pt>
                <c:pt idx="29">
                  <c:v> 2006</c:v>
                </c:pt>
                <c:pt idx="30">
                  <c:v> 2007</c:v>
                </c:pt>
                <c:pt idx="31">
                  <c:v> 2008</c:v>
                </c:pt>
                <c:pt idx="32">
                  <c:v> 2009</c:v>
                </c:pt>
                <c:pt idx="33">
                  <c:v> 2010</c:v>
                </c:pt>
                <c:pt idx="34">
                  <c:v> 2011</c:v>
                </c:pt>
                <c:pt idx="35">
                  <c:v> 2012</c:v>
                </c:pt>
                <c:pt idx="36">
                  <c:v> 2013</c:v>
                </c:pt>
                <c:pt idx="37">
                  <c:v> 2014</c:v>
                </c:pt>
                <c:pt idx="38">
                  <c:v> 2015</c:v>
                </c:pt>
                <c:pt idx="39">
                  <c:v> 2016</c:v>
                </c:pt>
              </c:strCache>
            </c:strRef>
          </c:cat>
          <c:val>
            <c:numRef>
              <c:f>'Ext returns comps'!$HS$22:$HS$61</c:f>
              <c:numCache>
                <c:formatCode>General</c:formatCode>
                <c:ptCount val="40"/>
                <c:pt idx="0">
                  <c:v>-0.0360699969983887</c:v>
                </c:pt>
                <c:pt idx="1">
                  <c:v>-0.0687107847837033</c:v>
                </c:pt>
                <c:pt idx="2">
                  <c:v>-0.0794253135519924</c:v>
                </c:pt>
                <c:pt idx="3">
                  <c:v>-0.0457534874349264</c:v>
                </c:pt>
                <c:pt idx="4">
                  <c:v>-0.0492657389692411</c:v>
                </c:pt>
                <c:pt idx="5">
                  <c:v>-0.0599815654236757</c:v>
                </c:pt>
                <c:pt idx="6">
                  <c:v>-0.0439556172510129</c:v>
                </c:pt>
                <c:pt idx="7">
                  <c:v>-0.0470612811503118</c:v>
                </c:pt>
                <c:pt idx="8">
                  <c:v>-0.0487149917939582</c:v>
                </c:pt>
                <c:pt idx="9">
                  <c:v>0.00211886380961584</c:v>
                </c:pt>
                <c:pt idx="10">
                  <c:v>-0.00344769988392292</c:v>
                </c:pt>
                <c:pt idx="11">
                  <c:v>0.00209448254825309</c:v>
                </c:pt>
                <c:pt idx="12">
                  <c:v>0.00367144300266163</c:v>
                </c:pt>
                <c:pt idx="13">
                  <c:v>0.00753405240158029</c:v>
                </c:pt>
                <c:pt idx="14">
                  <c:v>0.00732964323792284</c:v>
                </c:pt>
                <c:pt idx="15">
                  <c:v>0.00714886205775306</c:v>
                </c:pt>
                <c:pt idx="16">
                  <c:v>0.00437297216143591</c:v>
                </c:pt>
                <c:pt idx="17">
                  <c:v>0.0021004762671752</c:v>
                </c:pt>
                <c:pt idx="18">
                  <c:v>0.00424842089193882</c:v>
                </c:pt>
                <c:pt idx="19">
                  <c:v>0.00703772912732789</c:v>
                </c:pt>
                <c:pt idx="20">
                  <c:v>0.00472395548868718</c:v>
                </c:pt>
                <c:pt idx="21">
                  <c:v>0.00661236752423867</c:v>
                </c:pt>
                <c:pt idx="22">
                  <c:v>0.0103965237727023</c:v>
                </c:pt>
                <c:pt idx="23">
                  <c:v>0.0124303833725075</c:v>
                </c:pt>
                <c:pt idx="24">
                  <c:v>0.00625194870299437</c:v>
                </c:pt>
                <c:pt idx="25">
                  <c:v>0.00486904733890399</c:v>
                </c:pt>
                <c:pt idx="26">
                  <c:v>0.00563194907153808</c:v>
                </c:pt>
                <c:pt idx="27">
                  <c:v>0.00659133446087483</c:v>
                </c:pt>
                <c:pt idx="28">
                  <c:v>0.00885521971040583</c:v>
                </c:pt>
                <c:pt idx="29">
                  <c:v>0.00864424899456639</c:v>
                </c:pt>
                <c:pt idx="30">
                  <c:v>0.0114804266550851</c:v>
                </c:pt>
                <c:pt idx="31">
                  <c:v>0.00791893619737808</c:v>
                </c:pt>
                <c:pt idx="32">
                  <c:v>0.00428009736696229</c:v>
                </c:pt>
                <c:pt idx="33">
                  <c:v>0.00353193101127731</c:v>
                </c:pt>
                <c:pt idx="34">
                  <c:v>0.00327762611152303</c:v>
                </c:pt>
                <c:pt idx="35">
                  <c:v>0.00333890786642742</c:v>
                </c:pt>
                <c:pt idx="36">
                  <c:v>0.00375128450053638</c:v>
                </c:pt>
                <c:pt idx="37">
                  <c:v>0.0044073386362066</c:v>
                </c:pt>
                <c:pt idx="38">
                  <c:v>0.00457325173221897</c:v>
                </c:pt>
                <c:pt idx="39">
                  <c:v>0.00475976854606852</c:v>
                </c:pt>
              </c:numCache>
            </c:numRef>
          </c:val>
          <c:smooth val="0"/>
          <c:extLst xmlns:c16r2="http://schemas.microsoft.com/office/drawing/2015/06/chart">
            <c:ext xmlns:c16="http://schemas.microsoft.com/office/drawing/2014/chart" uri="{C3380CC4-5D6E-409C-BE32-E72D297353CC}">
              <c16:uniqueId val="{00000003-6999-48FA-B913-9C7A0C360A42}"/>
            </c:ext>
          </c:extLst>
        </c:ser>
        <c:dLbls>
          <c:showLegendKey val="0"/>
          <c:showVal val="0"/>
          <c:showCatName val="0"/>
          <c:showSerName val="0"/>
          <c:showPercent val="0"/>
          <c:showBubbleSize val="0"/>
        </c:dLbls>
        <c:marker val="1"/>
        <c:smooth val="0"/>
        <c:axId val="-2080038728"/>
        <c:axId val="-2080035112"/>
      </c:lineChart>
      <c:catAx>
        <c:axId val="-2080038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80035112"/>
        <c:crosses val="autoZero"/>
        <c:auto val="1"/>
        <c:lblAlgn val="ctr"/>
        <c:lblOffset val="100"/>
        <c:noMultiLvlLbl val="0"/>
      </c:catAx>
      <c:valAx>
        <c:axId val="-2080035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80038728"/>
        <c:crosses val="autoZero"/>
        <c:crossBetween val="between"/>
      </c:valAx>
      <c:spPr>
        <a:noFill/>
        <a:ln>
          <a:noFill/>
        </a:ln>
        <a:effectLst/>
      </c:spPr>
    </c:plotArea>
    <c:legend>
      <c:legendPos val="t"/>
      <c:layout>
        <c:manualLayout>
          <c:xMode val="edge"/>
          <c:yMode val="edge"/>
          <c:x val="0.0533204455342492"/>
          <c:y val="0.274519824943549"/>
          <c:w val="0.897160537267732"/>
          <c:h val="0.04241598824807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70966767547095"/>
          <c:y val="0.131954808433496"/>
          <c:w val="0.921106919348289"/>
          <c:h val="0.796677392202548"/>
        </c:manualLayout>
      </c:layout>
      <c:lineChart>
        <c:grouping val="standard"/>
        <c:varyColors val="0"/>
        <c:ser>
          <c:idx val="0"/>
          <c:order val="0"/>
          <c:tx>
            <c:strRef>
              <c:f>'Ext returns comps'!$HL$4</c:f>
              <c:strCache>
                <c:ptCount val="1"/>
                <c:pt idx="0">
                  <c:v>US net int investment </c:v>
                </c:pt>
              </c:strCache>
            </c:strRef>
          </c:tx>
          <c:spPr>
            <a:ln w="28575" cap="rnd">
              <a:solidFill>
                <a:schemeClr val="accent1"/>
              </a:solidFill>
              <a:round/>
            </a:ln>
            <a:effectLst/>
          </c:spPr>
          <c:marker>
            <c:symbol val="none"/>
          </c:marker>
          <c:cat>
            <c:strRef>
              <c:f>'Ext returns comps'!$D$22:$D$61</c:f>
              <c:strCache>
                <c:ptCount val="40"/>
                <c:pt idx="0">
                  <c:v> 1977</c:v>
                </c:pt>
                <c:pt idx="1">
                  <c:v> 1978</c:v>
                </c:pt>
                <c:pt idx="2">
                  <c:v> 1979</c:v>
                </c:pt>
                <c:pt idx="3">
                  <c:v> 1980</c:v>
                </c:pt>
                <c:pt idx="4">
                  <c:v> 1981</c:v>
                </c:pt>
                <c:pt idx="5">
                  <c:v> 1982</c:v>
                </c:pt>
                <c:pt idx="6">
                  <c:v> 1983</c:v>
                </c:pt>
                <c:pt idx="7">
                  <c:v> 1984</c:v>
                </c:pt>
                <c:pt idx="8">
                  <c:v> 1985</c:v>
                </c:pt>
                <c:pt idx="9">
                  <c:v> 1986</c:v>
                </c:pt>
                <c:pt idx="10">
                  <c:v> 1987</c:v>
                </c:pt>
                <c:pt idx="11">
                  <c:v> 1988</c:v>
                </c:pt>
                <c:pt idx="12">
                  <c:v> 1989</c:v>
                </c:pt>
                <c:pt idx="13">
                  <c:v> 1990</c:v>
                </c:pt>
                <c:pt idx="14">
                  <c:v> 1991</c:v>
                </c:pt>
                <c:pt idx="15">
                  <c:v> 1992</c:v>
                </c:pt>
                <c:pt idx="16">
                  <c:v> 1993</c:v>
                </c:pt>
                <c:pt idx="17">
                  <c:v> 1994</c:v>
                </c:pt>
                <c:pt idx="18">
                  <c:v> 1995</c:v>
                </c:pt>
                <c:pt idx="19">
                  <c:v> 1996</c:v>
                </c:pt>
                <c:pt idx="20">
                  <c:v> 1997</c:v>
                </c:pt>
                <c:pt idx="21">
                  <c:v> 1998</c:v>
                </c:pt>
                <c:pt idx="22">
                  <c:v> 1999</c:v>
                </c:pt>
                <c:pt idx="23">
                  <c:v> 2000</c:v>
                </c:pt>
                <c:pt idx="24">
                  <c:v> 2001</c:v>
                </c:pt>
                <c:pt idx="25">
                  <c:v> 2002</c:v>
                </c:pt>
                <c:pt idx="26">
                  <c:v> 2003</c:v>
                </c:pt>
                <c:pt idx="27">
                  <c:v> 2004</c:v>
                </c:pt>
                <c:pt idx="28">
                  <c:v> 2005</c:v>
                </c:pt>
                <c:pt idx="29">
                  <c:v> 2006</c:v>
                </c:pt>
                <c:pt idx="30">
                  <c:v> 2007</c:v>
                </c:pt>
                <c:pt idx="31">
                  <c:v> 2008</c:v>
                </c:pt>
                <c:pt idx="32">
                  <c:v> 2009</c:v>
                </c:pt>
                <c:pt idx="33">
                  <c:v> 2010</c:v>
                </c:pt>
                <c:pt idx="34">
                  <c:v> 2011</c:v>
                </c:pt>
                <c:pt idx="35">
                  <c:v> 2012</c:v>
                </c:pt>
                <c:pt idx="36">
                  <c:v> 2013</c:v>
                </c:pt>
                <c:pt idx="37">
                  <c:v> 2014</c:v>
                </c:pt>
                <c:pt idx="38">
                  <c:v> 2015</c:v>
                </c:pt>
                <c:pt idx="39">
                  <c:v> 2016</c:v>
                </c:pt>
              </c:strCache>
            </c:strRef>
          </c:cat>
          <c:val>
            <c:numRef>
              <c:f>'Ext returns comps'!$HL$22:$HL$61</c:f>
              <c:numCache>
                <c:formatCode>General</c:formatCode>
                <c:ptCount val="40"/>
                <c:pt idx="0">
                  <c:v>0.0383122033975322</c:v>
                </c:pt>
                <c:pt idx="1">
                  <c:v>0.0333811892979782</c:v>
                </c:pt>
                <c:pt idx="2">
                  <c:v>0.039503238903553</c:v>
                </c:pt>
                <c:pt idx="3">
                  <c:v>0.0118846285987431</c:v>
                </c:pt>
                <c:pt idx="4">
                  <c:v>0.00439646194701441</c:v>
                </c:pt>
                <c:pt idx="5">
                  <c:v>0.0105226765603979</c:v>
                </c:pt>
                <c:pt idx="6">
                  <c:v>0.0149344831280733</c:v>
                </c:pt>
                <c:pt idx="7">
                  <c:v>0.00856513934883787</c:v>
                </c:pt>
                <c:pt idx="8">
                  <c:v>0.00914167013865821</c:v>
                </c:pt>
                <c:pt idx="9">
                  <c:v>0.00845472518815902</c:v>
                </c:pt>
                <c:pt idx="10">
                  <c:v>0.00611008787842601</c:v>
                </c:pt>
                <c:pt idx="11">
                  <c:v>0.00900087893705349</c:v>
                </c:pt>
                <c:pt idx="12">
                  <c:v>0.00984389216879058</c:v>
                </c:pt>
                <c:pt idx="13">
                  <c:v>0.0138570104482772</c:v>
                </c:pt>
                <c:pt idx="14">
                  <c:v>0.0145750577838</c:v>
                </c:pt>
                <c:pt idx="15">
                  <c:v>0.0145588706592213</c:v>
                </c:pt>
                <c:pt idx="16">
                  <c:v>0.0174119650551853</c:v>
                </c:pt>
                <c:pt idx="17">
                  <c:v>0.00874556958662308</c:v>
                </c:pt>
                <c:pt idx="18">
                  <c:v>0.00956724140481408</c:v>
                </c:pt>
                <c:pt idx="19">
                  <c:v>0.0100538666091822</c:v>
                </c:pt>
                <c:pt idx="20">
                  <c:v>0.0072042771957628</c:v>
                </c:pt>
                <c:pt idx="21">
                  <c:v>0.00767618745040626</c:v>
                </c:pt>
                <c:pt idx="22">
                  <c:v>0.00960436475055672</c:v>
                </c:pt>
                <c:pt idx="23">
                  <c:v>0.00882203395987303</c:v>
                </c:pt>
                <c:pt idx="24">
                  <c:v>0.0107827651285372</c:v>
                </c:pt>
                <c:pt idx="25">
                  <c:v>0.0133899265232487</c:v>
                </c:pt>
                <c:pt idx="26">
                  <c:v>0.0167070096966148</c:v>
                </c:pt>
                <c:pt idx="27">
                  <c:v>0.0163600171160925</c:v>
                </c:pt>
                <c:pt idx="28">
                  <c:v>0.0145947416917429</c:v>
                </c:pt>
                <c:pt idx="29">
                  <c:v>0.0106889198204289</c:v>
                </c:pt>
                <c:pt idx="30">
                  <c:v>0.0119462253688768</c:v>
                </c:pt>
                <c:pt idx="31">
                  <c:v>0.0106396822403834</c:v>
                </c:pt>
                <c:pt idx="32">
                  <c:v>0.0184070243913086</c:v>
                </c:pt>
                <c:pt idx="33">
                  <c:v>0.0160357297990836</c:v>
                </c:pt>
                <c:pt idx="34">
                  <c:v>0.0161390692034947</c:v>
                </c:pt>
                <c:pt idx="35">
                  <c:v>0.0191430737854555</c:v>
                </c:pt>
                <c:pt idx="36">
                  <c:v>0.0175831850741094</c:v>
                </c:pt>
                <c:pt idx="37">
                  <c:v>0.0165056331894084</c:v>
                </c:pt>
                <c:pt idx="38">
                  <c:v>0.0159051800022863</c:v>
                </c:pt>
                <c:pt idx="39">
                  <c:v>0.0171053834144402</c:v>
                </c:pt>
              </c:numCache>
            </c:numRef>
          </c:val>
          <c:smooth val="0"/>
          <c:extLst xmlns:c16r2="http://schemas.microsoft.com/office/drawing/2015/06/chart">
            <c:ext xmlns:c16="http://schemas.microsoft.com/office/drawing/2014/chart" uri="{C3380CC4-5D6E-409C-BE32-E72D297353CC}">
              <c16:uniqueId val="{00000000-0C6B-4E0C-99B9-D05F834D9DB2}"/>
            </c:ext>
          </c:extLst>
        </c:ser>
        <c:ser>
          <c:idx val="1"/>
          <c:order val="1"/>
          <c:tx>
            <c:strRef>
              <c:f>'Ext returns comps'!$HV$4</c:f>
              <c:strCache>
                <c:ptCount val="1"/>
                <c:pt idx="0">
                  <c:v>Without DI at market val</c:v>
                </c:pt>
              </c:strCache>
            </c:strRef>
          </c:tx>
          <c:spPr>
            <a:ln w="28575" cap="rnd">
              <a:solidFill>
                <a:schemeClr val="accent2"/>
              </a:solidFill>
              <a:round/>
            </a:ln>
            <a:effectLst/>
          </c:spPr>
          <c:marker>
            <c:symbol val="none"/>
          </c:marker>
          <c:val>
            <c:numRef>
              <c:f>'Ext returns comps'!$HV$22:$HV$61</c:f>
              <c:numCache>
                <c:formatCode>General</c:formatCode>
                <c:ptCount val="40"/>
                <c:pt idx="0">
                  <c:v>0.00803481114499937</c:v>
                </c:pt>
                <c:pt idx="1">
                  <c:v>0.00300747141380689</c:v>
                </c:pt>
                <c:pt idx="2">
                  <c:v>0.00124957774916595</c:v>
                </c:pt>
                <c:pt idx="3">
                  <c:v>-0.00975141480415355</c:v>
                </c:pt>
                <c:pt idx="4">
                  <c:v>-0.00583427143793216</c:v>
                </c:pt>
                <c:pt idx="5">
                  <c:v>-0.00463180959220417</c:v>
                </c:pt>
                <c:pt idx="6">
                  <c:v>-0.00419586905978197</c:v>
                </c:pt>
                <c:pt idx="7">
                  <c:v>-0.00533817342593328</c:v>
                </c:pt>
                <c:pt idx="8">
                  <c:v>-0.00709266693481057</c:v>
                </c:pt>
                <c:pt idx="9">
                  <c:v>-0.00802414803040567</c:v>
                </c:pt>
                <c:pt idx="10">
                  <c:v>-0.011038064091993</c:v>
                </c:pt>
                <c:pt idx="11">
                  <c:v>-0.00824776831593718</c:v>
                </c:pt>
                <c:pt idx="12">
                  <c:v>-0.00735121119448688</c:v>
                </c:pt>
                <c:pt idx="13">
                  <c:v>-0.00400864826825889</c:v>
                </c:pt>
                <c:pt idx="14">
                  <c:v>-0.0068397982649785</c:v>
                </c:pt>
                <c:pt idx="15">
                  <c:v>-0.00378299789831138</c:v>
                </c:pt>
                <c:pt idx="16">
                  <c:v>-0.00308922046458448</c:v>
                </c:pt>
                <c:pt idx="17">
                  <c:v>-0.00568092786504663</c:v>
                </c:pt>
                <c:pt idx="18">
                  <c:v>-0.00501716111565964</c:v>
                </c:pt>
                <c:pt idx="19">
                  <c:v>-0.00326944786211052</c:v>
                </c:pt>
                <c:pt idx="20">
                  <c:v>-0.00538613811396935</c:v>
                </c:pt>
                <c:pt idx="21">
                  <c:v>-0.00172727307205019</c:v>
                </c:pt>
                <c:pt idx="22">
                  <c:v>-0.00143047226123751</c:v>
                </c:pt>
                <c:pt idx="23">
                  <c:v>-0.00336813937055047</c:v>
                </c:pt>
                <c:pt idx="24">
                  <c:v>-0.00391163272417123</c:v>
                </c:pt>
                <c:pt idx="25">
                  <c:v>-0.000588829307105486</c:v>
                </c:pt>
                <c:pt idx="26">
                  <c:v>0.001611090079862</c:v>
                </c:pt>
                <c:pt idx="27">
                  <c:v>0.000392716055508425</c:v>
                </c:pt>
                <c:pt idx="28">
                  <c:v>0.0017360382236655</c:v>
                </c:pt>
                <c:pt idx="29">
                  <c:v>0.000641294869038446</c:v>
                </c:pt>
                <c:pt idx="30">
                  <c:v>0.000714149101782864</c:v>
                </c:pt>
                <c:pt idx="31">
                  <c:v>-0.00136096786928633</c:v>
                </c:pt>
                <c:pt idx="32">
                  <c:v>0.000122118602968596</c:v>
                </c:pt>
                <c:pt idx="33">
                  <c:v>-0.00055428963291489</c:v>
                </c:pt>
                <c:pt idx="34">
                  <c:v>0.00157565952737639</c:v>
                </c:pt>
                <c:pt idx="35">
                  <c:v>0.00415676981701225</c:v>
                </c:pt>
                <c:pt idx="36">
                  <c:v>0.00436460635789552</c:v>
                </c:pt>
                <c:pt idx="37">
                  <c:v>0.0056042176201104</c:v>
                </c:pt>
                <c:pt idx="38">
                  <c:v>0.00549312678961257</c:v>
                </c:pt>
                <c:pt idx="39">
                  <c:v>0.00656885763355119</c:v>
                </c:pt>
              </c:numCache>
            </c:numRef>
          </c:val>
          <c:smooth val="0"/>
          <c:extLst xmlns:c16r2="http://schemas.microsoft.com/office/drawing/2015/06/chart">
            <c:ext xmlns:c16="http://schemas.microsoft.com/office/drawing/2014/chart" uri="{C3380CC4-5D6E-409C-BE32-E72D297353CC}">
              <c16:uniqueId val="{00000001-0C6B-4E0C-99B9-D05F834D9DB2}"/>
            </c:ext>
          </c:extLst>
        </c:ser>
        <c:dLbls>
          <c:showLegendKey val="0"/>
          <c:showVal val="0"/>
          <c:showCatName val="0"/>
          <c:showSerName val="0"/>
          <c:showPercent val="0"/>
          <c:showBubbleSize val="0"/>
        </c:dLbls>
        <c:marker val="1"/>
        <c:smooth val="0"/>
        <c:axId val="-2080000088"/>
        <c:axId val="-2079996536"/>
      </c:lineChart>
      <c:catAx>
        <c:axId val="-2080000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9996536"/>
        <c:crosses val="autoZero"/>
        <c:auto val="1"/>
        <c:lblAlgn val="ctr"/>
        <c:lblOffset val="100"/>
        <c:noMultiLvlLbl val="0"/>
      </c:catAx>
      <c:valAx>
        <c:axId val="-2079996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80000088"/>
        <c:crosses val="autoZero"/>
        <c:crossBetween val="between"/>
      </c:valAx>
      <c:spPr>
        <a:noFill/>
        <a:ln>
          <a:noFill/>
        </a:ln>
        <a:effectLst/>
      </c:spPr>
    </c:plotArea>
    <c:legend>
      <c:legendPos val="t"/>
      <c:layout>
        <c:manualLayout>
          <c:xMode val="edge"/>
          <c:yMode val="edge"/>
          <c:x val="0.221320378640685"/>
          <c:y val="0.0709200704684271"/>
          <c:w val="0.447226049311799"/>
          <c:h val="0.04250696660374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yield (KG1) and income yield </a:t>
            </a:r>
          </a:p>
        </c:rich>
      </c:tx>
      <c:layout>
        <c:manualLayout>
          <c:xMode val="edge"/>
          <c:yMode val="edge"/>
          <c:x val="0.357931602855121"/>
          <c:y val="0.0762513313953384"/>
        </c:manualLayout>
      </c:layout>
      <c:overlay val="0"/>
      <c:spPr>
        <a:noFill/>
        <a:ln>
          <a:noFill/>
        </a:ln>
        <a:effectLst/>
      </c:spPr>
    </c:title>
    <c:autoTitleDeleted val="0"/>
    <c:plotArea>
      <c:layout>
        <c:manualLayout>
          <c:layoutTarget val="inner"/>
          <c:xMode val="edge"/>
          <c:yMode val="edge"/>
          <c:x val="0.0806103719793646"/>
          <c:y val="0.266051686674392"/>
          <c:w val="0.876432852143482"/>
          <c:h val="0.627920884629225"/>
        </c:manualLayout>
      </c:layout>
      <c:lineChart>
        <c:grouping val="standard"/>
        <c:varyColors val="0"/>
        <c:ser>
          <c:idx val="0"/>
          <c:order val="0"/>
          <c:tx>
            <c:v>Total</c:v>
          </c:tx>
          <c:spPr>
            <a:ln w="28575" cap="rnd">
              <a:solidFill>
                <a:schemeClr val="accent1"/>
              </a:solidFill>
              <a:round/>
            </a:ln>
            <a:effectLst/>
          </c:spPr>
          <c:marker>
            <c:symbol val="none"/>
          </c:marker>
          <c:cat>
            <c:strRef>
              <c:f>'Ext returns comps'!$D$48:$D$61</c:f>
              <c:strCache>
                <c:ptCount val="14"/>
                <c:pt idx="0">
                  <c:v> 2003</c:v>
                </c:pt>
                <c:pt idx="1">
                  <c:v> 2004</c:v>
                </c:pt>
                <c:pt idx="2">
                  <c:v> 2005</c:v>
                </c:pt>
                <c:pt idx="3">
                  <c:v> 2006</c:v>
                </c:pt>
                <c:pt idx="4">
                  <c:v> 2007</c:v>
                </c:pt>
                <c:pt idx="5">
                  <c:v> 2008</c:v>
                </c:pt>
                <c:pt idx="6">
                  <c:v> 2009</c:v>
                </c:pt>
                <c:pt idx="7">
                  <c:v> 2010</c:v>
                </c:pt>
                <c:pt idx="8">
                  <c:v> 2011</c:v>
                </c:pt>
                <c:pt idx="9">
                  <c:v> 2012</c:v>
                </c:pt>
                <c:pt idx="10">
                  <c:v> 2013</c:v>
                </c:pt>
                <c:pt idx="11">
                  <c:v> 2014</c:v>
                </c:pt>
                <c:pt idx="12">
                  <c:v> 2015</c:v>
                </c:pt>
                <c:pt idx="13">
                  <c:v> 2016</c:v>
                </c:pt>
              </c:strCache>
            </c:strRef>
          </c:cat>
          <c:val>
            <c:numRef>
              <c:f>'Ext returns comps'!$CJ$48:$CJ$61</c:f>
              <c:numCache>
                <c:formatCode>General</c:formatCode>
                <c:ptCount val="14"/>
                <c:pt idx="0">
                  <c:v>0.328993259724213</c:v>
                </c:pt>
                <c:pt idx="1">
                  <c:v>0.192246301993341</c:v>
                </c:pt>
                <c:pt idx="2">
                  <c:v>0.139665101179307</c:v>
                </c:pt>
                <c:pt idx="3">
                  <c:v>0.223857164388943</c:v>
                </c:pt>
                <c:pt idx="4">
                  <c:v>0.152528696369008</c:v>
                </c:pt>
                <c:pt idx="5">
                  <c:v>-0.34886870312225</c:v>
                </c:pt>
                <c:pt idx="6">
                  <c:v>0.350107668541122</c:v>
                </c:pt>
                <c:pt idx="7">
                  <c:v>0.126695855371129</c:v>
                </c:pt>
                <c:pt idx="8">
                  <c:v>-0.038719077805428</c:v>
                </c:pt>
                <c:pt idx="9">
                  <c:v>0.15601095798786</c:v>
                </c:pt>
                <c:pt idx="10">
                  <c:v>0.20697270894624</c:v>
                </c:pt>
                <c:pt idx="11">
                  <c:v>0.0191404257566123</c:v>
                </c:pt>
                <c:pt idx="12">
                  <c:v>-0.0106589961359887</c:v>
                </c:pt>
                <c:pt idx="13">
                  <c:v>0.0725248890940625</c:v>
                </c:pt>
              </c:numCache>
            </c:numRef>
          </c:val>
          <c:smooth val="0"/>
          <c:extLst xmlns:c16r2="http://schemas.microsoft.com/office/drawing/2015/06/chart">
            <c:ext xmlns:c16="http://schemas.microsoft.com/office/drawing/2014/chart" uri="{C3380CC4-5D6E-409C-BE32-E72D297353CC}">
              <c16:uniqueId val="{00000000-25F9-4121-B047-3BEB39FDA86A}"/>
            </c:ext>
          </c:extLst>
        </c:ser>
        <c:ser>
          <c:idx val="1"/>
          <c:order val="1"/>
          <c:tx>
            <c:v>Income</c:v>
          </c:tx>
          <c:spPr>
            <a:ln w="28575" cap="rnd">
              <a:solidFill>
                <a:schemeClr val="accent2"/>
              </a:solidFill>
              <a:round/>
            </a:ln>
            <a:effectLst/>
          </c:spPr>
          <c:marker>
            <c:symbol val="none"/>
          </c:marker>
          <c:val>
            <c:numRef>
              <c:f>'Ext returns comps'!$BZ$48:$BZ$61</c:f>
              <c:numCache>
                <c:formatCode>General</c:formatCode>
                <c:ptCount val="14"/>
                <c:pt idx="0">
                  <c:v>0.0825091398209747</c:v>
                </c:pt>
                <c:pt idx="1">
                  <c:v>0.0826059357747903</c:v>
                </c:pt>
                <c:pt idx="2">
                  <c:v>0.0777765293259988</c:v>
                </c:pt>
                <c:pt idx="3">
                  <c:v>0.0793082573749064</c:v>
                </c:pt>
                <c:pt idx="4">
                  <c:v>0.0754162565833085</c:v>
                </c:pt>
                <c:pt idx="5">
                  <c:v>0.0708829733678643</c:v>
                </c:pt>
                <c:pt idx="6">
                  <c:v>0.0995821387021132</c:v>
                </c:pt>
                <c:pt idx="7">
                  <c:v>0.0895854076968559</c:v>
                </c:pt>
                <c:pt idx="8">
                  <c:v>0.0863274236196436</c:v>
                </c:pt>
                <c:pt idx="9">
                  <c:v>0.0891329835357881</c:v>
                </c:pt>
                <c:pt idx="10">
                  <c:v>0.0797741587154171</c:v>
                </c:pt>
                <c:pt idx="11">
                  <c:v>0.0666795118673926</c:v>
                </c:pt>
                <c:pt idx="12">
                  <c:v>0.06077096622537</c:v>
                </c:pt>
                <c:pt idx="13">
                  <c:v>0.0634432398350095</c:v>
                </c:pt>
              </c:numCache>
            </c:numRef>
          </c:val>
          <c:smooth val="0"/>
          <c:extLst xmlns:c16r2="http://schemas.microsoft.com/office/drawing/2015/06/chart">
            <c:ext xmlns:c16="http://schemas.microsoft.com/office/drawing/2014/chart" uri="{C3380CC4-5D6E-409C-BE32-E72D297353CC}">
              <c16:uniqueId val="{00000001-25F9-4121-B047-3BEB39FDA86A}"/>
            </c:ext>
          </c:extLst>
        </c:ser>
        <c:dLbls>
          <c:showLegendKey val="0"/>
          <c:showVal val="0"/>
          <c:showCatName val="0"/>
          <c:showSerName val="0"/>
          <c:showPercent val="0"/>
          <c:showBubbleSize val="0"/>
        </c:dLbls>
        <c:marker val="1"/>
        <c:smooth val="0"/>
        <c:axId val="-2079958872"/>
        <c:axId val="-2079955320"/>
      </c:lineChart>
      <c:catAx>
        <c:axId val="-2079958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9955320"/>
        <c:crosses val="autoZero"/>
        <c:auto val="1"/>
        <c:lblAlgn val="ctr"/>
        <c:lblOffset val="100"/>
        <c:noMultiLvlLbl val="0"/>
      </c:catAx>
      <c:valAx>
        <c:axId val="-2079955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9958872"/>
        <c:crosses val="autoZero"/>
        <c:crossBetween val="between"/>
      </c:valAx>
      <c:spPr>
        <a:noFill/>
        <a:ln>
          <a:noFill/>
        </a:ln>
        <a:effectLst/>
      </c:spPr>
    </c:plotArea>
    <c:legend>
      <c:legendPos val="t"/>
      <c:layout>
        <c:manualLayout>
          <c:xMode val="edge"/>
          <c:yMode val="edge"/>
          <c:x val="0.27710508236871"/>
          <c:y val="0.138927086092994"/>
          <c:w val="0.19884232491511"/>
          <c:h val="0.07200318153173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yield (KG1) and income yield </a:t>
            </a:r>
          </a:p>
        </c:rich>
      </c:tx>
      <c:layout>
        <c:manualLayout>
          <c:xMode val="edge"/>
          <c:yMode val="edge"/>
          <c:x val="0.357931602855121"/>
          <c:y val="0.0762513313953384"/>
        </c:manualLayout>
      </c:layout>
      <c:overlay val="0"/>
      <c:spPr>
        <a:noFill/>
        <a:ln>
          <a:noFill/>
        </a:ln>
        <a:effectLst/>
      </c:spPr>
    </c:title>
    <c:autoTitleDeleted val="0"/>
    <c:plotArea>
      <c:layout>
        <c:manualLayout>
          <c:layoutTarget val="inner"/>
          <c:xMode val="edge"/>
          <c:yMode val="edge"/>
          <c:x val="0.0806103719793646"/>
          <c:y val="0.266051686674392"/>
          <c:w val="0.876432852143482"/>
          <c:h val="0.627920884629225"/>
        </c:manualLayout>
      </c:layout>
      <c:lineChart>
        <c:grouping val="standard"/>
        <c:varyColors val="0"/>
        <c:ser>
          <c:idx val="0"/>
          <c:order val="0"/>
          <c:spPr>
            <a:ln w="28575" cap="rnd">
              <a:solidFill>
                <a:schemeClr val="accent1"/>
              </a:solidFill>
              <a:round/>
            </a:ln>
            <a:effectLst/>
          </c:spPr>
          <c:marker>
            <c:symbol val="none"/>
          </c:marker>
          <c:cat>
            <c:strRef>
              <c:f>'Ext returns comps'!$D$48:$D$61</c:f>
              <c:strCache>
                <c:ptCount val="14"/>
                <c:pt idx="0">
                  <c:v> 2003</c:v>
                </c:pt>
                <c:pt idx="1">
                  <c:v> 2004</c:v>
                </c:pt>
                <c:pt idx="2">
                  <c:v> 2005</c:v>
                </c:pt>
                <c:pt idx="3">
                  <c:v> 2006</c:v>
                </c:pt>
                <c:pt idx="4">
                  <c:v> 2007</c:v>
                </c:pt>
                <c:pt idx="5">
                  <c:v> 2008</c:v>
                </c:pt>
                <c:pt idx="6">
                  <c:v> 2009</c:v>
                </c:pt>
                <c:pt idx="7">
                  <c:v> 2010</c:v>
                </c:pt>
                <c:pt idx="8">
                  <c:v> 2011</c:v>
                </c:pt>
                <c:pt idx="9">
                  <c:v> 2012</c:v>
                </c:pt>
                <c:pt idx="10">
                  <c:v> 2013</c:v>
                </c:pt>
                <c:pt idx="11">
                  <c:v> 2014</c:v>
                </c:pt>
                <c:pt idx="12">
                  <c:v> 2015</c:v>
                </c:pt>
                <c:pt idx="13">
                  <c:v> 2016</c:v>
                </c:pt>
              </c:strCache>
            </c:strRef>
          </c:cat>
          <c:val>
            <c:numRef>
              <c:f>'Ext returns comps'!$CM$48:$CM$61</c:f>
              <c:numCache>
                <c:formatCode>General</c:formatCode>
                <c:ptCount val="14"/>
                <c:pt idx="0">
                  <c:v>0.317208771543744</c:v>
                </c:pt>
                <c:pt idx="1">
                  <c:v>0.167261963418293</c:v>
                </c:pt>
                <c:pt idx="2">
                  <c:v>0.142579026488224</c:v>
                </c:pt>
                <c:pt idx="3">
                  <c:v>0.226384528075096</c:v>
                </c:pt>
                <c:pt idx="4">
                  <c:v>0.172611133639573</c:v>
                </c:pt>
                <c:pt idx="5">
                  <c:v>-0.330483630988241</c:v>
                </c:pt>
                <c:pt idx="6">
                  <c:v>0.357736114380167</c:v>
                </c:pt>
                <c:pt idx="7">
                  <c:v>0.13327602592962</c:v>
                </c:pt>
                <c:pt idx="8">
                  <c:v>-0.0541031003163805</c:v>
                </c:pt>
                <c:pt idx="9">
                  <c:v>0.157648464753864</c:v>
                </c:pt>
                <c:pt idx="10">
                  <c:v>0.134285475592879</c:v>
                </c:pt>
                <c:pt idx="11">
                  <c:v>0.00980577562389305</c:v>
                </c:pt>
                <c:pt idx="12">
                  <c:v>-0.00243089418159965</c:v>
                </c:pt>
                <c:pt idx="13">
                  <c:v>0.0625677560047167</c:v>
                </c:pt>
              </c:numCache>
            </c:numRef>
          </c:val>
          <c:smooth val="0"/>
          <c:extLst xmlns:c16r2="http://schemas.microsoft.com/office/drawing/2015/06/chart">
            <c:ext xmlns:c16="http://schemas.microsoft.com/office/drawing/2014/chart" uri="{C3380CC4-5D6E-409C-BE32-E72D297353CC}">
              <c16:uniqueId val="{00000000-ABCE-4D06-B34D-E5A7B87DD0C1}"/>
            </c:ext>
          </c:extLst>
        </c:ser>
        <c:ser>
          <c:idx val="1"/>
          <c:order val="1"/>
          <c:spPr>
            <a:ln w="28575" cap="rnd">
              <a:solidFill>
                <a:schemeClr val="accent2"/>
              </a:solidFill>
              <a:round/>
            </a:ln>
            <a:effectLst/>
          </c:spPr>
          <c:marker>
            <c:symbol val="none"/>
          </c:marker>
          <c:val>
            <c:numRef>
              <c:f>'Ext returns comps'!$CC$48:$CC$61</c:f>
              <c:numCache>
                <c:formatCode>General</c:formatCode>
                <c:ptCount val="14"/>
                <c:pt idx="0">
                  <c:v>0.0398187815191938</c:v>
                </c:pt>
                <c:pt idx="1">
                  <c:v>0.0342062918117916</c:v>
                </c:pt>
                <c:pt idx="2">
                  <c:v>0.0338771336139623</c:v>
                </c:pt>
                <c:pt idx="3">
                  <c:v>0.0358928039839463</c:v>
                </c:pt>
                <c:pt idx="4">
                  <c:v>0.0368296582395448</c:v>
                </c:pt>
                <c:pt idx="5">
                  <c:v>0.0332315484137044</c:v>
                </c:pt>
                <c:pt idx="6">
                  <c:v>0.0426810287586682</c:v>
                </c:pt>
                <c:pt idx="7">
                  <c:v>0.0321614695519756</c:v>
                </c:pt>
                <c:pt idx="8">
                  <c:v>0.0331469089708543</c:v>
                </c:pt>
                <c:pt idx="9">
                  <c:v>0.0378984512201582</c:v>
                </c:pt>
                <c:pt idx="10">
                  <c:v>0.0348749198549442</c:v>
                </c:pt>
                <c:pt idx="11">
                  <c:v>0.0331285597980905</c:v>
                </c:pt>
                <c:pt idx="12">
                  <c:v>0.0317348649787186</c:v>
                </c:pt>
                <c:pt idx="13">
                  <c:v>0.0338602649792036</c:v>
                </c:pt>
              </c:numCache>
            </c:numRef>
          </c:val>
          <c:smooth val="0"/>
          <c:extLst xmlns:c16r2="http://schemas.microsoft.com/office/drawing/2015/06/chart">
            <c:ext xmlns:c16="http://schemas.microsoft.com/office/drawing/2014/chart" uri="{C3380CC4-5D6E-409C-BE32-E72D297353CC}">
              <c16:uniqueId val="{00000001-ABCE-4D06-B34D-E5A7B87DD0C1}"/>
            </c:ext>
          </c:extLst>
        </c:ser>
        <c:dLbls>
          <c:showLegendKey val="0"/>
          <c:showVal val="0"/>
          <c:showCatName val="0"/>
          <c:showSerName val="0"/>
          <c:showPercent val="0"/>
          <c:showBubbleSize val="0"/>
        </c:dLbls>
        <c:marker val="1"/>
        <c:smooth val="0"/>
        <c:axId val="-2079915880"/>
        <c:axId val="-2079912360"/>
      </c:lineChart>
      <c:catAx>
        <c:axId val="-2079915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9912360"/>
        <c:crosses val="autoZero"/>
        <c:auto val="1"/>
        <c:lblAlgn val="ctr"/>
        <c:lblOffset val="100"/>
        <c:noMultiLvlLbl val="0"/>
      </c:catAx>
      <c:valAx>
        <c:axId val="-2079912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9915880"/>
        <c:crosses val="autoZero"/>
        <c:crossBetween val="between"/>
      </c:valAx>
      <c:spPr>
        <a:noFill/>
        <a:ln>
          <a:noFill/>
        </a:ln>
        <a:effectLst/>
      </c:spPr>
    </c:plotArea>
    <c:legend>
      <c:legendPos val="t"/>
      <c:layout>
        <c:manualLayout>
          <c:xMode val="edge"/>
          <c:yMode val="edge"/>
          <c:x val="0.27710508236871"/>
          <c:y val="0.138927086092994"/>
          <c:w val="0.200871315962976"/>
          <c:h val="0.06972340012757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yield (KG1) and income yield </a:t>
            </a:r>
          </a:p>
        </c:rich>
      </c:tx>
      <c:layout>
        <c:manualLayout>
          <c:xMode val="edge"/>
          <c:yMode val="edge"/>
          <c:x val="0.357931602855121"/>
          <c:y val="0.0762513313953384"/>
        </c:manualLayout>
      </c:layout>
      <c:overlay val="0"/>
      <c:spPr>
        <a:noFill/>
        <a:ln>
          <a:noFill/>
        </a:ln>
        <a:effectLst/>
      </c:spPr>
    </c:title>
    <c:autoTitleDeleted val="0"/>
    <c:plotArea>
      <c:layout>
        <c:manualLayout>
          <c:layoutTarget val="inner"/>
          <c:xMode val="edge"/>
          <c:yMode val="edge"/>
          <c:x val="0.0806103719793646"/>
          <c:y val="0.266051686674392"/>
          <c:w val="0.876432852143482"/>
          <c:h val="0.627920884629225"/>
        </c:manualLayout>
      </c:layout>
      <c:lineChart>
        <c:grouping val="standard"/>
        <c:varyColors val="0"/>
        <c:ser>
          <c:idx val="0"/>
          <c:order val="0"/>
          <c:tx>
            <c:v>KG</c:v>
          </c:tx>
          <c:spPr>
            <a:ln w="28575" cap="rnd">
              <a:solidFill>
                <a:schemeClr val="accent1"/>
              </a:solidFill>
              <a:round/>
            </a:ln>
            <a:effectLst/>
          </c:spPr>
          <c:marker>
            <c:symbol val="none"/>
          </c:marker>
          <c:cat>
            <c:strRef>
              <c:f>'Ext returns comps'!$D$48:$D$61</c:f>
              <c:strCache>
                <c:ptCount val="14"/>
                <c:pt idx="0">
                  <c:v> 2003</c:v>
                </c:pt>
                <c:pt idx="1">
                  <c:v> 2004</c:v>
                </c:pt>
                <c:pt idx="2">
                  <c:v> 2005</c:v>
                </c:pt>
                <c:pt idx="3">
                  <c:v> 2006</c:v>
                </c:pt>
                <c:pt idx="4">
                  <c:v> 2007</c:v>
                </c:pt>
                <c:pt idx="5">
                  <c:v> 2008</c:v>
                </c:pt>
                <c:pt idx="6">
                  <c:v> 2009</c:v>
                </c:pt>
                <c:pt idx="7">
                  <c:v> 2010</c:v>
                </c:pt>
                <c:pt idx="8">
                  <c:v> 2011</c:v>
                </c:pt>
                <c:pt idx="9">
                  <c:v> 2012</c:v>
                </c:pt>
                <c:pt idx="10">
                  <c:v> 2013</c:v>
                </c:pt>
                <c:pt idx="11">
                  <c:v> 2014</c:v>
                </c:pt>
                <c:pt idx="12">
                  <c:v> 2015</c:v>
                </c:pt>
                <c:pt idx="13">
                  <c:v> 2016</c:v>
                </c:pt>
              </c:strCache>
            </c:strRef>
          </c:cat>
          <c:val>
            <c:numRef>
              <c:f>'Ext returns comps'!$BC$48:$BC$61</c:f>
              <c:numCache>
                <c:formatCode>General</c:formatCode>
                <c:ptCount val="14"/>
                <c:pt idx="0">
                  <c:v>1.251113E12</c:v>
                </c:pt>
                <c:pt idx="1">
                  <c:v>7.77736E11</c:v>
                </c:pt>
                <c:pt idx="2">
                  <c:v>6.37494E11</c:v>
                </c:pt>
                <c:pt idx="3">
                  <c:v>1.524159E12</c:v>
                </c:pt>
                <c:pt idx="4">
                  <c:v>1.280614E12</c:v>
                </c:pt>
                <c:pt idx="5">
                  <c:v>-5.120541E12</c:v>
                </c:pt>
                <c:pt idx="6">
                  <c:v>2.362082E12</c:v>
                </c:pt>
                <c:pt idx="7">
                  <c:v>8.68491E11</c:v>
                </c:pt>
                <c:pt idx="8">
                  <c:v>-1.284385E12</c:v>
                </c:pt>
                <c:pt idx="9">
                  <c:v>1.204807E12</c:v>
                </c:pt>
                <c:pt idx="10">
                  <c:v>1.423196E12</c:v>
                </c:pt>
                <c:pt idx="11">
                  <c:v>-6.03906E11</c:v>
                </c:pt>
                <c:pt idx="12">
                  <c:v>-9.44097E11</c:v>
                </c:pt>
                <c:pt idx="13">
                  <c:v>3.35764E11</c:v>
                </c:pt>
              </c:numCache>
            </c:numRef>
          </c:val>
          <c:smooth val="0"/>
          <c:extLst xmlns:c16r2="http://schemas.microsoft.com/office/drawing/2015/06/chart">
            <c:ext xmlns:c16="http://schemas.microsoft.com/office/drawing/2014/chart" uri="{C3380CC4-5D6E-409C-BE32-E72D297353CC}">
              <c16:uniqueId val="{00000000-CDD9-4E97-BFF0-A46B8548E41F}"/>
            </c:ext>
          </c:extLst>
        </c:ser>
        <c:ser>
          <c:idx val="1"/>
          <c:order val="1"/>
          <c:tx>
            <c:v>Income</c:v>
          </c:tx>
          <c:spPr>
            <a:ln w="28575" cap="rnd">
              <a:solidFill>
                <a:schemeClr val="accent2"/>
              </a:solidFill>
              <a:round/>
            </a:ln>
            <a:effectLst/>
          </c:spPr>
          <c:marker>
            <c:symbol val="none"/>
          </c:marker>
          <c:val>
            <c:numRef>
              <c:f>'Ext returns comps'!$AD$48:$AD$61</c:f>
              <c:numCache>
                <c:formatCode>General</c:formatCode>
                <c:ptCount val="14"/>
                <c:pt idx="0">
                  <c:v>3.24374E11</c:v>
                </c:pt>
                <c:pt idx="1">
                  <c:v>4.16086E11</c:v>
                </c:pt>
                <c:pt idx="2">
                  <c:v>5.34214E11</c:v>
                </c:pt>
                <c:pt idx="3">
                  <c:v>6.80828E11</c:v>
                </c:pt>
                <c:pt idx="4">
                  <c:v>8.3498E11</c:v>
                </c:pt>
                <c:pt idx="5">
                  <c:v>8.15569E11</c:v>
                </c:pt>
                <c:pt idx="6">
                  <c:v>6.1325E11</c:v>
                </c:pt>
                <c:pt idx="7">
                  <c:v>6.80166E11</c:v>
                </c:pt>
                <c:pt idx="8">
                  <c:v>7.55938E11</c:v>
                </c:pt>
                <c:pt idx="9">
                  <c:v>7.67973E11</c:v>
                </c:pt>
                <c:pt idx="10">
                  <c:v>7.92818E11</c:v>
                </c:pt>
                <c:pt idx="11">
                  <c:v>8.17349E11</c:v>
                </c:pt>
                <c:pt idx="12">
                  <c:v>7.82985E11</c:v>
                </c:pt>
                <c:pt idx="13">
                  <c:v>8.13972E11</c:v>
                </c:pt>
              </c:numCache>
            </c:numRef>
          </c:val>
          <c:smooth val="0"/>
          <c:extLst xmlns:c16r2="http://schemas.microsoft.com/office/drawing/2015/06/chart">
            <c:ext xmlns:c16="http://schemas.microsoft.com/office/drawing/2014/chart" uri="{C3380CC4-5D6E-409C-BE32-E72D297353CC}">
              <c16:uniqueId val="{00000001-CDD9-4E97-BFF0-A46B8548E41F}"/>
            </c:ext>
          </c:extLst>
        </c:ser>
        <c:dLbls>
          <c:showLegendKey val="0"/>
          <c:showVal val="0"/>
          <c:showCatName val="0"/>
          <c:showSerName val="0"/>
          <c:showPercent val="0"/>
          <c:showBubbleSize val="0"/>
        </c:dLbls>
        <c:marker val="1"/>
        <c:smooth val="0"/>
        <c:axId val="-2079872632"/>
        <c:axId val="-2079869080"/>
      </c:lineChart>
      <c:catAx>
        <c:axId val="-2079872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9869080"/>
        <c:crosses val="autoZero"/>
        <c:auto val="1"/>
        <c:lblAlgn val="ctr"/>
        <c:lblOffset val="100"/>
        <c:noMultiLvlLbl val="0"/>
      </c:catAx>
      <c:valAx>
        <c:axId val="-2079869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79872632"/>
        <c:crosses val="autoZero"/>
        <c:crossBetween val="between"/>
      </c:valAx>
      <c:spPr>
        <a:noFill/>
        <a:ln>
          <a:noFill/>
        </a:ln>
        <a:effectLst/>
      </c:spPr>
    </c:plotArea>
    <c:legend>
      <c:legendPos val="t"/>
      <c:layout>
        <c:manualLayout>
          <c:xMode val="edge"/>
          <c:yMode val="edge"/>
          <c:x val="0.27710508236871"/>
          <c:y val="0.138927086092994"/>
          <c:w val="0.19884232491511"/>
          <c:h val="0.07200318153173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External returns differential by category, BEA allocation of other changes, 2003-2016</a:t>
            </a:r>
          </a:p>
        </c:rich>
      </c:tx>
      <c:overlay val="0"/>
      <c:spPr>
        <a:noFill/>
        <a:ln>
          <a:noFill/>
        </a:ln>
        <a:effectLst/>
      </c:spPr>
    </c:title>
    <c:autoTitleDeleted val="0"/>
    <c:plotArea>
      <c:layout/>
      <c:lineChart>
        <c:grouping val="standard"/>
        <c:varyColors val="0"/>
        <c:ser>
          <c:idx val="0"/>
          <c:order val="0"/>
          <c:tx>
            <c:strRef>
              <c:f>'Ext returns comps'!$ID$4</c:f>
              <c:strCache>
                <c:ptCount val="1"/>
                <c:pt idx="0">
                  <c:v>US int inv assets, exc fin deriv</c:v>
                </c:pt>
              </c:strCache>
            </c:strRef>
          </c:tx>
          <c:spPr>
            <a:ln w="28575" cap="rnd">
              <a:solidFill>
                <a:schemeClr val="accent1"/>
              </a:solidFill>
              <a:round/>
            </a:ln>
            <a:effectLst/>
          </c:spPr>
          <c:marker>
            <c:symbol val="none"/>
          </c:marker>
          <c:val>
            <c:numRef>
              <c:f>'Ext returns comps'!$ID$48:$ID$61</c:f>
              <c:numCache>
                <c:formatCode>General</c:formatCode>
                <c:ptCount val="14"/>
                <c:pt idx="0">
                  <c:v>0.104707521769645</c:v>
                </c:pt>
                <c:pt idx="1">
                  <c:v>0.0774377133899852</c:v>
                </c:pt>
                <c:pt idx="2">
                  <c:v>0.0838600194581676</c:v>
                </c:pt>
                <c:pt idx="3">
                  <c:v>0.0952396617680486</c:v>
                </c:pt>
                <c:pt idx="4">
                  <c:v>0.0773738857720375</c:v>
                </c:pt>
                <c:pt idx="5">
                  <c:v>-0.13869695730066</c:v>
                </c:pt>
                <c:pt idx="6">
                  <c:v>0.134726294145633</c:v>
                </c:pt>
                <c:pt idx="7">
                  <c:v>0.0271491444261237</c:v>
                </c:pt>
                <c:pt idx="8">
                  <c:v>-0.0553627502594348</c:v>
                </c:pt>
                <c:pt idx="9">
                  <c:v>0.0547805888009247</c:v>
                </c:pt>
                <c:pt idx="10">
                  <c:v>0.0164053641494254</c:v>
                </c:pt>
                <c:pt idx="11">
                  <c:v>-0.0500866044547549</c:v>
                </c:pt>
                <c:pt idx="12">
                  <c:v>-0.00498759887672801</c:v>
                </c:pt>
                <c:pt idx="13">
                  <c:v>0.0060571530262124</c:v>
                </c:pt>
              </c:numCache>
            </c:numRef>
          </c:val>
          <c:smooth val="0"/>
          <c:extLst xmlns:c16r2="http://schemas.microsoft.com/office/drawing/2015/06/chart">
            <c:ext xmlns:c16="http://schemas.microsoft.com/office/drawing/2014/chart" uri="{C3380CC4-5D6E-409C-BE32-E72D297353CC}">
              <c16:uniqueId val="{00000000-BB18-4D18-8620-7D9202674F4F}"/>
            </c:ext>
          </c:extLst>
        </c:ser>
        <c:ser>
          <c:idx val="1"/>
          <c:order val="1"/>
          <c:tx>
            <c:strRef>
              <c:f>'Ext returns comps'!$IE$4</c:f>
              <c:strCache>
                <c:ptCount val="1"/>
                <c:pt idx="0">
                  <c:v>Direct Investment at market value</c:v>
                </c:pt>
              </c:strCache>
            </c:strRef>
          </c:tx>
          <c:spPr>
            <a:ln w="28575" cap="rnd">
              <a:solidFill>
                <a:schemeClr val="accent2"/>
              </a:solidFill>
              <a:round/>
            </a:ln>
            <a:effectLst/>
          </c:spPr>
          <c:marker>
            <c:symbol val="none"/>
          </c:marker>
          <c:val>
            <c:numRef>
              <c:f>'Ext returns comps'!$IE$48:$IE$61</c:f>
              <c:numCache>
                <c:formatCode>General</c:formatCode>
                <c:ptCount val="14"/>
                <c:pt idx="0">
                  <c:v>0.125072773562898</c:v>
                </c:pt>
                <c:pt idx="1">
                  <c:v>0.109778705367715</c:v>
                </c:pt>
                <c:pt idx="2">
                  <c:v>0.104458665479876</c:v>
                </c:pt>
                <c:pt idx="3">
                  <c:v>0.10287031037809</c:v>
                </c:pt>
                <c:pt idx="4">
                  <c:v>0.108386258668447</c:v>
                </c:pt>
                <c:pt idx="5">
                  <c:v>-0.0970932252168845</c:v>
                </c:pt>
                <c:pt idx="6">
                  <c:v>0.178936229248152</c:v>
                </c:pt>
                <c:pt idx="7">
                  <c:v>0.0211307658206635</c:v>
                </c:pt>
                <c:pt idx="8">
                  <c:v>-0.0488730214666783</c:v>
                </c:pt>
                <c:pt idx="9">
                  <c:v>0.0513021129033503</c:v>
                </c:pt>
                <c:pt idx="10">
                  <c:v>-0.0212154005261939</c:v>
                </c:pt>
                <c:pt idx="11">
                  <c:v>-0.0740545970596359</c:v>
                </c:pt>
                <c:pt idx="12">
                  <c:v>-0.0120336671475117</c:v>
                </c:pt>
                <c:pt idx="13">
                  <c:v>-0.0127530031802424</c:v>
                </c:pt>
              </c:numCache>
            </c:numRef>
          </c:val>
          <c:smooth val="0"/>
          <c:extLst xmlns:c16r2="http://schemas.microsoft.com/office/drawing/2015/06/chart">
            <c:ext xmlns:c16="http://schemas.microsoft.com/office/drawing/2014/chart" uri="{C3380CC4-5D6E-409C-BE32-E72D297353CC}">
              <c16:uniqueId val="{00000001-BB18-4D18-8620-7D9202674F4F}"/>
            </c:ext>
          </c:extLst>
        </c:ser>
        <c:ser>
          <c:idx val="4"/>
          <c:order val="2"/>
          <c:tx>
            <c:strRef>
              <c:f>'Ext returns comps'!$IH$4</c:f>
              <c:strCache>
                <c:ptCount val="1"/>
                <c:pt idx="0">
                  <c:v>Portfolio Investment</c:v>
                </c:pt>
              </c:strCache>
            </c:strRef>
          </c:tx>
          <c:spPr>
            <a:ln w="28575" cap="rnd">
              <a:solidFill>
                <a:schemeClr val="accent5"/>
              </a:solidFill>
              <a:round/>
            </a:ln>
            <a:effectLst/>
          </c:spPr>
          <c:marker>
            <c:symbol val="none"/>
          </c:marker>
          <c:val>
            <c:numRef>
              <c:f>'Ext returns comps'!$IH$48:$IH$61</c:f>
              <c:numCache>
                <c:formatCode>General</c:formatCode>
                <c:ptCount val="14"/>
                <c:pt idx="0">
                  <c:v>-0.135883476351138</c:v>
                </c:pt>
                <c:pt idx="1">
                  <c:v>-0.0421368489821898</c:v>
                </c:pt>
                <c:pt idx="2">
                  <c:v>0.0657560859049036</c:v>
                </c:pt>
                <c:pt idx="3">
                  <c:v>-0.0487458639843242</c:v>
                </c:pt>
                <c:pt idx="4">
                  <c:v>-0.0626324806393413</c:v>
                </c:pt>
                <c:pt idx="5">
                  <c:v>-0.0276795843879118</c:v>
                </c:pt>
                <c:pt idx="6">
                  <c:v>-0.0976423195495271</c:v>
                </c:pt>
                <c:pt idx="7">
                  <c:v>-0.178703590759114</c:v>
                </c:pt>
                <c:pt idx="8">
                  <c:v>-0.190764851265187</c:v>
                </c:pt>
                <c:pt idx="9">
                  <c:v>-0.0543715742841017</c:v>
                </c:pt>
                <c:pt idx="10">
                  <c:v>-0.14969988882592</c:v>
                </c:pt>
                <c:pt idx="11">
                  <c:v>-0.176211344043262</c:v>
                </c:pt>
                <c:pt idx="12">
                  <c:v>0.00647131698656322</c:v>
                </c:pt>
                <c:pt idx="13">
                  <c:v>-0.0679676856388118</c:v>
                </c:pt>
              </c:numCache>
            </c:numRef>
          </c:val>
          <c:smooth val="0"/>
          <c:extLst xmlns:c16r2="http://schemas.microsoft.com/office/drawing/2015/06/chart">
            <c:ext xmlns:c16="http://schemas.microsoft.com/office/drawing/2014/chart" uri="{C3380CC4-5D6E-409C-BE32-E72D297353CC}">
              <c16:uniqueId val="{00000004-BB18-4D18-8620-7D9202674F4F}"/>
            </c:ext>
          </c:extLst>
        </c:ser>
        <c:ser>
          <c:idx val="7"/>
          <c:order val="3"/>
          <c:tx>
            <c:strRef>
              <c:f>'Ext returns comps'!$IK$4</c:f>
              <c:strCache>
                <c:ptCount val="1"/>
                <c:pt idx="0">
                  <c:v>Other investment</c:v>
                </c:pt>
              </c:strCache>
            </c:strRef>
          </c:tx>
          <c:spPr>
            <a:ln w="28575" cap="rnd">
              <a:solidFill>
                <a:schemeClr val="accent2">
                  <a:lumMod val="60000"/>
                </a:schemeClr>
              </a:solidFill>
              <a:round/>
            </a:ln>
            <a:effectLst/>
          </c:spPr>
          <c:marker>
            <c:symbol val="none"/>
          </c:marker>
          <c:val>
            <c:numRef>
              <c:f>'Ext returns comps'!$IK$48:$IK$61</c:f>
              <c:numCache>
                <c:formatCode>General</c:formatCode>
                <c:ptCount val="14"/>
                <c:pt idx="0">
                  <c:v>0.0106472391150456</c:v>
                </c:pt>
                <c:pt idx="1">
                  <c:v>0.00834591354586104</c:v>
                </c:pt>
                <c:pt idx="2">
                  <c:v>0.00661384134387107</c:v>
                </c:pt>
                <c:pt idx="3">
                  <c:v>0.0107091538158892</c:v>
                </c:pt>
                <c:pt idx="4">
                  <c:v>0.0122515531585415</c:v>
                </c:pt>
                <c:pt idx="5">
                  <c:v>0.00581635588164955</c:v>
                </c:pt>
                <c:pt idx="6">
                  <c:v>0.00252153429553834</c:v>
                </c:pt>
                <c:pt idx="7">
                  <c:v>0.00191893697698526</c:v>
                </c:pt>
                <c:pt idx="8">
                  <c:v>0.00285705057329836</c:v>
                </c:pt>
                <c:pt idx="9">
                  <c:v>0.00329334058667731</c:v>
                </c:pt>
                <c:pt idx="10">
                  <c:v>0.00283721922184635</c:v>
                </c:pt>
                <c:pt idx="11">
                  <c:v>0.00417732801269348</c:v>
                </c:pt>
                <c:pt idx="12">
                  <c:v>-0.00163376273938336</c:v>
                </c:pt>
                <c:pt idx="13">
                  <c:v>0.00183514788707668</c:v>
                </c:pt>
              </c:numCache>
            </c:numRef>
          </c:val>
          <c:smooth val="0"/>
          <c:extLst xmlns:c16r2="http://schemas.microsoft.com/office/drawing/2015/06/chart">
            <c:ext xmlns:c16="http://schemas.microsoft.com/office/drawing/2014/chart" uri="{C3380CC4-5D6E-409C-BE32-E72D297353CC}">
              <c16:uniqueId val="{00000007-BB18-4D18-8620-7D9202674F4F}"/>
            </c:ext>
          </c:extLst>
        </c:ser>
        <c:dLbls>
          <c:showLegendKey val="0"/>
          <c:showVal val="0"/>
          <c:showCatName val="0"/>
          <c:showSerName val="0"/>
          <c:showPercent val="0"/>
          <c:showBubbleSize val="0"/>
        </c:dLbls>
        <c:marker val="1"/>
        <c:smooth val="0"/>
        <c:axId val="-2080114472"/>
        <c:axId val="-2080110856"/>
        <c:extLst xmlns:c16r2="http://schemas.microsoft.com/office/drawing/2015/06/chart">
          <c:ext xmlns:c15="http://schemas.microsoft.com/office/drawing/2012/chart" uri="{02D57815-91ED-43cb-92C2-25804820EDAC}">
            <c15:filteredLineSeries>
              <c15:ser>
                <c:idx val="2"/>
                <c:order val="2"/>
                <c:tx>
                  <c:strRef>
                    <c:extLst xmlns:c16r2="http://schemas.microsoft.com/office/drawing/2015/06/chart">
                      <c:ext uri="{02D57815-91ED-43cb-92C2-25804820EDAC}">
                        <c15:formulaRef>
                          <c15:sqref>'Ext returns comps'!$IF$4</c15:sqref>
                        </c15:formulaRef>
                      </c:ext>
                    </c:extLst>
                    <c:strCache>
                      <c:ptCount val="1"/>
                      <c:pt idx="0">
                        <c:v>Of which; Equity</c:v>
                      </c:pt>
                    </c:strCache>
                  </c:strRef>
                </c:tx>
                <c:spPr>
                  <a:ln w="28575" cap="rnd">
                    <a:solidFill>
                      <a:schemeClr val="accent3"/>
                    </a:solidFill>
                    <a:round/>
                  </a:ln>
                  <a:effectLst/>
                </c:spPr>
                <c:marker>
                  <c:symbol val="none"/>
                </c:marker>
                <c:val>
                  <c:numRef>
                    <c:extLst xmlns:c16r2="http://schemas.microsoft.com/office/drawing/2015/06/chart">
                      <c:ext uri="{02D57815-91ED-43cb-92C2-25804820EDAC}">
                        <c15:formulaRef>
                          <c15:sqref>'Ext returns comps'!$IF$48:$IF$61</c15:sqref>
                        </c15:formulaRef>
                      </c:ext>
                    </c:extLst>
                    <c:numCache>
                      <c:formatCode>General</c:formatCode>
                      <c:ptCount val="14"/>
                    </c:numCache>
                  </c:numRef>
                </c:val>
                <c:smooth val="0"/>
                <c:extLst xmlns:c16r2="http://schemas.microsoft.com/office/drawing/2015/06/chart">
                  <c:ext xmlns:c16="http://schemas.microsoft.com/office/drawing/2014/chart" uri="{C3380CC4-5D6E-409C-BE32-E72D297353CC}">
                    <c16:uniqueId val="{00000002-BB18-4D18-8620-7D9202674F4F}"/>
                  </c:ext>
                </c:extLst>
              </c15:ser>
            </c15:filteredLineSeries>
            <c15:filteredLineSeries>
              <c15:ser>
                <c:idx val="3"/>
                <c:order val="3"/>
                <c:tx>
                  <c:strRef>
                    <c:extLst xmlns:c15="http://schemas.microsoft.com/office/drawing/2012/chart" xmlns:c16r2="http://schemas.microsoft.com/office/drawing/2015/06/chart">
                      <c:ext xmlns:c15="http://schemas.microsoft.com/office/drawing/2012/chart" uri="{02D57815-91ED-43cb-92C2-25804820EDAC}">
                        <c15:formulaRef>
                          <c15:sqref>'Ext returns comps'!$IG$4</c15:sqref>
                        </c15:formulaRef>
                      </c:ext>
                    </c:extLst>
                    <c:strCache>
                      <c:ptCount val="1"/>
                      <c:pt idx="0">
                        <c:v>Of which; Debt instruments</c:v>
                      </c:pt>
                    </c:strCache>
                  </c:strRef>
                </c:tx>
                <c:spPr>
                  <a:ln w="28575" cap="rnd">
                    <a:solidFill>
                      <a:schemeClr val="accent4"/>
                    </a:solidFill>
                    <a:round/>
                  </a:ln>
                  <a:effectLst/>
                </c:spPr>
                <c:marker>
                  <c:symbol val="none"/>
                </c:marker>
                <c:val>
                  <c:numRef>
                    <c:extLst xmlns:c15="http://schemas.microsoft.com/office/drawing/2012/chart" xmlns:c16r2="http://schemas.microsoft.com/office/drawing/2015/06/chart">
                      <c:ext xmlns:c15="http://schemas.microsoft.com/office/drawing/2012/chart" uri="{02D57815-91ED-43cb-92C2-25804820EDAC}">
                        <c15:formulaRef>
                          <c15:sqref>'Ext returns comps'!$IG$48:$IG$61</c15:sqref>
                        </c15:formulaRef>
                      </c:ext>
                    </c:extLst>
                    <c:numCache>
                      <c:formatCode>General</c:formatCode>
                      <c:ptCount val="14"/>
                    </c:numCache>
                  </c:numRef>
                </c:val>
                <c:smooth val="0"/>
                <c:extLst xmlns:c16r2="http://schemas.microsoft.com/office/drawing/2015/06/chart" xmlns:c15="http://schemas.microsoft.com/office/drawing/2012/chart">
                  <c:ext xmlns:c16="http://schemas.microsoft.com/office/drawing/2014/chart" uri="{C3380CC4-5D6E-409C-BE32-E72D297353CC}">
                    <c16:uniqueId val="{00000003-BB18-4D18-8620-7D9202674F4F}"/>
                  </c:ext>
                </c:extLst>
              </c15:ser>
            </c15:filteredLineSeries>
            <c15:filteredLineSeries>
              <c15:ser>
                <c:idx val="5"/>
                <c:order val="5"/>
                <c:tx>
                  <c:strRef>
                    <c:extLst xmlns:c15="http://schemas.microsoft.com/office/drawing/2012/chart" xmlns:c16r2="http://schemas.microsoft.com/office/drawing/2015/06/chart">
                      <c:ext xmlns:c15="http://schemas.microsoft.com/office/drawing/2012/chart" uri="{02D57815-91ED-43cb-92C2-25804820EDAC}">
                        <c15:formulaRef>
                          <c15:sqref>'Ext returns comps'!$II$4</c15:sqref>
                        </c15:formulaRef>
                      </c:ext>
                    </c:extLst>
                    <c:strCache>
                      <c:ptCount val="1"/>
                      <c:pt idx="0">
                        <c:v>of which; Equity</c:v>
                      </c:pt>
                    </c:strCache>
                  </c:strRef>
                </c:tx>
                <c:spPr>
                  <a:ln w="28575" cap="rnd">
                    <a:solidFill>
                      <a:schemeClr val="accent6"/>
                    </a:solidFill>
                    <a:round/>
                  </a:ln>
                  <a:effectLst/>
                </c:spPr>
                <c:marker>
                  <c:symbol val="none"/>
                </c:marker>
                <c:val>
                  <c:numRef>
                    <c:extLst xmlns:c15="http://schemas.microsoft.com/office/drawing/2012/chart" xmlns:c16r2="http://schemas.microsoft.com/office/drawing/2015/06/chart">
                      <c:ext xmlns:c15="http://schemas.microsoft.com/office/drawing/2012/chart" uri="{02D57815-91ED-43cb-92C2-25804820EDAC}">
                        <c15:formulaRef>
                          <c15:sqref>'Ext returns comps'!$II$48:$II$61</c15:sqref>
                        </c15:formulaRef>
                      </c:ext>
                    </c:extLst>
                    <c:numCache>
                      <c:formatCode>General</c:formatCode>
                      <c:ptCount val="14"/>
                    </c:numCache>
                  </c:numRef>
                </c:val>
                <c:smooth val="0"/>
                <c:extLst xmlns:c16r2="http://schemas.microsoft.com/office/drawing/2015/06/chart" xmlns:c15="http://schemas.microsoft.com/office/drawing/2012/chart">
                  <c:ext xmlns:c16="http://schemas.microsoft.com/office/drawing/2014/chart" uri="{C3380CC4-5D6E-409C-BE32-E72D297353CC}">
                    <c16:uniqueId val="{00000005-BB18-4D18-8620-7D9202674F4F}"/>
                  </c:ext>
                </c:extLst>
              </c15:ser>
            </c15:filteredLineSeries>
            <c15:filteredLineSeries>
              <c15:ser>
                <c:idx val="6"/>
                <c:order val="6"/>
                <c:tx>
                  <c:strRef>
                    <c:extLst xmlns:c15="http://schemas.microsoft.com/office/drawing/2012/chart" xmlns:c16r2="http://schemas.microsoft.com/office/drawing/2015/06/chart">
                      <c:ext xmlns:c15="http://schemas.microsoft.com/office/drawing/2012/chart" uri="{02D57815-91ED-43cb-92C2-25804820EDAC}">
                        <c15:formulaRef>
                          <c15:sqref>'Ext returns comps'!$IJ$4</c15:sqref>
                        </c15:formulaRef>
                      </c:ext>
                    </c:extLst>
                    <c:strCache>
                      <c:ptCount val="1"/>
                      <c:pt idx="0">
                        <c:v>of which Debt</c:v>
                      </c:pt>
                    </c:strCache>
                  </c:strRef>
                </c:tx>
                <c:spPr>
                  <a:ln w="28575" cap="rnd">
                    <a:solidFill>
                      <a:schemeClr val="accent1">
                        <a:lumMod val="60000"/>
                      </a:schemeClr>
                    </a:solidFill>
                    <a:round/>
                  </a:ln>
                  <a:effectLst/>
                </c:spPr>
                <c:marker>
                  <c:symbol val="none"/>
                </c:marker>
                <c:val>
                  <c:numRef>
                    <c:extLst xmlns:c15="http://schemas.microsoft.com/office/drawing/2012/chart" xmlns:c16r2="http://schemas.microsoft.com/office/drawing/2015/06/chart">
                      <c:ext xmlns:c15="http://schemas.microsoft.com/office/drawing/2012/chart" uri="{02D57815-91ED-43cb-92C2-25804820EDAC}">
                        <c15:formulaRef>
                          <c15:sqref>'Ext returns comps'!$IJ$48:$IJ$61</c15:sqref>
                        </c15:formulaRef>
                      </c:ext>
                    </c:extLst>
                    <c:numCache>
                      <c:formatCode>General</c:formatCode>
                      <c:ptCount val="14"/>
                    </c:numCache>
                  </c:numRef>
                </c:val>
                <c:smooth val="0"/>
                <c:extLst xmlns:c16r2="http://schemas.microsoft.com/office/drawing/2015/06/chart" xmlns:c15="http://schemas.microsoft.com/office/drawing/2012/chart">
                  <c:ext xmlns:c16="http://schemas.microsoft.com/office/drawing/2014/chart" uri="{C3380CC4-5D6E-409C-BE32-E72D297353CC}">
                    <c16:uniqueId val="{00000006-BB18-4D18-8620-7D9202674F4F}"/>
                  </c:ext>
                </c:extLst>
              </c15:ser>
            </c15:filteredLineSeries>
          </c:ext>
        </c:extLst>
      </c:lineChart>
      <c:catAx>
        <c:axId val="-20801144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80110856"/>
        <c:crosses val="autoZero"/>
        <c:auto val="1"/>
        <c:lblAlgn val="ctr"/>
        <c:lblOffset val="100"/>
        <c:noMultiLvlLbl val="0"/>
      </c:catAx>
      <c:valAx>
        <c:axId val="-2080110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80114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9766447944007"/>
          <c:y val="0.142858064468562"/>
          <c:w val="0.857080708661417"/>
          <c:h val="0.801586277574614"/>
        </c:manualLayout>
      </c:layout>
      <c:lineChart>
        <c:grouping val="standard"/>
        <c:varyColors val="0"/>
        <c:ser>
          <c:idx val="0"/>
          <c:order val="0"/>
          <c:tx>
            <c:strRef>
              <c:f>'Ext returns comps'!$GK$4</c:f>
              <c:strCache>
                <c:ptCount val="1"/>
                <c:pt idx="0">
                  <c:v>Direct Investment at market value</c:v>
                </c:pt>
              </c:strCache>
            </c:strRef>
          </c:tx>
          <c:spPr>
            <a:ln w="28575" cap="rnd">
              <a:solidFill>
                <a:schemeClr val="accent1"/>
              </a:solidFill>
              <a:round/>
            </a:ln>
            <a:effectLst/>
          </c:spPr>
          <c:marker>
            <c:symbol val="none"/>
          </c:marker>
          <c:cat>
            <c:strRef>
              <c:f>'Ext returns comps'!$D$21:$D$61</c:f>
              <c:strCache>
                <c:ptCount val="41"/>
                <c:pt idx="0">
                  <c:v> 1976</c:v>
                </c:pt>
                <c:pt idx="1">
                  <c:v> 1977</c:v>
                </c:pt>
                <c:pt idx="2">
                  <c:v> 1978</c:v>
                </c:pt>
                <c:pt idx="3">
                  <c:v> 1979</c:v>
                </c:pt>
                <c:pt idx="4">
                  <c:v> 1980</c:v>
                </c:pt>
                <c:pt idx="5">
                  <c:v> 1981</c:v>
                </c:pt>
                <c:pt idx="6">
                  <c:v> 1982</c:v>
                </c:pt>
                <c:pt idx="7">
                  <c:v> 1983</c:v>
                </c:pt>
                <c:pt idx="8">
                  <c:v> 1984</c:v>
                </c:pt>
                <c:pt idx="9">
                  <c:v> 1985</c:v>
                </c:pt>
                <c:pt idx="10">
                  <c:v> 1986</c:v>
                </c:pt>
                <c:pt idx="11">
                  <c:v> 1987</c:v>
                </c:pt>
                <c:pt idx="12">
                  <c:v> 1988</c:v>
                </c:pt>
                <c:pt idx="13">
                  <c:v> 1989</c:v>
                </c:pt>
                <c:pt idx="14">
                  <c:v> 1990</c:v>
                </c:pt>
                <c:pt idx="15">
                  <c:v> 1991</c:v>
                </c:pt>
                <c:pt idx="16">
                  <c:v> 1992</c:v>
                </c:pt>
                <c:pt idx="17">
                  <c:v> 1993</c:v>
                </c:pt>
                <c:pt idx="18">
                  <c:v> 1994</c:v>
                </c:pt>
                <c:pt idx="19">
                  <c:v> 1995</c:v>
                </c:pt>
                <c:pt idx="20">
                  <c:v> 1996</c:v>
                </c:pt>
                <c:pt idx="21">
                  <c:v> 1997</c:v>
                </c:pt>
                <c:pt idx="22">
                  <c:v> 1998</c:v>
                </c:pt>
                <c:pt idx="23">
                  <c:v> 1999</c:v>
                </c:pt>
                <c:pt idx="24">
                  <c:v> 2000</c:v>
                </c:pt>
                <c:pt idx="25">
                  <c:v> 2001</c:v>
                </c:pt>
                <c:pt idx="26">
                  <c:v> 2002</c:v>
                </c:pt>
                <c:pt idx="27">
                  <c:v> 2003</c:v>
                </c:pt>
                <c:pt idx="28">
                  <c:v> 2004</c:v>
                </c:pt>
                <c:pt idx="29">
                  <c:v> 2005</c:v>
                </c:pt>
                <c:pt idx="30">
                  <c:v> 2006</c:v>
                </c:pt>
                <c:pt idx="31">
                  <c:v> 2007</c:v>
                </c:pt>
                <c:pt idx="32">
                  <c:v> 2008</c:v>
                </c:pt>
                <c:pt idx="33">
                  <c:v> 2009</c:v>
                </c:pt>
                <c:pt idx="34">
                  <c:v> 2010</c:v>
                </c:pt>
                <c:pt idx="35">
                  <c:v> 2011</c:v>
                </c:pt>
                <c:pt idx="36">
                  <c:v> 2012</c:v>
                </c:pt>
                <c:pt idx="37">
                  <c:v> 2013</c:v>
                </c:pt>
                <c:pt idx="38">
                  <c:v> 2014</c:v>
                </c:pt>
                <c:pt idx="39">
                  <c:v> 2015</c:v>
                </c:pt>
                <c:pt idx="40">
                  <c:v> 2016</c:v>
                </c:pt>
              </c:strCache>
            </c:strRef>
          </c:cat>
          <c:val>
            <c:numRef>
              <c:f>'Ext returns comps'!$GK$21:$GK$61</c:f>
              <c:numCache>
                <c:formatCode>General</c:formatCode>
                <c:ptCount val="41"/>
                <c:pt idx="0">
                  <c:v>9.2585E10</c:v>
                </c:pt>
                <c:pt idx="1">
                  <c:v>1.19642E11</c:v>
                </c:pt>
                <c:pt idx="2">
                  <c:v>1.39239E11</c:v>
                </c:pt>
                <c:pt idx="3">
                  <c:v>1.64309E11</c:v>
                </c:pt>
                <c:pt idx="4">
                  <c:v>1.97482E11</c:v>
                </c:pt>
                <c:pt idx="5">
                  <c:v>1.29788E11</c:v>
                </c:pt>
                <c:pt idx="6">
                  <c:v>9.621E10</c:v>
                </c:pt>
                <c:pt idx="7">
                  <c:v>1.21025E11</c:v>
                </c:pt>
                <c:pt idx="8">
                  <c:v>9.8197E10</c:v>
                </c:pt>
                <c:pt idx="9">
                  <c:v>1.66355E11</c:v>
                </c:pt>
                <c:pt idx="10">
                  <c:v>2.57108E11</c:v>
                </c:pt>
                <c:pt idx="11">
                  <c:v>2.74045E11</c:v>
                </c:pt>
                <c:pt idx="12">
                  <c:v>3.00932E11</c:v>
                </c:pt>
                <c:pt idx="13">
                  <c:v>2.97726E11</c:v>
                </c:pt>
                <c:pt idx="14">
                  <c:v>1.92161E11</c:v>
                </c:pt>
                <c:pt idx="15">
                  <c:v>1.584E11</c:v>
                </c:pt>
                <c:pt idx="16">
                  <c:v>1.02452E11</c:v>
                </c:pt>
                <c:pt idx="17">
                  <c:v>2.92901E11</c:v>
                </c:pt>
                <c:pt idx="18">
                  <c:v>3.5673E11</c:v>
                </c:pt>
                <c:pt idx="19">
                  <c:v>3.58067E11</c:v>
                </c:pt>
                <c:pt idx="20">
                  <c:v>3.79223E11</c:v>
                </c:pt>
                <c:pt idx="21">
                  <c:v>2.41876E11</c:v>
                </c:pt>
                <c:pt idx="22">
                  <c:v>1.00565E11</c:v>
                </c:pt>
                <c:pt idx="23">
                  <c:v>4.1446E10</c:v>
                </c:pt>
                <c:pt idx="24">
                  <c:v>-8.9222E10</c:v>
                </c:pt>
                <c:pt idx="25">
                  <c:v>-2.4536E11</c:v>
                </c:pt>
                <c:pt idx="26">
                  <c:v>7.71E8</c:v>
                </c:pt>
                <c:pt idx="27">
                  <c:v>2.74251E11</c:v>
                </c:pt>
                <c:pt idx="28">
                  <c:v>6.45413E11</c:v>
                </c:pt>
                <c:pt idx="29">
                  <c:v>8.20026E11</c:v>
                </c:pt>
                <c:pt idx="30">
                  <c:v>1.17729E12</c:v>
                </c:pt>
                <c:pt idx="31">
                  <c:v>1.723684E12</c:v>
                </c:pt>
                <c:pt idx="32">
                  <c:v>6.15971E11</c:v>
                </c:pt>
                <c:pt idx="33">
                  <c:v>1.326662E12</c:v>
                </c:pt>
                <c:pt idx="34">
                  <c:v>1.387294E12</c:v>
                </c:pt>
                <c:pt idx="35">
                  <c:v>1.015601E12</c:v>
                </c:pt>
                <c:pt idx="36">
                  <c:v>1.307068E12</c:v>
                </c:pt>
                <c:pt idx="37">
                  <c:v>1.305753E12</c:v>
                </c:pt>
                <c:pt idx="38">
                  <c:v>8.19896E11</c:v>
                </c:pt>
                <c:pt idx="39">
                  <c:v>2.98115E11</c:v>
                </c:pt>
                <c:pt idx="40">
                  <c:v>-1.94202E11</c:v>
                </c:pt>
              </c:numCache>
            </c:numRef>
          </c:val>
          <c:smooth val="0"/>
          <c:extLst xmlns:c16r2="http://schemas.microsoft.com/office/drawing/2015/06/chart">
            <c:ext xmlns:c16="http://schemas.microsoft.com/office/drawing/2014/chart" uri="{C3380CC4-5D6E-409C-BE32-E72D297353CC}">
              <c16:uniqueId val="{00000000-CB8B-40BD-9505-DC127533CC61}"/>
            </c:ext>
          </c:extLst>
        </c:ser>
        <c:ser>
          <c:idx val="1"/>
          <c:order val="1"/>
          <c:tx>
            <c:strRef>
              <c:f>'Ext returns comps'!$GN$4</c:f>
              <c:strCache>
                <c:ptCount val="1"/>
                <c:pt idx="0">
                  <c:v>Portfolio Investment</c:v>
                </c:pt>
              </c:strCache>
            </c:strRef>
          </c:tx>
          <c:spPr>
            <a:ln w="28575" cap="rnd">
              <a:solidFill>
                <a:schemeClr val="accent2"/>
              </a:solidFill>
              <a:round/>
            </a:ln>
            <a:effectLst/>
          </c:spPr>
          <c:marker>
            <c:symbol val="none"/>
          </c:marker>
          <c:cat>
            <c:strRef>
              <c:f>'Ext returns comps'!$D$21:$D$61</c:f>
              <c:strCache>
                <c:ptCount val="41"/>
                <c:pt idx="0">
                  <c:v> 1976</c:v>
                </c:pt>
                <c:pt idx="1">
                  <c:v> 1977</c:v>
                </c:pt>
                <c:pt idx="2">
                  <c:v> 1978</c:v>
                </c:pt>
                <c:pt idx="3">
                  <c:v> 1979</c:v>
                </c:pt>
                <c:pt idx="4">
                  <c:v> 1980</c:v>
                </c:pt>
                <c:pt idx="5">
                  <c:v> 1981</c:v>
                </c:pt>
                <c:pt idx="6">
                  <c:v> 1982</c:v>
                </c:pt>
                <c:pt idx="7">
                  <c:v> 1983</c:v>
                </c:pt>
                <c:pt idx="8">
                  <c:v> 1984</c:v>
                </c:pt>
                <c:pt idx="9">
                  <c:v> 1985</c:v>
                </c:pt>
                <c:pt idx="10">
                  <c:v> 1986</c:v>
                </c:pt>
                <c:pt idx="11">
                  <c:v> 1987</c:v>
                </c:pt>
                <c:pt idx="12">
                  <c:v> 1988</c:v>
                </c:pt>
                <c:pt idx="13">
                  <c:v> 1989</c:v>
                </c:pt>
                <c:pt idx="14">
                  <c:v> 1990</c:v>
                </c:pt>
                <c:pt idx="15">
                  <c:v> 1991</c:v>
                </c:pt>
                <c:pt idx="16">
                  <c:v> 1992</c:v>
                </c:pt>
                <c:pt idx="17">
                  <c:v> 1993</c:v>
                </c:pt>
                <c:pt idx="18">
                  <c:v> 1994</c:v>
                </c:pt>
                <c:pt idx="19">
                  <c:v> 1995</c:v>
                </c:pt>
                <c:pt idx="20">
                  <c:v> 1996</c:v>
                </c:pt>
                <c:pt idx="21">
                  <c:v> 1997</c:v>
                </c:pt>
                <c:pt idx="22">
                  <c:v> 1998</c:v>
                </c:pt>
                <c:pt idx="23">
                  <c:v> 1999</c:v>
                </c:pt>
                <c:pt idx="24">
                  <c:v> 2000</c:v>
                </c:pt>
                <c:pt idx="25">
                  <c:v> 2001</c:v>
                </c:pt>
                <c:pt idx="26">
                  <c:v> 2002</c:v>
                </c:pt>
                <c:pt idx="27">
                  <c:v> 2003</c:v>
                </c:pt>
                <c:pt idx="28">
                  <c:v> 2004</c:v>
                </c:pt>
                <c:pt idx="29">
                  <c:v> 2005</c:v>
                </c:pt>
                <c:pt idx="30">
                  <c:v> 2006</c:v>
                </c:pt>
                <c:pt idx="31">
                  <c:v> 2007</c:v>
                </c:pt>
                <c:pt idx="32">
                  <c:v> 2008</c:v>
                </c:pt>
                <c:pt idx="33">
                  <c:v> 2009</c:v>
                </c:pt>
                <c:pt idx="34">
                  <c:v> 2010</c:v>
                </c:pt>
                <c:pt idx="35">
                  <c:v> 2011</c:v>
                </c:pt>
                <c:pt idx="36">
                  <c:v> 2012</c:v>
                </c:pt>
                <c:pt idx="37">
                  <c:v> 2013</c:v>
                </c:pt>
                <c:pt idx="38">
                  <c:v> 2014</c:v>
                </c:pt>
                <c:pt idx="39">
                  <c:v> 2015</c:v>
                </c:pt>
                <c:pt idx="40">
                  <c:v> 2016</c:v>
                </c:pt>
              </c:strCache>
            </c:strRef>
          </c:cat>
          <c:val>
            <c:numRef>
              <c:f>'Ext returns comps'!$GN$21:$GN$61</c:f>
              <c:numCache>
                <c:formatCode>General</c:formatCode>
                <c:ptCount val="41"/>
                <c:pt idx="0">
                  <c:v>-1.0891E11</c:v>
                </c:pt>
                <c:pt idx="1">
                  <c:v>-1.35864E11</c:v>
                </c:pt>
                <c:pt idx="2">
                  <c:v>-1.58137E11</c:v>
                </c:pt>
                <c:pt idx="3">
                  <c:v>-1.38887E11</c:v>
                </c:pt>
                <c:pt idx="4">
                  <c:v>-1.64592E11</c:v>
                </c:pt>
                <c:pt idx="5">
                  <c:v>-1.64543E11</c:v>
                </c:pt>
                <c:pt idx="6">
                  <c:v>-1.85054E11</c:v>
                </c:pt>
                <c:pt idx="7">
                  <c:v>-2.0904E11</c:v>
                </c:pt>
                <c:pt idx="8">
                  <c:v>-2.55365E11</c:v>
                </c:pt>
                <c:pt idx="9">
                  <c:v>-3.34996E11</c:v>
                </c:pt>
                <c:pt idx="10">
                  <c:v>-4.34444E11</c:v>
                </c:pt>
                <c:pt idx="11">
                  <c:v>-4.61364E11</c:v>
                </c:pt>
                <c:pt idx="12">
                  <c:v>-4.79725E11</c:v>
                </c:pt>
                <c:pt idx="13">
                  <c:v>-5.63081E11</c:v>
                </c:pt>
                <c:pt idx="14">
                  <c:v>-5.21306E11</c:v>
                </c:pt>
                <c:pt idx="15">
                  <c:v>-5.51144E11</c:v>
                </c:pt>
                <c:pt idx="16">
                  <c:v>-5.94449E11</c:v>
                </c:pt>
                <c:pt idx="17">
                  <c:v>-4.55512E11</c:v>
                </c:pt>
                <c:pt idx="18">
                  <c:v>-4.65243E11</c:v>
                </c:pt>
                <c:pt idx="19">
                  <c:v>-6.22228E11</c:v>
                </c:pt>
                <c:pt idx="20">
                  <c:v>-7.82952E11</c:v>
                </c:pt>
                <c:pt idx="21">
                  <c:v>-1.020094E12</c:v>
                </c:pt>
                <c:pt idx="22">
                  <c:v>-1.190939E12</c:v>
                </c:pt>
                <c:pt idx="23">
                  <c:v>-1.064925E12</c:v>
                </c:pt>
                <c:pt idx="24">
                  <c:v>-1.452315E12</c:v>
                </c:pt>
                <c:pt idx="25">
                  <c:v>-2.007956E12</c:v>
                </c:pt>
                <c:pt idx="26">
                  <c:v>-2.294759E12</c:v>
                </c:pt>
                <c:pt idx="27">
                  <c:v>-2.37003E12</c:v>
                </c:pt>
                <c:pt idx="28">
                  <c:v>-2.792921E12</c:v>
                </c:pt>
                <c:pt idx="29">
                  <c:v>-2.708857E12</c:v>
                </c:pt>
                <c:pt idx="30">
                  <c:v>-2.826443E12</c:v>
                </c:pt>
                <c:pt idx="31">
                  <c:v>-3.064929E12</c:v>
                </c:pt>
                <c:pt idx="32">
                  <c:v>-5.155054E12</c:v>
                </c:pt>
                <c:pt idx="33">
                  <c:v>-4.40468E12</c:v>
                </c:pt>
                <c:pt idx="34">
                  <c:v>-4.708896E12</c:v>
                </c:pt>
                <c:pt idx="35">
                  <c:v>-5.775511E12</c:v>
                </c:pt>
                <c:pt idx="36">
                  <c:v>-5.994904E12</c:v>
                </c:pt>
                <c:pt idx="37">
                  <c:v>-6.335146E12</c:v>
                </c:pt>
                <c:pt idx="38">
                  <c:v>-7.217167E12</c:v>
                </c:pt>
                <c:pt idx="39">
                  <c:v>-7.075661E12</c:v>
                </c:pt>
                <c:pt idx="40">
                  <c:v>-7.473071E12</c:v>
                </c:pt>
              </c:numCache>
            </c:numRef>
          </c:val>
          <c:smooth val="0"/>
          <c:extLst xmlns:c16r2="http://schemas.microsoft.com/office/drawing/2015/06/chart">
            <c:ext xmlns:c16="http://schemas.microsoft.com/office/drawing/2014/chart" uri="{C3380CC4-5D6E-409C-BE32-E72D297353CC}">
              <c16:uniqueId val="{00000001-CB8B-40BD-9505-DC127533CC61}"/>
            </c:ext>
          </c:extLst>
        </c:ser>
        <c:ser>
          <c:idx val="2"/>
          <c:order val="2"/>
          <c:tx>
            <c:strRef>
              <c:f>'Ext returns comps'!$GJ$4</c:f>
              <c:strCache>
                <c:ptCount val="1"/>
                <c:pt idx="0">
                  <c:v>U.S. international investment </c:v>
                </c:pt>
              </c:strCache>
            </c:strRef>
          </c:tx>
          <c:spPr>
            <a:ln w="28575" cap="rnd">
              <a:solidFill>
                <a:schemeClr val="accent3"/>
              </a:solidFill>
              <a:round/>
            </a:ln>
            <a:effectLst/>
          </c:spPr>
          <c:marker>
            <c:symbol val="none"/>
          </c:marker>
          <c:cat>
            <c:strRef>
              <c:f>'Ext returns comps'!$D$21:$D$61</c:f>
              <c:strCache>
                <c:ptCount val="41"/>
                <c:pt idx="0">
                  <c:v> 1976</c:v>
                </c:pt>
                <c:pt idx="1">
                  <c:v> 1977</c:v>
                </c:pt>
                <c:pt idx="2">
                  <c:v> 1978</c:v>
                </c:pt>
                <c:pt idx="3">
                  <c:v> 1979</c:v>
                </c:pt>
                <c:pt idx="4">
                  <c:v> 1980</c:v>
                </c:pt>
                <c:pt idx="5">
                  <c:v> 1981</c:v>
                </c:pt>
                <c:pt idx="6">
                  <c:v> 1982</c:v>
                </c:pt>
                <c:pt idx="7">
                  <c:v> 1983</c:v>
                </c:pt>
                <c:pt idx="8">
                  <c:v> 1984</c:v>
                </c:pt>
                <c:pt idx="9">
                  <c:v> 1985</c:v>
                </c:pt>
                <c:pt idx="10">
                  <c:v> 1986</c:v>
                </c:pt>
                <c:pt idx="11">
                  <c:v> 1987</c:v>
                </c:pt>
                <c:pt idx="12">
                  <c:v> 1988</c:v>
                </c:pt>
                <c:pt idx="13">
                  <c:v> 1989</c:v>
                </c:pt>
                <c:pt idx="14">
                  <c:v> 1990</c:v>
                </c:pt>
                <c:pt idx="15">
                  <c:v> 1991</c:v>
                </c:pt>
                <c:pt idx="16">
                  <c:v> 1992</c:v>
                </c:pt>
                <c:pt idx="17">
                  <c:v> 1993</c:v>
                </c:pt>
                <c:pt idx="18">
                  <c:v> 1994</c:v>
                </c:pt>
                <c:pt idx="19">
                  <c:v> 1995</c:v>
                </c:pt>
                <c:pt idx="20">
                  <c:v> 1996</c:v>
                </c:pt>
                <c:pt idx="21">
                  <c:v> 1997</c:v>
                </c:pt>
                <c:pt idx="22">
                  <c:v> 1998</c:v>
                </c:pt>
                <c:pt idx="23">
                  <c:v> 1999</c:v>
                </c:pt>
                <c:pt idx="24">
                  <c:v> 2000</c:v>
                </c:pt>
                <c:pt idx="25">
                  <c:v> 2001</c:v>
                </c:pt>
                <c:pt idx="26">
                  <c:v> 2002</c:v>
                </c:pt>
                <c:pt idx="27">
                  <c:v> 2003</c:v>
                </c:pt>
                <c:pt idx="28">
                  <c:v> 2004</c:v>
                </c:pt>
                <c:pt idx="29">
                  <c:v> 2005</c:v>
                </c:pt>
                <c:pt idx="30">
                  <c:v> 2006</c:v>
                </c:pt>
                <c:pt idx="31">
                  <c:v> 2007</c:v>
                </c:pt>
                <c:pt idx="32">
                  <c:v> 2008</c:v>
                </c:pt>
                <c:pt idx="33">
                  <c:v> 2009</c:v>
                </c:pt>
                <c:pt idx="34">
                  <c:v> 2010</c:v>
                </c:pt>
                <c:pt idx="35">
                  <c:v> 2011</c:v>
                </c:pt>
                <c:pt idx="36">
                  <c:v> 2012</c:v>
                </c:pt>
                <c:pt idx="37">
                  <c:v> 2013</c:v>
                </c:pt>
                <c:pt idx="38">
                  <c:v> 2014</c:v>
                </c:pt>
                <c:pt idx="39">
                  <c:v> 2015</c:v>
                </c:pt>
                <c:pt idx="40">
                  <c:v> 2016</c:v>
                </c:pt>
              </c:strCache>
            </c:strRef>
          </c:cat>
          <c:val>
            <c:numRef>
              <c:f>'Ext returns comps'!$GJ$21:$GJ$61</c:f>
              <c:numCache>
                <c:formatCode>General</c:formatCode>
                <c:ptCount val="41"/>
                <c:pt idx="0">
                  <c:v>8.0538781746854E10</c:v>
                </c:pt>
                <c:pt idx="1">
                  <c:v>9.8585473588763E10</c:v>
                </c:pt>
                <c:pt idx="2">
                  <c:v>1.28273412487313E11</c:v>
                </c:pt>
                <c:pt idx="3">
                  <c:v>2.32249560045088E11</c:v>
                </c:pt>
                <c:pt idx="4">
                  <c:v>2.96861501689723E11</c:v>
                </c:pt>
                <c:pt idx="5">
                  <c:v>2.26992169255648E11</c:v>
                </c:pt>
                <c:pt idx="6">
                  <c:v>2.38366291931426E11</c:v>
                </c:pt>
                <c:pt idx="7">
                  <c:v>2.61494407783982E11</c:v>
                </c:pt>
                <c:pt idx="8">
                  <c:v>1.4014043380664E11</c:v>
                </c:pt>
                <c:pt idx="9">
                  <c:v>1.0428126669596E11</c:v>
                </c:pt>
                <c:pt idx="10">
                  <c:v>1.0923191106137E11</c:v>
                </c:pt>
                <c:pt idx="11">
                  <c:v>5.96162275390501E10</c:v>
                </c:pt>
                <c:pt idx="12">
                  <c:v>2.14787230961799E10</c:v>
                </c:pt>
                <c:pt idx="13">
                  <c:v>-3.37127862380698E10</c:v>
                </c:pt>
                <c:pt idx="14">
                  <c:v>-1.4952335182314E11</c:v>
                </c:pt>
                <c:pt idx="15">
                  <c:v>-2.4331443954283E11</c:v>
                </c:pt>
                <c:pt idx="16">
                  <c:v>-4.321288790133E11</c:v>
                </c:pt>
                <c:pt idx="17">
                  <c:v>-1.2177179092696E11</c:v>
                </c:pt>
                <c:pt idx="18">
                  <c:v>-1.1031056742387E11</c:v>
                </c:pt>
                <c:pt idx="19">
                  <c:v>-2.7756707726154E11</c:v>
                </c:pt>
                <c:pt idx="20">
                  <c:v>-3.2830630411248E11</c:v>
                </c:pt>
                <c:pt idx="21">
                  <c:v>-7.882246953312E11</c:v>
                </c:pt>
                <c:pt idx="22">
                  <c:v>-1.03377465774021E12</c:v>
                </c:pt>
                <c:pt idx="23">
                  <c:v>-1.00226767368479E12</c:v>
                </c:pt>
                <c:pt idx="24">
                  <c:v>-1.53682566926815E12</c:v>
                </c:pt>
                <c:pt idx="25">
                  <c:v>-2.29505035434575E12</c:v>
                </c:pt>
                <c:pt idx="26">
                  <c:v>-2.41095104275712E12</c:v>
                </c:pt>
                <c:pt idx="27">
                  <c:v>-2.2930125664527E12</c:v>
                </c:pt>
                <c:pt idx="28">
                  <c:v>-2.3633920292122E12</c:v>
                </c:pt>
                <c:pt idx="29">
                  <c:v>-1.8578647298974E12</c:v>
                </c:pt>
                <c:pt idx="30">
                  <c:v>-1.8084738177879E12</c:v>
                </c:pt>
                <c:pt idx="31">
                  <c:v>-1.2794934977481E12</c:v>
                </c:pt>
                <c:pt idx="32">
                  <c:v>-3.9953015621342E12</c:v>
                </c:pt>
                <c:pt idx="33">
                  <c:v>-2.6276260396537E12</c:v>
                </c:pt>
                <c:pt idx="34">
                  <c:v>-2.5117882079224E12</c:v>
                </c:pt>
                <c:pt idx="35">
                  <c:v>-4.4549971052818E12</c:v>
                </c:pt>
                <c:pt idx="36">
                  <c:v>-4.5182993761551E12</c:v>
                </c:pt>
                <c:pt idx="37">
                  <c:v>-5.372654148452E12</c:v>
                </c:pt>
                <c:pt idx="38">
                  <c:v>-6.9802447115187E12</c:v>
                </c:pt>
                <c:pt idx="39">
                  <c:v>-7.493478998373E12</c:v>
                </c:pt>
                <c:pt idx="40">
                  <c:v>-8.3183779291873E12</c:v>
                </c:pt>
              </c:numCache>
            </c:numRef>
          </c:val>
          <c:smooth val="0"/>
          <c:extLst xmlns:c16r2="http://schemas.microsoft.com/office/drawing/2015/06/chart">
            <c:ext xmlns:c16="http://schemas.microsoft.com/office/drawing/2014/chart" uri="{C3380CC4-5D6E-409C-BE32-E72D297353CC}">
              <c16:uniqueId val="{00000002-CB8B-40BD-9505-DC127533CC61}"/>
            </c:ext>
          </c:extLst>
        </c:ser>
        <c:ser>
          <c:idx val="3"/>
          <c:order val="3"/>
          <c:tx>
            <c:strRef>
              <c:f>'Ext returns comps'!$GQ$4</c:f>
              <c:strCache>
                <c:ptCount val="1"/>
                <c:pt idx="0">
                  <c:v>Other investment</c:v>
                </c:pt>
              </c:strCache>
            </c:strRef>
          </c:tx>
          <c:spPr>
            <a:ln w="28575" cap="rnd">
              <a:solidFill>
                <a:schemeClr val="accent4"/>
              </a:solidFill>
              <a:round/>
            </a:ln>
            <a:effectLst/>
          </c:spPr>
          <c:marker>
            <c:symbol val="none"/>
          </c:marker>
          <c:cat>
            <c:strRef>
              <c:f>'Ext returns comps'!$D$21:$D$61</c:f>
              <c:strCache>
                <c:ptCount val="41"/>
                <c:pt idx="0">
                  <c:v> 1976</c:v>
                </c:pt>
                <c:pt idx="1">
                  <c:v> 1977</c:v>
                </c:pt>
                <c:pt idx="2">
                  <c:v> 1978</c:v>
                </c:pt>
                <c:pt idx="3">
                  <c:v> 1979</c:v>
                </c:pt>
                <c:pt idx="4">
                  <c:v> 1980</c:v>
                </c:pt>
                <c:pt idx="5">
                  <c:v> 1981</c:v>
                </c:pt>
                <c:pt idx="6">
                  <c:v> 1982</c:v>
                </c:pt>
                <c:pt idx="7">
                  <c:v> 1983</c:v>
                </c:pt>
                <c:pt idx="8">
                  <c:v> 1984</c:v>
                </c:pt>
                <c:pt idx="9">
                  <c:v> 1985</c:v>
                </c:pt>
                <c:pt idx="10">
                  <c:v> 1986</c:v>
                </c:pt>
                <c:pt idx="11">
                  <c:v> 1987</c:v>
                </c:pt>
                <c:pt idx="12">
                  <c:v> 1988</c:v>
                </c:pt>
                <c:pt idx="13">
                  <c:v> 1989</c:v>
                </c:pt>
                <c:pt idx="14">
                  <c:v> 1990</c:v>
                </c:pt>
                <c:pt idx="15">
                  <c:v> 1991</c:v>
                </c:pt>
                <c:pt idx="16">
                  <c:v> 1992</c:v>
                </c:pt>
                <c:pt idx="17">
                  <c:v> 1993</c:v>
                </c:pt>
                <c:pt idx="18">
                  <c:v> 1994</c:v>
                </c:pt>
                <c:pt idx="19">
                  <c:v> 1995</c:v>
                </c:pt>
                <c:pt idx="20">
                  <c:v> 1996</c:v>
                </c:pt>
                <c:pt idx="21">
                  <c:v> 1997</c:v>
                </c:pt>
                <c:pt idx="22">
                  <c:v> 1998</c:v>
                </c:pt>
                <c:pt idx="23">
                  <c:v> 1999</c:v>
                </c:pt>
                <c:pt idx="24">
                  <c:v> 2000</c:v>
                </c:pt>
                <c:pt idx="25">
                  <c:v> 2001</c:v>
                </c:pt>
                <c:pt idx="26">
                  <c:v> 2002</c:v>
                </c:pt>
                <c:pt idx="27">
                  <c:v> 2003</c:v>
                </c:pt>
                <c:pt idx="28">
                  <c:v> 2004</c:v>
                </c:pt>
                <c:pt idx="29">
                  <c:v> 2005</c:v>
                </c:pt>
                <c:pt idx="30">
                  <c:v> 2006</c:v>
                </c:pt>
                <c:pt idx="31">
                  <c:v> 2007</c:v>
                </c:pt>
                <c:pt idx="32">
                  <c:v> 2008</c:v>
                </c:pt>
                <c:pt idx="33">
                  <c:v> 2009</c:v>
                </c:pt>
                <c:pt idx="34">
                  <c:v> 2010</c:v>
                </c:pt>
                <c:pt idx="35">
                  <c:v> 2011</c:v>
                </c:pt>
                <c:pt idx="36">
                  <c:v> 2012</c:v>
                </c:pt>
                <c:pt idx="37">
                  <c:v> 2013</c:v>
                </c:pt>
                <c:pt idx="38">
                  <c:v> 2014</c:v>
                </c:pt>
                <c:pt idx="39">
                  <c:v> 2015</c:v>
                </c:pt>
                <c:pt idx="40">
                  <c:v> 2016</c:v>
                </c:pt>
              </c:strCache>
            </c:strRef>
          </c:cat>
          <c:val>
            <c:numRef>
              <c:f>'Ext returns comps'!$GQ$21:$GQ$61</c:f>
              <c:numCache>
                <c:formatCode>General</c:formatCode>
                <c:ptCount val="41"/>
                <c:pt idx="0">
                  <c:v>5.277E10</c:v>
                </c:pt>
                <c:pt idx="1">
                  <c:v>6.1431E10</c:v>
                </c:pt>
                <c:pt idx="2">
                  <c:v>7.7721E10</c:v>
                </c:pt>
                <c:pt idx="3">
                  <c:v>6.3568E10</c:v>
                </c:pt>
                <c:pt idx="4">
                  <c:v>9.256E10</c:v>
                </c:pt>
                <c:pt idx="5">
                  <c:v>1.37179E11</c:v>
                </c:pt>
                <c:pt idx="6">
                  <c:v>1.83765E11</c:v>
                </c:pt>
                <c:pt idx="7">
                  <c:v>2.26399E11</c:v>
                </c:pt>
                <c:pt idx="8">
                  <c:v>1.92268E11</c:v>
                </c:pt>
                <c:pt idx="9">
                  <c:v>1.54992E11</c:v>
                </c:pt>
                <c:pt idx="10">
                  <c:v>1.46693E11</c:v>
                </c:pt>
                <c:pt idx="11">
                  <c:v>8.4565E10</c:v>
                </c:pt>
                <c:pt idx="12">
                  <c:v>5.6093E10</c:v>
                </c:pt>
                <c:pt idx="13">
                  <c:v>6.2928E10</c:v>
                </c:pt>
                <c:pt idx="14">
                  <c:v>4.958E9</c:v>
                </c:pt>
                <c:pt idx="15">
                  <c:v>-9.793E9</c:v>
                </c:pt>
                <c:pt idx="16">
                  <c:v>-8.7567E10</c:v>
                </c:pt>
                <c:pt idx="17">
                  <c:v>-1.24106E11</c:v>
                </c:pt>
                <c:pt idx="18">
                  <c:v>-1.65192E11</c:v>
                </c:pt>
                <c:pt idx="19">
                  <c:v>-1.89467E11</c:v>
                </c:pt>
                <c:pt idx="20">
                  <c:v>-8.5316E10</c:v>
                </c:pt>
                <c:pt idx="21">
                  <c:v>-1.44843E11</c:v>
                </c:pt>
                <c:pt idx="22">
                  <c:v>-8.9407E10</c:v>
                </c:pt>
                <c:pt idx="23">
                  <c:v>-1.15207E11</c:v>
                </c:pt>
                <c:pt idx="24">
                  <c:v>-1.23689E11</c:v>
                </c:pt>
                <c:pt idx="25">
                  <c:v>-1.71695E11</c:v>
                </c:pt>
                <c:pt idx="26">
                  <c:v>-2.75565E11</c:v>
                </c:pt>
                <c:pt idx="27">
                  <c:v>-3.80811E11</c:v>
                </c:pt>
                <c:pt idx="28">
                  <c:v>-4.05475E11</c:v>
                </c:pt>
                <c:pt idx="29">
                  <c:v>-2.14992E11</c:v>
                </c:pt>
                <c:pt idx="30">
                  <c:v>-4.3901E11</c:v>
                </c:pt>
                <c:pt idx="31">
                  <c:v>-2.8693E11</c:v>
                </c:pt>
                <c:pt idx="32">
                  <c:v>9.0414E10</c:v>
                </c:pt>
                <c:pt idx="33">
                  <c:v>-7.9747E10</c:v>
                </c:pt>
                <c:pt idx="34">
                  <c:v>2.10759E11</c:v>
                </c:pt>
                <c:pt idx="35">
                  <c:v>-3.18163E11</c:v>
                </c:pt>
                <c:pt idx="36">
                  <c:v>-4.60607E11</c:v>
                </c:pt>
                <c:pt idx="37">
                  <c:v>-8.6915E11</c:v>
                </c:pt>
                <c:pt idx="38">
                  <c:v>-1.102757E12</c:v>
                </c:pt>
                <c:pt idx="39">
                  <c:v>-1.155847E12</c:v>
                </c:pt>
                <c:pt idx="40">
                  <c:v>-1.119633E12</c:v>
                </c:pt>
              </c:numCache>
            </c:numRef>
          </c:val>
          <c:smooth val="0"/>
          <c:extLst xmlns:c16r2="http://schemas.microsoft.com/office/drawing/2015/06/chart">
            <c:ext xmlns:c16="http://schemas.microsoft.com/office/drawing/2014/chart" uri="{C3380CC4-5D6E-409C-BE32-E72D297353CC}">
              <c16:uniqueId val="{00000003-CB8B-40BD-9505-DC127533CC61}"/>
            </c:ext>
          </c:extLst>
        </c:ser>
        <c:dLbls>
          <c:showLegendKey val="0"/>
          <c:showVal val="0"/>
          <c:showCatName val="0"/>
          <c:showSerName val="0"/>
          <c:showPercent val="0"/>
          <c:showBubbleSize val="0"/>
        </c:dLbls>
        <c:marker val="1"/>
        <c:smooth val="0"/>
        <c:axId val="-2080157688"/>
        <c:axId val="-2080178584"/>
      </c:lineChart>
      <c:catAx>
        <c:axId val="-2080157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80178584"/>
        <c:crosses val="autoZero"/>
        <c:auto val="1"/>
        <c:lblAlgn val="ctr"/>
        <c:lblOffset val="100"/>
        <c:noMultiLvlLbl val="0"/>
      </c:catAx>
      <c:valAx>
        <c:axId val="-2080178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801576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2000">
                <a:latin typeface="Arial"/>
                <a:cs typeface="Arial"/>
              </a:rPr>
              <a:t>Figure A.2c: Profits made abroad </a:t>
            </a:r>
            <a:r>
              <a:rPr lang="fr-FR" sz="2000" b="0">
                <a:solidFill>
                  <a:schemeClr val="tx1"/>
                </a:solidFill>
                <a:latin typeface="Arial"/>
                <a:cs typeface="Arial"/>
              </a:rPr>
              <a:t>(% of U.S. corporate profits)</a:t>
            </a:r>
            <a:r>
              <a:rPr lang="fr-FR" sz="2000" b="0" baseline="0">
                <a:solidFill>
                  <a:schemeClr val="tx1"/>
                </a:solidFill>
                <a:latin typeface="Arial"/>
                <a:cs typeface="Arial"/>
              </a:rPr>
              <a:t> </a:t>
            </a:r>
            <a:r>
              <a:rPr lang="fr-FR" sz="2000" b="0">
                <a:solidFill>
                  <a:schemeClr val="tx1"/>
                </a:solidFill>
                <a:latin typeface="Arial"/>
                <a:cs typeface="Arial"/>
              </a:rPr>
              <a:t>(BoP immediate counterpart basis)</a:t>
            </a:r>
          </a:p>
        </c:rich>
      </c:tx>
      <c:layout>
        <c:manualLayout>
          <c:xMode val="edge"/>
          <c:yMode val="edge"/>
          <c:x val="0.135921368449633"/>
          <c:y val="0.00225371432643318"/>
        </c:manualLayout>
      </c:layout>
      <c:overlay val="0"/>
    </c:title>
    <c:autoTitleDeleted val="0"/>
    <c:plotArea>
      <c:layout>
        <c:manualLayout>
          <c:layoutTarget val="inner"/>
          <c:xMode val="edge"/>
          <c:yMode val="edge"/>
          <c:x val="0.0659102905240293"/>
          <c:y val="0.098120419495106"/>
          <c:w val="0.922394461037198"/>
          <c:h val="0.766987209178038"/>
        </c:manualLayout>
      </c:layout>
      <c:areaChart>
        <c:grouping val="stacked"/>
        <c:varyColors val="0"/>
        <c:ser>
          <c:idx val="1"/>
          <c:order val="0"/>
          <c:spPr>
            <a:solidFill>
              <a:schemeClr val="accent1">
                <a:lumMod val="60000"/>
                <a:lumOff val="40000"/>
              </a:schemeClr>
            </a:solidFill>
            <a:ln w="9525"/>
          </c:spPr>
          <c:val>
            <c:numRef>
              <c:f>'Assets(BoP)'!$FR$21:$FR$108</c:f>
              <c:numCache>
                <c:formatCode>0%</c:formatCode>
                <c:ptCount val="88"/>
                <c:pt idx="0">
                  <c:v>0.0176766468614165</c:v>
                </c:pt>
                <c:pt idx="1">
                  <c:v>0.012716041859197</c:v>
                </c:pt>
                <c:pt idx="2">
                  <c:v>0.0</c:v>
                </c:pt>
                <c:pt idx="3">
                  <c:v>0.0</c:v>
                </c:pt>
                <c:pt idx="4">
                  <c:v>0.0</c:v>
                </c:pt>
                <c:pt idx="5">
                  <c:v>0.0497111371607973</c:v>
                </c:pt>
                <c:pt idx="6">
                  <c:v>0.0620842735729034</c:v>
                </c:pt>
                <c:pt idx="7">
                  <c:v>0.0200095566757452</c:v>
                </c:pt>
                <c:pt idx="8">
                  <c:v>0.0523732206901832</c:v>
                </c:pt>
                <c:pt idx="9">
                  <c:v>0.0743043959263483</c:v>
                </c:pt>
                <c:pt idx="10">
                  <c:v>0.0562415291459366</c:v>
                </c:pt>
                <c:pt idx="11">
                  <c:v>0.0374612328378406</c:v>
                </c:pt>
                <c:pt idx="12">
                  <c:v>0.0314682223206847</c:v>
                </c:pt>
                <c:pt idx="13">
                  <c:v>0.0237314378562502</c:v>
                </c:pt>
                <c:pt idx="14">
                  <c:v>0.0198062941520184</c:v>
                </c:pt>
                <c:pt idx="15">
                  <c:v>0.0197095816544204</c:v>
                </c:pt>
                <c:pt idx="16">
                  <c:v>0.0180110618903329</c:v>
                </c:pt>
                <c:pt idx="17">
                  <c:v>0.0472947283952902</c:v>
                </c:pt>
                <c:pt idx="18">
                  <c:v>0.0507673545750281</c:v>
                </c:pt>
                <c:pt idx="19">
                  <c:v>0.0508191124235656</c:v>
                </c:pt>
                <c:pt idx="20">
                  <c:v>0.0483413973702103</c:v>
                </c:pt>
                <c:pt idx="21">
                  <c:v>0.0467195892584389</c:v>
                </c:pt>
                <c:pt idx="22">
                  <c:v>0.0522608862064531</c:v>
                </c:pt>
                <c:pt idx="23">
                  <c:v>0.054187057738776</c:v>
                </c:pt>
                <c:pt idx="24">
                  <c:v>0.0533326023015621</c:v>
                </c:pt>
                <c:pt idx="25">
                  <c:v>0.0567277460414264</c:v>
                </c:pt>
                <c:pt idx="26">
                  <c:v>0.0538873356835277</c:v>
                </c:pt>
                <c:pt idx="27">
                  <c:v>0.0638852165909902</c:v>
                </c:pt>
                <c:pt idx="28">
                  <c:v>0.0701671300888546</c:v>
                </c:pt>
                <c:pt idx="29">
                  <c:v>0.0635740994960086</c:v>
                </c:pt>
                <c:pt idx="30">
                  <c:v>0.0569402103410912</c:v>
                </c:pt>
                <c:pt idx="31">
                  <c:v>0.0645117321229429</c:v>
                </c:pt>
                <c:pt idx="32">
                  <c:v>0.0680492634320548</c:v>
                </c:pt>
                <c:pt idx="33">
                  <c:v>0.0651767220692374</c:v>
                </c:pt>
                <c:pt idx="34">
                  <c:v>0.0630551172022461</c:v>
                </c:pt>
                <c:pt idx="35">
                  <c:v>0.0643056076098951</c:v>
                </c:pt>
                <c:pt idx="36">
                  <c:v>0.0590074756439073</c:v>
                </c:pt>
                <c:pt idx="37">
                  <c:v>0.053952984616551</c:v>
                </c:pt>
                <c:pt idx="38">
                  <c:v>0.0576550248923986</c:v>
                </c:pt>
                <c:pt idx="39">
                  <c:v>0.0639573775282826</c:v>
                </c:pt>
                <c:pt idx="40">
                  <c:v>0.0744117905838158</c:v>
                </c:pt>
                <c:pt idx="41">
                  <c:v>0.0904307332638607</c:v>
                </c:pt>
                <c:pt idx="42">
                  <c:v>0.0880708597362795</c:v>
                </c:pt>
                <c:pt idx="43">
                  <c:v>0.0907365835133193</c:v>
                </c:pt>
                <c:pt idx="44">
                  <c:v>0.116998508200459</c:v>
                </c:pt>
                <c:pt idx="45">
                  <c:v>0.138363679674873</c:v>
                </c:pt>
                <c:pt idx="46">
                  <c:v>0.108190496211252</c:v>
                </c:pt>
                <c:pt idx="47">
                  <c:v>0.0996406961927034</c:v>
                </c:pt>
                <c:pt idx="48">
                  <c:v>0.0946572892589887</c:v>
                </c:pt>
                <c:pt idx="49">
                  <c:v>0.0979171687472443</c:v>
                </c:pt>
                <c:pt idx="50">
                  <c:v>0.135876872262617</c:v>
                </c:pt>
                <c:pt idx="51">
                  <c:v>0.155345473695691</c:v>
                </c:pt>
                <c:pt idx="52">
                  <c:v>0.120309699425274</c:v>
                </c:pt>
                <c:pt idx="53">
                  <c:v>0.116348288994879</c:v>
                </c:pt>
                <c:pt idx="54">
                  <c:v>0.1142642609897</c:v>
                </c:pt>
                <c:pt idx="55">
                  <c:v>0.109159774374178</c:v>
                </c:pt>
                <c:pt idx="56">
                  <c:v>0.104242938700279</c:v>
                </c:pt>
                <c:pt idx="57">
                  <c:v>0.115663821696264</c:v>
                </c:pt>
                <c:pt idx="58">
                  <c:v>0.121463281209831</c:v>
                </c:pt>
                <c:pt idx="59">
                  <c:v>0.137176240870184</c:v>
                </c:pt>
                <c:pt idx="60">
                  <c:v>0.141505084598463</c:v>
                </c:pt>
                <c:pt idx="61">
                  <c:v>0.144490769120578</c:v>
                </c:pt>
                <c:pt idx="62">
                  <c:v>0.123478442360051</c:v>
                </c:pt>
                <c:pt idx="63">
                  <c:v>0.119294984721242</c:v>
                </c:pt>
                <c:pt idx="64">
                  <c:v>0.127604189175212</c:v>
                </c:pt>
                <c:pt idx="65">
                  <c:v>0.116431366683186</c:v>
                </c:pt>
                <c:pt idx="66">
                  <c:v>0.132244613237293</c:v>
                </c:pt>
                <c:pt idx="67">
                  <c:v>0.127319848412222</c:v>
                </c:pt>
                <c:pt idx="68">
                  <c:v>0.125077454125952</c:v>
                </c:pt>
                <c:pt idx="69">
                  <c:v>0.118238080200899</c:v>
                </c:pt>
                <c:pt idx="70">
                  <c:v>0.136770422799889</c:v>
                </c:pt>
                <c:pt idx="71">
                  <c:v>0.176024697673226</c:v>
                </c:pt>
                <c:pt idx="72">
                  <c:v>0.145518194920878</c:v>
                </c:pt>
                <c:pt idx="73">
                  <c:v>0.130450185861681</c:v>
                </c:pt>
                <c:pt idx="74">
                  <c:v>0.137271584532024</c:v>
                </c:pt>
                <c:pt idx="75">
                  <c:v>0.143495859033573</c:v>
                </c:pt>
                <c:pt idx="76">
                  <c:v>0.141294894157649</c:v>
                </c:pt>
                <c:pt idx="77">
                  <c:v>0.149859129958119</c:v>
                </c:pt>
                <c:pt idx="78">
                  <c:v>0.177779448462529</c:v>
                </c:pt>
                <c:pt idx="79">
                  <c:v>0.235369836076365</c:v>
                </c:pt>
                <c:pt idx="80">
                  <c:v>0.16597817831517</c:v>
                </c:pt>
                <c:pt idx="81">
                  <c:v>0.160150972306963</c:v>
                </c:pt>
                <c:pt idx="82">
                  <c:v>0.169295549501534</c:v>
                </c:pt>
                <c:pt idx="83">
                  <c:v>0.14441122356508</c:v>
                </c:pt>
                <c:pt idx="84">
                  <c:v>0.136006809958239</c:v>
                </c:pt>
                <c:pt idx="85">
                  <c:v>0.123562886506944</c:v>
                </c:pt>
                <c:pt idx="86">
                  <c:v>0.11084785500477</c:v>
                </c:pt>
                <c:pt idx="87">
                  <c:v>0.116128441186716</c:v>
                </c:pt>
              </c:numCache>
            </c:numRef>
          </c:val>
        </c:ser>
        <c:ser>
          <c:idx val="0"/>
          <c:order val="1"/>
          <c:tx>
            <c:strRef>
              <c:f>'Assets(BoP)'!$N$3</c:f>
              <c:strCache>
                <c:ptCount val="1"/>
                <c:pt idx="0">
                  <c:v>(Foreign profits inflows, % BEA profits)</c:v>
                </c:pt>
              </c:strCache>
            </c:strRef>
          </c:tx>
          <c:spPr>
            <a:solidFill>
              <a:schemeClr val="accent2">
                <a:lumMod val="60000"/>
                <a:lumOff val="40000"/>
              </a:schemeClr>
            </a:solidFill>
            <a:ln w="9525">
              <a:solidFill>
                <a:schemeClr val="tx1"/>
              </a:solidFill>
            </a:ln>
            <a:effectLst/>
          </c:spPr>
          <c:cat>
            <c:numRef>
              <c:f>'Assets(BoP)'!$B$21:$B$108</c:f>
              <c:numCache>
                <c:formatCode>General</c:formatCode>
                <c:ptCount val="88"/>
                <c:pt idx="0">
                  <c:v>1929.0</c:v>
                </c:pt>
                <c:pt idx="1">
                  <c:v>1930.0</c:v>
                </c:pt>
                <c:pt idx="2">
                  <c:v>1931.0</c:v>
                </c:pt>
                <c:pt idx="3">
                  <c:v>1932.0</c:v>
                </c:pt>
                <c:pt idx="4">
                  <c:v>1933.0</c:v>
                </c:pt>
                <c:pt idx="5">
                  <c:v>1934.0</c:v>
                </c:pt>
                <c:pt idx="6">
                  <c:v>1935.0</c:v>
                </c:pt>
                <c:pt idx="7">
                  <c:v>1936.0</c:v>
                </c:pt>
                <c:pt idx="8">
                  <c:v>1937.0</c:v>
                </c:pt>
                <c:pt idx="9">
                  <c:v>1938.0</c:v>
                </c:pt>
                <c:pt idx="10">
                  <c:v>1939.0</c:v>
                </c:pt>
                <c:pt idx="11">
                  <c:v>1940.0</c:v>
                </c:pt>
                <c:pt idx="12">
                  <c:v>1941.0</c:v>
                </c:pt>
                <c:pt idx="13">
                  <c:v>1942.0</c:v>
                </c:pt>
                <c:pt idx="14">
                  <c:v>1943.0</c:v>
                </c:pt>
                <c:pt idx="15">
                  <c:v>1944.0</c:v>
                </c:pt>
                <c:pt idx="16">
                  <c:v>1945.0</c:v>
                </c:pt>
                <c:pt idx="17">
                  <c:v>1946.0</c:v>
                </c:pt>
                <c:pt idx="18">
                  <c:v>1947.0</c:v>
                </c:pt>
                <c:pt idx="19">
                  <c:v>1948.0</c:v>
                </c:pt>
                <c:pt idx="20">
                  <c:v>1949.0</c:v>
                </c:pt>
                <c:pt idx="21">
                  <c:v>1950.0</c:v>
                </c:pt>
                <c:pt idx="22">
                  <c:v>1951.0</c:v>
                </c:pt>
                <c:pt idx="23">
                  <c:v>1952.0</c:v>
                </c:pt>
                <c:pt idx="24">
                  <c:v>1953.0</c:v>
                </c:pt>
                <c:pt idx="25">
                  <c:v>1954.0</c:v>
                </c:pt>
                <c:pt idx="26">
                  <c:v>1955.0</c:v>
                </c:pt>
                <c:pt idx="27">
                  <c:v>1956.0</c:v>
                </c:pt>
                <c:pt idx="28">
                  <c:v>1957.0</c:v>
                </c:pt>
                <c:pt idx="29">
                  <c:v>1958.0</c:v>
                </c:pt>
                <c:pt idx="30">
                  <c:v>1959.0</c:v>
                </c:pt>
                <c:pt idx="31">
                  <c:v>1960.0</c:v>
                </c:pt>
                <c:pt idx="32">
                  <c:v>1961.0</c:v>
                </c:pt>
                <c:pt idx="33">
                  <c:v>1962.0</c:v>
                </c:pt>
                <c:pt idx="34">
                  <c:v>1963.0</c:v>
                </c:pt>
                <c:pt idx="35">
                  <c:v>1964.0</c:v>
                </c:pt>
                <c:pt idx="36">
                  <c:v>1965.0</c:v>
                </c:pt>
                <c:pt idx="37">
                  <c:v>1966.0</c:v>
                </c:pt>
                <c:pt idx="38">
                  <c:v>1967.0</c:v>
                </c:pt>
                <c:pt idx="39">
                  <c:v>1968.0</c:v>
                </c:pt>
                <c:pt idx="40">
                  <c:v>1969.0</c:v>
                </c:pt>
                <c:pt idx="41">
                  <c:v>1970.0</c:v>
                </c:pt>
                <c:pt idx="42">
                  <c:v>1971.0</c:v>
                </c:pt>
                <c:pt idx="43">
                  <c:v>1972.0</c:v>
                </c:pt>
                <c:pt idx="44">
                  <c:v>1973.0</c:v>
                </c:pt>
                <c:pt idx="45">
                  <c:v>1974.0</c:v>
                </c:pt>
                <c:pt idx="46">
                  <c:v>1975.0</c:v>
                </c:pt>
                <c:pt idx="47">
                  <c:v>1976.0</c:v>
                </c:pt>
                <c:pt idx="48">
                  <c:v>1977.0</c:v>
                </c:pt>
                <c:pt idx="49">
                  <c:v>1978.0</c:v>
                </c:pt>
                <c:pt idx="50">
                  <c:v>1979.0</c:v>
                </c:pt>
                <c:pt idx="51">
                  <c:v>1980.0</c:v>
                </c:pt>
                <c:pt idx="52">
                  <c:v>1981.0</c:v>
                </c:pt>
                <c:pt idx="53">
                  <c:v>1982.0</c:v>
                </c:pt>
                <c:pt idx="54">
                  <c:v>1983.0</c:v>
                </c:pt>
                <c:pt idx="55">
                  <c:v>1984.0</c:v>
                </c:pt>
                <c:pt idx="56">
                  <c:v>1985.0</c:v>
                </c:pt>
                <c:pt idx="57">
                  <c:v>1986.0</c:v>
                </c:pt>
                <c:pt idx="58">
                  <c:v>1987.0</c:v>
                </c:pt>
                <c:pt idx="59">
                  <c:v>1988.0</c:v>
                </c:pt>
                <c:pt idx="60">
                  <c:v>1989.0</c:v>
                </c:pt>
                <c:pt idx="61">
                  <c:v>1990.0</c:v>
                </c:pt>
                <c:pt idx="62">
                  <c:v>1991.0</c:v>
                </c:pt>
                <c:pt idx="63">
                  <c:v>1992.0</c:v>
                </c:pt>
                <c:pt idx="64">
                  <c:v>1993.0</c:v>
                </c:pt>
                <c:pt idx="65">
                  <c:v>1994.0</c:v>
                </c:pt>
                <c:pt idx="66">
                  <c:v>1995.0</c:v>
                </c:pt>
                <c:pt idx="67">
                  <c:v>1996.0</c:v>
                </c:pt>
                <c:pt idx="68">
                  <c:v>1997.0</c:v>
                </c:pt>
                <c:pt idx="69">
                  <c:v>1998.0</c:v>
                </c:pt>
                <c:pt idx="70">
                  <c:v>1999.0</c:v>
                </c:pt>
                <c:pt idx="71">
                  <c:v>2000.0</c:v>
                </c:pt>
                <c:pt idx="72">
                  <c:v>2001.0</c:v>
                </c:pt>
                <c:pt idx="73">
                  <c:v>2002.0</c:v>
                </c:pt>
                <c:pt idx="74">
                  <c:v>2003.0</c:v>
                </c:pt>
                <c:pt idx="75">
                  <c:v>2004.0</c:v>
                </c:pt>
                <c:pt idx="76">
                  <c:v>2005.0</c:v>
                </c:pt>
                <c:pt idx="77">
                  <c:v>2006.0</c:v>
                </c:pt>
                <c:pt idx="78">
                  <c:v>2007.0</c:v>
                </c:pt>
                <c:pt idx="79">
                  <c:v>2008.0</c:v>
                </c:pt>
                <c:pt idx="80">
                  <c:v>2009.0</c:v>
                </c:pt>
                <c:pt idx="81">
                  <c:v>2010.0</c:v>
                </c:pt>
                <c:pt idx="82">
                  <c:v>2011.0</c:v>
                </c:pt>
                <c:pt idx="83">
                  <c:v>2012.0</c:v>
                </c:pt>
                <c:pt idx="84">
                  <c:v>2013.0</c:v>
                </c:pt>
                <c:pt idx="85">
                  <c:v>2014.0</c:v>
                </c:pt>
                <c:pt idx="86">
                  <c:v>2015.0</c:v>
                </c:pt>
                <c:pt idx="87">
                  <c:v>2016.0</c:v>
                </c:pt>
              </c:numCache>
            </c:numRef>
          </c:cat>
          <c:val>
            <c:numRef>
              <c:f>'Assets(BoP)'!$FQ$21:$FQ$108</c:f>
              <c:numCache>
                <c:formatCode>0%</c:formatCode>
                <c:ptCount val="88"/>
                <c:pt idx="0">
                  <c:v>0.000841871657101968</c:v>
                </c:pt>
                <c:pt idx="1">
                  <c:v>0.00061729147413636</c:v>
                </c:pt>
                <c:pt idx="2">
                  <c:v>0.0</c:v>
                </c:pt>
                <c:pt idx="3">
                  <c:v>0.0</c:v>
                </c:pt>
                <c:pt idx="4">
                  <c:v>0.0</c:v>
                </c:pt>
                <c:pt idx="5">
                  <c:v>0.00259655514689498</c:v>
                </c:pt>
                <c:pt idx="6">
                  <c:v>0.003300341811712</c:v>
                </c:pt>
                <c:pt idx="7">
                  <c:v>0.00108225473864686</c:v>
                </c:pt>
                <c:pt idx="8">
                  <c:v>0.00288138386019597</c:v>
                </c:pt>
                <c:pt idx="9">
                  <c:v>0.0041571425351902</c:v>
                </c:pt>
                <c:pt idx="10">
                  <c:v>0.00319903029462283</c:v>
                </c:pt>
                <c:pt idx="11">
                  <c:v>0.00216580678919903</c:v>
                </c:pt>
                <c:pt idx="12">
                  <c:v>0.00184877914918302</c:v>
                </c:pt>
                <c:pt idx="13">
                  <c:v>0.00141649113783267</c:v>
                </c:pt>
                <c:pt idx="14">
                  <c:v>0.00120081119243638</c:v>
                </c:pt>
                <c:pt idx="15">
                  <c:v>0.00121349526865648</c:v>
                </c:pt>
                <c:pt idx="16">
                  <c:v>0.00112589871004238</c:v>
                </c:pt>
                <c:pt idx="17">
                  <c:v>0.00300112959287543</c:v>
                </c:pt>
                <c:pt idx="18">
                  <c:v>0.00326951764366226</c:v>
                </c:pt>
                <c:pt idx="19">
                  <c:v>0.00332101496496943</c:v>
                </c:pt>
                <c:pt idx="20">
                  <c:v>0.00320499438236705</c:v>
                </c:pt>
                <c:pt idx="21">
                  <c:v>0.00314190658643642</c:v>
                </c:pt>
                <c:pt idx="22">
                  <c:v>0.00356435651199352</c:v>
                </c:pt>
                <c:pt idx="23">
                  <c:v>0.00374745107734485</c:v>
                </c:pt>
                <c:pt idx="24">
                  <c:v>0.00373935799620467</c:v>
                </c:pt>
                <c:pt idx="25">
                  <c:v>0.00403174762945971</c:v>
                </c:pt>
                <c:pt idx="26">
                  <c:v>0.00388158861926117</c:v>
                </c:pt>
                <c:pt idx="27">
                  <c:v>0.00466317050578394</c:v>
                </c:pt>
                <c:pt idx="28">
                  <c:v>0.00518928538976049</c:v>
                </c:pt>
                <c:pt idx="29">
                  <c:v>0.00476303034453808</c:v>
                </c:pt>
                <c:pt idx="30">
                  <c:v>0.00432105092017</c:v>
                </c:pt>
                <c:pt idx="31">
                  <c:v>0.00495810334323629</c:v>
                </c:pt>
                <c:pt idx="32">
                  <c:v>0.00529599595971618</c:v>
                </c:pt>
                <c:pt idx="33">
                  <c:v>0.00513577793076259</c:v>
                </c:pt>
                <c:pt idx="34">
                  <c:v>0.00502998918073265</c:v>
                </c:pt>
                <c:pt idx="35">
                  <c:v>0.00519246188817439</c:v>
                </c:pt>
                <c:pt idx="36">
                  <c:v>0.00482231159013525</c:v>
                </c:pt>
                <c:pt idx="37">
                  <c:v>0.0043196480577466</c:v>
                </c:pt>
                <c:pt idx="38">
                  <c:v>0.00517777595957161</c:v>
                </c:pt>
                <c:pt idx="39">
                  <c:v>0.00487251431045876</c:v>
                </c:pt>
                <c:pt idx="40">
                  <c:v>0.00688902242431431</c:v>
                </c:pt>
                <c:pt idx="41">
                  <c:v>0.00933724817465431</c:v>
                </c:pt>
                <c:pt idx="42">
                  <c:v>0.00934464722197097</c:v>
                </c:pt>
                <c:pt idx="43">
                  <c:v>0.00909276802251681</c:v>
                </c:pt>
                <c:pt idx="44">
                  <c:v>0.014935524783049</c:v>
                </c:pt>
                <c:pt idx="45">
                  <c:v>0.0239274897762006</c:v>
                </c:pt>
                <c:pt idx="46">
                  <c:v>0.0206791942135144</c:v>
                </c:pt>
                <c:pt idx="47">
                  <c:v>0.0208412315181399</c:v>
                </c:pt>
                <c:pt idx="48">
                  <c:v>0.0205030605952387</c:v>
                </c:pt>
                <c:pt idx="49">
                  <c:v>0.0236251615126048</c:v>
                </c:pt>
                <c:pt idx="50">
                  <c:v>0.0352074650867806</c:v>
                </c:pt>
                <c:pt idx="51">
                  <c:v>0.0409872633347209</c:v>
                </c:pt>
                <c:pt idx="52">
                  <c:v>0.0332256541100797</c:v>
                </c:pt>
                <c:pt idx="53">
                  <c:v>0.0432863347545777</c:v>
                </c:pt>
                <c:pt idx="54">
                  <c:v>0.0326263751789916</c:v>
                </c:pt>
                <c:pt idx="55">
                  <c:v>0.0275670678868458</c:v>
                </c:pt>
                <c:pt idx="56">
                  <c:v>0.0277739865465471</c:v>
                </c:pt>
                <c:pt idx="57">
                  <c:v>0.0344594828660049</c:v>
                </c:pt>
                <c:pt idx="58">
                  <c:v>0.0394656805388031</c:v>
                </c:pt>
                <c:pt idx="59">
                  <c:v>0.0353954631548819</c:v>
                </c:pt>
                <c:pt idx="60">
                  <c:v>0.0407740076275147</c:v>
                </c:pt>
                <c:pt idx="61">
                  <c:v>0.0496607169772163</c:v>
                </c:pt>
                <c:pt idx="62">
                  <c:v>0.043594458149588</c:v>
                </c:pt>
                <c:pt idx="63">
                  <c:v>0.0454430754512806</c:v>
                </c:pt>
                <c:pt idx="64">
                  <c:v>0.0428938951159762</c:v>
                </c:pt>
                <c:pt idx="65">
                  <c:v>0.0517628767643134</c:v>
                </c:pt>
                <c:pt idx="66">
                  <c:v>0.048978715354457</c:v>
                </c:pt>
                <c:pt idx="67">
                  <c:v>0.0500112799429486</c:v>
                </c:pt>
                <c:pt idx="68">
                  <c:v>0.0545252254767273</c:v>
                </c:pt>
                <c:pt idx="69">
                  <c:v>0.0642019148245954</c:v>
                </c:pt>
                <c:pt idx="70">
                  <c:v>0.0767925740683352</c:v>
                </c:pt>
                <c:pt idx="71">
                  <c:v>0.083959941343671</c:v>
                </c:pt>
                <c:pt idx="72">
                  <c:v>0.097585253354984</c:v>
                </c:pt>
                <c:pt idx="73">
                  <c:v>0.095850519605691</c:v>
                </c:pt>
                <c:pt idx="74">
                  <c:v>0.0993811985047039</c:v>
                </c:pt>
                <c:pt idx="75">
                  <c:v>0.112173119381451</c:v>
                </c:pt>
                <c:pt idx="76">
                  <c:v>0.118365388714382</c:v>
                </c:pt>
                <c:pt idx="77">
                  <c:v>0.113608832386248</c:v>
                </c:pt>
                <c:pt idx="78">
                  <c:v>0.156033501177759</c:v>
                </c:pt>
                <c:pt idx="79">
                  <c:v>0.217513208044715</c:v>
                </c:pt>
                <c:pt idx="80">
                  <c:v>0.190571571147965</c:v>
                </c:pt>
                <c:pt idx="81">
                  <c:v>0.174594790404902</c:v>
                </c:pt>
                <c:pt idx="82">
                  <c:v>0.185378016500888</c:v>
                </c:pt>
                <c:pt idx="83">
                  <c:v>0.181031675043668</c:v>
                </c:pt>
                <c:pt idx="84">
                  <c:v>0.192636999378177</c:v>
                </c:pt>
                <c:pt idx="85">
                  <c:v>0.197048157125682</c:v>
                </c:pt>
                <c:pt idx="86">
                  <c:v>0.197581897061346</c:v>
                </c:pt>
                <c:pt idx="87">
                  <c:v>0.207671896406725</c:v>
                </c:pt>
              </c:numCache>
            </c:numRef>
          </c:val>
        </c:ser>
        <c:dLbls>
          <c:showLegendKey val="0"/>
          <c:showVal val="0"/>
          <c:showCatName val="0"/>
          <c:showSerName val="0"/>
          <c:showPercent val="0"/>
          <c:showBubbleSize val="0"/>
        </c:dLbls>
        <c:axId val="-2104921672"/>
        <c:axId val="-2104927224"/>
      </c:areaChart>
      <c:catAx>
        <c:axId val="-2104921672"/>
        <c:scaling>
          <c:orientation val="minMax"/>
        </c:scaling>
        <c:delete val="0"/>
        <c:axPos val="b"/>
        <c:numFmt formatCode="General" sourceLinked="1"/>
        <c:majorTickMark val="none"/>
        <c:minorTickMark val="none"/>
        <c:tickLblPos val="nextTo"/>
        <c:txPr>
          <a:bodyPr rot="-5400000" vert="horz"/>
          <a:lstStyle/>
          <a:p>
            <a:pPr>
              <a:defRPr sz="1600">
                <a:latin typeface="Arial"/>
                <a:cs typeface="Arial"/>
              </a:defRPr>
            </a:pPr>
            <a:endParaRPr lang="fr-FR"/>
          </a:p>
        </c:txPr>
        <c:crossAx val="-2104927224"/>
        <c:crosses val="autoZero"/>
        <c:auto val="1"/>
        <c:lblAlgn val="ctr"/>
        <c:lblOffset val="100"/>
        <c:tickLblSkip val="5"/>
        <c:tickMarkSkip val="5"/>
        <c:noMultiLvlLbl val="0"/>
      </c:catAx>
      <c:valAx>
        <c:axId val="-2104927224"/>
        <c:scaling>
          <c:orientation val="minMax"/>
        </c:scaling>
        <c:delete val="0"/>
        <c:axPos val="l"/>
        <c:numFmt formatCode="0%" sourceLinked="0"/>
        <c:majorTickMark val="none"/>
        <c:minorTickMark val="none"/>
        <c:tickLblPos val="nextTo"/>
        <c:txPr>
          <a:bodyPr/>
          <a:lstStyle/>
          <a:p>
            <a:pPr>
              <a:defRPr sz="1600">
                <a:latin typeface="Arial"/>
                <a:cs typeface="Arial"/>
              </a:defRPr>
            </a:pPr>
            <a:endParaRPr lang="fr-FR"/>
          </a:p>
        </c:txPr>
        <c:crossAx val="-2104921672"/>
        <c:crosses val="autoZero"/>
        <c:crossBetween val="midCat"/>
      </c:valAx>
    </c:plotArea>
    <c:plotVisOnly val="1"/>
    <c:dispBlanksAs val="gap"/>
    <c:showDLblsOverMax val="0"/>
  </c:chart>
  <c:spPr>
    <a:ln>
      <a:noFill/>
    </a:ln>
  </c:spPr>
  <c:userShapes r:id="rId1"/>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2000">
                <a:latin typeface="Arial"/>
                <a:cs typeface="Arial"/>
              </a:rPr>
              <a:t>U.S. corporate profits retained in tax havens</a:t>
            </a:r>
          </a:p>
        </c:rich>
      </c:tx>
      <c:layout>
        <c:manualLayout>
          <c:xMode val="edge"/>
          <c:yMode val="edge"/>
          <c:x val="0.248798438189459"/>
          <c:y val="0.0022622936111034"/>
        </c:manualLayout>
      </c:layout>
      <c:overlay val="0"/>
    </c:title>
    <c:autoTitleDeleted val="0"/>
    <c:plotArea>
      <c:layout>
        <c:manualLayout>
          <c:layoutTarget val="inner"/>
          <c:xMode val="edge"/>
          <c:yMode val="edge"/>
          <c:x val="0.0983258949772507"/>
          <c:y val="0.0822944015175952"/>
          <c:w val="0.890645473457742"/>
          <c:h val="0.791842106574893"/>
        </c:manualLayout>
      </c:layout>
      <c:lineChart>
        <c:grouping val="standard"/>
        <c:varyColors val="0"/>
        <c:ser>
          <c:idx val="0"/>
          <c:order val="0"/>
          <c:tx>
            <c:strRef>
              <c:f>'Assets(BoP)'!$BY$3</c:f>
              <c:strCache>
                <c:ptCount val="1"/>
                <c:pt idx="0">
                  <c:v>(Retained havens, % of BEA profits)</c:v>
                </c:pt>
              </c:strCache>
            </c:strRef>
          </c:tx>
          <c:spPr>
            <a:ln w="38100">
              <a:solidFill>
                <a:schemeClr val="tx1"/>
              </a:solidFill>
            </a:ln>
            <a:effectLst/>
          </c:spPr>
          <c:marker>
            <c:symbol val="circle"/>
            <c:size val="10"/>
            <c:spPr>
              <a:solidFill>
                <a:schemeClr val="bg1"/>
              </a:solidFill>
              <a:ln w="19050">
                <a:solidFill>
                  <a:schemeClr val="tx1"/>
                </a:solidFill>
              </a:ln>
              <a:effectLst/>
            </c:spPr>
          </c:marke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'Assets(BoP)'!$BZ$74:$BZ$108</c:f>
              <c:numCache>
                <c:formatCode>0%</c:formatCode>
                <c:ptCount val="35"/>
                <c:pt idx="0">
                  <c:v>0.0988099416137574</c:v>
                </c:pt>
                <c:pt idx="1">
                  <c:v>0.161536065248789</c:v>
                </c:pt>
                <c:pt idx="2">
                  <c:v>0.139957130248392</c:v>
                </c:pt>
                <c:pt idx="3">
                  <c:v>0.111640158038699</c:v>
                </c:pt>
                <c:pt idx="4">
                  <c:v>0.106461507768274</c:v>
                </c:pt>
                <c:pt idx="5">
                  <c:v>0.107807226932258</c:v>
                </c:pt>
                <c:pt idx="6">
                  <c:v>0.0384454449595796</c:v>
                </c:pt>
                <c:pt idx="7">
                  <c:v>0.0461194899346236</c:v>
                </c:pt>
                <c:pt idx="8">
                  <c:v>0.119629225736096</c:v>
                </c:pt>
                <c:pt idx="9">
                  <c:v>0.116213911560482</c:v>
                </c:pt>
                <c:pt idx="10">
                  <c:v>0.126095751854349</c:v>
                </c:pt>
                <c:pt idx="11">
                  <c:v>0.138309717371078</c:v>
                </c:pt>
                <c:pt idx="12">
                  <c:v>0.141954742930249</c:v>
                </c:pt>
                <c:pt idx="13">
                  <c:v>0.147293671404403</c:v>
                </c:pt>
                <c:pt idx="14">
                  <c:v>0.157174899067936</c:v>
                </c:pt>
                <c:pt idx="15">
                  <c:v>0.155704543848491</c:v>
                </c:pt>
                <c:pt idx="16">
                  <c:v>0.170478871006105</c:v>
                </c:pt>
                <c:pt idx="17">
                  <c:v>0.213001031827923</c:v>
                </c:pt>
                <c:pt idx="18">
                  <c:v>0.189057817915683</c:v>
                </c:pt>
                <c:pt idx="19">
                  <c:v>0.191545747517545</c:v>
                </c:pt>
                <c:pt idx="20">
                  <c:v>0.254572864321608</c:v>
                </c:pt>
                <c:pt idx="21">
                  <c:v>0.25193315601046</c:v>
                </c:pt>
                <c:pt idx="22">
                  <c:v>0.261211480689374</c:v>
                </c:pt>
                <c:pt idx="23">
                  <c:v>-0.253273466111473</c:v>
                </c:pt>
                <c:pt idx="24">
                  <c:v>0.297974364992437</c:v>
                </c:pt>
                <c:pt idx="25">
                  <c:v>0.286070711888708</c:v>
                </c:pt>
                <c:pt idx="26">
                  <c:v>0.295844751271386</c:v>
                </c:pt>
                <c:pt idx="27">
                  <c:v>0.353207234524621</c:v>
                </c:pt>
                <c:pt idx="28">
                  <c:v>0.381178548192211</c:v>
                </c:pt>
                <c:pt idx="29">
                  <c:v>0.372863733553168</c:v>
                </c:pt>
                <c:pt idx="30">
                  <c:v>0.346074244378649</c:v>
                </c:pt>
                <c:pt idx="31">
                  <c:v>0.443242207237816</c:v>
                </c:pt>
                <c:pt idx="32">
                  <c:v>0.429117058265725</c:v>
                </c:pt>
                <c:pt idx="33">
                  <c:v>0.46823654850128</c:v>
                </c:pt>
                <c:pt idx="34">
                  <c:v>0.467538194916244</c:v>
                </c:pt>
              </c:numCache>
            </c:numRef>
          </c:val>
          <c:smooth val="0"/>
        </c:ser>
        <c:dLbls>
          <c:showLegendKey val="0"/>
          <c:showVal val="0"/>
          <c:showCatName val="0"/>
          <c:showSerName val="0"/>
          <c:showPercent val="0"/>
          <c:showBubbleSize val="0"/>
        </c:dLbls>
        <c:marker val="1"/>
        <c:smooth val="0"/>
        <c:axId val="-2108493384"/>
        <c:axId val="-2108501320"/>
      </c:lineChart>
      <c:catAx>
        <c:axId val="-2108493384"/>
        <c:scaling>
          <c:orientation val="minMax"/>
        </c:scaling>
        <c:delete val="0"/>
        <c:axPos val="b"/>
        <c:numFmt formatCode="General" sourceLinked="1"/>
        <c:majorTickMark val="none"/>
        <c:minorTickMark val="none"/>
        <c:tickLblPos val="nextTo"/>
        <c:txPr>
          <a:bodyPr rot="-5400000" vert="horz"/>
          <a:lstStyle/>
          <a:p>
            <a:pPr>
              <a:defRPr sz="1600">
                <a:latin typeface="Arial"/>
                <a:cs typeface="Arial"/>
              </a:defRPr>
            </a:pPr>
            <a:endParaRPr lang="fr-FR"/>
          </a:p>
        </c:txPr>
        <c:crossAx val="-2108501320"/>
        <c:crosses val="autoZero"/>
        <c:auto val="1"/>
        <c:lblAlgn val="ctr"/>
        <c:lblOffset val="100"/>
        <c:tickLblSkip val="2"/>
        <c:tickMarkSkip val="2"/>
        <c:noMultiLvlLbl val="0"/>
      </c:catAx>
      <c:valAx>
        <c:axId val="-2108501320"/>
        <c:scaling>
          <c:orientation val="minMax"/>
          <c:max val="0.5"/>
          <c:min val="-0.3"/>
        </c:scaling>
        <c:delete val="0"/>
        <c:axPos val="l"/>
        <c:title>
          <c:tx>
            <c:rich>
              <a:bodyPr rot="-5400000" vert="horz"/>
              <a:lstStyle/>
              <a:p>
                <a:pPr>
                  <a:defRPr/>
                </a:pPr>
                <a:r>
                  <a:rPr lang="fr-FR" sz="1400" b="0">
                    <a:latin typeface="Arial"/>
                    <a:cs typeface="Arial"/>
                  </a:rPr>
                  <a:t>% of US corporate profits made abroad</a:t>
                </a:r>
              </a:p>
            </c:rich>
          </c:tx>
          <c:layout>
            <c:manualLayout>
              <c:xMode val="edge"/>
              <c:yMode val="edge"/>
              <c:x val="0.000968153198113192"/>
              <c:y val="0.20094037927064"/>
            </c:manualLayout>
          </c:layout>
          <c:overlay val="0"/>
        </c:title>
        <c:numFmt formatCode="0%" sourceLinked="0"/>
        <c:majorTickMark val="none"/>
        <c:minorTickMark val="none"/>
        <c:tickLblPos val="nextTo"/>
        <c:txPr>
          <a:bodyPr/>
          <a:lstStyle/>
          <a:p>
            <a:pPr>
              <a:defRPr sz="1600">
                <a:latin typeface="Arial"/>
                <a:cs typeface="Arial"/>
              </a:defRPr>
            </a:pPr>
            <a:endParaRPr lang="fr-FR"/>
          </a:p>
        </c:txPr>
        <c:crossAx val="-2108493384"/>
        <c:crosses val="autoZero"/>
        <c:crossBetween val="midCat"/>
      </c:valAx>
    </c:plotArea>
    <c:plotVisOnly val="1"/>
    <c:dispBlanksAs val="gap"/>
    <c:showDLblsOverMax val="0"/>
  </c:chart>
  <c:spPr>
    <a:ln>
      <a:noFill/>
    </a:ln>
  </c:spPr>
  <c:userShapes r:id="rId1"/>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2000">
                <a:latin typeface="Arial"/>
                <a:cs typeface="Arial"/>
              </a:rPr>
              <a:t>Nominal and effective corporate tax rates on</a:t>
            </a:r>
            <a:r>
              <a:rPr lang="fr-FR" sz="2000" baseline="0">
                <a:latin typeface="Arial"/>
                <a:cs typeface="Arial"/>
              </a:rPr>
              <a:t> US corporate profits</a:t>
            </a:r>
            <a:endParaRPr lang="fr-FR" sz="2000">
              <a:latin typeface="Arial"/>
              <a:cs typeface="Arial"/>
            </a:endParaRPr>
          </a:p>
        </c:rich>
      </c:tx>
      <c:layout>
        <c:manualLayout>
          <c:xMode val="edge"/>
          <c:yMode val="edge"/>
          <c:x val="0.162101330437144"/>
          <c:y val="0.00451508889443118"/>
        </c:manualLayout>
      </c:layout>
      <c:overlay val="0"/>
    </c:title>
    <c:autoTitleDeleted val="0"/>
    <c:plotArea>
      <c:layout>
        <c:manualLayout>
          <c:layoutTarget val="inner"/>
          <c:xMode val="edge"/>
          <c:yMode val="edge"/>
          <c:x val="0.0997052402932392"/>
          <c:y val="0.102642836260382"/>
          <c:w val="0.871359978278577"/>
          <c:h val="0.757918947608692"/>
        </c:manualLayout>
      </c:layout>
      <c:lineChart>
        <c:grouping val="standard"/>
        <c:varyColors val="0"/>
        <c:ser>
          <c:idx val="0"/>
          <c:order val="0"/>
          <c:tx>
            <c:strRef>
              <c:f>'Assets(BoP)'!$N$3</c:f>
              <c:strCache>
                <c:ptCount val="1"/>
                <c:pt idx="0">
                  <c:v>(Foreign profits inflows, % BEA profits)</c:v>
                </c:pt>
              </c:strCache>
            </c:strRef>
          </c:tx>
          <c:spPr>
            <a:ln w="38100">
              <a:solidFill>
                <a:schemeClr val="tx1"/>
              </a:solidFill>
            </a:ln>
            <a:effectLst/>
          </c:spPr>
          <c:marker>
            <c:symbol val="circle"/>
            <c:size val="11"/>
            <c:spPr>
              <a:solidFill>
                <a:schemeClr val="bg1"/>
              </a:solidFill>
              <a:ln w="25400">
                <a:solidFill>
                  <a:schemeClr val="tx1"/>
                </a:solidFill>
              </a:ln>
              <a:effectLst/>
            </c:spPr>
          </c:marker>
          <c:cat>
            <c:strRef>
              <c:f>'Assets(BoP)'!$B$132:$B$192</c:f>
              <c:strCache>
                <c:ptCount val="7"/>
                <c:pt idx="0">
                  <c:v>1950-59</c:v>
                </c:pt>
                <c:pt idx="1">
                  <c:v>1960-69</c:v>
                </c:pt>
                <c:pt idx="2">
                  <c:v>1970-70</c:v>
                </c:pt>
                <c:pt idx="3">
                  <c:v>1980-89</c:v>
                </c:pt>
                <c:pt idx="4">
                  <c:v>1990-99</c:v>
                </c:pt>
                <c:pt idx="5">
                  <c:v>2000-09</c:v>
                </c:pt>
                <c:pt idx="6">
                  <c:v>2010-16</c:v>
                </c:pt>
              </c:strCache>
            </c:strRef>
          </c:cat>
          <c:val>
            <c:numRef>
              <c:f>'Assets(BoP)'!$BF$132:$BF$192</c:f>
              <c:numCache>
                <c:formatCode>0%</c:formatCode>
                <c:ptCount val="7"/>
                <c:pt idx="0">
                  <c:v>0.509</c:v>
                </c:pt>
                <c:pt idx="1">
                  <c:v>0.5076</c:v>
                </c:pt>
                <c:pt idx="2">
                  <c:v>0.4792</c:v>
                </c:pt>
                <c:pt idx="3">
                  <c:v>0.43</c:v>
                </c:pt>
                <c:pt idx="4">
                  <c:v>0.347</c:v>
                </c:pt>
                <c:pt idx="5">
                  <c:v>0.35</c:v>
                </c:pt>
                <c:pt idx="6">
                  <c:v>0.334444444444444</c:v>
                </c:pt>
              </c:numCache>
            </c:numRef>
          </c:val>
          <c:smooth val="0"/>
        </c:ser>
        <c:ser>
          <c:idx val="1"/>
          <c:order val="1"/>
          <c:spPr>
            <a:effectLst/>
          </c:spPr>
          <c:marker>
            <c:spPr>
              <a:effectLst/>
            </c:spPr>
          </c:marker>
          <c:cat>
            <c:strRef>
              <c:f>'Assets(BoP)'!$B$132:$B$192</c:f>
              <c:strCache>
                <c:ptCount val="7"/>
                <c:pt idx="0">
                  <c:v>1950-59</c:v>
                </c:pt>
                <c:pt idx="1">
                  <c:v>1960-69</c:v>
                </c:pt>
                <c:pt idx="2">
                  <c:v>1970-70</c:v>
                </c:pt>
                <c:pt idx="3">
                  <c:v>1980-89</c:v>
                </c:pt>
                <c:pt idx="4">
                  <c:v>1990-99</c:v>
                </c:pt>
                <c:pt idx="5">
                  <c:v>2000-09</c:v>
                </c:pt>
                <c:pt idx="6">
                  <c:v>2010-16</c:v>
                </c:pt>
              </c:strCache>
            </c:strRef>
          </c:cat>
          <c:val>
            <c:numRef>
              <c:f>'Assets(BoP)'!$BH$132:$BH$192</c:f>
              <c:numCache>
                <c:formatCode>0%</c:formatCode>
                <c:ptCount val="7"/>
                <c:pt idx="0">
                  <c:v>0.455574194064933</c:v>
                </c:pt>
                <c:pt idx="1">
                  <c:v>0.360306260245398</c:v>
                </c:pt>
                <c:pt idx="2">
                  <c:v>0.340131453771902</c:v>
                </c:pt>
                <c:pt idx="3">
                  <c:v>0.269413593096391</c:v>
                </c:pt>
                <c:pt idx="4">
                  <c:v>0.265945515775754</c:v>
                </c:pt>
                <c:pt idx="5">
                  <c:v>0.207868769541693</c:v>
                </c:pt>
                <c:pt idx="6">
                  <c:v>0.157785243561932</c:v>
                </c:pt>
              </c:numCache>
            </c:numRef>
          </c:val>
          <c:smooth val="0"/>
        </c:ser>
        <c:ser>
          <c:idx val="2"/>
          <c:order val="2"/>
          <c:spPr>
            <a:effectLst/>
          </c:spPr>
          <c:marker>
            <c:spPr>
              <a:effectLst/>
            </c:spPr>
          </c:marker>
          <c:cat>
            <c:strRef>
              <c:f>'Assets(BoP)'!$B$132:$B$192</c:f>
              <c:strCache>
                <c:ptCount val="7"/>
                <c:pt idx="0">
                  <c:v>1950-59</c:v>
                </c:pt>
                <c:pt idx="1">
                  <c:v>1960-69</c:v>
                </c:pt>
                <c:pt idx="2">
                  <c:v>1970-70</c:v>
                </c:pt>
                <c:pt idx="3">
                  <c:v>1980-89</c:v>
                </c:pt>
                <c:pt idx="4">
                  <c:v>1990-99</c:v>
                </c:pt>
                <c:pt idx="5">
                  <c:v>2000-09</c:v>
                </c:pt>
                <c:pt idx="6">
                  <c:v>2010-16</c:v>
                </c:pt>
              </c:strCache>
            </c:strRef>
          </c:cat>
          <c:val>
            <c:numRef>
              <c:f>'Assets(BoP)'!$BK$132:$BK$192</c:f>
              <c:numCache>
                <c:formatCode>0%</c:formatCode>
                <c:ptCount val="7"/>
                <c:pt idx="0">
                  <c:v>0.465756382531526</c:v>
                </c:pt>
                <c:pt idx="1">
                  <c:v>0.379469458082419</c:v>
                </c:pt>
                <c:pt idx="2">
                  <c:v>0.40466498573895</c:v>
                </c:pt>
                <c:pt idx="3">
                  <c:v>0.324644358032431</c:v>
                </c:pt>
                <c:pt idx="4">
                  <c:v>0.302745195268028</c:v>
                </c:pt>
                <c:pt idx="5">
                  <c:v>0.248010027853512</c:v>
                </c:pt>
                <c:pt idx="6">
                  <c:v>0.197314024211421</c:v>
                </c:pt>
              </c:numCache>
            </c:numRef>
          </c:val>
          <c:smooth val="0"/>
        </c:ser>
        <c:dLbls>
          <c:showLegendKey val="0"/>
          <c:showVal val="0"/>
          <c:showCatName val="0"/>
          <c:showSerName val="0"/>
          <c:showPercent val="0"/>
          <c:showBubbleSize val="0"/>
        </c:dLbls>
        <c:marker val="1"/>
        <c:smooth val="0"/>
        <c:axId val="-2108591192"/>
        <c:axId val="-2108586696"/>
      </c:lineChart>
      <c:catAx>
        <c:axId val="-2108591192"/>
        <c:scaling>
          <c:orientation val="minMax"/>
        </c:scaling>
        <c:delete val="0"/>
        <c:axPos val="b"/>
        <c:numFmt formatCode="General" sourceLinked="1"/>
        <c:majorTickMark val="none"/>
        <c:minorTickMark val="none"/>
        <c:tickLblPos val="nextTo"/>
        <c:txPr>
          <a:bodyPr/>
          <a:lstStyle/>
          <a:p>
            <a:pPr>
              <a:defRPr sz="1600">
                <a:latin typeface="Arial"/>
                <a:cs typeface="Arial"/>
              </a:defRPr>
            </a:pPr>
            <a:endParaRPr lang="fr-FR"/>
          </a:p>
        </c:txPr>
        <c:crossAx val="-2108586696"/>
        <c:crosses val="autoZero"/>
        <c:auto val="1"/>
        <c:lblAlgn val="ctr"/>
        <c:lblOffset val="100"/>
        <c:tickLblSkip val="1"/>
        <c:tickMarkSkip val="1"/>
        <c:noMultiLvlLbl val="0"/>
      </c:catAx>
      <c:valAx>
        <c:axId val="-2108586696"/>
        <c:scaling>
          <c:orientation val="minMax"/>
          <c:max val="0.55"/>
          <c:min val="0.0"/>
        </c:scaling>
        <c:delete val="0"/>
        <c:axPos val="l"/>
        <c:title>
          <c:tx>
            <c:rich>
              <a:bodyPr rot="-5400000" vert="horz"/>
              <a:lstStyle/>
              <a:p>
                <a:pPr>
                  <a:defRPr/>
                </a:pPr>
                <a:r>
                  <a:rPr lang="fr-FR" sz="1400" b="0">
                    <a:latin typeface="Arial"/>
                    <a:cs typeface="Arial"/>
                  </a:rPr>
                  <a:t>%</a:t>
                </a:r>
                <a:r>
                  <a:rPr lang="fr-FR" sz="1400" b="0" baseline="0">
                    <a:latin typeface="Arial"/>
                    <a:cs typeface="Arial"/>
                  </a:rPr>
                  <a:t> of US corporate profits</a:t>
                </a:r>
                <a:endParaRPr lang="fr-FR" sz="1400" b="0">
                  <a:latin typeface="Arial"/>
                  <a:cs typeface="Arial"/>
                </a:endParaRPr>
              </a:p>
            </c:rich>
          </c:tx>
          <c:layout>
            <c:manualLayout>
              <c:xMode val="edge"/>
              <c:yMode val="edge"/>
              <c:x val="0.0"/>
              <c:y val="0.302117737381478"/>
            </c:manualLayout>
          </c:layout>
          <c:overlay val="0"/>
        </c:title>
        <c:numFmt formatCode="0%" sourceLinked="0"/>
        <c:majorTickMark val="none"/>
        <c:minorTickMark val="none"/>
        <c:tickLblPos val="nextTo"/>
        <c:txPr>
          <a:bodyPr/>
          <a:lstStyle/>
          <a:p>
            <a:pPr>
              <a:defRPr sz="1600">
                <a:latin typeface="Arial"/>
                <a:cs typeface="Arial"/>
              </a:defRPr>
            </a:pPr>
            <a:endParaRPr lang="fr-FR"/>
          </a:p>
        </c:txPr>
        <c:crossAx val="-2108591192"/>
        <c:crosses val="autoZero"/>
        <c:crossBetween val="between"/>
        <c:majorUnit val="0.05"/>
      </c:valAx>
    </c:plotArea>
    <c:plotVisOnly val="1"/>
    <c:dispBlanksAs val="gap"/>
    <c:showDLblsOverMax val="0"/>
  </c:chart>
  <c:spPr>
    <a:ln>
      <a:noFill/>
    </a:ln>
  </c:spPr>
  <c:userShapes r:id="rId1"/>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600">
                <a:latin typeface="Garamond"/>
                <a:cs typeface="Garamond"/>
              </a:defRPr>
            </a:pPr>
            <a:r>
              <a:rPr lang="en-US" sz="2600" b="0">
                <a:latin typeface="Garamond"/>
                <a:cs typeface="Garamond"/>
              </a:rPr>
              <a:t>Effective corporate tax rate on US corporate profits</a:t>
            </a:r>
          </a:p>
        </c:rich>
      </c:tx>
      <c:layout>
        <c:manualLayout>
          <c:xMode val="edge"/>
          <c:yMode val="edge"/>
          <c:x val="0.150643403501616"/>
          <c:y val="0.0"/>
        </c:manualLayout>
      </c:layout>
      <c:overlay val="0"/>
    </c:title>
    <c:autoTitleDeleted val="0"/>
    <c:plotArea>
      <c:layout>
        <c:manualLayout>
          <c:layoutTarget val="inner"/>
          <c:xMode val="edge"/>
          <c:yMode val="edge"/>
          <c:x val="0.0793359580052493"/>
          <c:y val="0.120398153793221"/>
          <c:w val="0.905717428730164"/>
          <c:h val="0.779216112400019"/>
        </c:manualLayout>
      </c:layout>
      <c:lineChart>
        <c:grouping val="standard"/>
        <c:varyColors val="0"/>
        <c:ser>
          <c:idx val="0"/>
          <c:order val="0"/>
          <c:tx>
            <c:v>Effective corporate tax rate on US corporate profits</c:v>
          </c:tx>
          <c:spPr>
            <a:ln w="25400">
              <a:solidFill>
                <a:schemeClr val="tx1"/>
              </a:solidFill>
            </a:ln>
            <a:effectLst/>
          </c:spPr>
          <c:marker>
            <c:symbol val="circle"/>
            <c:size val="8"/>
            <c:spPr>
              <a:solidFill>
                <a:schemeClr val="tx1"/>
              </a:solidFill>
              <a:ln>
                <a:solidFill>
                  <a:schemeClr val="tx1"/>
                </a:solidFill>
              </a:ln>
              <a:effectLst/>
            </c:spPr>
          </c:marker>
          <c:cat>
            <c:numRef>
              <c:f>'Assets(BoP)'!$B$72:$B$108</c:f>
              <c:numCache>
                <c:formatCode>General</c:formatCode>
                <c:ptCount val="37"/>
                <c:pt idx="0">
                  <c:v>1980.0</c:v>
                </c:pt>
                <c:pt idx="1">
                  <c:v>1981.0</c:v>
                </c:pt>
                <c:pt idx="2">
                  <c:v>1982.0</c:v>
                </c:pt>
                <c:pt idx="3">
                  <c:v>1983.0</c:v>
                </c:pt>
                <c:pt idx="4">
                  <c:v>1984.0</c:v>
                </c:pt>
                <c:pt idx="5">
                  <c:v>1985.0</c:v>
                </c:pt>
                <c:pt idx="6">
                  <c:v>1986.0</c:v>
                </c:pt>
                <c:pt idx="7">
                  <c:v>1987.0</c:v>
                </c:pt>
                <c:pt idx="8">
                  <c:v>1988.0</c:v>
                </c:pt>
                <c:pt idx="9">
                  <c:v>1989.0</c:v>
                </c:pt>
                <c:pt idx="10">
                  <c:v>1990.0</c:v>
                </c:pt>
                <c:pt idx="11">
                  <c:v>1991.0</c:v>
                </c:pt>
                <c:pt idx="12">
                  <c:v>1992.0</c:v>
                </c:pt>
                <c:pt idx="13">
                  <c:v>1993.0</c:v>
                </c:pt>
                <c:pt idx="14">
                  <c:v>1994.0</c:v>
                </c:pt>
                <c:pt idx="15">
                  <c:v>1995.0</c:v>
                </c:pt>
                <c:pt idx="16">
                  <c:v>1996.0</c:v>
                </c:pt>
                <c:pt idx="17">
                  <c:v>1997.0</c:v>
                </c:pt>
                <c:pt idx="18">
                  <c:v>1998.0</c:v>
                </c:pt>
                <c:pt idx="19">
                  <c:v>1999.0</c:v>
                </c:pt>
                <c:pt idx="20">
                  <c:v>2000.0</c:v>
                </c:pt>
                <c:pt idx="21">
                  <c:v>2001.0</c:v>
                </c:pt>
                <c:pt idx="22">
                  <c:v>2002.0</c:v>
                </c:pt>
                <c:pt idx="23">
                  <c:v>2003.0</c:v>
                </c:pt>
                <c:pt idx="24">
                  <c:v>2004.0</c:v>
                </c:pt>
                <c:pt idx="25">
                  <c:v>2005.0</c:v>
                </c:pt>
                <c:pt idx="26">
                  <c:v>2006.0</c:v>
                </c:pt>
                <c:pt idx="27">
                  <c:v>2007.0</c:v>
                </c:pt>
                <c:pt idx="28">
                  <c:v>2008.0</c:v>
                </c:pt>
                <c:pt idx="29">
                  <c:v>2009.0</c:v>
                </c:pt>
                <c:pt idx="30">
                  <c:v>2010.0</c:v>
                </c:pt>
                <c:pt idx="31">
                  <c:v>2011.0</c:v>
                </c:pt>
                <c:pt idx="32">
                  <c:v>2012.0</c:v>
                </c:pt>
                <c:pt idx="33">
                  <c:v>2013.0</c:v>
                </c:pt>
                <c:pt idx="34">
                  <c:v>2014.0</c:v>
                </c:pt>
                <c:pt idx="35">
                  <c:v>2015.0</c:v>
                </c:pt>
                <c:pt idx="36">
                  <c:v>2016.0</c:v>
                </c:pt>
              </c:numCache>
            </c:numRef>
          </c:cat>
          <c:val>
            <c:numRef>
              <c:f>'Assets(BoP)'!$BL$72:$BL$108</c:f>
              <c:numCache>
                <c:formatCode>0%</c:formatCode>
                <c:ptCount val="37"/>
                <c:pt idx="0">
                  <c:v>0.406148507393172</c:v>
                </c:pt>
                <c:pt idx="1">
                  <c:v>0.390927724119651</c:v>
                </c:pt>
                <c:pt idx="2">
                  <c:v>0.367247535168259</c:v>
                </c:pt>
                <c:pt idx="3">
                  <c:v>0.346376612301143</c:v>
                </c:pt>
                <c:pt idx="4">
                  <c:v>0.321601080533795</c:v>
                </c:pt>
                <c:pt idx="5">
                  <c:v>0.2973275775962</c:v>
                </c:pt>
                <c:pt idx="6">
                  <c:v>0.294819337017543</c:v>
                </c:pt>
                <c:pt idx="7">
                  <c:v>0.306366664798212</c:v>
                </c:pt>
                <c:pt idx="8">
                  <c:v>0.316278093966659</c:v>
                </c:pt>
                <c:pt idx="9">
                  <c:v>0.327687635531067</c:v>
                </c:pt>
                <c:pt idx="10">
                  <c:v>0.339050767507627</c:v>
                </c:pt>
                <c:pt idx="11">
                  <c:v>0.333535606248422</c:v>
                </c:pt>
                <c:pt idx="12">
                  <c:v>0.326653611527525</c:v>
                </c:pt>
                <c:pt idx="13">
                  <c:v>0.323933228593745</c:v>
                </c:pt>
                <c:pt idx="14">
                  <c:v>0.314786735703499</c:v>
                </c:pt>
                <c:pt idx="15">
                  <c:v>0.306098430858898</c:v>
                </c:pt>
                <c:pt idx="16">
                  <c:v>0.304069974201728</c:v>
                </c:pt>
                <c:pt idx="17">
                  <c:v>0.297762219818898</c:v>
                </c:pt>
                <c:pt idx="18">
                  <c:v>0.291394359903777</c:v>
                </c:pt>
                <c:pt idx="19">
                  <c:v>0.290703654832556</c:v>
                </c:pt>
                <c:pt idx="20">
                  <c:v>0.29681614532153</c:v>
                </c:pt>
                <c:pt idx="21">
                  <c:v>0.291828788130287</c:v>
                </c:pt>
                <c:pt idx="22">
                  <c:v>0.276997845287534</c:v>
                </c:pt>
                <c:pt idx="23">
                  <c:v>0.263019408899157</c:v>
                </c:pt>
                <c:pt idx="24" formatCode="0.0%">
                  <c:v>0.250368513640463</c:v>
                </c:pt>
                <c:pt idx="25" formatCode="0.0%">
                  <c:v>0.239659328637906</c:v>
                </c:pt>
                <c:pt idx="26" formatCode="0.0%">
                  <c:v>0.24009352444834</c:v>
                </c:pt>
                <c:pt idx="27" formatCode="0.0%">
                  <c:v>0.253438943795303</c:v>
                </c:pt>
                <c:pt idx="28" formatCode="0.0%">
                  <c:v>0.25471927536191</c:v>
                </c:pt>
                <c:pt idx="29" formatCode="0.0%">
                  <c:v>0.245651542066561</c:v>
                </c:pt>
                <c:pt idx="30" formatCode="0.0%">
                  <c:v>0.230011124949058</c:v>
                </c:pt>
                <c:pt idx="31" formatCode="0.0%">
                  <c:v>0.212911808664459</c:v>
                </c:pt>
                <c:pt idx="32" formatCode="0.0%">
                  <c:v>0.196846295347723</c:v>
                </c:pt>
                <c:pt idx="33" formatCode="0.0%">
                  <c:v>0.191562127213059</c:v>
                </c:pt>
                <c:pt idx="34" formatCode="0.0%">
                  <c:v>0.196847949343064</c:v>
                </c:pt>
                <c:pt idx="35" formatCode="0.0%">
                  <c:v>0.199026582541133</c:v>
                </c:pt>
                <c:pt idx="36" formatCode="0.0%">
                  <c:v>0.200530235487084</c:v>
                </c:pt>
              </c:numCache>
            </c:numRef>
          </c:val>
          <c:smooth val="0"/>
        </c:ser>
        <c:dLbls>
          <c:showLegendKey val="0"/>
          <c:showVal val="0"/>
          <c:showCatName val="0"/>
          <c:showSerName val="0"/>
          <c:showPercent val="0"/>
          <c:showBubbleSize val="0"/>
        </c:dLbls>
        <c:marker val="1"/>
        <c:smooth val="0"/>
        <c:axId val="-2108623000"/>
        <c:axId val="-2108620152"/>
      </c:lineChart>
      <c:catAx>
        <c:axId val="-2108623000"/>
        <c:scaling>
          <c:orientation val="minMax"/>
        </c:scaling>
        <c:delete val="0"/>
        <c:axPos val="b"/>
        <c:numFmt formatCode="General" sourceLinked="1"/>
        <c:majorTickMark val="out"/>
        <c:minorTickMark val="none"/>
        <c:tickLblPos val="nextTo"/>
        <c:txPr>
          <a:bodyPr/>
          <a:lstStyle/>
          <a:p>
            <a:pPr>
              <a:defRPr sz="1800">
                <a:latin typeface="Garamond"/>
                <a:cs typeface="Garamond"/>
              </a:defRPr>
            </a:pPr>
            <a:endParaRPr lang="fr-FR"/>
          </a:p>
        </c:txPr>
        <c:crossAx val="-2108620152"/>
        <c:crosses val="autoZero"/>
        <c:auto val="1"/>
        <c:lblAlgn val="ctr"/>
        <c:lblOffset val="100"/>
        <c:tickLblSkip val="5"/>
        <c:tickMarkSkip val="5"/>
        <c:noMultiLvlLbl val="0"/>
      </c:catAx>
      <c:valAx>
        <c:axId val="-2108620152"/>
        <c:scaling>
          <c:orientation val="minMax"/>
          <c:max val="0.41"/>
          <c:min val="0.0"/>
        </c:scaling>
        <c:delete val="0"/>
        <c:axPos val="l"/>
        <c:majorGridlines>
          <c:spPr>
            <a:ln>
              <a:solidFill>
                <a:schemeClr val="bg1">
                  <a:lumMod val="85000"/>
                </a:schemeClr>
              </a:solidFill>
            </a:ln>
          </c:spPr>
        </c:majorGridlines>
        <c:numFmt formatCode="0%" sourceLinked="1"/>
        <c:majorTickMark val="none"/>
        <c:minorTickMark val="none"/>
        <c:tickLblPos val="nextTo"/>
        <c:txPr>
          <a:bodyPr/>
          <a:lstStyle/>
          <a:p>
            <a:pPr>
              <a:defRPr sz="1800">
                <a:latin typeface="Garamond"/>
                <a:cs typeface="Garamond"/>
              </a:defRPr>
            </a:pPr>
            <a:endParaRPr lang="fr-FR"/>
          </a:p>
        </c:txPr>
        <c:crossAx val="-2108623000"/>
        <c:crosses val="autoZero"/>
        <c:crossBetween val="between"/>
      </c:valAx>
    </c:plotArea>
    <c:plotVisOnly val="1"/>
    <c:dispBlanksAs val="gap"/>
    <c:showDLblsOverMax val="0"/>
  </c:chart>
  <c:spPr>
    <a:ln>
      <a:noFill/>
    </a:ln>
  </c:spPr>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2000">
                <a:latin typeface="Arial"/>
                <a:cs typeface="Arial"/>
              </a:rPr>
              <a:t>Nominal and effective corporate tax rates on</a:t>
            </a:r>
            <a:r>
              <a:rPr lang="fr-FR" sz="2000" baseline="0">
                <a:latin typeface="Arial"/>
                <a:cs typeface="Arial"/>
              </a:rPr>
              <a:t> U.S. profits</a:t>
            </a:r>
            <a:endParaRPr lang="fr-FR" sz="2000">
              <a:latin typeface="Arial"/>
              <a:cs typeface="Arial"/>
            </a:endParaRPr>
          </a:p>
        </c:rich>
      </c:tx>
      <c:layout>
        <c:manualLayout>
          <c:xMode val="edge"/>
          <c:yMode val="edge"/>
          <c:x val="0.162101330437144"/>
          <c:y val="0.00451508889443118"/>
        </c:manualLayout>
      </c:layout>
      <c:overlay val="0"/>
    </c:title>
    <c:autoTitleDeleted val="0"/>
    <c:plotArea>
      <c:layout>
        <c:manualLayout>
          <c:layoutTarget val="inner"/>
          <c:xMode val="edge"/>
          <c:yMode val="edge"/>
          <c:x val="0.0997052402932392"/>
          <c:y val="0.102642836260382"/>
          <c:w val="0.871359978278577"/>
          <c:h val="0.757918947608692"/>
        </c:manualLayout>
      </c:layout>
      <c:lineChart>
        <c:grouping val="standard"/>
        <c:varyColors val="0"/>
        <c:ser>
          <c:idx val="0"/>
          <c:order val="0"/>
          <c:tx>
            <c:strRef>
              <c:f>'Assets(BoP)'!$N$3</c:f>
              <c:strCache>
                <c:ptCount val="1"/>
                <c:pt idx="0">
                  <c:v>(Foreign profits inflows, % BEA profits)</c:v>
                </c:pt>
              </c:strCache>
            </c:strRef>
          </c:tx>
          <c:spPr>
            <a:ln w="38100">
              <a:solidFill>
                <a:schemeClr val="tx1"/>
              </a:solidFill>
            </a:ln>
            <a:effectLst/>
          </c:spPr>
          <c:marker>
            <c:symbol val="circle"/>
            <c:size val="11"/>
            <c:spPr>
              <a:solidFill>
                <a:schemeClr val="bg1"/>
              </a:solidFill>
              <a:ln w="25400">
                <a:solidFill>
                  <a:schemeClr val="tx1"/>
                </a:solidFill>
              </a:ln>
              <a:effectLst/>
            </c:spPr>
          </c:marker>
          <c:cat>
            <c:strRef>
              <c:f>'Assets(BoP)'!$B$122:$B$192</c:f>
              <c:strCache>
                <c:ptCount val="8"/>
                <c:pt idx="0">
                  <c:v>1940-49</c:v>
                </c:pt>
                <c:pt idx="1">
                  <c:v>1950-59</c:v>
                </c:pt>
                <c:pt idx="2">
                  <c:v>1960-69</c:v>
                </c:pt>
                <c:pt idx="3">
                  <c:v>1970-70</c:v>
                </c:pt>
                <c:pt idx="4">
                  <c:v>1980-89</c:v>
                </c:pt>
                <c:pt idx="5">
                  <c:v>1990-99</c:v>
                </c:pt>
                <c:pt idx="6">
                  <c:v>2000-09</c:v>
                </c:pt>
                <c:pt idx="7">
                  <c:v>2010-16</c:v>
                </c:pt>
              </c:strCache>
            </c:strRef>
          </c:cat>
          <c:val>
            <c:numRef>
              <c:f>'Assets(BoP)'!$BF$122:$BF$192</c:f>
              <c:numCache>
                <c:formatCode>0%</c:formatCode>
                <c:ptCount val="8"/>
                <c:pt idx="0">
                  <c:v>0.367</c:v>
                </c:pt>
                <c:pt idx="1">
                  <c:v>0.509</c:v>
                </c:pt>
                <c:pt idx="2">
                  <c:v>0.5076</c:v>
                </c:pt>
                <c:pt idx="3">
                  <c:v>0.4792</c:v>
                </c:pt>
                <c:pt idx="4">
                  <c:v>0.43</c:v>
                </c:pt>
                <c:pt idx="5">
                  <c:v>0.347</c:v>
                </c:pt>
                <c:pt idx="6">
                  <c:v>0.35</c:v>
                </c:pt>
                <c:pt idx="7">
                  <c:v>0.334444444444444</c:v>
                </c:pt>
              </c:numCache>
            </c:numRef>
          </c:val>
          <c:smooth val="0"/>
        </c:ser>
        <c:ser>
          <c:idx val="1"/>
          <c:order val="1"/>
          <c:spPr>
            <a:effectLst/>
          </c:spPr>
          <c:marker>
            <c:spPr>
              <a:effectLst/>
            </c:spPr>
          </c:marker>
          <c:cat>
            <c:strRef>
              <c:f>'Assets(BoP)'!$B$122:$B$192</c:f>
              <c:strCache>
                <c:ptCount val="8"/>
                <c:pt idx="0">
                  <c:v>1940-49</c:v>
                </c:pt>
                <c:pt idx="1">
                  <c:v>1950-59</c:v>
                </c:pt>
                <c:pt idx="2">
                  <c:v>1960-69</c:v>
                </c:pt>
                <c:pt idx="3">
                  <c:v>1970-70</c:v>
                </c:pt>
                <c:pt idx="4">
                  <c:v>1980-89</c:v>
                </c:pt>
                <c:pt idx="5">
                  <c:v>1990-99</c:v>
                </c:pt>
                <c:pt idx="6">
                  <c:v>2000-09</c:v>
                </c:pt>
                <c:pt idx="7">
                  <c:v>2010-16</c:v>
                </c:pt>
              </c:strCache>
            </c:strRef>
          </c:cat>
          <c:val>
            <c:numRef>
              <c:f>'Assets(BoP)'!$BH$122:$BH$192</c:f>
              <c:numCache>
                <c:formatCode>0%</c:formatCode>
                <c:ptCount val="8"/>
                <c:pt idx="0">
                  <c:v>0.458839346332565</c:v>
                </c:pt>
                <c:pt idx="1">
                  <c:v>0.455574194064933</c:v>
                </c:pt>
                <c:pt idx="2">
                  <c:v>0.360306260245398</c:v>
                </c:pt>
                <c:pt idx="3">
                  <c:v>0.340131453771902</c:v>
                </c:pt>
                <c:pt idx="4">
                  <c:v>0.269413593096391</c:v>
                </c:pt>
                <c:pt idx="5">
                  <c:v>0.265945515775754</c:v>
                </c:pt>
                <c:pt idx="6">
                  <c:v>0.207868769541693</c:v>
                </c:pt>
                <c:pt idx="7">
                  <c:v>0.157785243561932</c:v>
                </c:pt>
              </c:numCache>
            </c:numRef>
          </c:val>
          <c:smooth val="0"/>
        </c:ser>
        <c:ser>
          <c:idx val="2"/>
          <c:order val="2"/>
          <c:spPr>
            <a:effectLst/>
          </c:spPr>
          <c:marker>
            <c:spPr>
              <a:effectLst/>
            </c:spPr>
          </c:marker>
          <c:cat>
            <c:strRef>
              <c:f>'Assets(BoP)'!$B$122:$B$192</c:f>
              <c:strCache>
                <c:ptCount val="8"/>
                <c:pt idx="0">
                  <c:v>1940-49</c:v>
                </c:pt>
                <c:pt idx="1">
                  <c:v>1950-59</c:v>
                </c:pt>
                <c:pt idx="2">
                  <c:v>1960-69</c:v>
                </c:pt>
                <c:pt idx="3">
                  <c:v>1970-70</c:v>
                </c:pt>
                <c:pt idx="4">
                  <c:v>1980-89</c:v>
                </c:pt>
                <c:pt idx="5">
                  <c:v>1990-99</c:v>
                </c:pt>
                <c:pt idx="6">
                  <c:v>2000-09</c:v>
                </c:pt>
                <c:pt idx="7">
                  <c:v>2010-16</c:v>
                </c:pt>
              </c:strCache>
            </c:strRef>
          </c:cat>
          <c:val>
            <c:numRef>
              <c:f>'Assets(BoP)'!$BK$122:$BK$192</c:f>
              <c:numCache>
                <c:formatCode>0%</c:formatCode>
                <c:ptCount val="8"/>
                <c:pt idx="0">
                  <c:v>0.463045526620233</c:v>
                </c:pt>
                <c:pt idx="1">
                  <c:v>0.465756382531526</c:v>
                </c:pt>
                <c:pt idx="2">
                  <c:v>0.379469458082419</c:v>
                </c:pt>
                <c:pt idx="3">
                  <c:v>0.40466498573895</c:v>
                </c:pt>
                <c:pt idx="4">
                  <c:v>0.324644358032431</c:v>
                </c:pt>
                <c:pt idx="5">
                  <c:v>0.302745195268028</c:v>
                </c:pt>
                <c:pt idx="6">
                  <c:v>0.248010027853512</c:v>
                </c:pt>
                <c:pt idx="7">
                  <c:v>0.197314024211421</c:v>
                </c:pt>
              </c:numCache>
            </c:numRef>
          </c:val>
          <c:smooth val="0"/>
        </c:ser>
        <c:dLbls>
          <c:showLegendKey val="0"/>
          <c:showVal val="0"/>
          <c:showCatName val="0"/>
          <c:showSerName val="0"/>
          <c:showPercent val="0"/>
          <c:showBubbleSize val="0"/>
        </c:dLbls>
        <c:marker val="1"/>
        <c:smooth val="0"/>
        <c:axId val="-2097177144"/>
        <c:axId val="-2097172600"/>
      </c:lineChart>
      <c:catAx>
        <c:axId val="-2097177144"/>
        <c:scaling>
          <c:orientation val="minMax"/>
        </c:scaling>
        <c:delete val="0"/>
        <c:axPos val="b"/>
        <c:numFmt formatCode="General" sourceLinked="1"/>
        <c:majorTickMark val="none"/>
        <c:minorTickMark val="none"/>
        <c:tickLblPos val="nextTo"/>
        <c:txPr>
          <a:bodyPr/>
          <a:lstStyle/>
          <a:p>
            <a:pPr>
              <a:defRPr sz="1600">
                <a:latin typeface="Arial"/>
                <a:cs typeface="Arial"/>
              </a:defRPr>
            </a:pPr>
            <a:endParaRPr lang="fr-FR"/>
          </a:p>
        </c:txPr>
        <c:crossAx val="-2097172600"/>
        <c:crosses val="autoZero"/>
        <c:auto val="1"/>
        <c:lblAlgn val="ctr"/>
        <c:lblOffset val="100"/>
        <c:tickLblSkip val="1"/>
        <c:tickMarkSkip val="1"/>
        <c:noMultiLvlLbl val="0"/>
      </c:catAx>
      <c:valAx>
        <c:axId val="-2097172600"/>
        <c:scaling>
          <c:orientation val="minMax"/>
          <c:max val="0.55"/>
          <c:min val="0.0"/>
        </c:scaling>
        <c:delete val="0"/>
        <c:axPos val="l"/>
        <c:title>
          <c:tx>
            <c:rich>
              <a:bodyPr rot="-5400000" vert="horz"/>
              <a:lstStyle/>
              <a:p>
                <a:pPr>
                  <a:defRPr/>
                </a:pPr>
                <a:r>
                  <a:rPr lang="fr-FR" sz="1400" b="0">
                    <a:latin typeface="Arial"/>
                    <a:cs typeface="Arial"/>
                  </a:rPr>
                  <a:t>%</a:t>
                </a:r>
                <a:r>
                  <a:rPr lang="fr-FR" sz="1400" b="0" baseline="0">
                    <a:latin typeface="Arial"/>
                    <a:cs typeface="Arial"/>
                  </a:rPr>
                  <a:t> of US corporate profits</a:t>
                </a:r>
                <a:endParaRPr lang="fr-FR" sz="1400" b="0">
                  <a:latin typeface="Arial"/>
                  <a:cs typeface="Arial"/>
                </a:endParaRPr>
              </a:p>
            </c:rich>
          </c:tx>
          <c:layout>
            <c:manualLayout>
              <c:xMode val="edge"/>
              <c:yMode val="edge"/>
              <c:x val="0.0"/>
              <c:y val="0.302117737381478"/>
            </c:manualLayout>
          </c:layout>
          <c:overlay val="0"/>
        </c:title>
        <c:numFmt formatCode="0%" sourceLinked="0"/>
        <c:majorTickMark val="none"/>
        <c:minorTickMark val="none"/>
        <c:tickLblPos val="nextTo"/>
        <c:txPr>
          <a:bodyPr/>
          <a:lstStyle/>
          <a:p>
            <a:pPr>
              <a:defRPr sz="1600">
                <a:latin typeface="Arial"/>
                <a:cs typeface="Arial"/>
              </a:defRPr>
            </a:pPr>
            <a:endParaRPr lang="fr-FR"/>
          </a:p>
        </c:txPr>
        <c:crossAx val="-2097177144"/>
        <c:crosses val="autoZero"/>
        <c:crossBetween val="between"/>
        <c:majorUnit val="0.05"/>
      </c:valAx>
    </c:plotArea>
    <c:plotVisOnly val="1"/>
    <c:dispBlanksAs val="gap"/>
    <c:showDLblsOverMax val="0"/>
  </c:chart>
  <c:spPr>
    <a:ln>
      <a:noFill/>
    </a:ln>
  </c:spPr>
  <c:userShapes r:id="rId1"/>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2000">
                <a:latin typeface="Arial"/>
                <a:cs typeface="Arial"/>
              </a:rPr>
              <a:t>The</a:t>
            </a:r>
            <a:r>
              <a:rPr lang="fr-FR" sz="2000" baseline="0">
                <a:latin typeface="Arial"/>
                <a:cs typeface="Arial"/>
              </a:rPr>
              <a:t> share of U.S. corporate profits in national income</a:t>
            </a:r>
            <a:endParaRPr lang="fr-FR" sz="2000">
              <a:latin typeface="Arial"/>
              <a:cs typeface="Arial"/>
            </a:endParaRPr>
          </a:p>
        </c:rich>
      </c:tx>
      <c:layout>
        <c:manualLayout>
          <c:xMode val="edge"/>
          <c:yMode val="edge"/>
          <c:x val="0.189744013032854"/>
          <c:y val="0.0180896670611021"/>
        </c:manualLayout>
      </c:layout>
      <c:overlay val="0"/>
    </c:title>
    <c:autoTitleDeleted val="0"/>
    <c:plotArea>
      <c:layout>
        <c:manualLayout>
          <c:layoutTarget val="inner"/>
          <c:xMode val="edge"/>
          <c:yMode val="edge"/>
          <c:x val="0.0997052402932392"/>
          <c:y val="0.102642836260382"/>
          <c:w val="0.871359978278577"/>
          <c:h val="0.757918947608692"/>
        </c:manualLayout>
      </c:layout>
      <c:lineChart>
        <c:grouping val="standard"/>
        <c:varyColors val="0"/>
        <c:ser>
          <c:idx val="0"/>
          <c:order val="0"/>
          <c:tx>
            <c:strRef>
              <c:f>'Assets(BoP)'!$N$3</c:f>
              <c:strCache>
                <c:ptCount val="1"/>
                <c:pt idx="0">
                  <c:v>(Foreign profits inflows, % BEA profits)</c:v>
                </c:pt>
              </c:strCache>
            </c:strRef>
          </c:tx>
          <c:spPr>
            <a:ln w="38100">
              <a:solidFill>
                <a:schemeClr val="tx1"/>
              </a:solidFill>
            </a:ln>
            <a:effectLst/>
          </c:spPr>
          <c:marker>
            <c:symbol val="circle"/>
            <c:size val="11"/>
            <c:spPr>
              <a:solidFill>
                <a:schemeClr val="bg1"/>
              </a:solidFill>
              <a:ln w="25400">
                <a:solidFill>
                  <a:schemeClr val="tx1"/>
                </a:solidFill>
              </a:ln>
              <a:effectLst/>
            </c:spPr>
          </c:marker>
          <c:cat>
            <c:strRef>
              <c:f>'Assets(BoP)'!$B$122:$B$192</c:f>
              <c:strCache>
                <c:ptCount val="8"/>
                <c:pt idx="0">
                  <c:v>1940-49</c:v>
                </c:pt>
                <c:pt idx="1">
                  <c:v>1950-59</c:v>
                </c:pt>
                <c:pt idx="2">
                  <c:v>1960-69</c:v>
                </c:pt>
                <c:pt idx="3">
                  <c:v>1970-70</c:v>
                </c:pt>
                <c:pt idx="4">
                  <c:v>1980-89</c:v>
                </c:pt>
                <c:pt idx="5">
                  <c:v>1990-99</c:v>
                </c:pt>
                <c:pt idx="6">
                  <c:v>2000-09</c:v>
                </c:pt>
                <c:pt idx="7">
                  <c:v>2010-16</c:v>
                </c:pt>
              </c:strCache>
            </c:strRef>
          </c:cat>
          <c:val>
            <c:numRef>
              <c:f>'Assets(BoP)'!$E$122:$E$192</c:f>
              <c:numCache>
                <c:formatCode>0%</c:formatCode>
                <c:ptCount val="8"/>
                <c:pt idx="0">
                  <c:v>0.118758561749919</c:v>
                </c:pt>
                <c:pt idx="1">
                  <c:v>0.122089505676607</c:v>
                </c:pt>
                <c:pt idx="2">
                  <c:v>0.122205711656978</c:v>
                </c:pt>
                <c:pt idx="3">
                  <c:v>0.104052926169066</c:v>
                </c:pt>
                <c:pt idx="4">
                  <c:v>0.0901856520281225</c:v>
                </c:pt>
                <c:pt idx="5">
                  <c:v>0.0990089136366847</c:v>
                </c:pt>
                <c:pt idx="6">
                  <c:v>0.110610182095699</c:v>
                </c:pt>
                <c:pt idx="7">
                  <c:v>0.137289983522845</c:v>
                </c:pt>
              </c:numCache>
            </c:numRef>
          </c:val>
          <c:smooth val="0"/>
        </c:ser>
        <c:dLbls>
          <c:showLegendKey val="0"/>
          <c:showVal val="0"/>
          <c:showCatName val="0"/>
          <c:showSerName val="0"/>
          <c:showPercent val="0"/>
          <c:showBubbleSize val="0"/>
        </c:dLbls>
        <c:marker val="1"/>
        <c:smooth val="0"/>
        <c:axId val="-2097266328"/>
        <c:axId val="-2097263480"/>
      </c:lineChart>
      <c:catAx>
        <c:axId val="-2097266328"/>
        <c:scaling>
          <c:orientation val="minMax"/>
        </c:scaling>
        <c:delete val="0"/>
        <c:axPos val="b"/>
        <c:numFmt formatCode="General" sourceLinked="1"/>
        <c:majorTickMark val="none"/>
        <c:minorTickMark val="none"/>
        <c:tickLblPos val="nextTo"/>
        <c:txPr>
          <a:bodyPr/>
          <a:lstStyle/>
          <a:p>
            <a:pPr>
              <a:defRPr sz="1600">
                <a:latin typeface="Arial"/>
                <a:cs typeface="Arial"/>
              </a:defRPr>
            </a:pPr>
            <a:endParaRPr lang="fr-FR"/>
          </a:p>
        </c:txPr>
        <c:crossAx val="-2097263480"/>
        <c:crosses val="autoZero"/>
        <c:auto val="1"/>
        <c:lblAlgn val="ctr"/>
        <c:lblOffset val="100"/>
        <c:tickLblSkip val="1"/>
        <c:tickMarkSkip val="1"/>
        <c:noMultiLvlLbl val="0"/>
      </c:catAx>
      <c:valAx>
        <c:axId val="-2097263480"/>
        <c:scaling>
          <c:orientation val="minMax"/>
          <c:min val="0.08"/>
        </c:scaling>
        <c:delete val="0"/>
        <c:axPos val="l"/>
        <c:title>
          <c:tx>
            <c:rich>
              <a:bodyPr rot="-5400000" vert="horz"/>
              <a:lstStyle/>
              <a:p>
                <a:pPr>
                  <a:defRPr/>
                </a:pPr>
                <a:r>
                  <a:rPr lang="fr-FR" sz="1400" b="0">
                    <a:latin typeface="Arial"/>
                    <a:cs typeface="Arial"/>
                  </a:rPr>
                  <a:t>%</a:t>
                </a:r>
                <a:r>
                  <a:rPr lang="fr-FR" sz="1400" b="0" baseline="0">
                    <a:latin typeface="Arial"/>
                    <a:cs typeface="Arial"/>
                  </a:rPr>
                  <a:t> of US national income</a:t>
                </a:r>
                <a:endParaRPr lang="fr-FR" sz="1400" b="0">
                  <a:latin typeface="Arial"/>
                  <a:cs typeface="Arial"/>
                </a:endParaRPr>
              </a:p>
            </c:rich>
          </c:tx>
          <c:layout>
            <c:manualLayout>
              <c:xMode val="edge"/>
              <c:yMode val="edge"/>
              <c:x val="0.0"/>
              <c:y val="0.272722028407187"/>
            </c:manualLayout>
          </c:layout>
          <c:overlay val="0"/>
        </c:title>
        <c:numFmt formatCode="0%" sourceLinked="0"/>
        <c:majorTickMark val="none"/>
        <c:minorTickMark val="none"/>
        <c:tickLblPos val="nextTo"/>
        <c:txPr>
          <a:bodyPr/>
          <a:lstStyle/>
          <a:p>
            <a:pPr>
              <a:defRPr sz="1600">
                <a:latin typeface="Arial"/>
                <a:cs typeface="Arial"/>
              </a:defRPr>
            </a:pPr>
            <a:endParaRPr lang="fr-FR"/>
          </a:p>
        </c:txPr>
        <c:crossAx val="-2097266328"/>
        <c:crosses val="autoZero"/>
        <c:crossBetween val="between"/>
      </c:valAx>
    </c:plotArea>
    <c:plotVisOnly val="1"/>
    <c:dispBlanksAs val="gap"/>
    <c:showDLblsOverMax val="0"/>
  </c:chart>
  <c:spPr>
    <a:ln>
      <a:noFill/>
    </a:ln>
  </c:spPr>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b="1" i="0" baseline="0">
                <a:effectLst/>
                <a:latin typeface="Arial"/>
                <a:cs typeface="Arial"/>
              </a:rPr>
              <a:t>Figure A.2d: Profits made abroad </a:t>
            </a:r>
            <a:r>
              <a:rPr lang="fr-FR" sz="1800" b="0" i="0" baseline="0">
                <a:effectLst/>
                <a:latin typeface="Arial"/>
                <a:cs typeface="Arial"/>
              </a:rPr>
              <a:t>(% of U.S. national income)</a:t>
            </a:r>
          </a:p>
          <a:p>
            <a:pPr>
              <a:defRPr/>
            </a:pPr>
            <a:r>
              <a:rPr lang="fr-FR" sz="1800" b="0" i="0" baseline="0">
                <a:effectLst/>
                <a:latin typeface="Arial"/>
                <a:cs typeface="Arial"/>
              </a:rPr>
              <a:t>(BoP immediate counterpart basis)</a:t>
            </a:r>
            <a:endParaRPr lang="fr-FR" b="0">
              <a:effectLst/>
              <a:latin typeface="Arial"/>
              <a:cs typeface="Arial"/>
            </a:endParaRPr>
          </a:p>
        </c:rich>
      </c:tx>
      <c:layout>
        <c:manualLayout>
          <c:xMode val="edge"/>
          <c:yMode val="edge"/>
          <c:x val="0.137770545348498"/>
          <c:y val="0.0130528536874067"/>
        </c:manualLayout>
      </c:layout>
      <c:overlay val="0"/>
    </c:title>
    <c:autoTitleDeleted val="0"/>
    <c:plotArea>
      <c:layout>
        <c:manualLayout>
          <c:layoutTarget val="inner"/>
          <c:xMode val="edge"/>
          <c:yMode val="edge"/>
          <c:x val="0.0811437652151338"/>
          <c:y val="0.0692454922960832"/>
          <c:w val="0.863522071551044"/>
          <c:h val="0.852682984205355"/>
        </c:manualLayout>
      </c:layout>
      <c:areaChart>
        <c:grouping val="stacked"/>
        <c:varyColors val="0"/>
        <c:ser>
          <c:idx val="1"/>
          <c:order val="0"/>
          <c:spPr>
            <a:solidFill>
              <a:schemeClr val="tx2">
                <a:lumMod val="40000"/>
                <a:lumOff val="60000"/>
              </a:schemeClr>
            </a:solidFill>
            <a:ln>
              <a:solidFill>
                <a:schemeClr val="tx1"/>
              </a:solidFill>
            </a:ln>
          </c:spPr>
          <c:cat>
            <c:strRef>
              <c:f>'Assets(BoP)'!$B$112:$B$192</c:f>
              <c:strCache>
                <c:ptCount val="9"/>
                <c:pt idx="0">
                  <c:v>1930-39</c:v>
                </c:pt>
                <c:pt idx="1">
                  <c:v>1940-49</c:v>
                </c:pt>
                <c:pt idx="2">
                  <c:v>1950-59</c:v>
                </c:pt>
                <c:pt idx="3">
                  <c:v>1960-69</c:v>
                </c:pt>
                <c:pt idx="4">
                  <c:v>1970-70</c:v>
                </c:pt>
                <c:pt idx="5">
                  <c:v>1980-89</c:v>
                </c:pt>
                <c:pt idx="6">
                  <c:v>1990-99</c:v>
                </c:pt>
                <c:pt idx="7">
                  <c:v>2000-09</c:v>
                </c:pt>
                <c:pt idx="8">
                  <c:v>2010-16</c:v>
                </c:pt>
              </c:strCache>
            </c:strRef>
          </c:cat>
          <c:val>
            <c:numRef>
              <c:f>'Assets(BoP)'!$FV$112:$FV$192</c:f>
              <c:numCache>
                <c:formatCode>0.0%</c:formatCode>
                <c:ptCount val="9"/>
                <c:pt idx="0">
                  <c:v>0.00224297689841747</c:v>
                </c:pt>
                <c:pt idx="1">
                  <c:v>0.00406673624520909</c:v>
                </c:pt>
                <c:pt idx="2">
                  <c:v>0.0069421574046403</c:v>
                </c:pt>
                <c:pt idx="3">
                  <c:v>0.0077120716649941</c:v>
                </c:pt>
                <c:pt idx="4">
                  <c:v>0.0110265328045713</c:v>
                </c:pt>
                <c:pt idx="5">
                  <c:v>0.0111320987072746</c:v>
                </c:pt>
                <c:pt idx="6">
                  <c:v>0.0125659990060943</c:v>
                </c:pt>
                <c:pt idx="7">
                  <c:v>0.017674740590109</c:v>
                </c:pt>
                <c:pt idx="8">
                  <c:v>0.0188611778151169</c:v>
                </c:pt>
              </c:numCache>
            </c:numRef>
          </c:val>
        </c:ser>
        <c:ser>
          <c:idx val="0"/>
          <c:order val="1"/>
          <c:spPr>
            <a:solidFill>
              <a:schemeClr val="accent2">
                <a:lumMod val="60000"/>
                <a:lumOff val="40000"/>
              </a:schemeClr>
            </a:solidFill>
            <a:ln>
              <a:solidFill>
                <a:schemeClr val="tx1"/>
              </a:solidFill>
            </a:ln>
          </c:spPr>
          <c:cat>
            <c:strRef>
              <c:f>'Assets(BoP)'!$B$112:$B$192</c:f>
              <c:strCache>
                <c:ptCount val="9"/>
                <c:pt idx="0">
                  <c:v>1930-39</c:v>
                </c:pt>
                <c:pt idx="1">
                  <c:v>1940-49</c:v>
                </c:pt>
                <c:pt idx="2">
                  <c:v>1950-59</c:v>
                </c:pt>
                <c:pt idx="3">
                  <c:v>1960-69</c:v>
                </c:pt>
                <c:pt idx="4">
                  <c:v>1970-70</c:v>
                </c:pt>
                <c:pt idx="5">
                  <c:v>1980-89</c:v>
                </c:pt>
                <c:pt idx="6">
                  <c:v>1990-99</c:v>
                </c:pt>
                <c:pt idx="7">
                  <c:v>2000-09</c:v>
                </c:pt>
                <c:pt idx="8">
                  <c:v>2010-16</c:v>
                </c:pt>
              </c:strCache>
            </c:strRef>
          </c:cat>
          <c:val>
            <c:numRef>
              <c:f>'Assets(BoP)'!$FS$112:$FS$192</c:f>
              <c:numCache>
                <c:formatCode>0.0%</c:formatCode>
                <c:ptCount val="9"/>
                <c:pt idx="0">
                  <c:v>0.000122503609357454</c:v>
                </c:pt>
                <c:pt idx="1">
                  <c:v>0.000254623864822719</c:v>
                </c:pt>
                <c:pt idx="2">
                  <c:v>0.000497548026847568</c:v>
                </c:pt>
                <c:pt idx="3">
                  <c:v>0.000628148915549218</c:v>
                </c:pt>
                <c:pt idx="4">
                  <c:v>0.00197923634675868</c:v>
                </c:pt>
                <c:pt idx="5">
                  <c:v>0.00318722648240548</c:v>
                </c:pt>
                <c:pt idx="6">
                  <c:v>0.00526058676610749</c:v>
                </c:pt>
                <c:pt idx="7">
                  <c:v>0.0143842215416056</c:v>
                </c:pt>
                <c:pt idx="8">
                  <c:v>0.0261786799847876</c:v>
                </c:pt>
              </c:numCache>
            </c:numRef>
          </c:val>
        </c:ser>
        <c:dLbls>
          <c:showLegendKey val="0"/>
          <c:showVal val="0"/>
          <c:showCatName val="0"/>
          <c:showSerName val="0"/>
          <c:showPercent val="0"/>
          <c:showBubbleSize val="0"/>
        </c:dLbls>
        <c:axId val="-2104983288"/>
        <c:axId val="-2104991112"/>
      </c:areaChart>
      <c:catAx>
        <c:axId val="-2104983288"/>
        <c:scaling>
          <c:orientation val="minMax"/>
        </c:scaling>
        <c:delete val="0"/>
        <c:axPos val="b"/>
        <c:numFmt formatCode="General" sourceLinked="0"/>
        <c:majorTickMark val="out"/>
        <c:minorTickMark val="none"/>
        <c:tickLblPos val="nextTo"/>
        <c:txPr>
          <a:bodyPr/>
          <a:lstStyle/>
          <a:p>
            <a:pPr>
              <a:defRPr sz="1600">
                <a:latin typeface="Arial"/>
                <a:cs typeface="Arial"/>
              </a:defRPr>
            </a:pPr>
            <a:endParaRPr lang="fr-FR"/>
          </a:p>
        </c:txPr>
        <c:crossAx val="-2104991112"/>
        <c:crosses val="autoZero"/>
        <c:auto val="1"/>
        <c:lblAlgn val="ctr"/>
        <c:lblOffset val="100"/>
        <c:noMultiLvlLbl val="0"/>
      </c:catAx>
      <c:valAx>
        <c:axId val="-2104991112"/>
        <c:scaling>
          <c:orientation val="minMax"/>
          <c:max val="0.045"/>
        </c:scaling>
        <c:delete val="0"/>
        <c:axPos val="l"/>
        <c:numFmt formatCode="0.0%" sourceLinked="0"/>
        <c:majorTickMark val="none"/>
        <c:minorTickMark val="none"/>
        <c:tickLblPos val="nextTo"/>
        <c:txPr>
          <a:bodyPr/>
          <a:lstStyle/>
          <a:p>
            <a:pPr>
              <a:defRPr sz="1600">
                <a:latin typeface="Arial"/>
                <a:cs typeface="Arial"/>
              </a:defRPr>
            </a:pPr>
            <a:endParaRPr lang="fr-FR"/>
          </a:p>
        </c:txPr>
        <c:crossAx val="-2104983288"/>
        <c:crosses val="autoZero"/>
        <c:crossBetween val="midCat"/>
      </c:valAx>
    </c:plotArea>
    <c:plotVisOnly val="1"/>
    <c:dispBlanksAs val="zero"/>
    <c:showDLblsOverMax val="0"/>
  </c:chart>
  <c:spPr>
    <a:ln>
      <a:noFill/>
    </a:ln>
  </c:spPr>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2000">
                <a:latin typeface="Arial"/>
                <a:cs typeface="Arial"/>
              </a:rPr>
              <a:t>Figure A.2e: Profits made abroad </a:t>
            </a:r>
            <a:r>
              <a:rPr lang="fr-FR" sz="2000" b="0">
                <a:solidFill>
                  <a:schemeClr val="tx1"/>
                </a:solidFill>
                <a:latin typeface="Arial"/>
                <a:cs typeface="Arial"/>
              </a:rPr>
              <a:t>(% of U.S. national income)</a:t>
            </a:r>
          </a:p>
          <a:p>
            <a:pPr>
              <a:defRPr/>
            </a:pPr>
            <a:r>
              <a:rPr lang="fr-FR" sz="2000" b="0">
                <a:solidFill>
                  <a:schemeClr val="tx1"/>
                </a:solidFill>
                <a:latin typeface="Arial"/>
                <a:cs typeface="Arial"/>
              </a:rPr>
              <a:t>(BoP immediate counterpart</a:t>
            </a:r>
            <a:r>
              <a:rPr lang="fr-FR" sz="2000" b="0" baseline="0">
                <a:solidFill>
                  <a:schemeClr val="tx1"/>
                </a:solidFill>
                <a:latin typeface="Arial"/>
                <a:cs typeface="Arial"/>
              </a:rPr>
              <a:t> basis)</a:t>
            </a:r>
            <a:endParaRPr lang="fr-FR" sz="2000" b="0">
              <a:solidFill>
                <a:schemeClr val="tx1"/>
              </a:solidFill>
              <a:latin typeface="Arial"/>
              <a:cs typeface="Arial"/>
            </a:endParaRPr>
          </a:p>
        </c:rich>
      </c:tx>
      <c:layout>
        <c:manualLayout>
          <c:xMode val="edge"/>
          <c:yMode val="edge"/>
          <c:x val="0.131360521314146"/>
          <c:y val="0.00225371432643318"/>
        </c:manualLayout>
      </c:layout>
      <c:overlay val="0"/>
    </c:title>
    <c:autoTitleDeleted val="0"/>
    <c:plotArea>
      <c:layout>
        <c:manualLayout>
          <c:layoutTarget val="inner"/>
          <c:xMode val="edge"/>
          <c:yMode val="edge"/>
          <c:x val="0.0631516698343741"/>
          <c:y val="0.098120419495106"/>
          <c:w val="0.92101515069237"/>
          <c:h val="0.757937435422382"/>
        </c:manualLayout>
      </c:layout>
      <c:areaChart>
        <c:grouping val="stacked"/>
        <c:varyColors val="0"/>
        <c:ser>
          <c:idx val="1"/>
          <c:order val="0"/>
          <c:spPr>
            <a:solidFill>
              <a:schemeClr val="accent1">
                <a:lumMod val="60000"/>
                <a:lumOff val="40000"/>
              </a:schemeClr>
            </a:solidFill>
            <a:ln w="9525"/>
          </c:spPr>
          <c:val>
            <c:numRef>
              <c:f>'Assets(BoP)'!$FV$21:$FV$108</c:f>
              <c:numCache>
                <c:formatCode>0%</c:formatCode>
                <c:ptCount val="88"/>
                <c:pt idx="0" formatCode="0.0%">
                  <c:v>0.00202662193315604</c:v>
                </c:pt>
                <c:pt idx="1">
                  <c:v>0.00114765720750875</c:v>
                </c:pt>
                <c:pt idx="2">
                  <c:v>0.0</c:v>
                </c:pt>
                <c:pt idx="3">
                  <c:v>0.0</c:v>
                </c:pt>
                <c:pt idx="4">
                  <c:v>0.0</c:v>
                </c:pt>
                <c:pt idx="5">
                  <c:v>0.00213169541855906</c:v>
                </c:pt>
                <c:pt idx="6">
                  <c:v>0.00374001648029538</c:v>
                </c:pt>
                <c:pt idx="7">
                  <c:v>0.00164972408762793</c:v>
                </c:pt>
                <c:pt idx="8">
                  <c:v>0.00444265073954959</c:v>
                </c:pt>
                <c:pt idx="9">
                  <c:v>0.00481870271895903</c:v>
                </c:pt>
                <c:pt idx="10">
                  <c:v>0.00449932233167493</c:v>
                </c:pt>
                <c:pt idx="11">
                  <c:v>0.00404875769753954</c:v>
                </c:pt>
                <c:pt idx="12">
                  <c:v>0.00420827163913756</c:v>
                </c:pt>
                <c:pt idx="13">
                  <c:v>0.00323893640032811</c:v>
                </c:pt>
                <c:pt idx="14">
                  <c:v>0.00263308448684067</c:v>
                </c:pt>
                <c:pt idx="15">
                  <c:v>0.00245144050428115</c:v>
                </c:pt>
                <c:pt idx="16">
                  <c:v>0.00183330073858899</c:v>
                </c:pt>
                <c:pt idx="17">
                  <c:v>0.0042717819195746</c:v>
                </c:pt>
                <c:pt idx="18">
                  <c:v>0.00560990858774283</c:v>
                </c:pt>
                <c:pt idx="19">
                  <c:v>0.00651048604691946</c:v>
                </c:pt>
                <c:pt idx="20">
                  <c:v>0.00586139443113799</c:v>
                </c:pt>
                <c:pt idx="21">
                  <c:v>0.00631676843531702</c:v>
                </c:pt>
                <c:pt idx="22">
                  <c:v>0.00699074192112294</c:v>
                </c:pt>
                <c:pt idx="23">
                  <c:v>0.00658874790881902</c:v>
                </c:pt>
                <c:pt idx="24">
                  <c:v>0.00624071972344062</c:v>
                </c:pt>
                <c:pt idx="25">
                  <c:v>0.00650623103552944</c:v>
                </c:pt>
                <c:pt idx="26">
                  <c:v>0.00716404727572322</c:v>
                </c:pt>
                <c:pt idx="27">
                  <c:v>0.00790398289576731</c:v>
                </c:pt>
                <c:pt idx="28">
                  <c:v>0.0082146067891339</c:v>
                </c:pt>
                <c:pt idx="29">
                  <c:v>0.00661978882323239</c:v>
                </c:pt>
                <c:pt idx="30">
                  <c:v>0.00687593923831715</c:v>
                </c:pt>
                <c:pt idx="31">
                  <c:v>0.00735318138596577</c:v>
                </c:pt>
                <c:pt idx="32">
                  <c:v>0.00765075186213167</c:v>
                </c:pt>
                <c:pt idx="33">
                  <c:v>0.00779392790065619</c:v>
                </c:pt>
                <c:pt idx="34">
                  <c:v>0.00784572143091837</c:v>
                </c:pt>
                <c:pt idx="35">
                  <c:v>0.00821394987882434</c:v>
                </c:pt>
                <c:pt idx="36">
                  <c:v>0.00798026287293794</c:v>
                </c:pt>
                <c:pt idx="37">
                  <c:v>0.00720422651333965</c:v>
                </c:pt>
                <c:pt idx="38">
                  <c:v>0.00712155595553305</c:v>
                </c:pt>
                <c:pt idx="39">
                  <c:v>0.00781692740611266</c:v>
                </c:pt>
                <c:pt idx="40">
                  <c:v>0.00814021144352137</c:v>
                </c:pt>
                <c:pt idx="41">
                  <c:v>0.00829180853882012</c:v>
                </c:pt>
                <c:pt idx="42">
                  <c:v>0.00871182742327406</c:v>
                </c:pt>
                <c:pt idx="43">
                  <c:v>0.00946957042543279</c:v>
                </c:pt>
                <c:pt idx="44">
                  <c:v>0.0124165481256494</c:v>
                </c:pt>
                <c:pt idx="45">
                  <c:v>0.01287556598692</c:v>
                </c:pt>
                <c:pt idx="46">
                  <c:v>0.0103560470841037</c:v>
                </c:pt>
                <c:pt idx="47">
                  <c:v>0.010755123449584</c:v>
                </c:pt>
                <c:pt idx="48">
                  <c:v>0.0108303052924334</c:v>
                </c:pt>
                <c:pt idx="49">
                  <c:v>0.0115094519252636</c:v>
                </c:pt>
                <c:pt idx="50">
                  <c:v>0.0150490797942317</c:v>
                </c:pt>
                <c:pt idx="51">
                  <c:v>0.0143131893515561</c:v>
                </c:pt>
                <c:pt idx="52">
                  <c:v>0.0109388525799035</c:v>
                </c:pt>
                <c:pt idx="53">
                  <c:v>0.00941714957045577</c:v>
                </c:pt>
                <c:pt idx="54">
                  <c:v>0.0104463781162941</c:v>
                </c:pt>
                <c:pt idx="55">
                  <c:v>0.010709955795887</c:v>
                </c:pt>
                <c:pt idx="56">
                  <c:v>0.0100304331386051</c:v>
                </c:pt>
                <c:pt idx="57">
                  <c:v>0.00975036218446754</c:v>
                </c:pt>
                <c:pt idx="58">
                  <c:v>0.0107922802784031</c:v>
                </c:pt>
                <c:pt idx="59">
                  <c:v>0.0126662265404904</c:v>
                </c:pt>
                <c:pt idx="60">
                  <c:v>0.0122561595166834</c:v>
                </c:pt>
                <c:pt idx="61">
                  <c:v>0.0119698871899099</c:v>
                </c:pt>
                <c:pt idx="62">
                  <c:v>0.0107452268635566</c:v>
                </c:pt>
                <c:pt idx="63">
                  <c:v>0.0103098180333484</c:v>
                </c:pt>
                <c:pt idx="64">
                  <c:v>0.0115745789166366</c:v>
                </c:pt>
                <c:pt idx="65">
                  <c:v>0.0117925583759932</c:v>
                </c:pt>
                <c:pt idx="66">
                  <c:v>0.0143480149866219</c:v>
                </c:pt>
                <c:pt idx="67">
                  <c:v>0.0145064980776369</c:v>
                </c:pt>
                <c:pt idx="68">
                  <c:v>0.0146729255571852</c:v>
                </c:pt>
                <c:pt idx="69">
                  <c:v>0.0121002431228975</c:v>
                </c:pt>
                <c:pt idx="70">
                  <c:v>0.0136402389371568</c:v>
                </c:pt>
                <c:pt idx="71">
                  <c:v>0.0154384746628858</c:v>
                </c:pt>
                <c:pt idx="72">
                  <c:v>0.0119461619417658</c:v>
                </c:pt>
                <c:pt idx="73">
                  <c:v>0.012540735059948</c:v>
                </c:pt>
                <c:pt idx="74">
                  <c:v>0.0147010099044657</c:v>
                </c:pt>
                <c:pt idx="75">
                  <c:v>0.0174698778944667</c:v>
                </c:pt>
                <c:pt idx="76">
                  <c:v>0.0185760836577837</c:v>
                </c:pt>
                <c:pt idx="77">
                  <c:v>0.0205536999763464</c:v>
                </c:pt>
                <c:pt idx="78">
                  <c:v>0.0220611924537152</c:v>
                </c:pt>
                <c:pt idx="79">
                  <c:v>0.0243384811746034</c:v>
                </c:pt>
                <c:pt idx="80">
                  <c:v>0.0191216891751092</c:v>
                </c:pt>
                <c:pt idx="81">
                  <c:v>0.0219543669717713</c:v>
                </c:pt>
                <c:pt idx="82">
                  <c:v>0.0230329078304477</c:v>
                </c:pt>
                <c:pt idx="83">
                  <c:v>0.0205208760500176</c:v>
                </c:pt>
                <c:pt idx="84">
                  <c:v>0.0191410226492651</c:v>
                </c:pt>
                <c:pt idx="85">
                  <c:v>0.0174655781072876</c:v>
                </c:pt>
                <c:pt idx="86">
                  <c:v>0.0149127254169484</c:v>
                </c:pt>
                <c:pt idx="87">
                  <c:v>0.0150007676800807</c:v>
                </c:pt>
              </c:numCache>
            </c:numRef>
          </c:val>
        </c:ser>
        <c:ser>
          <c:idx val="0"/>
          <c:order val="1"/>
          <c:tx>
            <c:strRef>
              <c:f>'Assets(BoP)'!$N$3</c:f>
              <c:strCache>
                <c:ptCount val="1"/>
                <c:pt idx="0">
                  <c:v>(Foreign profits inflows, % BEA profits)</c:v>
                </c:pt>
              </c:strCache>
            </c:strRef>
          </c:tx>
          <c:spPr>
            <a:solidFill>
              <a:schemeClr val="accent2">
                <a:lumMod val="60000"/>
                <a:lumOff val="40000"/>
              </a:schemeClr>
            </a:solidFill>
            <a:ln w="9525">
              <a:solidFill>
                <a:schemeClr val="tx1"/>
              </a:solidFill>
            </a:ln>
            <a:effectLst/>
          </c:spPr>
          <c:cat>
            <c:numRef>
              <c:f>'Assets(BoP)'!$B$21:$B$108</c:f>
              <c:numCache>
                <c:formatCode>General</c:formatCode>
                <c:ptCount val="88"/>
                <c:pt idx="0">
                  <c:v>1929.0</c:v>
                </c:pt>
                <c:pt idx="1">
                  <c:v>1930.0</c:v>
                </c:pt>
                <c:pt idx="2">
                  <c:v>1931.0</c:v>
                </c:pt>
                <c:pt idx="3">
                  <c:v>1932.0</c:v>
                </c:pt>
                <c:pt idx="4">
                  <c:v>1933.0</c:v>
                </c:pt>
                <c:pt idx="5">
                  <c:v>1934.0</c:v>
                </c:pt>
                <c:pt idx="6">
                  <c:v>1935.0</c:v>
                </c:pt>
                <c:pt idx="7">
                  <c:v>1936.0</c:v>
                </c:pt>
                <c:pt idx="8">
                  <c:v>1937.0</c:v>
                </c:pt>
                <c:pt idx="9">
                  <c:v>1938.0</c:v>
                </c:pt>
                <c:pt idx="10">
                  <c:v>1939.0</c:v>
                </c:pt>
                <c:pt idx="11">
                  <c:v>1940.0</c:v>
                </c:pt>
                <c:pt idx="12">
                  <c:v>1941.0</c:v>
                </c:pt>
                <c:pt idx="13">
                  <c:v>1942.0</c:v>
                </c:pt>
                <c:pt idx="14">
                  <c:v>1943.0</c:v>
                </c:pt>
                <c:pt idx="15">
                  <c:v>1944.0</c:v>
                </c:pt>
                <c:pt idx="16">
                  <c:v>1945.0</c:v>
                </c:pt>
                <c:pt idx="17">
                  <c:v>1946.0</c:v>
                </c:pt>
                <c:pt idx="18">
                  <c:v>1947.0</c:v>
                </c:pt>
                <c:pt idx="19">
                  <c:v>1948.0</c:v>
                </c:pt>
                <c:pt idx="20">
                  <c:v>1949.0</c:v>
                </c:pt>
                <c:pt idx="21">
                  <c:v>1950.0</c:v>
                </c:pt>
                <c:pt idx="22">
                  <c:v>1951.0</c:v>
                </c:pt>
                <c:pt idx="23">
                  <c:v>1952.0</c:v>
                </c:pt>
                <c:pt idx="24">
                  <c:v>1953.0</c:v>
                </c:pt>
                <c:pt idx="25">
                  <c:v>1954.0</c:v>
                </c:pt>
                <c:pt idx="26">
                  <c:v>1955.0</c:v>
                </c:pt>
                <c:pt idx="27">
                  <c:v>1956.0</c:v>
                </c:pt>
                <c:pt idx="28">
                  <c:v>1957.0</c:v>
                </c:pt>
                <c:pt idx="29">
                  <c:v>1958.0</c:v>
                </c:pt>
                <c:pt idx="30">
                  <c:v>1959.0</c:v>
                </c:pt>
                <c:pt idx="31">
                  <c:v>1960.0</c:v>
                </c:pt>
                <c:pt idx="32">
                  <c:v>1961.0</c:v>
                </c:pt>
                <c:pt idx="33">
                  <c:v>1962.0</c:v>
                </c:pt>
                <c:pt idx="34">
                  <c:v>1963.0</c:v>
                </c:pt>
                <c:pt idx="35">
                  <c:v>1964.0</c:v>
                </c:pt>
                <c:pt idx="36">
                  <c:v>1965.0</c:v>
                </c:pt>
                <c:pt idx="37">
                  <c:v>1966.0</c:v>
                </c:pt>
                <c:pt idx="38">
                  <c:v>1967.0</c:v>
                </c:pt>
                <c:pt idx="39">
                  <c:v>1968.0</c:v>
                </c:pt>
                <c:pt idx="40">
                  <c:v>1969.0</c:v>
                </c:pt>
                <c:pt idx="41">
                  <c:v>1970.0</c:v>
                </c:pt>
                <c:pt idx="42">
                  <c:v>1971.0</c:v>
                </c:pt>
                <c:pt idx="43">
                  <c:v>1972.0</c:v>
                </c:pt>
                <c:pt idx="44">
                  <c:v>1973.0</c:v>
                </c:pt>
                <c:pt idx="45">
                  <c:v>1974.0</c:v>
                </c:pt>
                <c:pt idx="46">
                  <c:v>1975.0</c:v>
                </c:pt>
                <c:pt idx="47">
                  <c:v>1976.0</c:v>
                </c:pt>
                <c:pt idx="48">
                  <c:v>1977.0</c:v>
                </c:pt>
                <c:pt idx="49">
                  <c:v>1978.0</c:v>
                </c:pt>
                <c:pt idx="50">
                  <c:v>1979.0</c:v>
                </c:pt>
                <c:pt idx="51">
                  <c:v>1980.0</c:v>
                </c:pt>
                <c:pt idx="52">
                  <c:v>1981.0</c:v>
                </c:pt>
                <c:pt idx="53">
                  <c:v>1982.0</c:v>
                </c:pt>
                <c:pt idx="54">
                  <c:v>1983.0</c:v>
                </c:pt>
                <c:pt idx="55">
                  <c:v>1984.0</c:v>
                </c:pt>
                <c:pt idx="56">
                  <c:v>1985.0</c:v>
                </c:pt>
                <c:pt idx="57">
                  <c:v>1986.0</c:v>
                </c:pt>
                <c:pt idx="58">
                  <c:v>1987.0</c:v>
                </c:pt>
                <c:pt idx="59">
                  <c:v>1988.0</c:v>
                </c:pt>
                <c:pt idx="60">
                  <c:v>1989.0</c:v>
                </c:pt>
                <c:pt idx="61">
                  <c:v>1990.0</c:v>
                </c:pt>
                <c:pt idx="62">
                  <c:v>1991.0</c:v>
                </c:pt>
                <c:pt idx="63">
                  <c:v>1992.0</c:v>
                </c:pt>
                <c:pt idx="64">
                  <c:v>1993.0</c:v>
                </c:pt>
                <c:pt idx="65">
                  <c:v>1994.0</c:v>
                </c:pt>
                <c:pt idx="66">
                  <c:v>1995.0</c:v>
                </c:pt>
                <c:pt idx="67">
                  <c:v>1996.0</c:v>
                </c:pt>
                <c:pt idx="68">
                  <c:v>1997.0</c:v>
                </c:pt>
                <c:pt idx="69">
                  <c:v>1998.0</c:v>
                </c:pt>
                <c:pt idx="70">
                  <c:v>1999.0</c:v>
                </c:pt>
                <c:pt idx="71">
                  <c:v>2000.0</c:v>
                </c:pt>
                <c:pt idx="72">
                  <c:v>2001.0</c:v>
                </c:pt>
                <c:pt idx="73">
                  <c:v>2002.0</c:v>
                </c:pt>
                <c:pt idx="74">
                  <c:v>2003.0</c:v>
                </c:pt>
                <c:pt idx="75">
                  <c:v>2004.0</c:v>
                </c:pt>
                <c:pt idx="76">
                  <c:v>2005.0</c:v>
                </c:pt>
                <c:pt idx="77">
                  <c:v>2006.0</c:v>
                </c:pt>
                <c:pt idx="78">
                  <c:v>2007.0</c:v>
                </c:pt>
                <c:pt idx="79">
                  <c:v>2008.0</c:v>
                </c:pt>
                <c:pt idx="80">
                  <c:v>2009.0</c:v>
                </c:pt>
                <c:pt idx="81">
                  <c:v>2010.0</c:v>
                </c:pt>
                <c:pt idx="82">
                  <c:v>2011.0</c:v>
                </c:pt>
                <c:pt idx="83">
                  <c:v>2012.0</c:v>
                </c:pt>
                <c:pt idx="84">
                  <c:v>2013.0</c:v>
                </c:pt>
                <c:pt idx="85">
                  <c:v>2014.0</c:v>
                </c:pt>
                <c:pt idx="86">
                  <c:v>2015.0</c:v>
                </c:pt>
                <c:pt idx="87">
                  <c:v>2016.0</c:v>
                </c:pt>
              </c:numCache>
            </c:numRef>
          </c:cat>
          <c:val>
            <c:numRef>
              <c:f>'Assets(BoP)'!$FS$21:$FS$108</c:f>
              <c:numCache>
                <c:formatCode>0%</c:formatCode>
                <c:ptCount val="88"/>
                <c:pt idx="0" formatCode="0.0%">
                  <c:v>9.6520317374748E-5</c:v>
                </c:pt>
                <c:pt idx="1">
                  <c:v>5.57122269076138E-5</c:v>
                </c:pt>
                <c:pt idx="2">
                  <c:v>0.0</c:v>
                </c:pt>
                <c:pt idx="3">
                  <c:v>0.0</c:v>
                </c:pt>
                <c:pt idx="4">
                  <c:v>0.0</c:v>
                </c:pt>
                <c:pt idx="5">
                  <c:v>0.000111344560329973</c:v>
                </c:pt>
                <c:pt idx="6">
                  <c:v>0.00019881577178988</c:v>
                </c:pt>
                <c:pt idx="7">
                  <c:v>8.9228449196949E-5</c:v>
                </c:pt>
                <c:pt idx="8">
                  <c:v>0.000244418463648642</c:v>
                </c:pt>
                <c:pt idx="9">
                  <c:v>0.00026959419813166</c:v>
                </c:pt>
                <c:pt idx="10">
                  <c:v>0.000255922423569827</c:v>
                </c:pt>
                <c:pt idx="11">
                  <c:v>0.000234077371321729</c:v>
                </c:pt>
                <c:pt idx="12">
                  <c:v>0.000247238778894151</c:v>
                </c:pt>
                <c:pt idx="13">
                  <c:v>0.000193326874454853</c:v>
                </c:pt>
                <c:pt idx="14">
                  <c:v>0.00015963800689624</c:v>
                </c:pt>
                <c:pt idx="15">
                  <c:v>0.000150932247345334</c:v>
                </c:pt>
                <c:pt idx="16">
                  <c:v>0.000114602400972536</c:v>
                </c:pt>
                <c:pt idx="17">
                  <c:v>0.000271069769679071</c:v>
                </c:pt>
                <c:pt idx="18">
                  <c:v>0.000361289164276835</c:v>
                </c:pt>
                <c:pt idx="19">
                  <c:v>0.000425458465524439</c:v>
                </c:pt>
                <c:pt idx="20">
                  <c:v>0.000388605568862005</c:v>
                </c:pt>
                <c:pt idx="21">
                  <c:v>0.000424804598390841</c:v>
                </c:pt>
                <c:pt idx="22">
                  <c:v>0.000476790546409523</c:v>
                </c:pt>
                <c:pt idx="23">
                  <c:v>0.000455662504657245</c:v>
                </c:pt>
                <c:pt idx="24">
                  <c:v>0.000437561345084345</c:v>
                </c:pt>
                <c:pt idx="25">
                  <c:v>0.000462410079453131</c:v>
                </c:pt>
                <c:pt idx="26">
                  <c:v>0.000516037470039488</c:v>
                </c:pt>
                <c:pt idx="27">
                  <c:v>0.00057693503887973</c:v>
                </c:pt>
                <c:pt idx="28">
                  <c:v>0.000607520058744015</c:v>
                </c:pt>
                <c:pt idx="29">
                  <c:v>0.000495960702384302</c:v>
                </c:pt>
                <c:pt idx="30">
                  <c:v>0.000521797924433061</c:v>
                </c:pt>
                <c:pt idx="31">
                  <c:v>0.000565134929933371</c:v>
                </c:pt>
                <c:pt idx="32">
                  <c:v>0.000595426738029233</c:v>
                </c:pt>
                <c:pt idx="33">
                  <c:v>0.000614143848222731</c:v>
                </c:pt>
                <c:pt idx="34">
                  <c:v>0.000625863461421906</c:v>
                </c:pt>
                <c:pt idx="35">
                  <c:v>0.000663248871792126</c:v>
                </c:pt>
                <c:pt idx="36">
                  <c:v>0.000652176927152928</c:v>
                </c:pt>
                <c:pt idx="37">
                  <c:v>0.000576793356050366</c:v>
                </c:pt>
                <c:pt idx="38">
                  <c:v>0.000639559540389074</c:v>
                </c:pt>
                <c:pt idx="39">
                  <c:v>0.000595523020518755</c:v>
                </c:pt>
                <c:pt idx="40">
                  <c:v>0.000753618461981687</c:v>
                </c:pt>
                <c:pt idx="41">
                  <c:v>0.000856154443841295</c:v>
                </c:pt>
                <c:pt idx="42">
                  <c:v>0.000924357434149734</c:v>
                </c:pt>
                <c:pt idx="43">
                  <c:v>0.000948951391129982</c:v>
                </c:pt>
                <c:pt idx="44">
                  <c:v>0.0015850429642472</c:v>
                </c:pt>
                <c:pt idx="45">
                  <c:v>0.0022265956950462</c:v>
                </c:pt>
                <c:pt idx="46">
                  <c:v>0.00197942255961488</c:v>
                </c:pt>
                <c:pt idx="47">
                  <c:v>0.00224958301561295</c:v>
                </c:pt>
                <c:pt idx="48">
                  <c:v>0.00234587750625458</c:v>
                </c:pt>
                <c:pt idx="49">
                  <c:v>0.00277696612488669</c:v>
                </c:pt>
                <c:pt idx="50">
                  <c:v>0.0038994123328033</c:v>
                </c:pt>
                <c:pt idx="51">
                  <c:v>0.00377647605144371</c:v>
                </c:pt>
                <c:pt idx="52">
                  <c:v>0.00302095786056527</c:v>
                </c:pt>
                <c:pt idx="53">
                  <c:v>0.00350356582174251</c:v>
                </c:pt>
                <c:pt idx="54">
                  <c:v>0.00298280012255574</c:v>
                </c:pt>
                <c:pt idx="55">
                  <c:v>0.00270467835045447</c:v>
                </c:pt>
                <c:pt idx="56">
                  <c:v>0.00267246029823326</c:v>
                </c:pt>
                <c:pt idx="57">
                  <c:v>0.00290490521327686</c:v>
                </c:pt>
                <c:pt idx="58">
                  <c:v>0.00350661271052679</c:v>
                </c:pt>
                <c:pt idx="59">
                  <c:v>0.00326825514375762</c:v>
                </c:pt>
                <c:pt idx="60">
                  <c:v>0.0035315532514986</c:v>
                </c:pt>
                <c:pt idx="61">
                  <c:v>0.00411398723672974</c:v>
                </c:pt>
                <c:pt idx="62">
                  <c:v>0.00379363663695437</c:v>
                </c:pt>
                <c:pt idx="63">
                  <c:v>0.00392732217429927</c:v>
                </c:pt>
                <c:pt idx="64">
                  <c:v>0.00389077174715708</c:v>
                </c:pt>
                <c:pt idx="65">
                  <c:v>0.00524271734792458</c:v>
                </c:pt>
                <c:pt idx="66">
                  <c:v>0.00531399597101371</c:v>
                </c:pt>
                <c:pt idx="67">
                  <c:v>0.00569815739965097</c:v>
                </c:pt>
                <c:pt idx="68">
                  <c:v>0.00639639317892669</c:v>
                </c:pt>
                <c:pt idx="69">
                  <c:v>0.00657029255729795</c:v>
                </c:pt>
                <c:pt idx="70">
                  <c:v>0.00765859341112054</c:v>
                </c:pt>
                <c:pt idx="71">
                  <c:v>0.00736381567055976</c:v>
                </c:pt>
                <c:pt idx="72">
                  <c:v>0.00801115791974152</c:v>
                </c:pt>
                <c:pt idx="73">
                  <c:v>0.00921452095904151</c:v>
                </c:pt>
                <c:pt idx="74">
                  <c:v>0.0106431639768424</c:v>
                </c:pt>
                <c:pt idx="75">
                  <c:v>0.0136564965137906</c:v>
                </c:pt>
                <c:pt idx="76">
                  <c:v>0.0155615344493</c:v>
                </c:pt>
                <c:pt idx="77">
                  <c:v>0.015581845805341</c:v>
                </c:pt>
                <c:pt idx="78">
                  <c:v>0.019362671717564</c:v>
                </c:pt>
                <c:pt idx="79">
                  <c:v>0.0224920117525438</c:v>
                </c:pt>
                <c:pt idx="80">
                  <c:v>0.0219549966513312</c:v>
                </c:pt>
                <c:pt idx="81">
                  <c:v>0.0239344041730931</c:v>
                </c:pt>
                <c:pt idx="82">
                  <c:v>0.0252209510552874</c:v>
                </c:pt>
                <c:pt idx="83">
                  <c:v>0.0257246526480957</c:v>
                </c:pt>
                <c:pt idx="84">
                  <c:v>0.0271109157645585</c:v>
                </c:pt>
                <c:pt idx="85">
                  <c:v>0.0278526997585338</c:v>
                </c:pt>
                <c:pt idx="86">
                  <c:v>0.0265813405059467</c:v>
                </c:pt>
                <c:pt idx="87">
                  <c:v>0.026825795987998</c:v>
                </c:pt>
              </c:numCache>
            </c:numRef>
          </c:val>
        </c:ser>
        <c:dLbls>
          <c:showLegendKey val="0"/>
          <c:showVal val="0"/>
          <c:showCatName val="0"/>
          <c:showSerName val="0"/>
          <c:showPercent val="0"/>
          <c:showBubbleSize val="0"/>
        </c:dLbls>
        <c:axId val="-2105052536"/>
        <c:axId val="-2105055208"/>
      </c:areaChart>
      <c:catAx>
        <c:axId val="-2105052536"/>
        <c:scaling>
          <c:orientation val="minMax"/>
        </c:scaling>
        <c:delete val="0"/>
        <c:axPos val="b"/>
        <c:numFmt formatCode="General" sourceLinked="1"/>
        <c:majorTickMark val="none"/>
        <c:minorTickMark val="none"/>
        <c:tickLblPos val="nextTo"/>
        <c:txPr>
          <a:bodyPr rot="-5400000" vert="horz"/>
          <a:lstStyle/>
          <a:p>
            <a:pPr>
              <a:defRPr sz="1600">
                <a:latin typeface="Arial"/>
                <a:cs typeface="Arial"/>
              </a:defRPr>
            </a:pPr>
            <a:endParaRPr lang="fr-FR"/>
          </a:p>
        </c:txPr>
        <c:crossAx val="-2105055208"/>
        <c:crosses val="autoZero"/>
        <c:auto val="1"/>
        <c:lblAlgn val="ctr"/>
        <c:lblOffset val="100"/>
        <c:tickLblSkip val="5"/>
        <c:tickMarkSkip val="5"/>
        <c:noMultiLvlLbl val="0"/>
      </c:catAx>
      <c:valAx>
        <c:axId val="-2105055208"/>
        <c:scaling>
          <c:orientation val="minMax"/>
          <c:max val="0.05"/>
        </c:scaling>
        <c:delete val="0"/>
        <c:axPos val="l"/>
        <c:numFmt formatCode="0%" sourceLinked="0"/>
        <c:majorTickMark val="none"/>
        <c:minorTickMark val="none"/>
        <c:tickLblPos val="nextTo"/>
        <c:txPr>
          <a:bodyPr/>
          <a:lstStyle/>
          <a:p>
            <a:pPr>
              <a:defRPr sz="1600">
                <a:latin typeface="Arial"/>
                <a:cs typeface="Arial"/>
              </a:defRPr>
            </a:pPr>
            <a:endParaRPr lang="fr-FR"/>
          </a:p>
        </c:txPr>
        <c:crossAx val="-2105052536"/>
        <c:crosses val="autoZero"/>
        <c:crossBetween val="midCat"/>
      </c:valAx>
    </c:plotArea>
    <c:plotVisOnly val="1"/>
    <c:dispBlanksAs val="gap"/>
    <c:showDLblsOverMax val="0"/>
  </c:chart>
  <c:spPr>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Haven / non haven ratio,</a:t>
            </a:r>
            <a:r>
              <a:rPr lang="en-US" baseline="0"/>
              <a:t> excl. oil</a:t>
            </a:r>
            <a:endParaRPr lang="en-US"/>
          </a:p>
        </c:rich>
      </c:tx>
      <c:overlay val="0"/>
    </c:title>
    <c:autoTitleDeleted val="0"/>
    <c:plotArea>
      <c:layout/>
      <c:lineChart>
        <c:grouping val="standard"/>
        <c:varyColors val="0"/>
        <c:ser>
          <c:idx val="0"/>
          <c:order val="0"/>
          <c:tx>
            <c:strRef>
              <c:f>T.A15!$H$7</c:f>
              <c:strCache>
                <c:ptCount val="1"/>
                <c:pt idx="0">
                  <c:v>Physical capital / wages</c:v>
                </c:pt>
              </c:strCache>
            </c:strRef>
          </c:tx>
          <c:marker>
            <c:symbol val="none"/>
          </c:marker>
          <c:cat>
            <c:numRef>
              <c:f>T.A15!$A$26:$A$60</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T.A15!$H$10:$H$60</c:f>
              <c:numCache>
                <c:formatCode>0%</c:formatCode>
                <c:ptCount val="51"/>
                <c:pt idx="0">
                  <c:v>1.141921039909016</c:v>
                </c:pt>
                <c:pt idx="1">
                  <c:v>1.141921039909016</c:v>
                </c:pt>
                <c:pt idx="2">
                  <c:v>1.141921039909016</c:v>
                </c:pt>
                <c:pt idx="3">
                  <c:v>1.141921039909016</c:v>
                </c:pt>
                <c:pt idx="4">
                  <c:v>1.141921039909016</c:v>
                </c:pt>
                <c:pt idx="5">
                  <c:v>1.141921039909016</c:v>
                </c:pt>
                <c:pt idx="6">
                  <c:v>1.141921039909016</c:v>
                </c:pt>
                <c:pt idx="7">
                  <c:v>1.141921039909016</c:v>
                </c:pt>
                <c:pt idx="8">
                  <c:v>1.141921039909016</c:v>
                </c:pt>
                <c:pt idx="9">
                  <c:v>1.141921039909016</c:v>
                </c:pt>
                <c:pt idx="10">
                  <c:v>1.141921039909016</c:v>
                </c:pt>
                <c:pt idx="11">
                  <c:v>1.524270466452064</c:v>
                </c:pt>
                <c:pt idx="12">
                  <c:v>1.141921039909016</c:v>
                </c:pt>
                <c:pt idx="13">
                  <c:v>1.141921039909016</c:v>
                </c:pt>
                <c:pt idx="14">
                  <c:v>1.141921039909016</c:v>
                </c:pt>
                <c:pt idx="15">
                  <c:v>1.141921039909016</c:v>
                </c:pt>
                <c:pt idx="16">
                  <c:v>1.141921039909016</c:v>
                </c:pt>
                <c:pt idx="17">
                  <c:v>1.290992129350475</c:v>
                </c:pt>
                <c:pt idx="18">
                  <c:v>1.322932321598252</c:v>
                </c:pt>
                <c:pt idx="19">
                  <c:v>1.361053460544735</c:v>
                </c:pt>
                <c:pt idx="20">
                  <c:v>1.304142182125236</c:v>
                </c:pt>
                <c:pt idx="21">
                  <c:v>1.171411098632213</c:v>
                </c:pt>
                <c:pt idx="22">
                  <c:v>0.935802027797569</c:v>
                </c:pt>
                <c:pt idx="23">
                  <c:v>1.004808557786162</c:v>
                </c:pt>
                <c:pt idx="24">
                  <c:v>1.090842310412897</c:v>
                </c:pt>
                <c:pt idx="25">
                  <c:v>0.992102644619941</c:v>
                </c:pt>
                <c:pt idx="26">
                  <c:v>1.274474835601935</c:v>
                </c:pt>
                <c:pt idx="27">
                  <c:v>1.279012522814114</c:v>
                </c:pt>
                <c:pt idx="28">
                  <c:v>1.147028177717521</c:v>
                </c:pt>
                <c:pt idx="29">
                  <c:v>1.17031440402825</c:v>
                </c:pt>
                <c:pt idx="30">
                  <c:v>1.083780615488347</c:v>
                </c:pt>
                <c:pt idx="31">
                  <c:v>1.113451728348615</c:v>
                </c:pt>
                <c:pt idx="32">
                  <c:v>1.016499252222943</c:v>
                </c:pt>
                <c:pt idx="33">
                  <c:v>1.18284291705575</c:v>
                </c:pt>
                <c:pt idx="34">
                  <c:v>1.358789835258283</c:v>
                </c:pt>
                <c:pt idx="35">
                  <c:v>1.50679207851014</c:v>
                </c:pt>
                <c:pt idx="36">
                  <c:v>1.569055989745007</c:v>
                </c:pt>
                <c:pt idx="37">
                  <c:v>1.453300415365882</c:v>
                </c:pt>
                <c:pt idx="38">
                  <c:v>1.289522211410294</c:v>
                </c:pt>
                <c:pt idx="39">
                  <c:v>1.44997129550637</c:v>
                </c:pt>
                <c:pt idx="40">
                  <c:v>1.463794380123811</c:v>
                </c:pt>
                <c:pt idx="41">
                  <c:v>1.394528176334423</c:v>
                </c:pt>
                <c:pt idx="42">
                  <c:v>1.581779914203794</c:v>
                </c:pt>
                <c:pt idx="43">
                  <c:v>1.570159498502237</c:v>
                </c:pt>
                <c:pt idx="44">
                  <c:v>1.62117252432571</c:v>
                </c:pt>
                <c:pt idx="45">
                  <c:v>1.660219043701444</c:v>
                </c:pt>
                <c:pt idx="46">
                  <c:v>1.654069236214475</c:v>
                </c:pt>
                <c:pt idx="47">
                  <c:v>1.628681000114525</c:v>
                </c:pt>
                <c:pt idx="48">
                  <c:v>1.709359839833452</c:v>
                </c:pt>
                <c:pt idx="49">
                  <c:v>1.774452925900165</c:v>
                </c:pt>
                <c:pt idx="50">
                  <c:v>1.83969067506492</c:v>
                </c:pt>
              </c:numCache>
            </c:numRef>
          </c:val>
          <c:smooth val="0"/>
        </c:ser>
        <c:ser>
          <c:idx val="1"/>
          <c:order val="1"/>
          <c:tx>
            <c:strRef>
              <c:f>T.A15!$I$7</c:f>
              <c:strCache>
                <c:ptCount val="1"/>
                <c:pt idx="0">
                  <c:v>Operating surplus / Physical K</c:v>
                </c:pt>
              </c:strCache>
            </c:strRef>
          </c:tx>
          <c:marker>
            <c:symbol val="none"/>
          </c:marker>
          <c:cat>
            <c:numRef>
              <c:f>T.A15!$A$26:$A$60</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T.A15!$I$10:$I$60</c:f>
              <c:numCache>
                <c:formatCode>0%</c:formatCode>
                <c:ptCount val="51"/>
                <c:pt idx="0">
                  <c:v>0.890315566818063</c:v>
                </c:pt>
                <c:pt idx="1">
                  <c:v>1.054702710399563</c:v>
                </c:pt>
                <c:pt idx="2">
                  <c:v>1.026792030482463</c:v>
                </c:pt>
                <c:pt idx="3">
                  <c:v>1.047939489842526</c:v>
                </c:pt>
                <c:pt idx="4">
                  <c:v>1.487806565821296</c:v>
                </c:pt>
                <c:pt idx="5">
                  <c:v>1.535491099142209</c:v>
                </c:pt>
                <c:pt idx="6">
                  <c:v>1.482799081403814</c:v>
                </c:pt>
                <c:pt idx="7">
                  <c:v>1.367168190370945</c:v>
                </c:pt>
                <c:pt idx="8">
                  <c:v>1.485144520326327</c:v>
                </c:pt>
                <c:pt idx="9">
                  <c:v>1.395112895195203</c:v>
                </c:pt>
                <c:pt idx="10">
                  <c:v>1.419356312421219</c:v>
                </c:pt>
                <c:pt idx="11">
                  <c:v>1.213581668966847</c:v>
                </c:pt>
                <c:pt idx="12">
                  <c:v>1.604395122472887</c:v>
                </c:pt>
                <c:pt idx="13">
                  <c:v>1.903171187412339</c:v>
                </c:pt>
                <c:pt idx="14">
                  <c:v>1.953834344660061</c:v>
                </c:pt>
                <c:pt idx="15">
                  <c:v>1.737974510790052</c:v>
                </c:pt>
                <c:pt idx="16">
                  <c:v>2.091579174996087</c:v>
                </c:pt>
                <c:pt idx="17">
                  <c:v>1.65093489890333</c:v>
                </c:pt>
                <c:pt idx="18">
                  <c:v>1.557144915805119</c:v>
                </c:pt>
                <c:pt idx="19">
                  <c:v>1.714821645708584</c:v>
                </c:pt>
                <c:pt idx="20">
                  <c:v>1.282835499109694</c:v>
                </c:pt>
                <c:pt idx="21">
                  <c:v>2.003757471155792</c:v>
                </c:pt>
                <c:pt idx="22">
                  <c:v>1.75206791386543</c:v>
                </c:pt>
                <c:pt idx="23">
                  <c:v>2.28078445689451</c:v>
                </c:pt>
                <c:pt idx="24">
                  <c:v>2.913564547767201</c:v>
                </c:pt>
                <c:pt idx="25">
                  <c:v>3.355177790726508</c:v>
                </c:pt>
                <c:pt idx="26">
                  <c:v>2.431875256538891</c:v>
                </c:pt>
                <c:pt idx="27">
                  <c:v>2.363523577043723</c:v>
                </c:pt>
                <c:pt idx="28">
                  <c:v>2.391234839127979</c:v>
                </c:pt>
                <c:pt idx="29">
                  <c:v>2.488810257709124</c:v>
                </c:pt>
                <c:pt idx="30">
                  <c:v>2.555200814030546</c:v>
                </c:pt>
                <c:pt idx="31">
                  <c:v>3.011812887402544</c:v>
                </c:pt>
                <c:pt idx="32">
                  <c:v>3.881457712450373</c:v>
                </c:pt>
                <c:pt idx="33">
                  <c:v>3.05280036057094</c:v>
                </c:pt>
                <c:pt idx="34">
                  <c:v>3.979662702435763</c:v>
                </c:pt>
                <c:pt idx="35">
                  <c:v>4.103095174572204</c:v>
                </c:pt>
                <c:pt idx="36">
                  <c:v>3.880012743583195</c:v>
                </c:pt>
                <c:pt idx="37">
                  <c:v>3.807600453523762</c:v>
                </c:pt>
                <c:pt idx="38">
                  <c:v>4.64495467299318</c:v>
                </c:pt>
                <c:pt idx="39">
                  <c:v>3.265523459683023</c:v>
                </c:pt>
                <c:pt idx="40">
                  <c:v>3.828160667625712</c:v>
                </c:pt>
                <c:pt idx="41">
                  <c:v>3.684193055866404</c:v>
                </c:pt>
                <c:pt idx="42">
                  <c:v>2.821115938332188</c:v>
                </c:pt>
                <c:pt idx="43">
                  <c:v>3.490040940225086</c:v>
                </c:pt>
                <c:pt idx="44">
                  <c:v>3.094907324956196</c:v>
                </c:pt>
                <c:pt idx="45">
                  <c:v>3.121286340994114</c:v>
                </c:pt>
                <c:pt idx="46">
                  <c:v>3.451364143247657</c:v>
                </c:pt>
                <c:pt idx="47">
                  <c:v>3.310274891726114</c:v>
                </c:pt>
                <c:pt idx="48">
                  <c:v>3.182364513950894</c:v>
                </c:pt>
                <c:pt idx="49">
                  <c:v>3.99647484571818</c:v>
                </c:pt>
                <c:pt idx="50">
                  <c:v>4.553861739477262</c:v>
                </c:pt>
              </c:numCache>
            </c:numRef>
          </c:val>
          <c:smooth val="0"/>
        </c:ser>
        <c:ser>
          <c:idx val="2"/>
          <c:order val="2"/>
          <c:tx>
            <c:strRef>
              <c:f>T.A15!$L$7</c:f>
              <c:strCache>
                <c:ptCount val="1"/>
                <c:pt idx="0">
                  <c:v>Interest payments adjustment</c:v>
                </c:pt>
              </c:strCache>
            </c:strRef>
          </c:tx>
          <c:marker>
            <c:symbol val="none"/>
          </c:marker>
          <c:cat>
            <c:numRef>
              <c:f>T.A15!$A$26:$A$60</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T.A15!$L$10:$L$60</c:f>
              <c:numCache>
                <c:formatCode>0%</c:formatCode>
                <c:ptCount val="51"/>
                <c:pt idx="0">
                  <c:v>1.040405652248646</c:v>
                </c:pt>
                <c:pt idx="1">
                  <c:v>1.029034516930885</c:v>
                </c:pt>
                <c:pt idx="2">
                  <c:v>1.071868715396691</c:v>
                </c:pt>
                <c:pt idx="3">
                  <c:v>1.076168825817107</c:v>
                </c:pt>
                <c:pt idx="4">
                  <c:v>0.991172416514603</c:v>
                </c:pt>
                <c:pt idx="5">
                  <c:v>1.012829329464224</c:v>
                </c:pt>
                <c:pt idx="6">
                  <c:v>1.044520030128135</c:v>
                </c:pt>
                <c:pt idx="7">
                  <c:v>1.1480759638212</c:v>
                </c:pt>
                <c:pt idx="8">
                  <c:v>1.230402039266774</c:v>
                </c:pt>
                <c:pt idx="9">
                  <c:v>1.286208419396435</c:v>
                </c:pt>
                <c:pt idx="10">
                  <c:v>1.26856162571305</c:v>
                </c:pt>
                <c:pt idx="11">
                  <c:v>1.286648597720759</c:v>
                </c:pt>
                <c:pt idx="12">
                  <c:v>1.434246512879619</c:v>
                </c:pt>
                <c:pt idx="13">
                  <c:v>1.489238761672351</c:v>
                </c:pt>
                <c:pt idx="14">
                  <c:v>1.657559240364233</c:v>
                </c:pt>
                <c:pt idx="15">
                  <c:v>2.022184768889074</c:v>
                </c:pt>
                <c:pt idx="16">
                  <c:v>2.287743754483862</c:v>
                </c:pt>
                <c:pt idx="17">
                  <c:v>2.128101850401807</c:v>
                </c:pt>
                <c:pt idx="18">
                  <c:v>1.991328020271698</c:v>
                </c:pt>
                <c:pt idx="19">
                  <c:v>1.935081797935922</c:v>
                </c:pt>
                <c:pt idx="20">
                  <c:v>1.949704477856148</c:v>
                </c:pt>
                <c:pt idx="21">
                  <c:v>1.491121328563845</c:v>
                </c:pt>
                <c:pt idx="22">
                  <c:v>1.56244186043284</c:v>
                </c:pt>
                <c:pt idx="23">
                  <c:v>1.372716644475505</c:v>
                </c:pt>
                <c:pt idx="24">
                  <c:v>1.276418818839804</c:v>
                </c:pt>
                <c:pt idx="25">
                  <c:v>1.275134803752769</c:v>
                </c:pt>
                <c:pt idx="26">
                  <c:v>1.285882590275352</c:v>
                </c:pt>
                <c:pt idx="27">
                  <c:v>1.23289335337403</c:v>
                </c:pt>
                <c:pt idx="28">
                  <c:v>1.178968178516285</c:v>
                </c:pt>
                <c:pt idx="29">
                  <c:v>1.191852294238307</c:v>
                </c:pt>
                <c:pt idx="30">
                  <c:v>1.210350441998091</c:v>
                </c:pt>
                <c:pt idx="31">
                  <c:v>1.213735108514238</c:v>
                </c:pt>
                <c:pt idx="32">
                  <c:v>1.18598962441305</c:v>
                </c:pt>
                <c:pt idx="33">
                  <c:v>1.206779060019164</c:v>
                </c:pt>
                <c:pt idx="34">
                  <c:v>0.982026312418623</c:v>
                </c:pt>
                <c:pt idx="35">
                  <c:v>1.024484695625317</c:v>
                </c:pt>
                <c:pt idx="36">
                  <c:v>0.954190541543157</c:v>
                </c:pt>
                <c:pt idx="37">
                  <c:v>0.982219834659577</c:v>
                </c:pt>
                <c:pt idx="38">
                  <c:v>1.046401944193509</c:v>
                </c:pt>
                <c:pt idx="39">
                  <c:v>1.080684076971157</c:v>
                </c:pt>
                <c:pt idx="40">
                  <c:v>1.008708009540699</c:v>
                </c:pt>
                <c:pt idx="41">
                  <c:v>1.111678987418927</c:v>
                </c:pt>
                <c:pt idx="42">
                  <c:v>1.143763808419891</c:v>
                </c:pt>
                <c:pt idx="43">
                  <c:v>1.10670744337076</c:v>
                </c:pt>
                <c:pt idx="44">
                  <c:v>1.028511877223475</c:v>
                </c:pt>
                <c:pt idx="45">
                  <c:v>1.096672990050738</c:v>
                </c:pt>
                <c:pt idx="46">
                  <c:v>1.106814063921906</c:v>
                </c:pt>
                <c:pt idx="47">
                  <c:v>1.097114165392889</c:v>
                </c:pt>
                <c:pt idx="48">
                  <c:v>1.13970870921869</c:v>
                </c:pt>
                <c:pt idx="49">
                  <c:v>1.094039880789263</c:v>
                </c:pt>
                <c:pt idx="50">
                  <c:v>1.057210381336946</c:v>
                </c:pt>
              </c:numCache>
            </c:numRef>
          </c:val>
          <c:smooth val="0"/>
        </c:ser>
        <c:dLbls>
          <c:showLegendKey val="0"/>
          <c:showVal val="0"/>
          <c:showCatName val="0"/>
          <c:showSerName val="0"/>
          <c:showPercent val="0"/>
          <c:showBubbleSize val="0"/>
        </c:dLbls>
        <c:marker val="1"/>
        <c:smooth val="0"/>
        <c:axId val="-2112907256"/>
        <c:axId val="-2112904216"/>
      </c:lineChart>
      <c:catAx>
        <c:axId val="-2112907256"/>
        <c:scaling>
          <c:orientation val="minMax"/>
        </c:scaling>
        <c:delete val="0"/>
        <c:axPos val="b"/>
        <c:numFmt formatCode="General" sourceLinked="1"/>
        <c:majorTickMark val="out"/>
        <c:minorTickMark val="none"/>
        <c:tickLblPos val="nextTo"/>
        <c:crossAx val="-2112904216"/>
        <c:crosses val="autoZero"/>
        <c:auto val="1"/>
        <c:lblAlgn val="ctr"/>
        <c:lblOffset val="100"/>
        <c:noMultiLvlLbl val="0"/>
      </c:catAx>
      <c:valAx>
        <c:axId val="-2112904216"/>
        <c:scaling>
          <c:orientation val="minMax"/>
        </c:scaling>
        <c:delete val="0"/>
        <c:axPos val="l"/>
        <c:majorGridlines/>
        <c:numFmt formatCode="0%" sourceLinked="1"/>
        <c:majorTickMark val="out"/>
        <c:minorTickMark val="none"/>
        <c:tickLblPos val="nextTo"/>
        <c:crossAx val="-2112907256"/>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2000">
                <a:latin typeface="Arial"/>
                <a:cs typeface="Arial"/>
              </a:rPr>
              <a:t>Figure A.2f: Profits made in tax havens </a:t>
            </a:r>
            <a:r>
              <a:rPr lang="fr-FR" sz="2000" b="0">
                <a:solidFill>
                  <a:schemeClr val="tx1"/>
                </a:solidFill>
                <a:latin typeface="Arial"/>
                <a:cs typeface="Arial"/>
              </a:rPr>
              <a:t>(% of U.S. national income)</a:t>
            </a:r>
            <a:r>
              <a:rPr lang="fr-FR" sz="2000" b="0" baseline="0">
                <a:solidFill>
                  <a:schemeClr val="tx1"/>
                </a:solidFill>
                <a:latin typeface="Arial"/>
                <a:cs typeface="Arial"/>
              </a:rPr>
              <a:t> </a:t>
            </a:r>
            <a:r>
              <a:rPr lang="fr-FR" sz="2000" b="0">
                <a:solidFill>
                  <a:schemeClr val="tx1"/>
                </a:solidFill>
                <a:latin typeface="Arial"/>
                <a:cs typeface="Arial"/>
              </a:rPr>
              <a:t>(BoP immediate counterpart basis)</a:t>
            </a:r>
          </a:p>
        </c:rich>
      </c:tx>
      <c:layout>
        <c:manualLayout>
          <c:xMode val="edge"/>
          <c:yMode val="edge"/>
          <c:x val="0.144197230518599"/>
          <c:y val="0.00225371432643318"/>
        </c:manualLayout>
      </c:layout>
      <c:overlay val="0"/>
    </c:title>
    <c:autoTitleDeleted val="0"/>
    <c:plotArea>
      <c:layout>
        <c:manualLayout>
          <c:layoutTarget val="inner"/>
          <c:xMode val="edge"/>
          <c:yMode val="edge"/>
          <c:x val="0.0631516698343741"/>
          <c:y val="0.098120419495106"/>
          <c:w val="0.92101515069237"/>
          <c:h val="0.757937435422382"/>
        </c:manualLayout>
      </c:layout>
      <c:areaChart>
        <c:grouping val="stacked"/>
        <c:varyColors val="0"/>
        <c:ser>
          <c:idx val="0"/>
          <c:order val="0"/>
          <c:tx>
            <c:strRef>
              <c:f>'Assets(BoP)'!$N$3</c:f>
              <c:strCache>
                <c:ptCount val="1"/>
                <c:pt idx="0">
                  <c:v>(Foreign profits inflows, % BEA profits)</c:v>
                </c:pt>
              </c:strCache>
            </c:strRef>
          </c:tx>
          <c:spPr>
            <a:solidFill>
              <a:schemeClr val="accent2">
                <a:lumMod val="60000"/>
                <a:lumOff val="40000"/>
              </a:schemeClr>
            </a:solidFill>
            <a:ln w="9525">
              <a:solidFill>
                <a:schemeClr val="tx1"/>
              </a:solidFill>
            </a:ln>
            <a:effectLst/>
          </c:spPr>
          <c:cat>
            <c:numRef>
              <c:f>'Assets(BoP)'!$B$21:$B$108</c:f>
              <c:numCache>
                <c:formatCode>General</c:formatCode>
                <c:ptCount val="88"/>
                <c:pt idx="0">
                  <c:v>1929.0</c:v>
                </c:pt>
                <c:pt idx="1">
                  <c:v>1930.0</c:v>
                </c:pt>
                <c:pt idx="2">
                  <c:v>1931.0</c:v>
                </c:pt>
                <c:pt idx="3">
                  <c:v>1932.0</c:v>
                </c:pt>
                <c:pt idx="4">
                  <c:v>1933.0</c:v>
                </c:pt>
                <c:pt idx="5">
                  <c:v>1934.0</c:v>
                </c:pt>
                <c:pt idx="6">
                  <c:v>1935.0</c:v>
                </c:pt>
                <c:pt idx="7">
                  <c:v>1936.0</c:v>
                </c:pt>
                <c:pt idx="8">
                  <c:v>1937.0</c:v>
                </c:pt>
                <c:pt idx="9">
                  <c:v>1938.0</c:v>
                </c:pt>
                <c:pt idx="10">
                  <c:v>1939.0</c:v>
                </c:pt>
                <c:pt idx="11">
                  <c:v>1940.0</c:v>
                </c:pt>
                <c:pt idx="12">
                  <c:v>1941.0</c:v>
                </c:pt>
                <c:pt idx="13">
                  <c:v>1942.0</c:v>
                </c:pt>
                <c:pt idx="14">
                  <c:v>1943.0</c:v>
                </c:pt>
                <c:pt idx="15">
                  <c:v>1944.0</c:v>
                </c:pt>
                <c:pt idx="16">
                  <c:v>1945.0</c:v>
                </c:pt>
                <c:pt idx="17">
                  <c:v>1946.0</c:v>
                </c:pt>
                <c:pt idx="18">
                  <c:v>1947.0</c:v>
                </c:pt>
                <c:pt idx="19">
                  <c:v>1948.0</c:v>
                </c:pt>
                <c:pt idx="20">
                  <c:v>1949.0</c:v>
                </c:pt>
                <c:pt idx="21">
                  <c:v>1950.0</c:v>
                </c:pt>
                <c:pt idx="22">
                  <c:v>1951.0</c:v>
                </c:pt>
                <c:pt idx="23">
                  <c:v>1952.0</c:v>
                </c:pt>
                <c:pt idx="24">
                  <c:v>1953.0</c:v>
                </c:pt>
                <c:pt idx="25">
                  <c:v>1954.0</c:v>
                </c:pt>
                <c:pt idx="26">
                  <c:v>1955.0</c:v>
                </c:pt>
                <c:pt idx="27">
                  <c:v>1956.0</c:v>
                </c:pt>
                <c:pt idx="28">
                  <c:v>1957.0</c:v>
                </c:pt>
                <c:pt idx="29">
                  <c:v>1958.0</c:v>
                </c:pt>
                <c:pt idx="30">
                  <c:v>1959.0</c:v>
                </c:pt>
                <c:pt idx="31">
                  <c:v>1960.0</c:v>
                </c:pt>
                <c:pt idx="32">
                  <c:v>1961.0</c:v>
                </c:pt>
                <c:pt idx="33">
                  <c:v>1962.0</c:v>
                </c:pt>
                <c:pt idx="34">
                  <c:v>1963.0</c:v>
                </c:pt>
                <c:pt idx="35">
                  <c:v>1964.0</c:v>
                </c:pt>
                <c:pt idx="36">
                  <c:v>1965.0</c:v>
                </c:pt>
                <c:pt idx="37">
                  <c:v>1966.0</c:v>
                </c:pt>
                <c:pt idx="38">
                  <c:v>1967.0</c:v>
                </c:pt>
                <c:pt idx="39">
                  <c:v>1968.0</c:v>
                </c:pt>
                <c:pt idx="40">
                  <c:v>1969.0</c:v>
                </c:pt>
                <c:pt idx="41">
                  <c:v>1970.0</c:v>
                </c:pt>
                <c:pt idx="42">
                  <c:v>1971.0</c:v>
                </c:pt>
                <c:pt idx="43">
                  <c:v>1972.0</c:v>
                </c:pt>
                <c:pt idx="44">
                  <c:v>1973.0</c:v>
                </c:pt>
                <c:pt idx="45">
                  <c:v>1974.0</c:v>
                </c:pt>
                <c:pt idx="46">
                  <c:v>1975.0</c:v>
                </c:pt>
                <c:pt idx="47">
                  <c:v>1976.0</c:v>
                </c:pt>
                <c:pt idx="48">
                  <c:v>1977.0</c:v>
                </c:pt>
                <c:pt idx="49">
                  <c:v>1978.0</c:v>
                </c:pt>
                <c:pt idx="50">
                  <c:v>1979.0</c:v>
                </c:pt>
                <c:pt idx="51">
                  <c:v>1980.0</c:v>
                </c:pt>
                <c:pt idx="52">
                  <c:v>1981.0</c:v>
                </c:pt>
                <c:pt idx="53">
                  <c:v>1982.0</c:v>
                </c:pt>
                <c:pt idx="54">
                  <c:v>1983.0</c:v>
                </c:pt>
                <c:pt idx="55">
                  <c:v>1984.0</c:v>
                </c:pt>
                <c:pt idx="56">
                  <c:v>1985.0</c:v>
                </c:pt>
                <c:pt idx="57">
                  <c:v>1986.0</c:v>
                </c:pt>
                <c:pt idx="58">
                  <c:v>1987.0</c:v>
                </c:pt>
                <c:pt idx="59">
                  <c:v>1988.0</c:v>
                </c:pt>
                <c:pt idx="60">
                  <c:v>1989.0</c:v>
                </c:pt>
                <c:pt idx="61">
                  <c:v>1990.0</c:v>
                </c:pt>
                <c:pt idx="62">
                  <c:v>1991.0</c:v>
                </c:pt>
                <c:pt idx="63">
                  <c:v>1992.0</c:v>
                </c:pt>
                <c:pt idx="64">
                  <c:v>1993.0</c:v>
                </c:pt>
                <c:pt idx="65">
                  <c:v>1994.0</c:v>
                </c:pt>
                <c:pt idx="66">
                  <c:v>1995.0</c:v>
                </c:pt>
                <c:pt idx="67">
                  <c:v>1996.0</c:v>
                </c:pt>
                <c:pt idx="68">
                  <c:v>1997.0</c:v>
                </c:pt>
                <c:pt idx="69">
                  <c:v>1998.0</c:v>
                </c:pt>
                <c:pt idx="70">
                  <c:v>1999.0</c:v>
                </c:pt>
                <c:pt idx="71">
                  <c:v>2000.0</c:v>
                </c:pt>
                <c:pt idx="72">
                  <c:v>2001.0</c:v>
                </c:pt>
                <c:pt idx="73">
                  <c:v>2002.0</c:v>
                </c:pt>
                <c:pt idx="74">
                  <c:v>2003.0</c:v>
                </c:pt>
                <c:pt idx="75">
                  <c:v>2004.0</c:v>
                </c:pt>
                <c:pt idx="76">
                  <c:v>2005.0</c:v>
                </c:pt>
                <c:pt idx="77">
                  <c:v>2006.0</c:v>
                </c:pt>
                <c:pt idx="78">
                  <c:v>2007.0</c:v>
                </c:pt>
                <c:pt idx="79">
                  <c:v>2008.0</c:v>
                </c:pt>
                <c:pt idx="80">
                  <c:v>2009.0</c:v>
                </c:pt>
                <c:pt idx="81">
                  <c:v>2010.0</c:v>
                </c:pt>
                <c:pt idx="82">
                  <c:v>2011.0</c:v>
                </c:pt>
                <c:pt idx="83">
                  <c:v>2012.0</c:v>
                </c:pt>
                <c:pt idx="84">
                  <c:v>2013.0</c:v>
                </c:pt>
                <c:pt idx="85">
                  <c:v>2014.0</c:v>
                </c:pt>
                <c:pt idx="86">
                  <c:v>2015.0</c:v>
                </c:pt>
                <c:pt idx="87">
                  <c:v>2016.0</c:v>
                </c:pt>
              </c:numCache>
            </c:numRef>
          </c:cat>
          <c:val>
            <c:numRef>
              <c:f>'Assets(BoP)'!$FS$21:$FS$108</c:f>
              <c:numCache>
                <c:formatCode>0%</c:formatCode>
                <c:ptCount val="88"/>
                <c:pt idx="0" formatCode="0.0%">
                  <c:v>9.6520317374748E-5</c:v>
                </c:pt>
                <c:pt idx="1">
                  <c:v>5.57122269076138E-5</c:v>
                </c:pt>
                <c:pt idx="2">
                  <c:v>0.0</c:v>
                </c:pt>
                <c:pt idx="3">
                  <c:v>0.0</c:v>
                </c:pt>
                <c:pt idx="4">
                  <c:v>0.0</c:v>
                </c:pt>
                <c:pt idx="5">
                  <c:v>0.000111344560329973</c:v>
                </c:pt>
                <c:pt idx="6">
                  <c:v>0.00019881577178988</c:v>
                </c:pt>
                <c:pt idx="7">
                  <c:v>8.9228449196949E-5</c:v>
                </c:pt>
                <c:pt idx="8">
                  <c:v>0.000244418463648642</c:v>
                </c:pt>
                <c:pt idx="9">
                  <c:v>0.00026959419813166</c:v>
                </c:pt>
                <c:pt idx="10">
                  <c:v>0.000255922423569827</c:v>
                </c:pt>
                <c:pt idx="11">
                  <c:v>0.000234077371321729</c:v>
                </c:pt>
                <c:pt idx="12">
                  <c:v>0.000247238778894151</c:v>
                </c:pt>
                <c:pt idx="13">
                  <c:v>0.000193326874454853</c:v>
                </c:pt>
                <c:pt idx="14">
                  <c:v>0.00015963800689624</c:v>
                </c:pt>
                <c:pt idx="15">
                  <c:v>0.000150932247345334</c:v>
                </c:pt>
                <c:pt idx="16">
                  <c:v>0.000114602400972536</c:v>
                </c:pt>
                <c:pt idx="17">
                  <c:v>0.000271069769679071</c:v>
                </c:pt>
                <c:pt idx="18">
                  <c:v>0.000361289164276835</c:v>
                </c:pt>
                <c:pt idx="19">
                  <c:v>0.000425458465524439</c:v>
                </c:pt>
                <c:pt idx="20">
                  <c:v>0.000388605568862005</c:v>
                </c:pt>
                <c:pt idx="21">
                  <c:v>0.000424804598390841</c:v>
                </c:pt>
                <c:pt idx="22">
                  <c:v>0.000476790546409523</c:v>
                </c:pt>
                <c:pt idx="23">
                  <c:v>0.000455662504657245</c:v>
                </c:pt>
                <c:pt idx="24">
                  <c:v>0.000437561345084345</c:v>
                </c:pt>
                <c:pt idx="25">
                  <c:v>0.000462410079453131</c:v>
                </c:pt>
                <c:pt idx="26">
                  <c:v>0.000516037470039488</c:v>
                </c:pt>
                <c:pt idx="27">
                  <c:v>0.00057693503887973</c:v>
                </c:pt>
                <c:pt idx="28">
                  <c:v>0.000607520058744015</c:v>
                </c:pt>
                <c:pt idx="29">
                  <c:v>0.000495960702384302</c:v>
                </c:pt>
                <c:pt idx="30">
                  <c:v>0.000521797924433061</c:v>
                </c:pt>
                <c:pt idx="31">
                  <c:v>0.000565134929933371</c:v>
                </c:pt>
                <c:pt idx="32">
                  <c:v>0.000595426738029233</c:v>
                </c:pt>
                <c:pt idx="33">
                  <c:v>0.000614143848222731</c:v>
                </c:pt>
                <c:pt idx="34">
                  <c:v>0.000625863461421906</c:v>
                </c:pt>
                <c:pt idx="35">
                  <c:v>0.000663248871792126</c:v>
                </c:pt>
                <c:pt idx="36">
                  <c:v>0.000652176927152928</c:v>
                </c:pt>
                <c:pt idx="37">
                  <c:v>0.000576793356050366</c:v>
                </c:pt>
                <c:pt idx="38">
                  <c:v>0.000639559540389074</c:v>
                </c:pt>
                <c:pt idx="39">
                  <c:v>0.000595523020518755</c:v>
                </c:pt>
                <c:pt idx="40">
                  <c:v>0.000753618461981687</c:v>
                </c:pt>
                <c:pt idx="41">
                  <c:v>0.000856154443841295</c:v>
                </c:pt>
                <c:pt idx="42">
                  <c:v>0.000924357434149734</c:v>
                </c:pt>
                <c:pt idx="43">
                  <c:v>0.000948951391129982</c:v>
                </c:pt>
                <c:pt idx="44">
                  <c:v>0.0015850429642472</c:v>
                </c:pt>
                <c:pt idx="45">
                  <c:v>0.0022265956950462</c:v>
                </c:pt>
                <c:pt idx="46">
                  <c:v>0.00197942255961488</c:v>
                </c:pt>
                <c:pt idx="47">
                  <c:v>0.00224958301561295</c:v>
                </c:pt>
                <c:pt idx="48">
                  <c:v>0.00234587750625458</c:v>
                </c:pt>
                <c:pt idx="49">
                  <c:v>0.00277696612488669</c:v>
                </c:pt>
                <c:pt idx="50">
                  <c:v>0.0038994123328033</c:v>
                </c:pt>
                <c:pt idx="51">
                  <c:v>0.00377647605144371</c:v>
                </c:pt>
                <c:pt idx="52">
                  <c:v>0.00302095786056527</c:v>
                </c:pt>
                <c:pt idx="53">
                  <c:v>0.00350356582174251</c:v>
                </c:pt>
                <c:pt idx="54">
                  <c:v>0.00298280012255574</c:v>
                </c:pt>
                <c:pt idx="55">
                  <c:v>0.00270467835045447</c:v>
                </c:pt>
                <c:pt idx="56">
                  <c:v>0.00267246029823326</c:v>
                </c:pt>
                <c:pt idx="57">
                  <c:v>0.00290490521327686</c:v>
                </c:pt>
                <c:pt idx="58">
                  <c:v>0.00350661271052679</c:v>
                </c:pt>
                <c:pt idx="59">
                  <c:v>0.00326825514375762</c:v>
                </c:pt>
                <c:pt idx="60">
                  <c:v>0.0035315532514986</c:v>
                </c:pt>
                <c:pt idx="61">
                  <c:v>0.00411398723672974</c:v>
                </c:pt>
                <c:pt idx="62">
                  <c:v>0.00379363663695437</c:v>
                </c:pt>
                <c:pt idx="63">
                  <c:v>0.00392732217429927</c:v>
                </c:pt>
                <c:pt idx="64">
                  <c:v>0.00389077174715708</c:v>
                </c:pt>
                <c:pt idx="65">
                  <c:v>0.00524271734792458</c:v>
                </c:pt>
                <c:pt idx="66">
                  <c:v>0.00531399597101371</c:v>
                </c:pt>
                <c:pt idx="67">
                  <c:v>0.00569815739965097</c:v>
                </c:pt>
                <c:pt idx="68">
                  <c:v>0.00639639317892669</c:v>
                </c:pt>
                <c:pt idx="69">
                  <c:v>0.00657029255729795</c:v>
                </c:pt>
                <c:pt idx="70">
                  <c:v>0.00765859341112054</c:v>
                </c:pt>
                <c:pt idx="71">
                  <c:v>0.00736381567055976</c:v>
                </c:pt>
                <c:pt idx="72">
                  <c:v>0.00801115791974152</c:v>
                </c:pt>
                <c:pt idx="73">
                  <c:v>0.00921452095904151</c:v>
                </c:pt>
                <c:pt idx="74">
                  <c:v>0.0106431639768424</c:v>
                </c:pt>
                <c:pt idx="75">
                  <c:v>0.0136564965137906</c:v>
                </c:pt>
                <c:pt idx="76">
                  <c:v>0.0155615344493</c:v>
                </c:pt>
                <c:pt idx="77">
                  <c:v>0.015581845805341</c:v>
                </c:pt>
                <c:pt idx="78">
                  <c:v>0.019362671717564</c:v>
                </c:pt>
                <c:pt idx="79">
                  <c:v>0.0224920117525438</c:v>
                </c:pt>
                <c:pt idx="80">
                  <c:v>0.0219549966513312</c:v>
                </c:pt>
                <c:pt idx="81">
                  <c:v>0.0239344041730931</c:v>
                </c:pt>
                <c:pt idx="82">
                  <c:v>0.0252209510552874</c:v>
                </c:pt>
                <c:pt idx="83">
                  <c:v>0.0257246526480957</c:v>
                </c:pt>
                <c:pt idx="84">
                  <c:v>0.0271109157645585</c:v>
                </c:pt>
                <c:pt idx="85">
                  <c:v>0.0278526997585338</c:v>
                </c:pt>
                <c:pt idx="86">
                  <c:v>0.0265813405059467</c:v>
                </c:pt>
                <c:pt idx="87">
                  <c:v>0.026825795987998</c:v>
                </c:pt>
              </c:numCache>
            </c:numRef>
          </c:val>
        </c:ser>
        <c:dLbls>
          <c:showLegendKey val="0"/>
          <c:showVal val="0"/>
          <c:showCatName val="0"/>
          <c:showSerName val="0"/>
          <c:showPercent val="0"/>
          <c:showBubbleSize val="0"/>
        </c:dLbls>
        <c:axId val="-2105118376"/>
        <c:axId val="-2105127400"/>
      </c:areaChart>
      <c:catAx>
        <c:axId val="-2105118376"/>
        <c:scaling>
          <c:orientation val="minMax"/>
        </c:scaling>
        <c:delete val="0"/>
        <c:axPos val="b"/>
        <c:numFmt formatCode="General" sourceLinked="1"/>
        <c:majorTickMark val="none"/>
        <c:minorTickMark val="none"/>
        <c:tickLblPos val="nextTo"/>
        <c:txPr>
          <a:bodyPr rot="-5400000" vert="horz"/>
          <a:lstStyle/>
          <a:p>
            <a:pPr>
              <a:defRPr sz="1600">
                <a:latin typeface="Arial"/>
                <a:cs typeface="Arial"/>
              </a:defRPr>
            </a:pPr>
            <a:endParaRPr lang="fr-FR"/>
          </a:p>
        </c:txPr>
        <c:crossAx val="-2105127400"/>
        <c:crosses val="autoZero"/>
        <c:auto val="1"/>
        <c:lblAlgn val="ctr"/>
        <c:lblOffset val="100"/>
        <c:tickLblSkip val="5"/>
        <c:tickMarkSkip val="5"/>
        <c:noMultiLvlLbl val="0"/>
      </c:catAx>
      <c:valAx>
        <c:axId val="-2105127400"/>
        <c:scaling>
          <c:orientation val="minMax"/>
          <c:max val="0.03"/>
        </c:scaling>
        <c:delete val="0"/>
        <c:axPos val="l"/>
        <c:numFmt formatCode="0.0%" sourceLinked="0"/>
        <c:majorTickMark val="none"/>
        <c:minorTickMark val="none"/>
        <c:tickLblPos val="nextTo"/>
        <c:txPr>
          <a:bodyPr/>
          <a:lstStyle/>
          <a:p>
            <a:pPr>
              <a:defRPr sz="1600">
                <a:latin typeface="Arial"/>
                <a:cs typeface="Arial"/>
              </a:defRPr>
            </a:pPr>
            <a:endParaRPr lang="fr-FR"/>
          </a:p>
        </c:txPr>
        <c:crossAx val="-2105118376"/>
        <c:crosses val="autoZero"/>
        <c:crossBetween val="midCat"/>
      </c:valAx>
    </c:plotArea>
    <c:plotVisOnly val="1"/>
    <c:dispBlanksAs val="gap"/>
    <c:showDLblsOverMax val="0"/>
  </c:chart>
  <c:spPr>
    <a:ln>
      <a:noFill/>
    </a:ln>
  </c:spPr>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defRPr/>
            </a:pPr>
            <a:r>
              <a:rPr lang="fr-FR" sz="1800"/>
              <a:t>Figure A.3: The share of tax havens in U.S. profits made </a:t>
            </a:r>
            <a:r>
              <a:rPr lang="fr-FR" sz="1800" baseline="0"/>
              <a:t>abroad</a:t>
            </a:r>
          </a:p>
          <a:p>
            <a:pPr>
              <a:defRPr/>
            </a:pPr>
            <a:r>
              <a:rPr lang="fr-FR" sz="1800" b="0" baseline="0"/>
              <a:t>(BoP immediate counterpart basis) </a:t>
            </a:r>
          </a:p>
        </c:rich>
      </c:tx>
      <c:layout>
        <c:manualLayout>
          <c:xMode val="edge"/>
          <c:yMode val="edge"/>
          <c:x val="0.170102850936736"/>
          <c:y val="2.15555634731179E-5"/>
        </c:manualLayout>
      </c:layout>
      <c:overlay val="0"/>
    </c:title>
    <c:autoTitleDeleted val="0"/>
    <c:plotArea>
      <c:layout>
        <c:manualLayout>
          <c:layoutTarget val="inner"/>
          <c:xMode val="edge"/>
          <c:yMode val="edge"/>
          <c:x val="0.110164648384469"/>
          <c:y val="0.0815345423451028"/>
          <c:w val="0.873569372793918"/>
          <c:h val="0.743434394510712"/>
        </c:manualLayout>
      </c:layout>
      <c:areaChart>
        <c:grouping val="stacked"/>
        <c:varyColors val="0"/>
        <c:ser>
          <c:idx val="1"/>
          <c:order val="0"/>
          <c:tx>
            <c:strRef>
              <c:f>'Assets(BoP)'!$DV$3</c:f>
              <c:strCache>
                <c:ptCount val="1"/>
                <c:pt idx="0">
                  <c:v>Ireland</c:v>
                </c:pt>
              </c:strCache>
            </c:strRef>
          </c:tx>
          <c:spPr>
            <a:solidFill>
              <a:schemeClr val="tx1">
                <a:lumMod val="65000"/>
                <a:lumOff val="35000"/>
              </a:schemeClr>
            </a:solidFill>
            <a:ln w="12700">
              <a:solidFill>
                <a:schemeClr val="tx1"/>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'Assets(BoP)'!$FG$58:$FG$108</c:f>
              <c:numCache>
                <c:formatCode>0%</c:formatCode>
                <c:ptCount val="51"/>
                <c:pt idx="0">
                  <c:v>0.00286752055056394</c:v>
                </c:pt>
                <c:pt idx="1">
                  <c:v>0.00344078232524448</c:v>
                </c:pt>
                <c:pt idx="2">
                  <c:v>0.00370027752081406</c:v>
                </c:pt>
                <c:pt idx="3">
                  <c:v>0.00467601870407482</c:v>
                </c:pt>
                <c:pt idx="4">
                  <c:v>0.00299139972578836</c:v>
                </c:pt>
                <c:pt idx="5">
                  <c:v>0.00233281493001555</c:v>
                </c:pt>
                <c:pt idx="6">
                  <c:v>0.00361111111111111</c:v>
                </c:pt>
                <c:pt idx="7">
                  <c:v>0.00406479403021295</c:v>
                </c:pt>
                <c:pt idx="8">
                  <c:v>0.00517187336746421</c:v>
                </c:pt>
                <c:pt idx="9">
                  <c:v>0.00877299865968076</c:v>
                </c:pt>
                <c:pt idx="10">
                  <c:v>0.00956485179735127</c:v>
                </c:pt>
                <c:pt idx="11">
                  <c:v>0.00743804770578676</c:v>
                </c:pt>
                <c:pt idx="12">
                  <c:v>0.012921587087027</c:v>
                </c:pt>
                <c:pt idx="13">
                  <c:v>0.0106068012891925</c:v>
                </c:pt>
                <c:pt idx="14">
                  <c:v>0.0107221880851271</c:v>
                </c:pt>
                <c:pt idx="15">
                  <c:v>0.0178103835968222</c:v>
                </c:pt>
                <c:pt idx="16">
                  <c:v>0.0156618274842366</c:v>
                </c:pt>
                <c:pt idx="17">
                  <c:v>0.0166209027157218</c:v>
                </c:pt>
                <c:pt idx="18">
                  <c:v>0.0151208802744739</c:v>
                </c:pt>
                <c:pt idx="19">
                  <c:v>0.0216061971896116</c:v>
                </c:pt>
                <c:pt idx="20">
                  <c:v>0.0227975216169878</c:v>
                </c:pt>
                <c:pt idx="21">
                  <c:v>0.0248107823730028</c:v>
                </c:pt>
                <c:pt idx="22">
                  <c:v>0.0219580107905719</c:v>
                </c:pt>
                <c:pt idx="23">
                  <c:v>0.023937083601441</c:v>
                </c:pt>
                <c:pt idx="24">
                  <c:v>0.0252447612290447</c:v>
                </c:pt>
                <c:pt idx="25">
                  <c:v>0.0309414722781236</c:v>
                </c:pt>
                <c:pt idx="26">
                  <c:v>0.0372059290475047</c:v>
                </c:pt>
                <c:pt idx="27">
                  <c:v>0.0307512973569695</c:v>
                </c:pt>
                <c:pt idx="28">
                  <c:v>0.0240117548888013</c:v>
                </c:pt>
                <c:pt idx="29">
                  <c:v>0.0265325629962281</c:v>
                </c:pt>
                <c:pt idx="30">
                  <c:v>0.0225774991670273</c:v>
                </c:pt>
                <c:pt idx="31">
                  <c:v>0.0236319631525083</c:v>
                </c:pt>
                <c:pt idx="32">
                  <c:v>0.0521377900718755</c:v>
                </c:pt>
                <c:pt idx="33">
                  <c:v>0.0379154098181365</c:v>
                </c:pt>
                <c:pt idx="34">
                  <c:v>0.0437754027683347</c:v>
                </c:pt>
                <c:pt idx="35">
                  <c:v>0.0488928490526503</c:v>
                </c:pt>
                <c:pt idx="36">
                  <c:v>0.0524292127740562</c:v>
                </c:pt>
                <c:pt idx="37">
                  <c:v>0.0570242724928408</c:v>
                </c:pt>
                <c:pt idx="38">
                  <c:v>0.0637568874292157</c:v>
                </c:pt>
                <c:pt idx="39">
                  <c:v>0.0649581956106681</c:v>
                </c:pt>
                <c:pt idx="40">
                  <c:v>0.0596498680392686</c:v>
                </c:pt>
                <c:pt idx="41">
                  <c:v>0.0637743011833688</c:v>
                </c:pt>
                <c:pt idx="42">
                  <c:v>0.0782966066355401</c:v>
                </c:pt>
                <c:pt idx="43">
                  <c:v>0.0739169508023918</c:v>
                </c:pt>
                <c:pt idx="44">
                  <c:v>0.0649511875512961</c:v>
                </c:pt>
                <c:pt idx="45">
                  <c:v>0.0711110380150007</c:v>
                </c:pt>
                <c:pt idx="46">
                  <c:v>0.0902143257977844</c:v>
                </c:pt>
                <c:pt idx="47">
                  <c:v>0.0806328079880408</c:v>
                </c:pt>
                <c:pt idx="48">
                  <c:v>0.0998275132137063</c:v>
                </c:pt>
                <c:pt idx="49">
                  <c:v>0.130340743684621</c:v>
                </c:pt>
                <c:pt idx="50">
                  <c:v>0.127354053130009</c:v>
                </c:pt>
              </c:numCache>
            </c:numRef>
          </c:val>
        </c:ser>
        <c:ser>
          <c:idx val="5"/>
          <c:order val="1"/>
          <c:tx>
            <c:strRef>
              <c:f>'Assets(BoP)'!$DW$3</c:f>
              <c:strCache>
                <c:ptCount val="1"/>
                <c:pt idx="0">
                  <c:v>Netherlands</c:v>
                </c:pt>
              </c:strCache>
            </c:strRef>
          </c:tx>
          <c:spPr>
            <a:solidFill>
              <a:schemeClr val="bg1">
                <a:lumMod val="65000"/>
              </a:schemeClr>
            </a:solidFill>
            <a:ln w="12700">
              <a:solidFill>
                <a:schemeClr val="tx1"/>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'Assets(BoP)'!$FH$58:$FH$108</c:f>
              <c:numCache>
                <c:formatCode>0%</c:formatCode>
                <c:ptCount val="51"/>
                <c:pt idx="0">
                  <c:v>0.00936723379850889</c:v>
                </c:pt>
                <c:pt idx="1">
                  <c:v>0.012676566461427</c:v>
                </c:pt>
                <c:pt idx="2">
                  <c:v>0.00832562442183164</c:v>
                </c:pt>
                <c:pt idx="3">
                  <c:v>0.00841683366733467</c:v>
                </c:pt>
                <c:pt idx="4">
                  <c:v>0.0224354979434127</c:v>
                </c:pt>
                <c:pt idx="5">
                  <c:v>0.0196622972672739</c:v>
                </c:pt>
                <c:pt idx="6">
                  <c:v>0.0143518518518518</c:v>
                </c:pt>
                <c:pt idx="7">
                  <c:v>0.025056118425044</c:v>
                </c:pt>
                <c:pt idx="8">
                  <c:v>0.0393375822798036</c:v>
                </c:pt>
                <c:pt idx="9">
                  <c:v>0.0328987449738028</c:v>
                </c:pt>
                <c:pt idx="10">
                  <c:v>0.0348959428211057</c:v>
                </c:pt>
                <c:pt idx="11">
                  <c:v>0.0546165217253485</c:v>
                </c:pt>
                <c:pt idx="12">
                  <c:v>0.0475823222607188</c:v>
                </c:pt>
                <c:pt idx="13">
                  <c:v>0.0516714198823635</c:v>
                </c:pt>
                <c:pt idx="14">
                  <c:v>0.0506842207187258</c:v>
                </c:pt>
                <c:pt idx="15">
                  <c:v>0.0378587211534545</c:v>
                </c:pt>
                <c:pt idx="16">
                  <c:v>0.0414109691314241</c:v>
                </c:pt>
                <c:pt idx="17">
                  <c:v>0.0491670159013098</c:v>
                </c:pt>
                <c:pt idx="18">
                  <c:v>0.0383993269808042</c:v>
                </c:pt>
                <c:pt idx="19">
                  <c:v>0.0501577079477959</c:v>
                </c:pt>
                <c:pt idx="20">
                  <c:v>0.0718367294606203</c:v>
                </c:pt>
                <c:pt idx="21">
                  <c:v>0.0715465051399742</c:v>
                </c:pt>
                <c:pt idx="22">
                  <c:v>0.0560865826912847</c:v>
                </c:pt>
                <c:pt idx="23">
                  <c:v>0.0573210700810032</c:v>
                </c:pt>
                <c:pt idx="24">
                  <c:v>0.0756226460088724</c:v>
                </c:pt>
                <c:pt idx="25">
                  <c:v>0.0745792566927289</c:v>
                </c:pt>
                <c:pt idx="26">
                  <c:v>0.0648721276011724</c:v>
                </c:pt>
                <c:pt idx="27">
                  <c:v>0.043989027117088</c:v>
                </c:pt>
                <c:pt idx="28">
                  <c:v>0.0872056846957192</c:v>
                </c:pt>
                <c:pt idx="29">
                  <c:v>0.0882297750045143</c:v>
                </c:pt>
                <c:pt idx="30">
                  <c:v>0.106242039933411</c:v>
                </c:pt>
                <c:pt idx="31">
                  <c:v>0.113480130462796</c:v>
                </c:pt>
                <c:pt idx="32">
                  <c:v>0.112888585614671</c:v>
                </c:pt>
                <c:pt idx="33">
                  <c:v>0.122460495917741</c:v>
                </c:pt>
                <c:pt idx="34">
                  <c:v>0.104780996471436</c:v>
                </c:pt>
                <c:pt idx="35">
                  <c:v>0.104334228272027</c:v>
                </c:pt>
                <c:pt idx="36">
                  <c:v>0.0977898344599407</c:v>
                </c:pt>
                <c:pt idx="37">
                  <c:v>0.103791980431508</c:v>
                </c:pt>
                <c:pt idx="38">
                  <c:v>0.135276989648396</c:v>
                </c:pt>
                <c:pt idx="39">
                  <c:v>0.126051076830943</c:v>
                </c:pt>
                <c:pt idx="40">
                  <c:v>0.118553907193576</c:v>
                </c:pt>
                <c:pt idx="41">
                  <c:v>0.12753000545925</c:v>
                </c:pt>
                <c:pt idx="42">
                  <c:v>0.123375019191472</c:v>
                </c:pt>
                <c:pt idx="43">
                  <c:v>0.166979853332252</c:v>
                </c:pt>
                <c:pt idx="44">
                  <c:v>0.159400213849743</c:v>
                </c:pt>
                <c:pt idx="45">
                  <c:v>0.17289802088942</c:v>
                </c:pt>
                <c:pt idx="46">
                  <c:v>0.172931343504439</c:v>
                </c:pt>
                <c:pt idx="47">
                  <c:v>0.176388457732409</c:v>
                </c:pt>
                <c:pt idx="48">
                  <c:v>0.156407179318899</c:v>
                </c:pt>
                <c:pt idx="49">
                  <c:v>0.154143165260361</c:v>
                </c:pt>
                <c:pt idx="50">
                  <c:v>0.160846945444347</c:v>
                </c:pt>
              </c:numCache>
            </c:numRef>
          </c:val>
        </c:ser>
        <c:ser>
          <c:idx val="2"/>
          <c:order val="2"/>
          <c:tx>
            <c:strRef>
              <c:f>'Assets(BoP)'!$DX$3</c:f>
              <c:strCache>
                <c:ptCount val="1"/>
                <c:pt idx="0">
                  <c:v>Luxembourg</c:v>
                </c:pt>
              </c:strCache>
            </c:strRef>
          </c:tx>
          <c:spPr>
            <a:solidFill>
              <a:schemeClr val="bg1">
                <a:lumMod val="85000"/>
              </a:schemeClr>
            </a:solidFill>
            <a:ln w="12700">
              <a:solidFill>
                <a:schemeClr val="tx1"/>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'Assets(BoP)'!$FI$58:$FI$108</c:f>
              <c:numCache>
                <c:formatCode>0%</c:formatCode>
                <c:ptCount val="51"/>
                <c:pt idx="0">
                  <c:v>-0.000191168036704263</c:v>
                </c:pt>
                <c:pt idx="1">
                  <c:v>0.000181093806591814</c:v>
                </c:pt>
                <c:pt idx="2">
                  <c:v>0.000925069380203515</c:v>
                </c:pt>
                <c:pt idx="3">
                  <c:v>0.00347361389445558</c:v>
                </c:pt>
                <c:pt idx="4">
                  <c:v>0.00373924965723545</c:v>
                </c:pt>
                <c:pt idx="5">
                  <c:v>0.0046656298600311</c:v>
                </c:pt>
                <c:pt idx="6">
                  <c:v>0.00296296296296296</c:v>
                </c:pt>
                <c:pt idx="7">
                  <c:v>0.0052174968149002</c:v>
                </c:pt>
                <c:pt idx="8">
                  <c:v>0.0044404973357016</c:v>
                </c:pt>
                <c:pt idx="9">
                  <c:v>0.00396003411721701</c:v>
                </c:pt>
                <c:pt idx="10">
                  <c:v>0.0039415598066008</c:v>
                </c:pt>
                <c:pt idx="11">
                  <c:v>0.00318773473105147</c:v>
                </c:pt>
                <c:pt idx="12">
                  <c:v>0.00390085647910248</c:v>
                </c:pt>
                <c:pt idx="13">
                  <c:v>0.000854956275199395</c:v>
                </c:pt>
                <c:pt idx="14">
                  <c:v>0.00221555417065126</c:v>
                </c:pt>
                <c:pt idx="15">
                  <c:v>0.00279744244976265</c:v>
                </c:pt>
                <c:pt idx="16">
                  <c:v>0.00595028566601082</c:v>
                </c:pt>
                <c:pt idx="17">
                  <c:v>0.00539774147934904</c:v>
                </c:pt>
                <c:pt idx="18">
                  <c:v>0.00341551716742189</c:v>
                </c:pt>
                <c:pt idx="19">
                  <c:v>0.0021162274096636</c:v>
                </c:pt>
                <c:pt idx="20">
                  <c:v>0.00339861227741901</c:v>
                </c:pt>
                <c:pt idx="21">
                  <c:v>0.00219860252706552</c:v>
                </c:pt>
                <c:pt idx="22">
                  <c:v>0.00164445946426909</c:v>
                </c:pt>
                <c:pt idx="23">
                  <c:v>0.0031642515059159</c:v>
                </c:pt>
                <c:pt idx="24">
                  <c:v>0.00285035955137514</c:v>
                </c:pt>
                <c:pt idx="25">
                  <c:v>0.00352130663988661</c:v>
                </c:pt>
                <c:pt idx="26">
                  <c:v>0.00391084081680041</c:v>
                </c:pt>
                <c:pt idx="27">
                  <c:v>0.00678513570018716</c:v>
                </c:pt>
                <c:pt idx="28">
                  <c:v>0.0183502078251775</c:v>
                </c:pt>
                <c:pt idx="29">
                  <c:v>0.0154736488075528</c:v>
                </c:pt>
                <c:pt idx="30">
                  <c:v>0.0166511121201956</c:v>
                </c:pt>
                <c:pt idx="31">
                  <c:v>0.0150793096312723</c:v>
                </c:pt>
                <c:pt idx="32">
                  <c:v>0.0189006330383957</c:v>
                </c:pt>
                <c:pt idx="33">
                  <c:v>0.0317383905411347</c:v>
                </c:pt>
                <c:pt idx="34">
                  <c:v>0.0225581927899388</c:v>
                </c:pt>
                <c:pt idx="35">
                  <c:v>0.0440597641052057</c:v>
                </c:pt>
                <c:pt idx="36">
                  <c:v>0.0591143053338036</c:v>
                </c:pt>
                <c:pt idx="37">
                  <c:v>0.0553331355913132</c:v>
                </c:pt>
                <c:pt idx="38">
                  <c:v>0.0368568369247174</c:v>
                </c:pt>
                <c:pt idx="39">
                  <c:v>0.0445511634836356</c:v>
                </c:pt>
                <c:pt idx="40">
                  <c:v>0.0569908973459658</c:v>
                </c:pt>
                <c:pt idx="41">
                  <c:v>0.056795374189899</c:v>
                </c:pt>
                <c:pt idx="42">
                  <c:v>0.0522846604052145</c:v>
                </c:pt>
                <c:pt idx="43">
                  <c:v>0.0590972285826801</c:v>
                </c:pt>
                <c:pt idx="44">
                  <c:v>0.0759994191428761</c:v>
                </c:pt>
                <c:pt idx="45">
                  <c:v>0.0525683656399817</c:v>
                </c:pt>
                <c:pt idx="46">
                  <c:v>0.0656352897136557</c:v>
                </c:pt>
                <c:pt idx="47">
                  <c:v>0.0818321181211963</c:v>
                </c:pt>
                <c:pt idx="48">
                  <c:v>0.0865220023025447</c:v>
                </c:pt>
                <c:pt idx="49">
                  <c:v>0.0813138130722863</c:v>
                </c:pt>
                <c:pt idx="50">
                  <c:v>0.0803455657558082</c:v>
                </c:pt>
              </c:numCache>
            </c:numRef>
          </c:val>
        </c:ser>
        <c:ser>
          <c:idx val="4"/>
          <c:order val="3"/>
          <c:tx>
            <c:strRef>
              <c:f>'Assets(BoP)'!$DY$3</c:f>
              <c:strCache>
                <c:ptCount val="1"/>
                <c:pt idx="0">
                  <c:v>Switzerland</c:v>
                </c:pt>
              </c:strCache>
            </c:strRef>
          </c:tx>
          <c:spPr>
            <a:pattFill prst="pct10">
              <a:fgClr>
                <a:schemeClr val="tx1"/>
              </a:fgClr>
              <a:bgClr>
                <a:prstClr val="white"/>
              </a:bgClr>
            </a:pattFill>
            <a:ln w="12700">
              <a:solidFill>
                <a:schemeClr val="tx1"/>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'Assets(BoP)'!$FJ$58:$FJ$108</c:f>
              <c:numCache>
                <c:formatCode>0%</c:formatCode>
                <c:ptCount val="51"/>
                <c:pt idx="0">
                  <c:v>0.0338367424966546</c:v>
                </c:pt>
                <c:pt idx="1">
                  <c:v>0.0385729808040565</c:v>
                </c:pt>
                <c:pt idx="2">
                  <c:v>0.0288313290163429</c:v>
                </c:pt>
                <c:pt idx="3">
                  <c:v>0.0418169672678691</c:v>
                </c:pt>
                <c:pt idx="4">
                  <c:v>0.0415056711953135</c:v>
                </c:pt>
                <c:pt idx="5">
                  <c:v>0.043990224394579</c:v>
                </c:pt>
                <c:pt idx="6">
                  <c:v>0.0432407407407407</c:v>
                </c:pt>
                <c:pt idx="7">
                  <c:v>0.0472608141721774</c:v>
                </c:pt>
                <c:pt idx="8">
                  <c:v>0.0537038971894264</c:v>
                </c:pt>
                <c:pt idx="9">
                  <c:v>0.0519678323382478</c:v>
                </c:pt>
                <c:pt idx="10">
                  <c:v>0.045932310279588</c:v>
                </c:pt>
                <c:pt idx="11">
                  <c:v>0.0542446193400591</c:v>
                </c:pt>
                <c:pt idx="12">
                  <c:v>0.0553840352189238</c:v>
                </c:pt>
                <c:pt idx="13">
                  <c:v>0.0531141585967624</c:v>
                </c:pt>
                <c:pt idx="14">
                  <c:v>0.0510124509662297</c:v>
                </c:pt>
                <c:pt idx="15">
                  <c:v>0.0589327876083331</c:v>
                </c:pt>
                <c:pt idx="16">
                  <c:v>0.054207305980218</c:v>
                </c:pt>
                <c:pt idx="17">
                  <c:v>0.0459067524348344</c:v>
                </c:pt>
                <c:pt idx="18">
                  <c:v>0.0475454778689272</c:v>
                </c:pt>
                <c:pt idx="19">
                  <c:v>0.0471554422406893</c:v>
                </c:pt>
                <c:pt idx="20">
                  <c:v>0.0504075947166287</c:v>
                </c:pt>
                <c:pt idx="21">
                  <c:v>0.0646316810863529</c:v>
                </c:pt>
                <c:pt idx="22">
                  <c:v>0.0521350490820077</c:v>
                </c:pt>
                <c:pt idx="23">
                  <c:v>0.0721511604044083</c:v>
                </c:pt>
                <c:pt idx="24">
                  <c:v>0.0796397525152844</c:v>
                </c:pt>
                <c:pt idx="25">
                  <c:v>0.0647218267674582</c:v>
                </c:pt>
                <c:pt idx="26">
                  <c:v>0.0549706840387423</c:v>
                </c:pt>
                <c:pt idx="27">
                  <c:v>0.073899647515908</c:v>
                </c:pt>
                <c:pt idx="28">
                  <c:v>0.0663703316646597</c:v>
                </c:pt>
                <c:pt idx="29">
                  <c:v>0.0489564976812072</c:v>
                </c:pt>
                <c:pt idx="30">
                  <c:v>0.048164839471909</c:v>
                </c:pt>
                <c:pt idx="31">
                  <c:v>0.0497509214800733</c:v>
                </c:pt>
                <c:pt idx="32">
                  <c:v>0.0698856097910637</c:v>
                </c:pt>
                <c:pt idx="33">
                  <c:v>0.0592110162115452</c:v>
                </c:pt>
                <c:pt idx="34">
                  <c:v>0.03733609133688</c:v>
                </c:pt>
                <c:pt idx="35">
                  <c:v>0.0612494741072685</c:v>
                </c:pt>
                <c:pt idx="36">
                  <c:v>0.0900120012284533</c:v>
                </c:pt>
                <c:pt idx="37">
                  <c:v>0.0784757873165505</c:v>
                </c:pt>
                <c:pt idx="38">
                  <c:v>0.0646322591801868</c:v>
                </c:pt>
                <c:pt idx="39">
                  <c:v>0.0573292268277184</c:v>
                </c:pt>
                <c:pt idx="40">
                  <c:v>0.0474107301898425</c:v>
                </c:pt>
                <c:pt idx="41">
                  <c:v>0.0420087151266194</c:v>
                </c:pt>
                <c:pt idx="42">
                  <c:v>0.0504602548700313</c:v>
                </c:pt>
                <c:pt idx="43">
                  <c:v>0.0504379791973528</c:v>
                </c:pt>
                <c:pt idx="44">
                  <c:v>0.0459170390676891</c:v>
                </c:pt>
                <c:pt idx="45">
                  <c:v>0.0433590755429844</c:v>
                </c:pt>
                <c:pt idx="46">
                  <c:v>0.0436084341517269</c:v>
                </c:pt>
                <c:pt idx="47">
                  <c:v>0.0538709939816141</c:v>
                </c:pt>
                <c:pt idx="48">
                  <c:v>0.0505006712699971</c:v>
                </c:pt>
                <c:pt idx="49">
                  <c:v>0.0639379409216661</c:v>
                </c:pt>
                <c:pt idx="50">
                  <c:v>0.0662172336573256</c:v>
                </c:pt>
              </c:numCache>
            </c:numRef>
          </c:val>
        </c:ser>
        <c:ser>
          <c:idx val="6"/>
          <c:order val="4"/>
          <c:tx>
            <c:strRef>
              <c:f>'Assets(BoP)'!$DZ$3</c:f>
              <c:strCache>
                <c:ptCount val="1"/>
                <c:pt idx="0">
                  <c:v>Bermuda &amp; other Caribbean</c:v>
                </c:pt>
              </c:strCache>
            </c:strRef>
          </c:tx>
          <c:spPr>
            <a:solidFill>
              <a:schemeClr val="bg1"/>
            </a:solidFill>
            <a:ln w="12700">
              <a:solidFill>
                <a:schemeClr val="tx1"/>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'Assets(BoP)'!$FK$58:$FK$108</c:f>
              <c:numCache>
                <c:formatCode>0%</c:formatCode>
                <c:ptCount val="51"/>
                <c:pt idx="0">
                  <c:v>0.0280567492881027</c:v>
                </c:pt>
                <c:pt idx="1">
                  <c:v>0.0271720097697973</c:v>
                </c:pt>
                <c:pt idx="2">
                  <c:v>0.0285458371669427</c:v>
                </c:pt>
                <c:pt idx="3">
                  <c:v>0.0252827380101147</c:v>
                </c:pt>
                <c:pt idx="4">
                  <c:v>0.0215467503235275</c:v>
                </c:pt>
                <c:pt idx="5">
                  <c:v>0.0242749200607754</c:v>
                </c:pt>
                <c:pt idx="6">
                  <c:v>0.0237682973423621</c:v>
                </c:pt>
                <c:pt idx="7">
                  <c:v>0.0269944543995264</c:v>
                </c:pt>
                <c:pt idx="8">
                  <c:v>0.0384605332707238</c:v>
                </c:pt>
                <c:pt idx="9">
                  <c:v>0.0550071713263066</c:v>
                </c:pt>
                <c:pt idx="10">
                  <c:v>0.0729191566436556</c:v>
                </c:pt>
                <c:pt idx="11">
                  <c:v>0.0533988070580868</c:v>
                </c:pt>
                <c:pt idx="12">
                  <c:v>0.0680878244858675</c:v>
                </c:pt>
                <c:pt idx="13">
                  <c:v>0.0832107568744692</c:v>
                </c:pt>
                <c:pt idx="14">
                  <c:v>0.0850488335315582</c:v>
                </c:pt>
                <c:pt idx="15">
                  <c:v>0.0840227381133154</c:v>
                </c:pt>
                <c:pt idx="16">
                  <c:v>0.13557036926073</c:v>
                </c:pt>
                <c:pt idx="17">
                  <c:v>0.0866681807858278</c:v>
                </c:pt>
                <c:pt idx="18">
                  <c:v>0.0808952245188881</c:v>
                </c:pt>
                <c:pt idx="19">
                  <c:v>0.0752039449652989</c:v>
                </c:pt>
                <c:pt idx="20">
                  <c:v>0.0642934417122306</c:v>
                </c:pt>
                <c:pt idx="21">
                  <c:v>0.0633299477997969</c:v>
                </c:pt>
                <c:pt idx="22">
                  <c:v>0.0568039131168125</c:v>
                </c:pt>
                <c:pt idx="23">
                  <c:v>0.0526606645736682</c:v>
                </c:pt>
                <c:pt idx="24">
                  <c:v>0.0515696286016343</c:v>
                </c:pt>
                <c:pt idx="25">
                  <c:v>0.0641515053814233</c:v>
                </c:pt>
                <c:pt idx="26">
                  <c:v>0.0833916272508836</c:v>
                </c:pt>
                <c:pt idx="27">
                  <c:v>0.0625746372197387</c:v>
                </c:pt>
                <c:pt idx="28">
                  <c:v>0.0798636308061432</c:v>
                </c:pt>
                <c:pt idx="29">
                  <c:v>0.0618373042850877</c:v>
                </c:pt>
                <c:pt idx="30">
                  <c:v>0.0583270667534601</c:v>
                </c:pt>
                <c:pt idx="31">
                  <c:v>0.0681674454452918</c:v>
                </c:pt>
                <c:pt idx="32">
                  <c:v>0.078018834412018</c:v>
                </c:pt>
                <c:pt idx="33">
                  <c:v>0.0851080978937724</c:v>
                </c:pt>
                <c:pt idx="34">
                  <c:v>0.0838092409429366</c:v>
                </c:pt>
                <c:pt idx="35">
                  <c:v>0.112087130642389</c:v>
                </c:pt>
                <c:pt idx="36">
                  <c:v>0.0873712927074736</c:v>
                </c:pt>
                <c:pt idx="37">
                  <c:v>0.08831977269754</c:v>
                </c:pt>
                <c:pt idx="38">
                  <c:v>0.0999103455506115</c:v>
                </c:pt>
                <c:pt idx="39">
                  <c:v>0.104442968786113</c:v>
                </c:pt>
                <c:pt idx="40">
                  <c:v>0.0964636759545455</c:v>
                </c:pt>
                <c:pt idx="41">
                  <c:v>0.12174803909814</c:v>
                </c:pt>
                <c:pt idx="42">
                  <c:v>0.131109054363461</c:v>
                </c:pt>
                <c:pt idx="43">
                  <c:v>0.153080640530388</c:v>
                </c:pt>
                <c:pt idx="44">
                  <c:v>0.136161937957397</c:v>
                </c:pt>
                <c:pt idx="45">
                  <c:v>0.134160861413192</c:v>
                </c:pt>
                <c:pt idx="46">
                  <c:v>0.134226829197782</c:v>
                </c:pt>
                <c:pt idx="47">
                  <c:v>0.133387454425749</c:v>
                </c:pt>
                <c:pt idx="48">
                  <c:v>0.150793785227986</c:v>
                </c:pt>
                <c:pt idx="49">
                  <c:v>0.148190458482277</c:v>
                </c:pt>
                <c:pt idx="50">
                  <c:v>0.149161359543001</c:v>
                </c:pt>
              </c:numCache>
            </c:numRef>
          </c:val>
        </c:ser>
        <c:ser>
          <c:idx val="0"/>
          <c:order val="5"/>
          <c:tx>
            <c:strRef>
              <c:f>'Assets(BoP)'!$EC$3</c:f>
              <c:strCache>
                <c:ptCount val="1"/>
                <c:pt idx="0">
                  <c:v>Singapore</c:v>
                </c:pt>
              </c:strCache>
            </c:strRef>
          </c:tx>
          <c:spPr>
            <a:solidFill>
              <a:sysClr val="window" lastClr="FFFFFF">
                <a:lumMod val="95000"/>
              </a:sysClr>
            </a:solidFill>
            <a:ln>
              <a:solidFill>
                <a:sysClr val="windowText" lastClr="000000"/>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'Assets(BoP)'!$FN$58:$FN$108</c:f>
              <c:numCache>
                <c:formatCode>0%</c:formatCode>
                <c:ptCount val="51"/>
                <c:pt idx="0">
                  <c:v>0.000191168036704263</c:v>
                </c:pt>
                <c:pt idx="1">
                  <c:v>0.000362187613183629</c:v>
                </c:pt>
                <c:pt idx="2">
                  <c:v>0.000462534690101758</c:v>
                </c:pt>
                <c:pt idx="3">
                  <c:v>0.0010688042752171</c:v>
                </c:pt>
                <c:pt idx="4">
                  <c:v>0.001371058207653</c:v>
                </c:pt>
                <c:pt idx="5">
                  <c:v>0.000999777827149522</c:v>
                </c:pt>
                <c:pt idx="6">
                  <c:v>0.00314814814814815</c:v>
                </c:pt>
                <c:pt idx="7">
                  <c:v>0.00461081113874901</c:v>
                </c:pt>
                <c:pt idx="8">
                  <c:v>0.00632117856023404</c:v>
                </c:pt>
                <c:pt idx="9">
                  <c:v>0.00785914463263068</c:v>
                </c:pt>
                <c:pt idx="10">
                  <c:v>0.00572840025225983</c:v>
                </c:pt>
                <c:pt idx="11">
                  <c:v>0.00515350448186654</c:v>
                </c:pt>
                <c:pt idx="12">
                  <c:v>0.0065014274651708</c:v>
                </c:pt>
                <c:pt idx="13">
                  <c:v>0.00633201991319552</c:v>
                </c:pt>
                <c:pt idx="14">
                  <c:v>0.00908103684760765</c:v>
                </c:pt>
                <c:pt idx="15">
                  <c:v>0.0149818584531733</c:v>
                </c:pt>
                <c:pt idx="16">
                  <c:v>0.018358053378673</c:v>
                </c:pt>
                <c:pt idx="17">
                  <c:v>0.0183527832056298</c:v>
                </c:pt>
                <c:pt idx="18">
                  <c:v>0.0162450502233631</c:v>
                </c:pt>
                <c:pt idx="19">
                  <c:v>0.0141424937245253</c:v>
                </c:pt>
                <c:pt idx="20">
                  <c:v>0.0168072961449022</c:v>
                </c:pt>
                <c:pt idx="21">
                  <c:v>0.0187191377325844</c:v>
                </c:pt>
                <c:pt idx="22">
                  <c:v>0.0164778181366254</c:v>
                </c:pt>
                <c:pt idx="23">
                  <c:v>0.0144557560496771</c:v>
                </c:pt>
                <c:pt idx="24">
                  <c:v>0.0208561992900192</c:v>
                </c:pt>
                <c:pt idx="25">
                  <c:v>0.0230153877166269</c:v>
                </c:pt>
                <c:pt idx="26">
                  <c:v>0.0314992862895157</c:v>
                </c:pt>
                <c:pt idx="27">
                  <c:v>0.0335801792534745</c:v>
                </c:pt>
                <c:pt idx="28">
                  <c:v>0.0319549203272096</c:v>
                </c:pt>
                <c:pt idx="29">
                  <c:v>0.0292373767998472</c:v>
                </c:pt>
                <c:pt idx="30">
                  <c:v>0.030059445159104</c:v>
                </c:pt>
                <c:pt idx="31">
                  <c:v>0.0334782698135918</c:v>
                </c:pt>
                <c:pt idx="32">
                  <c:v>0.02007556622983</c:v>
                </c:pt>
                <c:pt idx="33">
                  <c:v>0.0231446775563722</c:v>
                </c:pt>
                <c:pt idx="34">
                  <c:v>0.0306820066489957</c:v>
                </c:pt>
                <c:pt idx="35">
                  <c:v>0.0307910711672022</c:v>
                </c:pt>
                <c:pt idx="36">
                  <c:v>0.0368371352122146</c:v>
                </c:pt>
                <c:pt idx="37">
                  <c:v>0.0370002438717246</c:v>
                </c:pt>
                <c:pt idx="38">
                  <c:v>0.0383102475643911</c:v>
                </c:pt>
                <c:pt idx="39">
                  <c:v>0.0585144753236854</c:v>
                </c:pt>
                <c:pt idx="40">
                  <c:v>0.052136413494315</c:v>
                </c:pt>
                <c:pt idx="41">
                  <c:v>0.0555715102812673</c:v>
                </c:pt>
                <c:pt idx="42">
                  <c:v>0.0447600121945277</c:v>
                </c:pt>
                <c:pt idx="43">
                  <c:v>0.0309753718346128</c:v>
                </c:pt>
                <c:pt idx="44">
                  <c:v>0.0391445130076668</c:v>
                </c:pt>
                <c:pt idx="45">
                  <c:v>0.0485748483015529</c:v>
                </c:pt>
                <c:pt idx="46">
                  <c:v>0.0496462612148933</c:v>
                </c:pt>
                <c:pt idx="47">
                  <c:v>0.0600455634041789</c:v>
                </c:pt>
                <c:pt idx="48">
                  <c:v>0.0705507503763755</c:v>
                </c:pt>
                <c:pt idx="49">
                  <c:v>0.0626797077433866</c:v>
                </c:pt>
                <c:pt idx="50">
                  <c:v>0.0574327173568254</c:v>
                </c:pt>
              </c:numCache>
            </c:numRef>
          </c:val>
        </c:ser>
        <c:dLbls>
          <c:showLegendKey val="0"/>
          <c:showVal val="0"/>
          <c:showCatName val="0"/>
          <c:showSerName val="0"/>
          <c:showPercent val="0"/>
          <c:showBubbleSize val="0"/>
        </c:dLbls>
        <c:axId val="-2105231144"/>
        <c:axId val="-2105227912"/>
      </c:areaChart>
      <c:catAx>
        <c:axId val="-2105231144"/>
        <c:scaling>
          <c:orientation val="minMax"/>
        </c:scaling>
        <c:delete val="0"/>
        <c:axPos val="b"/>
        <c:numFmt formatCode="General" sourceLinked="1"/>
        <c:majorTickMark val="none"/>
        <c:minorTickMark val="none"/>
        <c:tickLblPos val="nextTo"/>
        <c:txPr>
          <a:bodyPr rot="-5400000" vert="horz"/>
          <a:lstStyle/>
          <a:p>
            <a:pPr>
              <a:defRPr sz="1600"/>
            </a:pPr>
            <a:endParaRPr lang="fr-FR"/>
          </a:p>
        </c:txPr>
        <c:crossAx val="-2105227912"/>
        <c:crosses val="autoZero"/>
        <c:auto val="1"/>
        <c:lblAlgn val="ctr"/>
        <c:lblOffset val="100"/>
        <c:tickLblSkip val="2"/>
        <c:tickMarkSkip val="2"/>
        <c:noMultiLvlLbl val="0"/>
      </c:catAx>
      <c:valAx>
        <c:axId val="-2105227912"/>
        <c:scaling>
          <c:orientation val="minMax"/>
          <c:max val="0.65"/>
          <c:min val="0.0"/>
        </c:scaling>
        <c:delete val="0"/>
        <c:axPos val="l"/>
        <c:title>
          <c:tx>
            <c:rich>
              <a:bodyPr rot="-5400000" vert="horz"/>
              <a:lstStyle/>
              <a:p>
                <a:pPr>
                  <a:defRPr sz="1600" b="0"/>
                </a:pPr>
                <a:r>
                  <a:rPr lang="fr-FR" sz="1400" b="0" i="0" u="none" strike="noStrike" baseline="0" smtClean="0"/>
                  <a:t>% of U.S. corporate profits made abroad</a:t>
                </a:r>
                <a:endParaRPr lang="fr-FR" sz="1400"/>
              </a:p>
            </c:rich>
          </c:tx>
          <c:layout>
            <c:manualLayout>
              <c:xMode val="edge"/>
              <c:yMode val="edge"/>
              <c:x val="0.000276079283193049"/>
              <c:y val="0.217498334361857"/>
            </c:manualLayout>
          </c:layout>
          <c:overlay val="0"/>
        </c:title>
        <c:numFmt formatCode="0%" sourceLinked="1"/>
        <c:majorTickMark val="none"/>
        <c:minorTickMark val="none"/>
        <c:tickLblPos val="nextTo"/>
        <c:txPr>
          <a:bodyPr/>
          <a:lstStyle/>
          <a:p>
            <a:pPr>
              <a:defRPr sz="1600"/>
            </a:pPr>
            <a:endParaRPr lang="fr-FR"/>
          </a:p>
        </c:txPr>
        <c:crossAx val="-2105231144"/>
        <c:crosses val="autoZero"/>
        <c:crossBetween val="midCat"/>
      </c:valAx>
    </c:plotArea>
    <c:plotVisOnly val="1"/>
    <c:dispBlanksAs val="zero"/>
    <c:showDLblsOverMax val="0"/>
  </c:chart>
  <c:spPr>
    <a:ln>
      <a:noFill/>
    </a:ln>
  </c:spPr>
  <c:txPr>
    <a:bodyPr/>
    <a:lstStyle/>
    <a:p>
      <a:pPr>
        <a:defRPr>
          <a:latin typeface="Arial"/>
          <a:cs typeface="Arial"/>
        </a:defRPr>
      </a:pPr>
      <a:endParaRPr lang="fr-FR"/>
    </a:p>
  </c:txPr>
  <c:userShapes r:id="rId2"/>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defRPr/>
            </a:pPr>
            <a:r>
              <a:rPr lang="fr-FR" sz="1800"/>
              <a:t>Figure A.3b: The share of tax havens in U.S. profits made </a:t>
            </a:r>
            <a:r>
              <a:rPr lang="fr-FR" sz="1800" baseline="0"/>
              <a:t>abroad</a:t>
            </a:r>
          </a:p>
          <a:p>
            <a:pPr>
              <a:defRPr/>
            </a:pPr>
            <a:r>
              <a:rPr lang="fr-FR" sz="1800" b="0" baseline="0"/>
              <a:t>(BoP immediate counterpart basis) </a:t>
            </a:r>
          </a:p>
        </c:rich>
      </c:tx>
      <c:layout>
        <c:manualLayout>
          <c:xMode val="edge"/>
          <c:yMode val="edge"/>
          <c:x val="0.16490035297312"/>
          <c:y val="2.15555634731179E-5"/>
        </c:manualLayout>
      </c:layout>
      <c:overlay val="0"/>
    </c:title>
    <c:autoTitleDeleted val="0"/>
    <c:plotArea>
      <c:layout>
        <c:manualLayout>
          <c:layoutTarget val="inner"/>
          <c:xMode val="edge"/>
          <c:yMode val="edge"/>
          <c:x val="0.110164648384469"/>
          <c:y val="0.0815345423451028"/>
          <c:w val="0.873569372793918"/>
          <c:h val="0.743434394510712"/>
        </c:manualLayout>
      </c:layout>
      <c:areaChart>
        <c:grouping val="stacked"/>
        <c:varyColors val="0"/>
        <c:ser>
          <c:idx val="1"/>
          <c:order val="0"/>
          <c:tx>
            <c:strRef>
              <c:f>'Assets(BoP)'!$DV$3</c:f>
              <c:strCache>
                <c:ptCount val="1"/>
                <c:pt idx="0">
                  <c:v>Ireland</c:v>
                </c:pt>
              </c:strCache>
            </c:strRef>
          </c:tx>
          <c:spPr>
            <a:solidFill>
              <a:schemeClr val="tx1">
                <a:lumMod val="65000"/>
                <a:lumOff val="35000"/>
              </a:schemeClr>
            </a:solidFill>
            <a:ln w="12700">
              <a:solidFill>
                <a:schemeClr val="tx1"/>
              </a:solidFill>
            </a:ln>
          </c:spP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'Assets(BoP)'!$FG$74:$FG$108</c:f>
              <c:numCache>
                <c:formatCode>0%</c:formatCode>
                <c:ptCount val="35"/>
                <c:pt idx="0">
                  <c:v>0.0156618274842366</c:v>
                </c:pt>
                <c:pt idx="1">
                  <c:v>0.0166209027157218</c:v>
                </c:pt>
                <c:pt idx="2">
                  <c:v>0.0151208802744739</c:v>
                </c:pt>
                <c:pt idx="3">
                  <c:v>0.0216061971896116</c:v>
                </c:pt>
                <c:pt idx="4">
                  <c:v>0.0227975216169878</c:v>
                </c:pt>
                <c:pt idx="5">
                  <c:v>0.0248107823730028</c:v>
                </c:pt>
                <c:pt idx="6">
                  <c:v>0.0219580107905719</c:v>
                </c:pt>
                <c:pt idx="7">
                  <c:v>0.023937083601441</c:v>
                </c:pt>
                <c:pt idx="8">
                  <c:v>0.0252447612290447</c:v>
                </c:pt>
                <c:pt idx="9">
                  <c:v>0.0309414722781236</c:v>
                </c:pt>
                <c:pt idx="10">
                  <c:v>0.0372059290475047</c:v>
                </c:pt>
                <c:pt idx="11">
                  <c:v>0.0307512973569695</c:v>
                </c:pt>
                <c:pt idx="12">
                  <c:v>0.0240117548888013</c:v>
                </c:pt>
                <c:pt idx="13">
                  <c:v>0.0265325629962281</c:v>
                </c:pt>
                <c:pt idx="14">
                  <c:v>0.0225774991670273</c:v>
                </c:pt>
                <c:pt idx="15">
                  <c:v>0.0236319631525083</c:v>
                </c:pt>
                <c:pt idx="16">
                  <c:v>0.0521377900718755</c:v>
                </c:pt>
                <c:pt idx="17">
                  <c:v>0.0379154098181365</c:v>
                </c:pt>
                <c:pt idx="18">
                  <c:v>0.0437754027683347</c:v>
                </c:pt>
                <c:pt idx="19">
                  <c:v>0.0488928490526503</c:v>
                </c:pt>
                <c:pt idx="20">
                  <c:v>0.0524292127740562</c:v>
                </c:pt>
                <c:pt idx="21">
                  <c:v>0.0570242724928408</c:v>
                </c:pt>
                <c:pt idx="22">
                  <c:v>0.0637568874292157</c:v>
                </c:pt>
                <c:pt idx="23">
                  <c:v>0.0649581956106681</c:v>
                </c:pt>
                <c:pt idx="24">
                  <c:v>0.0596498680392686</c:v>
                </c:pt>
                <c:pt idx="25">
                  <c:v>0.0637743011833688</c:v>
                </c:pt>
                <c:pt idx="26">
                  <c:v>0.0782966066355401</c:v>
                </c:pt>
                <c:pt idx="27">
                  <c:v>0.0739169508023918</c:v>
                </c:pt>
                <c:pt idx="28">
                  <c:v>0.0649511875512961</c:v>
                </c:pt>
                <c:pt idx="29">
                  <c:v>0.0711110380150007</c:v>
                </c:pt>
                <c:pt idx="30">
                  <c:v>0.0902143257977844</c:v>
                </c:pt>
                <c:pt idx="31">
                  <c:v>0.0806328079880408</c:v>
                </c:pt>
                <c:pt idx="32">
                  <c:v>0.0998275132137063</c:v>
                </c:pt>
                <c:pt idx="33">
                  <c:v>0.130340743684621</c:v>
                </c:pt>
                <c:pt idx="34">
                  <c:v>0.127354053130009</c:v>
                </c:pt>
              </c:numCache>
            </c:numRef>
          </c:val>
        </c:ser>
        <c:ser>
          <c:idx val="5"/>
          <c:order val="1"/>
          <c:tx>
            <c:strRef>
              <c:f>'Assets(BoP)'!$DW$3</c:f>
              <c:strCache>
                <c:ptCount val="1"/>
                <c:pt idx="0">
                  <c:v>Netherlands</c:v>
                </c:pt>
              </c:strCache>
            </c:strRef>
          </c:tx>
          <c:spPr>
            <a:solidFill>
              <a:schemeClr val="bg1">
                <a:lumMod val="65000"/>
              </a:schemeClr>
            </a:solidFill>
            <a:ln w="12700">
              <a:solidFill>
                <a:schemeClr val="tx1"/>
              </a:solidFill>
            </a:ln>
          </c:spP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'Assets(BoP)'!$FH$74:$FH$108</c:f>
              <c:numCache>
                <c:formatCode>0%</c:formatCode>
                <c:ptCount val="35"/>
                <c:pt idx="0">
                  <c:v>0.0414109691314241</c:v>
                </c:pt>
                <c:pt idx="1">
                  <c:v>0.0491670159013098</c:v>
                </c:pt>
                <c:pt idx="2">
                  <c:v>0.0383993269808042</c:v>
                </c:pt>
                <c:pt idx="3">
                  <c:v>0.0501577079477959</c:v>
                </c:pt>
                <c:pt idx="4">
                  <c:v>0.0718367294606203</c:v>
                </c:pt>
                <c:pt idx="5">
                  <c:v>0.0715465051399742</c:v>
                </c:pt>
                <c:pt idx="6">
                  <c:v>0.0560865826912847</c:v>
                </c:pt>
                <c:pt idx="7">
                  <c:v>0.0573210700810032</c:v>
                </c:pt>
                <c:pt idx="8">
                  <c:v>0.0756226460088724</c:v>
                </c:pt>
                <c:pt idx="9">
                  <c:v>0.0745792566927289</c:v>
                </c:pt>
                <c:pt idx="10">
                  <c:v>0.0648721276011724</c:v>
                </c:pt>
                <c:pt idx="11">
                  <c:v>0.043989027117088</c:v>
                </c:pt>
                <c:pt idx="12">
                  <c:v>0.0872056846957192</c:v>
                </c:pt>
                <c:pt idx="13">
                  <c:v>0.0882297750045143</c:v>
                </c:pt>
                <c:pt idx="14">
                  <c:v>0.106242039933411</c:v>
                </c:pt>
                <c:pt idx="15">
                  <c:v>0.113480130462796</c:v>
                </c:pt>
                <c:pt idx="16">
                  <c:v>0.112888585614671</c:v>
                </c:pt>
                <c:pt idx="17">
                  <c:v>0.122460495917741</c:v>
                </c:pt>
                <c:pt idx="18">
                  <c:v>0.104780996471436</c:v>
                </c:pt>
                <c:pt idx="19">
                  <c:v>0.104334228272027</c:v>
                </c:pt>
                <c:pt idx="20">
                  <c:v>0.0977898344599407</c:v>
                </c:pt>
                <c:pt idx="21">
                  <c:v>0.103791980431508</c:v>
                </c:pt>
                <c:pt idx="22">
                  <c:v>0.135276989648396</c:v>
                </c:pt>
                <c:pt idx="23">
                  <c:v>0.126051076830943</c:v>
                </c:pt>
                <c:pt idx="24">
                  <c:v>0.118553907193576</c:v>
                </c:pt>
                <c:pt idx="25">
                  <c:v>0.12753000545925</c:v>
                </c:pt>
                <c:pt idx="26">
                  <c:v>0.123375019191472</c:v>
                </c:pt>
                <c:pt idx="27">
                  <c:v>0.166979853332252</c:v>
                </c:pt>
                <c:pt idx="28">
                  <c:v>0.159400213849743</c:v>
                </c:pt>
                <c:pt idx="29">
                  <c:v>0.17289802088942</c:v>
                </c:pt>
                <c:pt idx="30">
                  <c:v>0.172931343504439</c:v>
                </c:pt>
                <c:pt idx="31">
                  <c:v>0.176388457732409</c:v>
                </c:pt>
                <c:pt idx="32">
                  <c:v>0.156407179318899</c:v>
                </c:pt>
                <c:pt idx="33">
                  <c:v>0.154143165260361</c:v>
                </c:pt>
                <c:pt idx="34">
                  <c:v>0.160846945444347</c:v>
                </c:pt>
              </c:numCache>
            </c:numRef>
          </c:val>
        </c:ser>
        <c:ser>
          <c:idx val="2"/>
          <c:order val="2"/>
          <c:tx>
            <c:strRef>
              <c:f>'Assets(BoP)'!$DX$3</c:f>
              <c:strCache>
                <c:ptCount val="1"/>
                <c:pt idx="0">
                  <c:v>Luxembourg</c:v>
                </c:pt>
              </c:strCache>
            </c:strRef>
          </c:tx>
          <c:spPr>
            <a:solidFill>
              <a:schemeClr val="bg1">
                <a:lumMod val="85000"/>
              </a:schemeClr>
            </a:solidFill>
            <a:ln w="12700">
              <a:solidFill>
                <a:schemeClr val="tx1"/>
              </a:solidFill>
            </a:ln>
          </c:spP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'Assets(BoP)'!$FI$74:$FI$108</c:f>
              <c:numCache>
                <c:formatCode>0%</c:formatCode>
                <c:ptCount val="35"/>
                <c:pt idx="0">
                  <c:v>0.00595028566601082</c:v>
                </c:pt>
                <c:pt idx="1">
                  <c:v>0.00539774147934904</c:v>
                </c:pt>
                <c:pt idx="2">
                  <c:v>0.00341551716742189</c:v>
                </c:pt>
                <c:pt idx="3">
                  <c:v>0.0021162274096636</c:v>
                </c:pt>
                <c:pt idx="4">
                  <c:v>0.00339861227741901</c:v>
                </c:pt>
                <c:pt idx="5">
                  <c:v>0.00219860252706552</c:v>
                </c:pt>
                <c:pt idx="6">
                  <c:v>0.00164445946426909</c:v>
                </c:pt>
                <c:pt idx="7">
                  <c:v>0.0031642515059159</c:v>
                </c:pt>
                <c:pt idx="8">
                  <c:v>0.00285035955137514</c:v>
                </c:pt>
                <c:pt idx="9">
                  <c:v>0.00352130663988661</c:v>
                </c:pt>
                <c:pt idx="10">
                  <c:v>0.00391084081680041</c:v>
                </c:pt>
                <c:pt idx="11">
                  <c:v>0.00678513570018716</c:v>
                </c:pt>
                <c:pt idx="12">
                  <c:v>0.0183502078251775</c:v>
                </c:pt>
                <c:pt idx="13">
                  <c:v>0.0154736488075528</c:v>
                </c:pt>
                <c:pt idx="14">
                  <c:v>0.0166511121201956</c:v>
                </c:pt>
                <c:pt idx="15">
                  <c:v>0.0150793096312723</c:v>
                </c:pt>
                <c:pt idx="16">
                  <c:v>0.0189006330383957</c:v>
                </c:pt>
                <c:pt idx="17">
                  <c:v>0.0317383905411347</c:v>
                </c:pt>
                <c:pt idx="18">
                  <c:v>0.0225581927899388</c:v>
                </c:pt>
                <c:pt idx="19">
                  <c:v>0.0440597641052057</c:v>
                </c:pt>
                <c:pt idx="20">
                  <c:v>0.0591143053338036</c:v>
                </c:pt>
                <c:pt idx="21">
                  <c:v>0.0553331355913132</c:v>
                </c:pt>
                <c:pt idx="22">
                  <c:v>0.0368568369247174</c:v>
                </c:pt>
                <c:pt idx="23">
                  <c:v>0.0445511634836356</c:v>
                </c:pt>
                <c:pt idx="24">
                  <c:v>0.0569908973459658</c:v>
                </c:pt>
                <c:pt idx="25">
                  <c:v>0.056795374189899</c:v>
                </c:pt>
                <c:pt idx="26">
                  <c:v>0.0522846604052145</c:v>
                </c:pt>
                <c:pt idx="27">
                  <c:v>0.0590972285826801</c:v>
                </c:pt>
                <c:pt idx="28">
                  <c:v>0.0759994191428761</c:v>
                </c:pt>
                <c:pt idx="29">
                  <c:v>0.0525683656399817</c:v>
                </c:pt>
                <c:pt idx="30">
                  <c:v>0.0656352897136557</c:v>
                </c:pt>
                <c:pt idx="31">
                  <c:v>0.0818321181211963</c:v>
                </c:pt>
                <c:pt idx="32">
                  <c:v>0.0865220023025447</c:v>
                </c:pt>
                <c:pt idx="33">
                  <c:v>0.0813138130722863</c:v>
                </c:pt>
                <c:pt idx="34">
                  <c:v>0.0803455657558082</c:v>
                </c:pt>
              </c:numCache>
            </c:numRef>
          </c:val>
        </c:ser>
        <c:ser>
          <c:idx val="4"/>
          <c:order val="3"/>
          <c:tx>
            <c:strRef>
              <c:f>'Assets(BoP)'!$DY$3</c:f>
              <c:strCache>
                <c:ptCount val="1"/>
                <c:pt idx="0">
                  <c:v>Switzerland</c:v>
                </c:pt>
              </c:strCache>
            </c:strRef>
          </c:tx>
          <c:spPr>
            <a:pattFill prst="pct10">
              <a:fgClr>
                <a:schemeClr val="tx1"/>
              </a:fgClr>
              <a:bgClr>
                <a:prstClr val="white"/>
              </a:bgClr>
            </a:pattFill>
            <a:ln w="12700">
              <a:solidFill>
                <a:schemeClr val="tx1"/>
              </a:solidFill>
            </a:ln>
          </c:spP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'Assets(BoP)'!$FJ$74:$FJ$108</c:f>
              <c:numCache>
                <c:formatCode>0%</c:formatCode>
                <c:ptCount val="35"/>
                <c:pt idx="0">
                  <c:v>0.054207305980218</c:v>
                </c:pt>
                <c:pt idx="1">
                  <c:v>0.0459067524348344</c:v>
                </c:pt>
                <c:pt idx="2">
                  <c:v>0.0475454778689272</c:v>
                </c:pt>
                <c:pt idx="3">
                  <c:v>0.0471554422406893</c:v>
                </c:pt>
                <c:pt idx="4">
                  <c:v>0.0504075947166287</c:v>
                </c:pt>
                <c:pt idx="5">
                  <c:v>0.0646316810863529</c:v>
                </c:pt>
                <c:pt idx="6">
                  <c:v>0.0521350490820077</c:v>
                </c:pt>
                <c:pt idx="7">
                  <c:v>0.0721511604044083</c:v>
                </c:pt>
                <c:pt idx="8">
                  <c:v>0.0796397525152844</c:v>
                </c:pt>
                <c:pt idx="9">
                  <c:v>0.0647218267674582</c:v>
                </c:pt>
                <c:pt idx="10">
                  <c:v>0.0549706840387423</c:v>
                </c:pt>
                <c:pt idx="11">
                  <c:v>0.073899647515908</c:v>
                </c:pt>
                <c:pt idx="12">
                  <c:v>0.0663703316646597</c:v>
                </c:pt>
                <c:pt idx="13">
                  <c:v>0.0489564976812072</c:v>
                </c:pt>
                <c:pt idx="14">
                  <c:v>0.048164839471909</c:v>
                </c:pt>
                <c:pt idx="15">
                  <c:v>0.0497509214800733</c:v>
                </c:pt>
                <c:pt idx="16">
                  <c:v>0.0698856097910637</c:v>
                </c:pt>
                <c:pt idx="17">
                  <c:v>0.0592110162115452</c:v>
                </c:pt>
                <c:pt idx="18">
                  <c:v>0.03733609133688</c:v>
                </c:pt>
                <c:pt idx="19">
                  <c:v>0.0612494741072685</c:v>
                </c:pt>
                <c:pt idx="20">
                  <c:v>0.0900120012284533</c:v>
                </c:pt>
                <c:pt idx="21">
                  <c:v>0.0784757873165505</c:v>
                </c:pt>
                <c:pt idx="22">
                  <c:v>0.0646322591801868</c:v>
                </c:pt>
                <c:pt idx="23">
                  <c:v>0.0573292268277184</c:v>
                </c:pt>
                <c:pt idx="24">
                  <c:v>0.0474107301898425</c:v>
                </c:pt>
                <c:pt idx="25">
                  <c:v>0.0420087151266194</c:v>
                </c:pt>
                <c:pt idx="26">
                  <c:v>0.0504602548700313</c:v>
                </c:pt>
                <c:pt idx="27">
                  <c:v>0.0504379791973528</c:v>
                </c:pt>
                <c:pt idx="28">
                  <c:v>0.0459170390676891</c:v>
                </c:pt>
                <c:pt idx="29">
                  <c:v>0.0433590755429844</c:v>
                </c:pt>
                <c:pt idx="30">
                  <c:v>0.0436084341517269</c:v>
                </c:pt>
                <c:pt idx="31">
                  <c:v>0.0538709939816141</c:v>
                </c:pt>
                <c:pt idx="32">
                  <c:v>0.0505006712699971</c:v>
                </c:pt>
                <c:pt idx="33">
                  <c:v>0.0639379409216661</c:v>
                </c:pt>
                <c:pt idx="34">
                  <c:v>0.0662172336573256</c:v>
                </c:pt>
              </c:numCache>
            </c:numRef>
          </c:val>
        </c:ser>
        <c:ser>
          <c:idx val="6"/>
          <c:order val="4"/>
          <c:tx>
            <c:strRef>
              <c:f>'Assets(BoP)'!$DZ$3</c:f>
              <c:strCache>
                <c:ptCount val="1"/>
                <c:pt idx="0">
                  <c:v>Bermuda &amp; other Caribbean</c:v>
                </c:pt>
              </c:strCache>
            </c:strRef>
          </c:tx>
          <c:spPr>
            <a:solidFill>
              <a:schemeClr val="bg1"/>
            </a:solidFill>
            <a:ln w="12700">
              <a:solidFill>
                <a:schemeClr val="tx1"/>
              </a:solidFill>
            </a:ln>
          </c:spP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'Assets(BoP)'!$FK$74:$FK$108</c:f>
              <c:numCache>
                <c:formatCode>0%</c:formatCode>
                <c:ptCount val="35"/>
                <c:pt idx="0">
                  <c:v>0.13557036926073</c:v>
                </c:pt>
                <c:pt idx="1">
                  <c:v>0.0866681807858278</c:v>
                </c:pt>
                <c:pt idx="2">
                  <c:v>0.0808952245188881</c:v>
                </c:pt>
                <c:pt idx="3">
                  <c:v>0.0752039449652989</c:v>
                </c:pt>
                <c:pt idx="4">
                  <c:v>0.0642934417122306</c:v>
                </c:pt>
                <c:pt idx="5">
                  <c:v>0.0633299477997969</c:v>
                </c:pt>
                <c:pt idx="6">
                  <c:v>0.0568039131168125</c:v>
                </c:pt>
                <c:pt idx="7">
                  <c:v>0.0526606645736682</c:v>
                </c:pt>
                <c:pt idx="8">
                  <c:v>0.0515696286016343</c:v>
                </c:pt>
                <c:pt idx="9">
                  <c:v>0.0641515053814233</c:v>
                </c:pt>
                <c:pt idx="10">
                  <c:v>0.0833916272508836</c:v>
                </c:pt>
                <c:pt idx="11">
                  <c:v>0.0625746372197387</c:v>
                </c:pt>
                <c:pt idx="12">
                  <c:v>0.0798636308061432</c:v>
                </c:pt>
                <c:pt idx="13">
                  <c:v>0.0618373042850877</c:v>
                </c:pt>
                <c:pt idx="14">
                  <c:v>0.0583270667534601</c:v>
                </c:pt>
                <c:pt idx="15">
                  <c:v>0.0681674454452918</c:v>
                </c:pt>
                <c:pt idx="16">
                  <c:v>0.078018834412018</c:v>
                </c:pt>
                <c:pt idx="17">
                  <c:v>0.0851080978937724</c:v>
                </c:pt>
                <c:pt idx="18">
                  <c:v>0.0838092409429366</c:v>
                </c:pt>
                <c:pt idx="19">
                  <c:v>0.112087130642389</c:v>
                </c:pt>
                <c:pt idx="20">
                  <c:v>0.0873712927074736</c:v>
                </c:pt>
                <c:pt idx="21">
                  <c:v>0.08831977269754</c:v>
                </c:pt>
                <c:pt idx="22">
                  <c:v>0.0999103455506115</c:v>
                </c:pt>
                <c:pt idx="23">
                  <c:v>0.104442968786113</c:v>
                </c:pt>
                <c:pt idx="24">
                  <c:v>0.0964636759545455</c:v>
                </c:pt>
                <c:pt idx="25">
                  <c:v>0.12174803909814</c:v>
                </c:pt>
                <c:pt idx="26">
                  <c:v>0.131109054363461</c:v>
                </c:pt>
                <c:pt idx="27">
                  <c:v>0.153080640530388</c:v>
                </c:pt>
                <c:pt idx="28">
                  <c:v>0.136161937957397</c:v>
                </c:pt>
                <c:pt idx="29">
                  <c:v>0.134160861413192</c:v>
                </c:pt>
                <c:pt idx="30">
                  <c:v>0.134226829197782</c:v>
                </c:pt>
                <c:pt idx="31">
                  <c:v>0.133387454425749</c:v>
                </c:pt>
                <c:pt idx="32">
                  <c:v>0.150793785227986</c:v>
                </c:pt>
                <c:pt idx="33">
                  <c:v>0.148190458482277</c:v>
                </c:pt>
                <c:pt idx="34">
                  <c:v>0.149161359543001</c:v>
                </c:pt>
              </c:numCache>
            </c:numRef>
          </c:val>
        </c:ser>
        <c:ser>
          <c:idx val="0"/>
          <c:order val="5"/>
          <c:tx>
            <c:strRef>
              <c:f>'Assets(BoP)'!$EC$3</c:f>
              <c:strCache>
                <c:ptCount val="1"/>
                <c:pt idx="0">
                  <c:v>Singapore</c:v>
                </c:pt>
              </c:strCache>
            </c:strRef>
          </c:tx>
          <c:spPr>
            <a:solidFill>
              <a:sysClr val="window" lastClr="FFFFFF">
                <a:lumMod val="95000"/>
              </a:sysClr>
            </a:solidFill>
            <a:ln>
              <a:solidFill>
                <a:sysClr val="windowText" lastClr="000000"/>
              </a:solidFill>
            </a:ln>
          </c:spP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'Assets(BoP)'!$FN$74:$FN$108</c:f>
              <c:numCache>
                <c:formatCode>0%</c:formatCode>
                <c:ptCount val="35"/>
                <c:pt idx="0">
                  <c:v>0.018358053378673</c:v>
                </c:pt>
                <c:pt idx="1">
                  <c:v>0.0183527832056298</c:v>
                </c:pt>
                <c:pt idx="2">
                  <c:v>0.0162450502233631</c:v>
                </c:pt>
                <c:pt idx="3">
                  <c:v>0.0141424937245253</c:v>
                </c:pt>
                <c:pt idx="4">
                  <c:v>0.0168072961449022</c:v>
                </c:pt>
                <c:pt idx="5">
                  <c:v>0.0187191377325844</c:v>
                </c:pt>
                <c:pt idx="6">
                  <c:v>0.0164778181366254</c:v>
                </c:pt>
                <c:pt idx="7">
                  <c:v>0.0144557560496771</c:v>
                </c:pt>
                <c:pt idx="8">
                  <c:v>0.0208561992900192</c:v>
                </c:pt>
                <c:pt idx="9">
                  <c:v>0.0230153877166269</c:v>
                </c:pt>
                <c:pt idx="10">
                  <c:v>0.0314992862895157</c:v>
                </c:pt>
                <c:pt idx="11">
                  <c:v>0.0335801792534745</c:v>
                </c:pt>
                <c:pt idx="12">
                  <c:v>0.0319549203272096</c:v>
                </c:pt>
                <c:pt idx="13">
                  <c:v>0.0292373767998472</c:v>
                </c:pt>
                <c:pt idx="14">
                  <c:v>0.030059445159104</c:v>
                </c:pt>
                <c:pt idx="15">
                  <c:v>0.0334782698135918</c:v>
                </c:pt>
                <c:pt idx="16">
                  <c:v>0.02007556622983</c:v>
                </c:pt>
                <c:pt idx="17">
                  <c:v>0.0231446775563722</c:v>
                </c:pt>
                <c:pt idx="18">
                  <c:v>0.0306820066489957</c:v>
                </c:pt>
                <c:pt idx="19">
                  <c:v>0.0307910711672022</c:v>
                </c:pt>
                <c:pt idx="20">
                  <c:v>0.0368371352122146</c:v>
                </c:pt>
                <c:pt idx="21">
                  <c:v>0.0370002438717246</c:v>
                </c:pt>
                <c:pt idx="22">
                  <c:v>0.0383102475643911</c:v>
                </c:pt>
                <c:pt idx="23">
                  <c:v>0.0585144753236854</c:v>
                </c:pt>
                <c:pt idx="24">
                  <c:v>0.052136413494315</c:v>
                </c:pt>
                <c:pt idx="25">
                  <c:v>0.0555715102812673</c:v>
                </c:pt>
                <c:pt idx="26">
                  <c:v>0.0447600121945277</c:v>
                </c:pt>
                <c:pt idx="27">
                  <c:v>0.0309753718346128</c:v>
                </c:pt>
                <c:pt idx="28">
                  <c:v>0.0391445130076668</c:v>
                </c:pt>
                <c:pt idx="29">
                  <c:v>0.0485748483015529</c:v>
                </c:pt>
                <c:pt idx="30">
                  <c:v>0.0496462612148933</c:v>
                </c:pt>
                <c:pt idx="31">
                  <c:v>0.0600455634041789</c:v>
                </c:pt>
                <c:pt idx="32">
                  <c:v>0.0705507503763755</c:v>
                </c:pt>
                <c:pt idx="33">
                  <c:v>0.0626797077433866</c:v>
                </c:pt>
                <c:pt idx="34">
                  <c:v>0.0574327173568254</c:v>
                </c:pt>
              </c:numCache>
            </c:numRef>
          </c:val>
        </c:ser>
        <c:dLbls>
          <c:showLegendKey val="0"/>
          <c:showVal val="0"/>
          <c:showCatName val="0"/>
          <c:showSerName val="0"/>
          <c:showPercent val="0"/>
          <c:showBubbleSize val="0"/>
        </c:dLbls>
        <c:axId val="-2105359128"/>
        <c:axId val="-2105367080"/>
      </c:areaChart>
      <c:catAx>
        <c:axId val="-2105359128"/>
        <c:scaling>
          <c:orientation val="minMax"/>
        </c:scaling>
        <c:delete val="0"/>
        <c:axPos val="b"/>
        <c:numFmt formatCode="General" sourceLinked="1"/>
        <c:majorTickMark val="none"/>
        <c:minorTickMark val="none"/>
        <c:tickLblPos val="nextTo"/>
        <c:txPr>
          <a:bodyPr rot="-5400000" vert="horz"/>
          <a:lstStyle/>
          <a:p>
            <a:pPr>
              <a:defRPr sz="1600"/>
            </a:pPr>
            <a:endParaRPr lang="fr-FR"/>
          </a:p>
        </c:txPr>
        <c:crossAx val="-2105367080"/>
        <c:crosses val="autoZero"/>
        <c:auto val="1"/>
        <c:lblAlgn val="ctr"/>
        <c:lblOffset val="100"/>
        <c:tickLblSkip val="2"/>
        <c:tickMarkSkip val="2"/>
        <c:noMultiLvlLbl val="0"/>
      </c:catAx>
      <c:valAx>
        <c:axId val="-2105367080"/>
        <c:scaling>
          <c:orientation val="minMax"/>
          <c:max val="0.65"/>
          <c:min val="0.0"/>
        </c:scaling>
        <c:delete val="0"/>
        <c:axPos val="l"/>
        <c:title>
          <c:tx>
            <c:rich>
              <a:bodyPr rot="-5400000" vert="horz"/>
              <a:lstStyle/>
              <a:p>
                <a:pPr>
                  <a:defRPr sz="1600" b="0"/>
                </a:pPr>
                <a:r>
                  <a:rPr lang="fr-FR" sz="1400" b="0" i="0" u="none" strike="noStrike" baseline="0" smtClean="0"/>
                  <a:t>% of U.S. corporate profits made abroad</a:t>
                </a:r>
                <a:endParaRPr lang="fr-FR" sz="1400"/>
              </a:p>
            </c:rich>
          </c:tx>
          <c:layout>
            <c:manualLayout>
              <c:xMode val="edge"/>
              <c:yMode val="edge"/>
              <c:x val="0.000276079283193049"/>
              <c:y val="0.217498334361857"/>
            </c:manualLayout>
          </c:layout>
          <c:overlay val="0"/>
        </c:title>
        <c:numFmt formatCode="0%" sourceLinked="1"/>
        <c:majorTickMark val="none"/>
        <c:minorTickMark val="none"/>
        <c:tickLblPos val="nextTo"/>
        <c:txPr>
          <a:bodyPr/>
          <a:lstStyle/>
          <a:p>
            <a:pPr>
              <a:defRPr sz="1600"/>
            </a:pPr>
            <a:endParaRPr lang="fr-FR"/>
          </a:p>
        </c:txPr>
        <c:crossAx val="-2105359128"/>
        <c:crosses val="autoZero"/>
        <c:crossBetween val="midCat"/>
      </c:valAx>
    </c:plotArea>
    <c:plotVisOnly val="1"/>
    <c:dispBlanksAs val="zero"/>
    <c:showDLblsOverMax val="0"/>
  </c:chart>
  <c:spPr>
    <a:ln>
      <a:noFill/>
    </a:ln>
  </c:spPr>
  <c:txPr>
    <a:bodyPr/>
    <a:lstStyle/>
    <a:p>
      <a:pPr>
        <a:defRPr>
          <a:latin typeface="Arial"/>
          <a:cs typeface="Arial"/>
        </a:defRPr>
      </a:pPr>
      <a:endParaRPr lang="fr-FR"/>
    </a:p>
  </c:txPr>
  <c:userShapes r:id="rId2"/>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defRPr/>
            </a:pPr>
            <a:r>
              <a:rPr lang="fr-FR"/>
              <a:t>Figure A.3c:</a:t>
            </a:r>
            <a:r>
              <a:rPr lang="fr-FR" baseline="0"/>
              <a:t> </a:t>
            </a:r>
            <a:r>
              <a:rPr lang="fr-FR"/>
              <a:t>The share of tax havens in U.S. direct equity investments abroad </a:t>
            </a:r>
            <a:r>
              <a:rPr lang="fr-FR" baseline="0"/>
              <a:t> </a:t>
            </a:r>
            <a:r>
              <a:rPr lang="fr-FR" b="0"/>
              <a:t>(IIP immediate counterpart basis)</a:t>
            </a:r>
          </a:p>
        </c:rich>
      </c:tx>
      <c:layout>
        <c:manualLayout>
          <c:xMode val="edge"/>
          <c:yMode val="edge"/>
          <c:x val="0.192171816453978"/>
          <c:y val="0.0068088858802152"/>
        </c:manualLayout>
      </c:layout>
      <c:overlay val="0"/>
    </c:title>
    <c:autoTitleDeleted val="0"/>
    <c:plotArea>
      <c:layout>
        <c:manualLayout>
          <c:layoutTarget val="inner"/>
          <c:xMode val="edge"/>
          <c:yMode val="edge"/>
          <c:x val="0.110164648384469"/>
          <c:y val="0.0815345423451028"/>
          <c:w val="0.873569372793918"/>
          <c:h val="0.743434394510712"/>
        </c:manualLayout>
      </c:layout>
      <c:areaChart>
        <c:grouping val="stacked"/>
        <c:varyColors val="0"/>
        <c:ser>
          <c:idx val="1"/>
          <c:order val="0"/>
          <c:tx>
            <c:strRef>
              <c:f>'Assets(BoP)'!$DV$3</c:f>
              <c:strCache>
                <c:ptCount val="1"/>
                <c:pt idx="0">
                  <c:v>Ireland</c:v>
                </c:pt>
              </c:strCache>
            </c:strRef>
          </c:tx>
          <c:spPr>
            <a:solidFill>
              <a:schemeClr val="tx1">
                <a:lumMod val="65000"/>
                <a:lumOff val="35000"/>
              </a:schemeClr>
            </a:solidFill>
            <a:ln w="12700">
              <a:solidFill>
                <a:schemeClr val="tx1"/>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'Assets(BoP)'!$LI$58:$LI$108</c:f>
              <c:numCache>
                <c:formatCode>0%</c:formatCode>
                <c:ptCount val="51"/>
                <c:pt idx="0">
                  <c:v>0.00148891343057835</c:v>
                </c:pt>
                <c:pt idx="1">
                  <c:v>0.00176933306099851</c:v>
                </c:pt>
                <c:pt idx="2">
                  <c:v>0.00220134327310712</c:v>
                </c:pt>
                <c:pt idx="3">
                  <c:v>0.00263176952826231</c:v>
                </c:pt>
                <c:pt idx="4">
                  <c:v>0.00265531910607548</c:v>
                </c:pt>
                <c:pt idx="5">
                  <c:v>0.00281992649136977</c:v>
                </c:pt>
                <c:pt idx="6">
                  <c:v>0.00331488568042605</c:v>
                </c:pt>
                <c:pt idx="7">
                  <c:v>0.00371759600757836</c:v>
                </c:pt>
                <c:pt idx="8">
                  <c:v>0.00468866224810923</c:v>
                </c:pt>
                <c:pt idx="9">
                  <c:v>0.00584251229103992</c:v>
                </c:pt>
                <c:pt idx="10">
                  <c:v>0.00742481710093897</c:v>
                </c:pt>
                <c:pt idx="11">
                  <c:v>0.0073976816596016</c:v>
                </c:pt>
                <c:pt idx="12">
                  <c:v>0.00907200277292664</c:v>
                </c:pt>
                <c:pt idx="13">
                  <c:v>0.0105165198426519</c:v>
                </c:pt>
                <c:pt idx="14">
                  <c:v>0.0114422460156905</c:v>
                </c:pt>
                <c:pt idx="15">
                  <c:v>0.0125253312187272</c:v>
                </c:pt>
                <c:pt idx="16">
                  <c:v>0.00954514276943444</c:v>
                </c:pt>
                <c:pt idx="17">
                  <c:v>0.011108775664447</c:v>
                </c:pt>
                <c:pt idx="18">
                  <c:v>0.0127058087321252</c:v>
                </c:pt>
                <c:pt idx="19">
                  <c:v>0.0147901248075525</c:v>
                </c:pt>
                <c:pt idx="20">
                  <c:v>0.0161019106453313</c:v>
                </c:pt>
                <c:pt idx="21">
                  <c:v>0.0170790924091906</c:v>
                </c:pt>
                <c:pt idx="22">
                  <c:v>0.0179420877096329</c:v>
                </c:pt>
                <c:pt idx="23">
                  <c:v>0.0132186930899137</c:v>
                </c:pt>
                <c:pt idx="24">
                  <c:v>0.0138385931818464</c:v>
                </c:pt>
                <c:pt idx="25">
                  <c:v>0.01542602695583</c:v>
                </c:pt>
                <c:pt idx="26">
                  <c:v>0.0175444813108699</c:v>
                </c:pt>
                <c:pt idx="27">
                  <c:v>0.0190358293553724</c:v>
                </c:pt>
                <c:pt idx="28">
                  <c:v>0.0169264916476422</c:v>
                </c:pt>
                <c:pt idx="29">
                  <c:v>0.0177798478933193</c:v>
                </c:pt>
                <c:pt idx="30">
                  <c:v>0.0182963881526126</c:v>
                </c:pt>
                <c:pt idx="31">
                  <c:v>0.0178210037692128</c:v>
                </c:pt>
                <c:pt idx="32">
                  <c:v>0.0243626159800823</c:v>
                </c:pt>
                <c:pt idx="33">
                  <c:v>0.0237371554650759</c:v>
                </c:pt>
                <c:pt idx="34">
                  <c:v>0.0266634184936926</c:v>
                </c:pt>
                <c:pt idx="35">
                  <c:v>0.0292813392939971</c:v>
                </c:pt>
                <c:pt idx="36">
                  <c:v>0.0334959241878011</c:v>
                </c:pt>
                <c:pt idx="37">
                  <c:v>0.0367460056226836</c:v>
                </c:pt>
                <c:pt idx="38">
                  <c:v>0.0356404113798985</c:v>
                </c:pt>
                <c:pt idx="39">
                  <c:v>0.0316530456969004</c:v>
                </c:pt>
                <c:pt idx="40">
                  <c:v>0.0360683826794934</c:v>
                </c:pt>
                <c:pt idx="41">
                  <c:v>0.039808319723991</c:v>
                </c:pt>
                <c:pt idx="42">
                  <c:v>0.0463683909583193</c:v>
                </c:pt>
                <c:pt idx="43">
                  <c:v>0.035635406010101</c:v>
                </c:pt>
                <c:pt idx="44">
                  <c:v>0.039935843277025</c:v>
                </c:pt>
                <c:pt idx="45">
                  <c:v>0.0438049552473694</c:v>
                </c:pt>
                <c:pt idx="46">
                  <c:v>0.0484220227300843</c:v>
                </c:pt>
                <c:pt idx="47">
                  <c:v>0.0542476098625293</c:v>
                </c:pt>
                <c:pt idx="48">
                  <c:v>0.058340899184771</c:v>
                </c:pt>
                <c:pt idx="49">
                  <c:v>0.0662965073706044</c:v>
                </c:pt>
                <c:pt idx="50">
                  <c:v>0.0725498430919633</c:v>
                </c:pt>
              </c:numCache>
            </c:numRef>
          </c:val>
        </c:ser>
        <c:ser>
          <c:idx val="5"/>
          <c:order val="1"/>
          <c:tx>
            <c:strRef>
              <c:f>'Assets(BoP)'!$DW$3</c:f>
              <c:strCache>
                <c:ptCount val="1"/>
                <c:pt idx="0">
                  <c:v>Netherlands</c:v>
                </c:pt>
              </c:strCache>
            </c:strRef>
          </c:tx>
          <c:spPr>
            <a:solidFill>
              <a:schemeClr val="bg1">
                <a:lumMod val="65000"/>
              </a:schemeClr>
            </a:solidFill>
            <a:ln w="12700">
              <a:solidFill>
                <a:schemeClr val="tx1"/>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'Assets(BoP)'!$LJ$58:$LJ$108</c:f>
              <c:numCache>
                <c:formatCode>0%</c:formatCode>
                <c:ptCount val="51"/>
                <c:pt idx="0">
                  <c:v>0.0182444321775094</c:v>
                </c:pt>
                <c:pt idx="1">
                  <c:v>0.0186549246648756</c:v>
                </c:pt>
                <c:pt idx="2">
                  <c:v>0.0192485455800486</c:v>
                </c:pt>
                <c:pt idx="3">
                  <c:v>0.0205566875957562</c:v>
                </c:pt>
                <c:pt idx="4">
                  <c:v>0.0224904077290546</c:v>
                </c:pt>
                <c:pt idx="5">
                  <c:v>0.0227315201205723</c:v>
                </c:pt>
                <c:pt idx="6">
                  <c:v>0.0236355045912906</c:v>
                </c:pt>
                <c:pt idx="7">
                  <c:v>0.0254179820053032</c:v>
                </c:pt>
                <c:pt idx="8">
                  <c:v>0.0310723210001815</c:v>
                </c:pt>
                <c:pt idx="9">
                  <c:v>0.0272503924176967</c:v>
                </c:pt>
                <c:pt idx="10">
                  <c:v>0.0289164075551552</c:v>
                </c:pt>
                <c:pt idx="11">
                  <c:v>0.0340173312825899</c:v>
                </c:pt>
                <c:pt idx="12">
                  <c:v>0.0349615389742838</c:v>
                </c:pt>
                <c:pt idx="13">
                  <c:v>0.0393427460563051</c:v>
                </c:pt>
                <c:pt idx="14">
                  <c:v>0.0396654660285193</c:v>
                </c:pt>
                <c:pt idx="15">
                  <c:v>0.0408684724289682</c:v>
                </c:pt>
                <c:pt idx="16">
                  <c:v>0.0347270520857816</c:v>
                </c:pt>
                <c:pt idx="17">
                  <c:v>0.0354997831016024</c:v>
                </c:pt>
                <c:pt idx="18">
                  <c:v>0.0331408082670207</c:v>
                </c:pt>
                <c:pt idx="19">
                  <c:v>0.0361644927592863</c:v>
                </c:pt>
                <c:pt idx="20">
                  <c:v>0.049960381627114</c:v>
                </c:pt>
                <c:pt idx="21">
                  <c:v>0.0498464269483342</c:v>
                </c:pt>
                <c:pt idx="22">
                  <c:v>0.0504051964669712</c:v>
                </c:pt>
                <c:pt idx="23">
                  <c:v>0.0514453041048786</c:v>
                </c:pt>
                <c:pt idx="24">
                  <c:v>0.0552141376785515</c:v>
                </c:pt>
                <c:pt idx="25">
                  <c:v>0.0548502241061107</c:v>
                </c:pt>
                <c:pt idx="26">
                  <c:v>0.0528975936604065</c:v>
                </c:pt>
                <c:pt idx="27">
                  <c:v>0.0505428630235669</c:v>
                </c:pt>
                <c:pt idx="28">
                  <c:v>0.061339635997603</c:v>
                </c:pt>
                <c:pt idx="29">
                  <c:v>0.0674875871086935</c:v>
                </c:pt>
                <c:pt idx="30">
                  <c:v>0.0786207835201214</c:v>
                </c:pt>
                <c:pt idx="31">
                  <c:v>0.0889796291977319</c:v>
                </c:pt>
                <c:pt idx="32">
                  <c:v>0.091752330146552</c:v>
                </c:pt>
                <c:pt idx="33">
                  <c:v>0.107726813493846</c:v>
                </c:pt>
                <c:pt idx="34">
                  <c:v>0.101233820502194</c:v>
                </c:pt>
                <c:pt idx="35">
                  <c:v>0.113451054143548</c:v>
                </c:pt>
                <c:pt idx="36">
                  <c:v>0.10863172648476</c:v>
                </c:pt>
                <c:pt idx="37">
                  <c:v>0.115564272861898</c:v>
                </c:pt>
                <c:pt idx="38">
                  <c:v>0.109915249157521</c:v>
                </c:pt>
                <c:pt idx="39">
                  <c:v>0.108579944489961</c:v>
                </c:pt>
                <c:pt idx="40">
                  <c:v>0.115612069392576</c:v>
                </c:pt>
                <c:pt idx="41">
                  <c:v>0.138110535736549</c:v>
                </c:pt>
                <c:pt idx="42">
                  <c:v>0.12697176115185</c:v>
                </c:pt>
                <c:pt idx="43">
                  <c:v>0.135328017887013</c:v>
                </c:pt>
                <c:pt idx="44">
                  <c:v>0.135612553733648</c:v>
                </c:pt>
                <c:pt idx="45">
                  <c:v>0.143641796371187</c:v>
                </c:pt>
                <c:pt idx="46">
                  <c:v>0.14637035019597</c:v>
                </c:pt>
                <c:pt idx="47">
                  <c:v>0.159523481717871</c:v>
                </c:pt>
                <c:pt idx="48">
                  <c:v>0.147871436944022</c:v>
                </c:pt>
                <c:pt idx="49">
                  <c:v>0.1533237714831</c:v>
                </c:pt>
                <c:pt idx="50">
                  <c:v>0.157568333741644</c:v>
                </c:pt>
              </c:numCache>
            </c:numRef>
          </c:val>
        </c:ser>
        <c:ser>
          <c:idx val="2"/>
          <c:order val="2"/>
          <c:tx>
            <c:strRef>
              <c:f>'Assets(BoP)'!$DX$3</c:f>
              <c:strCache>
                <c:ptCount val="1"/>
                <c:pt idx="0">
                  <c:v>Luxembourg</c:v>
                </c:pt>
              </c:strCache>
            </c:strRef>
          </c:tx>
          <c:spPr>
            <a:solidFill>
              <a:schemeClr val="bg1">
                <a:lumMod val="85000"/>
              </a:schemeClr>
            </a:solidFill>
            <a:ln w="12700">
              <a:solidFill>
                <a:schemeClr val="tx1"/>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'Assets(BoP)'!$LK$58:$LK$108</c:f>
              <c:numCache>
                <c:formatCode>0%</c:formatCode>
                <c:ptCount val="51"/>
                <c:pt idx="0">
                  <c:v>0.00325044481323444</c:v>
                </c:pt>
                <c:pt idx="1">
                  <c:v>0.00344250671650797</c:v>
                </c:pt>
                <c:pt idx="2">
                  <c:v>0.00276488715102254</c:v>
                </c:pt>
                <c:pt idx="3">
                  <c:v>0.00295271703170894</c:v>
                </c:pt>
                <c:pt idx="4">
                  <c:v>0.0037145447604116</c:v>
                </c:pt>
                <c:pt idx="5">
                  <c:v>0.00413059655073882</c:v>
                </c:pt>
                <c:pt idx="6">
                  <c:v>0.0039433584302466</c:v>
                </c:pt>
                <c:pt idx="7">
                  <c:v>0.00336096615801416</c:v>
                </c:pt>
                <c:pt idx="8">
                  <c:v>0.00317875406651473</c:v>
                </c:pt>
                <c:pt idx="9">
                  <c:v>0.00382754946777464</c:v>
                </c:pt>
                <c:pt idx="10">
                  <c:v>0.00424392986346678</c:v>
                </c:pt>
                <c:pt idx="11">
                  <c:v>0.00507934126120719</c:v>
                </c:pt>
                <c:pt idx="12">
                  <c:v>0.0037994427483969</c:v>
                </c:pt>
                <c:pt idx="13">
                  <c:v>0.00307730955222006</c:v>
                </c:pt>
                <c:pt idx="14">
                  <c:v>0.00321705235111265</c:v>
                </c:pt>
                <c:pt idx="15">
                  <c:v>0.0030374276002467</c:v>
                </c:pt>
                <c:pt idx="16">
                  <c:v>0.00511792328391284</c:v>
                </c:pt>
                <c:pt idx="17">
                  <c:v>0.00534866976436337</c:v>
                </c:pt>
                <c:pt idx="18">
                  <c:v>0.00191961303307316</c:v>
                </c:pt>
                <c:pt idx="19">
                  <c:v>0.00288378127027048</c:v>
                </c:pt>
                <c:pt idx="20">
                  <c:v>0.00354234863451065</c:v>
                </c:pt>
                <c:pt idx="21">
                  <c:v>0.00310196213593121</c:v>
                </c:pt>
                <c:pt idx="22">
                  <c:v>0.00255024969343688</c:v>
                </c:pt>
                <c:pt idx="23">
                  <c:v>0.00373556392593347</c:v>
                </c:pt>
                <c:pt idx="24">
                  <c:v>0.00324650343141513</c:v>
                </c:pt>
                <c:pt idx="25">
                  <c:v>0.00325624263401861</c:v>
                </c:pt>
                <c:pt idx="26">
                  <c:v>0.00383124483243673</c:v>
                </c:pt>
                <c:pt idx="27">
                  <c:v>0.010398112744516</c:v>
                </c:pt>
                <c:pt idx="28">
                  <c:v>0.0110037131648077</c:v>
                </c:pt>
                <c:pt idx="29">
                  <c:v>0.0104421205056907</c:v>
                </c:pt>
                <c:pt idx="30">
                  <c:v>0.0116197221825061</c:v>
                </c:pt>
                <c:pt idx="31">
                  <c:v>0.0124185907708203</c:v>
                </c:pt>
                <c:pt idx="32">
                  <c:v>0.0123963685566467</c:v>
                </c:pt>
                <c:pt idx="33">
                  <c:v>0.0182140765298289</c:v>
                </c:pt>
                <c:pt idx="34">
                  <c:v>0.0241956062323819</c:v>
                </c:pt>
                <c:pt idx="35">
                  <c:v>0.0265956671974632</c:v>
                </c:pt>
                <c:pt idx="36">
                  <c:v>0.029853145243956</c:v>
                </c:pt>
                <c:pt idx="37">
                  <c:v>0.0277543691599519</c:v>
                </c:pt>
                <c:pt idx="38">
                  <c:v>0.0300592707282456</c:v>
                </c:pt>
                <c:pt idx="39">
                  <c:v>0.0303505374186176</c:v>
                </c:pt>
                <c:pt idx="40">
                  <c:v>0.0473384621936307</c:v>
                </c:pt>
                <c:pt idx="41">
                  <c:v>0.0436921276731281</c:v>
                </c:pt>
                <c:pt idx="42">
                  <c:v>0.0476245674774428</c:v>
                </c:pt>
                <c:pt idx="43">
                  <c:v>0.0560705636426945</c:v>
                </c:pt>
                <c:pt idx="44">
                  <c:v>0.0670977554152991</c:v>
                </c:pt>
                <c:pt idx="45">
                  <c:v>0.0806838927098767</c:v>
                </c:pt>
                <c:pt idx="46">
                  <c:v>0.087285269175332</c:v>
                </c:pt>
                <c:pt idx="47">
                  <c:v>0.0930300205330464</c:v>
                </c:pt>
                <c:pt idx="48">
                  <c:v>0.106420770610588</c:v>
                </c:pt>
                <c:pt idx="49">
                  <c:v>0.107689475393215</c:v>
                </c:pt>
                <c:pt idx="50">
                  <c:v>0.110487756506725</c:v>
                </c:pt>
              </c:numCache>
            </c:numRef>
          </c:val>
        </c:ser>
        <c:ser>
          <c:idx val="4"/>
          <c:order val="3"/>
          <c:tx>
            <c:strRef>
              <c:f>'Assets(BoP)'!$DY$3</c:f>
              <c:strCache>
                <c:ptCount val="1"/>
                <c:pt idx="0">
                  <c:v>Switzerland</c:v>
                </c:pt>
              </c:strCache>
            </c:strRef>
          </c:tx>
          <c:spPr>
            <a:pattFill prst="pct10">
              <a:fgClr>
                <a:schemeClr val="tx1"/>
              </a:fgClr>
              <a:bgClr>
                <a:prstClr val="white"/>
              </a:bgClr>
            </a:pattFill>
            <a:ln w="12700">
              <a:solidFill>
                <a:schemeClr val="tx1"/>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'Assets(BoP)'!$LL$58:$LL$108</c:f>
              <c:numCache>
                <c:formatCode>0%</c:formatCode>
                <c:ptCount val="51"/>
                <c:pt idx="0">
                  <c:v>0.039424749992779</c:v>
                </c:pt>
                <c:pt idx="1">
                  <c:v>0.0391561099151409</c:v>
                </c:pt>
                <c:pt idx="2">
                  <c:v>0.0380216010131061</c:v>
                </c:pt>
                <c:pt idx="3">
                  <c:v>0.0382408950356652</c:v>
                </c:pt>
                <c:pt idx="4">
                  <c:v>0.0381756533775114</c:v>
                </c:pt>
                <c:pt idx="5">
                  <c:v>0.0377049326170005</c:v>
                </c:pt>
                <c:pt idx="6">
                  <c:v>0.037042923254129</c:v>
                </c:pt>
                <c:pt idx="7">
                  <c:v>0.0412177650375113</c:v>
                </c:pt>
                <c:pt idx="8">
                  <c:v>0.0464793446163201</c:v>
                </c:pt>
                <c:pt idx="9">
                  <c:v>0.0453322640413218</c:v>
                </c:pt>
                <c:pt idx="10">
                  <c:v>0.0474825706277584</c:v>
                </c:pt>
                <c:pt idx="11">
                  <c:v>0.0538845331432644</c:v>
                </c:pt>
                <c:pt idx="12">
                  <c:v>0.0561184359627255</c:v>
                </c:pt>
                <c:pt idx="13">
                  <c:v>0.0552773860567618</c:v>
                </c:pt>
                <c:pt idx="14">
                  <c:v>0.0556569793259979</c:v>
                </c:pt>
                <c:pt idx="15">
                  <c:v>0.057961538283181</c:v>
                </c:pt>
                <c:pt idx="16">
                  <c:v>0.0626429972707607</c:v>
                </c:pt>
                <c:pt idx="17">
                  <c:v>0.0644568372188706</c:v>
                </c:pt>
                <c:pt idx="18">
                  <c:v>0.0643281777206498</c:v>
                </c:pt>
                <c:pt idx="19">
                  <c:v>0.0655728096157303</c:v>
                </c:pt>
                <c:pt idx="20">
                  <c:v>0.0624285166235824</c:v>
                </c:pt>
                <c:pt idx="21">
                  <c:v>0.0615634255178324</c:v>
                </c:pt>
                <c:pt idx="22">
                  <c:v>0.0586912864987826</c:v>
                </c:pt>
                <c:pt idx="23">
                  <c:v>0.0639061386541789</c:v>
                </c:pt>
                <c:pt idx="24">
                  <c:v>0.0654339219896003</c:v>
                </c:pt>
                <c:pt idx="25">
                  <c:v>0.0615801677922675</c:v>
                </c:pt>
                <c:pt idx="26">
                  <c:v>0.0618368070096318</c:v>
                </c:pt>
                <c:pt idx="27">
                  <c:v>0.0634514451278885</c:v>
                </c:pt>
                <c:pt idx="28">
                  <c:v>0.0477406903843334</c:v>
                </c:pt>
                <c:pt idx="29">
                  <c:v>0.046175019426838</c:v>
                </c:pt>
                <c:pt idx="30">
                  <c:v>0.0413289266742188</c:v>
                </c:pt>
                <c:pt idx="31">
                  <c:v>0.0401271952592682</c:v>
                </c:pt>
                <c:pt idx="32">
                  <c:v>0.0411772998160746</c:v>
                </c:pt>
                <c:pt idx="33">
                  <c:v>0.0316618615169109</c:v>
                </c:pt>
                <c:pt idx="34">
                  <c:v>0.0409244106192993</c:v>
                </c:pt>
                <c:pt idx="35">
                  <c:v>0.0430512547064429</c:v>
                </c:pt>
                <c:pt idx="36">
                  <c:v>0.0471922570027962</c:v>
                </c:pt>
                <c:pt idx="37">
                  <c:v>0.0544825702473565</c:v>
                </c:pt>
                <c:pt idx="38">
                  <c:v>0.0585628626319089</c:v>
                </c:pt>
                <c:pt idx="39">
                  <c:v>0.046926587048372</c:v>
                </c:pt>
                <c:pt idx="40">
                  <c:v>0.042507559014195</c:v>
                </c:pt>
                <c:pt idx="41">
                  <c:v>0.0314325094654473</c:v>
                </c:pt>
                <c:pt idx="42">
                  <c:v>0.0407826835331117</c:v>
                </c:pt>
                <c:pt idx="43">
                  <c:v>0.0362443740069465</c:v>
                </c:pt>
                <c:pt idx="44">
                  <c:v>0.0347010869718173</c:v>
                </c:pt>
                <c:pt idx="45">
                  <c:v>0.0300647007547946</c:v>
                </c:pt>
                <c:pt idx="46">
                  <c:v>0.0304667713249178</c:v>
                </c:pt>
                <c:pt idx="47">
                  <c:v>0.031968352668828</c:v>
                </c:pt>
                <c:pt idx="48">
                  <c:v>0.0315700887424624</c:v>
                </c:pt>
                <c:pt idx="49">
                  <c:v>0.0344052656167683</c:v>
                </c:pt>
                <c:pt idx="50">
                  <c:v>0.0370131864969649</c:v>
                </c:pt>
              </c:numCache>
            </c:numRef>
          </c:val>
        </c:ser>
        <c:ser>
          <c:idx val="6"/>
          <c:order val="4"/>
          <c:tx>
            <c:strRef>
              <c:f>'Assets(BoP)'!$DZ$3</c:f>
              <c:strCache>
                <c:ptCount val="1"/>
                <c:pt idx="0">
                  <c:v>Bermuda &amp; other Caribbean</c:v>
                </c:pt>
              </c:strCache>
            </c:strRef>
          </c:tx>
          <c:spPr>
            <a:solidFill>
              <a:schemeClr val="bg1"/>
            </a:solidFill>
            <a:ln w="12700">
              <a:solidFill>
                <a:schemeClr val="tx1"/>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'Assets(BoP)'!$LM$58:$LM$108</c:f>
              <c:numCache>
                <c:formatCode>0%</c:formatCode>
                <c:ptCount val="51"/>
                <c:pt idx="0">
                  <c:v>0.00970519909396708</c:v>
                </c:pt>
                <c:pt idx="1">
                  <c:v>0.00982364486476129</c:v>
                </c:pt>
                <c:pt idx="2">
                  <c:v>0.01082708675445</c:v>
                </c:pt>
                <c:pt idx="3">
                  <c:v>0.0101226842587065</c:v>
                </c:pt>
                <c:pt idx="4">
                  <c:v>0.0107837877575699</c:v>
                </c:pt>
                <c:pt idx="5">
                  <c:v>0.0115550790688617</c:v>
                </c:pt>
                <c:pt idx="6">
                  <c:v>0.0122391987278779</c:v>
                </c:pt>
                <c:pt idx="7">
                  <c:v>0.0127824783655921</c:v>
                </c:pt>
                <c:pt idx="8">
                  <c:v>0.0195890719348971</c:v>
                </c:pt>
                <c:pt idx="9">
                  <c:v>0.0203220879328099</c:v>
                </c:pt>
                <c:pt idx="10">
                  <c:v>0.0224442084973556</c:v>
                </c:pt>
                <c:pt idx="11">
                  <c:v>0.0298068049668005</c:v>
                </c:pt>
                <c:pt idx="12">
                  <c:v>0.038796976443455</c:v>
                </c:pt>
                <c:pt idx="13">
                  <c:v>0.0458102344807111</c:v>
                </c:pt>
                <c:pt idx="14">
                  <c:v>0.0519050673508659</c:v>
                </c:pt>
                <c:pt idx="15">
                  <c:v>0.0485710178396702</c:v>
                </c:pt>
                <c:pt idx="16">
                  <c:v>0.0638085599305459</c:v>
                </c:pt>
                <c:pt idx="17">
                  <c:v>0.0809008662519509</c:v>
                </c:pt>
                <c:pt idx="18">
                  <c:v>0.0958072945295256</c:v>
                </c:pt>
                <c:pt idx="19">
                  <c:v>0.0915815469259204</c:v>
                </c:pt>
                <c:pt idx="20">
                  <c:v>0.0862891746829634</c:v>
                </c:pt>
                <c:pt idx="21">
                  <c:v>0.082404828934566</c:v>
                </c:pt>
                <c:pt idx="22">
                  <c:v>0.0729324020923303</c:v>
                </c:pt>
                <c:pt idx="23">
                  <c:v>0.0675229337043447</c:v>
                </c:pt>
                <c:pt idx="24">
                  <c:v>0.0627582868985716</c:v>
                </c:pt>
                <c:pt idx="25">
                  <c:v>0.0686515099275965</c:v>
                </c:pt>
                <c:pt idx="26">
                  <c:v>0.0740113176346788</c:v>
                </c:pt>
                <c:pt idx="27">
                  <c:v>0.0672196230238836</c:v>
                </c:pt>
                <c:pt idx="28">
                  <c:v>0.0754147212229727</c:v>
                </c:pt>
                <c:pt idx="29">
                  <c:v>0.0711568408996576</c:v>
                </c:pt>
                <c:pt idx="30">
                  <c:v>0.0764534276255733</c:v>
                </c:pt>
                <c:pt idx="31">
                  <c:v>0.0751786175540492</c:v>
                </c:pt>
                <c:pt idx="32">
                  <c:v>0.0755237210417478</c:v>
                </c:pt>
                <c:pt idx="33">
                  <c:v>0.0888412480878916</c:v>
                </c:pt>
                <c:pt idx="34">
                  <c:v>0.0922817929914817</c:v>
                </c:pt>
                <c:pt idx="35">
                  <c:v>0.108976339558501</c:v>
                </c:pt>
                <c:pt idx="36">
                  <c:v>0.110778413884957</c:v>
                </c:pt>
                <c:pt idx="37">
                  <c:v>0.110338399454724</c:v>
                </c:pt>
                <c:pt idx="38">
                  <c:v>0.111841243039448</c:v>
                </c:pt>
                <c:pt idx="39">
                  <c:v>0.114539382609128</c:v>
                </c:pt>
                <c:pt idx="40">
                  <c:v>0.110536731290191</c:v>
                </c:pt>
                <c:pt idx="41">
                  <c:v>0.125634899988387</c:v>
                </c:pt>
                <c:pt idx="42">
                  <c:v>0.127203104723376</c:v>
                </c:pt>
                <c:pt idx="43">
                  <c:v>0.148903154029084</c:v>
                </c:pt>
                <c:pt idx="44">
                  <c:v>0.146635937333775</c:v>
                </c:pt>
                <c:pt idx="45">
                  <c:v>0.142028102955818</c:v>
                </c:pt>
                <c:pt idx="46">
                  <c:v>0.139902892231091</c:v>
                </c:pt>
                <c:pt idx="47">
                  <c:v>0.133120262735318</c:v>
                </c:pt>
                <c:pt idx="48">
                  <c:v>0.145782812596624</c:v>
                </c:pt>
                <c:pt idx="49">
                  <c:v>0.14181082612398</c:v>
                </c:pt>
                <c:pt idx="50">
                  <c:v>0.130190506188826</c:v>
                </c:pt>
              </c:numCache>
            </c:numRef>
          </c:val>
        </c:ser>
        <c:ser>
          <c:idx val="0"/>
          <c:order val="5"/>
          <c:tx>
            <c:strRef>
              <c:f>'Assets(BoP)'!$EC$3</c:f>
              <c:strCache>
                <c:ptCount val="1"/>
                <c:pt idx="0">
                  <c:v>Singapore</c:v>
                </c:pt>
              </c:strCache>
            </c:strRef>
          </c:tx>
          <c:spPr>
            <a:solidFill>
              <a:sysClr val="window" lastClr="FFFFFF">
                <a:lumMod val="95000"/>
              </a:sysClr>
            </a:solidFill>
            <a:ln>
              <a:solidFill>
                <a:sysClr val="windowText" lastClr="000000"/>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'Assets(BoP)'!$LP$58:$LP$108</c:f>
              <c:numCache>
                <c:formatCode>0%</c:formatCode>
                <c:ptCount val="51"/>
                <c:pt idx="0">
                  <c:v>0.000629118350948601</c:v>
                </c:pt>
                <c:pt idx="1">
                  <c:v>0.000596188314032106</c:v>
                </c:pt>
                <c:pt idx="2">
                  <c:v>0.000810094324503419</c:v>
                </c:pt>
                <c:pt idx="3">
                  <c:v>0.00107517413654619</c:v>
                </c:pt>
                <c:pt idx="4">
                  <c:v>0.00140746422562471</c:v>
                </c:pt>
                <c:pt idx="5">
                  <c:v>0.00136362642540416</c:v>
                </c:pt>
                <c:pt idx="6">
                  <c:v>0.00223046211210823</c:v>
                </c:pt>
                <c:pt idx="7">
                  <c:v>0.00295030148275841</c:v>
                </c:pt>
                <c:pt idx="8">
                  <c:v>0.00358603193128694</c:v>
                </c:pt>
                <c:pt idx="9">
                  <c:v>0.00426749768246139</c:v>
                </c:pt>
                <c:pt idx="10">
                  <c:v>0.00380717591635272</c:v>
                </c:pt>
                <c:pt idx="11">
                  <c:v>0.0038714033837266</c:v>
                </c:pt>
                <c:pt idx="12">
                  <c:v>0.00483929023743184</c:v>
                </c:pt>
                <c:pt idx="13">
                  <c:v>0.004938539448368</c:v>
                </c:pt>
                <c:pt idx="14">
                  <c:v>0.00594069176493808</c:v>
                </c:pt>
                <c:pt idx="15">
                  <c:v>0.00852798375092166</c:v>
                </c:pt>
                <c:pt idx="16">
                  <c:v>0.00945880479463553</c:v>
                </c:pt>
                <c:pt idx="17">
                  <c:v>0.0106660346053567</c:v>
                </c:pt>
                <c:pt idx="18">
                  <c:v>0.0108919012625472</c:v>
                </c:pt>
                <c:pt idx="19">
                  <c:v>0.0109607133646459</c:v>
                </c:pt>
                <c:pt idx="20">
                  <c:v>0.0116703894790811</c:v>
                </c:pt>
                <c:pt idx="21">
                  <c:v>0.0113525103932507</c:v>
                </c:pt>
                <c:pt idx="22">
                  <c:v>0.010464613434277</c:v>
                </c:pt>
                <c:pt idx="23">
                  <c:v>0.0113028380105648</c:v>
                </c:pt>
                <c:pt idx="24">
                  <c:v>0.0124920885094131</c:v>
                </c:pt>
                <c:pt idx="25">
                  <c:v>0.0136852328833183</c:v>
                </c:pt>
                <c:pt idx="26">
                  <c:v>0.0154022914451997</c:v>
                </c:pt>
                <c:pt idx="27">
                  <c:v>0.0179047822610651</c:v>
                </c:pt>
                <c:pt idx="28">
                  <c:v>0.0195289657632083</c:v>
                </c:pt>
                <c:pt idx="29">
                  <c:v>0.0197826066603627</c:v>
                </c:pt>
                <c:pt idx="30">
                  <c:v>0.0203166415538423</c:v>
                </c:pt>
                <c:pt idx="31">
                  <c:v>0.0213413181461391</c:v>
                </c:pt>
                <c:pt idx="32">
                  <c:v>0.018957519571899</c:v>
                </c:pt>
                <c:pt idx="33">
                  <c:v>0.0172947480755707</c:v>
                </c:pt>
                <c:pt idx="34">
                  <c:v>0.0178424025291222</c:v>
                </c:pt>
                <c:pt idx="35">
                  <c:v>0.028371676164526</c:v>
                </c:pt>
                <c:pt idx="36">
                  <c:v>0.0345659556367541</c:v>
                </c:pt>
                <c:pt idx="37">
                  <c:v>0.0295942970103611</c:v>
                </c:pt>
                <c:pt idx="38">
                  <c:v>0.0283339276661414</c:v>
                </c:pt>
                <c:pt idx="39">
                  <c:v>0.0314404260770535</c:v>
                </c:pt>
                <c:pt idx="40">
                  <c:v>0.0353846167216953</c:v>
                </c:pt>
                <c:pt idx="41">
                  <c:v>0.0334003924852468</c:v>
                </c:pt>
                <c:pt idx="42">
                  <c:v>0.0275550085420003</c:v>
                </c:pt>
                <c:pt idx="43">
                  <c:v>0.0268811168125765</c:v>
                </c:pt>
                <c:pt idx="44">
                  <c:v>0.0285890868277208</c:v>
                </c:pt>
                <c:pt idx="45">
                  <c:v>0.0307335717477607</c:v>
                </c:pt>
                <c:pt idx="46">
                  <c:v>0.0343636449074043</c:v>
                </c:pt>
                <c:pt idx="47">
                  <c:v>0.0407850277035159</c:v>
                </c:pt>
                <c:pt idx="48">
                  <c:v>0.0469714732986249</c:v>
                </c:pt>
                <c:pt idx="49">
                  <c:v>0.0503927178627401</c:v>
                </c:pt>
                <c:pt idx="50">
                  <c:v>0.0486002714295158</c:v>
                </c:pt>
              </c:numCache>
            </c:numRef>
          </c:val>
        </c:ser>
        <c:dLbls>
          <c:showLegendKey val="0"/>
          <c:showVal val="0"/>
          <c:showCatName val="0"/>
          <c:showSerName val="0"/>
          <c:showPercent val="0"/>
          <c:showBubbleSize val="0"/>
        </c:dLbls>
        <c:axId val="-2101152648"/>
        <c:axId val="-2101241688"/>
      </c:areaChart>
      <c:catAx>
        <c:axId val="-2101152648"/>
        <c:scaling>
          <c:orientation val="minMax"/>
        </c:scaling>
        <c:delete val="0"/>
        <c:axPos val="b"/>
        <c:numFmt formatCode="General" sourceLinked="1"/>
        <c:majorTickMark val="none"/>
        <c:minorTickMark val="none"/>
        <c:tickLblPos val="nextTo"/>
        <c:txPr>
          <a:bodyPr rot="-5400000" vert="horz"/>
          <a:lstStyle/>
          <a:p>
            <a:pPr>
              <a:defRPr sz="1600"/>
            </a:pPr>
            <a:endParaRPr lang="fr-FR"/>
          </a:p>
        </c:txPr>
        <c:crossAx val="-2101241688"/>
        <c:crosses val="autoZero"/>
        <c:auto val="1"/>
        <c:lblAlgn val="ctr"/>
        <c:lblOffset val="100"/>
        <c:tickLblSkip val="2"/>
        <c:tickMarkSkip val="2"/>
        <c:noMultiLvlLbl val="0"/>
      </c:catAx>
      <c:valAx>
        <c:axId val="-2101241688"/>
        <c:scaling>
          <c:orientation val="minMax"/>
          <c:max val="0.65"/>
          <c:min val="0.0"/>
        </c:scaling>
        <c:delete val="0"/>
        <c:axPos val="l"/>
        <c:title>
          <c:tx>
            <c:rich>
              <a:bodyPr rot="-5400000" vert="horz"/>
              <a:lstStyle/>
              <a:p>
                <a:pPr>
                  <a:defRPr sz="1600" b="0"/>
                </a:pPr>
                <a:r>
                  <a:rPr lang="fr-FR" sz="1400" b="0" i="0" u="none" strike="noStrike" baseline="0" smtClean="0"/>
                  <a:t>% of U.S direct equity investments abroad</a:t>
                </a:r>
                <a:endParaRPr lang="fr-FR" sz="1400"/>
              </a:p>
            </c:rich>
          </c:tx>
          <c:layout>
            <c:manualLayout>
              <c:xMode val="edge"/>
              <c:yMode val="edge"/>
              <c:x val="0.000276079283193049"/>
              <c:y val="0.217498334361857"/>
            </c:manualLayout>
          </c:layout>
          <c:overlay val="0"/>
        </c:title>
        <c:numFmt formatCode="0%" sourceLinked="1"/>
        <c:majorTickMark val="none"/>
        <c:minorTickMark val="none"/>
        <c:tickLblPos val="nextTo"/>
        <c:txPr>
          <a:bodyPr/>
          <a:lstStyle/>
          <a:p>
            <a:pPr>
              <a:defRPr sz="1600"/>
            </a:pPr>
            <a:endParaRPr lang="fr-FR"/>
          </a:p>
        </c:txPr>
        <c:crossAx val="-2101152648"/>
        <c:crosses val="autoZero"/>
        <c:crossBetween val="midCat"/>
      </c:valAx>
    </c:plotArea>
    <c:plotVisOnly val="1"/>
    <c:dispBlanksAs val="zero"/>
    <c:showDLblsOverMax val="0"/>
  </c:chart>
  <c:spPr>
    <a:ln>
      <a:noFill/>
    </a:ln>
  </c:spPr>
  <c:txPr>
    <a:bodyPr/>
    <a:lstStyle/>
    <a:p>
      <a:pPr>
        <a:defRPr>
          <a:latin typeface="Arial"/>
          <a:cs typeface="Arial"/>
        </a:defRPr>
      </a:pPr>
      <a:endParaRPr lang="fr-FR"/>
    </a:p>
  </c:txPr>
  <c:userShapes r:id="rId2"/>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defRPr/>
            </a:pPr>
            <a:r>
              <a:rPr lang="fr-FR" sz="1800"/>
              <a:t>Figure A.3d: The share of tax havens in U.S. DI income abroad</a:t>
            </a:r>
            <a:r>
              <a:rPr lang="fr-FR" sz="1800" baseline="0"/>
              <a:t> </a:t>
            </a:r>
            <a:r>
              <a:rPr lang="fr-FR" b="0"/>
              <a:t>(</a:t>
            </a:r>
            <a:r>
              <a:rPr lang="fr-FR" b="0" baseline="0"/>
              <a:t>dividends + retained earnings + interest from USDIA, BoP basis)</a:t>
            </a:r>
            <a:endParaRPr lang="fr-FR" b="0"/>
          </a:p>
        </c:rich>
      </c:tx>
      <c:layout>
        <c:manualLayout>
          <c:xMode val="edge"/>
          <c:yMode val="edge"/>
          <c:x val="0.158403909856096"/>
          <c:y val="2.15555634731179E-5"/>
        </c:manualLayout>
      </c:layout>
      <c:overlay val="0"/>
    </c:title>
    <c:autoTitleDeleted val="0"/>
    <c:plotArea>
      <c:layout>
        <c:manualLayout>
          <c:layoutTarget val="inner"/>
          <c:xMode val="edge"/>
          <c:yMode val="edge"/>
          <c:x val="0.110164648384469"/>
          <c:y val="0.0815345423451028"/>
          <c:w val="0.873569372793918"/>
          <c:h val="0.743434394510712"/>
        </c:manualLayout>
      </c:layout>
      <c:areaChart>
        <c:grouping val="stacked"/>
        <c:varyColors val="0"/>
        <c:ser>
          <c:idx val="1"/>
          <c:order val="0"/>
          <c:tx>
            <c:strRef>
              <c:f>'Assets(BoP)'!$DV$3</c:f>
              <c:strCache>
                <c:ptCount val="1"/>
                <c:pt idx="0">
                  <c:v>Ireland</c:v>
                </c:pt>
              </c:strCache>
            </c:strRef>
          </c:tx>
          <c:spPr>
            <a:solidFill>
              <a:schemeClr val="tx1">
                <a:lumMod val="65000"/>
                <a:lumOff val="35000"/>
              </a:schemeClr>
            </a:solidFill>
            <a:ln w="12700">
              <a:solidFill>
                <a:schemeClr val="tx1"/>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'Assets(BoP)'!$DV$58:$DV$108</c:f>
              <c:numCache>
                <c:formatCode>0%</c:formatCode>
                <c:ptCount val="51"/>
                <c:pt idx="0">
                  <c:v>0.00285225328009127</c:v>
                </c:pt>
                <c:pt idx="1">
                  <c:v>0.00338983050847457</c:v>
                </c:pt>
                <c:pt idx="2">
                  <c:v>0.00364077669902913</c:v>
                </c:pt>
                <c:pt idx="3">
                  <c:v>0.00457576153745588</c:v>
                </c:pt>
                <c:pt idx="4">
                  <c:v>0.00293793609988983</c:v>
                </c:pt>
                <c:pt idx="5">
                  <c:v>0.00229282672780871</c:v>
                </c:pt>
                <c:pt idx="6">
                  <c:v>0.00356196912960088</c:v>
                </c:pt>
                <c:pt idx="7">
                  <c:v>0.00405029621569339</c:v>
                </c:pt>
                <c:pt idx="8">
                  <c:v>0.00516809354771351</c:v>
                </c:pt>
                <c:pt idx="9">
                  <c:v>0.00867731244350708</c:v>
                </c:pt>
                <c:pt idx="10">
                  <c:v>0.00957945155008158</c:v>
                </c:pt>
                <c:pt idx="11">
                  <c:v>0.00711635236110405</c:v>
                </c:pt>
                <c:pt idx="12">
                  <c:v>0.0124911619137403</c:v>
                </c:pt>
                <c:pt idx="13">
                  <c:v>0.0103972972265144</c:v>
                </c:pt>
                <c:pt idx="14">
                  <c:v>0.0105529532116513</c:v>
                </c:pt>
                <c:pt idx="15">
                  <c:v>0.0176042274724262</c:v>
                </c:pt>
                <c:pt idx="16">
                  <c:v>0.0169566618334139</c:v>
                </c:pt>
                <c:pt idx="17">
                  <c:v>0.0188921496698459</c:v>
                </c:pt>
                <c:pt idx="18">
                  <c:v>0.0171404410329799</c:v>
                </c:pt>
                <c:pt idx="19">
                  <c:v>0.0246021266245048</c:v>
                </c:pt>
                <c:pt idx="20">
                  <c:v>0.0249355670103093</c:v>
                </c:pt>
                <c:pt idx="21">
                  <c:v>0.0261317078045368</c:v>
                </c:pt>
                <c:pt idx="22">
                  <c:v>0.022513782968669</c:v>
                </c:pt>
                <c:pt idx="23">
                  <c:v>0.0238461681099223</c:v>
                </c:pt>
                <c:pt idx="24">
                  <c:v>0.0247051927453279</c:v>
                </c:pt>
                <c:pt idx="25">
                  <c:v>0.0298730969339758</c:v>
                </c:pt>
                <c:pt idx="26">
                  <c:v>0.0359339464056165</c:v>
                </c:pt>
                <c:pt idx="27">
                  <c:v>0.0295549081355989</c:v>
                </c:pt>
                <c:pt idx="28">
                  <c:v>0.022366532825025</c:v>
                </c:pt>
                <c:pt idx="29">
                  <c:v>0.0246376479747212</c:v>
                </c:pt>
                <c:pt idx="30">
                  <c:v>0.0211765711477231</c:v>
                </c:pt>
                <c:pt idx="31">
                  <c:v>0.0224058629310838</c:v>
                </c:pt>
                <c:pt idx="32">
                  <c:v>0.0503440822268296</c:v>
                </c:pt>
                <c:pt idx="33">
                  <c:v>0.0364413894427537</c:v>
                </c:pt>
                <c:pt idx="34">
                  <c:v>0.0431813421895102</c:v>
                </c:pt>
                <c:pt idx="35">
                  <c:v>0.0469058157394868</c:v>
                </c:pt>
                <c:pt idx="36">
                  <c:v>0.0508644149191612</c:v>
                </c:pt>
                <c:pt idx="37">
                  <c:v>0.0552895528531564</c:v>
                </c:pt>
                <c:pt idx="38">
                  <c:v>0.0623539982030548</c:v>
                </c:pt>
                <c:pt idx="39">
                  <c:v>0.0628298826307484</c:v>
                </c:pt>
                <c:pt idx="40">
                  <c:v>0.0587444182115917</c:v>
                </c:pt>
                <c:pt idx="41">
                  <c:v>0.0627974771369101</c:v>
                </c:pt>
                <c:pt idx="42">
                  <c:v>0.077176972368267</c:v>
                </c:pt>
                <c:pt idx="43">
                  <c:v>0.0730445625354739</c:v>
                </c:pt>
                <c:pt idx="44">
                  <c:v>0.0646304522215969</c:v>
                </c:pt>
                <c:pt idx="45">
                  <c:v>0.0705143507312013</c:v>
                </c:pt>
                <c:pt idx="46">
                  <c:v>0.0887262633848373</c:v>
                </c:pt>
                <c:pt idx="47">
                  <c:v>0.0784223306377954</c:v>
                </c:pt>
                <c:pt idx="48">
                  <c:v>0.0979531868600204</c:v>
                </c:pt>
                <c:pt idx="49">
                  <c:v>0.128021028249949</c:v>
                </c:pt>
                <c:pt idx="50">
                  <c:v>0.124912797646634</c:v>
                </c:pt>
              </c:numCache>
            </c:numRef>
          </c:val>
        </c:ser>
        <c:ser>
          <c:idx val="5"/>
          <c:order val="1"/>
          <c:tx>
            <c:strRef>
              <c:f>'Assets(BoP)'!$DW$3</c:f>
              <c:strCache>
                <c:ptCount val="1"/>
                <c:pt idx="0">
                  <c:v>Netherlands</c:v>
                </c:pt>
              </c:strCache>
            </c:strRef>
          </c:tx>
          <c:spPr>
            <a:solidFill>
              <a:schemeClr val="bg1">
                <a:lumMod val="65000"/>
              </a:schemeClr>
            </a:solidFill>
            <a:ln w="12700">
              <a:solidFill>
                <a:schemeClr val="tx1"/>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'Assets(BoP)'!$DW$58:$DW$108</c:f>
              <c:numCache>
                <c:formatCode>0.0%</c:formatCode>
                <c:ptCount val="51"/>
                <c:pt idx="0">
                  <c:v>0.00931736071496482</c:v>
                </c:pt>
                <c:pt idx="1">
                  <c:v>0.0124888492417484</c:v>
                </c:pt>
                <c:pt idx="2">
                  <c:v>0.00819174757281553</c:v>
                </c:pt>
                <c:pt idx="3">
                  <c:v>0.00823637076742058</c:v>
                </c:pt>
                <c:pt idx="4">
                  <c:v>0.0220345207491737</c:v>
                </c:pt>
                <c:pt idx="5">
                  <c:v>0.0193252538486734</c:v>
                </c:pt>
                <c:pt idx="6">
                  <c:v>0.0141565439766189</c:v>
                </c:pt>
                <c:pt idx="7">
                  <c:v>0.0249667512997219</c:v>
                </c:pt>
                <c:pt idx="8">
                  <c:v>0.0393088327416997</c:v>
                </c:pt>
                <c:pt idx="9">
                  <c:v>0.0325399216631515</c:v>
                </c:pt>
                <c:pt idx="10">
                  <c:v>0.0349492078530449</c:v>
                </c:pt>
                <c:pt idx="11">
                  <c:v>0.0522543587658212</c:v>
                </c:pt>
                <c:pt idx="12" formatCode="0%">
                  <c:v>0.0459973289339304</c:v>
                </c:pt>
                <c:pt idx="13" formatCode="0%">
                  <c:v>0.0506508131891156</c:v>
                </c:pt>
                <c:pt idx="14" formatCode="0%">
                  <c:v>0.0498842405642599</c:v>
                </c:pt>
                <c:pt idx="15" formatCode="0%">
                  <c:v>0.0374205044701834</c:v>
                </c:pt>
                <c:pt idx="16" formatCode="0%">
                  <c:v>0.0432173352666344</c:v>
                </c:pt>
                <c:pt idx="17" formatCode="0%">
                  <c:v>0.052494497432135</c:v>
                </c:pt>
                <c:pt idx="18" formatCode="0%">
                  <c:v>0.0394522864762896</c:v>
                </c:pt>
                <c:pt idx="19" formatCode="0%">
                  <c:v>0.0526096323580513</c:v>
                </c:pt>
                <c:pt idx="20" formatCode="0%">
                  <c:v>0.0751288659793814</c:v>
                </c:pt>
                <c:pt idx="21" formatCode="0%">
                  <c:v>0.0743479564304986</c:v>
                </c:pt>
                <c:pt idx="22" formatCode="0%">
                  <c:v>0.0571873139059108</c:v>
                </c:pt>
                <c:pt idx="23" formatCode="0%">
                  <c:v>0.0580207309610784</c:v>
                </c:pt>
                <c:pt idx="24" formatCode="0%">
                  <c:v>0.0709778635956141</c:v>
                </c:pt>
                <c:pt idx="25" formatCode="0%">
                  <c:v>0.069287922130282</c:v>
                </c:pt>
                <c:pt idx="26" formatCode="0%">
                  <c:v>0.0605557203599327</c:v>
                </c:pt>
                <c:pt idx="27" formatCode="0%">
                  <c:v>0.0402317239521059</c:v>
                </c:pt>
                <c:pt idx="28" formatCode="0%">
                  <c:v>0.0826967399655007</c:v>
                </c:pt>
                <c:pt idx="29" formatCode="0%">
                  <c:v>0.0853616651020081</c:v>
                </c:pt>
                <c:pt idx="30" formatCode="0%">
                  <c:v>0.102912579866231</c:v>
                </c:pt>
                <c:pt idx="31" formatCode="0%">
                  <c:v>0.110578849934157</c:v>
                </c:pt>
                <c:pt idx="32" formatCode="0%">
                  <c:v>0.111142970576558</c:v>
                </c:pt>
                <c:pt idx="33" formatCode="0%">
                  <c:v>0.119337461083709</c:v>
                </c:pt>
                <c:pt idx="34" formatCode="0%">
                  <c:v>0.100245340035305</c:v>
                </c:pt>
                <c:pt idx="35" formatCode="0%">
                  <c:v>0.0992647392960038</c:v>
                </c:pt>
                <c:pt idx="36" formatCode="0%">
                  <c:v>0.0940931647190651</c:v>
                </c:pt>
                <c:pt idx="37" formatCode="0%">
                  <c:v>0.100452170965418</c:v>
                </c:pt>
                <c:pt idx="38" formatCode="0%">
                  <c:v>0.132062323318651</c:v>
                </c:pt>
                <c:pt idx="39" formatCode="0%">
                  <c:v>0.124644600315584</c:v>
                </c:pt>
                <c:pt idx="40" formatCode="0%">
                  <c:v>0.1172060477321</c:v>
                </c:pt>
                <c:pt idx="41" formatCode="0%">
                  <c:v>0.126357295202963</c:v>
                </c:pt>
                <c:pt idx="42" formatCode="0%">
                  <c:v>0.122945688299394</c:v>
                </c:pt>
                <c:pt idx="43" formatCode="0%">
                  <c:v>0.166078008699002</c:v>
                </c:pt>
                <c:pt idx="44" formatCode="0%">
                  <c:v>0.158312280743765</c:v>
                </c:pt>
                <c:pt idx="45" formatCode="0%">
                  <c:v>0.171555099445603</c:v>
                </c:pt>
                <c:pt idx="46" formatCode="0%">
                  <c:v>0.170796345034913</c:v>
                </c:pt>
                <c:pt idx="47" formatCode="0%">
                  <c:v>0.174956002584152</c:v>
                </c:pt>
                <c:pt idx="48" formatCode="0%">
                  <c:v>0.15525049628209</c:v>
                </c:pt>
                <c:pt idx="49" formatCode="0%">
                  <c:v>0.152653980540509</c:v>
                </c:pt>
                <c:pt idx="50" formatCode="0%">
                  <c:v>0.158810730645956</c:v>
                </c:pt>
              </c:numCache>
            </c:numRef>
          </c:val>
        </c:ser>
        <c:ser>
          <c:idx val="2"/>
          <c:order val="2"/>
          <c:tx>
            <c:strRef>
              <c:f>'Assets(BoP)'!$DX$3</c:f>
              <c:strCache>
                <c:ptCount val="1"/>
                <c:pt idx="0">
                  <c:v>Luxembourg</c:v>
                </c:pt>
              </c:strCache>
            </c:strRef>
          </c:tx>
          <c:spPr>
            <a:solidFill>
              <a:schemeClr val="bg1">
                <a:lumMod val="85000"/>
              </a:schemeClr>
            </a:solidFill>
            <a:ln w="12700">
              <a:solidFill>
                <a:schemeClr val="tx1"/>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'Assets(BoP)'!$DX$58:$DX$108</c:f>
              <c:numCache>
                <c:formatCode>0.0%</c:formatCode>
                <c:ptCount val="51"/>
                <c:pt idx="0">
                  <c:v>-0.000190150218672751</c:v>
                </c:pt>
                <c:pt idx="1">
                  <c:v>0.000178412132024978</c:v>
                </c:pt>
                <c:pt idx="2">
                  <c:v>0.000910194174757281</c:v>
                </c:pt>
                <c:pt idx="3">
                  <c:v>0.00339913714211008</c:v>
                </c:pt>
                <c:pt idx="4">
                  <c:v>0.00367242012486228</c:v>
                </c:pt>
                <c:pt idx="5">
                  <c:v>0.00458565345561742</c:v>
                </c:pt>
                <c:pt idx="6">
                  <c:v>0.00292264133710841</c:v>
                </c:pt>
                <c:pt idx="7">
                  <c:v>0.00519888767984524</c:v>
                </c:pt>
                <c:pt idx="8">
                  <c:v>0.00443725203591564</c:v>
                </c:pt>
                <c:pt idx="9">
                  <c:v>0.00391684242241639</c:v>
                </c:pt>
                <c:pt idx="10">
                  <c:v>0.00394757618822043</c:v>
                </c:pt>
                <c:pt idx="11">
                  <c:v>0.00304986529761602</c:v>
                </c:pt>
                <c:pt idx="12">
                  <c:v>0.00377091680414801</c:v>
                </c:pt>
                <c:pt idx="13">
                  <c:v>0.000838069297855066</c:v>
                </c:pt>
                <c:pt idx="14">
                  <c:v>0.00218058471975448</c:v>
                </c:pt>
                <c:pt idx="15">
                  <c:v>0.0027650619066638</c:v>
                </c:pt>
                <c:pt idx="16">
                  <c:v>0.0064846141453198</c:v>
                </c:pt>
                <c:pt idx="17">
                  <c:v>0.00623624358033749</c:v>
                </c:pt>
                <c:pt idx="18">
                  <c:v>0.00400052039289664</c:v>
                </c:pt>
                <c:pt idx="19">
                  <c:v>0.00257140871499062</c:v>
                </c:pt>
                <c:pt idx="20">
                  <c:v>0.00367268041237113</c:v>
                </c:pt>
                <c:pt idx="21">
                  <c:v>0.0020985310282802</c:v>
                </c:pt>
                <c:pt idx="22">
                  <c:v>0.00199781009278291</c:v>
                </c:pt>
                <c:pt idx="23" formatCode="0%">
                  <c:v>0.00337480761742291</c:v>
                </c:pt>
                <c:pt idx="24" formatCode="0%">
                  <c:v>0.00305151368871112</c:v>
                </c:pt>
                <c:pt idx="25" formatCode="0%">
                  <c:v>0.0036861404957091</c:v>
                </c:pt>
                <c:pt idx="26" formatCode="0%">
                  <c:v>0.00399485810343123</c:v>
                </c:pt>
                <c:pt idx="27" formatCode="0%">
                  <c:v>0.00678668260891531</c:v>
                </c:pt>
                <c:pt idx="28" formatCode="0%">
                  <c:v>0.0178294461275313</c:v>
                </c:pt>
                <c:pt idx="29" formatCode="0%">
                  <c:v>0.0147802990405972</c:v>
                </c:pt>
                <c:pt idx="30" formatCode="0%">
                  <c:v>0.0160694061585144</c:v>
                </c:pt>
                <c:pt idx="31" formatCode="0%">
                  <c:v>0.0148672633929423</c:v>
                </c:pt>
                <c:pt idx="32" formatCode="0%">
                  <c:v>0.0192222859411531</c:v>
                </c:pt>
                <c:pt idx="33" formatCode="0%">
                  <c:v>0.0311417777311365</c:v>
                </c:pt>
                <c:pt idx="34" formatCode="0%">
                  <c:v>0.0216243305508183</c:v>
                </c:pt>
                <c:pt idx="35" formatCode="0%">
                  <c:v>0.0461605576711594</c:v>
                </c:pt>
                <c:pt idx="36" formatCode="0%">
                  <c:v>0.0603249559788698</c:v>
                </c:pt>
                <c:pt idx="37" formatCode="0%">
                  <c:v>0.0567604704515051</c:v>
                </c:pt>
                <c:pt idx="38" formatCode="0%">
                  <c:v>0.037976902680078</c:v>
                </c:pt>
                <c:pt idx="39" formatCode="0%">
                  <c:v>0.0449173707227901</c:v>
                </c:pt>
                <c:pt idx="40" formatCode="0%">
                  <c:v>0.0570115154185601</c:v>
                </c:pt>
                <c:pt idx="41" formatCode="0%">
                  <c:v>0.056950008137347</c:v>
                </c:pt>
                <c:pt idx="42" formatCode="0%">
                  <c:v>0.0528357008708398</c:v>
                </c:pt>
                <c:pt idx="43" formatCode="0%">
                  <c:v>0.059575519278671</c:v>
                </c:pt>
                <c:pt idx="44" formatCode="0%">
                  <c:v>0.0761030160079501</c:v>
                </c:pt>
                <c:pt idx="45" formatCode="0%">
                  <c:v>0.0533291688511606</c:v>
                </c:pt>
                <c:pt idx="46" formatCode="0%">
                  <c:v>0.0661098543903179</c:v>
                </c:pt>
                <c:pt idx="47" formatCode="0%">
                  <c:v>0.0825903896277484</c:v>
                </c:pt>
                <c:pt idx="48" formatCode="0%">
                  <c:v>0.0865179502708522</c:v>
                </c:pt>
                <c:pt idx="49" formatCode="0%">
                  <c:v>0.0810271188691168</c:v>
                </c:pt>
                <c:pt idx="50" formatCode="0%">
                  <c:v>0.0804700877633755</c:v>
                </c:pt>
              </c:numCache>
            </c:numRef>
          </c:val>
        </c:ser>
        <c:ser>
          <c:idx val="4"/>
          <c:order val="3"/>
          <c:tx>
            <c:strRef>
              <c:f>'Assets(BoP)'!$DY$3</c:f>
              <c:strCache>
                <c:ptCount val="1"/>
                <c:pt idx="0">
                  <c:v>Switzerland</c:v>
                </c:pt>
              </c:strCache>
            </c:strRef>
          </c:tx>
          <c:spPr>
            <a:pattFill prst="pct10">
              <a:fgClr>
                <a:schemeClr val="tx1"/>
              </a:fgClr>
              <a:bgClr>
                <a:prstClr val="white"/>
              </a:bgClr>
            </a:pattFill>
            <a:ln w="12700">
              <a:solidFill>
                <a:schemeClr val="tx1"/>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'Assets(BoP)'!$DY$58:$DY$108</c:f>
              <c:numCache>
                <c:formatCode>0%</c:formatCode>
                <c:ptCount val="51"/>
                <c:pt idx="0">
                  <c:v>0.033656588705077</c:v>
                </c:pt>
                <c:pt idx="1">
                  <c:v>0.0380017841213202</c:v>
                </c:pt>
                <c:pt idx="2">
                  <c:v>0.0283677184466019</c:v>
                </c:pt>
                <c:pt idx="3">
                  <c:v>0.0409203817492483</c:v>
                </c:pt>
                <c:pt idx="4">
                  <c:v>0.0407638633859713</c:v>
                </c:pt>
                <c:pt idx="5">
                  <c:v>0.0432361611529643</c:v>
                </c:pt>
                <c:pt idx="6">
                  <c:v>0.0426522970134259</c:v>
                </c:pt>
                <c:pt idx="7">
                  <c:v>0.0470922500302261</c:v>
                </c:pt>
                <c:pt idx="8">
                  <c:v>0.053664648152015</c:v>
                </c:pt>
                <c:pt idx="9">
                  <c:v>0.0514010244049412</c:v>
                </c:pt>
                <c:pt idx="10">
                  <c:v>0.0460024211800621</c:v>
                </c:pt>
                <c:pt idx="11">
                  <c:v>0.051898541147766</c:v>
                </c:pt>
                <c:pt idx="12">
                  <c:v>0.0535391625422264</c:v>
                </c:pt>
                <c:pt idx="13">
                  <c:v>0.052065055129246</c:v>
                </c:pt>
                <c:pt idx="14">
                  <c:v>0.0502072901523717</c:v>
                </c:pt>
                <c:pt idx="15">
                  <c:v>0.058250637500384</c:v>
                </c:pt>
                <c:pt idx="16">
                  <c:v>0.0577573707104881</c:v>
                </c:pt>
                <c:pt idx="17">
                  <c:v>0.0514306676449009</c:v>
                </c:pt>
                <c:pt idx="18">
                  <c:v>0.0533402719052885</c:v>
                </c:pt>
                <c:pt idx="19">
                  <c:v>0.0513934255333936</c:v>
                </c:pt>
                <c:pt idx="20">
                  <c:v>0.0536726804123711</c:v>
                </c:pt>
                <c:pt idx="21">
                  <c:v>0.0675776956130708</c:v>
                </c:pt>
                <c:pt idx="22">
                  <c:v>0.0521159498242311</c:v>
                </c:pt>
                <c:pt idx="23">
                  <c:v>0.070555730682935</c:v>
                </c:pt>
                <c:pt idx="24">
                  <c:v>0.0762533618371147</c:v>
                </c:pt>
                <c:pt idx="25">
                  <c:v>0.0617428533031274</c:v>
                </c:pt>
                <c:pt idx="26">
                  <c:v>0.0536141599920894</c:v>
                </c:pt>
                <c:pt idx="27">
                  <c:v>0.0723463734191071</c:v>
                </c:pt>
                <c:pt idx="28">
                  <c:v>0.0647658254453738</c:v>
                </c:pt>
                <c:pt idx="29">
                  <c:v>0.0480960776681245</c:v>
                </c:pt>
                <c:pt idx="30">
                  <c:v>0.0472252494818044</c:v>
                </c:pt>
                <c:pt idx="31">
                  <c:v>0.0483901750100196</c:v>
                </c:pt>
                <c:pt idx="32">
                  <c:v>0.0678459570338347</c:v>
                </c:pt>
                <c:pt idx="33">
                  <c:v>0.0584706335047399</c:v>
                </c:pt>
                <c:pt idx="34">
                  <c:v>0.0376013523621458</c:v>
                </c:pt>
                <c:pt idx="35">
                  <c:v>0.0603113724563524</c:v>
                </c:pt>
                <c:pt idx="36">
                  <c:v>0.087409956779254</c:v>
                </c:pt>
                <c:pt idx="37">
                  <c:v>0.0765300872260189</c:v>
                </c:pt>
                <c:pt idx="38">
                  <c:v>0.0635242039751934</c:v>
                </c:pt>
                <c:pt idx="39">
                  <c:v>0.0564262515769999</c:v>
                </c:pt>
                <c:pt idx="40">
                  <c:v>0.0467949518930401</c:v>
                </c:pt>
                <c:pt idx="41">
                  <c:v>0.0415233113577377</c:v>
                </c:pt>
                <c:pt idx="42">
                  <c:v>0.0499320531156318</c:v>
                </c:pt>
                <c:pt idx="43">
                  <c:v>0.0500089695593741</c:v>
                </c:pt>
                <c:pt idx="44">
                  <c:v>0.0451622945127573</c:v>
                </c:pt>
                <c:pt idx="45">
                  <c:v>0.0423684005041998</c:v>
                </c:pt>
                <c:pt idx="46">
                  <c:v>0.0424753874212774</c:v>
                </c:pt>
                <c:pt idx="47">
                  <c:v>0.0523847713248234</c:v>
                </c:pt>
                <c:pt idx="48">
                  <c:v>0.0491728631831589</c:v>
                </c:pt>
                <c:pt idx="49">
                  <c:v>0.0619659643316424</c:v>
                </c:pt>
                <c:pt idx="50">
                  <c:v>0.0635955176770756</c:v>
                </c:pt>
              </c:numCache>
            </c:numRef>
          </c:val>
        </c:ser>
        <c:ser>
          <c:idx val="6"/>
          <c:order val="4"/>
          <c:tx>
            <c:strRef>
              <c:f>'Assets(BoP)'!$DZ$3</c:f>
              <c:strCache>
                <c:ptCount val="1"/>
                <c:pt idx="0">
                  <c:v>Bermuda &amp; other Caribbean</c:v>
                </c:pt>
              </c:strCache>
            </c:strRef>
          </c:tx>
          <c:spPr>
            <a:solidFill>
              <a:schemeClr val="bg1"/>
            </a:solidFill>
            <a:ln w="12700">
              <a:solidFill>
                <a:schemeClr val="tx1"/>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'Assets(BoP)'!$DZ$58:$DZ$108</c:f>
              <c:numCache>
                <c:formatCode>0%</c:formatCode>
                <c:ptCount val="51"/>
                <c:pt idx="0">
                  <c:v>0.032895987830386</c:v>
                </c:pt>
                <c:pt idx="1">
                  <c:v>0.031935771632471</c:v>
                </c:pt>
                <c:pt idx="2">
                  <c:v>0.033373786407767</c:v>
                </c:pt>
                <c:pt idx="3">
                  <c:v>0.0294156098836449</c:v>
                </c:pt>
                <c:pt idx="4">
                  <c:v>0.0263190108948464</c:v>
                </c:pt>
                <c:pt idx="5">
                  <c:v>0.0292608363358445</c:v>
                </c:pt>
                <c:pt idx="6">
                  <c:v>0.0285870855785916</c:v>
                </c:pt>
                <c:pt idx="7">
                  <c:v>0.0309515173497763</c:v>
                </c:pt>
                <c:pt idx="8">
                  <c:v>0.0442681144288996</c:v>
                </c:pt>
                <c:pt idx="9">
                  <c:v>0.0630912925579994</c:v>
                </c:pt>
                <c:pt idx="10">
                  <c:v>0.0827938312542765</c:v>
                </c:pt>
                <c:pt idx="11">
                  <c:v>0.0813805723580542</c:v>
                </c:pt>
                <c:pt idx="12">
                  <c:v>0.0890486291146201</c:v>
                </c:pt>
                <c:pt idx="13">
                  <c:v>0.0931042610585863</c:v>
                </c:pt>
                <c:pt idx="14">
                  <c:v>0.0883002207505519</c:v>
                </c:pt>
                <c:pt idx="15">
                  <c:v>0.0779440228578451</c:v>
                </c:pt>
                <c:pt idx="16">
                  <c:v>0.0847833091670694</c:v>
                </c:pt>
                <c:pt idx="17">
                  <c:v>0.0193323550990462</c:v>
                </c:pt>
                <c:pt idx="18">
                  <c:v>0.00995251414818187</c:v>
                </c:pt>
                <c:pt idx="19">
                  <c:v>0.0120578219473209</c:v>
                </c:pt>
                <c:pt idx="20">
                  <c:v>0.0192654639175258</c:v>
                </c:pt>
                <c:pt idx="21">
                  <c:v>0.0109423403617468</c:v>
                </c:pt>
                <c:pt idx="22">
                  <c:v>0.0378239237758611</c:v>
                </c:pt>
                <c:pt idx="23">
                  <c:v>0.0511969441302453</c:v>
                </c:pt>
                <c:pt idx="24">
                  <c:v>0.0520481346114061</c:v>
                </c:pt>
                <c:pt idx="25">
                  <c:v>0.0614548735769002</c:v>
                </c:pt>
                <c:pt idx="26">
                  <c:v>0.0832196183130624</c:v>
                </c:pt>
                <c:pt idx="27">
                  <c:v>0.0647176706353884</c:v>
                </c:pt>
                <c:pt idx="28">
                  <c:v>0.0800150753040428</c:v>
                </c:pt>
                <c:pt idx="29">
                  <c:v>0.0611476198108671</c:v>
                </c:pt>
                <c:pt idx="30">
                  <c:v>0.0584118640083766</c:v>
                </c:pt>
                <c:pt idx="31">
                  <c:v>0.0675229497872015</c:v>
                </c:pt>
                <c:pt idx="32">
                  <c:v>0.0754113547134854</c:v>
                </c:pt>
                <c:pt idx="33">
                  <c:v>0.0824063385454927</c:v>
                </c:pt>
                <c:pt idx="34">
                  <c:v>0.0808350537055321</c:v>
                </c:pt>
                <c:pt idx="35">
                  <c:v>0.10670823146625</c:v>
                </c:pt>
                <c:pt idx="36">
                  <c:v>0.0837201856891308</c:v>
                </c:pt>
                <c:pt idx="37">
                  <c:v>0.0838786220589214</c:v>
                </c:pt>
                <c:pt idx="38">
                  <c:v>0.096474042907545</c:v>
                </c:pt>
                <c:pt idx="39">
                  <c:v>0.101350978567514</c:v>
                </c:pt>
                <c:pt idx="40">
                  <c:v>0.0940666986722084</c:v>
                </c:pt>
                <c:pt idx="41">
                  <c:v>0.118919474527249</c:v>
                </c:pt>
                <c:pt idx="42">
                  <c:v>0.128378894221716</c:v>
                </c:pt>
                <c:pt idx="43">
                  <c:v>0.150353341822556</c:v>
                </c:pt>
                <c:pt idx="44">
                  <c:v>0.13418182253565</c:v>
                </c:pt>
                <c:pt idx="45">
                  <c:v>0.131785782011668</c:v>
                </c:pt>
                <c:pt idx="46">
                  <c:v>0.130619577300503</c:v>
                </c:pt>
                <c:pt idx="47">
                  <c:v>0.129548441711778</c:v>
                </c:pt>
                <c:pt idx="48">
                  <c:v>0.146033668674226</c:v>
                </c:pt>
                <c:pt idx="49">
                  <c:v>0.143199628218967</c:v>
                </c:pt>
                <c:pt idx="50">
                  <c:v>0.142367903679817</c:v>
                </c:pt>
              </c:numCache>
            </c:numRef>
          </c:val>
        </c:ser>
        <c:ser>
          <c:idx val="0"/>
          <c:order val="5"/>
          <c:tx>
            <c:strRef>
              <c:f>'Assets(BoP)'!$EC$3</c:f>
              <c:strCache>
                <c:ptCount val="1"/>
                <c:pt idx="0">
                  <c:v>Singapore</c:v>
                </c:pt>
              </c:strCache>
            </c:strRef>
          </c:tx>
          <c:spPr>
            <a:solidFill>
              <a:sysClr val="window" lastClr="FFFFFF">
                <a:lumMod val="95000"/>
              </a:sysClr>
            </a:solidFill>
            <a:ln>
              <a:solidFill>
                <a:sysClr val="windowText" lastClr="000000"/>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'Assets(BoP)'!$EC$58:$EC$108</c:f>
              <c:numCache>
                <c:formatCode>0.0%</c:formatCode>
                <c:ptCount val="51"/>
                <c:pt idx="0">
                  <c:v>0.000190150218672751</c:v>
                </c:pt>
                <c:pt idx="1">
                  <c:v>0.000356824264049955</c:v>
                </c:pt>
                <c:pt idx="2">
                  <c:v>0.000455097087378641</c:v>
                </c:pt>
                <c:pt idx="3">
                  <c:v>0.00104588835141849</c:v>
                </c:pt>
                <c:pt idx="4">
                  <c:v>0.00134655404578284</c:v>
                </c:pt>
                <c:pt idx="5">
                  <c:v>0.000982640026203734</c:v>
                </c:pt>
                <c:pt idx="6">
                  <c:v>0.00310530642067769</c:v>
                </c:pt>
                <c:pt idx="7">
                  <c:v>0.00459436585660742</c:v>
                </c:pt>
                <c:pt idx="8">
                  <c:v>0.00631655878053873</c:v>
                </c:pt>
                <c:pt idx="9">
                  <c:v>0.00777342573064176</c:v>
                </c:pt>
                <c:pt idx="10">
                  <c:v>0.00573714406021369</c:v>
                </c:pt>
                <c:pt idx="11">
                  <c:v>0.00493061556447923</c:v>
                </c:pt>
                <c:pt idx="12">
                  <c:v>0.00628486134024668</c:v>
                </c:pt>
                <c:pt idx="13">
                  <c:v>0.00620695073723908</c:v>
                </c:pt>
                <c:pt idx="14">
                  <c:v>0.00893770527109244</c:v>
                </c:pt>
                <c:pt idx="15">
                  <c:v>0.0148084426556883</c:v>
                </c:pt>
                <c:pt idx="16">
                  <c:v>0.0190510713710327</c:v>
                </c:pt>
                <c:pt idx="17" formatCode="0%">
                  <c:v>0.0192223037417461</c:v>
                </c:pt>
                <c:pt idx="18" formatCode="0%">
                  <c:v>0.0170428673648605</c:v>
                </c:pt>
                <c:pt idx="19" formatCode="0%">
                  <c:v>0.0139690041003544</c:v>
                </c:pt>
                <c:pt idx="20" formatCode="0%">
                  <c:v>0.0167203608247423</c:v>
                </c:pt>
                <c:pt idx="21" formatCode="0%">
                  <c:v>0.0182122514240032</c:v>
                </c:pt>
                <c:pt idx="22" formatCode="0%">
                  <c:v>0.015848012755249</c:v>
                </c:pt>
                <c:pt idx="23" formatCode="0%">
                  <c:v>0.0134806875706948</c:v>
                </c:pt>
                <c:pt idx="24" formatCode="0%">
                  <c:v>0.0194296945038273</c:v>
                </c:pt>
                <c:pt idx="25" formatCode="0%">
                  <c:v>0.0218480618964425</c:v>
                </c:pt>
                <c:pt idx="26" formatCode="0%">
                  <c:v>0.0304360723820825</c:v>
                </c:pt>
                <c:pt idx="27" formatCode="0%">
                  <c:v>0.0325356595544029</c:v>
                </c:pt>
                <c:pt idx="28" formatCode="0%">
                  <c:v>0.0309478597416905</c:v>
                </c:pt>
                <c:pt idx="29" formatCode="0%">
                  <c:v>0.0282325464245644</c:v>
                </c:pt>
                <c:pt idx="30" formatCode="0%">
                  <c:v>0.0293929098019104</c:v>
                </c:pt>
                <c:pt idx="31" formatCode="0%">
                  <c:v>0.0330648701261523</c:v>
                </c:pt>
                <c:pt idx="32" formatCode="0%">
                  <c:v>0.0195310776831797</c:v>
                </c:pt>
                <c:pt idx="33" formatCode="0%">
                  <c:v>0.0227725889390282</c:v>
                </c:pt>
                <c:pt idx="34" formatCode="0%">
                  <c:v>0.0302561110612452</c:v>
                </c:pt>
                <c:pt idx="35" formatCode="0%">
                  <c:v>0.0303011024366303</c:v>
                </c:pt>
                <c:pt idx="36" formatCode="0%">
                  <c:v>0.0355210501040499</c:v>
                </c:pt>
                <c:pt idx="37" formatCode="0%">
                  <c:v>0.0362402619807146</c:v>
                </c:pt>
                <c:pt idx="38" formatCode="0%">
                  <c:v>0.0377752941949905</c:v>
                </c:pt>
                <c:pt idx="39" formatCode="0%">
                  <c:v>0.0581476182244176</c:v>
                </c:pt>
                <c:pt idx="40" formatCode="0%">
                  <c:v>0.0511748883642318</c:v>
                </c:pt>
                <c:pt idx="41" formatCode="0%">
                  <c:v>0.0543774644026759</c:v>
                </c:pt>
                <c:pt idx="42" formatCode="0%">
                  <c:v>0.0437583024985113</c:v>
                </c:pt>
                <c:pt idx="43" formatCode="0%">
                  <c:v>0.0302847614538332</c:v>
                </c:pt>
                <c:pt idx="44" formatCode="0%">
                  <c:v>0.0386417787143353</c:v>
                </c:pt>
                <c:pt idx="45" formatCode="0%">
                  <c:v>0.047825359465459</c:v>
                </c:pt>
                <c:pt idx="46" formatCode="0%">
                  <c:v>0.0486636277103511</c:v>
                </c:pt>
                <c:pt idx="47" formatCode="0%">
                  <c:v>0.0590902002717815</c:v>
                </c:pt>
                <c:pt idx="48" formatCode="0%">
                  <c:v>0.0693695815528863</c:v>
                </c:pt>
                <c:pt idx="49" formatCode="0%">
                  <c:v>0.0615922162034567</c:v>
                </c:pt>
                <c:pt idx="50" formatCode="0%">
                  <c:v>0.0564729758077499</c:v>
                </c:pt>
              </c:numCache>
            </c:numRef>
          </c:val>
        </c:ser>
        <c:dLbls>
          <c:showLegendKey val="0"/>
          <c:showVal val="0"/>
          <c:showCatName val="0"/>
          <c:showSerName val="0"/>
          <c:showPercent val="0"/>
          <c:showBubbleSize val="0"/>
        </c:dLbls>
        <c:axId val="-2100422232"/>
        <c:axId val="-2100438696"/>
      </c:areaChart>
      <c:catAx>
        <c:axId val="-2100422232"/>
        <c:scaling>
          <c:orientation val="minMax"/>
        </c:scaling>
        <c:delete val="0"/>
        <c:axPos val="b"/>
        <c:numFmt formatCode="General" sourceLinked="1"/>
        <c:majorTickMark val="none"/>
        <c:minorTickMark val="none"/>
        <c:tickLblPos val="nextTo"/>
        <c:txPr>
          <a:bodyPr rot="-5400000" vert="horz"/>
          <a:lstStyle/>
          <a:p>
            <a:pPr>
              <a:defRPr sz="1600"/>
            </a:pPr>
            <a:endParaRPr lang="fr-FR"/>
          </a:p>
        </c:txPr>
        <c:crossAx val="-2100438696"/>
        <c:crosses val="autoZero"/>
        <c:auto val="1"/>
        <c:lblAlgn val="ctr"/>
        <c:lblOffset val="100"/>
        <c:tickLblSkip val="2"/>
        <c:tickMarkSkip val="2"/>
        <c:noMultiLvlLbl val="0"/>
      </c:catAx>
      <c:valAx>
        <c:axId val="-2100438696"/>
        <c:scaling>
          <c:orientation val="minMax"/>
          <c:max val="0.65"/>
          <c:min val="0.0"/>
        </c:scaling>
        <c:delete val="0"/>
        <c:axPos val="l"/>
        <c:title>
          <c:tx>
            <c:rich>
              <a:bodyPr rot="-5400000" vert="horz"/>
              <a:lstStyle/>
              <a:p>
                <a:pPr>
                  <a:defRPr sz="1600" b="0"/>
                </a:pPr>
                <a:r>
                  <a:rPr lang="fr-FR" sz="1400" b="0" i="0" u="none" strike="noStrike" baseline="0" smtClean="0"/>
                  <a:t>% of US direct investment income abroad</a:t>
                </a:r>
                <a:endParaRPr lang="fr-FR" sz="1400"/>
              </a:p>
            </c:rich>
          </c:tx>
          <c:layout>
            <c:manualLayout>
              <c:xMode val="edge"/>
              <c:yMode val="edge"/>
              <c:x val="0.00165538962802064"/>
              <c:y val="0.194873873231909"/>
            </c:manualLayout>
          </c:layout>
          <c:overlay val="0"/>
        </c:title>
        <c:numFmt formatCode="0%" sourceLinked="1"/>
        <c:majorTickMark val="none"/>
        <c:minorTickMark val="none"/>
        <c:tickLblPos val="nextTo"/>
        <c:txPr>
          <a:bodyPr/>
          <a:lstStyle/>
          <a:p>
            <a:pPr>
              <a:defRPr sz="1600"/>
            </a:pPr>
            <a:endParaRPr lang="fr-FR"/>
          </a:p>
        </c:txPr>
        <c:crossAx val="-2100422232"/>
        <c:crosses val="autoZero"/>
        <c:crossBetween val="midCat"/>
      </c:valAx>
    </c:plotArea>
    <c:plotVisOnly val="1"/>
    <c:dispBlanksAs val="zero"/>
    <c:showDLblsOverMax val="0"/>
  </c:chart>
  <c:spPr>
    <a:ln>
      <a:noFill/>
    </a:ln>
  </c:spPr>
  <c:txPr>
    <a:bodyPr/>
    <a:lstStyle/>
    <a:p>
      <a:pPr>
        <a:defRPr>
          <a:latin typeface="Arial"/>
          <a:cs typeface="Arial"/>
        </a:defRPr>
      </a:pPr>
      <a:endParaRPr lang="fr-FR"/>
    </a:p>
  </c:txPr>
  <c:userShapes r:id="rId2"/>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defRPr/>
            </a:pPr>
            <a:r>
              <a:rPr lang="fr-FR"/>
              <a:t>Figure A.3e: The share of tax havens in U.S. DI </a:t>
            </a:r>
            <a:r>
              <a:rPr lang="fr-FR" baseline="0"/>
              <a:t>assets</a:t>
            </a:r>
            <a:r>
              <a:rPr lang="fr-FR"/>
              <a:t> abroad </a:t>
            </a:r>
            <a:r>
              <a:rPr lang="fr-FR" b="0"/>
              <a:t>(FDI</a:t>
            </a:r>
            <a:r>
              <a:rPr lang="fr-FR" b="0" baseline="0"/>
              <a:t> assets, equity + debt, IIP immediate counterpart basis)</a:t>
            </a:r>
            <a:endParaRPr lang="fr-FR"/>
          </a:p>
        </c:rich>
      </c:tx>
      <c:layout>
        <c:manualLayout>
          <c:xMode val="edge"/>
          <c:yMode val="edge"/>
          <c:x val="0.157689057833288"/>
          <c:y val="0.00228399900238714"/>
        </c:manualLayout>
      </c:layout>
      <c:overlay val="0"/>
    </c:title>
    <c:autoTitleDeleted val="0"/>
    <c:plotArea>
      <c:layout>
        <c:manualLayout>
          <c:layoutTarget val="inner"/>
          <c:xMode val="edge"/>
          <c:yMode val="edge"/>
          <c:x val="0.110164648384469"/>
          <c:y val="0.0815345423451028"/>
          <c:w val="0.873569372793918"/>
          <c:h val="0.743434394510712"/>
        </c:manualLayout>
      </c:layout>
      <c:areaChart>
        <c:grouping val="stacked"/>
        <c:varyColors val="0"/>
        <c:ser>
          <c:idx val="1"/>
          <c:order val="0"/>
          <c:tx>
            <c:strRef>
              <c:f>'Assets(BoP)'!$DV$3</c:f>
              <c:strCache>
                <c:ptCount val="1"/>
                <c:pt idx="0">
                  <c:v>Ireland</c:v>
                </c:pt>
              </c:strCache>
            </c:strRef>
          </c:tx>
          <c:spPr>
            <a:solidFill>
              <a:schemeClr val="tx1">
                <a:lumMod val="65000"/>
                <a:lumOff val="35000"/>
              </a:schemeClr>
            </a:solidFill>
            <a:ln w="12700">
              <a:solidFill>
                <a:schemeClr val="tx1"/>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'Assets(BoP)'!$JV$58:$JV$108</c:f>
              <c:numCache>
                <c:formatCode>0%</c:formatCode>
                <c:ptCount val="51"/>
                <c:pt idx="0">
                  <c:v>0.00137086808773556</c:v>
                </c:pt>
                <c:pt idx="1">
                  <c:v>0.00162659123055163</c:v>
                </c:pt>
                <c:pt idx="2">
                  <c:v>0.00201915776891143</c:v>
                </c:pt>
                <c:pt idx="3">
                  <c:v>0.00240847076792034</c:v>
                </c:pt>
                <c:pt idx="4">
                  <c:v>0.00242448330683625</c:v>
                </c:pt>
                <c:pt idx="5">
                  <c:v>0.00257370710488158</c:v>
                </c:pt>
                <c:pt idx="6">
                  <c:v>0.0029929459934578</c:v>
                </c:pt>
                <c:pt idx="7">
                  <c:v>0.00339541815956491</c:v>
                </c:pt>
                <c:pt idx="8">
                  <c:v>0.00428786860226385</c:v>
                </c:pt>
                <c:pt idx="9">
                  <c:v>0.00535268037081822</c:v>
                </c:pt>
                <c:pt idx="10">
                  <c:v>0.00658582403204467</c:v>
                </c:pt>
                <c:pt idx="11">
                  <c:v>0.00675388725255154</c:v>
                </c:pt>
                <c:pt idx="12">
                  <c:v>0.00836370116821425</c:v>
                </c:pt>
                <c:pt idx="13">
                  <c:v>0.00980527845500324</c:v>
                </c:pt>
                <c:pt idx="14">
                  <c:v>0.0107672663958212</c:v>
                </c:pt>
                <c:pt idx="15">
                  <c:v>0.0118284372974583</c:v>
                </c:pt>
                <c:pt idx="16">
                  <c:v>0.00977607917131965</c:v>
                </c:pt>
                <c:pt idx="17">
                  <c:v>0.0118642469950507</c:v>
                </c:pt>
                <c:pt idx="18">
                  <c:v>0.0135905324792634</c:v>
                </c:pt>
                <c:pt idx="19">
                  <c:v>0.0157822535648511</c:v>
                </c:pt>
                <c:pt idx="20">
                  <c:v>0.0163122245555917</c:v>
                </c:pt>
                <c:pt idx="21">
                  <c:v>0.0169500357084839</c:v>
                </c:pt>
                <c:pt idx="22">
                  <c:v>0.0174636138706546</c:v>
                </c:pt>
                <c:pt idx="23">
                  <c:v>0.0122190470452956</c:v>
                </c:pt>
                <c:pt idx="24">
                  <c:v>0.0136903890867112</c:v>
                </c:pt>
                <c:pt idx="25">
                  <c:v>0.0138315335881191</c:v>
                </c:pt>
                <c:pt idx="26">
                  <c:v>0.0151514849730014</c:v>
                </c:pt>
                <c:pt idx="27">
                  <c:v>0.0159831148554892</c:v>
                </c:pt>
                <c:pt idx="28">
                  <c:v>0.0118111970604983</c:v>
                </c:pt>
                <c:pt idx="29">
                  <c:v>0.0114389533844052</c:v>
                </c:pt>
                <c:pt idx="30">
                  <c:v>0.0127427863605782</c:v>
                </c:pt>
                <c:pt idx="31">
                  <c:v>0.0130136483204716</c:v>
                </c:pt>
                <c:pt idx="32">
                  <c:v>0.0218096678035341</c:v>
                </c:pt>
                <c:pt idx="33">
                  <c:v>0.0206890029277279</c:v>
                </c:pt>
                <c:pt idx="34">
                  <c:v>0.0272767953127338</c:v>
                </c:pt>
                <c:pt idx="35">
                  <c:v>0.027076348715926</c:v>
                </c:pt>
                <c:pt idx="36">
                  <c:v>0.0319186315531614</c:v>
                </c:pt>
                <c:pt idx="37">
                  <c:v>0.0342470359338454</c:v>
                </c:pt>
                <c:pt idx="38">
                  <c:v>0.0337400571258267</c:v>
                </c:pt>
                <c:pt idx="39">
                  <c:v>0.0246126078220744</c:v>
                </c:pt>
                <c:pt idx="40">
                  <c:v>0.0348658280008461</c:v>
                </c:pt>
                <c:pt idx="41">
                  <c:v>0.0393148918830453</c:v>
                </c:pt>
                <c:pt idx="42">
                  <c:v>0.0464443387812441</c:v>
                </c:pt>
                <c:pt idx="43">
                  <c:v>0.0364174675036886</c:v>
                </c:pt>
                <c:pt idx="44">
                  <c:v>0.0424518494565609</c:v>
                </c:pt>
                <c:pt idx="45">
                  <c:v>0.045630324348535</c:v>
                </c:pt>
                <c:pt idx="46">
                  <c:v>0.048165595808631</c:v>
                </c:pt>
                <c:pt idx="47">
                  <c:v>0.0481842421129883</c:v>
                </c:pt>
                <c:pt idx="48">
                  <c:v>0.0562135124484095</c:v>
                </c:pt>
                <c:pt idx="49">
                  <c:v>0.0662190595616004</c:v>
                </c:pt>
                <c:pt idx="50">
                  <c:v>0.07259483611438</c:v>
                </c:pt>
              </c:numCache>
            </c:numRef>
          </c:val>
        </c:ser>
        <c:ser>
          <c:idx val="5"/>
          <c:order val="1"/>
          <c:tx>
            <c:strRef>
              <c:f>'Assets(BoP)'!$DW$3</c:f>
              <c:strCache>
                <c:ptCount val="1"/>
                <c:pt idx="0">
                  <c:v>Netherlands</c:v>
                </c:pt>
              </c:strCache>
            </c:strRef>
          </c:tx>
          <c:spPr>
            <a:solidFill>
              <a:schemeClr val="bg1">
                <a:lumMod val="65000"/>
              </a:schemeClr>
            </a:solidFill>
            <a:ln w="12700">
              <a:solidFill>
                <a:schemeClr val="tx1"/>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'Assets(BoP)'!$JW$58:$JW$108</c:f>
              <c:numCache>
                <c:formatCode>0%</c:formatCode>
                <c:ptCount val="51"/>
                <c:pt idx="0">
                  <c:v>0.0167979610750695</c:v>
                </c:pt>
                <c:pt idx="1">
                  <c:v>0.0171499292786421</c:v>
                </c:pt>
                <c:pt idx="2">
                  <c:v>0.0176555155313616</c:v>
                </c:pt>
                <c:pt idx="3">
                  <c:v>0.0188125064250363</c:v>
                </c:pt>
                <c:pt idx="4">
                  <c:v>0.0205352411234764</c:v>
                </c:pt>
                <c:pt idx="5">
                  <c:v>0.0207467375543741</c:v>
                </c:pt>
                <c:pt idx="6">
                  <c:v>0.0213400387191526</c:v>
                </c:pt>
                <c:pt idx="7">
                  <c:v>0.0232151846258624</c:v>
                </c:pt>
                <c:pt idx="8">
                  <c:v>0.0284162139573757</c:v>
                </c:pt>
                <c:pt idx="9">
                  <c:v>0.0249657396211205</c:v>
                </c:pt>
                <c:pt idx="10">
                  <c:v>0.0256488973678632</c:v>
                </c:pt>
                <c:pt idx="11">
                  <c:v>0.0310569217069662</c:v>
                </c:pt>
                <c:pt idx="12">
                  <c:v>0.0322318975953591</c:v>
                </c:pt>
                <c:pt idx="13">
                  <c:v>0.0366819619073981</c:v>
                </c:pt>
                <c:pt idx="14">
                  <c:v>0.0373255948926291</c:v>
                </c:pt>
                <c:pt idx="15">
                  <c:v>0.0385946012226952</c:v>
                </c:pt>
                <c:pt idx="16">
                  <c:v>0.0325387962570757</c:v>
                </c:pt>
                <c:pt idx="17">
                  <c:v>0.0326042894178647</c:v>
                </c:pt>
                <c:pt idx="18">
                  <c:v>0.0284603357283361</c:v>
                </c:pt>
                <c:pt idx="19">
                  <c:v>0.0316819720685156</c:v>
                </c:pt>
                <c:pt idx="20">
                  <c:v>0.0451174243544618</c:v>
                </c:pt>
                <c:pt idx="21">
                  <c:v>0.0475305974197938</c:v>
                </c:pt>
                <c:pt idx="22">
                  <c:v>0.0482892110409904</c:v>
                </c:pt>
                <c:pt idx="23">
                  <c:v>0.0501858395258014</c:v>
                </c:pt>
                <c:pt idx="24">
                  <c:v>0.0444113063009702</c:v>
                </c:pt>
                <c:pt idx="25">
                  <c:v>0.0433755696343225</c:v>
                </c:pt>
                <c:pt idx="26">
                  <c:v>0.0412298854924581</c:v>
                </c:pt>
                <c:pt idx="27">
                  <c:v>0.0370576466064014</c:v>
                </c:pt>
                <c:pt idx="28">
                  <c:v>0.0487670767980708</c:v>
                </c:pt>
                <c:pt idx="29">
                  <c:v>0.0602462035864752</c:v>
                </c:pt>
                <c:pt idx="30">
                  <c:v>0.0680562629292186</c:v>
                </c:pt>
                <c:pt idx="31">
                  <c:v>0.0787532881296797</c:v>
                </c:pt>
                <c:pt idx="32">
                  <c:v>0.0899147899026984</c:v>
                </c:pt>
                <c:pt idx="33">
                  <c:v>0.0997689068719365</c:v>
                </c:pt>
                <c:pt idx="34">
                  <c:v>0.0876955465045694</c:v>
                </c:pt>
                <c:pt idx="35">
                  <c:v>0.101131097160137</c:v>
                </c:pt>
                <c:pt idx="36">
                  <c:v>0.0979958528914699</c:v>
                </c:pt>
                <c:pt idx="37">
                  <c:v>0.105314551825738</c:v>
                </c:pt>
                <c:pt idx="38">
                  <c:v>0.101526995933071</c:v>
                </c:pt>
                <c:pt idx="39">
                  <c:v>0.107155156723422</c:v>
                </c:pt>
                <c:pt idx="40">
                  <c:v>0.112774637221326</c:v>
                </c:pt>
                <c:pt idx="41">
                  <c:v>0.137650218104329</c:v>
                </c:pt>
                <c:pt idx="42">
                  <c:v>0.130877004219344</c:v>
                </c:pt>
                <c:pt idx="43">
                  <c:v>0.139542274657646</c:v>
                </c:pt>
                <c:pt idx="44">
                  <c:v>0.137547135019282</c:v>
                </c:pt>
                <c:pt idx="45">
                  <c:v>0.147075105196856</c:v>
                </c:pt>
                <c:pt idx="46">
                  <c:v>0.146794285280209</c:v>
                </c:pt>
                <c:pt idx="47">
                  <c:v>0.161743759925567</c:v>
                </c:pt>
                <c:pt idx="48">
                  <c:v>0.150232838058152</c:v>
                </c:pt>
                <c:pt idx="49">
                  <c:v>0.155148389519592</c:v>
                </c:pt>
                <c:pt idx="50">
                  <c:v>0.158918837820985</c:v>
                </c:pt>
              </c:numCache>
            </c:numRef>
          </c:val>
        </c:ser>
        <c:ser>
          <c:idx val="2"/>
          <c:order val="2"/>
          <c:tx>
            <c:strRef>
              <c:f>'Assets(BoP)'!$DX$3</c:f>
              <c:strCache>
                <c:ptCount val="1"/>
                <c:pt idx="0">
                  <c:v>Luxembourg</c:v>
                </c:pt>
              </c:strCache>
            </c:strRef>
          </c:tx>
          <c:spPr>
            <a:solidFill>
              <a:schemeClr val="bg1">
                <a:lumMod val="85000"/>
              </a:schemeClr>
            </a:solidFill>
            <a:ln w="12700">
              <a:solidFill>
                <a:schemeClr val="tx1"/>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'Assets(BoP)'!$JX$58:$JX$108</c:f>
              <c:numCache>
                <c:formatCode>0%</c:formatCode>
                <c:ptCount val="51"/>
                <c:pt idx="0">
                  <c:v>0.00299274019153537</c:v>
                </c:pt>
                <c:pt idx="1">
                  <c:v>0.00316478076379066</c:v>
                </c:pt>
                <c:pt idx="2">
                  <c:v>0.00253606215775276</c:v>
                </c:pt>
                <c:pt idx="3">
                  <c:v>0.0027021867152277</c:v>
                </c:pt>
                <c:pt idx="4">
                  <c:v>0.00339162692103868</c:v>
                </c:pt>
                <c:pt idx="5">
                  <c:v>0.00376993716771387</c:v>
                </c:pt>
                <c:pt idx="6">
                  <c:v>0.00356038185095351</c:v>
                </c:pt>
                <c:pt idx="7">
                  <c:v>0.00306969490588572</c:v>
                </c:pt>
                <c:pt idx="8">
                  <c:v>0.00290702956085685</c:v>
                </c:pt>
                <c:pt idx="9">
                  <c:v>0.00350665054413543</c:v>
                </c:pt>
                <c:pt idx="10">
                  <c:v>0.00376437222697337</c:v>
                </c:pt>
                <c:pt idx="11">
                  <c:v>0.00463730392492636</c:v>
                </c:pt>
                <c:pt idx="12">
                  <c:v>0.00350279916670251</c:v>
                </c:pt>
                <c:pt idx="13">
                  <c:v>0.0028691884295585</c:v>
                </c:pt>
                <c:pt idx="14">
                  <c:v>0.0030272780034823</c:v>
                </c:pt>
                <c:pt idx="15">
                  <c:v>0.00286842888923923</c:v>
                </c:pt>
                <c:pt idx="16">
                  <c:v>0.00528514767607532</c:v>
                </c:pt>
                <c:pt idx="17">
                  <c:v>0.00584492104642941</c:v>
                </c:pt>
                <c:pt idx="18">
                  <c:v>0.00226050354665212</c:v>
                </c:pt>
                <c:pt idx="19">
                  <c:v>0.00333516522702197</c:v>
                </c:pt>
                <c:pt idx="20">
                  <c:v>0.00353825904344997</c:v>
                </c:pt>
                <c:pt idx="21">
                  <c:v>0.00267890256947829</c:v>
                </c:pt>
                <c:pt idx="22">
                  <c:v>0.00323176228976983</c:v>
                </c:pt>
                <c:pt idx="23">
                  <c:v>0.00408611219521139</c:v>
                </c:pt>
                <c:pt idx="24">
                  <c:v>0.0039417357109177</c:v>
                </c:pt>
                <c:pt idx="25">
                  <c:v>0.00370636365968143</c:v>
                </c:pt>
                <c:pt idx="26">
                  <c:v>0.00404530905483973</c:v>
                </c:pt>
                <c:pt idx="27">
                  <c:v>0.00994359213373431</c:v>
                </c:pt>
                <c:pt idx="28">
                  <c:v>0.0102954349290986</c:v>
                </c:pt>
                <c:pt idx="29">
                  <c:v>0.00848193529466463</c:v>
                </c:pt>
                <c:pt idx="30">
                  <c:v>0.00974980979508171</c:v>
                </c:pt>
                <c:pt idx="31">
                  <c:v>0.0117729962493516</c:v>
                </c:pt>
                <c:pt idx="32">
                  <c:v>0.0145607637830605</c:v>
                </c:pt>
                <c:pt idx="33">
                  <c:v>0.0182144149478601</c:v>
                </c:pt>
                <c:pt idx="34">
                  <c:v>0.0211578829809299</c:v>
                </c:pt>
                <c:pt idx="35">
                  <c:v>0.0347662755280918</c:v>
                </c:pt>
                <c:pt idx="36">
                  <c:v>0.0384652976589622</c:v>
                </c:pt>
                <c:pt idx="37">
                  <c:v>0.0385948792193547</c:v>
                </c:pt>
                <c:pt idx="38">
                  <c:v>0.0387043210893521</c:v>
                </c:pt>
                <c:pt idx="39">
                  <c:v>0.035659797935098</c:v>
                </c:pt>
                <c:pt idx="40">
                  <c:v>0.0505177477769866</c:v>
                </c:pt>
                <c:pt idx="41">
                  <c:v>0.0481566343128545</c:v>
                </c:pt>
                <c:pt idx="42">
                  <c:v>0.0532873543732345</c:v>
                </c:pt>
                <c:pt idx="43">
                  <c:v>0.0614532316789247</c:v>
                </c:pt>
                <c:pt idx="44">
                  <c:v>0.0727452023164641</c:v>
                </c:pt>
                <c:pt idx="45">
                  <c:v>0.0883693092340642</c:v>
                </c:pt>
                <c:pt idx="46">
                  <c:v>0.0925631772227532</c:v>
                </c:pt>
                <c:pt idx="47">
                  <c:v>0.100449307631286</c:v>
                </c:pt>
                <c:pt idx="48">
                  <c:v>0.109546614963346</c:v>
                </c:pt>
                <c:pt idx="49">
                  <c:v>0.109544635894702</c:v>
                </c:pt>
                <c:pt idx="50">
                  <c:v>0.113995377164317</c:v>
                </c:pt>
              </c:numCache>
            </c:numRef>
          </c:val>
        </c:ser>
        <c:ser>
          <c:idx val="4"/>
          <c:order val="3"/>
          <c:tx>
            <c:strRef>
              <c:f>'Assets(BoP)'!$DY$3</c:f>
              <c:strCache>
                <c:ptCount val="1"/>
                <c:pt idx="0">
                  <c:v>Switzerland</c:v>
                </c:pt>
              </c:strCache>
            </c:strRef>
          </c:tx>
          <c:spPr>
            <a:pattFill prst="pct10">
              <a:fgClr>
                <a:schemeClr val="tx1"/>
              </a:fgClr>
              <a:bgClr>
                <a:prstClr val="white"/>
              </a:bgClr>
            </a:pattFill>
            <a:ln w="12700">
              <a:solidFill>
                <a:schemeClr val="tx1"/>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'Assets(BoP)'!$JY$58:$JY$108</c:f>
              <c:numCache>
                <c:formatCode>0%</c:formatCode>
                <c:ptCount val="51"/>
                <c:pt idx="0">
                  <c:v>0.0362990423231387</c:v>
                </c:pt>
                <c:pt idx="1">
                  <c:v>0.035997171145686</c:v>
                </c:pt>
                <c:pt idx="2">
                  <c:v>0.0348748929846382</c:v>
                </c:pt>
                <c:pt idx="3">
                  <c:v>0.0349962551216718</c:v>
                </c:pt>
                <c:pt idx="4">
                  <c:v>0.0348569157392687</c:v>
                </c:pt>
                <c:pt idx="5">
                  <c:v>0.0344127597873369</c:v>
                </c:pt>
                <c:pt idx="6">
                  <c:v>0.0334453370123946</c:v>
                </c:pt>
                <c:pt idx="7">
                  <c:v>0.0376457118040133</c:v>
                </c:pt>
                <c:pt idx="8">
                  <c:v>0.0425062228601537</c:v>
                </c:pt>
                <c:pt idx="9">
                  <c:v>0.0415316404675534</c:v>
                </c:pt>
                <c:pt idx="10">
                  <c:v>0.0421171121782923</c:v>
                </c:pt>
                <c:pt idx="11">
                  <c:v>0.0491951503527639</c:v>
                </c:pt>
                <c:pt idx="12">
                  <c:v>0.0517369582183657</c:v>
                </c:pt>
                <c:pt idx="13">
                  <c:v>0.0515389283394905</c:v>
                </c:pt>
                <c:pt idx="14">
                  <c:v>0.0523737666860128</c:v>
                </c:pt>
                <c:pt idx="15">
                  <c:v>0.0547366300558796</c:v>
                </c:pt>
                <c:pt idx="16">
                  <c:v>0.0619151680850244</c:v>
                </c:pt>
                <c:pt idx="17">
                  <c:v>0.0672024510959227</c:v>
                </c:pt>
                <c:pt idx="18">
                  <c:v>0.0682140187901492</c:v>
                </c:pt>
                <c:pt idx="19">
                  <c:v>0.0666529624238051</c:v>
                </c:pt>
                <c:pt idx="20">
                  <c:v>0.0614037682273951</c:v>
                </c:pt>
                <c:pt idx="21">
                  <c:v>0.0603550005670446</c:v>
                </c:pt>
                <c:pt idx="22">
                  <c:v>0.0538886280564205</c:v>
                </c:pt>
                <c:pt idx="23">
                  <c:v>0.0553825360612498</c:v>
                </c:pt>
                <c:pt idx="24">
                  <c:v>0.0582991305882872</c:v>
                </c:pt>
                <c:pt idx="25">
                  <c:v>0.0548943664982344</c:v>
                </c:pt>
                <c:pt idx="26">
                  <c:v>0.0571601571914282</c:v>
                </c:pt>
                <c:pt idx="27">
                  <c:v>0.0585805349443453</c:v>
                </c:pt>
                <c:pt idx="28">
                  <c:v>0.0455348649764314</c:v>
                </c:pt>
                <c:pt idx="29">
                  <c:v>0.0445269414819424</c:v>
                </c:pt>
                <c:pt idx="30">
                  <c:v>0.0386622149284138</c:v>
                </c:pt>
                <c:pt idx="31">
                  <c:v>0.0351583122541076</c:v>
                </c:pt>
                <c:pt idx="32">
                  <c:v>0.0381981467028679</c:v>
                </c:pt>
                <c:pt idx="33">
                  <c:v>0.0333333333333333</c:v>
                </c:pt>
                <c:pt idx="34">
                  <c:v>0.0420718907621442</c:v>
                </c:pt>
                <c:pt idx="35">
                  <c:v>0.0436661845911123</c:v>
                </c:pt>
                <c:pt idx="36">
                  <c:v>0.045918215852545</c:v>
                </c:pt>
                <c:pt idx="37">
                  <c:v>0.0524125896453066</c:v>
                </c:pt>
                <c:pt idx="38">
                  <c:v>0.0563622362373221</c:v>
                </c:pt>
                <c:pt idx="39">
                  <c:v>0.0449185780512264</c:v>
                </c:pt>
                <c:pt idx="40">
                  <c:v>0.0411832712488112</c:v>
                </c:pt>
                <c:pt idx="41">
                  <c:v>0.0316217877206929</c:v>
                </c:pt>
                <c:pt idx="42">
                  <c:v>0.0412133916453957</c:v>
                </c:pt>
                <c:pt idx="43">
                  <c:v>0.0369442527671654</c:v>
                </c:pt>
                <c:pt idx="44">
                  <c:v>0.0320400544107154</c:v>
                </c:pt>
                <c:pt idx="45">
                  <c:v>0.0265037804695575</c:v>
                </c:pt>
                <c:pt idx="46">
                  <c:v>0.0277588624982001</c:v>
                </c:pt>
                <c:pt idx="47">
                  <c:v>0.0280563432686721</c:v>
                </c:pt>
                <c:pt idx="48">
                  <c:v>0.0285998250532325</c:v>
                </c:pt>
                <c:pt idx="49">
                  <c:v>0.0308411568513775</c:v>
                </c:pt>
                <c:pt idx="50">
                  <c:v>0.0323707270417134</c:v>
                </c:pt>
              </c:numCache>
            </c:numRef>
          </c:val>
        </c:ser>
        <c:ser>
          <c:idx val="6"/>
          <c:order val="4"/>
          <c:tx>
            <c:strRef>
              <c:f>'Assets(BoP)'!$DZ$3</c:f>
              <c:strCache>
                <c:ptCount val="1"/>
                <c:pt idx="0">
                  <c:v>Bermuda &amp; other Caribbean</c:v>
                </c:pt>
              </c:strCache>
            </c:strRef>
          </c:tx>
          <c:spPr>
            <a:solidFill>
              <a:schemeClr val="bg1"/>
            </a:solidFill>
            <a:ln w="12700">
              <a:solidFill>
                <a:schemeClr val="tx1"/>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'Assets(BoP)'!$JZ$58:$JZ$108</c:f>
              <c:numCache>
                <c:formatCode>0%</c:formatCode>
                <c:ptCount val="51"/>
                <c:pt idx="0">
                  <c:v>0.0223393574297189</c:v>
                </c:pt>
                <c:pt idx="1">
                  <c:v>0.0225777934936351</c:v>
                </c:pt>
                <c:pt idx="2">
                  <c:v>0.024827563926535</c:v>
                </c:pt>
                <c:pt idx="3">
                  <c:v>0.0231595024451853</c:v>
                </c:pt>
                <c:pt idx="4">
                  <c:v>0.0246157922628511</c:v>
                </c:pt>
                <c:pt idx="5">
                  <c:v>0.0263653939101015</c:v>
                </c:pt>
                <c:pt idx="6">
                  <c:v>0.0276263379247424</c:v>
                </c:pt>
                <c:pt idx="7">
                  <c:v>0.0291867776099809</c:v>
                </c:pt>
                <c:pt idx="8">
                  <c:v>0.0447864241719508</c:v>
                </c:pt>
                <c:pt idx="9">
                  <c:v>0.0465457476823861</c:v>
                </c:pt>
                <c:pt idx="10">
                  <c:v>0.0497701174630324</c:v>
                </c:pt>
                <c:pt idx="11">
                  <c:v>0.0680320569902048</c:v>
                </c:pt>
                <c:pt idx="12">
                  <c:v>0.072108500740504</c:v>
                </c:pt>
                <c:pt idx="13">
                  <c:v>0.0661616753079454</c:v>
                </c:pt>
                <c:pt idx="14">
                  <c:v>0.0567661056297156</c:v>
                </c:pt>
                <c:pt idx="15">
                  <c:v>0.0385902219419482</c:v>
                </c:pt>
                <c:pt idx="16">
                  <c:v>-0.00889040779390812</c:v>
                </c:pt>
                <c:pt idx="17">
                  <c:v>-0.0158001414093802</c:v>
                </c:pt>
                <c:pt idx="18">
                  <c:v>-0.0121737057127005</c:v>
                </c:pt>
                <c:pt idx="19">
                  <c:v>0.00923358322600674</c:v>
                </c:pt>
                <c:pt idx="20">
                  <c:v>0.0297923629802715</c:v>
                </c:pt>
                <c:pt idx="21">
                  <c:v>0.0484317385587259</c:v>
                </c:pt>
                <c:pt idx="22">
                  <c:v>0.0556283646188277</c:v>
                </c:pt>
                <c:pt idx="23">
                  <c:v>0.0589159753890319</c:v>
                </c:pt>
                <c:pt idx="24">
                  <c:v>0.0651884577058959</c:v>
                </c:pt>
                <c:pt idx="25">
                  <c:v>0.0622664819897231</c:v>
                </c:pt>
                <c:pt idx="26">
                  <c:v>0.0736341853512408</c:v>
                </c:pt>
                <c:pt idx="27">
                  <c:v>0.0729775662212046</c:v>
                </c:pt>
                <c:pt idx="28">
                  <c:v>0.0794951157869318</c:v>
                </c:pt>
                <c:pt idx="29">
                  <c:v>0.0696894916418102</c:v>
                </c:pt>
                <c:pt idx="30">
                  <c:v>0.076567382843202</c:v>
                </c:pt>
                <c:pt idx="31">
                  <c:v>0.0720301245472366</c:v>
                </c:pt>
                <c:pt idx="32">
                  <c:v>0.0680791403643239</c:v>
                </c:pt>
                <c:pt idx="33">
                  <c:v>0.0795174183361295</c:v>
                </c:pt>
                <c:pt idx="34">
                  <c:v>0.0824427330128767</c:v>
                </c:pt>
                <c:pt idx="35">
                  <c:v>0.0972957204838285</c:v>
                </c:pt>
                <c:pt idx="36">
                  <c:v>0.0986150736012787</c:v>
                </c:pt>
                <c:pt idx="37">
                  <c:v>0.093986086223372</c:v>
                </c:pt>
                <c:pt idx="38">
                  <c:v>0.0970963197713486</c:v>
                </c:pt>
                <c:pt idx="39">
                  <c:v>0.0998257538177133</c:v>
                </c:pt>
                <c:pt idx="40">
                  <c:v>0.0993602629994009</c:v>
                </c:pt>
                <c:pt idx="41">
                  <c:v>0.116552548781221</c:v>
                </c:pt>
                <c:pt idx="42">
                  <c:v>0.120370871646126</c:v>
                </c:pt>
                <c:pt idx="43">
                  <c:v>0.140696545881931</c:v>
                </c:pt>
                <c:pt idx="44">
                  <c:v>0.138549029773565</c:v>
                </c:pt>
                <c:pt idx="45">
                  <c:v>0.13362877176591</c:v>
                </c:pt>
                <c:pt idx="46">
                  <c:v>0.128431309190558</c:v>
                </c:pt>
                <c:pt idx="47">
                  <c:v>0.120270855400764</c:v>
                </c:pt>
                <c:pt idx="48">
                  <c:v>0.130670367907553</c:v>
                </c:pt>
                <c:pt idx="49">
                  <c:v>0.129111568295901</c:v>
                </c:pt>
                <c:pt idx="50">
                  <c:v>0.114993459578319</c:v>
                </c:pt>
              </c:numCache>
            </c:numRef>
          </c:val>
        </c:ser>
        <c:ser>
          <c:idx val="0"/>
          <c:order val="5"/>
          <c:tx>
            <c:strRef>
              <c:f>'Assets(BoP)'!$EC$3</c:f>
              <c:strCache>
                <c:ptCount val="1"/>
                <c:pt idx="0">
                  <c:v>Singapore</c:v>
                </c:pt>
              </c:strCache>
            </c:strRef>
          </c:tx>
          <c:spPr>
            <a:solidFill>
              <a:sysClr val="window" lastClr="FFFFFF">
                <a:lumMod val="95000"/>
              </a:sysClr>
            </a:solidFill>
            <a:ln>
              <a:solidFill>
                <a:sysClr val="windowText" lastClr="000000"/>
              </a:solidFill>
            </a:ln>
          </c:spP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'Assets(BoP)'!$KA$58:$KA$108</c:f>
              <c:numCache>
                <c:formatCode>0%</c:formatCode>
                <c:ptCount val="51"/>
                <c:pt idx="0">
                  <c:v>0.000579240037071362</c:v>
                </c:pt>
                <c:pt idx="1">
                  <c:v>0.000548090523338048</c:v>
                </c:pt>
                <c:pt idx="2">
                  <c:v>0.000743050058959407</c:v>
                </c:pt>
                <c:pt idx="3">
                  <c:v>0.000983948423479653</c:v>
                </c:pt>
                <c:pt idx="4">
                  <c:v>0.00128510863804981</c:v>
                </c:pt>
                <c:pt idx="5">
                  <c:v>0.00124456259062349</c:v>
                </c:pt>
                <c:pt idx="6">
                  <c:v>0.00201384098444558</c:v>
                </c:pt>
                <c:pt idx="7">
                  <c:v>0.00269461964407332</c:v>
                </c:pt>
                <c:pt idx="8">
                  <c:v>0.00327949272334163</c:v>
                </c:pt>
                <c:pt idx="9">
                  <c:v>0.00390971382507053</c:v>
                </c:pt>
                <c:pt idx="10">
                  <c:v>0.00337697081332368</c:v>
                </c:pt>
                <c:pt idx="11">
                  <c:v>0.00353448866360709</c:v>
                </c:pt>
                <c:pt idx="12">
                  <c:v>0.00446145999127373</c:v>
                </c:pt>
                <c:pt idx="13">
                  <c:v>0.00460454172832671</c:v>
                </c:pt>
                <c:pt idx="14">
                  <c:v>0.00559024956471271</c:v>
                </c:pt>
                <c:pt idx="15">
                  <c:v>0.0080534972936045</c:v>
                </c:pt>
                <c:pt idx="16">
                  <c:v>0.0082791020062382</c:v>
                </c:pt>
                <c:pt idx="17">
                  <c:v>0.008866368135753</c:v>
                </c:pt>
                <c:pt idx="18">
                  <c:v>0.00925293338163077</c:v>
                </c:pt>
                <c:pt idx="19">
                  <c:v>0.00842391418347184</c:v>
                </c:pt>
                <c:pt idx="20">
                  <c:v>0.0091728533822355</c:v>
                </c:pt>
                <c:pt idx="21">
                  <c:v>0.00834321829990835</c:v>
                </c:pt>
                <c:pt idx="22">
                  <c:v>0.00766751445219901</c:v>
                </c:pt>
                <c:pt idx="23">
                  <c:v>0.00785266946233573</c:v>
                </c:pt>
                <c:pt idx="24">
                  <c:v>0.00923299908715254</c:v>
                </c:pt>
                <c:pt idx="25">
                  <c:v>0.0114632227836629</c:v>
                </c:pt>
                <c:pt idx="26">
                  <c:v>0.0133748155112008</c:v>
                </c:pt>
                <c:pt idx="27">
                  <c:v>0.01572792375457</c:v>
                </c:pt>
                <c:pt idx="28">
                  <c:v>0.017849771493556</c:v>
                </c:pt>
                <c:pt idx="29">
                  <c:v>0.0173672954085392</c:v>
                </c:pt>
                <c:pt idx="30">
                  <c:v>0.0187526330019681</c:v>
                </c:pt>
                <c:pt idx="31">
                  <c:v>0.0206882462849299</c:v>
                </c:pt>
                <c:pt idx="32">
                  <c:v>0.0175376710172749</c:v>
                </c:pt>
                <c:pt idx="33">
                  <c:v>0.0169948024606073</c:v>
                </c:pt>
                <c:pt idx="34">
                  <c:v>0.0183347046564968</c:v>
                </c:pt>
                <c:pt idx="35">
                  <c:v>0.0279138180383907</c:v>
                </c:pt>
                <c:pt idx="36">
                  <c:v>0.0315208703979096</c:v>
                </c:pt>
                <c:pt idx="37">
                  <c:v>0.0288498106648177</c:v>
                </c:pt>
                <c:pt idx="38">
                  <c:v>0.0282648816851193</c:v>
                </c:pt>
                <c:pt idx="39">
                  <c:v>0.0340774855731655</c:v>
                </c:pt>
                <c:pt idx="40">
                  <c:v>0.0330521364664622</c:v>
                </c:pt>
                <c:pt idx="41">
                  <c:v>0.0312390196327297</c:v>
                </c:pt>
                <c:pt idx="42">
                  <c:v>0.0257290580366299</c:v>
                </c:pt>
                <c:pt idx="43">
                  <c:v>0.0246587676927479</c:v>
                </c:pt>
                <c:pt idx="44">
                  <c:v>0.0274667215406036</c:v>
                </c:pt>
                <c:pt idx="45">
                  <c:v>0.0294800576588891</c:v>
                </c:pt>
                <c:pt idx="46">
                  <c:v>0.0329332213155737</c:v>
                </c:pt>
                <c:pt idx="47">
                  <c:v>0.0397577315434395</c:v>
                </c:pt>
                <c:pt idx="48">
                  <c:v>0.045869657529992</c:v>
                </c:pt>
                <c:pt idx="49">
                  <c:v>0.0496651364598884</c:v>
                </c:pt>
                <c:pt idx="50">
                  <c:v>0.0485470886918688</c:v>
                </c:pt>
              </c:numCache>
            </c:numRef>
          </c:val>
        </c:ser>
        <c:dLbls>
          <c:showLegendKey val="0"/>
          <c:showVal val="0"/>
          <c:showCatName val="0"/>
          <c:showSerName val="0"/>
          <c:showPercent val="0"/>
          <c:showBubbleSize val="0"/>
        </c:dLbls>
        <c:axId val="-2100552216"/>
        <c:axId val="-2100565688"/>
      </c:areaChart>
      <c:catAx>
        <c:axId val="-2100552216"/>
        <c:scaling>
          <c:orientation val="minMax"/>
        </c:scaling>
        <c:delete val="0"/>
        <c:axPos val="b"/>
        <c:numFmt formatCode="General" sourceLinked="1"/>
        <c:majorTickMark val="none"/>
        <c:minorTickMark val="none"/>
        <c:tickLblPos val="nextTo"/>
        <c:txPr>
          <a:bodyPr rot="-5400000" vert="horz"/>
          <a:lstStyle/>
          <a:p>
            <a:pPr>
              <a:defRPr sz="1600"/>
            </a:pPr>
            <a:endParaRPr lang="fr-FR"/>
          </a:p>
        </c:txPr>
        <c:crossAx val="-2100565688"/>
        <c:crosses val="autoZero"/>
        <c:auto val="1"/>
        <c:lblAlgn val="ctr"/>
        <c:lblOffset val="100"/>
        <c:tickLblSkip val="2"/>
        <c:tickMarkSkip val="2"/>
        <c:noMultiLvlLbl val="0"/>
      </c:catAx>
      <c:valAx>
        <c:axId val="-2100565688"/>
        <c:scaling>
          <c:orientation val="minMax"/>
          <c:max val="0.65"/>
          <c:min val="0.0"/>
        </c:scaling>
        <c:delete val="0"/>
        <c:axPos val="l"/>
        <c:title>
          <c:tx>
            <c:rich>
              <a:bodyPr rot="-5400000" vert="horz"/>
              <a:lstStyle/>
              <a:p>
                <a:pPr>
                  <a:defRPr sz="1600" b="0"/>
                </a:pPr>
                <a:r>
                  <a:rPr lang="fr-FR" sz="1400" b="0" i="0" u="none" strike="noStrike" baseline="0" smtClean="0"/>
                  <a:t>% of U.S direct investments abroad</a:t>
                </a:r>
                <a:endParaRPr lang="fr-FR" sz="1400"/>
              </a:p>
            </c:rich>
          </c:tx>
          <c:layout>
            <c:manualLayout>
              <c:xMode val="edge"/>
              <c:yMode val="edge"/>
              <c:x val="0.000276079283193049"/>
              <c:y val="0.217498334361857"/>
            </c:manualLayout>
          </c:layout>
          <c:overlay val="0"/>
        </c:title>
        <c:numFmt formatCode="0%" sourceLinked="1"/>
        <c:majorTickMark val="none"/>
        <c:minorTickMark val="none"/>
        <c:tickLblPos val="nextTo"/>
        <c:txPr>
          <a:bodyPr/>
          <a:lstStyle/>
          <a:p>
            <a:pPr>
              <a:defRPr sz="1600"/>
            </a:pPr>
            <a:endParaRPr lang="fr-FR"/>
          </a:p>
        </c:txPr>
        <c:crossAx val="-2100552216"/>
        <c:crosses val="autoZero"/>
        <c:crossBetween val="midCat"/>
      </c:valAx>
    </c:plotArea>
    <c:plotVisOnly val="1"/>
    <c:dispBlanksAs val="zero"/>
    <c:showDLblsOverMax val="0"/>
  </c:chart>
  <c:spPr>
    <a:ln>
      <a:noFill/>
    </a:ln>
  </c:spPr>
  <c:txPr>
    <a:bodyPr/>
    <a:lstStyle/>
    <a:p>
      <a:pPr>
        <a:defRPr>
          <a:latin typeface="Arial"/>
          <a:cs typeface="Arial"/>
        </a:defRPr>
      </a:pPr>
      <a:endParaRPr lang="fr-FR"/>
    </a:p>
  </c:txPr>
  <c:userShapes r:id="rId2"/>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Figure A.3f: The share of tax havens in U.S. direct equity investments abroad </a:t>
            </a:r>
            <a:r>
              <a:rPr lang="fr-FR" sz="1800" b="0" i="0" baseline="0">
                <a:effectLst/>
              </a:rPr>
              <a:t>(IIP immediate counterpart basis) </a:t>
            </a:r>
            <a:endParaRPr lang="fr-FR" b="0">
              <a:effectLst/>
            </a:endParaRPr>
          </a:p>
        </c:rich>
      </c:tx>
      <c:layout>
        <c:manualLayout>
          <c:xMode val="edge"/>
          <c:yMode val="edge"/>
          <c:x val="0.186654575074667"/>
          <c:y val="2.15555634731179E-5"/>
        </c:manualLayout>
      </c:layout>
      <c:overlay val="0"/>
    </c:title>
    <c:autoTitleDeleted val="0"/>
    <c:plotArea>
      <c:layout>
        <c:manualLayout>
          <c:layoutTarget val="inner"/>
          <c:xMode val="edge"/>
          <c:yMode val="edge"/>
          <c:x val="0.110164648384469"/>
          <c:y val="0.0815345423451028"/>
          <c:w val="0.873569372793918"/>
          <c:h val="0.743434394510712"/>
        </c:manualLayout>
      </c:layout>
      <c:areaChart>
        <c:grouping val="stacked"/>
        <c:varyColors val="0"/>
        <c:ser>
          <c:idx val="1"/>
          <c:order val="0"/>
          <c:tx>
            <c:strRef>
              <c:f>'Assets(BoP)'!$DV$3</c:f>
              <c:strCache>
                <c:ptCount val="1"/>
                <c:pt idx="0">
                  <c:v>Ireland</c:v>
                </c:pt>
              </c:strCache>
            </c:strRef>
          </c:tx>
          <c:spPr>
            <a:solidFill>
              <a:schemeClr val="tx1">
                <a:lumMod val="65000"/>
                <a:lumOff val="35000"/>
              </a:schemeClr>
            </a:solidFill>
            <a:ln w="12700">
              <a:solidFill>
                <a:schemeClr val="tx1"/>
              </a:solidFill>
            </a:ln>
          </c:spPr>
          <c:cat>
            <c:numRef>
              <c:f>'Assets(BoP)'!$B$76:$B$108</c:f>
              <c:numCache>
                <c:formatCode>General</c:formatCode>
                <c:ptCount val="33"/>
                <c:pt idx="0">
                  <c:v>1984.0</c:v>
                </c:pt>
                <c:pt idx="1">
                  <c:v>1985.0</c:v>
                </c:pt>
                <c:pt idx="2">
                  <c:v>1986.0</c:v>
                </c:pt>
                <c:pt idx="3">
                  <c:v>1987.0</c:v>
                </c:pt>
                <c:pt idx="4">
                  <c:v>1988.0</c:v>
                </c:pt>
                <c:pt idx="5">
                  <c:v>1989.0</c:v>
                </c:pt>
                <c:pt idx="6">
                  <c:v>1990.0</c:v>
                </c:pt>
                <c:pt idx="7">
                  <c:v>1991.0</c:v>
                </c:pt>
                <c:pt idx="8">
                  <c:v>1992.0</c:v>
                </c:pt>
                <c:pt idx="9">
                  <c:v>1993.0</c:v>
                </c:pt>
                <c:pt idx="10">
                  <c:v>1994.0</c:v>
                </c:pt>
                <c:pt idx="11">
                  <c:v>1995.0</c:v>
                </c:pt>
                <c:pt idx="12">
                  <c:v>1996.0</c:v>
                </c:pt>
                <c:pt idx="13">
                  <c:v>1997.0</c:v>
                </c:pt>
                <c:pt idx="14">
                  <c:v>1998.0</c:v>
                </c:pt>
                <c:pt idx="15">
                  <c:v>1999.0</c:v>
                </c:pt>
                <c:pt idx="16">
                  <c:v>2000.0</c:v>
                </c:pt>
                <c:pt idx="17">
                  <c:v>2001.0</c:v>
                </c:pt>
                <c:pt idx="18">
                  <c:v>2002.0</c:v>
                </c:pt>
                <c:pt idx="19">
                  <c:v>2003.0</c:v>
                </c:pt>
                <c:pt idx="20">
                  <c:v>2004.0</c:v>
                </c:pt>
                <c:pt idx="21">
                  <c:v>2005.0</c:v>
                </c:pt>
                <c:pt idx="22">
                  <c:v>2006.0</c:v>
                </c:pt>
                <c:pt idx="23">
                  <c:v>2007.0</c:v>
                </c:pt>
                <c:pt idx="24">
                  <c:v>2008.0</c:v>
                </c:pt>
                <c:pt idx="25">
                  <c:v>2009.0</c:v>
                </c:pt>
                <c:pt idx="26">
                  <c:v>2010.0</c:v>
                </c:pt>
                <c:pt idx="27">
                  <c:v>2011.0</c:v>
                </c:pt>
                <c:pt idx="28">
                  <c:v>2012.0</c:v>
                </c:pt>
                <c:pt idx="29">
                  <c:v>2013.0</c:v>
                </c:pt>
                <c:pt idx="30">
                  <c:v>2014.0</c:v>
                </c:pt>
                <c:pt idx="31">
                  <c:v>2015.0</c:v>
                </c:pt>
                <c:pt idx="32">
                  <c:v>2016.0</c:v>
                </c:pt>
              </c:numCache>
            </c:numRef>
          </c:cat>
          <c:val>
            <c:numRef>
              <c:f>'Assets(BoP)'!$LI$76:$LI$108</c:f>
              <c:numCache>
                <c:formatCode>0%</c:formatCode>
                <c:ptCount val="33"/>
                <c:pt idx="0">
                  <c:v>0.0127058087321252</c:v>
                </c:pt>
                <c:pt idx="1">
                  <c:v>0.0147901248075525</c:v>
                </c:pt>
                <c:pt idx="2">
                  <c:v>0.0161019106453313</c:v>
                </c:pt>
                <c:pt idx="3">
                  <c:v>0.0170790924091906</c:v>
                </c:pt>
                <c:pt idx="4">
                  <c:v>0.0179420877096329</c:v>
                </c:pt>
                <c:pt idx="5">
                  <c:v>0.0132186930899137</c:v>
                </c:pt>
                <c:pt idx="6">
                  <c:v>0.0138385931818464</c:v>
                </c:pt>
                <c:pt idx="7">
                  <c:v>0.01542602695583</c:v>
                </c:pt>
                <c:pt idx="8">
                  <c:v>0.0175444813108699</c:v>
                </c:pt>
                <c:pt idx="9">
                  <c:v>0.0190358293553724</c:v>
                </c:pt>
                <c:pt idx="10">
                  <c:v>0.0169264916476422</c:v>
                </c:pt>
                <c:pt idx="11">
                  <c:v>0.0177798478933193</c:v>
                </c:pt>
                <c:pt idx="12">
                  <c:v>0.0182963881526126</c:v>
                </c:pt>
                <c:pt idx="13">
                  <c:v>0.0178210037692128</c:v>
                </c:pt>
                <c:pt idx="14">
                  <c:v>0.0243626159800823</c:v>
                </c:pt>
                <c:pt idx="15">
                  <c:v>0.0237371554650759</c:v>
                </c:pt>
                <c:pt idx="16">
                  <c:v>0.0266634184936926</c:v>
                </c:pt>
                <c:pt idx="17">
                  <c:v>0.0292813392939971</c:v>
                </c:pt>
                <c:pt idx="18">
                  <c:v>0.0334959241878011</c:v>
                </c:pt>
                <c:pt idx="19">
                  <c:v>0.0367460056226836</c:v>
                </c:pt>
                <c:pt idx="20">
                  <c:v>0.0356404113798985</c:v>
                </c:pt>
                <c:pt idx="21">
                  <c:v>0.0316530456969004</c:v>
                </c:pt>
                <c:pt idx="22">
                  <c:v>0.0360683826794934</c:v>
                </c:pt>
                <c:pt idx="23">
                  <c:v>0.039808319723991</c:v>
                </c:pt>
                <c:pt idx="24">
                  <c:v>0.0463683909583193</c:v>
                </c:pt>
                <c:pt idx="25">
                  <c:v>0.035635406010101</c:v>
                </c:pt>
                <c:pt idx="26">
                  <c:v>0.039935843277025</c:v>
                </c:pt>
                <c:pt idx="27">
                  <c:v>0.0438049552473694</c:v>
                </c:pt>
                <c:pt idx="28">
                  <c:v>0.0484220227300843</c:v>
                </c:pt>
                <c:pt idx="29">
                  <c:v>0.0542476098625293</c:v>
                </c:pt>
                <c:pt idx="30">
                  <c:v>0.058340899184771</c:v>
                </c:pt>
                <c:pt idx="31">
                  <c:v>0.0662965073706044</c:v>
                </c:pt>
                <c:pt idx="32">
                  <c:v>0.0725498430919633</c:v>
                </c:pt>
              </c:numCache>
            </c:numRef>
          </c:val>
        </c:ser>
        <c:ser>
          <c:idx val="5"/>
          <c:order val="1"/>
          <c:tx>
            <c:strRef>
              <c:f>'Assets(BoP)'!$DW$3</c:f>
              <c:strCache>
                <c:ptCount val="1"/>
                <c:pt idx="0">
                  <c:v>Netherlands</c:v>
                </c:pt>
              </c:strCache>
            </c:strRef>
          </c:tx>
          <c:spPr>
            <a:solidFill>
              <a:schemeClr val="bg1">
                <a:lumMod val="65000"/>
              </a:schemeClr>
            </a:solidFill>
            <a:ln w="12700">
              <a:solidFill>
                <a:schemeClr val="tx1"/>
              </a:solidFill>
            </a:ln>
          </c:spPr>
          <c:cat>
            <c:numRef>
              <c:f>'Assets(BoP)'!$B$76:$B$108</c:f>
              <c:numCache>
                <c:formatCode>General</c:formatCode>
                <c:ptCount val="33"/>
                <c:pt idx="0">
                  <c:v>1984.0</c:v>
                </c:pt>
                <c:pt idx="1">
                  <c:v>1985.0</c:v>
                </c:pt>
                <c:pt idx="2">
                  <c:v>1986.0</c:v>
                </c:pt>
                <c:pt idx="3">
                  <c:v>1987.0</c:v>
                </c:pt>
                <c:pt idx="4">
                  <c:v>1988.0</c:v>
                </c:pt>
                <c:pt idx="5">
                  <c:v>1989.0</c:v>
                </c:pt>
                <c:pt idx="6">
                  <c:v>1990.0</c:v>
                </c:pt>
                <c:pt idx="7">
                  <c:v>1991.0</c:v>
                </c:pt>
                <c:pt idx="8">
                  <c:v>1992.0</c:v>
                </c:pt>
                <c:pt idx="9">
                  <c:v>1993.0</c:v>
                </c:pt>
                <c:pt idx="10">
                  <c:v>1994.0</c:v>
                </c:pt>
                <c:pt idx="11">
                  <c:v>1995.0</c:v>
                </c:pt>
                <c:pt idx="12">
                  <c:v>1996.0</c:v>
                </c:pt>
                <c:pt idx="13">
                  <c:v>1997.0</c:v>
                </c:pt>
                <c:pt idx="14">
                  <c:v>1998.0</c:v>
                </c:pt>
                <c:pt idx="15">
                  <c:v>1999.0</c:v>
                </c:pt>
                <c:pt idx="16">
                  <c:v>2000.0</c:v>
                </c:pt>
                <c:pt idx="17">
                  <c:v>2001.0</c:v>
                </c:pt>
                <c:pt idx="18">
                  <c:v>2002.0</c:v>
                </c:pt>
                <c:pt idx="19">
                  <c:v>2003.0</c:v>
                </c:pt>
                <c:pt idx="20">
                  <c:v>2004.0</c:v>
                </c:pt>
                <c:pt idx="21">
                  <c:v>2005.0</c:v>
                </c:pt>
                <c:pt idx="22">
                  <c:v>2006.0</c:v>
                </c:pt>
                <c:pt idx="23">
                  <c:v>2007.0</c:v>
                </c:pt>
                <c:pt idx="24">
                  <c:v>2008.0</c:v>
                </c:pt>
                <c:pt idx="25">
                  <c:v>2009.0</c:v>
                </c:pt>
                <c:pt idx="26">
                  <c:v>2010.0</c:v>
                </c:pt>
                <c:pt idx="27">
                  <c:v>2011.0</c:v>
                </c:pt>
                <c:pt idx="28">
                  <c:v>2012.0</c:v>
                </c:pt>
                <c:pt idx="29">
                  <c:v>2013.0</c:v>
                </c:pt>
                <c:pt idx="30">
                  <c:v>2014.0</c:v>
                </c:pt>
                <c:pt idx="31">
                  <c:v>2015.0</c:v>
                </c:pt>
                <c:pt idx="32">
                  <c:v>2016.0</c:v>
                </c:pt>
              </c:numCache>
            </c:numRef>
          </c:cat>
          <c:val>
            <c:numRef>
              <c:f>'Assets(BoP)'!$LJ$76:$LJ$108</c:f>
              <c:numCache>
                <c:formatCode>0%</c:formatCode>
                <c:ptCount val="33"/>
                <c:pt idx="0">
                  <c:v>0.0331408082670207</c:v>
                </c:pt>
                <c:pt idx="1">
                  <c:v>0.0361644927592863</c:v>
                </c:pt>
                <c:pt idx="2">
                  <c:v>0.049960381627114</c:v>
                </c:pt>
                <c:pt idx="3">
                  <c:v>0.0498464269483342</c:v>
                </c:pt>
                <c:pt idx="4">
                  <c:v>0.0504051964669712</c:v>
                </c:pt>
                <c:pt idx="5">
                  <c:v>0.0514453041048786</c:v>
                </c:pt>
                <c:pt idx="6">
                  <c:v>0.0552141376785515</c:v>
                </c:pt>
                <c:pt idx="7">
                  <c:v>0.0548502241061107</c:v>
                </c:pt>
                <c:pt idx="8">
                  <c:v>0.0528975936604065</c:v>
                </c:pt>
                <c:pt idx="9">
                  <c:v>0.0505428630235669</c:v>
                </c:pt>
                <c:pt idx="10">
                  <c:v>0.061339635997603</c:v>
                </c:pt>
                <c:pt idx="11">
                  <c:v>0.0674875871086935</c:v>
                </c:pt>
                <c:pt idx="12">
                  <c:v>0.0786207835201214</c:v>
                </c:pt>
                <c:pt idx="13">
                  <c:v>0.0889796291977319</c:v>
                </c:pt>
                <c:pt idx="14">
                  <c:v>0.091752330146552</c:v>
                </c:pt>
                <c:pt idx="15">
                  <c:v>0.107726813493846</c:v>
                </c:pt>
                <c:pt idx="16">
                  <c:v>0.101233820502194</c:v>
                </c:pt>
                <c:pt idx="17">
                  <c:v>0.113451054143548</c:v>
                </c:pt>
                <c:pt idx="18">
                  <c:v>0.10863172648476</c:v>
                </c:pt>
                <c:pt idx="19">
                  <c:v>0.115564272861898</c:v>
                </c:pt>
                <c:pt idx="20">
                  <c:v>0.109915249157521</c:v>
                </c:pt>
                <c:pt idx="21">
                  <c:v>0.108579944489961</c:v>
                </c:pt>
                <c:pt idx="22">
                  <c:v>0.115612069392576</c:v>
                </c:pt>
                <c:pt idx="23">
                  <c:v>0.138110535736549</c:v>
                </c:pt>
                <c:pt idx="24">
                  <c:v>0.12697176115185</c:v>
                </c:pt>
                <c:pt idx="25">
                  <c:v>0.135328017887013</c:v>
                </c:pt>
                <c:pt idx="26">
                  <c:v>0.135612553733648</c:v>
                </c:pt>
                <c:pt idx="27">
                  <c:v>0.143641796371187</c:v>
                </c:pt>
                <c:pt idx="28">
                  <c:v>0.14637035019597</c:v>
                </c:pt>
                <c:pt idx="29">
                  <c:v>0.159523481717871</c:v>
                </c:pt>
                <c:pt idx="30">
                  <c:v>0.147871436944022</c:v>
                </c:pt>
                <c:pt idx="31">
                  <c:v>0.1533237714831</c:v>
                </c:pt>
                <c:pt idx="32">
                  <c:v>0.157568333741644</c:v>
                </c:pt>
              </c:numCache>
            </c:numRef>
          </c:val>
        </c:ser>
        <c:ser>
          <c:idx val="2"/>
          <c:order val="2"/>
          <c:tx>
            <c:strRef>
              <c:f>'Assets(BoP)'!$DX$3</c:f>
              <c:strCache>
                <c:ptCount val="1"/>
                <c:pt idx="0">
                  <c:v>Luxembourg</c:v>
                </c:pt>
              </c:strCache>
            </c:strRef>
          </c:tx>
          <c:spPr>
            <a:solidFill>
              <a:schemeClr val="bg1">
                <a:lumMod val="85000"/>
              </a:schemeClr>
            </a:solidFill>
            <a:ln w="12700">
              <a:solidFill>
                <a:schemeClr val="tx1"/>
              </a:solidFill>
            </a:ln>
          </c:spPr>
          <c:cat>
            <c:numRef>
              <c:f>'Assets(BoP)'!$B$76:$B$108</c:f>
              <c:numCache>
                <c:formatCode>General</c:formatCode>
                <c:ptCount val="33"/>
                <c:pt idx="0">
                  <c:v>1984.0</c:v>
                </c:pt>
                <c:pt idx="1">
                  <c:v>1985.0</c:v>
                </c:pt>
                <c:pt idx="2">
                  <c:v>1986.0</c:v>
                </c:pt>
                <c:pt idx="3">
                  <c:v>1987.0</c:v>
                </c:pt>
                <c:pt idx="4">
                  <c:v>1988.0</c:v>
                </c:pt>
                <c:pt idx="5">
                  <c:v>1989.0</c:v>
                </c:pt>
                <c:pt idx="6">
                  <c:v>1990.0</c:v>
                </c:pt>
                <c:pt idx="7">
                  <c:v>1991.0</c:v>
                </c:pt>
                <c:pt idx="8">
                  <c:v>1992.0</c:v>
                </c:pt>
                <c:pt idx="9">
                  <c:v>1993.0</c:v>
                </c:pt>
                <c:pt idx="10">
                  <c:v>1994.0</c:v>
                </c:pt>
                <c:pt idx="11">
                  <c:v>1995.0</c:v>
                </c:pt>
                <c:pt idx="12">
                  <c:v>1996.0</c:v>
                </c:pt>
                <c:pt idx="13">
                  <c:v>1997.0</c:v>
                </c:pt>
                <c:pt idx="14">
                  <c:v>1998.0</c:v>
                </c:pt>
                <c:pt idx="15">
                  <c:v>1999.0</c:v>
                </c:pt>
                <c:pt idx="16">
                  <c:v>2000.0</c:v>
                </c:pt>
                <c:pt idx="17">
                  <c:v>2001.0</c:v>
                </c:pt>
                <c:pt idx="18">
                  <c:v>2002.0</c:v>
                </c:pt>
                <c:pt idx="19">
                  <c:v>2003.0</c:v>
                </c:pt>
                <c:pt idx="20">
                  <c:v>2004.0</c:v>
                </c:pt>
                <c:pt idx="21">
                  <c:v>2005.0</c:v>
                </c:pt>
                <c:pt idx="22">
                  <c:v>2006.0</c:v>
                </c:pt>
                <c:pt idx="23">
                  <c:v>2007.0</c:v>
                </c:pt>
                <c:pt idx="24">
                  <c:v>2008.0</c:v>
                </c:pt>
                <c:pt idx="25">
                  <c:v>2009.0</c:v>
                </c:pt>
                <c:pt idx="26">
                  <c:v>2010.0</c:v>
                </c:pt>
                <c:pt idx="27">
                  <c:v>2011.0</c:v>
                </c:pt>
                <c:pt idx="28">
                  <c:v>2012.0</c:v>
                </c:pt>
                <c:pt idx="29">
                  <c:v>2013.0</c:v>
                </c:pt>
                <c:pt idx="30">
                  <c:v>2014.0</c:v>
                </c:pt>
                <c:pt idx="31">
                  <c:v>2015.0</c:v>
                </c:pt>
                <c:pt idx="32">
                  <c:v>2016.0</c:v>
                </c:pt>
              </c:numCache>
            </c:numRef>
          </c:cat>
          <c:val>
            <c:numRef>
              <c:f>'Assets(BoP)'!$LK$76:$LK$108</c:f>
              <c:numCache>
                <c:formatCode>0%</c:formatCode>
                <c:ptCount val="33"/>
                <c:pt idx="0">
                  <c:v>0.00191961303307316</c:v>
                </c:pt>
                <c:pt idx="1">
                  <c:v>0.00288378127027048</c:v>
                </c:pt>
                <c:pt idx="2">
                  <c:v>0.00354234863451065</c:v>
                </c:pt>
                <c:pt idx="3">
                  <c:v>0.00310196213593121</c:v>
                </c:pt>
                <c:pt idx="4">
                  <c:v>0.00255024969343688</c:v>
                </c:pt>
                <c:pt idx="5">
                  <c:v>0.00373556392593347</c:v>
                </c:pt>
                <c:pt idx="6">
                  <c:v>0.00324650343141513</c:v>
                </c:pt>
                <c:pt idx="7">
                  <c:v>0.00325624263401861</c:v>
                </c:pt>
                <c:pt idx="8">
                  <c:v>0.00383124483243673</c:v>
                </c:pt>
                <c:pt idx="9">
                  <c:v>0.010398112744516</c:v>
                </c:pt>
                <c:pt idx="10">
                  <c:v>0.0110037131648077</c:v>
                </c:pt>
                <c:pt idx="11">
                  <c:v>0.0104421205056907</c:v>
                </c:pt>
                <c:pt idx="12">
                  <c:v>0.0116197221825061</c:v>
                </c:pt>
                <c:pt idx="13">
                  <c:v>0.0124185907708203</c:v>
                </c:pt>
                <c:pt idx="14">
                  <c:v>0.0123963685566467</c:v>
                </c:pt>
                <c:pt idx="15">
                  <c:v>0.0182140765298289</c:v>
                </c:pt>
                <c:pt idx="16">
                  <c:v>0.0241956062323819</c:v>
                </c:pt>
                <c:pt idx="17">
                  <c:v>0.0265956671974632</c:v>
                </c:pt>
                <c:pt idx="18">
                  <c:v>0.029853145243956</c:v>
                </c:pt>
                <c:pt idx="19">
                  <c:v>0.0277543691599519</c:v>
                </c:pt>
                <c:pt idx="20">
                  <c:v>0.0300592707282456</c:v>
                </c:pt>
                <c:pt idx="21">
                  <c:v>0.0303505374186176</c:v>
                </c:pt>
                <c:pt idx="22">
                  <c:v>0.0473384621936307</c:v>
                </c:pt>
                <c:pt idx="23">
                  <c:v>0.0436921276731281</c:v>
                </c:pt>
                <c:pt idx="24">
                  <c:v>0.0476245674774428</c:v>
                </c:pt>
                <c:pt idx="25">
                  <c:v>0.0560705636426945</c:v>
                </c:pt>
                <c:pt idx="26">
                  <c:v>0.0670977554152991</c:v>
                </c:pt>
                <c:pt idx="27">
                  <c:v>0.0806838927098767</c:v>
                </c:pt>
                <c:pt idx="28">
                  <c:v>0.087285269175332</c:v>
                </c:pt>
                <c:pt idx="29">
                  <c:v>0.0930300205330464</c:v>
                </c:pt>
                <c:pt idx="30">
                  <c:v>0.106420770610588</c:v>
                </c:pt>
                <c:pt idx="31">
                  <c:v>0.107689475393215</c:v>
                </c:pt>
                <c:pt idx="32">
                  <c:v>0.110487756506725</c:v>
                </c:pt>
              </c:numCache>
            </c:numRef>
          </c:val>
        </c:ser>
        <c:ser>
          <c:idx val="4"/>
          <c:order val="3"/>
          <c:tx>
            <c:strRef>
              <c:f>'Assets(BoP)'!$DY$3</c:f>
              <c:strCache>
                <c:ptCount val="1"/>
                <c:pt idx="0">
                  <c:v>Switzerland</c:v>
                </c:pt>
              </c:strCache>
            </c:strRef>
          </c:tx>
          <c:spPr>
            <a:pattFill prst="pct10">
              <a:fgClr>
                <a:schemeClr val="tx1"/>
              </a:fgClr>
              <a:bgClr>
                <a:prstClr val="white"/>
              </a:bgClr>
            </a:pattFill>
            <a:ln w="12700">
              <a:solidFill>
                <a:schemeClr val="tx1"/>
              </a:solidFill>
            </a:ln>
          </c:spPr>
          <c:cat>
            <c:numRef>
              <c:f>'Assets(BoP)'!$B$76:$B$108</c:f>
              <c:numCache>
                <c:formatCode>General</c:formatCode>
                <c:ptCount val="33"/>
                <c:pt idx="0">
                  <c:v>1984.0</c:v>
                </c:pt>
                <c:pt idx="1">
                  <c:v>1985.0</c:v>
                </c:pt>
                <c:pt idx="2">
                  <c:v>1986.0</c:v>
                </c:pt>
                <c:pt idx="3">
                  <c:v>1987.0</c:v>
                </c:pt>
                <c:pt idx="4">
                  <c:v>1988.0</c:v>
                </c:pt>
                <c:pt idx="5">
                  <c:v>1989.0</c:v>
                </c:pt>
                <c:pt idx="6">
                  <c:v>1990.0</c:v>
                </c:pt>
                <c:pt idx="7">
                  <c:v>1991.0</c:v>
                </c:pt>
                <c:pt idx="8">
                  <c:v>1992.0</c:v>
                </c:pt>
                <c:pt idx="9">
                  <c:v>1993.0</c:v>
                </c:pt>
                <c:pt idx="10">
                  <c:v>1994.0</c:v>
                </c:pt>
                <c:pt idx="11">
                  <c:v>1995.0</c:v>
                </c:pt>
                <c:pt idx="12">
                  <c:v>1996.0</c:v>
                </c:pt>
                <c:pt idx="13">
                  <c:v>1997.0</c:v>
                </c:pt>
                <c:pt idx="14">
                  <c:v>1998.0</c:v>
                </c:pt>
                <c:pt idx="15">
                  <c:v>1999.0</c:v>
                </c:pt>
                <c:pt idx="16">
                  <c:v>2000.0</c:v>
                </c:pt>
                <c:pt idx="17">
                  <c:v>2001.0</c:v>
                </c:pt>
                <c:pt idx="18">
                  <c:v>2002.0</c:v>
                </c:pt>
                <c:pt idx="19">
                  <c:v>2003.0</c:v>
                </c:pt>
                <c:pt idx="20">
                  <c:v>2004.0</c:v>
                </c:pt>
                <c:pt idx="21">
                  <c:v>2005.0</c:v>
                </c:pt>
                <c:pt idx="22">
                  <c:v>2006.0</c:v>
                </c:pt>
                <c:pt idx="23">
                  <c:v>2007.0</c:v>
                </c:pt>
                <c:pt idx="24">
                  <c:v>2008.0</c:v>
                </c:pt>
                <c:pt idx="25">
                  <c:v>2009.0</c:v>
                </c:pt>
                <c:pt idx="26">
                  <c:v>2010.0</c:v>
                </c:pt>
                <c:pt idx="27">
                  <c:v>2011.0</c:v>
                </c:pt>
                <c:pt idx="28">
                  <c:v>2012.0</c:v>
                </c:pt>
                <c:pt idx="29">
                  <c:v>2013.0</c:v>
                </c:pt>
                <c:pt idx="30">
                  <c:v>2014.0</c:v>
                </c:pt>
                <c:pt idx="31">
                  <c:v>2015.0</c:v>
                </c:pt>
                <c:pt idx="32">
                  <c:v>2016.0</c:v>
                </c:pt>
              </c:numCache>
            </c:numRef>
          </c:cat>
          <c:val>
            <c:numRef>
              <c:f>'Assets(BoP)'!$LL$76:$LL$108</c:f>
              <c:numCache>
                <c:formatCode>0%</c:formatCode>
                <c:ptCount val="33"/>
                <c:pt idx="0">
                  <c:v>0.0643281777206498</c:v>
                </c:pt>
                <c:pt idx="1">
                  <c:v>0.0655728096157303</c:v>
                </c:pt>
                <c:pt idx="2">
                  <c:v>0.0624285166235824</c:v>
                </c:pt>
                <c:pt idx="3">
                  <c:v>0.0615634255178324</c:v>
                </c:pt>
                <c:pt idx="4">
                  <c:v>0.0586912864987826</c:v>
                </c:pt>
                <c:pt idx="5">
                  <c:v>0.0639061386541789</c:v>
                </c:pt>
                <c:pt idx="6">
                  <c:v>0.0654339219896003</c:v>
                </c:pt>
                <c:pt idx="7">
                  <c:v>0.0615801677922675</c:v>
                </c:pt>
                <c:pt idx="8">
                  <c:v>0.0618368070096318</c:v>
                </c:pt>
                <c:pt idx="9">
                  <c:v>0.0634514451278885</c:v>
                </c:pt>
                <c:pt idx="10">
                  <c:v>0.0477406903843334</c:v>
                </c:pt>
                <c:pt idx="11">
                  <c:v>0.046175019426838</c:v>
                </c:pt>
                <c:pt idx="12">
                  <c:v>0.0413289266742188</c:v>
                </c:pt>
                <c:pt idx="13">
                  <c:v>0.0401271952592682</c:v>
                </c:pt>
                <c:pt idx="14">
                  <c:v>0.0411772998160746</c:v>
                </c:pt>
                <c:pt idx="15">
                  <c:v>0.0316618615169109</c:v>
                </c:pt>
                <c:pt idx="16">
                  <c:v>0.0409244106192993</c:v>
                </c:pt>
                <c:pt idx="17">
                  <c:v>0.0430512547064429</c:v>
                </c:pt>
                <c:pt idx="18">
                  <c:v>0.0471922570027962</c:v>
                </c:pt>
                <c:pt idx="19">
                  <c:v>0.0544825702473565</c:v>
                </c:pt>
                <c:pt idx="20">
                  <c:v>0.0585628626319089</c:v>
                </c:pt>
                <c:pt idx="21">
                  <c:v>0.046926587048372</c:v>
                </c:pt>
                <c:pt idx="22">
                  <c:v>0.042507559014195</c:v>
                </c:pt>
                <c:pt idx="23">
                  <c:v>0.0314325094654473</c:v>
                </c:pt>
                <c:pt idx="24">
                  <c:v>0.0407826835331117</c:v>
                </c:pt>
                <c:pt idx="25">
                  <c:v>0.0362443740069465</c:v>
                </c:pt>
                <c:pt idx="26">
                  <c:v>0.0347010869718173</c:v>
                </c:pt>
                <c:pt idx="27">
                  <c:v>0.0300647007547946</c:v>
                </c:pt>
                <c:pt idx="28">
                  <c:v>0.0304667713249178</c:v>
                </c:pt>
                <c:pt idx="29">
                  <c:v>0.031968352668828</c:v>
                </c:pt>
                <c:pt idx="30">
                  <c:v>0.0315700887424624</c:v>
                </c:pt>
                <c:pt idx="31">
                  <c:v>0.0344052656167683</c:v>
                </c:pt>
                <c:pt idx="32">
                  <c:v>0.0370131864969649</c:v>
                </c:pt>
              </c:numCache>
            </c:numRef>
          </c:val>
        </c:ser>
        <c:ser>
          <c:idx val="6"/>
          <c:order val="4"/>
          <c:tx>
            <c:strRef>
              <c:f>'Assets(BoP)'!$DZ$3</c:f>
              <c:strCache>
                <c:ptCount val="1"/>
                <c:pt idx="0">
                  <c:v>Bermuda &amp; other Caribbean</c:v>
                </c:pt>
              </c:strCache>
            </c:strRef>
          </c:tx>
          <c:spPr>
            <a:solidFill>
              <a:schemeClr val="bg1"/>
            </a:solidFill>
            <a:ln w="12700">
              <a:solidFill>
                <a:schemeClr val="tx1"/>
              </a:solidFill>
            </a:ln>
          </c:spPr>
          <c:cat>
            <c:numRef>
              <c:f>'Assets(BoP)'!$B$76:$B$108</c:f>
              <c:numCache>
                <c:formatCode>General</c:formatCode>
                <c:ptCount val="33"/>
                <c:pt idx="0">
                  <c:v>1984.0</c:v>
                </c:pt>
                <c:pt idx="1">
                  <c:v>1985.0</c:v>
                </c:pt>
                <c:pt idx="2">
                  <c:v>1986.0</c:v>
                </c:pt>
                <c:pt idx="3">
                  <c:v>1987.0</c:v>
                </c:pt>
                <c:pt idx="4">
                  <c:v>1988.0</c:v>
                </c:pt>
                <c:pt idx="5">
                  <c:v>1989.0</c:v>
                </c:pt>
                <c:pt idx="6">
                  <c:v>1990.0</c:v>
                </c:pt>
                <c:pt idx="7">
                  <c:v>1991.0</c:v>
                </c:pt>
                <c:pt idx="8">
                  <c:v>1992.0</c:v>
                </c:pt>
                <c:pt idx="9">
                  <c:v>1993.0</c:v>
                </c:pt>
                <c:pt idx="10">
                  <c:v>1994.0</c:v>
                </c:pt>
                <c:pt idx="11">
                  <c:v>1995.0</c:v>
                </c:pt>
                <c:pt idx="12">
                  <c:v>1996.0</c:v>
                </c:pt>
                <c:pt idx="13">
                  <c:v>1997.0</c:v>
                </c:pt>
                <c:pt idx="14">
                  <c:v>1998.0</c:v>
                </c:pt>
                <c:pt idx="15">
                  <c:v>1999.0</c:v>
                </c:pt>
                <c:pt idx="16">
                  <c:v>2000.0</c:v>
                </c:pt>
                <c:pt idx="17">
                  <c:v>2001.0</c:v>
                </c:pt>
                <c:pt idx="18">
                  <c:v>2002.0</c:v>
                </c:pt>
                <c:pt idx="19">
                  <c:v>2003.0</c:v>
                </c:pt>
                <c:pt idx="20">
                  <c:v>2004.0</c:v>
                </c:pt>
                <c:pt idx="21">
                  <c:v>2005.0</c:v>
                </c:pt>
                <c:pt idx="22">
                  <c:v>2006.0</c:v>
                </c:pt>
                <c:pt idx="23">
                  <c:v>2007.0</c:v>
                </c:pt>
                <c:pt idx="24">
                  <c:v>2008.0</c:v>
                </c:pt>
                <c:pt idx="25">
                  <c:v>2009.0</c:v>
                </c:pt>
                <c:pt idx="26">
                  <c:v>2010.0</c:v>
                </c:pt>
                <c:pt idx="27">
                  <c:v>2011.0</c:v>
                </c:pt>
                <c:pt idx="28">
                  <c:v>2012.0</c:v>
                </c:pt>
                <c:pt idx="29">
                  <c:v>2013.0</c:v>
                </c:pt>
                <c:pt idx="30">
                  <c:v>2014.0</c:v>
                </c:pt>
                <c:pt idx="31">
                  <c:v>2015.0</c:v>
                </c:pt>
                <c:pt idx="32">
                  <c:v>2016.0</c:v>
                </c:pt>
              </c:numCache>
            </c:numRef>
          </c:cat>
          <c:val>
            <c:numRef>
              <c:f>'Assets(BoP)'!$LM$76:$LM$108</c:f>
              <c:numCache>
                <c:formatCode>0%</c:formatCode>
                <c:ptCount val="33"/>
                <c:pt idx="0">
                  <c:v>0.0958072945295256</c:v>
                </c:pt>
                <c:pt idx="1">
                  <c:v>0.0915815469259204</c:v>
                </c:pt>
                <c:pt idx="2">
                  <c:v>0.0862891746829634</c:v>
                </c:pt>
                <c:pt idx="3">
                  <c:v>0.082404828934566</c:v>
                </c:pt>
                <c:pt idx="4">
                  <c:v>0.0729324020923303</c:v>
                </c:pt>
                <c:pt idx="5">
                  <c:v>0.0675229337043447</c:v>
                </c:pt>
                <c:pt idx="6">
                  <c:v>0.0627582868985716</c:v>
                </c:pt>
                <c:pt idx="7">
                  <c:v>0.0686515099275965</c:v>
                </c:pt>
                <c:pt idx="8">
                  <c:v>0.0740113176346788</c:v>
                </c:pt>
                <c:pt idx="9">
                  <c:v>0.0672196230238836</c:v>
                </c:pt>
                <c:pt idx="10">
                  <c:v>0.0754147212229727</c:v>
                </c:pt>
                <c:pt idx="11">
                  <c:v>0.0711568408996576</c:v>
                </c:pt>
                <c:pt idx="12">
                  <c:v>0.0764534276255733</c:v>
                </c:pt>
                <c:pt idx="13">
                  <c:v>0.0751786175540492</c:v>
                </c:pt>
                <c:pt idx="14">
                  <c:v>0.0755237210417478</c:v>
                </c:pt>
                <c:pt idx="15">
                  <c:v>0.0888412480878916</c:v>
                </c:pt>
                <c:pt idx="16">
                  <c:v>0.0922817929914817</c:v>
                </c:pt>
                <c:pt idx="17">
                  <c:v>0.108976339558501</c:v>
                </c:pt>
                <c:pt idx="18">
                  <c:v>0.110778413884957</c:v>
                </c:pt>
                <c:pt idx="19">
                  <c:v>0.110338399454724</c:v>
                </c:pt>
                <c:pt idx="20">
                  <c:v>0.111841243039448</c:v>
                </c:pt>
                <c:pt idx="21">
                  <c:v>0.114539382609128</c:v>
                </c:pt>
                <c:pt idx="22">
                  <c:v>0.110536731290191</c:v>
                </c:pt>
                <c:pt idx="23">
                  <c:v>0.125634899988387</c:v>
                </c:pt>
                <c:pt idx="24">
                  <c:v>0.127203104723376</c:v>
                </c:pt>
                <c:pt idx="25">
                  <c:v>0.148903154029084</c:v>
                </c:pt>
                <c:pt idx="26">
                  <c:v>0.146635937333775</c:v>
                </c:pt>
                <c:pt idx="27">
                  <c:v>0.142028102955818</c:v>
                </c:pt>
                <c:pt idx="28">
                  <c:v>0.139902892231091</c:v>
                </c:pt>
                <c:pt idx="29">
                  <c:v>0.133120262735318</c:v>
                </c:pt>
                <c:pt idx="30">
                  <c:v>0.145782812596624</c:v>
                </c:pt>
                <c:pt idx="31">
                  <c:v>0.14181082612398</c:v>
                </c:pt>
                <c:pt idx="32">
                  <c:v>0.130190506188826</c:v>
                </c:pt>
              </c:numCache>
            </c:numRef>
          </c:val>
        </c:ser>
        <c:ser>
          <c:idx val="0"/>
          <c:order val="5"/>
          <c:tx>
            <c:strRef>
              <c:f>'Assets(BoP)'!$EC$3</c:f>
              <c:strCache>
                <c:ptCount val="1"/>
                <c:pt idx="0">
                  <c:v>Singapore</c:v>
                </c:pt>
              </c:strCache>
            </c:strRef>
          </c:tx>
          <c:spPr>
            <a:solidFill>
              <a:sysClr val="window" lastClr="FFFFFF">
                <a:lumMod val="95000"/>
              </a:sysClr>
            </a:solidFill>
            <a:ln>
              <a:solidFill>
                <a:sysClr val="windowText" lastClr="000000"/>
              </a:solidFill>
            </a:ln>
          </c:spPr>
          <c:cat>
            <c:numRef>
              <c:f>'Assets(BoP)'!$B$76:$B$108</c:f>
              <c:numCache>
                <c:formatCode>General</c:formatCode>
                <c:ptCount val="33"/>
                <c:pt idx="0">
                  <c:v>1984.0</c:v>
                </c:pt>
                <c:pt idx="1">
                  <c:v>1985.0</c:v>
                </c:pt>
                <c:pt idx="2">
                  <c:v>1986.0</c:v>
                </c:pt>
                <c:pt idx="3">
                  <c:v>1987.0</c:v>
                </c:pt>
                <c:pt idx="4">
                  <c:v>1988.0</c:v>
                </c:pt>
                <c:pt idx="5">
                  <c:v>1989.0</c:v>
                </c:pt>
                <c:pt idx="6">
                  <c:v>1990.0</c:v>
                </c:pt>
                <c:pt idx="7">
                  <c:v>1991.0</c:v>
                </c:pt>
                <c:pt idx="8">
                  <c:v>1992.0</c:v>
                </c:pt>
                <c:pt idx="9">
                  <c:v>1993.0</c:v>
                </c:pt>
                <c:pt idx="10">
                  <c:v>1994.0</c:v>
                </c:pt>
                <c:pt idx="11">
                  <c:v>1995.0</c:v>
                </c:pt>
                <c:pt idx="12">
                  <c:v>1996.0</c:v>
                </c:pt>
                <c:pt idx="13">
                  <c:v>1997.0</c:v>
                </c:pt>
                <c:pt idx="14">
                  <c:v>1998.0</c:v>
                </c:pt>
                <c:pt idx="15">
                  <c:v>1999.0</c:v>
                </c:pt>
                <c:pt idx="16">
                  <c:v>2000.0</c:v>
                </c:pt>
                <c:pt idx="17">
                  <c:v>2001.0</c:v>
                </c:pt>
                <c:pt idx="18">
                  <c:v>2002.0</c:v>
                </c:pt>
                <c:pt idx="19">
                  <c:v>2003.0</c:v>
                </c:pt>
                <c:pt idx="20">
                  <c:v>2004.0</c:v>
                </c:pt>
                <c:pt idx="21">
                  <c:v>2005.0</c:v>
                </c:pt>
                <c:pt idx="22">
                  <c:v>2006.0</c:v>
                </c:pt>
                <c:pt idx="23">
                  <c:v>2007.0</c:v>
                </c:pt>
                <c:pt idx="24">
                  <c:v>2008.0</c:v>
                </c:pt>
                <c:pt idx="25">
                  <c:v>2009.0</c:v>
                </c:pt>
                <c:pt idx="26">
                  <c:v>2010.0</c:v>
                </c:pt>
                <c:pt idx="27">
                  <c:v>2011.0</c:v>
                </c:pt>
                <c:pt idx="28">
                  <c:v>2012.0</c:v>
                </c:pt>
                <c:pt idx="29">
                  <c:v>2013.0</c:v>
                </c:pt>
                <c:pt idx="30">
                  <c:v>2014.0</c:v>
                </c:pt>
                <c:pt idx="31">
                  <c:v>2015.0</c:v>
                </c:pt>
                <c:pt idx="32">
                  <c:v>2016.0</c:v>
                </c:pt>
              </c:numCache>
            </c:numRef>
          </c:cat>
          <c:val>
            <c:numRef>
              <c:f>'Assets(BoP)'!$LP$76:$LP$108</c:f>
              <c:numCache>
                <c:formatCode>0%</c:formatCode>
                <c:ptCount val="33"/>
                <c:pt idx="0">
                  <c:v>0.0108919012625472</c:v>
                </c:pt>
                <c:pt idx="1">
                  <c:v>0.0109607133646459</c:v>
                </c:pt>
                <c:pt idx="2">
                  <c:v>0.0116703894790811</c:v>
                </c:pt>
                <c:pt idx="3">
                  <c:v>0.0113525103932507</c:v>
                </c:pt>
                <c:pt idx="4">
                  <c:v>0.010464613434277</c:v>
                </c:pt>
                <c:pt idx="5">
                  <c:v>0.0113028380105648</c:v>
                </c:pt>
                <c:pt idx="6">
                  <c:v>0.0124920885094131</c:v>
                </c:pt>
                <c:pt idx="7">
                  <c:v>0.0136852328833183</c:v>
                </c:pt>
                <c:pt idx="8">
                  <c:v>0.0154022914451997</c:v>
                </c:pt>
                <c:pt idx="9">
                  <c:v>0.0179047822610651</c:v>
                </c:pt>
                <c:pt idx="10">
                  <c:v>0.0195289657632083</c:v>
                </c:pt>
                <c:pt idx="11">
                  <c:v>0.0197826066603627</c:v>
                </c:pt>
                <c:pt idx="12">
                  <c:v>0.0203166415538423</c:v>
                </c:pt>
                <c:pt idx="13">
                  <c:v>0.0213413181461391</c:v>
                </c:pt>
                <c:pt idx="14">
                  <c:v>0.018957519571899</c:v>
                </c:pt>
                <c:pt idx="15">
                  <c:v>0.0172947480755707</c:v>
                </c:pt>
                <c:pt idx="16">
                  <c:v>0.0178424025291222</c:v>
                </c:pt>
                <c:pt idx="17">
                  <c:v>0.028371676164526</c:v>
                </c:pt>
                <c:pt idx="18">
                  <c:v>0.0345659556367541</c:v>
                </c:pt>
                <c:pt idx="19">
                  <c:v>0.0295942970103611</c:v>
                </c:pt>
                <c:pt idx="20">
                  <c:v>0.0283339276661414</c:v>
                </c:pt>
                <c:pt idx="21">
                  <c:v>0.0314404260770535</c:v>
                </c:pt>
                <c:pt idx="22">
                  <c:v>0.0353846167216953</c:v>
                </c:pt>
                <c:pt idx="23">
                  <c:v>0.0334003924852468</c:v>
                </c:pt>
                <c:pt idx="24">
                  <c:v>0.0275550085420003</c:v>
                </c:pt>
                <c:pt idx="25">
                  <c:v>0.0268811168125765</c:v>
                </c:pt>
                <c:pt idx="26">
                  <c:v>0.0285890868277208</c:v>
                </c:pt>
                <c:pt idx="27">
                  <c:v>0.0307335717477607</c:v>
                </c:pt>
                <c:pt idx="28">
                  <c:v>0.0343636449074043</c:v>
                </c:pt>
                <c:pt idx="29">
                  <c:v>0.0407850277035159</c:v>
                </c:pt>
                <c:pt idx="30">
                  <c:v>0.0469714732986249</c:v>
                </c:pt>
                <c:pt idx="31">
                  <c:v>0.0503927178627401</c:v>
                </c:pt>
                <c:pt idx="32">
                  <c:v>0.0486002714295158</c:v>
                </c:pt>
              </c:numCache>
            </c:numRef>
          </c:val>
        </c:ser>
        <c:dLbls>
          <c:showLegendKey val="0"/>
          <c:showVal val="0"/>
          <c:showCatName val="0"/>
          <c:showSerName val="0"/>
          <c:showPercent val="0"/>
          <c:showBubbleSize val="0"/>
        </c:dLbls>
        <c:axId val="-2099381832"/>
        <c:axId val="-2099385064"/>
      </c:areaChart>
      <c:catAx>
        <c:axId val="-2099381832"/>
        <c:scaling>
          <c:orientation val="minMax"/>
        </c:scaling>
        <c:delete val="0"/>
        <c:axPos val="b"/>
        <c:numFmt formatCode="General" sourceLinked="1"/>
        <c:majorTickMark val="none"/>
        <c:minorTickMark val="none"/>
        <c:tickLblPos val="nextTo"/>
        <c:txPr>
          <a:bodyPr rot="-5400000" vert="horz"/>
          <a:lstStyle/>
          <a:p>
            <a:pPr>
              <a:defRPr sz="1600"/>
            </a:pPr>
            <a:endParaRPr lang="fr-FR"/>
          </a:p>
        </c:txPr>
        <c:crossAx val="-2099385064"/>
        <c:crosses val="autoZero"/>
        <c:auto val="1"/>
        <c:lblAlgn val="ctr"/>
        <c:lblOffset val="100"/>
        <c:tickLblSkip val="2"/>
        <c:tickMarkSkip val="2"/>
        <c:noMultiLvlLbl val="0"/>
      </c:catAx>
      <c:valAx>
        <c:axId val="-2099385064"/>
        <c:scaling>
          <c:orientation val="minMax"/>
          <c:max val="0.56"/>
          <c:min val="0.0"/>
        </c:scaling>
        <c:delete val="0"/>
        <c:axPos val="l"/>
        <c:title>
          <c:tx>
            <c:rich>
              <a:bodyPr rot="-5400000" vert="horz"/>
              <a:lstStyle/>
              <a:p>
                <a:pPr>
                  <a:defRPr sz="1600" b="0"/>
                </a:pPr>
                <a:r>
                  <a:rPr lang="fr-FR" sz="1400" b="0" i="0" u="none" strike="noStrike" baseline="0" smtClean="0"/>
                  <a:t>% of U.S direct equity investments abroad</a:t>
                </a:r>
                <a:endParaRPr lang="fr-FR" sz="1400"/>
              </a:p>
            </c:rich>
          </c:tx>
          <c:layout>
            <c:manualLayout>
              <c:xMode val="edge"/>
              <c:yMode val="edge"/>
              <c:x val="0.00441401031767581"/>
              <c:y val="0.174511882281683"/>
            </c:manualLayout>
          </c:layout>
          <c:overlay val="0"/>
        </c:title>
        <c:numFmt formatCode="0%" sourceLinked="1"/>
        <c:majorTickMark val="none"/>
        <c:minorTickMark val="none"/>
        <c:tickLblPos val="nextTo"/>
        <c:txPr>
          <a:bodyPr/>
          <a:lstStyle/>
          <a:p>
            <a:pPr>
              <a:defRPr sz="1600"/>
            </a:pPr>
            <a:endParaRPr lang="fr-FR"/>
          </a:p>
        </c:txPr>
        <c:crossAx val="-2099381832"/>
        <c:crosses val="autoZero"/>
        <c:crossBetween val="midCat"/>
      </c:valAx>
    </c:plotArea>
    <c:plotVisOnly val="1"/>
    <c:dispBlanksAs val="zero"/>
    <c:showDLblsOverMax val="0"/>
  </c:chart>
  <c:spPr>
    <a:ln>
      <a:noFill/>
    </a:ln>
  </c:spPr>
  <c:txPr>
    <a:bodyPr/>
    <a:lstStyle/>
    <a:p>
      <a:pPr>
        <a:defRPr>
          <a:latin typeface="Arial"/>
          <a:cs typeface="Arial"/>
        </a:defRPr>
      </a:pPr>
      <a:endParaRPr lang="fr-FR"/>
    </a:p>
  </c:txPr>
  <c:userShapes r:id="rId2"/>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2000">
                <a:latin typeface="Arial"/>
                <a:cs typeface="Arial"/>
              </a:rPr>
              <a:t>Figure A.4: The</a:t>
            </a:r>
            <a:r>
              <a:rPr lang="fr-FR" sz="2000" baseline="0">
                <a:latin typeface="Arial"/>
                <a:cs typeface="Arial"/>
              </a:rPr>
              <a:t> share of tax havens in U.S. corporate profits</a:t>
            </a:r>
          </a:p>
          <a:p>
            <a:pPr>
              <a:defRPr/>
            </a:pPr>
            <a:r>
              <a:rPr lang="fr-FR" sz="2000" b="0" baseline="0">
                <a:latin typeface="Arial"/>
                <a:cs typeface="Arial"/>
              </a:rPr>
              <a:t>(BoP immediate counterpart basis) </a:t>
            </a:r>
            <a:endParaRPr lang="fr-FR" sz="2000" b="0">
              <a:latin typeface="Arial"/>
              <a:cs typeface="Arial"/>
            </a:endParaRPr>
          </a:p>
        </c:rich>
      </c:tx>
      <c:layout>
        <c:manualLayout>
          <c:xMode val="edge"/>
          <c:yMode val="edge"/>
          <c:x val="0.151050665218572"/>
          <c:y val="0.00225371432643318"/>
        </c:manualLayout>
      </c:layout>
      <c:overlay val="0"/>
    </c:title>
    <c:autoTitleDeleted val="0"/>
    <c:plotArea>
      <c:layout>
        <c:manualLayout>
          <c:layoutTarget val="inner"/>
          <c:xMode val="edge"/>
          <c:yMode val="edge"/>
          <c:x val="0.0983259299484116"/>
          <c:y val="0.098120419495106"/>
          <c:w val="0.88101515069237"/>
          <c:h val="0.724000821869125"/>
        </c:manualLayout>
      </c:layout>
      <c:lineChart>
        <c:grouping val="standard"/>
        <c:varyColors val="0"/>
        <c:ser>
          <c:idx val="0"/>
          <c:order val="0"/>
          <c:tx>
            <c:strRef>
              <c:f>'Assets(BoP)'!$N$3</c:f>
              <c:strCache>
                <c:ptCount val="1"/>
                <c:pt idx="0">
                  <c:v>(Foreign profits inflows, % BEA profits)</c:v>
                </c:pt>
              </c:strCache>
            </c:strRef>
          </c:tx>
          <c:spPr>
            <a:ln w="34925">
              <a:solidFill>
                <a:schemeClr val="tx1"/>
              </a:solidFill>
            </a:ln>
            <a:effectLst/>
          </c:spPr>
          <c:marker>
            <c:symbol val="circle"/>
            <c:size val="10"/>
            <c:spPr>
              <a:solidFill>
                <a:schemeClr val="bg1"/>
              </a:solidFill>
              <a:ln w="15875">
                <a:solidFill>
                  <a:schemeClr val="tx1"/>
                </a:solidFill>
              </a:ln>
              <a:effectLst/>
            </c:spPr>
          </c:marker>
          <c:cat>
            <c:numRef>
              <c:f>'Assets(BoP)'!$B$72:$B$108</c:f>
              <c:numCache>
                <c:formatCode>General</c:formatCode>
                <c:ptCount val="37"/>
                <c:pt idx="0">
                  <c:v>1980.0</c:v>
                </c:pt>
                <c:pt idx="1">
                  <c:v>1981.0</c:v>
                </c:pt>
                <c:pt idx="2">
                  <c:v>1982.0</c:v>
                </c:pt>
                <c:pt idx="3">
                  <c:v>1983.0</c:v>
                </c:pt>
                <c:pt idx="4">
                  <c:v>1984.0</c:v>
                </c:pt>
                <c:pt idx="5">
                  <c:v>1985.0</c:v>
                </c:pt>
                <c:pt idx="6">
                  <c:v>1986.0</c:v>
                </c:pt>
                <c:pt idx="7">
                  <c:v>1987.0</c:v>
                </c:pt>
                <c:pt idx="8">
                  <c:v>1988.0</c:v>
                </c:pt>
                <c:pt idx="9">
                  <c:v>1989.0</c:v>
                </c:pt>
                <c:pt idx="10">
                  <c:v>1990.0</c:v>
                </c:pt>
                <c:pt idx="11">
                  <c:v>1991.0</c:v>
                </c:pt>
                <c:pt idx="12">
                  <c:v>1992.0</c:v>
                </c:pt>
                <c:pt idx="13">
                  <c:v>1993.0</c:v>
                </c:pt>
                <c:pt idx="14">
                  <c:v>1994.0</c:v>
                </c:pt>
                <c:pt idx="15">
                  <c:v>1995.0</c:v>
                </c:pt>
                <c:pt idx="16">
                  <c:v>1996.0</c:v>
                </c:pt>
                <c:pt idx="17">
                  <c:v>1997.0</c:v>
                </c:pt>
                <c:pt idx="18">
                  <c:v>1998.0</c:v>
                </c:pt>
                <c:pt idx="19">
                  <c:v>1999.0</c:v>
                </c:pt>
                <c:pt idx="20">
                  <c:v>2000.0</c:v>
                </c:pt>
                <c:pt idx="21">
                  <c:v>2001.0</c:v>
                </c:pt>
                <c:pt idx="22">
                  <c:v>2002.0</c:v>
                </c:pt>
                <c:pt idx="23">
                  <c:v>2003.0</c:v>
                </c:pt>
                <c:pt idx="24">
                  <c:v>2004.0</c:v>
                </c:pt>
                <c:pt idx="25">
                  <c:v>2005.0</c:v>
                </c:pt>
                <c:pt idx="26">
                  <c:v>2006.0</c:v>
                </c:pt>
                <c:pt idx="27">
                  <c:v>2007.0</c:v>
                </c:pt>
                <c:pt idx="28">
                  <c:v>2008.0</c:v>
                </c:pt>
                <c:pt idx="29">
                  <c:v>2009.0</c:v>
                </c:pt>
                <c:pt idx="30">
                  <c:v>2010.0</c:v>
                </c:pt>
                <c:pt idx="31">
                  <c:v>2011.0</c:v>
                </c:pt>
                <c:pt idx="32">
                  <c:v>2012.0</c:v>
                </c:pt>
                <c:pt idx="33">
                  <c:v>2013.0</c:v>
                </c:pt>
                <c:pt idx="34">
                  <c:v>2014.0</c:v>
                </c:pt>
                <c:pt idx="35">
                  <c:v>2015.0</c:v>
                </c:pt>
                <c:pt idx="36">
                  <c:v>2016.0</c:v>
                </c:pt>
              </c:numCache>
            </c:numRef>
          </c:cat>
          <c:val>
            <c:numRef>
              <c:f>'Assets(BoP)'!$FQ$72:$FQ$108</c:f>
              <c:numCache>
                <c:formatCode>0%</c:formatCode>
                <c:ptCount val="37"/>
                <c:pt idx="0">
                  <c:v>0.0409872633347209</c:v>
                </c:pt>
                <c:pt idx="1">
                  <c:v>0.0332256541100797</c:v>
                </c:pt>
                <c:pt idx="2">
                  <c:v>0.0432863347545777</c:v>
                </c:pt>
                <c:pt idx="3">
                  <c:v>0.0326263751789916</c:v>
                </c:pt>
                <c:pt idx="4">
                  <c:v>0.0275670678868458</c:v>
                </c:pt>
                <c:pt idx="5">
                  <c:v>0.0277739865465471</c:v>
                </c:pt>
                <c:pt idx="6">
                  <c:v>0.0344594828660049</c:v>
                </c:pt>
                <c:pt idx="7">
                  <c:v>0.0394656805388031</c:v>
                </c:pt>
                <c:pt idx="8">
                  <c:v>0.0353954631548819</c:v>
                </c:pt>
                <c:pt idx="9">
                  <c:v>0.0407740076275147</c:v>
                </c:pt>
                <c:pt idx="10">
                  <c:v>0.0496607169772163</c:v>
                </c:pt>
                <c:pt idx="11">
                  <c:v>0.043594458149588</c:v>
                </c:pt>
                <c:pt idx="12">
                  <c:v>0.0454430754512806</c:v>
                </c:pt>
                <c:pt idx="13">
                  <c:v>0.0428938951159762</c:v>
                </c:pt>
                <c:pt idx="14">
                  <c:v>0.0517628767643134</c:v>
                </c:pt>
                <c:pt idx="15">
                  <c:v>0.048978715354457</c:v>
                </c:pt>
                <c:pt idx="16">
                  <c:v>0.0500112799429486</c:v>
                </c:pt>
                <c:pt idx="17">
                  <c:v>0.0545252254767273</c:v>
                </c:pt>
                <c:pt idx="18">
                  <c:v>0.0642019148245954</c:v>
                </c:pt>
                <c:pt idx="19">
                  <c:v>0.0767925740683352</c:v>
                </c:pt>
                <c:pt idx="20">
                  <c:v>0.083959941343671</c:v>
                </c:pt>
                <c:pt idx="21">
                  <c:v>0.097585253354984</c:v>
                </c:pt>
                <c:pt idx="22">
                  <c:v>0.095850519605691</c:v>
                </c:pt>
                <c:pt idx="23">
                  <c:v>0.0993811985047039</c:v>
                </c:pt>
                <c:pt idx="24">
                  <c:v>0.112173119381451</c:v>
                </c:pt>
                <c:pt idx="25">
                  <c:v>0.118365388714382</c:v>
                </c:pt>
                <c:pt idx="26">
                  <c:v>0.113608832386248</c:v>
                </c:pt>
                <c:pt idx="27">
                  <c:v>0.156033501177759</c:v>
                </c:pt>
                <c:pt idx="28">
                  <c:v>0.217513208044715</c:v>
                </c:pt>
                <c:pt idx="29">
                  <c:v>0.190571571147965</c:v>
                </c:pt>
                <c:pt idx="30">
                  <c:v>0.174594790404902</c:v>
                </c:pt>
                <c:pt idx="31">
                  <c:v>0.185378016500888</c:v>
                </c:pt>
                <c:pt idx="32">
                  <c:v>0.181031675043668</c:v>
                </c:pt>
                <c:pt idx="33">
                  <c:v>0.192636999378177</c:v>
                </c:pt>
                <c:pt idx="34">
                  <c:v>0.197048157125682</c:v>
                </c:pt>
                <c:pt idx="35">
                  <c:v>0.197581897061346</c:v>
                </c:pt>
                <c:pt idx="36">
                  <c:v>0.207671896406725</c:v>
                </c:pt>
              </c:numCache>
            </c:numRef>
          </c:val>
          <c:smooth val="0"/>
        </c:ser>
        <c:dLbls>
          <c:showLegendKey val="0"/>
          <c:showVal val="0"/>
          <c:showCatName val="0"/>
          <c:showSerName val="0"/>
          <c:showPercent val="0"/>
          <c:showBubbleSize val="0"/>
        </c:dLbls>
        <c:marker val="1"/>
        <c:smooth val="0"/>
        <c:axId val="-2099476168"/>
        <c:axId val="-2099487832"/>
      </c:lineChart>
      <c:catAx>
        <c:axId val="-2099476168"/>
        <c:scaling>
          <c:orientation val="minMax"/>
        </c:scaling>
        <c:delete val="0"/>
        <c:axPos val="b"/>
        <c:numFmt formatCode="General" sourceLinked="1"/>
        <c:majorTickMark val="none"/>
        <c:minorTickMark val="none"/>
        <c:tickLblPos val="nextTo"/>
        <c:txPr>
          <a:bodyPr rot="-5400000" vert="horz"/>
          <a:lstStyle/>
          <a:p>
            <a:pPr>
              <a:defRPr sz="1600">
                <a:latin typeface="Arial"/>
                <a:cs typeface="Arial"/>
              </a:defRPr>
            </a:pPr>
            <a:endParaRPr lang="fr-FR"/>
          </a:p>
        </c:txPr>
        <c:crossAx val="-2099487832"/>
        <c:crosses val="autoZero"/>
        <c:auto val="1"/>
        <c:lblAlgn val="ctr"/>
        <c:lblOffset val="100"/>
        <c:tickLblSkip val="2"/>
        <c:tickMarkSkip val="2"/>
        <c:noMultiLvlLbl val="0"/>
      </c:catAx>
      <c:valAx>
        <c:axId val="-2099487832"/>
        <c:scaling>
          <c:orientation val="minMax"/>
        </c:scaling>
        <c:delete val="0"/>
        <c:axPos val="l"/>
        <c:title>
          <c:tx>
            <c:rich>
              <a:bodyPr rot="-5400000" vert="horz"/>
              <a:lstStyle/>
              <a:p>
                <a:pPr>
                  <a:defRPr/>
                </a:pPr>
                <a:r>
                  <a:rPr lang="fr-FR" sz="1400" b="0">
                    <a:latin typeface="Arial"/>
                    <a:cs typeface="Arial"/>
                  </a:rPr>
                  <a:t>% of US corporate profits</a:t>
                </a:r>
              </a:p>
            </c:rich>
          </c:tx>
          <c:layout>
            <c:manualLayout>
              <c:xMode val="edge"/>
              <c:yMode val="edge"/>
              <c:x val="0.000967472169427097"/>
              <c:y val="0.286851375936398"/>
            </c:manualLayout>
          </c:layout>
          <c:overlay val="0"/>
        </c:title>
        <c:numFmt formatCode="0%" sourceLinked="0"/>
        <c:majorTickMark val="none"/>
        <c:minorTickMark val="none"/>
        <c:tickLblPos val="nextTo"/>
        <c:txPr>
          <a:bodyPr/>
          <a:lstStyle/>
          <a:p>
            <a:pPr>
              <a:defRPr sz="1600">
                <a:latin typeface="Arial"/>
                <a:cs typeface="Arial"/>
              </a:defRPr>
            </a:pPr>
            <a:endParaRPr lang="fr-FR"/>
          </a:p>
        </c:txPr>
        <c:crossAx val="-2099476168"/>
        <c:crosses val="autoZero"/>
        <c:crossBetween val="midCat"/>
      </c:valAx>
    </c:plotArea>
    <c:plotVisOnly val="1"/>
    <c:dispBlanksAs val="gap"/>
    <c:showDLblsOverMax val="0"/>
  </c:chart>
  <c:spPr>
    <a:ln>
      <a:noFill/>
    </a:ln>
  </c:spPr>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latin typeface="Arial"/>
                <a:cs typeface="Arial"/>
              </a:rPr>
              <a:t>Figure A.5: Share</a:t>
            </a:r>
            <a:r>
              <a:rPr lang="en-US" baseline="0">
                <a:latin typeface="Arial"/>
                <a:cs typeface="Arial"/>
              </a:rPr>
              <a:t> of U.S. direct investment equity assets in tax havens </a:t>
            </a:r>
            <a:r>
              <a:rPr lang="en-US" b="0" baseline="0">
                <a:latin typeface="Arial"/>
                <a:cs typeface="Arial"/>
              </a:rPr>
              <a:t>(BEA survey data)</a:t>
            </a:r>
            <a:endParaRPr lang="en-US" b="0">
              <a:latin typeface="Arial"/>
              <a:cs typeface="Arial"/>
            </a:endParaRPr>
          </a:p>
        </c:rich>
      </c:tx>
      <c:layout>
        <c:manualLayout>
          <c:xMode val="edge"/>
          <c:yMode val="edge"/>
          <c:x val="0.148954564012832"/>
          <c:y val="0.00217693376563224"/>
        </c:manualLayout>
      </c:layout>
      <c:overlay val="0"/>
    </c:title>
    <c:autoTitleDeleted val="0"/>
    <c:plotArea>
      <c:layout>
        <c:manualLayout>
          <c:layoutTarget val="inner"/>
          <c:xMode val="edge"/>
          <c:yMode val="edge"/>
          <c:x val="0.0729074041849741"/>
          <c:y val="0.155656108597285"/>
          <c:w val="0.900228389959542"/>
          <c:h val="0.763227990166387"/>
        </c:manualLayout>
      </c:layout>
      <c:lineChart>
        <c:grouping val="standard"/>
        <c:varyColors val="0"/>
        <c:ser>
          <c:idx val="0"/>
          <c:order val="0"/>
          <c:marker>
            <c:symbol val="none"/>
          </c:marker>
          <c:cat>
            <c:numRef>
              <c:f>T.A5c!$A$10:$A$60</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T.A5c!$K$10:$K$60</c:f>
              <c:numCache>
                <c:formatCode>0.0%</c:formatCode>
                <c:ptCount val="51"/>
                <c:pt idx="0">
                  <c:v>0.0937260082919947</c:v>
                </c:pt>
                <c:pt idx="1">
                  <c:v>0.0946277341601872</c:v>
                </c:pt>
                <c:pt idx="2">
                  <c:v>0.0951828663661569</c:v>
                </c:pt>
                <c:pt idx="3">
                  <c:v>0.097381449233455</c:v>
                </c:pt>
                <c:pt idx="4">
                  <c:v>0.102080771403624</c:v>
                </c:pt>
                <c:pt idx="5">
                  <c:v>0.103470377305822</c:v>
                </c:pt>
                <c:pt idx="6">
                  <c:v>0.10617697542111</c:v>
                </c:pt>
                <c:pt idx="7">
                  <c:v>0.115248683614776</c:v>
                </c:pt>
                <c:pt idx="8">
                  <c:v>0.139918884933381</c:v>
                </c:pt>
                <c:pt idx="9">
                  <c:v>0.137661661223227</c:v>
                </c:pt>
                <c:pt idx="10">
                  <c:v>0.147295200188814</c:v>
                </c:pt>
                <c:pt idx="11">
                  <c:v>0.173668124887637</c:v>
                </c:pt>
                <c:pt idx="12">
                  <c:v>0.190160315331798</c:v>
                </c:pt>
                <c:pt idx="13">
                  <c:v>0.204816570288781</c:v>
                </c:pt>
                <c:pt idx="14">
                  <c:v>0.216238437497507</c:v>
                </c:pt>
                <c:pt idx="15">
                  <c:v>0.220959687799376</c:v>
                </c:pt>
                <c:pt idx="16">
                  <c:v>0.237435760171306</c:v>
                </c:pt>
                <c:pt idx="17">
                  <c:v>0.25692120073884</c:v>
                </c:pt>
                <c:pt idx="18">
                  <c:v>0.257677923909345</c:v>
                </c:pt>
                <c:pt idx="19">
                  <c:v>0.245238956896595</c:v>
                </c:pt>
                <c:pt idx="20">
                  <c:v>0.239169910579637</c:v>
                </c:pt>
                <c:pt idx="21">
                  <c:v>0.228171110435587</c:v>
                </c:pt>
                <c:pt idx="22">
                  <c:v>0.207841688869684</c:v>
                </c:pt>
                <c:pt idx="23">
                  <c:v>0.21675577200935</c:v>
                </c:pt>
                <c:pt idx="24">
                  <c:v>0.21716670280915</c:v>
                </c:pt>
                <c:pt idx="25">
                  <c:v>0.219325122163833</c:v>
                </c:pt>
                <c:pt idx="26">
                  <c:v>0.216830622537347</c:v>
                </c:pt>
                <c:pt idx="27">
                  <c:v>0.223761525545223</c:v>
                </c:pt>
                <c:pt idx="28">
                  <c:v>0.236524612650809</c:v>
                </c:pt>
                <c:pt idx="29">
                  <c:v>0.242738855228584</c:v>
                </c:pt>
                <c:pt idx="30">
                  <c:v>0.218799580286088</c:v>
                </c:pt>
                <c:pt idx="31">
                  <c:v>0.233862259819941</c:v>
                </c:pt>
                <c:pt idx="32">
                  <c:v>0.232733131746785</c:v>
                </c:pt>
                <c:pt idx="33">
                  <c:v>0.251141417977224</c:v>
                </c:pt>
                <c:pt idx="34">
                  <c:v>0.257158138980064</c:v>
                </c:pt>
                <c:pt idx="35">
                  <c:v>0.282798461802563</c:v>
                </c:pt>
                <c:pt idx="36">
                  <c:v>0.32324436353362</c:v>
                </c:pt>
                <c:pt idx="37">
                  <c:v>0.330479122105587</c:v>
                </c:pt>
                <c:pt idx="38">
                  <c:v>0.319316695185967</c:v>
                </c:pt>
                <c:pt idx="39">
                  <c:v>0.270731470789882</c:v>
                </c:pt>
                <c:pt idx="40">
                  <c:v>0.28421767928497</c:v>
                </c:pt>
                <c:pt idx="41">
                  <c:v>0.29567765886565</c:v>
                </c:pt>
                <c:pt idx="42">
                  <c:v>0.30840114576277</c:v>
                </c:pt>
                <c:pt idx="43">
                  <c:v>0.323941777614639</c:v>
                </c:pt>
                <c:pt idx="44">
                  <c:v>0.323961123101329</c:v>
                </c:pt>
                <c:pt idx="45">
                  <c:v>0.338074637031032</c:v>
                </c:pt>
                <c:pt idx="46">
                  <c:v>0.346863065637109</c:v>
                </c:pt>
                <c:pt idx="47">
                  <c:v>0.343388998461836</c:v>
                </c:pt>
                <c:pt idx="48">
                  <c:v>0.37286403768</c:v>
                </c:pt>
                <c:pt idx="49">
                  <c:v>0.38673649599987</c:v>
                </c:pt>
              </c:numCache>
            </c:numRef>
          </c:val>
          <c:smooth val="0"/>
        </c:ser>
        <c:dLbls>
          <c:showLegendKey val="0"/>
          <c:showVal val="0"/>
          <c:showCatName val="0"/>
          <c:showSerName val="0"/>
          <c:showPercent val="0"/>
          <c:showBubbleSize val="0"/>
        </c:dLbls>
        <c:marker val="1"/>
        <c:smooth val="0"/>
        <c:axId val="-2099549976"/>
        <c:axId val="-2099560440"/>
      </c:lineChart>
      <c:catAx>
        <c:axId val="-2099549976"/>
        <c:scaling>
          <c:orientation val="minMax"/>
        </c:scaling>
        <c:delete val="0"/>
        <c:axPos val="b"/>
        <c:numFmt formatCode="General" sourceLinked="1"/>
        <c:majorTickMark val="out"/>
        <c:minorTickMark val="none"/>
        <c:tickLblPos val="nextTo"/>
        <c:txPr>
          <a:bodyPr/>
          <a:lstStyle/>
          <a:p>
            <a:pPr>
              <a:defRPr sz="1600">
                <a:latin typeface="Arial"/>
                <a:cs typeface="Arial"/>
              </a:defRPr>
            </a:pPr>
            <a:endParaRPr lang="fr-FR"/>
          </a:p>
        </c:txPr>
        <c:crossAx val="-2099560440"/>
        <c:crosses val="autoZero"/>
        <c:auto val="1"/>
        <c:lblAlgn val="ctr"/>
        <c:lblOffset val="100"/>
        <c:tickLblSkip val="5"/>
        <c:tickMarkSkip val="5"/>
        <c:noMultiLvlLbl val="0"/>
      </c:catAx>
      <c:valAx>
        <c:axId val="-2099560440"/>
        <c:scaling>
          <c:orientation val="minMax"/>
          <c:max val="0.4"/>
        </c:scaling>
        <c:delete val="0"/>
        <c:axPos val="l"/>
        <c:numFmt formatCode="0%" sourceLinked="0"/>
        <c:majorTickMark val="out"/>
        <c:minorTickMark val="none"/>
        <c:tickLblPos val="nextTo"/>
        <c:txPr>
          <a:bodyPr/>
          <a:lstStyle/>
          <a:p>
            <a:pPr>
              <a:defRPr sz="1600">
                <a:latin typeface="Arial"/>
                <a:cs typeface="Arial"/>
              </a:defRPr>
            </a:pPr>
            <a:endParaRPr lang="fr-FR"/>
          </a:p>
        </c:txPr>
        <c:crossAx val="-2099549976"/>
        <c:crosses val="autoZero"/>
        <c:crossBetween val="between"/>
      </c:valAx>
    </c:plotArea>
    <c:plotVisOnly val="1"/>
    <c:dispBlanksAs val="gap"/>
    <c:showDLblsOverMax val="0"/>
  </c:chart>
  <c:spPr>
    <a:ln>
      <a:noFill/>
    </a:ln>
  </c:spPr>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800"/>
              <a:t>Figure A.6: Interest rate on loans within U.S. multinationals:</a:t>
            </a:r>
            <a:r>
              <a:rPr lang="en-US" sz="1800" baseline="0"/>
              <a:t> Parent to affiliates vs. affiliates to parent</a:t>
            </a:r>
            <a:endParaRPr lang="en-US" sz="1800"/>
          </a:p>
        </c:rich>
      </c:tx>
      <c:layout>
        <c:manualLayout>
          <c:xMode val="edge"/>
          <c:yMode val="edge"/>
          <c:x val="0.133858267716535"/>
          <c:y val="0.0"/>
        </c:manualLayout>
      </c:layout>
      <c:overlay val="0"/>
    </c:title>
    <c:autoTitleDeleted val="0"/>
    <c:plotArea>
      <c:layout>
        <c:manualLayout>
          <c:layoutTarget val="inner"/>
          <c:xMode val="edge"/>
          <c:yMode val="edge"/>
          <c:x val="0.0905280839895013"/>
          <c:y val="0.111927675707203"/>
          <c:w val="0.883881014873141"/>
          <c:h val="0.803424767982434"/>
        </c:manualLayout>
      </c:layout>
      <c:lineChart>
        <c:grouping val="standard"/>
        <c:varyColors val="0"/>
        <c:ser>
          <c:idx val="0"/>
          <c:order val="0"/>
          <c:spPr>
            <a:ln w="38100">
              <a:solidFill>
                <a:schemeClr val="accent2">
                  <a:lumMod val="75000"/>
                </a:schemeClr>
              </a:solidFill>
            </a:ln>
          </c:spPr>
          <c:marker>
            <c:symbol val="none"/>
          </c:marker>
          <c:cat>
            <c:numLit>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Lit>
          </c:cat>
          <c:val>
            <c:numLit>
              <c:formatCode>0%</c:formatCode>
              <c:ptCount val="35"/>
              <c:pt idx="0">
                <c:v>0.0682410369735149</c:v>
              </c:pt>
              <c:pt idx="1">
                <c:v>0.0826411332950735</c:v>
              </c:pt>
              <c:pt idx="2">
                <c:v>0.0820701372481351</c:v>
              </c:pt>
              <c:pt idx="3">
                <c:v>0.0785560901356384</c:v>
              </c:pt>
              <c:pt idx="4">
                <c:v>0.0721270483873368</c:v>
              </c:pt>
              <c:pt idx="5">
                <c:v>0.0635121341844274</c:v>
              </c:pt>
              <c:pt idx="6">
                <c:v>0.0622731319772618</c:v>
              </c:pt>
              <c:pt idx="7">
                <c:v>0.0499601132470945</c:v>
              </c:pt>
              <c:pt idx="8">
                <c:v>0.0430589605710493</c:v>
              </c:pt>
              <c:pt idx="9">
                <c:v>0.0449876109849267</c:v>
              </c:pt>
              <c:pt idx="10">
                <c:v>0.0359622690947203</c:v>
              </c:pt>
              <c:pt idx="11">
                <c:v>0.0322253648036443</c:v>
              </c:pt>
              <c:pt idx="12">
                <c:v>0.0195484581497797</c:v>
              </c:pt>
              <c:pt idx="13">
                <c:v>0.0211535004942932</c:v>
              </c:pt>
              <c:pt idx="14">
                <c:v>0.0209411739489224</c:v>
              </c:pt>
              <c:pt idx="15">
                <c:v>0.0263745745649777</c:v>
              </c:pt>
              <c:pt idx="16">
                <c:v>0.0213802124036492</c:v>
              </c:pt>
              <c:pt idx="17">
                <c:v>0.0229237528344671</c:v>
              </c:pt>
              <c:pt idx="18">
                <c:v>0.0248957889972098</c:v>
              </c:pt>
              <c:pt idx="19">
                <c:v>0.0237961000835974</c:v>
              </c:pt>
              <c:pt idx="20">
                <c:v>0.018493162970625</c:v>
              </c:pt>
              <c:pt idx="21">
                <c:v>0.0142884109189677</c:v>
              </c:pt>
              <c:pt idx="22">
                <c:v>0.0103699284503938</c:v>
              </c:pt>
              <c:pt idx="23">
                <c:v>0.0125049622866217</c:v>
              </c:pt>
              <c:pt idx="24">
                <c:v>0.013289244910261</c:v>
              </c:pt>
              <c:pt idx="25">
                <c:v>0.0119725587971013</c:v>
              </c:pt>
              <c:pt idx="26">
                <c:v>0.0122115702278948</c:v>
              </c:pt>
              <c:pt idx="27">
                <c:v>0.00961452579960182</c:v>
              </c:pt>
              <c:pt idx="28">
                <c:v>0.00654560068319393</c:v>
              </c:pt>
              <c:pt idx="29">
                <c:v>0.00545656989376402</c:v>
              </c:pt>
              <c:pt idx="30">
                <c:v>0.00695668305352008</c:v>
              </c:pt>
              <c:pt idx="31">
                <c:v>0.0105077438157863</c:v>
              </c:pt>
              <c:pt idx="32">
                <c:v>0.0107338083711204</c:v>
              </c:pt>
              <c:pt idx="33">
                <c:v>0.0108068608127789</c:v>
              </c:pt>
              <c:pt idx="34">
                <c:v>0.0121394906742005</c:v>
              </c:pt>
            </c:numLit>
          </c:val>
          <c:smooth val="0"/>
        </c:ser>
        <c:dLbls>
          <c:showLegendKey val="0"/>
          <c:showVal val="0"/>
          <c:showCatName val="0"/>
          <c:showSerName val="0"/>
          <c:showPercent val="0"/>
          <c:showBubbleSize val="0"/>
        </c:dLbls>
        <c:marker val="1"/>
        <c:smooth val="0"/>
        <c:axId val="-2099659272"/>
        <c:axId val="-2099656008"/>
      </c:lineChart>
      <c:lineChart>
        <c:grouping val="standard"/>
        <c:varyColors val="0"/>
        <c:ser>
          <c:idx val="1"/>
          <c:order val="1"/>
          <c:spPr>
            <a:ln w="38100">
              <a:solidFill>
                <a:schemeClr val="tx2">
                  <a:lumMod val="75000"/>
                </a:schemeClr>
              </a:solidFill>
            </a:ln>
          </c:spPr>
          <c:marker>
            <c:symbol val="none"/>
          </c:marker>
          <c:val>
            <c:numLit>
              <c:formatCode>0%</c:formatCode>
              <c:ptCount val="35"/>
              <c:pt idx="0">
                <c:v>0.0377919107950657</c:v>
              </c:pt>
              <c:pt idx="1">
                <c:v>0.0348990101902918</c:v>
              </c:pt>
              <c:pt idx="2">
                <c:v>0.0325691699604743</c:v>
              </c:pt>
              <c:pt idx="3">
                <c:v>0.0304468874928612</c:v>
              </c:pt>
              <c:pt idx="4">
                <c:v>0.0286818274664669</c:v>
              </c:pt>
              <c:pt idx="5">
                <c:v>0.0290457079500913</c:v>
              </c:pt>
              <c:pt idx="6">
                <c:v>0.0343533912020009</c:v>
              </c:pt>
              <c:pt idx="7">
                <c:v>0.0366947569610356</c:v>
              </c:pt>
              <c:pt idx="8">
                <c:v>0.0489083830269578</c:v>
              </c:pt>
              <c:pt idx="9">
                <c:v>0.0466677824926897</c:v>
              </c:pt>
              <c:pt idx="10">
                <c:v>0.0348564941284989</c:v>
              </c:pt>
              <c:pt idx="11">
                <c:v>0.0306466243358818</c:v>
              </c:pt>
              <c:pt idx="12">
                <c:v>0.0275422069368195</c:v>
              </c:pt>
              <c:pt idx="13">
                <c:v>0.0295040974138048</c:v>
              </c:pt>
              <c:pt idx="14">
                <c:v>0.0257199602780536</c:v>
              </c:pt>
              <c:pt idx="15">
                <c:v>0.0273208089564641</c:v>
              </c:pt>
              <c:pt idx="16">
                <c:v>0.0255607508301145</c:v>
              </c:pt>
              <c:pt idx="17">
                <c:v>0.025688662811877</c:v>
              </c:pt>
              <c:pt idx="18">
                <c:v>0.0293157191628321</c:v>
              </c:pt>
              <c:pt idx="19">
                <c:v>0.0288012270650332</c:v>
              </c:pt>
              <c:pt idx="20">
                <c:v>0.0242101741634237</c:v>
              </c:pt>
              <c:pt idx="21">
                <c:v>0.0233087241455442</c:v>
              </c:pt>
              <c:pt idx="22">
                <c:v>0.0192633659347679</c:v>
              </c:pt>
              <c:pt idx="23">
                <c:v>0.0203815757817855</c:v>
              </c:pt>
              <c:pt idx="24">
                <c:v>0.0207368246008453</c:v>
              </c:pt>
              <c:pt idx="25">
                <c:v>0.0221524322586463</c:v>
              </c:pt>
              <c:pt idx="26">
                <c:v>0.0242501532120991</c:v>
              </c:pt>
              <c:pt idx="27">
                <c:v>0.0172598256710406</c:v>
              </c:pt>
              <c:pt idx="28">
                <c:v>0.0143252218986585</c:v>
              </c:pt>
              <c:pt idx="29">
                <c:v>0.0153727119421597</c:v>
              </c:pt>
              <c:pt idx="30">
                <c:v>0.0186704436201735</c:v>
              </c:pt>
              <c:pt idx="31">
                <c:v>0.0193168210751875</c:v>
              </c:pt>
              <c:pt idx="32">
                <c:v>0.0192031786014624</c:v>
              </c:pt>
              <c:pt idx="33">
                <c:v>0.0195073889171226</c:v>
              </c:pt>
              <c:pt idx="34">
                <c:v>0.0221655504445027</c:v>
              </c:pt>
            </c:numLit>
          </c:val>
          <c:smooth val="0"/>
        </c:ser>
        <c:dLbls>
          <c:showLegendKey val="0"/>
          <c:showVal val="0"/>
          <c:showCatName val="0"/>
          <c:showSerName val="0"/>
          <c:showPercent val="0"/>
          <c:showBubbleSize val="0"/>
        </c:dLbls>
        <c:marker val="1"/>
        <c:smooth val="0"/>
        <c:axId val="-2099663320"/>
        <c:axId val="-2099666584"/>
      </c:lineChart>
      <c:catAx>
        <c:axId val="-2099659272"/>
        <c:scaling>
          <c:orientation val="minMax"/>
        </c:scaling>
        <c:delete val="0"/>
        <c:axPos val="b"/>
        <c:numFmt formatCode="General" sourceLinked="1"/>
        <c:majorTickMark val="none"/>
        <c:minorTickMark val="none"/>
        <c:tickLblPos val="low"/>
        <c:spPr>
          <a:ln w="3175">
            <a:solidFill>
              <a:schemeClr val="tx1"/>
            </a:solidFill>
          </a:ln>
        </c:spPr>
        <c:txPr>
          <a:bodyPr rot="0" vert="horz"/>
          <a:lstStyle/>
          <a:p>
            <a:pPr>
              <a:defRPr sz="1600"/>
            </a:pPr>
            <a:endParaRPr lang="fr-FR"/>
          </a:p>
        </c:txPr>
        <c:crossAx val="-2099656008"/>
        <c:crosses val="autoZero"/>
        <c:auto val="1"/>
        <c:lblAlgn val="ctr"/>
        <c:lblOffset val="100"/>
        <c:tickLblSkip val="4"/>
        <c:tickMarkSkip val="4"/>
        <c:noMultiLvlLbl val="0"/>
      </c:catAx>
      <c:valAx>
        <c:axId val="-2099656008"/>
        <c:scaling>
          <c:orientation val="minMax"/>
        </c:scaling>
        <c:delete val="0"/>
        <c:axPos val="l"/>
        <c:numFmt formatCode="0%" sourceLinked="0"/>
        <c:majorTickMark val="none"/>
        <c:minorTickMark val="none"/>
        <c:tickLblPos val="nextTo"/>
        <c:txPr>
          <a:bodyPr/>
          <a:lstStyle/>
          <a:p>
            <a:pPr>
              <a:defRPr sz="1600"/>
            </a:pPr>
            <a:endParaRPr lang="fr-FR"/>
          </a:p>
        </c:txPr>
        <c:crossAx val="-2099659272"/>
        <c:crosses val="autoZero"/>
        <c:crossBetween val="between"/>
      </c:valAx>
      <c:valAx>
        <c:axId val="-2099666584"/>
        <c:scaling>
          <c:orientation val="minMax"/>
          <c:max val="0.02"/>
          <c:min val="-0.06"/>
        </c:scaling>
        <c:delete val="1"/>
        <c:axPos val="r"/>
        <c:numFmt formatCode="0%" sourceLinked="0"/>
        <c:majorTickMark val="none"/>
        <c:minorTickMark val="none"/>
        <c:tickLblPos val="nextTo"/>
        <c:crossAx val="-2099663320"/>
        <c:crosses val="max"/>
        <c:crossBetween val="between"/>
      </c:valAx>
      <c:catAx>
        <c:axId val="-2099663320"/>
        <c:scaling>
          <c:orientation val="minMax"/>
        </c:scaling>
        <c:delete val="1"/>
        <c:axPos val="b"/>
        <c:numFmt formatCode="General" sourceLinked="1"/>
        <c:majorTickMark val="out"/>
        <c:minorTickMark val="none"/>
        <c:tickLblPos val="nextTo"/>
        <c:crossAx val="-2099666584"/>
        <c:crosses val="autoZero"/>
        <c:auto val="1"/>
        <c:lblAlgn val="ctr"/>
        <c:lblOffset val="100"/>
        <c:noMultiLvlLbl val="0"/>
      </c:catAx>
      <c:spPr>
        <a:ln>
          <a:solidFill>
            <a:schemeClr val="bg1">
              <a:lumMod val="85000"/>
            </a:schemeClr>
          </a:solidFill>
        </a:ln>
      </c:spPr>
    </c:plotArea>
    <c:plotVisOnly val="1"/>
    <c:dispBlanksAs val="gap"/>
    <c:showDLblsOverMax val="0"/>
  </c:chart>
  <c:spPr>
    <a:ln>
      <a:noFill/>
    </a:ln>
  </c:spPr>
  <c:txPr>
    <a:bodyPr/>
    <a:lstStyle/>
    <a:p>
      <a:pPr>
        <a:defRPr>
          <a:latin typeface="Arial"/>
          <a:cs typeface="Arial"/>
        </a:defRPr>
      </a:pPr>
      <a:endParaRPr lang="fr-FR"/>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Haven / non haven ratio</a:t>
            </a:r>
          </a:p>
        </c:rich>
      </c:tx>
      <c:overlay val="0"/>
    </c:title>
    <c:autoTitleDeleted val="0"/>
    <c:plotArea>
      <c:layout/>
      <c:lineChart>
        <c:grouping val="standard"/>
        <c:varyColors val="0"/>
        <c:ser>
          <c:idx val="0"/>
          <c:order val="0"/>
          <c:tx>
            <c:strRef>
              <c:f>T.A15!$B$7</c:f>
              <c:strCache>
                <c:ptCount val="1"/>
                <c:pt idx="0">
                  <c:v>Physical capital / wages</c:v>
                </c:pt>
              </c:strCache>
            </c:strRef>
          </c:tx>
          <c:marker>
            <c:symbol val="none"/>
          </c:marker>
          <c:cat>
            <c:numRef>
              <c:f>T.A15!$A$10:$A$59</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T.A15!$B$10:$B$59</c:f>
              <c:numCache>
                <c:formatCode>0%</c:formatCode>
                <c:ptCount val="50"/>
                <c:pt idx="0">
                  <c:v>1.075512801283905</c:v>
                </c:pt>
                <c:pt idx="1">
                  <c:v>1.075771251032449</c:v>
                </c:pt>
                <c:pt idx="2">
                  <c:v>1.076027222716969</c:v>
                </c:pt>
                <c:pt idx="3">
                  <c:v>1.075976060450029</c:v>
                </c:pt>
                <c:pt idx="4">
                  <c:v>1.075443824788507</c:v>
                </c:pt>
                <c:pt idx="5">
                  <c:v>1.07434564743157</c:v>
                </c:pt>
                <c:pt idx="6">
                  <c:v>1.07706349977517</c:v>
                </c:pt>
                <c:pt idx="7">
                  <c:v>1.077307081139568</c:v>
                </c:pt>
                <c:pt idx="8">
                  <c:v>1.075720249115333</c:v>
                </c:pt>
                <c:pt idx="9">
                  <c:v>1.072782646480894</c:v>
                </c:pt>
                <c:pt idx="10">
                  <c:v>1.068854760646887</c:v>
                </c:pt>
                <c:pt idx="11">
                  <c:v>1.09065276149317</c:v>
                </c:pt>
                <c:pt idx="12">
                  <c:v>1.078524987961556</c:v>
                </c:pt>
                <c:pt idx="13">
                  <c:v>1.067786088994155</c:v>
                </c:pt>
                <c:pt idx="14">
                  <c:v>1.0580946333087</c:v>
                </c:pt>
                <c:pt idx="15">
                  <c:v>1.049215331476854</c:v>
                </c:pt>
                <c:pt idx="16">
                  <c:v>1.040980712116836</c:v>
                </c:pt>
                <c:pt idx="17">
                  <c:v>1.033807858734837</c:v>
                </c:pt>
                <c:pt idx="18">
                  <c:v>1.038316560061908</c:v>
                </c:pt>
                <c:pt idx="19">
                  <c:v>1.100114406764403</c:v>
                </c:pt>
                <c:pt idx="20">
                  <c:v>1.130919241231368</c:v>
                </c:pt>
                <c:pt idx="21">
                  <c:v>1.07778953102171</c:v>
                </c:pt>
                <c:pt idx="22">
                  <c:v>1.012483121922837</c:v>
                </c:pt>
                <c:pt idx="23">
                  <c:v>0.99243558617268</c:v>
                </c:pt>
                <c:pt idx="24">
                  <c:v>1.035647768915462</c:v>
                </c:pt>
                <c:pt idx="25">
                  <c:v>0.999930385057688</c:v>
                </c:pt>
                <c:pt idx="26">
                  <c:v>1.109907136283778</c:v>
                </c:pt>
                <c:pt idx="27">
                  <c:v>1.071695288438709</c:v>
                </c:pt>
                <c:pt idx="28">
                  <c:v>1.001555323265049</c:v>
                </c:pt>
                <c:pt idx="29">
                  <c:v>1.012349102423066</c:v>
                </c:pt>
                <c:pt idx="30">
                  <c:v>0.965997575981256</c:v>
                </c:pt>
                <c:pt idx="31">
                  <c:v>0.986495782352019</c:v>
                </c:pt>
                <c:pt idx="32">
                  <c:v>0.980752452196372</c:v>
                </c:pt>
                <c:pt idx="33">
                  <c:v>1.109454321746264</c:v>
                </c:pt>
                <c:pt idx="34">
                  <c:v>1.211894615664786</c:v>
                </c:pt>
                <c:pt idx="35">
                  <c:v>1.310396649953406</c:v>
                </c:pt>
                <c:pt idx="36">
                  <c:v>1.344576412235064</c:v>
                </c:pt>
                <c:pt idx="37">
                  <c:v>1.242189861402213</c:v>
                </c:pt>
                <c:pt idx="38">
                  <c:v>1.105055628331092</c:v>
                </c:pt>
                <c:pt idx="39">
                  <c:v>1.211215793206026</c:v>
                </c:pt>
                <c:pt idx="40">
                  <c:v>1.209188666317347</c:v>
                </c:pt>
                <c:pt idx="41">
                  <c:v>1.158120505297929</c:v>
                </c:pt>
                <c:pt idx="42">
                  <c:v>1.256054998670141</c:v>
                </c:pt>
                <c:pt idx="43">
                  <c:v>1.276772395236935</c:v>
                </c:pt>
                <c:pt idx="44">
                  <c:v>1.301853050908872</c:v>
                </c:pt>
                <c:pt idx="45">
                  <c:v>1.327561252497459</c:v>
                </c:pt>
                <c:pt idx="46">
                  <c:v>1.302207992755873</c:v>
                </c:pt>
                <c:pt idx="47">
                  <c:v>1.257940401339607</c:v>
                </c:pt>
                <c:pt idx="48">
                  <c:v>1.3420195485011</c:v>
                </c:pt>
                <c:pt idx="49">
                  <c:v>1.479470023598078</c:v>
                </c:pt>
              </c:numCache>
            </c:numRef>
          </c:val>
          <c:smooth val="0"/>
        </c:ser>
        <c:ser>
          <c:idx val="1"/>
          <c:order val="1"/>
          <c:tx>
            <c:strRef>
              <c:f>T.A15!$C$7</c:f>
              <c:strCache>
                <c:ptCount val="1"/>
                <c:pt idx="0">
                  <c:v>Operating surplus / Physical K</c:v>
                </c:pt>
              </c:strCache>
            </c:strRef>
          </c:tx>
          <c:marker>
            <c:symbol val="none"/>
          </c:marker>
          <c:cat>
            <c:numRef>
              <c:f>T.A15!$A$10:$A$59</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T.A15!$C$10:$C$59</c:f>
              <c:numCache>
                <c:formatCode>0%</c:formatCode>
                <c:ptCount val="50"/>
                <c:pt idx="0">
                  <c:v>0.73942345259072</c:v>
                </c:pt>
                <c:pt idx="1">
                  <c:v>0.820547609302307</c:v>
                </c:pt>
                <c:pt idx="2">
                  <c:v>0.778410146254962</c:v>
                </c:pt>
                <c:pt idx="3">
                  <c:v>0.811461056180619</c:v>
                </c:pt>
                <c:pt idx="4">
                  <c:v>1.133251754145381</c:v>
                </c:pt>
                <c:pt idx="5">
                  <c:v>1.118672339088633</c:v>
                </c:pt>
                <c:pt idx="6">
                  <c:v>1.035828375703125</c:v>
                </c:pt>
                <c:pt idx="7">
                  <c:v>1.166849654521194</c:v>
                </c:pt>
                <c:pt idx="8">
                  <c:v>0.93502580777231</c:v>
                </c:pt>
                <c:pt idx="9">
                  <c:v>0.825984646727047</c:v>
                </c:pt>
                <c:pt idx="10">
                  <c:v>0.648021042827771</c:v>
                </c:pt>
                <c:pt idx="11">
                  <c:v>0.735129383104345</c:v>
                </c:pt>
                <c:pt idx="12">
                  <c:v>0.956452791393138</c:v>
                </c:pt>
                <c:pt idx="13">
                  <c:v>1.160443438973374</c:v>
                </c:pt>
                <c:pt idx="14">
                  <c:v>1.576781313953163</c:v>
                </c:pt>
                <c:pt idx="15">
                  <c:v>1.326461578682061</c:v>
                </c:pt>
                <c:pt idx="16">
                  <c:v>1.424533741002472</c:v>
                </c:pt>
                <c:pt idx="17">
                  <c:v>1.260568176252125</c:v>
                </c:pt>
                <c:pt idx="18">
                  <c:v>1.232997521862609</c:v>
                </c:pt>
                <c:pt idx="19">
                  <c:v>1.315085631394444</c:v>
                </c:pt>
                <c:pt idx="20">
                  <c:v>1.202882189960793</c:v>
                </c:pt>
                <c:pt idx="21">
                  <c:v>1.772636261187582</c:v>
                </c:pt>
                <c:pt idx="22">
                  <c:v>1.455018935888383</c:v>
                </c:pt>
                <c:pt idx="23">
                  <c:v>1.984357236181508</c:v>
                </c:pt>
                <c:pt idx="24">
                  <c:v>2.425927442703158</c:v>
                </c:pt>
                <c:pt idx="25">
                  <c:v>2.60172077695619</c:v>
                </c:pt>
                <c:pt idx="26">
                  <c:v>2.177232038236987</c:v>
                </c:pt>
                <c:pt idx="27">
                  <c:v>2.139744727757924</c:v>
                </c:pt>
                <c:pt idx="28">
                  <c:v>2.252803488514147</c:v>
                </c:pt>
                <c:pt idx="29">
                  <c:v>2.427398346310998</c:v>
                </c:pt>
                <c:pt idx="30">
                  <c:v>2.328888128667693</c:v>
                </c:pt>
                <c:pt idx="31">
                  <c:v>2.77911786751614</c:v>
                </c:pt>
                <c:pt idx="32">
                  <c:v>3.537297726983364</c:v>
                </c:pt>
                <c:pt idx="33">
                  <c:v>2.764465650005603</c:v>
                </c:pt>
                <c:pt idx="34">
                  <c:v>3.073476646199738</c:v>
                </c:pt>
                <c:pt idx="35">
                  <c:v>3.149452280244816</c:v>
                </c:pt>
                <c:pt idx="36">
                  <c:v>3.212866005323246</c:v>
                </c:pt>
                <c:pt idx="37">
                  <c:v>3.219954478128548</c:v>
                </c:pt>
                <c:pt idx="38">
                  <c:v>3.661274588654613</c:v>
                </c:pt>
                <c:pt idx="39">
                  <c:v>2.629357412313723</c:v>
                </c:pt>
                <c:pt idx="40">
                  <c:v>3.015899971931736</c:v>
                </c:pt>
                <c:pt idx="41">
                  <c:v>2.97822281852688</c:v>
                </c:pt>
                <c:pt idx="42">
                  <c:v>2.11583396361231</c:v>
                </c:pt>
                <c:pt idx="43">
                  <c:v>3.000319466375766</c:v>
                </c:pt>
                <c:pt idx="44">
                  <c:v>2.632853339910192</c:v>
                </c:pt>
                <c:pt idx="45">
                  <c:v>2.5819730843617</c:v>
                </c:pt>
                <c:pt idx="46">
                  <c:v>2.924870504367082</c:v>
                </c:pt>
                <c:pt idx="47">
                  <c:v>2.909012064792274</c:v>
                </c:pt>
                <c:pt idx="48">
                  <c:v>3.061936420969351</c:v>
                </c:pt>
                <c:pt idx="49">
                  <c:v>4.255603413880754</c:v>
                </c:pt>
              </c:numCache>
            </c:numRef>
          </c:val>
          <c:smooth val="0"/>
        </c:ser>
        <c:ser>
          <c:idx val="2"/>
          <c:order val="2"/>
          <c:tx>
            <c:strRef>
              <c:f>T.A15!$F$7</c:f>
              <c:strCache>
                <c:ptCount val="1"/>
                <c:pt idx="0">
                  <c:v>Interest payments adjustment</c:v>
                </c:pt>
              </c:strCache>
            </c:strRef>
          </c:tx>
          <c:marker>
            <c:symbol val="none"/>
          </c:marker>
          <c:cat>
            <c:numRef>
              <c:f>T.A15!$A$10:$A$59</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T.A15!$F$10:$F$59</c:f>
              <c:numCache>
                <c:formatCode>0%</c:formatCode>
                <c:ptCount val="50"/>
                <c:pt idx="0">
                  <c:v>1.043036002695064</c:v>
                </c:pt>
                <c:pt idx="1">
                  <c:v>1.032903603964205</c:v>
                </c:pt>
                <c:pt idx="2">
                  <c:v>1.069211530447578</c:v>
                </c:pt>
                <c:pt idx="3">
                  <c:v>1.073312362034764</c:v>
                </c:pt>
                <c:pt idx="4">
                  <c:v>1.001488008817528</c:v>
                </c:pt>
                <c:pt idx="5">
                  <c:v>1.019336244941707</c:v>
                </c:pt>
                <c:pt idx="6">
                  <c:v>1.045768553702218</c:v>
                </c:pt>
                <c:pt idx="7">
                  <c:v>1.093691533019386</c:v>
                </c:pt>
                <c:pt idx="8">
                  <c:v>1.08882553151016</c:v>
                </c:pt>
                <c:pt idx="9">
                  <c:v>1.133460594083424</c:v>
                </c:pt>
                <c:pt idx="10">
                  <c:v>1.148558215466624</c:v>
                </c:pt>
                <c:pt idx="11">
                  <c:v>1.173152781913372</c:v>
                </c:pt>
                <c:pt idx="12">
                  <c:v>1.269328373399287</c:v>
                </c:pt>
                <c:pt idx="13">
                  <c:v>1.243494145785254</c:v>
                </c:pt>
                <c:pt idx="14">
                  <c:v>1.375639522252998</c:v>
                </c:pt>
                <c:pt idx="15">
                  <c:v>1.60186033468695</c:v>
                </c:pt>
                <c:pt idx="16">
                  <c:v>1.829165217549385</c:v>
                </c:pt>
                <c:pt idx="17">
                  <c:v>1.817783085234138</c:v>
                </c:pt>
                <c:pt idx="18">
                  <c:v>1.754708590092609</c:v>
                </c:pt>
                <c:pt idx="19">
                  <c:v>1.74527340198836</c:v>
                </c:pt>
                <c:pt idx="20">
                  <c:v>1.848611888802782</c:v>
                </c:pt>
                <c:pt idx="21">
                  <c:v>1.484517485111639</c:v>
                </c:pt>
                <c:pt idx="22">
                  <c:v>1.534935769933124</c:v>
                </c:pt>
                <c:pt idx="23">
                  <c:v>1.386035358017321</c:v>
                </c:pt>
                <c:pt idx="24">
                  <c:v>1.298949094393928</c:v>
                </c:pt>
                <c:pt idx="25">
                  <c:v>1.303567558655833</c:v>
                </c:pt>
                <c:pt idx="26">
                  <c:v>1.32459870835746</c:v>
                </c:pt>
                <c:pt idx="27">
                  <c:v>1.273590869776068</c:v>
                </c:pt>
                <c:pt idx="28">
                  <c:v>1.209762025764224</c:v>
                </c:pt>
                <c:pt idx="29">
                  <c:v>1.210005955153423</c:v>
                </c:pt>
                <c:pt idx="30">
                  <c:v>1.22033885914351</c:v>
                </c:pt>
                <c:pt idx="31">
                  <c:v>1.22242640497238</c:v>
                </c:pt>
                <c:pt idx="32">
                  <c:v>1.200122106735318</c:v>
                </c:pt>
                <c:pt idx="33">
                  <c:v>1.22329376779131</c:v>
                </c:pt>
                <c:pt idx="34">
                  <c:v>1.039701195808181</c:v>
                </c:pt>
                <c:pt idx="35">
                  <c:v>1.077611355038621</c:v>
                </c:pt>
                <c:pt idx="36">
                  <c:v>1.017406109125883</c:v>
                </c:pt>
                <c:pt idx="37">
                  <c:v>1.02218004617952</c:v>
                </c:pt>
                <c:pt idx="38">
                  <c:v>1.078070303309809</c:v>
                </c:pt>
                <c:pt idx="39">
                  <c:v>1.118977970093559</c:v>
                </c:pt>
                <c:pt idx="40">
                  <c:v>1.045532729876944</c:v>
                </c:pt>
                <c:pt idx="41">
                  <c:v>1.11985763129596</c:v>
                </c:pt>
                <c:pt idx="42">
                  <c:v>1.135265078963326</c:v>
                </c:pt>
                <c:pt idx="43">
                  <c:v>1.149591842714547</c:v>
                </c:pt>
                <c:pt idx="44">
                  <c:v>1.073093580810545</c:v>
                </c:pt>
                <c:pt idx="45">
                  <c:v>1.130277096643118</c:v>
                </c:pt>
                <c:pt idx="46">
                  <c:v>1.137620151041354</c:v>
                </c:pt>
                <c:pt idx="47">
                  <c:v>1.124515051864926</c:v>
                </c:pt>
                <c:pt idx="48">
                  <c:v>1.159825055512372</c:v>
                </c:pt>
                <c:pt idx="49">
                  <c:v>1.112285796107286</c:v>
                </c:pt>
              </c:numCache>
            </c:numRef>
          </c:val>
          <c:smooth val="0"/>
        </c:ser>
        <c:dLbls>
          <c:showLegendKey val="0"/>
          <c:showVal val="0"/>
          <c:showCatName val="0"/>
          <c:showSerName val="0"/>
          <c:showPercent val="0"/>
          <c:showBubbleSize val="0"/>
        </c:dLbls>
        <c:marker val="1"/>
        <c:smooth val="0"/>
        <c:axId val="-2112990536"/>
        <c:axId val="-2112987496"/>
      </c:lineChart>
      <c:catAx>
        <c:axId val="-2112990536"/>
        <c:scaling>
          <c:orientation val="minMax"/>
        </c:scaling>
        <c:delete val="0"/>
        <c:axPos val="b"/>
        <c:numFmt formatCode="General" sourceLinked="1"/>
        <c:majorTickMark val="out"/>
        <c:minorTickMark val="none"/>
        <c:tickLblPos val="nextTo"/>
        <c:crossAx val="-2112987496"/>
        <c:crosses val="autoZero"/>
        <c:auto val="1"/>
        <c:lblAlgn val="ctr"/>
        <c:lblOffset val="100"/>
        <c:noMultiLvlLbl val="0"/>
      </c:catAx>
      <c:valAx>
        <c:axId val="-2112987496"/>
        <c:scaling>
          <c:orientation val="minMax"/>
        </c:scaling>
        <c:delete val="0"/>
        <c:axPos val="l"/>
        <c:majorGridlines/>
        <c:numFmt formatCode="0%" sourceLinked="1"/>
        <c:majorTickMark val="out"/>
        <c:minorTickMark val="none"/>
        <c:tickLblPos val="nextTo"/>
        <c:crossAx val="-2112990536"/>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Figure A.7:</a:t>
            </a:r>
            <a:r>
              <a:rPr lang="fr-FR" baseline="0"/>
              <a:t> </a:t>
            </a:r>
            <a:r>
              <a:rPr lang="fr-FR"/>
              <a:t>Foreign</a:t>
            </a:r>
            <a:r>
              <a:rPr lang="fr-FR" baseline="0"/>
              <a:t> tax rates: haven v. non-haven affiliates</a:t>
            </a:r>
          </a:p>
          <a:p>
            <a:pPr>
              <a:defRPr/>
            </a:pPr>
            <a:r>
              <a:rPr lang="fr-FR" b="0" baseline="0"/>
              <a:t>(U.S. multinationals, excluding oil)</a:t>
            </a:r>
            <a:endParaRPr lang="fr-FR" b="0"/>
          </a:p>
        </c:rich>
      </c:tx>
      <c:layout>
        <c:manualLayout>
          <c:xMode val="edge"/>
          <c:yMode val="edge"/>
          <c:x val="0.117491163604549"/>
          <c:y val="0.00217864923747277"/>
        </c:manualLayout>
      </c:layout>
      <c:overlay val="0"/>
    </c:title>
    <c:autoTitleDeleted val="0"/>
    <c:plotArea>
      <c:layout>
        <c:manualLayout>
          <c:layoutTarget val="inner"/>
          <c:xMode val="edge"/>
          <c:yMode val="edge"/>
          <c:x val="0.100766185476815"/>
          <c:y val="0.132594473105565"/>
          <c:w val="0.883679556722076"/>
          <c:h val="0.761886332835846"/>
        </c:manualLayout>
      </c:layout>
      <c:lineChart>
        <c:grouping val="standard"/>
        <c:varyColors val="0"/>
        <c:ser>
          <c:idx val="2"/>
          <c:order val="0"/>
          <c:marker>
            <c:symbol val="none"/>
          </c:marker>
          <c:cat>
            <c:numRef>
              <c:f>T.A3!$A$10:$A$60</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T.A3!$K$10:$K$60</c:f>
              <c:numCache>
                <c:formatCode>0%</c:formatCode>
                <c:ptCount val="51"/>
                <c:pt idx="0">
                  <c:v>0.466938073512733</c:v>
                </c:pt>
                <c:pt idx="1">
                  <c:v>0.460014466693823</c:v>
                </c:pt>
                <c:pt idx="2">
                  <c:v>0.435140399801165</c:v>
                </c:pt>
                <c:pt idx="3">
                  <c:v>0.41924260720694</c:v>
                </c:pt>
                <c:pt idx="4">
                  <c:v>0.456302687021194</c:v>
                </c:pt>
                <c:pt idx="5">
                  <c:v>0.431016344811039</c:v>
                </c:pt>
                <c:pt idx="6">
                  <c:v>0.383944510107127</c:v>
                </c:pt>
                <c:pt idx="7">
                  <c:v>0.374145117962216</c:v>
                </c:pt>
                <c:pt idx="8">
                  <c:v>0.419530307456715</c:v>
                </c:pt>
                <c:pt idx="9">
                  <c:v>0.389981608748792</c:v>
                </c:pt>
                <c:pt idx="10">
                  <c:v>0.417963331956375</c:v>
                </c:pt>
                <c:pt idx="11">
                  <c:v>0.4621210501602</c:v>
                </c:pt>
                <c:pt idx="12">
                  <c:v>0.421167798478304</c:v>
                </c:pt>
                <c:pt idx="13">
                  <c:v>0.431283014283841</c:v>
                </c:pt>
                <c:pt idx="14">
                  <c:v>0.420863491321291</c:v>
                </c:pt>
                <c:pt idx="15">
                  <c:v>0.448402225849753</c:v>
                </c:pt>
                <c:pt idx="16">
                  <c:v>0.502802404972995</c:v>
                </c:pt>
                <c:pt idx="17">
                  <c:v>0.442276428990975</c:v>
                </c:pt>
                <c:pt idx="18">
                  <c:v>0.418770169711299</c:v>
                </c:pt>
                <c:pt idx="19">
                  <c:v>0.439946928564949</c:v>
                </c:pt>
                <c:pt idx="20">
                  <c:v>0.416222396195757</c:v>
                </c:pt>
                <c:pt idx="21">
                  <c:v>0.390484988886393</c:v>
                </c:pt>
                <c:pt idx="22">
                  <c:v>0.376209901573862</c:v>
                </c:pt>
                <c:pt idx="23">
                  <c:v>0.398764700306008</c:v>
                </c:pt>
                <c:pt idx="24">
                  <c:v>0.415820371827823</c:v>
                </c:pt>
                <c:pt idx="25">
                  <c:v>0.419942400924499</c:v>
                </c:pt>
                <c:pt idx="26">
                  <c:v>0.397674887506707</c:v>
                </c:pt>
                <c:pt idx="27">
                  <c:v>0.340815021702785</c:v>
                </c:pt>
                <c:pt idx="28">
                  <c:v>0.365781657490582</c:v>
                </c:pt>
                <c:pt idx="29">
                  <c:v>0.359841761321498</c:v>
                </c:pt>
                <c:pt idx="30">
                  <c:v>0.358006617136088</c:v>
                </c:pt>
                <c:pt idx="31">
                  <c:v>0.36938677479844</c:v>
                </c:pt>
                <c:pt idx="32">
                  <c:v>0.38761883183752</c:v>
                </c:pt>
                <c:pt idx="33">
                  <c:v>0.369980779902769</c:v>
                </c:pt>
                <c:pt idx="34">
                  <c:v>0.404623910759188</c:v>
                </c:pt>
                <c:pt idx="35">
                  <c:v>0.387597967356861</c:v>
                </c:pt>
                <c:pt idx="36">
                  <c:v>0.370572023954533</c:v>
                </c:pt>
                <c:pt idx="37">
                  <c:v>0.305415602051646</c:v>
                </c:pt>
                <c:pt idx="38">
                  <c:v>0.332079534062545</c:v>
                </c:pt>
                <c:pt idx="39">
                  <c:v>0.338610659885877</c:v>
                </c:pt>
                <c:pt idx="40">
                  <c:v>0.354409075694909</c:v>
                </c:pt>
                <c:pt idx="41">
                  <c:v>0.322077761999581</c:v>
                </c:pt>
                <c:pt idx="42">
                  <c:v>0.272835409108689</c:v>
                </c:pt>
                <c:pt idx="43">
                  <c:v>0.302386749920564</c:v>
                </c:pt>
                <c:pt idx="44">
                  <c:v>0.284237060304328</c:v>
                </c:pt>
                <c:pt idx="45">
                  <c:v>0.296413581547813</c:v>
                </c:pt>
                <c:pt idx="46">
                  <c:v>0.283730779266568</c:v>
                </c:pt>
                <c:pt idx="47">
                  <c:v>0.282944597360496</c:v>
                </c:pt>
                <c:pt idx="48">
                  <c:v>0.279209306402854</c:v>
                </c:pt>
                <c:pt idx="49">
                  <c:v>0.267497294937113</c:v>
                </c:pt>
                <c:pt idx="50">
                  <c:v>0.287305793079708</c:v>
                </c:pt>
              </c:numCache>
            </c:numRef>
          </c:val>
          <c:smooth val="0"/>
        </c:ser>
        <c:ser>
          <c:idx val="3"/>
          <c:order val="1"/>
          <c:marker>
            <c:symbol val="none"/>
          </c:marker>
          <c:cat>
            <c:numRef>
              <c:f>T.A3!$A$10:$A$60</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T.A3!$E$10:$E$60</c:f>
              <c:numCache>
                <c:formatCode>0%</c:formatCode>
                <c:ptCount val="51"/>
                <c:pt idx="0">
                  <c:v>0.263260450226673</c:v>
                </c:pt>
                <c:pt idx="1">
                  <c:v>0.268651854446045</c:v>
                </c:pt>
                <c:pt idx="2">
                  <c:v>0.259633688603557</c:v>
                </c:pt>
                <c:pt idx="3">
                  <c:v>0.259836222489098</c:v>
                </c:pt>
                <c:pt idx="4">
                  <c:v>0.278060585119303</c:v>
                </c:pt>
                <c:pt idx="5">
                  <c:v>0.270561923787896</c:v>
                </c:pt>
                <c:pt idx="6">
                  <c:v>0.263344380093566</c:v>
                </c:pt>
                <c:pt idx="7">
                  <c:v>0.268661498611367</c:v>
                </c:pt>
                <c:pt idx="8">
                  <c:v>0.231069268394593</c:v>
                </c:pt>
                <c:pt idx="9">
                  <c:v>0.237785762386385</c:v>
                </c:pt>
                <c:pt idx="10">
                  <c:v>0.203747486483883</c:v>
                </c:pt>
                <c:pt idx="11">
                  <c:v>0.217366336990279</c:v>
                </c:pt>
                <c:pt idx="12">
                  <c:v>0.203247368227016</c:v>
                </c:pt>
                <c:pt idx="13">
                  <c:v>0.169194708899708</c:v>
                </c:pt>
                <c:pt idx="14">
                  <c:v>0.174721616390916</c:v>
                </c:pt>
                <c:pt idx="15">
                  <c:v>0.172220744897522</c:v>
                </c:pt>
                <c:pt idx="16">
                  <c:v>0.144432531781283</c:v>
                </c:pt>
                <c:pt idx="17">
                  <c:v>0.128465426867311</c:v>
                </c:pt>
                <c:pt idx="18">
                  <c:v>0.132891972721205</c:v>
                </c:pt>
                <c:pt idx="19">
                  <c:v>0.138527791263185</c:v>
                </c:pt>
                <c:pt idx="20">
                  <c:v>0.132082080189965</c:v>
                </c:pt>
                <c:pt idx="21">
                  <c:v>0.121883479224977</c:v>
                </c:pt>
                <c:pt idx="22">
                  <c:v>0.176485380969421</c:v>
                </c:pt>
                <c:pt idx="23">
                  <c:v>0.133508827951337</c:v>
                </c:pt>
                <c:pt idx="24">
                  <c:v>0.14954600924301</c:v>
                </c:pt>
                <c:pt idx="25">
                  <c:v>0.17955089979271</c:v>
                </c:pt>
                <c:pt idx="26">
                  <c:v>0.157124473555571</c:v>
                </c:pt>
                <c:pt idx="27">
                  <c:v>0.13713465335471</c:v>
                </c:pt>
                <c:pt idx="28">
                  <c:v>0.154406978258039</c:v>
                </c:pt>
                <c:pt idx="29">
                  <c:v>0.159060042126588</c:v>
                </c:pt>
                <c:pt idx="30">
                  <c:v>0.160845575473909</c:v>
                </c:pt>
                <c:pt idx="31">
                  <c:v>0.132712743341844</c:v>
                </c:pt>
                <c:pt idx="32">
                  <c:v>0.153082018080543</c:v>
                </c:pt>
                <c:pt idx="33">
                  <c:v>0.138945150954656</c:v>
                </c:pt>
                <c:pt idx="34">
                  <c:v>0.131896478039642</c:v>
                </c:pt>
                <c:pt idx="35">
                  <c:v>0.161670371696107</c:v>
                </c:pt>
                <c:pt idx="36">
                  <c:v>0.163751741389832</c:v>
                </c:pt>
                <c:pt idx="37">
                  <c:v>0.123513217587241</c:v>
                </c:pt>
                <c:pt idx="38">
                  <c:v>0.10292337976367</c:v>
                </c:pt>
                <c:pt idx="39">
                  <c:v>0.134381193451386</c:v>
                </c:pt>
                <c:pt idx="40">
                  <c:v>0.121618542048062</c:v>
                </c:pt>
                <c:pt idx="41">
                  <c:v>0.0962319417819663</c:v>
                </c:pt>
                <c:pt idx="42">
                  <c:v>0.109135973500619</c:v>
                </c:pt>
                <c:pt idx="43">
                  <c:v>0.0814716667352959</c:v>
                </c:pt>
                <c:pt idx="44">
                  <c:v>0.115230429983612</c:v>
                </c:pt>
                <c:pt idx="45">
                  <c:v>0.0935124424216916</c:v>
                </c:pt>
                <c:pt idx="46">
                  <c:v>0.0802638820205465</c:v>
                </c:pt>
                <c:pt idx="47">
                  <c:v>0.0879911250623033</c:v>
                </c:pt>
                <c:pt idx="48">
                  <c:v>0.0784404411704867</c:v>
                </c:pt>
                <c:pt idx="49">
                  <c:v>0.0693686370142256</c:v>
                </c:pt>
                <c:pt idx="50">
                  <c:v>0.0850740851285582</c:v>
                </c:pt>
              </c:numCache>
            </c:numRef>
          </c:val>
          <c:smooth val="0"/>
        </c:ser>
        <c:dLbls>
          <c:showLegendKey val="0"/>
          <c:showVal val="0"/>
          <c:showCatName val="0"/>
          <c:showSerName val="0"/>
          <c:showPercent val="0"/>
          <c:showBubbleSize val="0"/>
        </c:dLbls>
        <c:marker val="1"/>
        <c:smooth val="0"/>
        <c:axId val="-2099728872"/>
        <c:axId val="-2099725832"/>
      </c:lineChart>
      <c:catAx>
        <c:axId val="-2099728872"/>
        <c:scaling>
          <c:orientation val="minMax"/>
        </c:scaling>
        <c:delete val="0"/>
        <c:axPos val="b"/>
        <c:numFmt formatCode="General" sourceLinked="1"/>
        <c:majorTickMark val="out"/>
        <c:minorTickMark val="none"/>
        <c:tickLblPos val="nextTo"/>
        <c:crossAx val="-2099725832"/>
        <c:crosses val="autoZero"/>
        <c:auto val="1"/>
        <c:lblAlgn val="ctr"/>
        <c:lblOffset val="100"/>
        <c:tickLblSkip val="5"/>
        <c:tickMarkSkip val="5"/>
        <c:noMultiLvlLbl val="0"/>
      </c:catAx>
      <c:valAx>
        <c:axId val="-2099725832"/>
        <c:scaling>
          <c:orientation val="minMax"/>
          <c:max val="0.5"/>
        </c:scaling>
        <c:delete val="0"/>
        <c:axPos val="l"/>
        <c:numFmt formatCode="0%" sourceLinked="1"/>
        <c:majorTickMark val="out"/>
        <c:minorTickMark val="none"/>
        <c:tickLblPos val="nextTo"/>
        <c:crossAx val="-2099728872"/>
        <c:crosses val="autoZero"/>
        <c:crossBetween val="between"/>
      </c:valAx>
    </c:plotArea>
    <c:plotVisOnly val="1"/>
    <c:dispBlanksAs val="gap"/>
    <c:showDLblsOverMax val="0"/>
  </c:chart>
  <c:spPr>
    <a:ln>
      <a:noFill/>
    </a:ln>
  </c:spPr>
  <c:txPr>
    <a:bodyPr/>
    <a:lstStyle/>
    <a:p>
      <a:pPr>
        <a:defRPr sz="1600">
          <a:latin typeface="Arial"/>
          <a:cs typeface="Arial"/>
        </a:defRPr>
      </a:pPr>
      <a:endParaRPr lang="fr-FR"/>
    </a:p>
  </c:txPr>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800" b="1"/>
              <a:t>Figure A.8: Statutory corporate</a:t>
            </a:r>
            <a:r>
              <a:rPr lang="en-US" sz="1800" b="1" baseline="0"/>
              <a:t> tax rates in OECD countries</a:t>
            </a:r>
          </a:p>
        </c:rich>
      </c:tx>
      <c:layout>
        <c:manualLayout>
          <c:xMode val="edge"/>
          <c:yMode val="edge"/>
          <c:x val="0.164969378827647"/>
          <c:y val="0.0"/>
        </c:manualLayout>
      </c:layout>
      <c:overlay val="0"/>
    </c:title>
    <c:autoTitleDeleted val="0"/>
    <c:plotArea>
      <c:layout>
        <c:manualLayout>
          <c:layoutTarget val="inner"/>
          <c:xMode val="edge"/>
          <c:yMode val="edge"/>
          <c:x val="0.0905280839895013"/>
          <c:y val="0.105391727994785"/>
          <c:w val="0.882487255759697"/>
          <c:h val="0.809960715694852"/>
        </c:manualLayout>
      </c:layout>
      <c:lineChart>
        <c:grouping val="standard"/>
        <c:varyColors val="0"/>
        <c:ser>
          <c:idx val="1"/>
          <c:order val="0"/>
          <c:spPr>
            <a:ln w="38100">
              <a:solidFill>
                <a:schemeClr val="accent2">
                  <a:lumMod val="75000"/>
                </a:schemeClr>
              </a:solidFill>
            </a:ln>
          </c:spPr>
          <c:marker>
            <c:symbol val="none"/>
          </c:marker>
          <c:cat>
            <c:numRef>
              <c:f>DataFA8!$A$2:$A$42</c:f>
              <c:numCache>
                <c:formatCode>General</c:formatCode>
                <c:ptCount val="41"/>
                <c:pt idx="0">
                  <c:v>1980.0</c:v>
                </c:pt>
                <c:pt idx="1">
                  <c:v>1981.0</c:v>
                </c:pt>
                <c:pt idx="2">
                  <c:v>1982.0</c:v>
                </c:pt>
                <c:pt idx="3">
                  <c:v>1983.0</c:v>
                </c:pt>
                <c:pt idx="4">
                  <c:v>1984.0</c:v>
                </c:pt>
                <c:pt idx="5">
                  <c:v>1985.0</c:v>
                </c:pt>
                <c:pt idx="6">
                  <c:v>1986.0</c:v>
                </c:pt>
                <c:pt idx="7">
                  <c:v>1987.0</c:v>
                </c:pt>
                <c:pt idx="8">
                  <c:v>1988.0</c:v>
                </c:pt>
                <c:pt idx="9">
                  <c:v>1989.0</c:v>
                </c:pt>
                <c:pt idx="10">
                  <c:v>1990.0</c:v>
                </c:pt>
                <c:pt idx="11">
                  <c:v>1991.0</c:v>
                </c:pt>
                <c:pt idx="12">
                  <c:v>1992.0</c:v>
                </c:pt>
                <c:pt idx="13">
                  <c:v>1993.0</c:v>
                </c:pt>
                <c:pt idx="14">
                  <c:v>1994.0</c:v>
                </c:pt>
                <c:pt idx="15">
                  <c:v>1995.0</c:v>
                </c:pt>
                <c:pt idx="16">
                  <c:v>1996.0</c:v>
                </c:pt>
                <c:pt idx="17">
                  <c:v>1997.0</c:v>
                </c:pt>
                <c:pt idx="18">
                  <c:v>1998.0</c:v>
                </c:pt>
                <c:pt idx="19">
                  <c:v>1999.0</c:v>
                </c:pt>
                <c:pt idx="20">
                  <c:v>2000.0</c:v>
                </c:pt>
                <c:pt idx="21">
                  <c:v>2001.0</c:v>
                </c:pt>
                <c:pt idx="22">
                  <c:v>2002.0</c:v>
                </c:pt>
                <c:pt idx="23">
                  <c:v>2003.0</c:v>
                </c:pt>
                <c:pt idx="24">
                  <c:v>2004.0</c:v>
                </c:pt>
                <c:pt idx="25">
                  <c:v>2005.0</c:v>
                </c:pt>
                <c:pt idx="26">
                  <c:v>2006.0</c:v>
                </c:pt>
                <c:pt idx="27">
                  <c:v>2007.0</c:v>
                </c:pt>
                <c:pt idx="28">
                  <c:v>2008.0</c:v>
                </c:pt>
                <c:pt idx="29">
                  <c:v>2009.0</c:v>
                </c:pt>
                <c:pt idx="30">
                  <c:v>2010.0</c:v>
                </c:pt>
                <c:pt idx="31">
                  <c:v>2011.0</c:v>
                </c:pt>
                <c:pt idx="32">
                  <c:v>2012.0</c:v>
                </c:pt>
                <c:pt idx="33">
                  <c:v>2013.0</c:v>
                </c:pt>
                <c:pt idx="34">
                  <c:v>2014.0</c:v>
                </c:pt>
                <c:pt idx="35">
                  <c:v>2015.0</c:v>
                </c:pt>
                <c:pt idx="36">
                  <c:v>2016.0</c:v>
                </c:pt>
                <c:pt idx="37">
                  <c:v>2017.0</c:v>
                </c:pt>
                <c:pt idx="38">
                  <c:v>2018.0</c:v>
                </c:pt>
                <c:pt idx="39">
                  <c:v>2019.0</c:v>
                </c:pt>
                <c:pt idx="40">
                  <c:v>2020.0</c:v>
                </c:pt>
              </c:numCache>
            </c:numRef>
          </c:cat>
          <c:val>
            <c:numRef>
              <c:f>DataFA8!$B$2:$B$42</c:f>
              <c:numCache>
                <c:formatCode>0%</c:formatCode>
                <c:ptCount val="41"/>
                <c:pt idx="1">
                  <c:v>0.49699</c:v>
                </c:pt>
                <c:pt idx="2">
                  <c:v>0.49699</c:v>
                </c:pt>
                <c:pt idx="3">
                  <c:v>0.49834</c:v>
                </c:pt>
                <c:pt idx="4">
                  <c:v>0.497854</c:v>
                </c:pt>
                <c:pt idx="5">
                  <c:v>0.497854</c:v>
                </c:pt>
                <c:pt idx="6">
                  <c:v>0.498232</c:v>
                </c:pt>
                <c:pt idx="7">
                  <c:v>0.44176</c:v>
                </c:pt>
                <c:pt idx="8">
                  <c:v>0.385936</c:v>
                </c:pt>
                <c:pt idx="9">
                  <c:v>0.386662</c:v>
                </c:pt>
                <c:pt idx="10">
                  <c:v>0.38653</c:v>
                </c:pt>
                <c:pt idx="11">
                  <c:v>0.38851</c:v>
                </c:pt>
                <c:pt idx="12">
                  <c:v>0.388642</c:v>
                </c:pt>
                <c:pt idx="13">
                  <c:v>0.397515</c:v>
                </c:pt>
                <c:pt idx="14">
                  <c:v>0.396865</c:v>
                </c:pt>
                <c:pt idx="15">
                  <c:v>0.396085</c:v>
                </c:pt>
                <c:pt idx="16">
                  <c:v>0.395305</c:v>
                </c:pt>
                <c:pt idx="17">
                  <c:v>0.394525</c:v>
                </c:pt>
                <c:pt idx="18">
                  <c:v>0.394395</c:v>
                </c:pt>
                <c:pt idx="19">
                  <c:v>0.39394</c:v>
                </c:pt>
                <c:pt idx="20">
                  <c:v>0.3934</c:v>
                </c:pt>
                <c:pt idx="21">
                  <c:v>0.3926</c:v>
                </c:pt>
                <c:pt idx="22">
                  <c:v>0.393</c:v>
                </c:pt>
                <c:pt idx="23">
                  <c:v>0.3933</c:v>
                </c:pt>
                <c:pt idx="24">
                  <c:v>0.393095</c:v>
                </c:pt>
                <c:pt idx="25">
                  <c:v>0.39277</c:v>
                </c:pt>
                <c:pt idx="26">
                  <c:v>0.393</c:v>
                </c:pt>
                <c:pt idx="27">
                  <c:v>0.392575</c:v>
                </c:pt>
                <c:pt idx="28">
                  <c:v>0.39251</c:v>
                </c:pt>
                <c:pt idx="29">
                  <c:v>0.39095</c:v>
                </c:pt>
                <c:pt idx="30">
                  <c:v>0.392055</c:v>
                </c:pt>
                <c:pt idx="31">
                  <c:v>0.39186</c:v>
                </c:pt>
                <c:pt idx="32">
                  <c:v>0.39134</c:v>
                </c:pt>
                <c:pt idx="33">
                  <c:v>0.39134</c:v>
                </c:pt>
                <c:pt idx="34">
                  <c:v>0.3908</c:v>
                </c:pt>
                <c:pt idx="35">
                  <c:v>0.39</c:v>
                </c:pt>
                <c:pt idx="36">
                  <c:v>0.38923934</c:v>
                </c:pt>
                <c:pt idx="37">
                  <c:v>0.38923934</c:v>
                </c:pt>
                <c:pt idx="38">
                  <c:v>0.23923934</c:v>
                </c:pt>
              </c:numCache>
            </c:numRef>
          </c:val>
          <c:smooth val="0"/>
        </c:ser>
        <c:ser>
          <c:idx val="0"/>
          <c:order val="1"/>
          <c:marker>
            <c:symbol val="none"/>
          </c:marker>
          <c:cat>
            <c:numRef>
              <c:f>DataFA8!$A$2:$A$42</c:f>
              <c:numCache>
                <c:formatCode>General</c:formatCode>
                <c:ptCount val="41"/>
                <c:pt idx="0">
                  <c:v>1980.0</c:v>
                </c:pt>
                <c:pt idx="1">
                  <c:v>1981.0</c:v>
                </c:pt>
                <c:pt idx="2">
                  <c:v>1982.0</c:v>
                </c:pt>
                <c:pt idx="3">
                  <c:v>1983.0</c:v>
                </c:pt>
                <c:pt idx="4">
                  <c:v>1984.0</c:v>
                </c:pt>
                <c:pt idx="5">
                  <c:v>1985.0</c:v>
                </c:pt>
                <c:pt idx="6">
                  <c:v>1986.0</c:v>
                </c:pt>
                <c:pt idx="7">
                  <c:v>1987.0</c:v>
                </c:pt>
                <c:pt idx="8">
                  <c:v>1988.0</c:v>
                </c:pt>
                <c:pt idx="9">
                  <c:v>1989.0</c:v>
                </c:pt>
                <c:pt idx="10">
                  <c:v>1990.0</c:v>
                </c:pt>
                <c:pt idx="11">
                  <c:v>1991.0</c:v>
                </c:pt>
                <c:pt idx="12">
                  <c:v>1992.0</c:v>
                </c:pt>
                <c:pt idx="13">
                  <c:v>1993.0</c:v>
                </c:pt>
                <c:pt idx="14">
                  <c:v>1994.0</c:v>
                </c:pt>
                <c:pt idx="15">
                  <c:v>1995.0</c:v>
                </c:pt>
                <c:pt idx="16">
                  <c:v>1996.0</c:v>
                </c:pt>
                <c:pt idx="17">
                  <c:v>1997.0</c:v>
                </c:pt>
                <c:pt idx="18">
                  <c:v>1998.0</c:v>
                </c:pt>
                <c:pt idx="19">
                  <c:v>1999.0</c:v>
                </c:pt>
                <c:pt idx="20">
                  <c:v>2000.0</c:v>
                </c:pt>
                <c:pt idx="21">
                  <c:v>2001.0</c:v>
                </c:pt>
                <c:pt idx="22">
                  <c:v>2002.0</c:v>
                </c:pt>
                <c:pt idx="23">
                  <c:v>2003.0</c:v>
                </c:pt>
                <c:pt idx="24">
                  <c:v>2004.0</c:v>
                </c:pt>
                <c:pt idx="25">
                  <c:v>2005.0</c:v>
                </c:pt>
                <c:pt idx="26">
                  <c:v>2006.0</c:v>
                </c:pt>
                <c:pt idx="27">
                  <c:v>2007.0</c:v>
                </c:pt>
                <c:pt idx="28">
                  <c:v>2008.0</c:v>
                </c:pt>
                <c:pt idx="29">
                  <c:v>2009.0</c:v>
                </c:pt>
                <c:pt idx="30">
                  <c:v>2010.0</c:v>
                </c:pt>
                <c:pt idx="31">
                  <c:v>2011.0</c:v>
                </c:pt>
                <c:pt idx="32">
                  <c:v>2012.0</c:v>
                </c:pt>
                <c:pt idx="33">
                  <c:v>2013.0</c:v>
                </c:pt>
                <c:pt idx="34">
                  <c:v>2014.0</c:v>
                </c:pt>
                <c:pt idx="35">
                  <c:v>2015.0</c:v>
                </c:pt>
                <c:pt idx="36">
                  <c:v>2016.0</c:v>
                </c:pt>
                <c:pt idx="37">
                  <c:v>2017.0</c:v>
                </c:pt>
                <c:pt idx="38">
                  <c:v>2018.0</c:v>
                </c:pt>
                <c:pt idx="39">
                  <c:v>2019.0</c:v>
                </c:pt>
                <c:pt idx="40">
                  <c:v>2020.0</c:v>
                </c:pt>
              </c:numCache>
            </c:numRef>
          </c:cat>
          <c:val>
            <c:numRef>
              <c:f>DataFA8!$C$2:$C$42</c:f>
              <c:numCache>
                <c:formatCode>0%</c:formatCode>
                <c:ptCount val="41"/>
                <c:pt idx="1">
                  <c:v>0.475227271238095</c:v>
                </c:pt>
                <c:pt idx="2">
                  <c:v>0.480327271238095</c:v>
                </c:pt>
                <c:pt idx="3">
                  <c:v>0.481939176</c:v>
                </c:pt>
                <c:pt idx="4">
                  <c:v>0.477119771523809</c:v>
                </c:pt>
                <c:pt idx="5">
                  <c:v>0.481786438190476</c:v>
                </c:pt>
                <c:pt idx="6">
                  <c:v>0.472308176619048</c:v>
                </c:pt>
                <c:pt idx="7">
                  <c:v>0.466392197047619</c:v>
                </c:pt>
                <c:pt idx="8">
                  <c:v>0.441932532238095</c:v>
                </c:pt>
                <c:pt idx="9">
                  <c:v>0.426614881454545</c:v>
                </c:pt>
                <c:pt idx="10">
                  <c:v>0.410467388565217</c:v>
                </c:pt>
                <c:pt idx="11">
                  <c:v>0.395570441173913</c:v>
                </c:pt>
                <c:pt idx="12">
                  <c:v>0.380771138833333</c:v>
                </c:pt>
                <c:pt idx="13">
                  <c:v>0.376300009538462</c:v>
                </c:pt>
                <c:pt idx="14">
                  <c:v>0.370841230269231</c:v>
                </c:pt>
                <c:pt idx="15">
                  <c:v>0.366406322115385</c:v>
                </c:pt>
                <c:pt idx="16">
                  <c:v>0.366317619307692</c:v>
                </c:pt>
                <c:pt idx="17">
                  <c:v>0.366181117307692</c:v>
                </c:pt>
                <c:pt idx="18">
                  <c:v>0.356082301769231</c:v>
                </c:pt>
                <c:pt idx="19">
                  <c:v>0.347627457346154</c:v>
                </c:pt>
                <c:pt idx="20">
                  <c:v>0.325884906911765</c:v>
                </c:pt>
                <c:pt idx="21">
                  <c:v>0.316409003588235</c:v>
                </c:pt>
                <c:pt idx="22">
                  <c:v>0.305495814029412</c:v>
                </c:pt>
                <c:pt idx="23">
                  <c:v>0.297395883285714</c:v>
                </c:pt>
                <c:pt idx="24">
                  <c:v>0.2882084968</c:v>
                </c:pt>
                <c:pt idx="25">
                  <c:v>0.277867832828572</c:v>
                </c:pt>
                <c:pt idx="26">
                  <c:v>0.271562975685714</c:v>
                </c:pt>
                <c:pt idx="27">
                  <c:v>0.266434626971429</c:v>
                </c:pt>
                <c:pt idx="28">
                  <c:v>0.256605839371429</c:v>
                </c:pt>
                <c:pt idx="29">
                  <c:v>0.253861267942857</c:v>
                </c:pt>
                <c:pt idx="30">
                  <c:v>0.253418553657143</c:v>
                </c:pt>
                <c:pt idx="31">
                  <c:v>0.251695839371429</c:v>
                </c:pt>
                <c:pt idx="32">
                  <c:v>0.251109553657143</c:v>
                </c:pt>
                <c:pt idx="33">
                  <c:v>0.251839308942857</c:v>
                </c:pt>
                <c:pt idx="34">
                  <c:v>0.250011428571429</c:v>
                </c:pt>
                <c:pt idx="35">
                  <c:v>0.247022857142857</c:v>
                </c:pt>
                <c:pt idx="36">
                  <c:v>0.243009695428571</c:v>
                </c:pt>
                <c:pt idx="37">
                  <c:v>0.236641124</c:v>
                </c:pt>
                <c:pt idx="38">
                  <c:v>0.233083981142857</c:v>
                </c:pt>
              </c:numCache>
            </c:numRef>
          </c:val>
          <c:smooth val="0"/>
        </c:ser>
        <c:dLbls>
          <c:showLegendKey val="0"/>
          <c:showVal val="0"/>
          <c:showCatName val="0"/>
          <c:showSerName val="0"/>
          <c:showPercent val="0"/>
          <c:showBubbleSize val="0"/>
        </c:dLbls>
        <c:marker val="1"/>
        <c:smooth val="0"/>
        <c:axId val="-2099798392"/>
        <c:axId val="-2099808360"/>
      </c:lineChart>
      <c:catAx>
        <c:axId val="-2099798392"/>
        <c:scaling>
          <c:orientation val="minMax"/>
        </c:scaling>
        <c:delete val="0"/>
        <c:axPos val="b"/>
        <c:numFmt formatCode="General" sourceLinked="1"/>
        <c:majorTickMark val="none"/>
        <c:minorTickMark val="none"/>
        <c:tickLblPos val="low"/>
        <c:spPr>
          <a:ln w="3175">
            <a:solidFill>
              <a:schemeClr val="tx1"/>
            </a:solidFill>
          </a:ln>
        </c:spPr>
        <c:txPr>
          <a:bodyPr rot="0" vert="horz"/>
          <a:lstStyle/>
          <a:p>
            <a:pPr>
              <a:defRPr sz="1600"/>
            </a:pPr>
            <a:endParaRPr lang="fr-FR"/>
          </a:p>
        </c:txPr>
        <c:crossAx val="-2099808360"/>
        <c:crosses val="autoZero"/>
        <c:auto val="1"/>
        <c:lblAlgn val="ctr"/>
        <c:lblOffset val="100"/>
        <c:tickLblSkip val="5"/>
        <c:tickMarkSkip val="5"/>
        <c:noMultiLvlLbl val="0"/>
      </c:catAx>
      <c:valAx>
        <c:axId val="-2099808360"/>
        <c:scaling>
          <c:orientation val="minMax"/>
          <c:max val="0.52"/>
          <c:min val="0.0"/>
        </c:scaling>
        <c:delete val="0"/>
        <c:axPos val="l"/>
        <c:numFmt formatCode="0%" sourceLinked="0"/>
        <c:majorTickMark val="none"/>
        <c:minorTickMark val="none"/>
        <c:tickLblPos val="nextTo"/>
        <c:txPr>
          <a:bodyPr/>
          <a:lstStyle/>
          <a:p>
            <a:pPr>
              <a:defRPr sz="1600"/>
            </a:pPr>
            <a:endParaRPr lang="fr-FR"/>
          </a:p>
        </c:txPr>
        <c:crossAx val="-2099798392"/>
        <c:crosses val="autoZero"/>
        <c:crossBetween val="between"/>
      </c:valAx>
      <c:spPr>
        <a:ln>
          <a:solidFill>
            <a:schemeClr val="bg1">
              <a:lumMod val="85000"/>
            </a:schemeClr>
          </a:solidFill>
        </a:ln>
      </c:spPr>
    </c:plotArea>
    <c:plotVisOnly val="1"/>
    <c:dispBlanksAs val="span"/>
    <c:showDLblsOverMax val="0"/>
  </c:chart>
  <c:spPr>
    <a:ln>
      <a:noFill/>
    </a:ln>
  </c:spPr>
  <c:txPr>
    <a:bodyPr/>
    <a:lstStyle/>
    <a:p>
      <a:pPr>
        <a:defRPr>
          <a:latin typeface="Arial"/>
          <a:cs typeface="Arial"/>
        </a:defRPr>
      </a:pPr>
      <a:endParaRPr lang="fr-FR"/>
    </a:p>
  </c:txPr>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900" b="1"/>
              <a:t>Figure A.9:</a:t>
            </a:r>
            <a:r>
              <a:rPr lang="en-US" sz="1900" b="1" baseline="0"/>
              <a:t> </a:t>
            </a:r>
            <a:r>
              <a:rPr lang="en-US" sz="1900" b="1"/>
              <a:t>US oil multinationals' pre-tax </a:t>
            </a:r>
            <a:r>
              <a:rPr lang="en-US" sz="1900" b="1" baseline="0"/>
              <a:t>profits in OPEC </a:t>
            </a:r>
          </a:p>
          <a:p>
            <a:pPr>
              <a:defRPr/>
            </a:pPr>
            <a:r>
              <a:rPr lang="en-US" sz="1900" b="1" baseline="0"/>
              <a:t> </a:t>
            </a:r>
            <a:r>
              <a:rPr lang="en-US" sz="1900" b="0" baseline="0"/>
              <a:t>(% of US oil multinationals' pre-tax foreign profits)</a:t>
            </a:r>
          </a:p>
        </c:rich>
      </c:tx>
      <c:layout>
        <c:manualLayout>
          <c:xMode val="edge"/>
          <c:yMode val="edge"/>
          <c:x val="0.14867308253135"/>
          <c:y val="0.00435729847494553"/>
        </c:manualLayout>
      </c:layout>
      <c:overlay val="0"/>
    </c:title>
    <c:autoTitleDeleted val="0"/>
    <c:plotArea>
      <c:layout>
        <c:manualLayout>
          <c:layoutTarget val="inner"/>
          <c:xMode val="edge"/>
          <c:yMode val="edge"/>
          <c:x val="0.0905280839895013"/>
          <c:y val="0.138071466556876"/>
          <c:w val="0.878042811315252"/>
          <c:h val="0.77728097713276"/>
        </c:manualLayout>
      </c:layout>
      <c:lineChart>
        <c:grouping val="standard"/>
        <c:varyColors val="0"/>
        <c:ser>
          <c:idx val="0"/>
          <c:order val="0"/>
          <c:spPr>
            <a:ln w="38100">
              <a:solidFill>
                <a:schemeClr val="accent2">
                  <a:lumMod val="75000"/>
                </a:schemeClr>
              </a:solidFill>
            </a:ln>
          </c:spPr>
          <c:marker>
            <c:symbol val="none"/>
          </c:marker>
          <c:cat>
            <c:numRef>
              <c:f>T.A2b!$A$21:$A$59</c:f>
              <c:numCache>
                <c:formatCode>General</c:formatCode>
                <c:ptCount val="39"/>
                <c:pt idx="0">
                  <c:v>1977.0</c:v>
                </c:pt>
                <c:pt idx="1">
                  <c:v>1978.0</c:v>
                </c:pt>
                <c:pt idx="2">
                  <c:v>1979.0</c:v>
                </c:pt>
                <c:pt idx="3">
                  <c:v>1980.0</c:v>
                </c:pt>
                <c:pt idx="4">
                  <c:v>1981.0</c:v>
                </c:pt>
                <c:pt idx="5">
                  <c:v>1982.0</c:v>
                </c:pt>
                <c:pt idx="6">
                  <c:v>1983.0</c:v>
                </c:pt>
                <c:pt idx="7">
                  <c:v>1984.0</c:v>
                </c:pt>
                <c:pt idx="8">
                  <c:v>1985.0</c:v>
                </c:pt>
                <c:pt idx="9">
                  <c:v>1986.0</c:v>
                </c:pt>
                <c:pt idx="10">
                  <c:v>1987.0</c:v>
                </c:pt>
                <c:pt idx="11">
                  <c:v>1988.0</c:v>
                </c:pt>
                <c:pt idx="12">
                  <c:v>1989.0</c:v>
                </c:pt>
                <c:pt idx="13">
                  <c:v>1990.0</c:v>
                </c:pt>
                <c:pt idx="14">
                  <c:v>1991.0</c:v>
                </c:pt>
                <c:pt idx="15">
                  <c:v>1992.0</c:v>
                </c:pt>
                <c:pt idx="16">
                  <c:v>1993.0</c:v>
                </c:pt>
                <c:pt idx="17">
                  <c:v>1994.0</c:v>
                </c:pt>
                <c:pt idx="18">
                  <c:v>1995.0</c:v>
                </c:pt>
                <c:pt idx="19">
                  <c:v>1996.0</c:v>
                </c:pt>
                <c:pt idx="20">
                  <c:v>1997.0</c:v>
                </c:pt>
                <c:pt idx="21">
                  <c:v>1998.0</c:v>
                </c:pt>
                <c:pt idx="22">
                  <c:v>1999.0</c:v>
                </c:pt>
                <c:pt idx="23">
                  <c:v>2000.0</c:v>
                </c:pt>
                <c:pt idx="24">
                  <c:v>2001.0</c:v>
                </c:pt>
                <c:pt idx="25">
                  <c:v>2002.0</c:v>
                </c:pt>
                <c:pt idx="26">
                  <c:v>2003.0</c:v>
                </c:pt>
                <c:pt idx="27">
                  <c:v>2004.0</c:v>
                </c:pt>
                <c:pt idx="28">
                  <c:v>2005.0</c:v>
                </c:pt>
                <c:pt idx="29">
                  <c:v>2006.0</c:v>
                </c:pt>
                <c:pt idx="30">
                  <c:v>2007.0</c:v>
                </c:pt>
                <c:pt idx="31">
                  <c:v>2008.0</c:v>
                </c:pt>
                <c:pt idx="32">
                  <c:v>2009.0</c:v>
                </c:pt>
                <c:pt idx="33">
                  <c:v>2010.0</c:v>
                </c:pt>
                <c:pt idx="34">
                  <c:v>2011.0</c:v>
                </c:pt>
                <c:pt idx="35">
                  <c:v>2012.0</c:v>
                </c:pt>
                <c:pt idx="36">
                  <c:v>2013.0</c:v>
                </c:pt>
                <c:pt idx="37">
                  <c:v>2014.0</c:v>
                </c:pt>
                <c:pt idx="38">
                  <c:v>2015.0</c:v>
                </c:pt>
              </c:numCache>
            </c:numRef>
          </c:cat>
          <c:val>
            <c:numRef>
              <c:f>T.A2b!$I$21:$I$59</c:f>
              <c:numCache>
                <c:formatCode>0%</c:formatCode>
                <c:ptCount val="39"/>
                <c:pt idx="0">
                  <c:v>0.877133627275505</c:v>
                </c:pt>
                <c:pt idx="5">
                  <c:v>0.455433989788476</c:v>
                </c:pt>
                <c:pt idx="6">
                  <c:v>0.395316517267737</c:v>
                </c:pt>
                <c:pt idx="7">
                  <c:v>0.392082849399923</c:v>
                </c:pt>
                <c:pt idx="8">
                  <c:v>0.363094619408932</c:v>
                </c:pt>
                <c:pt idx="9">
                  <c:v>0.325698910618191</c:v>
                </c:pt>
                <c:pt idx="10">
                  <c:v>0.363191967234773</c:v>
                </c:pt>
                <c:pt idx="11">
                  <c:v>0.384183915310476</c:v>
                </c:pt>
                <c:pt idx="12">
                  <c:v>0.398867615287194</c:v>
                </c:pt>
                <c:pt idx="13">
                  <c:v>0.409117407018771</c:v>
                </c:pt>
                <c:pt idx="14">
                  <c:v>0.466519499632082</c:v>
                </c:pt>
                <c:pt idx="15">
                  <c:v>0.495509622238061</c:v>
                </c:pt>
                <c:pt idx="16">
                  <c:v>0.374399112535437</c:v>
                </c:pt>
                <c:pt idx="17">
                  <c:v>0.370548806032677</c:v>
                </c:pt>
                <c:pt idx="18">
                  <c:v>0.401597760802379</c:v>
                </c:pt>
                <c:pt idx="19">
                  <c:v>0.336091972766929</c:v>
                </c:pt>
                <c:pt idx="20">
                  <c:v>0.316426094669785</c:v>
                </c:pt>
                <c:pt idx="21">
                  <c:v>0.359543486816214</c:v>
                </c:pt>
                <c:pt idx="22">
                  <c:v>0.373130341880342</c:v>
                </c:pt>
                <c:pt idx="23">
                  <c:v>0.262930402930403</c:v>
                </c:pt>
                <c:pt idx="24">
                  <c:v>0.272847567816356</c:v>
                </c:pt>
                <c:pt idx="25">
                  <c:v>0.261934653146628</c:v>
                </c:pt>
                <c:pt idx="26">
                  <c:v>0.245164520092841</c:v>
                </c:pt>
                <c:pt idx="27">
                  <c:v>0.225326963740309</c:v>
                </c:pt>
                <c:pt idx="28">
                  <c:v>0.212676811385858</c:v>
                </c:pt>
                <c:pt idx="29">
                  <c:v>0.27567435817102</c:v>
                </c:pt>
                <c:pt idx="30">
                  <c:v>0.302122499410923</c:v>
                </c:pt>
                <c:pt idx="31">
                  <c:v>0.30735440458239</c:v>
                </c:pt>
                <c:pt idx="32">
                  <c:v>0.317869476148668</c:v>
                </c:pt>
                <c:pt idx="33">
                  <c:v>0.307765537875697</c:v>
                </c:pt>
                <c:pt idx="34">
                  <c:v>0.320155344099619</c:v>
                </c:pt>
                <c:pt idx="35">
                  <c:v>0.383206974981046</c:v>
                </c:pt>
                <c:pt idx="36">
                  <c:v>0.363574897550277</c:v>
                </c:pt>
                <c:pt idx="37">
                  <c:v>0.318811130647182</c:v>
                </c:pt>
                <c:pt idx="38">
                  <c:v>0.3426550527212</c:v>
                </c:pt>
              </c:numCache>
            </c:numRef>
          </c:val>
          <c:smooth val="0"/>
        </c:ser>
        <c:dLbls>
          <c:showLegendKey val="0"/>
          <c:showVal val="0"/>
          <c:showCatName val="0"/>
          <c:showSerName val="0"/>
          <c:showPercent val="0"/>
          <c:showBubbleSize val="0"/>
        </c:dLbls>
        <c:marker val="1"/>
        <c:smooth val="0"/>
        <c:axId val="-2099861720"/>
        <c:axId val="-2099871032"/>
      </c:lineChart>
      <c:catAx>
        <c:axId val="-2099861720"/>
        <c:scaling>
          <c:orientation val="minMax"/>
        </c:scaling>
        <c:delete val="0"/>
        <c:axPos val="b"/>
        <c:numFmt formatCode="General" sourceLinked="1"/>
        <c:majorTickMark val="none"/>
        <c:minorTickMark val="none"/>
        <c:tickLblPos val="low"/>
        <c:spPr>
          <a:ln w="3175">
            <a:solidFill>
              <a:schemeClr val="tx1"/>
            </a:solidFill>
          </a:ln>
        </c:spPr>
        <c:txPr>
          <a:bodyPr rot="0" vert="horz"/>
          <a:lstStyle/>
          <a:p>
            <a:pPr>
              <a:defRPr sz="1600"/>
            </a:pPr>
            <a:endParaRPr lang="fr-FR"/>
          </a:p>
        </c:txPr>
        <c:crossAx val="-2099871032"/>
        <c:crosses val="autoZero"/>
        <c:auto val="1"/>
        <c:lblAlgn val="ctr"/>
        <c:lblOffset val="100"/>
        <c:tickLblSkip val="4"/>
        <c:tickMarkSkip val="4"/>
        <c:noMultiLvlLbl val="0"/>
      </c:catAx>
      <c:valAx>
        <c:axId val="-2099871032"/>
        <c:scaling>
          <c:orientation val="minMax"/>
        </c:scaling>
        <c:delete val="0"/>
        <c:axPos val="l"/>
        <c:numFmt formatCode="0%" sourceLinked="1"/>
        <c:majorTickMark val="none"/>
        <c:minorTickMark val="none"/>
        <c:tickLblPos val="nextTo"/>
        <c:txPr>
          <a:bodyPr/>
          <a:lstStyle/>
          <a:p>
            <a:pPr>
              <a:defRPr sz="1600"/>
            </a:pPr>
            <a:endParaRPr lang="fr-FR"/>
          </a:p>
        </c:txPr>
        <c:crossAx val="-2099861720"/>
        <c:crosses val="autoZero"/>
        <c:crossBetween val="between"/>
      </c:valAx>
      <c:spPr>
        <a:ln>
          <a:solidFill>
            <a:schemeClr val="bg1">
              <a:lumMod val="85000"/>
            </a:schemeClr>
          </a:solidFill>
        </a:ln>
      </c:spPr>
    </c:plotArea>
    <c:plotVisOnly val="1"/>
    <c:dispBlanksAs val="span"/>
    <c:showDLblsOverMax val="0"/>
  </c:chart>
  <c:spPr>
    <a:ln>
      <a:noFill/>
    </a:ln>
  </c:spPr>
  <c:txPr>
    <a:bodyPr/>
    <a:lstStyle/>
    <a:p>
      <a:pPr>
        <a:defRPr>
          <a:latin typeface="Arial"/>
          <a:cs typeface="Arial"/>
        </a:defRPr>
      </a:pPr>
      <a:endParaRPr lang="fr-FR"/>
    </a:p>
  </c:txPr>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000" b="1"/>
              <a:t>Figure A.9b: US oil multinationals' </a:t>
            </a:r>
            <a:r>
              <a:rPr lang="en-US" sz="2000" b="1" baseline="0"/>
              <a:t>profits in OPEC </a:t>
            </a:r>
          </a:p>
          <a:p>
            <a:pPr>
              <a:defRPr/>
            </a:pPr>
            <a:r>
              <a:rPr lang="en-US" sz="2000" b="0" baseline="0"/>
              <a:t>(% of US oil multinationals' foreign profits)</a:t>
            </a:r>
          </a:p>
        </c:rich>
      </c:tx>
      <c:layout>
        <c:manualLayout>
          <c:xMode val="edge"/>
          <c:yMode val="edge"/>
          <c:x val="0.163487897346165"/>
          <c:y val="0.00435729847494553"/>
        </c:manualLayout>
      </c:layout>
      <c:overlay val="0"/>
    </c:title>
    <c:autoTitleDeleted val="0"/>
    <c:plotArea>
      <c:layout>
        <c:manualLayout>
          <c:layoutTarget val="inner"/>
          <c:xMode val="edge"/>
          <c:yMode val="edge"/>
          <c:x val="0.0905280839895013"/>
          <c:y val="0.138071466556876"/>
          <c:w val="0.878042811315252"/>
          <c:h val="0.77728097713276"/>
        </c:manualLayout>
      </c:layout>
      <c:lineChart>
        <c:grouping val="standard"/>
        <c:varyColors val="0"/>
        <c:ser>
          <c:idx val="0"/>
          <c:order val="0"/>
          <c:spPr>
            <a:ln w="38100">
              <a:solidFill>
                <a:schemeClr val="accent2">
                  <a:lumMod val="75000"/>
                </a:schemeClr>
              </a:solidFill>
            </a:ln>
          </c:spPr>
          <c:marker>
            <c:symbol val="none"/>
          </c:marker>
          <c:cat>
            <c:numRef>
              <c:f>T.A2b!$A$21:$A$59</c:f>
              <c:numCache>
                <c:formatCode>General</c:formatCode>
                <c:ptCount val="39"/>
                <c:pt idx="0">
                  <c:v>1977.0</c:v>
                </c:pt>
                <c:pt idx="1">
                  <c:v>1978.0</c:v>
                </c:pt>
                <c:pt idx="2">
                  <c:v>1979.0</c:v>
                </c:pt>
                <c:pt idx="3">
                  <c:v>1980.0</c:v>
                </c:pt>
                <c:pt idx="4">
                  <c:v>1981.0</c:v>
                </c:pt>
                <c:pt idx="5">
                  <c:v>1982.0</c:v>
                </c:pt>
                <c:pt idx="6">
                  <c:v>1983.0</c:v>
                </c:pt>
                <c:pt idx="7">
                  <c:v>1984.0</c:v>
                </c:pt>
                <c:pt idx="8">
                  <c:v>1985.0</c:v>
                </c:pt>
                <c:pt idx="9">
                  <c:v>1986.0</c:v>
                </c:pt>
                <c:pt idx="10">
                  <c:v>1987.0</c:v>
                </c:pt>
                <c:pt idx="11">
                  <c:v>1988.0</c:v>
                </c:pt>
                <c:pt idx="12">
                  <c:v>1989.0</c:v>
                </c:pt>
                <c:pt idx="13">
                  <c:v>1990.0</c:v>
                </c:pt>
                <c:pt idx="14">
                  <c:v>1991.0</c:v>
                </c:pt>
                <c:pt idx="15">
                  <c:v>1992.0</c:v>
                </c:pt>
                <c:pt idx="16">
                  <c:v>1993.0</c:v>
                </c:pt>
                <c:pt idx="17">
                  <c:v>1994.0</c:v>
                </c:pt>
                <c:pt idx="18">
                  <c:v>1995.0</c:v>
                </c:pt>
                <c:pt idx="19">
                  <c:v>1996.0</c:v>
                </c:pt>
                <c:pt idx="20">
                  <c:v>1997.0</c:v>
                </c:pt>
                <c:pt idx="21">
                  <c:v>1998.0</c:v>
                </c:pt>
                <c:pt idx="22">
                  <c:v>1999.0</c:v>
                </c:pt>
                <c:pt idx="23">
                  <c:v>2000.0</c:v>
                </c:pt>
                <c:pt idx="24">
                  <c:v>2001.0</c:v>
                </c:pt>
                <c:pt idx="25">
                  <c:v>2002.0</c:v>
                </c:pt>
                <c:pt idx="26">
                  <c:v>2003.0</c:v>
                </c:pt>
                <c:pt idx="27">
                  <c:v>2004.0</c:v>
                </c:pt>
                <c:pt idx="28">
                  <c:v>2005.0</c:v>
                </c:pt>
                <c:pt idx="29">
                  <c:v>2006.0</c:v>
                </c:pt>
                <c:pt idx="30">
                  <c:v>2007.0</c:v>
                </c:pt>
                <c:pt idx="31">
                  <c:v>2008.0</c:v>
                </c:pt>
                <c:pt idx="32">
                  <c:v>2009.0</c:v>
                </c:pt>
                <c:pt idx="33">
                  <c:v>2010.0</c:v>
                </c:pt>
                <c:pt idx="34">
                  <c:v>2011.0</c:v>
                </c:pt>
                <c:pt idx="35">
                  <c:v>2012.0</c:v>
                </c:pt>
                <c:pt idx="36">
                  <c:v>2013.0</c:v>
                </c:pt>
                <c:pt idx="37">
                  <c:v>2014.0</c:v>
                </c:pt>
                <c:pt idx="38">
                  <c:v>2015.0</c:v>
                </c:pt>
              </c:numCache>
            </c:numRef>
          </c:cat>
          <c:val>
            <c:numRef>
              <c:f>T.A2b!$I$21:$I$59</c:f>
              <c:numCache>
                <c:formatCode>0%</c:formatCode>
                <c:ptCount val="39"/>
                <c:pt idx="0">
                  <c:v>0.877133627275505</c:v>
                </c:pt>
                <c:pt idx="5">
                  <c:v>0.455433989788476</c:v>
                </c:pt>
                <c:pt idx="6">
                  <c:v>0.395316517267737</c:v>
                </c:pt>
                <c:pt idx="7">
                  <c:v>0.392082849399923</c:v>
                </c:pt>
                <c:pt idx="8">
                  <c:v>0.363094619408932</c:v>
                </c:pt>
                <c:pt idx="9">
                  <c:v>0.325698910618191</c:v>
                </c:pt>
                <c:pt idx="10">
                  <c:v>0.363191967234773</c:v>
                </c:pt>
                <c:pt idx="11">
                  <c:v>0.384183915310476</c:v>
                </c:pt>
                <c:pt idx="12">
                  <c:v>0.398867615287194</c:v>
                </c:pt>
                <c:pt idx="13">
                  <c:v>0.409117407018771</c:v>
                </c:pt>
                <c:pt idx="14">
                  <c:v>0.466519499632082</c:v>
                </c:pt>
                <c:pt idx="15">
                  <c:v>0.495509622238061</c:v>
                </c:pt>
                <c:pt idx="16">
                  <c:v>0.374399112535437</c:v>
                </c:pt>
                <c:pt idx="17">
                  <c:v>0.370548806032677</c:v>
                </c:pt>
                <c:pt idx="18">
                  <c:v>0.401597760802379</c:v>
                </c:pt>
                <c:pt idx="19">
                  <c:v>0.336091972766929</c:v>
                </c:pt>
                <c:pt idx="20">
                  <c:v>0.316426094669785</c:v>
                </c:pt>
                <c:pt idx="21">
                  <c:v>0.359543486816214</c:v>
                </c:pt>
                <c:pt idx="22">
                  <c:v>0.373130341880342</c:v>
                </c:pt>
                <c:pt idx="23">
                  <c:v>0.262930402930403</c:v>
                </c:pt>
                <c:pt idx="24">
                  <c:v>0.272847567816356</c:v>
                </c:pt>
                <c:pt idx="25">
                  <c:v>0.261934653146628</c:v>
                </c:pt>
                <c:pt idx="26">
                  <c:v>0.245164520092841</c:v>
                </c:pt>
                <c:pt idx="27">
                  <c:v>0.225326963740309</c:v>
                </c:pt>
                <c:pt idx="28">
                  <c:v>0.212676811385858</c:v>
                </c:pt>
                <c:pt idx="29">
                  <c:v>0.27567435817102</c:v>
                </c:pt>
                <c:pt idx="30">
                  <c:v>0.302122499410923</c:v>
                </c:pt>
                <c:pt idx="31">
                  <c:v>0.30735440458239</c:v>
                </c:pt>
                <c:pt idx="32">
                  <c:v>0.317869476148668</c:v>
                </c:pt>
                <c:pt idx="33">
                  <c:v>0.307765537875697</c:v>
                </c:pt>
                <c:pt idx="34">
                  <c:v>0.320155344099619</c:v>
                </c:pt>
                <c:pt idx="35">
                  <c:v>0.383206974981046</c:v>
                </c:pt>
                <c:pt idx="36">
                  <c:v>0.363574897550277</c:v>
                </c:pt>
                <c:pt idx="37">
                  <c:v>0.318811130647182</c:v>
                </c:pt>
                <c:pt idx="38">
                  <c:v>0.3426550527212</c:v>
                </c:pt>
              </c:numCache>
            </c:numRef>
          </c:val>
          <c:smooth val="0"/>
        </c:ser>
        <c:dLbls>
          <c:showLegendKey val="0"/>
          <c:showVal val="0"/>
          <c:showCatName val="0"/>
          <c:showSerName val="0"/>
          <c:showPercent val="0"/>
          <c:showBubbleSize val="0"/>
        </c:dLbls>
        <c:marker val="1"/>
        <c:smooth val="0"/>
        <c:axId val="-2099924680"/>
        <c:axId val="-2099921416"/>
      </c:lineChart>
      <c:lineChart>
        <c:grouping val="standard"/>
        <c:varyColors val="0"/>
        <c:ser>
          <c:idx val="1"/>
          <c:order val="1"/>
          <c:spPr>
            <a:ln w="38100">
              <a:solidFill>
                <a:schemeClr val="tx2">
                  <a:lumMod val="75000"/>
                </a:schemeClr>
              </a:solidFill>
            </a:ln>
          </c:spPr>
          <c:marker>
            <c:symbol val="none"/>
          </c:marker>
          <c:val>
            <c:numRef>
              <c:f>T.A2b!$H$21:$H$59</c:f>
              <c:numCache>
                <c:formatCode>0%</c:formatCode>
                <c:ptCount val="39"/>
                <c:pt idx="0">
                  <c:v>0.611379495437467</c:v>
                </c:pt>
                <c:pt idx="5">
                  <c:v>0.481362229102167</c:v>
                </c:pt>
                <c:pt idx="6">
                  <c:v>0.322053675612602</c:v>
                </c:pt>
                <c:pt idx="7">
                  <c:v>0.347028534649217</c:v>
                </c:pt>
                <c:pt idx="8">
                  <c:v>0.274295985620132</c:v>
                </c:pt>
                <c:pt idx="9">
                  <c:v>0.30135088326983</c:v>
                </c:pt>
                <c:pt idx="10">
                  <c:v>0.297278911564626</c:v>
                </c:pt>
                <c:pt idx="11">
                  <c:v>0.335766423357664</c:v>
                </c:pt>
                <c:pt idx="12">
                  <c:v>0.306466729147142</c:v>
                </c:pt>
                <c:pt idx="13">
                  <c:v>0.221878665102889</c:v>
                </c:pt>
                <c:pt idx="14">
                  <c:v>0.296728462377317</c:v>
                </c:pt>
                <c:pt idx="15">
                  <c:v>0.480729579698652</c:v>
                </c:pt>
                <c:pt idx="16">
                  <c:v>0.305773829859925</c:v>
                </c:pt>
                <c:pt idx="17">
                  <c:v>0.324533753611768</c:v>
                </c:pt>
                <c:pt idx="18">
                  <c:v>0.38925871601038</c:v>
                </c:pt>
                <c:pt idx="19">
                  <c:v>0.292501616031028</c:v>
                </c:pt>
                <c:pt idx="20">
                  <c:v>0.237703157442543</c:v>
                </c:pt>
                <c:pt idx="21">
                  <c:v>0.288169868554095</c:v>
                </c:pt>
                <c:pt idx="22">
                  <c:v>0.341524185926626</c:v>
                </c:pt>
                <c:pt idx="23">
                  <c:v>0.20647307151081</c:v>
                </c:pt>
                <c:pt idx="24">
                  <c:v>0.21039866606033</c:v>
                </c:pt>
                <c:pt idx="25">
                  <c:v>0.196205514965826</c:v>
                </c:pt>
                <c:pt idx="26">
                  <c:v>0.191787879988903</c:v>
                </c:pt>
                <c:pt idx="27">
                  <c:v>0.173090291187148</c:v>
                </c:pt>
                <c:pt idx="28">
                  <c:v>0.159297373112148</c:v>
                </c:pt>
                <c:pt idx="29">
                  <c:v>0.21533379687026</c:v>
                </c:pt>
                <c:pt idx="30">
                  <c:v>0.237195796896026</c:v>
                </c:pt>
                <c:pt idx="31">
                  <c:v>0.224829912246308</c:v>
                </c:pt>
                <c:pt idx="32">
                  <c:v>0.24030326913877</c:v>
                </c:pt>
                <c:pt idx="33">
                  <c:v>0.21726915464942</c:v>
                </c:pt>
                <c:pt idx="34">
                  <c:v>0.22285252307485</c:v>
                </c:pt>
                <c:pt idx="35">
                  <c:v>0.283247753457225</c:v>
                </c:pt>
                <c:pt idx="36">
                  <c:v>0.246114730474417</c:v>
                </c:pt>
                <c:pt idx="37">
                  <c:v>0.229618675003276</c:v>
                </c:pt>
                <c:pt idx="38">
                  <c:v>0.24617704070644</c:v>
                </c:pt>
              </c:numCache>
            </c:numRef>
          </c:val>
          <c:smooth val="0"/>
        </c:ser>
        <c:dLbls>
          <c:showLegendKey val="0"/>
          <c:showVal val="0"/>
          <c:showCatName val="0"/>
          <c:showSerName val="0"/>
          <c:showPercent val="0"/>
          <c:showBubbleSize val="0"/>
        </c:dLbls>
        <c:marker val="1"/>
        <c:smooth val="0"/>
        <c:axId val="-2099936824"/>
        <c:axId val="-2099931336"/>
      </c:lineChart>
      <c:catAx>
        <c:axId val="-2099924680"/>
        <c:scaling>
          <c:orientation val="minMax"/>
        </c:scaling>
        <c:delete val="0"/>
        <c:axPos val="b"/>
        <c:numFmt formatCode="General" sourceLinked="1"/>
        <c:majorTickMark val="none"/>
        <c:minorTickMark val="none"/>
        <c:tickLblPos val="low"/>
        <c:spPr>
          <a:ln w="3175">
            <a:solidFill>
              <a:schemeClr val="tx1"/>
            </a:solidFill>
          </a:ln>
        </c:spPr>
        <c:txPr>
          <a:bodyPr rot="0" vert="horz"/>
          <a:lstStyle/>
          <a:p>
            <a:pPr>
              <a:defRPr sz="1600"/>
            </a:pPr>
            <a:endParaRPr lang="fr-FR"/>
          </a:p>
        </c:txPr>
        <c:crossAx val="-2099921416"/>
        <c:crosses val="autoZero"/>
        <c:auto val="1"/>
        <c:lblAlgn val="ctr"/>
        <c:lblOffset val="100"/>
        <c:tickLblSkip val="4"/>
        <c:tickMarkSkip val="4"/>
        <c:noMultiLvlLbl val="0"/>
      </c:catAx>
      <c:valAx>
        <c:axId val="-2099921416"/>
        <c:scaling>
          <c:orientation val="minMax"/>
        </c:scaling>
        <c:delete val="0"/>
        <c:axPos val="l"/>
        <c:numFmt formatCode="0%" sourceLinked="1"/>
        <c:majorTickMark val="none"/>
        <c:minorTickMark val="none"/>
        <c:tickLblPos val="nextTo"/>
        <c:txPr>
          <a:bodyPr/>
          <a:lstStyle/>
          <a:p>
            <a:pPr>
              <a:defRPr sz="1600"/>
            </a:pPr>
            <a:endParaRPr lang="fr-FR"/>
          </a:p>
        </c:txPr>
        <c:crossAx val="-2099924680"/>
        <c:crosses val="autoZero"/>
        <c:crossBetween val="between"/>
      </c:valAx>
      <c:valAx>
        <c:axId val="-2099931336"/>
        <c:scaling>
          <c:orientation val="minMax"/>
          <c:max val="0.02"/>
          <c:min val="-0.06"/>
        </c:scaling>
        <c:delete val="1"/>
        <c:axPos val="r"/>
        <c:numFmt formatCode="0%" sourceLinked="0"/>
        <c:majorTickMark val="none"/>
        <c:minorTickMark val="none"/>
        <c:tickLblPos val="nextTo"/>
        <c:crossAx val="-2099936824"/>
        <c:crosses val="max"/>
        <c:crossBetween val="between"/>
      </c:valAx>
      <c:catAx>
        <c:axId val="-2099936824"/>
        <c:scaling>
          <c:orientation val="minMax"/>
        </c:scaling>
        <c:delete val="1"/>
        <c:axPos val="b"/>
        <c:numFmt formatCode="General" sourceLinked="1"/>
        <c:majorTickMark val="out"/>
        <c:minorTickMark val="none"/>
        <c:tickLblPos val="nextTo"/>
        <c:crossAx val="-2099931336"/>
        <c:crosses val="autoZero"/>
        <c:auto val="1"/>
        <c:lblAlgn val="ctr"/>
        <c:lblOffset val="100"/>
        <c:noMultiLvlLbl val="0"/>
      </c:catAx>
      <c:spPr>
        <a:ln>
          <a:solidFill>
            <a:schemeClr val="bg1">
              <a:lumMod val="85000"/>
            </a:schemeClr>
          </a:solidFill>
        </a:ln>
      </c:spPr>
    </c:plotArea>
    <c:plotVisOnly val="1"/>
    <c:dispBlanksAs val="span"/>
    <c:showDLblsOverMax val="0"/>
  </c:chart>
  <c:spPr>
    <a:ln>
      <a:noFill/>
    </a:ln>
  </c:spPr>
  <c:txPr>
    <a:bodyPr/>
    <a:lstStyle/>
    <a:p>
      <a:pPr>
        <a:defRPr>
          <a:latin typeface="Arial"/>
          <a:cs typeface="Arial"/>
        </a:defRPr>
      </a:pPr>
      <a:endParaRPr lang="fr-FR"/>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000" b="1"/>
              <a:t>Figure</a:t>
            </a:r>
            <a:r>
              <a:rPr lang="en-US" sz="2000" b="1" baseline="0"/>
              <a:t> A.10: </a:t>
            </a:r>
            <a:r>
              <a:rPr lang="en-US" sz="2000" b="1"/>
              <a:t>US oil multinationals' </a:t>
            </a:r>
            <a:r>
              <a:rPr lang="en-US" sz="2000" b="1" baseline="0"/>
              <a:t>profits in OPEC </a:t>
            </a:r>
          </a:p>
          <a:p>
            <a:pPr>
              <a:defRPr/>
            </a:pPr>
            <a:r>
              <a:rPr lang="en-US" sz="2000" b="0" baseline="0"/>
              <a:t>(% of US oil multinationals' foreign profits)</a:t>
            </a:r>
          </a:p>
        </c:rich>
      </c:tx>
      <c:layout>
        <c:manualLayout>
          <c:xMode val="edge"/>
          <c:yMode val="edge"/>
          <c:x val="0.190154564012832"/>
          <c:y val="0.0"/>
        </c:manualLayout>
      </c:layout>
      <c:overlay val="0"/>
    </c:title>
    <c:autoTitleDeleted val="0"/>
    <c:plotArea>
      <c:layout>
        <c:manualLayout>
          <c:layoutTarget val="inner"/>
          <c:xMode val="edge"/>
          <c:yMode val="edge"/>
          <c:x val="0.0905280839895013"/>
          <c:y val="0.138071466556876"/>
          <c:w val="0.878042811315252"/>
          <c:h val="0.77728097713276"/>
        </c:manualLayout>
      </c:layout>
      <c:lineChart>
        <c:grouping val="standard"/>
        <c:varyColors val="0"/>
        <c:ser>
          <c:idx val="0"/>
          <c:order val="0"/>
          <c:spPr>
            <a:ln w="38100">
              <a:solidFill>
                <a:schemeClr val="accent2">
                  <a:lumMod val="75000"/>
                </a:schemeClr>
              </a:solidFill>
            </a:ln>
          </c:spPr>
          <c:marker>
            <c:symbol val="none"/>
          </c:marker>
          <c:cat>
            <c:numRef>
              <c:f>T.A2b!$A$26:$A$59</c:f>
              <c:numCache>
                <c:formatCode>General</c:formatCode>
                <c:ptCount val="34"/>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numCache>
            </c:numRef>
          </c:cat>
          <c:val>
            <c:numRef>
              <c:f>T.A2b!$K$26:$K$59</c:f>
              <c:numCache>
                <c:formatCode>0%</c:formatCode>
                <c:ptCount val="34"/>
                <c:pt idx="0">
                  <c:v>0.688741191543882</c:v>
                </c:pt>
                <c:pt idx="1">
                  <c:v>0.733169274037616</c:v>
                </c:pt>
                <c:pt idx="2">
                  <c:v>0.733810581749362</c:v>
                </c:pt>
                <c:pt idx="3">
                  <c:v>0.781583969465649</c:v>
                </c:pt>
                <c:pt idx="4">
                  <c:v>0.649405601450735</c:v>
                </c:pt>
                <c:pt idx="5">
                  <c:v>0.682066205893052</c:v>
                </c:pt>
                <c:pt idx="6">
                  <c:v>0.640551100143944</c:v>
                </c:pt>
                <c:pt idx="7">
                  <c:v>0.694620844228614</c:v>
                </c:pt>
                <c:pt idx="8">
                  <c:v>0.703476774009689</c:v>
                </c:pt>
                <c:pt idx="9">
                  <c:v>0.609836535704044</c:v>
                </c:pt>
                <c:pt idx="10">
                  <c:v>0.564010356731876</c:v>
                </c:pt>
                <c:pt idx="11">
                  <c:v>0.558024691358025</c:v>
                </c:pt>
                <c:pt idx="12">
                  <c:v>0.534388543433201</c:v>
                </c:pt>
                <c:pt idx="13">
                  <c:v>0.499056192827065</c:v>
                </c:pt>
                <c:pt idx="14">
                  <c:v>0.560892770499757</c:v>
                </c:pt>
                <c:pt idx="15">
                  <c:v>0.576962283384302</c:v>
                </c:pt>
                <c:pt idx="16">
                  <c:v>0.500875656742557</c:v>
                </c:pt>
                <c:pt idx="17">
                  <c:v>0.43092340730136</c:v>
                </c:pt>
                <c:pt idx="18">
                  <c:v>0.550292560601839</c:v>
                </c:pt>
                <c:pt idx="19">
                  <c:v>0.560991038481813</c:v>
                </c:pt>
                <c:pt idx="20">
                  <c:v>0.590758264716726</c:v>
                </c:pt>
                <c:pt idx="21">
                  <c:v>0.550863189159087</c:v>
                </c:pt>
                <c:pt idx="22">
                  <c:v>0.5326706520228</c:v>
                </c:pt>
                <c:pt idx="23">
                  <c:v>0.549478880965441</c:v>
                </c:pt>
                <c:pt idx="24">
                  <c:v>0.538267174454372</c:v>
                </c:pt>
                <c:pt idx="25">
                  <c:v>0.563245471948167</c:v>
                </c:pt>
                <c:pt idx="26">
                  <c:v>0.628339962929796</c:v>
                </c:pt>
                <c:pt idx="27">
                  <c:v>0.601973926493334</c:v>
                </c:pt>
                <c:pt idx="28">
                  <c:v>0.61611430254824</c:v>
                </c:pt>
                <c:pt idx="29">
                  <c:v>0.643017483272178</c:v>
                </c:pt>
                <c:pt idx="30">
                  <c:v>0.642002176278564</c:v>
                </c:pt>
                <c:pt idx="31">
                  <c:v>0.640517984306255</c:v>
                </c:pt>
                <c:pt idx="32">
                  <c:v>0.594927512301443</c:v>
                </c:pt>
                <c:pt idx="33">
                  <c:v>0.563073394495413</c:v>
                </c:pt>
              </c:numCache>
            </c:numRef>
          </c:val>
          <c:smooth val="0"/>
        </c:ser>
        <c:dLbls>
          <c:showLegendKey val="0"/>
          <c:showVal val="0"/>
          <c:showCatName val="0"/>
          <c:showSerName val="0"/>
          <c:showPercent val="0"/>
          <c:showBubbleSize val="0"/>
        </c:dLbls>
        <c:marker val="1"/>
        <c:smooth val="0"/>
        <c:axId val="-2100624872"/>
        <c:axId val="-2100633688"/>
      </c:lineChart>
      <c:lineChart>
        <c:grouping val="standard"/>
        <c:varyColors val="0"/>
        <c:ser>
          <c:idx val="1"/>
          <c:order val="1"/>
          <c:spPr>
            <a:ln w="38100">
              <a:solidFill>
                <a:schemeClr val="tx2">
                  <a:lumMod val="75000"/>
                </a:schemeClr>
              </a:solidFill>
            </a:ln>
          </c:spPr>
          <c:marker>
            <c:symbol val="none"/>
          </c:marker>
          <c:val>
            <c:numRef>
              <c:f>T.A2b!$L$26:$L$59</c:f>
              <c:numCache>
                <c:formatCode>0%</c:formatCode>
                <c:ptCount val="34"/>
                <c:pt idx="0">
                  <c:v>0.719528529332976</c:v>
                </c:pt>
                <c:pt idx="1">
                  <c:v>0.632785566536428</c:v>
                </c:pt>
                <c:pt idx="2">
                  <c:v>0.676962267154912</c:v>
                </c:pt>
                <c:pt idx="3">
                  <c:v>0.670565196105097</c:v>
                </c:pt>
                <c:pt idx="4">
                  <c:v>0.607396593673966</c:v>
                </c:pt>
                <c:pt idx="5">
                  <c:v>0.571369294605809</c:v>
                </c:pt>
                <c:pt idx="6">
                  <c:v>0.55638229634381</c:v>
                </c:pt>
                <c:pt idx="7">
                  <c:v>0.541454951047218</c:v>
                </c:pt>
                <c:pt idx="8">
                  <c:v>0.279992107340174</c:v>
                </c:pt>
                <c:pt idx="9">
                  <c:v>0.191347962382445</c:v>
                </c:pt>
                <c:pt idx="10">
                  <c:v>0.537439954789489</c:v>
                </c:pt>
                <c:pt idx="11">
                  <c:v>0.399468032706137</c:v>
                </c:pt>
                <c:pt idx="12">
                  <c:v>0.429506378258458</c:v>
                </c:pt>
                <c:pt idx="13">
                  <c:v>0.472519976612746</c:v>
                </c:pt>
                <c:pt idx="14">
                  <c:v>0.462327295056801</c:v>
                </c:pt>
                <c:pt idx="15">
                  <c:v>0.372006606110652</c:v>
                </c:pt>
                <c:pt idx="16">
                  <c:v>0.307853017082463</c:v>
                </c:pt>
                <c:pt idx="17">
                  <c:v>0.346910950149127</c:v>
                </c:pt>
                <c:pt idx="18">
                  <c:v>0.383460888579664</c:v>
                </c:pt>
                <c:pt idx="19">
                  <c:v>0.381794445763114</c:v>
                </c:pt>
                <c:pt idx="20">
                  <c:v>0.405006978367062</c:v>
                </c:pt>
                <c:pt idx="21">
                  <c:v>0.385264681056313</c:v>
                </c:pt>
                <c:pt idx="22">
                  <c:v>0.350613639580258</c:v>
                </c:pt>
                <c:pt idx="23">
                  <c:v>0.357732358346476</c:v>
                </c:pt>
                <c:pt idx="24">
                  <c:v>0.3596373225262</c:v>
                </c:pt>
                <c:pt idx="25">
                  <c:v>0.391938682142542</c:v>
                </c:pt>
                <c:pt idx="26">
                  <c:v>0.431386528009008</c:v>
                </c:pt>
                <c:pt idx="27">
                  <c:v>0.413627703920728</c:v>
                </c:pt>
                <c:pt idx="28">
                  <c:v>0.385130320890635</c:v>
                </c:pt>
                <c:pt idx="29">
                  <c:v>0.413748589666704</c:v>
                </c:pt>
                <c:pt idx="30">
                  <c:v>0.437170403426009</c:v>
                </c:pt>
                <c:pt idx="31">
                  <c:v>0.370940961044753</c:v>
                </c:pt>
                <c:pt idx="32">
                  <c:v>0.363941267387944</c:v>
                </c:pt>
                <c:pt idx="33">
                  <c:v>0.302580452326392</c:v>
                </c:pt>
              </c:numCache>
            </c:numRef>
          </c:val>
          <c:smooth val="0"/>
        </c:ser>
        <c:dLbls>
          <c:showLegendKey val="0"/>
          <c:showVal val="0"/>
          <c:showCatName val="0"/>
          <c:showSerName val="0"/>
          <c:showPercent val="0"/>
          <c:showBubbleSize val="0"/>
        </c:dLbls>
        <c:marker val="1"/>
        <c:smooth val="0"/>
        <c:axId val="-2100638056"/>
        <c:axId val="-2100630648"/>
      </c:lineChart>
      <c:catAx>
        <c:axId val="-2100624872"/>
        <c:scaling>
          <c:orientation val="minMax"/>
        </c:scaling>
        <c:delete val="0"/>
        <c:axPos val="b"/>
        <c:numFmt formatCode="General" sourceLinked="1"/>
        <c:majorTickMark val="none"/>
        <c:minorTickMark val="none"/>
        <c:tickLblPos val="low"/>
        <c:spPr>
          <a:ln w="3175">
            <a:solidFill>
              <a:schemeClr val="tx1"/>
            </a:solidFill>
          </a:ln>
        </c:spPr>
        <c:txPr>
          <a:bodyPr rot="0" vert="horz"/>
          <a:lstStyle/>
          <a:p>
            <a:pPr>
              <a:defRPr sz="1600"/>
            </a:pPr>
            <a:endParaRPr lang="fr-FR"/>
          </a:p>
        </c:txPr>
        <c:crossAx val="-2100633688"/>
        <c:crosses val="autoZero"/>
        <c:auto val="1"/>
        <c:lblAlgn val="ctr"/>
        <c:lblOffset val="100"/>
        <c:tickLblSkip val="4"/>
        <c:tickMarkSkip val="4"/>
        <c:noMultiLvlLbl val="0"/>
      </c:catAx>
      <c:valAx>
        <c:axId val="-2100633688"/>
        <c:scaling>
          <c:orientation val="minMax"/>
          <c:max val="0.8"/>
        </c:scaling>
        <c:delete val="0"/>
        <c:axPos val="l"/>
        <c:numFmt formatCode="0%" sourceLinked="1"/>
        <c:majorTickMark val="none"/>
        <c:minorTickMark val="none"/>
        <c:tickLblPos val="nextTo"/>
        <c:txPr>
          <a:bodyPr/>
          <a:lstStyle/>
          <a:p>
            <a:pPr>
              <a:defRPr sz="1600"/>
            </a:pPr>
            <a:endParaRPr lang="fr-FR"/>
          </a:p>
        </c:txPr>
        <c:crossAx val="-2100624872"/>
        <c:crosses val="autoZero"/>
        <c:crossBetween val="between"/>
      </c:valAx>
      <c:valAx>
        <c:axId val="-2100630648"/>
        <c:scaling>
          <c:orientation val="minMax"/>
          <c:max val="0.02"/>
          <c:min val="-0.06"/>
        </c:scaling>
        <c:delete val="1"/>
        <c:axPos val="r"/>
        <c:numFmt formatCode="0%" sourceLinked="0"/>
        <c:majorTickMark val="none"/>
        <c:minorTickMark val="none"/>
        <c:tickLblPos val="nextTo"/>
        <c:crossAx val="-2100638056"/>
        <c:crosses val="max"/>
        <c:crossBetween val="between"/>
      </c:valAx>
      <c:catAx>
        <c:axId val="-2100638056"/>
        <c:scaling>
          <c:orientation val="minMax"/>
        </c:scaling>
        <c:delete val="1"/>
        <c:axPos val="b"/>
        <c:numFmt formatCode="General" sourceLinked="1"/>
        <c:majorTickMark val="out"/>
        <c:minorTickMark val="none"/>
        <c:tickLblPos val="nextTo"/>
        <c:crossAx val="-2100630648"/>
        <c:crosses val="autoZero"/>
        <c:auto val="1"/>
        <c:lblAlgn val="ctr"/>
        <c:lblOffset val="100"/>
        <c:noMultiLvlLbl val="0"/>
      </c:catAx>
      <c:spPr>
        <a:ln>
          <a:solidFill>
            <a:schemeClr val="bg1">
              <a:lumMod val="85000"/>
            </a:schemeClr>
          </a:solidFill>
        </a:ln>
      </c:spPr>
    </c:plotArea>
    <c:plotVisOnly val="1"/>
    <c:dispBlanksAs val="span"/>
    <c:showDLblsOverMax val="0"/>
  </c:chart>
  <c:spPr>
    <a:ln>
      <a:noFill/>
    </a:ln>
  </c:spPr>
  <c:txPr>
    <a:bodyPr/>
    <a:lstStyle/>
    <a:p>
      <a:pPr>
        <a:defRPr>
          <a:latin typeface="Arial"/>
          <a:cs typeface="Arial"/>
        </a:defRPr>
      </a:pPr>
      <a:endParaRPr lang="fr-FR"/>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850" b="1"/>
              <a:t>Figure A.11: Pre-tax rates of return on US direct equity investments</a:t>
            </a:r>
            <a:r>
              <a:rPr lang="en-US" sz="1850" b="1" baseline="0"/>
              <a:t> </a:t>
            </a:r>
            <a:r>
              <a:rPr lang="en-US" sz="1850" b="0" baseline="0"/>
              <a:t>(Equity positions at current cost)</a:t>
            </a:r>
          </a:p>
        </c:rich>
      </c:tx>
      <c:layout>
        <c:manualLayout>
          <c:xMode val="edge"/>
          <c:yMode val="edge"/>
          <c:x val="0.175212715077282"/>
          <c:y val="0.0"/>
        </c:manualLayout>
      </c:layout>
      <c:overlay val="0"/>
    </c:title>
    <c:autoTitleDeleted val="0"/>
    <c:plotArea>
      <c:layout>
        <c:manualLayout>
          <c:layoutTarget val="inner"/>
          <c:xMode val="edge"/>
          <c:yMode val="edge"/>
          <c:x val="0.0905280839895013"/>
          <c:y val="0.118463623419622"/>
          <c:w val="0.881025255176436"/>
          <c:h val="0.796888820270015"/>
        </c:manualLayout>
      </c:layout>
      <c:lineChart>
        <c:grouping val="standard"/>
        <c:varyColors val="0"/>
        <c:ser>
          <c:idx val="0"/>
          <c:order val="0"/>
          <c:spPr>
            <a:ln w="38100">
              <a:solidFill>
                <a:schemeClr val="accent2">
                  <a:lumMod val="75000"/>
                </a:schemeClr>
              </a:solidFill>
            </a:ln>
          </c:spPr>
          <c:marker>
            <c:symbol val="none"/>
          </c:marker>
          <c:cat>
            <c:numRef>
              <c:f>' T.A8'!$A$9:$A$59</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 T.A8'!$C$9:$C$59</c:f>
              <c:numCache>
                <c:formatCode>0.0%</c:formatCode>
                <c:ptCount val="51"/>
                <c:pt idx="0">
                  <c:v>0.100432337414969</c:v>
                </c:pt>
                <c:pt idx="1">
                  <c:v>0.105909691053761</c:v>
                </c:pt>
                <c:pt idx="2">
                  <c:v>0.112127019217538</c:v>
                </c:pt>
                <c:pt idx="3">
                  <c:v>0.1049166206621</c:v>
                </c:pt>
                <c:pt idx="4">
                  <c:v>0.110126949654173</c:v>
                </c:pt>
                <c:pt idx="5">
                  <c:v>0.109239028241942</c:v>
                </c:pt>
                <c:pt idx="6">
                  <c:v>0.10249699786367</c:v>
                </c:pt>
                <c:pt idx="7">
                  <c:v>0.231333841784931</c:v>
                </c:pt>
                <c:pt idx="8">
                  <c:v>0.373678828577783</c:v>
                </c:pt>
                <c:pt idx="9">
                  <c:v>0.176465677370573</c:v>
                </c:pt>
                <c:pt idx="10">
                  <c:v>0.12224006588846</c:v>
                </c:pt>
                <c:pt idx="11">
                  <c:v>0.125778057523515</c:v>
                </c:pt>
                <c:pt idx="12">
                  <c:v>0.127058132338227</c:v>
                </c:pt>
                <c:pt idx="13">
                  <c:v>0.217579595475959</c:v>
                </c:pt>
                <c:pt idx="14">
                  <c:v>0.159477625606691</c:v>
                </c:pt>
                <c:pt idx="15">
                  <c:v>0.136768160138966</c:v>
                </c:pt>
                <c:pt idx="16">
                  <c:v>0.089874433831099</c:v>
                </c:pt>
                <c:pt idx="17">
                  <c:v>0.0996963487309567</c:v>
                </c:pt>
                <c:pt idx="18">
                  <c:v>0.101151344338472</c:v>
                </c:pt>
                <c:pt idx="19">
                  <c:v>0.0903270880932491</c:v>
                </c:pt>
                <c:pt idx="20">
                  <c:v>0.0626388997619733</c:v>
                </c:pt>
                <c:pt idx="21">
                  <c:v>0.0578228624926218</c:v>
                </c:pt>
                <c:pt idx="22">
                  <c:v>0.0572869769357223</c:v>
                </c:pt>
                <c:pt idx="23">
                  <c:v>0.0715251205945813</c:v>
                </c:pt>
                <c:pt idx="24">
                  <c:v>0.11864012551777</c:v>
                </c:pt>
                <c:pt idx="25">
                  <c:v>0.105524484170609</c:v>
                </c:pt>
                <c:pt idx="26">
                  <c:v>0.0791098089983368</c:v>
                </c:pt>
                <c:pt idx="27">
                  <c:v>0.116064312598077</c:v>
                </c:pt>
                <c:pt idx="28">
                  <c:v>0.11371334353504</c:v>
                </c:pt>
                <c:pt idx="29">
                  <c:v>0.116479541547024</c:v>
                </c:pt>
                <c:pt idx="30">
                  <c:v>0.147714015843477</c:v>
                </c:pt>
                <c:pt idx="31">
                  <c:v>0.154140787037979</c:v>
                </c:pt>
                <c:pt idx="32">
                  <c:v>0.0782059255075988</c:v>
                </c:pt>
                <c:pt idx="33">
                  <c:v>0.140672179322809</c:v>
                </c:pt>
                <c:pt idx="34">
                  <c:v>0.271098265662989</c:v>
                </c:pt>
                <c:pt idx="35">
                  <c:v>0.190345386041098</c:v>
                </c:pt>
                <c:pt idx="36">
                  <c:v>0.145498917785859</c:v>
                </c:pt>
                <c:pt idx="37">
                  <c:v>0.186682034947838</c:v>
                </c:pt>
                <c:pt idx="38">
                  <c:v>0.223444421895205</c:v>
                </c:pt>
                <c:pt idx="39">
                  <c:v>0.255875465151798</c:v>
                </c:pt>
                <c:pt idx="40">
                  <c:v>0.271288922890218</c:v>
                </c:pt>
                <c:pt idx="41">
                  <c:v>0.236584287092123</c:v>
                </c:pt>
                <c:pt idx="42">
                  <c:v>0.292544092501678</c:v>
                </c:pt>
                <c:pt idx="43">
                  <c:v>0.205363171082593</c:v>
                </c:pt>
                <c:pt idx="44">
                  <c:v>0.265739876247297</c:v>
                </c:pt>
                <c:pt idx="45">
                  <c:v>0.270210677593224</c:v>
                </c:pt>
                <c:pt idx="46">
                  <c:v>0.196888006975354</c:v>
                </c:pt>
                <c:pt idx="47">
                  <c:v>0.163538394906275</c:v>
                </c:pt>
                <c:pt idx="48">
                  <c:v>0.129293051185151</c:v>
                </c:pt>
                <c:pt idx="49">
                  <c:v>0.0</c:v>
                </c:pt>
              </c:numCache>
            </c:numRef>
          </c:val>
          <c:smooth val="0"/>
        </c:ser>
        <c:dLbls>
          <c:showLegendKey val="0"/>
          <c:showVal val="0"/>
          <c:showCatName val="0"/>
          <c:showSerName val="0"/>
          <c:showPercent val="0"/>
          <c:showBubbleSize val="0"/>
        </c:dLbls>
        <c:marker val="1"/>
        <c:smooth val="0"/>
        <c:axId val="-2100006392"/>
        <c:axId val="-2100003128"/>
      </c:lineChart>
      <c:lineChart>
        <c:grouping val="standard"/>
        <c:varyColors val="0"/>
        <c:ser>
          <c:idx val="1"/>
          <c:order val="1"/>
          <c:spPr>
            <a:ln w="38100">
              <a:solidFill>
                <a:schemeClr val="tx2">
                  <a:lumMod val="75000"/>
                </a:schemeClr>
              </a:solidFill>
            </a:ln>
          </c:spPr>
          <c:marker>
            <c:symbol val="none"/>
          </c:marker>
          <c:val>
            <c:numRef>
              <c:f>' T.A8'!$D$9:$D$59</c:f>
              <c:numCache>
                <c:formatCode>0.0%</c:formatCode>
                <c:ptCount val="51"/>
                <c:pt idx="0">
                  <c:v>0.0933500664014743</c:v>
                </c:pt>
                <c:pt idx="1">
                  <c:v>0.084900948538745</c:v>
                </c:pt>
                <c:pt idx="2">
                  <c:v>0.0883268219396423</c:v>
                </c:pt>
                <c:pt idx="3">
                  <c:v>0.094053388113582</c:v>
                </c:pt>
                <c:pt idx="4">
                  <c:v>0.0848156384060508</c:v>
                </c:pt>
                <c:pt idx="5">
                  <c:v>0.0874053073304872</c:v>
                </c:pt>
                <c:pt idx="6">
                  <c:v>0.0889396060616703</c:v>
                </c:pt>
                <c:pt idx="7">
                  <c:v>0.110883481015142</c:v>
                </c:pt>
                <c:pt idx="8">
                  <c:v>0.0991071469592276</c:v>
                </c:pt>
                <c:pt idx="9">
                  <c:v>0.102683391041112</c:v>
                </c:pt>
                <c:pt idx="10">
                  <c:v>0.0837226959006408</c:v>
                </c:pt>
                <c:pt idx="11">
                  <c:v>0.0690922373977302</c:v>
                </c:pt>
                <c:pt idx="12">
                  <c:v>0.0810710936233903</c:v>
                </c:pt>
                <c:pt idx="13">
                  <c:v>0.0878988295296758</c:v>
                </c:pt>
                <c:pt idx="14">
                  <c:v>0.0780322473157936</c:v>
                </c:pt>
                <c:pt idx="15">
                  <c:v>0.0618956246814863</c:v>
                </c:pt>
                <c:pt idx="16">
                  <c:v>0.0573755072698213</c:v>
                </c:pt>
                <c:pt idx="17">
                  <c:v>0.0679912188266767</c:v>
                </c:pt>
                <c:pt idx="18">
                  <c:v>0.0807384090713209</c:v>
                </c:pt>
                <c:pt idx="19">
                  <c:v>0.073070085925861</c:v>
                </c:pt>
                <c:pt idx="20">
                  <c:v>0.0806970564496197</c:v>
                </c:pt>
                <c:pt idx="21">
                  <c:v>0.0896094841088192</c:v>
                </c:pt>
                <c:pt idx="22">
                  <c:v>0.111474799633391</c:v>
                </c:pt>
                <c:pt idx="23">
                  <c:v>0.103598166388249</c:v>
                </c:pt>
                <c:pt idx="24">
                  <c:v>0.0892625432561641</c:v>
                </c:pt>
                <c:pt idx="25">
                  <c:v>0.0757536443239917</c:v>
                </c:pt>
                <c:pt idx="26">
                  <c:v>0.0771140902390566</c:v>
                </c:pt>
                <c:pt idx="27">
                  <c:v>0.0823506090088287</c:v>
                </c:pt>
                <c:pt idx="28">
                  <c:v>0.0891246895644656</c:v>
                </c:pt>
                <c:pt idx="29">
                  <c:v>0.101013105861251</c:v>
                </c:pt>
                <c:pt idx="30">
                  <c:v>0.09388220242293</c:v>
                </c:pt>
                <c:pt idx="31">
                  <c:v>0.0978213855721017</c:v>
                </c:pt>
                <c:pt idx="32">
                  <c:v>0.0801100479453923</c:v>
                </c:pt>
                <c:pt idx="33">
                  <c:v>0.0825641390882589</c:v>
                </c:pt>
                <c:pt idx="34">
                  <c:v>0.0781250732327046</c:v>
                </c:pt>
                <c:pt idx="35">
                  <c:v>0.0558011575177576</c:v>
                </c:pt>
                <c:pt idx="36">
                  <c:v>0.061935283009388</c:v>
                </c:pt>
                <c:pt idx="37">
                  <c:v>0.0735237231802302</c:v>
                </c:pt>
                <c:pt idx="38">
                  <c:v>0.0789652244487657</c:v>
                </c:pt>
                <c:pt idx="39">
                  <c:v>0.0854159729219581</c:v>
                </c:pt>
                <c:pt idx="40">
                  <c:v>0.0844948203349129</c:v>
                </c:pt>
                <c:pt idx="41">
                  <c:v>0.0835647128869168</c:v>
                </c:pt>
                <c:pt idx="42">
                  <c:v>0.0836340152700994</c:v>
                </c:pt>
                <c:pt idx="43">
                  <c:v>0.0756346286232883</c:v>
                </c:pt>
                <c:pt idx="44">
                  <c:v>0.0860236814643732</c:v>
                </c:pt>
                <c:pt idx="45">
                  <c:v>0.0847164321935356</c:v>
                </c:pt>
                <c:pt idx="46">
                  <c:v>0.0791792676296547</c:v>
                </c:pt>
                <c:pt idx="47">
                  <c:v>0.0787196068817178</c:v>
                </c:pt>
                <c:pt idx="48">
                  <c:v>0.0767697837583231</c:v>
                </c:pt>
                <c:pt idx="49">
                  <c:v>0.0</c:v>
                </c:pt>
                <c:pt idx="50">
                  <c:v>0.0663552620039281</c:v>
                </c:pt>
              </c:numCache>
            </c:numRef>
          </c:val>
          <c:smooth val="0"/>
        </c:ser>
        <c:dLbls>
          <c:showLegendKey val="0"/>
          <c:showVal val="0"/>
          <c:showCatName val="0"/>
          <c:showSerName val="0"/>
          <c:showPercent val="0"/>
          <c:showBubbleSize val="0"/>
        </c:dLbls>
        <c:marker val="1"/>
        <c:smooth val="0"/>
        <c:axId val="-2100010344"/>
        <c:axId val="-2100013608"/>
      </c:lineChart>
      <c:catAx>
        <c:axId val="-2100006392"/>
        <c:scaling>
          <c:orientation val="minMax"/>
        </c:scaling>
        <c:delete val="0"/>
        <c:axPos val="b"/>
        <c:numFmt formatCode="General" sourceLinked="1"/>
        <c:majorTickMark val="none"/>
        <c:minorTickMark val="none"/>
        <c:tickLblPos val="low"/>
        <c:spPr>
          <a:ln w="3175">
            <a:solidFill>
              <a:schemeClr val="tx1"/>
            </a:solidFill>
          </a:ln>
        </c:spPr>
        <c:txPr>
          <a:bodyPr rot="0" vert="horz"/>
          <a:lstStyle/>
          <a:p>
            <a:pPr>
              <a:defRPr sz="1600"/>
            </a:pPr>
            <a:endParaRPr lang="fr-FR"/>
          </a:p>
        </c:txPr>
        <c:crossAx val="-2100003128"/>
        <c:crosses val="autoZero"/>
        <c:auto val="1"/>
        <c:lblAlgn val="ctr"/>
        <c:lblOffset val="100"/>
        <c:tickLblSkip val="4"/>
        <c:tickMarkSkip val="4"/>
        <c:noMultiLvlLbl val="0"/>
      </c:catAx>
      <c:valAx>
        <c:axId val="-2100003128"/>
        <c:scaling>
          <c:orientation val="minMax"/>
          <c:max val="0.4"/>
        </c:scaling>
        <c:delete val="0"/>
        <c:axPos val="l"/>
        <c:numFmt formatCode="0%" sourceLinked="0"/>
        <c:majorTickMark val="none"/>
        <c:minorTickMark val="none"/>
        <c:tickLblPos val="nextTo"/>
        <c:txPr>
          <a:bodyPr/>
          <a:lstStyle/>
          <a:p>
            <a:pPr>
              <a:defRPr sz="1600"/>
            </a:pPr>
            <a:endParaRPr lang="fr-FR"/>
          </a:p>
        </c:txPr>
        <c:crossAx val="-2100006392"/>
        <c:crosses val="autoZero"/>
        <c:crossBetween val="between"/>
      </c:valAx>
      <c:valAx>
        <c:axId val="-2100013608"/>
        <c:scaling>
          <c:orientation val="minMax"/>
          <c:max val="0.02"/>
          <c:min val="-0.06"/>
        </c:scaling>
        <c:delete val="1"/>
        <c:axPos val="r"/>
        <c:numFmt formatCode="0%" sourceLinked="0"/>
        <c:majorTickMark val="none"/>
        <c:minorTickMark val="none"/>
        <c:tickLblPos val="nextTo"/>
        <c:crossAx val="-2100010344"/>
        <c:crosses val="max"/>
        <c:crossBetween val="between"/>
      </c:valAx>
      <c:catAx>
        <c:axId val="-2100010344"/>
        <c:scaling>
          <c:orientation val="minMax"/>
        </c:scaling>
        <c:delete val="1"/>
        <c:axPos val="b"/>
        <c:numFmt formatCode="General" sourceLinked="1"/>
        <c:majorTickMark val="out"/>
        <c:minorTickMark val="none"/>
        <c:tickLblPos val="nextTo"/>
        <c:crossAx val="-2100013608"/>
        <c:crosses val="autoZero"/>
        <c:auto val="1"/>
        <c:lblAlgn val="ctr"/>
        <c:lblOffset val="100"/>
        <c:noMultiLvlLbl val="0"/>
      </c:catAx>
      <c:spPr>
        <a:ln>
          <a:solidFill>
            <a:schemeClr val="bg1">
              <a:lumMod val="85000"/>
            </a:schemeClr>
          </a:solidFill>
        </a:ln>
      </c:spPr>
    </c:plotArea>
    <c:plotVisOnly val="1"/>
    <c:dispBlanksAs val="span"/>
    <c:showDLblsOverMax val="0"/>
  </c:chart>
  <c:spPr>
    <a:ln>
      <a:noFill/>
    </a:ln>
  </c:spPr>
  <c:txPr>
    <a:bodyPr/>
    <a:lstStyle/>
    <a:p>
      <a:pPr>
        <a:defRPr>
          <a:latin typeface="Arial"/>
          <a:cs typeface="Arial"/>
        </a:defRPr>
      </a:pPr>
      <a:endParaRPr lang="fr-FR"/>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a:defRPr/>
            </a:pPr>
            <a:r>
              <a:rPr lang="en-US" sz="2000" b="1" i="0" baseline="0">
                <a:effectLst/>
              </a:rPr>
              <a:t>Figure A.11b: Pre-tax profits in the oil sector </a:t>
            </a:r>
          </a:p>
          <a:p>
            <a:pPr algn="ctr">
              <a:defRPr/>
            </a:pPr>
            <a:r>
              <a:rPr lang="en-US" sz="2000" b="0" i="0" baseline="0">
                <a:effectLst/>
              </a:rPr>
              <a:t>(% of compensation of employees paid)</a:t>
            </a:r>
            <a:endParaRPr lang="en-US" sz="2000">
              <a:effectLst/>
            </a:endParaRPr>
          </a:p>
        </c:rich>
      </c:tx>
      <c:layout>
        <c:manualLayout>
          <c:xMode val="edge"/>
          <c:yMode val="edge"/>
          <c:x val="0.224228638086906"/>
          <c:y val="0.0"/>
        </c:manualLayout>
      </c:layout>
      <c:overlay val="0"/>
    </c:title>
    <c:autoTitleDeleted val="0"/>
    <c:plotArea>
      <c:layout>
        <c:manualLayout>
          <c:layoutTarget val="inner"/>
          <c:xMode val="edge"/>
          <c:yMode val="edge"/>
          <c:x val="0.0839755030621172"/>
          <c:y val="0.138065805499803"/>
          <c:w val="0.879536307961505"/>
          <c:h val="0.757900090920008"/>
        </c:manualLayout>
      </c:layout>
      <c:lineChart>
        <c:grouping val="standard"/>
        <c:varyColors val="0"/>
        <c:ser>
          <c:idx val="3"/>
          <c:order val="0"/>
          <c:marker>
            <c:symbol val="none"/>
          </c:marker>
          <c:cat>
            <c:numRef>
              <c:f>T.A13!$A$41:$A$59</c:f>
              <c:numCache>
                <c:formatCode>General</c:formatCode>
                <c:ptCount val="19"/>
                <c:pt idx="0">
                  <c:v>1997.0</c:v>
                </c:pt>
                <c:pt idx="1">
                  <c:v>1998.0</c:v>
                </c:pt>
                <c:pt idx="2">
                  <c:v>1999.0</c:v>
                </c:pt>
                <c:pt idx="3">
                  <c:v>2000.0</c:v>
                </c:pt>
                <c:pt idx="4">
                  <c:v>2001.0</c:v>
                </c:pt>
                <c:pt idx="5">
                  <c:v>2002.0</c:v>
                </c:pt>
                <c:pt idx="6">
                  <c:v>2003.0</c:v>
                </c:pt>
                <c:pt idx="7">
                  <c:v>2004.0</c:v>
                </c:pt>
                <c:pt idx="8">
                  <c:v>2005.0</c:v>
                </c:pt>
                <c:pt idx="9">
                  <c:v>2006.0</c:v>
                </c:pt>
                <c:pt idx="10">
                  <c:v>2007.0</c:v>
                </c:pt>
                <c:pt idx="11">
                  <c:v>2008.0</c:v>
                </c:pt>
                <c:pt idx="12">
                  <c:v>2009.0</c:v>
                </c:pt>
                <c:pt idx="13">
                  <c:v>2010.0</c:v>
                </c:pt>
                <c:pt idx="14">
                  <c:v>2011.0</c:v>
                </c:pt>
                <c:pt idx="15">
                  <c:v>2012.0</c:v>
                </c:pt>
                <c:pt idx="16">
                  <c:v>2013.0</c:v>
                </c:pt>
                <c:pt idx="17">
                  <c:v>2014.0</c:v>
                </c:pt>
                <c:pt idx="18">
                  <c:v>2015.0</c:v>
                </c:pt>
              </c:numCache>
            </c:numRef>
          </c:cat>
          <c:val>
            <c:numRef>
              <c:f>T.A13!$M$41:$M$59</c:f>
              <c:numCache>
                <c:formatCode>0%</c:formatCode>
                <c:ptCount val="19"/>
                <c:pt idx="0">
                  <c:v>2.696162626372432</c:v>
                </c:pt>
                <c:pt idx="1">
                  <c:v>1.464553314121037</c:v>
                </c:pt>
                <c:pt idx="2">
                  <c:v>2.925</c:v>
                </c:pt>
                <c:pt idx="3">
                  <c:v>5.978975032851511</c:v>
                </c:pt>
                <c:pt idx="4">
                  <c:v>5.311382734912146</c:v>
                </c:pt>
                <c:pt idx="5">
                  <c:v>4.532389845345784</c:v>
                </c:pt>
                <c:pt idx="6">
                  <c:v>5.829155060352832</c:v>
                </c:pt>
                <c:pt idx="7">
                  <c:v>8.084715714828416</c:v>
                </c:pt>
                <c:pt idx="8">
                  <c:v>11.02043124565742</c:v>
                </c:pt>
                <c:pt idx="9">
                  <c:v>12.07152142252472</c:v>
                </c:pt>
                <c:pt idx="10">
                  <c:v>11.70466435430873</c:v>
                </c:pt>
                <c:pt idx="11">
                  <c:v>14.95136529453925</c:v>
                </c:pt>
                <c:pt idx="12">
                  <c:v>7.314410480349345</c:v>
                </c:pt>
                <c:pt idx="13">
                  <c:v>8.997797356828193</c:v>
                </c:pt>
                <c:pt idx="14">
                  <c:v>10.9887614853064</c:v>
                </c:pt>
                <c:pt idx="15">
                  <c:v>10.78407325647944</c:v>
                </c:pt>
                <c:pt idx="16">
                  <c:v>9.717089976764682</c:v>
                </c:pt>
                <c:pt idx="17">
                  <c:v>7.576054877562416</c:v>
                </c:pt>
                <c:pt idx="18">
                  <c:v>2.53701088311041</c:v>
                </c:pt>
              </c:numCache>
            </c:numRef>
          </c:val>
          <c:smooth val="0"/>
        </c:ser>
        <c:ser>
          <c:idx val="4"/>
          <c:order val="1"/>
          <c:marker>
            <c:symbol val="none"/>
          </c:marker>
          <c:cat>
            <c:numRef>
              <c:f>T.A13!$A$41:$A$59</c:f>
              <c:numCache>
                <c:formatCode>General</c:formatCode>
                <c:ptCount val="19"/>
                <c:pt idx="0">
                  <c:v>1997.0</c:v>
                </c:pt>
                <c:pt idx="1">
                  <c:v>1998.0</c:v>
                </c:pt>
                <c:pt idx="2">
                  <c:v>1999.0</c:v>
                </c:pt>
                <c:pt idx="3">
                  <c:v>2000.0</c:v>
                </c:pt>
                <c:pt idx="4">
                  <c:v>2001.0</c:v>
                </c:pt>
                <c:pt idx="5">
                  <c:v>2002.0</c:v>
                </c:pt>
                <c:pt idx="6">
                  <c:v>2003.0</c:v>
                </c:pt>
                <c:pt idx="7">
                  <c:v>2004.0</c:v>
                </c:pt>
                <c:pt idx="8">
                  <c:v>2005.0</c:v>
                </c:pt>
                <c:pt idx="9">
                  <c:v>2006.0</c:v>
                </c:pt>
                <c:pt idx="10">
                  <c:v>2007.0</c:v>
                </c:pt>
                <c:pt idx="11">
                  <c:v>2008.0</c:v>
                </c:pt>
                <c:pt idx="12">
                  <c:v>2009.0</c:v>
                </c:pt>
                <c:pt idx="13">
                  <c:v>2010.0</c:v>
                </c:pt>
                <c:pt idx="14">
                  <c:v>2011.0</c:v>
                </c:pt>
                <c:pt idx="15">
                  <c:v>2012.0</c:v>
                </c:pt>
                <c:pt idx="16">
                  <c:v>2013.0</c:v>
                </c:pt>
                <c:pt idx="17">
                  <c:v>2014.0</c:v>
                </c:pt>
                <c:pt idx="18">
                  <c:v>2015.0</c:v>
                </c:pt>
              </c:numCache>
            </c:numRef>
          </c:cat>
          <c:val>
            <c:numRef>
              <c:f>T.A13!$O$41:$O$59</c:f>
              <c:numCache>
                <c:formatCode>0%</c:formatCode>
                <c:ptCount val="19"/>
                <c:pt idx="0">
                  <c:v>0.841087297438578</c:v>
                </c:pt>
                <c:pt idx="1">
                  <c:v>0.149399070093868</c:v>
                </c:pt>
                <c:pt idx="2">
                  <c:v>0.458209953195148</c:v>
                </c:pt>
                <c:pt idx="3">
                  <c:v>1.392392659896668</c:v>
                </c:pt>
                <c:pt idx="4">
                  <c:v>0.915697464422452</c:v>
                </c:pt>
                <c:pt idx="5">
                  <c:v>0.602711011738401</c:v>
                </c:pt>
                <c:pt idx="6">
                  <c:v>0.602711011738401</c:v>
                </c:pt>
                <c:pt idx="7">
                  <c:v>0.946642452544645</c:v>
                </c:pt>
                <c:pt idx="8">
                  <c:v>1.244533204228193</c:v>
                </c:pt>
                <c:pt idx="9">
                  <c:v>1.50504821327283</c:v>
                </c:pt>
                <c:pt idx="10">
                  <c:v>1.278820684095359</c:v>
                </c:pt>
                <c:pt idx="11">
                  <c:v>1.17948717948718</c:v>
                </c:pt>
                <c:pt idx="12">
                  <c:v>0.270737913486005</c:v>
                </c:pt>
                <c:pt idx="13">
                  <c:v>0.909184828061199</c:v>
                </c:pt>
                <c:pt idx="14">
                  <c:v>25.99811139090505</c:v>
                </c:pt>
                <c:pt idx="15">
                  <c:v>28.74894105822385</c:v>
                </c:pt>
                <c:pt idx="16">
                  <c:v>0.434389297102454</c:v>
                </c:pt>
                <c:pt idx="17">
                  <c:v>2.195253580571507</c:v>
                </c:pt>
                <c:pt idx="18">
                  <c:v>0.183552808384843</c:v>
                </c:pt>
              </c:numCache>
            </c:numRef>
          </c:val>
          <c:smooth val="0"/>
        </c:ser>
        <c:dLbls>
          <c:showLegendKey val="0"/>
          <c:showVal val="0"/>
          <c:showCatName val="0"/>
          <c:showSerName val="0"/>
          <c:showPercent val="0"/>
          <c:showBubbleSize val="0"/>
        </c:dLbls>
        <c:marker val="1"/>
        <c:smooth val="0"/>
        <c:axId val="-2100084360"/>
        <c:axId val="-2100081096"/>
      </c:lineChart>
      <c:catAx>
        <c:axId val="-2100084360"/>
        <c:scaling>
          <c:orientation val="minMax"/>
        </c:scaling>
        <c:delete val="0"/>
        <c:axPos val="b"/>
        <c:numFmt formatCode="General" sourceLinked="1"/>
        <c:majorTickMark val="out"/>
        <c:minorTickMark val="none"/>
        <c:tickLblPos val="low"/>
        <c:spPr>
          <a:ln w="3175">
            <a:solidFill>
              <a:schemeClr val="tx1"/>
            </a:solidFill>
          </a:ln>
        </c:spPr>
        <c:txPr>
          <a:bodyPr rot="-5400000" vert="horz"/>
          <a:lstStyle/>
          <a:p>
            <a:pPr>
              <a:defRPr sz="1600"/>
            </a:pPr>
            <a:endParaRPr lang="fr-FR"/>
          </a:p>
        </c:txPr>
        <c:crossAx val="-2100081096"/>
        <c:crosses val="autoZero"/>
        <c:auto val="1"/>
        <c:lblAlgn val="ctr"/>
        <c:lblOffset val="100"/>
        <c:tickLblSkip val="1"/>
        <c:tickMarkSkip val="1"/>
        <c:noMultiLvlLbl val="0"/>
      </c:catAx>
      <c:valAx>
        <c:axId val="-2100081096"/>
        <c:scaling>
          <c:orientation val="minMax"/>
          <c:max val="15.0"/>
          <c:min val="0.0"/>
        </c:scaling>
        <c:delete val="0"/>
        <c:axPos val="l"/>
        <c:numFmt formatCode="0%" sourceLinked="0"/>
        <c:majorTickMark val="out"/>
        <c:minorTickMark val="none"/>
        <c:tickLblPos val="nextTo"/>
        <c:txPr>
          <a:bodyPr/>
          <a:lstStyle/>
          <a:p>
            <a:pPr>
              <a:defRPr sz="1600"/>
            </a:pPr>
            <a:endParaRPr lang="fr-FR"/>
          </a:p>
        </c:txPr>
        <c:crossAx val="-2100084360"/>
        <c:crosses val="autoZero"/>
        <c:crossBetween val="between"/>
        <c:majorUnit val="2.0"/>
      </c:valAx>
      <c:spPr>
        <a:ln>
          <a:solidFill>
            <a:schemeClr val="bg1">
              <a:lumMod val="85000"/>
            </a:schemeClr>
          </a:solidFill>
        </a:ln>
      </c:spPr>
    </c:plotArea>
    <c:plotVisOnly val="1"/>
    <c:dispBlanksAs val="gap"/>
    <c:showDLblsOverMax val="0"/>
  </c:chart>
  <c:spPr>
    <a:ln>
      <a:noFill/>
    </a:ln>
  </c:spPr>
  <c:txPr>
    <a:bodyPr/>
    <a:lstStyle/>
    <a:p>
      <a:pPr>
        <a:defRPr>
          <a:latin typeface="Arial"/>
          <a:cs typeface="Arial"/>
        </a:defRPr>
      </a:pPr>
      <a:endParaRPr lang="fr-FR"/>
    </a:p>
  </c:txPr>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a:defRPr/>
            </a:pPr>
            <a:r>
              <a:rPr lang="en-US" sz="2000" b="1" i="0" baseline="0">
                <a:effectLst/>
              </a:rPr>
              <a:t>Figure A.12: Pre-tax profits of foreign affiliates of US multinationals </a:t>
            </a:r>
            <a:r>
              <a:rPr lang="en-US" sz="2000" b="0" i="0" baseline="0">
                <a:effectLst/>
              </a:rPr>
              <a:t>(% of compensation of employees paid)</a:t>
            </a:r>
            <a:endParaRPr lang="en-US" sz="2000">
              <a:effectLst/>
            </a:endParaRPr>
          </a:p>
        </c:rich>
      </c:tx>
      <c:layout>
        <c:manualLayout>
          <c:xMode val="edge"/>
          <c:yMode val="edge"/>
          <c:x val="0.159043452901721"/>
          <c:y val="0.0"/>
        </c:manualLayout>
      </c:layout>
      <c:overlay val="0"/>
    </c:title>
    <c:autoTitleDeleted val="0"/>
    <c:plotArea>
      <c:layout>
        <c:manualLayout>
          <c:layoutTarget val="inner"/>
          <c:xMode val="edge"/>
          <c:yMode val="edge"/>
          <c:x val="0.0839755030621172"/>
          <c:y val="0.138071466556876"/>
          <c:w val="0.85582058909303"/>
          <c:h val="0.77728097713276"/>
        </c:manualLayout>
      </c:layout>
      <c:lineChart>
        <c:grouping val="standard"/>
        <c:varyColors val="0"/>
        <c:ser>
          <c:idx val="0"/>
          <c:order val="0"/>
          <c:spPr>
            <a:ln w="38100">
              <a:solidFill>
                <a:schemeClr val="accent2">
                  <a:lumMod val="60000"/>
                  <a:lumOff val="40000"/>
                </a:schemeClr>
              </a:solidFill>
            </a:ln>
          </c:spPr>
          <c:marker>
            <c:symbol val="none"/>
          </c:marker>
          <c:cat>
            <c:numRef>
              <c:f>DataFA12!$A$4:$A$54</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DataFA12!$C$3:$C$54</c:f>
              <c:numCache>
                <c:formatCode>0%</c:formatCode>
                <c:ptCount val="52"/>
                <c:pt idx="1">
                  <c:v>0.495081072086241</c:v>
                </c:pt>
                <c:pt idx="2">
                  <c:v>0.530858760214832</c:v>
                </c:pt>
                <c:pt idx="3">
                  <c:v>0.525888290400909</c:v>
                </c:pt>
                <c:pt idx="4">
                  <c:v>0.553323269590012</c:v>
                </c:pt>
                <c:pt idx="5">
                  <c:v>0.701717159955083</c:v>
                </c:pt>
                <c:pt idx="6">
                  <c:v>0.828849210409123</c:v>
                </c:pt>
                <c:pt idx="7">
                  <c:v>0.828544520316032</c:v>
                </c:pt>
                <c:pt idx="8">
                  <c:v>0.877446104213799</c:v>
                </c:pt>
                <c:pt idx="9">
                  <c:v>0.879108960902101</c:v>
                </c:pt>
                <c:pt idx="10">
                  <c:v>0.848875880239944</c:v>
                </c:pt>
                <c:pt idx="11">
                  <c:v>0.902695645313692</c:v>
                </c:pt>
                <c:pt idx="12">
                  <c:v>0.86798182350929</c:v>
                </c:pt>
                <c:pt idx="13">
                  <c:v>1.074361508937145</c:v>
                </c:pt>
                <c:pt idx="14">
                  <c:v>1.381554877959193</c:v>
                </c:pt>
                <c:pt idx="15">
                  <c:v>1.490310384013395</c:v>
                </c:pt>
                <c:pt idx="16">
                  <c:v>1.27778984769542</c:v>
                </c:pt>
                <c:pt idx="17">
                  <c:v>1.334708680189494</c:v>
                </c:pt>
                <c:pt idx="18">
                  <c:v>1.421432767102015</c:v>
                </c:pt>
                <c:pt idx="19">
                  <c:v>1.551394354663544</c:v>
                </c:pt>
                <c:pt idx="20">
                  <c:v>1.678238991227445</c:v>
                </c:pt>
                <c:pt idx="21">
                  <c:v>1.372038065912929</c:v>
                </c:pt>
                <c:pt idx="22">
                  <c:v>1.681453993678892</c:v>
                </c:pt>
                <c:pt idx="23">
                  <c:v>1.425073880171702</c:v>
                </c:pt>
                <c:pt idx="24">
                  <c:v>1.584155194752868</c:v>
                </c:pt>
                <c:pt idx="25">
                  <c:v>1.549846169636861</c:v>
                </c:pt>
                <c:pt idx="26">
                  <c:v>1.29708616778208</c:v>
                </c:pt>
                <c:pt idx="27">
                  <c:v>1.116893961874085</c:v>
                </c:pt>
                <c:pt idx="28">
                  <c:v>1.104922858194326</c:v>
                </c:pt>
                <c:pt idx="29">
                  <c:v>1.092497290835724</c:v>
                </c:pt>
                <c:pt idx="30">
                  <c:v>1.460399477867374</c:v>
                </c:pt>
                <c:pt idx="31">
                  <c:v>1.45015016029363</c:v>
                </c:pt>
                <c:pt idx="32">
                  <c:v>1.83661436640687</c:v>
                </c:pt>
                <c:pt idx="33">
                  <c:v>1.854730943315459</c:v>
                </c:pt>
                <c:pt idx="34">
                  <c:v>1.694293169745939</c:v>
                </c:pt>
                <c:pt idx="35">
                  <c:v>2.001730597961344</c:v>
                </c:pt>
                <c:pt idx="36">
                  <c:v>1.817009836656776</c:v>
                </c:pt>
                <c:pt idx="37">
                  <c:v>1.926045446185717</c:v>
                </c:pt>
                <c:pt idx="38">
                  <c:v>2.264764860414849</c:v>
                </c:pt>
                <c:pt idx="39">
                  <c:v>2.603370127204285</c:v>
                </c:pt>
                <c:pt idx="40">
                  <c:v>2.551174231426764</c:v>
                </c:pt>
                <c:pt idx="41">
                  <c:v>2.775752976511287</c:v>
                </c:pt>
                <c:pt idx="42">
                  <c:v>2.952541488270101</c:v>
                </c:pt>
                <c:pt idx="43">
                  <c:v>2.475317708601427</c:v>
                </c:pt>
                <c:pt idx="44">
                  <c:v>2.731557318175955</c:v>
                </c:pt>
                <c:pt idx="45">
                  <c:v>2.684956521417541</c:v>
                </c:pt>
                <c:pt idx="46">
                  <c:v>3.112007671393882</c:v>
                </c:pt>
                <c:pt idx="47">
                  <c:v>3.16923485220422</c:v>
                </c:pt>
                <c:pt idx="48">
                  <c:v>2.816314373942114</c:v>
                </c:pt>
                <c:pt idx="49">
                  <c:v>3.015125544246132</c:v>
                </c:pt>
                <c:pt idx="50">
                  <c:v>3.47152420942343</c:v>
                </c:pt>
              </c:numCache>
            </c:numRef>
          </c:val>
          <c:smooth val="0"/>
        </c:ser>
        <c:dLbls>
          <c:showLegendKey val="0"/>
          <c:showVal val="0"/>
          <c:showCatName val="0"/>
          <c:showSerName val="0"/>
          <c:showPercent val="0"/>
          <c:showBubbleSize val="0"/>
        </c:dLbls>
        <c:marker val="1"/>
        <c:smooth val="0"/>
        <c:axId val="-2100150888"/>
        <c:axId val="-2100147624"/>
      </c:lineChart>
      <c:lineChart>
        <c:grouping val="standard"/>
        <c:varyColors val="0"/>
        <c:ser>
          <c:idx val="1"/>
          <c:order val="1"/>
          <c:spPr>
            <a:ln w="38100">
              <a:solidFill>
                <a:schemeClr val="tx2">
                  <a:lumMod val="60000"/>
                  <a:lumOff val="40000"/>
                </a:schemeClr>
              </a:solidFill>
            </a:ln>
          </c:spPr>
          <c:marker>
            <c:symbol val="none"/>
          </c:marker>
          <c:val>
            <c:numRef>
              <c:f>DataFA12!$B$3:$B$54</c:f>
              <c:numCache>
                <c:formatCode>0%</c:formatCode>
                <c:ptCount val="52"/>
                <c:pt idx="1">
                  <c:v>2.14765694076039</c:v>
                </c:pt>
                <c:pt idx="2">
                  <c:v>2.510845648244128</c:v>
                </c:pt>
                <c:pt idx="3">
                  <c:v>2.817103216845776</c:v>
                </c:pt>
                <c:pt idx="4">
                  <c:v>2.982418498269581</c:v>
                </c:pt>
                <c:pt idx="5">
                  <c:v>3.279555308185595</c:v>
                </c:pt>
                <c:pt idx="6">
                  <c:v>4.123996746316621</c:v>
                </c:pt>
                <c:pt idx="7">
                  <c:v>4.61550603754412</c:v>
                </c:pt>
                <c:pt idx="8">
                  <c:v>7.336403056430617</c:v>
                </c:pt>
                <c:pt idx="9">
                  <c:v>14.90649973237826</c:v>
                </c:pt>
                <c:pt idx="10">
                  <c:v>12.03507846992634</c:v>
                </c:pt>
                <c:pt idx="11">
                  <c:v>13.31790095869359</c:v>
                </c:pt>
                <c:pt idx="12">
                  <c:v>9.46636587366694</c:v>
                </c:pt>
                <c:pt idx="13">
                  <c:v>7.959844357640125</c:v>
                </c:pt>
                <c:pt idx="14">
                  <c:v>9.613082586838425</c:v>
                </c:pt>
                <c:pt idx="15">
                  <c:v>4.133540375480293</c:v>
                </c:pt>
                <c:pt idx="16">
                  <c:v>3.244628117067445</c:v>
                </c:pt>
                <c:pt idx="17">
                  <c:v>2.652863777089783</c:v>
                </c:pt>
                <c:pt idx="18">
                  <c:v>2.946560196560196</c:v>
                </c:pt>
                <c:pt idx="19">
                  <c:v>3.376838435559429</c:v>
                </c:pt>
                <c:pt idx="20">
                  <c:v>3.39165687426557</c:v>
                </c:pt>
                <c:pt idx="21">
                  <c:v>1.793972215681657</c:v>
                </c:pt>
                <c:pt idx="22">
                  <c:v>1.787460148777896</c:v>
                </c:pt>
                <c:pt idx="23">
                  <c:v>1.426896629466802</c:v>
                </c:pt>
                <c:pt idx="24">
                  <c:v>1.446911717149941</c:v>
                </c:pt>
                <c:pt idx="25">
                  <c:v>2.172767574414186</c:v>
                </c:pt>
                <c:pt idx="26">
                  <c:v>1.830190989226249</c:v>
                </c:pt>
                <c:pt idx="27">
                  <c:v>1.649230045844598</c:v>
                </c:pt>
                <c:pt idx="28">
                  <c:v>2.034353059177532</c:v>
                </c:pt>
                <c:pt idx="29">
                  <c:v>1.747864290944594</c:v>
                </c:pt>
                <c:pt idx="30">
                  <c:v>2.0289872219593</c:v>
                </c:pt>
                <c:pt idx="31">
                  <c:v>2.773205200678349</c:v>
                </c:pt>
                <c:pt idx="32">
                  <c:v>2.696162626372432</c:v>
                </c:pt>
                <c:pt idx="33">
                  <c:v>1.464553314121037</c:v>
                </c:pt>
                <c:pt idx="34">
                  <c:v>2.925</c:v>
                </c:pt>
                <c:pt idx="35">
                  <c:v>5.978975032851511</c:v>
                </c:pt>
                <c:pt idx="36">
                  <c:v>5.311382734912146</c:v>
                </c:pt>
                <c:pt idx="37">
                  <c:v>4.532389845345784</c:v>
                </c:pt>
                <c:pt idx="38">
                  <c:v>5.829155060352832</c:v>
                </c:pt>
                <c:pt idx="39">
                  <c:v>8.084715714828416</c:v>
                </c:pt>
                <c:pt idx="40">
                  <c:v>11.02043124565742</c:v>
                </c:pt>
                <c:pt idx="41">
                  <c:v>12.07152142252472</c:v>
                </c:pt>
                <c:pt idx="42">
                  <c:v>11.70466435430873</c:v>
                </c:pt>
                <c:pt idx="43">
                  <c:v>14.95136529453925</c:v>
                </c:pt>
                <c:pt idx="44">
                  <c:v>7.314410480349345</c:v>
                </c:pt>
                <c:pt idx="45">
                  <c:v>8.997797356828193</c:v>
                </c:pt>
                <c:pt idx="46">
                  <c:v>10.9887614853064</c:v>
                </c:pt>
                <c:pt idx="47">
                  <c:v>10.78407325647944</c:v>
                </c:pt>
                <c:pt idx="48">
                  <c:v>9.717089976764682</c:v>
                </c:pt>
                <c:pt idx="49">
                  <c:v>7.576054877562416</c:v>
                </c:pt>
                <c:pt idx="50">
                  <c:v>2.53701088311041</c:v>
                </c:pt>
              </c:numCache>
            </c:numRef>
          </c:val>
          <c:smooth val="0"/>
        </c:ser>
        <c:ser>
          <c:idx val="2"/>
          <c:order val="2"/>
          <c:spPr>
            <a:ln w="31750">
              <a:solidFill>
                <a:schemeClr val="tx1"/>
              </a:solidFill>
            </a:ln>
          </c:spPr>
          <c:marker>
            <c:symbol val="none"/>
          </c:marker>
          <c:val>
            <c:numRef>
              <c:f>DataFA12!$D$3:$D$53</c:f>
              <c:numCache>
                <c:formatCode>0%</c:formatCode>
                <c:ptCount val="51"/>
                <c:pt idx="1">
                  <c:v>0.468846646552435</c:v>
                </c:pt>
                <c:pt idx="2">
                  <c:v>0.429038544517616</c:v>
                </c:pt>
                <c:pt idx="3">
                  <c:v>0.419010963259543</c:v>
                </c:pt>
                <c:pt idx="4">
                  <c:v>0.430244718961769</c:v>
                </c:pt>
                <c:pt idx="5">
                  <c:v>0.417452893777705</c:v>
                </c:pt>
                <c:pt idx="6">
                  <c:v>0.467499983232497</c:v>
                </c:pt>
                <c:pt idx="7">
                  <c:v>0.46918326154032</c:v>
                </c:pt>
                <c:pt idx="8">
                  <c:v>0.491808360536349</c:v>
                </c:pt>
                <c:pt idx="9">
                  <c:v>0.4228459478404</c:v>
                </c:pt>
                <c:pt idx="10">
                  <c:v>0.415538450150195</c:v>
                </c:pt>
                <c:pt idx="11">
                  <c:v>0.4398010002078</c:v>
                </c:pt>
                <c:pt idx="12">
                  <c:v>0.365338707783822</c:v>
                </c:pt>
                <c:pt idx="13">
                  <c:v>0.410207984870766</c:v>
                </c:pt>
                <c:pt idx="14">
                  <c:v>0.42937937813109</c:v>
                </c:pt>
                <c:pt idx="15">
                  <c:v>0.407332172636881</c:v>
                </c:pt>
                <c:pt idx="16">
                  <c:v>0.321256958883959</c:v>
                </c:pt>
                <c:pt idx="17">
                  <c:v>0.246140686733738</c:v>
                </c:pt>
                <c:pt idx="18">
                  <c:v>0.315304827997911</c:v>
                </c:pt>
                <c:pt idx="19">
                  <c:v>0.380316790508516</c:v>
                </c:pt>
                <c:pt idx="20">
                  <c:v>0.373549745412193</c:v>
                </c:pt>
                <c:pt idx="21">
                  <c:v>0.423041747710381</c:v>
                </c:pt>
                <c:pt idx="22">
                  <c:v>0.483184717630164</c:v>
                </c:pt>
                <c:pt idx="23">
                  <c:v>0.56009337207281</c:v>
                </c:pt>
                <c:pt idx="24">
                  <c:v>0.506276223929363</c:v>
                </c:pt>
                <c:pt idx="25">
                  <c:v>0.38347037676266</c:v>
                </c:pt>
                <c:pt idx="26">
                  <c:v>0.306895077997008</c:v>
                </c:pt>
                <c:pt idx="27">
                  <c:v>0.281038654628568</c:v>
                </c:pt>
                <c:pt idx="28">
                  <c:v>0.297175791717209</c:v>
                </c:pt>
                <c:pt idx="29">
                  <c:v>0.338700055924936</c:v>
                </c:pt>
                <c:pt idx="30">
                  <c:v>0.421604818340781</c:v>
                </c:pt>
                <c:pt idx="31">
                  <c:v>0.433698843874267</c:v>
                </c:pt>
                <c:pt idx="32">
                  <c:v>0.452283343465361</c:v>
                </c:pt>
                <c:pt idx="33">
                  <c:v>0.397563117674968</c:v>
                </c:pt>
                <c:pt idx="34">
                  <c:v>0.389526162727134</c:v>
                </c:pt>
                <c:pt idx="35">
                  <c:v>0.377502254663149</c:v>
                </c:pt>
                <c:pt idx="36">
                  <c:v>0.287284896847186</c:v>
                </c:pt>
                <c:pt idx="37">
                  <c:v>0.332054428208993</c:v>
                </c:pt>
                <c:pt idx="38">
                  <c:v>0.41727255796983</c:v>
                </c:pt>
                <c:pt idx="39">
                  <c:v>0.415884012307029</c:v>
                </c:pt>
                <c:pt idx="40">
                  <c:v>0.499138946324352</c:v>
                </c:pt>
                <c:pt idx="41">
                  <c:v>0.491610540583004</c:v>
                </c:pt>
                <c:pt idx="42">
                  <c:v>0.517543760028747</c:v>
                </c:pt>
                <c:pt idx="43">
                  <c:v>0.485542523107016</c:v>
                </c:pt>
                <c:pt idx="44">
                  <c:v>0.450991133992138</c:v>
                </c:pt>
                <c:pt idx="45">
                  <c:v>0.520974750708993</c:v>
                </c:pt>
                <c:pt idx="46">
                  <c:v>0.548289521367629</c:v>
                </c:pt>
                <c:pt idx="47">
                  <c:v>0.502141720471523</c:v>
                </c:pt>
                <c:pt idx="48">
                  <c:v>0.476681254265869</c:v>
                </c:pt>
                <c:pt idx="49">
                  <c:v>0.48686939173533</c:v>
                </c:pt>
                <c:pt idx="50">
                  <c:v>0.448186600452169</c:v>
                </c:pt>
              </c:numCache>
            </c:numRef>
          </c:val>
          <c:smooth val="0"/>
        </c:ser>
        <c:dLbls>
          <c:showLegendKey val="0"/>
          <c:showVal val="0"/>
          <c:showCatName val="0"/>
          <c:showSerName val="0"/>
          <c:showPercent val="0"/>
          <c:showBubbleSize val="0"/>
        </c:dLbls>
        <c:marker val="1"/>
        <c:smooth val="0"/>
        <c:axId val="-2100164184"/>
        <c:axId val="-2100167160"/>
      </c:lineChart>
      <c:catAx>
        <c:axId val="-2100150888"/>
        <c:scaling>
          <c:orientation val="minMax"/>
        </c:scaling>
        <c:delete val="0"/>
        <c:axPos val="b"/>
        <c:numFmt formatCode="General" sourceLinked="1"/>
        <c:majorTickMark val="out"/>
        <c:minorTickMark val="none"/>
        <c:tickLblPos val="low"/>
        <c:spPr>
          <a:ln w="3175">
            <a:solidFill>
              <a:schemeClr val="tx1"/>
            </a:solidFill>
          </a:ln>
        </c:spPr>
        <c:txPr>
          <a:bodyPr rot="0" vert="horz"/>
          <a:lstStyle/>
          <a:p>
            <a:pPr>
              <a:defRPr sz="1600"/>
            </a:pPr>
            <a:endParaRPr lang="fr-FR"/>
          </a:p>
        </c:txPr>
        <c:crossAx val="-2100147624"/>
        <c:crosses val="autoZero"/>
        <c:auto val="1"/>
        <c:lblAlgn val="ctr"/>
        <c:lblOffset val="100"/>
        <c:tickLblSkip val="5"/>
        <c:tickMarkSkip val="5"/>
        <c:noMultiLvlLbl val="0"/>
      </c:catAx>
      <c:valAx>
        <c:axId val="-2100147624"/>
        <c:scaling>
          <c:orientation val="minMax"/>
          <c:max val="15.0"/>
          <c:min val="0.0"/>
        </c:scaling>
        <c:delete val="0"/>
        <c:axPos val="l"/>
        <c:numFmt formatCode="0%" sourceLinked="0"/>
        <c:majorTickMark val="out"/>
        <c:minorTickMark val="none"/>
        <c:tickLblPos val="nextTo"/>
        <c:txPr>
          <a:bodyPr/>
          <a:lstStyle/>
          <a:p>
            <a:pPr>
              <a:defRPr sz="1600"/>
            </a:pPr>
            <a:endParaRPr lang="fr-FR"/>
          </a:p>
        </c:txPr>
        <c:crossAx val="-2100150888"/>
        <c:crosses val="autoZero"/>
        <c:crossBetween val="between"/>
        <c:majorUnit val="2.0"/>
      </c:valAx>
      <c:valAx>
        <c:axId val="-2100167160"/>
        <c:scaling>
          <c:orientation val="minMax"/>
          <c:max val="0.02"/>
          <c:min val="-0.06"/>
        </c:scaling>
        <c:delete val="1"/>
        <c:axPos val="r"/>
        <c:numFmt formatCode="0%" sourceLinked="0"/>
        <c:majorTickMark val="none"/>
        <c:minorTickMark val="none"/>
        <c:tickLblPos val="nextTo"/>
        <c:crossAx val="-2100164184"/>
        <c:crosses val="max"/>
        <c:crossBetween val="between"/>
      </c:valAx>
      <c:catAx>
        <c:axId val="-2100164184"/>
        <c:scaling>
          <c:orientation val="minMax"/>
        </c:scaling>
        <c:delete val="1"/>
        <c:axPos val="b"/>
        <c:numFmt formatCode="General" sourceLinked="1"/>
        <c:majorTickMark val="out"/>
        <c:minorTickMark val="none"/>
        <c:tickLblPos val="nextTo"/>
        <c:crossAx val="-2100167160"/>
        <c:crosses val="autoZero"/>
        <c:auto val="1"/>
        <c:lblAlgn val="ctr"/>
        <c:lblOffset val="100"/>
        <c:noMultiLvlLbl val="0"/>
      </c:catAx>
      <c:spPr>
        <a:ln>
          <a:solidFill>
            <a:schemeClr val="bg1">
              <a:lumMod val="85000"/>
            </a:schemeClr>
          </a:solidFill>
        </a:ln>
      </c:spPr>
    </c:plotArea>
    <c:plotVisOnly val="1"/>
    <c:dispBlanksAs val="gap"/>
    <c:showDLblsOverMax val="0"/>
  </c:chart>
  <c:spPr>
    <a:ln>
      <a:noFill/>
    </a:ln>
  </c:spPr>
  <c:txPr>
    <a:bodyPr/>
    <a:lstStyle/>
    <a:p>
      <a:pPr>
        <a:defRPr>
          <a:latin typeface="Arial"/>
          <a:cs typeface="Arial"/>
        </a:defRPr>
      </a:pPr>
      <a:endParaRPr lang="fr-FR"/>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a:defRPr/>
            </a:pPr>
            <a:r>
              <a:rPr lang="en-US" sz="2000" b="1" i="0" baseline="0">
                <a:effectLst/>
              </a:rPr>
              <a:t>Figure A.12b: Profits of foreign affiliates of US oil multinationals  </a:t>
            </a:r>
            <a:r>
              <a:rPr lang="en-US" sz="2000" b="0" i="0" baseline="0">
                <a:effectLst/>
              </a:rPr>
              <a:t>(% of compensation of employees paid)</a:t>
            </a:r>
            <a:endParaRPr lang="en-US" sz="2000">
              <a:effectLst/>
            </a:endParaRPr>
          </a:p>
        </c:rich>
      </c:tx>
      <c:layout>
        <c:manualLayout>
          <c:xMode val="edge"/>
          <c:yMode val="edge"/>
          <c:x val="0.166450860309128"/>
          <c:y val="0.0"/>
        </c:manualLayout>
      </c:layout>
      <c:overlay val="0"/>
    </c:title>
    <c:autoTitleDeleted val="0"/>
    <c:plotArea>
      <c:layout>
        <c:manualLayout>
          <c:layoutTarget val="inner"/>
          <c:xMode val="edge"/>
          <c:yMode val="edge"/>
          <c:x val="0.0839755030621172"/>
          <c:y val="0.138071466556876"/>
          <c:w val="0.85582058909303"/>
          <c:h val="0.77728097713276"/>
        </c:manualLayout>
      </c:layout>
      <c:lineChart>
        <c:grouping val="standard"/>
        <c:varyColors val="0"/>
        <c:ser>
          <c:idx val="0"/>
          <c:order val="0"/>
          <c:spPr>
            <a:ln w="38100">
              <a:solidFill>
                <a:schemeClr val="tx2">
                  <a:lumMod val="75000"/>
                </a:schemeClr>
              </a:solidFill>
            </a:ln>
          </c:spPr>
          <c:marker>
            <c:symbol val="none"/>
          </c:marker>
          <c:cat>
            <c:numRef>
              <c:f>T.A13!$A$10:$A$60</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'Assets(MOFA)'!$EL$11:$EL$61</c:f>
              <c:numCache>
                <c:formatCode>0%</c:formatCode>
                <c:ptCount val="51"/>
                <c:pt idx="0">
                  <c:v>0.764272325375774</c:v>
                </c:pt>
                <c:pt idx="1">
                  <c:v>0.90563451069343</c:v>
                </c:pt>
                <c:pt idx="2">
                  <c:v>1.031362129955005</c:v>
                </c:pt>
                <c:pt idx="3">
                  <c:v>1.011013755553134</c:v>
                </c:pt>
                <c:pt idx="4">
                  <c:v>1.246203131814764</c:v>
                </c:pt>
                <c:pt idx="5">
                  <c:v>1.419622099213007</c:v>
                </c:pt>
                <c:pt idx="6">
                  <c:v>1.409540794928122</c:v>
                </c:pt>
                <c:pt idx="7">
                  <c:v>2.59656204340292</c:v>
                </c:pt>
                <c:pt idx="8">
                  <c:v>2.998648285081564</c:v>
                </c:pt>
                <c:pt idx="9">
                  <c:v>1.488919093889134</c:v>
                </c:pt>
                <c:pt idx="10">
                  <c:v>1.326175235381524</c:v>
                </c:pt>
                <c:pt idx="11">
                  <c:v>1.14622641509434</c:v>
                </c:pt>
                <c:pt idx="12">
                  <c:v>1.149754688779966</c:v>
                </c:pt>
                <c:pt idx="13">
                  <c:v>2.007072138769499</c:v>
                </c:pt>
                <c:pt idx="14">
                  <c:v>1.492917893956809</c:v>
                </c:pt>
                <c:pt idx="15">
                  <c:v>1.188802839033406</c:v>
                </c:pt>
                <c:pt idx="16">
                  <c:v>0.78125</c:v>
                </c:pt>
                <c:pt idx="17">
                  <c:v>0.96509009009009</c:v>
                </c:pt>
                <c:pt idx="18">
                  <c:v>1.015579039111014</c:v>
                </c:pt>
                <c:pt idx="19">
                  <c:v>0.980611045828437</c:v>
                </c:pt>
                <c:pt idx="20">
                  <c:v>0.679773958088062</c:v>
                </c:pt>
                <c:pt idx="21">
                  <c:v>0.69429684732554</c:v>
                </c:pt>
                <c:pt idx="22">
                  <c:v>0.58685604779619</c:v>
                </c:pt>
                <c:pt idx="23">
                  <c:v>0.575078150264094</c:v>
                </c:pt>
                <c:pt idx="24">
                  <c:v>1.187967067764408</c:v>
                </c:pt>
                <c:pt idx="25">
                  <c:v>1.122673849167483</c:v>
                </c:pt>
                <c:pt idx="26">
                  <c:v>0.741154343481838</c:v>
                </c:pt>
                <c:pt idx="27">
                  <c:v>1.10092778335005</c:v>
                </c:pt>
                <c:pt idx="28">
                  <c:v>0.929216499877959</c:v>
                </c:pt>
                <c:pt idx="29">
                  <c:v>1.048627543776621</c:v>
                </c:pt>
                <c:pt idx="30">
                  <c:v>1.399208592425099</c:v>
                </c:pt>
                <c:pt idx="31">
                  <c:v>1.518317208392217</c:v>
                </c:pt>
                <c:pt idx="32">
                  <c:v>0.912046109510086</c:v>
                </c:pt>
                <c:pt idx="33">
                  <c:v>1.81859375</c:v>
                </c:pt>
                <c:pt idx="34">
                  <c:v>3.424003504161191</c:v>
                </c:pt>
                <c:pt idx="35">
                  <c:v>3.023834988540871</c:v>
                </c:pt>
                <c:pt idx="36">
                  <c:v>2.476218266705573</c:v>
                </c:pt>
                <c:pt idx="37">
                  <c:v>3.346730335588274</c:v>
                </c:pt>
                <c:pt idx="38">
                  <c:v>4.918450044320628</c:v>
                </c:pt>
                <c:pt idx="39">
                  <c:v>6.628652769883748</c:v>
                </c:pt>
                <c:pt idx="40">
                  <c:v>7.135705764631427</c:v>
                </c:pt>
                <c:pt idx="41">
                  <c:v>6.51137129036372</c:v>
                </c:pt>
                <c:pt idx="42">
                  <c:v>7.596474223181485</c:v>
                </c:pt>
                <c:pt idx="43">
                  <c:v>3.851057459100542</c:v>
                </c:pt>
                <c:pt idx="44">
                  <c:v>4.89282917278512</c:v>
                </c:pt>
                <c:pt idx="45">
                  <c:v>5.635583567469056</c:v>
                </c:pt>
                <c:pt idx="46">
                  <c:v>5.223121725883166</c:v>
                </c:pt>
                <c:pt idx="47">
                  <c:v>5.160237314458834</c:v>
                </c:pt>
                <c:pt idx="48">
                  <c:v>4.260907713169019</c:v>
                </c:pt>
                <c:pt idx="49">
                  <c:v>1.542909362798039</c:v>
                </c:pt>
                <c:pt idx="50">
                  <c:v>0.690886222910217</c:v>
                </c:pt>
              </c:numCache>
            </c:numRef>
          </c:val>
          <c:smooth val="0"/>
        </c:ser>
        <c:dLbls>
          <c:showLegendKey val="0"/>
          <c:showVal val="0"/>
          <c:showCatName val="0"/>
          <c:showSerName val="0"/>
          <c:showPercent val="0"/>
          <c:showBubbleSize val="0"/>
        </c:dLbls>
        <c:marker val="1"/>
        <c:smooth val="0"/>
        <c:axId val="-2100238216"/>
        <c:axId val="-2100234984"/>
      </c:lineChart>
      <c:lineChart>
        <c:grouping val="standard"/>
        <c:varyColors val="0"/>
        <c:ser>
          <c:idx val="1"/>
          <c:order val="1"/>
          <c:spPr>
            <a:ln w="38100">
              <a:solidFill>
                <a:schemeClr val="tx2">
                  <a:lumMod val="60000"/>
                  <a:lumOff val="40000"/>
                </a:schemeClr>
              </a:solidFill>
            </a:ln>
          </c:spPr>
          <c:marker>
            <c:symbol val="none"/>
          </c:marker>
          <c:cat>
            <c:numRef>
              <c:f>T.A13!$A$10:$A$60</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T.A13!$M$10:$M$60</c:f>
              <c:numCache>
                <c:formatCode>0%</c:formatCode>
                <c:ptCount val="51"/>
                <c:pt idx="0">
                  <c:v>2.14765694076039</c:v>
                </c:pt>
                <c:pt idx="1">
                  <c:v>2.510845648244128</c:v>
                </c:pt>
                <c:pt idx="2">
                  <c:v>2.817103216845776</c:v>
                </c:pt>
                <c:pt idx="3">
                  <c:v>2.982418498269581</c:v>
                </c:pt>
                <c:pt idx="4">
                  <c:v>3.279555308185595</c:v>
                </c:pt>
                <c:pt idx="5">
                  <c:v>4.123996746316621</c:v>
                </c:pt>
                <c:pt idx="6">
                  <c:v>4.61550603754412</c:v>
                </c:pt>
                <c:pt idx="7">
                  <c:v>7.336403056430617</c:v>
                </c:pt>
                <c:pt idx="8">
                  <c:v>14.90649973237826</c:v>
                </c:pt>
                <c:pt idx="9">
                  <c:v>12.03507846992634</c:v>
                </c:pt>
                <c:pt idx="10">
                  <c:v>13.31790095869359</c:v>
                </c:pt>
                <c:pt idx="11">
                  <c:v>9.46636587366694</c:v>
                </c:pt>
                <c:pt idx="12">
                  <c:v>7.959844357640125</c:v>
                </c:pt>
                <c:pt idx="13">
                  <c:v>9.613082586838425</c:v>
                </c:pt>
                <c:pt idx="14">
                  <c:v>4.133540375480293</c:v>
                </c:pt>
                <c:pt idx="15">
                  <c:v>3.244628117067445</c:v>
                </c:pt>
                <c:pt idx="16">
                  <c:v>2.652863777089783</c:v>
                </c:pt>
                <c:pt idx="17">
                  <c:v>2.946560196560196</c:v>
                </c:pt>
                <c:pt idx="18">
                  <c:v>3.376838435559429</c:v>
                </c:pt>
                <c:pt idx="19">
                  <c:v>3.39165687426557</c:v>
                </c:pt>
                <c:pt idx="20">
                  <c:v>1.793972215681657</c:v>
                </c:pt>
                <c:pt idx="21">
                  <c:v>1.787460148777896</c:v>
                </c:pt>
                <c:pt idx="22">
                  <c:v>1.426896629466802</c:v>
                </c:pt>
                <c:pt idx="23">
                  <c:v>1.446911717149941</c:v>
                </c:pt>
                <c:pt idx="24">
                  <c:v>2.172767574414186</c:v>
                </c:pt>
                <c:pt idx="25">
                  <c:v>1.830190989226249</c:v>
                </c:pt>
                <c:pt idx="26">
                  <c:v>1.649230045844598</c:v>
                </c:pt>
                <c:pt idx="27">
                  <c:v>2.034353059177532</c:v>
                </c:pt>
                <c:pt idx="28">
                  <c:v>1.747864290944594</c:v>
                </c:pt>
                <c:pt idx="29">
                  <c:v>2.0289872219593</c:v>
                </c:pt>
                <c:pt idx="30">
                  <c:v>2.773205200678349</c:v>
                </c:pt>
                <c:pt idx="31">
                  <c:v>2.696162626372432</c:v>
                </c:pt>
                <c:pt idx="32">
                  <c:v>1.464553314121037</c:v>
                </c:pt>
                <c:pt idx="33">
                  <c:v>2.925</c:v>
                </c:pt>
                <c:pt idx="34">
                  <c:v>5.978975032851511</c:v>
                </c:pt>
                <c:pt idx="35">
                  <c:v>5.311382734912146</c:v>
                </c:pt>
                <c:pt idx="36">
                  <c:v>4.532389845345784</c:v>
                </c:pt>
                <c:pt idx="37">
                  <c:v>5.829155060352832</c:v>
                </c:pt>
                <c:pt idx="38">
                  <c:v>8.084715714828416</c:v>
                </c:pt>
                <c:pt idx="39">
                  <c:v>11.02043124565742</c:v>
                </c:pt>
                <c:pt idx="40">
                  <c:v>12.07152142252472</c:v>
                </c:pt>
                <c:pt idx="41">
                  <c:v>11.70466435430873</c:v>
                </c:pt>
                <c:pt idx="42">
                  <c:v>14.95136529453925</c:v>
                </c:pt>
                <c:pt idx="43">
                  <c:v>7.314410480349345</c:v>
                </c:pt>
                <c:pt idx="44">
                  <c:v>8.997797356828193</c:v>
                </c:pt>
                <c:pt idx="45">
                  <c:v>10.9887614853064</c:v>
                </c:pt>
                <c:pt idx="46">
                  <c:v>10.78407325647944</c:v>
                </c:pt>
                <c:pt idx="47">
                  <c:v>9.717089976764682</c:v>
                </c:pt>
                <c:pt idx="48">
                  <c:v>7.576054877562416</c:v>
                </c:pt>
                <c:pt idx="49">
                  <c:v>2.53701088311041</c:v>
                </c:pt>
                <c:pt idx="50">
                  <c:v>1.511706656346749</c:v>
                </c:pt>
              </c:numCache>
            </c:numRef>
          </c:val>
          <c:smooth val="0"/>
        </c:ser>
        <c:dLbls>
          <c:showLegendKey val="0"/>
          <c:showVal val="0"/>
          <c:showCatName val="0"/>
          <c:showSerName val="0"/>
          <c:showPercent val="0"/>
          <c:showBubbleSize val="0"/>
        </c:dLbls>
        <c:marker val="1"/>
        <c:smooth val="0"/>
        <c:axId val="-2100244680"/>
        <c:axId val="-2100231944"/>
      </c:lineChart>
      <c:catAx>
        <c:axId val="-2100238216"/>
        <c:scaling>
          <c:orientation val="minMax"/>
        </c:scaling>
        <c:delete val="0"/>
        <c:axPos val="b"/>
        <c:numFmt formatCode="General" sourceLinked="1"/>
        <c:majorTickMark val="out"/>
        <c:minorTickMark val="none"/>
        <c:tickLblPos val="low"/>
        <c:spPr>
          <a:ln w="3175">
            <a:solidFill>
              <a:schemeClr val="tx1"/>
            </a:solidFill>
          </a:ln>
        </c:spPr>
        <c:txPr>
          <a:bodyPr rot="0" vert="horz"/>
          <a:lstStyle/>
          <a:p>
            <a:pPr>
              <a:defRPr sz="1600"/>
            </a:pPr>
            <a:endParaRPr lang="fr-FR"/>
          </a:p>
        </c:txPr>
        <c:crossAx val="-2100234984"/>
        <c:crosses val="autoZero"/>
        <c:auto val="1"/>
        <c:lblAlgn val="ctr"/>
        <c:lblOffset val="100"/>
        <c:tickLblSkip val="5"/>
        <c:tickMarkSkip val="5"/>
        <c:noMultiLvlLbl val="0"/>
      </c:catAx>
      <c:valAx>
        <c:axId val="-2100234984"/>
        <c:scaling>
          <c:orientation val="minMax"/>
          <c:max val="15.0"/>
          <c:min val="0.0"/>
        </c:scaling>
        <c:delete val="0"/>
        <c:axPos val="l"/>
        <c:numFmt formatCode="0%" sourceLinked="0"/>
        <c:majorTickMark val="out"/>
        <c:minorTickMark val="none"/>
        <c:tickLblPos val="nextTo"/>
        <c:txPr>
          <a:bodyPr/>
          <a:lstStyle/>
          <a:p>
            <a:pPr>
              <a:defRPr sz="1600"/>
            </a:pPr>
            <a:endParaRPr lang="fr-FR"/>
          </a:p>
        </c:txPr>
        <c:crossAx val="-2100238216"/>
        <c:crosses val="autoZero"/>
        <c:crossBetween val="between"/>
        <c:majorUnit val="2.0"/>
      </c:valAx>
      <c:valAx>
        <c:axId val="-2100231944"/>
        <c:scaling>
          <c:orientation val="minMax"/>
          <c:max val="0.02"/>
          <c:min val="-0.06"/>
        </c:scaling>
        <c:delete val="1"/>
        <c:axPos val="r"/>
        <c:numFmt formatCode="0%" sourceLinked="0"/>
        <c:majorTickMark val="none"/>
        <c:minorTickMark val="none"/>
        <c:tickLblPos val="nextTo"/>
        <c:crossAx val="-2100244680"/>
        <c:crosses val="max"/>
        <c:crossBetween val="between"/>
      </c:valAx>
      <c:catAx>
        <c:axId val="-2100244680"/>
        <c:scaling>
          <c:orientation val="minMax"/>
        </c:scaling>
        <c:delete val="1"/>
        <c:axPos val="b"/>
        <c:numFmt formatCode="General" sourceLinked="1"/>
        <c:majorTickMark val="out"/>
        <c:minorTickMark val="none"/>
        <c:tickLblPos val="nextTo"/>
        <c:crossAx val="-2100231944"/>
        <c:crosses val="autoZero"/>
        <c:auto val="1"/>
        <c:lblAlgn val="ctr"/>
        <c:lblOffset val="100"/>
        <c:noMultiLvlLbl val="0"/>
      </c:catAx>
      <c:spPr>
        <a:ln>
          <a:solidFill>
            <a:schemeClr val="bg1">
              <a:lumMod val="85000"/>
            </a:schemeClr>
          </a:solidFill>
        </a:ln>
      </c:spPr>
    </c:plotArea>
    <c:plotVisOnly val="1"/>
    <c:dispBlanksAs val="gap"/>
    <c:showDLblsOverMax val="0"/>
  </c:chart>
  <c:spPr>
    <a:ln>
      <a:noFill/>
    </a:ln>
  </c:spPr>
  <c:txPr>
    <a:bodyPr/>
    <a:lstStyle/>
    <a:p>
      <a:pPr>
        <a:defRPr>
          <a:latin typeface="Arial"/>
          <a:cs typeface="Arial"/>
        </a:defRPr>
      </a:pPr>
      <a:endParaRPr lang="fr-FR"/>
    </a:p>
  </c:txPr>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manualLayout>
          <c:layoutTarget val="inner"/>
          <c:xMode val="edge"/>
          <c:yMode val="edge"/>
          <c:x val="0.0900500317861671"/>
          <c:y val="0.168217930407064"/>
          <c:w val="0.868957555956091"/>
          <c:h val="0.664166229777144"/>
        </c:manualLayout>
      </c:layout>
      <c:lineChart>
        <c:grouping val="standard"/>
        <c:varyColors val="0"/>
        <c:ser>
          <c:idx val="0"/>
          <c:order val="0"/>
          <c:tx>
            <c:strRef>
              <c:f>'Assets(BoP)'!$K$3</c:f>
              <c:strCache>
                <c:ptCount val="1"/>
                <c:pt idx="0">
                  <c:v>(net foreign profits % of BEA profits)</c:v>
                </c:pt>
              </c:strCache>
            </c:strRef>
          </c:tx>
          <c:marker>
            <c:symbol val="none"/>
          </c:marker>
          <c:cat>
            <c:numRef>
              <c:f>'Assets(BoP)'!$B$42:$B$109</c:f>
              <c:numCache>
                <c:formatCode>General</c:formatCode>
                <c:ptCount val="68"/>
                <c:pt idx="0">
                  <c:v>1950.0</c:v>
                </c:pt>
                <c:pt idx="1">
                  <c:v>1951.0</c:v>
                </c:pt>
                <c:pt idx="2">
                  <c:v>1952.0</c:v>
                </c:pt>
                <c:pt idx="3">
                  <c:v>1953.0</c:v>
                </c:pt>
                <c:pt idx="4">
                  <c:v>1954.0</c:v>
                </c:pt>
                <c:pt idx="5">
                  <c:v>1955.0</c:v>
                </c:pt>
                <c:pt idx="6">
                  <c:v>1956.0</c:v>
                </c:pt>
                <c:pt idx="7">
                  <c:v>1957.0</c:v>
                </c:pt>
                <c:pt idx="8">
                  <c:v>1958.0</c:v>
                </c:pt>
                <c:pt idx="9">
                  <c:v>1959.0</c:v>
                </c:pt>
                <c:pt idx="10">
                  <c:v>1960.0</c:v>
                </c:pt>
                <c:pt idx="11">
                  <c:v>1961.0</c:v>
                </c:pt>
                <c:pt idx="12">
                  <c:v>1962.0</c:v>
                </c:pt>
                <c:pt idx="13">
                  <c:v>1963.0</c:v>
                </c:pt>
                <c:pt idx="14">
                  <c:v>1964.0</c:v>
                </c:pt>
                <c:pt idx="15">
                  <c:v>1965.0</c:v>
                </c:pt>
                <c:pt idx="16">
                  <c:v>1966.0</c:v>
                </c:pt>
                <c:pt idx="17">
                  <c:v>1967.0</c:v>
                </c:pt>
                <c:pt idx="18">
                  <c:v>1968.0</c:v>
                </c:pt>
                <c:pt idx="19">
                  <c:v>1969.0</c:v>
                </c:pt>
                <c:pt idx="20">
                  <c:v>1970.0</c:v>
                </c:pt>
                <c:pt idx="21">
                  <c:v>1971.0</c:v>
                </c:pt>
                <c:pt idx="22">
                  <c:v>1972.0</c:v>
                </c:pt>
                <c:pt idx="23">
                  <c:v>1973.0</c:v>
                </c:pt>
                <c:pt idx="24">
                  <c:v>1974.0</c:v>
                </c:pt>
                <c:pt idx="25">
                  <c:v>1975.0</c:v>
                </c:pt>
                <c:pt idx="26">
                  <c:v>1976.0</c:v>
                </c:pt>
                <c:pt idx="27">
                  <c:v>1977.0</c:v>
                </c:pt>
                <c:pt idx="28">
                  <c:v>1978.0</c:v>
                </c:pt>
                <c:pt idx="29">
                  <c:v>1979.0</c:v>
                </c:pt>
                <c:pt idx="30">
                  <c:v>1980.0</c:v>
                </c:pt>
                <c:pt idx="31">
                  <c:v>1981.0</c:v>
                </c:pt>
                <c:pt idx="32">
                  <c:v>1982.0</c:v>
                </c:pt>
                <c:pt idx="33">
                  <c:v>1983.0</c:v>
                </c:pt>
                <c:pt idx="34">
                  <c:v>1984.0</c:v>
                </c:pt>
                <c:pt idx="35">
                  <c:v>1985.0</c:v>
                </c:pt>
                <c:pt idx="36">
                  <c:v>1986.0</c:v>
                </c:pt>
                <c:pt idx="37">
                  <c:v>1987.0</c:v>
                </c:pt>
                <c:pt idx="38">
                  <c:v>1988.0</c:v>
                </c:pt>
                <c:pt idx="39">
                  <c:v>1989.0</c:v>
                </c:pt>
                <c:pt idx="40">
                  <c:v>1990.0</c:v>
                </c:pt>
                <c:pt idx="41">
                  <c:v>1991.0</c:v>
                </c:pt>
                <c:pt idx="42">
                  <c:v>1992.0</c:v>
                </c:pt>
                <c:pt idx="43">
                  <c:v>1993.0</c:v>
                </c:pt>
                <c:pt idx="44">
                  <c:v>1994.0</c:v>
                </c:pt>
                <c:pt idx="45">
                  <c:v>1995.0</c:v>
                </c:pt>
                <c:pt idx="46">
                  <c:v>1996.0</c:v>
                </c:pt>
                <c:pt idx="47">
                  <c:v>1997.0</c:v>
                </c:pt>
                <c:pt idx="48">
                  <c:v>1998.0</c:v>
                </c:pt>
                <c:pt idx="49">
                  <c:v>1999.0</c:v>
                </c:pt>
                <c:pt idx="50">
                  <c:v>2000.0</c:v>
                </c:pt>
                <c:pt idx="51">
                  <c:v>2001.0</c:v>
                </c:pt>
                <c:pt idx="52">
                  <c:v>2002.0</c:v>
                </c:pt>
                <c:pt idx="53">
                  <c:v>2003.0</c:v>
                </c:pt>
                <c:pt idx="54">
                  <c:v>2004.0</c:v>
                </c:pt>
                <c:pt idx="55">
                  <c:v>2005.0</c:v>
                </c:pt>
                <c:pt idx="56">
                  <c:v>2006.0</c:v>
                </c:pt>
                <c:pt idx="57">
                  <c:v>2007.0</c:v>
                </c:pt>
                <c:pt idx="58">
                  <c:v>2008.0</c:v>
                </c:pt>
                <c:pt idx="59">
                  <c:v>2009.0</c:v>
                </c:pt>
                <c:pt idx="60">
                  <c:v>2010.0</c:v>
                </c:pt>
                <c:pt idx="61">
                  <c:v>2011.0</c:v>
                </c:pt>
                <c:pt idx="62">
                  <c:v>2012.0</c:v>
                </c:pt>
                <c:pt idx="63">
                  <c:v>2013.0</c:v>
                </c:pt>
                <c:pt idx="64">
                  <c:v>2014.0</c:v>
                </c:pt>
                <c:pt idx="65">
                  <c:v>2015.0</c:v>
                </c:pt>
                <c:pt idx="66">
                  <c:v>2016.0</c:v>
                </c:pt>
                <c:pt idx="67">
                  <c:v>2017.0</c:v>
                </c:pt>
              </c:numCache>
            </c:numRef>
          </c:cat>
          <c:val>
            <c:numRef>
              <c:f>'Assets(BoP)'!$K$42:$K$109</c:f>
              <c:numCache>
                <c:formatCode>0%</c:formatCode>
                <c:ptCount val="68"/>
                <c:pt idx="0">
                  <c:v>0.03601108033241</c:v>
                </c:pt>
                <c:pt idx="1">
                  <c:v>0.0412621359223301</c:v>
                </c:pt>
                <c:pt idx="2">
                  <c:v>0.0478589420654912</c:v>
                </c:pt>
                <c:pt idx="3">
                  <c:v>0.0446650124069479</c:v>
                </c:pt>
                <c:pt idx="4">
                  <c:v>0.0506329113924051</c:v>
                </c:pt>
                <c:pt idx="5">
                  <c:v>0.047808764940239</c:v>
                </c:pt>
                <c:pt idx="6">
                  <c:v>0.0564516129032258</c:v>
                </c:pt>
                <c:pt idx="7">
                  <c:v>0.0631364562118126</c:v>
                </c:pt>
                <c:pt idx="8">
                  <c:v>0.0569476082004556</c:v>
                </c:pt>
                <c:pt idx="9">
                  <c:v>0.0486486486486486</c:v>
                </c:pt>
                <c:pt idx="10">
                  <c:v>0.056672760511883</c:v>
                </c:pt>
                <c:pt idx="11">
                  <c:v>0.0590339892665474</c:v>
                </c:pt>
                <c:pt idx="12">
                  <c:v>0.059375</c:v>
                </c:pt>
                <c:pt idx="13">
                  <c:v>0.0581560283687943</c:v>
                </c:pt>
                <c:pt idx="14">
                  <c:v>0.0579150579150579</c:v>
                </c:pt>
                <c:pt idx="15">
                  <c:v>0.0526315789473684</c:v>
                </c:pt>
                <c:pt idx="16">
                  <c:v>0.0468262226847034</c:v>
                </c:pt>
                <c:pt idx="17">
                  <c:v>0.0511182108626198</c:v>
                </c:pt>
                <c:pt idx="18">
                  <c:v>0.0550639134709931</c:v>
                </c:pt>
                <c:pt idx="19">
                  <c:v>0.0670731707317073</c:v>
                </c:pt>
                <c:pt idx="20">
                  <c:v>0.0823665893271461</c:v>
                </c:pt>
                <c:pt idx="21">
                  <c:v>0.0785288270377734</c:v>
                </c:pt>
                <c:pt idx="22">
                  <c:v>0.0810580204778157</c:v>
                </c:pt>
                <c:pt idx="23">
                  <c:v>0.111694152923538</c:v>
                </c:pt>
                <c:pt idx="24">
                  <c:v>0.139220365950676</c:v>
                </c:pt>
                <c:pt idx="25">
                  <c:v>0.105111591072714</c:v>
                </c:pt>
                <c:pt idx="26">
                  <c:v>0.0946643717728055</c:v>
                </c:pt>
                <c:pt idx="27">
                  <c:v>0.0928085519922254</c:v>
                </c:pt>
                <c:pt idx="28">
                  <c:v>0.0959765297569153</c:v>
                </c:pt>
                <c:pt idx="29">
                  <c:v>0.138955823293173</c:v>
                </c:pt>
                <c:pt idx="30">
                  <c:v>0.158765652951699</c:v>
                </c:pt>
                <c:pt idx="31">
                  <c:v>0.12</c:v>
                </c:pt>
                <c:pt idx="32">
                  <c:v>0.141800782949108</c:v>
                </c:pt>
                <c:pt idx="33">
                  <c:v>0.125446747676912</c:v>
                </c:pt>
                <c:pt idx="34">
                  <c:v>0.108316069843149</c:v>
                </c:pt>
                <c:pt idx="35">
                  <c:v>0.107475317348378</c:v>
                </c:pt>
                <c:pt idx="36">
                  <c:v>0.121763255240444</c:v>
                </c:pt>
                <c:pt idx="37">
                  <c:v>0.131147540983607</c:v>
                </c:pt>
                <c:pt idx="38">
                  <c:v>0.137382501807664</c:v>
                </c:pt>
                <c:pt idx="39">
                  <c:v>0.161999034282955</c:v>
                </c:pt>
                <c:pt idx="40">
                  <c:v>0.182406519654842</c:v>
                </c:pt>
                <c:pt idx="41">
                  <c:v>0.169510303567472</c:v>
                </c:pt>
                <c:pt idx="42">
                  <c:v>0.153797601514833</c:v>
                </c:pt>
                <c:pt idx="43">
                  <c:v>0.147318007662835</c:v>
                </c:pt>
                <c:pt idx="44">
                  <c:v>0.125422093584178</c:v>
                </c:pt>
                <c:pt idx="45">
                  <c:v>0.132147937411095</c:v>
                </c:pt>
                <c:pt idx="46">
                  <c:v>0.12975448416232</c:v>
                </c:pt>
                <c:pt idx="47">
                  <c:v>0.124278124278124</c:v>
                </c:pt>
                <c:pt idx="48">
                  <c:v>0.127844795423455</c:v>
                </c:pt>
                <c:pt idx="49">
                  <c:v>0.146952541556251</c:v>
                </c:pt>
                <c:pt idx="50">
                  <c:v>0.187147977470558</c:v>
                </c:pt>
                <c:pt idx="51">
                  <c:v>0.225994694960212</c:v>
                </c:pt>
                <c:pt idx="52">
                  <c:v>0.175044091710758</c:v>
                </c:pt>
                <c:pt idx="53">
                  <c:v>0.157705414615676</c:v>
                </c:pt>
                <c:pt idx="54">
                  <c:v>0.159744408945687</c:v>
                </c:pt>
                <c:pt idx="55">
                  <c:v>0.161805508560601</c:v>
                </c:pt>
                <c:pt idx="56">
                  <c:v>0.155602793805041</c:v>
                </c:pt>
                <c:pt idx="57">
                  <c:v>0.231131458469588</c:v>
                </c:pt>
                <c:pt idx="58">
                  <c:v>0.316473426192514</c:v>
                </c:pt>
                <c:pt idx="59">
                  <c:v>0.255690765926986</c:v>
                </c:pt>
                <c:pt idx="60">
                  <c:v>0.22629409070087</c:v>
                </c:pt>
                <c:pt idx="61">
                  <c:v>0.232247054937796</c:v>
                </c:pt>
                <c:pt idx="62">
                  <c:v>0.205334801321189</c:v>
                </c:pt>
                <c:pt idx="63">
                  <c:v>0.202567760342368</c:v>
                </c:pt>
                <c:pt idx="64">
                  <c:v>0.185695599364664</c:v>
                </c:pt>
                <c:pt idx="65">
                  <c:v>0.191987406532861</c:v>
                </c:pt>
                <c:pt idx="66">
                  <c:v>0.196061409854513</c:v>
                </c:pt>
              </c:numCache>
            </c:numRef>
          </c:val>
          <c:smooth val="0"/>
        </c:ser>
        <c:dLbls>
          <c:showLegendKey val="0"/>
          <c:showVal val="0"/>
          <c:showCatName val="0"/>
          <c:showSerName val="0"/>
          <c:showPercent val="0"/>
          <c:showBubbleSize val="0"/>
        </c:dLbls>
        <c:marker val="1"/>
        <c:smooth val="0"/>
        <c:axId val="-2100696568"/>
        <c:axId val="-2100693560"/>
      </c:lineChart>
      <c:catAx>
        <c:axId val="-2100696568"/>
        <c:scaling>
          <c:orientation val="minMax"/>
        </c:scaling>
        <c:delete val="0"/>
        <c:axPos val="b"/>
        <c:numFmt formatCode="General" sourceLinked="1"/>
        <c:majorTickMark val="out"/>
        <c:minorTickMark val="none"/>
        <c:tickLblPos val="nextTo"/>
        <c:crossAx val="-2100693560"/>
        <c:crosses val="autoZero"/>
        <c:auto val="1"/>
        <c:lblAlgn val="ctr"/>
        <c:lblOffset val="100"/>
        <c:noMultiLvlLbl val="0"/>
      </c:catAx>
      <c:valAx>
        <c:axId val="-2100693560"/>
        <c:scaling>
          <c:orientation val="minMax"/>
        </c:scaling>
        <c:delete val="0"/>
        <c:axPos val="l"/>
        <c:majorGridlines/>
        <c:numFmt formatCode="0%" sourceLinked="1"/>
        <c:majorTickMark val="out"/>
        <c:minorTickMark val="none"/>
        <c:tickLblPos val="nextTo"/>
        <c:crossAx val="-2100696568"/>
        <c:crosses val="autoZero"/>
        <c:crossBetween val="between"/>
      </c:valAx>
    </c:plotArea>
    <c:legend>
      <c:legendPos val="r"/>
      <c:layout>
        <c:manualLayout>
          <c:xMode val="edge"/>
          <c:yMode val="edge"/>
          <c:x val="0.186996679407191"/>
          <c:y val="0.316351199952827"/>
          <c:w val="0.344106071604355"/>
          <c:h val="0.121769286212938"/>
        </c:manualLayout>
      </c:layout>
      <c:overlay val="0"/>
    </c:legend>
    <c:plotVisOnly val="1"/>
    <c:dispBlanksAs val="gap"/>
    <c:showDLblsOverMax val="0"/>
  </c:chart>
  <c:printSettings>
    <c:headerFooter/>
    <c:pageMargins b="1.0" l="0.75" r="0.75" t="1.0"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32248468941382"/>
          <c:y val="0.0601851851851852"/>
          <c:w val="0.850797681539807"/>
          <c:h val="0.771764727325751"/>
        </c:manualLayout>
      </c:layout>
      <c:lineChart>
        <c:grouping val="standard"/>
        <c:varyColors val="0"/>
        <c:ser>
          <c:idx val="0"/>
          <c:order val="0"/>
          <c:tx>
            <c:v>Non-oil post-tax</c:v>
          </c:tx>
          <c:marker>
            <c:symbol val="none"/>
          </c:marker>
          <c:cat>
            <c:numRef>
              <c:f>T.A16!$A$39:$A$59</c:f>
              <c:numCache>
                <c:formatCode>General</c:formatCode>
                <c:ptCount val="21"/>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c:v>2011.0</c:v>
                </c:pt>
                <c:pt idx="17">
                  <c:v>2012.0</c:v>
                </c:pt>
                <c:pt idx="18">
                  <c:v>2013.0</c:v>
                </c:pt>
                <c:pt idx="19">
                  <c:v>2014.0</c:v>
                </c:pt>
                <c:pt idx="20">
                  <c:v>2015.0</c:v>
                </c:pt>
              </c:numCache>
            </c:numRef>
          </c:cat>
          <c:val>
            <c:numRef>
              <c:f>T.A16!$J$39:$J$59</c:f>
              <c:numCache>
                <c:formatCode>0%</c:formatCode>
                <c:ptCount val="21"/>
                <c:pt idx="0">
                  <c:v>0.122460283355243</c:v>
                </c:pt>
                <c:pt idx="1">
                  <c:v>0.116935651214514</c:v>
                </c:pt>
                <c:pt idx="2">
                  <c:v>0.120694273956622</c:v>
                </c:pt>
                <c:pt idx="3">
                  <c:v>0.0978199838507184</c:v>
                </c:pt>
                <c:pt idx="4">
                  <c:v>0.0950326269670278</c:v>
                </c:pt>
                <c:pt idx="5">
                  <c:v>0.0810473505081491</c:v>
                </c:pt>
                <c:pt idx="6">
                  <c:v>0.0645345824896136</c:v>
                </c:pt>
                <c:pt idx="7">
                  <c:v>0.0644975895536004</c:v>
                </c:pt>
                <c:pt idx="8">
                  <c:v>0.0841064181273737</c:v>
                </c:pt>
                <c:pt idx="9">
                  <c:v>0.0924291842480069</c:v>
                </c:pt>
                <c:pt idx="10">
                  <c:v>0.0947500396938002</c:v>
                </c:pt>
                <c:pt idx="11">
                  <c:v>0.096638359410408</c:v>
                </c:pt>
                <c:pt idx="12">
                  <c:v>0.0985975584672811</c:v>
                </c:pt>
                <c:pt idx="13">
                  <c:v>0.100427424707489</c:v>
                </c:pt>
                <c:pt idx="14">
                  <c:v>0.0696154985388538</c:v>
                </c:pt>
                <c:pt idx="15">
                  <c:v>0.074074988694761</c:v>
                </c:pt>
                <c:pt idx="16">
                  <c:v>0.0828330952552981</c:v>
                </c:pt>
                <c:pt idx="17">
                  <c:v>0.0775989294797498</c:v>
                </c:pt>
                <c:pt idx="18">
                  <c:v>0.0754798183228403</c:v>
                </c:pt>
                <c:pt idx="19">
                  <c:v>0.07428572191372</c:v>
                </c:pt>
                <c:pt idx="20">
                  <c:v>0.0</c:v>
                </c:pt>
              </c:numCache>
            </c:numRef>
          </c:val>
          <c:smooth val="0"/>
        </c:ser>
        <c:ser>
          <c:idx val="1"/>
          <c:order val="1"/>
          <c:tx>
            <c:v>Haven post-tax</c:v>
          </c:tx>
          <c:marker>
            <c:symbol val="none"/>
          </c:marker>
          <c:cat>
            <c:numRef>
              <c:f>T.A16!$A$39:$A$59</c:f>
              <c:numCache>
                <c:formatCode>General</c:formatCode>
                <c:ptCount val="21"/>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c:v>2011.0</c:v>
                </c:pt>
                <c:pt idx="17">
                  <c:v>2012.0</c:v>
                </c:pt>
                <c:pt idx="18">
                  <c:v>2013.0</c:v>
                </c:pt>
                <c:pt idx="19">
                  <c:v>2014.0</c:v>
                </c:pt>
                <c:pt idx="20">
                  <c:v>2015.0</c:v>
                </c:pt>
              </c:numCache>
            </c:numRef>
          </c:cat>
          <c:val>
            <c:numRef>
              <c:f>T.A16!$M$39:$M$59</c:f>
              <c:numCache>
                <c:formatCode>0%</c:formatCode>
                <c:ptCount val="21"/>
                <c:pt idx="0">
                  <c:v>0.119303073785185</c:v>
                </c:pt>
                <c:pt idx="1">
                  <c:v>0.124656647204735</c:v>
                </c:pt>
                <c:pt idx="2">
                  <c:v>0.138129929827098</c:v>
                </c:pt>
                <c:pt idx="3">
                  <c:v>0.123354911809674</c:v>
                </c:pt>
                <c:pt idx="4">
                  <c:v>0.10580094494455</c:v>
                </c:pt>
                <c:pt idx="5">
                  <c:v>0.121044780329008</c:v>
                </c:pt>
                <c:pt idx="6">
                  <c:v>0.0905818347325955</c:v>
                </c:pt>
                <c:pt idx="7">
                  <c:v>0.0782811416970509</c:v>
                </c:pt>
                <c:pt idx="8">
                  <c:v>0.0910378940594317</c:v>
                </c:pt>
                <c:pt idx="9">
                  <c:v>0.113190035656926</c:v>
                </c:pt>
                <c:pt idx="10">
                  <c:v>0.117730993544221</c:v>
                </c:pt>
                <c:pt idx="11">
                  <c:v>0.13281759570883</c:v>
                </c:pt>
                <c:pt idx="12">
                  <c:v>0.121997739521312</c:v>
                </c:pt>
                <c:pt idx="13">
                  <c:v>0.111574578597375</c:v>
                </c:pt>
                <c:pt idx="14">
                  <c:v>0.0861152631373254</c:v>
                </c:pt>
                <c:pt idx="15">
                  <c:v>0.0841084191029537</c:v>
                </c:pt>
                <c:pt idx="16">
                  <c:v>0.0940086207650661</c:v>
                </c:pt>
                <c:pt idx="17">
                  <c:v>0.0902088318135619</c:v>
                </c:pt>
                <c:pt idx="18">
                  <c:v>0.0855817742006399</c:v>
                </c:pt>
                <c:pt idx="19">
                  <c:v>0.0797263705603858</c:v>
                </c:pt>
                <c:pt idx="20">
                  <c:v>0.0849209662475339</c:v>
                </c:pt>
              </c:numCache>
            </c:numRef>
          </c:val>
          <c:smooth val="0"/>
        </c:ser>
        <c:dLbls>
          <c:showLegendKey val="0"/>
          <c:showVal val="0"/>
          <c:showCatName val="0"/>
          <c:showSerName val="0"/>
          <c:showPercent val="0"/>
          <c:showBubbleSize val="0"/>
        </c:dLbls>
        <c:marker val="1"/>
        <c:smooth val="0"/>
        <c:axId val="-2113052568"/>
        <c:axId val="-2113049528"/>
      </c:lineChart>
      <c:catAx>
        <c:axId val="-2113052568"/>
        <c:scaling>
          <c:orientation val="minMax"/>
        </c:scaling>
        <c:delete val="0"/>
        <c:axPos val="b"/>
        <c:numFmt formatCode="General" sourceLinked="1"/>
        <c:majorTickMark val="out"/>
        <c:minorTickMark val="none"/>
        <c:tickLblPos val="nextTo"/>
        <c:crossAx val="-2113049528"/>
        <c:crosses val="autoZero"/>
        <c:auto val="1"/>
        <c:lblAlgn val="ctr"/>
        <c:lblOffset val="100"/>
        <c:noMultiLvlLbl val="0"/>
      </c:catAx>
      <c:valAx>
        <c:axId val="-2113049528"/>
        <c:scaling>
          <c:orientation val="minMax"/>
        </c:scaling>
        <c:delete val="0"/>
        <c:axPos val="l"/>
        <c:majorGridlines/>
        <c:numFmt formatCode="0%" sourceLinked="1"/>
        <c:majorTickMark val="out"/>
        <c:minorTickMark val="none"/>
        <c:tickLblPos val="nextTo"/>
        <c:crossAx val="-2113052568"/>
        <c:crosses val="autoZero"/>
        <c:crossBetween val="between"/>
      </c:valAx>
    </c:plotArea>
    <c:legend>
      <c:legendPos val="r"/>
      <c:layout>
        <c:manualLayout>
          <c:xMode val="edge"/>
          <c:yMode val="edge"/>
          <c:x val="0.431977034120735"/>
          <c:y val="0.582949475065617"/>
          <c:w val="0.270800743657043"/>
          <c:h val="0.185952901720618"/>
        </c:manualLayout>
      </c:layout>
      <c:overlay val="0"/>
    </c:legend>
    <c:plotVisOnly val="1"/>
    <c:dispBlanksAs val="gap"/>
    <c:showDLblsOverMax val="0"/>
  </c:chart>
  <c:printSettings>
    <c:headerFooter/>
    <c:pageMargins b="1.0" l="0.75" r="0.75" t="1.0"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manualLayout>
          <c:layoutTarget val="inner"/>
          <c:xMode val="edge"/>
          <c:yMode val="edge"/>
          <c:x val="0.0932248468941382"/>
          <c:y val="0.211111111111111"/>
          <c:w val="0.818185914260717"/>
          <c:h val="0.756481481481481"/>
        </c:manualLayout>
      </c:layout>
      <c:lineChart>
        <c:grouping val="standard"/>
        <c:varyColors val="0"/>
        <c:ser>
          <c:idx val="0"/>
          <c:order val="0"/>
          <c:tx>
            <c:strRef>
              <c:f>'Assets(BoP)'!$BX$3</c:f>
              <c:strCache>
                <c:ptCount val="1"/>
                <c:pt idx="0">
                  <c:v>(Retained foreign, % of BEA profits)</c:v>
                </c:pt>
              </c:strCache>
            </c:strRef>
          </c:tx>
          <c:marker>
            <c:symbol val="none"/>
          </c:marker>
          <c:cat>
            <c:numRef>
              <c:f>'Assets(BoP)'!$B$21:$B$108</c:f>
              <c:numCache>
                <c:formatCode>General</c:formatCode>
                <c:ptCount val="88"/>
                <c:pt idx="0">
                  <c:v>1929.0</c:v>
                </c:pt>
                <c:pt idx="1">
                  <c:v>1930.0</c:v>
                </c:pt>
                <c:pt idx="2">
                  <c:v>1931.0</c:v>
                </c:pt>
                <c:pt idx="3">
                  <c:v>1932.0</c:v>
                </c:pt>
                <c:pt idx="4">
                  <c:v>1933.0</c:v>
                </c:pt>
                <c:pt idx="5">
                  <c:v>1934.0</c:v>
                </c:pt>
                <c:pt idx="6">
                  <c:v>1935.0</c:v>
                </c:pt>
                <c:pt idx="7">
                  <c:v>1936.0</c:v>
                </c:pt>
                <c:pt idx="8">
                  <c:v>1937.0</c:v>
                </c:pt>
                <c:pt idx="9">
                  <c:v>1938.0</c:v>
                </c:pt>
                <c:pt idx="10">
                  <c:v>1939.0</c:v>
                </c:pt>
                <c:pt idx="11">
                  <c:v>1940.0</c:v>
                </c:pt>
                <c:pt idx="12">
                  <c:v>1941.0</c:v>
                </c:pt>
                <c:pt idx="13">
                  <c:v>1942.0</c:v>
                </c:pt>
                <c:pt idx="14">
                  <c:v>1943.0</c:v>
                </c:pt>
                <c:pt idx="15">
                  <c:v>1944.0</c:v>
                </c:pt>
                <c:pt idx="16">
                  <c:v>1945.0</c:v>
                </c:pt>
                <c:pt idx="17">
                  <c:v>1946.0</c:v>
                </c:pt>
                <c:pt idx="18">
                  <c:v>1947.0</c:v>
                </c:pt>
                <c:pt idx="19">
                  <c:v>1948.0</c:v>
                </c:pt>
                <c:pt idx="20">
                  <c:v>1949.0</c:v>
                </c:pt>
                <c:pt idx="21">
                  <c:v>1950.0</c:v>
                </c:pt>
                <c:pt idx="22">
                  <c:v>1951.0</c:v>
                </c:pt>
                <c:pt idx="23">
                  <c:v>1952.0</c:v>
                </c:pt>
                <c:pt idx="24">
                  <c:v>1953.0</c:v>
                </c:pt>
                <c:pt idx="25">
                  <c:v>1954.0</c:v>
                </c:pt>
                <c:pt idx="26">
                  <c:v>1955.0</c:v>
                </c:pt>
                <c:pt idx="27">
                  <c:v>1956.0</c:v>
                </c:pt>
                <c:pt idx="28">
                  <c:v>1957.0</c:v>
                </c:pt>
                <c:pt idx="29">
                  <c:v>1958.0</c:v>
                </c:pt>
                <c:pt idx="30">
                  <c:v>1959.0</c:v>
                </c:pt>
                <c:pt idx="31">
                  <c:v>1960.0</c:v>
                </c:pt>
                <c:pt idx="32">
                  <c:v>1961.0</c:v>
                </c:pt>
                <c:pt idx="33">
                  <c:v>1962.0</c:v>
                </c:pt>
                <c:pt idx="34">
                  <c:v>1963.0</c:v>
                </c:pt>
                <c:pt idx="35">
                  <c:v>1964.0</c:v>
                </c:pt>
                <c:pt idx="36">
                  <c:v>1965.0</c:v>
                </c:pt>
                <c:pt idx="37">
                  <c:v>1966.0</c:v>
                </c:pt>
                <c:pt idx="38">
                  <c:v>1967.0</c:v>
                </c:pt>
                <c:pt idx="39">
                  <c:v>1968.0</c:v>
                </c:pt>
                <c:pt idx="40">
                  <c:v>1969.0</c:v>
                </c:pt>
                <c:pt idx="41">
                  <c:v>1970.0</c:v>
                </c:pt>
                <c:pt idx="42">
                  <c:v>1971.0</c:v>
                </c:pt>
                <c:pt idx="43">
                  <c:v>1972.0</c:v>
                </c:pt>
                <c:pt idx="44">
                  <c:v>1973.0</c:v>
                </c:pt>
                <c:pt idx="45">
                  <c:v>1974.0</c:v>
                </c:pt>
                <c:pt idx="46">
                  <c:v>1975.0</c:v>
                </c:pt>
                <c:pt idx="47">
                  <c:v>1976.0</c:v>
                </c:pt>
                <c:pt idx="48">
                  <c:v>1977.0</c:v>
                </c:pt>
                <c:pt idx="49">
                  <c:v>1978.0</c:v>
                </c:pt>
                <c:pt idx="50">
                  <c:v>1979.0</c:v>
                </c:pt>
                <c:pt idx="51">
                  <c:v>1980.0</c:v>
                </c:pt>
                <c:pt idx="52">
                  <c:v>1981.0</c:v>
                </c:pt>
                <c:pt idx="53">
                  <c:v>1982.0</c:v>
                </c:pt>
                <c:pt idx="54">
                  <c:v>1983.0</c:v>
                </c:pt>
                <c:pt idx="55">
                  <c:v>1984.0</c:v>
                </c:pt>
                <c:pt idx="56">
                  <c:v>1985.0</c:v>
                </c:pt>
                <c:pt idx="57">
                  <c:v>1986.0</c:v>
                </c:pt>
                <c:pt idx="58">
                  <c:v>1987.0</c:v>
                </c:pt>
                <c:pt idx="59">
                  <c:v>1988.0</c:v>
                </c:pt>
                <c:pt idx="60">
                  <c:v>1989.0</c:v>
                </c:pt>
                <c:pt idx="61">
                  <c:v>1990.0</c:v>
                </c:pt>
                <c:pt idx="62">
                  <c:v>1991.0</c:v>
                </c:pt>
                <c:pt idx="63">
                  <c:v>1992.0</c:v>
                </c:pt>
                <c:pt idx="64">
                  <c:v>1993.0</c:v>
                </c:pt>
                <c:pt idx="65">
                  <c:v>1994.0</c:v>
                </c:pt>
                <c:pt idx="66">
                  <c:v>1995.0</c:v>
                </c:pt>
                <c:pt idx="67">
                  <c:v>1996.0</c:v>
                </c:pt>
                <c:pt idx="68">
                  <c:v>1997.0</c:v>
                </c:pt>
                <c:pt idx="69">
                  <c:v>1998.0</c:v>
                </c:pt>
                <c:pt idx="70">
                  <c:v>1999.0</c:v>
                </c:pt>
                <c:pt idx="71">
                  <c:v>2000.0</c:v>
                </c:pt>
                <c:pt idx="72">
                  <c:v>2001.0</c:v>
                </c:pt>
                <c:pt idx="73">
                  <c:v>2002.0</c:v>
                </c:pt>
                <c:pt idx="74">
                  <c:v>2003.0</c:v>
                </c:pt>
                <c:pt idx="75">
                  <c:v>2004.0</c:v>
                </c:pt>
                <c:pt idx="76">
                  <c:v>2005.0</c:v>
                </c:pt>
                <c:pt idx="77">
                  <c:v>2006.0</c:v>
                </c:pt>
                <c:pt idx="78">
                  <c:v>2007.0</c:v>
                </c:pt>
                <c:pt idx="79">
                  <c:v>2008.0</c:v>
                </c:pt>
                <c:pt idx="80">
                  <c:v>2009.0</c:v>
                </c:pt>
                <c:pt idx="81">
                  <c:v>2010.0</c:v>
                </c:pt>
                <c:pt idx="82">
                  <c:v>2011.0</c:v>
                </c:pt>
                <c:pt idx="83">
                  <c:v>2012.0</c:v>
                </c:pt>
                <c:pt idx="84">
                  <c:v>2013.0</c:v>
                </c:pt>
                <c:pt idx="85">
                  <c:v>2014.0</c:v>
                </c:pt>
                <c:pt idx="86">
                  <c:v>2015.0</c:v>
                </c:pt>
                <c:pt idx="87">
                  <c:v>2016.0</c:v>
                </c:pt>
              </c:numCache>
            </c:numRef>
          </c:cat>
          <c:val>
            <c:numRef>
              <c:f>'Assets(BoP)'!$BX$21:$BX$108</c:f>
              <c:numCache>
                <c:formatCode>0%</c:formatCode>
                <c:ptCount val="88"/>
                <c:pt idx="0">
                  <c:v>0.0</c:v>
                </c:pt>
                <c:pt idx="1">
                  <c:v>0.0</c:v>
                </c:pt>
                <c:pt idx="2">
                  <c:v>0.0</c:v>
                </c:pt>
                <c:pt idx="3">
                  <c:v>0.0</c:v>
                </c:pt>
                <c:pt idx="4">
                  <c:v>0.0</c:v>
                </c:pt>
                <c:pt idx="5">
                  <c:v>0.0</c:v>
                </c:pt>
                <c:pt idx="6">
                  <c:v>0.0</c:v>
                </c:pt>
                <c:pt idx="7">
                  <c:v>0.0</c:v>
                </c:pt>
                <c:pt idx="8">
                  <c:v>0.028169014084507</c:v>
                </c:pt>
                <c:pt idx="9">
                  <c:v>0.0</c:v>
                </c:pt>
                <c:pt idx="10">
                  <c:v>0.0303030303030303</c:v>
                </c:pt>
                <c:pt idx="11">
                  <c:v>0.0</c:v>
                </c:pt>
                <c:pt idx="12">
                  <c:v>0.0127388535031847</c:v>
                </c:pt>
                <c:pt idx="13">
                  <c:v>0.00480769230769229</c:v>
                </c:pt>
                <c:pt idx="14">
                  <c:v>0.00803212851405623</c:v>
                </c:pt>
                <c:pt idx="15">
                  <c:v>0.00400000000000002</c:v>
                </c:pt>
                <c:pt idx="16">
                  <c:v>0.00975609756097562</c:v>
                </c:pt>
                <c:pt idx="17">
                  <c:v>0.0164835164835165</c:v>
                </c:pt>
                <c:pt idx="18">
                  <c:v>0.012396694214876</c:v>
                </c:pt>
                <c:pt idx="19">
                  <c:v>0.0127388535031847</c:v>
                </c:pt>
                <c:pt idx="20">
                  <c:v>0.0103092783505154</c:v>
                </c:pt>
                <c:pt idx="21">
                  <c:v>0.00831024930747924</c:v>
                </c:pt>
                <c:pt idx="22">
                  <c:v>0.0145631067961165</c:v>
                </c:pt>
                <c:pt idx="23">
                  <c:v>0.0201511335012594</c:v>
                </c:pt>
                <c:pt idx="24">
                  <c:v>0.0148883374689826</c:v>
                </c:pt>
                <c:pt idx="25">
                  <c:v>0.0151898734177215</c:v>
                </c:pt>
                <c:pt idx="26">
                  <c:v>0.0139442231075698</c:v>
                </c:pt>
                <c:pt idx="27">
                  <c:v>0.0201612903225806</c:v>
                </c:pt>
                <c:pt idx="28">
                  <c:v>0.0244399185336049</c:v>
                </c:pt>
                <c:pt idx="29">
                  <c:v>0.0182232346241458</c:v>
                </c:pt>
                <c:pt idx="30">
                  <c:v>0.0144144144144144</c:v>
                </c:pt>
                <c:pt idx="31">
                  <c:v>0.020109689213894</c:v>
                </c:pt>
                <c:pt idx="32">
                  <c:v>0.0178890876565295</c:v>
                </c:pt>
                <c:pt idx="33">
                  <c:v>0.0171875</c:v>
                </c:pt>
                <c:pt idx="34">
                  <c:v>0.0198581560283688</c:v>
                </c:pt>
                <c:pt idx="35">
                  <c:v>0.0167310167310167</c:v>
                </c:pt>
                <c:pt idx="36">
                  <c:v>0.0156774916013438</c:v>
                </c:pt>
                <c:pt idx="37">
                  <c:v>0.0176899063475547</c:v>
                </c:pt>
                <c:pt idx="38">
                  <c:v>0.0170394036208733</c:v>
                </c:pt>
                <c:pt idx="39">
                  <c:v>0.0226155358898722</c:v>
                </c:pt>
                <c:pt idx="40">
                  <c:v>0.0284552845528456</c:v>
                </c:pt>
                <c:pt idx="41">
                  <c:v>0.037122969837587</c:v>
                </c:pt>
                <c:pt idx="42">
                  <c:v>0.0318091451292247</c:v>
                </c:pt>
                <c:pt idx="43">
                  <c:v>0.0392491467576792</c:v>
                </c:pt>
                <c:pt idx="44">
                  <c:v>0.06071964017991</c:v>
                </c:pt>
                <c:pt idx="45">
                  <c:v>0.0612569610182975</c:v>
                </c:pt>
                <c:pt idx="46">
                  <c:v>0.0583153347732181</c:v>
                </c:pt>
                <c:pt idx="47">
                  <c:v>0.0436029833620195</c:v>
                </c:pt>
                <c:pt idx="48">
                  <c:v>0.0393586005830903</c:v>
                </c:pt>
                <c:pt idx="49">
                  <c:v>0.0490360435875943</c:v>
                </c:pt>
                <c:pt idx="50">
                  <c:v>0.0742971887550201</c:v>
                </c:pt>
                <c:pt idx="51">
                  <c:v>0.0836314847942755</c:v>
                </c:pt>
                <c:pt idx="52">
                  <c:v>0.0573737373737374</c:v>
                </c:pt>
                <c:pt idx="53">
                  <c:v>0.0704654197477163</c:v>
                </c:pt>
                <c:pt idx="54">
                  <c:v>0.0822015725518227</c:v>
                </c:pt>
                <c:pt idx="55">
                  <c:v>0.0716188221367268</c:v>
                </c:pt>
                <c:pt idx="56">
                  <c:v>0.0739069111424541</c:v>
                </c:pt>
                <c:pt idx="57">
                  <c:v>0.0665844636251541</c:v>
                </c:pt>
                <c:pt idx="58">
                  <c:v>0.0855191256830601</c:v>
                </c:pt>
                <c:pt idx="59">
                  <c:v>0.0604965051819716</c:v>
                </c:pt>
                <c:pt idx="60">
                  <c:v>0.0857073877353935</c:v>
                </c:pt>
                <c:pt idx="61">
                  <c:v>0.12248322147651</c:v>
                </c:pt>
                <c:pt idx="62">
                  <c:v>0.115444272102814</c:v>
                </c:pt>
                <c:pt idx="63">
                  <c:v>0.0948874395118872</c:v>
                </c:pt>
                <c:pt idx="64">
                  <c:v>0.107854406130268</c:v>
                </c:pt>
                <c:pt idx="65">
                  <c:v>0.063997427239106</c:v>
                </c:pt>
                <c:pt idx="66">
                  <c:v>0.0854907539118065</c:v>
                </c:pt>
                <c:pt idx="67">
                  <c:v>0.0783615316117542</c:v>
                </c:pt>
                <c:pt idx="68">
                  <c:v>0.0696465696465696</c:v>
                </c:pt>
                <c:pt idx="69">
                  <c:v>0.0752393980848153</c:v>
                </c:pt>
                <c:pt idx="70">
                  <c:v>0.096844133943628</c:v>
                </c:pt>
                <c:pt idx="71">
                  <c:v>0.149641577060932</c:v>
                </c:pt>
                <c:pt idx="72">
                  <c:v>0.172148541114058</c:v>
                </c:pt>
                <c:pt idx="73">
                  <c:v>0.122244268077601</c:v>
                </c:pt>
                <c:pt idx="74">
                  <c:v>0.12731919727376</c:v>
                </c:pt>
                <c:pt idx="75">
                  <c:v>0.111275617548508</c:v>
                </c:pt>
                <c:pt idx="76">
                  <c:v>-0.0147526561548352</c:v>
                </c:pt>
                <c:pt idx="77">
                  <c:v>0.108229577892499</c:v>
                </c:pt>
                <c:pt idx="78">
                  <c:v>0.139306736429039</c:v>
                </c:pt>
                <c:pt idx="79">
                  <c:v>0.175939615594117</c:v>
                </c:pt>
                <c:pt idx="80">
                  <c:v>0.171152469577666</c:v>
                </c:pt>
                <c:pt idx="81">
                  <c:v>0.156779661016949</c:v>
                </c:pt>
                <c:pt idx="82">
                  <c:v>0.14697787074755</c:v>
                </c:pt>
                <c:pt idx="83">
                  <c:v>0.115654088679812</c:v>
                </c:pt>
                <c:pt idx="84">
                  <c:v>0.134487677701805</c:v>
                </c:pt>
                <c:pt idx="85">
                  <c:v>0.116649537512847</c:v>
                </c:pt>
                <c:pt idx="86">
                  <c:v>0.115088547815821</c:v>
                </c:pt>
                <c:pt idx="87">
                  <c:v>0.113383168555582</c:v>
                </c:pt>
              </c:numCache>
            </c:numRef>
          </c:val>
          <c:smooth val="0"/>
        </c:ser>
        <c:dLbls>
          <c:showLegendKey val="0"/>
          <c:showVal val="0"/>
          <c:showCatName val="0"/>
          <c:showSerName val="0"/>
          <c:showPercent val="0"/>
          <c:showBubbleSize val="0"/>
        </c:dLbls>
        <c:marker val="1"/>
        <c:smooth val="0"/>
        <c:axId val="-2100714056"/>
        <c:axId val="-2100741656"/>
      </c:lineChart>
      <c:catAx>
        <c:axId val="-2100714056"/>
        <c:scaling>
          <c:orientation val="minMax"/>
        </c:scaling>
        <c:delete val="0"/>
        <c:axPos val="b"/>
        <c:numFmt formatCode="General" sourceLinked="1"/>
        <c:majorTickMark val="out"/>
        <c:minorTickMark val="none"/>
        <c:tickLblPos val="nextTo"/>
        <c:crossAx val="-2100741656"/>
        <c:crosses val="autoZero"/>
        <c:auto val="1"/>
        <c:lblAlgn val="ctr"/>
        <c:lblOffset val="100"/>
        <c:noMultiLvlLbl val="0"/>
      </c:catAx>
      <c:valAx>
        <c:axId val="-2100741656"/>
        <c:scaling>
          <c:orientation val="minMax"/>
        </c:scaling>
        <c:delete val="0"/>
        <c:axPos val="l"/>
        <c:majorGridlines/>
        <c:numFmt formatCode="0%" sourceLinked="1"/>
        <c:majorTickMark val="out"/>
        <c:minorTickMark val="none"/>
        <c:tickLblPos val="nextTo"/>
        <c:crossAx val="-2100714056"/>
        <c:crosses val="autoZero"/>
        <c:crossBetween val="between"/>
      </c:valAx>
    </c:plotArea>
    <c:plotVisOnly val="1"/>
    <c:dispBlanksAs val="gap"/>
    <c:showDLblsOverMax val="0"/>
  </c:chart>
  <c:printSettings>
    <c:headerFooter/>
    <c:pageMargins b="1.0" l="0.75" r="0.75" t="1.0"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manualLayout>
          <c:layoutTarget val="inner"/>
          <c:xMode val="edge"/>
          <c:yMode val="edge"/>
          <c:x val="0.0826314922061737"/>
          <c:y val="0.219043217595865"/>
          <c:w val="0.882858355624972"/>
          <c:h val="0.720771848935962"/>
        </c:manualLayout>
      </c:layout>
      <c:lineChart>
        <c:grouping val="standard"/>
        <c:varyColors val="0"/>
        <c:ser>
          <c:idx val="0"/>
          <c:order val="0"/>
          <c:tx>
            <c:strRef>
              <c:f>'Assets(BoP)'!$CB$3</c:f>
              <c:strCache>
                <c:ptCount val="1"/>
                <c:pt idx="0">
                  <c:v>(Retained abroad, % of foreign profits)</c:v>
                </c:pt>
              </c:strCache>
            </c:strRef>
          </c:tx>
          <c:marker>
            <c:symbol val="none"/>
          </c:marker>
          <c:cat>
            <c:numRef>
              <c:f>'Assets(BoP)'!$B$42:$B$108</c:f>
              <c:numCache>
                <c:formatCode>General</c:formatCode>
                <c:ptCount val="67"/>
                <c:pt idx="0">
                  <c:v>1950.0</c:v>
                </c:pt>
                <c:pt idx="1">
                  <c:v>1951.0</c:v>
                </c:pt>
                <c:pt idx="2">
                  <c:v>1952.0</c:v>
                </c:pt>
                <c:pt idx="3">
                  <c:v>1953.0</c:v>
                </c:pt>
                <c:pt idx="4">
                  <c:v>1954.0</c:v>
                </c:pt>
                <c:pt idx="5">
                  <c:v>1955.0</c:v>
                </c:pt>
                <c:pt idx="6">
                  <c:v>1956.0</c:v>
                </c:pt>
                <c:pt idx="7">
                  <c:v>1957.0</c:v>
                </c:pt>
                <c:pt idx="8">
                  <c:v>1958.0</c:v>
                </c:pt>
                <c:pt idx="9">
                  <c:v>1959.0</c:v>
                </c:pt>
                <c:pt idx="10">
                  <c:v>1960.0</c:v>
                </c:pt>
                <c:pt idx="11">
                  <c:v>1961.0</c:v>
                </c:pt>
                <c:pt idx="12">
                  <c:v>1962.0</c:v>
                </c:pt>
                <c:pt idx="13">
                  <c:v>1963.0</c:v>
                </c:pt>
                <c:pt idx="14">
                  <c:v>1964.0</c:v>
                </c:pt>
                <c:pt idx="15">
                  <c:v>1965.0</c:v>
                </c:pt>
                <c:pt idx="16">
                  <c:v>1966.0</c:v>
                </c:pt>
                <c:pt idx="17">
                  <c:v>1967.0</c:v>
                </c:pt>
                <c:pt idx="18">
                  <c:v>1968.0</c:v>
                </c:pt>
                <c:pt idx="19">
                  <c:v>1969.0</c:v>
                </c:pt>
                <c:pt idx="20">
                  <c:v>1970.0</c:v>
                </c:pt>
                <c:pt idx="21">
                  <c:v>1971.0</c:v>
                </c:pt>
                <c:pt idx="22">
                  <c:v>1972.0</c:v>
                </c:pt>
                <c:pt idx="23">
                  <c:v>1973.0</c:v>
                </c:pt>
                <c:pt idx="24">
                  <c:v>1974.0</c:v>
                </c:pt>
                <c:pt idx="25">
                  <c:v>1975.0</c:v>
                </c:pt>
                <c:pt idx="26">
                  <c:v>1976.0</c:v>
                </c:pt>
                <c:pt idx="27">
                  <c:v>1977.0</c:v>
                </c:pt>
                <c:pt idx="28">
                  <c:v>1978.0</c:v>
                </c:pt>
                <c:pt idx="29">
                  <c:v>1979.0</c:v>
                </c:pt>
                <c:pt idx="30">
                  <c:v>1980.0</c:v>
                </c:pt>
                <c:pt idx="31">
                  <c:v>1981.0</c:v>
                </c:pt>
                <c:pt idx="32">
                  <c:v>1982.0</c:v>
                </c:pt>
                <c:pt idx="33">
                  <c:v>1983.0</c:v>
                </c:pt>
                <c:pt idx="34">
                  <c:v>1984.0</c:v>
                </c:pt>
                <c:pt idx="35">
                  <c:v>1985.0</c:v>
                </c:pt>
                <c:pt idx="36">
                  <c:v>1986.0</c:v>
                </c:pt>
                <c:pt idx="37">
                  <c:v>1987.0</c:v>
                </c:pt>
                <c:pt idx="38">
                  <c:v>1988.0</c:v>
                </c:pt>
                <c:pt idx="39">
                  <c:v>1989.0</c:v>
                </c:pt>
                <c:pt idx="40">
                  <c:v>1990.0</c:v>
                </c:pt>
                <c:pt idx="41">
                  <c:v>1991.0</c:v>
                </c:pt>
                <c:pt idx="42">
                  <c:v>1992.0</c:v>
                </c:pt>
                <c:pt idx="43">
                  <c:v>1993.0</c:v>
                </c:pt>
                <c:pt idx="44">
                  <c:v>1994.0</c:v>
                </c:pt>
                <c:pt idx="45">
                  <c:v>1995.0</c:v>
                </c:pt>
                <c:pt idx="46">
                  <c:v>1996.0</c:v>
                </c:pt>
                <c:pt idx="47">
                  <c:v>1997.0</c:v>
                </c:pt>
                <c:pt idx="48">
                  <c:v>1998.0</c:v>
                </c:pt>
                <c:pt idx="49">
                  <c:v>1999.0</c:v>
                </c:pt>
                <c:pt idx="50">
                  <c:v>2000.0</c:v>
                </c:pt>
                <c:pt idx="51">
                  <c:v>2001.0</c:v>
                </c:pt>
                <c:pt idx="52">
                  <c:v>2002.0</c:v>
                </c:pt>
                <c:pt idx="53">
                  <c:v>2003.0</c:v>
                </c:pt>
                <c:pt idx="54">
                  <c:v>2004.0</c:v>
                </c:pt>
                <c:pt idx="55">
                  <c:v>2005.0</c:v>
                </c:pt>
                <c:pt idx="56">
                  <c:v>2006.0</c:v>
                </c:pt>
                <c:pt idx="57">
                  <c:v>2007.0</c:v>
                </c:pt>
                <c:pt idx="58">
                  <c:v>2008.0</c:v>
                </c:pt>
                <c:pt idx="59">
                  <c:v>2009.0</c:v>
                </c:pt>
                <c:pt idx="60">
                  <c:v>2010.0</c:v>
                </c:pt>
                <c:pt idx="61">
                  <c:v>2011.0</c:v>
                </c:pt>
                <c:pt idx="62">
                  <c:v>2012.0</c:v>
                </c:pt>
                <c:pt idx="63">
                  <c:v>2013.0</c:v>
                </c:pt>
                <c:pt idx="64">
                  <c:v>2014.0</c:v>
                </c:pt>
                <c:pt idx="65">
                  <c:v>2015.0</c:v>
                </c:pt>
                <c:pt idx="66">
                  <c:v>2016.0</c:v>
                </c:pt>
              </c:numCache>
            </c:numRef>
          </c:cat>
          <c:val>
            <c:numRef>
              <c:f>'Assets(BoP)'!$CB$42:$CB$108</c:f>
              <c:numCache>
                <c:formatCode>0%</c:formatCode>
                <c:ptCount val="67"/>
                <c:pt idx="0">
                  <c:v>0.230769230769231</c:v>
                </c:pt>
                <c:pt idx="1">
                  <c:v>0.352941176470588</c:v>
                </c:pt>
                <c:pt idx="2">
                  <c:v>0.421052631578947</c:v>
                </c:pt>
                <c:pt idx="3">
                  <c:v>0.333333333333333</c:v>
                </c:pt>
                <c:pt idx="4">
                  <c:v>0.3</c:v>
                </c:pt>
                <c:pt idx="5">
                  <c:v>0.291666666666668</c:v>
                </c:pt>
                <c:pt idx="6">
                  <c:v>0.357142857142856</c:v>
                </c:pt>
                <c:pt idx="7">
                  <c:v>0.387096774193548</c:v>
                </c:pt>
                <c:pt idx="8">
                  <c:v>0.32</c:v>
                </c:pt>
                <c:pt idx="9">
                  <c:v>0.296296296296297</c:v>
                </c:pt>
                <c:pt idx="10">
                  <c:v>0.35483870967742</c:v>
                </c:pt>
                <c:pt idx="11">
                  <c:v>0.303030303030303</c:v>
                </c:pt>
                <c:pt idx="12">
                  <c:v>0.289473684210526</c:v>
                </c:pt>
                <c:pt idx="13">
                  <c:v>0.341463414634146</c:v>
                </c:pt>
                <c:pt idx="14">
                  <c:v>0.288888888888888</c:v>
                </c:pt>
                <c:pt idx="15">
                  <c:v>0.297872340425532</c:v>
                </c:pt>
                <c:pt idx="16">
                  <c:v>0.377777777777778</c:v>
                </c:pt>
                <c:pt idx="17">
                  <c:v>0.333333333333334</c:v>
                </c:pt>
                <c:pt idx="18">
                  <c:v>0.410714285714286</c:v>
                </c:pt>
                <c:pt idx="19">
                  <c:v>0.424242424242425</c:v>
                </c:pt>
                <c:pt idx="20">
                  <c:v>0.450704225352113</c:v>
                </c:pt>
                <c:pt idx="21">
                  <c:v>0.405063291139241</c:v>
                </c:pt>
                <c:pt idx="22">
                  <c:v>0.48421052631579</c:v>
                </c:pt>
                <c:pt idx="23">
                  <c:v>0.543624161073826</c:v>
                </c:pt>
                <c:pt idx="24">
                  <c:v>0.44</c:v>
                </c:pt>
                <c:pt idx="25">
                  <c:v>0.554794520547945</c:v>
                </c:pt>
                <c:pt idx="26">
                  <c:v>0.460606060606061</c:v>
                </c:pt>
                <c:pt idx="27">
                  <c:v>0.424083769633507</c:v>
                </c:pt>
                <c:pt idx="28">
                  <c:v>0.510917030567686</c:v>
                </c:pt>
                <c:pt idx="29">
                  <c:v>0.534682080924855</c:v>
                </c:pt>
                <c:pt idx="30">
                  <c:v>0.526760563380282</c:v>
                </c:pt>
                <c:pt idx="31">
                  <c:v>0.478114478114478</c:v>
                </c:pt>
                <c:pt idx="32">
                  <c:v>0.496932515337423</c:v>
                </c:pt>
                <c:pt idx="33">
                  <c:v>0.655270655270655</c:v>
                </c:pt>
                <c:pt idx="34">
                  <c:v>0.66120218579235</c:v>
                </c:pt>
                <c:pt idx="35">
                  <c:v>0.68766404199475</c:v>
                </c:pt>
                <c:pt idx="36">
                  <c:v>0.546835443037974</c:v>
                </c:pt>
                <c:pt idx="37">
                  <c:v>0.652083333333333</c:v>
                </c:pt>
                <c:pt idx="38">
                  <c:v>0.440350877192983</c:v>
                </c:pt>
                <c:pt idx="39">
                  <c:v>0.529061102831595</c:v>
                </c:pt>
                <c:pt idx="40">
                  <c:v>0.671484888304862</c:v>
                </c:pt>
                <c:pt idx="41">
                  <c:v>0.681045751633987</c:v>
                </c:pt>
                <c:pt idx="42">
                  <c:v>0.616963064295486</c:v>
                </c:pt>
                <c:pt idx="43">
                  <c:v>0.732119635890767</c:v>
                </c:pt>
                <c:pt idx="44">
                  <c:v>0.51025641025641</c:v>
                </c:pt>
                <c:pt idx="45">
                  <c:v>0.646932185145317</c:v>
                </c:pt>
                <c:pt idx="46">
                  <c:v>0.603921568627451</c:v>
                </c:pt>
                <c:pt idx="47">
                  <c:v>0.560408921933085</c:v>
                </c:pt>
                <c:pt idx="48">
                  <c:v>0.58852140077821</c:v>
                </c:pt>
                <c:pt idx="49">
                  <c:v>0.659016393442623</c:v>
                </c:pt>
                <c:pt idx="50">
                  <c:v>0.799589603283174</c:v>
                </c:pt>
                <c:pt idx="51">
                  <c:v>0.761737089201878</c:v>
                </c:pt>
                <c:pt idx="52">
                  <c:v>0.698362720403022</c:v>
                </c:pt>
                <c:pt idx="53">
                  <c:v>0.807322929171669</c:v>
                </c:pt>
                <c:pt idx="54">
                  <c:v>0.696585365853658</c:v>
                </c:pt>
                <c:pt idx="55">
                  <c:v>-0.0911752404851527</c:v>
                </c:pt>
                <c:pt idx="56">
                  <c:v>0.695550351288056</c:v>
                </c:pt>
                <c:pt idx="57">
                  <c:v>0.602716468590832</c:v>
                </c:pt>
                <c:pt idx="58">
                  <c:v>0.555938037865749</c:v>
                </c:pt>
                <c:pt idx="59">
                  <c:v>0.669372900335946</c:v>
                </c:pt>
                <c:pt idx="60">
                  <c:v>0.692813765182186</c:v>
                </c:pt>
                <c:pt idx="61">
                  <c:v>0.632851386584499</c:v>
                </c:pt>
                <c:pt idx="62">
                  <c:v>0.563246405069461</c:v>
                </c:pt>
                <c:pt idx="63">
                  <c:v>0.663914521612433</c:v>
                </c:pt>
                <c:pt idx="64">
                  <c:v>0.628176100628931</c:v>
                </c:pt>
                <c:pt idx="65">
                  <c:v>0.599458838963595</c:v>
                </c:pt>
                <c:pt idx="66">
                  <c:v>0.57830436208593</c:v>
                </c:pt>
              </c:numCache>
            </c:numRef>
          </c:val>
          <c:smooth val="0"/>
        </c:ser>
        <c:dLbls>
          <c:showLegendKey val="0"/>
          <c:showVal val="0"/>
          <c:showCatName val="0"/>
          <c:showSerName val="0"/>
          <c:showPercent val="0"/>
          <c:showBubbleSize val="0"/>
        </c:dLbls>
        <c:marker val="1"/>
        <c:smooth val="0"/>
        <c:axId val="-2100749864"/>
        <c:axId val="-2100759208"/>
      </c:lineChart>
      <c:catAx>
        <c:axId val="-2100749864"/>
        <c:scaling>
          <c:orientation val="minMax"/>
        </c:scaling>
        <c:delete val="0"/>
        <c:axPos val="b"/>
        <c:numFmt formatCode="General" sourceLinked="1"/>
        <c:majorTickMark val="out"/>
        <c:minorTickMark val="none"/>
        <c:tickLblPos val="nextTo"/>
        <c:crossAx val="-2100759208"/>
        <c:crosses val="autoZero"/>
        <c:auto val="1"/>
        <c:lblAlgn val="ctr"/>
        <c:lblOffset val="100"/>
        <c:noMultiLvlLbl val="0"/>
      </c:catAx>
      <c:valAx>
        <c:axId val="-2100759208"/>
        <c:scaling>
          <c:orientation val="minMax"/>
          <c:min val="-0.1"/>
        </c:scaling>
        <c:delete val="0"/>
        <c:axPos val="l"/>
        <c:majorGridlines/>
        <c:numFmt formatCode="0%" sourceLinked="1"/>
        <c:majorTickMark val="out"/>
        <c:minorTickMark val="none"/>
        <c:tickLblPos val="nextTo"/>
        <c:crossAx val="-2100749864"/>
        <c:crosses val="autoZero"/>
        <c:crossBetween val="between"/>
      </c:valAx>
    </c:plotArea>
    <c:plotVisOnly val="1"/>
    <c:dispBlanksAs val="gap"/>
    <c:showDLblsOverMax val="0"/>
  </c:chart>
  <c:printSettings>
    <c:headerFooter/>
    <c:pageMargins b="1.0" l="0.75" r="0.75" t="1.0"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manualLayout>
          <c:layoutTarget val="inner"/>
          <c:xMode val="edge"/>
          <c:yMode val="edge"/>
          <c:x val="0.0932248468941382"/>
          <c:y val="0.211111111111111"/>
          <c:w val="0.881775153105862"/>
          <c:h val="0.634506415864683"/>
        </c:manualLayout>
      </c:layout>
      <c:lineChart>
        <c:grouping val="standard"/>
        <c:varyColors val="0"/>
        <c:ser>
          <c:idx val="0"/>
          <c:order val="0"/>
          <c:tx>
            <c:strRef>
              <c:f>'Assets(BoP)'!$BU$3</c:f>
              <c:strCache>
                <c:ptCount val="1"/>
                <c:pt idx="0">
                  <c:v>(retained earnings % BEA profits)</c:v>
                </c:pt>
              </c:strCache>
            </c:strRef>
          </c:tx>
          <c:marker>
            <c:symbol val="none"/>
          </c:marker>
          <c:cat>
            <c:numRef>
              <c:f>'Assets(BoP)'!$B$42:$B$108</c:f>
              <c:numCache>
                <c:formatCode>General</c:formatCode>
                <c:ptCount val="67"/>
                <c:pt idx="0">
                  <c:v>1950.0</c:v>
                </c:pt>
                <c:pt idx="1">
                  <c:v>1951.0</c:v>
                </c:pt>
                <c:pt idx="2">
                  <c:v>1952.0</c:v>
                </c:pt>
                <c:pt idx="3">
                  <c:v>1953.0</c:v>
                </c:pt>
                <c:pt idx="4">
                  <c:v>1954.0</c:v>
                </c:pt>
                <c:pt idx="5">
                  <c:v>1955.0</c:v>
                </c:pt>
                <c:pt idx="6">
                  <c:v>1956.0</c:v>
                </c:pt>
                <c:pt idx="7">
                  <c:v>1957.0</c:v>
                </c:pt>
                <c:pt idx="8">
                  <c:v>1958.0</c:v>
                </c:pt>
                <c:pt idx="9">
                  <c:v>1959.0</c:v>
                </c:pt>
                <c:pt idx="10">
                  <c:v>1960.0</c:v>
                </c:pt>
                <c:pt idx="11">
                  <c:v>1961.0</c:v>
                </c:pt>
                <c:pt idx="12">
                  <c:v>1962.0</c:v>
                </c:pt>
                <c:pt idx="13">
                  <c:v>1963.0</c:v>
                </c:pt>
                <c:pt idx="14">
                  <c:v>1964.0</c:v>
                </c:pt>
                <c:pt idx="15">
                  <c:v>1965.0</c:v>
                </c:pt>
                <c:pt idx="16">
                  <c:v>1966.0</c:v>
                </c:pt>
                <c:pt idx="17">
                  <c:v>1967.0</c:v>
                </c:pt>
                <c:pt idx="18">
                  <c:v>1968.0</c:v>
                </c:pt>
                <c:pt idx="19">
                  <c:v>1969.0</c:v>
                </c:pt>
                <c:pt idx="20">
                  <c:v>1970.0</c:v>
                </c:pt>
                <c:pt idx="21">
                  <c:v>1971.0</c:v>
                </c:pt>
                <c:pt idx="22">
                  <c:v>1972.0</c:v>
                </c:pt>
                <c:pt idx="23">
                  <c:v>1973.0</c:v>
                </c:pt>
                <c:pt idx="24">
                  <c:v>1974.0</c:v>
                </c:pt>
                <c:pt idx="25">
                  <c:v>1975.0</c:v>
                </c:pt>
                <c:pt idx="26">
                  <c:v>1976.0</c:v>
                </c:pt>
                <c:pt idx="27">
                  <c:v>1977.0</c:v>
                </c:pt>
                <c:pt idx="28">
                  <c:v>1978.0</c:v>
                </c:pt>
                <c:pt idx="29">
                  <c:v>1979.0</c:v>
                </c:pt>
                <c:pt idx="30">
                  <c:v>1980.0</c:v>
                </c:pt>
                <c:pt idx="31">
                  <c:v>1981.0</c:v>
                </c:pt>
                <c:pt idx="32">
                  <c:v>1982.0</c:v>
                </c:pt>
                <c:pt idx="33">
                  <c:v>1983.0</c:v>
                </c:pt>
                <c:pt idx="34">
                  <c:v>1984.0</c:v>
                </c:pt>
                <c:pt idx="35">
                  <c:v>1985.0</c:v>
                </c:pt>
                <c:pt idx="36">
                  <c:v>1986.0</c:v>
                </c:pt>
                <c:pt idx="37">
                  <c:v>1987.0</c:v>
                </c:pt>
                <c:pt idx="38">
                  <c:v>1988.0</c:v>
                </c:pt>
                <c:pt idx="39">
                  <c:v>1989.0</c:v>
                </c:pt>
                <c:pt idx="40">
                  <c:v>1990.0</c:v>
                </c:pt>
                <c:pt idx="41">
                  <c:v>1991.0</c:v>
                </c:pt>
                <c:pt idx="42">
                  <c:v>1992.0</c:v>
                </c:pt>
                <c:pt idx="43">
                  <c:v>1993.0</c:v>
                </c:pt>
                <c:pt idx="44">
                  <c:v>1994.0</c:v>
                </c:pt>
                <c:pt idx="45">
                  <c:v>1995.0</c:v>
                </c:pt>
                <c:pt idx="46">
                  <c:v>1996.0</c:v>
                </c:pt>
                <c:pt idx="47">
                  <c:v>1997.0</c:v>
                </c:pt>
                <c:pt idx="48">
                  <c:v>1998.0</c:v>
                </c:pt>
                <c:pt idx="49">
                  <c:v>1999.0</c:v>
                </c:pt>
                <c:pt idx="50">
                  <c:v>2000.0</c:v>
                </c:pt>
                <c:pt idx="51">
                  <c:v>2001.0</c:v>
                </c:pt>
                <c:pt idx="52">
                  <c:v>2002.0</c:v>
                </c:pt>
                <c:pt idx="53">
                  <c:v>2003.0</c:v>
                </c:pt>
                <c:pt idx="54">
                  <c:v>2004.0</c:v>
                </c:pt>
                <c:pt idx="55">
                  <c:v>2005.0</c:v>
                </c:pt>
                <c:pt idx="56">
                  <c:v>2006.0</c:v>
                </c:pt>
                <c:pt idx="57">
                  <c:v>2007.0</c:v>
                </c:pt>
                <c:pt idx="58">
                  <c:v>2008.0</c:v>
                </c:pt>
                <c:pt idx="59">
                  <c:v>2009.0</c:v>
                </c:pt>
                <c:pt idx="60">
                  <c:v>2010.0</c:v>
                </c:pt>
                <c:pt idx="61">
                  <c:v>2011.0</c:v>
                </c:pt>
                <c:pt idx="62">
                  <c:v>2012.0</c:v>
                </c:pt>
                <c:pt idx="63">
                  <c:v>2013.0</c:v>
                </c:pt>
                <c:pt idx="64">
                  <c:v>2014.0</c:v>
                </c:pt>
                <c:pt idx="65">
                  <c:v>2015.0</c:v>
                </c:pt>
                <c:pt idx="66">
                  <c:v>2016.0</c:v>
                </c:pt>
              </c:numCache>
            </c:numRef>
          </c:cat>
          <c:val>
            <c:numRef>
              <c:f>'Assets(BoP)'!$BU$42:$BU$108</c:f>
              <c:numCache>
                <c:formatCode>0%</c:formatCode>
                <c:ptCount val="67"/>
                <c:pt idx="0">
                  <c:v>0.257617728531856</c:v>
                </c:pt>
                <c:pt idx="1">
                  <c:v>0.245145631067961</c:v>
                </c:pt>
                <c:pt idx="2">
                  <c:v>0.294710327455919</c:v>
                </c:pt>
                <c:pt idx="3">
                  <c:v>0.275434243176179</c:v>
                </c:pt>
                <c:pt idx="4">
                  <c:v>0.318987341772152</c:v>
                </c:pt>
                <c:pt idx="5">
                  <c:v>0.350597609561753</c:v>
                </c:pt>
                <c:pt idx="6">
                  <c:v>0.330645161290323</c:v>
                </c:pt>
                <c:pt idx="7">
                  <c:v>0.325865580448065</c:v>
                </c:pt>
                <c:pt idx="8">
                  <c:v>0.302961275626424</c:v>
                </c:pt>
                <c:pt idx="9">
                  <c:v>0.345945945945946</c:v>
                </c:pt>
                <c:pt idx="10">
                  <c:v>0.338208409506398</c:v>
                </c:pt>
                <c:pt idx="11">
                  <c:v>0.343470483005367</c:v>
                </c:pt>
                <c:pt idx="12">
                  <c:v>0.3890625</c:v>
                </c:pt>
                <c:pt idx="13">
                  <c:v>0.395744680851064</c:v>
                </c:pt>
                <c:pt idx="14">
                  <c:v>0.404118404118404</c:v>
                </c:pt>
                <c:pt idx="15">
                  <c:v>0.425531914893617</c:v>
                </c:pt>
                <c:pt idx="16">
                  <c:v>0.432882414151925</c:v>
                </c:pt>
                <c:pt idx="17">
                  <c:v>0.420660276890309</c:v>
                </c:pt>
                <c:pt idx="18">
                  <c:v>0.379547689282203</c:v>
                </c:pt>
                <c:pt idx="19">
                  <c:v>0.347560975609756</c:v>
                </c:pt>
                <c:pt idx="20">
                  <c:v>0.315545243619489</c:v>
                </c:pt>
                <c:pt idx="21">
                  <c:v>0.372763419483101</c:v>
                </c:pt>
                <c:pt idx="22">
                  <c:v>0.409556313993174</c:v>
                </c:pt>
                <c:pt idx="23">
                  <c:v>0.401049475262369</c:v>
                </c:pt>
                <c:pt idx="24">
                  <c:v>0.315831344470963</c:v>
                </c:pt>
                <c:pt idx="25">
                  <c:v>0.390928725701944</c:v>
                </c:pt>
                <c:pt idx="26">
                  <c:v>0.401606425702811</c:v>
                </c:pt>
                <c:pt idx="27">
                  <c:v>0.420796890184645</c:v>
                </c:pt>
                <c:pt idx="28">
                  <c:v>0.431265716680637</c:v>
                </c:pt>
                <c:pt idx="29">
                  <c:v>0.407228915662651</c:v>
                </c:pt>
                <c:pt idx="30">
                  <c:v>0.323345259391771</c:v>
                </c:pt>
                <c:pt idx="31">
                  <c:v>0.361212121212121</c:v>
                </c:pt>
                <c:pt idx="32">
                  <c:v>0.372335798173119</c:v>
                </c:pt>
                <c:pt idx="33">
                  <c:v>0.413509649749821</c:v>
                </c:pt>
                <c:pt idx="34">
                  <c:v>0.442438591299201</c:v>
                </c:pt>
                <c:pt idx="35">
                  <c:v>0.444287729196051</c:v>
                </c:pt>
                <c:pt idx="36">
                  <c:v>0.334463625154131</c:v>
                </c:pt>
                <c:pt idx="37">
                  <c:v>0.336612021857923</c:v>
                </c:pt>
                <c:pt idx="38">
                  <c:v>0.345384429983128</c:v>
                </c:pt>
                <c:pt idx="39">
                  <c:v>0.26605504587156</c:v>
                </c:pt>
                <c:pt idx="40">
                  <c:v>0.246164908916587</c:v>
                </c:pt>
                <c:pt idx="41">
                  <c:v>0.292931531132284</c:v>
                </c:pt>
                <c:pt idx="42">
                  <c:v>0.288449400378708</c:v>
                </c:pt>
                <c:pt idx="43">
                  <c:v>0.278927203065134</c:v>
                </c:pt>
                <c:pt idx="44">
                  <c:v>0.310017687731146</c:v>
                </c:pt>
                <c:pt idx="45">
                  <c:v>0.32176386913229</c:v>
                </c:pt>
                <c:pt idx="46">
                  <c:v>0.319425009540771</c:v>
                </c:pt>
                <c:pt idx="47">
                  <c:v>0.324439824439824</c:v>
                </c:pt>
                <c:pt idx="48">
                  <c:v>0.247108568585997</c:v>
                </c:pt>
                <c:pt idx="49">
                  <c:v>0.269212238014936</c:v>
                </c:pt>
                <c:pt idx="50">
                  <c:v>0.168202764976958</c:v>
                </c:pt>
                <c:pt idx="51">
                  <c:v>0.238992042440318</c:v>
                </c:pt>
                <c:pt idx="52">
                  <c:v>0.346891534391534</c:v>
                </c:pt>
                <c:pt idx="53">
                  <c:v>0.358386974630822</c:v>
                </c:pt>
                <c:pt idx="54">
                  <c:v>0.321982389152965</c:v>
                </c:pt>
                <c:pt idx="55">
                  <c:v>0.328077417608446</c:v>
                </c:pt>
                <c:pt idx="56">
                  <c:v>0.271545703006377</c:v>
                </c:pt>
                <c:pt idx="57">
                  <c:v>0.173054283845651</c:v>
                </c:pt>
                <c:pt idx="58">
                  <c:v>0.130184421445802</c:v>
                </c:pt>
                <c:pt idx="59">
                  <c:v>0.395776664280601</c:v>
                </c:pt>
                <c:pt idx="60">
                  <c:v>0.464899221255153</c:v>
                </c:pt>
                <c:pt idx="61">
                  <c:v>0.403996476934933</c:v>
                </c:pt>
                <c:pt idx="62">
                  <c:v>0.345911320188169</c:v>
                </c:pt>
                <c:pt idx="63">
                  <c:v>0.312755177332874</c:v>
                </c:pt>
                <c:pt idx="64">
                  <c:v>0.303139306736429</c:v>
                </c:pt>
                <c:pt idx="65">
                  <c:v>0.269232585596222</c:v>
                </c:pt>
                <c:pt idx="66">
                  <c:v>0.299300699300699</c:v>
                </c:pt>
              </c:numCache>
            </c:numRef>
          </c:val>
          <c:smooth val="0"/>
        </c:ser>
        <c:dLbls>
          <c:showLegendKey val="0"/>
          <c:showVal val="0"/>
          <c:showCatName val="0"/>
          <c:showSerName val="0"/>
          <c:showPercent val="0"/>
          <c:showBubbleSize val="0"/>
        </c:dLbls>
        <c:marker val="1"/>
        <c:smooth val="0"/>
        <c:axId val="-2100780296"/>
        <c:axId val="-2100777288"/>
      </c:lineChart>
      <c:catAx>
        <c:axId val="-2100780296"/>
        <c:scaling>
          <c:orientation val="minMax"/>
        </c:scaling>
        <c:delete val="0"/>
        <c:axPos val="b"/>
        <c:numFmt formatCode="General" sourceLinked="1"/>
        <c:majorTickMark val="out"/>
        <c:minorTickMark val="none"/>
        <c:tickLblPos val="nextTo"/>
        <c:crossAx val="-2100777288"/>
        <c:crosses val="autoZero"/>
        <c:auto val="1"/>
        <c:lblAlgn val="ctr"/>
        <c:lblOffset val="100"/>
        <c:noMultiLvlLbl val="0"/>
      </c:catAx>
      <c:valAx>
        <c:axId val="-2100777288"/>
        <c:scaling>
          <c:orientation val="minMax"/>
        </c:scaling>
        <c:delete val="0"/>
        <c:axPos val="l"/>
        <c:majorGridlines/>
        <c:numFmt formatCode="0%" sourceLinked="1"/>
        <c:majorTickMark val="out"/>
        <c:minorTickMark val="none"/>
        <c:tickLblPos val="nextTo"/>
        <c:crossAx val="-2100780296"/>
        <c:crosses val="autoZero"/>
        <c:crossBetween val="between"/>
      </c:valAx>
    </c:plotArea>
    <c:plotVisOnly val="1"/>
    <c:dispBlanksAs val="gap"/>
    <c:showDLblsOverMax val="0"/>
  </c:chart>
  <c:printSettings>
    <c:headerFooter/>
    <c:pageMargins b="1.0" l="0.75" r="0.75" t="1.0"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manualLayout>
          <c:layoutTarget val="inner"/>
          <c:xMode val="edge"/>
          <c:yMode val="edge"/>
          <c:x val="0.0932248468941382"/>
          <c:y val="0.178703703703704"/>
          <c:w val="0.880701006124234"/>
          <c:h val="0.68827172645086"/>
        </c:manualLayout>
      </c:layout>
      <c:lineChart>
        <c:grouping val="standard"/>
        <c:varyColors val="0"/>
        <c:ser>
          <c:idx val="0"/>
          <c:order val="0"/>
          <c:tx>
            <c:strRef>
              <c:f>'Assets(BoP)'!$E$3</c:f>
              <c:strCache>
                <c:ptCount val="1"/>
                <c:pt idx="0">
                  <c:v>(corporate profits % national income)</c:v>
                </c:pt>
              </c:strCache>
            </c:strRef>
          </c:tx>
          <c:marker>
            <c:symbol val="none"/>
          </c:marker>
          <c:cat>
            <c:numRef>
              <c:f>'Assets(BoP)'!$B$37:$B$109</c:f>
              <c:numCache>
                <c:formatCode>General</c:formatCode>
                <c:ptCount val="73"/>
                <c:pt idx="0">
                  <c:v>1945.0</c:v>
                </c:pt>
                <c:pt idx="1">
                  <c:v>1946.0</c:v>
                </c:pt>
                <c:pt idx="2">
                  <c:v>1947.0</c:v>
                </c:pt>
                <c:pt idx="3">
                  <c:v>1948.0</c:v>
                </c:pt>
                <c:pt idx="4">
                  <c:v>1949.0</c:v>
                </c:pt>
                <c:pt idx="5">
                  <c:v>1950.0</c:v>
                </c:pt>
                <c:pt idx="6">
                  <c:v>1951.0</c:v>
                </c:pt>
                <c:pt idx="7">
                  <c:v>1952.0</c:v>
                </c:pt>
                <c:pt idx="8">
                  <c:v>1953.0</c:v>
                </c:pt>
                <c:pt idx="9">
                  <c:v>1954.0</c:v>
                </c:pt>
                <c:pt idx="10">
                  <c:v>1955.0</c:v>
                </c:pt>
                <c:pt idx="11">
                  <c:v>1956.0</c:v>
                </c:pt>
                <c:pt idx="12">
                  <c:v>1957.0</c:v>
                </c:pt>
                <c:pt idx="13">
                  <c:v>1958.0</c:v>
                </c:pt>
                <c:pt idx="14">
                  <c:v>1959.0</c:v>
                </c:pt>
                <c:pt idx="15">
                  <c:v>1960.0</c:v>
                </c:pt>
                <c:pt idx="16">
                  <c:v>1961.0</c:v>
                </c:pt>
                <c:pt idx="17">
                  <c:v>1962.0</c:v>
                </c:pt>
                <c:pt idx="18">
                  <c:v>1963.0</c:v>
                </c:pt>
                <c:pt idx="19">
                  <c:v>1964.0</c:v>
                </c:pt>
                <c:pt idx="20">
                  <c:v>1965.0</c:v>
                </c:pt>
                <c:pt idx="21">
                  <c:v>1966.0</c:v>
                </c:pt>
                <c:pt idx="22">
                  <c:v>1967.0</c:v>
                </c:pt>
                <c:pt idx="23">
                  <c:v>1968.0</c:v>
                </c:pt>
                <c:pt idx="24">
                  <c:v>1969.0</c:v>
                </c:pt>
                <c:pt idx="25">
                  <c:v>1970.0</c:v>
                </c:pt>
                <c:pt idx="26">
                  <c:v>1971.0</c:v>
                </c:pt>
                <c:pt idx="27">
                  <c:v>1972.0</c:v>
                </c:pt>
                <c:pt idx="28">
                  <c:v>1973.0</c:v>
                </c:pt>
                <c:pt idx="29">
                  <c:v>1974.0</c:v>
                </c:pt>
                <c:pt idx="30">
                  <c:v>1975.0</c:v>
                </c:pt>
                <c:pt idx="31">
                  <c:v>1976.0</c:v>
                </c:pt>
                <c:pt idx="32">
                  <c:v>1977.0</c:v>
                </c:pt>
                <c:pt idx="33">
                  <c:v>1978.0</c:v>
                </c:pt>
                <c:pt idx="34">
                  <c:v>1979.0</c:v>
                </c:pt>
                <c:pt idx="35">
                  <c:v>1980.0</c:v>
                </c:pt>
                <c:pt idx="36">
                  <c:v>1981.0</c:v>
                </c:pt>
                <c:pt idx="37">
                  <c:v>1982.0</c:v>
                </c:pt>
                <c:pt idx="38">
                  <c:v>1983.0</c:v>
                </c:pt>
                <c:pt idx="39">
                  <c:v>1984.0</c:v>
                </c:pt>
                <c:pt idx="40">
                  <c:v>1985.0</c:v>
                </c:pt>
                <c:pt idx="41">
                  <c:v>1986.0</c:v>
                </c:pt>
                <c:pt idx="42">
                  <c:v>1987.0</c:v>
                </c:pt>
                <c:pt idx="43">
                  <c:v>1988.0</c:v>
                </c:pt>
                <c:pt idx="44">
                  <c:v>1989.0</c:v>
                </c:pt>
                <c:pt idx="45">
                  <c:v>1990.0</c:v>
                </c:pt>
                <c:pt idx="46">
                  <c:v>1991.0</c:v>
                </c:pt>
                <c:pt idx="47">
                  <c:v>1992.0</c:v>
                </c:pt>
                <c:pt idx="48">
                  <c:v>1993.0</c:v>
                </c:pt>
                <c:pt idx="49">
                  <c:v>1994.0</c:v>
                </c:pt>
                <c:pt idx="50">
                  <c:v>1995.0</c:v>
                </c:pt>
                <c:pt idx="51">
                  <c:v>1996.0</c:v>
                </c:pt>
                <c:pt idx="52">
                  <c:v>1997.0</c:v>
                </c:pt>
                <c:pt idx="53">
                  <c:v>1998.0</c:v>
                </c:pt>
                <c:pt idx="54">
                  <c:v>1999.0</c:v>
                </c:pt>
                <c:pt idx="55">
                  <c:v>2000.0</c:v>
                </c:pt>
                <c:pt idx="56">
                  <c:v>2001.0</c:v>
                </c:pt>
                <c:pt idx="57">
                  <c:v>2002.0</c:v>
                </c:pt>
                <c:pt idx="58">
                  <c:v>2003.0</c:v>
                </c:pt>
                <c:pt idx="59">
                  <c:v>2004.0</c:v>
                </c:pt>
                <c:pt idx="60">
                  <c:v>2005.0</c:v>
                </c:pt>
                <c:pt idx="61">
                  <c:v>2006.0</c:v>
                </c:pt>
                <c:pt idx="62">
                  <c:v>2007.0</c:v>
                </c:pt>
                <c:pt idx="63">
                  <c:v>2008.0</c:v>
                </c:pt>
                <c:pt idx="64">
                  <c:v>2009.0</c:v>
                </c:pt>
                <c:pt idx="65">
                  <c:v>2010.0</c:v>
                </c:pt>
                <c:pt idx="66">
                  <c:v>2011.0</c:v>
                </c:pt>
                <c:pt idx="67">
                  <c:v>2012.0</c:v>
                </c:pt>
                <c:pt idx="68">
                  <c:v>2013.0</c:v>
                </c:pt>
                <c:pt idx="69">
                  <c:v>2014.0</c:v>
                </c:pt>
                <c:pt idx="70">
                  <c:v>2015.0</c:v>
                </c:pt>
                <c:pt idx="71">
                  <c:v>2016.0</c:v>
                </c:pt>
                <c:pt idx="72">
                  <c:v>2017.0</c:v>
                </c:pt>
              </c:numCache>
            </c:numRef>
          </c:cat>
          <c:val>
            <c:numRef>
              <c:f>'Assets(BoP)'!$E$37:$E$109</c:f>
              <c:numCache>
                <c:formatCode>0%</c:formatCode>
                <c:ptCount val="73"/>
                <c:pt idx="0">
                  <c:v>0.101787487586892</c:v>
                </c:pt>
                <c:pt idx="1">
                  <c:v>0.0903225806451613</c:v>
                </c:pt>
                <c:pt idx="2">
                  <c:v>0.110502283105023</c:v>
                </c:pt>
                <c:pt idx="3">
                  <c:v>0.128110975112199</c:v>
                </c:pt>
                <c:pt idx="4">
                  <c:v>0.12125</c:v>
                </c:pt>
                <c:pt idx="5">
                  <c:v>0.135205992509363</c:v>
                </c:pt>
                <c:pt idx="6">
                  <c:v>0.133766233766234</c:v>
                </c:pt>
                <c:pt idx="7">
                  <c:v>0.121592649310873</c:v>
                </c:pt>
                <c:pt idx="8">
                  <c:v>0.117015098722416</c:v>
                </c:pt>
                <c:pt idx="9">
                  <c:v>0.114692218350755</c:v>
                </c:pt>
                <c:pt idx="10">
                  <c:v>0.132944915254237</c:v>
                </c:pt>
                <c:pt idx="11">
                  <c:v>0.123721626340733</c:v>
                </c:pt>
                <c:pt idx="12">
                  <c:v>0.117072007629948</c:v>
                </c:pt>
                <c:pt idx="13">
                  <c:v>0.104127134724858</c:v>
                </c:pt>
                <c:pt idx="14">
                  <c:v>0.120757180156658</c:v>
                </c:pt>
                <c:pt idx="15">
                  <c:v>0.113982079599917</c:v>
                </c:pt>
                <c:pt idx="16">
                  <c:v>0.112429605792438</c:v>
                </c:pt>
                <c:pt idx="17">
                  <c:v>0.119581464872945</c:v>
                </c:pt>
                <c:pt idx="18">
                  <c:v>0.124426403106248</c:v>
                </c:pt>
                <c:pt idx="19">
                  <c:v>0.127733026467204</c:v>
                </c:pt>
                <c:pt idx="20">
                  <c:v>0.13524155686809</c:v>
                </c:pt>
                <c:pt idx="21">
                  <c:v>0.133527858830068</c:v>
                </c:pt>
                <c:pt idx="22">
                  <c:v>0.123520126282557</c:v>
                </c:pt>
                <c:pt idx="23">
                  <c:v>0.122220886912631</c:v>
                </c:pt>
                <c:pt idx="24">
                  <c:v>0.109394107837688</c:v>
                </c:pt>
                <c:pt idx="25">
                  <c:v>0.0916923731517923</c:v>
                </c:pt>
                <c:pt idx="26">
                  <c:v>0.0989183874139626</c:v>
                </c:pt>
                <c:pt idx="27">
                  <c:v>0.104363312555654</c:v>
                </c:pt>
                <c:pt idx="28">
                  <c:v>0.10612569610183</c:v>
                </c:pt>
                <c:pt idx="29">
                  <c:v>0.0930559668344684</c:v>
                </c:pt>
                <c:pt idx="30">
                  <c:v>0.0957204879057267</c:v>
                </c:pt>
                <c:pt idx="31">
                  <c:v>0.107939063661135</c:v>
                </c:pt>
                <c:pt idx="32">
                  <c:v>0.114415967087341</c:v>
                </c:pt>
                <c:pt idx="33">
                  <c:v>0.117542736095374</c:v>
                </c:pt>
                <c:pt idx="34">
                  <c:v>0.110755270883373</c:v>
                </c:pt>
                <c:pt idx="35">
                  <c:v>0.0921377946266688</c:v>
                </c:pt>
                <c:pt idx="36">
                  <c:v>0.0909224495793688</c:v>
                </c:pt>
                <c:pt idx="37" formatCode="0.0%">
                  <c:v>0.0809393043233347</c:v>
                </c:pt>
                <c:pt idx="38" formatCode="0.0%">
                  <c:v>0.0914229701029243</c:v>
                </c:pt>
                <c:pt idx="39" formatCode="0.0%">
                  <c:v>0.0981126596980255</c:v>
                </c:pt>
                <c:pt idx="40" formatCode="0.0%">
                  <c:v>0.0962217034905814</c:v>
                </c:pt>
                <c:pt idx="41" formatCode="0.0%">
                  <c:v>0.0842991528506834</c:v>
                </c:pt>
                <c:pt idx="42" formatCode="0.0%">
                  <c:v>0.0888522043115168</c:v>
                </c:pt>
                <c:pt idx="43" formatCode="0.0%">
                  <c:v>0.0923354252904259</c:v>
                </c:pt>
                <c:pt idx="44" formatCode="0.0%">
                  <c:v>0.0866128560076952</c:v>
                </c:pt>
                <c:pt idx="45">
                  <c:v>0.0828418816147415</c:v>
                </c:pt>
                <c:pt idx="46">
                  <c:v>0.087021075567382</c:v>
                </c:pt>
                <c:pt idx="47">
                  <c:v>0.086422895794316</c:v>
                </c:pt>
                <c:pt idx="48">
                  <c:v>0.0907068881629248</c:v>
                </c:pt>
                <c:pt idx="49">
                  <c:v>0.101283345819354</c:v>
                </c:pt>
                <c:pt idx="50">
                  <c:v>0.108496025927927</c:v>
                </c:pt>
                <c:pt idx="51">
                  <c:v>0.113937443835696</c:v>
                </c:pt>
                <c:pt idx="52">
                  <c:v>0.117310714866403</c:v>
                </c:pt>
                <c:pt idx="53">
                  <c:v>0.102337953240935</c:v>
                </c:pt>
                <c:pt idx="54">
                  <c:v>0.0997309115371678</c:v>
                </c:pt>
                <c:pt idx="55">
                  <c:v>0.0877062984169754</c:v>
                </c:pt>
                <c:pt idx="56">
                  <c:v>0.0820939398558456</c:v>
                </c:pt>
                <c:pt idx="57">
                  <c:v>0.0961342828077314</c:v>
                </c:pt>
                <c:pt idx="58" formatCode="0.0%">
                  <c:v>0.107094341152856</c:v>
                </c:pt>
                <c:pt idx="59" formatCode="0.0%">
                  <c:v>0.121744822548359</c:v>
                </c:pt>
                <c:pt idx="60" formatCode="0.0%">
                  <c:v>0.131470310859624</c:v>
                </c:pt>
                <c:pt idx="61" formatCode="0.0%">
                  <c:v>0.137153471944556</c:v>
                </c:pt>
                <c:pt idx="62" formatCode="0.0%">
                  <c:v>0.124093041375168</c:v>
                </c:pt>
                <c:pt idx="63" formatCode="0.0%">
                  <c:v>0.103405268832778</c:v>
                </c:pt>
                <c:pt idx="64" formatCode="0.0%">
                  <c:v>0.115206043163094</c:v>
                </c:pt>
                <c:pt idx="65" formatCode="0.0%">
                  <c:v>0.137085442913772</c:v>
                </c:pt>
                <c:pt idx="66" formatCode="0.0%">
                  <c:v>0.136051466788493</c:v>
                </c:pt>
                <c:pt idx="67" formatCode="0.0%">
                  <c:v>0.142100285167723</c:v>
                </c:pt>
                <c:pt idx="68" formatCode="0.0%">
                  <c:v>0.140735766504209</c:v>
                </c:pt>
                <c:pt idx="69" formatCode="0.0%">
                  <c:v>0.14134970945589</c:v>
                </c:pt>
                <c:pt idx="70" formatCode="0.0%">
                  <c:v>0.13453327911764</c:v>
                </c:pt>
                <c:pt idx="71" formatCode="0.0%">
                  <c:v>0.129173934712185</c:v>
                </c:pt>
              </c:numCache>
            </c:numRef>
          </c:val>
          <c:smooth val="0"/>
        </c:ser>
        <c:dLbls>
          <c:showLegendKey val="0"/>
          <c:showVal val="0"/>
          <c:showCatName val="0"/>
          <c:showSerName val="0"/>
          <c:showPercent val="0"/>
          <c:showBubbleSize val="0"/>
        </c:dLbls>
        <c:marker val="1"/>
        <c:smooth val="0"/>
        <c:axId val="-2100818824"/>
        <c:axId val="-2100815816"/>
      </c:lineChart>
      <c:catAx>
        <c:axId val="-2100818824"/>
        <c:scaling>
          <c:orientation val="minMax"/>
        </c:scaling>
        <c:delete val="0"/>
        <c:axPos val="b"/>
        <c:numFmt formatCode="General" sourceLinked="1"/>
        <c:majorTickMark val="out"/>
        <c:minorTickMark val="none"/>
        <c:tickLblPos val="nextTo"/>
        <c:crossAx val="-2100815816"/>
        <c:crosses val="autoZero"/>
        <c:auto val="1"/>
        <c:lblAlgn val="ctr"/>
        <c:lblOffset val="100"/>
        <c:noMultiLvlLbl val="0"/>
      </c:catAx>
      <c:valAx>
        <c:axId val="-2100815816"/>
        <c:scaling>
          <c:orientation val="minMax"/>
          <c:min val="0.08"/>
        </c:scaling>
        <c:delete val="0"/>
        <c:axPos val="l"/>
        <c:majorGridlines/>
        <c:numFmt formatCode="0%" sourceLinked="1"/>
        <c:majorTickMark val="out"/>
        <c:minorTickMark val="none"/>
        <c:tickLblPos val="nextTo"/>
        <c:crossAx val="-2100818824"/>
        <c:crosses val="autoZero"/>
        <c:crossBetween val="between"/>
      </c:valAx>
    </c:plotArea>
    <c:plotVisOnly val="1"/>
    <c:dispBlanksAs val="gap"/>
    <c:showDLblsOverMax val="0"/>
  </c:chart>
  <c:printSettings>
    <c:headerFooter/>
    <c:pageMargins b="1.0" l="0.75" r="0.75" t="1.0"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layout>
        <c:manualLayout>
          <c:xMode val="edge"/>
          <c:yMode val="edge"/>
          <c:x val="0.164176232412775"/>
          <c:y val="0.0143435294117647"/>
        </c:manualLayout>
      </c:layout>
      <c:overlay val="0"/>
    </c:title>
    <c:autoTitleDeleted val="0"/>
    <c:plotArea>
      <c:layout>
        <c:manualLayout>
          <c:layoutTarget val="inner"/>
          <c:xMode val="edge"/>
          <c:yMode val="edge"/>
          <c:x val="0.108535264072093"/>
          <c:y val="0.19920117333706"/>
          <c:w val="0.858553345312106"/>
          <c:h val="0.665700779722024"/>
        </c:manualLayout>
      </c:layout>
      <c:lineChart>
        <c:grouping val="standard"/>
        <c:varyColors val="0"/>
        <c:ser>
          <c:idx val="0"/>
          <c:order val="0"/>
          <c:tx>
            <c:strRef>
              <c:f>'Assets(BoP)'!$AJ$3</c:f>
              <c:strCache>
                <c:ptCount val="1"/>
                <c:pt idx="0">
                  <c:v>(corporate tax excluding fed profits % of national income)</c:v>
                </c:pt>
              </c:strCache>
            </c:strRef>
          </c:tx>
          <c:marker>
            <c:symbol val="none"/>
          </c:marker>
          <c:cat>
            <c:numRef>
              <c:f>'Assets(BoP)'!$B$42:$B$109</c:f>
              <c:numCache>
                <c:formatCode>General</c:formatCode>
                <c:ptCount val="68"/>
                <c:pt idx="0">
                  <c:v>1950.0</c:v>
                </c:pt>
                <c:pt idx="1">
                  <c:v>1951.0</c:v>
                </c:pt>
                <c:pt idx="2">
                  <c:v>1952.0</c:v>
                </c:pt>
                <c:pt idx="3">
                  <c:v>1953.0</c:v>
                </c:pt>
                <c:pt idx="4">
                  <c:v>1954.0</c:v>
                </c:pt>
                <c:pt idx="5">
                  <c:v>1955.0</c:v>
                </c:pt>
                <c:pt idx="6">
                  <c:v>1956.0</c:v>
                </c:pt>
                <c:pt idx="7">
                  <c:v>1957.0</c:v>
                </c:pt>
                <c:pt idx="8">
                  <c:v>1958.0</c:v>
                </c:pt>
                <c:pt idx="9">
                  <c:v>1959.0</c:v>
                </c:pt>
                <c:pt idx="10">
                  <c:v>1960.0</c:v>
                </c:pt>
                <c:pt idx="11">
                  <c:v>1961.0</c:v>
                </c:pt>
                <c:pt idx="12">
                  <c:v>1962.0</c:v>
                </c:pt>
                <c:pt idx="13">
                  <c:v>1963.0</c:v>
                </c:pt>
                <c:pt idx="14">
                  <c:v>1964.0</c:v>
                </c:pt>
                <c:pt idx="15">
                  <c:v>1965.0</c:v>
                </c:pt>
                <c:pt idx="16">
                  <c:v>1966.0</c:v>
                </c:pt>
                <c:pt idx="17">
                  <c:v>1967.0</c:v>
                </c:pt>
                <c:pt idx="18">
                  <c:v>1968.0</c:v>
                </c:pt>
                <c:pt idx="19">
                  <c:v>1969.0</c:v>
                </c:pt>
                <c:pt idx="20">
                  <c:v>1970.0</c:v>
                </c:pt>
                <c:pt idx="21">
                  <c:v>1971.0</c:v>
                </c:pt>
                <c:pt idx="22">
                  <c:v>1972.0</c:v>
                </c:pt>
                <c:pt idx="23">
                  <c:v>1973.0</c:v>
                </c:pt>
                <c:pt idx="24">
                  <c:v>1974.0</c:v>
                </c:pt>
                <c:pt idx="25">
                  <c:v>1975.0</c:v>
                </c:pt>
                <c:pt idx="26">
                  <c:v>1976.0</c:v>
                </c:pt>
                <c:pt idx="27">
                  <c:v>1977.0</c:v>
                </c:pt>
                <c:pt idx="28">
                  <c:v>1978.0</c:v>
                </c:pt>
                <c:pt idx="29">
                  <c:v>1979.0</c:v>
                </c:pt>
                <c:pt idx="30">
                  <c:v>1980.0</c:v>
                </c:pt>
                <c:pt idx="31">
                  <c:v>1981.0</c:v>
                </c:pt>
                <c:pt idx="32">
                  <c:v>1982.0</c:v>
                </c:pt>
                <c:pt idx="33">
                  <c:v>1983.0</c:v>
                </c:pt>
                <c:pt idx="34">
                  <c:v>1984.0</c:v>
                </c:pt>
                <c:pt idx="35">
                  <c:v>1985.0</c:v>
                </c:pt>
                <c:pt idx="36">
                  <c:v>1986.0</c:v>
                </c:pt>
                <c:pt idx="37">
                  <c:v>1987.0</c:v>
                </c:pt>
                <c:pt idx="38">
                  <c:v>1988.0</c:v>
                </c:pt>
                <c:pt idx="39">
                  <c:v>1989.0</c:v>
                </c:pt>
                <c:pt idx="40">
                  <c:v>1990.0</c:v>
                </c:pt>
                <c:pt idx="41">
                  <c:v>1991.0</c:v>
                </c:pt>
                <c:pt idx="42">
                  <c:v>1992.0</c:v>
                </c:pt>
                <c:pt idx="43">
                  <c:v>1993.0</c:v>
                </c:pt>
                <c:pt idx="44">
                  <c:v>1994.0</c:v>
                </c:pt>
                <c:pt idx="45">
                  <c:v>1995.0</c:v>
                </c:pt>
                <c:pt idx="46">
                  <c:v>1996.0</c:v>
                </c:pt>
                <c:pt idx="47">
                  <c:v>1997.0</c:v>
                </c:pt>
                <c:pt idx="48">
                  <c:v>1998.0</c:v>
                </c:pt>
                <c:pt idx="49">
                  <c:v>1999.0</c:v>
                </c:pt>
                <c:pt idx="50">
                  <c:v>2000.0</c:v>
                </c:pt>
                <c:pt idx="51">
                  <c:v>2001.0</c:v>
                </c:pt>
                <c:pt idx="52">
                  <c:v>2002.0</c:v>
                </c:pt>
                <c:pt idx="53">
                  <c:v>2003.0</c:v>
                </c:pt>
                <c:pt idx="54">
                  <c:v>2004.0</c:v>
                </c:pt>
                <c:pt idx="55">
                  <c:v>2005.0</c:v>
                </c:pt>
                <c:pt idx="56">
                  <c:v>2006.0</c:v>
                </c:pt>
                <c:pt idx="57">
                  <c:v>2007.0</c:v>
                </c:pt>
                <c:pt idx="58">
                  <c:v>2008.0</c:v>
                </c:pt>
                <c:pt idx="59">
                  <c:v>2009.0</c:v>
                </c:pt>
                <c:pt idx="60">
                  <c:v>2010.0</c:v>
                </c:pt>
                <c:pt idx="61">
                  <c:v>2011.0</c:v>
                </c:pt>
                <c:pt idx="62">
                  <c:v>2012.0</c:v>
                </c:pt>
                <c:pt idx="63">
                  <c:v>2013.0</c:v>
                </c:pt>
                <c:pt idx="64">
                  <c:v>2014.0</c:v>
                </c:pt>
                <c:pt idx="65">
                  <c:v>2015.0</c:v>
                </c:pt>
                <c:pt idx="66">
                  <c:v>2016.0</c:v>
                </c:pt>
                <c:pt idx="67">
                  <c:v>2017.0</c:v>
                </c:pt>
              </c:numCache>
            </c:numRef>
          </c:cat>
          <c:val>
            <c:numRef>
              <c:f>'Assets(BoP)'!$AJ$42:$AJ$109</c:f>
              <c:numCache>
                <c:formatCode>0.0%</c:formatCode>
                <c:ptCount val="68"/>
                <c:pt idx="0">
                  <c:v>0.0662921348314607</c:v>
                </c:pt>
                <c:pt idx="1">
                  <c:v>0.0724025974025974</c:v>
                </c:pt>
                <c:pt idx="2">
                  <c:v>0.0584992343032159</c:v>
                </c:pt>
                <c:pt idx="3">
                  <c:v>0.0580720092915215</c:v>
                </c:pt>
                <c:pt idx="4">
                  <c:v>0.0502322880371661</c:v>
                </c:pt>
                <c:pt idx="5">
                  <c:v>0.057468220338983</c:v>
                </c:pt>
                <c:pt idx="6">
                  <c:v>0.0538787727612871</c:v>
                </c:pt>
                <c:pt idx="7">
                  <c:v>0.0498330948974726</c:v>
                </c:pt>
                <c:pt idx="8">
                  <c:v>0.0438804554079696</c:v>
                </c:pt>
                <c:pt idx="9">
                  <c:v>0.0496083550913838</c:v>
                </c:pt>
                <c:pt idx="10">
                  <c:v>0.0456345071889977</c:v>
                </c:pt>
                <c:pt idx="11">
                  <c:v>0.0446500402252615</c:v>
                </c:pt>
                <c:pt idx="12">
                  <c:v>0.0435351270553064</c:v>
                </c:pt>
                <c:pt idx="13">
                  <c:v>0.0450052947405577</c:v>
                </c:pt>
                <c:pt idx="14">
                  <c:v>0.0437284234752589</c:v>
                </c:pt>
                <c:pt idx="15">
                  <c:v>0.0451310010601242</c:v>
                </c:pt>
                <c:pt idx="16">
                  <c:v>0.0448798110323746</c:v>
                </c:pt>
                <c:pt idx="17">
                  <c:v>0.040778742436201</c:v>
                </c:pt>
                <c:pt idx="18">
                  <c:v>0.0445859872611465</c:v>
                </c:pt>
                <c:pt idx="19">
                  <c:v>0.0411339633129516</c:v>
                </c:pt>
                <c:pt idx="20">
                  <c:v>0.033294330390384</c:v>
                </c:pt>
                <c:pt idx="21">
                  <c:v>0.0342182890855457</c:v>
                </c:pt>
                <c:pt idx="22">
                  <c:v>0.0348174532502226</c:v>
                </c:pt>
                <c:pt idx="23">
                  <c:v>0.0363564041368337</c:v>
                </c:pt>
                <c:pt idx="24">
                  <c:v>0.0349422564406278</c:v>
                </c:pt>
                <c:pt idx="25">
                  <c:v>0.0318379160636758</c:v>
                </c:pt>
                <c:pt idx="26">
                  <c:v>0.0367847411444142</c:v>
                </c:pt>
                <c:pt idx="27">
                  <c:v>0.0380830599877689</c:v>
                </c:pt>
                <c:pt idx="28">
                  <c:v>0.0383762746933346</c:v>
                </c:pt>
                <c:pt idx="29">
                  <c:v>0.0358953829730451</c:v>
                </c:pt>
                <c:pt idx="30">
                  <c:v>0.0311109279709906</c:v>
                </c:pt>
                <c:pt idx="31">
                  <c:v>0.0258256493148672</c:v>
                </c:pt>
                <c:pt idx="32">
                  <c:v>0.0180608365019011</c:v>
                </c:pt>
                <c:pt idx="33">
                  <c:v>0.0216958013396504</c:v>
                </c:pt>
                <c:pt idx="34">
                  <c:v>0.0236353077816492</c:v>
                </c:pt>
                <c:pt idx="35">
                  <c:v>0.0221486347103849</c:v>
                </c:pt>
                <c:pt idx="36">
                  <c:v>0.0238812951509797</c:v>
                </c:pt>
                <c:pt idx="37">
                  <c:v>0.0273596814915518</c:v>
                </c:pt>
                <c:pt idx="38">
                  <c:v>0.0276405394578715</c:v>
                </c:pt>
                <c:pt idx="39">
                  <c:v>0.0260340429091213</c:v>
                </c:pt>
                <c:pt idx="40">
                  <c:v>0.0241853815452433</c:v>
                </c:pt>
                <c:pt idx="41">
                  <c:v>0.0227145639305065</c:v>
                </c:pt>
                <c:pt idx="42">
                  <c:v>0.0239831263523465</c:v>
                </c:pt>
                <c:pt idx="43">
                  <c:v>0.0269340376728991</c:v>
                </c:pt>
                <c:pt idx="44">
                  <c:v>0.0281098335559102</c:v>
                </c:pt>
                <c:pt idx="45">
                  <c:v>0.0300023149934408</c:v>
                </c:pt>
                <c:pt idx="46">
                  <c:v>0.0306403455372931</c:v>
                </c:pt>
                <c:pt idx="47">
                  <c:v>0.0304455043087096</c:v>
                </c:pt>
                <c:pt idx="48">
                  <c:v>0.0282285263385641</c:v>
                </c:pt>
                <c:pt idx="49">
                  <c:v>0.0280380567968863</c:v>
                </c:pt>
                <c:pt idx="50">
                  <c:v>0.0269226451105872</c:v>
                </c:pt>
                <c:pt idx="51">
                  <c:v>0.0191842867408488</c:v>
                </c:pt>
                <c:pt idx="52">
                  <c:v>0.0177814513394371</c:v>
                </c:pt>
                <c:pt idx="53">
                  <c:v>0.0224853510674966</c:v>
                </c:pt>
                <c:pt idx="54">
                  <c:v>0.0273221451678699</c:v>
                </c:pt>
                <c:pt idx="55">
                  <c:v>0.0347781989003363</c:v>
                </c:pt>
                <c:pt idx="56">
                  <c:v>0.0370101959216313</c:v>
                </c:pt>
                <c:pt idx="57">
                  <c:v>0.0333484831269174</c:v>
                </c:pt>
                <c:pt idx="58">
                  <c:v>0.0223209256666506</c:v>
                </c:pt>
                <c:pt idx="59">
                  <c:v>0.018307617453262</c:v>
                </c:pt>
                <c:pt idx="60">
                  <c:v>0.022865889556105</c:v>
                </c:pt>
                <c:pt idx="61">
                  <c:v>0.0227451450311931</c:v>
                </c:pt>
                <c:pt idx="62">
                  <c:v>0.0255442009970203</c:v>
                </c:pt>
                <c:pt idx="63">
                  <c:v>0.0268678001772264</c:v>
                </c:pt>
                <c:pt idx="64">
                  <c:v>0.0269677760169044</c:v>
                </c:pt>
                <c:pt idx="65">
                  <c:v>0.026080713614069</c:v>
                </c:pt>
                <c:pt idx="66">
                  <c:v>0.0233055071019188</c:v>
                </c:pt>
              </c:numCache>
            </c:numRef>
          </c:val>
          <c:smooth val="0"/>
        </c:ser>
        <c:dLbls>
          <c:showLegendKey val="0"/>
          <c:showVal val="0"/>
          <c:showCatName val="0"/>
          <c:showSerName val="0"/>
          <c:showPercent val="0"/>
          <c:showBubbleSize val="0"/>
        </c:dLbls>
        <c:marker val="1"/>
        <c:smooth val="0"/>
        <c:axId val="-2100844312"/>
        <c:axId val="-2100841304"/>
      </c:lineChart>
      <c:catAx>
        <c:axId val="-2100844312"/>
        <c:scaling>
          <c:orientation val="minMax"/>
        </c:scaling>
        <c:delete val="0"/>
        <c:axPos val="b"/>
        <c:numFmt formatCode="General" sourceLinked="1"/>
        <c:majorTickMark val="out"/>
        <c:minorTickMark val="none"/>
        <c:tickLblPos val="nextTo"/>
        <c:crossAx val="-2100841304"/>
        <c:crosses val="autoZero"/>
        <c:auto val="1"/>
        <c:lblAlgn val="ctr"/>
        <c:lblOffset val="100"/>
        <c:noMultiLvlLbl val="0"/>
      </c:catAx>
      <c:valAx>
        <c:axId val="-2100841304"/>
        <c:scaling>
          <c:orientation val="minMax"/>
        </c:scaling>
        <c:delete val="0"/>
        <c:axPos val="l"/>
        <c:majorGridlines/>
        <c:numFmt formatCode="0.0%" sourceLinked="1"/>
        <c:majorTickMark val="out"/>
        <c:minorTickMark val="none"/>
        <c:tickLblPos val="nextTo"/>
        <c:crossAx val="-2100844312"/>
        <c:crosses val="autoZero"/>
        <c:crossBetween val="between"/>
      </c:valAx>
    </c:plotArea>
    <c:plotVisOnly val="1"/>
    <c:dispBlanksAs val="gap"/>
    <c:showDLblsOverMax val="0"/>
  </c:chart>
  <c:printSettings>
    <c:headerFooter/>
    <c:pageMargins b="1.0" l="0.75" r="0.75" t="1.0"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manualLayout>
          <c:layoutTarget val="inner"/>
          <c:xMode val="edge"/>
          <c:yMode val="edge"/>
          <c:x val="0.0900500317861671"/>
          <c:y val="0.168217930407064"/>
          <c:w val="0.871902063533882"/>
          <c:h val="0.701388773910535"/>
        </c:manualLayout>
      </c:layout>
      <c:lineChart>
        <c:grouping val="standard"/>
        <c:varyColors val="0"/>
        <c:ser>
          <c:idx val="0"/>
          <c:order val="0"/>
          <c:tx>
            <c:strRef>
              <c:f>'Assets(BoP)'!$J$3</c:f>
              <c:strCache>
                <c:ptCount val="1"/>
                <c:pt idx="0">
                  <c:v>(net foreign profits % of national income)</c:v>
                </c:pt>
              </c:strCache>
            </c:strRef>
          </c:tx>
          <c:marker>
            <c:symbol val="none"/>
          </c:marker>
          <c:cat>
            <c:numRef>
              <c:f>'Assets(BoP)'!$B$42:$B$109</c:f>
              <c:numCache>
                <c:formatCode>General</c:formatCode>
                <c:ptCount val="68"/>
                <c:pt idx="0">
                  <c:v>1950.0</c:v>
                </c:pt>
                <c:pt idx="1">
                  <c:v>1951.0</c:v>
                </c:pt>
                <c:pt idx="2">
                  <c:v>1952.0</c:v>
                </c:pt>
                <c:pt idx="3">
                  <c:v>1953.0</c:v>
                </c:pt>
                <c:pt idx="4">
                  <c:v>1954.0</c:v>
                </c:pt>
                <c:pt idx="5">
                  <c:v>1955.0</c:v>
                </c:pt>
                <c:pt idx="6">
                  <c:v>1956.0</c:v>
                </c:pt>
                <c:pt idx="7">
                  <c:v>1957.0</c:v>
                </c:pt>
                <c:pt idx="8">
                  <c:v>1958.0</c:v>
                </c:pt>
                <c:pt idx="9">
                  <c:v>1959.0</c:v>
                </c:pt>
                <c:pt idx="10">
                  <c:v>1960.0</c:v>
                </c:pt>
                <c:pt idx="11">
                  <c:v>1961.0</c:v>
                </c:pt>
                <c:pt idx="12">
                  <c:v>1962.0</c:v>
                </c:pt>
                <c:pt idx="13">
                  <c:v>1963.0</c:v>
                </c:pt>
                <c:pt idx="14">
                  <c:v>1964.0</c:v>
                </c:pt>
                <c:pt idx="15">
                  <c:v>1965.0</c:v>
                </c:pt>
                <c:pt idx="16">
                  <c:v>1966.0</c:v>
                </c:pt>
                <c:pt idx="17">
                  <c:v>1967.0</c:v>
                </c:pt>
                <c:pt idx="18">
                  <c:v>1968.0</c:v>
                </c:pt>
                <c:pt idx="19">
                  <c:v>1969.0</c:v>
                </c:pt>
                <c:pt idx="20">
                  <c:v>1970.0</c:v>
                </c:pt>
                <c:pt idx="21">
                  <c:v>1971.0</c:v>
                </c:pt>
                <c:pt idx="22">
                  <c:v>1972.0</c:v>
                </c:pt>
                <c:pt idx="23">
                  <c:v>1973.0</c:v>
                </c:pt>
                <c:pt idx="24">
                  <c:v>1974.0</c:v>
                </c:pt>
                <c:pt idx="25">
                  <c:v>1975.0</c:v>
                </c:pt>
                <c:pt idx="26">
                  <c:v>1976.0</c:v>
                </c:pt>
                <c:pt idx="27">
                  <c:v>1977.0</c:v>
                </c:pt>
                <c:pt idx="28">
                  <c:v>1978.0</c:v>
                </c:pt>
                <c:pt idx="29">
                  <c:v>1979.0</c:v>
                </c:pt>
                <c:pt idx="30">
                  <c:v>1980.0</c:v>
                </c:pt>
                <c:pt idx="31">
                  <c:v>1981.0</c:v>
                </c:pt>
                <c:pt idx="32">
                  <c:v>1982.0</c:v>
                </c:pt>
                <c:pt idx="33">
                  <c:v>1983.0</c:v>
                </c:pt>
                <c:pt idx="34">
                  <c:v>1984.0</c:v>
                </c:pt>
                <c:pt idx="35">
                  <c:v>1985.0</c:v>
                </c:pt>
                <c:pt idx="36">
                  <c:v>1986.0</c:v>
                </c:pt>
                <c:pt idx="37">
                  <c:v>1987.0</c:v>
                </c:pt>
                <c:pt idx="38">
                  <c:v>1988.0</c:v>
                </c:pt>
                <c:pt idx="39">
                  <c:v>1989.0</c:v>
                </c:pt>
                <c:pt idx="40">
                  <c:v>1990.0</c:v>
                </c:pt>
                <c:pt idx="41">
                  <c:v>1991.0</c:v>
                </c:pt>
                <c:pt idx="42">
                  <c:v>1992.0</c:v>
                </c:pt>
                <c:pt idx="43">
                  <c:v>1993.0</c:v>
                </c:pt>
                <c:pt idx="44">
                  <c:v>1994.0</c:v>
                </c:pt>
                <c:pt idx="45">
                  <c:v>1995.0</c:v>
                </c:pt>
                <c:pt idx="46">
                  <c:v>1996.0</c:v>
                </c:pt>
                <c:pt idx="47">
                  <c:v>1997.0</c:v>
                </c:pt>
                <c:pt idx="48">
                  <c:v>1998.0</c:v>
                </c:pt>
                <c:pt idx="49">
                  <c:v>1999.0</c:v>
                </c:pt>
                <c:pt idx="50">
                  <c:v>2000.0</c:v>
                </c:pt>
                <c:pt idx="51">
                  <c:v>2001.0</c:v>
                </c:pt>
                <c:pt idx="52">
                  <c:v>2002.0</c:v>
                </c:pt>
                <c:pt idx="53">
                  <c:v>2003.0</c:v>
                </c:pt>
                <c:pt idx="54">
                  <c:v>2004.0</c:v>
                </c:pt>
                <c:pt idx="55">
                  <c:v>2005.0</c:v>
                </c:pt>
                <c:pt idx="56">
                  <c:v>2006.0</c:v>
                </c:pt>
                <c:pt idx="57">
                  <c:v>2007.0</c:v>
                </c:pt>
                <c:pt idx="58">
                  <c:v>2008.0</c:v>
                </c:pt>
                <c:pt idx="59">
                  <c:v>2009.0</c:v>
                </c:pt>
                <c:pt idx="60">
                  <c:v>2010.0</c:v>
                </c:pt>
                <c:pt idx="61">
                  <c:v>2011.0</c:v>
                </c:pt>
                <c:pt idx="62">
                  <c:v>2012.0</c:v>
                </c:pt>
                <c:pt idx="63">
                  <c:v>2013.0</c:v>
                </c:pt>
                <c:pt idx="64">
                  <c:v>2014.0</c:v>
                </c:pt>
                <c:pt idx="65">
                  <c:v>2015.0</c:v>
                </c:pt>
                <c:pt idx="66">
                  <c:v>2016.0</c:v>
                </c:pt>
                <c:pt idx="67">
                  <c:v>2017.0</c:v>
                </c:pt>
              </c:numCache>
            </c:numRef>
          </c:cat>
          <c:val>
            <c:numRef>
              <c:f>'Assets(BoP)'!$J$42:$J$109</c:f>
              <c:numCache>
                <c:formatCode>0.0%</c:formatCode>
                <c:ptCount val="68"/>
                <c:pt idx="0">
                  <c:v>0.0048689138576779</c:v>
                </c:pt>
                <c:pt idx="1">
                  <c:v>0.00551948051948052</c:v>
                </c:pt>
                <c:pt idx="2">
                  <c:v>0.00581929555895865</c:v>
                </c:pt>
                <c:pt idx="3">
                  <c:v>0.00522648083623693</c:v>
                </c:pt>
                <c:pt idx="4">
                  <c:v>0.00580720092915215</c:v>
                </c:pt>
                <c:pt idx="5">
                  <c:v>0.00635593220338983</c:v>
                </c:pt>
                <c:pt idx="6">
                  <c:v>0.00698428535794462</c:v>
                </c:pt>
                <c:pt idx="7">
                  <c:v>0.00739151168335718</c:v>
                </c:pt>
                <c:pt idx="8">
                  <c:v>0.00592979127134725</c:v>
                </c:pt>
                <c:pt idx="9">
                  <c:v>0.00587467362924282</c:v>
                </c:pt>
                <c:pt idx="10">
                  <c:v>0.00645967909981246</c:v>
                </c:pt>
                <c:pt idx="11">
                  <c:v>0.00663716814159292</c:v>
                </c:pt>
                <c:pt idx="12">
                  <c:v>0.00710014947683109</c:v>
                </c:pt>
                <c:pt idx="13">
                  <c:v>0.00723614542887398</c:v>
                </c:pt>
                <c:pt idx="14">
                  <c:v>0.00739766562551373</c:v>
                </c:pt>
                <c:pt idx="15">
                  <c:v>0.00711797667726791</c:v>
                </c:pt>
                <c:pt idx="16">
                  <c:v>0.00625260525218841</c:v>
                </c:pt>
                <c:pt idx="17">
                  <c:v>0.00631412786108918</c:v>
                </c:pt>
                <c:pt idx="18">
                  <c:v>0.00672996034130513</c:v>
                </c:pt>
                <c:pt idx="19">
                  <c:v>0.00733740967204002</c:v>
                </c:pt>
                <c:pt idx="20">
                  <c:v>0.00755238804382512</c:v>
                </c:pt>
                <c:pt idx="21">
                  <c:v>0.00776794493608653</c:v>
                </c:pt>
                <c:pt idx="22">
                  <c:v>0.00845948352626892</c:v>
                </c:pt>
                <c:pt idx="23">
                  <c:v>0.0118536197295147</c:v>
                </c:pt>
                <c:pt idx="24">
                  <c:v>0.0129552857565887</c:v>
                </c:pt>
                <c:pt idx="25">
                  <c:v>0.0100613327820274</c:v>
                </c:pt>
                <c:pt idx="26">
                  <c:v>0.0102179836512262</c:v>
                </c:pt>
                <c:pt idx="27">
                  <c:v>0.0106187802301662</c:v>
                </c:pt>
                <c:pt idx="28">
                  <c:v>0.0112813439085669</c:v>
                </c:pt>
                <c:pt idx="29">
                  <c:v>0.0153900898496575</c:v>
                </c:pt>
                <c:pt idx="30">
                  <c:v>0.0146283171254327</c:v>
                </c:pt>
                <c:pt idx="31">
                  <c:v>0.0109106939495243</c:v>
                </c:pt>
                <c:pt idx="32">
                  <c:v>0.011477256724405</c:v>
                </c:pt>
                <c:pt idx="33">
                  <c:v>0.0114687142623754</c:v>
                </c:pt>
                <c:pt idx="34">
                  <c:v>0.0106271777003484</c:v>
                </c:pt>
                <c:pt idx="35">
                  <c:v>0.0103414581184518</c:v>
                </c:pt>
                <c:pt idx="36">
                  <c:v>0.010264539265111</c:v>
                </c:pt>
                <c:pt idx="37">
                  <c:v>0.0116527481064284</c:v>
                </c:pt>
                <c:pt idx="38">
                  <c:v>0.0126852717318734</c:v>
                </c:pt>
                <c:pt idx="39">
                  <c:v>0.0140311990297353</c:v>
                </c:pt>
                <c:pt idx="40">
                  <c:v>0.0151108993070034</c:v>
                </c:pt>
                <c:pt idx="41">
                  <c:v>0.0147509689361948</c:v>
                </c:pt>
                <c:pt idx="42">
                  <c:v>0.0132916340891321</c:v>
                </c:pt>
                <c:pt idx="43">
                  <c:v>0.0133627580454577</c:v>
                </c:pt>
                <c:pt idx="44">
                  <c:v>0.0127031692778737</c:v>
                </c:pt>
                <c:pt idx="45">
                  <c:v>0.0143375260436762</c:v>
                </c:pt>
                <c:pt idx="46">
                  <c:v>0.0147838942516741</c:v>
                </c:pt>
                <c:pt idx="47">
                  <c:v>0.0145791556013224</c:v>
                </c:pt>
                <c:pt idx="48">
                  <c:v>0.0130833746961424</c:v>
                </c:pt>
                <c:pt idx="49">
                  <c:v>0.0146557109221085</c:v>
                </c:pt>
                <c:pt idx="50">
                  <c:v>0.0164140563601662</c:v>
                </c:pt>
                <c:pt idx="51">
                  <c:v>0.0185527948958038</c:v>
                </c:pt>
                <c:pt idx="52">
                  <c:v>0.0168277382163445</c:v>
                </c:pt>
                <c:pt idx="53">
                  <c:v>0.0168893574745038</c:v>
                </c:pt>
                <c:pt idx="54">
                  <c:v>0.0194480547201852</c:v>
                </c:pt>
                <c:pt idx="55">
                  <c:v>0.0212726205092617</c:v>
                </c:pt>
                <c:pt idx="56">
                  <c:v>0.0213414634146341</c:v>
                </c:pt>
                <c:pt idx="57">
                  <c:v>0.0286818056389696</c:v>
                </c:pt>
                <c:pt idx="58">
                  <c:v>0.0327250197138673</c:v>
                </c:pt>
                <c:pt idx="59">
                  <c:v>0.0294571214157891</c:v>
                </c:pt>
                <c:pt idx="60">
                  <c:v>0.0310216256524981</c:v>
                </c:pt>
                <c:pt idx="61">
                  <c:v>0.0315975524815949</c:v>
                </c:pt>
                <c:pt idx="62">
                  <c:v>0.0291781338225986</c:v>
                </c:pt>
                <c:pt idx="63">
                  <c:v>0.0285085290208241</c:v>
                </c:pt>
                <c:pt idx="64">
                  <c:v>0.0262480190174326</c:v>
                </c:pt>
                <c:pt idx="65">
                  <c:v>0.0258286953501571</c:v>
                </c:pt>
                <c:pt idx="66">
                  <c:v>0.0253260237561259</c:v>
                </c:pt>
              </c:numCache>
            </c:numRef>
          </c:val>
          <c:smooth val="0"/>
        </c:ser>
        <c:dLbls>
          <c:showLegendKey val="0"/>
          <c:showVal val="0"/>
          <c:showCatName val="0"/>
          <c:showSerName val="0"/>
          <c:showPercent val="0"/>
          <c:showBubbleSize val="0"/>
        </c:dLbls>
        <c:marker val="1"/>
        <c:smooth val="0"/>
        <c:axId val="-2100875080"/>
        <c:axId val="-2100881800"/>
      </c:lineChart>
      <c:catAx>
        <c:axId val="-2100875080"/>
        <c:scaling>
          <c:orientation val="minMax"/>
        </c:scaling>
        <c:delete val="0"/>
        <c:axPos val="b"/>
        <c:numFmt formatCode="General" sourceLinked="1"/>
        <c:majorTickMark val="out"/>
        <c:minorTickMark val="none"/>
        <c:tickLblPos val="nextTo"/>
        <c:crossAx val="-2100881800"/>
        <c:crosses val="autoZero"/>
        <c:auto val="1"/>
        <c:lblAlgn val="ctr"/>
        <c:lblOffset val="100"/>
        <c:noMultiLvlLbl val="0"/>
      </c:catAx>
      <c:valAx>
        <c:axId val="-2100881800"/>
        <c:scaling>
          <c:orientation val="minMax"/>
        </c:scaling>
        <c:delete val="0"/>
        <c:axPos val="l"/>
        <c:majorGridlines/>
        <c:numFmt formatCode="0.0%" sourceLinked="1"/>
        <c:majorTickMark val="out"/>
        <c:minorTickMark val="none"/>
        <c:tickLblPos val="nextTo"/>
        <c:crossAx val="-2100875080"/>
        <c:crosses val="autoZero"/>
        <c:crossBetween val="between"/>
      </c:valAx>
    </c:plotArea>
    <c:legend>
      <c:legendPos val="r"/>
      <c:layout>
        <c:manualLayout>
          <c:xMode val="edge"/>
          <c:yMode val="edge"/>
          <c:x val="0.186996679407191"/>
          <c:y val="0.316351199952827"/>
          <c:w val="0.303199258174876"/>
          <c:h val="0.118659403714028"/>
        </c:manualLayout>
      </c:layout>
      <c:overlay val="0"/>
    </c:legend>
    <c:plotVisOnly val="1"/>
    <c:dispBlanksAs val="gap"/>
    <c:showDLblsOverMax val="0"/>
  </c:chart>
  <c:printSettings>
    <c:headerFooter/>
    <c:pageMargins b="1.0" l="0.75" r="0.75" t="1.0"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manualLayout>
          <c:layoutTarget val="inner"/>
          <c:xMode val="edge"/>
          <c:yMode val="edge"/>
          <c:x val="0.0789144080081402"/>
          <c:y val="0.178874193737696"/>
          <c:w val="0.88615821476831"/>
          <c:h val="0.687331522966583"/>
        </c:manualLayout>
      </c:layout>
      <c:lineChart>
        <c:grouping val="standard"/>
        <c:varyColors val="0"/>
        <c:ser>
          <c:idx val="0"/>
          <c:order val="0"/>
          <c:tx>
            <c:strRef>
              <c:f>'Assets(BoP)'!$S$3</c:f>
              <c:strCache>
                <c:ptCount val="1"/>
                <c:pt idx="0">
                  <c:v>(misreporting % of BEA profits)</c:v>
                </c:pt>
              </c:strCache>
            </c:strRef>
          </c:tx>
          <c:marker>
            <c:symbol val="none"/>
          </c:marker>
          <c:cat>
            <c:numRef>
              <c:f>'Assets(BoP)'!$B$37:$B$109</c:f>
              <c:numCache>
                <c:formatCode>General</c:formatCode>
                <c:ptCount val="73"/>
                <c:pt idx="0">
                  <c:v>1945.0</c:v>
                </c:pt>
                <c:pt idx="1">
                  <c:v>1946.0</c:v>
                </c:pt>
                <c:pt idx="2">
                  <c:v>1947.0</c:v>
                </c:pt>
                <c:pt idx="3">
                  <c:v>1948.0</c:v>
                </c:pt>
                <c:pt idx="4">
                  <c:v>1949.0</c:v>
                </c:pt>
                <c:pt idx="5">
                  <c:v>1950.0</c:v>
                </c:pt>
                <c:pt idx="6">
                  <c:v>1951.0</c:v>
                </c:pt>
                <c:pt idx="7">
                  <c:v>1952.0</c:v>
                </c:pt>
                <c:pt idx="8">
                  <c:v>1953.0</c:v>
                </c:pt>
                <c:pt idx="9">
                  <c:v>1954.0</c:v>
                </c:pt>
                <c:pt idx="10">
                  <c:v>1955.0</c:v>
                </c:pt>
                <c:pt idx="11">
                  <c:v>1956.0</c:v>
                </c:pt>
                <c:pt idx="12">
                  <c:v>1957.0</c:v>
                </c:pt>
                <c:pt idx="13">
                  <c:v>1958.0</c:v>
                </c:pt>
                <c:pt idx="14">
                  <c:v>1959.0</c:v>
                </c:pt>
                <c:pt idx="15">
                  <c:v>1960.0</c:v>
                </c:pt>
                <c:pt idx="16">
                  <c:v>1961.0</c:v>
                </c:pt>
                <c:pt idx="17">
                  <c:v>1962.0</c:v>
                </c:pt>
                <c:pt idx="18">
                  <c:v>1963.0</c:v>
                </c:pt>
                <c:pt idx="19">
                  <c:v>1964.0</c:v>
                </c:pt>
                <c:pt idx="20">
                  <c:v>1965.0</c:v>
                </c:pt>
                <c:pt idx="21">
                  <c:v>1966.0</c:v>
                </c:pt>
                <c:pt idx="22">
                  <c:v>1967.0</c:v>
                </c:pt>
                <c:pt idx="23">
                  <c:v>1968.0</c:v>
                </c:pt>
                <c:pt idx="24">
                  <c:v>1969.0</c:v>
                </c:pt>
                <c:pt idx="25">
                  <c:v>1970.0</c:v>
                </c:pt>
                <c:pt idx="26">
                  <c:v>1971.0</c:v>
                </c:pt>
                <c:pt idx="27">
                  <c:v>1972.0</c:v>
                </c:pt>
                <c:pt idx="28">
                  <c:v>1973.0</c:v>
                </c:pt>
                <c:pt idx="29">
                  <c:v>1974.0</c:v>
                </c:pt>
                <c:pt idx="30">
                  <c:v>1975.0</c:v>
                </c:pt>
                <c:pt idx="31">
                  <c:v>1976.0</c:v>
                </c:pt>
                <c:pt idx="32">
                  <c:v>1977.0</c:v>
                </c:pt>
                <c:pt idx="33">
                  <c:v>1978.0</c:v>
                </c:pt>
                <c:pt idx="34">
                  <c:v>1979.0</c:v>
                </c:pt>
                <c:pt idx="35">
                  <c:v>1980.0</c:v>
                </c:pt>
                <c:pt idx="36">
                  <c:v>1981.0</c:v>
                </c:pt>
                <c:pt idx="37">
                  <c:v>1982.0</c:v>
                </c:pt>
                <c:pt idx="38">
                  <c:v>1983.0</c:v>
                </c:pt>
                <c:pt idx="39">
                  <c:v>1984.0</c:v>
                </c:pt>
                <c:pt idx="40">
                  <c:v>1985.0</c:v>
                </c:pt>
                <c:pt idx="41">
                  <c:v>1986.0</c:v>
                </c:pt>
                <c:pt idx="42">
                  <c:v>1987.0</c:v>
                </c:pt>
                <c:pt idx="43">
                  <c:v>1988.0</c:v>
                </c:pt>
                <c:pt idx="44">
                  <c:v>1989.0</c:v>
                </c:pt>
                <c:pt idx="45">
                  <c:v>1990.0</c:v>
                </c:pt>
                <c:pt idx="46">
                  <c:v>1991.0</c:v>
                </c:pt>
                <c:pt idx="47">
                  <c:v>1992.0</c:v>
                </c:pt>
                <c:pt idx="48">
                  <c:v>1993.0</c:v>
                </c:pt>
                <c:pt idx="49">
                  <c:v>1994.0</c:v>
                </c:pt>
                <c:pt idx="50">
                  <c:v>1995.0</c:v>
                </c:pt>
                <c:pt idx="51">
                  <c:v>1996.0</c:v>
                </c:pt>
                <c:pt idx="52">
                  <c:v>1997.0</c:v>
                </c:pt>
                <c:pt idx="53">
                  <c:v>1998.0</c:v>
                </c:pt>
                <c:pt idx="54">
                  <c:v>1999.0</c:v>
                </c:pt>
                <c:pt idx="55">
                  <c:v>2000.0</c:v>
                </c:pt>
                <c:pt idx="56">
                  <c:v>2001.0</c:v>
                </c:pt>
                <c:pt idx="57">
                  <c:v>2002.0</c:v>
                </c:pt>
                <c:pt idx="58">
                  <c:v>2003.0</c:v>
                </c:pt>
                <c:pt idx="59">
                  <c:v>2004.0</c:v>
                </c:pt>
                <c:pt idx="60">
                  <c:v>2005.0</c:v>
                </c:pt>
                <c:pt idx="61">
                  <c:v>2006.0</c:v>
                </c:pt>
                <c:pt idx="62">
                  <c:v>2007.0</c:v>
                </c:pt>
                <c:pt idx="63">
                  <c:v>2008.0</c:v>
                </c:pt>
                <c:pt idx="64">
                  <c:v>2009.0</c:v>
                </c:pt>
                <c:pt idx="65">
                  <c:v>2010.0</c:v>
                </c:pt>
                <c:pt idx="66">
                  <c:v>2011.0</c:v>
                </c:pt>
                <c:pt idx="67">
                  <c:v>2012.0</c:v>
                </c:pt>
                <c:pt idx="68">
                  <c:v>2013.0</c:v>
                </c:pt>
                <c:pt idx="69">
                  <c:v>2014.0</c:v>
                </c:pt>
                <c:pt idx="70">
                  <c:v>2015.0</c:v>
                </c:pt>
                <c:pt idx="71">
                  <c:v>2016.0</c:v>
                </c:pt>
                <c:pt idx="72">
                  <c:v>2017.0</c:v>
                </c:pt>
              </c:numCache>
            </c:numRef>
          </c:cat>
          <c:val>
            <c:numRef>
              <c:f>'Assets(BoP)'!$S$37:$S$109</c:f>
              <c:numCache>
                <c:formatCode>0%</c:formatCode>
                <c:ptCount val="73"/>
                <c:pt idx="0">
                  <c:v>0.0195121951219512</c:v>
                </c:pt>
                <c:pt idx="1">
                  <c:v>0.0604395604395604</c:v>
                </c:pt>
                <c:pt idx="2">
                  <c:v>0.0454545454545455</c:v>
                </c:pt>
                <c:pt idx="3">
                  <c:v>0.0382165605095541</c:v>
                </c:pt>
                <c:pt idx="4">
                  <c:v>0.0446735395189003</c:v>
                </c:pt>
                <c:pt idx="5">
                  <c:v>0.0332409972299169</c:v>
                </c:pt>
                <c:pt idx="6">
                  <c:v>0.0315533980582524</c:v>
                </c:pt>
                <c:pt idx="7">
                  <c:v>0.035264483627204</c:v>
                </c:pt>
                <c:pt idx="8">
                  <c:v>0.0372208436724566</c:v>
                </c:pt>
                <c:pt idx="9">
                  <c:v>0.0430379746835443</c:v>
                </c:pt>
                <c:pt idx="10">
                  <c:v>0.0398406374501992</c:v>
                </c:pt>
                <c:pt idx="11">
                  <c:v>0.0463709677419355</c:v>
                </c:pt>
                <c:pt idx="12">
                  <c:v>0.0590631364562118</c:v>
                </c:pt>
                <c:pt idx="13">
                  <c:v>0.0683371298405467</c:v>
                </c:pt>
                <c:pt idx="14">
                  <c:v>0.0522522522522522</c:v>
                </c:pt>
                <c:pt idx="15">
                  <c:v>0.0548446069469835</c:v>
                </c:pt>
                <c:pt idx="16">
                  <c:v>0.0554561717352415</c:v>
                </c:pt>
                <c:pt idx="17">
                  <c:v>0.05625</c:v>
                </c:pt>
                <c:pt idx="18">
                  <c:v>0.0595744680851064</c:v>
                </c:pt>
                <c:pt idx="19">
                  <c:v>0.0489060489060489</c:v>
                </c:pt>
                <c:pt idx="20">
                  <c:v>0.0436730123180291</c:v>
                </c:pt>
                <c:pt idx="21">
                  <c:v>0.0447450572320499</c:v>
                </c:pt>
                <c:pt idx="22">
                  <c:v>0.053248136315229</c:v>
                </c:pt>
                <c:pt idx="23">
                  <c:v>0.0530973451327434</c:v>
                </c:pt>
                <c:pt idx="24">
                  <c:v>0.0660569105691057</c:v>
                </c:pt>
                <c:pt idx="25">
                  <c:v>0.0881670533642691</c:v>
                </c:pt>
                <c:pt idx="26">
                  <c:v>0.0725646123260437</c:v>
                </c:pt>
                <c:pt idx="27">
                  <c:v>0.0614334470989761</c:v>
                </c:pt>
                <c:pt idx="28">
                  <c:v>0.0719640179910045</c:v>
                </c:pt>
                <c:pt idx="29">
                  <c:v>0.0827366746221161</c:v>
                </c:pt>
                <c:pt idx="30">
                  <c:v>0.0719942404607631</c:v>
                </c:pt>
                <c:pt idx="31">
                  <c:v>0.0665519219736087</c:v>
                </c:pt>
                <c:pt idx="32">
                  <c:v>0.0592808551992225</c:v>
                </c:pt>
                <c:pt idx="33">
                  <c:v>0.0620284995808885</c:v>
                </c:pt>
                <c:pt idx="34">
                  <c:v>0.0662650602409638</c:v>
                </c:pt>
                <c:pt idx="35">
                  <c:v>0.0898926654740608</c:v>
                </c:pt>
                <c:pt idx="36">
                  <c:v>0.106262626262626</c:v>
                </c:pt>
                <c:pt idx="37">
                  <c:v>0.129621574597651</c:v>
                </c:pt>
                <c:pt idx="38">
                  <c:v>0.147962830593281</c:v>
                </c:pt>
                <c:pt idx="39">
                  <c:v>0.121929564960047</c:v>
                </c:pt>
                <c:pt idx="40">
                  <c:v>0.137658674188999</c:v>
                </c:pt>
                <c:pt idx="41">
                  <c:v>0.165844636251541</c:v>
                </c:pt>
                <c:pt idx="42">
                  <c:v>0.154644808743169</c:v>
                </c:pt>
                <c:pt idx="43">
                  <c:v>0.146782357194505</c:v>
                </c:pt>
                <c:pt idx="44">
                  <c:v>0.161033317238049</c:v>
                </c:pt>
                <c:pt idx="45">
                  <c:v>0.156279961649089</c:v>
                </c:pt>
                <c:pt idx="46">
                  <c:v>0.149789497008642</c:v>
                </c:pt>
                <c:pt idx="47">
                  <c:v>0.148748159057437</c:v>
                </c:pt>
                <c:pt idx="48">
                  <c:v>0.138888888888889</c:v>
                </c:pt>
                <c:pt idx="49">
                  <c:v>0.125582891140055</c:v>
                </c:pt>
                <c:pt idx="50">
                  <c:v>0.121906116642959</c:v>
                </c:pt>
                <c:pt idx="51">
                  <c:v>0.11970487215367</c:v>
                </c:pt>
                <c:pt idx="52">
                  <c:v>0.124393624393624</c:v>
                </c:pt>
                <c:pt idx="53">
                  <c:v>0.148613356547693</c:v>
                </c:pt>
                <c:pt idx="54">
                  <c:v>0.163936400867261</c:v>
                </c:pt>
                <c:pt idx="55">
                  <c:v>0.187916026625704</c:v>
                </c:pt>
                <c:pt idx="56">
                  <c:v>0.223076923076923</c:v>
                </c:pt>
                <c:pt idx="57">
                  <c:v>0.205577601410935</c:v>
                </c:pt>
                <c:pt idx="58">
                  <c:v>0.177110942824688</c:v>
                </c:pt>
                <c:pt idx="59">
                  <c:v>0.169173225278579</c:v>
                </c:pt>
                <c:pt idx="60">
                  <c:v>0.179265074101644</c:v>
                </c:pt>
                <c:pt idx="61">
                  <c:v>0.182204676586699</c:v>
                </c:pt>
                <c:pt idx="62">
                  <c:v>0.188031393067364</c:v>
                </c:pt>
                <c:pt idx="63">
                  <c:v>0.223173293907089</c:v>
                </c:pt>
                <c:pt idx="64">
                  <c:v>0.224409448818898</c:v>
                </c:pt>
                <c:pt idx="65">
                  <c:v>0.229901511681173</c:v>
                </c:pt>
                <c:pt idx="66">
                  <c:v>0.201750522954971</c:v>
                </c:pt>
                <c:pt idx="67">
                  <c:v>0.18596737063357</c:v>
                </c:pt>
                <c:pt idx="68">
                  <c:v>0.18997491268631</c:v>
                </c:pt>
                <c:pt idx="69">
                  <c:v>0.18167803419602</c:v>
                </c:pt>
                <c:pt idx="70">
                  <c:v>0.18167803419602</c:v>
                </c:pt>
                <c:pt idx="71">
                  <c:v>0.18167803419602</c:v>
                </c:pt>
              </c:numCache>
            </c:numRef>
          </c:val>
          <c:smooth val="0"/>
        </c:ser>
        <c:dLbls>
          <c:showLegendKey val="0"/>
          <c:showVal val="0"/>
          <c:showCatName val="0"/>
          <c:showSerName val="0"/>
          <c:showPercent val="0"/>
          <c:showBubbleSize val="0"/>
        </c:dLbls>
        <c:marker val="1"/>
        <c:smooth val="0"/>
        <c:axId val="-2106445432"/>
        <c:axId val="-2106442376"/>
      </c:lineChart>
      <c:catAx>
        <c:axId val="-2106445432"/>
        <c:scaling>
          <c:orientation val="minMax"/>
        </c:scaling>
        <c:delete val="0"/>
        <c:axPos val="b"/>
        <c:numFmt formatCode="General" sourceLinked="1"/>
        <c:majorTickMark val="out"/>
        <c:minorTickMark val="none"/>
        <c:tickLblPos val="nextTo"/>
        <c:crossAx val="-2106442376"/>
        <c:crosses val="autoZero"/>
        <c:auto val="1"/>
        <c:lblAlgn val="ctr"/>
        <c:lblOffset val="100"/>
        <c:noMultiLvlLbl val="0"/>
      </c:catAx>
      <c:valAx>
        <c:axId val="-2106442376"/>
        <c:scaling>
          <c:orientation val="minMax"/>
        </c:scaling>
        <c:delete val="0"/>
        <c:axPos val="l"/>
        <c:majorGridlines/>
        <c:numFmt formatCode="0%" sourceLinked="1"/>
        <c:majorTickMark val="out"/>
        <c:minorTickMark val="none"/>
        <c:tickLblPos val="nextTo"/>
        <c:crossAx val="-2106445432"/>
        <c:crosses val="autoZero"/>
        <c:crossBetween val="between"/>
      </c:valAx>
    </c:plotArea>
    <c:legend>
      <c:legendPos val="r"/>
      <c:layout>
        <c:manualLayout>
          <c:xMode val="edge"/>
          <c:yMode val="edge"/>
          <c:x val="0.155508315923056"/>
          <c:y val="0.252544027656998"/>
          <c:w val="0.344385405781844"/>
          <c:h val="0.14529384670924"/>
        </c:manualLayout>
      </c:layout>
      <c:overlay val="0"/>
    </c:legend>
    <c:plotVisOnly val="1"/>
    <c:dispBlanksAs val="gap"/>
    <c:showDLblsOverMax val="0"/>
  </c:chart>
  <c:printSettings>
    <c:headerFooter/>
    <c:pageMargins b="1.0" l="0.75" r="0.75" t="1.0"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758109599542527"/>
          <c:y val="0.0464285714285714"/>
          <c:w val="0.922270216525752"/>
          <c:h val="0.816619235095613"/>
        </c:manualLayout>
      </c:layout>
      <c:lineChart>
        <c:grouping val="standard"/>
        <c:varyColors val="0"/>
        <c:ser>
          <c:idx val="0"/>
          <c:order val="0"/>
          <c:tx>
            <c:strRef>
              <c:f>'Assets(BoP)'!$BH$3</c:f>
              <c:strCache>
                <c:ptCount val="1"/>
                <c:pt idx="0">
                  <c:v>Effective tax rate paid to US (fed+local)</c:v>
                </c:pt>
              </c:strCache>
            </c:strRef>
          </c:tx>
          <c:marker>
            <c:symbol val="none"/>
          </c:marker>
          <c:cat>
            <c:numRef>
              <c:f>'Assets(BoP)'!$A$132:$A$192</c:f>
              <c:numCache>
                <c:formatCode>General</c:formatCode>
                <c:ptCount val="7"/>
                <c:pt idx="0">
                  <c:v>1950.0</c:v>
                </c:pt>
                <c:pt idx="1">
                  <c:v>1960.0</c:v>
                </c:pt>
                <c:pt idx="2">
                  <c:v>1970.0</c:v>
                </c:pt>
                <c:pt idx="3">
                  <c:v>1980.0</c:v>
                </c:pt>
                <c:pt idx="4">
                  <c:v>1990.0</c:v>
                </c:pt>
                <c:pt idx="5">
                  <c:v>2000.0</c:v>
                </c:pt>
                <c:pt idx="6">
                  <c:v>2010.0</c:v>
                </c:pt>
              </c:numCache>
            </c:numRef>
          </c:cat>
          <c:val>
            <c:numRef>
              <c:f>'Assets(BoP)'!$BH$132:$BH$192</c:f>
              <c:numCache>
                <c:formatCode>0%</c:formatCode>
                <c:ptCount val="7"/>
                <c:pt idx="0">
                  <c:v>0.455574194064933</c:v>
                </c:pt>
                <c:pt idx="1">
                  <c:v>0.360306260245398</c:v>
                </c:pt>
                <c:pt idx="2">
                  <c:v>0.340131453771902</c:v>
                </c:pt>
                <c:pt idx="3">
                  <c:v>0.269413593096391</c:v>
                </c:pt>
                <c:pt idx="4">
                  <c:v>0.265945515775754</c:v>
                </c:pt>
                <c:pt idx="5">
                  <c:v>0.207868769541693</c:v>
                </c:pt>
                <c:pt idx="6">
                  <c:v>0.157785243561932</c:v>
                </c:pt>
              </c:numCache>
            </c:numRef>
          </c:val>
          <c:smooth val="0"/>
        </c:ser>
        <c:ser>
          <c:idx val="1"/>
          <c:order val="1"/>
          <c:tx>
            <c:strRef>
              <c:f>'Assets(BoP)'!$BK$3</c:f>
              <c:strCache>
                <c:ptCount val="1"/>
                <c:pt idx="0">
                  <c:v>Effective tax rate paid worldwide</c:v>
                </c:pt>
              </c:strCache>
            </c:strRef>
          </c:tx>
          <c:marker>
            <c:symbol val="none"/>
          </c:marker>
          <c:cat>
            <c:numRef>
              <c:f>'Assets(BoP)'!$A$132:$A$192</c:f>
              <c:numCache>
                <c:formatCode>General</c:formatCode>
                <c:ptCount val="7"/>
                <c:pt idx="0">
                  <c:v>1950.0</c:v>
                </c:pt>
                <c:pt idx="1">
                  <c:v>1960.0</c:v>
                </c:pt>
                <c:pt idx="2">
                  <c:v>1970.0</c:v>
                </c:pt>
                <c:pt idx="3">
                  <c:v>1980.0</c:v>
                </c:pt>
                <c:pt idx="4">
                  <c:v>1990.0</c:v>
                </c:pt>
                <c:pt idx="5">
                  <c:v>2000.0</c:v>
                </c:pt>
                <c:pt idx="6">
                  <c:v>2010.0</c:v>
                </c:pt>
              </c:numCache>
            </c:numRef>
          </c:cat>
          <c:val>
            <c:numRef>
              <c:f>'Assets(BoP)'!$BK$132:$BK$192</c:f>
              <c:numCache>
                <c:formatCode>0%</c:formatCode>
                <c:ptCount val="7"/>
                <c:pt idx="0">
                  <c:v>0.465756382531526</c:v>
                </c:pt>
                <c:pt idx="1">
                  <c:v>0.379469458082419</c:v>
                </c:pt>
                <c:pt idx="2">
                  <c:v>0.40466498573895</c:v>
                </c:pt>
                <c:pt idx="3">
                  <c:v>0.324644358032431</c:v>
                </c:pt>
                <c:pt idx="4">
                  <c:v>0.302745195268028</c:v>
                </c:pt>
                <c:pt idx="5">
                  <c:v>0.248010027853512</c:v>
                </c:pt>
                <c:pt idx="6">
                  <c:v>0.197314024211421</c:v>
                </c:pt>
              </c:numCache>
            </c:numRef>
          </c:val>
          <c:smooth val="0"/>
        </c:ser>
        <c:ser>
          <c:idx val="2"/>
          <c:order val="2"/>
          <c:tx>
            <c:strRef>
              <c:f>'Assets(BoP)'!$BF$3</c:f>
              <c:strCache>
                <c:ptCount val="1"/>
                <c:pt idx="0">
                  <c:v>Staturoy federal corporate tax rate</c:v>
                </c:pt>
              </c:strCache>
            </c:strRef>
          </c:tx>
          <c:marker>
            <c:symbol val="none"/>
          </c:marker>
          <c:cat>
            <c:numRef>
              <c:f>'Assets(BoP)'!$A$132:$A$192</c:f>
              <c:numCache>
                <c:formatCode>General</c:formatCode>
                <c:ptCount val="7"/>
                <c:pt idx="0">
                  <c:v>1950.0</c:v>
                </c:pt>
                <c:pt idx="1">
                  <c:v>1960.0</c:v>
                </c:pt>
                <c:pt idx="2">
                  <c:v>1970.0</c:v>
                </c:pt>
                <c:pt idx="3">
                  <c:v>1980.0</c:v>
                </c:pt>
                <c:pt idx="4">
                  <c:v>1990.0</c:v>
                </c:pt>
                <c:pt idx="5">
                  <c:v>2000.0</c:v>
                </c:pt>
                <c:pt idx="6">
                  <c:v>2010.0</c:v>
                </c:pt>
              </c:numCache>
            </c:numRef>
          </c:cat>
          <c:val>
            <c:numRef>
              <c:f>'Assets(BoP)'!$BF$132:$BF$192</c:f>
              <c:numCache>
                <c:formatCode>0%</c:formatCode>
                <c:ptCount val="7"/>
                <c:pt idx="0">
                  <c:v>0.509</c:v>
                </c:pt>
                <c:pt idx="1">
                  <c:v>0.5076</c:v>
                </c:pt>
                <c:pt idx="2">
                  <c:v>0.4792</c:v>
                </c:pt>
                <c:pt idx="3">
                  <c:v>0.43</c:v>
                </c:pt>
                <c:pt idx="4">
                  <c:v>0.347</c:v>
                </c:pt>
                <c:pt idx="5">
                  <c:v>0.35</c:v>
                </c:pt>
                <c:pt idx="6">
                  <c:v>0.334444444444444</c:v>
                </c:pt>
              </c:numCache>
            </c:numRef>
          </c:val>
          <c:smooth val="0"/>
        </c:ser>
        <c:ser>
          <c:idx val="3"/>
          <c:order val="3"/>
          <c:tx>
            <c:v>worldwide excl S corp</c:v>
          </c:tx>
          <c:marker>
            <c:symbol val="none"/>
          </c:marker>
          <c:val>
            <c:numRef>
              <c:f>'Assets(BoP)'!$BM$132:$BM$192</c:f>
              <c:numCache>
                <c:formatCode>0%</c:formatCode>
                <c:ptCount val="7"/>
                <c:pt idx="0">
                  <c:v>0.465756382531526</c:v>
                </c:pt>
                <c:pt idx="1">
                  <c:v>0.381781659079668</c:v>
                </c:pt>
                <c:pt idx="2">
                  <c:v>0.409850321031783</c:v>
                </c:pt>
                <c:pt idx="3">
                  <c:v>0.333585376895779</c:v>
                </c:pt>
                <c:pt idx="4">
                  <c:v>0.336662404908877</c:v>
                </c:pt>
                <c:pt idx="5">
                  <c:v>0.291419959894972</c:v>
                </c:pt>
                <c:pt idx="6">
                  <c:v>0.222568192256372</c:v>
                </c:pt>
              </c:numCache>
            </c:numRef>
          </c:val>
          <c:smooth val="0"/>
        </c:ser>
        <c:dLbls>
          <c:showLegendKey val="0"/>
          <c:showVal val="0"/>
          <c:showCatName val="0"/>
          <c:showSerName val="0"/>
          <c:showPercent val="0"/>
          <c:showBubbleSize val="0"/>
        </c:dLbls>
        <c:marker val="1"/>
        <c:smooth val="0"/>
        <c:axId val="-2106498056"/>
        <c:axId val="-2106503048"/>
      </c:lineChart>
      <c:catAx>
        <c:axId val="-2106498056"/>
        <c:scaling>
          <c:orientation val="minMax"/>
        </c:scaling>
        <c:delete val="0"/>
        <c:axPos val="b"/>
        <c:numFmt formatCode="General" sourceLinked="1"/>
        <c:majorTickMark val="out"/>
        <c:minorTickMark val="none"/>
        <c:tickLblPos val="nextTo"/>
        <c:crossAx val="-2106503048"/>
        <c:crosses val="autoZero"/>
        <c:auto val="1"/>
        <c:lblAlgn val="ctr"/>
        <c:lblOffset val="100"/>
        <c:noMultiLvlLbl val="0"/>
      </c:catAx>
      <c:valAx>
        <c:axId val="-2106503048"/>
        <c:scaling>
          <c:orientation val="minMax"/>
          <c:min val="0.15"/>
        </c:scaling>
        <c:delete val="0"/>
        <c:axPos val="l"/>
        <c:majorGridlines/>
        <c:numFmt formatCode="0%" sourceLinked="1"/>
        <c:majorTickMark val="out"/>
        <c:minorTickMark val="none"/>
        <c:tickLblPos val="nextTo"/>
        <c:crossAx val="-2106498056"/>
        <c:crosses val="autoZero"/>
        <c:crossBetween val="between"/>
      </c:valAx>
    </c:plotArea>
    <c:legend>
      <c:legendPos val="r"/>
      <c:layout>
        <c:manualLayout>
          <c:xMode val="edge"/>
          <c:yMode val="edge"/>
          <c:x val="0.0951103617003679"/>
          <c:y val="0.641682964532428"/>
          <c:w val="0.529520562189483"/>
          <c:h val="0.218873294546742"/>
        </c:manualLayout>
      </c:layout>
      <c:overlay val="0"/>
    </c:legend>
    <c:plotVisOnly val="1"/>
    <c:dispBlanksAs val="gap"/>
    <c:showDLblsOverMax val="0"/>
  </c:chart>
  <c:printSettings>
    <c:headerFooter/>
    <c:pageMargins b="1.0" l="0.75" r="0.75" t="1.0"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32248468941382"/>
          <c:y val="0.0790569271570157"/>
          <c:w val="0.872173017835743"/>
          <c:h val="0.771190342364741"/>
        </c:manualLayout>
      </c:layout>
      <c:lineChart>
        <c:grouping val="standard"/>
        <c:varyColors val="0"/>
        <c:ser>
          <c:idx val="0"/>
          <c:order val="0"/>
          <c:tx>
            <c:strRef>
              <c:f>'Assets(BoP)'!$H$3</c:f>
              <c:strCache>
                <c:ptCount val="1"/>
                <c:pt idx="0">
                  <c:v>(domestic profits % national income)</c:v>
                </c:pt>
              </c:strCache>
            </c:strRef>
          </c:tx>
          <c:marker>
            <c:symbol val="none"/>
          </c:marker>
          <c:cat>
            <c:numRef>
              <c:f>'Assets(BoP)'!$B$75:$B$109</c:f>
              <c:numCache>
                <c:formatCode>General</c:formatCode>
                <c:ptCount val="35"/>
                <c:pt idx="0">
                  <c:v>1983.0</c:v>
                </c:pt>
                <c:pt idx="1">
                  <c:v>1984.0</c:v>
                </c:pt>
                <c:pt idx="2">
                  <c:v>1985.0</c:v>
                </c:pt>
                <c:pt idx="3">
                  <c:v>1986.0</c:v>
                </c:pt>
                <c:pt idx="4">
                  <c:v>1987.0</c:v>
                </c:pt>
                <c:pt idx="5">
                  <c:v>1988.0</c:v>
                </c:pt>
                <c:pt idx="6">
                  <c:v>1989.0</c:v>
                </c:pt>
                <c:pt idx="7">
                  <c:v>1990.0</c:v>
                </c:pt>
                <c:pt idx="8">
                  <c:v>1991.0</c:v>
                </c:pt>
                <c:pt idx="9">
                  <c:v>1992.0</c:v>
                </c:pt>
                <c:pt idx="10">
                  <c:v>1993.0</c:v>
                </c:pt>
                <c:pt idx="11">
                  <c:v>1994.0</c:v>
                </c:pt>
                <c:pt idx="12">
                  <c:v>1995.0</c:v>
                </c:pt>
                <c:pt idx="13">
                  <c:v>1996.0</c:v>
                </c:pt>
                <c:pt idx="14">
                  <c:v>1997.0</c:v>
                </c:pt>
                <c:pt idx="15">
                  <c:v>1998.0</c:v>
                </c:pt>
                <c:pt idx="16">
                  <c:v>1999.0</c:v>
                </c:pt>
                <c:pt idx="17">
                  <c:v>2000.0</c:v>
                </c:pt>
                <c:pt idx="18">
                  <c:v>2001.0</c:v>
                </c:pt>
                <c:pt idx="19">
                  <c:v>2002.0</c:v>
                </c:pt>
                <c:pt idx="20">
                  <c:v>2003.0</c:v>
                </c:pt>
                <c:pt idx="21">
                  <c:v>2004.0</c:v>
                </c:pt>
                <c:pt idx="22">
                  <c:v>2005.0</c:v>
                </c:pt>
                <c:pt idx="23">
                  <c:v>2006.0</c:v>
                </c:pt>
                <c:pt idx="24">
                  <c:v>2007.0</c:v>
                </c:pt>
                <c:pt idx="25">
                  <c:v>2008.0</c:v>
                </c:pt>
                <c:pt idx="26">
                  <c:v>2009.0</c:v>
                </c:pt>
                <c:pt idx="27">
                  <c:v>2010.0</c:v>
                </c:pt>
                <c:pt idx="28">
                  <c:v>2011.0</c:v>
                </c:pt>
                <c:pt idx="29">
                  <c:v>2012.0</c:v>
                </c:pt>
                <c:pt idx="30">
                  <c:v>2013.0</c:v>
                </c:pt>
                <c:pt idx="31">
                  <c:v>2014.0</c:v>
                </c:pt>
                <c:pt idx="32">
                  <c:v>2015.0</c:v>
                </c:pt>
                <c:pt idx="33">
                  <c:v>2016.0</c:v>
                </c:pt>
                <c:pt idx="34">
                  <c:v>2017.0</c:v>
                </c:pt>
              </c:numCache>
            </c:numRef>
          </c:cat>
          <c:val>
            <c:numRef>
              <c:f>'Assets(BoP)'!$H$75:$H$109</c:f>
              <c:numCache>
                <c:formatCode>0%</c:formatCode>
                <c:ptCount val="35"/>
                <c:pt idx="0">
                  <c:v>0.0799542558405489</c:v>
                </c:pt>
                <c:pt idx="1">
                  <c:v>0.0874854819976771</c:v>
                </c:pt>
                <c:pt idx="2">
                  <c:v>0.0858802453721296</c:v>
                </c:pt>
                <c:pt idx="3">
                  <c:v>0.0740346135855725</c:v>
                </c:pt>
                <c:pt idx="4">
                  <c:v>0.0771994562050884</c:v>
                </c:pt>
                <c:pt idx="5">
                  <c:v>0.0796501535585525</c:v>
                </c:pt>
                <c:pt idx="6">
                  <c:v>0.0725816569779599</c:v>
                </c:pt>
                <c:pt idx="7">
                  <c:v>0.0677309823077381</c:v>
                </c:pt>
                <c:pt idx="8">
                  <c:v>0.0722701066311872</c:v>
                </c:pt>
                <c:pt idx="9">
                  <c:v>0.0731312617051839</c:v>
                </c:pt>
                <c:pt idx="10">
                  <c:v>0.0773441301174671</c:v>
                </c:pt>
                <c:pt idx="11">
                  <c:v>0.0885801765414807</c:v>
                </c:pt>
                <c:pt idx="12">
                  <c:v>0.0941584998842503</c:v>
                </c:pt>
                <c:pt idx="13">
                  <c:v>0.0991535495840218</c:v>
                </c:pt>
                <c:pt idx="14">
                  <c:v>0.10273155926508</c:v>
                </c:pt>
                <c:pt idx="15">
                  <c:v>0.0892545785447927</c:v>
                </c:pt>
                <c:pt idx="16">
                  <c:v>0.0850752006150593</c:v>
                </c:pt>
                <c:pt idx="17">
                  <c:v>0.0712922420568093</c:v>
                </c:pt>
                <c:pt idx="18">
                  <c:v>0.0635411449600418</c:v>
                </c:pt>
                <c:pt idx="19">
                  <c:v>0.0793065445913869</c:v>
                </c:pt>
                <c:pt idx="20">
                  <c:v>0.090204983678352</c:v>
                </c:pt>
                <c:pt idx="21">
                  <c:v>0.102296767828174</c:v>
                </c:pt>
                <c:pt idx="22">
                  <c:v>0.110197690350362</c:v>
                </c:pt>
                <c:pt idx="23">
                  <c:v>0.115812008529921</c:v>
                </c:pt>
                <c:pt idx="24">
                  <c:v>0.0954112357361988</c:v>
                </c:pt>
                <c:pt idx="25">
                  <c:v>0.0706802491189108</c:v>
                </c:pt>
                <c:pt idx="26">
                  <c:v>0.0857489217473054</c:v>
                </c:pt>
                <c:pt idx="27">
                  <c:v>0.106063817261274</c:v>
                </c:pt>
                <c:pt idx="28">
                  <c:v>0.104453914306898</c:v>
                </c:pt>
                <c:pt idx="29">
                  <c:v>0.112922151345124</c:v>
                </c:pt>
                <c:pt idx="30">
                  <c:v>0.112227237483385</c:v>
                </c:pt>
                <c:pt idx="31">
                  <c:v>0.115101690438457</c:v>
                </c:pt>
                <c:pt idx="32">
                  <c:v>0.108704583767482</c:v>
                </c:pt>
                <c:pt idx="33">
                  <c:v>0.103847910956059</c:v>
                </c:pt>
              </c:numCache>
            </c:numRef>
          </c:val>
          <c:smooth val="0"/>
        </c:ser>
        <c:ser>
          <c:idx val="1"/>
          <c:order val="1"/>
          <c:tx>
            <c:strRef>
              <c:f>'Assets(BoP)'!$J$3</c:f>
              <c:strCache>
                <c:ptCount val="1"/>
                <c:pt idx="0">
                  <c:v>(net foreign profits % of national income)</c:v>
                </c:pt>
              </c:strCache>
            </c:strRef>
          </c:tx>
          <c:marker>
            <c:symbol val="none"/>
          </c:marker>
          <c:cat>
            <c:numRef>
              <c:f>'Assets(BoP)'!$B$75:$B$109</c:f>
              <c:numCache>
                <c:formatCode>General</c:formatCode>
                <c:ptCount val="35"/>
                <c:pt idx="0">
                  <c:v>1983.0</c:v>
                </c:pt>
                <c:pt idx="1">
                  <c:v>1984.0</c:v>
                </c:pt>
                <c:pt idx="2">
                  <c:v>1985.0</c:v>
                </c:pt>
                <c:pt idx="3">
                  <c:v>1986.0</c:v>
                </c:pt>
                <c:pt idx="4">
                  <c:v>1987.0</c:v>
                </c:pt>
                <c:pt idx="5">
                  <c:v>1988.0</c:v>
                </c:pt>
                <c:pt idx="6">
                  <c:v>1989.0</c:v>
                </c:pt>
                <c:pt idx="7">
                  <c:v>1990.0</c:v>
                </c:pt>
                <c:pt idx="8">
                  <c:v>1991.0</c:v>
                </c:pt>
                <c:pt idx="9">
                  <c:v>1992.0</c:v>
                </c:pt>
                <c:pt idx="10">
                  <c:v>1993.0</c:v>
                </c:pt>
                <c:pt idx="11">
                  <c:v>1994.0</c:v>
                </c:pt>
                <c:pt idx="12">
                  <c:v>1995.0</c:v>
                </c:pt>
                <c:pt idx="13">
                  <c:v>1996.0</c:v>
                </c:pt>
                <c:pt idx="14">
                  <c:v>1997.0</c:v>
                </c:pt>
                <c:pt idx="15">
                  <c:v>1998.0</c:v>
                </c:pt>
                <c:pt idx="16">
                  <c:v>1999.0</c:v>
                </c:pt>
                <c:pt idx="17">
                  <c:v>2000.0</c:v>
                </c:pt>
                <c:pt idx="18">
                  <c:v>2001.0</c:v>
                </c:pt>
                <c:pt idx="19">
                  <c:v>2002.0</c:v>
                </c:pt>
                <c:pt idx="20">
                  <c:v>2003.0</c:v>
                </c:pt>
                <c:pt idx="21">
                  <c:v>2004.0</c:v>
                </c:pt>
                <c:pt idx="22">
                  <c:v>2005.0</c:v>
                </c:pt>
                <c:pt idx="23">
                  <c:v>2006.0</c:v>
                </c:pt>
                <c:pt idx="24">
                  <c:v>2007.0</c:v>
                </c:pt>
                <c:pt idx="25">
                  <c:v>2008.0</c:v>
                </c:pt>
                <c:pt idx="26">
                  <c:v>2009.0</c:v>
                </c:pt>
                <c:pt idx="27">
                  <c:v>2010.0</c:v>
                </c:pt>
                <c:pt idx="28">
                  <c:v>2011.0</c:v>
                </c:pt>
                <c:pt idx="29">
                  <c:v>2012.0</c:v>
                </c:pt>
                <c:pt idx="30">
                  <c:v>2013.0</c:v>
                </c:pt>
                <c:pt idx="31">
                  <c:v>2014.0</c:v>
                </c:pt>
                <c:pt idx="32">
                  <c:v>2015.0</c:v>
                </c:pt>
                <c:pt idx="33">
                  <c:v>2016.0</c:v>
                </c:pt>
                <c:pt idx="34">
                  <c:v>2017.0</c:v>
                </c:pt>
              </c:numCache>
            </c:numRef>
          </c:cat>
          <c:val>
            <c:numRef>
              <c:f>'Assets(BoP)'!$J$75:$J$109</c:f>
              <c:numCache>
                <c:formatCode>0.0%</c:formatCode>
                <c:ptCount val="35"/>
                <c:pt idx="0">
                  <c:v>0.0114687142623754</c:v>
                </c:pt>
                <c:pt idx="1">
                  <c:v>0.0106271777003484</c:v>
                </c:pt>
                <c:pt idx="2">
                  <c:v>0.0103414581184518</c:v>
                </c:pt>
                <c:pt idx="3">
                  <c:v>0.010264539265111</c:v>
                </c:pt>
                <c:pt idx="4">
                  <c:v>0.0116527481064284</c:v>
                </c:pt>
                <c:pt idx="5">
                  <c:v>0.0126852717318734</c:v>
                </c:pt>
                <c:pt idx="6">
                  <c:v>0.0140311990297353</c:v>
                </c:pt>
                <c:pt idx="7">
                  <c:v>0.0151108993070034</c:v>
                </c:pt>
                <c:pt idx="8">
                  <c:v>0.0147509689361948</c:v>
                </c:pt>
                <c:pt idx="9">
                  <c:v>0.0132916340891321</c:v>
                </c:pt>
                <c:pt idx="10">
                  <c:v>0.0133627580454577</c:v>
                </c:pt>
                <c:pt idx="11">
                  <c:v>0.0127031692778737</c:v>
                </c:pt>
                <c:pt idx="12">
                  <c:v>0.0143375260436762</c:v>
                </c:pt>
                <c:pt idx="13">
                  <c:v>0.0147838942516741</c:v>
                </c:pt>
                <c:pt idx="14">
                  <c:v>0.0145791556013224</c:v>
                </c:pt>
                <c:pt idx="15">
                  <c:v>0.0130833746961424</c:v>
                </c:pt>
                <c:pt idx="16">
                  <c:v>0.0146557109221085</c:v>
                </c:pt>
                <c:pt idx="17">
                  <c:v>0.0164140563601662</c:v>
                </c:pt>
                <c:pt idx="18">
                  <c:v>0.0185527948958038</c:v>
                </c:pt>
                <c:pt idx="19">
                  <c:v>0.0168277382163445</c:v>
                </c:pt>
                <c:pt idx="20">
                  <c:v>0.0168893574745038</c:v>
                </c:pt>
                <c:pt idx="21">
                  <c:v>0.0194480547201852</c:v>
                </c:pt>
                <c:pt idx="22">
                  <c:v>0.0212726205092617</c:v>
                </c:pt>
                <c:pt idx="23">
                  <c:v>0.0213414634146341</c:v>
                </c:pt>
                <c:pt idx="24">
                  <c:v>0.0286818056389696</c:v>
                </c:pt>
                <c:pt idx="25">
                  <c:v>0.0327250197138673</c:v>
                </c:pt>
                <c:pt idx="26">
                  <c:v>0.0294571214157891</c:v>
                </c:pt>
                <c:pt idx="27">
                  <c:v>0.0310216256524981</c:v>
                </c:pt>
                <c:pt idx="28">
                  <c:v>0.0315975524815949</c:v>
                </c:pt>
                <c:pt idx="29">
                  <c:v>0.0291781338225986</c:v>
                </c:pt>
                <c:pt idx="30">
                  <c:v>0.0285085290208241</c:v>
                </c:pt>
                <c:pt idx="31">
                  <c:v>0.0262480190174326</c:v>
                </c:pt>
                <c:pt idx="32">
                  <c:v>0.0258286953501571</c:v>
                </c:pt>
                <c:pt idx="33">
                  <c:v>0.0253260237561259</c:v>
                </c:pt>
              </c:numCache>
            </c:numRef>
          </c:val>
          <c:smooth val="0"/>
        </c:ser>
        <c:dLbls>
          <c:showLegendKey val="0"/>
          <c:showVal val="0"/>
          <c:showCatName val="0"/>
          <c:showSerName val="0"/>
          <c:showPercent val="0"/>
          <c:showBubbleSize val="0"/>
        </c:dLbls>
        <c:marker val="1"/>
        <c:smooth val="0"/>
        <c:axId val="-2106536984"/>
        <c:axId val="-2106540216"/>
      </c:lineChart>
      <c:catAx>
        <c:axId val="-2106536984"/>
        <c:scaling>
          <c:orientation val="minMax"/>
        </c:scaling>
        <c:delete val="0"/>
        <c:axPos val="b"/>
        <c:numFmt formatCode="General" sourceLinked="1"/>
        <c:majorTickMark val="out"/>
        <c:minorTickMark val="none"/>
        <c:tickLblPos val="nextTo"/>
        <c:crossAx val="-2106540216"/>
        <c:crosses val="autoZero"/>
        <c:auto val="1"/>
        <c:lblAlgn val="ctr"/>
        <c:lblOffset val="100"/>
        <c:noMultiLvlLbl val="0"/>
      </c:catAx>
      <c:valAx>
        <c:axId val="-2106540216"/>
        <c:scaling>
          <c:orientation val="minMax"/>
          <c:max val="0.12"/>
          <c:min val="0.0"/>
        </c:scaling>
        <c:delete val="0"/>
        <c:axPos val="l"/>
        <c:majorGridlines/>
        <c:numFmt formatCode="0%" sourceLinked="1"/>
        <c:majorTickMark val="out"/>
        <c:minorTickMark val="none"/>
        <c:tickLblPos val="nextTo"/>
        <c:crossAx val="-2106536984"/>
        <c:crosses val="autoZero"/>
        <c:crossBetween val="between"/>
      </c:valAx>
    </c:plotArea>
    <c:legend>
      <c:legendPos val="r"/>
      <c:layout>
        <c:manualLayout>
          <c:xMode val="edge"/>
          <c:yMode val="edge"/>
          <c:x val="0.148689851268591"/>
          <c:y val="0.459338363954506"/>
          <c:w val="0.409423941181161"/>
          <c:h val="0.257904117129101"/>
        </c:manualLayout>
      </c:layout>
      <c:overlay val="0"/>
    </c:legend>
    <c:plotVisOnly val="1"/>
    <c:dispBlanksAs val="gap"/>
    <c:showDLblsOverMax val="0"/>
  </c:chart>
  <c:printSettings>
    <c:headerFooter/>
    <c:pageMargins b="1.0" l="0.75" r="0.75" t="1.0"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manualLayout>
          <c:layoutTarget val="inner"/>
          <c:xMode val="edge"/>
          <c:yMode val="edge"/>
          <c:x val="0.0932248672845291"/>
          <c:y val="0.169100510120258"/>
          <c:w val="0.881775127247403"/>
          <c:h val="0.69627280315474"/>
        </c:manualLayout>
      </c:layout>
      <c:lineChart>
        <c:grouping val="standard"/>
        <c:varyColors val="0"/>
        <c:ser>
          <c:idx val="0"/>
          <c:order val="0"/>
          <c:tx>
            <c:strRef>
              <c:f>'Assets(BoP)'!$ED$3</c:f>
              <c:strCache>
                <c:ptCount val="1"/>
                <c:pt idx="0">
                  <c:v>Top 6 havens % of total DI income</c:v>
                </c:pt>
              </c:strCache>
            </c:strRef>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'Assets(BoP)'!$ED$58:$ED$108</c:f>
              <c:numCache>
                <c:formatCode>0%</c:formatCode>
                <c:ptCount val="51"/>
                <c:pt idx="0">
                  <c:v>0.0787221905305191</c:v>
                </c:pt>
                <c:pt idx="1">
                  <c:v>0.0863514719000892</c:v>
                </c:pt>
                <c:pt idx="2">
                  <c:v>0.0749393203883495</c:v>
                </c:pt>
                <c:pt idx="3">
                  <c:v>0.0875931494312982</c:v>
                </c:pt>
                <c:pt idx="4">
                  <c:v>0.0970743053005264</c:v>
                </c:pt>
                <c:pt idx="5">
                  <c:v>0.0996833715471121</c:v>
                </c:pt>
                <c:pt idx="6">
                  <c:v>0.0949858434560234</c:v>
                </c:pt>
                <c:pt idx="7">
                  <c:v>0.11685406843187</c:v>
                </c:pt>
                <c:pt idx="8">
                  <c:v>0.153163499686782</c:v>
                </c:pt>
                <c:pt idx="9">
                  <c:v>0.167399819222657</c:v>
                </c:pt>
                <c:pt idx="10">
                  <c:v>0.183009632085899</c:v>
                </c:pt>
                <c:pt idx="11">
                  <c:v>0.200630305494841</c:v>
                </c:pt>
                <c:pt idx="12">
                  <c:v>0.211132060648912</c:v>
                </c:pt>
                <c:pt idx="13">
                  <c:v>0.213262446638556</c:v>
                </c:pt>
                <c:pt idx="14">
                  <c:v>0.210062994669682</c:v>
                </c:pt>
                <c:pt idx="15">
                  <c:v>0.208792896863191</c:v>
                </c:pt>
                <c:pt idx="16">
                  <c:v>0.228250362493958</c:v>
                </c:pt>
                <c:pt idx="17">
                  <c:v>0.167608217168012</c:v>
                </c:pt>
                <c:pt idx="18">
                  <c:v>0.140928901320497</c:v>
                </c:pt>
                <c:pt idx="19">
                  <c:v>0.157203419278616</c:v>
                </c:pt>
                <c:pt idx="20">
                  <c:v>0.193395618556701</c:v>
                </c:pt>
                <c:pt idx="21">
                  <c:v>0.199310482662136</c:v>
                </c:pt>
                <c:pt idx="22">
                  <c:v>0.187486793322704</c:v>
                </c:pt>
                <c:pt idx="23">
                  <c:v>0.220475069072299</c:v>
                </c:pt>
                <c:pt idx="24">
                  <c:v>0.246465760982001</c:v>
                </c:pt>
                <c:pt idx="25">
                  <c:v>0.247892948336437</c:v>
                </c:pt>
                <c:pt idx="26">
                  <c:v>0.267754375556215</c:v>
                </c:pt>
                <c:pt idx="27">
                  <c:v>0.246173018305519</c:v>
                </c:pt>
                <c:pt idx="28">
                  <c:v>0.298621479409164</c:v>
                </c:pt>
                <c:pt idx="29">
                  <c:v>0.262255856020882</c:v>
                </c:pt>
                <c:pt idx="30">
                  <c:v>0.27518858046456</c:v>
                </c:pt>
                <c:pt idx="31">
                  <c:v>0.296829971181556</c:v>
                </c:pt>
                <c:pt idx="32">
                  <c:v>0.343497728175041</c:v>
                </c:pt>
                <c:pt idx="33">
                  <c:v>0.35057018924686</c:v>
                </c:pt>
                <c:pt idx="34">
                  <c:v>0.313743529904557</c:v>
                </c:pt>
                <c:pt idx="35">
                  <c:v>0.389651819065883</c:v>
                </c:pt>
                <c:pt idx="36">
                  <c:v>0.411933728189531</c:v>
                </c:pt>
                <c:pt idx="37">
                  <c:v>0.409151165535735</c:v>
                </c:pt>
                <c:pt idx="38">
                  <c:v>0.430166765279513</c:v>
                </c:pt>
                <c:pt idx="39">
                  <c:v>0.448316702038054</c:v>
                </c:pt>
                <c:pt idx="40">
                  <c:v>0.424998520291733</c:v>
                </c:pt>
                <c:pt idx="41">
                  <c:v>0.460925030764882</c:v>
                </c:pt>
                <c:pt idx="42">
                  <c:v>0.475027611374359</c:v>
                </c:pt>
                <c:pt idx="43">
                  <c:v>0.52934516334891</c:v>
                </c:pt>
                <c:pt idx="44">
                  <c:v>0.517031644736054</c:v>
                </c:pt>
                <c:pt idx="45">
                  <c:v>0.517378161009292</c:v>
                </c:pt>
                <c:pt idx="46">
                  <c:v>0.5473910552422</c:v>
                </c:pt>
                <c:pt idx="47">
                  <c:v>0.576992136158079</c:v>
                </c:pt>
                <c:pt idx="48">
                  <c:v>0.604297746823234</c:v>
                </c:pt>
                <c:pt idx="49">
                  <c:v>0.628459936413641</c:v>
                </c:pt>
                <c:pt idx="50">
                  <c:v>0.626630013220608</c:v>
                </c:pt>
              </c:numCache>
            </c:numRef>
          </c:val>
          <c:smooth val="0"/>
        </c:ser>
        <c:dLbls>
          <c:showLegendKey val="0"/>
          <c:showVal val="0"/>
          <c:showCatName val="0"/>
          <c:showSerName val="0"/>
          <c:showPercent val="0"/>
          <c:showBubbleSize val="0"/>
        </c:dLbls>
        <c:marker val="1"/>
        <c:smooth val="0"/>
        <c:axId val="-2106564344"/>
        <c:axId val="-2106561336"/>
      </c:lineChart>
      <c:catAx>
        <c:axId val="-2106564344"/>
        <c:scaling>
          <c:orientation val="minMax"/>
        </c:scaling>
        <c:delete val="0"/>
        <c:axPos val="b"/>
        <c:numFmt formatCode="General" sourceLinked="1"/>
        <c:majorTickMark val="out"/>
        <c:minorTickMark val="none"/>
        <c:tickLblPos val="nextTo"/>
        <c:crossAx val="-2106561336"/>
        <c:crosses val="autoZero"/>
        <c:auto val="1"/>
        <c:lblAlgn val="ctr"/>
        <c:lblOffset val="100"/>
        <c:noMultiLvlLbl val="0"/>
      </c:catAx>
      <c:valAx>
        <c:axId val="-2106561336"/>
        <c:scaling>
          <c:orientation val="minMax"/>
        </c:scaling>
        <c:delete val="0"/>
        <c:axPos val="l"/>
        <c:majorGridlines/>
        <c:numFmt formatCode="0%" sourceLinked="1"/>
        <c:majorTickMark val="out"/>
        <c:minorTickMark val="none"/>
        <c:tickLblPos val="nextTo"/>
        <c:crossAx val="-2106564344"/>
        <c:crosses val="autoZero"/>
        <c:crossBetween val="between"/>
      </c:valAx>
    </c:plotArea>
    <c:plotVisOnly val="1"/>
    <c:dispBlanksAs val="gap"/>
    <c:showDLblsOverMax val="0"/>
  </c:chart>
  <c:printSettings>
    <c:headerFooter/>
    <c:pageMargins b="1.0" l="0.75" r="0.75" t="1.0"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32248468941382"/>
          <c:y val="0.0601851851851852"/>
          <c:w val="0.859268810148731"/>
          <c:h val="0.766913823272091"/>
        </c:manualLayout>
      </c:layout>
      <c:lineChart>
        <c:grouping val="standard"/>
        <c:varyColors val="0"/>
        <c:ser>
          <c:idx val="0"/>
          <c:order val="0"/>
          <c:tx>
            <c:v>Oil pre-tax</c:v>
          </c:tx>
          <c:marker>
            <c:symbol val="none"/>
          </c:marker>
          <c:cat>
            <c:numRef>
              <c:f>T.A16!$A$38:$A$59</c:f>
              <c:numCache>
                <c:formatCode>General</c:formatCode>
                <c:ptCount val="22"/>
                <c:pt idx="0">
                  <c:v>1994.0</c:v>
                </c:pt>
                <c:pt idx="1">
                  <c:v>1995.0</c:v>
                </c:pt>
                <c:pt idx="2">
                  <c:v>1996.0</c:v>
                </c:pt>
                <c:pt idx="3">
                  <c:v>1997.0</c:v>
                </c:pt>
                <c:pt idx="4">
                  <c:v>1998.0</c:v>
                </c:pt>
                <c:pt idx="5">
                  <c:v>1999.0</c:v>
                </c:pt>
                <c:pt idx="6">
                  <c:v>2000.0</c:v>
                </c:pt>
                <c:pt idx="7">
                  <c:v>2001.0</c:v>
                </c:pt>
                <c:pt idx="8">
                  <c:v>2002.0</c:v>
                </c:pt>
                <c:pt idx="9">
                  <c:v>2003.0</c:v>
                </c:pt>
                <c:pt idx="10">
                  <c:v>2004.0</c:v>
                </c:pt>
                <c:pt idx="11">
                  <c:v>2005.0</c:v>
                </c:pt>
                <c:pt idx="12">
                  <c:v>2006.0</c:v>
                </c:pt>
                <c:pt idx="13">
                  <c:v>2007.0</c:v>
                </c:pt>
                <c:pt idx="14">
                  <c:v>2008.0</c:v>
                </c:pt>
                <c:pt idx="15">
                  <c:v>2009.0</c:v>
                </c:pt>
                <c:pt idx="16">
                  <c:v>2010.0</c:v>
                </c:pt>
                <c:pt idx="17">
                  <c:v>2011.0</c:v>
                </c:pt>
                <c:pt idx="18">
                  <c:v>2012.0</c:v>
                </c:pt>
                <c:pt idx="19">
                  <c:v>2013.0</c:v>
                </c:pt>
                <c:pt idx="20">
                  <c:v>2014.0</c:v>
                </c:pt>
                <c:pt idx="21">
                  <c:v>2015.0</c:v>
                </c:pt>
              </c:numCache>
            </c:numRef>
          </c:cat>
          <c:val>
            <c:numRef>
              <c:f>T.A16!$C$38:$C$59</c:f>
              <c:numCache>
                <c:formatCode>0%</c:formatCode>
                <c:ptCount val="22"/>
                <c:pt idx="0">
                  <c:v>0.298161515903451</c:v>
                </c:pt>
                <c:pt idx="1">
                  <c:v>0.320104888951462</c:v>
                </c:pt>
                <c:pt idx="2">
                  <c:v>0.414049345939645</c:v>
                </c:pt>
                <c:pt idx="3">
                  <c:v>0.380787704130644</c:v>
                </c:pt>
                <c:pt idx="4">
                  <c:v>0.182140855594993</c:v>
                </c:pt>
                <c:pt idx="5">
                  <c:v>0.306930838702086</c:v>
                </c:pt>
                <c:pt idx="6">
                  <c:v>0.58867343881914</c:v>
                </c:pt>
                <c:pt idx="7">
                  <c:v>0.413961223885358</c:v>
                </c:pt>
                <c:pt idx="8">
                  <c:v>0.341559865179129</c:v>
                </c:pt>
                <c:pt idx="9">
                  <c:v>0.426132699500672</c:v>
                </c:pt>
                <c:pt idx="10">
                  <c:v>0.481705665790803</c:v>
                </c:pt>
                <c:pt idx="11">
                  <c:v>0.546292527681813</c:v>
                </c:pt>
                <c:pt idx="12">
                  <c:v>0.585741605172854</c:v>
                </c:pt>
                <c:pt idx="13">
                  <c:v>0.539063014558362</c:v>
                </c:pt>
                <c:pt idx="14">
                  <c:v>0.723604102646678</c:v>
                </c:pt>
                <c:pt idx="15">
                  <c:v>0.429160061432008</c:v>
                </c:pt>
                <c:pt idx="16">
                  <c:v>0.489616908490851</c:v>
                </c:pt>
                <c:pt idx="17">
                  <c:v>0.589560973764691</c:v>
                </c:pt>
                <c:pt idx="18">
                  <c:v>0.454855552314365</c:v>
                </c:pt>
                <c:pt idx="19">
                  <c:v>0.333511833463854</c:v>
                </c:pt>
                <c:pt idx="20">
                  <c:v>0.254582633774824</c:v>
                </c:pt>
                <c:pt idx="21">
                  <c:v>0.0</c:v>
                </c:pt>
              </c:numCache>
            </c:numRef>
          </c:val>
          <c:smooth val="0"/>
        </c:ser>
        <c:ser>
          <c:idx val="1"/>
          <c:order val="1"/>
          <c:tx>
            <c:v>Oil post-tax</c:v>
          </c:tx>
          <c:marker>
            <c:symbol val="none"/>
          </c:marker>
          <c:cat>
            <c:numRef>
              <c:f>T.A16!$A$38:$A$59</c:f>
              <c:numCache>
                <c:formatCode>General</c:formatCode>
                <c:ptCount val="22"/>
                <c:pt idx="0">
                  <c:v>1994.0</c:v>
                </c:pt>
                <c:pt idx="1">
                  <c:v>1995.0</c:v>
                </c:pt>
                <c:pt idx="2">
                  <c:v>1996.0</c:v>
                </c:pt>
                <c:pt idx="3">
                  <c:v>1997.0</c:v>
                </c:pt>
                <c:pt idx="4">
                  <c:v>1998.0</c:v>
                </c:pt>
                <c:pt idx="5">
                  <c:v>1999.0</c:v>
                </c:pt>
                <c:pt idx="6">
                  <c:v>2000.0</c:v>
                </c:pt>
                <c:pt idx="7">
                  <c:v>2001.0</c:v>
                </c:pt>
                <c:pt idx="8">
                  <c:v>2002.0</c:v>
                </c:pt>
                <c:pt idx="9">
                  <c:v>2003.0</c:v>
                </c:pt>
                <c:pt idx="10">
                  <c:v>2004.0</c:v>
                </c:pt>
                <c:pt idx="11">
                  <c:v>2005.0</c:v>
                </c:pt>
                <c:pt idx="12">
                  <c:v>2006.0</c:v>
                </c:pt>
                <c:pt idx="13">
                  <c:v>2007.0</c:v>
                </c:pt>
                <c:pt idx="14">
                  <c:v>2008.0</c:v>
                </c:pt>
                <c:pt idx="15">
                  <c:v>2009.0</c:v>
                </c:pt>
                <c:pt idx="16">
                  <c:v>2010.0</c:v>
                </c:pt>
                <c:pt idx="17">
                  <c:v>2011.0</c:v>
                </c:pt>
                <c:pt idx="18">
                  <c:v>2012.0</c:v>
                </c:pt>
                <c:pt idx="19">
                  <c:v>2013.0</c:v>
                </c:pt>
                <c:pt idx="20">
                  <c:v>2014.0</c:v>
                </c:pt>
                <c:pt idx="21">
                  <c:v>2015.0</c:v>
                </c:pt>
              </c:numCache>
            </c:numRef>
          </c:cat>
          <c:val>
            <c:numRef>
              <c:f>T.A16!$I$38:$I$59</c:f>
              <c:numCache>
                <c:formatCode>0%</c:formatCode>
                <c:ptCount val="22"/>
                <c:pt idx="0">
                  <c:v>0.158511505522195</c:v>
                </c:pt>
                <c:pt idx="1">
                  <c:v>0.165437613317209</c:v>
                </c:pt>
                <c:pt idx="2">
                  <c:v>0.208906792178607</c:v>
                </c:pt>
                <c:pt idx="3">
                  <c:v>0.214436814111471</c:v>
                </c:pt>
                <c:pt idx="4">
                  <c:v>0.113427662295757</c:v>
                </c:pt>
                <c:pt idx="5">
                  <c:v>0.19083162562252</c:v>
                </c:pt>
                <c:pt idx="6">
                  <c:v>0.337117968589686</c:v>
                </c:pt>
                <c:pt idx="7">
                  <c:v>0.235673174982456</c:v>
                </c:pt>
                <c:pt idx="8">
                  <c:v>0.186607243902147</c:v>
                </c:pt>
                <c:pt idx="9">
                  <c:v>0.244658311134152</c:v>
                </c:pt>
                <c:pt idx="10">
                  <c:v>0.293052388832024</c:v>
                </c:pt>
                <c:pt idx="11">
                  <c:v>0.32858818280925</c:v>
                </c:pt>
                <c:pt idx="12">
                  <c:v>0.346242996414468</c:v>
                </c:pt>
                <c:pt idx="13">
                  <c:v>0.299883818146406</c:v>
                </c:pt>
                <c:pt idx="14">
                  <c:v>0.367648024461785</c:v>
                </c:pt>
                <c:pt idx="15">
                  <c:v>0.225953965827585</c:v>
                </c:pt>
                <c:pt idx="16">
                  <c:v>0.266244259383651</c:v>
                </c:pt>
                <c:pt idx="17">
                  <c:v>0.302356197303222</c:v>
                </c:pt>
                <c:pt idx="18">
                  <c:v>0.220303206490581</c:v>
                </c:pt>
                <c:pt idx="19">
                  <c:v>0.17711065884632</c:v>
                </c:pt>
                <c:pt idx="20">
                  <c:v>0.14318179123843</c:v>
                </c:pt>
                <c:pt idx="21">
                  <c:v>0.0</c:v>
                </c:pt>
              </c:numCache>
            </c:numRef>
          </c:val>
          <c:smooth val="0"/>
        </c:ser>
        <c:dLbls>
          <c:showLegendKey val="0"/>
          <c:showVal val="0"/>
          <c:showCatName val="0"/>
          <c:showSerName val="0"/>
          <c:showPercent val="0"/>
          <c:showBubbleSize val="0"/>
        </c:dLbls>
        <c:marker val="1"/>
        <c:smooth val="0"/>
        <c:axId val="-2113054536"/>
        <c:axId val="-2113090568"/>
      </c:lineChart>
      <c:catAx>
        <c:axId val="-2113054536"/>
        <c:scaling>
          <c:orientation val="minMax"/>
        </c:scaling>
        <c:delete val="0"/>
        <c:axPos val="b"/>
        <c:numFmt formatCode="General" sourceLinked="1"/>
        <c:majorTickMark val="out"/>
        <c:minorTickMark val="none"/>
        <c:tickLblPos val="nextTo"/>
        <c:crossAx val="-2113090568"/>
        <c:crosses val="autoZero"/>
        <c:auto val="1"/>
        <c:lblAlgn val="ctr"/>
        <c:lblOffset val="100"/>
        <c:noMultiLvlLbl val="0"/>
      </c:catAx>
      <c:valAx>
        <c:axId val="-2113090568"/>
        <c:scaling>
          <c:orientation val="minMax"/>
        </c:scaling>
        <c:delete val="0"/>
        <c:axPos val="l"/>
        <c:majorGridlines/>
        <c:numFmt formatCode="0%" sourceLinked="1"/>
        <c:majorTickMark val="out"/>
        <c:minorTickMark val="none"/>
        <c:tickLblPos val="nextTo"/>
        <c:crossAx val="-2113054536"/>
        <c:crosses val="autoZero"/>
        <c:crossBetween val="between"/>
      </c:valAx>
    </c:plotArea>
    <c:legend>
      <c:legendPos val="r"/>
      <c:layout>
        <c:manualLayout>
          <c:xMode val="edge"/>
          <c:yMode val="edge"/>
          <c:x val="0.217244531933508"/>
          <c:y val="0.0829494750656168"/>
          <c:w val="0.218866579177603"/>
          <c:h val="0.185952901720618"/>
        </c:manualLayout>
      </c:layout>
      <c:overlay val="0"/>
    </c:legend>
    <c:plotVisOnly val="1"/>
    <c:dispBlanksAs val="gap"/>
    <c:showDLblsOverMax val="0"/>
  </c:chart>
  <c:printSettings>
    <c:headerFooter/>
    <c:pageMargins b="1.0" l="0.75" r="0.75" t="1.0"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If</a:t>
            </a:r>
            <a:r>
              <a:rPr lang="fr-FR" baseline="0"/>
              <a:t> you g</a:t>
            </a:r>
            <a:r>
              <a:rPr lang="fr-FR"/>
              <a:t>ive</a:t>
            </a:r>
            <a:r>
              <a:rPr lang="fr-FR" baseline="0"/>
              <a:t> a mouse a cookie...</a:t>
            </a:r>
            <a:endParaRPr lang="fr-FR"/>
          </a:p>
        </c:rich>
      </c:tx>
      <c:layout>
        <c:manualLayout>
          <c:xMode val="edge"/>
          <c:yMode val="edge"/>
          <c:x val="0.107322834645669"/>
          <c:y val="0.0185185185185185"/>
        </c:manualLayout>
      </c:layout>
      <c:overlay val="0"/>
    </c:title>
    <c:autoTitleDeleted val="0"/>
    <c:plotArea>
      <c:layout/>
      <c:barChart>
        <c:barDir val="col"/>
        <c:grouping val="stacked"/>
        <c:varyColors val="0"/>
        <c:ser>
          <c:idx val="0"/>
          <c:order val="0"/>
          <c:tx>
            <c:strRef>
              <c:f>'Assets(BoP)'!$EH$3</c:f>
              <c:strCache>
                <c:ptCount val="1"/>
                <c:pt idx="0">
                  <c:v>Ireland</c:v>
                </c:pt>
              </c:strCache>
            </c:strRef>
          </c:tx>
          <c:invertIfNegative val="0"/>
          <c:cat>
            <c:numRef>
              <c:f>'Assets(BoP)'!$B$91:$B$108</c:f>
              <c:numCache>
                <c:formatCode>General</c:formatCode>
                <c:ptCount val="18"/>
                <c:pt idx="0">
                  <c:v>1999.0</c:v>
                </c:pt>
                <c:pt idx="1">
                  <c:v>2000.0</c:v>
                </c:pt>
                <c:pt idx="2">
                  <c:v>2001.0</c:v>
                </c:pt>
                <c:pt idx="3">
                  <c:v>2002.0</c:v>
                </c:pt>
                <c:pt idx="4">
                  <c:v>2003.0</c:v>
                </c:pt>
                <c:pt idx="5">
                  <c:v>2004.0</c:v>
                </c:pt>
                <c:pt idx="6">
                  <c:v>2005.0</c:v>
                </c:pt>
                <c:pt idx="7">
                  <c:v>2006.0</c:v>
                </c:pt>
                <c:pt idx="8">
                  <c:v>2007.0</c:v>
                </c:pt>
                <c:pt idx="9">
                  <c:v>2008.0</c:v>
                </c:pt>
                <c:pt idx="10">
                  <c:v>2009.0</c:v>
                </c:pt>
                <c:pt idx="11">
                  <c:v>2010.0</c:v>
                </c:pt>
                <c:pt idx="12">
                  <c:v>2011.0</c:v>
                </c:pt>
                <c:pt idx="13">
                  <c:v>2012.0</c:v>
                </c:pt>
                <c:pt idx="14">
                  <c:v>2013.0</c:v>
                </c:pt>
                <c:pt idx="15">
                  <c:v>2014.0</c:v>
                </c:pt>
                <c:pt idx="16">
                  <c:v>2015.0</c:v>
                </c:pt>
                <c:pt idx="17">
                  <c:v>2016.0</c:v>
                </c:pt>
              </c:numCache>
            </c:numRef>
          </c:cat>
          <c:val>
            <c:numRef>
              <c:f>'Assets(BoP)'!$EH$91:$EH$108</c:f>
              <c:numCache>
                <c:formatCode>#\ ##0.0</c:formatCode>
                <c:ptCount val="18"/>
                <c:pt idx="0">
                  <c:v>3.073</c:v>
                </c:pt>
                <c:pt idx="1">
                  <c:v>4.345</c:v>
                </c:pt>
                <c:pt idx="2">
                  <c:v>3.856</c:v>
                </c:pt>
                <c:pt idx="3">
                  <c:v>4.927</c:v>
                </c:pt>
                <c:pt idx="4">
                  <c:v>7.394</c:v>
                </c:pt>
                <c:pt idx="5">
                  <c:v>7.712</c:v>
                </c:pt>
                <c:pt idx="6">
                  <c:v>-3.257</c:v>
                </c:pt>
                <c:pt idx="7">
                  <c:v>6.501</c:v>
                </c:pt>
                <c:pt idx="8">
                  <c:v>6.469</c:v>
                </c:pt>
                <c:pt idx="9">
                  <c:v>22.366</c:v>
                </c:pt>
                <c:pt idx="10">
                  <c:v>21.856</c:v>
                </c:pt>
                <c:pt idx="11">
                  <c:v>23.685</c:v>
                </c:pt>
                <c:pt idx="12">
                  <c:v>27.989</c:v>
                </c:pt>
                <c:pt idx="13">
                  <c:v>35.921</c:v>
                </c:pt>
                <c:pt idx="14">
                  <c:v>32.526</c:v>
                </c:pt>
                <c:pt idx="15">
                  <c:v>37.02</c:v>
                </c:pt>
                <c:pt idx="16">
                  <c:v>50.727</c:v>
                </c:pt>
                <c:pt idx="17">
                  <c:v>48.05</c:v>
                </c:pt>
              </c:numCache>
            </c:numRef>
          </c:val>
        </c:ser>
        <c:ser>
          <c:idx val="1"/>
          <c:order val="1"/>
          <c:tx>
            <c:strRef>
              <c:f>'Assets(BoP)'!$EI$3</c:f>
              <c:strCache>
                <c:ptCount val="1"/>
                <c:pt idx="0">
                  <c:v>Netherlands</c:v>
                </c:pt>
              </c:strCache>
            </c:strRef>
          </c:tx>
          <c:invertIfNegative val="0"/>
          <c:cat>
            <c:numRef>
              <c:f>'Assets(BoP)'!$B$91:$B$108</c:f>
              <c:numCache>
                <c:formatCode>General</c:formatCode>
                <c:ptCount val="18"/>
                <c:pt idx="0">
                  <c:v>1999.0</c:v>
                </c:pt>
                <c:pt idx="1">
                  <c:v>2000.0</c:v>
                </c:pt>
                <c:pt idx="2">
                  <c:v>2001.0</c:v>
                </c:pt>
                <c:pt idx="3">
                  <c:v>2002.0</c:v>
                </c:pt>
                <c:pt idx="4">
                  <c:v>2003.0</c:v>
                </c:pt>
                <c:pt idx="5">
                  <c:v>2004.0</c:v>
                </c:pt>
                <c:pt idx="6">
                  <c:v>2005.0</c:v>
                </c:pt>
                <c:pt idx="7">
                  <c:v>2006.0</c:v>
                </c:pt>
                <c:pt idx="8">
                  <c:v>2007.0</c:v>
                </c:pt>
                <c:pt idx="9">
                  <c:v>2008.0</c:v>
                </c:pt>
                <c:pt idx="10">
                  <c:v>2009.0</c:v>
                </c:pt>
                <c:pt idx="11">
                  <c:v>2010.0</c:v>
                </c:pt>
                <c:pt idx="12">
                  <c:v>2011.0</c:v>
                </c:pt>
                <c:pt idx="13">
                  <c:v>2012.0</c:v>
                </c:pt>
                <c:pt idx="14">
                  <c:v>2013.0</c:v>
                </c:pt>
                <c:pt idx="15">
                  <c:v>2014.0</c:v>
                </c:pt>
                <c:pt idx="16">
                  <c:v>2015.0</c:v>
                </c:pt>
                <c:pt idx="17">
                  <c:v>2016.0</c:v>
                </c:pt>
              </c:numCache>
            </c:numRef>
          </c:cat>
          <c:val>
            <c:numRef>
              <c:f>'Assets(BoP)'!$EI$91:$EI$108</c:f>
              <c:numCache>
                <c:formatCode>#\ ##0.0</c:formatCode>
                <c:ptCount val="18"/>
                <c:pt idx="0">
                  <c:v>11.724</c:v>
                </c:pt>
                <c:pt idx="1">
                  <c:v>10.078</c:v>
                </c:pt>
                <c:pt idx="2">
                  <c:v>7.52</c:v>
                </c:pt>
                <c:pt idx="3">
                  <c:v>9.015</c:v>
                </c:pt>
                <c:pt idx="4">
                  <c:v>14.713</c:v>
                </c:pt>
                <c:pt idx="5">
                  <c:v>22.207</c:v>
                </c:pt>
                <c:pt idx="6">
                  <c:v>-33.848</c:v>
                </c:pt>
                <c:pt idx="7">
                  <c:v>29.055</c:v>
                </c:pt>
                <c:pt idx="8">
                  <c:v>35.679</c:v>
                </c:pt>
                <c:pt idx="9">
                  <c:v>26.445</c:v>
                </c:pt>
                <c:pt idx="10">
                  <c:v>42.981</c:v>
                </c:pt>
                <c:pt idx="11">
                  <c:v>51.14</c:v>
                </c:pt>
                <c:pt idx="12">
                  <c:v>64.943</c:v>
                </c:pt>
                <c:pt idx="13">
                  <c:v>42.624</c:v>
                </c:pt>
                <c:pt idx="14">
                  <c:v>65.539</c:v>
                </c:pt>
                <c:pt idx="15">
                  <c:v>52.886</c:v>
                </c:pt>
                <c:pt idx="16">
                  <c:v>51.405</c:v>
                </c:pt>
                <c:pt idx="17">
                  <c:v>44.449</c:v>
                </c:pt>
              </c:numCache>
            </c:numRef>
          </c:val>
        </c:ser>
        <c:ser>
          <c:idx val="2"/>
          <c:order val="2"/>
          <c:tx>
            <c:strRef>
              <c:f>'Assets(BoP)'!$EJ$3</c:f>
              <c:strCache>
                <c:ptCount val="1"/>
                <c:pt idx="0">
                  <c:v>Luxembourg</c:v>
                </c:pt>
              </c:strCache>
            </c:strRef>
          </c:tx>
          <c:invertIfNegative val="0"/>
          <c:cat>
            <c:numRef>
              <c:f>'Assets(BoP)'!$B$91:$B$108</c:f>
              <c:numCache>
                <c:formatCode>General</c:formatCode>
                <c:ptCount val="18"/>
                <c:pt idx="0">
                  <c:v>1999.0</c:v>
                </c:pt>
                <c:pt idx="1">
                  <c:v>2000.0</c:v>
                </c:pt>
                <c:pt idx="2">
                  <c:v>2001.0</c:v>
                </c:pt>
                <c:pt idx="3">
                  <c:v>2002.0</c:v>
                </c:pt>
                <c:pt idx="4">
                  <c:v>2003.0</c:v>
                </c:pt>
                <c:pt idx="5">
                  <c:v>2004.0</c:v>
                </c:pt>
                <c:pt idx="6">
                  <c:v>2005.0</c:v>
                </c:pt>
                <c:pt idx="7">
                  <c:v>2006.0</c:v>
                </c:pt>
                <c:pt idx="8">
                  <c:v>2007.0</c:v>
                </c:pt>
                <c:pt idx="9">
                  <c:v>2008.0</c:v>
                </c:pt>
                <c:pt idx="10">
                  <c:v>2009.0</c:v>
                </c:pt>
                <c:pt idx="11">
                  <c:v>2010.0</c:v>
                </c:pt>
                <c:pt idx="12">
                  <c:v>2011.0</c:v>
                </c:pt>
                <c:pt idx="13">
                  <c:v>2012.0</c:v>
                </c:pt>
                <c:pt idx="14">
                  <c:v>2013.0</c:v>
                </c:pt>
                <c:pt idx="15">
                  <c:v>2014.0</c:v>
                </c:pt>
                <c:pt idx="16">
                  <c:v>2015.0</c:v>
                </c:pt>
                <c:pt idx="17">
                  <c:v>2016.0</c:v>
                </c:pt>
              </c:numCache>
            </c:numRef>
          </c:cat>
          <c:val>
            <c:numRef>
              <c:f>'Assets(BoP)'!$EJ$91:$EJ$108</c:f>
              <c:numCache>
                <c:formatCode>#\ ##0.0</c:formatCode>
                <c:ptCount val="18"/>
                <c:pt idx="0">
                  <c:v>2.73</c:v>
                </c:pt>
                <c:pt idx="1">
                  <c:v>2.535</c:v>
                </c:pt>
                <c:pt idx="2">
                  <c:v>3.094</c:v>
                </c:pt>
                <c:pt idx="3">
                  <c:v>6.125</c:v>
                </c:pt>
                <c:pt idx="4">
                  <c:v>3.169</c:v>
                </c:pt>
                <c:pt idx="5">
                  <c:v>2.84</c:v>
                </c:pt>
                <c:pt idx="6">
                  <c:v>-5.953</c:v>
                </c:pt>
                <c:pt idx="7">
                  <c:v>15.385</c:v>
                </c:pt>
                <c:pt idx="8">
                  <c:v>17.069</c:v>
                </c:pt>
                <c:pt idx="9">
                  <c:v>19.05</c:v>
                </c:pt>
                <c:pt idx="10">
                  <c:v>15.96</c:v>
                </c:pt>
                <c:pt idx="11">
                  <c:v>25.467</c:v>
                </c:pt>
                <c:pt idx="12">
                  <c:v>19.739</c:v>
                </c:pt>
                <c:pt idx="13">
                  <c:v>13.1</c:v>
                </c:pt>
                <c:pt idx="14">
                  <c:v>25.848</c:v>
                </c:pt>
                <c:pt idx="15">
                  <c:v>29.427</c:v>
                </c:pt>
                <c:pt idx="16">
                  <c:v>21.057</c:v>
                </c:pt>
                <c:pt idx="17">
                  <c:v>26.17</c:v>
                </c:pt>
              </c:numCache>
            </c:numRef>
          </c:val>
        </c:ser>
        <c:ser>
          <c:idx val="3"/>
          <c:order val="3"/>
          <c:tx>
            <c:strRef>
              <c:f>'Assets(BoP)'!$EK$3</c:f>
              <c:strCache>
                <c:ptCount val="1"/>
                <c:pt idx="0">
                  <c:v>Switzerland</c:v>
                </c:pt>
              </c:strCache>
            </c:strRef>
          </c:tx>
          <c:invertIfNegative val="0"/>
          <c:cat>
            <c:numRef>
              <c:f>'Assets(BoP)'!$B$91:$B$108</c:f>
              <c:numCache>
                <c:formatCode>General</c:formatCode>
                <c:ptCount val="18"/>
                <c:pt idx="0">
                  <c:v>1999.0</c:v>
                </c:pt>
                <c:pt idx="1">
                  <c:v>2000.0</c:v>
                </c:pt>
                <c:pt idx="2">
                  <c:v>2001.0</c:v>
                </c:pt>
                <c:pt idx="3">
                  <c:v>2002.0</c:v>
                </c:pt>
                <c:pt idx="4">
                  <c:v>2003.0</c:v>
                </c:pt>
                <c:pt idx="5">
                  <c:v>2004.0</c:v>
                </c:pt>
                <c:pt idx="6">
                  <c:v>2005.0</c:v>
                </c:pt>
                <c:pt idx="7">
                  <c:v>2006.0</c:v>
                </c:pt>
                <c:pt idx="8">
                  <c:v>2007.0</c:v>
                </c:pt>
                <c:pt idx="9">
                  <c:v>2008.0</c:v>
                </c:pt>
                <c:pt idx="10">
                  <c:v>2009.0</c:v>
                </c:pt>
                <c:pt idx="11">
                  <c:v>2010.0</c:v>
                </c:pt>
                <c:pt idx="12">
                  <c:v>2011.0</c:v>
                </c:pt>
                <c:pt idx="13">
                  <c:v>2012.0</c:v>
                </c:pt>
                <c:pt idx="14">
                  <c:v>2013.0</c:v>
                </c:pt>
                <c:pt idx="15">
                  <c:v>2014.0</c:v>
                </c:pt>
                <c:pt idx="16">
                  <c:v>2015.0</c:v>
                </c:pt>
                <c:pt idx="17">
                  <c:v>2016.0</c:v>
                </c:pt>
              </c:numCache>
            </c:numRef>
          </c:cat>
          <c:val>
            <c:numRef>
              <c:f>'Assets(BoP)'!$EK$91:$EK$108</c:f>
              <c:numCache>
                <c:formatCode>#\ ##0.0</c:formatCode>
                <c:ptCount val="18"/>
                <c:pt idx="0">
                  <c:v>4.138</c:v>
                </c:pt>
                <c:pt idx="1">
                  <c:v>2.949</c:v>
                </c:pt>
                <c:pt idx="2">
                  <c:v>2.705</c:v>
                </c:pt>
                <c:pt idx="3">
                  <c:v>7.725</c:v>
                </c:pt>
                <c:pt idx="4">
                  <c:v>9.065</c:v>
                </c:pt>
                <c:pt idx="5">
                  <c:v>10.361</c:v>
                </c:pt>
                <c:pt idx="6">
                  <c:v>-7.366</c:v>
                </c:pt>
                <c:pt idx="7">
                  <c:v>9.638</c:v>
                </c:pt>
                <c:pt idx="8">
                  <c:v>9.444000000000001</c:v>
                </c:pt>
                <c:pt idx="9">
                  <c:v>14.866</c:v>
                </c:pt>
                <c:pt idx="10">
                  <c:v>12.188</c:v>
                </c:pt>
                <c:pt idx="11">
                  <c:v>7.107</c:v>
                </c:pt>
                <c:pt idx="12">
                  <c:v>7.452</c:v>
                </c:pt>
                <c:pt idx="13">
                  <c:v>7.98</c:v>
                </c:pt>
                <c:pt idx="14">
                  <c:v>15.393</c:v>
                </c:pt>
                <c:pt idx="15">
                  <c:v>12.968</c:v>
                </c:pt>
                <c:pt idx="16">
                  <c:v>18.957</c:v>
                </c:pt>
                <c:pt idx="17">
                  <c:v>22.2</c:v>
                </c:pt>
              </c:numCache>
            </c:numRef>
          </c:val>
        </c:ser>
        <c:ser>
          <c:idx val="4"/>
          <c:order val="4"/>
          <c:tx>
            <c:strRef>
              <c:f>'Assets(BoP)'!$EL$3</c:f>
              <c:strCache>
                <c:ptCount val="1"/>
                <c:pt idx="0">
                  <c:v>Bermuda &amp; Caribbean</c:v>
                </c:pt>
              </c:strCache>
            </c:strRef>
          </c:tx>
          <c:invertIfNegative val="0"/>
          <c:cat>
            <c:numRef>
              <c:f>'Assets(BoP)'!$B$91:$B$108</c:f>
              <c:numCache>
                <c:formatCode>General</c:formatCode>
                <c:ptCount val="18"/>
                <c:pt idx="0">
                  <c:v>1999.0</c:v>
                </c:pt>
                <c:pt idx="1">
                  <c:v>2000.0</c:v>
                </c:pt>
                <c:pt idx="2">
                  <c:v>2001.0</c:v>
                </c:pt>
                <c:pt idx="3">
                  <c:v>2002.0</c:v>
                </c:pt>
                <c:pt idx="4">
                  <c:v>2003.0</c:v>
                </c:pt>
                <c:pt idx="5">
                  <c:v>2004.0</c:v>
                </c:pt>
                <c:pt idx="6">
                  <c:v>2005.0</c:v>
                </c:pt>
                <c:pt idx="7">
                  <c:v>2006.0</c:v>
                </c:pt>
                <c:pt idx="8">
                  <c:v>2007.0</c:v>
                </c:pt>
                <c:pt idx="9">
                  <c:v>2008.0</c:v>
                </c:pt>
                <c:pt idx="10">
                  <c:v>2009.0</c:v>
                </c:pt>
                <c:pt idx="11">
                  <c:v>2010.0</c:v>
                </c:pt>
                <c:pt idx="12">
                  <c:v>2011.0</c:v>
                </c:pt>
                <c:pt idx="13">
                  <c:v>2012.0</c:v>
                </c:pt>
                <c:pt idx="14">
                  <c:v>2013.0</c:v>
                </c:pt>
                <c:pt idx="15">
                  <c:v>2014.0</c:v>
                </c:pt>
                <c:pt idx="16">
                  <c:v>2015.0</c:v>
                </c:pt>
                <c:pt idx="17">
                  <c:v>2016.0</c:v>
                </c:pt>
              </c:numCache>
            </c:numRef>
          </c:cat>
          <c:val>
            <c:numRef>
              <c:f>'Assets(BoP)'!$EL$91:$EL$108</c:f>
              <c:numCache>
                <c:formatCode>#\ ##0.0</c:formatCode>
                <c:ptCount val="18"/>
                <c:pt idx="0">
                  <c:v>3.828</c:v>
                </c:pt>
                <c:pt idx="1">
                  <c:v>4.268</c:v>
                </c:pt>
                <c:pt idx="2">
                  <c:v>3.894</c:v>
                </c:pt>
                <c:pt idx="3">
                  <c:v>4.92</c:v>
                </c:pt>
                <c:pt idx="4">
                  <c:v>6.761999999999999</c:v>
                </c:pt>
                <c:pt idx="5">
                  <c:v>13.355</c:v>
                </c:pt>
                <c:pt idx="6">
                  <c:v>-15.618</c:v>
                </c:pt>
                <c:pt idx="7">
                  <c:v>19.06</c:v>
                </c:pt>
                <c:pt idx="8">
                  <c:v>25.698</c:v>
                </c:pt>
                <c:pt idx="9">
                  <c:v>27.569</c:v>
                </c:pt>
                <c:pt idx="10">
                  <c:v>28.332</c:v>
                </c:pt>
                <c:pt idx="11">
                  <c:v>46.363</c:v>
                </c:pt>
                <c:pt idx="12">
                  <c:v>42.652</c:v>
                </c:pt>
                <c:pt idx="13">
                  <c:v>44.369</c:v>
                </c:pt>
                <c:pt idx="14">
                  <c:v>46.389</c:v>
                </c:pt>
                <c:pt idx="15">
                  <c:v>41.887</c:v>
                </c:pt>
                <c:pt idx="16">
                  <c:v>36.572</c:v>
                </c:pt>
                <c:pt idx="17">
                  <c:v>44.032</c:v>
                </c:pt>
              </c:numCache>
            </c:numRef>
          </c:val>
        </c:ser>
        <c:ser>
          <c:idx val="5"/>
          <c:order val="5"/>
          <c:tx>
            <c:strRef>
              <c:f>'Assets(BoP)'!$EM$3</c:f>
              <c:strCache>
                <c:ptCount val="1"/>
                <c:pt idx="0">
                  <c:v>Singapore</c:v>
                </c:pt>
              </c:strCache>
            </c:strRef>
          </c:tx>
          <c:invertIfNegative val="0"/>
          <c:cat>
            <c:numRef>
              <c:f>'Assets(BoP)'!$B$91:$B$108</c:f>
              <c:numCache>
                <c:formatCode>General</c:formatCode>
                <c:ptCount val="18"/>
                <c:pt idx="0">
                  <c:v>1999.0</c:v>
                </c:pt>
                <c:pt idx="1">
                  <c:v>2000.0</c:v>
                </c:pt>
                <c:pt idx="2">
                  <c:v>2001.0</c:v>
                </c:pt>
                <c:pt idx="3">
                  <c:v>2002.0</c:v>
                </c:pt>
                <c:pt idx="4">
                  <c:v>2003.0</c:v>
                </c:pt>
                <c:pt idx="5">
                  <c:v>2004.0</c:v>
                </c:pt>
                <c:pt idx="6">
                  <c:v>2005.0</c:v>
                </c:pt>
                <c:pt idx="7">
                  <c:v>2006.0</c:v>
                </c:pt>
                <c:pt idx="8">
                  <c:v>2007.0</c:v>
                </c:pt>
                <c:pt idx="9">
                  <c:v>2008.0</c:v>
                </c:pt>
                <c:pt idx="10">
                  <c:v>2009.0</c:v>
                </c:pt>
                <c:pt idx="11">
                  <c:v>2010.0</c:v>
                </c:pt>
                <c:pt idx="12">
                  <c:v>2011.0</c:v>
                </c:pt>
                <c:pt idx="13">
                  <c:v>2012.0</c:v>
                </c:pt>
                <c:pt idx="14">
                  <c:v>2013.0</c:v>
                </c:pt>
                <c:pt idx="15">
                  <c:v>2014.0</c:v>
                </c:pt>
                <c:pt idx="16">
                  <c:v>2015.0</c:v>
                </c:pt>
                <c:pt idx="17">
                  <c:v>2016.0</c:v>
                </c:pt>
              </c:numCache>
            </c:numRef>
          </c:cat>
          <c:val>
            <c:numRef>
              <c:f>'Assets(BoP)'!$EM$91:$EM$108</c:f>
              <c:numCache>
                <c:formatCode>#\ ##0.0</c:formatCode>
                <c:ptCount val="18"/>
                <c:pt idx="0">
                  <c:v>1.343</c:v>
                </c:pt>
                <c:pt idx="1">
                  <c:v>3.207</c:v>
                </c:pt>
                <c:pt idx="2">
                  <c:v>2.349</c:v>
                </c:pt>
                <c:pt idx="3">
                  <c:v>2.75</c:v>
                </c:pt>
                <c:pt idx="4">
                  <c:v>3.793</c:v>
                </c:pt>
                <c:pt idx="5">
                  <c:v>6.303</c:v>
                </c:pt>
                <c:pt idx="6">
                  <c:v>-4.636999999999999</c:v>
                </c:pt>
                <c:pt idx="7">
                  <c:v>11.77</c:v>
                </c:pt>
                <c:pt idx="8">
                  <c:v>6.999</c:v>
                </c:pt>
                <c:pt idx="9">
                  <c:v>7.273</c:v>
                </c:pt>
                <c:pt idx="10">
                  <c:v>4.02</c:v>
                </c:pt>
                <c:pt idx="11">
                  <c:v>10.282</c:v>
                </c:pt>
                <c:pt idx="12">
                  <c:v>8.645</c:v>
                </c:pt>
                <c:pt idx="13">
                  <c:v>11.348</c:v>
                </c:pt>
                <c:pt idx="14">
                  <c:v>17.817</c:v>
                </c:pt>
                <c:pt idx="15">
                  <c:v>21.304</c:v>
                </c:pt>
                <c:pt idx="16">
                  <c:v>16.266</c:v>
                </c:pt>
                <c:pt idx="17">
                  <c:v>11.228</c:v>
                </c:pt>
              </c:numCache>
            </c:numRef>
          </c:val>
        </c:ser>
        <c:dLbls>
          <c:showLegendKey val="0"/>
          <c:showVal val="0"/>
          <c:showCatName val="0"/>
          <c:showSerName val="0"/>
          <c:showPercent val="0"/>
          <c:showBubbleSize val="0"/>
        </c:dLbls>
        <c:gapWidth val="150"/>
        <c:overlap val="100"/>
        <c:axId val="-2079349880"/>
        <c:axId val="-2079346712"/>
      </c:barChart>
      <c:catAx>
        <c:axId val="-2079349880"/>
        <c:scaling>
          <c:orientation val="minMax"/>
        </c:scaling>
        <c:delete val="0"/>
        <c:axPos val="b"/>
        <c:numFmt formatCode="General" sourceLinked="1"/>
        <c:majorTickMark val="out"/>
        <c:minorTickMark val="none"/>
        <c:tickLblPos val="nextTo"/>
        <c:crossAx val="-2079346712"/>
        <c:crosses val="autoZero"/>
        <c:auto val="1"/>
        <c:lblAlgn val="ctr"/>
        <c:lblOffset val="100"/>
        <c:noMultiLvlLbl val="0"/>
      </c:catAx>
      <c:valAx>
        <c:axId val="-2079346712"/>
        <c:scaling>
          <c:orientation val="minMax"/>
          <c:max val="200.0"/>
        </c:scaling>
        <c:delete val="0"/>
        <c:axPos val="l"/>
        <c:majorGridlines/>
        <c:numFmt formatCode="#\ ##0.0" sourceLinked="1"/>
        <c:majorTickMark val="out"/>
        <c:minorTickMark val="none"/>
        <c:tickLblPos val="nextTo"/>
        <c:crossAx val="-2079349880"/>
        <c:crosses val="autoZero"/>
        <c:crossBetween val="between"/>
      </c:valAx>
    </c:plotArea>
    <c:legend>
      <c:legendPos val="r"/>
      <c:layout>
        <c:manualLayout>
          <c:xMode val="edge"/>
          <c:yMode val="edge"/>
          <c:x val="0.711082579528431"/>
          <c:y val="0.0491039877627286"/>
          <c:w val="0.247179133858268"/>
          <c:h val="0.837171916010499"/>
        </c:manualLayout>
      </c:layout>
      <c:overlay val="0"/>
    </c:legend>
    <c:plotVisOnly val="1"/>
    <c:dispBlanksAs val="gap"/>
    <c:showDLblsOverMax val="0"/>
  </c:chart>
  <c:printSettings>
    <c:headerFooter/>
    <c:pageMargins b="1.0" l="0.75" r="0.75" t="1.0"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Top 6 havens % of total DI assets</a:t>
            </a:r>
          </a:p>
        </c:rich>
      </c:tx>
      <c:overlay val="0"/>
    </c:title>
    <c:autoTitleDeleted val="0"/>
    <c:plotArea>
      <c:layout>
        <c:manualLayout>
          <c:layoutTarget val="inner"/>
          <c:xMode val="edge"/>
          <c:yMode val="edge"/>
          <c:x val="0.0932248672845291"/>
          <c:y val="0.211111111111111"/>
          <c:w val="0.881775127247403"/>
          <c:h val="0.666913823272091"/>
        </c:manualLayout>
      </c:layout>
      <c:lineChart>
        <c:grouping val="standard"/>
        <c:varyColors val="0"/>
        <c:ser>
          <c:idx val="0"/>
          <c:order val="0"/>
          <c:tx>
            <c:strRef>
              <c:f>'Assets(BoP)'!$JU$3</c:f>
              <c:strCache>
                <c:ptCount val="1"/>
                <c:pt idx="0">
                  <c:v>Top 6 havens % of total DI assets</c:v>
                </c:pt>
              </c:strCache>
            </c:strRef>
          </c:tx>
          <c:marker>
            <c:symbol val="none"/>
          </c:marke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'Assets(BoP)'!$JU$74:$JU$108</c:f>
              <c:numCache>
                <c:formatCode>0%</c:formatCode>
                <c:ptCount val="35"/>
                <c:pt idx="0">
                  <c:v>0.108903885401825</c:v>
                </c:pt>
                <c:pt idx="1">
                  <c:v>0.11058213528164</c:v>
                </c:pt>
                <c:pt idx="2">
                  <c:v>0.109604618213331</c:v>
                </c:pt>
                <c:pt idx="3">
                  <c:v>0.135109850693672</c:v>
                </c:pt>
                <c:pt idx="4">
                  <c:v>0.165336892543406</c:v>
                </c:pt>
                <c:pt idx="5">
                  <c:v>0.184289493123435</c:v>
                </c:pt>
                <c:pt idx="6">
                  <c:v>0.186169094328862</c:v>
                </c:pt>
                <c:pt idx="7">
                  <c:v>0.188642179678926</c:v>
                </c:pt>
                <c:pt idx="8">
                  <c:v>0.194764018479935</c:v>
                </c:pt>
                <c:pt idx="9">
                  <c:v>0.189537538153744</c:v>
                </c:pt>
                <c:pt idx="10">
                  <c:v>0.204595837574169</c:v>
                </c:pt>
                <c:pt idx="11">
                  <c:v>0.210270378515745</c:v>
                </c:pt>
                <c:pt idx="12">
                  <c:v>0.213753461044587</c:v>
                </c:pt>
                <c:pt idx="13">
                  <c:v>0.211750820797837</c:v>
                </c:pt>
                <c:pt idx="14">
                  <c:v>0.224531089858462</c:v>
                </c:pt>
                <c:pt idx="15">
                  <c:v>0.231416615785777</c:v>
                </c:pt>
                <c:pt idx="16">
                  <c:v>0.25010017957376</c:v>
                </c:pt>
                <c:pt idx="17">
                  <c:v>0.268517878877595</c:v>
                </c:pt>
                <c:pt idx="18">
                  <c:v>0.278979553229751</c:v>
                </c:pt>
                <c:pt idx="19">
                  <c:v>0.331849444517486</c:v>
                </c:pt>
                <c:pt idx="20">
                  <c:v>0.344433941955327</c:v>
                </c:pt>
                <c:pt idx="21">
                  <c:v>0.353404953512435</c:v>
                </c:pt>
                <c:pt idx="22">
                  <c:v>0.355694811842039</c:v>
                </c:pt>
                <c:pt idx="23">
                  <c:v>0.3462493799227</c:v>
                </c:pt>
                <c:pt idx="24">
                  <c:v>0.371753883713833</c:v>
                </c:pt>
                <c:pt idx="25">
                  <c:v>0.404535100434873</c:v>
                </c:pt>
                <c:pt idx="26">
                  <c:v>0.417922018701974</c:v>
                </c:pt>
                <c:pt idx="27">
                  <c:v>0.439712540182103</c:v>
                </c:pt>
                <c:pt idx="28">
                  <c:v>0.45079999251719</c:v>
                </c:pt>
                <c:pt idx="29">
                  <c:v>0.470687348673811</c:v>
                </c:pt>
                <c:pt idx="30">
                  <c:v>0.476646451315925</c:v>
                </c:pt>
                <c:pt idx="31">
                  <c:v>0.498462239882718</c:v>
                </c:pt>
                <c:pt idx="32">
                  <c:v>0.521132815960685</c:v>
                </c:pt>
                <c:pt idx="33">
                  <c:v>0.540529946583061</c:v>
                </c:pt>
                <c:pt idx="34">
                  <c:v>0.541420326411582</c:v>
                </c:pt>
              </c:numCache>
            </c:numRef>
          </c:val>
          <c:smooth val="0"/>
        </c:ser>
        <c:dLbls>
          <c:showLegendKey val="0"/>
          <c:showVal val="0"/>
          <c:showCatName val="0"/>
          <c:showSerName val="0"/>
          <c:showPercent val="0"/>
          <c:showBubbleSize val="0"/>
        </c:dLbls>
        <c:marker val="1"/>
        <c:smooth val="0"/>
        <c:axId val="-2079383848"/>
        <c:axId val="-2079380840"/>
      </c:lineChart>
      <c:catAx>
        <c:axId val="-2079383848"/>
        <c:scaling>
          <c:orientation val="minMax"/>
        </c:scaling>
        <c:delete val="0"/>
        <c:axPos val="b"/>
        <c:numFmt formatCode="General" sourceLinked="1"/>
        <c:majorTickMark val="out"/>
        <c:minorTickMark val="none"/>
        <c:tickLblPos val="nextTo"/>
        <c:crossAx val="-2079380840"/>
        <c:crosses val="autoZero"/>
        <c:auto val="1"/>
        <c:lblAlgn val="ctr"/>
        <c:lblOffset val="100"/>
        <c:noMultiLvlLbl val="0"/>
      </c:catAx>
      <c:valAx>
        <c:axId val="-2079380840"/>
        <c:scaling>
          <c:orientation val="minMax"/>
        </c:scaling>
        <c:delete val="0"/>
        <c:axPos val="l"/>
        <c:majorGridlines/>
        <c:numFmt formatCode="0%" sourceLinked="1"/>
        <c:majorTickMark val="out"/>
        <c:minorTickMark val="none"/>
        <c:tickLblPos val="nextTo"/>
        <c:crossAx val="-2079383848"/>
        <c:crosses val="autoZero"/>
        <c:crossBetween val="between"/>
      </c:valAx>
    </c:plotArea>
    <c:legend>
      <c:legendPos val="r"/>
      <c:layout>
        <c:manualLayout>
          <c:xMode val="edge"/>
          <c:yMode val="edge"/>
          <c:x val="0.433187049157326"/>
          <c:y val="0.654213314346178"/>
          <c:w val="0.344373525012121"/>
          <c:h val="0.149876633346969"/>
        </c:manualLayout>
      </c:layout>
      <c:overlay val="0"/>
    </c:legend>
    <c:plotVisOnly val="1"/>
    <c:dispBlanksAs val="gap"/>
    <c:showDLblsOverMax val="0"/>
  </c:chart>
  <c:printSettings>
    <c:headerFooter/>
    <c:pageMargins b="1.0" l="0.75" r="0.75" t="1.0"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Yield on DI</a:t>
            </a:r>
            <a:r>
              <a:rPr lang="en-US" baseline="0"/>
              <a:t> assets</a:t>
            </a:r>
            <a:endParaRPr lang="en-US"/>
          </a:p>
        </c:rich>
      </c:tx>
      <c:overlay val="0"/>
    </c:title>
    <c:autoTitleDeleted val="0"/>
    <c:plotArea>
      <c:layout>
        <c:manualLayout>
          <c:layoutTarget val="inner"/>
          <c:xMode val="edge"/>
          <c:yMode val="edge"/>
          <c:x val="0.0937255158076488"/>
          <c:y val="0.150036600675785"/>
          <c:w val="0.851282562120443"/>
          <c:h val="0.689779924884496"/>
        </c:manualLayout>
      </c:layout>
      <c:lineChart>
        <c:grouping val="standard"/>
        <c:varyColors val="0"/>
        <c:ser>
          <c:idx val="0"/>
          <c:order val="0"/>
          <c:tx>
            <c:strRef>
              <c:f>'Assets(BoP)'!$OZ$3</c:f>
              <c:strCache>
                <c:ptCount val="1"/>
                <c:pt idx="0">
                  <c:v>Top 6 havens</c:v>
                </c:pt>
              </c:strCache>
            </c:strRef>
          </c:tx>
          <c:marker>
            <c:symbol val="none"/>
          </c:marker>
          <c:cat>
            <c:numRef>
              <c:f>'Assets(BoP)'!$B$75:$B$108</c:f>
              <c:numCache>
                <c:formatCode>General</c:formatCode>
                <c:ptCount val="34"/>
                <c:pt idx="0">
                  <c:v>1983.0</c:v>
                </c:pt>
                <c:pt idx="1">
                  <c:v>1984.0</c:v>
                </c:pt>
                <c:pt idx="2">
                  <c:v>1985.0</c:v>
                </c:pt>
                <c:pt idx="3">
                  <c:v>1986.0</c:v>
                </c:pt>
                <c:pt idx="4">
                  <c:v>1987.0</c:v>
                </c:pt>
                <c:pt idx="5">
                  <c:v>1988.0</c:v>
                </c:pt>
                <c:pt idx="6">
                  <c:v>1989.0</c:v>
                </c:pt>
                <c:pt idx="7">
                  <c:v>1990.0</c:v>
                </c:pt>
                <c:pt idx="8">
                  <c:v>1991.0</c:v>
                </c:pt>
                <c:pt idx="9">
                  <c:v>1992.0</c:v>
                </c:pt>
                <c:pt idx="10">
                  <c:v>1993.0</c:v>
                </c:pt>
                <c:pt idx="11">
                  <c:v>1994.0</c:v>
                </c:pt>
                <c:pt idx="12">
                  <c:v>1995.0</c:v>
                </c:pt>
                <c:pt idx="13">
                  <c:v>1996.0</c:v>
                </c:pt>
                <c:pt idx="14">
                  <c:v>1997.0</c:v>
                </c:pt>
                <c:pt idx="15">
                  <c:v>1998.0</c:v>
                </c:pt>
                <c:pt idx="16">
                  <c:v>1999.0</c:v>
                </c:pt>
                <c:pt idx="17">
                  <c:v>2000.0</c:v>
                </c:pt>
                <c:pt idx="18">
                  <c:v>2001.0</c:v>
                </c:pt>
                <c:pt idx="19">
                  <c:v>2002.0</c:v>
                </c:pt>
                <c:pt idx="20">
                  <c:v>2003.0</c:v>
                </c:pt>
                <c:pt idx="21">
                  <c:v>2004.0</c:v>
                </c:pt>
                <c:pt idx="22">
                  <c:v>2005.0</c:v>
                </c:pt>
                <c:pt idx="23">
                  <c:v>2006.0</c:v>
                </c:pt>
                <c:pt idx="24">
                  <c:v>2007.0</c:v>
                </c:pt>
                <c:pt idx="25">
                  <c:v>2008.0</c:v>
                </c:pt>
                <c:pt idx="26">
                  <c:v>2009.0</c:v>
                </c:pt>
                <c:pt idx="27">
                  <c:v>2010.0</c:v>
                </c:pt>
                <c:pt idx="28">
                  <c:v>2011.0</c:v>
                </c:pt>
                <c:pt idx="29">
                  <c:v>2012.0</c:v>
                </c:pt>
                <c:pt idx="30">
                  <c:v>2013.0</c:v>
                </c:pt>
                <c:pt idx="31">
                  <c:v>2014.0</c:v>
                </c:pt>
                <c:pt idx="32">
                  <c:v>2015.0</c:v>
                </c:pt>
                <c:pt idx="33">
                  <c:v>2016.0</c:v>
                </c:pt>
              </c:numCache>
            </c:numRef>
          </c:cat>
          <c:val>
            <c:numRef>
              <c:f>'Assets(BoP)'!$OZ$75:$OZ$108</c:f>
              <c:numCache>
                <c:formatCode>0%</c:formatCode>
                <c:ptCount val="34"/>
                <c:pt idx="0">
                  <c:v>0.0885710672576714</c:v>
                </c:pt>
                <c:pt idx="1">
                  <c:v>0.0861594531168643</c:v>
                </c:pt>
                <c:pt idx="2">
                  <c:v>0.0837690549666181</c:v>
                </c:pt>
                <c:pt idx="3">
                  <c:v>0.0851893634968711</c:v>
                </c:pt>
                <c:pt idx="4">
                  <c:v>0.100024645677773</c:v>
                </c:pt>
                <c:pt idx="5">
                  <c:v>0.104319284687185</c:v>
                </c:pt>
                <c:pt idx="6">
                  <c:v>0.115251771800457</c:v>
                </c:pt>
                <c:pt idx="7">
                  <c:v>0.123262775966446</c:v>
                </c:pt>
                <c:pt idx="8">
                  <c:v>0.105188814638785</c:v>
                </c:pt>
                <c:pt idx="9">
                  <c:v>0.104347130563905</c:v>
                </c:pt>
                <c:pt idx="10">
                  <c:v>0.105522921135574</c:v>
                </c:pt>
                <c:pt idx="11">
                  <c:v>0.133308499243924</c:v>
                </c:pt>
                <c:pt idx="12">
                  <c:v>0.127784346974005</c:v>
                </c:pt>
                <c:pt idx="13">
                  <c:v>0.121912033250295</c:v>
                </c:pt>
                <c:pt idx="14">
                  <c:v>0.132441746820994</c:v>
                </c:pt>
                <c:pt idx="15">
                  <c:v>0.118957330247788</c:v>
                </c:pt>
                <c:pt idx="16">
                  <c:v>0.121528773422917</c:v>
                </c:pt>
                <c:pt idx="17">
                  <c:v>0.107927297859258</c:v>
                </c:pt>
                <c:pt idx="18">
                  <c:v>0.0870188708021417</c:v>
                </c:pt>
                <c:pt idx="19">
                  <c:v>0.0904567468340092</c:v>
                </c:pt>
                <c:pt idx="20">
                  <c:v>0.10142626357567</c:v>
                </c:pt>
                <c:pt idx="21">
                  <c:v>0.114800495695342</c:v>
                </c:pt>
                <c:pt idx="22">
                  <c:v>0.131698278373412</c:v>
                </c:pt>
                <c:pt idx="23">
                  <c:v>0.115101569563221</c:v>
                </c:pt>
                <c:pt idx="24">
                  <c:v>0.113441582374265</c:v>
                </c:pt>
                <c:pt idx="25">
                  <c:v>0.12190781948469</c:v>
                </c:pt>
                <c:pt idx="26">
                  <c:v>0.108245133862198</c:v>
                </c:pt>
                <c:pt idx="27">
                  <c:v>0.117897272124495</c:v>
                </c:pt>
                <c:pt idx="28">
                  <c:v>0.112240082541764</c:v>
                </c:pt>
                <c:pt idx="29">
                  <c:v>0.104783122643927</c:v>
                </c:pt>
                <c:pt idx="30">
                  <c:v>0.102836679713413</c:v>
                </c:pt>
                <c:pt idx="31">
                  <c:v>0.0964624092020042</c:v>
                </c:pt>
                <c:pt idx="32">
                  <c:v>0.0863748804444032</c:v>
                </c:pt>
                <c:pt idx="33">
                  <c:v>0.0817777213359041</c:v>
                </c:pt>
              </c:numCache>
            </c:numRef>
          </c:val>
          <c:smooth val="0"/>
        </c:ser>
        <c:ser>
          <c:idx val="1"/>
          <c:order val="1"/>
          <c:tx>
            <c:strRef>
              <c:f>'Assets(BoP)'!$PA$3</c:f>
              <c:strCache>
                <c:ptCount val="1"/>
                <c:pt idx="0">
                  <c:v>Non havens</c:v>
                </c:pt>
              </c:strCache>
            </c:strRef>
          </c:tx>
          <c:marker>
            <c:symbol val="none"/>
          </c:marker>
          <c:cat>
            <c:numRef>
              <c:f>'Assets(BoP)'!$B$75:$B$108</c:f>
              <c:numCache>
                <c:formatCode>General</c:formatCode>
                <c:ptCount val="34"/>
                <c:pt idx="0">
                  <c:v>1983.0</c:v>
                </c:pt>
                <c:pt idx="1">
                  <c:v>1984.0</c:v>
                </c:pt>
                <c:pt idx="2">
                  <c:v>1985.0</c:v>
                </c:pt>
                <c:pt idx="3">
                  <c:v>1986.0</c:v>
                </c:pt>
                <c:pt idx="4">
                  <c:v>1987.0</c:v>
                </c:pt>
                <c:pt idx="5">
                  <c:v>1988.0</c:v>
                </c:pt>
                <c:pt idx="6">
                  <c:v>1989.0</c:v>
                </c:pt>
                <c:pt idx="7">
                  <c:v>1990.0</c:v>
                </c:pt>
                <c:pt idx="8">
                  <c:v>1991.0</c:v>
                </c:pt>
                <c:pt idx="9">
                  <c:v>1992.0</c:v>
                </c:pt>
                <c:pt idx="10">
                  <c:v>1993.0</c:v>
                </c:pt>
                <c:pt idx="11">
                  <c:v>1994.0</c:v>
                </c:pt>
                <c:pt idx="12">
                  <c:v>1995.0</c:v>
                </c:pt>
                <c:pt idx="13">
                  <c:v>1996.0</c:v>
                </c:pt>
                <c:pt idx="14">
                  <c:v>1997.0</c:v>
                </c:pt>
                <c:pt idx="15">
                  <c:v>1998.0</c:v>
                </c:pt>
                <c:pt idx="16">
                  <c:v>1999.0</c:v>
                </c:pt>
                <c:pt idx="17">
                  <c:v>2000.0</c:v>
                </c:pt>
                <c:pt idx="18">
                  <c:v>2001.0</c:v>
                </c:pt>
                <c:pt idx="19">
                  <c:v>2002.0</c:v>
                </c:pt>
                <c:pt idx="20">
                  <c:v>2003.0</c:v>
                </c:pt>
                <c:pt idx="21">
                  <c:v>2004.0</c:v>
                </c:pt>
                <c:pt idx="22">
                  <c:v>2005.0</c:v>
                </c:pt>
                <c:pt idx="23">
                  <c:v>2006.0</c:v>
                </c:pt>
                <c:pt idx="24">
                  <c:v>2007.0</c:v>
                </c:pt>
                <c:pt idx="25">
                  <c:v>2008.0</c:v>
                </c:pt>
                <c:pt idx="26">
                  <c:v>2009.0</c:v>
                </c:pt>
                <c:pt idx="27">
                  <c:v>2010.0</c:v>
                </c:pt>
                <c:pt idx="28">
                  <c:v>2011.0</c:v>
                </c:pt>
                <c:pt idx="29">
                  <c:v>2012.0</c:v>
                </c:pt>
                <c:pt idx="30">
                  <c:v>2013.0</c:v>
                </c:pt>
                <c:pt idx="31">
                  <c:v>2014.0</c:v>
                </c:pt>
                <c:pt idx="32">
                  <c:v>2015.0</c:v>
                </c:pt>
                <c:pt idx="33">
                  <c:v>2016.0</c:v>
                </c:pt>
              </c:numCache>
            </c:numRef>
          </c:cat>
          <c:val>
            <c:numRef>
              <c:f>'Assets(BoP)'!$PA$75:$PA$108</c:f>
              <c:numCache>
                <c:formatCode>0%</c:formatCode>
                <c:ptCount val="34"/>
                <c:pt idx="0">
                  <c:v>0.0757183882099002</c:v>
                </c:pt>
                <c:pt idx="1">
                  <c:v>0.0890791472341931</c:v>
                </c:pt>
                <c:pt idx="2">
                  <c:v>0.0831174615130007</c:v>
                </c:pt>
                <c:pt idx="3">
                  <c:v>0.0801281836801614</c:v>
                </c:pt>
                <c:pt idx="4">
                  <c:v>0.0888316014050308</c:v>
                </c:pt>
                <c:pt idx="5">
                  <c:v>0.107615880945168</c:v>
                </c:pt>
                <c:pt idx="6">
                  <c:v>0.104963457836505</c:v>
                </c:pt>
                <c:pt idx="7">
                  <c:v>0.0980309136025894</c:v>
                </c:pt>
                <c:pt idx="8">
                  <c:v>0.0830474316206802</c:v>
                </c:pt>
                <c:pt idx="9">
                  <c:v>0.079583620519159</c:v>
                </c:pt>
                <c:pt idx="10">
                  <c:v>0.0927206221626475</c:v>
                </c:pt>
                <c:pt idx="11">
                  <c:v>0.0918106809517041</c:v>
                </c:pt>
                <c:pt idx="12">
                  <c:v>0.10596483347112</c:v>
                </c:pt>
                <c:pt idx="13">
                  <c:v>0.102297807353213</c:v>
                </c:pt>
                <c:pt idx="14">
                  <c:v>0.104608503905389</c:v>
                </c:pt>
                <c:pt idx="15">
                  <c:v>0.0793552614587253</c:v>
                </c:pt>
                <c:pt idx="16">
                  <c:v>0.087811299203985</c:v>
                </c:pt>
                <c:pt idx="17">
                  <c:v>0.0991704526185975</c:v>
                </c:pt>
                <c:pt idx="18">
                  <c:v>0.0706475038517509</c:v>
                </c:pt>
                <c:pt idx="19">
                  <c:v>0.0715961068573277</c:v>
                </c:pt>
                <c:pt idx="20">
                  <c:v>0.0854331963903241</c:v>
                </c:pt>
                <c:pt idx="21">
                  <c:v>0.0893829091217407</c:v>
                </c:pt>
                <c:pt idx="22">
                  <c:v>0.0910082251869379</c:v>
                </c:pt>
                <c:pt idx="23">
                  <c:v>0.0972431238923352</c:v>
                </c:pt>
                <c:pt idx="24">
                  <c:v>0.0922405039339179</c:v>
                </c:pt>
                <c:pt idx="25">
                  <c:v>0.0960334744429879</c:v>
                </c:pt>
                <c:pt idx="26">
                  <c:v>0.0750539569306827</c:v>
                </c:pt>
                <c:pt idx="27">
                  <c:v>0.090810866053921</c:v>
                </c:pt>
                <c:pt idx="28">
                  <c:v>0.0930743492112575</c:v>
                </c:pt>
                <c:pt idx="29">
                  <c:v>0.0813432399392826</c:v>
                </c:pt>
                <c:pt idx="30">
                  <c:v>0.0782208770604347</c:v>
                </c:pt>
                <c:pt idx="31">
                  <c:v>0.0720079638884874</c:v>
                </c:pt>
                <c:pt idx="32">
                  <c:v>0.0623099730412774</c:v>
                </c:pt>
                <c:pt idx="33">
                  <c:v>0.0597996910263056</c:v>
                </c:pt>
              </c:numCache>
            </c:numRef>
          </c:val>
          <c:smooth val="0"/>
        </c:ser>
        <c:dLbls>
          <c:showLegendKey val="0"/>
          <c:showVal val="0"/>
          <c:showCatName val="0"/>
          <c:showSerName val="0"/>
          <c:showPercent val="0"/>
          <c:showBubbleSize val="0"/>
        </c:dLbls>
        <c:marker val="1"/>
        <c:smooth val="0"/>
        <c:axId val="-2079403656"/>
        <c:axId val="-2079435736"/>
      </c:lineChart>
      <c:catAx>
        <c:axId val="-2079403656"/>
        <c:scaling>
          <c:orientation val="minMax"/>
        </c:scaling>
        <c:delete val="0"/>
        <c:axPos val="b"/>
        <c:numFmt formatCode="General" sourceLinked="1"/>
        <c:majorTickMark val="out"/>
        <c:minorTickMark val="none"/>
        <c:tickLblPos val="nextTo"/>
        <c:crossAx val="-2079435736"/>
        <c:crosses val="autoZero"/>
        <c:auto val="1"/>
        <c:lblAlgn val="ctr"/>
        <c:lblOffset val="100"/>
        <c:noMultiLvlLbl val="0"/>
      </c:catAx>
      <c:valAx>
        <c:axId val="-2079435736"/>
        <c:scaling>
          <c:orientation val="minMax"/>
        </c:scaling>
        <c:delete val="0"/>
        <c:axPos val="l"/>
        <c:majorGridlines/>
        <c:numFmt formatCode="0%" sourceLinked="1"/>
        <c:majorTickMark val="out"/>
        <c:minorTickMark val="none"/>
        <c:tickLblPos val="nextTo"/>
        <c:crossAx val="-2079403656"/>
        <c:crosses val="autoZero"/>
        <c:crossBetween val="between"/>
      </c:valAx>
    </c:plotArea>
    <c:legend>
      <c:legendPos val="r"/>
      <c:layout>
        <c:manualLayout>
          <c:xMode val="edge"/>
          <c:yMode val="edge"/>
          <c:x val="0.243307349081365"/>
          <c:y val="0.63872254295065"/>
          <c:w val="0.622643307086614"/>
          <c:h val="0.190707092156688"/>
        </c:manualLayout>
      </c:layout>
      <c:overlay val="0"/>
    </c:legend>
    <c:plotVisOnly val="1"/>
    <c:dispBlanksAs val="gap"/>
    <c:showDLblsOverMax val="0"/>
  </c:chart>
  <c:printSettings>
    <c:headerFooter/>
    <c:pageMargins b="1.0" l="0.75" r="0.75" t="1.0"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Foreign profits  % of national income)</a:t>
            </a:r>
          </a:p>
        </c:rich>
      </c:tx>
      <c:overlay val="0"/>
    </c:title>
    <c:autoTitleDeleted val="0"/>
    <c:plotArea>
      <c:layout>
        <c:manualLayout>
          <c:layoutTarget val="inner"/>
          <c:xMode val="edge"/>
          <c:yMode val="edge"/>
          <c:x val="0.0900500317861671"/>
          <c:y val="0.168217930407064"/>
          <c:w val="0.871902063533882"/>
          <c:h val="0.701388773910535"/>
        </c:manualLayout>
      </c:layout>
      <c:lineChart>
        <c:grouping val="standard"/>
        <c:varyColors val="0"/>
        <c:ser>
          <c:idx val="0"/>
          <c:order val="0"/>
          <c:tx>
            <c:strRef>
              <c:f>'Assets(BoP)'!$M$3</c:f>
              <c:strCache>
                <c:ptCount val="1"/>
                <c:pt idx="0">
                  <c:v>(Foreign profits inflows % NI)</c:v>
                </c:pt>
              </c:strCache>
            </c:strRef>
          </c:tx>
          <c:marker>
            <c:symbol val="none"/>
          </c:marker>
          <c:cat>
            <c:numRef>
              <c:f>'Assets(BoP)'!$B$42:$B$109</c:f>
              <c:numCache>
                <c:formatCode>General</c:formatCode>
                <c:ptCount val="68"/>
                <c:pt idx="0">
                  <c:v>1950.0</c:v>
                </c:pt>
                <c:pt idx="1">
                  <c:v>1951.0</c:v>
                </c:pt>
                <c:pt idx="2">
                  <c:v>1952.0</c:v>
                </c:pt>
                <c:pt idx="3">
                  <c:v>1953.0</c:v>
                </c:pt>
                <c:pt idx="4">
                  <c:v>1954.0</c:v>
                </c:pt>
                <c:pt idx="5">
                  <c:v>1955.0</c:v>
                </c:pt>
                <c:pt idx="6">
                  <c:v>1956.0</c:v>
                </c:pt>
                <c:pt idx="7">
                  <c:v>1957.0</c:v>
                </c:pt>
                <c:pt idx="8">
                  <c:v>1958.0</c:v>
                </c:pt>
                <c:pt idx="9">
                  <c:v>1959.0</c:v>
                </c:pt>
                <c:pt idx="10">
                  <c:v>1960.0</c:v>
                </c:pt>
                <c:pt idx="11">
                  <c:v>1961.0</c:v>
                </c:pt>
                <c:pt idx="12">
                  <c:v>1962.0</c:v>
                </c:pt>
                <c:pt idx="13">
                  <c:v>1963.0</c:v>
                </c:pt>
                <c:pt idx="14">
                  <c:v>1964.0</c:v>
                </c:pt>
                <c:pt idx="15">
                  <c:v>1965.0</c:v>
                </c:pt>
                <c:pt idx="16">
                  <c:v>1966.0</c:v>
                </c:pt>
                <c:pt idx="17">
                  <c:v>1967.0</c:v>
                </c:pt>
                <c:pt idx="18">
                  <c:v>1968.0</c:v>
                </c:pt>
                <c:pt idx="19">
                  <c:v>1969.0</c:v>
                </c:pt>
                <c:pt idx="20">
                  <c:v>1970.0</c:v>
                </c:pt>
                <c:pt idx="21">
                  <c:v>1971.0</c:v>
                </c:pt>
                <c:pt idx="22">
                  <c:v>1972.0</c:v>
                </c:pt>
                <c:pt idx="23">
                  <c:v>1973.0</c:v>
                </c:pt>
                <c:pt idx="24">
                  <c:v>1974.0</c:v>
                </c:pt>
                <c:pt idx="25">
                  <c:v>1975.0</c:v>
                </c:pt>
                <c:pt idx="26">
                  <c:v>1976.0</c:v>
                </c:pt>
                <c:pt idx="27">
                  <c:v>1977.0</c:v>
                </c:pt>
                <c:pt idx="28">
                  <c:v>1978.0</c:v>
                </c:pt>
                <c:pt idx="29">
                  <c:v>1979.0</c:v>
                </c:pt>
                <c:pt idx="30">
                  <c:v>1980.0</c:v>
                </c:pt>
                <c:pt idx="31">
                  <c:v>1981.0</c:v>
                </c:pt>
                <c:pt idx="32">
                  <c:v>1982.0</c:v>
                </c:pt>
                <c:pt idx="33">
                  <c:v>1983.0</c:v>
                </c:pt>
                <c:pt idx="34">
                  <c:v>1984.0</c:v>
                </c:pt>
                <c:pt idx="35">
                  <c:v>1985.0</c:v>
                </c:pt>
                <c:pt idx="36">
                  <c:v>1986.0</c:v>
                </c:pt>
                <c:pt idx="37">
                  <c:v>1987.0</c:v>
                </c:pt>
                <c:pt idx="38">
                  <c:v>1988.0</c:v>
                </c:pt>
                <c:pt idx="39">
                  <c:v>1989.0</c:v>
                </c:pt>
                <c:pt idx="40">
                  <c:v>1990.0</c:v>
                </c:pt>
                <c:pt idx="41">
                  <c:v>1991.0</c:v>
                </c:pt>
                <c:pt idx="42">
                  <c:v>1992.0</c:v>
                </c:pt>
                <c:pt idx="43">
                  <c:v>1993.0</c:v>
                </c:pt>
                <c:pt idx="44">
                  <c:v>1994.0</c:v>
                </c:pt>
                <c:pt idx="45">
                  <c:v>1995.0</c:v>
                </c:pt>
                <c:pt idx="46">
                  <c:v>1996.0</c:v>
                </c:pt>
                <c:pt idx="47">
                  <c:v>1997.0</c:v>
                </c:pt>
                <c:pt idx="48">
                  <c:v>1998.0</c:v>
                </c:pt>
                <c:pt idx="49">
                  <c:v>1999.0</c:v>
                </c:pt>
                <c:pt idx="50">
                  <c:v>2000.0</c:v>
                </c:pt>
                <c:pt idx="51">
                  <c:v>2001.0</c:v>
                </c:pt>
                <c:pt idx="52">
                  <c:v>2002.0</c:v>
                </c:pt>
                <c:pt idx="53">
                  <c:v>2003.0</c:v>
                </c:pt>
                <c:pt idx="54">
                  <c:v>2004.0</c:v>
                </c:pt>
                <c:pt idx="55">
                  <c:v>2005.0</c:v>
                </c:pt>
                <c:pt idx="56">
                  <c:v>2006.0</c:v>
                </c:pt>
                <c:pt idx="57">
                  <c:v>2007.0</c:v>
                </c:pt>
                <c:pt idx="58">
                  <c:v>2008.0</c:v>
                </c:pt>
                <c:pt idx="59">
                  <c:v>2009.0</c:v>
                </c:pt>
                <c:pt idx="60">
                  <c:v>2010.0</c:v>
                </c:pt>
                <c:pt idx="61">
                  <c:v>2011.0</c:v>
                </c:pt>
                <c:pt idx="62">
                  <c:v>2012.0</c:v>
                </c:pt>
                <c:pt idx="63">
                  <c:v>2013.0</c:v>
                </c:pt>
                <c:pt idx="64">
                  <c:v>2014.0</c:v>
                </c:pt>
                <c:pt idx="65">
                  <c:v>2015.0</c:v>
                </c:pt>
                <c:pt idx="66">
                  <c:v>2016.0</c:v>
                </c:pt>
                <c:pt idx="67">
                  <c:v>2017.0</c:v>
                </c:pt>
              </c:numCache>
            </c:numRef>
          </c:cat>
          <c:val>
            <c:numRef>
              <c:f>'Assets(BoP)'!$M$42:$M$109</c:f>
              <c:numCache>
                <c:formatCode>0.0%</c:formatCode>
                <c:ptCount val="68"/>
                <c:pt idx="0">
                  <c:v>0.00674157303370786</c:v>
                </c:pt>
                <c:pt idx="1">
                  <c:v>0.00746753246753246</c:v>
                </c:pt>
                <c:pt idx="2">
                  <c:v>0.00704441041347626</c:v>
                </c:pt>
                <c:pt idx="3">
                  <c:v>0.00667828106852497</c:v>
                </c:pt>
                <c:pt idx="4">
                  <c:v>0.00696864111498258</c:v>
                </c:pt>
                <c:pt idx="5">
                  <c:v>0.00768008474576271</c:v>
                </c:pt>
                <c:pt idx="6">
                  <c:v>0.00848091793464704</c:v>
                </c:pt>
                <c:pt idx="7">
                  <c:v>0.00882212684787792</c:v>
                </c:pt>
                <c:pt idx="8">
                  <c:v>0.0071157495256167</c:v>
                </c:pt>
                <c:pt idx="9">
                  <c:v>0.00739773716275021</c:v>
                </c:pt>
                <c:pt idx="10">
                  <c:v>0.00791831631589914</c:v>
                </c:pt>
                <c:pt idx="11">
                  <c:v>0.0082461786001609</c:v>
                </c:pt>
                <c:pt idx="12">
                  <c:v>0.00840807174887892</c:v>
                </c:pt>
                <c:pt idx="13">
                  <c:v>0.00847158489234028</c:v>
                </c:pt>
                <c:pt idx="14">
                  <c:v>0.00887719875061647</c:v>
                </c:pt>
                <c:pt idx="15">
                  <c:v>0.00863243980009087</c:v>
                </c:pt>
                <c:pt idx="16">
                  <c:v>0.00778101986939002</c:v>
                </c:pt>
                <c:pt idx="17">
                  <c:v>0.00776111549592212</c:v>
                </c:pt>
                <c:pt idx="18">
                  <c:v>0.00841245042663141</c:v>
                </c:pt>
                <c:pt idx="19">
                  <c:v>0.00889382990550305</c:v>
                </c:pt>
                <c:pt idx="20">
                  <c:v>0.00914796298266142</c:v>
                </c:pt>
                <c:pt idx="21">
                  <c:v>0.00963618485742379</c:v>
                </c:pt>
                <c:pt idx="22">
                  <c:v>0.0104185218165628</c:v>
                </c:pt>
                <c:pt idx="23">
                  <c:v>0.0140015910898966</c:v>
                </c:pt>
                <c:pt idx="24">
                  <c:v>0.0151021616819662</c:v>
                </c:pt>
                <c:pt idx="25">
                  <c:v>0.0123354696437186</c:v>
                </c:pt>
                <c:pt idx="26">
                  <c:v>0.0130047064651969</c:v>
                </c:pt>
                <c:pt idx="27">
                  <c:v>0.0131761827986879</c:v>
                </c:pt>
                <c:pt idx="28">
                  <c:v>0.0142864180501502</c:v>
                </c:pt>
                <c:pt idx="29">
                  <c:v>0.018948492127035</c:v>
                </c:pt>
                <c:pt idx="30">
                  <c:v>0.0180896654029998</c:v>
                </c:pt>
                <c:pt idx="31">
                  <c:v>0.0139598104404688</c:v>
                </c:pt>
                <c:pt idx="32">
                  <c:v>0.0129207153921983</c:v>
                </c:pt>
                <c:pt idx="33">
                  <c:v>0.0134291782388499</c:v>
                </c:pt>
                <c:pt idx="34">
                  <c:v>0.0134146341463415</c:v>
                </c:pt>
                <c:pt idx="35">
                  <c:v>0.0127028934368384</c:v>
                </c:pt>
                <c:pt idx="36">
                  <c:v>0.0126552673977444</c:v>
                </c:pt>
                <c:pt idx="37">
                  <c:v>0.0142988929889299</c:v>
                </c:pt>
                <c:pt idx="38">
                  <c:v>0.015934481684248</c:v>
                </c:pt>
                <c:pt idx="39">
                  <c:v>0.015787712768182</c:v>
                </c:pt>
                <c:pt idx="40">
                  <c:v>0.0160838744266397</c:v>
                </c:pt>
                <c:pt idx="41">
                  <c:v>0.014538863500511</c:v>
                </c:pt>
                <c:pt idx="42">
                  <c:v>0.0142371402076477</c:v>
                </c:pt>
                <c:pt idx="43">
                  <c:v>0.0154653506637937</c:v>
                </c:pt>
                <c:pt idx="44">
                  <c:v>0.0170352757239178</c:v>
                </c:pt>
                <c:pt idx="45">
                  <c:v>0.0196620109576356</c:v>
                </c:pt>
                <c:pt idx="46">
                  <c:v>0.0202046554772879</c:v>
                </c:pt>
                <c:pt idx="47">
                  <c:v>0.0210693187361119</c:v>
                </c:pt>
                <c:pt idx="48">
                  <c:v>0.0186705356801955</c:v>
                </c:pt>
                <c:pt idx="49">
                  <c:v>0.0212988323482774</c:v>
                </c:pt>
                <c:pt idx="50">
                  <c:v>0.0228022903334456</c:v>
                </c:pt>
                <c:pt idx="51">
                  <c:v>0.0199573198615073</c:v>
                </c:pt>
                <c:pt idx="52">
                  <c:v>0.0217552560189895</c:v>
                </c:pt>
                <c:pt idx="53">
                  <c:v>0.0253441738813082</c:v>
                </c:pt>
                <c:pt idx="54">
                  <c:v>0.0311263744082574</c:v>
                </c:pt>
                <c:pt idx="55">
                  <c:v>0.0341376181070838</c:v>
                </c:pt>
                <c:pt idx="56">
                  <c:v>0.0361355457816873</c:v>
                </c:pt>
                <c:pt idx="57">
                  <c:v>0.0414238641712792</c:v>
                </c:pt>
                <c:pt idx="58">
                  <c:v>0.0468304929271472</c:v>
                </c:pt>
                <c:pt idx="59">
                  <c:v>0.0410766858264405</c:v>
                </c:pt>
                <c:pt idx="60">
                  <c:v>0.0458887711448644</c:v>
                </c:pt>
                <c:pt idx="61">
                  <c:v>0.048253858885735</c:v>
                </c:pt>
                <c:pt idx="62">
                  <c:v>0.0462455286981133</c:v>
                </c:pt>
                <c:pt idx="63">
                  <c:v>0.0462519384138237</c:v>
                </c:pt>
                <c:pt idx="64">
                  <c:v>0.0453182778658214</c:v>
                </c:pt>
                <c:pt idx="65">
                  <c:v>0.0414940659228951</c:v>
                </c:pt>
                <c:pt idx="66">
                  <c:v>0.0418265636680787</c:v>
                </c:pt>
              </c:numCache>
            </c:numRef>
          </c:val>
          <c:smooth val="0"/>
        </c:ser>
        <c:dLbls>
          <c:showLegendKey val="0"/>
          <c:showVal val="0"/>
          <c:showCatName val="0"/>
          <c:showSerName val="0"/>
          <c:showPercent val="0"/>
          <c:showBubbleSize val="0"/>
        </c:dLbls>
        <c:marker val="1"/>
        <c:smooth val="0"/>
        <c:axId val="-2079458952"/>
        <c:axId val="-2079455944"/>
      </c:lineChart>
      <c:catAx>
        <c:axId val="-2079458952"/>
        <c:scaling>
          <c:orientation val="minMax"/>
        </c:scaling>
        <c:delete val="0"/>
        <c:axPos val="b"/>
        <c:numFmt formatCode="General" sourceLinked="1"/>
        <c:majorTickMark val="out"/>
        <c:minorTickMark val="none"/>
        <c:tickLblPos val="nextTo"/>
        <c:crossAx val="-2079455944"/>
        <c:crosses val="autoZero"/>
        <c:auto val="1"/>
        <c:lblAlgn val="ctr"/>
        <c:lblOffset val="100"/>
        <c:tickLblSkip val="5"/>
        <c:tickMarkSkip val="5"/>
        <c:noMultiLvlLbl val="0"/>
      </c:catAx>
      <c:valAx>
        <c:axId val="-2079455944"/>
        <c:scaling>
          <c:orientation val="minMax"/>
          <c:max val="0.05"/>
        </c:scaling>
        <c:delete val="0"/>
        <c:axPos val="l"/>
        <c:majorGridlines/>
        <c:numFmt formatCode="0.0%" sourceLinked="1"/>
        <c:majorTickMark val="out"/>
        <c:minorTickMark val="none"/>
        <c:tickLblPos val="nextTo"/>
        <c:crossAx val="-2079458952"/>
        <c:crosses val="autoZero"/>
        <c:crossBetween val="between"/>
      </c:valAx>
    </c:plotArea>
    <c:plotVisOnly val="1"/>
    <c:dispBlanksAs val="gap"/>
    <c:showDLblsOverMax val="0"/>
  </c:chart>
  <c:printSettings>
    <c:headerFooter/>
    <c:pageMargins b="1.0" l="0.75" r="0.75" t="1.0"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856146553109433"/>
          <c:y val="0.0680628272251309"/>
          <c:w val="0.84152579141893"/>
          <c:h val="0.808900935812343"/>
        </c:manualLayout>
      </c:layout>
      <c:lineChart>
        <c:grouping val="standard"/>
        <c:varyColors val="0"/>
        <c:ser>
          <c:idx val="1"/>
          <c:order val="1"/>
          <c:tx>
            <c:strRef>
              <c:f>'Assets(BoP)'!$BF$3</c:f>
              <c:strCache>
                <c:ptCount val="1"/>
                <c:pt idx="0">
                  <c:v>Staturoy federal corporate tax rate</c:v>
                </c:pt>
              </c:strCache>
            </c:strRef>
          </c:tx>
          <c:marker>
            <c:symbol val="none"/>
          </c:marker>
          <c:cat>
            <c:strRef>
              <c:f>'Assets(BoP)'!$B$132:$B$192</c:f>
              <c:strCache>
                <c:ptCount val="7"/>
                <c:pt idx="0">
                  <c:v>1950-59</c:v>
                </c:pt>
                <c:pt idx="1">
                  <c:v>1960-69</c:v>
                </c:pt>
                <c:pt idx="2">
                  <c:v>1970-70</c:v>
                </c:pt>
                <c:pt idx="3">
                  <c:v>1980-89</c:v>
                </c:pt>
                <c:pt idx="4">
                  <c:v>1990-99</c:v>
                </c:pt>
                <c:pt idx="5">
                  <c:v>2000-09</c:v>
                </c:pt>
                <c:pt idx="6">
                  <c:v>2010-16</c:v>
                </c:pt>
              </c:strCache>
            </c:strRef>
          </c:cat>
          <c:val>
            <c:numRef>
              <c:f>'Assets(BoP)'!$BF$132:$BF$192</c:f>
              <c:numCache>
                <c:formatCode>0%</c:formatCode>
                <c:ptCount val="7"/>
                <c:pt idx="0">
                  <c:v>0.509</c:v>
                </c:pt>
                <c:pt idx="1">
                  <c:v>0.5076</c:v>
                </c:pt>
                <c:pt idx="2">
                  <c:v>0.4792</c:v>
                </c:pt>
                <c:pt idx="3">
                  <c:v>0.43</c:v>
                </c:pt>
                <c:pt idx="4">
                  <c:v>0.347</c:v>
                </c:pt>
                <c:pt idx="5">
                  <c:v>0.35</c:v>
                </c:pt>
                <c:pt idx="6">
                  <c:v>0.334444444444444</c:v>
                </c:pt>
              </c:numCache>
            </c:numRef>
          </c:val>
          <c:smooth val="0"/>
        </c:ser>
        <c:dLbls>
          <c:showLegendKey val="0"/>
          <c:showVal val="0"/>
          <c:showCatName val="0"/>
          <c:showSerName val="0"/>
          <c:showPercent val="0"/>
          <c:showBubbleSize val="0"/>
        </c:dLbls>
        <c:marker val="1"/>
        <c:smooth val="0"/>
        <c:axId val="-2079496504"/>
        <c:axId val="-2079503080"/>
      </c:lineChart>
      <c:lineChart>
        <c:grouping val="standard"/>
        <c:varyColors val="0"/>
        <c:ser>
          <c:idx val="0"/>
          <c:order val="0"/>
          <c:tx>
            <c:strRef>
              <c:f>'Assets(BoP)'!$AQ$3</c:f>
              <c:strCache>
                <c:ptCount val="1"/>
                <c:pt idx="0">
                  <c:v>After-tax corporate profits / national income</c:v>
                </c:pt>
              </c:strCache>
            </c:strRef>
          </c:tx>
          <c:marker>
            <c:symbol val="none"/>
          </c:marker>
          <c:cat>
            <c:strRef>
              <c:f>'Assets(BoP)'!$B$132:$B$192</c:f>
              <c:strCache>
                <c:ptCount val="7"/>
                <c:pt idx="0">
                  <c:v>1950-59</c:v>
                </c:pt>
                <c:pt idx="1">
                  <c:v>1960-69</c:v>
                </c:pt>
                <c:pt idx="2">
                  <c:v>1970-70</c:v>
                </c:pt>
                <c:pt idx="3">
                  <c:v>1980-89</c:v>
                </c:pt>
                <c:pt idx="4">
                  <c:v>1990-99</c:v>
                </c:pt>
                <c:pt idx="5">
                  <c:v>2000-09</c:v>
                </c:pt>
                <c:pt idx="6">
                  <c:v>2010-16</c:v>
                </c:pt>
              </c:strCache>
            </c:strRef>
          </c:cat>
          <c:val>
            <c:numRef>
              <c:f>'Assets(BoP)'!$AQ$132:$AQ$192</c:f>
              <c:numCache>
                <c:formatCode>0%</c:formatCode>
                <c:ptCount val="7"/>
                <c:pt idx="0">
                  <c:v>0.0650215199661268</c:v>
                </c:pt>
                <c:pt idx="1">
                  <c:v>0.0760966546666808</c:v>
                </c:pt>
                <c:pt idx="2">
                  <c:v>0.0650200680933048</c:v>
                </c:pt>
                <c:pt idx="3">
                  <c:v>0.0607690603293393</c:v>
                </c:pt>
                <c:pt idx="4">
                  <c:v>0.068317083478057</c:v>
                </c:pt>
                <c:pt idx="5">
                  <c:v>0.0820701184383306</c:v>
                </c:pt>
                <c:pt idx="6">
                  <c:v>0.106341768006871</c:v>
                </c:pt>
              </c:numCache>
            </c:numRef>
          </c:val>
          <c:smooth val="0"/>
        </c:ser>
        <c:dLbls>
          <c:showLegendKey val="0"/>
          <c:showVal val="0"/>
          <c:showCatName val="0"/>
          <c:showSerName val="0"/>
          <c:showPercent val="0"/>
          <c:showBubbleSize val="0"/>
        </c:dLbls>
        <c:marker val="1"/>
        <c:smooth val="0"/>
        <c:axId val="-2079515880"/>
        <c:axId val="-2079500040"/>
      </c:lineChart>
      <c:catAx>
        <c:axId val="-2079496504"/>
        <c:scaling>
          <c:orientation val="minMax"/>
        </c:scaling>
        <c:delete val="0"/>
        <c:axPos val="b"/>
        <c:numFmt formatCode="General" sourceLinked="0"/>
        <c:majorTickMark val="out"/>
        <c:minorTickMark val="none"/>
        <c:tickLblPos val="nextTo"/>
        <c:crossAx val="-2079503080"/>
        <c:crosses val="autoZero"/>
        <c:auto val="1"/>
        <c:lblAlgn val="ctr"/>
        <c:lblOffset val="100"/>
        <c:noMultiLvlLbl val="0"/>
      </c:catAx>
      <c:valAx>
        <c:axId val="-2079503080"/>
        <c:scaling>
          <c:orientation val="minMax"/>
        </c:scaling>
        <c:delete val="0"/>
        <c:axPos val="l"/>
        <c:majorGridlines/>
        <c:numFmt formatCode="0%" sourceLinked="1"/>
        <c:majorTickMark val="out"/>
        <c:minorTickMark val="none"/>
        <c:tickLblPos val="nextTo"/>
        <c:crossAx val="-2079496504"/>
        <c:crosses val="autoZero"/>
        <c:crossBetween val="between"/>
      </c:valAx>
      <c:valAx>
        <c:axId val="-2079500040"/>
        <c:scaling>
          <c:orientation val="minMax"/>
        </c:scaling>
        <c:delete val="0"/>
        <c:axPos val="r"/>
        <c:numFmt formatCode="0%" sourceLinked="1"/>
        <c:majorTickMark val="out"/>
        <c:minorTickMark val="none"/>
        <c:tickLblPos val="nextTo"/>
        <c:crossAx val="-2079515880"/>
        <c:crosses val="max"/>
        <c:crossBetween val="between"/>
      </c:valAx>
      <c:catAx>
        <c:axId val="-2079515880"/>
        <c:scaling>
          <c:orientation val="minMax"/>
        </c:scaling>
        <c:delete val="1"/>
        <c:axPos val="b"/>
        <c:numFmt formatCode="General" sourceLinked="0"/>
        <c:majorTickMark val="out"/>
        <c:minorTickMark val="none"/>
        <c:tickLblPos val="nextTo"/>
        <c:crossAx val="-2079500040"/>
        <c:crosses val="autoZero"/>
        <c:auto val="1"/>
        <c:lblAlgn val="ctr"/>
        <c:lblOffset val="100"/>
        <c:noMultiLvlLbl val="0"/>
      </c:catAx>
    </c:plotArea>
    <c:legend>
      <c:legendPos val="r"/>
      <c:layout>
        <c:manualLayout>
          <c:xMode val="edge"/>
          <c:yMode val="edge"/>
          <c:x val="0.271476980556002"/>
          <c:y val="0.577665828420662"/>
          <c:w val="0.599187190259365"/>
          <c:h val="0.263516510697943"/>
        </c:manualLayout>
      </c:layout>
      <c:overlay val="0"/>
    </c:legend>
    <c:plotVisOnly val="1"/>
    <c:dispBlanksAs val="gap"/>
    <c:showDLblsOverMax val="0"/>
  </c:chart>
  <c:printSettings>
    <c:headerFooter/>
    <c:pageMargins b="1.0" l="0.75" r="0.75" t="1.0"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92927363369519"/>
          <c:y val="0.0615530303030303"/>
          <c:w val="0.81159343987327"/>
          <c:h val="0.817708706156049"/>
        </c:manualLayout>
      </c:layout>
      <c:lineChart>
        <c:grouping val="standard"/>
        <c:varyColors val="0"/>
        <c:ser>
          <c:idx val="1"/>
          <c:order val="1"/>
          <c:tx>
            <c:strRef>
              <c:f>'Assets(BoP)'!$BK$3</c:f>
              <c:strCache>
                <c:ptCount val="1"/>
                <c:pt idx="0">
                  <c:v>Effective tax rate paid worldwide</c:v>
                </c:pt>
              </c:strCache>
            </c:strRef>
          </c:tx>
          <c:marker>
            <c:symbol val="none"/>
          </c:marker>
          <c:cat>
            <c:strRef>
              <c:f>'Assets(BoP)'!$B$132:$B$192</c:f>
              <c:strCache>
                <c:ptCount val="7"/>
                <c:pt idx="0">
                  <c:v>1950-59</c:v>
                </c:pt>
                <c:pt idx="1">
                  <c:v>1960-69</c:v>
                </c:pt>
                <c:pt idx="2">
                  <c:v>1970-70</c:v>
                </c:pt>
                <c:pt idx="3">
                  <c:v>1980-89</c:v>
                </c:pt>
                <c:pt idx="4">
                  <c:v>1990-99</c:v>
                </c:pt>
                <c:pt idx="5">
                  <c:v>2000-09</c:v>
                </c:pt>
                <c:pt idx="6">
                  <c:v>2010-16</c:v>
                </c:pt>
              </c:strCache>
            </c:strRef>
          </c:cat>
          <c:val>
            <c:numRef>
              <c:f>'Assets(BoP)'!$BK$132:$BK$192</c:f>
              <c:numCache>
                <c:formatCode>0%</c:formatCode>
                <c:ptCount val="7"/>
                <c:pt idx="0">
                  <c:v>0.465756382531526</c:v>
                </c:pt>
                <c:pt idx="1">
                  <c:v>0.379469458082419</c:v>
                </c:pt>
                <c:pt idx="2">
                  <c:v>0.40466498573895</c:v>
                </c:pt>
                <c:pt idx="3">
                  <c:v>0.324644358032431</c:v>
                </c:pt>
                <c:pt idx="4">
                  <c:v>0.302745195268028</c:v>
                </c:pt>
                <c:pt idx="5">
                  <c:v>0.248010027853512</c:v>
                </c:pt>
                <c:pt idx="6">
                  <c:v>0.197314024211421</c:v>
                </c:pt>
              </c:numCache>
            </c:numRef>
          </c:val>
          <c:smooth val="0"/>
        </c:ser>
        <c:dLbls>
          <c:showLegendKey val="0"/>
          <c:showVal val="0"/>
          <c:showCatName val="0"/>
          <c:showSerName val="0"/>
          <c:showPercent val="0"/>
          <c:showBubbleSize val="0"/>
        </c:dLbls>
        <c:marker val="1"/>
        <c:smooth val="0"/>
        <c:axId val="-2107074776"/>
        <c:axId val="-2107071736"/>
      </c:lineChart>
      <c:lineChart>
        <c:grouping val="standard"/>
        <c:varyColors val="0"/>
        <c:ser>
          <c:idx val="0"/>
          <c:order val="0"/>
          <c:tx>
            <c:strRef>
              <c:f>'Assets(BoP)'!$AQ$3</c:f>
              <c:strCache>
                <c:ptCount val="1"/>
                <c:pt idx="0">
                  <c:v>After-tax corporate profits / national income</c:v>
                </c:pt>
              </c:strCache>
            </c:strRef>
          </c:tx>
          <c:marker>
            <c:symbol val="none"/>
          </c:marker>
          <c:cat>
            <c:strRef>
              <c:f>'Assets(BoP)'!$B$132:$B$192</c:f>
              <c:strCache>
                <c:ptCount val="7"/>
                <c:pt idx="0">
                  <c:v>1950-59</c:v>
                </c:pt>
                <c:pt idx="1">
                  <c:v>1960-69</c:v>
                </c:pt>
                <c:pt idx="2">
                  <c:v>1970-70</c:v>
                </c:pt>
                <c:pt idx="3">
                  <c:v>1980-89</c:v>
                </c:pt>
                <c:pt idx="4">
                  <c:v>1990-99</c:v>
                </c:pt>
                <c:pt idx="5">
                  <c:v>2000-09</c:v>
                </c:pt>
                <c:pt idx="6">
                  <c:v>2010-16</c:v>
                </c:pt>
              </c:strCache>
            </c:strRef>
          </c:cat>
          <c:val>
            <c:numRef>
              <c:f>'Assets(BoP)'!$AQ$132:$AQ$192</c:f>
              <c:numCache>
                <c:formatCode>0%</c:formatCode>
                <c:ptCount val="7"/>
                <c:pt idx="0">
                  <c:v>0.0650215199661268</c:v>
                </c:pt>
                <c:pt idx="1">
                  <c:v>0.0760966546666808</c:v>
                </c:pt>
                <c:pt idx="2">
                  <c:v>0.0650200680933048</c:v>
                </c:pt>
                <c:pt idx="3">
                  <c:v>0.0607690603293393</c:v>
                </c:pt>
                <c:pt idx="4">
                  <c:v>0.068317083478057</c:v>
                </c:pt>
                <c:pt idx="5">
                  <c:v>0.0820701184383306</c:v>
                </c:pt>
                <c:pt idx="6">
                  <c:v>0.106341768006871</c:v>
                </c:pt>
              </c:numCache>
            </c:numRef>
          </c:val>
          <c:smooth val="0"/>
        </c:ser>
        <c:dLbls>
          <c:showLegendKey val="0"/>
          <c:showVal val="0"/>
          <c:showCatName val="0"/>
          <c:showSerName val="0"/>
          <c:showPercent val="0"/>
          <c:showBubbleSize val="0"/>
        </c:dLbls>
        <c:marker val="1"/>
        <c:smooth val="0"/>
        <c:axId val="-2107111480"/>
        <c:axId val="-2107114696"/>
      </c:lineChart>
      <c:catAx>
        <c:axId val="-2107074776"/>
        <c:scaling>
          <c:orientation val="minMax"/>
        </c:scaling>
        <c:delete val="0"/>
        <c:axPos val="b"/>
        <c:numFmt formatCode="General" sourceLinked="0"/>
        <c:majorTickMark val="out"/>
        <c:minorTickMark val="none"/>
        <c:tickLblPos val="nextTo"/>
        <c:crossAx val="-2107071736"/>
        <c:crosses val="autoZero"/>
        <c:auto val="1"/>
        <c:lblAlgn val="ctr"/>
        <c:lblOffset val="100"/>
        <c:noMultiLvlLbl val="0"/>
      </c:catAx>
      <c:valAx>
        <c:axId val="-2107071736"/>
        <c:scaling>
          <c:orientation val="minMax"/>
        </c:scaling>
        <c:delete val="0"/>
        <c:axPos val="l"/>
        <c:majorGridlines/>
        <c:numFmt formatCode="0%" sourceLinked="1"/>
        <c:majorTickMark val="out"/>
        <c:minorTickMark val="none"/>
        <c:tickLblPos val="nextTo"/>
        <c:crossAx val="-2107074776"/>
        <c:crosses val="autoZero"/>
        <c:crossBetween val="between"/>
      </c:valAx>
      <c:valAx>
        <c:axId val="-2107114696"/>
        <c:scaling>
          <c:orientation val="minMax"/>
        </c:scaling>
        <c:delete val="0"/>
        <c:axPos val="r"/>
        <c:numFmt formatCode="0%" sourceLinked="1"/>
        <c:majorTickMark val="out"/>
        <c:minorTickMark val="none"/>
        <c:tickLblPos val="nextTo"/>
        <c:crossAx val="-2107111480"/>
        <c:crosses val="max"/>
        <c:crossBetween val="between"/>
      </c:valAx>
      <c:catAx>
        <c:axId val="-2107111480"/>
        <c:scaling>
          <c:orientation val="minMax"/>
        </c:scaling>
        <c:delete val="1"/>
        <c:axPos val="b"/>
        <c:numFmt formatCode="General" sourceLinked="0"/>
        <c:majorTickMark val="out"/>
        <c:minorTickMark val="none"/>
        <c:tickLblPos val="nextTo"/>
        <c:crossAx val="-2107114696"/>
        <c:crosses val="autoZero"/>
        <c:auto val="1"/>
        <c:lblAlgn val="ctr"/>
        <c:lblOffset val="100"/>
        <c:noMultiLvlLbl val="0"/>
      </c:catAx>
    </c:plotArea>
    <c:legend>
      <c:legendPos val="r"/>
      <c:layout>
        <c:manualLayout>
          <c:xMode val="edge"/>
          <c:yMode val="edge"/>
          <c:x val="0.161066486511671"/>
          <c:y val="0.531966192436173"/>
          <c:w val="0.596329963192471"/>
          <c:h val="0.305385796945836"/>
        </c:manualLayout>
      </c:layout>
      <c:overlay val="0"/>
    </c:legend>
    <c:plotVisOnly val="1"/>
    <c:dispBlanksAs val="gap"/>
    <c:showDLblsOverMax val="0"/>
  </c:chart>
  <c:printSettings>
    <c:headerFooter/>
    <c:pageMargins b="1.0" l="0.75" r="0.75" t="1.0"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The share of the top 6 havens</a:t>
            </a:r>
            <a:r>
              <a:rPr lang="fr-FR" baseline="0"/>
              <a:t> in..</a:t>
            </a:r>
            <a:endParaRPr lang="fr-FR"/>
          </a:p>
        </c:rich>
      </c:tx>
      <c:overlay val="0"/>
    </c:title>
    <c:autoTitleDeleted val="0"/>
    <c:plotArea>
      <c:layout>
        <c:manualLayout>
          <c:layoutTarget val="inner"/>
          <c:xMode val="edge"/>
          <c:yMode val="edge"/>
          <c:x val="0.0932248672845291"/>
          <c:y val="0.211111111111111"/>
          <c:w val="0.881775127247403"/>
          <c:h val="0.666913823272091"/>
        </c:manualLayout>
      </c:layout>
      <c:lineChart>
        <c:grouping val="standard"/>
        <c:varyColors val="0"/>
        <c:ser>
          <c:idx val="0"/>
          <c:order val="0"/>
          <c:tx>
            <c:v>DI assets</c:v>
          </c:tx>
          <c:marker>
            <c:symbol val="none"/>
          </c:marke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'Assets(BoP)'!$JU$74:$JU$108</c:f>
              <c:numCache>
                <c:formatCode>0%</c:formatCode>
                <c:ptCount val="35"/>
                <c:pt idx="0">
                  <c:v>0.108903885401825</c:v>
                </c:pt>
                <c:pt idx="1">
                  <c:v>0.11058213528164</c:v>
                </c:pt>
                <c:pt idx="2">
                  <c:v>0.109604618213331</c:v>
                </c:pt>
                <c:pt idx="3">
                  <c:v>0.135109850693672</c:v>
                </c:pt>
                <c:pt idx="4">
                  <c:v>0.165336892543406</c:v>
                </c:pt>
                <c:pt idx="5">
                  <c:v>0.184289493123435</c:v>
                </c:pt>
                <c:pt idx="6">
                  <c:v>0.186169094328862</c:v>
                </c:pt>
                <c:pt idx="7">
                  <c:v>0.188642179678926</c:v>
                </c:pt>
                <c:pt idx="8">
                  <c:v>0.194764018479935</c:v>
                </c:pt>
                <c:pt idx="9">
                  <c:v>0.189537538153744</c:v>
                </c:pt>
                <c:pt idx="10">
                  <c:v>0.204595837574169</c:v>
                </c:pt>
                <c:pt idx="11">
                  <c:v>0.210270378515745</c:v>
                </c:pt>
                <c:pt idx="12">
                  <c:v>0.213753461044587</c:v>
                </c:pt>
                <c:pt idx="13">
                  <c:v>0.211750820797837</c:v>
                </c:pt>
                <c:pt idx="14">
                  <c:v>0.224531089858462</c:v>
                </c:pt>
                <c:pt idx="15">
                  <c:v>0.231416615785777</c:v>
                </c:pt>
                <c:pt idx="16">
                  <c:v>0.25010017957376</c:v>
                </c:pt>
                <c:pt idx="17">
                  <c:v>0.268517878877595</c:v>
                </c:pt>
                <c:pt idx="18">
                  <c:v>0.278979553229751</c:v>
                </c:pt>
                <c:pt idx="19">
                  <c:v>0.331849444517486</c:v>
                </c:pt>
                <c:pt idx="20">
                  <c:v>0.344433941955327</c:v>
                </c:pt>
                <c:pt idx="21">
                  <c:v>0.353404953512435</c:v>
                </c:pt>
                <c:pt idx="22">
                  <c:v>0.355694811842039</c:v>
                </c:pt>
                <c:pt idx="23">
                  <c:v>0.3462493799227</c:v>
                </c:pt>
                <c:pt idx="24">
                  <c:v>0.371753883713833</c:v>
                </c:pt>
                <c:pt idx="25">
                  <c:v>0.404535100434873</c:v>
                </c:pt>
                <c:pt idx="26">
                  <c:v>0.417922018701974</c:v>
                </c:pt>
                <c:pt idx="27">
                  <c:v>0.439712540182103</c:v>
                </c:pt>
                <c:pt idx="28">
                  <c:v>0.45079999251719</c:v>
                </c:pt>
                <c:pt idx="29">
                  <c:v>0.470687348673811</c:v>
                </c:pt>
                <c:pt idx="30">
                  <c:v>0.476646451315925</c:v>
                </c:pt>
                <c:pt idx="31">
                  <c:v>0.498462239882718</c:v>
                </c:pt>
                <c:pt idx="32">
                  <c:v>0.521132815960685</c:v>
                </c:pt>
                <c:pt idx="33">
                  <c:v>0.540529946583061</c:v>
                </c:pt>
                <c:pt idx="34">
                  <c:v>0.541420326411582</c:v>
                </c:pt>
              </c:numCache>
            </c:numRef>
          </c:val>
          <c:smooth val="0"/>
        </c:ser>
        <c:ser>
          <c:idx val="1"/>
          <c:order val="1"/>
          <c:tx>
            <c:v>DI income</c:v>
          </c:tx>
          <c:marker>
            <c:symbol val="none"/>
          </c:marker>
          <c:val>
            <c:numRef>
              <c:f>'Assets(BoP)'!$ED$74:$ED$108</c:f>
              <c:numCache>
                <c:formatCode>0%</c:formatCode>
                <c:ptCount val="35"/>
                <c:pt idx="0">
                  <c:v>0.228250362493958</c:v>
                </c:pt>
                <c:pt idx="1">
                  <c:v>0.167608217168012</c:v>
                </c:pt>
                <c:pt idx="2">
                  <c:v>0.140928901320497</c:v>
                </c:pt>
                <c:pt idx="3">
                  <c:v>0.157203419278616</c:v>
                </c:pt>
                <c:pt idx="4">
                  <c:v>0.193395618556701</c:v>
                </c:pt>
                <c:pt idx="5">
                  <c:v>0.199310482662136</c:v>
                </c:pt>
                <c:pt idx="6">
                  <c:v>0.187486793322704</c:v>
                </c:pt>
                <c:pt idx="7">
                  <c:v>0.220475069072299</c:v>
                </c:pt>
                <c:pt idx="8">
                  <c:v>0.246465760982001</c:v>
                </c:pt>
                <c:pt idx="9">
                  <c:v>0.247892948336437</c:v>
                </c:pt>
                <c:pt idx="10">
                  <c:v>0.267754375556215</c:v>
                </c:pt>
                <c:pt idx="11">
                  <c:v>0.246173018305519</c:v>
                </c:pt>
                <c:pt idx="12">
                  <c:v>0.298621479409164</c:v>
                </c:pt>
                <c:pt idx="13">
                  <c:v>0.262255856020882</c:v>
                </c:pt>
                <c:pt idx="14">
                  <c:v>0.27518858046456</c:v>
                </c:pt>
                <c:pt idx="15">
                  <c:v>0.296829971181556</c:v>
                </c:pt>
                <c:pt idx="16">
                  <c:v>0.343497728175041</c:v>
                </c:pt>
                <c:pt idx="17">
                  <c:v>0.35057018924686</c:v>
                </c:pt>
                <c:pt idx="18">
                  <c:v>0.313743529904557</c:v>
                </c:pt>
                <c:pt idx="19">
                  <c:v>0.389651819065883</c:v>
                </c:pt>
                <c:pt idx="20">
                  <c:v>0.411933728189531</c:v>
                </c:pt>
                <c:pt idx="21">
                  <c:v>0.409151165535735</c:v>
                </c:pt>
                <c:pt idx="22">
                  <c:v>0.430166765279513</c:v>
                </c:pt>
                <c:pt idx="23">
                  <c:v>0.448316702038054</c:v>
                </c:pt>
                <c:pt idx="24">
                  <c:v>0.424998520291733</c:v>
                </c:pt>
                <c:pt idx="25">
                  <c:v>0.460925030764882</c:v>
                </c:pt>
                <c:pt idx="26">
                  <c:v>0.475027611374359</c:v>
                </c:pt>
                <c:pt idx="27">
                  <c:v>0.52934516334891</c:v>
                </c:pt>
                <c:pt idx="28">
                  <c:v>0.517031644736054</c:v>
                </c:pt>
                <c:pt idx="29">
                  <c:v>0.517378161009292</c:v>
                </c:pt>
                <c:pt idx="30">
                  <c:v>0.5473910552422</c:v>
                </c:pt>
                <c:pt idx="31">
                  <c:v>0.576992136158079</c:v>
                </c:pt>
                <c:pt idx="32">
                  <c:v>0.604297746823234</c:v>
                </c:pt>
                <c:pt idx="33">
                  <c:v>0.628459936413641</c:v>
                </c:pt>
                <c:pt idx="34">
                  <c:v>0.626630013220608</c:v>
                </c:pt>
              </c:numCache>
            </c:numRef>
          </c:val>
          <c:smooth val="0"/>
        </c:ser>
        <c:dLbls>
          <c:showLegendKey val="0"/>
          <c:showVal val="0"/>
          <c:showCatName val="0"/>
          <c:showSerName val="0"/>
          <c:showPercent val="0"/>
          <c:showBubbleSize val="0"/>
        </c:dLbls>
        <c:marker val="1"/>
        <c:smooth val="0"/>
        <c:axId val="-2107122168"/>
        <c:axId val="-2107119128"/>
      </c:lineChart>
      <c:catAx>
        <c:axId val="-2107122168"/>
        <c:scaling>
          <c:orientation val="minMax"/>
        </c:scaling>
        <c:delete val="0"/>
        <c:axPos val="b"/>
        <c:numFmt formatCode="General" sourceLinked="1"/>
        <c:majorTickMark val="out"/>
        <c:minorTickMark val="none"/>
        <c:tickLblPos val="nextTo"/>
        <c:crossAx val="-2107119128"/>
        <c:crosses val="autoZero"/>
        <c:auto val="1"/>
        <c:lblAlgn val="ctr"/>
        <c:lblOffset val="100"/>
        <c:noMultiLvlLbl val="0"/>
      </c:catAx>
      <c:valAx>
        <c:axId val="-2107119128"/>
        <c:scaling>
          <c:orientation val="minMax"/>
        </c:scaling>
        <c:delete val="0"/>
        <c:axPos val="l"/>
        <c:majorGridlines/>
        <c:numFmt formatCode="0%" sourceLinked="1"/>
        <c:majorTickMark val="out"/>
        <c:minorTickMark val="none"/>
        <c:tickLblPos val="nextTo"/>
        <c:crossAx val="-2107122168"/>
        <c:crosses val="autoZero"/>
        <c:crossBetween val="between"/>
      </c:valAx>
    </c:plotArea>
    <c:legend>
      <c:legendPos val="r"/>
      <c:layout>
        <c:manualLayout>
          <c:xMode val="edge"/>
          <c:yMode val="edge"/>
          <c:x val="0.433187049157326"/>
          <c:y val="0.654213314346178"/>
          <c:w val="0.2013404878176"/>
          <c:h val="0.187152624270119"/>
        </c:manualLayout>
      </c:layout>
      <c:overlay val="0"/>
    </c:legend>
    <c:plotVisOnly val="1"/>
    <c:dispBlanksAs val="gap"/>
    <c:showDLblsOverMax val="0"/>
  </c:chart>
  <c:printSettings>
    <c:headerFooter/>
    <c:pageMargins b="1.0" l="0.75" r="0.75" t="1.0"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Yield on DI assets</a:t>
            </a:r>
          </a:p>
        </c:rich>
      </c:tx>
      <c:overlay val="0"/>
    </c:title>
    <c:autoTitleDeleted val="0"/>
    <c:plotArea>
      <c:layout/>
      <c:lineChart>
        <c:grouping val="standard"/>
        <c:varyColors val="0"/>
        <c:ser>
          <c:idx val="0"/>
          <c:order val="0"/>
          <c:tx>
            <c:v>Havens</c:v>
          </c:tx>
          <c:marker>
            <c:symbol val="none"/>
          </c:marker>
          <c:cat>
            <c:strRef>
              <c:f>'Assets(BoP)'!$B$162:$B$192</c:f>
              <c:strCache>
                <c:ptCount val="4"/>
                <c:pt idx="0">
                  <c:v>1980-89</c:v>
                </c:pt>
                <c:pt idx="1">
                  <c:v>1990-99</c:v>
                </c:pt>
                <c:pt idx="2">
                  <c:v>2000-09</c:v>
                </c:pt>
                <c:pt idx="3">
                  <c:v>2010-16</c:v>
                </c:pt>
              </c:strCache>
            </c:strRef>
          </c:cat>
          <c:val>
            <c:numRef>
              <c:f>'Assets(BoP)'!$OZ$162:$OZ$192</c:f>
              <c:numCache>
                <c:formatCode>0%</c:formatCode>
                <c:ptCount val="4"/>
                <c:pt idx="0">
                  <c:v>0.0947549487147771</c:v>
                </c:pt>
                <c:pt idx="1">
                  <c:v>0.119425437226463</c:v>
                </c:pt>
                <c:pt idx="2">
                  <c:v>0.109202405842421</c:v>
                </c:pt>
                <c:pt idx="3">
                  <c:v>0.100338881143701</c:v>
                </c:pt>
              </c:numCache>
            </c:numRef>
          </c:val>
          <c:smooth val="0"/>
        </c:ser>
        <c:ser>
          <c:idx val="1"/>
          <c:order val="1"/>
          <c:tx>
            <c:v>Non-havens</c:v>
          </c:tx>
          <c:marker>
            <c:symbol val="none"/>
          </c:marker>
          <c:cat>
            <c:strRef>
              <c:f>'Assets(BoP)'!$B$162:$B$192</c:f>
              <c:strCache>
                <c:ptCount val="4"/>
                <c:pt idx="0">
                  <c:v>1980-89</c:v>
                </c:pt>
                <c:pt idx="1">
                  <c:v>1990-99</c:v>
                </c:pt>
                <c:pt idx="2">
                  <c:v>2000-09</c:v>
                </c:pt>
                <c:pt idx="3">
                  <c:v>2010-16</c:v>
                </c:pt>
              </c:strCache>
            </c:strRef>
          </c:cat>
          <c:val>
            <c:numRef>
              <c:f>'Assets(BoP)'!$PA$162:$PA$192</c:f>
              <c:numCache>
                <c:formatCode>0%</c:formatCode>
                <c:ptCount val="4"/>
                <c:pt idx="0">
                  <c:v>0.0899220172605656</c:v>
                </c:pt>
                <c:pt idx="1">
                  <c:v>0.0925230974249212</c:v>
                </c:pt>
                <c:pt idx="2">
                  <c:v>0.0867809453226603</c:v>
                </c:pt>
                <c:pt idx="3">
                  <c:v>0.0767952800315666</c:v>
                </c:pt>
              </c:numCache>
            </c:numRef>
          </c:val>
          <c:smooth val="0"/>
        </c:ser>
        <c:dLbls>
          <c:showLegendKey val="0"/>
          <c:showVal val="0"/>
          <c:showCatName val="0"/>
          <c:showSerName val="0"/>
          <c:showPercent val="0"/>
          <c:showBubbleSize val="0"/>
        </c:dLbls>
        <c:marker val="1"/>
        <c:smooth val="0"/>
        <c:axId val="-2107161608"/>
        <c:axId val="-2107158568"/>
      </c:lineChart>
      <c:catAx>
        <c:axId val="-2107161608"/>
        <c:scaling>
          <c:orientation val="minMax"/>
        </c:scaling>
        <c:delete val="0"/>
        <c:axPos val="b"/>
        <c:numFmt formatCode="General" sourceLinked="0"/>
        <c:majorTickMark val="out"/>
        <c:minorTickMark val="none"/>
        <c:tickLblPos val="nextTo"/>
        <c:crossAx val="-2107158568"/>
        <c:crosses val="autoZero"/>
        <c:auto val="1"/>
        <c:lblAlgn val="ctr"/>
        <c:lblOffset val="100"/>
        <c:noMultiLvlLbl val="0"/>
      </c:catAx>
      <c:valAx>
        <c:axId val="-2107158568"/>
        <c:scaling>
          <c:orientation val="minMax"/>
        </c:scaling>
        <c:delete val="0"/>
        <c:axPos val="l"/>
        <c:majorGridlines/>
        <c:numFmt formatCode="0%" sourceLinked="1"/>
        <c:majorTickMark val="out"/>
        <c:minorTickMark val="none"/>
        <c:tickLblPos val="nextTo"/>
        <c:crossAx val="-2107161608"/>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Yield on USDIA equity assets in Ireland</a:t>
            </a:r>
          </a:p>
        </c:rich>
      </c:tx>
      <c:layout>
        <c:manualLayout>
          <c:xMode val="edge"/>
          <c:yMode val="edge"/>
          <c:x val="0.179217403649786"/>
          <c:y val="0.0"/>
        </c:manualLayout>
      </c:layout>
      <c:overlay val="0"/>
    </c:title>
    <c:autoTitleDeleted val="0"/>
    <c:plotArea>
      <c:layout>
        <c:manualLayout>
          <c:layoutTarget val="inner"/>
          <c:xMode val="edge"/>
          <c:yMode val="edge"/>
          <c:x val="0.0930955475225791"/>
          <c:y val="0.11044776119403"/>
          <c:w val="0.873846036235762"/>
          <c:h val="0.709592196497826"/>
        </c:manualLayout>
      </c:layout>
      <c:lineChart>
        <c:grouping val="standard"/>
        <c:varyColors val="0"/>
        <c:ser>
          <c:idx val="0"/>
          <c:order val="0"/>
          <c:tx>
            <c:v>Yield on USDIA assets in Ireland</c:v>
          </c:tx>
          <c:marker>
            <c:symbol val="none"/>
          </c:marker>
          <c:cat>
            <c:numRef>
              <c:f>'Assets(BoP)'!$B$75:$B$108</c:f>
              <c:numCache>
                <c:formatCode>General</c:formatCode>
                <c:ptCount val="34"/>
                <c:pt idx="0">
                  <c:v>1983.0</c:v>
                </c:pt>
                <c:pt idx="1">
                  <c:v>1984.0</c:v>
                </c:pt>
                <c:pt idx="2">
                  <c:v>1985.0</c:v>
                </c:pt>
                <c:pt idx="3">
                  <c:v>1986.0</c:v>
                </c:pt>
                <c:pt idx="4">
                  <c:v>1987.0</c:v>
                </c:pt>
                <c:pt idx="5">
                  <c:v>1988.0</c:v>
                </c:pt>
                <c:pt idx="6">
                  <c:v>1989.0</c:v>
                </c:pt>
                <c:pt idx="7">
                  <c:v>1990.0</c:v>
                </c:pt>
                <c:pt idx="8">
                  <c:v>1991.0</c:v>
                </c:pt>
                <c:pt idx="9">
                  <c:v>1992.0</c:v>
                </c:pt>
                <c:pt idx="10">
                  <c:v>1993.0</c:v>
                </c:pt>
                <c:pt idx="11">
                  <c:v>1994.0</c:v>
                </c:pt>
                <c:pt idx="12">
                  <c:v>1995.0</c:v>
                </c:pt>
                <c:pt idx="13">
                  <c:v>1996.0</c:v>
                </c:pt>
                <c:pt idx="14">
                  <c:v>1997.0</c:v>
                </c:pt>
                <c:pt idx="15">
                  <c:v>1998.0</c:v>
                </c:pt>
                <c:pt idx="16">
                  <c:v>1999.0</c:v>
                </c:pt>
                <c:pt idx="17">
                  <c:v>2000.0</c:v>
                </c:pt>
                <c:pt idx="18">
                  <c:v>2001.0</c:v>
                </c:pt>
                <c:pt idx="19">
                  <c:v>2002.0</c:v>
                </c:pt>
                <c:pt idx="20">
                  <c:v>2003.0</c:v>
                </c:pt>
                <c:pt idx="21">
                  <c:v>2004.0</c:v>
                </c:pt>
                <c:pt idx="22">
                  <c:v>2005.0</c:v>
                </c:pt>
                <c:pt idx="23">
                  <c:v>2006.0</c:v>
                </c:pt>
                <c:pt idx="24">
                  <c:v>2007.0</c:v>
                </c:pt>
                <c:pt idx="25">
                  <c:v>2008.0</c:v>
                </c:pt>
                <c:pt idx="26">
                  <c:v>2009.0</c:v>
                </c:pt>
                <c:pt idx="27">
                  <c:v>2010.0</c:v>
                </c:pt>
                <c:pt idx="28">
                  <c:v>2011.0</c:v>
                </c:pt>
                <c:pt idx="29">
                  <c:v>2012.0</c:v>
                </c:pt>
                <c:pt idx="30">
                  <c:v>2013.0</c:v>
                </c:pt>
                <c:pt idx="31">
                  <c:v>2014.0</c:v>
                </c:pt>
                <c:pt idx="32">
                  <c:v>2015.0</c:v>
                </c:pt>
                <c:pt idx="33">
                  <c:v>2016.0</c:v>
                </c:pt>
              </c:numCache>
            </c:numRef>
          </c:cat>
          <c:val>
            <c:numRef>
              <c:f>'Assets(BoP)'!$OS$75:$OS$108</c:f>
              <c:numCache>
                <c:formatCode>0%</c:formatCode>
                <c:ptCount val="34"/>
                <c:pt idx="0">
                  <c:v>0.12408782344451</c:v>
                </c:pt>
                <c:pt idx="1">
                  <c:v>0.11126934314006</c:v>
                </c:pt>
                <c:pt idx="2">
                  <c:v>0.129105112953188</c:v>
                </c:pt>
                <c:pt idx="3">
                  <c:v>0.1208506664938</c:v>
                </c:pt>
                <c:pt idx="4">
                  <c:v>0.133521587938834</c:v>
                </c:pt>
                <c:pt idx="5">
                  <c:v>0.132573685570641</c:v>
                </c:pt>
                <c:pt idx="6">
                  <c:v>0.196986634209261</c:v>
                </c:pt>
                <c:pt idx="7">
                  <c:v>0.187234134319248</c:v>
                </c:pt>
                <c:pt idx="8">
                  <c:v>0.175828552381</c:v>
                </c:pt>
                <c:pt idx="9">
                  <c:v>0.180913352163212</c:v>
                </c:pt>
                <c:pt idx="10">
                  <c:v>0.15486338032644</c:v>
                </c:pt>
                <c:pt idx="11">
                  <c:v>0.142531149372691</c:v>
                </c:pt>
                <c:pt idx="12">
                  <c:v>0.16427191575038</c:v>
                </c:pt>
                <c:pt idx="13">
                  <c:v>0.131561957361076</c:v>
                </c:pt>
                <c:pt idx="14">
                  <c:v>0.148020225828845</c:v>
                </c:pt>
                <c:pt idx="15">
                  <c:v>0.191106402368587</c:v>
                </c:pt>
                <c:pt idx="16">
                  <c:v>0.155193820067069</c:v>
                </c:pt>
                <c:pt idx="17">
                  <c:v>0.166328439599972</c:v>
                </c:pt>
                <c:pt idx="18">
                  <c:v>0.126591442907644</c:v>
                </c:pt>
                <c:pt idx="19">
                  <c:v>0.1218518321715</c:v>
                </c:pt>
                <c:pt idx="20">
                  <c:v>0.140357607939111</c:v>
                </c:pt>
                <c:pt idx="21">
                  <c:v>0.175226052673864</c:v>
                </c:pt>
                <c:pt idx="22">
                  <c:v>0.215512129730361</c:v>
                </c:pt>
                <c:pt idx="23">
                  <c:v>0.17103815518439</c:v>
                </c:pt>
                <c:pt idx="24">
                  <c:v>0.160217415085421</c:v>
                </c:pt>
                <c:pt idx="25">
                  <c:v>0.178514567887887</c:v>
                </c:pt>
                <c:pt idx="26">
                  <c:v>0.18444174048474</c:v>
                </c:pt>
                <c:pt idx="27">
                  <c:v>0.166379469336799</c:v>
                </c:pt>
                <c:pt idx="28">
                  <c:v>0.164177492985169</c:v>
                </c:pt>
                <c:pt idx="29">
                  <c:v>0.170845870409097</c:v>
                </c:pt>
                <c:pt idx="30">
                  <c:v>0.133692457367742</c:v>
                </c:pt>
                <c:pt idx="31">
                  <c:v>0.144205304742285</c:v>
                </c:pt>
                <c:pt idx="32">
                  <c:v>0.146835828615401</c:v>
                </c:pt>
                <c:pt idx="33">
                  <c:v>0.124539097436964</c:v>
                </c:pt>
              </c:numCache>
            </c:numRef>
          </c:val>
          <c:smooth val="0"/>
        </c:ser>
        <c:dLbls>
          <c:showLegendKey val="0"/>
          <c:showVal val="0"/>
          <c:showCatName val="0"/>
          <c:showSerName val="0"/>
          <c:showPercent val="0"/>
          <c:showBubbleSize val="0"/>
        </c:dLbls>
        <c:marker val="1"/>
        <c:smooth val="0"/>
        <c:axId val="-2107196968"/>
        <c:axId val="-2107193960"/>
      </c:lineChart>
      <c:catAx>
        <c:axId val="-2107196968"/>
        <c:scaling>
          <c:orientation val="minMax"/>
        </c:scaling>
        <c:delete val="0"/>
        <c:axPos val="b"/>
        <c:numFmt formatCode="General" sourceLinked="1"/>
        <c:majorTickMark val="out"/>
        <c:minorTickMark val="none"/>
        <c:tickLblPos val="nextTo"/>
        <c:crossAx val="-2107193960"/>
        <c:crosses val="autoZero"/>
        <c:auto val="1"/>
        <c:lblAlgn val="ctr"/>
        <c:lblOffset val="100"/>
        <c:noMultiLvlLbl val="0"/>
      </c:catAx>
      <c:valAx>
        <c:axId val="-2107193960"/>
        <c:scaling>
          <c:orientation val="minMax"/>
        </c:scaling>
        <c:delete val="0"/>
        <c:axPos val="l"/>
        <c:majorGridlines/>
        <c:numFmt formatCode="0%" sourceLinked="1"/>
        <c:majorTickMark val="out"/>
        <c:minorTickMark val="none"/>
        <c:tickLblPos val="nextTo"/>
        <c:crossAx val="-2107196968"/>
        <c:crosses val="autoZero"/>
        <c:crossBetween val="between"/>
      </c:valAx>
    </c:plotArea>
    <c:plotVisOnly val="1"/>
    <c:dispBlanksAs val="gap"/>
    <c:showDLblsOverMax val="0"/>
  </c:chart>
  <c:printSettings>
    <c:headerFooter/>
    <c:pageMargins b="1.0" l="0.75" r="0.75" t="1.0"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Yield on USDIA equity assets in Luxembourg</a:t>
            </a:r>
          </a:p>
        </c:rich>
      </c:tx>
      <c:overlay val="0"/>
    </c:title>
    <c:autoTitleDeleted val="0"/>
    <c:plotArea>
      <c:layout/>
      <c:lineChart>
        <c:grouping val="standard"/>
        <c:varyColors val="0"/>
        <c:ser>
          <c:idx val="0"/>
          <c:order val="0"/>
          <c:tx>
            <c:v>Yield on USDIA assets in Luxembourg</c:v>
          </c:tx>
          <c:marker>
            <c:symbol val="none"/>
          </c:marker>
          <c:cat>
            <c:numRef>
              <c:f>'Assets(BoP)'!$B$75:$B$108</c:f>
              <c:numCache>
                <c:formatCode>General</c:formatCode>
                <c:ptCount val="34"/>
                <c:pt idx="0">
                  <c:v>1983.0</c:v>
                </c:pt>
                <c:pt idx="1">
                  <c:v>1984.0</c:v>
                </c:pt>
                <c:pt idx="2">
                  <c:v>1985.0</c:v>
                </c:pt>
                <c:pt idx="3">
                  <c:v>1986.0</c:v>
                </c:pt>
                <c:pt idx="4">
                  <c:v>1987.0</c:v>
                </c:pt>
                <c:pt idx="5">
                  <c:v>1988.0</c:v>
                </c:pt>
                <c:pt idx="6">
                  <c:v>1989.0</c:v>
                </c:pt>
                <c:pt idx="7">
                  <c:v>1990.0</c:v>
                </c:pt>
                <c:pt idx="8">
                  <c:v>1991.0</c:v>
                </c:pt>
                <c:pt idx="9">
                  <c:v>1992.0</c:v>
                </c:pt>
                <c:pt idx="10">
                  <c:v>1993.0</c:v>
                </c:pt>
                <c:pt idx="11">
                  <c:v>1994.0</c:v>
                </c:pt>
                <c:pt idx="12">
                  <c:v>1995.0</c:v>
                </c:pt>
                <c:pt idx="13">
                  <c:v>1996.0</c:v>
                </c:pt>
                <c:pt idx="14">
                  <c:v>1997.0</c:v>
                </c:pt>
                <c:pt idx="15">
                  <c:v>1998.0</c:v>
                </c:pt>
                <c:pt idx="16">
                  <c:v>1999.0</c:v>
                </c:pt>
                <c:pt idx="17">
                  <c:v>2000.0</c:v>
                </c:pt>
                <c:pt idx="18">
                  <c:v>2001.0</c:v>
                </c:pt>
                <c:pt idx="19">
                  <c:v>2002.0</c:v>
                </c:pt>
                <c:pt idx="20">
                  <c:v>2003.0</c:v>
                </c:pt>
                <c:pt idx="21">
                  <c:v>2004.0</c:v>
                </c:pt>
                <c:pt idx="22">
                  <c:v>2005.0</c:v>
                </c:pt>
                <c:pt idx="23">
                  <c:v>2006.0</c:v>
                </c:pt>
                <c:pt idx="24">
                  <c:v>2007.0</c:v>
                </c:pt>
                <c:pt idx="25">
                  <c:v>2008.0</c:v>
                </c:pt>
                <c:pt idx="26">
                  <c:v>2009.0</c:v>
                </c:pt>
                <c:pt idx="27">
                  <c:v>2010.0</c:v>
                </c:pt>
                <c:pt idx="28">
                  <c:v>2011.0</c:v>
                </c:pt>
                <c:pt idx="29">
                  <c:v>2012.0</c:v>
                </c:pt>
                <c:pt idx="30">
                  <c:v>2013.0</c:v>
                </c:pt>
                <c:pt idx="31">
                  <c:v>2014.0</c:v>
                </c:pt>
                <c:pt idx="32">
                  <c:v>2015.0</c:v>
                </c:pt>
                <c:pt idx="33">
                  <c:v>2016.0</c:v>
                </c:pt>
              </c:numCache>
            </c:numRef>
          </c:cat>
          <c:val>
            <c:numRef>
              <c:f>'Assets(BoP)'!$OU$75:$OU$108</c:f>
              <c:numCache>
                <c:formatCode>0%</c:formatCode>
                <c:ptCount val="34"/>
                <c:pt idx="0">
                  <c:v>0.083696452708706</c:v>
                </c:pt>
                <c:pt idx="1">
                  <c:v>0.166357944492571</c:v>
                </c:pt>
                <c:pt idx="2">
                  <c:v>0.0648540293472514</c:v>
                </c:pt>
                <c:pt idx="3">
                  <c:v>0.0818934459876398</c:v>
                </c:pt>
                <c:pt idx="4">
                  <c:v>0.0651457439773115</c:v>
                </c:pt>
                <c:pt idx="5">
                  <c:v>0.0698518286105066</c:v>
                </c:pt>
                <c:pt idx="6">
                  <c:v>0.0921443827378463</c:v>
                </c:pt>
                <c:pt idx="7">
                  <c:v>0.0901134220457812</c:v>
                </c:pt>
                <c:pt idx="8">
                  <c:v>0.0947959098111342</c:v>
                </c:pt>
                <c:pt idx="9">
                  <c:v>0.0870821681658009</c:v>
                </c:pt>
                <c:pt idx="10">
                  <c:v>0.0625548677968155</c:v>
                </c:pt>
                <c:pt idx="11">
                  <c:v>0.167553908610325</c:v>
                </c:pt>
                <c:pt idx="12">
                  <c:v>0.163123373422849</c:v>
                </c:pt>
                <c:pt idx="13">
                  <c:v>0.152780299482483</c:v>
                </c:pt>
                <c:pt idx="14">
                  <c:v>0.135538466157209</c:v>
                </c:pt>
                <c:pt idx="15">
                  <c:v>0.136153373949551</c:v>
                </c:pt>
                <c:pt idx="16">
                  <c:v>0.169303168436066</c:v>
                </c:pt>
                <c:pt idx="17">
                  <c:v>0.0944539202394086</c:v>
                </c:pt>
                <c:pt idx="18">
                  <c:v>0.125597565060432</c:v>
                </c:pt>
                <c:pt idx="19">
                  <c:v>0.154153428517032</c:v>
                </c:pt>
                <c:pt idx="20">
                  <c:v>0.180318490329456</c:v>
                </c:pt>
                <c:pt idx="21">
                  <c:v>0.120103012332875</c:v>
                </c:pt>
                <c:pt idx="22">
                  <c:v>0.154150854188489</c:v>
                </c:pt>
                <c:pt idx="23">
                  <c:v>0.124509226390338</c:v>
                </c:pt>
                <c:pt idx="24">
                  <c:v>0.130001280502098</c:v>
                </c:pt>
                <c:pt idx="25">
                  <c:v>0.116063588863918</c:v>
                </c:pt>
                <c:pt idx="26">
                  <c:v>0.0937193079034294</c:v>
                </c:pt>
                <c:pt idx="27">
                  <c:v>0.115871806780485</c:v>
                </c:pt>
                <c:pt idx="28">
                  <c:v>0.0658927259122361</c:v>
                </c:pt>
                <c:pt idx="29">
                  <c:v>0.068955411757311</c:v>
                </c:pt>
                <c:pt idx="30">
                  <c:v>0.0791182013574746</c:v>
                </c:pt>
                <c:pt idx="31">
                  <c:v>0.0685179348075769</c:v>
                </c:pt>
                <c:pt idx="32">
                  <c:v>0.0563940855733862</c:v>
                </c:pt>
                <c:pt idx="33">
                  <c:v>0.0515913839727267</c:v>
                </c:pt>
              </c:numCache>
            </c:numRef>
          </c:val>
          <c:smooth val="0"/>
        </c:ser>
        <c:dLbls>
          <c:showLegendKey val="0"/>
          <c:showVal val="0"/>
          <c:showCatName val="0"/>
          <c:showSerName val="0"/>
          <c:showPercent val="0"/>
          <c:showBubbleSize val="0"/>
        </c:dLbls>
        <c:marker val="1"/>
        <c:smooth val="0"/>
        <c:axId val="-2107215400"/>
        <c:axId val="-2107212392"/>
      </c:lineChart>
      <c:catAx>
        <c:axId val="-2107215400"/>
        <c:scaling>
          <c:orientation val="minMax"/>
        </c:scaling>
        <c:delete val="0"/>
        <c:axPos val="b"/>
        <c:numFmt formatCode="General" sourceLinked="1"/>
        <c:majorTickMark val="out"/>
        <c:minorTickMark val="none"/>
        <c:tickLblPos val="nextTo"/>
        <c:crossAx val="-2107212392"/>
        <c:crosses val="autoZero"/>
        <c:auto val="1"/>
        <c:lblAlgn val="ctr"/>
        <c:lblOffset val="100"/>
        <c:noMultiLvlLbl val="0"/>
      </c:catAx>
      <c:valAx>
        <c:axId val="-2107212392"/>
        <c:scaling>
          <c:orientation val="minMax"/>
        </c:scaling>
        <c:delete val="0"/>
        <c:axPos val="l"/>
        <c:majorGridlines/>
        <c:numFmt formatCode="0%" sourceLinked="1"/>
        <c:majorTickMark val="out"/>
        <c:minorTickMark val="none"/>
        <c:tickLblPos val="nextTo"/>
        <c:crossAx val="-2107215400"/>
        <c:crosses val="autoZero"/>
        <c:crossBetween val="between"/>
      </c:valAx>
    </c:plotArea>
    <c:plotVisOnly val="1"/>
    <c:dispBlanksAs val="gap"/>
    <c:showDLblsOverMax val="0"/>
  </c:chart>
  <c:printSettings>
    <c:headerFooter/>
    <c:pageMargins b="1.0" l="0.75" r="0.75" t="1.0"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32248468941382"/>
          <c:y val="0.0601851851851852"/>
          <c:w val="0.859268810148731"/>
          <c:h val="0.766913823272091"/>
        </c:manualLayout>
      </c:layout>
      <c:lineChart>
        <c:grouping val="standard"/>
        <c:varyColors val="0"/>
        <c:ser>
          <c:idx val="0"/>
          <c:order val="0"/>
          <c:tx>
            <c:v>non-oil pre-tax</c:v>
          </c:tx>
          <c:marker>
            <c:symbol val="none"/>
          </c:marker>
          <c:cat>
            <c:numRef>
              <c:f>T.A16!$A$38:$A$59</c:f>
              <c:numCache>
                <c:formatCode>General</c:formatCode>
                <c:ptCount val="22"/>
                <c:pt idx="0">
                  <c:v>1994.0</c:v>
                </c:pt>
                <c:pt idx="1">
                  <c:v>1995.0</c:v>
                </c:pt>
                <c:pt idx="2">
                  <c:v>1996.0</c:v>
                </c:pt>
                <c:pt idx="3">
                  <c:v>1997.0</c:v>
                </c:pt>
                <c:pt idx="4">
                  <c:v>1998.0</c:v>
                </c:pt>
                <c:pt idx="5">
                  <c:v>1999.0</c:v>
                </c:pt>
                <c:pt idx="6">
                  <c:v>2000.0</c:v>
                </c:pt>
                <c:pt idx="7">
                  <c:v>2001.0</c:v>
                </c:pt>
                <c:pt idx="8">
                  <c:v>2002.0</c:v>
                </c:pt>
                <c:pt idx="9">
                  <c:v>2003.0</c:v>
                </c:pt>
                <c:pt idx="10">
                  <c:v>2004.0</c:v>
                </c:pt>
                <c:pt idx="11">
                  <c:v>2005.0</c:v>
                </c:pt>
                <c:pt idx="12">
                  <c:v>2006.0</c:v>
                </c:pt>
                <c:pt idx="13">
                  <c:v>2007.0</c:v>
                </c:pt>
                <c:pt idx="14">
                  <c:v>2008.0</c:v>
                </c:pt>
                <c:pt idx="15">
                  <c:v>2009.0</c:v>
                </c:pt>
                <c:pt idx="16">
                  <c:v>2010.0</c:v>
                </c:pt>
                <c:pt idx="17">
                  <c:v>2011.0</c:v>
                </c:pt>
                <c:pt idx="18">
                  <c:v>2012.0</c:v>
                </c:pt>
                <c:pt idx="19">
                  <c:v>2013.0</c:v>
                </c:pt>
                <c:pt idx="20">
                  <c:v>2014.0</c:v>
                </c:pt>
                <c:pt idx="21">
                  <c:v>2015.0</c:v>
                </c:pt>
              </c:numCache>
            </c:numRef>
          </c:cat>
          <c:val>
            <c:numRef>
              <c:f>T.A16!$D$38:$D$59</c:f>
              <c:numCache>
                <c:formatCode>0%</c:formatCode>
                <c:ptCount val="22"/>
                <c:pt idx="0">
                  <c:v>0.149561056082475</c:v>
                </c:pt>
                <c:pt idx="1">
                  <c:v>0.178055313505583</c:v>
                </c:pt>
                <c:pt idx="2">
                  <c:v>0.170063953040396</c:v>
                </c:pt>
                <c:pt idx="3">
                  <c:v>0.174301322143932</c:v>
                </c:pt>
                <c:pt idx="4">
                  <c:v>0.143990220523762</c:v>
                </c:pt>
                <c:pt idx="5">
                  <c:v>0.137379216376833</c:v>
                </c:pt>
                <c:pt idx="6">
                  <c:v>0.119611459944228</c:v>
                </c:pt>
                <c:pt idx="7">
                  <c:v>0.0938493781083351</c:v>
                </c:pt>
                <c:pt idx="8">
                  <c:v>0.0924442934841775</c:v>
                </c:pt>
                <c:pt idx="9">
                  <c:v>0.111895640721442</c:v>
                </c:pt>
                <c:pt idx="10">
                  <c:v>0.123521547131056</c:v>
                </c:pt>
                <c:pt idx="11">
                  <c:v>0.130854880957895</c:v>
                </c:pt>
                <c:pt idx="12">
                  <c:v>0.133525850343106</c:v>
                </c:pt>
                <c:pt idx="13">
                  <c:v>0.130626789423884</c:v>
                </c:pt>
                <c:pt idx="14">
                  <c:v>0.128386683270117</c:v>
                </c:pt>
                <c:pt idx="15">
                  <c:v>0.0892724221946594</c:v>
                </c:pt>
                <c:pt idx="16">
                  <c:v>0.0959197832340128</c:v>
                </c:pt>
                <c:pt idx="17">
                  <c:v>0.106781206220267</c:v>
                </c:pt>
                <c:pt idx="18">
                  <c:v>0.0976975962385327</c:v>
                </c:pt>
                <c:pt idx="19">
                  <c:v>0.095463312875641</c:v>
                </c:pt>
                <c:pt idx="20">
                  <c:v>0.0927947665541472</c:v>
                </c:pt>
                <c:pt idx="21">
                  <c:v>0.0</c:v>
                </c:pt>
              </c:numCache>
            </c:numRef>
          </c:val>
          <c:smooth val="0"/>
        </c:ser>
        <c:ser>
          <c:idx val="1"/>
          <c:order val="1"/>
          <c:tx>
            <c:v>non-oil post-tax</c:v>
          </c:tx>
          <c:marker>
            <c:symbol val="none"/>
          </c:marker>
          <c:cat>
            <c:numRef>
              <c:f>T.A16!$A$38:$A$59</c:f>
              <c:numCache>
                <c:formatCode>General</c:formatCode>
                <c:ptCount val="22"/>
                <c:pt idx="0">
                  <c:v>1994.0</c:v>
                </c:pt>
                <c:pt idx="1">
                  <c:v>1995.0</c:v>
                </c:pt>
                <c:pt idx="2">
                  <c:v>1996.0</c:v>
                </c:pt>
                <c:pt idx="3">
                  <c:v>1997.0</c:v>
                </c:pt>
                <c:pt idx="4">
                  <c:v>1998.0</c:v>
                </c:pt>
                <c:pt idx="5">
                  <c:v>1999.0</c:v>
                </c:pt>
                <c:pt idx="6">
                  <c:v>2000.0</c:v>
                </c:pt>
                <c:pt idx="7">
                  <c:v>2001.0</c:v>
                </c:pt>
                <c:pt idx="8">
                  <c:v>2002.0</c:v>
                </c:pt>
                <c:pt idx="9">
                  <c:v>2003.0</c:v>
                </c:pt>
                <c:pt idx="10">
                  <c:v>2004.0</c:v>
                </c:pt>
                <c:pt idx="11">
                  <c:v>2005.0</c:v>
                </c:pt>
                <c:pt idx="12">
                  <c:v>2006.0</c:v>
                </c:pt>
                <c:pt idx="13">
                  <c:v>2007.0</c:v>
                </c:pt>
                <c:pt idx="14">
                  <c:v>2008.0</c:v>
                </c:pt>
                <c:pt idx="15">
                  <c:v>2009.0</c:v>
                </c:pt>
                <c:pt idx="16">
                  <c:v>2010.0</c:v>
                </c:pt>
                <c:pt idx="17">
                  <c:v>2011.0</c:v>
                </c:pt>
                <c:pt idx="18">
                  <c:v>2012.0</c:v>
                </c:pt>
                <c:pt idx="19">
                  <c:v>2013.0</c:v>
                </c:pt>
                <c:pt idx="20">
                  <c:v>2014.0</c:v>
                </c:pt>
                <c:pt idx="21">
                  <c:v>2015.0</c:v>
                </c:pt>
              </c:numCache>
            </c:numRef>
          </c:cat>
          <c:val>
            <c:numRef>
              <c:f>T.A16!$J$38:$J$59</c:f>
              <c:numCache>
                <c:formatCode>0%</c:formatCode>
                <c:ptCount val="22"/>
                <c:pt idx="0">
                  <c:v>0.101735338794859</c:v>
                </c:pt>
                <c:pt idx="1">
                  <c:v>0.122460283355243</c:v>
                </c:pt>
                <c:pt idx="2">
                  <c:v>0.116935651214514</c:v>
                </c:pt>
                <c:pt idx="3">
                  <c:v>0.120694273956622</c:v>
                </c:pt>
                <c:pt idx="4">
                  <c:v>0.0978199838507184</c:v>
                </c:pt>
                <c:pt idx="5">
                  <c:v>0.0950326269670278</c:v>
                </c:pt>
                <c:pt idx="6">
                  <c:v>0.0810473505081491</c:v>
                </c:pt>
                <c:pt idx="7">
                  <c:v>0.0645345824896136</c:v>
                </c:pt>
                <c:pt idx="8">
                  <c:v>0.0644975895536004</c:v>
                </c:pt>
                <c:pt idx="9">
                  <c:v>0.0841064181273737</c:v>
                </c:pt>
                <c:pt idx="10">
                  <c:v>0.0924291842480069</c:v>
                </c:pt>
                <c:pt idx="11">
                  <c:v>0.0947500396938002</c:v>
                </c:pt>
                <c:pt idx="12">
                  <c:v>0.096638359410408</c:v>
                </c:pt>
                <c:pt idx="13">
                  <c:v>0.0985975584672811</c:v>
                </c:pt>
                <c:pt idx="14">
                  <c:v>0.100427424707489</c:v>
                </c:pt>
                <c:pt idx="15">
                  <c:v>0.0696154985388538</c:v>
                </c:pt>
                <c:pt idx="16">
                  <c:v>0.074074988694761</c:v>
                </c:pt>
                <c:pt idx="17">
                  <c:v>0.0828330952552981</c:v>
                </c:pt>
                <c:pt idx="18">
                  <c:v>0.0775989294797498</c:v>
                </c:pt>
                <c:pt idx="19">
                  <c:v>0.0754798183228403</c:v>
                </c:pt>
                <c:pt idx="20">
                  <c:v>0.07428572191372</c:v>
                </c:pt>
                <c:pt idx="21">
                  <c:v>0.0</c:v>
                </c:pt>
              </c:numCache>
            </c:numRef>
          </c:val>
          <c:smooth val="0"/>
        </c:ser>
        <c:dLbls>
          <c:showLegendKey val="0"/>
          <c:showVal val="0"/>
          <c:showCatName val="0"/>
          <c:showSerName val="0"/>
          <c:showPercent val="0"/>
          <c:showBubbleSize val="0"/>
        </c:dLbls>
        <c:marker val="1"/>
        <c:smooth val="0"/>
        <c:axId val="-2113105592"/>
        <c:axId val="-2113109752"/>
      </c:lineChart>
      <c:catAx>
        <c:axId val="-2113105592"/>
        <c:scaling>
          <c:orientation val="minMax"/>
        </c:scaling>
        <c:delete val="0"/>
        <c:axPos val="b"/>
        <c:numFmt formatCode="General" sourceLinked="1"/>
        <c:majorTickMark val="out"/>
        <c:minorTickMark val="none"/>
        <c:tickLblPos val="nextTo"/>
        <c:crossAx val="-2113109752"/>
        <c:crosses val="autoZero"/>
        <c:auto val="1"/>
        <c:lblAlgn val="ctr"/>
        <c:lblOffset val="100"/>
        <c:noMultiLvlLbl val="0"/>
      </c:catAx>
      <c:valAx>
        <c:axId val="-2113109752"/>
        <c:scaling>
          <c:orientation val="minMax"/>
        </c:scaling>
        <c:delete val="0"/>
        <c:axPos val="l"/>
        <c:majorGridlines/>
        <c:numFmt formatCode="0%" sourceLinked="1"/>
        <c:majorTickMark val="out"/>
        <c:minorTickMark val="none"/>
        <c:tickLblPos val="nextTo"/>
        <c:crossAx val="-2113105592"/>
        <c:crosses val="autoZero"/>
        <c:crossBetween val="between"/>
      </c:valAx>
    </c:plotArea>
    <c:legend>
      <c:legendPos val="r"/>
      <c:layout>
        <c:manualLayout>
          <c:xMode val="edge"/>
          <c:yMode val="edge"/>
          <c:x val="0.295022309711286"/>
          <c:y val="0.0829494750656168"/>
          <c:w val="0.324422134733158"/>
          <c:h val="0.185952901720618"/>
        </c:manualLayout>
      </c:layout>
      <c:overlay val="0"/>
    </c:legend>
    <c:plotVisOnly val="1"/>
    <c:dispBlanksAs val="gap"/>
    <c:showDLblsOverMax val="0"/>
  </c:chart>
  <c:printSettings>
    <c:headerFooter/>
    <c:pageMargins b="1.0" l="0.75" r="0.75" t="1.0"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9099518810149"/>
          <c:y val="0.0601851851851852"/>
          <c:w val="0.861494969378828"/>
          <c:h val="0.87962962962963"/>
        </c:manualLayout>
      </c:layout>
      <c:lineChart>
        <c:grouping val="standard"/>
        <c:varyColors val="0"/>
        <c:ser>
          <c:idx val="0"/>
          <c:order val="0"/>
          <c:tx>
            <c:v>Reinvested earnings (% NI)</c:v>
          </c:tx>
          <c:marker>
            <c:symbol val="none"/>
          </c:marke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'Assets(BoP)'!$JE$74:$JE$108</c:f>
              <c:numCache>
                <c:formatCode>0.0%</c:formatCode>
                <c:ptCount val="35"/>
                <c:pt idx="0">
                  <c:v>0.00169236727221518</c:v>
                </c:pt>
                <c:pt idx="1">
                  <c:v>0.00446953112236563</c:v>
                </c:pt>
                <c:pt idx="2">
                  <c:v>0.00511236933797909</c:v>
                </c:pt>
                <c:pt idx="3">
                  <c:v>0.00384506812876608</c:v>
                </c:pt>
                <c:pt idx="4">
                  <c:v>0.00251260329504703</c:v>
                </c:pt>
                <c:pt idx="5">
                  <c:v>0.00447975335016508</c:v>
                </c:pt>
                <c:pt idx="6">
                  <c:v>0.00313192682601148</c:v>
                </c:pt>
                <c:pt idx="7">
                  <c:v>0.00265484505039521</c:v>
                </c:pt>
                <c:pt idx="8">
                  <c:v>0.00425666686523302</c:v>
                </c:pt>
                <c:pt idx="9">
                  <c:v>0.00353406220473959</c:v>
                </c:pt>
                <c:pt idx="10">
                  <c:v>0.00296252522864883</c:v>
                </c:pt>
                <c:pt idx="11">
                  <c:v>0.00521564606936818</c:v>
                </c:pt>
                <c:pt idx="12">
                  <c:v>0.00392299925083873</c:v>
                </c:pt>
                <c:pt idx="13">
                  <c:v>0.00728945134655452</c:v>
                </c:pt>
                <c:pt idx="14">
                  <c:v>0.00684595761950314</c:v>
                </c:pt>
                <c:pt idx="15">
                  <c:v>0.00663622567882499</c:v>
                </c:pt>
                <c:pt idx="16">
                  <c:v>0.00413908085474654</c:v>
                </c:pt>
                <c:pt idx="17">
                  <c:v>0.00585099226370669</c:v>
                </c:pt>
                <c:pt idx="18">
                  <c:v>0.00864690692713596</c:v>
                </c:pt>
                <c:pt idx="19">
                  <c:v>0.00569507654116673</c:v>
                </c:pt>
                <c:pt idx="20">
                  <c:v>0.00696793404543913</c:v>
                </c:pt>
                <c:pt idx="21">
                  <c:v>0.0101861276129843</c:v>
                </c:pt>
                <c:pt idx="22">
                  <c:v>0.0134323444867137</c:v>
                </c:pt>
                <c:pt idx="23">
                  <c:v>-0.00277424865211125</c:v>
                </c:pt>
                <c:pt idx="24">
                  <c:v>0.0163801146208183</c:v>
                </c:pt>
                <c:pt idx="25">
                  <c:v>0.0170440858993296</c:v>
                </c:pt>
                <c:pt idx="26">
                  <c:v>0.0170833132171422</c:v>
                </c:pt>
                <c:pt idx="27">
                  <c:v>0.0169008997121911</c:v>
                </c:pt>
                <c:pt idx="28">
                  <c:v>0.0219151458063503</c:v>
                </c:pt>
                <c:pt idx="29">
                  <c:v>0.0217126637358358</c:v>
                </c:pt>
                <c:pt idx="30">
                  <c:v>0.0187613338169095</c:v>
                </c:pt>
                <c:pt idx="31">
                  <c:v>0.0205304330970315</c:v>
                </c:pt>
                <c:pt idx="32">
                  <c:v>0.0193346539883782</c:v>
                </c:pt>
                <c:pt idx="33">
                  <c:v>0.0172700068616737</c:v>
                </c:pt>
                <c:pt idx="34">
                  <c:v>0.0173672439571393</c:v>
                </c:pt>
              </c:numCache>
            </c:numRef>
          </c:val>
          <c:smooth val="0"/>
        </c:ser>
        <c:ser>
          <c:idx val="1"/>
          <c:order val="1"/>
          <c:tx>
            <c:v>Equity outflows (% NI)</c:v>
          </c:tx>
          <c:marker>
            <c:symbol val="none"/>
          </c:marke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'Assets(BoP)'!$JF$74:$JF$108</c:f>
              <c:numCache>
                <c:formatCode>0.0%</c:formatCode>
                <c:ptCount val="35"/>
                <c:pt idx="0">
                  <c:v>0.00341782847486269</c:v>
                </c:pt>
                <c:pt idx="1">
                  <c:v>0.00236856722757719</c:v>
                </c:pt>
                <c:pt idx="2">
                  <c:v>0.000695121951219512</c:v>
                </c:pt>
                <c:pt idx="3">
                  <c:v>-0.000453829868085337</c:v>
                </c:pt>
                <c:pt idx="4">
                  <c:v>0.000298061431318538</c:v>
                </c:pt>
                <c:pt idx="5">
                  <c:v>0.00118178287046028</c:v>
                </c:pt>
                <c:pt idx="6">
                  <c:v>-0.00148261895224106</c:v>
                </c:pt>
                <c:pt idx="7">
                  <c:v>0.00133725063778177</c:v>
                </c:pt>
                <c:pt idx="8">
                  <c:v>0.00173527134091857</c:v>
                </c:pt>
                <c:pt idx="9">
                  <c:v>0.00340949846705617</c:v>
                </c:pt>
                <c:pt idx="10">
                  <c:v>0.00266323617651872</c:v>
                </c:pt>
                <c:pt idx="11">
                  <c:v>0.00426861055119205</c:v>
                </c:pt>
                <c:pt idx="12">
                  <c:v>0.00548174326569167</c:v>
                </c:pt>
                <c:pt idx="13">
                  <c:v>0.00624816729685932</c:v>
                </c:pt>
                <c:pt idx="14">
                  <c:v>0.00399063686697394</c:v>
                </c:pt>
                <c:pt idx="15">
                  <c:v>0.00552707170343071</c:v>
                </c:pt>
                <c:pt idx="16">
                  <c:v>0.00922034286586995</c:v>
                </c:pt>
                <c:pt idx="17">
                  <c:v>0.0118842198837153</c:v>
                </c:pt>
                <c:pt idx="18">
                  <c:v>0.00876176041315819</c:v>
                </c:pt>
                <c:pt idx="19">
                  <c:v>0.00663523724495351</c:v>
                </c:pt>
                <c:pt idx="20">
                  <c:v>0.00452558070532384</c:v>
                </c:pt>
                <c:pt idx="21">
                  <c:v>0.00359725066401735</c:v>
                </c:pt>
                <c:pt idx="22">
                  <c:v>0.0126437970192299</c:v>
                </c:pt>
                <c:pt idx="23">
                  <c:v>0.00551050730440043</c:v>
                </c:pt>
                <c:pt idx="24">
                  <c:v>0.00407920165267226</c:v>
                </c:pt>
                <c:pt idx="25">
                  <c:v>0.0163009073644229</c:v>
                </c:pt>
                <c:pt idx="26">
                  <c:v>0.0102220022851993</c:v>
                </c:pt>
                <c:pt idx="27">
                  <c:v>0.00285623572294472</c:v>
                </c:pt>
                <c:pt idx="28">
                  <c:v>0.0031830134620668</c:v>
                </c:pt>
                <c:pt idx="29">
                  <c:v>0.00667495487668791</c:v>
                </c:pt>
                <c:pt idx="30">
                  <c:v>0.00264836188566268</c:v>
                </c:pt>
                <c:pt idx="31">
                  <c:v>0.0013597972972973</c:v>
                </c:pt>
                <c:pt idx="32">
                  <c:v>0.00124082144743793</c:v>
                </c:pt>
                <c:pt idx="33">
                  <c:v>0.000354011537777326</c:v>
                </c:pt>
                <c:pt idx="34">
                  <c:v>0.00193982058310491</c:v>
                </c:pt>
              </c:numCache>
            </c:numRef>
          </c:val>
          <c:smooth val="0"/>
        </c:ser>
        <c:ser>
          <c:idx val="2"/>
          <c:order val="2"/>
          <c:tx>
            <c:v>Net debt outflows (% NI)</c:v>
          </c:tx>
          <c:marker>
            <c:symbol val="none"/>
          </c:marker>
          <c:val>
            <c:numRef>
              <c:f>'Assets(BoP)'!$JG$74:$JG$108</c:f>
              <c:numCache>
                <c:formatCode>0.0%</c:formatCode>
                <c:ptCount val="35"/>
                <c:pt idx="0">
                  <c:v>-0.00473031967328545</c:v>
                </c:pt>
                <c:pt idx="1">
                  <c:v>-0.00372618853128574</c:v>
                </c:pt>
                <c:pt idx="2">
                  <c:v>-0.00201974448315912</c:v>
                </c:pt>
                <c:pt idx="3">
                  <c:v>0.000242929265512187</c:v>
                </c:pt>
                <c:pt idx="4">
                  <c:v>0.00229327997505327</c:v>
                </c:pt>
                <c:pt idx="5">
                  <c:v>0.00165857448048165</c:v>
                </c:pt>
                <c:pt idx="6">
                  <c:v>0.00248965148885031</c:v>
                </c:pt>
                <c:pt idx="7">
                  <c:v>0.0038710217054912</c:v>
                </c:pt>
                <c:pt idx="8">
                  <c:v>0.000160243045213558</c:v>
                </c:pt>
                <c:pt idx="9">
                  <c:v>-0.000638823007655078</c:v>
                </c:pt>
                <c:pt idx="10">
                  <c:v>0.00212829790715857</c:v>
                </c:pt>
                <c:pt idx="11">
                  <c:v>0.00393897268367276</c:v>
                </c:pt>
                <c:pt idx="12">
                  <c:v>0.00252516204683886</c:v>
                </c:pt>
                <c:pt idx="13">
                  <c:v>0.000672428428119454</c:v>
                </c:pt>
                <c:pt idx="14">
                  <c:v>0.00140026668985709</c:v>
                </c:pt>
                <c:pt idx="15">
                  <c:v>0.000812828572977074</c:v>
                </c:pt>
                <c:pt idx="16">
                  <c:v>0.00331347918496175</c:v>
                </c:pt>
                <c:pt idx="17">
                  <c:v>0.0074186728172601</c:v>
                </c:pt>
                <c:pt idx="18">
                  <c:v>-0.00139564387560346</c:v>
                </c:pt>
                <c:pt idx="19">
                  <c:v>0.00126559675979357</c:v>
                </c:pt>
                <c:pt idx="20">
                  <c:v>0.00280635384876229</c:v>
                </c:pt>
                <c:pt idx="21">
                  <c:v>-0.000669998580726262</c:v>
                </c:pt>
                <c:pt idx="22">
                  <c:v>0.001901071066038</c:v>
                </c:pt>
                <c:pt idx="23">
                  <c:v>-0.00136888556735885</c:v>
                </c:pt>
                <c:pt idx="24">
                  <c:v>-0.00178178728508597</c:v>
                </c:pt>
                <c:pt idx="25">
                  <c:v>-0.0014072264515396</c:v>
                </c:pt>
                <c:pt idx="26">
                  <c:v>-0.00249835047232817</c:v>
                </c:pt>
                <c:pt idx="27">
                  <c:v>0.00398512299915059</c:v>
                </c:pt>
                <c:pt idx="28">
                  <c:v>-0.00329369284508811</c:v>
                </c:pt>
                <c:pt idx="29">
                  <c:v>0.0013127326378227</c:v>
                </c:pt>
                <c:pt idx="30">
                  <c:v>0.00121861199411175</c:v>
                </c:pt>
                <c:pt idx="31">
                  <c:v>-0.000883916703588835</c:v>
                </c:pt>
                <c:pt idx="32">
                  <c:v>-0.00111205758055996</c:v>
                </c:pt>
                <c:pt idx="33">
                  <c:v>-0.00094195532287987</c:v>
                </c:pt>
                <c:pt idx="34">
                  <c:v>-0.00182133067530526</c:v>
                </c:pt>
              </c:numCache>
            </c:numRef>
          </c:val>
          <c:smooth val="0"/>
        </c:ser>
        <c:dLbls>
          <c:showLegendKey val="0"/>
          <c:showVal val="0"/>
          <c:showCatName val="0"/>
          <c:showSerName val="0"/>
          <c:showPercent val="0"/>
          <c:showBubbleSize val="0"/>
        </c:dLbls>
        <c:marker val="1"/>
        <c:smooth val="0"/>
        <c:axId val="-2107227704"/>
        <c:axId val="-2107224664"/>
      </c:lineChart>
      <c:catAx>
        <c:axId val="-2107227704"/>
        <c:scaling>
          <c:orientation val="minMax"/>
        </c:scaling>
        <c:delete val="0"/>
        <c:axPos val="b"/>
        <c:numFmt formatCode="General" sourceLinked="1"/>
        <c:majorTickMark val="out"/>
        <c:minorTickMark val="none"/>
        <c:tickLblPos val="nextTo"/>
        <c:crossAx val="-2107224664"/>
        <c:crosses val="autoZero"/>
        <c:auto val="1"/>
        <c:lblAlgn val="ctr"/>
        <c:lblOffset val="100"/>
        <c:noMultiLvlLbl val="0"/>
      </c:catAx>
      <c:valAx>
        <c:axId val="-2107224664"/>
        <c:scaling>
          <c:orientation val="minMax"/>
        </c:scaling>
        <c:delete val="0"/>
        <c:axPos val="l"/>
        <c:majorGridlines/>
        <c:numFmt formatCode="0.0%" sourceLinked="1"/>
        <c:majorTickMark val="out"/>
        <c:minorTickMark val="none"/>
        <c:tickLblPos val="nextTo"/>
        <c:crossAx val="-2107227704"/>
        <c:crosses val="autoZero"/>
        <c:crossBetween val="between"/>
      </c:valAx>
    </c:plotArea>
    <c:legend>
      <c:legendPos val="r"/>
      <c:layout>
        <c:manualLayout>
          <c:xMode val="edge"/>
          <c:yMode val="edge"/>
          <c:x val="0.0944444444444444"/>
          <c:y val="0.105713764946048"/>
          <c:w val="0.433333333333333"/>
          <c:h val="0.297831729367162"/>
        </c:manualLayout>
      </c:layout>
      <c:overlay val="0"/>
    </c:legend>
    <c:plotVisOnly val="1"/>
    <c:dispBlanksAs val="gap"/>
    <c:showDLblsOverMax val="0"/>
  </c:chart>
  <c:printSettings>
    <c:headerFooter/>
    <c:pageMargins b="1.0" l="0.75" r="0.75" t="1.0"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manualLayout>
          <c:layoutTarget val="inner"/>
          <c:xMode val="edge"/>
          <c:yMode val="edge"/>
          <c:x val="0.109099518810149"/>
          <c:y val="0.12962962962963"/>
          <c:w val="0.863106736657918"/>
          <c:h val="0.72586176727909"/>
        </c:manualLayout>
      </c:layout>
      <c:lineChart>
        <c:grouping val="standard"/>
        <c:varyColors val="0"/>
        <c:ser>
          <c:idx val="0"/>
          <c:order val="0"/>
          <c:tx>
            <c:strRef>
              <c:f>'Assets(BoP)'!$JB$3</c:f>
              <c:strCache>
                <c:ptCount val="1"/>
                <c:pt idx="0">
                  <c:v>DI historical cost / National income</c:v>
                </c:pt>
              </c:strCache>
            </c:strRef>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'Assets(BoP)'!$JB$58:$JB$108</c:f>
              <c:numCache>
                <c:formatCode>0%</c:formatCode>
                <c:ptCount val="51"/>
                <c:pt idx="0">
                  <c:v>0.0719633180491871</c:v>
                </c:pt>
                <c:pt idx="1">
                  <c:v>0.0744014732965009</c:v>
                </c:pt>
                <c:pt idx="2">
                  <c:v>0.0743985097944958</c:v>
                </c:pt>
                <c:pt idx="3">
                  <c:v>0.0757009449694275</c:v>
                </c:pt>
                <c:pt idx="4">
                  <c:v>0.0802893309222423</c:v>
                </c:pt>
                <c:pt idx="5">
                  <c:v>0.0813765978367748</c:v>
                </c:pt>
                <c:pt idx="6">
                  <c:v>0.0800338379341051</c:v>
                </c:pt>
                <c:pt idx="7">
                  <c:v>0.080599045346062</c:v>
                </c:pt>
                <c:pt idx="8">
                  <c:v>0.0814909683150725</c:v>
                </c:pt>
                <c:pt idx="9">
                  <c:v>0.0854868720281166</c:v>
                </c:pt>
                <c:pt idx="10">
                  <c:v>0.0847219469903393</c:v>
                </c:pt>
                <c:pt idx="11">
                  <c:v>0.0811641741257575</c:v>
                </c:pt>
                <c:pt idx="12">
                  <c:v>0.0801650327602345</c:v>
                </c:pt>
                <c:pt idx="13">
                  <c:v>0.0835592918779468</c:v>
                </c:pt>
                <c:pt idx="14">
                  <c:v>0.088748557771551</c:v>
                </c:pt>
                <c:pt idx="15">
                  <c:v>0.0838867051173726</c:v>
                </c:pt>
                <c:pt idx="16">
                  <c:v>0.0731418110125334</c:v>
                </c:pt>
                <c:pt idx="17">
                  <c:v>0.0693187387681751</c:v>
                </c:pt>
                <c:pt idx="18">
                  <c:v>0.063325493612079</c:v>
                </c:pt>
                <c:pt idx="19">
                  <c:v>0.0647003420009771</c:v>
                </c:pt>
                <c:pt idx="20">
                  <c:v>0.0702853282053947</c:v>
                </c:pt>
                <c:pt idx="21">
                  <c:v>0.0792030005826374</c:v>
                </c:pt>
                <c:pt idx="22">
                  <c:v>0.077264209729826</c:v>
                </c:pt>
                <c:pt idx="23">
                  <c:v>0.0798337585211827</c:v>
                </c:pt>
                <c:pt idx="24">
                  <c:v>0.0854869839756955</c:v>
                </c:pt>
                <c:pt idx="25">
                  <c:v>0.0902111413200671</c:v>
                </c:pt>
                <c:pt idx="26">
                  <c:v>0.091289161226976</c:v>
                </c:pt>
                <c:pt idx="27">
                  <c:v>0.0980543198721067</c:v>
                </c:pt>
                <c:pt idx="28">
                  <c:v>0.0998164554900492</c:v>
                </c:pt>
                <c:pt idx="29">
                  <c:v>0.10788100933714</c:v>
                </c:pt>
                <c:pt idx="30">
                  <c:v>0.11525567440647</c:v>
                </c:pt>
                <c:pt idx="31">
                  <c:v>0.118058099831987</c:v>
                </c:pt>
                <c:pt idx="32">
                  <c:v>0.127359652806944</c:v>
                </c:pt>
                <c:pt idx="33">
                  <c:v>0.146071788957763</c:v>
                </c:pt>
                <c:pt idx="34">
                  <c:v>0.147776692489054</c:v>
                </c:pt>
                <c:pt idx="35">
                  <c:v>0.159000065326743</c:v>
                </c:pt>
                <c:pt idx="36">
                  <c:v>0.171302560189895</c:v>
                </c:pt>
                <c:pt idx="37">
                  <c:v>0.179397518298494</c:v>
                </c:pt>
                <c:pt idx="38">
                  <c:v>0.204996157823336</c:v>
                </c:pt>
                <c:pt idx="39">
                  <c:v>0.199439135927686</c:v>
                </c:pt>
                <c:pt idx="40">
                  <c:v>0.206356457417033</c:v>
                </c:pt>
                <c:pt idx="41">
                  <c:v>0.24299024461506</c:v>
                </c:pt>
                <c:pt idx="42">
                  <c:v>0.260101787927067</c:v>
                </c:pt>
                <c:pt idx="43">
                  <c:v>0.293995596275802</c:v>
                </c:pt>
                <c:pt idx="44">
                  <c:v>0.293725028454806</c:v>
                </c:pt>
                <c:pt idx="45">
                  <c:v>0.303320476622005</c:v>
                </c:pt>
                <c:pt idx="46">
                  <c:v>0.313614447549762</c:v>
                </c:pt>
                <c:pt idx="47">
                  <c:v>0.317049249556934</c:v>
                </c:pt>
                <c:pt idx="48">
                  <c:v>0.324225105652404</c:v>
                </c:pt>
                <c:pt idx="49">
                  <c:v>0.320768825128974</c:v>
                </c:pt>
                <c:pt idx="50">
                  <c:v>0.332184462995265</c:v>
                </c:pt>
              </c:numCache>
            </c:numRef>
          </c:val>
          <c:smooth val="0"/>
        </c:ser>
        <c:dLbls>
          <c:showLegendKey val="0"/>
          <c:showVal val="0"/>
          <c:showCatName val="0"/>
          <c:showSerName val="0"/>
          <c:showPercent val="0"/>
          <c:showBubbleSize val="0"/>
        </c:dLbls>
        <c:marker val="1"/>
        <c:smooth val="0"/>
        <c:axId val="-2107273000"/>
        <c:axId val="-2107309864"/>
      </c:lineChart>
      <c:catAx>
        <c:axId val="-2107273000"/>
        <c:scaling>
          <c:orientation val="minMax"/>
        </c:scaling>
        <c:delete val="0"/>
        <c:axPos val="b"/>
        <c:numFmt formatCode="General" sourceLinked="1"/>
        <c:majorTickMark val="out"/>
        <c:minorTickMark val="none"/>
        <c:tickLblPos val="nextTo"/>
        <c:crossAx val="-2107309864"/>
        <c:crosses val="autoZero"/>
        <c:auto val="1"/>
        <c:lblAlgn val="ctr"/>
        <c:lblOffset val="100"/>
        <c:noMultiLvlLbl val="0"/>
      </c:catAx>
      <c:valAx>
        <c:axId val="-2107309864"/>
        <c:scaling>
          <c:orientation val="minMax"/>
        </c:scaling>
        <c:delete val="0"/>
        <c:axPos val="l"/>
        <c:majorGridlines/>
        <c:numFmt formatCode="0%" sourceLinked="1"/>
        <c:majorTickMark val="out"/>
        <c:minorTickMark val="none"/>
        <c:tickLblPos val="nextTo"/>
        <c:crossAx val="-2107273000"/>
        <c:crosses val="autoZero"/>
        <c:crossBetween val="between"/>
      </c:valAx>
    </c:plotArea>
    <c:plotVisOnly val="1"/>
    <c:dispBlanksAs val="gap"/>
    <c:showDLblsOverMax val="0"/>
  </c:chart>
  <c:printSettings>
    <c:headerFooter/>
    <c:pageMargins b="1.0" l="0.75" r="0.75" t="1.0"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32248468941382"/>
          <c:y val="0.0601851851851852"/>
          <c:w val="0.870474190726159"/>
          <c:h val="0.836358267716535"/>
        </c:manualLayout>
      </c:layout>
      <c:areaChart>
        <c:grouping val="stacked"/>
        <c:varyColors val="0"/>
        <c:ser>
          <c:idx val="1"/>
          <c:order val="0"/>
          <c:tx>
            <c:v>Non havens</c:v>
          </c:tx>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'Assets(BoP)'!$JD$58:$JD$108</c:f>
              <c:numCache>
                <c:formatCode>0%</c:formatCode>
                <c:ptCount val="51"/>
                <c:pt idx="0">
                  <c:v>0.066178963456996</c:v>
                </c:pt>
                <c:pt idx="1">
                  <c:v>0.0683701657458563</c:v>
                </c:pt>
                <c:pt idx="2">
                  <c:v>0.0682490085326283</c:v>
                </c:pt>
                <c:pt idx="3">
                  <c:v>0.0694130072262368</c:v>
                </c:pt>
                <c:pt idx="4">
                  <c:v>0.0732953941070099</c:v>
                </c:pt>
                <c:pt idx="5">
                  <c:v>0.0741248770894789</c:v>
                </c:pt>
                <c:pt idx="6">
                  <c:v>0.0727524487978628</c:v>
                </c:pt>
                <c:pt idx="7">
                  <c:v>0.0726030230708035</c:v>
                </c:pt>
                <c:pt idx="8">
                  <c:v>0.0712081729345573</c:v>
                </c:pt>
                <c:pt idx="9">
                  <c:v>0.0747315829370822</c:v>
                </c:pt>
                <c:pt idx="10">
                  <c:v>0.0736010651473867</c:v>
                </c:pt>
                <c:pt idx="11">
                  <c:v>0.0679173847778951</c:v>
                </c:pt>
                <c:pt idx="12">
                  <c:v>0.066344154884477</c:v>
                </c:pt>
                <c:pt idx="13">
                  <c:v>0.0692153722978383</c:v>
                </c:pt>
                <c:pt idx="14">
                  <c:v>0.0740295862864678</c:v>
                </c:pt>
                <c:pt idx="15">
                  <c:v>0.0709117960398222</c:v>
                </c:pt>
                <c:pt idx="16">
                  <c:v>0.0651763836079425</c:v>
                </c:pt>
                <c:pt idx="17">
                  <c:v>0.0616533246201601</c:v>
                </c:pt>
                <c:pt idx="18">
                  <c:v>0.0563847270615563</c:v>
                </c:pt>
                <c:pt idx="19">
                  <c:v>0.0559586884533956</c:v>
                </c:pt>
                <c:pt idx="20">
                  <c:v>0.0586645704485214</c:v>
                </c:pt>
                <c:pt idx="21">
                  <c:v>0.064606719751408</c:v>
                </c:pt>
                <c:pt idx="22">
                  <c:v>0.062880001780389</c:v>
                </c:pt>
                <c:pt idx="23">
                  <c:v>0.0647737443017858</c:v>
                </c:pt>
                <c:pt idx="24">
                  <c:v>0.0688371954488592</c:v>
                </c:pt>
                <c:pt idx="25">
                  <c:v>0.0731127436802221</c:v>
                </c:pt>
                <c:pt idx="26">
                  <c:v>0.0726117788242995</c:v>
                </c:pt>
                <c:pt idx="27">
                  <c:v>0.0774364009174949</c:v>
                </c:pt>
                <c:pt idx="28">
                  <c:v>0.0784803426598482</c:v>
                </c:pt>
                <c:pt idx="29">
                  <c:v>0.0850371170615016</c:v>
                </c:pt>
                <c:pt idx="30">
                  <c:v>0.0893771922196133</c:v>
                </c:pt>
                <c:pt idx="31">
                  <c:v>0.0907374939027695</c:v>
                </c:pt>
                <c:pt idx="32">
                  <c:v>0.0955069807694755</c:v>
                </c:pt>
                <c:pt idx="33">
                  <c:v>0.106848902022969</c:v>
                </c:pt>
                <c:pt idx="34">
                  <c:v>0.106550016840687</c:v>
                </c:pt>
                <c:pt idx="35">
                  <c:v>0.106235981969819</c:v>
                </c:pt>
                <c:pt idx="36">
                  <c:v>0.11230014411665</c:v>
                </c:pt>
                <c:pt idx="37">
                  <c:v>0.115997546683968</c:v>
                </c:pt>
                <c:pt idx="38">
                  <c:v>0.132080088038023</c:v>
                </c:pt>
                <c:pt idx="39">
                  <c:v>0.130383458780405</c:v>
                </c:pt>
                <c:pt idx="40">
                  <c:v>0.129642642942823</c:v>
                </c:pt>
                <c:pt idx="41">
                  <c:v>0.144692161605012</c:v>
                </c:pt>
                <c:pt idx="42">
                  <c:v>0.151399523648594</c:v>
                </c:pt>
                <c:pt idx="43">
                  <c:v>0.164722045835017</c:v>
                </c:pt>
                <c:pt idx="44">
                  <c:v>0.161313787825268</c:v>
                </c:pt>
                <c:pt idx="45">
                  <c:v>0.160551365682317</c:v>
                </c:pt>
                <c:pt idx="46">
                  <c:v>0.164131234043764</c:v>
                </c:pt>
                <c:pt idx="47">
                  <c:v>0.15901217046965</c:v>
                </c:pt>
                <c:pt idx="48">
                  <c:v>0.155260763338616</c:v>
                </c:pt>
                <c:pt idx="49">
                  <c:v>0.147383669216499</c:v>
                </c:pt>
                <c:pt idx="50">
                  <c:v>0.152333042611513</c:v>
                </c:pt>
              </c:numCache>
            </c:numRef>
          </c:val>
        </c:ser>
        <c:ser>
          <c:idx val="0"/>
          <c:order val="1"/>
          <c:tx>
            <c:v>Havens</c:v>
          </c:tx>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'Assets(BoP)'!$JC$58:$JC$108</c:f>
              <c:numCache>
                <c:formatCode>0%</c:formatCode>
                <c:ptCount val="51"/>
                <c:pt idx="0">
                  <c:v>0.00578435459219119</c:v>
                </c:pt>
                <c:pt idx="1">
                  <c:v>0.00603130755064456</c:v>
                </c:pt>
                <c:pt idx="2">
                  <c:v>0.00614950126186756</c:v>
                </c:pt>
                <c:pt idx="3">
                  <c:v>0.00628793774319066</c:v>
                </c:pt>
                <c:pt idx="4">
                  <c:v>0.00699393681523242</c:v>
                </c:pt>
                <c:pt idx="5">
                  <c:v>0.00725172074729597</c:v>
                </c:pt>
                <c:pt idx="6">
                  <c:v>0.00728138913624221</c:v>
                </c:pt>
                <c:pt idx="7">
                  <c:v>0.00799602227525855</c:v>
                </c:pt>
                <c:pt idx="8">
                  <c:v>0.0102827953805152</c:v>
                </c:pt>
                <c:pt idx="9">
                  <c:v>0.0107552890910344</c:v>
                </c:pt>
                <c:pt idx="10">
                  <c:v>0.0111208818429527</c:v>
                </c:pt>
                <c:pt idx="11">
                  <c:v>0.0132467893478623</c:v>
                </c:pt>
                <c:pt idx="12">
                  <c:v>0.0138208778757574</c:v>
                </c:pt>
                <c:pt idx="13">
                  <c:v>0.0143439195801085</c:v>
                </c:pt>
                <c:pt idx="14">
                  <c:v>0.0147189714850832</c:v>
                </c:pt>
                <c:pt idx="15">
                  <c:v>0.0129749090775504</c:v>
                </c:pt>
                <c:pt idx="16">
                  <c:v>0.0079654274045909</c:v>
                </c:pt>
                <c:pt idx="17">
                  <c:v>0.00766541414801503</c:v>
                </c:pt>
                <c:pt idx="18">
                  <c:v>0.00694076655052264</c:v>
                </c:pt>
                <c:pt idx="19">
                  <c:v>0.00874165354758156</c:v>
                </c:pt>
                <c:pt idx="20">
                  <c:v>0.0116207577568733</c:v>
                </c:pt>
                <c:pt idx="21">
                  <c:v>0.0145962808312294</c:v>
                </c:pt>
                <c:pt idx="22">
                  <c:v>0.014384207949437</c:v>
                </c:pt>
                <c:pt idx="23">
                  <c:v>0.0150600142193969</c:v>
                </c:pt>
                <c:pt idx="24">
                  <c:v>0.0166497885268362</c:v>
                </c:pt>
                <c:pt idx="25">
                  <c:v>0.017098397639845</c:v>
                </c:pt>
                <c:pt idx="26">
                  <c:v>0.0186773824026765</c:v>
                </c:pt>
                <c:pt idx="27">
                  <c:v>0.0206179189546118</c:v>
                </c:pt>
                <c:pt idx="28">
                  <c:v>0.021336112830201</c:v>
                </c:pt>
                <c:pt idx="29">
                  <c:v>0.0228438922756386</c:v>
                </c:pt>
                <c:pt idx="30">
                  <c:v>0.0258784821868568</c:v>
                </c:pt>
                <c:pt idx="31">
                  <c:v>0.0273206059292179</c:v>
                </c:pt>
                <c:pt idx="32">
                  <c:v>0.0318526720374683</c:v>
                </c:pt>
                <c:pt idx="33">
                  <c:v>0.0392228869347941</c:v>
                </c:pt>
                <c:pt idx="34">
                  <c:v>0.0412266756483664</c:v>
                </c:pt>
                <c:pt idx="35">
                  <c:v>0.0527640833569235</c:v>
                </c:pt>
                <c:pt idx="36">
                  <c:v>0.0590024160732451</c:v>
                </c:pt>
                <c:pt idx="37">
                  <c:v>0.0633999716145253</c:v>
                </c:pt>
                <c:pt idx="38">
                  <c:v>0.0729160697853125</c:v>
                </c:pt>
                <c:pt idx="39">
                  <c:v>0.0690556771472802</c:v>
                </c:pt>
                <c:pt idx="40">
                  <c:v>0.0767138144742103</c:v>
                </c:pt>
                <c:pt idx="41">
                  <c:v>0.0982980830100475</c:v>
                </c:pt>
                <c:pt idx="42">
                  <c:v>0.108702264278472</c:v>
                </c:pt>
                <c:pt idx="43">
                  <c:v>0.129273550440785</c:v>
                </c:pt>
                <c:pt idx="44">
                  <c:v>0.132411240629538</c:v>
                </c:pt>
                <c:pt idx="45">
                  <c:v>0.142769110939688</c:v>
                </c:pt>
                <c:pt idx="46">
                  <c:v>0.149483213505998</c:v>
                </c:pt>
                <c:pt idx="47">
                  <c:v>0.158037079087284</c:v>
                </c:pt>
                <c:pt idx="48">
                  <c:v>0.168964342313788</c:v>
                </c:pt>
                <c:pt idx="49">
                  <c:v>0.173385155912476</c:v>
                </c:pt>
                <c:pt idx="50">
                  <c:v>0.179851420383753</c:v>
                </c:pt>
              </c:numCache>
            </c:numRef>
          </c:val>
        </c:ser>
        <c:dLbls>
          <c:showLegendKey val="0"/>
          <c:showVal val="0"/>
          <c:showCatName val="0"/>
          <c:showSerName val="0"/>
          <c:showPercent val="0"/>
          <c:showBubbleSize val="0"/>
        </c:dLbls>
        <c:axId val="-2107312632"/>
        <c:axId val="-2107322888"/>
      </c:areaChart>
      <c:catAx>
        <c:axId val="-2107312632"/>
        <c:scaling>
          <c:orientation val="minMax"/>
        </c:scaling>
        <c:delete val="0"/>
        <c:axPos val="b"/>
        <c:numFmt formatCode="General" sourceLinked="1"/>
        <c:majorTickMark val="out"/>
        <c:minorTickMark val="none"/>
        <c:tickLblPos val="nextTo"/>
        <c:crossAx val="-2107322888"/>
        <c:crosses val="autoZero"/>
        <c:auto val="1"/>
        <c:lblAlgn val="ctr"/>
        <c:lblOffset val="100"/>
        <c:noMultiLvlLbl val="0"/>
      </c:catAx>
      <c:valAx>
        <c:axId val="-2107322888"/>
        <c:scaling>
          <c:orientation val="minMax"/>
        </c:scaling>
        <c:delete val="0"/>
        <c:axPos val="l"/>
        <c:majorGridlines/>
        <c:numFmt formatCode="0%" sourceLinked="1"/>
        <c:majorTickMark val="out"/>
        <c:minorTickMark val="none"/>
        <c:tickLblPos val="nextTo"/>
        <c:crossAx val="-2107312632"/>
        <c:crosses val="autoZero"/>
        <c:crossBetween val="midCat"/>
      </c:valAx>
    </c:plotArea>
    <c:legend>
      <c:legendPos val="r"/>
      <c:layout>
        <c:manualLayout>
          <c:xMode val="edge"/>
          <c:yMode val="edge"/>
          <c:x val="0.233531058617673"/>
          <c:y val="0.231097623213765"/>
          <c:w val="0.177060367454068"/>
          <c:h val="0.18174582249617"/>
        </c:manualLayout>
      </c:layout>
      <c:overlay val="0"/>
    </c:legend>
    <c:plotVisOnly val="1"/>
    <c:dispBlanksAs val="zero"/>
    <c:showDLblsOverMax val="0"/>
  </c:chart>
  <c:printSettings>
    <c:headerFooter/>
    <c:pageMargins b="1.0" l="0.75" r="0.75" t="1.0"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14655074365704"/>
          <c:y val="0.0601851851851852"/>
          <c:w val="0.851489938757655"/>
          <c:h val="0.783642096821231"/>
        </c:manualLayout>
      </c:layout>
      <c:lineChart>
        <c:grouping val="standard"/>
        <c:varyColors val="0"/>
        <c:ser>
          <c:idx val="0"/>
          <c:order val="0"/>
          <c:tx>
            <c:v>Yield on USDIA equities</c:v>
          </c:tx>
          <c:marker>
            <c:symbol val="none"/>
          </c:marker>
          <c:cat>
            <c:numRef>
              <c:f>'Assets(BoP)'!$B$75:$B$108</c:f>
              <c:numCache>
                <c:formatCode>General</c:formatCode>
                <c:ptCount val="34"/>
                <c:pt idx="0">
                  <c:v>1983.0</c:v>
                </c:pt>
                <c:pt idx="1">
                  <c:v>1984.0</c:v>
                </c:pt>
                <c:pt idx="2">
                  <c:v>1985.0</c:v>
                </c:pt>
                <c:pt idx="3">
                  <c:v>1986.0</c:v>
                </c:pt>
                <c:pt idx="4">
                  <c:v>1987.0</c:v>
                </c:pt>
                <c:pt idx="5">
                  <c:v>1988.0</c:v>
                </c:pt>
                <c:pt idx="6">
                  <c:v>1989.0</c:v>
                </c:pt>
                <c:pt idx="7">
                  <c:v>1990.0</c:v>
                </c:pt>
                <c:pt idx="8">
                  <c:v>1991.0</c:v>
                </c:pt>
                <c:pt idx="9">
                  <c:v>1992.0</c:v>
                </c:pt>
                <c:pt idx="10">
                  <c:v>1993.0</c:v>
                </c:pt>
                <c:pt idx="11">
                  <c:v>1994.0</c:v>
                </c:pt>
                <c:pt idx="12">
                  <c:v>1995.0</c:v>
                </c:pt>
                <c:pt idx="13">
                  <c:v>1996.0</c:v>
                </c:pt>
                <c:pt idx="14">
                  <c:v>1997.0</c:v>
                </c:pt>
                <c:pt idx="15">
                  <c:v>1998.0</c:v>
                </c:pt>
                <c:pt idx="16">
                  <c:v>1999.0</c:v>
                </c:pt>
                <c:pt idx="17">
                  <c:v>2000.0</c:v>
                </c:pt>
                <c:pt idx="18">
                  <c:v>2001.0</c:v>
                </c:pt>
                <c:pt idx="19">
                  <c:v>2002.0</c:v>
                </c:pt>
                <c:pt idx="20">
                  <c:v>2003.0</c:v>
                </c:pt>
                <c:pt idx="21">
                  <c:v>2004.0</c:v>
                </c:pt>
                <c:pt idx="22">
                  <c:v>2005.0</c:v>
                </c:pt>
                <c:pt idx="23">
                  <c:v>2006.0</c:v>
                </c:pt>
                <c:pt idx="24">
                  <c:v>2007.0</c:v>
                </c:pt>
                <c:pt idx="25">
                  <c:v>2008.0</c:v>
                </c:pt>
                <c:pt idx="26">
                  <c:v>2009.0</c:v>
                </c:pt>
                <c:pt idx="27">
                  <c:v>2010.0</c:v>
                </c:pt>
                <c:pt idx="28">
                  <c:v>2011.0</c:v>
                </c:pt>
                <c:pt idx="29">
                  <c:v>2012.0</c:v>
                </c:pt>
                <c:pt idx="30">
                  <c:v>2013.0</c:v>
                </c:pt>
                <c:pt idx="31">
                  <c:v>2014.0</c:v>
                </c:pt>
                <c:pt idx="32">
                  <c:v>2015.0</c:v>
                </c:pt>
                <c:pt idx="33">
                  <c:v>2016.0</c:v>
                </c:pt>
              </c:numCache>
            </c:numRef>
          </c:cat>
          <c:val>
            <c:numRef>
              <c:f>'Assets(BoP)'!$OO$75:$OO$108</c:f>
              <c:numCache>
                <c:formatCode>0.0%</c:formatCode>
                <c:ptCount val="34"/>
                <c:pt idx="0">
                  <c:v>0.0829355551206413</c:v>
                </c:pt>
                <c:pt idx="1">
                  <c:v>0.0934976645555109</c:v>
                </c:pt>
                <c:pt idx="2">
                  <c:v>0.0883765299887622</c:v>
                </c:pt>
                <c:pt idx="3">
                  <c:v>0.0853569377410692</c:v>
                </c:pt>
                <c:pt idx="4">
                  <c:v>0.0919127621509673</c:v>
                </c:pt>
                <c:pt idx="5">
                  <c:v>0.108327148446391</c:v>
                </c:pt>
                <c:pt idx="6">
                  <c:v>0.108781249369516</c:v>
                </c:pt>
                <c:pt idx="7">
                  <c:v>0.102637414198166</c:v>
                </c:pt>
                <c:pt idx="8">
                  <c:v>0.0876602110026799</c:v>
                </c:pt>
                <c:pt idx="9">
                  <c:v>0.0853098150529091</c:v>
                </c:pt>
                <c:pt idx="10">
                  <c:v>0.0958643418217318</c:v>
                </c:pt>
                <c:pt idx="11">
                  <c:v>0.100473802125594</c:v>
                </c:pt>
                <c:pt idx="12">
                  <c:v>0.110080947536095</c:v>
                </c:pt>
                <c:pt idx="13">
                  <c:v>0.10661537932913</c:v>
                </c:pt>
                <c:pt idx="14">
                  <c:v>0.111622931425213</c:v>
                </c:pt>
                <c:pt idx="15">
                  <c:v>0.0892989880434625</c:v>
                </c:pt>
                <c:pt idx="16">
                  <c:v>0.0971599635035172</c:v>
                </c:pt>
                <c:pt idx="17">
                  <c:v>0.101309971170955</c:v>
                </c:pt>
                <c:pt idx="18">
                  <c:v>0.0758140927214889</c:v>
                </c:pt>
                <c:pt idx="19">
                  <c:v>0.0778485793817014</c:v>
                </c:pt>
                <c:pt idx="20">
                  <c:v>0.0904453704545641</c:v>
                </c:pt>
                <c:pt idx="21">
                  <c:v>0.0979522190242702</c:v>
                </c:pt>
                <c:pt idx="22">
                  <c:v>0.105015467662884</c:v>
                </c:pt>
                <c:pt idx="23">
                  <c:v>0.10342134587664</c:v>
                </c:pt>
                <c:pt idx="24">
                  <c:v>0.10000871772367</c:v>
                </c:pt>
                <c:pt idx="25">
                  <c:v>0.105718927438468</c:v>
                </c:pt>
                <c:pt idx="26">
                  <c:v>0.088919472949508</c:v>
                </c:pt>
                <c:pt idx="27">
                  <c:v>0.102299968059882</c:v>
                </c:pt>
                <c:pt idx="28">
                  <c:v>0.101134618950768</c:v>
                </c:pt>
                <c:pt idx="29">
                  <c:v>0.0917005425372641</c:v>
                </c:pt>
                <c:pt idx="30">
                  <c:v>0.0899447315529898</c:v>
                </c:pt>
                <c:pt idx="31">
                  <c:v>0.0842760364857383</c:v>
                </c:pt>
                <c:pt idx="32">
                  <c:v>0.0746865662944525</c:v>
                </c:pt>
                <c:pt idx="33">
                  <c:v>0.0709462459639415</c:v>
                </c:pt>
              </c:numCache>
            </c:numRef>
          </c:val>
          <c:smooth val="0"/>
        </c:ser>
        <c:ser>
          <c:idx val="1"/>
          <c:order val="1"/>
          <c:tx>
            <c:v>USDIA equity assets (% NI)</c:v>
          </c:tx>
          <c:marker>
            <c:symbol val="none"/>
          </c:marker>
          <c:cat>
            <c:numRef>
              <c:f>'Assets(BoP)'!$B$75:$B$108</c:f>
              <c:numCache>
                <c:formatCode>General</c:formatCode>
                <c:ptCount val="34"/>
                <c:pt idx="0">
                  <c:v>1983.0</c:v>
                </c:pt>
                <c:pt idx="1">
                  <c:v>1984.0</c:v>
                </c:pt>
                <c:pt idx="2">
                  <c:v>1985.0</c:v>
                </c:pt>
                <c:pt idx="3">
                  <c:v>1986.0</c:v>
                </c:pt>
                <c:pt idx="4">
                  <c:v>1987.0</c:v>
                </c:pt>
                <c:pt idx="5">
                  <c:v>1988.0</c:v>
                </c:pt>
                <c:pt idx="6">
                  <c:v>1989.0</c:v>
                </c:pt>
                <c:pt idx="7">
                  <c:v>1990.0</c:v>
                </c:pt>
                <c:pt idx="8">
                  <c:v>1991.0</c:v>
                </c:pt>
                <c:pt idx="9">
                  <c:v>1992.0</c:v>
                </c:pt>
                <c:pt idx="10">
                  <c:v>1993.0</c:v>
                </c:pt>
                <c:pt idx="11">
                  <c:v>1994.0</c:v>
                </c:pt>
                <c:pt idx="12">
                  <c:v>1995.0</c:v>
                </c:pt>
                <c:pt idx="13">
                  <c:v>1996.0</c:v>
                </c:pt>
                <c:pt idx="14">
                  <c:v>1997.0</c:v>
                </c:pt>
                <c:pt idx="15">
                  <c:v>1998.0</c:v>
                </c:pt>
                <c:pt idx="16">
                  <c:v>1999.0</c:v>
                </c:pt>
                <c:pt idx="17">
                  <c:v>2000.0</c:v>
                </c:pt>
                <c:pt idx="18">
                  <c:v>2001.0</c:v>
                </c:pt>
                <c:pt idx="19">
                  <c:v>2002.0</c:v>
                </c:pt>
                <c:pt idx="20">
                  <c:v>2003.0</c:v>
                </c:pt>
                <c:pt idx="21">
                  <c:v>2004.0</c:v>
                </c:pt>
                <c:pt idx="22">
                  <c:v>2005.0</c:v>
                </c:pt>
                <c:pt idx="23">
                  <c:v>2006.0</c:v>
                </c:pt>
                <c:pt idx="24">
                  <c:v>2007.0</c:v>
                </c:pt>
                <c:pt idx="25">
                  <c:v>2008.0</c:v>
                </c:pt>
                <c:pt idx="26">
                  <c:v>2009.0</c:v>
                </c:pt>
                <c:pt idx="27">
                  <c:v>2010.0</c:v>
                </c:pt>
                <c:pt idx="28">
                  <c:v>2011.0</c:v>
                </c:pt>
                <c:pt idx="29">
                  <c:v>2012.0</c:v>
                </c:pt>
                <c:pt idx="30">
                  <c:v>2013.0</c:v>
                </c:pt>
                <c:pt idx="31">
                  <c:v>2014.0</c:v>
                </c:pt>
                <c:pt idx="32">
                  <c:v>2015.0</c:v>
                </c:pt>
                <c:pt idx="33">
                  <c:v>2016.0</c:v>
                </c:pt>
              </c:numCache>
            </c:numRef>
          </c:cat>
          <c:val>
            <c:numRef>
              <c:f>'Assets(BoP)'!$OP$75:$OP$108</c:f>
              <c:numCache>
                <c:formatCode>0.0%</c:formatCode>
                <c:ptCount val="34"/>
                <c:pt idx="0">
                  <c:v>0.132207155693514</c:v>
                </c:pt>
                <c:pt idx="1">
                  <c:v>0.11845412311266</c:v>
                </c:pt>
                <c:pt idx="2">
                  <c:v>0.11545518701482</c:v>
                </c:pt>
                <c:pt idx="3">
                  <c:v>0.115880411621018</c:v>
                </c:pt>
                <c:pt idx="4">
                  <c:v>0.123380268013206</c:v>
                </c:pt>
                <c:pt idx="5">
                  <c:v>0.117139582498776</c:v>
                </c:pt>
                <c:pt idx="6">
                  <c:v>0.113441930492242</c:v>
                </c:pt>
                <c:pt idx="7">
                  <c:v>0.119572288080062</c:v>
                </c:pt>
                <c:pt idx="8">
                  <c:v>0.122179672586337</c:v>
                </c:pt>
                <c:pt idx="9">
                  <c:v>0.116000509118679</c:v>
                </c:pt>
                <c:pt idx="10">
                  <c:v>0.115473343991103</c:v>
                </c:pt>
                <c:pt idx="11">
                  <c:v>0.11824223966646</c:v>
                </c:pt>
                <c:pt idx="12">
                  <c:v>0.127688401882861</c:v>
                </c:pt>
                <c:pt idx="13">
                  <c:v>0.133634808823956</c:v>
                </c:pt>
                <c:pt idx="14">
                  <c:v>0.134716546528643</c:v>
                </c:pt>
                <c:pt idx="15">
                  <c:v>0.139517009659807</c:v>
                </c:pt>
                <c:pt idx="16">
                  <c:v>0.151866200567008</c:v>
                </c:pt>
                <c:pt idx="17">
                  <c:v>0.157456158077916</c:v>
                </c:pt>
                <c:pt idx="18">
                  <c:v>0.171154541297389</c:v>
                </c:pt>
                <c:pt idx="19">
                  <c:v>0.185013246015598</c:v>
                </c:pt>
                <c:pt idx="20">
                  <c:v>0.196890472618154</c:v>
                </c:pt>
                <c:pt idx="21">
                  <c:v>0.230770142966919</c:v>
                </c:pt>
                <c:pt idx="22">
                  <c:v>0.234760227050303</c:v>
                </c:pt>
                <c:pt idx="23">
                  <c:v>0.246897824203652</c:v>
                </c:pt>
                <c:pt idx="24">
                  <c:v>0.287231808073758</c:v>
                </c:pt>
                <c:pt idx="25">
                  <c:v>0.302163536587328</c:v>
                </c:pt>
                <c:pt idx="26">
                  <c:v>0.327911447208913</c:v>
                </c:pt>
                <c:pt idx="27">
                  <c:v>0.329605871502021</c:v>
                </c:pt>
                <c:pt idx="28">
                  <c:v>0.339888184058177</c:v>
                </c:pt>
                <c:pt idx="29">
                  <c:v>0.347397080053193</c:v>
                </c:pt>
                <c:pt idx="30">
                  <c:v>0.352821915152858</c:v>
                </c:pt>
                <c:pt idx="31">
                  <c:v>0.356344228737454</c:v>
                </c:pt>
                <c:pt idx="32">
                  <c:v>0.353495323896414</c:v>
                </c:pt>
                <c:pt idx="33">
                  <c:v>0.367532768502367</c:v>
                </c:pt>
              </c:numCache>
            </c:numRef>
          </c:val>
          <c:smooth val="0"/>
        </c:ser>
        <c:ser>
          <c:idx val="2"/>
          <c:order val="2"/>
          <c:tx>
            <c:v>USDIA equity income (% NI)</c:v>
          </c:tx>
          <c:marker>
            <c:symbol val="none"/>
          </c:marker>
          <c:val>
            <c:numRef>
              <c:f>'Assets(BoP)'!$OQ$75:$OQ$108</c:f>
              <c:numCache>
                <c:formatCode>0.0%</c:formatCode>
                <c:ptCount val="34"/>
                <c:pt idx="0">
                  <c:v>0.0109646738483627</c:v>
                </c:pt>
                <c:pt idx="1">
                  <c:v>0.0110751838680046</c:v>
                </c:pt>
                <c:pt idx="2">
                  <c:v>0.0102035287975734</c:v>
                </c:pt>
                <c:pt idx="3">
                  <c:v>0.00989119708014467</c:v>
                </c:pt>
                <c:pt idx="4">
                  <c:v>0.0113402212280204</c:v>
                </c:pt>
                <c:pt idx="5">
                  <c:v>0.0126893969422931</c:v>
                </c:pt>
                <c:pt idx="6">
                  <c:v>0.0123403549298359</c:v>
                </c:pt>
                <c:pt idx="7">
                  <c:v>0.0122725904582957</c:v>
                </c:pt>
                <c:pt idx="8">
                  <c:v>0.0107102958791566</c:v>
                </c:pt>
                <c:pt idx="9">
                  <c:v>0.00989598197895782</c:v>
                </c:pt>
                <c:pt idx="10">
                  <c:v>0.0110697761196615</c:v>
                </c:pt>
                <c:pt idx="11">
                  <c:v>0.0118802473911351</c:v>
                </c:pt>
                <c:pt idx="12">
                  <c:v>0.0140560602686351</c:v>
                </c:pt>
                <c:pt idx="13">
                  <c:v>0.0142475258343418</c:v>
                </c:pt>
                <c:pt idx="14">
                  <c:v>0.0150374558350082</c:v>
                </c:pt>
                <c:pt idx="15">
                  <c:v>0.0124587277774707</c:v>
                </c:pt>
                <c:pt idx="16">
                  <c:v>0.0147553145045083</c:v>
                </c:pt>
                <c:pt idx="17">
                  <c:v>0.015951878835563</c:v>
                </c:pt>
                <c:pt idx="18">
                  <c:v>0.0129759262636242</c:v>
                </c:pt>
                <c:pt idx="19">
                  <c:v>0.0144030183691116</c:v>
                </c:pt>
                <c:pt idx="20">
                  <c:v>0.0178078317349232</c:v>
                </c:pt>
                <c:pt idx="21">
                  <c:v>0.0226044475881578</c:v>
                </c:pt>
                <c:pt idx="22">
                  <c:v>0.0246534550323325</c:v>
                </c:pt>
                <c:pt idx="23">
                  <c:v>0.0255345052731558</c:v>
                </c:pt>
                <c:pt idx="24">
                  <c:v>0.0287256848149077</c:v>
                </c:pt>
                <c:pt idx="25">
                  <c:v>0.0319444049990268</c:v>
                </c:pt>
                <c:pt idx="26">
                  <c:v>0.029157713059927</c:v>
                </c:pt>
                <c:pt idx="27">
                  <c:v>0.0337186701270062</c:v>
                </c:pt>
                <c:pt idx="28">
                  <c:v>0.0343744619805921</c:v>
                </c:pt>
                <c:pt idx="29">
                  <c:v>0.0318565007167392</c:v>
                </c:pt>
                <c:pt idx="30">
                  <c:v>0.0317344724444355</c:v>
                </c:pt>
                <c:pt idx="31">
                  <c:v>0.0300312792225599</c:v>
                </c:pt>
                <c:pt idx="32">
                  <c:v>0.0264013519429685</c:v>
                </c:pt>
                <c:pt idx="33">
                  <c:v>0.0260750701939773</c:v>
                </c:pt>
              </c:numCache>
            </c:numRef>
          </c:val>
          <c:smooth val="0"/>
        </c:ser>
        <c:dLbls>
          <c:showLegendKey val="0"/>
          <c:showVal val="0"/>
          <c:showCatName val="0"/>
          <c:showSerName val="0"/>
          <c:showPercent val="0"/>
          <c:showBubbleSize val="0"/>
        </c:dLbls>
        <c:marker val="1"/>
        <c:smooth val="0"/>
        <c:axId val="-2107350440"/>
        <c:axId val="-2107354536"/>
      </c:lineChart>
      <c:catAx>
        <c:axId val="-2107350440"/>
        <c:scaling>
          <c:orientation val="minMax"/>
        </c:scaling>
        <c:delete val="0"/>
        <c:axPos val="b"/>
        <c:numFmt formatCode="General" sourceLinked="1"/>
        <c:majorTickMark val="out"/>
        <c:minorTickMark val="none"/>
        <c:tickLblPos val="nextTo"/>
        <c:crossAx val="-2107354536"/>
        <c:crosses val="autoZero"/>
        <c:auto val="1"/>
        <c:lblAlgn val="ctr"/>
        <c:lblOffset val="100"/>
        <c:noMultiLvlLbl val="0"/>
      </c:catAx>
      <c:valAx>
        <c:axId val="-2107354536"/>
        <c:scaling>
          <c:orientation val="minMax"/>
        </c:scaling>
        <c:delete val="0"/>
        <c:axPos val="l"/>
        <c:majorGridlines/>
        <c:numFmt formatCode="0.0%" sourceLinked="1"/>
        <c:majorTickMark val="out"/>
        <c:minorTickMark val="none"/>
        <c:tickLblPos val="nextTo"/>
        <c:crossAx val="-2107350440"/>
        <c:crosses val="autoZero"/>
        <c:crossBetween val="between"/>
      </c:valAx>
    </c:plotArea>
    <c:legend>
      <c:legendPos val="r"/>
      <c:layout>
        <c:manualLayout>
          <c:xMode val="edge"/>
          <c:yMode val="edge"/>
          <c:x val="0.170860454943132"/>
          <c:y val="0.0598013269174686"/>
          <c:w val="0.330330271216098"/>
          <c:h val="0.278929352580927"/>
        </c:manualLayout>
      </c:layout>
      <c:overlay val="0"/>
    </c:legend>
    <c:plotVisOnly val="1"/>
    <c:dispBlanksAs val="gap"/>
    <c:showDLblsOverMax val="0"/>
  </c:chart>
  <c:printSettings>
    <c:headerFooter/>
    <c:pageMargins b="1.0" l="0.75" r="0.75" t="1.0"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lineChart>
        <c:grouping val="standard"/>
        <c:varyColors val="0"/>
        <c:ser>
          <c:idx val="0"/>
          <c:order val="0"/>
          <c:tx>
            <c:strRef>
              <c:f>'Assets(BoP)'!$CT$3</c:f>
              <c:strCache>
                <c:ptCount val="1"/>
                <c:pt idx="0">
                  <c:v>Memo: interest payments by US parents, % of pre-tax corp profits</c:v>
                </c:pt>
              </c:strCache>
            </c:strRef>
          </c:tx>
          <c:marker>
            <c:symbol val="none"/>
          </c:marke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'Assets(BoP)'!$CT$74:$CT$108</c:f>
              <c:numCache>
                <c:formatCode>0%</c:formatCode>
                <c:ptCount val="35"/>
                <c:pt idx="0">
                  <c:v>0.0179991300565463</c:v>
                </c:pt>
                <c:pt idx="1">
                  <c:v>0.0195568263045032</c:v>
                </c:pt>
                <c:pt idx="2">
                  <c:v>0.0182983131103877</c:v>
                </c:pt>
                <c:pt idx="3">
                  <c:v>0.0163046544428773</c:v>
                </c:pt>
                <c:pt idx="4">
                  <c:v>0.0149383477188656</c:v>
                </c:pt>
                <c:pt idx="5">
                  <c:v>0.0113907103825137</c:v>
                </c:pt>
                <c:pt idx="6">
                  <c:v>0.00876596770306098</c:v>
                </c:pt>
                <c:pt idx="7">
                  <c:v>0.00771125060357315</c:v>
                </c:pt>
                <c:pt idx="8">
                  <c:v>0.00761984659635666</c:v>
                </c:pt>
                <c:pt idx="9">
                  <c:v>0.00772435187236871</c:v>
                </c:pt>
                <c:pt idx="10">
                  <c:v>0.00577529981064591</c:v>
                </c:pt>
                <c:pt idx="11">
                  <c:v>0.00493295019157088</c:v>
                </c:pt>
                <c:pt idx="12">
                  <c:v>0.00251165782280109</c:v>
                </c:pt>
                <c:pt idx="13">
                  <c:v>0.00267852062588905</c:v>
                </c:pt>
                <c:pt idx="14">
                  <c:v>0.00248568884365857</c:v>
                </c:pt>
                <c:pt idx="15">
                  <c:v>0.00317740817740818</c:v>
                </c:pt>
                <c:pt idx="16">
                  <c:v>0.0032321850516105</c:v>
                </c:pt>
                <c:pt idx="17">
                  <c:v>0.00389665140929896</c:v>
                </c:pt>
                <c:pt idx="18">
                  <c:v>0.00471710189452125</c:v>
                </c:pt>
                <c:pt idx="19">
                  <c:v>0.00487002652519894</c:v>
                </c:pt>
                <c:pt idx="20">
                  <c:v>0.00340939153439153</c:v>
                </c:pt>
                <c:pt idx="21">
                  <c:v>0.00257951533510034</c:v>
                </c:pt>
                <c:pt idx="22">
                  <c:v>0.00195044027117587</c:v>
                </c:pt>
                <c:pt idx="23">
                  <c:v>0.00213169114163903</c:v>
                </c:pt>
                <c:pt idx="24">
                  <c:v>0.0023164287883389</c:v>
                </c:pt>
                <c:pt idx="25">
                  <c:v>0.00255330281229562</c:v>
                </c:pt>
                <c:pt idx="26">
                  <c:v>0.00313516457863201</c:v>
                </c:pt>
                <c:pt idx="27">
                  <c:v>0.00238869005010737</c:v>
                </c:pt>
                <c:pt idx="28">
                  <c:v>0.00149221255153458</c:v>
                </c:pt>
                <c:pt idx="29">
                  <c:v>0.00127601012881207</c:v>
                </c:pt>
                <c:pt idx="30">
                  <c:v>0.00146381743569212</c:v>
                </c:pt>
                <c:pt idx="31">
                  <c:v>0.00257513896404152</c:v>
                </c:pt>
                <c:pt idx="32">
                  <c:v>0.00264738858264038</c:v>
                </c:pt>
                <c:pt idx="33">
                  <c:v>0.00297520661157025</c:v>
                </c:pt>
                <c:pt idx="34">
                  <c:v>0.00356016397395708</c:v>
                </c:pt>
              </c:numCache>
            </c:numRef>
          </c:val>
          <c:smooth val="0"/>
        </c:ser>
        <c:dLbls>
          <c:showLegendKey val="0"/>
          <c:showVal val="0"/>
          <c:showCatName val="0"/>
          <c:showSerName val="0"/>
          <c:showPercent val="0"/>
          <c:showBubbleSize val="0"/>
        </c:dLbls>
        <c:marker val="1"/>
        <c:smooth val="0"/>
        <c:axId val="-2107376296"/>
        <c:axId val="-2107380936"/>
      </c:lineChart>
      <c:catAx>
        <c:axId val="-2107376296"/>
        <c:scaling>
          <c:orientation val="minMax"/>
        </c:scaling>
        <c:delete val="0"/>
        <c:axPos val="b"/>
        <c:numFmt formatCode="General" sourceLinked="1"/>
        <c:majorTickMark val="out"/>
        <c:minorTickMark val="none"/>
        <c:tickLblPos val="nextTo"/>
        <c:crossAx val="-2107380936"/>
        <c:crosses val="autoZero"/>
        <c:auto val="1"/>
        <c:lblAlgn val="ctr"/>
        <c:lblOffset val="100"/>
        <c:noMultiLvlLbl val="0"/>
      </c:catAx>
      <c:valAx>
        <c:axId val="-2107380936"/>
        <c:scaling>
          <c:orientation val="minMax"/>
        </c:scaling>
        <c:delete val="0"/>
        <c:axPos val="l"/>
        <c:majorGridlines/>
        <c:numFmt formatCode="0%" sourceLinked="1"/>
        <c:majorTickMark val="out"/>
        <c:minorTickMark val="none"/>
        <c:tickLblPos val="nextTo"/>
        <c:crossAx val="-2107376296"/>
        <c:crosses val="autoZero"/>
        <c:crossBetween val="between"/>
      </c:valAx>
    </c:plotArea>
    <c:plotVisOnly val="1"/>
    <c:dispBlanksAs val="gap"/>
    <c:showDLblsOverMax val="0"/>
  </c:chart>
  <c:printSettings>
    <c:headerFooter/>
    <c:pageMargins b="1.0" l="0.75" r="0.75" t="1.0"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44679991924086"/>
          <c:y val="0.0601851851851852"/>
          <c:w val="0.841429436705027"/>
          <c:h val="0.884259259259259"/>
        </c:manualLayout>
      </c:layout>
      <c:lineChart>
        <c:grouping val="standard"/>
        <c:varyColors val="0"/>
        <c:ser>
          <c:idx val="0"/>
          <c:order val="0"/>
          <c:tx>
            <c:v>Change in net debt</c:v>
          </c:tx>
          <c:marker>
            <c:symbol val="none"/>
          </c:marker>
          <c:cat>
            <c:numRef>
              <c:f>'Assets(BoP)'!$B$75:$B$108</c:f>
              <c:numCache>
                <c:formatCode>General</c:formatCode>
                <c:ptCount val="34"/>
                <c:pt idx="0">
                  <c:v>1983.0</c:v>
                </c:pt>
                <c:pt idx="1">
                  <c:v>1984.0</c:v>
                </c:pt>
                <c:pt idx="2">
                  <c:v>1985.0</c:v>
                </c:pt>
                <c:pt idx="3">
                  <c:v>1986.0</c:v>
                </c:pt>
                <c:pt idx="4">
                  <c:v>1987.0</c:v>
                </c:pt>
                <c:pt idx="5">
                  <c:v>1988.0</c:v>
                </c:pt>
                <c:pt idx="6">
                  <c:v>1989.0</c:v>
                </c:pt>
                <c:pt idx="7">
                  <c:v>1990.0</c:v>
                </c:pt>
                <c:pt idx="8">
                  <c:v>1991.0</c:v>
                </c:pt>
                <c:pt idx="9">
                  <c:v>1992.0</c:v>
                </c:pt>
                <c:pt idx="10">
                  <c:v>1993.0</c:v>
                </c:pt>
                <c:pt idx="11">
                  <c:v>1994.0</c:v>
                </c:pt>
                <c:pt idx="12">
                  <c:v>1995.0</c:v>
                </c:pt>
                <c:pt idx="13">
                  <c:v>1996.0</c:v>
                </c:pt>
                <c:pt idx="14">
                  <c:v>1997.0</c:v>
                </c:pt>
                <c:pt idx="15">
                  <c:v>1998.0</c:v>
                </c:pt>
                <c:pt idx="16">
                  <c:v>1999.0</c:v>
                </c:pt>
                <c:pt idx="17">
                  <c:v>2000.0</c:v>
                </c:pt>
                <c:pt idx="18">
                  <c:v>2001.0</c:v>
                </c:pt>
                <c:pt idx="19">
                  <c:v>2002.0</c:v>
                </c:pt>
                <c:pt idx="20">
                  <c:v>2003.0</c:v>
                </c:pt>
                <c:pt idx="21">
                  <c:v>2004.0</c:v>
                </c:pt>
                <c:pt idx="22">
                  <c:v>2005.0</c:v>
                </c:pt>
                <c:pt idx="23">
                  <c:v>2006.0</c:v>
                </c:pt>
                <c:pt idx="24">
                  <c:v>2007.0</c:v>
                </c:pt>
                <c:pt idx="25">
                  <c:v>2008.0</c:v>
                </c:pt>
                <c:pt idx="26">
                  <c:v>2009.0</c:v>
                </c:pt>
                <c:pt idx="27">
                  <c:v>2010.0</c:v>
                </c:pt>
                <c:pt idx="28">
                  <c:v>2011.0</c:v>
                </c:pt>
                <c:pt idx="29">
                  <c:v>2012.0</c:v>
                </c:pt>
                <c:pt idx="30">
                  <c:v>2013.0</c:v>
                </c:pt>
                <c:pt idx="31">
                  <c:v>2014.0</c:v>
                </c:pt>
                <c:pt idx="32">
                  <c:v>2015.0</c:v>
                </c:pt>
                <c:pt idx="33">
                  <c:v>2016.0</c:v>
                </c:pt>
              </c:numCache>
            </c:numRef>
          </c:cat>
          <c:val>
            <c:numRef>
              <c:f>'Assets(BoP)'!$IQ$75:$IQ$108</c:f>
              <c:numCache>
                <c:formatCode>#,##0</c:formatCode>
                <c:ptCount val="34"/>
                <c:pt idx="0">
                  <c:v>-10.726</c:v>
                </c:pt>
                <c:pt idx="1">
                  <c:v>-6.955999999999999</c:v>
                </c:pt>
                <c:pt idx="2">
                  <c:v>0.867999999999998</c:v>
                </c:pt>
                <c:pt idx="3">
                  <c:v>9.106000000000001</c:v>
                </c:pt>
                <c:pt idx="4">
                  <c:v>6.835</c:v>
                </c:pt>
                <c:pt idx="5">
                  <c:v>11.169</c:v>
                </c:pt>
                <c:pt idx="6">
                  <c:v>18.588</c:v>
                </c:pt>
                <c:pt idx="7">
                  <c:v>-0.526999999999997</c:v>
                </c:pt>
                <c:pt idx="8">
                  <c:v>-3.545000000000002</c:v>
                </c:pt>
                <c:pt idx="9">
                  <c:v>12.337</c:v>
                </c:pt>
                <c:pt idx="10">
                  <c:v>22.582</c:v>
                </c:pt>
                <c:pt idx="11">
                  <c:v>1.533999999999999</c:v>
                </c:pt>
                <c:pt idx="12">
                  <c:v>-2.384999999999998</c:v>
                </c:pt>
                <c:pt idx="13">
                  <c:v>9.661000000000001</c:v>
                </c:pt>
                <c:pt idx="14">
                  <c:v>5.991</c:v>
                </c:pt>
                <c:pt idx="15">
                  <c:v>25.99299999999999</c:v>
                </c:pt>
                <c:pt idx="16">
                  <c:v>61.04800000000002</c:v>
                </c:pt>
                <c:pt idx="17">
                  <c:v>-12.43100000000001</c:v>
                </c:pt>
                <c:pt idx="18">
                  <c:v>7.611999999999995</c:v>
                </c:pt>
                <c:pt idx="19">
                  <c:v>26.45500000000001</c:v>
                </c:pt>
                <c:pt idx="20">
                  <c:v>-1.786000000000001</c:v>
                </c:pt>
                <c:pt idx="21">
                  <c:v>11.559</c:v>
                </c:pt>
                <c:pt idx="22">
                  <c:v>-3.557000000000016</c:v>
                </c:pt>
                <c:pt idx="23">
                  <c:v>-12.65199999999999</c:v>
                </c:pt>
                <c:pt idx="24">
                  <c:v>7.980999999999994</c:v>
                </c:pt>
                <c:pt idx="25">
                  <c:v>-9.75200000000001</c:v>
                </c:pt>
                <c:pt idx="26">
                  <c:v>50.67200000000002</c:v>
                </c:pt>
                <c:pt idx="27">
                  <c:v>-36.20600000000002</c:v>
                </c:pt>
                <c:pt idx="28">
                  <c:v>5.538000000000011</c:v>
                </c:pt>
                <c:pt idx="29">
                  <c:v>44.703</c:v>
                </c:pt>
                <c:pt idx="30">
                  <c:v>-39.03400000000002</c:v>
                </c:pt>
                <c:pt idx="31">
                  <c:v>36.71000000000001</c:v>
                </c:pt>
                <c:pt idx="32">
                  <c:v>-16.79300000000001</c:v>
                </c:pt>
                <c:pt idx="33">
                  <c:v>-30.77599999999998</c:v>
                </c:pt>
              </c:numCache>
            </c:numRef>
          </c:val>
          <c:smooth val="0"/>
        </c:ser>
        <c:ser>
          <c:idx val="1"/>
          <c:order val="1"/>
          <c:tx>
            <c:v>Net debt outflows</c:v>
          </c:tx>
          <c:marker>
            <c:symbol val="none"/>
          </c:marker>
          <c:cat>
            <c:numRef>
              <c:f>'Assets(BoP)'!$B$75:$B$108</c:f>
              <c:numCache>
                <c:formatCode>General</c:formatCode>
                <c:ptCount val="34"/>
                <c:pt idx="0">
                  <c:v>1983.0</c:v>
                </c:pt>
                <c:pt idx="1">
                  <c:v>1984.0</c:v>
                </c:pt>
                <c:pt idx="2">
                  <c:v>1985.0</c:v>
                </c:pt>
                <c:pt idx="3">
                  <c:v>1986.0</c:v>
                </c:pt>
                <c:pt idx="4">
                  <c:v>1987.0</c:v>
                </c:pt>
                <c:pt idx="5">
                  <c:v>1988.0</c:v>
                </c:pt>
                <c:pt idx="6">
                  <c:v>1989.0</c:v>
                </c:pt>
                <c:pt idx="7">
                  <c:v>1990.0</c:v>
                </c:pt>
                <c:pt idx="8">
                  <c:v>1991.0</c:v>
                </c:pt>
                <c:pt idx="9">
                  <c:v>1992.0</c:v>
                </c:pt>
                <c:pt idx="10">
                  <c:v>1993.0</c:v>
                </c:pt>
                <c:pt idx="11">
                  <c:v>1994.0</c:v>
                </c:pt>
                <c:pt idx="12">
                  <c:v>1995.0</c:v>
                </c:pt>
                <c:pt idx="13">
                  <c:v>1996.0</c:v>
                </c:pt>
                <c:pt idx="14">
                  <c:v>1997.0</c:v>
                </c:pt>
                <c:pt idx="15">
                  <c:v>1998.0</c:v>
                </c:pt>
                <c:pt idx="16">
                  <c:v>1999.0</c:v>
                </c:pt>
                <c:pt idx="17">
                  <c:v>2000.0</c:v>
                </c:pt>
                <c:pt idx="18">
                  <c:v>2001.0</c:v>
                </c:pt>
                <c:pt idx="19">
                  <c:v>2002.0</c:v>
                </c:pt>
                <c:pt idx="20">
                  <c:v>2003.0</c:v>
                </c:pt>
                <c:pt idx="21">
                  <c:v>2004.0</c:v>
                </c:pt>
                <c:pt idx="22">
                  <c:v>2005.0</c:v>
                </c:pt>
                <c:pt idx="23">
                  <c:v>2006.0</c:v>
                </c:pt>
                <c:pt idx="24">
                  <c:v>2007.0</c:v>
                </c:pt>
                <c:pt idx="25">
                  <c:v>2008.0</c:v>
                </c:pt>
                <c:pt idx="26">
                  <c:v>2009.0</c:v>
                </c:pt>
                <c:pt idx="27">
                  <c:v>2010.0</c:v>
                </c:pt>
                <c:pt idx="28">
                  <c:v>2011.0</c:v>
                </c:pt>
                <c:pt idx="29">
                  <c:v>2012.0</c:v>
                </c:pt>
                <c:pt idx="30">
                  <c:v>2013.0</c:v>
                </c:pt>
                <c:pt idx="31">
                  <c:v>2014.0</c:v>
                </c:pt>
                <c:pt idx="32">
                  <c:v>2015.0</c:v>
                </c:pt>
                <c:pt idx="33">
                  <c:v>2016.0</c:v>
                </c:pt>
              </c:numCache>
            </c:numRef>
          </c:cat>
          <c:val>
            <c:numRef>
              <c:f>'Assets(BoP)'!$IF$75:$IF$108</c:f>
              <c:numCache>
                <c:formatCode>#,##0</c:formatCode>
                <c:ptCount val="34"/>
                <c:pt idx="0">
                  <c:v>-11.404</c:v>
                </c:pt>
                <c:pt idx="1">
                  <c:v>-6.956</c:v>
                </c:pt>
                <c:pt idx="2">
                  <c:v>0.895</c:v>
                </c:pt>
                <c:pt idx="3">
                  <c:v>8.825</c:v>
                </c:pt>
                <c:pt idx="4">
                  <c:v>6.832</c:v>
                </c:pt>
                <c:pt idx="5">
                  <c:v>11.187</c:v>
                </c:pt>
                <c:pt idx="6">
                  <c:v>18.512</c:v>
                </c:pt>
                <c:pt idx="7">
                  <c:v>0.807</c:v>
                </c:pt>
                <c:pt idx="8">
                  <c:v>-3.313</c:v>
                </c:pt>
                <c:pt idx="9">
                  <c:v>11.705</c:v>
                </c:pt>
                <c:pt idx="10">
                  <c:v>22.668</c:v>
                </c:pt>
                <c:pt idx="11">
                  <c:v>15.505</c:v>
                </c:pt>
                <c:pt idx="12">
                  <c:v>4.357</c:v>
                </c:pt>
                <c:pt idx="13">
                  <c:v>9.661</c:v>
                </c:pt>
                <c:pt idx="14">
                  <c:v>5.999</c:v>
                </c:pt>
                <c:pt idx="15">
                  <c:v>26.035</c:v>
                </c:pt>
                <c:pt idx="16">
                  <c:v>61.756</c:v>
                </c:pt>
                <c:pt idx="17">
                  <c:v>-12.431</c:v>
                </c:pt>
                <c:pt idx="18">
                  <c:v>11.624</c:v>
                </c:pt>
                <c:pt idx="19">
                  <c:v>26.483</c:v>
                </c:pt>
                <c:pt idx="20">
                  <c:v>-6.609</c:v>
                </c:pt>
                <c:pt idx="21">
                  <c:v>20.039</c:v>
                </c:pt>
                <c:pt idx="22">
                  <c:v>-15.386</c:v>
                </c:pt>
                <c:pt idx="23">
                  <c:v>-21.39</c:v>
                </c:pt>
                <c:pt idx="24">
                  <c:v>-17.339</c:v>
                </c:pt>
                <c:pt idx="25">
                  <c:v>-31.049</c:v>
                </c:pt>
                <c:pt idx="26">
                  <c:v>48.324</c:v>
                </c:pt>
                <c:pt idx="27">
                  <c:v>-41.96</c:v>
                </c:pt>
                <c:pt idx="28">
                  <c:v>17.528</c:v>
                </c:pt>
                <c:pt idx="29">
                  <c:v>17.136</c:v>
                </c:pt>
                <c:pt idx="30">
                  <c:v>-12.768</c:v>
                </c:pt>
                <c:pt idx="31">
                  <c:v>-16.841</c:v>
                </c:pt>
                <c:pt idx="32">
                  <c:v>-14.826</c:v>
                </c:pt>
                <c:pt idx="33">
                  <c:v>-29.236</c:v>
                </c:pt>
              </c:numCache>
            </c:numRef>
          </c:val>
          <c:smooth val="0"/>
        </c:ser>
        <c:dLbls>
          <c:showLegendKey val="0"/>
          <c:showVal val="0"/>
          <c:showCatName val="0"/>
          <c:showSerName val="0"/>
          <c:showPercent val="0"/>
          <c:showBubbleSize val="0"/>
        </c:dLbls>
        <c:marker val="1"/>
        <c:smooth val="0"/>
        <c:axId val="-2107410664"/>
        <c:axId val="-2107407624"/>
      </c:lineChart>
      <c:catAx>
        <c:axId val="-2107410664"/>
        <c:scaling>
          <c:orientation val="minMax"/>
        </c:scaling>
        <c:delete val="0"/>
        <c:axPos val="b"/>
        <c:numFmt formatCode="General" sourceLinked="1"/>
        <c:majorTickMark val="out"/>
        <c:minorTickMark val="none"/>
        <c:tickLblPos val="nextTo"/>
        <c:crossAx val="-2107407624"/>
        <c:crosses val="autoZero"/>
        <c:auto val="1"/>
        <c:lblAlgn val="ctr"/>
        <c:lblOffset val="100"/>
        <c:noMultiLvlLbl val="0"/>
      </c:catAx>
      <c:valAx>
        <c:axId val="-2107407624"/>
        <c:scaling>
          <c:orientation val="minMax"/>
        </c:scaling>
        <c:delete val="0"/>
        <c:axPos val="l"/>
        <c:majorGridlines/>
        <c:numFmt formatCode="#,##0" sourceLinked="1"/>
        <c:majorTickMark val="out"/>
        <c:minorTickMark val="none"/>
        <c:tickLblPos val="nextTo"/>
        <c:crossAx val="-2107410664"/>
        <c:crosses val="autoZero"/>
        <c:crossBetween val="between"/>
      </c:valAx>
    </c:plotArea>
    <c:legend>
      <c:legendPos val="r"/>
      <c:layout>
        <c:manualLayout>
          <c:xMode val="edge"/>
          <c:yMode val="edge"/>
          <c:x val="0.400641025641026"/>
          <c:y val="0.0505420676582094"/>
          <c:w val="0.346153846153846"/>
          <c:h val="0.185952901720618"/>
        </c:manualLayout>
      </c:layout>
      <c:overlay val="0"/>
    </c:legend>
    <c:plotVisOnly val="1"/>
    <c:dispBlanksAs val="gap"/>
    <c:showDLblsOverMax val="0"/>
  </c:chart>
  <c:printSettings>
    <c:headerFooter/>
    <c:pageMargins b="1.0" l="0.75" r="0.75" t="1.0"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34845261333976"/>
          <c:y val="0.0609756097560975"/>
          <c:w val="0.872732217664992"/>
          <c:h val="0.792836196835621"/>
        </c:manualLayout>
      </c:layout>
      <c:lineChart>
        <c:grouping val="standard"/>
        <c:varyColors val="0"/>
        <c:ser>
          <c:idx val="0"/>
          <c:order val="0"/>
          <c:tx>
            <c:v>DI equity assets</c:v>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'Assets(BoP)'!$LH$58:$LH$108</c:f>
              <c:numCache>
                <c:formatCode>0.0%</c:formatCode>
                <c:ptCount val="51"/>
                <c:pt idx="0">
                  <c:v>0.0727428578590169</c:v>
                </c:pt>
                <c:pt idx="1">
                  <c:v>0.0734427075363164</c:v>
                </c:pt>
                <c:pt idx="2">
                  <c:v>0.0738735580962379</c:v>
                </c:pt>
                <c:pt idx="3">
                  <c:v>0.0755799275866454</c:v>
                </c:pt>
                <c:pt idx="4">
                  <c:v>0.0792271769562477</c:v>
                </c:pt>
                <c:pt idx="5">
                  <c:v>0.0803056812739472</c:v>
                </c:pt>
                <c:pt idx="6">
                  <c:v>0.0824063327960784</c:v>
                </c:pt>
                <c:pt idx="7">
                  <c:v>0.0894470890567576</c:v>
                </c:pt>
                <c:pt idx="8">
                  <c:v>0.10859418579731</c:v>
                </c:pt>
                <c:pt idx="9">
                  <c:v>0.106842303833104</c:v>
                </c:pt>
                <c:pt idx="10">
                  <c:v>0.114319109561028</c:v>
                </c:pt>
                <c:pt idx="11">
                  <c:v>0.13405709569719</c:v>
                </c:pt>
                <c:pt idx="12">
                  <c:v>0.14758768713922</c:v>
                </c:pt>
                <c:pt idx="13">
                  <c:v>0.158962735437018</c:v>
                </c:pt>
                <c:pt idx="14">
                  <c:v>0.167827502837124</c:v>
                </c:pt>
                <c:pt idx="15">
                  <c:v>0.171491771121715</c:v>
                </c:pt>
                <c:pt idx="16">
                  <c:v>0.185300480135071</c:v>
                </c:pt>
                <c:pt idx="17">
                  <c:v>0.207980966606591</c:v>
                </c:pt>
                <c:pt idx="18">
                  <c:v>0.218793603544942</c:v>
                </c:pt>
                <c:pt idx="19">
                  <c:v>0.221953468743406</c:v>
                </c:pt>
                <c:pt idx="20">
                  <c:v>0.229992721692583</c:v>
                </c:pt>
                <c:pt idx="21">
                  <c:v>0.225348246339105</c:v>
                </c:pt>
                <c:pt idx="22">
                  <c:v>0.212985835895431</c:v>
                </c:pt>
                <c:pt idx="23">
                  <c:v>0.211131471489814</c:v>
                </c:pt>
                <c:pt idx="24">
                  <c:v>0.212983531689398</c:v>
                </c:pt>
                <c:pt idx="25">
                  <c:v>0.217449404299142</c:v>
                </c:pt>
                <c:pt idx="26">
                  <c:v>0.225523735893223</c:v>
                </c:pt>
                <c:pt idx="27">
                  <c:v>0.228552655536292</c:v>
                </c:pt>
                <c:pt idx="28">
                  <c:v>0.231954218180567</c:v>
                </c:pt>
                <c:pt idx="29">
                  <c:v>0.232824022494562</c:v>
                </c:pt>
                <c:pt idx="30">
                  <c:v>0.246635889708875</c:v>
                </c:pt>
                <c:pt idx="31">
                  <c:v>0.255866354697222</c:v>
                </c:pt>
                <c:pt idx="32">
                  <c:v>0.264169855113003</c:v>
                </c:pt>
                <c:pt idx="33">
                  <c:v>0.287475903169124</c:v>
                </c:pt>
                <c:pt idx="34">
                  <c:v>0.303141451368172</c:v>
                </c:pt>
                <c:pt idx="35">
                  <c:v>0.349727331064478</c:v>
                </c:pt>
                <c:pt idx="36">
                  <c:v>0.364517422441024</c:v>
                </c:pt>
                <c:pt idx="37">
                  <c:v>0.374479914356976</c:v>
                </c:pt>
                <c:pt idx="38">
                  <c:v>0.374352964603163</c:v>
                </c:pt>
                <c:pt idx="39">
                  <c:v>0.363489923340033</c:v>
                </c:pt>
                <c:pt idx="40">
                  <c:v>0.387447821291781</c:v>
                </c:pt>
                <c:pt idx="41">
                  <c:v>0.412078785072749</c:v>
                </c:pt>
                <c:pt idx="42">
                  <c:v>0.416505516386101</c:v>
                </c:pt>
                <c:pt idx="43">
                  <c:v>0.439062632388415</c:v>
                </c:pt>
                <c:pt idx="44">
                  <c:v>0.452572263559285</c:v>
                </c:pt>
                <c:pt idx="45">
                  <c:v>0.470957019786807</c:v>
                </c:pt>
                <c:pt idx="46">
                  <c:v>0.4868109505648</c:v>
                </c:pt>
                <c:pt idx="47">
                  <c:v>0.512674755221109</c:v>
                </c:pt>
                <c:pt idx="48">
                  <c:v>0.536957481377093</c:v>
                </c:pt>
                <c:pt idx="49">
                  <c:v>0.553918563850408</c:v>
                </c:pt>
                <c:pt idx="50">
                  <c:v>0.55640989745564</c:v>
                </c:pt>
              </c:numCache>
            </c:numRef>
          </c:val>
          <c:smooth val="0"/>
        </c:ser>
        <c:ser>
          <c:idx val="1"/>
          <c:order val="1"/>
          <c:tx>
            <c:v>DI assets (equity + debt)</c:v>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'Assets(BoP)'!$JU$58:$JU$108</c:f>
              <c:numCache>
                <c:formatCode>0%</c:formatCode>
                <c:ptCount val="51"/>
                <c:pt idx="0">
                  <c:v>0.0803792091442694</c:v>
                </c:pt>
                <c:pt idx="1">
                  <c:v>0.0810643564356435</c:v>
                </c:pt>
                <c:pt idx="2">
                  <c:v>0.0826562424281584</c:v>
                </c:pt>
                <c:pt idx="3">
                  <c:v>0.0830628698985211</c:v>
                </c:pt>
                <c:pt idx="4">
                  <c:v>0.0871091679915209</c:v>
                </c:pt>
                <c:pt idx="5">
                  <c:v>0.0891130981150314</c:v>
                </c:pt>
                <c:pt idx="6">
                  <c:v>0.0909788824851465</c:v>
                </c:pt>
                <c:pt idx="7">
                  <c:v>0.0992074067493806</c:v>
                </c:pt>
                <c:pt idx="8">
                  <c:v>0.126183251875942</c:v>
                </c:pt>
                <c:pt idx="9">
                  <c:v>0.125812172511084</c:v>
                </c:pt>
                <c:pt idx="10">
                  <c:v>0.13126329408153</c:v>
                </c:pt>
                <c:pt idx="11">
                  <c:v>0.16320980889102</c:v>
                </c:pt>
                <c:pt idx="12">
                  <c:v>0.172405316880419</c:v>
                </c:pt>
                <c:pt idx="13">
                  <c:v>0.171661574167722</c:v>
                </c:pt>
                <c:pt idx="14">
                  <c:v>0.165850261172374</c:v>
                </c:pt>
                <c:pt idx="15">
                  <c:v>0.154671816700825</c:v>
                </c:pt>
                <c:pt idx="16">
                  <c:v>0.108903885401825</c:v>
                </c:pt>
                <c:pt idx="17">
                  <c:v>0.11058213528164</c:v>
                </c:pt>
                <c:pt idx="18">
                  <c:v>0.109604618213331</c:v>
                </c:pt>
                <c:pt idx="19">
                  <c:v>0.135109850693672</c:v>
                </c:pt>
                <c:pt idx="20">
                  <c:v>0.165336892543406</c:v>
                </c:pt>
                <c:pt idx="21">
                  <c:v>0.184289493123435</c:v>
                </c:pt>
                <c:pt idx="22">
                  <c:v>0.186169094328862</c:v>
                </c:pt>
                <c:pt idx="23">
                  <c:v>0.188642179678926</c:v>
                </c:pt>
                <c:pt idx="24">
                  <c:v>0.194764018479935</c:v>
                </c:pt>
                <c:pt idx="25">
                  <c:v>0.189537538153744</c:v>
                </c:pt>
                <c:pt idx="26">
                  <c:v>0.204595837574169</c:v>
                </c:pt>
                <c:pt idx="27">
                  <c:v>0.210270378515745</c:v>
                </c:pt>
                <c:pt idx="28">
                  <c:v>0.213753461044587</c:v>
                </c:pt>
                <c:pt idx="29">
                  <c:v>0.211750820797837</c:v>
                </c:pt>
                <c:pt idx="30">
                  <c:v>0.224531089858462</c:v>
                </c:pt>
                <c:pt idx="31">
                  <c:v>0.231416615785777</c:v>
                </c:pt>
                <c:pt idx="32">
                  <c:v>0.25010017957376</c:v>
                </c:pt>
                <c:pt idx="33">
                  <c:v>0.268517878877595</c:v>
                </c:pt>
                <c:pt idx="34">
                  <c:v>0.278979553229751</c:v>
                </c:pt>
                <c:pt idx="35">
                  <c:v>0.331849444517486</c:v>
                </c:pt>
                <c:pt idx="36">
                  <c:v>0.344433941955327</c:v>
                </c:pt>
                <c:pt idx="37">
                  <c:v>0.353404953512435</c:v>
                </c:pt>
                <c:pt idx="38">
                  <c:v>0.355694811842039</c:v>
                </c:pt>
                <c:pt idx="39">
                  <c:v>0.3462493799227</c:v>
                </c:pt>
                <c:pt idx="40">
                  <c:v>0.371753883713833</c:v>
                </c:pt>
                <c:pt idx="41">
                  <c:v>0.404535100434873</c:v>
                </c:pt>
                <c:pt idx="42">
                  <c:v>0.417922018701974</c:v>
                </c:pt>
                <c:pt idx="43">
                  <c:v>0.439712540182103</c:v>
                </c:pt>
                <c:pt idx="44">
                  <c:v>0.45079999251719</c:v>
                </c:pt>
                <c:pt idx="45">
                  <c:v>0.470687348673811</c:v>
                </c:pt>
                <c:pt idx="46">
                  <c:v>0.476646451315925</c:v>
                </c:pt>
                <c:pt idx="47">
                  <c:v>0.498462239882718</c:v>
                </c:pt>
                <c:pt idx="48">
                  <c:v>0.521132815960685</c:v>
                </c:pt>
                <c:pt idx="49">
                  <c:v>0.540529946583061</c:v>
                </c:pt>
                <c:pt idx="50">
                  <c:v>0.541420326411582</c:v>
                </c:pt>
              </c:numCache>
            </c:numRef>
          </c:val>
          <c:smooth val="0"/>
        </c:ser>
        <c:dLbls>
          <c:showLegendKey val="0"/>
          <c:showVal val="0"/>
          <c:showCatName val="0"/>
          <c:showSerName val="0"/>
          <c:showPercent val="0"/>
          <c:showBubbleSize val="0"/>
        </c:dLbls>
        <c:marker val="1"/>
        <c:smooth val="0"/>
        <c:axId val="-2107447944"/>
        <c:axId val="-2107456680"/>
      </c:lineChart>
      <c:catAx>
        <c:axId val="-2107447944"/>
        <c:scaling>
          <c:orientation val="minMax"/>
        </c:scaling>
        <c:delete val="0"/>
        <c:axPos val="b"/>
        <c:numFmt formatCode="General" sourceLinked="1"/>
        <c:majorTickMark val="out"/>
        <c:minorTickMark val="none"/>
        <c:tickLblPos val="nextTo"/>
        <c:crossAx val="-2107456680"/>
        <c:crosses val="autoZero"/>
        <c:auto val="1"/>
        <c:lblAlgn val="ctr"/>
        <c:lblOffset val="100"/>
        <c:noMultiLvlLbl val="0"/>
      </c:catAx>
      <c:valAx>
        <c:axId val="-2107456680"/>
        <c:scaling>
          <c:orientation val="minMax"/>
        </c:scaling>
        <c:delete val="0"/>
        <c:axPos val="l"/>
        <c:majorGridlines/>
        <c:numFmt formatCode="0.0%" sourceLinked="1"/>
        <c:majorTickMark val="out"/>
        <c:minorTickMark val="none"/>
        <c:tickLblPos val="nextTo"/>
        <c:crossAx val="-2107447944"/>
        <c:crosses val="autoZero"/>
        <c:crossBetween val="between"/>
      </c:valAx>
    </c:plotArea>
    <c:legend>
      <c:legendPos val="r"/>
      <c:layout>
        <c:manualLayout>
          <c:xMode val="edge"/>
          <c:yMode val="edge"/>
          <c:x val="0.565459610027855"/>
          <c:y val="0.550816947600124"/>
          <c:w val="0.376964000823426"/>
          <c:h val="0.301743215493936"/>
        </c:manualLayout>
      </c:layout>
      <c:overlay val="0"/>
    </c:legend>
    <c:plotVisOnly val="1"/>
    <c:dispBlanksAs val="gap"/>
    <c:showDLblsOverMax val="0"/>
  </c:chart>
  <c:printSettings>
    <c:headerFooter/>
    <c:pageMargins b="1.0" l="0.75" r="0.75" t="1.0"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'Assets(BoP)'!$LI$3</c:f>
              <c:strCache>
                <c:ptCount val="1"/>
                <c:pt idx="0">
                  <c:v>Ireland</c:v>
                </c:pt>
              </c:strCache>
            </c:strRef>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'Assets(BoP)'!$LI$58:$LI$108</c:f>
              <c:numCache>
                <c:formatCode>0%</c:formatCode>
                <c:ptCount val="51"/>
                <c:pt idx="0">
                  <c:v>0.00148891343057835</c:v>
                </c:pt>
                <c:pt idx="1">
                  <c:v>0.00176933306099851</c:v>
                </c:pt>
                <c:pt idx="2">
                  <c:v>0.00220134327310712</c:v>
                </c:pt>
                <c:pt idx="3">
                  <c:v>0.00263176952826231</c:v>
                </c:pt>
                <c:pt idx="4">
                  <c:v>0.00265531910607548</c:v>
                </c:pt>
                <c:pt idx="5">
                  <c:v>0.00281992649136977</c:v>
                </c:pt>
                <c:pt idx="6">
                  <c:v>0.00331488568042605</c:v>
                </c:pt>
                <c:pt idx="7">
                  <c:v>0.00371759600757836</c:v>
                </c:pt>
                <c:pt idx="8">
                  <c:v>0.00468866224810923</c:v>
                </c:pt>
                <c:pt idx="9">
                  <c:v>0.00584251229103992</c:v>
                </c:pt>
                <c:pt idx="10">
                  <c:v>0.00742481710093897</c:v>
                </c:pt>
                <c:pt idx="11">
                  <c:v>0.0073976816596016</c:v>
                </c:pt>
                <c:pt idx="12">
                  <c:v>0.00907200277292664</c:v>
                </c:pt>
                <c:pt idx="13">
                  <c:v>0.0105165198426519</c:v>
                </c:pt>
                <c:pt idx="14">
                  <c:v>0.0114422460156905</c:v>
                </c:pt>
                <c:pt idx="15">
                  <c:v>0.0125253312187272</c:v>
                </c:pt>
                <c:pt idx="16">
                  <c:v>0.00954514276943444</c:v>
                </c:pt>
                <c:pt idx="17">
                  <c:v>0.011108775664447</c:v>
                </c:pt>
                <c:pt idx="18">
                  <c:v>0.0127058087321252</c:v>
                </c:pt>
                <c:pt idx="19">
                  <c:v>0.0147901248075525</c:v>
                </c:pt>
                <c:pt idx="20">
                  <c:v>0.0161019106453313</c:v>
                </c:pt>
                <c:pt idx="21">
                  <c:v>0.0170790924091906</c:v>
                </c:pt>
                <c:pt idx="22">
                  <c:v>0.0179420877096329</c:v>
                </c:pt>
                <c:pt idx="23">
                  <c:v>0.0132186930899137</c:v>
                </c:pt>
                <c:pt idx="24">
                  <c:v>0.0138385931818464</c:v>
                </c:pt>
                <c:pt idx="25">
                  <c:v>0.01542602695583</c:v>
                </c:pt>
                <c:pt idx="26">
                  <c:v>0.0175444813108699</c:v>
                </c:pt>
                <c:pt idx="27">
                  <c:v>0.0190358293553724</c:v>
                </c:pt>
                <c:pt idx="28">
                  <c:v>0.0169264916476422</c:v>
                </c:pt>
                <c:pt idx="29">
                  <c:v>0.0177798478933193</c:v>
                </c:pt>
                <c:pt idx="30">
                  <c:v>0.0182963881526126</c:v>
                </c:pt>
                <c:pt idx="31">
                  <c:v>0.0178210037692128</c:v>
                </c:pt>
                <c:pt idx="32">
                  <c:v>0.0243626159800823</c:v>
                </c:pt>
                <c:pt idx="33">
                  <c:v>0.0237371554650759</c:v>
                </c:pt>
                <c:pt idx="34">
                  <c:v>0.0266634184936926</c:v>
                </c:pt>
                <c:pt idx="35">
                  <c:v>0.0292813392939971</c:v>
                </c:pt>
                <c:pt idx="36">
                  <c:v>0.0334959241878011</c:v>
                </c:pt>
                <c:pt idx="37">
                  <c:v>0.0367460056226836</c:v>
                </c:pt>
                <c:pt idx="38">
                  <c:v>0.0356404113798985</c:v>
                </c:pt>
                <c:pt idx="39">
                  <c:v>0.0316530456969004</c:v>
                </c:pt>
                <c:pt idx="40">
                  <c:v>0.0360683826794934</c:v>
                </c:pt>
                <c:pt idx="41">
                  <c:v>0.039808319723991</c:v>
                </c:pt>
                <c:pt idx="42">
                  <c:v>0.0463683909583193</c:v>
                </c:pt>
                <c:pt idx="43">
                  <c:v>0.035635406010101</c:v>
                </c:pt>
                <c:pt idx="44">
                  <c:v>0.039935843277025</c:v>
                </c:pt>
                <c:pt idx="45">
                  <c:v>0.0438049552473694</c:v>
                </c:pt>
                <c:pt idx="46">
                  <c:v>0.0484220227300843</c:v>
                </c:pt>
                <c:pt idx="47">
                  <c:v>0.0542476098625293</c:v>
                </c:pt>
                <c:pt idx="48">
                  <c:v>0.058340899184771</c:v>
                </c:pt>
                <c:pt idx="49">
                  <c:v>0.0662965073706044</c:v>
                </c:pt>
                <c:pt idx="50">
                  <c:v>0.0725498430919633</c:v>
                </c:pt>
              </c:numCache>
            </c:numRef>
          </c:val>
          <c:smooth val="0"/>
        </c:ser>
        <c:ser>
          <c:idx val="1"/>
          <c:order val="1"/>
          <c:tx>
            <c:strRef>
              <c:f>'Assets(BoP)'!$LJ$3</c:f>
              <c:strCache>
                <c:ptCount val="1"/>
                <c:pt idx="0">
                  <c:v>Netherlands</c:v>
                </c:pt>
              </c:strCache>
            </c:strRef>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'Assets(BoP)'!$LJ$58:$LJ$108</c:f>
              <c:numCache>
                <c:formatCode>0%</c:formatCode>
                <c:ptCount val="51"/>
                <c:pt idx="0">
                  <c:v>0.0182444321775094</c:v>
                </c:pt>
                <c:pt idx="1">
                  <c:v>0.0186549246648756</c:v>
                </c:pt>
                <c:pt idx="2">
                  <c:v>0.0192485455800486</c:v>
                </c:pt>
                <c:pt idx="3">
                  <c:v>0.0205566875957562</c:v>
                </c:pt>
                <c:pt idx="4">
                  <c:v>0.0224904077290546</c:v>
                </c:pt>
                <c:pt idx="5">
                  <c:v>0.0227315201205723</c:v>
                </c:pt>
                <c:pt idx="6">
                  <c:v>0.0236355045912906</c:v>
                </c:pt>
                <c:pt idx="7">
                  <c:v>0.0254179820053032</c:v>
                </c:pt>
                <c:pt idx="8">
                  <c:v>0.0310723210001815</c:v>
                </c:pt>
                <c:pt idx="9">
                  <c:v>0.0272503924176967</c:v>
                </c:pt>
                <c:pt idx="10">
                  <c:v>0.0289164075551552</c:v>
                </c:pt>
                <c:pt idx="11">
                  <c:v>0.0340173312825899</c:v>
                </c:pt>
                <c:pt idx="12">
                  <c:v>0.0349615389742838</c:v>
                </c:pt>
                <c:pt idx="13">
                  <c:v>0.0393427460563051</c:v>
                </c:pt>
                <c:pt idx="14">
                  <c:v>0.0396654660285193</c:v>
                </c:pt>
                <c:pt idx="15">
                  <c:v>0.0408684724289682</c:v>
                </c:pt>
                <c:pt idx="16">
                  <c:v>0.0347270520857816</c:v>
                </c:pt>
                <c:pt idx="17">
                  <c:v>0.0354997831016024</c:v>
                </c:pt>
                <c:pt idx="18">
                  <c:v>0.0331408082670207</c:v>
                </c:pt>
                <c:pt idx="19">
                  <c:v>0.0361644927592863</c:v>
                </c:pt>
                <c:pt idx="20">
                  <c:v>0.049960381627114</c:v>
                </c:pt>
                <c:pt idx="21">
                  <c:v>0.0498464269483342</c:v>
                </c:pt>
                <c:pt idx="22">
                  <c:v>0.0504051964669712</c:v>
                </c:pt>
                <c:pt idx="23">
                  <c:v>0.0514453041048786</c:v>
                </c:pt>
                <c:pt idx="24">
                  <c:v>0.0552141376785515</c:v>
                </c:pt>
                <c:pt idx="25">
                  <c:v>0.0548502241061107</c:v>
                </c:pt>
                <c:pt idx="26">
                  <c:v>0.0528975936604065</c:v>
                </c:pt>
                <c:pt idx="27">
                  <c:v>0.0505428630235669</c:v>
                </c:pt>
                <c:pt idx="28">
                  <c:v>0.061339635997603</c:v>
                </c:pt>
                <c:pt idx="29">
                  <c:v>0.0674875871086935</c:v>
                </c:pt>
                <c:pt idx="30">
                  <c:v>0.0786207835201214</c:v>
                </c:pt>
                <c:pt idx="31">
                  <c:v>0.0889796291977319</c:v>
                </c:pt>
                <c:pt idx="32">
                  <c:v>0.091752330146552</c:v>
                </c:pt>
                <c:pt idx="33">
                  <c:v>0.107726813493846</c:v>
                </c:pt>
                <c:pt idx="34">
                  <c:v>0.101233820502194</c:v>
                </c:pt>
                <c:pt idx="35">
                  <c:v>0.113451054143548</c:v>
                </c:pt>
                <c:pt idx="36">
                  <c:v>0.10863172648476</c:v>
                </c:pt>
                <c:pt idx="37">
                  <c:v>0.115564272861898</c:v>
                </c:pt>
                <c:pt idx="38">
                  <c:v>0.109915249157521</c:v>
                </c:pt>
                <c:pt idx="39">
                  <c:v>0.108579944489961</c:v>
                </c:pt>
                <c:pt idx="40">
                  <c:v>0.115612069392576</c:v>
                </c:pt>
                <c:pt idx="41">
                  <c:v>0.138110535736549</c:v>
                </c:pt>
                <c:pt idx="42">
                  <c:v>0.12697176115185</c:v>
                </c:pt>
                <c:pt idx="43">
                  <c:v>0.135328017887013</c:v>
                </c:pt>
                <c:pt idx="44">
                  <c:v>0.135612553733648</c:v>
                </c:pt>
                <c:pt idx="45">
                  <c:v>0.143641796371187</c:v>
                </c:pt>
                <c:pt idx="46">
                  <c:v>0.14637035019597</c:v>
                </c:pt>
                <c:pt idx="47">
                  <c:v>0.159523481717871</c:v>
                </c:pt>
                <c:pt idx="48">
                  <c:v>0.147871436944022</c:v>
                </c:pt>
                <c:pt idx="49">
                  <c:v>0.1533237714831</c:v>
                </c:pt>
                <c:pt idx="50">
                  <c:v>0.157568333741644</c:v>
                </c:pt>
              </c:numCache>
            </c:numRef>
          </c:val>
          <c:smooth val="0"/>
        </c:ser>
        <c:ser>
          <c:idx val="2"/>
          <c:order val="2"/>
          <c:tx>
            <c:strRef>
              <c:f>'Assets(BoP)'!$LK$3</c:f>
              <c:strCache>
                <c:ptCount val="1"/>
                <c:pt idx="0">
                  <c:v>Luxembourg</c:v>
                </c:pt>
              </c:strCache>
            </c:strRef>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'Assets(BoP)'!$LK$58:$LK$108</c:f>
              <c:numCache>
                <c:formatCode>0%</c:formatCode>
                <c:ptCount val="51"/>
                <c:pt idx="0">
                  <c:v>0.00325044481323444</c:v>
                </c:pt>
                <c:pt idx="1">
                  <c:v>0.00344250671650797</c:v>
                </c:pt>
                <c:pt idx="2">
                  <c:v>0.00276488715102254</c:v>
                </c:pt>
                <c:pt idx="3">
                  <c:v>0.00295271703170894</c:v>
                </c:pt>
                <c:pt idx="4">
                  <c:v>0.0037145447604116</c:v>
                </c:pt>
                <c:pt idx="5">
                  <c:v>0.00413059655073882</c:v>
                </c:pt>
                <c:pt idx="6">
                  <c:v>0.0039433584302466</c:v>
                </c:pt>
                <c:pt idx="7">
                  <c:v>0.00336096615801416</c:v>
                </c:pt>
                <c:pt idx="8">
                  <c:v>0.00317875406651473</c:v>
                </c:pt>
                <c:pt idx="9">
                  <c:v>0.00382754946777464</c:v>
                </c:pt>
                <c:pt idx="10">
                  <c:v>0.00424392986346678</c:v>
                </c:pt>
                <c:pt idx="11">
                  <c:v>0.00507934126120719</c:v>
                </c:pt>
                <c:pt idx="12">
                  <c:v>0.0037994427483969</c:v>
                </c:pt>
                <c:pt idx="13">
                  <c:v>0.00307730955222006</c:v>
                </c:pt>
                <c:pt idx="14">
                  <c:v>0.00321705235111265</c:v>
                </c:pt>
                <c:pt idx="15">
                  <c:v>0.0030374276002467</c:v>
                </c:pt>
                <c:pt idx="16">
                  <c:v>0.00511792328391284</c:v>
                </c:pt>
                <c:pt idx="17">
                  <c:v>0.00534866976436337</c:v>
                </c:pt>
                <c:pt idx="18">
                  <c:v>0.00191961303307316</c:v>
                </c:pt>
                <c:pt idx="19">
                  <c:v>0.00288378127027048</c:v>
                </c:pt>
                <c:pt idx="20">
                  <c:v>0.00354234863451065</c:v>
                </c:pt>
                <c:pt idx="21">
                  <c:v>0.00310196213593121</c:v>
                </c:pt>
                <c:pt idx="22">
                  <c:v>0.00255024969343688</c:v>
                </c:pt>
                <c:pt idx="23">
                  <c:v>0.00373556392593347</c:v>
                </c:pt>
                <c:pt idx="24">
                  <c:v>0.00324650343141513</c:v>
                </c:pt>
                <c:pt idx="25">
                  <c:v>0.00325624263401861</c:v>
                </c:pt>
                <c:pt idx="26">
                  <c:v>0.00383124483243673</c:v>
                </c:pt>
                <c:pt idx="27">
                  <c:v>0.010398112744516</c:v>
                </c:pt>
                <c:pt idx="28">
                  <c:v>0.0110037131648077</c:v>
                </c:pt>
                <c:pt idx="29">
                  <c:v>0.0104421205056907</c:v>
                </c:pt>
                <c:pt idx="30">
                  <c:v>0.0116197221825061</c:v>
                </c:pt>
                <c:pt idx="31">
                  <c:v>0.0124185907708203</c:v>
                </c:pt>
                <c:pt idx="32">
                  <c:v>0.0123963685566467</c:v>
                </c:pt>
                <c:pt idx="33">
                  <c:v>0.0182140765298289</c:v>
                </c:pt>
                <c:pt idx="34">
                  <c:v>0.0241956062323819</c:v>
                </c:pt>
                <c:pt idx="35">
                  <c:v>0.0265956671974632</c:v>
                </c:pt>
                <c:pt idx="36">
                  <c:v>0.029853145243956</c:v>
                </c:pt>
                <c:pt idx="37">
                  <c:v>0.0277543691599519</c:v>
                </c:pt>
                <c:pt idx="38">
                  <c:v>0.0300592707282456</c:v>
                </c:pt>
                <c:pt idx="39">
                  <c:v>0.0303505374186176</c:v>
                </c:pt>
                <c:pt idx="40">
                  <c:v>0.0473384621936307</c:v>
                </c:pt>
                <c:pt idx="41">
                  <c:v>0.0436921276731281</c:v>
                </c:pt>
                <c:pt idx="42">
                  <c:v>0.0476245674774428</c:v>
                </c:pt>
                <c:pt idx="43">
                  <c:v>0.0560705636426945</c:v>
                </c:pt>
                <c:pt idx="44">
                  <c:v>0.0670977554152991</c:v>
                </c:pt>
                <c:pt idx="45">
                  <c:v>0.0806838927098767</c:v>
                </c:pt>
                <c:pt idx="46">
                  <c:v>0.087285269175332</c:v>
                </c:pt>
                <c:pt idx="47">
                  <c:v>0.0930300205330464</c:v>
                </c:pt>
                <c:pt idx="48">
                  <c:v>0.106420770610588</c:v>
                </c:pt>
                <c:pt idx="49">
                  <c:v>0.107689475393215</c:v>
                </c:pt>
                <c:pt idx="50">
                  <c:v>0.110487756506725</c:v>
                </c:pt>
              </c:numCache>
            </c:numRef>
          </c:val>
          <c:smooth val="0"/>
        </c:ser>
        <c:ser>
          <c:idx val="3"/>
          <c:order val="3"/>
          <c:tx>
            <c:strRef>
              <c:f>'Assets(BoP)'!$LL$3</c:f>
              <c:strCache>
                <c:ptCount val="1"/>
                <c:pt idx="0">
                  <c:v>Switzerland</c:v>
                </c:pt>
              </c:strCache>
            </c:strRef>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'Assets(BoP)'!$LL$58:$LL$108</c:f>
              <c:numCache>
                <c:formatCode>0%</c:formatCode>
                <c:ptCount val="51"/>
                <c:pt idx="0">
                  <c:v>0.039424749992779</c:v>
                </c:pt>
                <c:pt idx="1">
                  <c:v>0.0391561099151409</c:v>
                </c:pt>
                <c:pt idx="2">
                  <c:v>0.0380216010131061</c:v>
                </c:pt>
                <c:pt idx="3">
                  <c:v>0.0382408950356652</c:v>
                </c:pt>
                <c:pt idx="4">
                  <c:v>0.0381756533775114</c:v>
                </c:pt>
                <c:pt idx="5">
                  <c:v>0.0377049326170005</c:v>
                </c:pt>
                <c:pt idx="6">
                  <c:v>0.037042923254129</c:v>
                </c:pt>
                <c:pt idx="7">
                  <c:v>0.0412177650375113</c:v>
                </c:pt>
                <c:pt idx="8">
                  <c:v>0.0464793446163201</c:v>
                </c:pt>
                <c:pt idx="9">
                  <c:v>0.0453322640413218</c:v>
                </c:pt>
                <c:pt idx="10">
                  <c:v>0.0474825706277584</c:v>
                </c:pt>
                <c:pt idx="11">
                  <c:v>0.0538845331432644</c:v>
                </c:pt>
                <c:pt idx="12">
                  <c:v>0.0561184359627255</c:v>
                </c:pt>
                <c:pt idx="13">
                  <c:v>0.0552773860567618</c:v>
                </c:pt>
                <c:pt idx="14">
                  <c:v>0.0556569793259979</c:v>
                </c:pt>
                <c:pt idx="15">
                  <c:v>0.057961538283181</c:v>
                </c:pt>
                <c:pt idx="16">
                  <c:v>0.0626429972707607</c:v>
                </c:pt>
                <c:pt idx="17">
                  <c:v>0.0644568372188706</c:v>
                </c:pt>
                <c:pt idx="18">
                  <c:v>0.0643281777206498</c:v>
                </c:pt>
                <c:pt idx="19">
                  <c:v>0.0655728096157303</c:v>
                </c:pt>
                <c:pt idx="20">
                  <c:v>0.0624285166235824</c:v>
                </c:pt>
                <c:pt idx="21">
                  <c:v>0.0615634255178324</c:v>
                </c:pt>
                <c:pt idx="22">
                  <c:v>0.0586912864987826</c:v>
                </c:pt>
                <c:pt idx="23">
                  <c:v>0.0639061386541789</c:v>
                </c:pt>
                <c:pt idx="24">
                  <c:v>0.0654339219896003</c:v>
                </c:pt>
                <c:pt idx="25">
                  <c:v>0.0615801677922675</c:v>
                </c:pt>
                <c:pt idx="26">
                  <c:v>0.0618368070096318</c:v>
                </c:pt>
                <c:pt idx="27">
                  <c:v>0.0634514451278885</c:v>
                </c:pt>
                <c:pt idx="28">
                  <c:v>0.0477406903843334</c:v>
                </c:pt>
                <c:pt idx="29">
                  <c:v>0.046175019426838</c:v>
                </c:pt>
                <c:pt idx="30">
                  <c:v>0.0413289266742188</c:v>
                </c:pt>
                <c:pt idx="31">
                  <c:v>0.0401271952592682</c:v>
                </c:pt>
                <c:pt idx="32">
                  <c:v>0.0411772998160746</c:v>
                </c:pt>
                <c:pt idx="33">
                  <c:v>0.0316618615169109</c:v>
                </c:pt>
                <c:pt idx="34">
                  <c:v>0.0409244106192993</c:v>
                </c:pt>
                <c:pt idx="35">
                  <c:v>0.0430512547064429</c:v>
                </c:pt>
                <c:pt idx="36">
                  <c:v>0.0471922570027962</c:v>
                </c:pt>
                <c:pt idx="37">
                  <c:v>0.0544825702473565</c:v>
                </c:pt>
                <c:pt idx="38">
                  <c:v>0.0585628626319089</c:v>
                </c:pt>
                <c:pt idx="39">
                  <c:v>0.046926587048372</c:v>
                </c:pt>
                <c:pt idx="40">
                  <c:v>0.042507559014195</c:v>
                </c:pt>
                <c:pt idx="41">
                  <c:v>0.0314325094654473</c:v>
                </c:pt>
                <c:pt idx="42">
                  <c:v>0.0407826835331117</c:v>
                </c:pt>
                <c:pt idx="43">
                  <c:v>0.0362443740069465</c:v>
                </c:pt>
                <c:pt idx="44">
                  <c:v>0.0347010869718173</c:v>
                </c:pt>
                <c:pt idx="45">
                  <c:v>0.0300647007547946</c:v>
                </c:pt>
                <c:pt idx="46">
                  <c:v>0.0304667713249178</c:v>
                </c:pt>
                <c:pt idx="47">
                  <c:v>0.031968352668828</c:v>
                </c:pt>
                <c:pt idx="48">
                  <c:v>0.0315700887424624</c:v>
                </c:pt>
                <c:pt idx="49">
                  <c:v>0.0344052656167683</c:v>
                </c:pt>
                <c:pt idx="50">
                  <c:v>0.0370131864969649</c:v>
                </c:pt>
              </c:numCache>
            </c:numRef>
          </c:val>
          <c:smooth val="0"/>
        </c:ser>
        <c:ser>
          <c:idx val="4"/>
          <c:order val="4"/>
          <c:tx>
            <c:strRef>
              <c:f>'Assets(BoP)'!$LM$3</c:f>
              <c:strCache>
                <c:ptCount val="1"/>
                <c:pt idx="0">
                  <c:v>Bermuda &amp; other Caribbean</c:v>
                </c:pt>
              </c:strCache>
            </c:strRef>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'Assets(BoP)'!$LM$58:$LM$108</c:f>
              <c:numCache>
                <c:formatCode>0%</c:formatCode>
                <c:ptCount val="51"/>
                <c:pt idx="0">
                  <c:v>0.00970519909396708</c:v>
                </c:pt>
                <c:pt idx="1">
                  <c:v>0.00982364486476129</c:v>
                </c:pt>
                <c:pt idx="2">
                  <c:v>0.01082708675445</c:v>
                </c:pt>
                <c:pt idx="3">
                  <c:v>0.0101226842587065</c:v>
                </c:pt>
                <c:pt idx="4">
                  <c:v>0.0107837877575699</c:v>
                </c:pt>
                <c:pt idx="5">
                  <c:v>0.0115550790688617</c:v>
                </c:pt>
                <c:pt idx="6">
                  <c:v>0.0122391987278779</c:v>
                </c:pt>
                <c:pt idx="7">
                  <c:v>0.0127824783655921</c:v>
                </c:pt>
                <c:pt idx="8">
                  <c:v>0.0195890719348971</c:v>
                </c:pt>
                <c:pt idx="9">
                  <c:v>0.0203220879328099</c:v>
                </c:pt>
                <c:pt idx="10">
                  <c:v>0.0224442084973556</c:v>
                </c:pt>
                <c:pt idx="11">
                  <c:v>0.0298068049668005</c:v>
                </c:pt>
                <c:pt idx="12">
                  <c:v>0.038796976443455</c:v>
                </c:pt>
                <c:pt idx="13">
                  <c:v>0.0458102344807111</c:v>
                </c:pt>
                <c:pt idx="14">
                  <c:v>0.0519050673508659</c:v>
                </c:pt>
                <c:pt idx="15">
                  <c:v>0.0485710178396702</c:v>
                </c:pt>
                <c:pt idx="16">
                  <c:v>0.0638085599305459</c:v>
                </c:pt>
                <c:pt idx="17">
                  <c:v>0.0809008662519509</c:v>
                </c:pt>
                <c:pt idx="18">
                  <c:v>0.0958072945295256</c:v>
                </c:pt>
                <c:pt idx="19">
                  <c:v>0.0915815469259204</c:v>
                </c:pt>
                <c:pt idx="20">
                  <c:v>0.0862891746829634</c:v>
                </c:pt>
                <c:pt idx="21">
                  <c:v>0.082404828934566</c:v>
                </c:pt>
                <c:pt idx="22">
                  <c:v>0.0729324020923303</c:v>
                </c:pt>
                <c:pt idx="23">
                  <c:v>0.0675229337043447</c:v>
                </c:pt>
                <c:pt idx="24">
                  <c:v>0.0627582868985716</c:v>
                </c:pt>
                <c:pt idx="25">
                  <c:v>0.0686515099275965</c:v>
                </c:pt>
                <c:pt idx="26">
                  <c:v>0.0740113176346788</c:v>
                </c:pt>
                <c:pt idx="27">
                  <c:v>0.0672196230238836</c:v>
                </c:pt>
                <c:pt idx="28">
                  <c:v>0.0754147212229727</c:v>
                </c:pt>
                <c:pt idx="29">
                  <c:v>0.0711568408996576</c:v>
                </c:pt>
                <c:pt idx="30">
                  <c:v>0.0764534276255733</c:v>
                </c:pt>
                <c:pt idx="31">
                  <c:v>0.0751786175540492</c:v>
                </c:pt>
                <c:pt idx="32">
                  <c:v>0.0755237210417478</c:v>
                </c:pt>
                <c:pt idx="33">
                  <c:v>0.0888412480878916</c:v>
                </c:pt>
                <c:pt idx="34">
                  <c:v>0.0922817929914817</c:v>
                </c:pt>
                <c:pt idx="35">
                  <c:v>0.108976339558501</c:v>
                </c:pt>
                <c:pt idx="36">
                  <c:v>0.110778413884957</c:v>
                </c:pt>
                <c:pt idx="37">
                  <c:v>0.110338399454724</c:v>
                </c:pt>
                <c:pt idx="38">
                  <c:v>0.111841243039448</c:v>
                </c:pt>
                <c:pt idx="39">
                  <c:v>0.114539382609128</c:v>
                </c:pt>
                <c:pt idx="40">
                  <c:v>0.110536731290191</c:v>
                </c:pt>
                <c:pt idx="41">
                  <c:v>0.125634899988387</c:v>
                </c:pt>
                <c:pt idx="42">
                  <c:v>0.127203104723376</c:v>
                </c:pt>
                <c:pt idx="43">
                  <c:v>0.148903154029084</c:v>
                </c:pt>
                <c:pt idx="44">
                  <c:v>0.146635937333775</c:v>
                </c:pt>
                <c:pt idx="45">
                  <c:v>0.142028102955818</c:v>
                </c:pt>
                <c:pt idx="46">
                  <c:v>0.139902892231091</c:v>
                </c:pt>
                <c:pt idx="47">
                  <c:v>0.133120262735318</c:v>
                </c:pt>
                <c:pt idx="48">
                  <c:v>0.145782812596624</c:v>
                </c:pt>
                <c:pt idx="49">
                  <c:v>0.14181082612398</c:v>
                </c:pt>
                <c:pt idx="50">
                  <c:v>0.130190506188826</c:v>
                </c:pt>
              </c:numCache>
            </c:numRef>
          </c:val>
          <c:smooth val="0"/>
        </c:ser>
        <c:ser>
          <c:idx val="5"/>
          <c:order val="5"/>
          <c:tx>
            <c:strRef>
              <c:f>'Assets(BoP)'!$LP$3</c:f>
              <c:strCache>
                <c:ptCount val="1"/>
                <c:pt idx="0">
                  <c:v>Singapore</c:v>
                </c:pt>
              </c:strCache>
            </c:strRef>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'Assets(BoP)'!$LP$58:$LP$108</c:f>
              <c:numCache>
                <c:formatCode>0%</c:formatCode>
                <c:ptCount val="51"/>
                <c:pt idx="0">
                  <c:v>0.000629118350948601</c:v>
                </c:pt>
                <c:pt idx="1">
                  <c:v>0.000596188314032106</c:v>
                </c:pt>
                <c:pt idx="2">
                  <c:v>0.000810094324503419</c:v>
                </c:pt>
                <c:pt idx="3">
                  <c:v>0.00107517413654619</c:v>
                </c:pt>
                <c:pt idx="4">
                  <c:v>0.00140746422562471</c:v>
                </c:pt>
                <c:pt idx="5">
                  <c:v>0.00136362642540416</c:v>
                </c:pt>
                <c:pt idx="6">
                  <c:v>0.00223046211210823</c:v>
                </c:pt>
                <c:pt idx="7">
                  <c:v>0.00295030148275841</c:v>
                </c:pt>
                <c:pt idx="8">
                  <c:v>0.00358603193128694</c:v>
                </c:pt>
                <c:pt idx="9">
                  <c:v>0.00426749768246139</c:v>
                </c:pt>
                <c:pt idx="10">
                  <c:v>0.00380717591635272</c:v>
                </c:pt>
                <c:pt idx="11">
                  <c:v>0.0038714033837266</c:v>
                </c:pt>
                <c:pt idx="12">
                  <c:v>0.00483929023743184</c:v>
                </c:pt>
                <c:pt idx="13">
                  <c:v>0.004938539448368</c:v>
                </c:pt>
                <c:pt idx="14">
                  <c:v>0.00594069176493808</c:v>
                </c:pt>
                <c:pt idx="15">
                  <c:v>0.00852798375092166</c:v>
                </c:pt>
                <c:pt idx="16">
                  <c:v>0.00945880479463553</c:v>
                </c:pt>
                <c:pt idx="17">
                  <c:v>0.0106660346053567</c:v>
                </c:pt>
                <c:pt idx="18">
                  <c:v>0.0108919012625472</c:v>
                </c:pt>
                <c:pt idx="19">
                  <c:v>0.0109607133646459</c:v>
                </c:pt>
                <c:pt idx="20">
                  <c:v>0.0116703894790811</c:v>
                </c:pt>
                <c:pt idx="21">
                  <c:v>0.0113525103932507</c:v>
                </c:pt>
                <c:pt idx="22">
                  <c:v>0.010464613434277</c:v>
                </c:pt>
                <c:pt idx="23">
                  <c:v>0.0113028380105648</c:v>
                </c:pt>
                <c:pt idx="24">
                  <c:v>0.0124920885094131</c:v>
                </c:pt>
                <c:pt idx="25">
                  <c:v>0.0136852328833183</c:v>
                </c:pt>
                <c:pt idx="26">
                  <c:v>0.0154022914451997</c:v>
                </c:pt>
                <c:pt idx="27">
                  <c:v>0.0179047822610651</c:v>
                </c:pt>
                <c:pt idx="28">
                  <c:v>0.0195289657632083</c:v>
                </c:pt>
                <c:pt idx="29">
                  <c:v>0.0197826066603627</c:v>
                </c:pt>
                <c:pt idx="30">
                  <c:v>0.0203166415538423</c:v>
                </c:pt>
                <c:pt idx="31">
                  <c:v>0.0213413181461391</c:v>
                </c:pt>
                <c:pt idx="32">
                  <c:v>0.018957519571899</c:v>
                </c:pt>
                <c:pt idx="33">
                  <c:v>0.0172947480755707</c:v>
                </c:pt>
                <c:pt idx="34">
                  <c:v>0.0178424025291222</c:v>
                </c:pt>
                <c:pt idx="35">
                  <c:v>0.028371676164526</c:v>
                </c:pt>
                <c:pt idx="36">
                  <c:v>0.0345659556367541</c:v>
                </c:pt>
                <c:pt idx="37">
                  <c:v>0.0295942970103611</c:v>
                </c:pt>
                <c:pt idx="38">
                  <c:v>0.0283339276661414</c:v>
                </c:pt>
                <c:pt idx="39">
                  <c:v>0.0314404260770535</c:v>
                </c:pt>
                <c:pt idx="40">
                  <c:v>0.0353846167216953</c:v>
                </c:pt>
                <c:pt idx="41">
                  <c:v>0.0334003924852468</c:v>
                </c:pt>
                <c:pt idx="42">
                  <c:v>0.0275550085420003</c:v>
                </c:pt>
                <c:pt idx="43">
                  <c:v>0.0268811168125765</c:v>
                </c:pt>
                <c:pt idx="44">
                  <c:v>0.0285890868277208</c:v>
                </c:pt>
                <c:pt idx="45">
                  <c:v>0.0307335717477607</c:v>
                </c:pt>
                <c:pt idx="46">
                  <c:v>0.0343636449074043</c:v>
                </c:pt>
                <c:pt idx="47">
                  <c:v>0.0407850277035159</c:v>
                </c:pt>
                <c:pt idx="48">
                  <c:v>0.0469714732986249</c:v>
                </c:pt>
                <c:pt idx="49">
                  <c:v>0.0503927178627401</c:v>
                </c:pt>
                <c:pt idx="50">
                  <c:v>0.0486002714295158</c:v>
                </c:pt>
              </c:numCache>
            </c:numRef>
          </c:val>
          <c:smooth val="0"/>
        </c:ser>
        <c:dLbls>
          <c:showLegendKey val="0"/>
          <c:showVal val="0"/>
          <c:showCatName val="0"/>
          <c:showSerName val="0"/>
          <c:showPercent val="0"/>
          <c:showBubbleSize val="0"/>
        </c:dLbls>
        <c:marker val="1"/>
        <c:smooth val="0"/>
        <c:axId val="-2107511432"/>
        <c:axId val="-2107508264"/>
      </c:lineChart>
      <c:catAx>
        <c:axId val="-2107511432"/>
        <c:scaling>
          <c:orientation val="minMax"/>
        </c:scaling>
        <c:delete val="0"/>
        <c:axPos val="b"/>
        <c:numFmt formatCode="General" sourceLinked="1"/>
        <c:majorTickMark val="out"/>
        <c:minorTickMark val="none"/>
        <c:tickLblPos val="nextTo"/>
        <c:crossAx val="-2107508264"/>
        <c:crosses val="autoZero"/>
        <c:auto val="1"/>
        <c:lblAlgn val="ctr"/>
        <c:lblOffset val="100"/>
        <c:noMultiLvlLbl val="0"/>
      </c:catAx>
      <c:valAx>
        <c:axId val="-2107508264"/>
        <c:scaling>
          <c:orientation val="minMax"/>
        </c:scaling>
        <c:delete val="0"/>
        <c:axPos val="l"/>
        <c:majorGridlines/>
        <c:numFmt formatCode="0%" sourceLinked="1"/>
        <c:majorTickMark val="out"/>
        <c:minorTickMark val="none"/>
        <c:tickLblPos val="nextTo"/>
        <c:crossAx val="-2107511432"/>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lineChart>
        <c:grouping val="standard"/>
        <c:varyColors val="0"/>
        <c:ser>
          <c:idx val="0"/>
          <c:order val="0"/>
          <c:tx>
            <c:strRef>
              <c:f>'Assets(BoP)'!$HG$3</c:f>
              <c:strCache>
                <c:ptCount val="1"/>
                <c:pt idx="0">
                  <c:v>Top 6 havens % all equity outflows</c:v>
                </c:pt>
              </c:strCache>
            </c:strRef>
          </c:tx>
          <c:marker>
            <c:symbol val="none"/>
          </c:marker>
          <c:cat>
            <c:numRef>
              <c:f>'Assets(BoP)'!$B$72:$B$108</c:f>
              <c:numCache>
                <c:formatCode>General</c:formatCode>
                <c:ptCount val="37"/>
                <c:pt idx="0">
                  <c:v>1980.0</c:v>
                </c:pt>
                <c:pt idx="1">
                  <c:v>1981.0</c:v>
                </c:pt>
                <c:pt idx="2">
                  <c:v>1982.0</c:v>
                </c:pt>
                <c:pt idx="3">
                  <c:v>1983.0</c:v>
                </c:pt>
                <c:pt idx="4">
                  <c:v>1984.0</c:v>
                </c:pt>
                <c:pt idx="5">
                  <c:v>1985.0</c:v>
                </c:pt>
                <c:pt idx="6">
                  <c:v>1986.0</c:v>
                </c:pt>
                <c:pt idx="7">
                  <c:v>1987.0</c:v>
                </c:pt>
                <c:pt idx="8">
                  <c:v>1988.0</c:v>
                </c:pt>
                <c:pt idx="9">
                  <c:v>1989.0</c:v>
                </c:pt>
                <c:pt idx="10">
                  <c:v>1990.0</c:v>
                </c:pt>
                <c:pt idx="11">
                  <c:v>1991.0</c:v>
                </c:pt>
                <c:pt idx="12">
                  <c:v>1992.0</c:v>
                </c:pt>
                <c:pt idx="13">
                  <c:v>1993.0</c:v>
                </c:pt>
                <c:pt idx="14">
                  <c:v>1994.0</c:v>
                </c:pt>
                <c:pt idx="15">
                  <c:v>1995.0</c:v>
                </c:pt>
                <c:pt idx="16">
                  <c:v>1996.0</c:v>
                </c:pt>
                <c:pt idx="17">
                  <c:v>1997.0</c:v>
                </c:pt>
                <c:pt idx="18">
                  <c:v>1998.0</c:v>
                </c:pt>
                <c:pt idx="19">
                  <c:v>1999.0</c:v>
                </c:pt>
                <c:pt idx="20">
                  <c:v>2000.0</c:v>
                </c:pt>
                <c:pt idx="21">
                  <c:v>2001.0</c:v>
                </c:pt>
                <c:pt idx="22">
                  <c:v>2002.0</c:v>
                </c:pt>
                <c:pt idx="23">
                  <c:v>2003.0</c:v>
                </c:pt>
                <c:pt idx="24">
                  <c:v>2004.0</c:v>
                </c:pt>
                <c:pt idx="25">
                  <c:v>2005.0</c:v>
                </c:pt>
                <c:pt idx="26">
                  <c:v>2006.0</c:v>
                </c:pt>
                <c:pt idx="27">
                  <c:v>2007.0</c:v>
                </c:pt>
                <c:pt idx="28">
                  <c:v>2008.0</c:v>
                </c:pt>
                <c:pt idx="29">
                  <c:v>2009.0</c:v>
                </c:pt>
                <c:pt idx="30">
                  <c:v>2010.0</c:v>
                </c:pt>
                <c:pt idx="31">
                  <c:v>2011.0</c:v>
                </c:pt>
                <c:pt idx="32">
                  <c:v>2012.0</c:v>
                </c:pt>
                <c:pt idx="33">
                  <c:v>2013.0</c:v>
                </c:pt>
                <c:pt idx="34">
                  <c:v>2014.0</c:v>
                </c:pt>
                <c:pt idx="35">
                  <c:v>2015.0</c:v>
                </c:pt>
                <c:pt idx="36">
                  <c:v>2016.0</c:v>
                </c:pt>
              </c:numCache>
            </c:numRef>
          </c:cat>
          <c:val>
            <c:numRef>
              <c:f>'Assets(BoP)'!$HG$72:$HG$108</c:f>
              <c:numCache>
                <c:formatCode>0%</c:formatCode>
                <c:ptCount val="37"/>
                <c:pt idx="0">
                  <c:v>0.287784829882426</c:v>
                </c:pt>
                <c:pt idx="1">
                  <c:v>0.275914380714879</c:v>
                </c:pt>
                <c:pt idx="2">
                  <c:v>0.593220338983051</c:v>
                </c:pt>
                <c:pt idx="3">
                  <c:v>0.374552056954465</c:v>
                </c:pt>
                <c:pt idx="4">
                  <c:v>0.334983250837458</c:v>
                </c:pt>
                <c:pt idx="5">
                  <c:v>0.244536940686785</c:v>
                </c:pt>
                <c:pt idx="6">
                  <c:v>0.511140902366864</c:v>
                </c:pt>
                <c:pt idx="7">
                  <c:v>0.217455621301775</c:v>
                </c:pt>
                <c:pt idx="8">
                  <c:v>-0.10307609282245</c:v>
                </c:pt>
                <c:pt idx="9">
                  <c:v>0.270532160067044</c:v>
                </c:pt>
                <c:pt idx="10">
                  <c:v>0.31897265948633</c:v>
                </c:pt>
                <c:pt idx="11">
                  <c:v>0.321808436779694</c:v>
                </c:pt>
                <c:pt idx="12">
                  <c:v>0.186930385883265</c:v>
                </c:pt>
                <c:pt idx="13">
                  <c:v>0.286117371150076</c:v>
                </c:pt>
                <c:pt idx="14">
                  <c:v>0.250073596896809</c:v>
                </c:pt>
                <c:pt idx="15">
                  <c:v>0.190658595255196</c:v>
                </c:pt>
                <c:pt idx="16">
                  <c:v>0.258931318130141</c:v>
                </c:pt>
                <c:pt idx="17">
                  <c:v>0.279547733095689</c:v>
                </c:pt>
                <c:pt idx="18">
                  <c:v>0.301546170774229</c:v>
                </c:pt>
                <c:pt idx="19">
                  <c:v>0.300218103985478</c:v>
                </c:pt>
                <c:pt idx="20">
                  <c:v>0.28757948638574</c:v>
                </c:pt>
                <c:pt idx="21">
                  <c:v>0.333839592402582</c:v>
                </c:pt>
                <c:pt idx="22">
                  <c:v>0.452965527414879</c:v>
                </c:pt>
                <c:pt idx="23">
                  <c:v>0.395852487110274</c:v>
                </c:pt>
                <c:pt idx="24">
                  <c:v>0.283097945908188</c:v>
                </c:pt>
                <c:pt idx="26">
                  <c:v>0.473881356622287</c:v>
                </c:pt>
                <c:pt idx="27">
                  <c:v>0.497562412226152</c:v>
                </c:pt>
                <c:pt idx="28">
                  <c:v>0.470250040519236</c:v>
                </c:pt>
                <c:pt idx="29">
                  <c:v>0.556764630995463</c:v>
                </c:pt>
                <c:pt idx="30">
                  <c:v>0.55494637813967</c:v>
                </c:pt>
                <c:pt idx="31">
                  <c:v>0.562493239517625</c:v>
                </c:pt>
                <c:pt idx="32">
                  <c:v>0.569893044575832</c:v>
                </c:pt>
                <c:pt idx="33">
                  <c:v>0.646739405439595</c:v>
                </c:pt>
                <c:pt idx="34">
                  <c:v>0.614210754344582</c:v>
                </c:pt>
                <c:pt idx="35">
                  <c:v>0.669669604715297</c:v>
                </c:pt>
                <c:pt idx="36">
                  <c:v>0.598169832568075</c:v>
                </c:pt>
              </c:numCache>
            </c:numRef>
          </c:val>
          <c:smooth val="0"/>
        </c:ser>
        <c:dLbls>
          <c:showLegendKey val="0"/>
          <c:showVal val="0"/>
          <c:showCatName val="0"/>
          <c:showSerName val="0"/>
          <c:showPercent val="0"/>
          <c:showBubbleSize val="0"/>
        </c:dLbls>
        <c:marker val="1"/>
        <c:smooth val="0"/>
        <c:axId val="-2107531880"/>
        <c:axId val="-2107528904"/>
      </c:lineChart>
      <c:catAx>
        <c:axId val="-2107531880"/>
        <c:scaling>
          <c:orientation val="minMax"/>
        </c:scaling>
        <c:delete val="0"/>
        <c:axPos val="b"/>
        <c:numFmt formatCode="General" sourceLinked="1"/>
        <c:majorTickMark val="out"/>
        <c:minorTickMark val="none"/>
        <c:tickLblPos val="nextTo"/>
        <c:crossAx val="-2107528904"/>
        <c:crosses val="autoZero"/>
        <c:auto val="1"/>
        <c:lblAlgn val="ctr"/>
        <c:lblOffset val="100"/>
        <c:noMultiLvlLbl val="0"/>
      </c:catAx>
      <c:valAx>
        <c:axId val="-2107528904"/>
        <c:scaling>
          <c:orientation val="minMax"/>
        </c:scaling>
        <c:delete val="0"/>
        <c:axPos val="l"/>
        <c:majorGridlines/>
        <c:numFmt formatCode="0%" sourceLinked="1"/>
        <c:majorTickMark val="out"/>
        <c:minorTickMark val="none"/>
        <c:tickLblPos val="nextTo"/>
        <c:crossAx val="-2107531880"/>
        <c:crosses val="autoZero"/>
        <c:crossBetween val="between"/>
      </c:valAx>
    </c:plotArea>
    <c:plotVisOnly val="1"/>
    <c:dispBlanksAs val="gap"/>
    <c:showDLblsOverMax val="0"/>
  </c:chart>
  <c:printSettings>
    <c:headerFooter/>
    <c:pageMargins b="1.0" l="0.75" r="0.75" t="1.0"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lineChart>
        <c:grouping val="standard"/>
        <c:varyColors val="0"/>
        <c:ser>
          <c:idx val="0"/>
          <c:order val="0"/>
          <c:tx>
            <c:strRef>
              <c:f>'Assets(BoP)'!$HG$3</c:f>
              <c:strCache>
                <c:ptCount val="1"/>
                <c:pt idx="0">
                  <c:v>Top 6 havens % all equity outflows</c:v>
                </c:pt>
              </c:strCache>
            </c:strRef>
          </c:tx>
          <c:marker>
            <c:symbol val="none"/>
          </c:marker>
          <c:cat>
            <c:numRef>
              <c:f>'Assets(BoP)'!$B$81:$B$108</c:f>
              <c:numCache>
                <c:formatCode>General</c:formatCode>
                <c:ptCount val="28"/>
                <c:pt idx="0">
                  <c:v>1989.0</c:v>
                </c:pt>
                <c:pt idx="1">
                  <c:v>1990.0</c:v>
                </c:pt>
                <c:pt idx="2">
                  <c:v>1991.0</c:v>
                </c:pt>
                <c:pt idx="3">
                  <c:v>1992.0</c:v>
                </c:pt>
                <c:pt idx="4">
                  <c:v>1993.0</c:v>
                </c:pt>
                <c:pt idx="5">
                  <c:v>1994.0</c:v>
                </c:pt>
                <c:pt idx="6">
                  <c:v>1995.0</c:v>
                </c:pt>
                <c:pt idx="7">
                  <c:v>1996.0</c:v>
                </c:pt>
                <c:pt idx="8">
                  <c:v>1997.0</c:v>
                </c:pt>
                <c:pt idx="9">
                  <c:v>1998.0</c:v>
                </c:pt>
                <c:pt idx="10">
                  <c:v>1999.0</c:v>
                </c:pt>
                <c:pt idx="11">
                  <c:v>2000.0</c:v>
                </c:pt>
                <c:pt idx="12">
                  <c:v>2001.0</c:v>
                </c:pt>
                <c:pt idx="13">
                  <c:v>2002.0</c:v>
                </c:pt>
                <c:pt idx="14">
                  <c:v>2003.0</c:v>
                </c:pt>
                <c:pt idx="15">
                  <c:v>2004.0</c:v>
                </c:pt>
                <c:pt idx="16">
                  <c:v>2005.0</c:v>
                </c:pt>
                <c:pt idx="17">
                  <c:v>2006.0</c:v>
                </c:pt>
                <c:pt idx="18">
                  <c:v>2007.0</c:v>
                </c:pt>
                <c:pt idx="19">
                  <c:v>2008.0</c:v>
                </c:pt>
                <c:pt idx="20">
                  <c:v>2009.0</c:v>
                </c:pt>
                <c:pt idx="21">
                  <c:v>2010.0</c:v>
                </c:pt>
                <c:pt idx="22">
                  <c:v>2011.0</c:v>
                </c:pt>
                <c:pt idx="23">
                  <c:v>2012.0</c:v>
                </c:pt>
                <c:pt idx="24">
                  <c:v>2013.0</c:v>
                </c:pt>
                <c:pt idx="25">
                  <c:v>2014.0</c:v>
                </c:pt>
                <c:pt idx="26">
                  <c:v>2015.0</c:v>
                </c:pt>
                <c:pt idx="27">
                  <c:v>2016.0</c:v>
                </c:pt>
              </c:numCache>
            </c:numRef>
          </c:cat>
          <c:val>
            <c:numRef>
              <c:f>'Assets(BoP)'!$HG$81:$HG$108</c:f>
              <c:numCache>
                <c:formatCode>0%</c:formatCode>
                <c:ptCount val="28"/>
                <c:pt idx="0">
                  <c:v>0.270532160067044</c:v>
                </c:pt>
                <c:pt idx="1">
                  <c:v>0.31897265948633</c:v>
                </c:pt>
                <c:pt idx="2">
                  <c:v>0.321808436779694</c:v>
                </c:pt>
                <c:pt idx="3">
                  <c:v>0.186930385883265</c:v>
                </c:pt>
                <c:pt idx="4">
                  <c:v>0.286117371150076</c:v>
                </c:pt>
                <c:pt idx="5">
                  <c:v>0.250073596896809</c:v>
                </c:pt>
                <c:pt idx="6">
                  <c:v>0.190658595255196</c:v>
                </c:pt>
                <c:pt idx="7">
                  <c:v>0.258931318130141</c:v>
                </c:pt>
                <c:pt idx="8">
                  <c:v>0.279547733095689</c:v>
                </c:pt>
                <c:pt idx="9">
                  <c:v>0.301546170774229</c:v>
                </c:pt>
                <c:pt idx="10">
                  <c:v>0.300218103985478</c:v>
                </c:pt>
                <c:pt idx="11">
                  <c:v>0.28757948638574</c:v>
                </c:pt>
                <c:pt idx="12">
                  <c:v>0.333839592402582</c:v>
                </c:pt>
                <c:pt idx="13">
                  <c:v>0.452965527414879</c:v>
                </c:pt>
                <c:pt idx="14">
                  <c:v>0.395852487110274</c:v>
                </c:pt>
                <c:pt idx="15">
                  <c:v>0.283097945908188</c:v>
                </c:pt>
                <c:pt idx="17">
                  <c:v>0.473881356622287</c:v>
                </c:pt>
                <c:pt idx="18">
                  <c:v>0.497562412226152</c:v>
                </c:pt>
                <c:pt idx="19">
                  <c:v>0.470250040519236</c:v>
                </c:pt>
                <c:pt idx="20">
                  <c:v>0.556764630995463</c:v>
                </c:pt>
                <c:pt idx="21">
                  <c:v>0.55494637813967</c:v>
                </c:pt>
                <c:pt idx="22">
                  <c:v>0.562493239517625</c:v>
                </c:pt>
                <c:pt idx="23">
                  <c:v>0.569893044575832</c:v>
                </c:pt>
                <c:pt idx="24">
                  <c:v>0.646739405439595</c:v>
                </c:pt>
                <c:pt idx="25">
                  <c:v>0.614210754344582</c:v>
                </c:pt>
                <c:pt idx="26">
                  <c:v>0.669669604715297</c:v>
                </c:pt>
                <c:pt idx="27">
                  <c:v>0.598169832568075</c:v>
                </c:pt>
              </c:numCache>
            </c:numRef>
          </c:val>
          <c:smooth val="0"/>
        </c:ser>
        <c:dLbls>
          <c:showLegendKey val="0"/>
          <c:showVal val="0"/>
          <c:showCatName val="0"/>
          <c:showSerName val="0"/>
          <c:showPercent val="0"/>
          <c:showBubbleSize val="0"/>
        </c:dLbls>
        <c:marker val="1"/>
        <c:smooth val="0"/>
        <c:axId val="-2107566392"/>
        <c:axId val="-2107563384"/>
      </c:lineChart>
      <c:catAx>
        <c:axId val="-2107566392"/>
        <c:scaling>
          <c:orientation val="minMax"/>
        </c:scaling>
        <c:delete val="0"/>
        <c:axPos val="b"/>
        <c:numFmt formatCode="General" sourceLinked="1"/>
        <c:majorTickMark val="out"/>
        <c:minorTickMark val="none"/>
        <c:tickLblPos val="nextTo"/>
        <c:crossAx val="-2107563384"/>
        <c:crosses val="autoZero"/>
        <c:auto val="1"/>
        <c:lblAlgn val="ctr"/>
        <c:lblOffset val="100"/>
        <c:noMultiLvlLbl val="0"/>
      </c:catAx>
      <c:valAx>
        <c:axId val="-2107563384"/>
        <c:scaling>
          <c:orientation val="minMax"/>
        </c:scaling>
        <c:delete val="0"/>
        <c:axPos val="l"/>
        <c:majorGridlines/>
        <c:numFmt formatCode="0%" sourceLinked="1"/>
        <c:majorTickMark val="out"/>
        <c:minorTickMark val="none"/>
        <c:tickLblPos val="nextTo"/>
        <c:crossAx val="-2107566392"/>
        <c:crosses val="autoZero"/>
        <c:crossBetween val="between"/>
      </c:valAx>
    </c:plotArea>
    <c:plotVisOnly val="1"/>
    <c:dispBlanksAs val="gap"/>
    <c:showDLblsOverMax val="0"/>
  </c:chart>
  <c:printSettings>
    <c:headerFooter/>
    <c:pageMargins b="1.0" l="0.75" r="0.75" t="1.0"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32248468941382"/>
          <c:y val="0.0601851851851852"/>
          <c:w val="0.873003937007874"/>
          <c:h val="0.806901064450277"/>
        </c:manualLayout>
      </c:layout>
      <c:lineChart>
        <c:grouping val="standard"/>
        <c:varyColors val="0"/>
        <c:ser>
          <c:idx val="0"/>
          <c:order val="0"/>
          <c:tx>
            <c:v>Non-oil haven pre-tax</c:v>
          </c:tx>
          <c:marker>
            <c:symbol val="none"/>
          </c:marker>
          <c:cat>
            <c:numRef>
              <c:f>T.A16!$A$39:$A$59</c:f>
              <c:numCache>
                <c:formatCode>General</c:formatCode>
                <c:ptCount val="21"/>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c:v>2011.0</c:v>
                </c:pt>
                <c:pt idx="17">
                  <c:v>2012.0</c:v>
                </c:pt>
                <c:pt idx="18">
                  <c:v>2013.0</c:v>
                </c:pt>
                <c:pt idx="19">
                  <c:v>2014.0</c:v>
                </c:pt>
                <c:pt idx="20">
                  <c:v>2015.0</c:v>
                </c:pt>
              </c:numCache>
            </c:numRef>
          </c:cat>
          <c:val>
            <c:numRef>
              <c:f>T.A16!$E$39:$E$59</c:f>
              <c:numCache>
                <c:formatCode>0%</c:formatCode>
                <c:ptCount val="21"/>
                <c:pt idx="0">
                  <c:v>0.138741048777719</c:v>
                </c:pt>
                <c:pt idx="1">
                  <c:v>0.14280380668957</c:v>
                </c:pt>
                <c:pt idx="2">
                  <c:v>0.15497708523547</c:v>
                </c:pt>
                <c:pt idx="3">
                  <c:v>0.144948095799214</c:v>
                </c:pt>
                <c:pt idx="4">
                  <c:v>0.11984248866358</c:v>
                </c:pt>
                <c:pt idx="5">
                  <c:v>0.133524224369276</c:v>
                </c:pt>
                <c:pt idx="6">
                  <c:v>0.10368447879022</c:v>
                </c:pt>
                <c:pt idx="7">
                  <c:v>0.0907097169221196</c:v>
                </c:pt>
                <c:pt idx="8">
                  <c:v>0.100467578296671</c:v>
                </c:pt>
                <c:pt idx="9">
                  <c:v>0.121778903188863</c:v>
                </c:pt>
                <c:pt idx="10">
                  <c:v>0.129620446270544</c:v>
                </c:pt>
                <c:pt idx="11">
                  <c:v>0.145080491554073</c:v>
                </c:pt>
                <c:pt idx="12">
                  <c:v>0.129588689407738</c:v>
                </c:pt>
                <c:pt idx="13">
                  <c:v>0.117801191545293</c:v>
                </c:pt>
                <c:pt idx="14">
                  <c:v>0.0906854399068187</c:v>
                </c:pt>
                <c:pt idx="15">
                  <c:v>0.0913232997129775</c:v>
                </c:pt>
                <c:pt idx="16">
                  <c:v>0.0993650684144699</c:v>
                </c:pt>
                <c:pt idx="17">
                  <c:v>0.094731352163382</c:v>
                </c:pt>
                <c:pt idx="18">
                  <c:v>0.0909739712346849</c:v>
                </c:pt>
                <c:pt idx="19">
                  <c:v>0.084772606336113</c:v>
                </c:pt>
                <c:pt idx="20">
                  <c:v>0.0</c:v>
                </c:pt>
              </c:numCache>
            </c:numRef>
          </c:val>
          <c:smooth val="0"/>
        </c:ser>
        <c:ser>
          <c:idx val="1"/>
          <c:order val="1"/>
          <c:tx>
            <c:v>Non-oil non-haven pre-tax</c:v>
          </c:tx>
          <c:marker>
            <c:symbol val="none"/>
          </c:marker>
          <c:cat>
            <c:numRef>
              <c:f>T.A16!$A$39:$A$59</c:f>
              <c:numCache>
                <c:formatCode>General</c:formatCode>
                <c:ptCount val="21"/>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c:v>2011.0</c:v>
                </c:pt>
                <c:pt idx="17">
                  <c:v>2012.0</c:v>
                </c:pt>
                <c:pt idx="18">
                  <c:v>2013.0</c:v>
                </c:pt>
                <c:pt idx="19">
                  <c:v>2014.0</c:v>
                </c:pt>
                <c:pt idx="20">
                  <c:v>2015.0</c:v>
                </c:pt>
              </c:numCache>
            </c:numRef>
          </c:cat>
          <c:val>
            <c:numRef>
              <c:f>T.A16!$F$39:$F$59</c:f>
              <c:numCache>
                <c:formatCode>0%</c:formatCode>
                <c:ptCount val="21"/>
                <c:pt idx="0">
                  <c:v>0.190120925901365</c:v>
                </c:pt>
                <c:pt idx="1">
                  <c:v>0.175679303077315</c:v>
                </c:pt>
                <c:pt idx="2">
                  <c:v>0.178291144241359</c:v>
                </c:pt>
                <c:pt idx="3">
                  <c:v>0.14200339446504</c:v>
                </c:pt>
                <c:pt idx="4">
                  <c:v>0.141750312876531</c:v>
                </c:pt>
                <c:pt idx="5">
                  <c:v>0.111433087331394</c:v>
                </c:pt>
                <c:pt idx="6">
                  <c:v>0.0869639832030849</c:v>
                </c:pt>
                <c:pt idx="7">
                  <c:v>0.0911868246196121</c:v>
                </c:pt>
                <c:pt idx="8">
                  <c:v>0.115640599873107</c:v>
                </c:pt>
                <c:pt idx="9">
                  <c:v>0.121267109248302</c:v>
                </c:pt>
                <c:pt idx="10">
                  <c:v>0.127816804915611</c:v>
                </c:pt>
                <c:pt idx="11">
                  <c:v>0.124737628247869</c:v>
                </c:pt>
                <c:pt idx="12">
                  <c:v>0.12771436580242</c:v>
                </c:pt>
                <c:pt idx="13">
                  <c:v>0.129174102879911</c:v>
                </c:pt>
                <c:pt idx="14">
                  <c:v>0.0864759532840397</c:v>
                </c:pt>
                <c:pt idx="15">
                  <c:v>0.0958851572332796</c:v>
                </c:pt>
                <c:pt idx="16">
                  <c:v>0.107973280586347</c:v>
                </c:pt>
                <c:pt idx="17">
                  <c:v>0.0969129338825005</c:v>
                </c:pt>
                <c:pt idx="18">
                  <c:v>0.0957411501162009</c:v>
                </c:pt>
                <c:pt idx="19">
                  <c:v>0.0963763419809893</c:v>
                </c:pt>
                <c:pt idx="20">
                  <c:v>0.0</c:v>
                </c:pt>
              </c:numCache>
            </c:numRef>
          </c:val>
          <c:smooth val="0"/>
        </c:ser>
        <c:dLbls>
          <c:showLegendKey val="0"/>
          <c:showVal val="0"/>
          <c:showCatName val="0"/>
          <c:showSerName val="0"/>
          <c:showPercent val="0"/>
          <c:showBubbleSize val="0"/>
        </c:dLbls>
        <c:marker val="1"/>
        <c:smooth val="0"/>
        <c:axId val="-2113144040"/>
        <c:axId val="-2113152872"/>
      </c:lineChart>
      <c:catAx>
        <c:axId val="-2113144040"/>
        <c:scaling>
          <c:orientation val="minMax"/>
        </c:scaling>
        <c:delete val="0"/>
        <c:axPos val="b"/>
        <c:numFmt formatCode="General" sourceLinked="1"/>
        <c:majorTickMark val="out"/>
        <c:minorTickMark val="none"/>
        <c:tickLblPos val="nextTo"/>
        <c:crossAx val="-2113152872"/>
        <c:crosses val="autoZero"/>
        <c:auto val="1"/>
        <c:lblAlgn val="ctr"/>
        <c:lblOffset val="100"/>
        <c:noMultiLvlLbl val="0"/>
      </c:catAx>
      <c:valAx>
        <c:axId val="-2113152872"/>
        <c:scaling>
          <c:orientation val="minMax"/>
        </c:scaling>
        <c:delete val="0"/>
        <c:axPos val="l"/>
        <c:majorGridlines/>
        <c:numFmt formatCode="0%" sourceLinked="1"/>
        <c:majorTickMark val="out"/>
        <c:minorTickMark val="none"/>
        <c:tickLblPos val="nextTo"/>
        <c:crossAx val="-2113144040"/>
        <c:crosses val="autoZero"/>
        <c:crossBetween val="between"/>
      </c:valAx>
    </c:plotArea>
    <c:legend>
      <c:legendPos val="r"/>
      <c:layout>
        <c:manualLayout>
          <c:xMode val="edge"/>
          <c:yMode val="edge"/>
          <c:x val="0.293147856517935"/>
          <c:y val="0.531639690871974"/>
          <c:w val="0.334629921259842"/>
          <c:h val="0.297831729367162"/>
        </c:manualLayout>
      </c:layout>
      <c:overlay val="0"/>
    </c:legend>
    <c:plotVisOnly val="1"/>
    <c:dispBlanksAs val="gap"/>
    <c:showDLblsOverMax val="0"/>
  </c:chart>
  <c:printSettings>
    <c:headerFooter/>
    <c:pageMargins b="1.0" l="0.75" r="0.75" t="1.0"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DI equity assets, % national income</a:t>
            </a:r>
          </a:p>
        </c:rich>
      </c:tx>
      <c:layout>
        <c:manualLayout>
          <c:xMode val="edge"/>
          <c:yMode val="edge"/>
          <c:x val="0.145920054848025"/>
          <c:y val="0.0"/>
        </c:manualLayout>
      </c:layout>
      <c:overlay val="0"/>
    </c:title>
    <c:autoTitleDeleted val="0"/>
    <c:plotArea>
      <c:layout>
        <c:manualLayout>
          <c:layoutTarget val="inner"/>
          <c:xMode val="edge"/>
          <c:yMode val="edge"/>
          <c:x val="0.109099518810149"/>
          <c:y val="0.12962962962963"/>
          <c:w val="0.863106736657918"/>
          <c:h val="0.72586176727909"/>
        </c:manualLayout>
      </c:layout>
      <c:lineChart>
        <c:grouping val="standard"/>
        <c:varyColors val="0"/>
        <c:ser>
          <c:idx val="0"/>
          <c:order val="0"/>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'Assets(BoP)'!$LQ$58:$LQ$108</c:f>
              <c:numCache>
                <c:formatCode>0%</c:formatCode>
                <c:ptCount val="51"/>
                <c:pt idx="0">
                  <c:v>0.066257859036757</c:v>
                </c:pt>
                <c:pt idx="1">
                  <c:v>0.0683990971919737</c:v>
                </c:pt>
                <c:pt idx="2">
                  <c:v>0.0682412102111435</c:v>
                </c:pt>
                <c:pt idx="3">
                  <c:v>0.0692779178058179</c:v>
                </c:pt>
                <c:pt idx="4">
                  <c:v>0.0733095099917134</c:v>
                </c:pt>
                <c:pt idx="5">
                  <c:v>0.0742712721996751</c:v>
                </c:pt>
                <c:pt idx="6">
                  <c:v>0.0722610001305215</c:v>
                </c:pt>
                <c:pt idx="7">
                  <c:v>0.0736140940687854</c:v>
                </c:pt>
                <c:pt idx="8">
                  <c:v>0.0745250022108517</c:v>
                </c:pt>
                <c:pt idx="9">
                  <c:v>0.0783197157444238</c:v>
                </c:pt>
                <c:pt idx="10">
                  <c:v>0.0751484955043579</c:v>
                </c:pt>
                <c:pt idx="11">
                  <c:v>0.0741007394229165</c:v>
                </c:pt>
                <c:pt idx="12">
                  <c:v>0.0739061037489531</c:v>
                </c:pt>
                <c:pt idx="13">
                  <c:v>0.0779081042611867</c:v>
                </c:pt>
                <c:pt idx="14">
                  <c:v>0.0835132685017306</c:v>
                </c:pt>
                <c:pt idx="15">
                  <c:v>0.0792193527056317</c:v>
                </c:pt>
                <c:pt idx="16">
                  <c:v>0.0733991691311083</c:v>
                </c:pt>
                <c:pt idx="17">
                  <c:v>0.073062244731253</c:v>
                </c:pt>
                <c:pt idx="18">
                  <c:v>0.0686718931475029</c:v>
                </c:pt>
                <c:pt idx="19">
                  <c:v>0.0694625698930568</c:v>
                </c:pt>
                <c:pt idx="20">
                  <c:v>0.0724783015435788</c:v>
                </c:pt>
                <c:pt idx="21">
                  <c:v>0.0795923965818606</c:v>
                </c:pt>
                <c:pt idx="22">
                  <c:v>0.0751355321137669</c:v>
                </c:pt>
                <c:pt idx="23">
                  <c:v>0.0739467190832671</c:v>
                </c:pt>
                <c:pt idx="24">
                  <c:v>0.0800013899644566</c:v>
                </c:pt>
                <c:pt idx="25">
                  <c:v>0.085567767686701</c:v>
                </c:pt>
                <c:pt idx="26">
                  <c:v>0.0846673454915723</c:v>
                </c:pt>
                <c:pt idx="27">
                  <c:v>0.0878021825258914</c:v>
                </c:pt>
                <c:pt idx="28">
                  <c:v>0.0899578189635517</c:v>
                </c:pt>
                <c:pt idx="29">
                  <c:v>0.0989067057643336</c:v>
                </c:pt>
                <c:pt idx="30">
                  <c:v>0.105427138591762</c:v>
                </c:pt>
                <c:pt idx="31">
                  <c:v>0.10805837082001</c:v>
                </c:pt>
                <c:pt idx="32">
                  <c:v>0.1146588522775</c:v>
                </c:pt>
                <c:pt idx="33">
                  <c:v>0.126750036038633</c:v>
                </c:pt>
                <c:pt idx="34">
                  <c:v>0.131114404401033</c:v>
                </c:pt>
                <c:pt idx="35">
                  <c:v>0.14201260806132</c:v>
                </c:pt>
                <c:pt idx="36">
                  <c:v>0.151965708714819</c:v>
                </c:pt>
                <c:pt idx="37">
                  <c:v>0.161079560430648</c:v>
                </c:pt>
                <c:pt idx="38">
                  <c:v>0.186757677238186</c:v>
                </c:pt>
                <c:pt idx="39">
                  <c:v>0.182651114788519</c:v>
                </c:pt>
                <c:pt idx="40">
                  <c:v>0.191692156470745</c:v>
                </c:pt>
                <c:pt idx="41">
                  <c:v>0.228055009982632</c:v>
                </c:pt>
                <c:pt idx="42">
                  <c:v>0.246079112956436</c:v>
                </c:pt>
                <c:pt idx="43">
                  <c:v>0.275445279191166</c:v>
                </c:pt>
                <c:pt idx="44">
                  <c:v>0.278910004317281</c:v>
                </c:pt>
                <c:pt idx="45">
                  <c:v>0.288770548894198</c:v>
                </c:pt>
                <c:pt idx="46">
                  <c:v>0.296619660216614</c:v>
                </c:pt>
                <c:pt idx="47">
                  <c:v>0.30320731335844</c:v>
                </c:pt>
                <c:pt idx="48">
                  <c:v>0.308598190702588</c:v>
                </c:pt>
                <c:pt idx="49">
                  <c:v>0.306800172812524</c:v>
                </c:pt>
                <c:pt idx="50">
                  <c:v>0.320404933964615</c:v>
                </c:pt>
              </c:numCache>
            </c:numRef>
          </c:val>
          <c:smooth val="0"/>
        </c:ser>
        <c:dLbls>
          <c:showLegendKey val="0"/>
          <c:showVal val="0"/>
          <c:showCatName val="0"/>
          <c:showSerName val="0"/>
          <c:showPercent val="0"/>
          <c:showBubbleSize val="0"/>
        </c:dLbls>
        <c:marker val="1"/>
        <c:smooth val="0"/>
        <c:axId val="-2107587944"/>
        <c:axId val="-2107584936"/>
      </c:lineChart>
      <c:catAx>
        <c:axId val="-2107587944"/>
        <c:scaling>
          <c:orientation val="minMax"/>
        </c:scaling>
        <c:delete val="0"/>
        <c:axPos val="b"/>
        <c:numFmt formatCode="General" sourceLinked="1"/>
        <c:majorTickMark val="out"/>
        <c:minorTickMark val="none"/>
        <c:tickLblPos val="nextTo"/>
        <c:crossAx val="-2107584936"/>
        <c:crosses val="autoZero"/>
        <c:auto val="1"/>
        <c:lblAlgn val="ctr"/>
        <c:lblOffset val="100"/>
        <c:noMultiLvlLbl val="0"/>
      </c:catAx>
      <c:valAx>
        <c:axId val="-2107584936"/>
        <c:scaling>
          <c:orientation val="minMax"/>
        </c:scaling>
        <c:delete val="0"/>
        <c:axPos val="l"/>
        <c:majorGridlines/>
        <c:numFmt formatCode="0%" sourceLinked="1"/>
        <c:majorTickMark val="out"/>
        <c:minorTickMark val="none"/>
        <c:tickLblPos val="nextTo"/>
        <c:crossAx val="-2107587944"/>
        <c:crosses val="autoZero"/>
        <c:crossBetween val="between"/>
      </c:valAx>
    </c:plotArea>
    <c:plotVisOnly val="1"/>
    <c:dispBlanksAs val="gap"/>
    <c:showDLblsOverMax val="0"/>
  </c:chart>
  <c:printSettings>
    <c:headerFooter/>
    <c:pageMargins b="1.0" l="0.75" r="0.75" t="1.0"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32248468941382"/>
          <c:y val="0.0601851851851852"/>
          <c:w val="0.870474190726159"/>
          <c:h val="0.836358267716535"/>
        </c:manualLayout>
      </c:layout>
      <c:areaChart>
        <c:grouping val="stacked"/>
        <c:varyColors val="0"/>
        <c:ser>
          <c:idx val="1"/>
          <c:order val="0"/>
          <c:tx>
            <c:v>Non havens</c:v>
          </c:tx>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'Assets(BoP)'!$LR$58:$LR$108</c:f>
              <c:numCache>
                <c:formatCode>0%</c:formatCode>
                <c:ptCount val="51"/>
                <c:pt idx="0">
                  <c:v>0.0614380730148034</c:v>
                </c:pt>
                <c:pt idx="1">
                  <c:v>0.0633756823011555</c:v>
                </c:pt>
                <c:pt idx="2">
                  <c:v>0.063199989204053</c:v>
                </c:pt>
                <c:pt idx="3">
                  <c:v>0.0640418977947006</c:v>
                </c:pt>
                <c:pt idx="4">
                  <c:v>0.0675014044710241</c:v>
                </c:pt>
                <c:pt idx="5">
                  <c:v>0.0683068670865974</c:v>
                </c:pt>
                <c:pt idx="6">
                  <c:v>0.0663062361055882</c:v>
                </c:pt>
                <c:pt idx="7">
                  <c:v>0.0670295276407822</c:v>
                </c:pt>
                <c:pt idx="8">
                  <c:v>0.0664320202742216</c:v>
                </c:pt>
                <c:pt idx="9">
                  <c:v>0.0699518568787357</c:v>
                </c:pt>
                <c:pt idx="10">
                  <c:v>0.0665575864134488</c:v>
                </c:pt>
                <c:pt idx="11">
                  <c:v>0.0641670095068661</c:v>
                </c:pt>
                <c:pt idx="12">
                  <c:v>0.0629984728311739</c:v>
                </c:pt>
                <c:pt idx="13">
                  <c:v>0.0655236188951161</c:v>
                </c:pt>
                <c:pt idx="14">
                  <c:v>0.0694974451953189</c:v>
                </c:pt>
                <c:pt idx="15">
                  <c:v>0.0656338856030271</c:v>
                </c:pt>
                <c:pt idx="16">
                  <c:v>0.0597982678495986</c:v>
                </c:pt>
                <c:pt idx="17">
                  <c:v>0.0578666884495997</c:v>
                </c:pt>
                <c:pt idx="18">
                  <c:v>0.0536469221835075</c:v>
                </c:pt>
                <c:pt idx="19">
                  <c:v>0.0540451115574616</c:v>
                </c:pt>
                <c:pt idx="20">
                  <c:v>0.0558088197079154</c:v>
                </c:pt>
                <c:pt idx="21">
                  <c:v>0.0616563895902117</c:v>
                </c:pt>
                <c:pt idx="22">
                  <c:v>0.0591327280010682</c:v>
                </c:pt>
                <c:pt idx="23">
                  <c:v>0.058334239471373</c:v>
                </c:pt>
                <c:pt idx="24">
                  <c:v>0.0629624113897659</c:v>
                </c:pt>
                <c:pt idx="25">
                  <c:v>0.0669611075760205</c:v>
                </c:pt>
                <c:pt idx="26">
                  <c:v>0.0655728494281506</c:v>
                </c:pt>
                <c:pt idx="27">
                  <c:v>0.0677345867797317</c:v>
                </c:pt>
                <c:pt idx="28">
                  <c:v>0.069091723396632</c:v>
                </c:pt>
                <c:pt idx="29">
                  <c:v>0.0758788486765954</c:v>
                </c:pt>
                <c:pt idx="30">
                  <c:v>0.0794251674058614</c:v>
                </c:pt>
                <c:pt idx="31">
                  <c:v>0.0804100048777844</c:v>
                </c:pt>
                <c:pt idx="32">
                  <c:v>0.0843694398839296</c:v>
                </c:pt>
                <c:pt idx="33">
                  <c:v>0.0903124549517082</c:v>
                </c:pt>
                <c:pt idx="34">
                  <c:v>0.0913681935556304</c:v>
                </c:pt>
                <c:pt idx="35">
                  <c:v>0.0923469176665287</c:v>
                </c:pt>
                <c:pt idx="36">
                  <c:v>0.0965715602746694</c:v>
                </c:pt>
                <c:pt idx="37">
                  <c:v>0.10075850043592</c:v>
                </c:pt>
                <c:pt idx="38">
                  <c:v>0.116844292233111</c:v>
                </c:pt>
                <c:pt idx="39">
                  <c:v>0.116259275076069</c:v>
                </c:pt>
                <c:pt idx="40">
                  <c:v>0.117421448087432</c:v>
                </c:pt>
                <c:pt idx="41">
                  <c:v>0.134078378539235</c:v>
                </c:pt>
                <c:pt idx="42">
                  <c:v>0.143585804942682</c:v>
                </c:pt>
                <c:pt idx="43">
                  <c:v>0.154507549830531</c:v>
                </c:pt>
                <c:pt idx="44">
                  <c:v>0.152682993838063</c:v>
                </c:pt>
                <c:pt idx="45">
                  <c:v>0.152772031784786</c:v>
                </c:pt>
                <c:pt idx="46">
                  <c:v>0.152222032584501</c:v>
                </c:pt>
                <c:pt idx="47">
                  <c:v>0.147760578201152</c:v>
                </c:pt>
                <c:pt idx="48">
                  <c:v>0.142894083465399</c:v>
                </c:pt>
                <c:pt idx="49">
                  <c:v>0.136857861699154</c:v>
                </c:pt>
                <c:pt idx="50">
                  <c:v>0.142128457513082</c:v>
                </c:pt>
              </c:numCache>
            </c:numRef>
          </c:val>
        </c:ser>
        <c:ser>
          <c:idx val="0"/>
          <c:order val="1"/>
          <c:tx>
            <c:v>Havens</c:v>
          </c:tx>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'Assets(BoP)'!$LS$58:$LS$108</c:f>
              <c:numCache>
                <c:formatCode>0%</c:formatCode>
                <c:ptCount val="51"/>
                <c:pt idx="0">
                  <c:v>0.00481978602195359</c:v>
                </c:pt>
                <c:pt idx="1">
                  <c:v>0.0050234148908182</c:v>
                </c:pt>
                <c:pt idx="2">
                  <c:v>0.00504122100709049</c:v>
                </c:pt>
                <c:pt idx="3">
                  <c:v>0.00523602001111729</c:v>
                </c:pt>
                <c:pt idx="4">
                  <c:v>0.00580810552068929</c:v>
                </c:pt>
                <c:pt idx="5">
                  <c:v>0.00596440511307768</c:v>
                </c:pt>
                <c:pt idx="6">
                  <c:v>0.00595476402493321</c:v>
                </c:pt>
                <c:pt idx="7">
                  <c:v>0.00658456642800318</c:v>
                </c:pt>
                <c:pt idx="8">
                  <c:v>0.00809298193663014</c:v>
                </c:pt>
                <c:pt idx="9">
                  <c:v>0.0083678588656881</c:v>
                </c:pt>
                <c:pt idx="10">
                  <c:v>0.00859090909090909</c:v>
                </c:pt>
                <c:pt idx="11">
                  <c:v>0.00993372991605048</c:v>
                </c:pt>
                <c:pt idx="12">
                  <c:v>0.0109076309177792</c:v>
                </c:pt>
                <c:pt idx="13">
                  <c:v>0.0123844853660706</c:v>
                </c:pt>
                <c:pt idx="14">
                  <c:v>0.0140158233064117</c:v>
                </c:pt>
                <c:pt idx="15">
                  <c:v>0.0135854671026046</c:v>
                </c:pt>
                <c:pt idx="16">
                  <c:v>0.0136009012815096</c:v>
                </c:pt>
                <c:pt idx="17">
                  <c:v>0.0151955562816533</c:v>
                </c:pt>
                <c:pt idx="18">
                  <c:v>0.0150249709639953</c:v>
                </c:pt>
                <c:pt idx="19">
                  <c:v>0.0154174583355952</c:v>
                </c:pt>
                <c:pt idx="20">
                  <c:v>0.0166694818356634</c:v>
                </c:pt>
                <c:pt idx="21">
                  <c:v>0.0179360069916489</c:v>
                </c:pt>
                <c:pt idx="22">
                  <c:v>0.0160028041126986</c:v>
                </c:pt>
                <c:pt idx="23">
                  <c:v>0.0156124796118941</c:v>
                </c:pt>
                <c:pt idx="24">
                  <c:v>0.0170389785746907</c:v>
                </c:pt>
                <c:pt idx="25">
                  <c:v>0.0186066601106805</c:v>
                </c:pt>
                <c:pt idx="26">
                  <c:v>0.0190944960634216</c:v>
                </c:pt>
                <c:pt idx="27">
                  <c:v>0.0200674219781747</c:v>
                </c:pt>
                <c:pt idx="28">
                  <c:v>0.0208660955669196</c:v>
                </c:pt>
                <c:pt idx="29">
                  <c:v>0.0230278570877383</c:v>
                </c:pt>
                <c:pt idx="30">
                  <c:v>0.0260021161260399</c:v>
                </c:pt>
                <c:pt idx="31">
                  <c:v>0.0276485014362365</c:v>
                </c:pt>
                <c:pt idx="32">
                  <c:v>0.0302894123935703</c:v>
                </c:pt>
                <c:pt idx="33">
                  <c:v>0.0364375810869252</c:v>
                </c:pt>
                <c:pt idx="34">
                  <c:v>0.0397462108454025</c:v>
                </c:pt>
                <c:pt idx="35">
                  <c:v>0.0496656903947913</c:v>
                </c:pt>
                <c:pt idx="36">
                  <c:v>0.0553941484401492</c:v>
                </c:pt>
                <c:pt idx="37">
                  <c:v>0.0603210599947284</c:v>
                </c:pt>
                <c:pt idx="38">
                  <c:v>0.0699132901365159</c:v>
                </c:pt>
                <c:pt idx="39">
                  <c:v>0.0663918397124504</c:v>
                </c:pt>
                <c:pt idx="40">
                  <c:v>0.0742707083833133</c:v>
                </c:pt>
                <c:pt idx="41">
                  <c:v>0.0939766314433966</c:v>
                </c:pt>
                <c:pt idx="42">
                  <c:v>0.102493308013754</c:v>
                </c:pt>
                <c:pt idx="43">
                  <c:v>0.120937729360635</c:v>
                </c:pt>
                <c:pt idx="44">
                  <c:v>0.126226931983202</c:v>
                </c:pt>
                <c:pt idx="45">
                  <c:v>0.135998517109412</c:v>
                </c:pt>
                <c:pt idx="46">
                  <c:v>0.144397698746258</c:v>
                </c:pt>
                <c:pt idx="47">
                  <c:v>0.155446735157288</c:v>
                </c:pt>
                <c:pt idx="48">
                  <c:v>0.16570410723719</c:v>
                </c:pt>
                <c:pt idx="49">
                  <c:v>0.16994231111337</c:v>
                </c:pt>
                <c:pt idx="50">
                  <c:v>0.178276476451533</c:v>
                </c:pt>
              </c:numCache>
            </c:numRef>
          </c:val>
        </c:ser>
        <c:dLbls>
          <c:showLegendKey val="0"/>
          <c:showVal val="0"/>
          <c:showCatName val="0"/>
          <c:showSerName val="0"/>
          <c:showPercent val="0"/>
          <c:showBubbleSize val="0"/>
        </c:dLbls>
        <c:axId val="-2107624488"/>
        <c:axId val="-2107630408"/>
      </c:areaChart>
      <c:catAx>
        <c:axId val="-2107624488"/>
        <c:scaling>
          <c:orientation val="minMax"/>
        </c:scaling>
        <c:delete val="0"/>
        <c:axPos val="b"/>
        <c:numFmt formatCode="General" sourceLinked="1"/>
        <c:majorTickMark val="out"/>
        <c:minorTickMark val="none"/>
        <c:tickLblPos val="nextTo"/>
        <c:crossAx val="-2107630408"/>
        <c:crosses val="autoZero"/>
        <c:auto val="1"/>
        <c:lblAlgn val="ctr"/>
        <c:lblOffset val="100"/>
        <c:noMultiLvlLbl val="0"/>
      </c:catAx>
      <c:valAx>
        <c:axId val="-2107630408"/>
        <c:scaling>
          <c:orientation val="minMax"/>
        </c:scaling>
        <c:delete val="0"/>
        <c:axPos val="l"/>
        <c:majorGridlines/>
        <c:numFmt formatCode="0%" sourceLinked="1"/>
        <c:majorTickMark val="out"/>
        <c:minorTickMark val="none"/>
        <c:tickLblPos val="nextTo"/>
        <c:crossAx val="-2107624488"/>
        <c:crosses val="autoZero"/>
        <c:crossBetween val="midCat"/>
      </c:valAx>
    </c:plotArea>
    <c:legend>
      <c:legendPos val="r"/>
      <c:layout>
        <c:manualLayout>
          <c:xMode val="edge"/>
          <c:yMode val="edge"/>
          <c:x val="0.233531058617673"/>
          <c:y val="0.231097623213765"/>
          <c:w val="0.177060367454068"/>
          <c:h val="0.18174582249617"/>
        </c:manualLayout>
      </c:layout>
      <c:overlay val="0"/>
    </c:legend>
    <c:plotVisOnly val="1"/>
    <c:dispBlanksAs val="zero"/>
    <c:showDLblsOverMax val="0"/>
  </c:chart>
  <c:printSettings>
    <c:headerFooter/>
    <c:pageMargins b="1.0" l="0.75" r="0.75" t="1.0"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4601427329945"/>
          <c:y val="0.074403104825167"/>
          <c:w val="0.906100393700787"/>
          <c:h val="0.783642096821231"/>
        </c:manualLayout>
      </c:layout>
      <c:lineChart>
        <c:grouping val="standard"/>
        <c:varyColors val="0"/>
        <c:ser>
          <c:idx val="0"/>
          <c:order val="0"/>
          <c:tx>
            <c:strRef>
              <c:f>'Assets(BoP)'!$OI$3</c:f>
              <c:strCache>
                <c:ptCount val="1"/>
                <c:pt idx="0">
                  <c:v>Returns on loans from US parents to foreign subs</c:v>
                </c:pt>
              </c:strCache>
            </c:strRef>
          </c:tx>
          <c:marker>
            <c:symbol val="none"/>
          </c:marke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'Assets(BoP)'!$OI$74:$OI$108</c:f>
              <c:numCache>
                <c:formatCode>0.0%</c:formatCode>
                <c:ptCount val="35"/>
                <c:pt idx="0">
                  <c:v>0.0377919107950657</c:v>
                </c:pt>
                <c:pt idx="1">
                  <c:v>0.0348990101902918</c:v>
                </c:pt>
                <c:pt idx="2">
                  <c:v>0.0325691699604743</c:v>
                </c:pt>
                <c:pt idx="3">
                  <c:v>0.0304468874928612</c:v>
                </c:pt>
                <c:pt idx="4">
                  <c:v>0.0286818274664669</c:v>
                </c:pt>
                <c:pt idx="5">
                  <c:v>0.0290457079500913</c:v>
                </c:pt>
                <c:pt idx="6">
                  <c:v>0.0343533912020009</c:v>
                </c:pt>
                <c:pt idx="7">
                  <c:v>0.0366947569610356</c:v>
                </c:pt>
                <c:pt idx="8">
                  <c:v>0.0489083830269578</c:v>
                </c:pt>
                <c:pt idx="9">
                  <c:v>0.0466677824926897</c:v>
                </c:pt>
                <c:pt idx="10">
                  <c:v>0.0348564941284989</c:v>
                </c:pt>
                <c:pt idx="11">
                  <c:v>0.0306466243358818</c:v>
                </c:pt>
                <c:pt idx="12">
                  <c:v>0.0275422069368195</c:v>
                </c:pt>
                <c:pt idx="13">
                  <c:v>0.0295040974138048</c:v>
                </c:pt>
                <c:pt idx="14">
                  <c:v>0.0257199602780536</c:v>
                </c:pt>
                <c:pt idx="15">
                  <c:v>0.0273208089564641</c:v>
                </c:pt>
                <c:pt idx="16">
                  <c:v>0.0255607508301145</c:v>
                </c:pt>
                <c:pt idx="17">
                  <c:v>0.025688662811877</c:v>
                </c:pt>
                <c:pt idx="18">
                  <c:v>0.0293157191628321</c:v>
                </c:pt>
                <c:pt idx="19">
                  <c:v>0.0288012270650332</c:v>
                </c:pt>
                <c:pt idx="20">
                  <c:v>0.0242101741634237</c:v>
                </c:pt>
                <c:pt idx="21">
                  <c:v>0.0233087241455442</c:v>
                </c:pt>
                <c:pt idx="22">
                  <c:v>0.0192633659347679</c:v>
                </c:pt>
                <c:pt idx="23">
                  <c:v>0.0203815757817855</c:v>
                </c:pt>
                <c:pt idx="24">
                  <c:v>0.0207368246008453</c:v>
                </c:pt>
                <c:pt idx="25">
                  <c:v>0.0221524322586463</c:v>
                </c:pt>
                <c:pt idx="26">
                  <c:v>0.0242501532120991</c:v>
                </c:pt>
                <c:pt idx="27">
                  <c:v>0.0172598256710406</c:v>
                </c:pt>
                <c:pt idx="28">
                  <c:v>0.0143252218986585</c:v>
                </c:pt>
                <c:pt idx="29">
                  <c:v>0.0153727119421597</c:v>
                </c:pt>
                <c:pt idx="30">
                  <c:v>0.0186704436201735</c:v>
                </c:pt>
                <c:pt idx="31">
                  <c:v>0.0193168210751875</c:v>
                </c:pt>
                <c:pt idx="32">
                  <c:v>0.0192031786014624</c:v>
                </c:pt>
                <c:pt idx="33">
                  <c:v>0.0195073889171226</c:v>
                </c:pt>
                <c:pt idx="34">
                  <c:v>0.0221655504445027</c:v>
                </c:pt>
              </c:numCache>
            </c:numRef>
          </c:val>
          <c:smooth val="0"/>
        </c:ser>
        <c:ser>
          <c:idx val="1"/>
          <c:order val="1"/>
          <c:tx>
            <c:strRef>
              <c:f>'Assets(BoP)'!$OJ$3</c:f>
              <c:strCache>
                <c:ptCount val="1"/>
                <c:pt idx="0">
                  <c:v>Returns on loans from foreign subs to US parent</c:v>
                </c:pt>
              </c:strCache>
            </c:strRef>
          </c:tx>
          <c:marker>
            <c:symbol val="none"/>
          </c:marke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'Assets(BoP)'!$OJ$74:$OJ$108</c:f>
              <c:numCache>
                <c:formatCode>0.0%</c:formatCode>
                <c:ptCount val="35"/>
                <c:pt idx="0">
                  <c:v>0.0682410369735149</c:v>
                </c:pt>
                <c:pt idx="1">
                  <c:v>0.0826411332950735</c:v>
                </c:pt>
                <c:pt idx="2">
                  <c:v>0.0820701372481351</c:v>
                </c:pt>
                <c:pt idx="3">
                  <c:v>0.0785560901356384</c:v>
                </c:pt>
                <c:pt idx="4">
                  <c:v>0.0721270483873368</c:v>
                </c:pt>
                <c:pt idx="5">
                  <c:v>0.0635121341844274</c:v>
                </c:pt>
                <c:pt idx="6">
                  <c:v>0.0622731319772618</c:v>
                </c:pt>
                <c:pt idx="7">
                  <c:v>0.0499601132470945</c:v>
                </c:pt>
                <c:pt idx="8">
                  <c:v>0.0430589605710493</c:v>
                </c:pt>
                <c:pt idx="9">
                  <c:v>0.0449876109849267</c:v>
                </c:pt>
                <c:pt idx="10">
                  <c:v>0.0359622690947203</c:v>
                </c:pt>
                <c:pt idx="11">
                  <c:v>0.0322253648036443</c:v>
                </c:pt>
                <c:pt idx="12">
                  <c:v>0.0195484581497797</c:v>
                </c:pt>
                <c:pt idx="13">
                  <c:v>0.0211535004942932</c:v>
                </c:pt>
                <c:pt idx="14">
                  <c:v>0.0209411739489224</c:v>
                </c:pt>
                <c:pt idx="15">
                  <c:v>0.0263745745649777</c:v>
                </c:pt>
                <c:pt idx="16">
                  <c:v>0.0213802124036492</c:v>
                </c:pt>
                <c:pt idx="17">
                  <c:v>0.0229237528344671</c:v>
                </c:pt>
                <c:pt idx="18">
                  <c:v>0.0248957889972098</c:v>
                </c:pt>
                <c:pt idx="19">
                  <c:v>0.0237961000835974</c:v>
                </c:pt>
                <c:pt idx="20">
                  <c:v>0.018493162970625</c:v>
                </c:pt>
                <c:pt idx="21">
                  <c:v>0.0142884109189677</c:v>
                </c:pt>
                <c:pt idx="22">
                  <c:v>0.0103699284503938</c:v>
                </c:pt>
                <c:pt idx="23">
                  <c:v>0.0125049622866217</c:v>
                </c:pt>
                <c:pt idx="24">
                  <c:v>0.013289244910261</c:v>
                </c:pt>
                <c:pt idx="25">
                  <c:v>0.0119725587971013</c:v>
                </c:pt>
                <c:pt idx="26">
                  <c:v>0.0122115702278948</c:v>
                </c:pt>
                <c:pt idx="27">
                  <c:v>0.00961452579960182</c:v>
                </c:pt>
                <c:pt idx="28">
                  <c:v>0.00654560068319393</c:v>
                </c:pt>
                <c:pt idx="29">
                  <c:v>0.00545656989376402</c:v>
                </c:pt>
                <c:pt idx="30">
                  <c:v>0.00695668305352008</c:v>
                </c:pt>
                <c:pt idx="31">
                  <c:v>0.0105077438157863</c:v>
                </c:pt>
                <c:pt idx="32">
                  <c:v>0.0107338083711204</c:v>
                </c:pt>
                <c:pt idx="33">
                  <c:v>0.0108068608127789</c:v>
                </c:pt>
                <c:pt idx="34">
                  <c:v>0.0121394906742005</c:v>
                </c:pt>
              </c:numCache>
            </c:numRef>
          </c:val>
          <c:smooth val="0"/>
        </c:ser>
        <c:dLbls>
          <c:showLegendKey val="0"/>
          <c:showVal val="0"/>
          <c:showCatName val="0"/>
          <c:showSerName val="0"/>
          <c:showPercent val="0"/>
          <c:showBubbleSize val="0"/>
        </c:dLbls>
        <c:marker val="1"/>
        <c:smooth val="0"/>
        <c:axId val="-2110649976"/>
        <c:axId val="-2109877128"/>
      </c:lineChart>
      <c:catAx>
        <c:axId val="-2110649976"/>
        <c:scaling>
          <c:orientation val="minMax"/>
        </c:scaling>
        <c:delete val="0"/>
        <c:axPos val="b"/>
        <c:numFmt formatCode="General" sourceLinked="1"/>
        <c:majorTickMark val="out"/>
        <c:minorTickMark val="none"/>
        <c:tickLblPos val="nextTo"/>
        <c:crossAx val="-2109877128"/>
        <c:crosses val="autoZero"/>
        <c:auto val="1"/>
        <c:lblAlgn val="ctr"/>
        <c:lblOffset val="100"/>
        <c:noMultiLvlLbl val="0"/>
      </c:catAx>
      <c:valAx>
        <c:axId val="-2109877128"/>
        <c:scaling>
          <c:orientation val="minMax"/>
        </c:scaling>
        <c:delete val="0"/>
        <c:axPos val="l"/>
        <c:majorGridlines/>
        <c:numFmt formatCode="0.0%" sourceLinked="1"/>
        <c:majorTickMark val="out"/>
        <c:minorTickMark val="none"/>
        <c:tickLblPos val="nextTo"/>
        <c:crossAx val="-2110649976"/>
        <c:crosses val="autoZero"/>
        <c:crossBetween val="between"/>
      </c:valAx>
    </c:plotArea>
    <c:legend>
      <c:legendPos val="r"/>
      <c:layout>
        <c:manualLayout>
          <c:xMode val="edge"/>
          <c:yMode val="edge"/>
          <c:x val="0.287585958971623"/>
          <c:y val="0.153730641489719"/>
          <c:w val="0.690789140316451"/>
          <c:h val="0.409710557013707"/>
        </c:manualLayout>
      </c:layout>
      <c:overlay val="0"/>
    </c:legend>
    <c:plotVisOnly val="1"/>
    <c:dispBlanksAs val="gap"/>
    <c:showDLblsOverMax val="0"/>
  </c:chart>
  <c:printSettings>
    <c:headerFooter/>
    <c:pageMargins b="1.0" l="0.75" r="0.75" t="1.0"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Equity income in tax havens</a:t>
            </a:r>
          </a:p>
        </c:rich>
      </c:tx>
      <c:overlay val="0"/>
    </c:title>
    <c:autoTitleDeleted val="0"/>
    <c:plotArea>
      <c:layout/>
      <c:lineChart>
        <c:grouping val="standard"/>
        <c:varyColors val="0"/>
        <c:ser>
          <c:idx val="0"/>
          <c:order val="0"/>
          <c:marker>
            <c:symbol val="none"/>
          </c:marker>
          <c:cat>
            <c:numRef>
              <c:f>'Assets(BoP)'!$B$68:$B$108</c:f>
              <c:numCache>
                <c:formatCode>General</c:formatCode>
                <c:ptCount val="41"/>
                <c:pt idx="0">
                  <c:v>1976.0</c:v>
                </c:pt>
                <c:pt idx="1">
                  <c:v>1977.0</c:v>
                </c:pt>
                <c:pt idx="2">
                  <c:v>1978.0</c:v>
                </c:pt>
                <c:pt idx="3">
                  <c:v>1979.0</c:v>
                </c:pt>
                <c:pt idx="4">
                  <c:v>1980.0</c:v>
                </c:pt>
                <c:pt idx="5">
                  <c:v>1981.0</c:v>
                </c:pt>
                <c:pt idx="6">
                  <c:v>1982.0</c:v>
                </c:pt>
                <c:pt idx="7">
                  <c:v>1983.0</c:v>
                </c:pt>
                <c:pt idx="8">
                  <c:v>1984.0</c:v>
                </c:pt>
                <c:pt idx="9">
                  <c:v>1985.0</c:v>
                </c:pt>
                <c:pt idx="10">
                  <c:v>1986.0</c:v>
                </c:pt>
                <c:pt idx="11">
                  <c:v>1987.0</c:v>
                </c:pt>
                <c:pt idx="12">
                  <c:v>1988.0</c:v>
                </c:pt>
                <c:pt idx="13">
                  <c:v>1989.0</c:v>
                </c:pt>
                <c:pt idx="14">
                  <c:v>1990.0</c:v>
                </c:pt>
                <c:pt idx="15">
                  <c:v>1991.0</c:v>
                </c:pt>
                <c:pt idx="16">
                  <c:v>1992.0</c:v>
                </c:pt>
                <c:pt idx="17">
                  <c:v>1993.0</c:v>
                </c:pt>
                <c:pt idx="18">
                  <c:v>1994.0</c:v>
                </c:pt>
                <c:pt idx="19">
                  <c:v>1995.0</c:v>
                </c:pt>
                <c:pt idx="20">
                  <c:v>1996.0</c:v>
                </c:pt>
                <c:pt idx="21">
                  <c:v>1997.0</c:v>
                </c:pt>
                <c:pt idx="22">
                  <c:v>1998.0</c:v>
                </c:pt>
                <c:pt idx="23">
                  <c:v>1999.0</c:v>
                </c:pt>
                <c:pt idx="24">
                  <c:v>2000.0</c:v>
                </c:pt>
                <c:pt idx="25">
                  <c:v>2001.0</c:v>
                </c:pt>
                <c:pt idx="26">
                  <c:v>2002.0</c:v>
                </c:pt>
                <c:pt idx="27">
                  <c:v>2003.0</c:v>
                </c:pt>
                <c:pt idx="28">
                  <c:v>2004.0</c:v>
                </c:pt>
                <c:pt idx="29">
                  <c:v>2005.0</c:v>
                </c:pt>
                <c:pt idx="30">
                  <c:v>2006.0</c:v>
                </c:pt>
                <c:pt idx="31">
                  <c:v>2007.0</c:v>
                </c:pt>
                <c:pt idx="32">
                  <c:v>2008.0</c:v>
                </c:pt>
                <c:pt idx="33">
                  <c:v>2009.0</c:v>
                </c:pt>
                <c:pt idx="34">
                  <c:v>2010.0</c:v>
                </c:pt>
                <c:pt idx="35">
                  <c:v>2011.0</c:v>
                </c:pt>
                <c:pt idx="36">
                  <c:v>2012.0</c:v>
                </c:pt>
                <c:pt idx="37">
                  <c:v>2013.0</c:v>
                </c:pt>
                <c:pt idx="38">
                  <c:v>2014.0</c:v>
                </c:pt>
                <c:pt idx="39">
                  <c:v>2015.0</c:v>
                </c:pt>
                <c:pt idx="40">
                  <c:v>2016.0</c:v>
                </c:pt>
              </c:numCache>
            </c:numRef>
          </c:cat>
          <c:val>
            <c:numRef>
              <c:f>'Assets(BoP)'!$FO$68:$FO$108</c:f>
              <c:numCache>
                <c:formatCode>0%</c:formatCode>
                <c:ptCount val="41"/>
                <c:pt idx="0">
                  <c:v>0.172982221600561</c:v>
                </c:pt>
                <c:pt idx="1">
                  <c:v>0.178039235042199</c:v>
                </c:pt>
                <c:pt idx="2">
                  <c:v>0.19437805299681</c:v>
                </c:pt>
                <c:pt idx="3">
                  <c:v>0.205790112831183</c:v>
                </c:pt>
                <c:pt idx="4">
                  <c:v>0.2087642843199</c:v>
                </c:pt>
                <c:pt idx="5">
                  <c:v>0.216403931374861</c:v>
                </c:pt>
                <c:pt idx="6">
                  <c:v>0.271158810901292</c:v>
                </c:pt>
                <c:pt idx="7">
                  <c:v>0.222113376522673</c:v>
                </c:pt>
                <c:pt idx="8">
                  <c:v>0.201621477033878</c:v>
                </c:pt>
                <c:pt idx="9">
                  <c:v>0.210382013477585</c:v>
                </c:pt>
                <c:pt idx="10">
                  <c:v>0.229541195928789</c:v>
                </c:pt>
                <c:pt idx="11">
                  <c:v>0.245236656658777</c:v>
                </c:pt>
                <c:pt idx="12">
                  <c:v>0.205105833281571</c:v>
                </c:pt>
                <c:pt idx="13">
                  <c:v>0.223689986216114</c:v>
                </c:pt>
                <c:pt idx="14">
                  <c:v>0.25578334719623</c:v>
                </c:pt>
                <c:pt idx="15">
                  <c:v>0.260930755476248</c:v>
                </c:pt>
                <c:pt idx="16">
                  <c:v>0.275850495044619</c:v>
                </c:pt>
                <c:pt idx="17">
                  <c:v>0.251579924163366</c:v>
                </c:pt>
                <c:pt idx="18">
                  <c:v>0.30775653020771</c:v>
                </c:pt>
                <c:pt idx="19">
                  <c:v>0.270267165574437</c:v>
                </c:pt>
                <c:pt idx="20">
                  <c:v>0.282022002605107</c:v>
                </c:pt>
                <c:pt idx="21">
                  <c:v>0.303588039985534</c:v>
                </c:pt>
                <c:pt idx="22">
                  <c:v>0.351907019157854</c:v>
                </c:pt>
                <c:pt idx="23">
                  <c:v>0.359578087938702</c:v>
                </c:pt>
                <c:pt idx="24">
                  <c:v>0.322941930958522</c:v>
                </c:pt>
                <c:pt idx="25">
                  <c:v>0.401414517346743</c:v>
                </c:pt>
                <c:pt idx="26">
                  <c:v>0.423553781715942</c:v>
                </c:pt>
                <c:pt idx="27">
                  <c:v>0.419945192401477</c:v>
                </c:pt>
                <c:pt idx="28">
                  <c:v>0.438743566297518</c:v>
                </c:pt>
                <c:pt idx="29">
                  <c:v>0.455847106862763</c:v>
                </c:pt>
                <c:pt idx="30">
                  <c:v>0.431205492217513</c:v>
                </c:pt>
                <c:pt idx="31">
                  <c:v>0.467427945338545</c:v>
                </c:pt>
                <c:pt idx="32">
                  <c:v>0.480285607660247</c:v>
                </c:pt>
                <c:pt idx="33">
                  <c:v>0.534488024279678</c:v>
                </c:pt>
                <c:pt idx="34">
                  <c:v>0.521574310576668</c:v>
                </c:pt>
                <c:pt idx="35">
                  <c:v>0.522672209802132</c:v>
                </c:pt>
                <c:pt idx="36">
                  <c:v>0.556262483580282</c:v>
                </c:pt>
                <c:pt idx="37">
                  <c:v>0.586157395653189</c:v>
                </c:pt>
                <c:pt idx="38">
                  <c:v>0.614601901709509</c:v>
                </c:pt>
                <c:pt idx="39">
                  <c:v>0.640605829164599</c:v>
                </c:pt>
                <c:pt idx="40">
                  <c:v>0.641357874887316</c:v>
                </c:pt>
              </c:numCache>
            </c:numRef>
          </c:val>
          <c:smooth val="0"/>
        </c:ser>
        <c:dLbls>
          <c:showLegendKey val="0"/>
          <c:showVal val="0"/>
          <c:showCatName val="0"/>
          <c:showSerName val="0"/>
          <c:showPercent val="0"/>
          <c:showBubbleSize val="0"/>
        </c:dLbls>
        <c:marker val="1"/>
        <c:smooth val="0"/>
        <c:axId val="-2109869224"/>
        <c:axId val="-2109919048"/>
      </c:lineChart>
      <c:catAx>
        <c:axId val="-2109869224"/>
        <c:scaling>
          <c:orientation val="minMax"/>
        </c:scaling>
        <c:delete val="0"/>
        <c:axPos val="b"/>
        <c:numFmt formatCode="General" sourceLinked="1"/>
        <c:majorTickMark val="out"/>
        <c:minorTickMark val="none"/>
        <c:tickLblPos val="nextTo"/>
        <c:crossAx val="-2109919048"/>
        <c:crosses val="autoZero"/>
        <c:auto val="1"/>
        <c:lblAlgn val="ctr"/>
        <c:lblOffset val="100"/>
        <c:noMultiLvlLbl val="0"/>
      </c:catAx>
      <c:valAx>
        <c:axId val="-2109919048"/>
        <c:scaling>
          <c:orientation val="minMax"/>
        </c:scaling>
        <c:delete val="0"/>
        <c:axPos val="l"/>
        <c:majorGridlines/>
        <c:numFmt formatCode="0%" sourceLinked="1"/>
        <c:majorTickMark val="out"/>
        <c:minorTickMark val="none"/>
        <c:tickLblPos val="nextTo"/>
        <c:crossAx val="-2109869224"/>
        <c:crosses val="autoZero"/>
        <c:crossBetween val="between"/>
      </c:valAx>
    </c:plotArea>
    <c:plotVisOnly val="1"/>
    <c:dispBlanksAs val="gap"/>
    <c:showDLblsOverMax val="0"/>
  </c:chart>
  <c:printSettings>
    <c:headerFooter/>
    <c:pageMargins b="1.0" l="0.75" r="0.75" t="1.0"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Profits made abroad</a:t>
            </a:r>
            <a:r>
              <a:rPr lang="en-US" baseline="0"/>
              <a:t> by U.S. firms</a:t>
            </a:r>
          </a:p>
          <a:p>
            <a:pPr>
              <a:defRPr/>
            </a:pPr>
            <a:r>
              <a:rPr lang="en-US" baseline="0"/>
              <a:t>(% of U.S. corporate profits)</a:t>
            </a:r>
            <a:endParaRPr lang="en-US"/>
          </a:p>
        </c:rich>
      </c:tx>
      <c:overlay val="0"/>
    </c:title>
    <c:autoTitleDeleted val="0"/>
    <c:plotArea>
      <c:layout>
        <c:manualLayout>
          <c:layoutTarget val="inner"/>
          <c:xMode val="edge"/>
          <c:yMode val="edge"/>
          <c:x val="0.0932248468941382"/>
          <c:y val="0.125925925925926"/>
          <c:w val="0.876417322834646"/>
          <c:h val="0.718132837561971"/>
        </c:manualLayout>
      </c:layout>
      <c:areaChart>
        <c:grouping val="stacked"/>
        <c:varyColors val="0"/>
        <c:ser>
          <c:idx val="1"/>
          <c:order val="0"/>
          <c:tx>
            <c:v>Non havens</c:v>
          </c:tx>
          <c:cat>
            <c:numRef>
              <c:f>'Assets(BoP)'!$B$21:$B$108</c:f>
              <c:numCache>
                <c:formatCode>General</c:formatCode>
                <c:ptCount val="88"/>
                <c:pt idx="0">
                  <c:v>1929.0</c:v>
                </c:pt>
                <c:pt idx="1">
                  <c:v>1930.0</c:v>
                </c:pt>
                <c:pt idx="2">
                  <c:v>1931.0</c:v>
                </c:pt>
                <c:pt idx="3">
                  <c:v>1932.0</c:v>
                </c:pt>
                <c:pt idx="4">
                  <c:v>1933.0</c:v>
                </c:pt>
                <c:pt idx="5">
                  <c:v>1934.0</c:v>
                </c:pt>
                <c:pt idx="6">
                  <c:v>1935.0</c:v>
                </c:pt>
                <c:pt idx="7">
                  <c:v>1936.0</c:v>
                </c:pt>
                <c:pt idx="8">
                  <c:v>1937.0</c:v>
                </c:pt>
                <c:pt idx="9">
                  <c:v>1938.0</c:v>
                </c:pt>
                <c:pt idx="10">
                  <c:v>1939.0</c:v>
                </c:pt>
                <c:pt idx="11">
                  <c:v>1940.0</c:v>
                </c:pt>
                <c:pt idx="12">
                  <c:v>1941.0</c:v>
                </c:pt>
                <c:pt idx="13">
                  <c:v>1942.0</c:v>
                </c:pt>
                <c:pt idx="14">
                  <c:v>1943.0</c:v>
                </c:pt>
                <c:pt idx="15">
                  <c:v>1944.0</c:v>
                </c:pt>
                <c:pt idx="16">
                  <c:v>1945.0</c:v>
                </c:pt>
                <c:pt idx="17">
                  <c:v>1946.0</c:v>
                </c:pt>
                <c:pt idx="18">
                  <c:v>1947.0</c:v>
                </c:pt>
                <c:pt idx="19">
                  <c:v>1948.0</c:v>
                </c:pt>
                <c:pt idx="20">
                  <c:v>1949.0</c:v>
                </c:pt>
                <c:pt idx="21">
                  <c:v>1950.0</c:v>
                </c:pt>
                <c:pt idx="22">
                  <c:v>1951.0</c:v>
                </c:pt>
                <c:pt idx="23">
                  <c:v>1952.0</c:v>
                </c:pt>
                <c:pt idx="24">
                  <c:v>1953.0</c:v>
                </c:pt>
                <c:pt idx="25">
                  <c:v>1954.0</c:v>
                </c:pt>
                <c:pt idx="26">
                  <c:v>1955.0</c:v>
                </c:pt>
                <c:pt idx="27">
                  <c:v>1956.0</c:v>
                </c:pt>
                <c:pt idx="28">
                  <c:v>1957.0</c:v>
                </c:pt>
                <c:pt idx="29">
                  <c:v>1958.0</c:v>
                </c:pt>
                <c:pt idx="30">
                  <c:v>1959.0</c:v>
                </c:pt>
                <c:pt idx="31">
                  <c:v>1960.0</c:v>
                </c:pt>
                <c:pt idx="32">
                  <c:v>1961.0</c:v>
                </c:pt>
                <c:pt idx="33">
                  <c:v>1962.0</c:v>
                </c:pt>
                <c:pt idx="34">
                  <c:v>1963.0</c:v>
                </c:pt>
                <c:pt idx="35">
                  <c:v>1964.0</c:v>
                </c:pt>
                <c:pt idx="36">
                  <c:v>1965.0</c:v>
                </c:pt>
                <c:pt idx="37">
                  <c:v>1966.0</c:v>
                </c:pt>
                <c:pt idx="38">
                  <c:v>1967.0</c:v>
                </c:pt>
                <c:pt idx="39">
                  <c:v>1968.0</c:v>
                </c:pt>
                <c:pt idx="40">
                  <c:v>1969.0</c:v>
                </c:pt>
                <c:pt idx="41">
                  <c:v>1970.0</c:v>
                </c:pt>
                <c:pt idx="42">
                  <c:v>1971.0</c:v>
                </c:pt>
                <c:pt idx="43">
                  <c:v>1972.0</c:v>
                </c:pt>
                <c:pt idx="44">
                  <c:v>1973.0</c:v>
                </c:pt>
                <c:pt idx="45">
                  <c:v>1974.0</c:v>
                </c:pt>
                <c:pt idx="46">
                  <c:v>1975.0</c:v>
                </c:pt>
                <c:pt idx="47">
                  <c:v>1976.0</c:v>
                </c:pt>
                <c:pt idx="48">
                  <c:v>1977.0</c:v>
                </c:pt>
                <c:pt idx="49">
                  <c:v>1978.0</c:v>
                </c:pt>
                <c:pt idx="50">
                  <c:v>1979.0</c:v>
                </c:pt>
                <c:pt idx="51">
                  <c:v>1980.0</c:v>
                </c:pt>
                <c:pt idx="52">
                  <c:v>1981.0</c:v>
                </c:pt>
                <c:pt idx="53">
                  <c:v>1982.0</c:v>
                </c:pt>
                <c:pt idx="54">
                  <c:v>1983.0</c:v>
                </c:pt>
                <c:pt idx="55">
                  <c:v>1984.0</c:v>
                </c:pt>
                <c:pt idx="56">
                  <c:v>1985.0</c:v>
                </c:pt>
                <c:pt idx="57">
                  <c:v>1986.0</c:v>
                </c:pt>
                <c:pt idx="58">
                  <c:v>1987.0</c:v>
                </c:pt>
                <c:pt idx="59">
                  <c:v>1988.0</c:v>
                </c:pt>
                <c:pt idx="60">
                  <c:v>1989.0</c:v>
                </c:pt>
                <c:pt idx="61">
                  <c:v>1990.0</c:v>
                </c:pt>
                <c:pt idx="62">
                  <c:v>1991.0</c:v>
                </c:pt>
                <c:pt idx="63">
                  <c:v>1992.0</c:v>
                </c:pt>
                <c:pt idx="64">
                  <c:v>1993.0</c:v>
                </c:pt>
                <c:pt idx="65">
                  <c:v>1994.0</c:v>
                </c:pt>
                <c:pt idx="66">
                  <c:v>1995.0</c:v>
                </c:pt>
                <c:pt idx="67">
                  <c:v>1996.0</c:v>
                </c:pt>
                <c:pt idx="68">
                  <c:v>1997.0</c:v>
                </c:pt>
                <c:pt idx="69">
                  <c:v>1998.0</c:v>
                </c:pt>
                <c:pt idx="70">
                  <c:v>1999.0</c:v>
                </c:pt>
                <c:pt idx="71">
                  <c:v>2000.0</c:v>
                </c:pt>
                <c:pt idx="72">
                  <c:v>2001.0</c:v>
                </c:pt>
                <c:pt idx="73">
                  <c:v>2002.0</c:v>
                </c:pt>
                <c:pt idx="74">
                  <c:v>2003.0</c:v>
                </c:pt>
                <c:pt idx="75">
                  <c:v>2004.0</c:v>
                </c:pt>
                <c:pt idx="76">
                  <c:v>2005.0</c:v>
                </c:pt>
                <c:pt idx="77">
                  <c:v>2006.0</c:v>
                </c:pt>
                <c:pt idx="78">
                  <c:v>2007.0</c:v>
                </c:pt>
                <c:pt idx="79">
                  <c:v>2008.0</c:v>
                </c:pt>
                <c:pt idx="80">
                  <c:v>2009.0</c:v>
                </c:pt>
                <c:pt idx="81">
                  <c:v>2010.0</c:v>
                </c:pt>
                <c:pt idx="82">
                  <c:v>2011.0</c:v>
                </c:pt>
                <c:pt idx="83">
                  <c:v>2012.0</c:v>
                </c:pt>
                <c:pt idx="84">
                  <c:v>2013.0</c:v>
                </c:pt>
                <c:pt idx="85">
                  <c:v>2014.0</c:v>
                </c:pt>
                <c:pt idx="86">
                  <c:v>2015.0</c:v>
                </c:pt>
                <c:pt idx="87">
                  <c:v>2016.0</c:v>
                </c:pt>
              </c:numCache>
            </c:numRef>
          </c:cat>
          <c:val>
            <c:numRef>
              <c:f>'Assets(BoP)'!$FR$21:$FR$108</c:f>
              <c:numCache>
                <c:formatCode>0%</c:formatCode>
                <c:ptCount val="88"/>
                <c:pt idx="0">
                  <c:v>0.0176766468614165</c:v>
                </c:pt>
                <c:pt idx="1">
                  <c:v>0.012716041859197</c:v>
                </c:pt>
                <c:pt idx="2">
                  <c:v>0.0</c:v>
                </c:pt>
                <c:pt idx="3">
                  <c:v>0.0</c:v>
                </c:pt>
                <c:pt idx="4">
                  <c:v>0.0</c:v>
                </c:pt>
                <c:pt idx="5">
                  <c:v>0.0497111371607973</c:v>
                </c:pt>
                <c:pt idx="6">
                  <c:v>0.0620842735729034</c:v>
                </c:pt>
                <c:pt idx="7">
                  <c:v>0.0200095566757452</c:v>
                </c:pt>
                <c:pt idx="8">
                  <c:v>0.0523732206901832</c:v>
                </c:pt>
                <c:pt idx="9">
                  <c:v>0.0743043959263483</c:v>
                </c:pt>
                <c:pt idx="10">
                  <c:v>0.0562415291459366</c:v>
                </c:pt>
                <c:pt idx="11">
                  <c:v>0.0374612328378406</c:v>
                </c:pt>
                <c:pt idx="12">
                  <c:v>0.0314682223206847</c:v>
                </c:pt>
                <c:pt idx="13">
                  <c:v>0.0237314378562502</c:v>
                </c:pt>
                <c:pt idx="14">
                  <c:v>0.0198062941520184</c:v>
                </c:pt>
                <c:pt idx="15">
                  <c:v>0.0197095816544204</c:v>
                </c:pt>
                <c:pt idx="16">
                  <c:v>0.0180110618903329</c:v>
                </c:pt>
                <c:pt idx="17">
                  <c:v>0.0472947283952902</c:v>
                </c:pt>
                <c:pt idx="18">
                  <c:v>0.0507673545750281</c:v>
                </c:pt>
                <c:pt idx="19">
                  <c:v>0.0508191124235656</c:v>
                </c:pt>
                <c:pt idx="20">
                  <c:v>0.0483413973702103</c:v>
                </c:pt>
                <c:pt idx="21">
                  <c:v>0.0467195892584389</c:v>
                </c:pt>
                <c:pt idx="22">
                  <c:v>0.0522608862064531</c:v>
                </c:pt>
                <c:pt idx="23">
                  <c:v>0.054187057738776</c:v>
                </c:pt>
                <c:pt idx="24">
                  <c:v>0.0533326023015621</c:v>
                </c:pt>
                <c:pt idx="25">
                  <c:v>0.0567277460414264</c:v>
                </c:pt>
                <c:pt idx="26">
                  <c:v>0.0538873356835277</c:v>
                </c:pt>
                <c:pt idx="27">
                  <c:v>0.0638852165909902</c:v>
                </c:pt>
                <c:pt idx="28">
                  <c:v>0.0701671300888546</c:v>
                </c:pt>
                <c:pt idx="29">
                  <c:v>0.0635740994960086</c:v>
                </c:pt>
                <c:pt idx="30">
                  <c:v>0.0569402103410912</c:v>
                </c:pt>
                <c:pt idx="31">
                  <c:v>0.0645117321229429</c:v>
                </c:pt>
                <c:pt idx="32">
                  <c:v>0.0680492634320548</c:v>
                </c:pt>
                <c:pt idx="33">
                  <c:v>0.0651767220692374</c:v>
                </c:pt>
                <c:pt idx="34">
                  <c:v>0.0630551172022461</c:v>
                </c:pt>
                <c:pt idx="35">
                  <c:v>0.0643056076098951</c:v>
                </c:pt>
                <c:pt idx="36">
                  <c:v>0.0590074756439073</c:v>
                </c:pt>
                <c:pt idx="37">
                  <c:v>0.053952984616551</c:v>
                </c:pt>
                <c:pt idx="38">
                  <c:v>0.0576550248923986</c:v>
                </c:pt>
                <c:pt idx="39">
                  <c:v>0.0639573775282826</c:v>
                </c:pt>
                <c:pt idx="40">
                  <c:v>0.0744117905838158</c:v>
                </c:pt>
                <c:pt idx="41">
                  <c:v>0.0904307332638607</c:v>
                </c:pt>
                <c:pt idx="42">
                  <c:v>0.0880708597362795</c:v>
                </c:pt>
                <c:pt idx="43">
                  <c:v>0.0907365835133193</c:v>
                </c:pt>
                <c:pt idx="44">
                  <c:v>0.116998508200459</c:v>
                </c:pt>
                <c:pt idx="45">
                  <c:v>0.138363679674873</c:v>
                </c:pt>
                <c:pt idx="46">
                  <c:v>0.108190496211252</c:v>
                </c:pt>
                <c:pt idx="47">
                  <c:v>0.0996406961927034</c:v>
                </c:pt>
                <c:pt idx="48">
                  <c:v>0.0946572892589887</c:v>
                </c:pt>
                <c:pt idx="49">
                  <c:v>0.0979171687472443</c:v>
                </c:pt>
                <c:pt idx="50">
                  <c:v>0.135876872262617</c:v>
                </c:pt>
                <c:pt idx="51">
                  <c:v>0.155345473695691</c:v>
                </c:pt>
                <c:pt idx="52">
                  <c:v>0.120309699425274</c:v>
                </c:pt>
                <c:pt idx="53">
                  <c:v>0.116348288994879</c:v>
                </c:pt>
                <c:pt idx="54">
                  <c:v>0.1142642609897</c:v>
                </c:pt>
                <c:pt idx="55">
                  <c:v>0.109159774374178</c:v>
                </c:pt>
                <c:pt idx="56">
                  <c:v>0.104242938700279</c:v>
                </c:pt>
                <c:pt idx="57">
                  <c:v>0.115663821696264</c:v>
                </c:pt>
                <c:pt idx="58">
                  <c:v>0.121463281209831</c:v>
                </c:pt>
                <c:pt idx="59">
                  <c:v>0.137176240870184</c:v>
                </c:pt>
                <c:pt idx="60">
                  <c:v>0.141505084598463</c:v>
                </c:pt>
                <c:pt idx="61">
                  <c:v>0.144490769120578</c:v>
                </c:pt>
                <c:pt idx="62">
                  <c:v>0.123478442360051</c:v>
                </c:pt>
                <c:pt idx="63">
                  <c:v>0.119294984721242</c:v>
                </c:pt>
                <c:pt idx="64">
                  <c:v>0.127604189175212</c:v>
                </c:pt>
                <c:pt idx="65">
                  <c:v>0.116431366683186</c:v>
                </c:pt>
                <c:pt idx="66">
                  <c:v>0.132244613237293</c:v>
                </c:pt>
                <c:pt idx="67">
                  <c:v>0.127319848412222</c:v>
                </c:pt>
                <c:pt idx="68">
                  <c:v>0.125077454125952</c:v>
                </c:pt>
                <c:pt idx="69">
                  <c:v>0.118238080200899</c:v>
                </c:pt>
                <c:pt idx="70">
                  <c:v>0.136770422799889</c:v>
                </c:pt>
                <c:pt idx="71">
                  <c:v>0.176024697673226</c:v>
                </c:pt>
                <c:pt idx="72">
                  <c:v>0.145518194920878</c:v>
                </c:pt>
                <c:pt idx="73">
                  <c:v>0.130450185861681</c:v>
                </c:pt>
                <c:pt idx="74">
                  <c:v>0.137271584532024</c:v>
                </c:pt>
                <c:pt idx="75">
                  <c:v>0.143495859033573</c:v>
                </c:pt>
                <c:pt idx="76">
                  <c:v>0.141294894157649</c:v>
                </c:pt>
                <c:pt idx="77">
                  <c:v>0.149859129958119</c:v>
                </c:pt>
                <c:pt idx="78">
                  <c:v>0.177779448462529</c:v>
                </c:pt>
                <c:pt idx="79">
                  <c:v>0.235369836076365</c:v>
                </c:pt>
                <c:pt idx="80">
                  <c:v>0.16597817831517</c:v>
                </c:pt>
                <c:pt idx="81">
                  <c:v>0.160150972306963</c:v>
                </c:pt>
                <c:pt idx="82">
                  <c:v>0.169295549501534</c:v>
                </c:pt>
                <c:pt idx="83">
                  <c:v>0.14441122356508</c:v>
                </c:pt>
                <c:pt idx="84">
                  <c:v>0.136006809958239</c:v>
                </c:pt>
                <c:pt idx="85">
                  <c:v>0.123562886506944</c:v>
                </c:pt>
                <c:pt idx="86">
                  <c:v>0.11084785500477</c:v>
                </c:pt>
                <c:pt idx="87">
                  <c:v>0.116128441186716</c:v>
                </c:pt>
              </c:numCache>
            </c:numRef>
          </c:val>
        </c:ser>
        <c:ser>
          <c:idx val="0"/>
          <c:order val="1"/>
          <c:tx>
            <c:v>Havens</c:v>
          </c:tx>
          <c:cat>
            <c:numRef>
              <c:f>'Assets(BoP)'!$B$21:$B$108</c:f>
              <c:numCache>
                <c:formatCode>General</c:formatCode>
                <c:ptCount val="88"/>
                <c:pt idx="0">
                  <c:v>1929.0</c:v>
                </c:pt>
                <c:pt idx="1">
                  <c:v>1930.0</c:v>
                </c:pt>
                <c:pt idx="2">
                  <c:v>1931.0</c:v>
                </c:pt>
                <c:pt idx="3">
                  <c:v>1932.0</c:v>
                </c:pt>
                <c:pt idx="4">
                  <c:v>1933.0</c:v>
                </c:pt>
                <c:pt idx="5">
                  <c:v>1934.0</c:v>
                </c:pt>
                <c:pt idx="6">
                  <c:v>1935.0</c:v>
                </c:pt>
                <c:pt idx="7">
                  <c:v>1936.0</c:v>
                </c:pt>
                <c:pt idx="8">
                  <c:v>1937.0</c:v>
                </c:pt>
                <c:pt idx="9">
                  <c:v>1938.0</c:v>
                </c:pt>
                <c:pt idx="10">
                  <c:v>1939.0</c:v>
                </c:pt>
                <c:pt idx="11">
                  <c:v>1940.0</c:v>
                </c:pt>
                <c:pt idx="12">
                  <c:v>1941.0</c:v>
                </c:pt>
                <c:pt idx="13">
                  <c:v>1942.0</c:v>
                </c:pt>
                <c:pt idx="14">
                  <c:v>1943.0</c:v>
                </c:pt>
                <c:pt idx="15">
                  <c:v>1944.0</c:v>
                </c:pt>
                <c:pt idx="16">
                  <c:v>1945.0</c:v>
                </c:pt>
                <c:pt idx="17">
                  <c:v>1946.0</c:v>
                </c:pt>
                <c:pt idx="18">
                  <c:v>1947.0</c:v>
                </c:pt>
                <c:pt idx="19">
                  <c:v>1948.0</c:v>
                </c:pt>
                <c:pt idx="20">
                  <c:v>1949.0</c:v>
                </c:pt>
                <c:pt idx="21">
                  <c:v>1950.0</c:v>
                </c:pt>
                <c:pt idx="22">
                  <c:v>1951.0</c:v>
                </c:pt>
                <c:pt idx="23">
                  <c:v>1952.0</c:v>
                </c:pt>
                <c:pt idx="24">
                  <c:v>1953.0</c:v>
                </c:pt>
                <c:pt idx="25">
                  <c:v>1954.0</c:v>
                </c:pt>
                <c:pt idx="26">
                  <c:v>1955.0</c:v>
                </c:pt>
                <c:pt idx="27">
                  <c:v>1956.0</c:v>
                </c:pt>
                <c:pt idx="28">
                  <c:v>1957.0</c:v>
                </c:pt>
                <c:pt idx="29">
                  <c:v>1958.0</c:v>
                </c:pt>
                <c:pt idx="30">
                  <c:v>1959.0</c:v>
                </c:pt>
                <c:pt idx="31">
                  <c:v>1960.0</c:v>
                </c:pt>
                <c:pt idx="32">
                  <c:v>1961.0</c:v>
                </c:pt>
                <c:pt idx="33">
                  <c:v>1962.0</c:v>
                </c:pt>
                <c:pt idx="34">
                  <c:v>1963.0</c:v>
                </c:pt>
                <c:pt idx="35">
                  <c:v>1964.0</c:v>
                </c:pt>
                <c:pt idx="36">
                  <c:v>1965.0</c:v>
                </c:pt>
                <c:pt idx="37">
                  <c:v>1966.0</c:v>
                </c:pt>
                <c:pt idx="38">
                  <c:v>1967.0</c:v>
                </c:pt>
                <c:pt idx="39">
                  <c:v>1968.0</c:v>
                </c:pt>
                <c:pt idx="40">
                  <c:v>1969.0</c:v>
                </c:pt>
                <c:pt idx="41">
                  <c:v>1970.0</c:v>
                </c:pt>
                <c:pt idx="42">
                  <c:v>1971.0</c:v>
                </c:pt>
                <c:pt idx="43">
                  <c:v>1972.0</c:v>
                </c:pt>
                <c:pt idx="44">
                  <c:v>1973.0</c:v>
                </c:pt>
                <c:pt idx="45">
                  <c:v>1974.0</c:v>
                </c:pt>
                <c:pt idx="46">
                  <c:v>1975.0</c:v>
                </c:pt>
                <c:pt idx="47">
                  <c:v>1976.0</c:v>
                </c:pt>
                <c:pt idx="48">
                  <c:v>1977.0</c:v>
                </c:pt>
                <c:pt idx="49">
                  <c:v>1978.0</c:v>
                </c:pt>
                <c:pt idx="50">
                  <c:v>1979.0</c:v>
                </c:pt>
                <c:pt idx="51">
                  <c:v>1980.0</c:v>
                </c:pt>
                <c:pt idx="52">
                  <c:v>1981.0</c:v>
                </c:pt>
                <c:pt idx="53">
                  <c:v>1982.0</c:v>
                </c:pt>
                <c:pt idx="54">
                  <c:v>1983.0</c:v>
                </c:pt>
                <c:pt idx="55">
                  <c:v>1984.0</c:v>
                </c:pt>
                <c:pt idx="56">
                  <c:v>1985.0</c:v>
                </c:pt>
                <c:pt idx="57">
                  <c:v>1986.0</c:v>
                </c:pt>
                <c:pt idx="58">
                  <c:v>1987.0</c:v>
                </c:pt>
                <c:pt idx="59">
                  <c:v>1988.0</c:v>
                </c:pt>
                <c:pt idx="60">
                  <c:v>1989.0</c:v>
                </c:pt>
                <c:pt idx="61">
                  <c:v>1990.0</c:v>
                </c:pt>
                <c:pt idx="62">
                  <c:v>1991.0</c:v>
                </c:pt>
                <c:pt idx="63">
                  <c:v>1992.0</c:v>
                </c:pt>
                <c:pt idx="64">
                  <c:v>1993.0</c:v>
                </c:pt>
                <c:pt idx="65">
                  <c:v>1994.0</c:v>
                </c:pt>
                <c:pt idx="66">
                  <c:v>1995.0</c:v>
                </c:pt>
                <c:pt idx="67">
                  <c:v>1996.0</c:v>
                </c:pt>
                <c:pt idx="68">
                  <c:v>1997.0</c:v>
                </c:pt>
                <c:pt idx="69">
                  <c:v>1998.0</c:v>
                </c:pt>
                <c:pt idx="70">
                  <c:v>1999.0</c:v>
                </c:pt>
                <c:pt idx="71">
                  <c:v>2000.0</c:v>
                </c:pt>
                <c:pt idx="72">
                  <c:v>2001.0</c:v>
                </c:pt>
                <c:pt idx="73">
                  <c:v>2002.0</c:v>
                </c:pt>
                <c:pt idx="74">
                  <c:v>2003.0</c:v>
                </c:pt>
                <c:pt idx="75">
                  <c:v>2004.0</c:v>
                </c:pt>
                <c:pt idx="76">
                  <c:v>2005.0</c:v>
                </c:pt>
                <c:pt idx="77">
                  <c:v>2006.0</c:v>
                </c:pt>
                <c:pt idx="78">
                  <c:v>2007.0</c:v>
                </c:pt>
                <c:pt idx="79">
                  <c:v>2008.0</c:v>
                </c:pt>
                <c:pt idx="80">
                  <c:v>2009.0</c:v>
                </c:pt>
                <c:pt idx="81">
                  <c:v>2010.0</c:v>
                </c:pt>
                <c:pt idx="82">
                  <c:v>2011.0</c:v>
                </c:pt>
                <c:pt idx="83">
                  <c:v>2012.0</c:v>
                </c:pt>
                <c:pt idx="84">
                  <c:v>2013.0</c:v>
                </c:pt>
                <c:pt idx="85">
                  <c:v>2014.0</c:v>
                </c:pt>
                <c:pt idx="86">
                  <c:v>2015.0</c:v>
                </c:pt>
                <c:pt idx="87">
                  <c:v>2016.0</c:v>
                </c:pt>
              </c:numCache>
            </c:numRef>
          </c:cat>
          <c:val>
            <c:numRef>
              <c:f>'Assets(BoP)'!$FQ$21:$FQ$108</c:f>
              <c:numCache>
                <c:formatCode>0%</c:formatCode>
                <c:ptCount val="88"/>
                <c:pt idx="0">
                  <c:v>0.000841871657101968</c:v>
                </c:pt>
                <c:pt idx="1">
                  <c:v>0.00061729147413636</c:v>
                </c:pt>
                <c:pt idx="2">
                  <c:v>0.0</c:v>
                </c:pt>
                <c:pt idx="3">
                  <c:v>0.0</c:v>
                </c:pt>
                <c:pt idx="4">
                  <c:v>0.0</c:v>
                </c:pt>
                <c:pt idx="5">
                  <c:v>0.00259655514689498</c:v>
                </c:pt>
                <c:pt idx="6">
                  <c:v>0.003300341811712</c:v>
                </c:pt>
                <c:pt idx="7">
                  <c:v>0.00108225473864686</c:v>
                </c:pt>
                <c:pt idx="8">
                  <c:v>0.00288138386019597</c:v>
                </c:pt>
                <c:pt idx="9">
                  <c:v>0.0041571425351902</c:v>
                </c:pt>
                <c:pt idx="10">
                  <c:v>0.00319903029462283</c:v>
                </c:pt>
                <c:pt idx="11">
                  <c:v>0.00216580678919903</c:v>
                </c:pt>
                <c:pt idx="12">
                  <c:v>0.00184877914918302</c:v>
                </c:pt>
                <c:pt idx="13">
                  <c:v>0.00141649113783267</c:v>
                </c:pt>
                <c:pt idx="14">
                  <c:v>0.00120081119243638</c:v>
                </c:pt>
                <c:pt idx="15">
                  <c:v>0.00121349526865648</c:v>
                </c:pt>
                <c:pt idx="16">
                  <c:v>0.00112589871004238</c:v>
                </c:pt>
                <c:pt idx="17">
                  <c:v>0.00300112959287543</c:v>
                </c:pt>
                <c:pt idx="18">
                  <c:v>0.00326951764366226</c:v>
                </c:pt>
                <c:pt idx="19">
                  <c:v>0.00332101496496943</c:v>
                </c:pt>
                <c:pt idx="20">
                  <c:v>0.00320499438236705</c:v>
                </c:pt>
                <c:pt idx="21">
                  <c:v>0.00314190658643642</c:v>
                </c:pt>
                <c:pt idx="22">
                  <c:v>0.00356435651199352</c:v>
                </c:pt>
                <c:pt idx="23">
                  <c:v>0.00374745107734485</c:v>
                </c:pt>
                <c:pt idx="24">
                  <c:v>0.00373935799620467</c:v>
                </c:pt>
                <c:pt idx="25">
                  <c:v>0.00403174762945971</c:v>
                </c:pt>
                <c:pt idx="26">
                  <c:v>0.00388158861926117</c:v>
                </c:pt>
                <c:pt idx="27">
                  <c:v>0.00466317050578394</c:v>
                </c:pt>
                <c:pt idx="28">
                  <c:v>0.00518928538976049</c:v>
                </c:pt>
                <c:pt idx="29">
                  <c:v>0.00476303034453808</c:v>
                </c:pt>
                <c:pt idx="30">
                  <c:v>0.00432105092017</c:v>
                </c:pt>
                <c:pt idx="31">
                  <c:v>0.00495810334323629</c:v>
                </c:pt>
                <c:pt idx="32">
                  <c:v>0.00529599595971618</c:v>
                </c:pt>
                <c:pt idx="33">
                  <c:v>0.00513577793076259</c:v>
                </c:pt>
                <c:pt idx="34">
                  <c:v>0.00502998918073265</c:v>
                </c:pt>
                <c:pt idx="35">
                  <c:v>0.00519246188817439</c:v>
                </c:pt>
                <c:pt idx="36">
                  <c:v>0.00482231159013525</c:v>
                </c:pt>
                <c:pt idx="37">
                  <c:v>0.0043196480577466</c:v>
                </c:pt>
                <c:pt idx="38">
                  <c:v>0.00517777595957161</c:v>
                </c:pt>
                <c:pt idx="39">
                  <c:v>0.00487251431045876</c:v>
                </c:pt>
                <c:pt idx="40">
                  <c:v>0.00688902242431431</c:v>
                </c:pt>
                <c:pt idx="41">
                  <c:v>0.00933724817465431</c:v>
                </c:pt>
                <c:pt idx="42">
                  <c:v>0.00934464722197097</c:v>
                </c:pt>
                <c:pt idx="43">
                  <c:v>0.00909276802251681</c:v>
                </c:pt>
                <c:pt idx="44">
                  <c:v>0.014935524783049</c:v>
                </c:pt>
                <c:pt idx="45">
                  <c:v>0.0239274897762006</c:v>
                </c:pt>
                <c:pt idx="46">
                  <c:v>0.0206791942135144</c:v>
                </c:pt>
                <c:pt idx="47">
                  <c:v>0.0208412315181399</c:v>
                </c:pt>
                <c:pt idx="48">
                  <c:v>0.0205030605952387</c:v>
                </c:pt>
                <c:pt idx="49">
                  <c:v>0.0236251615126048</c:v>
                </c:pt>
                <c:pt idx="50">
                  <c:v>0.0352074650867806</c:v>
                </c:pt>
                <c:pt idx="51">
                  <c:v>0.0409872633347209</c:v>
                </c:pt>
                <c:pt idx="52">
                  <c:v>0.0332256541100797</c:v>
                </c:pt>
                <c:pt idx="53">
                  <c:v>0.0432863347545777</c:v>
                </c:pt>
                <c:pt idx="54">
                  <c:v>0.0326263751789916</c:v>
                </c:pt>
                <c:pt idx="55">
                  <c:v>0.0275670678868458</c:v>
                </c:pt>
                <c:pt idx="56">
                  <c:v>0.0277739865465471</c:v>
                </c:pt>
                <c:pt idx="57">
                  <c:v>0.0344594828660049</c:v>
                </c:pt>
                <c:pt idx="58">
                  <c:v>0.0394656805388031</c:v>
                </c:pt>
                <c:pt idx="59">
                  <c:v>0.0353954631548819</c:v>
                </c:pt>
                <c:pt idx="60">
                  <c:v>0.0407740076275147</c:v>
                </c:pt>
                <c:pt idx="61">
                  <c:v>0.0496607169772163</c:v>
                </c:pt>
                <c:pt idx="62">
                  <c:v>0.043594458149588</c:v>
                </c:pt>
                <c:pt idx="63">
                  <c:v>0.0454430754512806</c:v>
                </c:pt>
                <c:pt idx="64">
                  <c:v>0.0428938951159762</c:v>
                </c:pt>
                <c:pt idx="65">
                  <c:v>0.0517628767643134</c:v>
                </c:pt>
                <c:pt idx="66">
                  <c:v>0.048978715354457</c:v>
                </c:pt>
                <c:pt idx="67">
                  <c:v>0.0500112799429486</c:v>
                </c:pt>
                <c:pt idx="68">
                  <c:v>0.0545252254767273</c:v>
                </c:pt>
                <c:pt idx="69">
                  <c:v>0.0642019148245954</c:v>
                </c:pt>
                <c:pt idx="70">
                  <c:v>0.0767925740683352</c:v>
                </c:pt>
                <c:pt idx="71">
                  <c:v>0.083959941343671</c:v>
                </c:pt>
                <c:pt idx="72">
                  <c:v>0.097585253354984</c:v>
                </c:pt>
                <c:pt idx="73">
                  <c:v>0.095850519605691</c:v>
                </c:pt>
                <c:pt idx="74">
                  <c:v>0.0993811985047039</c:v>
                </c:pt>
                <c:pt idx="75">
                  <c:v>0.112173119381451</c:v>
                </c:pt>
                <c:pt idx="76">
                  <c:v>0.118365388714382</c:v>
                </c:pt>
                <c:pt idx="77">
                  <c:v>0.113608832386248</c:v>
                </c:pt>
                <c:pt idx="78">
                  <c:v>0.156033501177759</c:v>
                </c:pt>
                <c:pt idx="79">
                  <c:v>0.217513208044715</c:v>
                </c:pt>
                <c:pt idx="80">
                  <c:v>0.190571571147965</c:v>
                </c:pt>
                <c:pt idx="81">
                  <c:v>0.174594790404902</c:v>
                </c:pt>
                <c:pt idx="82">
                  <c:v>0.185378016500888</c:v>
                </c:pt>
                <c:pt idx="83">
                  <c:v>0.181031675043668</c:v>
                </c:pt>
                <c:pt idx="84">
                  <c:v>0.192636999378177</c:v>
                </c:pt>
                <c:pt idx="85">
                  <c:v>0.197048157125682</c:v>
                </c:pt>
                <c:pt idx="86">
                  <c:v>0.197581897061346</c:v>
                </c:pt>
                <c:pt idx="87">
                  <c:v>0.207671896406725</c:v>
                </c:pt>
              </c:numCache>
            </c:numRef>
          </c:val>
        </c:ser>
        <c:dLbls>
          <c:showLegendKey val="0"/>
          <c:showVal val="0"/>
          <c:showCatName val="0"/>
          <c:showSerName val="0"/>
          <c:showPercent val="0"/>
          <c:showBubbleSize val="0"/>
        </c:dLbls>
        <c:axId val="-2109775528"/>
        <c:axId val="-2109783544"/>
      </c:areaChart>
      <c:catAx>
        <c:axId val="-2109775528"/>
        <c:scaling>
          <c:orientation val="minMax"/>
        </c:scaling>
        <c:delete val="0"/>
        <c:axPos val="b"/>
        <c:numFmt formatCode="General" sourceLinked="1"/>
        <c:majorTickMark val="out"/>
        <c:minorTickMark val="none"/>
        <c:tickLblPos val="nextTo"/>
        <c:crossAx val="-2109783544"/>
        <c:crosses val="autoZero"/>
        <c:auto val="1"/>
        <c:lblAlgn val="ctr"/>
        <c:lblOffset val="100"/>
        <c:noMultiLvlLbl val="0"/>
      </c:catAx>
      <c:valAx>
        <c:axId val="-2109783544"/>
        <c:scaling>
          <c:orientation val="minMax"/>
          <c:max val="0.45"/>
        </c:scaling>
        <c:delete val="0"/>
        <c:axPos val="l"/>
        <c:majorGridlines/>
        <c:numFmt formatCode="0%" sourceLinked="1"/>
        <c:majorTickMark val="out"/>
        <c:minorTickMark val="none"/>
        <c:tickLblPos val="nextTo"/>
        <c:crossAx val="-2109775528"/>
        <c:crosses val="autoZero"/>
        <c:crossBetween val="midCat"/>
      </c:valAx>
    </c:plotArea>
    <c:legend>
      <c:legendPos val="r"/>
      <c:layout>
        <c:manualLayout>
          <c:xMode val="edge"/>
          <c:yMode val="edge"/>
          <c:x val="0.255753280839895"/>
          <c:y val="0.351930956547098"/>
          <c:w val="0.185913385826772"/>
          <c:h val="0.185952901720618"/>
        </c:manualLayout>
      </c:layout>
      <c:overlay val="0"/>
    </c:legend>
    <c:plotVisOnly val="1"/>
    <c:dispBlanksAs val="zero"/>
    <c:showDLblsOverMax val="0"/>
  </c:chart>
  <c:printSettings>
    <c:headerFooter/>
    <c:pageMargins b="1.0" l="0.75" r="0.75" t="1.0"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Profits made abroad by U.S.</a:t>
            </a:r>
            <a:r>
              <a:rPr lang="en-US" baseline="0"/>
              <a:t> firms</a:t>
            </a:r>
          </a:p>
          <a:p>
            <a:pPr>
              <a:defRPr/>
            </a:pPr>
            <a:r>
              <a:rPr lang="en-US" baseline="0"/>
              <a:t>(% of U.S. national income)</a:t>
            </a:r>
            <a:endParaRPr lang="en-US"/>
          </a:p>
        </c:rich>
      </c:tx>
      <c:overlay val="0"/>
    </c:title>
    <c:autoTitleDeleted val="0"/>
    <c:plotArea>
      <c:layout>
        <c:manualLayout>
          <c:layoutTarget val="inner"/>
          <c:xMode val="edge"/>
          <c:yMode val="edge"/>
          <c:x val="0.0868772965879265"/>
          <c:y val="0.0886836027713626"/>
          <c:w val="0.866098206474191"/>
          <c:h val="0.71358767798367"/>
        </c:manualLayout>
      </c:layout>
      <c:areaChart>
        <c:grouping val="stacked"/>
        <c:varyColors val="0"/>
        <c:ser>
          <c:idx val="1"/>
          <c:order val="0"/>
          <c:tx>
            <c:v>Non havens</c:v>
          </c:tx>
          <c:cat>
            <c:numRef>
              <c:f>'Assets(BoP)'!$B$21:$B$108</c:f>
              <c:numCache>
                <c:formatCode>General</c:formatCode>
                <c:ptCount val="88"/>
                <c:pt idx="0">
                  <c:v>1929.0</c:v>
                </c:pt>
                <c:pt idx="1">
                  <c:v>1930.0</c:v>
                </c:pt>
                <c:pt idx="2">
                  <c:v>1931.0</c:v>
                </c:pt>
                <c:pt idx="3">
                  <c:v>1932.0</c:v>
                </c:pt>
                <c:pt idx="4">
                  <c:v>1933.0</c:v>
                </c:pt>
                <c:pt idx="5">
                  <c:v>1934.0</c:v>
                </c:pt>
                <c:pt idx="6">
                  <c:v>1935.0</c:v>
                </c:pt>
                <c:pt idx="7">
                  <c:v>1936.0</c:v>
                </c:pt>
                <c:pt idx="8">
                  <c:v>1937.0</c:v>
                </c:pt>
                <c:pt idx="9">
                  <c:v>1938.0</c:v>
                </c:pt>
                <c:pt idx="10">
                  <c:v>1939.0</c:v>
                </c:pt>
                <c:pt idx="11">
                  <c:v>1940.0</c:v>
                </c:pt>
                <c:pt idx="12">
                  <c:v>1941.0</c:v>
                </c:pt>
                <c:pt idx="13">
                  <c:v>1942.0</c:v>
                </c:pt>
                <c:pt idx="14">
                  <c:v>1943.0</c:v>
                </c:pt>
                <c:pt idx="15">
                  <c:v>1944.0</c:v>
                </c:pt>
                <c:pt idx="16">
                  <c:v>1945.0</c:v>
                </c:pt>
                <c:pt idx="17">
                  <c:v>1946.0</c:v>
                </c:pt>
                <c:pt idx="18">
                  <c:v>1947.0</c:v>
                </c:pt>
                <c:pt idx="19">
                  <c:v>1948.0</c:v>
                </c:pt>
                <c:pt idx="20">
                  <c:v>1949.0</c:v>
                </c:pt>
                <c:pt idx="21">
                  <c:v>1950.0</c:v>
                </c:pt>
                <c:pt idx="22">
                  <c:v>1951.0</c:v>
                </c:pt>
                <c:pt idx="23">
                  <c:v>1952.0</c:v>
                </c:pt>
                <c:pt idx="24">
                  <c:v>1953.0</c:v>
                </c:pt>
                <c:pt idx="25">
                  <c:v>1954.0</c:v>
                </c:pt>
                <c:pt idx="26">
                  <c:v>1955.0</c:v>
                </c:pt>
                <c:pt idx="27">
                  <c:v>1956.0</c:v>
                </c:pt>
                <c:pt idx="28">
                  <c:v>1957.0</c:v>
                </c:pt>
                <c:pt idx="29">
                  <c:v>1958.0</c:v>
                </c:pt>
                <c:pt idx="30">
                  <c:v>1959.0</c:v>
                </c:pt>
                <c:pt idx="31">
                  <c:v>1960.0</c:v>
                </c:pt>
                <c:pt idx="32">
                  <c:v>1961.0</c:v>
                </c:pt>
                <c:pt idx="33">
                  <c:v>1962.0</c:v>
                </c:pt>
                <c:pt idx="34">
                  <c:v>1963.0</c:v>
                </c:pt>
                <c:pt idx="35">
                  <c:v>1964.0</c:v>
                </c:pt>
                <c:pt idx="36">
                  <c:v>1965.0</c:v>
                </c:pt>
                <c:pt idx="37">
                  <c:v>1966.0</c:v>
                </c:pt>
                <c:pt idx="38">
                  <c:v>1967.0</c:v>
                </c:pt>
                <c:pt idx="39">
                  <c:v>1968.0</c:v>
                </c:pt>
                <c:pt idx="40">
                  <c:v>1969.0</c:v>
                </c:pt>
                <c:pt idx="41">
                  <c:v>1970.0</c:v>
                </c:pt>
                <c:pt idx="42">
                  <c:v>1971.0</c:v>
                </c:pt>
                <c:pt idx="43">
                  <c:v>1972.0</c:v>
                </c:pt>
                <c:pt idx="44">
                  <c:v>1973.0</c:v>
                </c:pt>
                <c:pt idx="45">
                  <c:v>1974.0</c:v>
                </c:pt>
                <c:pt idx="46">
                  <c:v>1975.0</c:v>
                </c:pt>
                <c:pt idx="47">
                  <c:v>1976.0</c:v>
                </c:pt>
                <c:pt idx="48">
                  <c:v>1977.0</c:v>
                </c:pt>
                <c:pt idx="49">
                  <c:v>1978.0</c:v>
                </c:pt>
                <c:pt idx="50">
                  <c:v>1979.0</c:v>
                </c:pt>
                <c:pt idx="51">
                  <c:v>1980.0</c:v>
                </c:pt>
                <c:pt idx="52">
                  <c:v>1981.0</c:v>
                </c:pt>
                <c:pt idx="53">
                  <c:v>1982.0</c:v>
                </c:pt>
                <c:pt idx="54">
                  <c:v>1983.0</c:v>
                </c:pt>
                <c:pt idx="55">
                  <c:v>1984.0</c:v>
                </c:pt>
                <c:pt idx="56">
                  <c:v>1985.0</c:v>
                </c:pt>
                <c:pt idx="57">
                  <c:v>1986.0</c:v>
                </c:pt>
                <c:pt idx="58">
                  <c:v>1987.0</c:v>
                </c:pt>
                <c:pt idx="59">
                  <c:v>1988.0</c:v>
                </c:pt>
                <c:pt idx="60">
                  <c:v>1989.0</c:v>
                </c:pt>
                <c:pt idx="61">
                  <c:v>1990.0</c:v>
                </c:pt>
                <c:pt idx="62">
                  <c:v>1991.0</c:v>
                </c:pt>
                <c:pt idx="63">
                  <c:v>1992.0</c:v>
                </c:pt>
                <c:pt idx="64">
                  <c:v>1993.0</c:v>
                </c:pt>
                <c:pt idx="65">
                  <c:v>1994.0</c:v>
                </c:pt>
                <c:pt idx="66">
                  <c:v>1995.0</c:v>
                </c:pt>
                <c:pt idx="67">
                  <c:v>1996.0</c:v>
                </c:pt>
                <c:pt idx="68">
                  <c:v>1997.0</c:v>
                </c:pt>
                <c:pt idx="69">
                  <c:v>1998.0</c:v>
                </c:pt>
                <c:pt idx="70">
                  <c:v>1999.0</c:v>
                </c:pt>
                <c:pt idx="71">
                  <c:v>2000.0</c:v>
                </c:pt>
                <c:pt idx="72">
                  <c:v>2001.0</c:v>
                </c:pt>
                <c:pt idx="73">
                  <c:v>2002.0</c:v>
                </c:pt>
                <c:pt idx="74">
                  <c:v>2003.0</c:v>
                </c:pt>
                <c:pt idx="75">
                  <c:v>2004.0</c:v>
                </c:pt>
                <c:pt idx="76">
                  <c:v>2005.0</c:v>
                </c:pt>
                <c:pt idx="77">
                  <c:v>2006.0</c:v>
                </c:pt>
                <c:pt idx="78">
                  <c:v>2007.0</c:v>
                </c:pt>
                <c:pt idx="79">
                  <c:v>2008.0</c:v>
                </c:pt>
                <c:pt idx="80">
                  <c:v>2009.0</c:v>
                </c:pt>
                <c:pt idx="81">
                  <c:v>2010.0</c:v>
                </c:pt>
                <c:pt idx="82">
                  <c:v>2011.0</c:v>
                </c:pt>
                <c:pt idx="83">
                  <c:v>2012.0</c:v>
                </c:pt>
                <c:pt idx="84">
                  <c:v>2013.0</c:v>
                </c:pt>
                <c:pt idx="85">
                  <c:v>2014.0</c:v>
                </c:pt>
                <c:pt idx="86">
                  <c:v>2015.0</c:v>
                </c:pt>
                <c:pt idx="87">
                  <c:v>2016.0</c:v>
                </c:pt>
              </c:numCache>
            </c:numRef>
          </c:cat>
          <c:val>
            <c:numRef>
              <c:f>'Assets(BoP)'!$FV$21:$FV$108</c:f>
              <c:numCache>
                <c:formatCode>0%</c:formatCode>
                <c:ptCount val="88"/>
                <c:pt idx="0" formatCode="0.0%">
                  <c:v>0.00202662193315604</c:v>
                </c:pt>
                <c:pt idx="1">
                  <c:v>0.00114765720750875</c:v>
                </c:pt>
                <c:pt idx="2">
                  <c:v>0.0</c:v>
                </c:pt>
                <c:pt idx="3">
                  <c:v>0.0</c:v>
                </c:pt>
                <c:pt idx="4">
                  <c:v>0.0</c:v>
                </c:pt>
                <c:pt idx="5">
                  <c:v>0.00213169541855906</c:v>
                </c:pt>
                <c:pt idx="6">
                  <c:v>0.00374001648029538</c:v>
                </c:pt>
                <c:pt idx="7">
                  <c:v>0.00164972408762793</c:v>
                </c:pt>
                <c:pt idx="8">
                  <c:v>0.00444265073954959</c:v>
                </c:pt>
                <c:pt idx="9">
                  <c:v>0.00481870271895903</c:v>
                </c:pt>
                <c:pt idx="10">
                  <c:v>0.00449932233167493</c:v>
                </c:pt>
                <c:pt idx="11">
                  <c:v>0.00404875769753954</c:v>
                </c:pt>
                <c:pt idx="12">
                  <c:v>0.00420827163913756</c:v>
                </c:pt>
                <c:pt idx="13">
                  <c:v>0.00323893640032811</c:v>
                </c:pt>
                <c:pt idx="14">
                  <c:v>0.00263308448684067</c:v>
                </c:pt>
                <c:pt idx="15">
                  <c:v>0.00245144050428115</c:v>
                </c:pt>
                <c:pt idx="16">
                  <c:v>0.00183330073858899</c:v>
                </c:pt>
                <c:pt idx="17">
                  <c:v>0.0042717819195746</c:v>
                </c:pt>
                <c:pt idx="18">
                  <c:v>0.00560990858774283</c:v>
                </c:pt>
                <c:pt idx="19">
                  <c:v>0.00651048604691946</c:v>
                </c:pt>
                <c:pt idx="20">
                  <c:v>0.00586139443113799</c:v>
                </c:pt>
                <c:pt idx="21">
                  <c:v>0.00631676843531702</c:v>
                </c:pt>
                <c:pt idx="22">
                  <c:v>0.00699074192112294</c:v>
                </c:pt>
                <c:pt idx="23">
                  <c:v>0.00658874790881902</c:v>
                </c:pt>
                <c:pt idx="24">
                  <c:v>0.00624071972344062</c:v>
                </c:pt>
                <c:pt idx="25">
                  <c:v>0.00650623103552944</c:v>
                </c:pt>
                <c:pt idx="26">
                  <c:v>0.00716404727572322</c:v>
                </c:pt>
                <c:pt idx="27">
                  <c:v>0.00790398289576731</c:v>
                </c:pt>
                <c:pt idx="28">
                  <c:v>0.0082146067891339</c:v>
                </c:pt>
                <c:pt idx="29">
                  <c:v>0.00661978882323239</c:v>
                </c:pt>
                <c:pt idx="30">
                  <c:v>0.00687593923831715</c:v>
                </c:pt>
                <c:pt idx="31">
                  <c:v>0.00735318138596577</c:v>
                </c:pt>
                <c:pt idx="32">
                  <c:v>0.00765075186213167</c:v>
                </c:pt>
                <c:pt idx="33">
                  <c:v>0.00779392790065619</c:v>
                </c:pt>
                <c:pt idx="34">
                  <c:v>0.00784572143091837</c:v>
                </c:pt>
                <c:pt idx="35">
                  <c:v>0.00821394987882434</c:v>
                </c:pt>
                <c:pt idx="36">
                  <c:v>0.00798026287293794</c:v>
                </c:pt>
                <c:pt idx="37">
                  <c:v>0.00720422651333965</c:v>
                </c:pt>
                <c:pt idx="38">
                  <c:v>0.00712155595553305</c:v>
                </c:pt>
                <c:pt idx="39">
                  <c:v>0.00781692740611266</c:v>
                </c:pt>
                <c:pt idx="40">
                  <c:v>0.00814021144352137</c:v>
                </c:pt>
                <c:pt idx="41">
                  <c:v>0.00829180853882012</c:v>
                </c:pt>
                <c:pt idx="42">
                  <c:v>0.00871182742327406</c:v>
                </c:pt>
                <c:pt idx="43">
                  <c:v>0.00946957042543279</c:v>
                </c:pt>
                <c:pt idx="44">
                  <c:v>0.0124165481256494</c:v>
                </c:pt>
                <c:pt idx="45">
                  <c:v>0.01287556598692</c:v>
                </c:pt>
                <c:pt idx="46">
                  <c:v>0.0103560470841037</c:v>
                </c:pt>
                <c:pt idx="47">
                  <c:v>0.010755123449584</c:v>
                </c:pt>
                <c:pt idx="48">
                  <c:v>0.0108303052924334</c:v>
                </c:pt>
                <c:pt idx="49">
                  <c:v>0.0115094519252636</c:v>
                </c:pt>
                <c:pt idx="50">
                  <c:v>0.0150490797942317</c:v>
                </c:pt>
                <c:pt idx="51">
                  <c:v>0.0143131893515561</c:v>
                </c:pt>
                <c:pt idx="52">
                  <c:v>0.0109388525799035</c:v>
                </c:pt>
                <c:pt idx="53">
                  <c:v>0.00941714957045577</c:v>
                </c:pt>
                <c:pt idx="54">
                  <c:v>0.0104463781162941</c:v>
                </c:pt>
                <c:pt idx="55">
                  <c:v>0.010709955795887</c:v>
                </c:pt>
                <c:pt idx="56">
                  <c:v>0.0100304331386051</c:v>
                </c:pt>
                <c:pt idx="57">
                  <c:v>0.00975036218446754</c:v>
                </c:pt>
                <c:pt idx="58">
                  <c:v>0.0107922802784031</c:v>
                </c:pt>
                <c:pt idx="59">
                  <c:v>0.0126662265404904</c:v>
                </c:pt>
                <c:pt idx="60">
                  <c:v>0.0122561595166834</c:v>
                </c:pt>
                <c:pt idx="61">
                  <c:v>0.0119698871899099</c:v>
                </c:pt>
                <c:pt idx="62">
                  <c:v>0.0107452268635566</c:v>
                </c:pt>
                <c:pt idx="63">
                  <c:v>0.0103098180333484</c:v>
                </c:pt>
                <c:pt idx="64">
                  <c:v>0.0115745789166366</c:v>
                </c:pt>
                <c:pt idx="65">
                  <c:v>0.0117925583759932</c:v>
                </c:pt>
                <c:pt idx="66">
                  <c:v>0.0143480149866219</c:v>
                </c:pt>
                <c:pt idx="67">
                  <c:v>0.0145064980776369</c:v>
                </c:pt>
                <c:pt idx="68">
                  <c:v>0.0146729255571852</c:v>
                </c:pt>
                <c:pt idx="69">
                  <c:v>0.0121002431228975</c:v>
                </c:pt>
                <c:pt idx="70">
                  <c:v>0.0136402389371568</c:v>
                </c:pt>
                <c:pt idx="71">
                  <c:v>0.0154384746628858</c:v>
                </c:pt>
                <c:pt idx="72">
                  <c:v>0.0119461619417658</c:v>
                </c:pt>
                <c:pt idx="73">
                  <c:v>0.012540735059948</c:v>
                </c:pt>
                <c:pt idx="74">
                  <c:v>0.0147010099044657</c:v>
                </c:pt>
                <c:pt idx="75">
                  <c:v>0.0174698778944667</c:v>
                </c:pt>
                <c:pt idx="76">
                  <c:v>0.0185760836577837</c:v>
                </c:pt>
                <c:pt idx="77">
                  <c:v>0.0205536999763464</c:v>
                </c:pt>
                <c:pt idx="78">
                  <c:v>0.0220611924537152</c:v>
                </c:pt>
                <c:pt idx="79">
                  <c:v>0.0243384811746034</c:v>
                </c:pt>
                <c:pt idx="80">
                  <c:v>0.0191216891751092</c:v>
                </c:pt>
                <c:pt idx="81">
                  <c:v>0.0219543669717713</c:v>
                </c:pt>
                <c:pt idx="82">
                  <c:v>0.0230329078304477</c:v>
                </c:pt>
                <c:pt idx="83">
                  <c:v>0.0205208760500176</c:v>
                </c:pt>
                <c:pt idx="84">
                  <c:v>0.0191410226492651</c:v>
                </c:pt>
                <c:pt idx="85">
                  <c:v>0.0174655781072876</c:v>
                </c:pt>
                <c:pt idx="86">
                  <c:v>0.0149127254169484</c:v>
                </c:pt>
                <c:pt idx="87">
                  <c:v>0.0150007676800807</c:v>
                </c:pt>
              </c:numCache>
            </c:numRef>
          </c:val>
        </c:ser>
        <c:ser>
          <c:idx val="0"/>
          <c:order val="1"/>
          <c:tx>
            <c:v>Havens</c:v>
          </c:tx>
          <c:cat>
            <c:numRef>
              <c:f>'Assets(BoP)'!$B$21:$B$108</c:f>
              <c:numCache>
                <c:formatCode>General</c:formatCode>
                <c:ptCount val="88"/>
                <c:pt idx="0">
                  <c:v>1929.0</c:v>
                </c:pt>
                <c:pt idx="1">
                  <c:v>1930.0</c:v>
                </c:pt>
                <c:pt idx="2">
                  <c:v>1931.0</c:v>
                </c:pt>
                <c:pt idx="3">
                  <c:v>1932.0</c:v>
                </c:pt>
                <c:pt idx="4">
                  <c:v>1933.0</c:v>
                </c:pt>
                <c:pt idx="5">
                  <c:v>1934.0</c:v>
                </c:pt>
                <c:pt idx="6">
                  <c:v>1935.0</c:v>
                </c:pt>
                <c:pt idx="7">
                  <c:v>1936.0</c:v>
                </c:pt>
                <c:pt idx="8">
                  <c:v>1937.0</c:v>
                </c:pt>
                <c:pt idx="9">
                  <c:v>1938.0</c:v>
                </c:pt>
                <c:pt idx="10">
                  <c:v>1939.0</c:v>
                </c:pt>
                <c:pt idx="11">
                  <c:v>1940.0</c:v>
                </c:pt>
                <c:pt idx="12">
                  <c:v>1941.0</c:v>
                </c:pt>
                <c:pt idx="13">
                  <c:v>1942.0</c:v>
                </c:pt>
                <c:pt idx="14">
                  <c:v>1943.0</c:v>
                </c:pt>
                <c:pt idx="15">
                  <c:v>1944.0</c:v>
                </c:pt>
                <c:pt idx="16">
                  <c:v>1945.0</c:v>
                </c:pt>
                <c:pt idx="17">
                  <c:v>1946.0</c:v>
                </c:pt>
                <c:pt idx="18">
                  <c:v>1947.0</c:v>
                </c:pt>
                <c:pt idx="19">
                  <c:v>1948.0</c:v>
                </c:pt>
                <c:pt idx="20">
                  <c:v>1949.0</c:v>
                </c:pt>
                <c:pt idx="21">
                  <c:v>1950.0</c:v>
                </c:pt>
                <c:pt idx="22">
                  <c:v>1951.0</c:v>
                </c:pt>
                <c:pt idx="23">
                  <c:v>1952.0</c:v>
                </c:pt>
                <c:pt idx="24">
                  <c:v>1953.0</c:v>
                </c:pt>
                <c:pt idx="25">
                  <c:v>1954.0</c:v>
                </c:pt>
                <c:pt idx="26">
                  <c:v>1955.0</c:v>
                </c:pt>
                <c:pt idx="27">
                  <c:v>1956.0</c:v>
                </c:pt>
                <c:pt idx="28">
                  <c:v>1957.0</c:v>
                </c:pt>
                <c:pt idx="29">
                  <c:v>1958.0</c:v>
                </c:pt>
                <c:pt idx="30">
                  <c:v>1959.0</c:v>
                </c:pt>
                <c:pt idx="31">
                  <c:v>1960.0</c:v>
                </c:pt>
                <c:pt idx="32">
                  <c:v>1961.0</c:v>
                </c:pt>
                <c:pt idx="33">
                  <c:v>1962.0</c:v>
                </c:pt>
                <c:pt idx="34">
                  <c:v>1963.0</c:v>
                </c:pt>
                <c:pt idx="35">
                  <c:v>1964.0</c:v>
                </c:pt>
                <c:pt idx="36">
                  <c:v>1965.0</c:v>
                </c:pt>
                <c:pt idx="37">
                  <c:v>1966.0</c:v>
                </c:pt>
                <c:pt idx="38">
                  <c:v>1967.0</c:v>
                </c:pt>
                <c:pt idx="39">
                  <c:v>1968.0</c:v>
                </c:pt>
                <c:pt idx="40">
                  <c:v>1969.0</c:v>
                </c:pt>
                <c:pt idx="41">
                  <c:v>1970.0</c:v>
                </c:pt>
                <c:pt idx="42">
                  <c:v>1971.0</c:v>
                </c:pt>
                <c:pt idx="43">
                  <c:v>1972.0</c:v>
                </c:pt>
                <c:pt idx="44">
                  <c:v>1973.0</c:v>
                </c:pt>
                <c:pt idx="45">
                  <c:v>1974.0</c:v>
                </c:pt>
                <c:pt idx="46">
                  <c:v>1975.0</c:v>
                </c:pt>
                <c:pt idx="47">
                  <c:v>1976.0</c:v>
                </c:pt>
                <c:pt idx="48">
                  <c:v>1977.0</c:v>
                </c:pt>
                <c:pt idx="49">
                  <c:v>1978.0</c:v>
                </c:pt>
                <c:pt idx="50">
                  <c:v>1979.0</c:v>
                </c:pt>
                <c:pt idx="51">
                  <c:v>1980.0</c:v>
                </c:pt>
                <c:pt idx="52">
                  <c:v>1981.0</c:v>
                </c:pt>
                <c:pt idx="53">
                  <c:v>1982.0</c:v>
                </c:pt>
                <c:pt idx="54">
                  <c:v>1983.0</c:v>
                </c:pt>
                <c:pt idx="55">
                  <c:v>1984.0</c:v>
                </c:pt>
                <c:pt idx="56">
                  <c:v>1985.0</c:v>
                </c:pt>
                <c:pt idx="57">
                  <c:v>1986.0</c:v>
                </c:pt>
                <c:pt idx="58">
                  <c:v>1987.0</c:v>
                </c:pt>
                <c:pt idx="59">
                  <c:v>1988.0</c:v>
                </c:pt>
                <c:pt idx="60">
                  <c:v>1989.0</c:v>
                </c:pt>
                <c:pt idx="61">
                  <c:v>1990.0</c:v>
                </c:pt>
                <c:pt idx="62">
                  <c:v>1991.0</c:v>
                </c:pt>
                <c:pt idx="63">
                  <c:v>1992.0</c:v>
                </c:pt>
                <c:pt idx="64">
                  <c:v>1993.0</c:v>
                </c:pt>
                <c:pt idx="65">
                  <c:v>1994.0</c:v>
                </c:pt>
                <c:pt idx="66">
                  <c:v>1995.0</c:v>
                </c:pt>
                <c:pt idx="67">
                  <c:v>1996.0</c:v>
                </c:pt>
                <c:pt idx="68">
                  <c:v>1997.0</c:v>
                </c:pt>
                <c:pt idx="69">
                  <c:v>1998.0</c:v>
                </c:pt>
                <c:pt idx="70">
                  <c:v>1999.0</c:v>
                </c:pt>
                <c:pt idx="71">
                  <c:v>2000.0</c:v>
                </c:pt>
                <c:pt idx="72">
                  <c:v>2001.0</c:v>
                </c:pt>
                <c:pt idx="73">
                  <c:v>2002.0</c:v>
                </c:pt>
                <c:pt idx="74">
                  <c:v>2003.0</c:v>
                </c:pt>
                <c:pt idx="75">
                  <c:v>2004.0</c:v>
                </c:pt>
                <c:pt idx="76">
                  <c:v>2005.0</c:v>
                </c:pt>
                <c:pt idx="77">
                  <c:v>2006.0</c:v>
                </c:pt>
                <c:pt idx="78">
                  <c:v>2007.0</c:v>
                </c:pt>
                <c:pt idx="79">
                  <c:v>2008.0</c:v>
                </c:pt>
                <c:pt idx="80">
                  <c:v>2009.0</c:v>
                </c:pt>
                <c:pt idx="81">
                  <c:v>2010.0</c:v>
                </c:pt>
                <c:pt idx="82">
                  <c:v>2011.0</c:v>
                </c:pt>
                <c:pt idx="83">
                  <c:v>2012.0</c:v>
                </c:pt>
                <c:pt idx="84">
                  <c:v>2013.0</c:v>
                </c:pt>
                <c:pt idx="85">
                  <c:v>2014.0</c:v>
                </c:pt>
                <c:pt idx="86">
                  <c:v>2015.0</c:v>
                </c:pt>
                <c:pt idx="87">
                  <c:v>2016.0</c:v>
                </c:pt>
              </c:numCache>
            </c:numRef>
          </c:cat>
          <c:val>
            <c:numRef>
              <c:f>'Assets(BoP)'!$FS$21:$FS$108</c:f>
              <c:numCache>
                <c:formatCode>0%</c:formatCode>
                <c:ptCount val="88"/>
                <c:pt idx="0" formatCode="0.0%">
                  <c:v>9.6520317374748E-5</c:v>
                </c:pt>
                <c:pt idx="1">
                  <c:v>5.57122269076138E-5</c:v>
                </c:pt>
                <c:pt idx="2">
                  <c:v>0.0</c:v>
                </c:pt>
                <c:pt idx="3">
                  <c:v>0.0</c:v>
                </c:pt>
                <c:pt idx="4">
                  <c:v>0.0</c:v>
                </c:pt>
                <c:pt idx="5">
                  <c:v>0.000111344560329973</c:v>
                </c:pt>
                <c:pt idx="6">
                  <c:v>0.00019881577178988</c:v>
                </c:pt>
                <c:pt idx="7">
                  <c:v>8.9228449196949E-5</c:v>
                </c:pt>
                <c:pt idx="8">
                  <c:v>0.000244418463648642</c:v>
                </c:pt>
                <c:pt idx="9">
                  <c:v>0.00026959419813166</c:v>
                </c:pt>
                <c:pt idx="10">
                  <c:v>0.000255922423569827</c:v>
                </c:pt>
                <c:pt idx="11">
                  <c:v>0.000234077371321729</c:v>
                </c:pt>
                <c:pt idx="12">
                  <c:v>0.000247238778894151</c:v>
                </c:pt>
                <c:pt idx="13">
                  <c:v>0.000193326874454853</c:v>
                </c:pt>
                <c:pt idx="14">
                  <c:v>0.00015963800689624</c:v>
                </c:pt>
                <c:pt idx="15">
                  <c:v>0.000150932247345334</c:v>
                </c:pt>
                <c:pt idx="16">
                  <c:v>0.000114602400972536</c:v>
                </c:pt>
                <c:pt idx="17">
                  <c:v>0.000271069769679071</c:v>
                </c:pt>
                <c:pt idx="18">
                  <c:v>0.000361289164276835</c:v>
                </c:pt>
                <c:pt idx="19">
                  <c:v>0.000425458465524439</c:v>
                </c:pt>
                <c:pt idx="20">
                  <c:v>0.000388605568862005</c:v>
                </c:pt>
                <c:pt idx="21">
                  <c:v>0.000424804598390841</c:v>
                </c:pt>
                <c:pt idx="22">
                  <c:v>0.000476790546409523</c:v>
                </c:pt>
                <c:pt idx="23">
                  <c:v>0.000455662504657245</c:v>
                </c:pt>
                <c:pt idx="24">
                  <c:v>0.000437561345084345</c:v>
                </c:pt>
                <c:pt idx="25">
                  <c:v>0.000462410079453131</c:v>
                </c:pt>
                <c:pt idx="26">
                  <c:v>0.000516037470039488</c:v>
                </c:pt>
                <c:pt idx="27">
                  <c:v>0.00057693503887973</c:v>
                </c:pt>
                <c:pt idx="28">
                  <c:v>0.000607520058744015</c:v>
                </c:pt>
                <c:pt idx="29">
                  <c:v>0.000495960702384302</c:v>
                </c:pt>
                <c:pt idx="30">
                  <c:v>0.000521797924433061</c:v>
                </c:pt>
                <c:pt idx="31">
                  <c:v>0.000565134929933371</c:v>
                </c:pt>
                <c:pt idx="32">
                  <c:v>0.000595426738029233</c:v>
                </c:pt>
                <c:pt idx="33">
                  <c:v>0.000614143848222731</c:v>
                </c:pt>
                <c:pt idx="34">
                  <c:v>0.000625863461421906</c:v>
                </c:pt>
                <c:pt idx="35">
                  <c:v>0.000663248871792126</c:v>
                </c:pt>
                <c:pt idx="36">
                  <c:v>0.000652176927152928</c:v>
                </c:pt>
                <c:pt idx="37">
                  <c:v>0.000576793356050366</c:v>
                </c:pt>
                <c:pt idx="38">
                  <c:v>0.000639559540389074</c:v>
                </c:pt>
                <c:pt idx="39">
                  <c:v>0.000595523020518755</c:v>
                </c:pt>
                <c:pt idx="40">
                  <c:v>0.000753618461981687</c:v>
                </c:pt>
                <c:pt idx="41">
                  <c:v>0.000856154443841295</c:v>
                </c:pt>
                <c:pt idx="42">
                  <c:v>0.000924357434149734</c:v>
                </c:pt>
                <c:pt idx="43">
                  <c:v>0.000948951391129982</c:v>
                </c:pt>
                <c:pt idx="44">
                  <c:v>0.0015850429642472</c:v>
                </c:pt>
                <c:pt idx="45">
                  <c:v>0.0022265956950462</c:v>
                </c:pt>
                <c:pt idx="46">
                  <c:v>0.00197942255961488</c:v>
                </c:pt>
                <c:pt idx="47">
                  <c:v>0.00224958301561295</c:v>
                </c:pt>
                <c:pt idx="48">
                  <c:v>0.00234587750625458</c:v>
                </c:pt>
                <c:pt idx="49">
                  <c:v>0.00277696612488669</c:v>
                </c:pt>
                <c:pt idx="50">
                  <c:v>0.0038994123328033</c:v>
                </c:pt>
                <c:pt idx="51">
                  <c:v>0.00377647605144371</c:v>
                </c:pt>
                <c:pt idx="52">
                  <c:v>0.00302095786056527</c:v>
                </c:pt>
                <c:pt idx="53">
                  <c:v>0.00350356582174251</c:v>
                </c:pt>
                <c:pt idx="54">
                  <c:v>0.00298280012255574</c:v>
                </c:pt>
                <c:pt idx="55">
                  <c:v>0.00270467835045447</c:v>
                </c:pt>
                <c:pt idx="56">
                  <c:v>0.00267246029823326</c:v>
                </c:pt>
                <c:pt idx="57">
                  <c:v>0.00290490521327686</c:v>
                </c:pt>
                <c:pt idx="58">
                  <c:v>0.00350661271052679</c:v>
                </c:pt>
                <c:pt idx="59">
                  <c:v>0.00326825514375762</c:v>
                </c:pt>
                <c:pt idx="60">
                  <c:v>0.0035315532514986</c:v>
                </c:pt>
                <c:pt idx="61">
                  <c:v>0.00411398723672974</c:v>
                </c:pt>
                <c:pt idx="62">
                  <c:v>0.00379363663695437</c:v>
                </c:pt>
                <c:pt idx="63">
                  <c:v>0.00392732217429927</c:v>
                </c:pt>
                <c:pt idx="64">
                  <c:v>0.00389077174715708</c:v>
                </c:pt>
                <c:pt idx="65">
                  <c:v>0.00524271734792458</c:v>
                </c:pt>
                <c:pt idx="66">
                  <c:v>0.00531399597101371</c:v>
                </c:pt>
                <c:pt idx="67">
                  <c:v>0.00569815739965097</c:v>
                </c:pt>
                <c:pt idx="68">
                  <c:v>0.00639639317892669</c:v>
                </c:pt>
                <c:pt idx="69">
                  <c:v>0.00657029255729795</c:v>
                </c:pt>
                <c:pt idx="70">
                  <c:v>0.00765859341112054</c:v>
                </c:pt>
                <c:pt idx="71">
                  <c:v>0.00736381567055976</c:v>
                </c:pt>
                <c:pt idx="72">
                  <c:v>0.00801115791974152</c:v>
                </c:pt>
                <c:pt idx="73">
                  <c:v>0.00921452095904151</c:v>
                </c:pt>
                <c:pt idx="74">
                  <c:v>0.0106431639768424</c:v>
                </c:pt>
                <c:pt idx="75">
                  <c:v>0.0136564965137906</c:v>
                </c:pt>
                <c:pt idx="76">
                  <c:v>0.0155615344493</c:v>
                </c:pt>
                <c:pt idx="77">
                  <c:v>0.015581845805341</c:v>
                </c:pt>
                <c:pt idx="78">
                  <c:v>0.019362671717564</c:v>
                </c:pt>
                <c:pt idx="79">
                  <c:v>0.0224920117525438</c:v>
                </c:pt>
                <c:pt idx="80">
                  <c:v>0.0219549966513312</c:v>
                </c:pt>
                <c:pt idx="81">
                  <c:v>0.0239344041730931</c:v>
                </c:pt>
                <c:pt idx="82">
                  <c:v>0.0252209510552874</c:v>
                </c:pt>
                <c:pt idx="83">
                  <c:v>0.0257246526480957</c:v>
                </c:pt>
                <c:pt idx="84">
                  <c:v>0.0271109157645585</c:v>
                </c:pt>
                <c:pt idx="85">
                  <c:v>0.0278526997585338</c:v>
                </c:pt>
                <c:pt idx="86">
                  <c:v>0.0265813405059467</c:v>
                </c:pt>
                <c:pt idx="87">
                  <c:v>0.026825795987998</c:v>
                </c:pt>
              </c:numCache>
            </c:numRef>
          </c:val>
        </c:ser>
        <c:dLbls>
          <c:showLegendKey val="0"/>
          <c:showVal val="0"/>
          <c:showCatName val="0"/>
          <c:showSerName val="0"/>
          <c:showPercent val="0"/>
          <c:showBubbleSize val="0"/>
        </c:dLbls>
        <c:axId val="-2109867592"/>
        <c:axId val="-2109862616"/>
      </c:areaChart>
      <c:catAx>
        <c:axId val="-2109867592"/>
        <c:scaling>
          <c:orientation val="minMax"/>
        </c:scaling>
        <c:delete val="0"/>
        <c:axPos val="b"/>
        <c:numFmt formatCode="General" sourceLinked="1"/>
        <c:majorTickMark val="out"/>
        <c:minorTickMark val="none"/>
        <c:tickLblPos val="nextTo"/>
        <c:crossAx val="-2109862616"/>
        <c:crosses val="autoZero"/>
        <c:auto val="1"/>
        <c:lblAlgn val="ctr"/>
        <c:lblOffset val="100"/>
        <c:noMultiLvlLbl val="0"/>
      </c:catAx>
      <c:valAx>
        <c:axId val="-2109862616"/>
        <c:scaling>
          <c:orientation val="minMax"/>
        </c:scaling>
        <c:delete val="0"/>
        <c:axPos val="l"/>
        <c:majorGridlines/>
        <c:numFmt formatCode="0.0%" sourceLinked="1"/>
        <c:majorTickMark val="out"/>
        <c:minorTickMark val="none"/>
        <c:tickLblPos val="nextTo"/>
        <c:crossAx val="-2109867592"/>
        <c:crosses val="autoZero"/>
        <c:crossBetween val="midCat"/>
      </c:valAx>
    </c:plotArea>
    <c:legend>
      <c:legendPos val="r"/>
      <c:layout>
        <c:manualLayout>
          <c:xMode val="edge"/>
          <c:yMode val="edge"/>
          <c:x val="0.258531058617673"/>
          <c:y val="0.333797166809114"/>
          <c:w val="0.174748874406365"/>
          <c:h val="0.185523449291702"/>
        </c:manualLayout>
      </c:layout>
      <c:overlay val="0"/>
    </c:legend>
    <c:plotVisOnly val="1"/>
    <c:dispBlanksAs val="zero"/>
    <c:showDLblsOverMax val="0"/>
  </c:chart>
  <c:printSettings>
    <c:headerFooter/>
    <c:pageMargins b="1.0" l="0.75" r="0.75" t="1.0"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Profits made abroad</a:t>
            </a:r>
            <a:r>
              <a:rPr lang="en-US" baseline="0"/>
              <a:t> by U.S. firms</a:t>
            </a:r>
          </a:p>
          <a:p>
            <a:pPr>
              <a:defRPr/>
            </a:pPr>
            <a:r>
              <a:rPr lang="en-US" baseline="0"/>
              <a:t>(% of U.S. corporate profits)</a:t>
            </a:r>
            <a:endParaRPr lang="en-US"/>
          </a:p>
        </c:rich>
      </c:tx>
      <c:overlay val="0"/>
    </c:title>
    <c:autoTitleDeleted val="0"/>
    <c:plotArea>
      <c:layout>
        <c:manualLayout>
          <c:layoutTarget val="inner"/>
          <c:xMode val="edge"/>
          <c:yMode val="edge"/>
          <c:x val="0.0932248468941382"/>
          <c:y val="0.125925925925926"/>
          <c:w val="0.876417322834646"/>
          <c:h val="0.718132837561971"/>
        </c:manualLayout>
      </c:layout>
      <c:areaChart>
        <c:grouping val="stacked"/>
        <c:varyColors val="0"/>
        <c:ser>
          <c:idx val="1"/>
          <c:order val="0"/>
          <c:tx>
            <c:v>Non havens</c:v>
          </c:tx>
          <c:cat>
            <c:numRef>
              <c:f>'Assets(BoP)'!$B$21:$B$108</c:f>
              <c:numCache>
                <c:formatCode>General</c:formatCode>
                <c:ptCount val="88"/>
                <c:pt idx="0">
                  <c:v>1929.0</c:v>
                </c:pt>
                <c:pt idx="1">
                  <c:v>1930.0</c:v>
                </c:pt>
                <c:pt idx="2">
                  <c:v>1931.0</c:v>
                </c:pt>
                <c:pt idx="3">
                  <c:v>1932.0</c:v>
                </c:pt>
                <c:pt idx="4">
                  <c:v>1933.0</c:v>
                </c:pt>
                <c:pt idx="5">
                  <c:v>1934.0</c:v>
                </c:pt>
                <c:pt idx="6">
                  <c:v>1935.0</c:v>
                </c:pt>
                <c:pt idx="7">
                  <c:v>1936.0</c:v>
                </c:pt>
                <c:pt idx="8">
                  <c:v>1937.0</c:v>
                </c:pt>
                <c:pt idx="9">
                  <c:v>1938.0</c:v>
                </c:pt>
                <c:pt idx="10">
                  <c:v>1939.0</c:v>
                </c:pt>
                <c:pt idx="11">
                  <c:v>1940.0</c:v>
                </c:pt>
                <c:pt idx="12">
                  <c:v>1941.0</c:v>
                </c:pt>
                <c:pt idx="13">
                  <c:v>1942.0</c:v>
                </c:pt>
                <c:pt idx="14">
                  <c:v>1943.0</c:v>
                </c:pt>
                <c:pt idx="15">
                  <c:v>1944.0</c:v>
                </c:pt>
                <c:pt idx="16">
                  <c:v>1945.0</c:v>
                </c:pt>
                <c:pt idx="17">
                  <c:v>1946.0</c:v>
                </c:pt>
                <c:pt idx="18">
                  <c:v>1947.0</c:v>
                </c:pt>
                <c:pt idx="19">
                  <c:v>1948.0</c:v>
                </c:pt>
                <c:pt idx="20">
                  <c:v>1949.0</c:v>
                </c:pt>
                <c:pt idx="21">
                  <c:v>1950.0</c:v>
                </c:pt>
                <c:pt idx="22">
                  <c:v>1951.0</c:v>
                </c:pt>
                <c:pt idx="23">
                  <c:v>1952.0</c:v>
                </c:pt>
                <c:pt idx="24">
                  <c:v>1953.0</c:v>
                </c:pt>
                <c:pt idx="25">
                  <c:v>1954.0</c:v>
                </c:pt>
                <c:pt idx="26">
                  <c:v>1955.0</c:v>
                </c:pt>
                <c:pt idx="27">
                  <c:v>1956.0</c:v>
                </c:pt>
                <c:pt idx="28">
                  <c:v>1957.0</c:v>
                </c:pt>
                <c:pt idx="29">
                  <c:v>1958.0</c:v>
                </c:pt>
                <c:pt idx="30">
                  <c:v>1959.0</c:v>
                </c:pt>
                <c:pt idx="31">
                  <c:v>1960.0</c:v>
                </c:pt>
                <c:pt idx="32">
                  <c:v>1961.0</c:v>
                </c:pt>
                <c:pt idx="33">
                  <c:v>1962.0</c:v>
                </c:pt>
                <c:pt idx="34">
                  <c:v>1963.0</c:v>
                </c:pt>
                <c:pt idx="35">
                  <c:v>1964.0</c:v>
                </c:pt>
                <c:pt idx="36">
                  <c:v>1965.0</c:v>
                </c:pt>
                <c:pt idx="37">
                  <c:v>1966.0</c:v>
                </c:pt>
                <c:pt idx="38">
                  <c:v>1967.0</c:v>
                </c:pt>
                <c:pt idx="39">
                  <c:v>1968.0</c:v>
                </c:pt>
                <c:pt idx="40">
                  <c:v>1969.0</c:v>
                </c:pt>
                <c:pt idx="41">
                  <c:v>1970.0</c:v>
                </c:pt>
                <c:pt idx="42">
                  <c:v>1971.0</c:v>
                </c:pt>
                <c:pt idx="43">
                  <c:v>1972.0</c:v>
                </c:pt>
                <c:pt idx="44">
                  <c:v>1973.0</c:v>
                </c:pt>
                <c:pt idx="45">
                  <c:v>1974.0</c:v>
                </c:pt>
                <c:pt idx="46">
                  <c:v>1975.0</c:v>
                </c:pt>
                <c:pt idx="47">
                  <c:v>1976.0</c:v>
                </c:pt>
                <c:pt idx="48">
                  <c:v>1977.0</c:v>
                </c:pt>
                <c:pt idx="49">
                  <c:v>1978.0</c:v>
                </c:pt>
                <c:pt idx="50">
                  <c:v>1979.0</c:v>
                </c:pt>
                <c:pt idx="51">
                  <c:v>1980.0</c:v>
                </c:pt>
                <c:pt idx="52">
                  <c:v>1981.0</c:v>
                </c:pt>
                <c:pt idx="53">
                  <c:v>1982.0</c:v>
                </c:pt>
                <c:pt idx="54">
                  <c:v>1983.0</c:v>
                </c:pt>
                <c:pt idx="55">
                  <c:v>1984.0</c:v>
                </c:pt>
                <c:pt idx="56">
                  <c:v>1985.0</c:v>
                </c:pt>
                <c:pt idx="57">
                  <c:v>1986.0</c:v>
                </c:pt>
                <c:pt idx="58">
                  <c:v>1987.0</c:v>
                </c:pt>
                <c:pt idx="59">
                  <c:v>1988.0</c:v>
                </c:pt>
                <c:pt idx="60">
                  <c:v>1989.0</c:v>
                </c:pt>
                <c:pt idx="61">
                  <c:v>1990.0</c:v>
                </c:pt>
                <c:pt idx="62">
                  <c:v>1991.0</c:v>
                </c:pt>
                <c:pt idx="63">
                  <c:v>1992.0</c:v>
                </c:pt>
                <c:pt idx="64">
                  <c:v>1993.0</c:v>
                </c:pt>
                <c:pt idx="65">
                  <c:v>1994.0</c:v>
                </c:pt>
                <c:pt idx="66">
                  <c:v>1995.0</c:v>
                </c:pt>
                <c:pt idx="67">
                  <c:v>1996.0</c:v>
                </c:pt>
                <c:pt idx="68">
                  <c:v>1997.0</c:v>
                </c:pt>
                <c:pt idx="69">
                  <c:v>1998.0</c:v>
                </c:pt>
                <c:pt idx="70">
                  <c:v>1999.0</c:v>
                </c:pt>
                <c:pt idx="71">
                  <c:v>2000.0</c:v>
                </c:pt>
                <c:pt idx="72">
                  <c:v>2001.0</c:v>
                </c:pt>
                <c:pt idx="73">
                  <c:v>2002.0</c:v>
                </c:pt>
                <c:pt idx="74">
                  <c:v>2003.0</c:v>
                </c:pt>
                <c:pt idx="75">
                  <c:v>2004.0</c:v>
                </c:pt>
                <c:pt idx="76">
                  <c:v>2005.0</c:v>
                </c:pt>
                <c:pt idx="77">
                  <c:v>2006.0</c:v>
                </c:pt>
                <c:pt idx="78">
                  <c:v>2007.0</c:v>
                </c:pt>
                <c:pt idx="79">
                  <c:v>2008.0</c:v>
                </c:pt>
                <c:pt idx="80">
                  <c:v>2009.0</c:v>
                </c:pt>
                <c:pt idx="81">
                  <c:v>2010.0</c:v>
                </c:pt>
                <c:pt idx="82">
                  <c:v>2011.0</c:v>
                </c:pt>
                <c:pt idx="83">
                  <c:v>2012.0</c:v>
                </c:pt>
                <c:pt idx="84">
                  <c:v>2013.0</c:v>
                </c:pt>
                <c:pt idx="85">
                  <c:v>2014.0</c:v>
                </c:pt>
                <c:pt idx="86">
                  <c:v>2015.0</c:v>
                </c:pt>
                <c:pt idx="87">
                  <c:v>2016.0</c:v>
                </c:pt>
              </c:numCache>
            </c:numRef>
          </c:cat>
          <c:val>
            <c:numRef>
              <c:f>'Assets(BoP)'!$FR$21:$FR$108</c:f>
              <c:numCache>
                <c:formatCode>0%</c:formatCode>
                <c:ptCount val="88"/>
                <c:pt idx="0">
                  <c:v>0.0176766468614165</c:v>
                </c:pt>
                <c:pt idx="1">
                  <c:v>0.012716041859197</c:v>
                </c:pt>
                <c:pt idx="2">
                  <c:v>0.0</c:v>
                </c:pt>
                <c:pt idx="3">
                  <c:v>0.0</c:v>
                </c:pt>
                <c:pt idx="4">
                  <c:v>0.0</c:v>
                </c:pt>
                <c:pt idx="5">
                  <c:v>0.0497111371607973</c:v>
                </c:pt>
                <c:pt idx="6">
                  <c:v>0.0620842735729034</c:v>
                </c:pt>
                <c:pt idx="7">
                  <c:v>0.0200095566757452</c:v>
                </c:pt>
                <c:pt idx="8">
                  <c:v>0.0523732206901832</c:v>
                </c:pt>
                <c:pt idx="9">
                  <c:v>0.0743043959263483</c:v>
                </c:pt>
                <c:pt idx="10">
                  <c:v>0.0562415291459366</c:v>
                </c:pt>
                <c:pt idx="11">
                  <c:v>0.0374612328378406</c:v>
                </c:pt>
                <c:pt idx="12">
                  <c:v>0.0314682223206847</c:v>
                </c:pt>
                <c:pt idx="13">
                  <c:v>0.0237314378562502</c:v>
                </c:pt>
                <c:pt idx="14">
                  <c:v>0.0198062941520184</c:v>
                </c:pt>
                <c:pt idx="15">
                  <c:v>0.0197095816544204</c:v>
                </c:pt>
                <c:pt idx="16">
                  <c:v>0.0180110618903329</c:v>
                </c:pt>
                <c:pt idx="17">
                  <c:v>0.0472947283952902</c:v>
                </c:pt>
                <c:pt idx="18">
                  <c:v>0.0507673545750281</c:v>
                </c:pt>
                <c:pt idx="19">
                  <c:v>0.0508191124235656</c:v>
                </c:pt>
                <c:pt idx="20">
                  <c:v>0.0483413973702103</c:v>
                </c:pt>
                <c:pt idx="21">
                  <c:v>0.0467195892584389</c:v>
                </c:pt>
                <c:pt idx="22">
                  <c:v>0.0522608862064531</c:v>
                </c:pt>
                <c:pt idx="23">
                  <c:v>0.054187057738776</c:v>
                </c:pt>
                <c:pt idx="24">
                  <c:v>0.0533326023015621</c:v>
                </c:pt>
                <c:pt idx="25">
                  <c:v>0.0567277460414264</c:v>
                </c:pt>
                <c:pt idx="26">
                  <c:v>0.0538873356835277</c:v>
                </c:pt>
                <c:pt idx="27">
                  <c:v>0.0638852165909902</c:v>
                </c:pt>
                <c:pt idx="28">
                  <c:v>0.0701671300888546</c:v>
                </c:pt>
                <c:pt idx="29">
                  <c:v>0.0635740994960086</c:v>
                </c:pt>
                <c:pt idx="30">
                  <c:v>0.0569402103410912</c:v>
                </c:pt>
                <c:pt idx="31">
                  <c:v>0.0645117321229429</c:v>
                </c:pt>
                <c:pt idx="32">
                  <c:v>0.0680492634320548</c:v>
                </c:pt>
                <c:pt idx="33">
                  <c:v>0.0651767220692374</c:v>
                </c:pt>
                <c:pt idx="34">
                  <c:v>0.0630551172022461</c:v>
                </c:pt>
                <c:pt idx="35">
                  <c:v>0.0643056076098951</c:v>
                </c:pt>
                <c:pt idx="36">
                  <c:v>0.0590074756439073</c:v>
                </c:pt>
                <c:pt idx="37">
                  <c:v>0.053952984616551</c:v>
                </c:pt>
                <c:pt idx="38">
                  <c:v>0.0576550248923986</c:v>
                </c:pt>
                <c:pt idx="39">
                  <c:v>0.0639573775282826</c:v>
                </c:pt>
                <c:pt idx="40">
                  <c:v>0.0744117905838158</c:v>
                </c:pt>
                <c:pt idx="41">
                  <c:v>0.0904307332638607</c:v>
                </c:pt>
                <c:pt idx="42">
                  <c:v>0.0880708597362795</c:v>
                </c:pt>
                <c:pt idx="43">
                  <c:v>0.0907365835133193</c:v>
                </c:pt>
                <c:pt idx="44">
                  <c:v>0.116998508200459</c:v>
                </c:pt>
                <c:pt idx="45">
                  <c:v>0.138363679674873</c:v>
                </c:pt>
                <c:pt idx="46">
                  <c:v>0.108190496211252</c:v>
                </c:pt>
                <c:pt idx="47">
                  <c:v>0.0996406961927034</c:v>
                </c:pt>
                <c:pt idx="48">
                  <c:v>0.0946572892589887</c:v>
                </c:pt>
                <c:pt idx="49">
                  <c:v>0.0979171687472443</c:v>
                </c:pt>
                <c:pt idx="50">
                  <c:v>0.135876872262617</c:v>
                </c:pt>
                <c:pt idx="51">
                  <c:v>0.155345473695691</c:v>
                </c:pt>
                <c:pt idx="52">
                  <c:v>0.120309699425274</c:v>
                </c:pt>
                <c:pt idx="53">
                  <c:v>0.116348288994879</c:v>
                </c:pt>
                <c:pt idx="54">
                  <c:v>0.1142642609897</c:v>
                </c:pt>
                <c:pt idx="55">
                  <c:v>0.109159774374178</c:v>
                </c:pt>
                <c:pt idx="56">
                  <c:v>0.104242938700279</c:v>
                </c:pt>
                <c:pt idx="57">
                  <c:v>0.115663821696264</c:v>
                </c:pt>
                <c:pt idx="58">
                  <c:v>0.121463281209831</c:v>
                </c:pt>
                <c:pt idx="59">
                  <c:v>0.137176240870184</c:v>
                </c:pt>
                <c:pt idx="60">
                  <c:v>0.141505084598463</c:v>
                </c:pt>
                <c:pt idx="61">
                  <c:v>0.144490769120578</c:v>
                </c:pt>
                <c:pt idx="62">
                  <c:v>0.123478442360051</c:v>
                </c:pt>
                <c:pt idx="63">
                  <c:v>0.119294984721242</c:v>
                </c:pt>
                <c:pt idx="64">
                  <c:v>0.127604189175212</c:v>
                </c:pt>
                <c:pt idx="65">
                  <c:v>0.116431366683186</c:v>
                </c:pt>
                <c:pt idx="66">
                  <c:v>0.132244613237293</c:v>
                </c:pt>
                <c:pt idx="67">
                  <c:v>0.127319848412222</c:v>
                </c:pt>
                <c:pt idx="68">
                  <c:v>0.125077454125952</c:v>
                </c:pt>
                <c:pt idx="69">
                  <c:v>0.118238080200899</c:v>
                </c:pt>
                <c:pt idx="70">
                  <c:v>0.136770422799889</c:v>
                </c:pt>
                <c:pt idx="71">
                  <c:v>0.176024697673226</c:v>
                </c:pt>
                <c:pt idx="72">
                  <c:v>0.145518194920878</c:v>
                </c:pt>
                <c:pt idx="73">
                  <c:v>0.130450185861681</c:v>
                </c:pt>
                <c:pt idx="74">
                  <c:v>0.137271584532024</c:v>
                </c:pt>
                <c:pt idx="75">
                  <c:v>0.143495859033573</c:v>
                </c:pt>
                <c:pt idx="76">
                  <c:v>0.141294894157649</c:v>
                </c:pt>
                <c:pt idx="77">
                  <c:v>0.149859129958119</c:v>
                </c:pt>
                <c:pt idx="78">
                  <c:v>0.177779448462529</c:v>
                </c:pt>
                <c:pt idx="79">
                  <c:v>0.235369836076365</c:v>
                </c:pt>
                <c:pt idx="80">
                  <c:v>0.16597817831517</c:v>
                </c:pt>
                <c:pt idx="81">
                  <c:v>0.160150972306963</c:v>
                </c:pt>
                <c:pt idx="82">
                  <c:v>0.169295549501534</c:v>
                </c:pt>
                <c:pt idx="83">
                  <c:v>0.14441122356508</c:v>
                </c:pt>
                <c:pt idx="84">
                  <c:v>0.136006809958239</c:v>
                </c:pt>
                <c:pt idx="85">
                  <c:v>0.123562886506944</c:v>
                </c:pt>
                <c:pt idx="86">
                  <c:v>0.11084785500477</c:v>
                </c:pt>
                <c:pt idx="87">
                  <c:v>0.116128441186716</c:v>
                </c:pt>
              </c:numCache>
            </c:numRef>
          </c:val>
        </c:ser>
        <c:dLbls>
          <c:showLegendKey val="0"/>
          <c:showVal val="0"/>
          <c:showCatName val="0"/>
          <c:showSerName val="0"/>
          <c:showPercent val="0"/>
          <c:showBubbleSize val="0"/>
        </c:dLbls>
        <c:axId val="-2109897272"/>
        <c:axId val="-2109894264"/>
      </c:areaChart>
      <c:catAx>
        <c:axId val="-2109897272"/>
        <c:scaling>
          <c:orientation val="minMax"/>
        </c:scaling>
        <c:delete val="0"/>
        <c:axPos val="b"/>
        <c:numFmt formatCode="General" sourceLinked="1"/>
        <c:majorTickMark val="out"/>
        <c:minorTickMark val="none"/>
        <c:tickLblPos val="nextTo"/>
        <c:crossAx val="-2109894264"/>
        <c:crosses val="autoZero"/>
        <c:auto val="1"/>
        <c:lblAlgn val="ctr"/>
        <c:lblOffset val="100"/>
        <c:noMultiLvlLbl val="0"/>
      </c:catAx>
      <c:valAx>
        <c:axId val="-2109894264"/>
        <c:scaling>
          <c:orientation val="minMax"/>
          <c:max val="0.25"/>
        </c:scaling>
        <c:delete val="0"/>
        <c:axPos val="l"/>
        <c:majorGridlines/>
        <c:numFmt formatCode="0%" sourceLinked="1"/>
        <c:majorTickMark val="out"/>
        <c:minorTickMark val="none"/>
        <c:tickLblPos val="nextTo"/>
        <c:crossAx val="-2109897272"/>
        <c:crosses val="autoZero"/>
        <c:crossBetween val="midCat"/>
      </c:valAx>
    </c:plotArea>
    <c:legend>
      <c:legendPos val="r"/>
      <c:layout>
        <c:manualLayout>
          <c:xMode val="edge"/>
          <c:yMode val="edge"/>
          <c:x val="0.255753280839895"/>
          <c:y val="0.351930956547098"/>
          <c:w val="0.185913385826772"/>
          <c:h val="0.185952901720618"/>
        </c:manualLayout>
      </c:layout>
      <c:overlay val="0"/>
    </c:legend>
    <c:plotVisOnly val="1"/>
    <c:dispBlanksAs val="zero"/>
    <c:showDLblsOverMax val="0"/>
  </c:chart>
  <c:printSettings>
    <c:headerFooter/>
    <c:pageMargins b="1.0" l="0.75" r="0.75" t="1.0"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Profits made abroad</a:t>
            </a:r>
            <a:r>
              <a:rPr lang="en-US" baseline="0"/>
              <a:t> by U.S. firms</a:t>
            </a:r>
          </a:p>
          <a:p>
            <a:pPr>
              <a:defRPr/>
            </a:pPr>
            <a:r>
              <a:rPr lang="en-US" baseline="0"/>
              <a:t>(% of U.S. corporate profits)</a:t>
            </a:r>
            <a:endParaRPr lang="en-US"/>
          </a:p>
        </c:rich>
      </c:tx>
      <c:overlay val="0"/>
    </c:title>
    <c:autoTitleDeleted val="0"/>
    <c:plotArea>
      <c:layout>
        <c:manualLayout>
          <c:layoutTarget val="inner"/>
          <c:xMode val="edge"/>
          <c:yMode val="edge"/>
          <c:x val="0.0932248468941382"/>
          <c:y val="0.125925925925926"/>
          <c:w val="0.876417322834646"/>
          <c:h val="0.718132837561971"/>
        </c:manualLayout>
      </c:layout>
      <c:areaChart>
        <c:grouping val="stacked"/>
        <c:varyColors val="0"/>
        <c:ser>
          <c:idx val="0"/>
          <c:order val="0"/>
          <c:tx>
            <c:v>Havens</c:v>
          </c:tx>
          <c:cat>
            <c:numRef>
              <c:f>'Assets(BoP)'!$B$21:$B$108</c:f>
              <c:numCache>
                <c:formatCode>General</c:formatCode>
                <c:ptCount val="88"/>
                <c:pt idx="0">
                  <c:v>1929.0</c:v>
                </c:pt>
                <c:pt idx="1">
                  <c:v>1930.0</c:v>
                </c:pt>
                <c:pt idx="2">
                  <c:v>1931.0</c:v>
                </c:pt>
                <c:pt idx="3">
                  <c:v>1932.0</c:v>
                </c:pt>
                <c:pt idx="4">
                  <c:v>1933.0</c:v>
                </c:pt>
                <c:pt idx="5">
                  <c:v>1934.0</c:v>
                </c:pt>
                <c:pt idx="6">
                  <c:v>1935.0</c:v>
                </c:pt>
                <c:pt idx="7">
                  <c:v>1936.0</c:v>
                </c:pt>
                <c:pt idx="8">
                  <c:v>1937.0</c:v>
                </c:pt>
                <c:pt idx="9">
                  <c:v>1938.0</c:v>
                </c:pt>
                <c:pt idx="10">
                  <c:v>1939.0</c:v>
                </c:pt>
                <c:pt idx="11">
                  <c:v>1940.0</c:v>
                </c:pt>
                <c:pt idx="12">
                  <c:v>1941.0</c:v>
                </c:pt>
                <c:pt idx="13">
                  <c:v>1942.0</c:v>
                </c:pt>
                <c:pt idx="14">
                  <c:v>1943.0</c:v>
                </c:pt>
                <c:pt idx="15">
                  <c:v>1944.0</c:v>
                </c:pt>
                <c:pt idx="16">
                  <c:v>1945.0</c:v>
                </c:pt>
                <c:pt idx="17">
                  <c:v>1946.0</c:v>
                </c:pt>
                <c:pt idx="18">
                  <c:v>1947.0</c:v>
                </c:pt>
                <c:pt idx="19">
                  <c:v>1948.0</c:v>
                </c:pt>
                <c:pt idx="20">
                  <c:v>1949.0</c:v>
                </c:pt>
                <c:pt idx="21">
                  <c:v>1950.0</c:v>
                </c:pt>
                <c:pt idx="22">
                  <c:v>1951.0</c:v>
                </c:pt>
                <c:pt idx="23">
                  <c:v>1952.0</c:v>
                </c:pt>
                <c:pt idx="24">
                  <c:v>1953.0</c:v>
                </c:pt>
                <c:pt idx="25">
                  <c:v>1954.0</c:v>
                </c:pt>
                <c:pt idx="26">
                  <c:v>1955.0</c:v>
                </c:pt>
                <c:pt idx="27">
                  <c:v>1956.0</c:v>
                </c:pt>
                <c:pt idx="28">
                  <c:v>1957.0</c:v>
                </c:pt>
                <c:pt idx="29">
                  <c:v>1958.0</c:v>
                </c:pt>
                <c:pt idx="30">
                  <c:v>1959.0</c:v>
                </c:pt>
                <c:pt idx="31">
                  <c:v>1960.0</c:v>
                </c:pt>
                <c:pt idx="32">
                  <c:v>1961.0</c:v>
                </c:pt>
                <c:pt idx="33">
                  <c:v>1962.0</c:v>
                </c:pt>
                <c:pt idx="34">
                  <c:v>1963.0</c:v>
                </c:pt>
                <c:pt idx="35">
                  <c:v>1964.0</c:v>
                </c:pt>
                <c:pt idx="36">
                  <c:v>1965.0</c:v>
                </c:pt>
                <c:pt idx="37">
                  <c:v>1966.0</c:v>
                </c:pt>
                <c:pt idx="38">
                  <c:v>1967.0</c:v>
                </c:pt>
                <c:pt idx="39">
                  <c:v>1968.0</c:v>
                </c:pt>
                <c:pt idx="40">
                  <c:v>1969.0</c:v>
                </c:pt>
                <c:pt idx="41">
                  <c:v>1970.0</c:v>
                </c:pt>
                <c:pt idx="42">
                  <c:v>1971.0</c:v>
                </c:pt>
                <c:pt idx="43">
                  <c:v>1972.0</c:v>
                </c:pt>
                <c:pt idx="44">
                  <c:v>1973.0</c:v>
                </c:pt>
                <c:pt idx="45">
                  <c:v>1974.0</c:v>
                </c:pt>
                <c:pt idx="46">
                  <c:v>1975.0</c:v>
                </c:pt>
                <c:pt idx="47">
                  <c:v>1976.0</c:v>
                </c:pt>
                <c:pt idx="48">
                  <c:v>1977.0</c:v>
                </c:pt>
                <c:pt idx="49">
                  <c:v>1978.0</c:v>
                </c:pt>
                <c:pt idx="50">
                  <c:v>1979.0</c:v>
                </c:pt>
                <c:pt idx="51">
                  <c:v>1980.0</c:v>
                </c:pt>
                <c:pt idx="52">
                  <c:v>1981.0</c:v>
                </c:pt>
                <c:pt idx="53">
                  <c:v>1982.0</c:v>
                </c:pt>
                <c:pt idx="54">
                  <c:v>1983.0</c:v>
                </c:pt>
                <c:pt idx="55">
                  <c:v>1984.0</c:v>
                </c:pt>
                <c:pt idx="56">
                  <c:v>1985.0</c:v>
                </c:pt>
                <c:pt idx="57">
                  <c:v>1986.0</c:v>
                </c:pt>
                <c:pt idx="58">
                  <c:v>1987.0</c:v>
                </c:pt>
                <c:pt idx="59">
                  <c:v>1988.0</c:v>
                </c:pt>
                <c:pt idx="60">
                  <c:v>1989.0</c:v>
                </c:pt>
                <c:pt idx="61">
                  <c:v>1990.0</c:v>
                </c:pt>
                <c:pt idx="62">
                  <c:v>1991.0</c:v>
                </c:pt>
                <c:pt idx="63">
                  <c:v>1992.0</c:v>
                </c:pt>
                <c:pt idx="64">
                  <c:v>1993.0</c:v>
                </c:pt>
                <c:pt idx="65">
                  <c:v>1994.0</c:v>
                </c:pt>
                <c:pt idx="66">
                  <c:v>1995.0</c:v>
                </c:pt>
                <c:pt idx="67">
                  <c:v>1996.0</c:v>
                </c:pt>
                <c:pt idx="68">
                  <c:v>1997.0</c:v>
                </c:pt>
                <c:pt idx="69">
                  <c:v>1998.0</c:v>
                </c:pt>
                <c:pt idx="70">
                  <c:v>1999.0</c:v>
                </c:pt>
                <c:pt idx="71">
                  <c:v>2000.0</c:v>
                </c:pt>
                <c:pt idx="72">
                  <c:v>2001.0</c:v>
                </c:pt>
                <c:pt idx="73">
                  <c:v>2002.0</c:v>
                </c:pt>
                <c:pt idx="74">
                  <c:v>2003.0</c:v>
                </c:pt>
                <c:pt idx="75">
                  <c:v>2004.0</c:v>
                </c:pt>
                <c:pt idx="76">
                  <c:v>2005.0</c:v>
                </c:pt>
                <c:pt idx="77">
                  <c:v>2006.0</c:v>
                </c:pt>
                <c:pt idx="78">
                  <c:v>2007.0</c:v>
                </c:pt>
                <c:pt idx="79">
                  <c:v>2008.0</c:v>
                </c:pt>
                <c:pt idx="80">
                  <c:v>2009.0</c:v>
                </c:pt>
                <c:pt idx="81">
                  <c:v>2010.0</c:v>
                </c:pt>
                <c:pt idx="82">
                  <c:v>2011.0</c:v>
                </c:pt>
                <c:pt idx="83">
                  <c:v>2012.0</c:v>
                </c:pt>
                <c:pt idx="84">
                  <c:v>2013.0</c:v>
                </c:pt>
                <c:pt idx="85">
                  <c:v>2014.0</c:v>
                </c:pt>
                <c:pt idx="86">
                  <c:v>2015.0</c:v>
                </c:pt>
                <c:pt idx="87">
                  <c:v>2016.0</c:v>
                </c:pt>
              </c:numCache>
            </c:numRef>
          </c:cat>
          <c:val>
            <c:numRef>
              <c:f>'Assets(BoP)'!$FQ$21:$FQ$108</c:f>
              <c:numCache>
                <c:formatCode>0%</c:formatCode>
                <c:ptCount val="88"/>
                <c:pt idx="0">
                  <c:v>0.000841871657101968</c:v>
                </c:pt>
                <c:pt idx="1">
                  <c:v>0.00061729147413636</c:v>
                </c:pt>
                <c:pt idx="2">
                  <c:v>0.0</c:v>
                </c:pt>
                <c:pt idx="3">
                  <c:v>0.0</c:v>
                </c:pt>
                <c:pt idx="4">
                  <c:v>0.0</c:v>
                </c:pt>
                <c:pt idx="5">
                  <c:v>0.00259655514689498</c:v>
                </c:pt>
                <c:pt idx="6">
                  <c:v>0.003300341811712</c:v>
                </c:pt>
                <c:pt idx="7">
                  <c:v>0.00108225473864686</c:v>
                </c:pt>
                <c:pt idx="8">
                  <c:v>0.00288138386019597</c:v>
                </c:pt>
                <c:pt idx="9">
                  <c:v>0.0041571425351902</c:v>
                </c:pt>
                <c:pt idx="10">
                  <c:v>0.00319903029462283</c:v>
                </c:pt>
                <c:pt idx="11">
                  <c:v>0.00216580678919903</c:v>
                </c:pt>
                <c:pt idx="12">
                  <c:v>0.00184877914918302</c:v>
                </c:pt>
                <c:pt idx="13">
                  <c:v>0.00141649113783267</c:v>
                </c:pt>
                <c:pt idx="14">
                  <c:v>0.00120081119243638</c:v>
                </c:pt>
                <c:pt idx="15">
                  <c:v>0.00121349526865648</c:v>
                </c:pt>
                <c:pt idx="16">
                  <c:v>0.00112589871004238</c:v>
                </c:pt>
                <c:pt idx="17">
                  <c:v>0.00300112959287543</c:v>
                </c:pt>
                <c:pt idx="18">
                  <c:v>0.00326951764366226</c:v>
                </c:pt>
                <c:pt idx="19">
                  <c:v>0.00332101496496943</c:v>
                </c:pt>
                <c:pt idx="20">
                  <c:v>0.00320499438236705</c:v>
                </c:pt>
                <c:pt idx="21">
                  <c:v>0.00314190658643642</c:v>
                </c:pt>
                <c:pt idx="22">
                  <c:v>0.00356435651199352</c:v>
                </c:pt>
                <c:pt idx="23">
                  <c:v>0.00374745107734485</c:v>
                </c:pt>
                <c:pt idx="24">
                  <c:v>0.00373935799620467</c:v>
                </c:pt>
                <c:pt idx="25">
                  <c:v>0.00403174762945971</c:v>
                </c:pt>
                <c:pt idx="26">
                  <c:v>0.00388158861926117</c:v>
                </c:pt>
                <c:pt idx="27">
                  <c:v>0.00466317050578394</c:v>
                </c:pt>
                <c:pt idx="28">
                  <c:v>0.00518928538976049</c:v>
                </c:pt>
                <c:pt idx="29">
                  <c:v>0.00476303034453808</c:v>
                </c:pt>
                <c:pt idx="30">
                  <c:v>0.00432105092017</c:v>
                </c:pt>
                <c:pt idx="31">
                  <c:v>0.00495810334323629</c:v>
                </c:pt>
                <c:pt idx="32">
                  <c:v>0.00529599595971618</c:v>
                </c:pt>
                <c:pt idx="33">
                  <c:v>0.00513577793076259</c:v>
                </c:pt>
                <c:pt idx="34">
                  <c:v>0.00502998918073265</c:v>
                </c:pt>
                <c:pt idx="35">
                  <c:v>0.00519246188817439</c:v>
                </c:pt>
                <c:pt idx="36">
                  <c:v>0.00482231159013525</c:v>
                </c:pt>
                <c:pt idx="37">
                  <c:v>0.0043196480577466</c:v>
                </c:pt>
                <c:pt idx="38">
                  <c:v>0.00517777595957161</c:v>
                </c:pt>
                <c:pt idx="39">
                  <c:v>0.00487251431045876</c:v>
                </c:pt>
                <c:pt idx="40">
                  <c:v>0.00688902242431431</c:v>
                </c:pt>
                <c:pt idx="41">
                  <c:v>0.00933724817465431</c:v>
                </c:pt>
                <c:pt idx="42">
                  <c:v>0.00934464722197097</c:v>
                </c:pt>
                <c:pt idx="43">
                  <c:v>0.00909276802251681</c:v>
                </c:pt>
                <c:pt idx="44">
                  <c:v>0.014935524783049</c:v>
                </c:pt>
                <c:pt idx="45">
                  <c:v>0.0239274897762006</c:v>
                </c:pt>
                <c:pt idx="46">
                  <c:v>0.0206791942135144</c:v>
                </c:pt>
                <c:pt idx="47">
                  <c:v>0.0208412315181399</c:v>
                </c:pt>
                <c:pt idx="48">
                  <c:v>0.0205030605952387</c:v>
                </c:pt>
                <c:pt idx="49">
                  <c:v>0.0236251615126048</c:v>
                </c:pt>
                <c:pt idx="50">
                  <c:v>0.0352074650867806</c:v>
                </c:pt>
                <c:pt idx="51">
                  <c:v>0.0409872633347209</c:v>
                </c:pt>
                <c:pt idx="52">
                  <c:v>0.0332256541100797</c:v>
                </c:pt>
                <c:pt idx="53">
                  <c:v>0.0432863347545777</c:v>
                </c:pt>
                <c:pt idx="54">
                  <c:v>0.0326263751789916</c:v>
                </c:pt>
                <c:pt idx="55">
                  <c:v>0.0275670678868458</c:v>
                </c:pt>
                <c:pt idx="56">
                  <c:v>0.0277739865465471</c:v>
                </c:pt>
                <c:pt idx="57">
                  <c:v>0.0344594828660049</c:v>
                </c:pt>
                <c:pt idx="58">
                  <c:v>0.0394656805388031</c:v>
                </c:pt>
                <c:pt idx="59">
                  <c:v>0.0353954631548819</c:v>
                </c:pt>
                <c:pt idx="60">
                  <c:v>0.0407740076275147</c:v>
                </c:pt>
                <c:pt idx="61">
                  <c:v>0.0496607169772163</c:v>
                </c:pt>
                <c:pt idx="62">
                  <c:v>0.043594458149588</c:v>
                </c:pt>
                <c:pt idx="63">
                  <c:v>0.0454430754512806</c:v>
                </c:pt>
                <c:pt idx="64">
                  <c:v>0.0428938951159762</c:v>
                </c:pt>
                <c:pt idx="65">
                  <c:v>0.0517628767643134</c:v>
                </c:pt>
                <c:pt idx="66">
                  <c:v>0.048978715354457</c:v>
                </c:pt>
                <c:pt idx="67">
                  <c:v>0.0500112799429486</c:v>
                </c:pt>
                <c:pt idx="68">
                  <c:v>0.0545252254767273</c:v>
                </c:pt>
                <c:pt idx="69">
                  <c:v>0.0642019148245954</c:v>
                </c:pt>
                <c:pt idx="70">
                  <c:v>0.0767925740683352</c:v>
                </c:pt>
                <c:pt idx="71">
                  <c:v>0.083959941343671</c:v>
                </c:pt>
                <c:pt idx="72">
                  <c:v>0.097585253354984</c:v>
                </c:pt>
                <c:pt idx="73">
                  <c:v>0.095850519605691</c:v>
                </c:pt>
                <c:pt idx="74">
                  <c:v>0.0993811985047039</c:v>
                </c:pt>
                <c:pt idx="75">
                  <c:v>0.112173119381451</c:v>
                </c:pt>
                <c:pt idx="76">
                  <c:v>0.118365388714382</c:v>
                </c:pt>
                <c:pt idx="77">
                  <c:v>0.113608832386248</c:v>
                </c:pt>
                <c:pt idx="78">
                  <c:v>0.156033501177759</c:v>
                </c:pt>
                <c:pt idx="79">
                  <c:v>0.217513208044715</c:v>
                </c:pt>
                <c:pt idx="80">
                  <c:v>0.190571571147965</c:v>
                </c:pt>
                <c:pt idx="81">
                  <c:v>0.174594790404902</c:v>
                </c:pt>
                <c:pt idx="82">
                  <c:v>0.185378016500888</c:v>
                </c:pt>
                <c:pt idx="83">
                  <c:v>0.181031675043668</c:v>
                </c:pt>
                <c:pt idx="84">
                  <c:v>0.192636999378177</c:v>
                </c:pt>
                <c:pt idx="85">
                  <c:v>0.197048157125682</c:v>
                </c:pt>
                <c:pt idx="86">
                  <c:v>0.197581897061346</c:v>
                </c:pt>
                <c:pt idx="87">
                  <c:v>0.207671896406725</c:v>
                </c:pt>
              </c:numCache>
            </c:numRef>
          </c:val>
        </c:ser>
        <c:dLbls>
          <c:showLegendKey val="0"/>
          <c:showVal val="0"/>
          <c:showCatName val="0"/>
          <c:showSerName val="0"/>
          <c:showPercent val="0"/>
          <c:showBubbleSize val="0"/>
        </c:dLbls>
        <c:axId val="-2109940808"/>
        <c:axId val="-2109950456"/>
      </c:areaChart>
      <c:catAx>
        <c:axId val="-2109940808"/>
        <c:scaling>
          <c:orientation val="minMax"/>
        </c:scaling>
        <c:delete val="0"/>
        <c:axPos val="b"/>
        <c:numFmt formatCode="General" sourceLinked="1"/>
        <c:majorTickMark val="out"/>
        <c:minorTickMark val="none"/>
        <c:tickLblPos val="nextTo"/>
        <c:crossAx val="-2109950456"/>
        <c:crosses val="autoZero"/>
        <c:auto val="1"/>
        <c:lblAlgn val="ctr"/>
        <c:lblOffset val="100"/>
        <c:noMultiLvlLbl val="0"/>
      </c:catAx>
      <c:valAx>
        <c:axId val="-2109950456"/>
        <c:scaling>
          <c:orientation val="minMax"/>
          <c:max val="0.25"/>
        </c:scaling>
        <c:delete val="0"/>
        <c:axPos val="l"/>
        <c:majorGridlines/>
        <c:numFmt formatCode="0%" sourceLinked="1"/>
        <c:majorTickMark val="out"/>
        <c:minorTickMark val="none"/>
        <c:tickLblPos val="nextTo"/>
        <c:crossAx val="-2109940808"/>
        <c:crosses val="autoZero"/>
        <c:crossBetween val="midCat"/>
      </c:valAx>
    </c:plotArea>
    <c:legend>
      <c:legendPos val="r"/>
      <c:layout>
        <c:manualLayout>
          <c:xMode val="edge"/>
          <c:yMode val="edge"/>
          <c:x val="0.255753280839895"/>
          <c:y val="0.351930956547098"/>
          <c:w val="0.185913385826772"/>
          <c:h val="0.185952901720618"/>
        </c:manualLayout>
      </c:layout>
      <c:overlay val="0"/>
    </c:legend>
    <c:plotVisOnly val="1"/>
    <c:dispBlanksAs val="zero"/>
    <c:showDLblsOverMax val="0"/>
  </c:chart>
  <c:printSettings>
    <c:headerFooter/>
    <c:pageMargins b="1.0" l="0.75" r="0.75" t="1.0"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Profits made abroad by U.S.</a:t>
            </a:r>
            <a:r>
              <a:rPr lang="en-US" baseline="0"/>
              <a:t> firms</a:t>
            </a:r>
          </a:p>
          <a:p>
            <a:pPr>
              <a:defRPr/>
            </a:pPr>
            <a:r>
              <a:rPr lang="en-US" baseline="0"/>
              <a:t>(% of U.S. national income)</a:t>
            </a:r>
            <a:endParaRPr lang="en-US"/>
          </a:p>
        </c:rich>
      </c:tx>
      <c:overlay val="0"/>
    </c:title>
    <c:autoTitleDeleted val="0"/>
    <c:plotArea>
      <c:layout>
        <c:manualLayout>
          <c:layoutTarget val="inner"/>
          <c:xMode val="edge"/>
          <c:yMode val="edge"/>
          <c:x val="0.0868772965879265"/>
          <c:y val="0.0886836027713626"/>
          <c:w val="0.866098206474191"/>
          <c:h val="0.71358767798367"/>
        </c:manualLayout>
      </c:layout>
      <c:areaChart>
        <c:grouping val="stacked"/>
        <c:varyColors val="0"/>
        <c:ser>
          <c:idx val="1"/>
          <c:order val="0"/>
          <c:tx>
            <c:v>Non havens</c:v>
          </c:tx>
          <c:cat>
            <c:numRef>
              <c:f>'Assets(BoP)'!$B$21:$B$108</c:f>
              <c:numCache>
                <c:formatCode>General</c:formatCode>
                <c:ptCount val="88"/>
                <c:pt idx="0">
                  <c:v>1929.0</c:v>
                </c:pt>
                <c:pt idx="1">
                  <c:v>1930.0</c:v>
                </c:pt>
                <c:pt idx="2">
                  <c:v>1931.0</c:v>
                </c:pt>
                <c:pt idx="3">
                  <c:v>1932.0</c:v>
                </c:pt>
                <c:pt idx="4">
                  <c:v>1933.0</c:v>
                </c:pt>
                <c:pt idx="5">
                  <c:v>1934.0</c:v>
                </c:pt>
                <c:pt idx="6">
                  <c:v>1935.0</c:v>
                </c:pt>
                <c:pt idx="7">
                  <c:v>1936.0</c:v>
                </c:pt>
                <c:pt idx="8">
                  <c:v>1937.0</c:v>
                </c:pt>
                <c:pt idx="9">
                  <c:v>1938.0</c:v>
                </c:pt>
                <c:pt idx="10">
                  <c:v>1939.0</c:v>
                </c:pt>
                <c:pt idx="11">
                  <c:v>1940.0</c:v>
                </c:pt>
                <c:pt idx="12">
                  <c:v>1941.0</c:v>
                </c:pt>
                <c:pt idx="13">
                  <c:v>1942.0</c:v>
                </c:pt>
                <c:pt idx="14">
                  <c:v>1943.0</c:v>
                </c:pt>
                <c:pt idx="15">
                  <c:v>1944.0</c:v>
                </c:pt>
                <c:pt idx="16">
                  <c:v>1945.0</c:v>
                </c:pt>
                <c:pt idx="17">
                  <c:v>1946.0</c:v>
                </c:pt>
                <c:pt idx="18">
                  <c:v>1947.0</c:v>
                </c:pt>
                <c:pt idx="19">
                  <c:v>1948.0</c:v>
                </c:pt>
                <c:pt idx="20">
                  <c:v>1949.0</c:v>
                </c:pt>
                <c:pt idx="21">
                  <c:v>1950.0</c:v>
                </c:pt>
                <c:pt idx="22">
                  <c:v>1951.0</c:v>
                </c:pt>
                <c:pt idx="23">
                  <c:v>1952.0</c:v>
                </c:pt>
                <c:pt idx="24">
                  <c:v>1953.0</c:v>
                </c:pt>
                <c:pt idx="25">
                  <c:v>1954.0</c:v>
                </c:pt>
                <c:pt idx="26">
                  <c:v>1955.0</c:v>
                </c:pt>
                <c:pt idx="27">
                  <c:v>1956.0</c:v>
                </c:pt>
                <c:pt idx="28">
                  <c:v>1957.0</c:v>
                </c:pt>
                <c:pt idx="29">
                  <c:v>1958.0</c:v>
                </c:pt>
                <c:pt idx="30">
                  <c:v>1959.0</c:v>
                </c:pt>
                <c:pt idx="31">
                  <c:v>1960.0</c:v>
                </c:pt>
                <c:pt idx="32">
                  <c:v>1961.0</c:v>
                </c:pt>
                <c:pt idx="33">
                  <c:v>1962.0</c:v>
                </c:pt>
                <c:pt idx="34">
                  <c:v>1963.0</c:v>
                </c:pt>
                <c:pt idx="35">
                  <c:v>1964.0</c:v>
                </c:pt>
                <c:pt idx="36">
                  <c:v>1965.0</c:v>
                </c:pt>
                <c:pt idx="37">
                  <c:v>1966.0</c:v>
                </c:pt>
                <c:pt idx="38">
                  <c:v>1967.0</c:v>
                </c:pt>
                <c:pt idx="39">
                  <c:v>1968.0</c:v>
                </c:pt>
                <c:pt idx="40">
                  <c:v>1969.0</c:v>
                </c:pt>
                <c:pt idx="41">
                  <c:v>1970.0</c:v>
                </c:pt>
                <c:pt idx="42">
                  <c:v>1971.0</c:v>
                </c:pt>
                <c:pt idx="43">
                  <c:v>1972.0</c:v>
                </c:pt>
                <c:pt idx="44">
                  <c:v>1973.0</c:v>
                </c:pt>
                <c:pt idx="45">
                  <c:v>1974.0</c:v>
                </c:pt>
                <c:pt idx="46">
                  <c:v>1975.0</c:v>
                </c:pt>
                <c:pt idx="47">
                  <c:v>1976.0</c:v>
                </c:pt>
                <c:pt idx="48">
                  <c:v>1977.0</c:v>
                </c:pt>
                <c:pt idx="49">
                  <c:v>1978.0</c:v>
                </c:pt>
                <c:pt idx="50">
                  <c:v>1979.0</c:v>
                </c:pt>
                <c:pt idx="51">
                  <c:v>1980.0</c:v>
                </c:pt>
                <c:pt idx="52">
                  <c:v>1981.0</c:v>
                </c:pt>
                <c:pt idx="53">
                  <c:v>1982.0</c:v>
                </c:pt>
                <c:pt idx="54">
                  <c:v>1983.0</c:v>
                </c:pt>
                <c:pt idx="55">
                  <c:v>1984.0</c:v>
                </c:pt>
                <c:pt idx="56">
                  <c:v>1985.0</c:v>
                </c:pt>
                <c:pt idx="57">
                  <c:v>1986.0</c:v>
                </c:pt>
                <c:pt idx="58">
                  <c:v>1987.0</c:v>
                </c:pt>
                <c:pt idx="59">
                  <c:v>1988.0</c:v>
                </c:pt>
                <c:pt idx="60">
                  <c:v>1989.0</c:v>
                </c:pt>
                <c:pt idx="61">
                  <c:v>1990.0</c:v>
                </c:pt>
                <c:pt idx="62">
                  <c:v>1991.0</c:v>
                </c:pt>
                <c:pt idx="63">
                  <c:v>1992.0</c:v>
                </c:pt>
                <c:pt idx="64">
                  <c:v>1993.0</c:v>
                </c:pt>
                <c:pt idx="65">
                  <c:v>1994.0</c:v>
                </c:pt>
                <c:pt idx="66">
                  <c:v>1995.0</c:v>
                </c:pt>
                <c:pt idx="67">
                  <c:v>1996.0</c:v>
                </c:pt>
                <c:pt idx="68">
                  <c:v>1997.0</c:v>
                </c:pt>
                <c:pt idx="69">
                  <c:v>1998.0</c:v>
                </c:pt>
                <c:pt idx="70">
                  <c:v>1999.0</c:v>
                </c:pt>
                <c:pt idx="71">
                  <c:v>2000.0</c:v>
                </c:pt>
                <c:pt idx="72">
                  <c:v>2001.0</c:v>
                </c:pt>
                <c:pt idx="73">
                  <c:v>2002.0</c:v>
                </c:pt>
                <c:pt idx="74">
                  <c:v>2003.0</c:v>
                </c:pt>
                <c:pt idx="75">
                  <c:v>2004.0</c:v>
                </c:pt>
                <c:pt idx="76">
                  <c:v>2005.0</c:v>
                </c:pt>
                <c:pt idx="77">
                  <c:v>2006.0</c:v>
                </c:pt>
                <c:pt idx="78">
                  <c:v>2007.0</c:v>
                </c:pt>
                <c:pt idx="79">
                  <c:v>2008.0</c:v>
                </c:pt>
                <c:pt idx="80">
                  <c:v>2009.0</c:v>
                </c:pt>
                <c:pt idx="81">
                  <c:v>2010.0</c:v>
                </c:pt>
                <c:pt idx="82">
                  <c:v>2011.0</c:v>
                </c:pt>
                <c:pt idx="83">
                  <c:v>2012.0</c:v>
                </c:pt>
                <c:pt idx="84">
                  <c:v>2013.0</c:v>
                </c:pt>
                <c:pt idx="85">
                  <c:v>2014.0</c:v>
                </c:pt>
                <c:pt idx="86">
                  <c:v>2015.0</c:v>
                </c:pt>
                <c:pt idx="87">
                  <c:v>2016.0</c:v>
                </c:pt>
              </c:numCache>
            </c:numRef>
          </c:cat>
          <c:val>
            <c:numRef>
              <c:f>'Assets(BoP)'!$FV$21:$FV$108</c:f>
              <c:numCache>
                <c:formatCode>0%</c:formatCode>
                <c:ptCount val="88"/>
                <c:pt idx="0" formatCode="0.0%">
                  <c:v>0.00202662193315604</c:v>
                </c:pt>
                <c:pt idx="1">
                  <c:v>0.00114765720750875</c:v>
                </c:pt>
                <c:pt idx="2">
                  <c:v>0.0</c:v>
                </c:pt>
                <c:pt idx="3">
                  <c:v>0.0</c:v>
                </c:pt>
                <c:pt idx="4">
                  <c:v>0.0</c:v>
                </c:pt>
                <c:pt idx="5">
                  <c:v>0.00213169541855906</c:v>
                </c:pt>
                <c:pt idx="6">
                  <c:v>0.00374001648029538</c:v>
                </c:pt>
                <c:pt idx="7">
                  <c:v>0.00164972408762793</c:v>
                </c:pt>
                <c:pt idx="8">
                  <c:v>0.00444265073954959</c:v>
                </c:pt>
                <c:pt idx="9">
                  <c:v>0.00481870271895903</c:v>
                </c:pt>
                <c:pt idx="10">
                  <c:v>0.00449932233167493</c:v>
                </c:pt>
                <c:pt idx="11">
                  <c:v>0.00404875769753954</c:v>
                </c:pt>
                <c:pt idx="12">
                  <c:v>0.00420827163913756</c:v>
                </c:pt>
                <c:pt idx="13">
                  <c:v>0.00323893640032811</c:v>
                </c:pt>
                <c:pt idx="14">
                  <c:v>0.00263308448684067</c:v>
                </c:pt>
                <c:pt idx="15">
                  <c:v>0.00245144050428115</c:v>
                </c:pt>
                <c:pt idx="16">
                  <c:v>0.00183330073858899</c:v>
                </c:pt>
                <c:pt idx="17">
                  <c:v>0.0042717819195746</c:v>
                </c:pt>
                <c:pt idx="18">
                  <c:v>0.00560990858774283</c:v>
                </c:pt>
                <c:pt idx="19">
                  <c:v>0.00651048604691946</c:v>
                </c:pt>
                <c:pt idx="20">
                  <c:v>0.00586139443113799</c:v>
                </c:pt>
                <c:pt idx="21">
                  <c:v>0.00631676843531702</c:v>
                </c:pt>
                <c:pt idx="22">
                  <c:v>0.00699074192112294</c:v>
                </c:pt>
                <c:pt idx="23">
                  <c:v>0.00658874790881902</c:v>
                </c:pt>
                <c:pt idx="24">
                  <c:v>0.00624071972344062</c:v>
                </c:pt>
                <c:pt idx="25">
                  <c:v>0.00650623103552944</c:v>
                </c:pt>
                <c:pt idx="26">
                  <c:v>0.00716404727572322</c:v>
                </c:pt>
                <c:pt idx="27">
                  <c:v>0.00790398289576731</c:v>
                </c:pt>
                <c:pt idx="28">
                  <c:v>0.0082146067891339</c:v>
                </c:pt>
                <c:pt idx="29">
                  <c:v>0.00661978882323239</c:v>
                </c:pt>
                <c:pt idx="30">
                  <c:v>0.00687593923831715</c:v>
                </c:pt>
                <c:pt idx="31">
                  <c:v>0.00735318138596577</c:v>
                </c:pt>
                <c:pt idx="32">
                  <c:v>0.00765075186213167</c:v>
                </c:pt>
                <c:pt idx="33">
                  <c:v>0.00779392790065619</c:v>
                </c:pt>
                <c:pt idx="34">
                  <c:v>0.00784572143091837</c:v>
                </c:pt>
                <c:pt idx="35">
                  <c:v>0.00821394987882434</c:v>
                </c:pt>
                <c:pt idx="36">
                  <c:v>0.00798026287293794</c:v>
                </c:pt>
                <c:pt idx="37">
                  <c:v>0.00720422651333965</c:v>
                </c:pt>
                <c:pt idx="38">
                  <c:v>0.00712155595553305</c:v>
                </c:pt>
                <c:pt idx="39">
                  <c:v>0.00781692740611266</c:v>
                </c:pt>
                <c:pt idx="40">
                  <c:v>0.00814021144352137</c:v>
                </c:pt>
                <c:pt idx="41">
                  <c:v>0.00829180853882012</c:v>
                </c:pt>
                <c:pt idx="42">
                  <c:v>0.00871182742327406</c:v>
                </c:pt>
                <c:pt idx="43">
                  <c:v>0.00946957042543279</c:v>
                </c:pt>
                <c:pt idx="44">
                  <c:v>0.0124165481256494</c:v>
                </c:pt>
                <c:pt idx="45">
                  <c:v>0.01287556598692</c:v>
                </c:pt>
                <c:pt idx="46">
                  <c:v>0.0103560470841037</c:v>
                </c:pt>
                <c:pt idx="47">
                  <c:v>0.010755123449584</c:v>
                </c:pt>
                <c:pt idx="48">
                  <c:v>0.0108303052924334</c:v>
                </c:pt>
                <c:pt idx="49">
                  <c:v>0.0115094519252636</c:v>
                </c:pt>
                <c:pt idx="50">
                  <c:v>0.0150490797942317</c:v>
                </c:pt>
                <c:pt idx="51">
                  <c:v>0.0143131893515561</c:v>
                </c:pt>
                <c:pt idx="52">
                  <c:v>0.0109388525799035</c:v>
                </c:pt>
                <c:pt idx="53">
                  <c:v>0.00941714957045577</c:v>
                </c:pt>
                <c:pt idx="54">
                  <c:v>0.0104463781162941</c:v>
                </c:pt>
                <c:pt idx="55">
                  <c:v>0.010709955795887</c:v>
                </c:pt>
                <c:pt idx="56">
                  <c:v>0.0100304331386051</c:v>
                </c:pt>
                <c:pt idx="57">
                  <c:v>0.00975036218446754</c:v>
                </c:pt>
                <c:pt idx="58">
                  <c:v>0.0107922802784031</c:v>
                </c:pt>
                <c:pt idx="59">
                  <c:v>0.0126662265404904</c:v>
                </c:pt>
                <c:pt idx="60">
                  <c:v>0.0122561595166834</c:v>
                </c:pt>
                <c:pt idx="61">
                  <c:v>0.0119698871899099</c:v>
                </c:pt>
                <c:pt idx="62">
                  <c:v>0.0107452268635566</c:v>
                </c:pt>
                <c:pt idx="63">
                  <c:v>0.0103098180333484</c:v>
                </c:pt>
                <c:pt idx="64">
                  <c:v>0.0115745789166366</c:v>
                </c:pt>
                <c:pt idx="65">
                  <c:v>0.0117925583759932</c:v>
                </c:pt>
                <c:pt idx="66">
                  <c:v>0.0143480149866219</c:v>
                </c:pt>
                <c:pt idx="67">
                  <c:v>0.0145064980776369</c:v>
                </c:pt>
                <c:pt idx="68">
                  <c:v>0.0146729255571852</c:v>
                </c:pt>
                <c:pt idx="69">
                  <c:v>0.0121002431228975</c:v>
                </c:pt>
                <c:pt idx="70">
                  <c:v>0.0136402389371568</c:v>
                </c:pt>
                <c:pt idx="71">
                  <c:v>0.0154384746628858</c:v>
                </c:pt>
                <c:pt idx="72">
                  <c:v>0.0119461619417658</c:v>
                </c:pt>
                <c:pt idx="73">
                  <c:v>0.012540735059948</c:v>
                </c:pt>
                <c:pt idx="74">
                  <c:v>0.0147010099044657</c:v>
                </c:pt>
                <c:pt idx="75">
                  <c:v>0.0174698778944667</c:v>
                </c:pt>
                <c:pt idx="76">
                  <c:v>0.0185760836577837</c:v>
                </c:pt>
                <c:pt idx="77">
                  <c:v>0.0205536999763464</c:v>
                </c:pt>
                <c:pt idx="78">
                  <c:v>0.0220611924537152</c:v>
                </c:pt>
                <c:pt idx="79">
                  <c:v>0.0243384811746034</c:v>
                </c:pt>
                <c:pt idx="80">
                  <c:v>0.0191216891751092</c:v>
                </c:pt>
                <c:pt idx="81">
                  <c:v>0.0219543669717713</c:v>
                </c:pt>
                <c:pt idx="82">
                  <c:v>0.0230329078304477</c:v>
                </c:pt>
                <c:pt idx="83">
                  <c:v>0.0205208760500176</c:v>
                </c:pt>
                <c:pt idx="84">
                  <c:v>0.0191410226492651</c:v>
                </c:pt>
                <c:pt idx="85">
                  <c:v>0.0174655781072876</c:v>
                </c:pt>
                <c:pt idx="86">
                  <c:v>0.0149127254169484</c:v>
                </c:pt>
                <c:pt idx="87">
                  <c:v>0.0150007676800807</c:v>
                </c:pt>
              </c:numCache>
            </c:numRef>
          </c:val>
        </c:ser>
        <c:dLbls>
          <c:showLegendKey val="0"/>
          <c:showVal val="0"/>
          <c:showCatName val="0"/>
          <c:showSerName val="0"/>
          <c:showPercent val="0"/>
          <c:showBubbleSize val="0"/>
        </c:dLbls>
        <c:axId val="-2109978760"/>
        <c:axId val="-2109975752"/>
      </c:areaChart>
      <c:catAx>
        <c:axId val="-2109978760"/>
        <c:scaling>
          <c:orientation val="minMax"/>
        </c:scaling>
        <c:delete val="0"/>
        <c:axPos val="b"/>
        <c:numFmt formatCode="General" sourceLinked="1"/>
        <c:majorTickMark val="out"/>
        <c:minorTickMark val="none"/>
        <c:tickLblPos val="nextTo"/>
        <c:crossAx val="-2109975752"/>
        <c:crosses val="autoZero"/>
        <c:auto val="1"/>
        <c:lblAlgn val="ctr"/>
        <c:lblOffset val="100"/>
        <c:noMultiLvlLbl val="0"/>
      </c:catAx>
      <c:valAx>
        <c:axId val="-2109975752"/>
        <c:scaling>
          <c:orientation val="minMax"/>
        </c:scaling>
        <c:delete val="0"/>
        <c:axPos val="l"/>
        <c:majorGridlines/>
        <c:numFmt formatCode="0.0%" sourceLinked="1"/>
        <c:majorTickMark val="out"/>
        <c:minorTickMark val="none"/>
        <c:tickLblPos val="nextTo"/>
        <c:crossAx val="-2109978760"/>
        <c:crosses val="autoZero"/>
        <c:crossBetween val="midCat"/>
      </c:valAx>
    </c:plotArea>
    <c:legend>
      <c:legendPos val="r"/>
      <c:layout>
        <c:manualLayout>
          <c:xMode val="edge"/>
          <c:yMode val="edge"/>
          <c:x val="0.258531058617673"/>
          <c:y val="0.333797166809114"/>
          <c:w val="0.185913385826772"/>
          <c:h val="0.185523449291702"/>
        </c:manualLayout>
      </c:layout>
      <c:overlay val="0"/>
    </c:legend>
    <c:plotVisOnly val="1"/>
    <c:dispBlanksAs val="zero"/>
    <c:showDLblsOverMax val="0"/>
  </c:chart>
  <c:printSettings>
    <c:headerFooter/>
    <c:pageMargins b="1.0" l="0.75" r="0.75" t="1.0"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Profits made abroad by U.S.</a:t>
            </a:r>
            <a:r>
              <a:rPr lang="en-US" baseline="0"/>
              <a:t> firms</a:t>
            </a:r>
          </a:p>
          <a:p>
            <a:pPr>
              <a:defRPr/>
            </a:pPr>
            <a:r>
              <a:rPr lang="en-US" baseline="0"/>
              <a:t>(% of U.S. national income)</a:t>
            </a:r>
            <a:endParaRPr lang="en-US"/>
          </a:p>
        </c:rich>
      </c:tx>
      <c:overlay val="0"/>
    </c:title>
    <c:autoTitleDeleted val="0"/>
    <c:plotArea>
      <c:layout>
        <c:manualLayout>
          <c:layoutTarget val="inner"/>
          <c:xMode val="edge"/>
          <c:yMode val="edge"/>
          <c:x val="0.0868772965879265"/>
          <c:y val="0.0886836027713626"/>
          <c:w val="0.866098206474191"/>
          <c:h val="0.71358767798367"/>
        </c:manualLayout>
      </c:layout>
      <c:areaChart>
        <c:grouping val="stacked"/>
        <c:varyColors val="0"/>
        <c:ser>
          <c:idx val="0"/>
          <c:order val="0"/>
          <c:tx>
            <c:v>Havens</c:v>
          </c:tx>
          <c:cat>
            <c:numRef>
              <c:f>'Assets(BoP)'!$B$21:$B$108</c:f>
              <c:numCache>
                <c:formatCode>General</c:formatCode>
                <c:ptCount val="88"/>
                <c:pt idx="0">
                  <c:v>1929.0</c:v>
                </c:pt>
                <c:pt idx="1">
                  <c:v>1930.0</c:v>
                </c:pt>
                <c:pt idx="2">
                  <c:v>1931.0</c:v>
                </c:pt>
                <c:pt idx="3">
                  <c:v>1932.0</c:v>
                </c:pt>
                <c:pt idx="4">
                  <c:v>1933.0</c:v>
                </c:pt>
                <c:pt idx="5">
                  <c:v>1934.0</c:v>
                </c:pt>
                <c:pt idx="6">
                  <c:v>1935.0</c:v>
                </c:pt>
                <c:pt idx="7">
                  <c:v>1936.0</c:v>
                </c:pt>
                <c:pt idx="8">
                  <c:v>1937.0</c:v>
                </c:pt>
                <c:pt idx="9">
                  <c:v>1938.0</c:v>
                </c:pt>
                <c:pt idx="10">
                  <c:v>1939.0</c:v>
                </c:pt>
                <c:pt idx="11">
                  <c:v>1940.0</c:v>
                </c:pt>
                <c:pt idx="12">
                  <c:v>1941.0</c:v>
                </c:pt>
                <c:pt idx="13">
                  <c:v>1942.0</c:v>
                </c:pt>
                <c:pt idx="14">
                  <c:v>1943.0</c:v>
                </c:pt>
                <c:pt idx="15">
                  <c:v>1944.0</c:v>
                </c:pt>
                <c:pt idx="16">
                  <c:v>1945.0</c:v>
                </c:pt>
                <c:pt idx="17">
                  <c:v>1946.0</c:v>
                </c:pt>
                <c:pt idx="18">
                  <c:v>1947.0</c:v>
                </c:pt>
                <c:pt idx="19">
                  <c:v>1948.0</c:v>
                </c:pt>
                <c:pt idx="20">
                  <c:v>1949.0</c:v>
                </c:pt>
                <c:pt idx="21">
                  <c:v>1950.0</c:v>
                </c:pt>
                <c:pt idx="22">
                  <c:v>1951.0</c:v>
                </c:pt>
                <c:pt idx="23">
                  <c:v>1952.0</c:v>
                </c:pt>
                <c:pt idx="24">
                  <c:v>1953.0</c:v>
                </c:pt>
                <c:pt idx="25">
                  <c:v>1954.0</c:v>
                </c:pt>
                <c:pt idx="26">
                  <c:v>1955.0</c:v>
                </c:pt>
                <c:pt idx="27">
                  <c:v>1956.0</c:v>
                </c:pt>
                <c:pt idx="28">
                  <c:v>1957.0</c:v>
                </c:pt>
                <c:pt idx="29">
                  <c:v>1958.0</c:v>
                </c:pt>
                <c:pt idx="30">
                  <c:v>1959.0</c:v>
                </c:pt>
                <c:pt idx="31">
                  <c:v>1960.0</c:v>
                </c:pt>
                <c:pt idx="32">
                  <c:v>1961.0</c:v>
                </c:pt>
                <c:pt idx="33">
                  <c:v>1962.0</c:v>
                </c:pt>
                <c:pt idx="34">
                  <c:v>1963.0</c:v>
                </c:pt>
                <c:pt idx="35">
                  <c:v>1964.0</c:v>
                </c:pt>
                <c:pt idx="36">
                  <c:v>1965.0</c:v>
                </c:pt>
                <c:pt idx="37">
                  <c:v>1966.0</c:v>
                </c:pt>
                <c:pt idx="38">
                  <c:v>1967.0</c:v>
                </c:pt>
                <c:pt idx="39">
                  <c:v>1968.0</c:v>
                </c:pt>
                <c:pt idx="40">
                  <c:v>1969.0</c:v>
                </c:pt>
                <c:pt idx="41">
                  <c:v>1970.0</c:v>
                </c:pt>
                <c:pt idx="42">
                  <c:v>1971.0</c:v>
                </c:pt>
                <c:pt idx="43">
                  <c:v>1972.0</c:v>
                </c:pt>
                <c:pt idx="44">
                  <c:v>1973.0</c:v>
                </c:pt>
                <c:pt idx="45">
                  <c:v>1974.0</c:v>
                </c:pt>
                <c:pt idx="46">
                  <c:v>1975.0</c:v>
                </c:pt>
                <c:pt idx="47">
                  <c:v>1976.0</c:v>
                </c:pt>
                <c:pt idx="48">
                  <c:v>1977.0</c:v>
                </c:pt>
                <c:pt idx="49">
                  <c:v>1978.0</c:v>
                </c:pt>
                <c:pt idx="50">
                  <c:v>1979.0</c:v>
                </c:pt>
                <c:pt idx="51">
                  <c:v>1980.0</c:v>
                </c:pt>
                <c:pt idx="52">
                  <c:v>1981.0</c:v>
                </c:pt>
                <c:pt idx="53">
                  <c:v>1982.0</c:v>
                </c:pt>
                <c:pt idx="54">
                  <c:v>1983.0</c:v>
                </c:pt>
                <c:pt idx="55">
                  <c:v>1984.0</c:v>
                </c:pt>
                <c:pt idx="56">
                  <c:v>1985.0</c:v>
                </c:pt>
                <c:pt idx="57">
                  <c:v>1986.0</c:v>
                </c:pt>
                <c:pt idx="58">
                  <c:v>1987.0</c:v>
                </c:pt>
                <c:pt idx="59">
                  <c:v>1988.0</c:v>
                </c:pt>
                <c:pt idx="60">
                  <c:v>1989.0</c:v>
                </c:pt>
                <c:pt idx="61">
                  <c:v>1990.0</c:v>
                </c:pt>
                <c:pt idx="62">
                  <c:v>1991.0</c:v>
                </c:pt>
                <c:pt idx="63">
                  <c:v>1992.0</c:v>
                </c:pt>
                <c:pt idx="64">
                  <c:v>1993.0</c:v>
                </c:pt>
                <c:pt idx="65">
                  <c:v>1994.0</c:v>
                </c:pt>
                <c:pt idx="66">
                  <c:v>1995.0</c:v>
                </c:pt>
                <c:pt idx="67">
                  <c:v>1996.0</c:v>
                </c:pt>
                <c:pt idx="68">
                  <c:v>1997.0</c:v>
                </c:pt>
                <c:pt idx="69">
                  <c:v>1998.0</c:v>
                </c:pt>
                <c:pt idx="70">
                  <c:v>1999.0</c:v>
                </c:pt>
                <c:pt idx="71">
                  <c:v>2000.0</c:v>
                </c:pt>
                <c:pt idx="72">
                  <c:v>2001.0</c:v>
                </c:pt>
                <c:pt idx="73">
                  <c:v>2002.0</c:v>
                </c:pt>
                <c:pt idx="74">
                  <c:v>2003.0</c:v>
                </c:pt>
                <c:pt idx="75">
                  <c:v>2004.0</c:v>
                </c:pt>
                <c:pt idx="76">
                  <c:v>2005.0</c:v>
                </c:pt>
                <c:pt idx="77">
                  <c:v>2006.0</c:v>
                </c:pt>
                <c:pt idx="78">
                  <c:v>2007.0</c:v>
                </c:pt>
                <c:pt idx="79">
                  <c:v>2008.0</c:v>
                </c:pt>
                <c:pt idx="80">
                  <c:v>2009.0</c:v>
                </c:pt>
                <c:pt idx="81">
                  <c:v>2010.0</c:v>
                </c:pt>
                <c:pt idx="82">
                  <c:v>2011.0</c:v>
                </c:pt>
                <c:pt idx="83">
                  <c:v>2012.0</c:v>
                </c:pt>
                <c:pt idx="84">
                  <c:v>2013.0</c:v>
                </c:pt>
                <c:pt idx="85">
                  <c:v>2014.0</c:v>
                </c:pt>
                <c:pt idx="86">
                  <c:v>2015.0</c:v>
                </c:pt>
                <c:pt idx="87">
                  <c:v>2016.0</c:v>
                </c:pt>
              </c:numCache>
            </c:numRef>
          </c:cat>
          <c:val>
            <c:numRef>
              <c:f>'Assets(BoP)'!$FS$21:$FS$108</c:f>
              <c:numCache>
                <c:formatCode>0%</c:formatCode>
                <c:ptCount val="88"/>
                <c:pt idx="0" formatCode="0.0%">
                  <c:v>9.6520317374748E-5</c:v>
                </c:pt>
                <c:pt idx="1">
                  <c:v>5.57122269076138E-5</c:v>
                </c:pt>
                <c:pt idx="2">
                  <c:v>0.0</c:v>
                </c:pt>
                <c:pt idx="3">
                  <c:v>0.0</c:v>
                </c:pt>
                <c:pt idx="4">
                  <c:v>0.0</c:v>
                </c:pt>
                <c:pt idx="5">
                  <c:v>0.000111344560329973</c:v>
                </c:pt>
                <c:pt idx="6">
                  <c:v>0.00019881577178988</c:v>
                </c:pt>
                <c:pt idx="7">
                  <c:v>8.9228449196949E-5</c:v>
                </c:pt>
                <c:pt idx="8">
                  <c:v>0.000244418463648642</c:v>
                </c:pt>
                <c:pt idx="9">
                  <c:v>0.00026959419813166</c:v>
                </c:pt>
                <c:pt idx="10">
                  <c:v>0.000255922423569827</c:v>
                </c:pt>
                <c:pt idx="11">
                  <c:v>0.000234077371321729</c:v>
                </c:pt>
                <c:pt idx="12">
                  <c:v>0.000247238778894151</c:v>
                </c:pt>
                <c:pt idx="13">
                  <c:v>0.000193326874454853</c:v>
                </c:pt>
                <c:pt idx="14">
                  <c:v>0.00015963800689624</c:v>
                </c:pt>
                <c:pt idx="15">
                  <c:v>0.000150932247345334</c:v>
                </c:pt>
                <c:pt idx="16">
                  <c:v>0.000114602400972536</c:v>
                </c:pt>
                <c:pt idx="17">
                  <c:v>0.000271069769679071</c:v>
                </c:pt>
                <c:pt idx="18">
                  <c:v>0.000361289164276835</c:v>
                </c:pt>
                <c:pt idx="19">
                  <c:v>0.000425458465524439</c:v>
                </c:pt>
                <c:pt idx="20">
                  <c:v>0.000388605568862005</c:v>
                </c:pt>
                <c:pt idx="21">
                  <c:v>0.000424804598390841</c:v>
                </c:pt>
                <c:pt idx="22">
                  <c:v>0.000476790546409523</c:v>
                </c:pt>
                <c:pt idx="23">
                  <c:v>0.000455662504657245</c:v>
                </c:pt>
                <c:pt idx="24">
                  <c:v>0.000437561345084345</c:v>
                </c:pt>
                <c:pt idx="25">
                  <c:v>0.000462410079453131</c:v>
                </c:pt>
                <c:pt idx="26">
                  <c:v>0.000516037470039488</c:v>
                </c:pt>
                <c:pt idx="27">
                  <c:v>0.00057693503887973</c:v>
                </c:pt>
                <c:pt idx="28">
                  <c:v>0.000607520058744015</c:v>
                </c:pt>
                <c:pt idx="29">
                  <c:v>0.000495960702384302</c:v>
                </c:pt>
                <c:pt idx="30">
                  <c:v>0.000521797924433061</c:v>
                </c:pt>
                <c:pt idx="31">
                  <c:v>0.000565134929933371</c:v>
                </c:pt>
                <c:pt idx="32">
                  <c:v>0.000595426738029233</c:v>
                </c:pt>
                <c:pt idx="33">
                  <c:v>0.000614143848222731</c:v>
                </c:pt>
                <c:pt idx="34">
                  <c:v>0.000625863461421906</c:v>
                </c:pt>
                <c:pt idx="35">
                  <c:v>0.000663248871792126</c:v>
                </c:pt>
                <c:pt idx="36">
                  <c:v>0.000652176927152928</c:v>
                </c:pt>
                <c:pt idx="37">
                  <c:v>0.000576793356050366</c:v>
                </c:pt>
                <c:pt idx="38">
                  <c:v>0.000639559540389074</c:v>
                </c:pt>
                <c:pt idx="39">
                  <c:v>0.000595523020518755</c:v>
                </c:pt>
                <c:pt idx="40">
                  <c:v>0.000753618461981687</c:v>
                </c:pt>
                <c:pt idx="41">
                  <c:v>0.000856154443841295</c:v>
                </c:pt>
                <c:pt idx="42">
                  <c:v>0.000924357434149734</c:v>
                </c:pt>
                <c:pt idx="43">
                  <c:v>0.000948951391129982</c:v>
                </c:pt>
                <c:pt idx="44">
                  <c:v>0.0015850429642472</c:v>
                </c:pt>
                <c:pt idx="45">
                  <c:v>0.0022265956950462</c:v>
                </c:pt>
                <c:pt idx="46">
                  <c:v>0.00197942255961488</c:v>
                </c:pt>
                <c:pt idx="47">
                  <c:v>0.00224958301561295</c:v>
                </c:pt>
                <c:pt idx="48">
                  <c:v>0.00234587750625458</c:v>
                </c:pt>
                <c:pt idx="49">
                  <c:v>0.00277696612488669</c:v>
                </c:pt>
                <c:pt idx="50">
                  <c:v>0.0038994123328033</c:v>
                </c:pt>
                <c:pt idx="51">
                  <c:v>0.00377647605144371</c:v>
                </c:pt>
                <c:pt idx="52">
                  <c:v>0.00302095786056527</c:v>
                </c:pt>
                <c:pt idx="53">
                  <c:v>0.00350356582174251</c:v>
                </c:pt>
                <c:pt idx="54">
                  <c:v>0.00298280012255574</c:v>
                </c:pt>
                <c:pt idx="55">
                  <c:v>0.00270467835045447</c:v>
                </c:pt>
                <c:pt idx="56">
                  <c:v>0.00267246029823326</c:v>
                </c:pt>
                <c:pt idx="57">
                  <c:v>0.00290490521327686</c:v>
                </c:pt>
                <c:pt idx="58">
                  <c:v>0.00350661271052679</c:v>
                </c:pt>
                <c:pt idx="59">
                  <c:v>0.00326825514375762</c:v>
                </c:pt>
                <c:pt idx="60">
                  <c:v>0.0035315532514986</c:v>
                </c:pt>
                <c:pt idx="61">
                  <c:v>0.00411398723672974</c:v>
                </c:pt>
                <c:pt idx="62">
                  <c:v>0.00379363663695437</c:v>
                </c:pt>
                <c:pt idx="63">
                  <c:v>0.00392732217429927</c:v>
                </c:pt>
                <c:pt idx="64">
                  <c:v>0.00389077174715708</c:v>
                </c:pt>
                <c:pt idx="65">
                  <c:v>0.00524271734792458</c:v>
                </c:pt>
                <c:pt idx="66">
                  <c:v>0.00531399597101371</c:v>
                </c:pt>
                <c:pt idx="67">
                  <c:v>0.00569815739965097</c:v>
                </c:pt>
                <c:pt idx="68">
                  <c:v>0.00639639317892669</c:v>
                </c:pt>
                <c:pt idx="69">
                  <c:v>0.00657029255729795</c:v>
                </c:pt>
                <c:pt idx="70">
                  <c:v>0.00765859341112054</c:v>
                </c:pt>
                <c:pt idx="71">
                  <c:v>0.00736381567055976</c:v>
                </c:pt>
                <c:pt idx="72">
                  <c:v>0.00801115791974152</c:v>
                </c:pt>
                <c:pt idx="73">
                  <c:v>0.00921452095904151</c:v>
                </c:pt>
                <c:pt idx="74">
                  <c:v>0.0106431639768424</c:v>
                </c:pt>
                <c:pt idx="75">
                  <c:v>0.0136564965137906</c:v>
                </c:pt>
                <c:pt idx="76">
                  <c:v>0.0155615344493</c:v>
                </c:pt>
                <c:pt idx="77">
                  <c:v>0.015581845805341</c:v>
                </c:pt>
                <c:pt idx="78">
                  <c:v>0.019362671717564</c:v>
                </c:pt>
                <c:pt idx="79">
                  <c:v>0.0224920117525438</c:v>
                </c:pt>
                <c:pt idx="80">
                  <c:v>0.0219549966513312</c:v>
                </c:pt>
                <c:pt idx="81">
                  <c:v>0.0239344041730931</c:v>
                </c:pt>
                <c:pt idx="82">
                  <c:v>0.0252209510552874</c:v>
                </c:pt>
                <c:pt idx="83">
                  <c:v>0.0257246526480957</c:v>
                </c:pt>
                <c:pt idx="84">
                  <c:v>0.0271109157645585</c:v>
                </c:pt>
                <c:pt idx="85">
                  <c:v>0.0278526997585338</c:v>
                </c:pt>
                <c:pt idx="86">
                  <c:v>0.0265813405059467</c:v>
                </c:pt>
                <c:pt idx="87">
                  <c:v>0.026825795987998</c:v>
                </c:pt>
              </c:numCache>
            </c:numRef>
          </c:val>
        </c:ser>
        <c:dLbls>
          <c:showLegendKey val="0"/>
          <c:showVal val="0"/>
          <c:showCatName val="0"/>
          <c:showSerName val="0"/>
          <c:showPercent val="0"/>
          <c:showBubbleSize val="0"/>
        </c:dLbls>
        <c:axId val="-2110009144"/>
        <c:axId val="-2110006136"/>
      </c:areaChart>
      <c:catAx>
        <c:axId val="-2110009144"/>
        <c:scaling>
          <c:orientation val="minMax"/>
        </c:scaling>
        <c:delete val="0"/>
        <c:axPos val="b"/>
        <c:numFmt formatCode="General" sourceLinked="1"/>
        <c:majorTickMark val="out"/>
        <c:minorTickMark val="none"/>
        <c:tickLblPos val="nextTo"/>
        <c:crossAx val="-2110006136"/>
        <c:crosses val="autoZero"/>
        <c:auto val="1"/>
        <c:lblAlgn val="ctr"/>
        <c:lblOffset val="100"/>
        <c:noMultiLvlLbl val="0"/>
      </c:catAx>
      <c:valAx>
        <c:axId val="-2110006136"/>
        <c:scaling>
          <c:orientation val="minMax"/>
        </c:scaling>
        <c:delete val="0"/>
        <c:axPos val="l"/>
        <c:majorGridlines/>
        <c:numFmt formatCode="0.0%" sourceLinked="1"/>
        <c:majorTickMark val="out"/>
        <c:minorTickMark val="none"/>
        <c:tickLblPos val="nextTo"/>
        <c:crossAx val="-2110009144"/>
        <c:crosses val="autoZero"/>
        <c:crossBetween val="midCat"/>
      </c:valAx>
    </c:plotArea>
    <c:legend>
      <c:legendPos val="r"/>
      <c:layout>
        <c:manualLayout>
          <c:xMode val="edge"/>
          <c:yMode val="edge"/>
          <c:x val="0.258531058617673"/>
          <c:y val="0.333797166809114"/>
          <c:w val="0.185913385826772"/>
          <c:h val="0.185523449291702"/>
        </c:manualLayout>
      </c:layout>
      <c:overlay val="0"/>
    </c:legend>
    <c:plotVisOnly val="1"/>
    <c:dispBlanksAs val="zero"/>
    <c:showDLblsOverMax val="0"/>
  </c:chart>
  <c:printSettings>
    <c:headerFooter/>
    <c:pageMargins b="1.0" l="0.75" r="0.75" t="1.0"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32248468941382"/>
          <c:y val="0.0601851851851852"/>
          <c:w val="0.873245625546807"/>
          <c:h val="0.771764727325751"/>
        </c:manualLayout>
      </c:layout>
      <c:lineChart>
        <c:grouping val="standard"/>
        <c:varyColors val="0"/>
        <c:ser>
          <c:idx val="0"/>
          <c:order val="0"/>
          <c:tx>
            <c:v>Post-tax return, all</c:v>
          </c:tx>
          <c:marker>
            <c:symbol val="none"/>
          </c:marker>
          <c:cat>
            <c:numRef>
              <c:f>T.A16!$A$39:$A$59</c:f>
              <c:numCache>
                <c:formatCode>General</c:formatCode>
                <c:ptCount val="21"/>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c:v>2011.0</c:v>
                </c:pt>
                <c:pt idx="17">
                  <c:v>2012.0</c:v>
                </c:pt>
                <c:pt idx="18">
                  <c:v>2013.0</c:v>
                </c:pt>
                <c:pt idx="19">
                  <c:v>2014.0</c:v>
                </c:pt>
                <c:pt idx="20">
                  <c:v>2015.0</c:v>
                </c:pt>
              </c:numCache>
            </c:numRef>
          </c:cat>
          <c:val>
            <c:numRef>
              <c:f>T.A16!$H$39:$H$59</c:f>
              <c:numCache>
                <c:formatCode>0%</c:formatCode>
                <c:ptCount val="21"/>
                <c:pt idx="0">
                  <c:v>0.127569976193951</c:v>
                </c:pt>
                <c:pt idx="1">
                  <c:v>0.126629204653403</c:v>
                </c:pt>
                <c:pt idx="2">
                  <c:v>0.130212301679565</c:v>
                </c:pt>
                <c:pt idx="3">
                  <c:v>0.0994703374558192</c:v>
                </c:pt>
                <c:pt idx="4">
                  <c:v>0.102349453105173</c:v>
                </c:pt>
                <c:pt idx="5">
                  <c:v>0.0996889893368246</c:v>
                </c:pt>
                <c:pt idx="6">
                  <c:v>0.0728598974302572</c:v>
                </c:pt>
                <c:pt idx="7">
                  <c:v>0.0746718695818585</c:v>
                </c:pt>
                <c:pt idx="8">
                  <c:v>0.0967104793854017</c:v>
                </c:pt>
                <c:pt idx="9">
                  <c:v>0.110155462832913</c:v>
                </c:pt>
                <c:pt idx="10">
                  <c:v>0.116497591989035</c:v>
                </c:pt>
                <c:pt idx="11">
                  <c:v>0.118736004872457</c:v>
                </c:pt>
                <c:pt idx="12">
                  <c:v>0.11657406391267</c:v>
                </c:pt>
                <c:pt idx="13">
                  <c:v>0.125025323622384</c:v>
                </c:pt>
                <c:pt idx="14">
                  <c:v>0.0804303332102007</c:v>
                </c:pt>
                <c:pt idx="15">
                  <c:v>0.0877590398697789</c:v>
                </c:pt>
                <c:pt idx="16">
                  <c:v>0.0985596245370752</c:v>
                </c:pt>
                <c:pt idx="17">
                  <c:v>0.0889647464990203</c:v>
                </c:pt>
                <c:pt idx="18">
                  <c:v>0.0854454792581961</c:v>
                </c:pt>
                <c:pt idx="19">
                  <c:v>0.0802611982772479</c:v>
                </c:pt>
                <c:pt idx="20">
                  <c:v>0.0706350377440813</c:v>
                </c:pt>
              </c:numCache>
            </c:numRef>
          </c:val>
          <c:smooth val="0"/>
        </c:ser>
        <c:ser>
          <c:idx val="1"/>
          <c:order val="1"/>
          <c:tx>
            <c:v>Post-tax return, non-oil non haven</c:v>
          </c:tx>
          <c:marker>
            <c:symbol val="none"/>
          </c:marker>
          <c:cat>
            <c:numRef>
              <c:f>T.A16!$A$39:$A$59</c:f>
              <c:numCache>
                <c:formatCode>General</c:formatCode>
                <c:ptCount val="21"/>
                <c:pt idx="0">
                  <c:v>1995.0</c:v>
                </c:pt>
                <c:pt idx="1">
                  <c:v>1996.0</c:v>
                </c:pt>
                <c:pt idx="2">
                  <c:v>1997.0</c:v>
                </c:pt>
                <c:pt idx="3">
                  <c:v>1998.0</c:v>
                </c:pt>
                <c:pt idx="4">
                  <c:v>1999.0</c:v>
                </c:pt>
                <c:pt idx="5">
                  <c:v>2000.0</c:v>
                </c:pt>
                <c:pt idx="6">
                  <c:v>2001.0</c:v>
                </c:pt>
                <c:pt idx="7">
                  <c:v>2002.0</c:v>
                </c:pt>
                <c:pt idx="8">
                  <c:v>2003.0</c:v>
                </c:pt>
                <c:pt idx="9">
                  <c:v>2004.0</c:v>
                </c:pt>
                <c:pt idx="10">
                  <c:v>2005.0</c:v>
                </c:pt>
                <c:pt idx="11">
                  <c:v>2006.0</c:v>
                </c:pt>
                <c:pt idx="12">
                  <c:v>2007.0</c:v>
                </c:pt>
                <c:pt idx="13">
                  <c:v>2008.0</c:v>
                </c:pt>
                <c:pt idx="14">
                  <c:v>2009.0</c:v>
                </c:pt>
                <c:pt idx="15">
                  <c:v>2010.0</c:v>
                </c:pt>
                <c:pt idx="16">
                  <c:v>2011.0</c:v>
                </c:pt>
                <c:pt idx="17">
                  <c:v>2012.0</c:v>
                </c:pt>
                <c:pt idx="18">
                  <c:v>2013.0</c:v>
                </c:pt>
                <c:pt idx="19">
                  <c:v>2014.0</c:v>
                </c:pt>
                <c:pt idx="20">
                  <c:v>2015.0</c:v>
                </c:pt>
              </c:numCache>
            </c:numRef>
          </c:cat>
          <c:val>
            <c:numRef>
              <c:f>T.A16!$L$39:$L$59</c:f>
              <c:numCache>
                <c:formatCode>0%</c:formatCode>
                <c:ptCount val="21"/>
                <c:pt idx="0">
                  <c:v>0.121707477060944</c:v>
                </c:pt>
                <c:pt idx="1">
                  <c:v>0.11278495008178</c:v>
                </c:pt>
                <c:pt idx="2">
                  <c:v>0.11243275349492</c:v>
                </c:pt>
                <c:pt idx="3">
                  <c:v>0.0869602045855389</c:v>
                </c:pt>
                <c:pt idx="4">
                  <c:v>0.0893054215670105</c:v>
                </c:pt>
                <c:pt idx="5">
                  <c:v>0.0663445957473951</c:v>
                </c:pt>
                <c:pt idx="6">
                  <c:v>0.0532569200803131</c:v>
                </c:pt>
                <c:pt idx="7">
                  <c:v>0.0573955384623354</c:v>
                </c:pt>
                <c:pt idx="8">
                  <c:v>0.0803221564412485</c:v>
                </c:pt>
                <c:pt idx="9">
                  <c:v>0.0809967841120143</c:v>
                </c:pt>
                <c:pt idx="10">
                  <c:v>0.0845366722586316</c:v>
                </c:pt>
                <c:pt idx="11">
                  <c:v>0.0805294807161667</c:v>
                </c:pt>
                <c:pt idx="12">
                  <c:v>0.086580408689581</c:v>
                </c:pt>
                <c:pt idx="13">
                  <c:v>0.0939308336744226</c:v>
                </c:pt>
                <c:pt idx="14">
                  <c:v>0.0603267708241965</c:v>
                </c:pt>
                <c:pt idx="15">
                  <c:v>0.0686310420144739</c:v>
                </c:pt>
                <c:pt idx="16">
                  <c:v>0.0759685337762806</c:v>
                </c:pt>
                <c:pt idx="17">
                  <c:v>0.0694157516310093</c:v>
                </c:pt>
                <c:pt idx="18">
                  <c:v>0.0686517089457416</c:v>
                </c:pt>
                <c:pt idx="19">
                  <c:v>0.069467170382833</c:v>
                </c:pt>
                <c:pt idx="20">
                  <c:v>0.0</c:v>
                </c:pt>
              </c:numCache>
            </c:numRef>
          </c:val>
          <c:smooth val="0"/>
        </c:ser>
        <c:dLbls>
          <c:showLegendKey val="0"/>
          <c:showVal val="0"/>
          <c:showCatName val="0"/>
          <c:showSerName val="0"/>
          <c:showPercent val="0"/>
          <c:showBubbleSize val="0"/>
        </c:dLbls>
        <c:marker val="1"/>
        <c:smooth val="0"/>
        <c:axId val="-2113186072"/>
        <c:axId val="-2113194344"/>
      </c:lineChart>
      <c:catAx>
        <c:axId val="-2113186072"/>
        <c:scaling>
          <c:orientation val="minMax"/>
        </c:scaling>
        <c:delete val="0"/>
        <c:axPos val="b"/>
        <c:numFmt formatCode="General" sourceLinked="1"/>
        <c:majorTickMark val="out"/>
        <c:minorTickMark val="none"/>
        <c:tickLblPos val="nextTo"/>
        <c:crossAx val="-2113194344"/>
        <c:crosses val="autoZero"/>
        <c:auto val="1"/>
        <c:lblAlgn val="ctr"/>
        <c:lblOffset val="100"/>
        <c:noMultiLvlLbl val="0"/>
      </c:catAx>
      <c:valAx>
        <c:axId val="-2113194344"/>
        <c:scaling>
          <c:orientation val="minMax"/>
        </c:scaling>
        <c:delete val="0"/>
        <c:axPos val="l"/>
        <c:majorGridlines/>
        <c:numFmt formatCode="0%" sourceLinked="1"/>
        <c:majorTickMark val="out"/>
        <c:minorTickMark val="none"/>
        <c:tickLblPos val="nextTo"/>
        <c:crossAx val="-2113186072"/>
        <c:crosses val="autoZero"/>
        <c:crossBetween val="between"/>
      </c:valAx>
    </c:plotArea>
    <c:legend>
      <c:legendPos val="r"/>
      <c:layout>
        <c:manualLayout>
          <c:xMode val="edge"/>
          <c:yMode val="edge"/>
          <c:x val="0.261396106736658"/>
          <c:y val="0.601084135316419"/>
          <c:w val="0.635826115485564"/>
          <c:h val="0.186720618256051"/>
        </c:manualLayout>
      </c:layout>
      <c:overlay val="0"/>
    </c:legend>
    <c:plotVisOnly val="1"/>
    <c:dispBlanksAs val="gap"/>
    <c:showDLblsOverMax val="0"/>
  </c:chart>
  <c:printSettings>
    <c:headerFooter/>
    <c:pageMargins b="1.0" l="0.75" r="0.75" t="1.0"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1729002624672"/>
          <c:y val="0.0601851851851852"/>
          <c:w val="0.843968722659667"/>
          <c:h val="0.87962962962963"/>
        </c:manualLayout>
      </c:layout>
      <c:lineChart>
        <c:grouping val="standard"/>
        <c:varyColors val="0"/>
        <c:ser>
          <c:idx val="0"/>
          <c:order val="0"/>
          <c:tx>
            <c:v>NIIP at market value</c:v>
          </c:tx>
          <c:marker>
            <c:symbol val="none"/>
          </c:marke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'Assets(BoP)'!$MZ$74:$MZ$108</c:f>
              <c:numCache>
                <c:formatCode>0%</c:formatCode>
                <c:ptCount val="35"/>
                <c:pt idx="0">
                  <c:v>0.0414487396141388</c:v>
                </c:pt>
                <c:pt idx="1">
                  <c:v>0.0526090508086914</c:v>
                </c:pt>
                <c:pt idx="2">
                  <c:v>0.0171132404181185</c:v>
                </c:pt>
                <c:pt idx="3">
                  <c:v>0.00500705716302051</c:v>
                </c:pt>
                <c:pt idx="4">
                  <c:v>0.00176809937113455</c:v>
                </c:pt>
                <c:pt idx="5">
                  <c:v>-0.0165158283161779</c:v>
                </c:pt>
                <c:pt idx="6">
                  <c:v>-0.0191291672230382</c:v>
                </c:pt>
                <c:pt idx="7">
                  <c:v>-0.0290403998159843</c:v>
                </c:pt>
                <c:pt idx="8">
                  <c:v>-0.0500246222275173</c:v>
                </c:pt>
                <c:pt idx="9">
                  <c:v>-0.0647644665548292</c:v>
                </c:pt>
                <c:pt idx="10">
                  <c:v>-0.0944227866974562</c:v>
                </c:pt>
                <c:pt idx="11">
                  <c:v>-0.0389810245360395</c:v>
                </c:pt>
                <c:pt idx="12">
                  <c:v>-0.0342694049053776</c:v>
                </c:pt>
                <c:pt idx="13">
                  <c:v>-0.0584684003395324</c:v>
                </c:pt>
                <c:pt idx="14">
                  <c:v>-0.0616001391425341</c:v>
                </c:pt>
                <c:pt idx="15">
                  <c:v>-0.117087691724026</c:v>
                </c:pt>
                <c:pt idx="16">
                  <c:v>-0.141151031524824</c:v>
                </c:pt>
                <c:pt idx="17">
                  <c:v>-0.12952501081159</c:v>
                </c:pt>
                <c:pt idx="18">
                  <c:v>-0.180602335241945</c:v>
                </c:pt>
                <c:pt idx="19">
                  <c:v>-0.257755155368769</c:v>
                </c:pt>
                <c:pt idx="20">
                  <c:v>-0.265106497965412</c:v>
                </c:pt>
                <c:pt idx="21">
                  <c:v>-0.24349455607145</c:v>
                </c:pt>
                <c:pt idx="22">
                  <c:v>-0.235021582597311</c:v>
                </c:pt>
                <c:pt idx="23">
                  <c:v>-0.177230911582057</c:v>
                </c:pt>
                <c:pt idx="24">
                  <c:v>-0.164412651606024</c:v>
                </c:pt>
                <c:pt idx="25">
                  <c:v>-0.121537974580811</c:v>
                </c:pt>
                <c:pt idx="26">
                  <c:v>-0.339781860023496</c:v>
                </c:pt>
                <c:pt idx="27">
                  <c:v>-0.240143657070286</c:v>
                </c:pt>
                <c:pt idx="28">
                  <c:v>-0.226015542211233</c:v>
                </c:pt>
                <c:pt idx="29">
                  <c:v>-0.363634130449436</c:v>
                </c:pt>
                <c:pt idx="30">
                  <c:v>-0.352138260121321</c:v>
                </c:pt>
                <c:pt idx="31">
                  <c:v>-0.393749238480283</c:v>
                </c:pt>
                <c:pt idx="32">
                  <c:v>-0.48174940570523</c:v>
                </c:pt>
                <c:pt idx="33">
                  <c:v>-0.493701745914763</c:v>
                </c:pt>
                <c:pt idx="34">
                  <c:v>-0.536971592324944</c:v>
                </c:pt>
              </c:numCache>
            </c:numRef>
          </c:val>
          <c:smooth val="0"/>
        </c:ser>
        <c:ser>
          <c:idx val="1"/>
          <c:order val="1"/>
          <c:tx>
            <c:v>NIIP at current cost</c:v>
          </c:tx>
          <c:marker>
            <c:symbol val="none"/>
          </c:marke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'Assets(BoP)'!$ND$74:$ND$108</c:f>
              <c:numCache>
                <c:formatCode>0%</c:formatCode>
                <c:ptCount val="35"/>
                <c:pt idx="0">
                  <c:v>0.0856611744824672</c:v>
                </c:pt>
                <c:pt idx="1">
                  <c:v>0.0782359091651691</c:v>
                </c:pt>
                <c:pt idx="2">
                  <c:v>0.0368016840882695</c:v>
                </c:pt>
                <c:pt idx="3">
                  <c:v>0.00344226697790571</c:v>
                </c:pt>
                <c:pt idx="4">
                  <c:v>-0.0253398991736396</c:v>
                </c:pt>
                <c:pt idx="5">
                  <c:v>-0.041271606137114</c:v>
                </c:pt>
                <c:pt idx="6">
                  <c:v>-0.0562451595673654</c:v>
                </c:pt>
                <c:pt idx="7">
                  <c:v>-0.0698076199238844</c:v>
                </c:pt>
                <c:pt idx="8">
                  <c:v>-0.0634681598856258</c:v>
                </c:pt>
                <c:pt idx="9">
                  <c:v>-0.071337228360425</c:v>
                </c:pt>
                <c:pt idx="10">
                  <c:v>-0.0886653817480953</c:v>
                </c:pt>
                <c:pt idx="11">
                  <c:v>-0.0672511642454994</c:v>
                </c:pt>
                <c:pt idx="12">
                  <c:v>-0.0649110778150548</c:v>
                </c:pt>
                <c:pt idx="13">
                  <c:v>-0.0820236129330967</c:v>
                </c:pt>
                <c:pt idx="14">
                  <c:v>-0.0811715511493752</c:v>
                </c:pt>
                <c:pt idx="15">
                  <c:v>-0.116809929001138</c:v>
                </c:pt>
                <c:pt idx="16">
                  <c:v>-0.118826568923167</c:v>
                </c:pt>
                <c:pt idx="17">
                  <c:v>-0.0980196770938445</c:v>
                </c:pt>
                <c:pt idx="18">
                  <c:v>-0.160280902660829</c:v>
                </c:pt>
                <c:pt idx="19">
                  <c:v>-0.214010626483461</c:v>
                </c:pt>
                <c:pt idx="20">
                  <c:v>-0.22804997456765</c:v>
                </c:pt>
                <c:pt idx="21">
                  <c:v>-0.224199225482046</c:v>
                </c:pt>
                <c:pt idx="22">
                  <c:v>-0.220912825280574</c:v>
                </c:pt>
                <c:pt idx="23">
                  <c:v>-0.177215341909998</c:v>
                </c:pt>
                <c:pt idx="24">
                  <c:v>-0.188839880714381</c:v>
                </c:pt>
                <c:pt idx="25">
                  <c:v>-0.15920926193452</c:v>
                </c:pt>
                <c:pt idx="26">
                  <c:v>-0.282270554724086</c:v>
                </c:pt>
                <c:pt idx="27">
                  <c:v>-0.214235821904817</c:v>
                </c:pt>
                <c:pt idx="28">
                  <c:v>-0.209602103693238</c:v>
                </c:pt>
                <c:pt idx="29">
                  <c:v>-0.30922005946541</c:v>
                </c:pt>
                <c:pt idx="30">
                  <c:v>-0.305322324863639</c:v>
                </c:pt>
                <c:pt idx="31">
                  <c:v>-0.347381549069561</c:v>
                </c:pt>
                <c:pt idx="32">
                  <c:v>-0.397717313787639</c:v>
                </c:pt>
                <c:pt idx="33">
                  <c:v>-0.394849996187959</c:v>
                </c:pt>
                <c:pt idx="34">
                  <c:v>-0.419148766508846</c:v>
                </c:pt>
              </c:numCache>
            </c:numRef>
          </c:val>
          <c:smooth val="0"/>
        </c:ser>
        <c:dLbls>
          <c:showLegendKey val="0"/>
          <c:showVal val="0"/>
          <c:showCatName val="0"/>
          <c:showSerName val="0"/>
          <c:showPercent val="0"/>
          <c:showBubbleSize val="0"/>
        </c:dLbls>
        <c:marker val="1"/>
        <c:smooth val="0"/>
        <c:axId val="-2110042376"/>
        <c:axId val="-2110062216"/>
      </c:lineChart>
      <c:catAx>
        <c:axId val="-2110042376"/>
        <c:scaling>
          <c:orientation val="minMax"/>
        </c:scaling>
        <c:delete val="0"/>
        <c:axPos val="b"/>
        <c:numFmt formatCode="General" sourceLinked="1"/>
        <c:majorTickMark val="out"/>
        <c:minorTickMark val="none"/>
        <c:tickLblPos val="nextTo"/>
        <c:crossAx val="-2110062216"/>
        <c:crosses val="autoZero"/>
        <c:auto val="1"/>
        <c:lblAlgn val="ctr"/>
        <c:lblOffset val="100"/>
        <c:noMultiLvlLbl val="0"/>
      </c:catAx>
      <c:valAx>
        <c:axId val="-2110062216"/>
        <c:scaling>
          <c:orientation val="minMax"/>
        </c:scaling>
        <c:delete val="0"/>
        <c:axPos val="l"/>
        <c:majorGridlines/>
        <c:numFmt formatCode="0%" sourceLinked="1"/>
        <c:majorTickMark val="out"/>
        <c:minorTickMark val="none"/>
        <c:tickLblPos val="nextTo"/>
        <c:crossAx val="-2110042376"/>
        <c:crosses val="autoZero"/>
        <c:crossBetween val="between"/>
      </c:valAx>
    </c:plotArea>
    <c:legend>
      <c:legendPos val="r"/>
      <c:layout>
        <c:manualLayout>
          <c:xMode val="edge"/>
          <c:yMode val="edge"/>
          <c:x val="0.306808836395451"/>
          <c:y val="0.0736902158063575"/>
          <c:w val="0.318191163604549"/>
          <c:h val="0.185952901720618"/>
        </c:manualLayout>
      </c:layout>
      <c:overlay val="0"/>
    </c:legend>
    <c:plotVisOnly val="1"/>
    <c:dispBlanksAs val="gap"/>
    <c:showDLblsOverMax val="0"/>
  </c:chart>
  <c:printSettings>
    <c:headerFooter/>
    <c:pageMargins b="1.0" l="0.75" r="0.75" t="1.0"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0632518386476"/>
          <c:y val="0.0693333333333333"/>
          <c:w val="0.813989304560318"/>
          <c:h val="0.861333333333333"/>
        </c:manualLayout>
      </c:layout>
      <c:lineChart>
        <c:grouping val="standard"/>
        <c:varyColors val="0"/>
        <c:ser>
          <c:idx val="0"/>
          <c:order val="0"/>
          <c:tx>
            <c:v>Net FDI position current cost</c:v>
          </c:tx>
          <c:marker>
            <c:symbol val="none"/>
          </c:marke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'Assets(BoP)'!$NF$74:$NF$108</c:f>
              <c:numCache>
                <c:formatCode>0%</c:formatCode>
                <c:ptCount val="35"/>
                <c:pt idx="0">
                  <c:v>0.0780844247289114</c:v>
                </c:pt>
                <c:pt idx="1">
                  <c:v>0.0651710504819474</c:v>
                </c:pt>
                <c:pt idx="2">
                  <c:v>0.0482009291521487</c:v>
                </c:pt>
                <c:pt idx="3">
                  <c:v>0.0435888388252538</c:v>
                </c:pt>
                <c:pt idx="4">
                  <c:v>0.0397045371862169</c:v>
                </c:pt>
                <c:pt idx="5">
                  <c:v>0.041772917071276</c:v>
                </c:pt>
                <c:pt idx="6">
                  <c:v>0.0298560110384119</c:v>
                </c:pt>
                <c:pt idx="7">
                  <c:v>0.0214899000460039</c:v>
                </c:pt>
                <c:pt idx="8">
                  <c:v>0.0247131709060583</c:v>
                </c:pt>
                <c:pt idx="9">
                  <c:v>0.0239704209328783</c:v>
                </c:pt>
                <c:pt idx="10">
                  <c:v>0.0243860574213139</c:v>
                </c:pt>
                <c:pt idx="11">
                  <c:v>0.0226266768610551</c:v>
                </c:pt>
                <c:pt idx="12">
                  <c:v>0.0274557831992443</c:v>
                </c:pt>
                <c:pt idx="13">
                  <c:v>0.0317063044988039</c:v>
                </c:pt>
                <c:pt idx="14">
                  <c:v>0.0353932225990666</c:v>
                </c:pt>
                <c:pt idx="15">
                  <c:v>0.0330505121673622</c:v>
                </c:pt>
                <c:pt idx="16">
                  <c:v>0.0351233884413221</c:v>
                </c:pt>
                <c:pt idx="17">
                  <c:v>0.0364841910528086</c:v>
                </c:pt>
                <c:pt idx="18">
                  <c:v>0.0103043673515213</c:v>
                </c:pt>
                <c:pt idx="19">
                  <c:v>0.0170302462818196</c:v>
                </c:pt>
                <c:pt idx="20">
                  <c:v>0.0371382248219735</c:v>
                </c:pt>
                <c:pt idx="21">
                  <c:v>0.0470979907138947</c:v>
                </c:pt>
                <c:pt idx="22">
                  <c:v>0.0753381589807322</c:v>
                </c:pt>
                <c:pt idx="23">
                  <c:v>0.0729729176675741</c:v>
                </c:pt>
                <c:pt idx="24">
                  <c:v>0.073641043582567</c:v>
                </c:pt>
                <c:pt idx="25">
                  <c:v>0.102222231239956</c:v>
                </c:pt>
                <c:pt idx="26">
                  <c:v>0.107075266740694</c:v>
                </c:pt>
                <c:pt idx="27">
                  <c:v>0.13531333239871</c:v>
                </c:pt>
                <c:pt idx="28">
                  <c:v>0.125310490992582</c:v>
                </c:pt>
                <c:pt idx="29">
                  <c:v>0.130475947964021</c:v>
                </c:pt>
                <c:pt idx="30">
                  <c:v>0.139766958945804</c:v>
                </c:pt>
                <c:pt idx="31">
                  <c:v>0.136763748892335</c:v>
                </c:pt>
                <c:pt idx="32">
                  <c:v>0.138172081352351</c:v>
                </c:pt>
                <c:pt idx="33">
                  <c:v>0.1177921929401</c:v>
                </c:pt>
                <c:pt idx="34">
                  <c:v>0.105724520308996</c:v>
                </c:pt>
              </c:numCache>
            </c:numRef>
          </c:val>
          <c:smooth val="0"/>
        </c:ser>
        <c:ser>
          <c:idx val="1"/>
          <c:order val="1"/>
          <c:tx>
            <c:v>Net FDI position market value</c:v>
          </c:tx>
          <c:marker>
            <c:symbol val="none"/>
          </c:marke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'Assets(BoP)'!$NH$74:$NH$108</c:f>
              <c:numCache>
                <c:formatCode>0%</c:formatCode>
                <c:ptCount val="35"/>
                <c:pt idx="0">
                  <c:v>0.033871989860583</c:v>
                </c:pt>
                <c:pt idx="1">
                  <c:v>0.0395441921254697</c:v>
                </c:pt>
                <c:pt idx="2">
                  <c:v>0.0285124854819977</c:v>
                </c:pt>
                <c:pt idx="3">
                  <c:v>0.0451536290103686</c:v>
                </c:pt>
                <c:pt idx="4">
                  <c:v>0.0668125357309911</c:v>
                </c:pt>
                <c:pt idx="5">
                  <c:v>0.0665286948922121</c:v>
                </c:pt>
                <c:pt idx="6">
                  <c:v>0.0669720033827391</c:v>
                </c:pt>
                <c:pt idx="7">
                  <c:v>0.0622571201539041</c:v>
                </c:pt>
                <c:pt idx="8">
                  <c:v>0.0381567085641667</c:v>
                </c:pt>
                <c:pt idx="9">
                  <c:v>0.030543182738474</c:v>
                </c:pt>
                <c:pt idx="10">
                  <c:v>0.018628652471953</c:v>
                </c:pt>
                <c:pt idx="11">
                  <c:v>0.050896816570515</c:v>
                </c:pt>
                <c:pt idx="12">
                  <c:v>0.0580974561089215</c:v>
                </c:pt>
                <c:pt idx="13">
                  <c:v>0.0552615170923682</c:v>
                </c:pt>
                <c:pt idx="14">
                  <c:v>0.0549646346059077</c:v>
                </c:pt>
                <c:pt idx="15">
                  <c:v>0.0327727494444745</c:v>
                </c:pt>
                <c:pt idx="16">
                  <c:v>0.012798925839665</c:v>
                </c:pt>
                <c:pt idx="17">
                  <c:v>0.0049788573350632</c:v>
                </c:pt>
                <c:pt idx="18">
                  <c:v>-0.0100170652295947</c:v>
                </c:pt>
                <c:pt idx="19">
                  <c:v>-0.0267142826034884</c:v>
                </c:pt>
                <c:pt idx="20">
                  <c:v>8.17014242116168E-5</c:v>
                </c:pt>
                <c:pt idx="21">
                  <c:v>0.0278026601244905</c:v>
                </c:pt>
                <c:pt idx="22">
                  <c:v>0.0612294016639946</c:v>
                </c:pt>
                <c:pt idx="23">
                  <c:v>0.0729573479955159</c:v>
                </c:pt>
                <c:pt idx="24">
                  <c:v>0.0980682726909237</c:v>
                </c:pt>
                <c:pt idx="25">
                  <c:v>0.139893518593666</c:v>
                </c:pt>
                <c:pt idx="26">
                  <c:v>0.0495639614412848</c:v>
                </c:pt>
                <c:pt idx="27">
                  <c:v>0.109405497233241</c:v>
                </c:pt>
                <c:pt idx="28">
                  <c:v>0.108897052474587</c:v>
                </c:pt>
                <c:pt idx="29">
                  <c:v>0.0760618769799959</c:v>
                </c:pt>
                <c:pt idx="30">
                  <c:v>0.0929510236881218</c:v>
                </c:pt>
                <c:pt idx="31">
                  <c:v>0.0903960594816127</c:v>
                </c:pt>
                <c:pt idx="32">
                  <c:v>0.0541399894347596</c:v>
                </c:pt>
                <c:pt idx="33">
                  <c:v>0.0189404432132964</c:v>
                </c:pt>
                <c:pt idx="34">
                  <c:v>-0.0120983055071019</c:v>
                </c:pt>
              </c:numCache>
            </c:numRef>
          </c:val>
          <c:smooth val="0"/>
        </c:ser>
        <c:ser>
          <c:idx val="2"/>
          <c:order val="2"/>
          <c:tx>
            <c:v>Net FDI income</c:v>
          </c:tx>
          <c:marker>
            <c:symbol val="none"/>
          </c:marker>
          <c:val>
            <c:numRef>
              <c:f>'Assets(BoP)'!$NK$74:$NK$108</c:f>
              <c:numCache>
                <c:formatCode>0.0%</c:formatCode>
                <c:ptCount val="35"/>
                <c:pt idx="0">
                  <c:v>0.00963068581889874</c:v>
                </c:pt>
                <c:pt idx="1">
                  <c:v>0.00902793661166476</c:v>
                </c:pt>
                <c:pt idx="2">
                  <c:v>0.0078054587688734</c:v>
                </c:pt>
                <c:pt idx="3">
                  <c:v>0.00772623636067531</c:v>
                </c:pt>
                <c:pt idx="4">
                  <c:v>0.00781716127020425</c:v>
                </c:pt>
                <c:pt idx="5">
                  <c:v>0.00937366478927947</c:v>
                </c:pt>
                <c:pt idx="6">
                  <c:v>0.0103028886811768</c:v>
                </c:pt>
                <c:pt idx="7">
                  <c:v>0.0114875998494417</c:v>
                </c:pt>
                <c:pt idx="8">
                  <c:v>0.0124149639602073</c:v>
                </c:pt>
                <c:pt idx="9">
                  <c:v>0.0117591253543125</c:v>
                </c:pt>
                <c:pt idx="10">
                  <c:v>0.0100640034910995</c:v>
                </c:pt>
                <c:pt idx="11">
                  <c:v>0.0103049628136512</c:v>
                </c:pt>
                <c:pt idx="12">
                  <c:v>0.00898895801439692</c:v>
                </c:pt>
                <c:pt idx="13">
                  <c:v>0.0100226869357203</c:v>
                </c:pt>
                <c:pt idx="14">
                  <c:v>0.0100605849784039</c:v>
                </c:pt>
                <c:pt idx="15">
                  <c:v>0.0098061080700233</c:v>
                </c:pt>
                <c:pt idx="16">
                  <c:v>0.00834192407060949</c:v>
                </c:pt>
                <c:pt idx="17">
                  <c:v>0.00929676613329489</c:v>
                </c:pt>
                <c:pt idx="18">
                  <c:v>0.0105332884248344</c:v>
                </c:pt>
                <c:pt idx="19">
                  <c:v>0.0123776756744986</c:v>
                </c:pt>
                <c:pt idx="20">
                  <c:v>0.0105794337063411</c:v>
                </c:pt>
                <c:pt idx="21">
                  <c:v>0.0106063340159364</c:v>
                </c:pt>
                <c:pt idx="22">
                  <c:v>0.013341365538047</c:v>
                </c:pt>
                <c:pt idx="23">
                  <c:v>0.014188152814107</c:v>
                </c:pt>
                <c:pt idx="24">
                  <c:v>0.0131289151006264</c:v>
                </c:pt>
                <c:pt idx="25">
                  <c:v>0.0185843329491779</c:v>
                </c:pt>
                <c:pt idx="26">
                  <c:v>0.0215480616038237</c:v>
                </c:pt>
                <c:pt idx="27">
                  <c:v>0.0205563206636924</c:v>
                </c:pt>
                <c:pt idx="28">
                  <c:v>0.0218671847403744</c:v>
                </c:pt>
                <c:pt idx="29">
                  <c:v>0.0216199456273451</c:v>
                </c:pt>
                <c:pt idx="30">
                  <c:v>0.0203026618024591</c:v>
                </c:pt>
                <c:pt idx="31">
                  <c:v>0.0196112787992911</c:v>
                </c:pt>
                <c:pt idx="32">
                  <c:v>0.0182711304807184</c:v>
                </c:pt>
                <c:pt idx="33">
                  <c:v>0.0169336577803756</c:v>
                </c:pt>
                <c:pt idx="34">
                  <c:v>0.0161242835783703</c:v>
                </c:pt>
              </c:numCache>
            </c:numRef>
          </c:val>
          <c:smooth val="0"/>
        </c:ser>
        <c:dLbls>
          <c:showLegendKey val="0"/>
          <c:showVal val="0"/>
          <c:showCatName val="0"/>
          <c:showSerName val="0"/>
          <c:showPercent val="0"/>
          <c:showBubbleSize val="0"/>
        </c:dLbls>
        <c:marker val="1"/>
        <c:smooth val="0"/>
        <c:axId val="-2110094312"/>
        <c:axId val="-2110091272"/>
      </c:lineChart>
      <c:catAx>
        <c:axId val="-2110094312"/>
        <c:scaling>
          <c:orientation val="minMax"/>
        </c:scaling>
        <c:delete val="0"/>
        <c:axPos val="b"/>
        <c:numFmt formatCode="General" sourceLinked="1"/>
        <c:majorTickMark val="out"/>
        <c:minorTickMark val="none"/>
        <c:tickLblPos val="nextTo"/>
        <c:crossAx val="-2110091272"/>
        <c:crosses val="autoZero"/>
        <c:auto val="1"/>
        <c:lblAlgn val="ctr"/>
        <c:lblOffset val="100"/>
        <c:noMultiLvlLbl val="0"/>
      </c:catAx>
      <c:valAx>
        <c:axId val="-2110091272"/>
        <c:scaling>
          <c:orientation val="minMax"/>
        </c:scaling>
        <c:delete val="0"/>
        <c:axPos val="l"/>
        <c:majorGridlines/>
        <c:numFmt formatCode="0%" sourceLinked="1"/>
        <c:majorTickMark val="out"/>
        <c:minorTickMark val="none"/>
        <c:tickLblPos val="nextTo"/>
        <c:crossAx val="-2110094312"/>
        <c:crosses val="autoZero"/>
        <c:crossBetween val="between"/>
      </c:valAx>
    </c:plotArea>
    <c:legend>
      <c:legendPos val="r"/>
      <c:layout>
        <c:manualLayout>
          <c:xMode val="edge"/>
          <c:yMode val="edge"/>
          <c:x val="0.147005631042746"/>
          <c:y val="0.0933400524934383"/>
          <c:w val="0.472184773754855"/>
          <c:h val="0.253319895013123"/>
        </c:manualLayout>
      </c:layout>
      <c:overlay val="0"/>
    </c:legend>
    <c:plotVisOnly val="1"/>
    <c:dispBlanksAs val="gap"/>
    <c:showDLblsOverMax val="0"/>
  </c:chart>
  <c:printSettings>
    <c:headerFooter/>
    <c:pageMargins b="1.0" l="0.75" r="0.75" t="1.0"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1729002624672"/>
          <c:y val="0.0601851851851852"/>
          <c:w val="0.874524278215223"/>
          <c:h val="0.796296296296296"/>
        </c:manualLayout>
      </c:layout>
      <c:lineChart>
        <c:grouping val="standard"/>
        <c:varyColors val="0"/>
        <c:ser>
          <c:idx val="1"/>
          <c:order val="0"/>
          <c:tx>
            <c:v>Net investment income received</c:v>
          </c:tx>
          <c:marker>
            <c:symbol val="none"/>
          </c:marker>
          <c:cat>
            <c:numRef>
              <c:f>'Assets(BoP)'!$B$52:$B$108</c:f>
              <c:numCache>
                <c:formatCode>General</c:formatCode>
                <c:ptCount val="57"/>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pt idx="56">
                  <c:v>2016.0</c:v>
                </c:pt>
              </c:numCache>
            </c:numRef>
          </c:cat>
          <c:val>
            <c:numRef>
              <c:f>'Assets(BoP)'!$NR$52:$NR$108</c:f>
              <c:numCache>
                <c:formatCode>0.0%</c:formatCode>
                <c:ptCount val="57"/>
                <c:pt idx="0">
                  <c:v>0.00703896645134403</c:v>
                </c:pt>
                <c:pt idx="1">
                  <c:v>0.00755229283990346</c:v>
                </c:pt>
                <c:pt idx="2">
                  <c:v>0.00802316890881913</c:v>
                </c:pt>
                <c:pt idx="3">
                  <c:v>0.00810977762089657</c:v>
                </c:pt>
                <c:pt idx="4">
                  <c:v>0.00828702942626993</c:v>
                </c:pt>
                <c:pt idx="5">
                  <c:v>0.00810086324398001</c:v>
                </c:pt>
                <c:pt idx="6">
                  <c:v>0.00701125468945394</c:v>
                </c:pt>
                <c:pt idx="7">
                  <c:v>0.00693764798737174</c:v>
                </c:pt>
                <c:pt idx="8">
                  <c:v>0.00719865400793174</c:v>
                </c:pt>
                <c:pt idx="9">
                  <c:v>0.00671928849360756</c:v>
                </c:pt>
                <c:pt idx="10">
                  <c:v>0.00663120944580363</c:v>
                </c:pt>
                <c:pt idx="11">
                  <c:v>0.00714847590953785</c:v>
                </c:pt>
                <c:pt idx="12">
                  <c:v>0.00729474621549421</c:v>
                </c:pt>
                <c:pt idx="13">
                  <c:v>0.00966825775656324</c:v>
                </c:pt>
                <c:pt idx="14">
                  <c:v>0.0114769025762511</c:v>
                </c:pt>
                <c:pt idx="15">
                  <c:v>0.00881124664047963</c:v>
                </c:pt>
                <c:pt idx="16">
                  <c:v>0.00994674263066633</c:v>
                </c:pt>
                <c:pt idx="17">
                  <c:v>0.010083393562017</c:v>
                </c:pt>
                <c:pt idx="18">
                  <c:v>0.0100532045913592</c:v>
                </c:pt>
                <c:pt idx="19">
                  <c:v>0.013732763988969</c:v>
                </c:pt>
                <c:pt idx="20">
                  <c:v>0.0123916268336905</c:v>
                </c:pt>
                <c:pt idx="21">
                  <c:v>0.0120873590242827</c:v>
                </c:pt>
                <c:pt idx="22">
                  <c:v>0.0123795944233207</c:v>
                </c:pt>
                <c:pt idx="23">
                  <c:v>0.0118895605293253</c:v>
                </c:pt>
                <c:pt idx="24">
                  <c:v>0.010181475029036</c:v>
                </c:pt>
                <c:pt idx="25">
                  <c:v>0.00698170566201618</c:v>
                </c:pt>
                <c:pt idx="26">
                  <c:v>0.00448625331323736</c:v>
                </c:pt>
                <c:pt idx="27">
                  <c:v>0.00379636822684016</c:v>
                </c:pt>
                <c:pt idx="28">
                  <c:v>0.00434793252325633</c:v>
                </c:pt>
                <c:pt idx="29">
                  <c:v>0.00441073146250679</c:v>
                </c:pt>
                <c:pt idx="30">
                  <c:v>0.00612398482953079</c:v>
                </c:pt>
                <c:pt idx="31">
                  <c:v>0.0051801932087696</c:v>
                </c:pt>
                <c:pt idx="32">
                  <c:v>0.00494445151553721</c:v>
                </c:pt>
                <c:pt idx="33">
                  <c:v>0.00497515117814694</c:v>
                </c:pt>
                <c:pt idx="34">
                  <c:v>0.00344516465261718</c:v>
                </c:pt>
                <c:pt idx="35">
                  <c:v>0.00385430974612238</c:v>
                </c:pt>
                <c:pt idx="36">
                  <c:v>0.0038317824738383</c:v>
                </c:pt>
                <c:pt idx="37">
                  <c:v>0.0023038046718335</c:v>
                </c:pt>
                <c:pt idx="38">
                  <c:v>0.00112290481463098</c:v>
                </c:pt>
                <c:pt idx="39">
                  <c:v>0.00219799625198212</c:v>
                </c:pt>
                <c:pt idx="40">
                  <c:v>0.00276512855057819</c:v>
                </c:pt>
                <c:pt idx="41">
                  <c:v>0.00378143849487185</c:v>
                </c:pt>
                <c:pt idx="42">
                  <c:v>0.00322747117667006</c:v>
                </c:pt>
                <c:pt idx="43">
                  <c:v>0.00435443320289531</c:v>
                </c:pt>
                <c:pt idx="44">
                  <c:v>0.00599047519661509</c:v>
                </c:pt>
                <c:pt idx="45">
                  <c:v>0.00578391074574281</c:v>
                </c:pt>
                <c:pt idx="46">
                  <c:v>0.00318697520991603</c:v>
                </c:pt>
                <c:pt idx="47">
                  <c:v>0.00775139188728554</c:v>
                </c:pt>
                <c:pt idx="48">
                  <c:v>0.0113733726001384</c:v>
                </c:pt>
                <c:pt idx="49">
                  <c:v>0.0102125168025994</c:v>
                </c:pt>
                <c:pt idx="50">
                  <c:v>0.0138350798696966</c:v>
                </c:pt>
                <c:pt idx="51">
                  <c:v>0.0164138013675547</c:v>
                </c:pt>
                <c:pt idx="52">
                  <c:v>0.0153691179712557</c:v>
                </c:pt>
                <c:pt idx="53">
                  <c:v>0.0149112483385024</c:v>
                </c:pt>
                <c:pt idx="54">
                  <c:v>0.0146150950871632</c:v>
                </c:pt>
                <c:pt idx="55">
                  <c:v>0.0122428778367938</c:v>
                </c:pt>
                <c:pt idx="56">
                  <c:v>0.0116385497134313</c:v>
                </c:pt>
              </c:numCache>
            </c:numRef>
          </c:val>
          <c:smooth val="0"/>
        </c:ser>
        <c:ser>
          <c:idx val="0"/>
          <c:order val="1"/>
          <c:tx>
            <c:v>Net FDI income received</c:v>
          </c:tx>
          <c:marker>
            <c:symbol val="none"/>
          </c:marker>
          <c:cat>
            <c:numRef>
              <c:f>'Assets(BoP)'!$B$52:$B$108</c:f>
              <c:numCache>
                <c:formatCode>General</c:formatCode>
                <c:ptCount val="57"/>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pt idx="56">
                  <c:v>2016.0</c:v>
                </c:pt>
              </c:numCache>
            </c:numRef>
          </c:cat>
          <c:val>
            <c:numRef>
              <c:f>'Assets(BoP)'!$NS$52:$NS$108</c:f>
              <c:numCache>
                <c:formatCode>0.0%</c:formatCode>
                <c:ptCount val="57"/>
                <c:pt idx="0">
                  <c:v>0.00672431756615961</c:v>
                </c:pt>
                <c:pt idx="1">
                  <c:v>0.00682019308125503</c:v>
                </c:pt>
                <c:pt idx="2">
                  <c:v>0.00717862481315396</c:v>
                </c:pt>
                <c:pt idx="3">
                  <c:v>0.00737204376985527</c:v>
                </c:pt>
                <c:pt idx="4">
                  <c:v>0.00752424790399474</c:v>
                </c:pt>
                <c:pt idx="5">
                  <c:v>0.00734363168256853</c:v>
                </c:pt>
                <c:pt idx="6">
                  <c:v>0.00632068917604557</c:v>
                </c:pt>
                <c:pt idx="7">
                  <c:v>0.0062904498816101</c:v>
                </c:pt>
                <c:pt idx="8">
                  <c:v>0.00686816488402836</c:v>
                </c:pt>
                <c:pt idx="9">
                  <c:v>0.00756086714841578</c:v>
                </c:pt>
                <c:pt idx="10">
                  <c:v>0.00775874906924795</c:v>
                </c:pt>
                <c:pt idx="11">
                  <c:v>0.00786234021632252</c:v>
                </c:pt>
                <c:pt idx="12">
                  <c:v>0.00860641139804096</c:v>
                </c:pt>
                <c:pt idx="13">
                  <c:v>0.01187907716786</c:v>
                </c:pt>
                <c:pt idx="14">
                  <c:v>0.0131966242226829</c:v>
                </c:pt>
                <c:pt idx="15">
                  <c:v>0.0098966301426504</c:v>
                </c:pt>
                <c:pt idx="16">
                  <c:v>0.00983960862026257</c:v>
                </c:pt>
                <c:pt idx="17">
                  <c:v>0.00936176127202979</c:v>
                </c:pt>
                <c:pt idx="18">
                  <c:v>0.0104670180797084</c:v>
                </c:pt>
                <c:pt idx="19">
                  <c:v>0.0141562138599769</c:v>
                </c:pt>
                <c:pt idx="20">
                  <c:v>0.0117483929454426</c:v>
                </c:pt>
                <c:pt idx="21">
                  <c:v>0.00942323941074905</c:v>
                </c:pt>
                <c:pt idx="22">
                  <c:v>0.00963068581889874</c:v>
                </c:pt>
                <c:pt idx="23">
                  <c:v>0.00902793661166476</c:v>
                </c:pt>
                <c:pt idx="24">
                  <c:v>0.0078054587688734</c:v>
                </c:pt>
                <c:pt idx="25">
                  <c:v>0.00772623636067531</c:v>
                </c:pt>
                <c:pt idx="26">
                  <c:v>0.00781716127020425</c:v>
                </c:pt>
                <c:pt idx="27">
                  <c:v>0.00937366478927947</c:v>
                </c:pt>
                <c:pt idx="28">
                  <c:v>0.0103028886811768</c:v>
                </c:pt>
                <c:pt idx="29">
                  <c:v>0.0114875998494417</c:v>
                </c:pt>
                <c:pt idx="30">
                  <c:v>0.0124149639602073</c:v>
                </c:pt>
                <c:pt idx="31">
                  <c:v>0.0117591253543125</c:v>
                </c:pt>
                <c:pt idx="32">
                  <c:v>0.0100640034910995</c:v>
                </c:pt>
                <c:pt idx="33">
                  <c:v>0.0103049628136512</c:v>
                </c:pt>
                <c:pt idx="34">
                  <c:v>0.00898895801439692</c:v>
                </c:pt>
                <c:pt idx="35">
                  <c:v>0.0100226869357203</c:v>
                </c:pt>
                <c:pt idx="36">
                  <c:v>0.0100605849784039</c:v>
                </c:pt>
                <c:pt idx="37">
                  <c:v>0.0098061080700233</c:v>
                </c:pt>
                <c:pt idx="38">
                  <c:v>0.00834192407060949</c:v>
                </c:pt>
                <c:pt idx="39">
                  <c:v>0.00929676613329489</c:v>
                </c:pt>
                <c:pt idx="40">
                  <c:v>0.0105332884248344</c:v>
                </c:pt>
                <c:pt idx="41">
                  <c:v>0.0123776756744986</c:v>
                </c:pt>
                <c:pt idx="42">
                  <c:v>0.0105794337063411</c:v>
                </c:pt>
                <c:pt idx="43">
                  <c:v>0.0106063340159364</c:v>
                </c:pt>
                <c:pt idx="44">
                  <c:v>0.013341365538047</c:v>
                </c:pt>
                <c:pt idx="45">
                  <c:v>0.014188152814107</c:v>
                </c:pt>
                <c:pt idx="46">
                  <c:v>0.0131289151006264</c:v>
                </c:pt>
                <c:pt idx="47">
                  <c:v>0.0185843329491779</c:v>
                </c:pt>
                <c:pt idx="48">
                  <c:v>0.0215480616038237</c:v>
                </c:pt>
                <c:pt idx="49">
                  <c:v>0.0205563206636924</c:v>
                </c:pt>
                <c:pt idx="50">
                  <c:v>0.0218671847403744</c:v>
                </c:pt>
                <c:pt idx="51">
                  <c:v>0.0216199456273451</c:v>
                </c:pt>
                <c:pt idx="52">
                  <c:v>0.0203026618024591</c:v>
                </c:pt>
                <c:pt idx="53">
                  <c:v>0.0196112787992911</c:v>
                </c:pt>
                <c:pt idx="54">
                  <c:v>0.0182711304807184</c:v>
                </c:pt>
                <c:pt idx="55">
                  <c:v>0.0169336577803756</c:v>
                </c:pt>
                <c:pt idx="56">
                  <c:v>0.0161242835783703</c:v>
                </c:pt>
              </c:numCache>
            </c:numRef>
          </c:val>
          <c:smooth val="0"/>
        </c:ser>
        <c:ser>
          <c:idx val="2"/>
          <c:order val="2"/>
          <c:tx>
            <c:v>Portfolio and other net investment income received</c:v>
          </c:tx>
          <c:marker>
            <c:symbol val="none"/>
          </c:marker>
          <c:val>
            <c:numRef>
              <c:f>'Assets(BoP)'!$NT$52:$NT$108</c:f>
              <c:numCache>
                <c:formatCode>0.0%</c:formatCode>
                <c:ptCount val="57"/>
                <c:pt idx="0">
                  <c:v>0.000314648885184413</c:v>
                </c:pt>
                <c:pt idx="1">
                  <c:v>0.000732099758648431</c:v>
                </c:pt>
                <c:pt idx="2">
                  <c:v>0.000844544095665173</c:v>
                </c:pt>
                <c:pt idx="3">
                  <c:v>0.0007377338510413</c:v>
                </c:pt>
                <c:pt idx="4">
                  <c:v>0.000762781522275194</c:v>
                </c:pt>
                <c:pt idx="5">
                  <c:v>0.000757231561411479</c:v>
                </c:pt>
                <c:pt idx="6">
                  <c:v>0.000690565513408363</c:v>
                </c:pt>
                <c:pt idx="7">
                  <c:v>0.000647198105761642</c:v>
                </c:pt>
                <c:pt idx="8">
                  <c:v>0.000330489123903378</c:v>
                </c:pt>
                <c:pt idx="9">
                  <c:v>-0.000841578654808226</c:v>
                </c:pt>
                <c:pt idx="10">
                  <c:v>-0.00112753962344431</c:v>
                </c:pt>
                <c:pt idx="11">
                  <c:v>-0.000713864306784662</c:v>
                </c:pt>
                <c:pt idx="12">
                  <c:v>-0.00131166518254675</c:v>
                </c:pt>
                <c:pt idx="13">
                  <c:v>-0.00221081941129674</c:v>
                </c:pt>
                <c:pt idx="14">
                  <c:v>-0.00171972164643174</c:v>
                </c:pt>
                <c:pt idx="15">
                  <c:v>-0.00108538350217077</c:v>
                </c:pt>
                <c:pt idx="16">
                  <c:v>0.000107134010403763</c:v>
                </c:pt>
                <c:pt idx="17">
                  <c:v>0.000721632289987213</c:v>
                </c:pt>
                <c:pt idx="18">
                  <c:v>-0.000413813488349178</c:v>
                </c:pt>
                <c:pt idx="19">
                  <c:v>-0.000423449871007916</c:v>
                </c:pt>
                <c:pt idx="20">
                  <c:v>0.000643233888247899</c:v>
                </c:pt>
                <c:pt idx="21">
                  <c:v>0.00266411961353367</c:v>
                </c:pt>
                <c:pt idx="22">
                  <c:v>0.00274890860442191</c:v>
                </c:pt>
                <c:pt idx="23">
                  <c:v>0.00286162391766051</c:v>
                </c:pt>
                <c:pt idx="24">
                  <c:v>0.0023760162601626</c:v>
                </c:pt>
                <c:pt idx="25">
                  <c:v>-0.000744530698659137</c:v>
                </c:pt>
                <c:pt idx="26">
                  <c:v>-0.00333090795696689</c:v>
                </c:pt>
                <c:pt idx="27">
                  <c:v>-0.00557729656243931</c:v>
                </c:pt>
                <c:pt idx="28">
                  <c:v>-0.00595495615792051</c:v>
                </c:pt>
                <c:pt idx="29">
                  <c:v>-0.00707686838693488</c:v>
                </c:pt>
                <c:pt idx="30">
                  <c:v>-0.00629097913067651</c:v>
                </c:pt>
                <c:pt idx="31">
                  <c:v>-0.00657893214554289</c:v>
                </c:pt>
                <c:pt idx="32">
                  <c:v>-0.0051195519755623</c:v>
                </c:pt>
                <c:pt idx="33">
                  <c:v>-0.00532981163550427</c:v>
                </c:pt>
                <c:pt idx="34">
                  <c:v>-0.00554379336177975</c:v>
                </c:pt>
                <c:pt idx="35">
                  <c:v>-0.00616837718959796</c:v>
                </c:pt>
                <c:pt idx="36">
                  <c:v>-0.00622880250456562</c:v>
                </c:pt>
                <c:pt idx="37">
                  <c:v>-0.0075023033981898</c:v>
                </c:pt>
                <c:pt idx="38">
                  <c:v>-0.00721901925597851</c:v>
                </c:pt>
                <c:pt idx="39">
                  <c:v>-0.00709876988131277</c:v>
                </c:pt>
                <c:pt idx="40">
                  <c:v>-0.0077681598742562</c:v>
                </c:pt>
                <c:pt idx="41">
                  <c:v>-0.00859623717962676</c:v>
                </c:pt>
                <c:pt idx="42">
                  <c:v>-0.00735196252967108</c:v>
                </c:pt>
                <c:pt idx="43">
                  <c:v>-0.0062519008130411</c:v>
                </c:pt>
                <c:pt idx="44">
                  <c:v>-0.00735089034143195</c:v>
                </c:pt>
                <c:pt idx="45">
                  <c:v>-0.0084042420683642</c:v>
                </c:pt>
                <c:pt idx="46">
                  <c:v>-0.00994193989071038</c:v>
                </c:pt>
                <c:pt idx="47">
                  <c:v>-0.0108329410618923</c:v>
                </c:pt>
                <c:pt idx="48">
                  <c:v>-0.0101746890036853</c:v>
                </c:pt>
                <c:pt idx="49">
                  <c:v>-0.010343803861093</c:v>
                </c:pt>
                <c:pt idx="50">
                  <c:v>-0.00803210487067781</c:v>
                </c:pt>
                <c:pt idx="51">
                  <c:v>-0.00520614425979044</c:v>
                </c:pt>
                <c:pt idx="52">
                  <c:v>-0.00493354383120347</c:v>
                </c:pt>
                <c:pt idx="53">
                  <c:v>-0.00470003046078866</c:v>
                </c:pt>
                <c:pt idx="54">
                  <c:v>-0.0036560353935552</c:v>
                </c:pt>
                <c:pt idx="55">
                  <c:v>-0.00469077994358179</c:v>
                </c:pt>
                <c:pt idx="56">
                  <c:v>-0.00448573386493895</c:v>
                </c:pt>
              </c:numCache>
            </c:numRef>
          </c:val>
          <c:smooth val="0"/>
        </c:ser>
        <c:dLbls>
          <c:showLegendKey val="0"/>
          <c:showVal val="0"/>
          <c:showCatName val="0"/>
          <c:showSerName val="0"/>
          <c:showPercent val="0"/>
          <c:showBubbleSize val="0"/>
        </c:dLbls>
        <c:marker val="1"/>
        <c:smooth val="0"/>
        <c:axId val="-2110158392"/>
        <c:axId val="-2110593880"/>
      </c:lineChart>
      <c:catAx>
        <c:axId val="-2110158392"/>
        <c:scaling>
          <c:orientation val="minMax"/>
        </c:scaling>
        <c:delete val="0"/>
        <c:axPos val="b"/>
        <c:numFmt formatCode="General" sourceLinked="1"/>
        <c:majorTickMark val="out"/>
        <c:minorTickMark val="none"/>
        <c:tickLblPos val="nextTo"/>
        <c:crossAx val="-2110593880"/>
        <c:crosses val="autoZero"/>
        <c:auto val="1"/>
        <c:lblAlgn val="ctr"/>
        <c:lblOffset val="100"/>
        <c:noMultiLvlLbl val="0"/>
      </c:catAx>
      <c:valAx>
        <c:axId val="-2110593880"/>
        <c:scaling>
          <c:orientation val="minMax"/>
        </c:scaling>
        <c:delete val="0"/>
        <c:axPos val="l"/>
        <c:majorGridlines/>
        <c:numFmt formatCode="0.0%" sourceLinked="1"/>
        <c:majorTickMark val="out"/>
        <c:minorTickMark val="none"/>
        <c:tickLblPos val="nextTo"/>
        <c:crossAx val="-2110158392"/>
        <c:crosses val="autoZero"/>
        <c:crossBetween val="between"/>
      </c:valAx>
    </c:plotArea>
    <c:legend>
      <c:legendPos val="r"/>
      <c:layout>
        <c:manualLayout>
          <c:xMode val="edge"/>
          <c:yMode val="edge"/>
          <c:x val="0.197271216097988"/>
          <c:y val="0.0594174686497521"/>
          <c:w val="0.733284339457568"/>
          <c:h val="0.371905803441236"/>
        </c:manualLayout>
      </c:layout>
      <c:overlay val="0"/>
    </c:legend>
    <c:plotVisOnly val="1"/>
    <c:dispBlanksAs val="gap"/>
    <c:showDLblsOverMax val="0"/>
  </c:chart>
  <c:printSettings>
    <c:headerFooter/>
    <c:pageMargins b="1.0" l="0.75" r="0.75" t="1.0"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11899201329709"/>
          <c:y val="0.0694444444444444"/>
          <c:w val="0.884183070866142"/>
          <c:h val="0.795521653543307"/>
        </c:manualLayout>
      </c:layout>
      <c:lineChart>
        <c:grouping val="standard"/>
        <c:varyColors val="0"/>
        <c:ser>
          <c:idx val="0"/>
          <c:order val="0"/>
          <c:tx>
            <c:v>Loans from US subsidiaries to foreign parents</c:v>
          </c:tx>
          <c:marker>
            <c:symbol val="none"/>
          </c:marke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'Assets(BoP)'!$OK$74:$OK$108</c:f>
              <c:numCache>
                <c:formatCode>0.0%</c:formatCode>
                <c:ptCount val="35"/>
                <c:pt idx="0">
                  <c:v>0.0730614589316485</c:v>
                </c:pt>
                <c:pt idx="1">
                  <c:v>0.0519130757800891</c:v>
                </c:pt>
                <c:pt idx="2">
                  <c:v>0.0528814123917388</c:v>
                </c:pt>
                <c:pt idx="3">
                  <c:v>0.0459274295863994</c:v>
                </c:pt>
                <c:pt idx="4">
                  <c:v>0.0496727638865581</c:v>
                </c:pt>
                <c:pt idx="5">
                  <c:v>0.048329724713888</c:v>
                </c:pt>
                <c:pt idx="6">
                  <c:v>0.0410523362738069</c:v>
                </c:pt>
                <c:pt idx="7">
                  <c:v>0.0566807648775838</c:v>
                </c:pt>
                <c:pt idx="8">
                  <c:v>0.0413280268118978</c:v>
                </c:pt>
                <c:pt idx="9">
                  <c:v>0.0456417116944941</c:v>
                </c:pt>
                <c:pt idx="10">
                  <c:v>0.037556283258289</c:v>
                </c:pt>
                <c:pt idx="11">
                  <c:v>0.0468725357221714</c:v>
                </c:pt>
                <c:pt idx="12">
                  <c:v>0.0344723085082203</c:v>
                </c:pt>
                <c:pt idx="13">
                  <c:v>0.0376225490196078</c:v>
                </c:pt>
                <c:pt idx="14">
                  <c:v>0.030388885391089</c:v>
                </c:pt>
                <c:pt idx="15">
                  <c:v>0.033948117028692</c:v>
                </c:pt>
                <c:pt idx="16">
                  <c:v>0.0268643094768452</c:v>
                </c:pt>
                <c:pt idx="17">
                  <c:v>0.022209639748036</c:v>
                </c:pt>
                <c:pt idx="18">
                  <c:v>0.0274803056008818</c:v>
                </c:pt>
                <c:pt idx="19">
                  <c:v>0.023656973878758</c:v>
                </c:pt>
                <c:pt idx="20">
                  <c:v>0.0176416368352232</c:v>
                </c:pt>
                <c:pt idx="21">
                  <c:v>0.0129223382792349</c:v>
                </c:pt>
                <c:pt idx="22">
                  <c:v>0.0155084935807591</c:v>
                </c:pt>
                <c:pt idx="23">
                  <c:v>0.0214657222427102</c:v>
                </c:pt>
                <c:pt idx="24">
                  <c:v>0.0266879165459287</c:v>
                </c:pt>
                <c:pt idx="25">
                  <c:v>0.0240721346451083</c:v>
                </c:pt>
                <c:pt idx="26">
                  <c:v>0.0203630198536715</c:v>
                </c:pt>
                <c:pt idx="27">
                  <c:v>0.0160997642081777</c:v>
                </c:pt>
                <c:pt idx="28">
                  <c:v>0.0152902674809993</c:v>
                </c:pt>
                <c:pt idx="29">
                  <c:v>0.0158475098842903</c:v>
                </c:pt>
                <c:pt idx="30">
                  <c:v>0.0111352975442254</c:v>
                </c:pt>
                <c:pt idx="31">
                  <c:v>0.00972542375642456</c:v>
                </c:pt>
                <c:pt idx="32">
                  <c:v>0.011838472696645</c:v>
                </c:pt>
                <c:pt idx="33">
                  <c:v>0.0118222594576851</c:v>
                </c:pt>
                <c:pt idx="34">
                  <c:v>0.0169506153660263</c:v>
                </c:pt>
              </c:numCache>
            </c:numRef>
          </c:val>
          <c:smooth val="0"/>
        </c:ser>
        <c:ser>
          <c:idx val="1"/>
          <c:order val="1"/>
          <c:tx>
            <c:v>Loans of foreign parents to US subsidiaries</c:v>
          </c:tx>
          <c:marker>
            <c:symbol val="none"/>
          </c:marke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'Assets(BoP)'!$OL$74:$OL$108</c:f>
              <c:numCache>
                <c:formatCode>0.0%</c:formatCode>
                <c:ptCount val="35"/>
                <c:pt idx="0">
                  <c:v>0.0701284394481861</c:v>
                </c:pt>
                <c:pt idx="1">
                  <c:v>0.0624404933241813</c:v>
                </c:pt>
                <c:pt idx="2">
                  <c:v>0.0662380855056576</c:v>
                </c:pt>
                <c:pt idx="3">
                  <c:v>0.059796376846231</c:v>
                </c:pt>
                <c:pt idx="4">
                  <c:v>0.0526032504529104</c:v>
                </c:pt>
                <c:pt idx="5">
                  <c:v>0.0460288542025703</c:v>
                </c:pt>
                <c:pt idx="6">
                  <c:v>0.0522028443803793</c:v>
                </c:pt>
                <c:pt idx="7">
                  <c:v>0.0626856435643564</c:v>
                </c:pt>
                <c:pt idx="8">
                  <c:v>0.0611106089366959</c:v>
                </c:pt>
                <c:pt idx="9">
                  <c:v>0.0645900778720798</c:v>
                </c:pt>
                <c:pt idx="10">
                  <c:v>0.0508320396546559</c:v>
                </c:pt>
                <c:pt idx="11">
                  <c:v>0.0438995451848922</c:v>
                </c:pt>
                <c:pt idx="12">
                  <c:v>0.0481616757497897</c:v>
                </c:pt>
                <c:pt idx="13">
                  <c:v>0.0548721673115985</c:v>
                </c:pt>
                <c:pt idx="14">
                  <c:v>0.0534462927588076</c:v>
                </c:pt>
                <c:pt idx="15">
                  <c:v>0.0472334624828529</c:v>
                </c:pt>
                <c:pt idx="16">
                  <c:v>0.0440776530494156</c:v>
                </c:pt>
                <c:pt idx="17">
                  <c:v>0.0495572589415617</c:v>
                </c:pt>
                <c:pt idx="18">
                  <c:v>0.0527008883067341</c:v>
                </c:pt>
                <c:pt idx="19">
                  <c:v>0.0485404086230093</c:v>
                </c:pt>
                <c:pt idx="20">
                  <c:v>0.0484551007847698</c:v>
                </c:pt>
                <c:pt idx="21">
                  <c:v>0.040678650592236</c:v>
                </c:pt>
                <c:pt idx="22">
                  <c:v>0.0350851715460494</c:v>
                </c:pt>
                <c:pt idx="23">
                  <c:v>0.0379413607623264</c:v>
                </c:pt>
                <c:pt idx="24">
                  <c:v>0.0403966516510195</c:v>
                </c:pt>
                <c:pt idx="25">
                  <c:v>0.0430115092303211</c:v>
                </c:pt>
                <c:pt idx="26">
                  <c:v>0.0396819659331834</c:v>
                </c:pt>
                <c:pt idx="27">
                  <c:v>0.037417013132713</c:v>
                </c:pt>
                <c:pt idx="28">
                  <c:v>0.036119366695378</c:v>
                </c:pt>
                <c:pt idx="29">
                  <c:v>0.0357370597999638</c:v>
                </c:pt>
                <c:pt idx="30">
                  <c:v>0.0361589142642026</c:v>
                </c:pt>
                <c:pt idx="31">
                  <c:v>0.0344184129637156</c:v>
                </c:pt>
                <c:pt idx="32">
                  <c:v>0.0317218818922114</c:v>
                </c:pt>
                <c:pt idx="33">
                  <c:v>0.0315358091739314</c:v>
                </c:pt>
                <c:pt idx="34">
                  <c:v>0.0337281015715155</c:v>
                </c:pt>
              </c:numCache>
            </c:numRef>
          </c:val>
          <c:smooth val="0"/>
        </c:ser>
        <c:dLbls>
          <c:showLegendKey val="0"/>
          <c:showVal val="0"/>
          <c:showCatName val="0"/>
          <c:showSerName val="0"/>
          <c:showPercent val="0"/>
          <c:showBubbleSize val="0"/>
        </c:dLbls>
        <c:marker val="1"/>
        <c:smooth val="0"/>
        <c:axId val="-2110656728"/>
        <c:axId val="-2110662984"/>
      </c:lineChart>
      <c:catAx>
        <c:axId val="-2110656728"/>
        <c:scaling>
          <c:orientation val="minMax"/>
        </c:scaling>
        <c:delete val="0"/>
        <c:axPos val="b"/>
        <c:numFmt formatCode="General" sourceLinked="1"/>
        <c:majorTickMark val="out"/>
        <c:minorTickMark val="none"/>
        <c:tickLblPos val="nextTo"/>
        <c:crossAx val="-2110662984"/>
        <c:crosses val="autoZero"/>
        <c:auto val="1"/>
        <c:lblAlgn val="ctr"/>
        <c:lblOffset val="100"/>
        <c:noMultiLvlLbl val="0"/>
      </c:catAx>
      <c:valAx>
        <c:axId val="-2110662984"/>
        <c:scaling>
          <c:orientation val="minMax"/>
        </c:scaling>
        <c:delete val="0"/>
        <c:axPos val="l"/>
        <c:majorGridlines/>
        <c:numFmt formatCode="0.0%" sourceLinked="1"/>
        <c:majorTickMark val="out"/>
        <c:minorTickMark val="none"/>
        <c:tickLblPos val="nextTo"/>
        <c:crossAx val="-2110656728"/>
        <c:crosses val="autoZero"/>
        <c:crossBetween val="between"/>
      </c:valAx>
    </c:plotArea>
    <c:legend>
      <c:legendPos val="r"/>
      <c:layout>
        <c:manualLayout>
          <c:xMode val="edge"/>
          <c:yMode val="edge"/>
          <c:x val="0.411111111111111"/>
          <c:y val="0.0821817585301837"/>
          <c:w val="0.588888888888889"/>
          <c:h val="0.196747594050744"/>
        </c:manualLayout>
      </c:layout>
      <c:overlay val="0"/>
    </c:legend>
    <c:plotVisOnly val="1"/>
    <c:dispBlanksAs val="gap"/>
    <c:showDLblsOverMax val="0"/>
  </c:chart>
  <c:printSettings>
    <c:headerFooter/>
    <c:pageMargins b="1.0" l="0.75" r="0.75" t="1.0"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0766185476815"/>
          <c:y val="0.0601851851851852"/>
          <c:w val="0.876197944006999"/>
          <c:h val="0.783642096821231"/>
        </c:manualLayout>
      </c:layout>
      <c:lineChart>
        <c:grouping val="standard"/>
        <c:varyColors val="0"/>
        <c:ser>
          <c:idx val="0"/>
          <c:order val="0"/>
          <c:tx>
            <c:strRef>
              <c:f>'Assets(BoP)'!$OJ$3</c:f>
              <c:strCache>
                <c:ptCount val="1"/>
                <c:pt idx="0">
                  <c:v>Returns on loans from foreign subs to US parent</c:v>
                </c:pt>
              </c:strCache>
            </c:strRef>
          </c:tx>
          <c:marker>
            <c:symbol val="none"/>
          </c:marke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'Assets(BoP)'!$OJ$74:$OJ$108</c:f>
              <c:numCache>
                <c:formatCode>0.0%</c:formatCode>
                <c:ptCount val="35"/>
                <c:pt idx="0">
                  <c:v>0.0682410369735149</c:v>
                </c:pt>
                <c:pt idx="1">
                  <c:v>0.0826411332950735</c:v>
                </c:pt>
                <c:pt idx="2">
                  <c:v>0.0820701372481351</c:v>
                </c:pt>
                <c:pt idx="3">
                  <c:v>0.0785560901356384</c:v>
                </c:pt>
                <c:pt idx="4">
                  <c:v>0.0721270483873368</c:v>
                </c:pt>
                <c:pt idx="5">
                  <c:v>0.0635121341844274</c:v>
                </c:pt>
                <c:pt idx="6">
                  <c:v>0.0622731319772618</c:v>
                </c:pt>
                <c:pt idx="7">
                  <c:v>0.0499601132470945</c:v>
                </c:pt>
                <c:pt idx="8">
                  <c:v>0.0430589605710493</c:v>
                </c:pt>
                <c:pt idx="9">
                  <c:v>0.0449876109849267</c:v>
                </c:pt>
                <c:pt idx="10">
                  <c:v>0.0359622690947203</c:v>
                </c:pt>
                <c:pt idx="11">
                  <c:v>0.0322253648036443</c:v>
                </c:pt>
                <c:pt idx="12">
                  <c:v>0.0195484581497797</c:v>
                </c:pt>
                <c:pt idx="13">
                  <c:v>0.0211535004942932</c:v>
                </c:pt>
                <c:pt idx="14">
                  <c:v>0.0209411739489224</c:v>
                </c:pt>
                <c:pt idx="15">
                  <c:v>0.0263745745649777</c:v>
                </c:pt>
                <c:pt idx="16">
                  <c:v>0.0213802124036492</c:v>
                </c:pt>
                <c:pt idx="17">
                  <c:v>0.0229237528344671</c:v>
                </c:pt>
                <c:pt idx="18">
                  <c:v>0.0248957889972098</c:v>
                </c:pt>
                <c:pt idx="19">
                  <c:v>0.0237961000835974</c:v>
                </c:pt>
                <c:pt idx="20">
                  <c:v>0.018493162970625</c:v>
                </c:pt>
                <c:pt idx="21">
                  <c:v>0.0142884109189677</c:v>
                </c:pt>
                <c:pt idx="22">
                  <c:v>0.0103699284503938</c:v>
                </c:pt>
                <c:pt idx="23">
                  <c:v>0.0125049622866217</c:v>
                </c:pt>
                <c:pt idx="24">
                  <c:v>0.013289244910261</c:v>
                </c:pt>
                <c:pt idx="25">
                  <c:v>0.0119725587971013</c:v>
                </c:pt>
                <c:pt idx="26">
                  <c:v>0.0122115702278948</c:v>
                </c:pt>
                <c:pt idx="27">
                  <c:v>0.00961452579960182</c:v>
                </c:pt>
                <c:pt idx="28">
                  <c:v>0.00654560068319393</c:v>
                </c:pt>
                <c:pt idx="29">
                  <c:v>0.00545656989376402</c:v>
                </c:pt>
                <c:pt idx="30">
                  <c:v>0.00695668305352008</c:v>
                </c:pt>
                <c:pt idx="31">
                  <c:v>0.0105077438157863</c:v>
                </c:pt>
                <c:pt idx="32">
                  <c:v>0.0107338083711204</c:v>
                </c:pt>
                <c:pt idx="33">
                  <c:v>0.0108068608127789</c:v>
                </c:pt>
                <c:pt idx="34">
                  <c:v>0.0121394906742005</c:v>
                </c:pt>
              </c:numCache>
            </c:numRef>
          </c:val>
          <c:smooth val="0"/>
        </c:ser>
        <c:ser>
          <c:idx val="1"/>
          <c:order val="1"/>
          <c:tx>
            <c:strRef>
              <c:f>'Assets(BoP)'!$OL$3</c:f>
              <c:strCache>
                <c:ptCount val="1"/>
                <c:pt idx="0">
                  <c:v>Returns on loans from foreign parents to US subs</c:v>
                </c:pt>
              </c:strCache>
            </c:strRef>
          </c:tx>
          <c:marker>
            <c:symbol val="none"/>
          </c:marke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'Assets(BoP)'!$OL$74:$OL$108</c:f>
              <c:numCache>
                <c:formatCode>0.0%</c:formatCode>
                <c:ptCount val="35"/>
                <c:pt idx="0">
                  <c:v>0.0701284394481861</c:v>
                </c:pt>
                <c:pt idx="1">
                  <c:v>0.0624404933241813</c:v>
                </c:pt>
                <c:pt idx="2">
                  <c:v>0.0662380855056576</c:v>
                </c:pt>
                <c:pt idx="3">
                  <c:v>0.059796376846231</c:v>
                </c:pt>
                <c:pt idx="4">
                  <c:v>0.0526032504529104</c:v>
                </c:pt>
                <c:pt idx="5">
                  <c:v>0.0460288542025703</c:v>
                </c:pt>
                <c:pt idx="6">
                  <c:v>0.0522028443803793</c:v>
                </c:pt>
                <c:pt idx="7">
                  <c:v>0.0626856435643564</c:v>
                </c:pt>
                <c:pt idx="8">
                  <c:v>0.0611106089366959</c:v>
                </c:pt>
                <c:pt idx="9">
                  <c:v>0.0645900778720798</c:v>
                </c:pt>
                <c:pt idx="10">
                  <c:v>0.0508320396546559</c:v>
                </c:pt>
                <c:pt idx="11">
                  <c:v>0.0438995451848922</c:v>
                </c:pt>
                <c:pt idx="12">
                  <c:v>0.0481616757497897</c:v>
                </c:pt>
                <c:pt idx="13">
                  <c:v>0.0548721673115985</c:v>
                </c:pt>
                <c:pt idx="14">
                  <c:v>0.0534462927588076</c:v>
                </c:pt>
                <c:pt idx="15">
                  <c:v>0.0472334624828529</c:v>
                </c:pt>
                <c:pt idx="16">
                  <c:v>0.0440776530494156</c:v>
                </c:pt>
                <c:pt idx="17">
                  <c:v>0.0495572589415617</c:v>
                </c:pt>
                <c:pt idx="18">
                  <c:v>0.0527008883067341</c:v>
                </c:pt>
                <c:pt idx="19">
                  <c:v>0.0485404086230093</c:v>
                </c:pt>
                <c:pt idx="20">
                  <c:v>0.0484551007847698</c:v>
                </c:pt>
                <c:pt idx="21">
                  <c:v>0.040678650592236</c:v>
                </c:pt>
                <c:pt idx="22">
                  <c:v>0.0350851715460494</c:v>
                </c:pt>
                <c:pt idx="23">
                  <c:v>0.0379413607623264</c:v>
                </c:pt>
                <c:pt idx="24">
                  <c:v>0.0403966516510195</c:v>
                </c:pt>
                <c:pt idx="25">
                  <c:v>0.0430115092303211</c:v>
                </c:pt>
                <c:pt idx="26">
                  <c:v>0.0396819659331834</c:v>
                </c:pt>
                <c:pt idx="27">
                  <c:v>0.037417013132713</c:v>
                </c:pt>
                <c:pt idx="28">
                  <c:v>0.036119366695378</c:v>
                </c:pt>
                <c:pt idx="29">
                  <c:v>0.0357370597999638</c:v>
                </c:pt>
                <c:pt idx="30">
                  <c:v>0.0361589142642026</c:v>
                </c:pt>
                <c:pt idx="31">
                  <c:v>0.0344184129637156</c:v>
                </c:pt>
                <c:pt idx="32">
                  <c:v>0.0317218818922114</c:v>
                </c:pt>
                <c:pt idx="33">
                  <c:v>0.0315358091739314</c:v>
                </c:pt>
                <c:pt idx="34">
                  <c:v>0.0337281015715155</c:v>
                </c:pt>
              </c:numCache>
            </c:numRef>
          </c:val>
          <c:smooth val="0"/>
        </c:ser>
        <c:dLbls>
          <c:showLegendKey val="0"/>
          <c:showVal val="0"/>
          <c:showCatName val="0"/>
          <c:showSerName val="0"/>
          <c:showPercent val="0"/>
          <c:showBubbleSize val="0"/>
        </c:dLbls>
        <c:marker val="1"/>
        <c:smooth val="0"/>
        <c:axId val="-2110693976"/>
        <c:axId val="-2110716568"/>
      </c:lineChart>
      <c:catAx>
        <c:axId val="-2110693976"/>
        <c:scaling>
          <c:orientation val="minMax"/>
        </c:scaling>
        <c:delete val="0"/>
        <c:axPos val="b"/>
        <c:numFmt formatCode="General" sourceLinked="1"/>
        <c:majorTickMark val="out"/>
        <c:minorTickMark val="none"/>
        <c:tickLblPos val="nextTo"/>
        <c:crossAx val="-2110716568"/>
        <c:crosses val="autoZero"/>
        <c:auto val="1"/>
        <c:lblAlgn val="ctr"/>
        <c:lblOffset val="100"/>
        <c:noMultiLvlLbl val="0"/>
      </c:catAx>
      <c:valAx>
        <c:axId val="-2110716568"/>
        <c:scaling>
          <c:orientation val="minMax"/>
        </c:scaling>
        <c:delete val="0"/>
        <c:axPos val="l"/>
        <c:majorGridlines/>
        <c:numFmt formatCode="0.0%" sourceLinked="1"/>
        <c:majorTickMark val="out"/>
        <c:minorTickMark val="none"/>
        <c:tickLblPos val="nextTo"/>
        <c:crossAx val="-2110693976"/>
        <c:crosses val="autoZero"/>
        <c:crossBetween val="between"/>
      </c:valAx>
    </c:plotArea>
    <c:legend>
      <c:legendPos val="r"/>
      <c:layout>
        <c:manualLayout>
          <c:xMode val="edge"/>
          <c:yMode val="edge"/>
          <c:x val="0.346408573928259"/>
          <c:y val="0.0127373140857393"/>
          <c:w val="0.628591426071741"/>
          <c:h val="0.275451297754447"/>
        </c:manualLayout>
      </c:layout>
      <c:overlay val="0"/>
    </c:legend>
    <c:plotVisOnly val="1"/>
    <c:dispBlanksAs val="gap"/>
    <c:showDLblsOverMax val="0"/>
  </c:chart>
  <c:printSettings>
    <c:headerFooter/>
    <c:pageMargins b="1.0" l="0.75" r="0.75" t="1.0"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32248468941382"/>
          <c:y val="0.0601851851851852"/>
          <c:w val="0.87366426071741"/>
          <c:h val="0.783642096821231"/>
        </c:manualLayout>
      </c:layout>
      <c:lineChart>
        <c:grouping val="standard"/>
        <c:varyColors val="0"/>
        <c:ser>
          <c:idx val="1"/>
          <c:order val="0"/>
          <c:tx>
            <c:strRef>
              <c:f>'Assets(BoP)'!$PH$3</c:f>
              <c:strCache>
                <c:ptCount val="1"/>
                <c:pt idx="0">
                  <c:v>Tax rate on pre-tax MOFA profits</c:v>
                </c:pt>
              </c:strCache>
            </c:strRef>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'Assets(BoP)'!$PH$74:$PH$108</c:f>
              <c:numCache>
                <c:formatCode>0%</c:formatCode>
                <c:ptCount val="35"/>
                <c:pt idx="0">
                  <c:v>0.562874475034998</c:v>
                </c:pt>
                <c:pt idx="1">
                  <c:v>0.519040562428921</c:v>
                </c:pt>
                <c:pt idx="2">
                  <c:v>0.521051815079119</c:v>
                </c:pt>
                <c:pt idx="3">
                  <c:v>0.528150476220864</c:v>
                </c:pt>
                <c:pt idx="4">
                  <c:v>0.43388928317956</c:v>
                </c:pt>
                <c:pt idx="5">
                  <c:v>0.395435108883414</c:v>
                </c:pt>
                <c:pt idx="6">
                  <c:v>0.384242590354691</c:v>
                </c:pt>
                <c:pt idx="7">
                  <c:v>0.38894081360843</c:v>
                </c:pt>
                <c:pt idx="8">
                  <c:v>0.374732485959208</c:v>
                </c:pt>
                <c:pt idx="9">
                  <c:v>0.36666621192071</c:v>
                </c:pt>
                <c:pt idx="10">
                  <c:v>0.384264259075266</c:v>
                </c:pt>
                <c:pt idx="11">
                  <c:v>0.32954314445634</c:v>
                </c:pt>
                <c:pt idx="12">
                  <c:v>0.344840989399293</c:v>
                </c:pt>
                <c:pt idx="13">
                  <c:v>0.337752437325905</c:v>
                </c:pt>
                <c:pt idx="14">
                  <c:v>0.346864998042782</c:v>
                </c:pt>
                <c:pt idx="15">
                  <c:v>0.3297822937821</c:v>
                </c:pt>
                <c:pt idx="16">
                  <c:v>0.326439891766525</c:v>
                </c:pt>
                <c:pt idx="17">
                  <c:v>0.317478655357998</c:v>
                </c:pt>
                <c:pt idx="18">
                  <c:v>0.347367198164445</c:v>
                </c:pt>
                <c:pt idx="19">
                  <c:v>0.391039533137863</c:v>
                </c:pt>
                <c:pt idx="20">
                  <c:v>0.333065133347724</c:v>
                </c:pt>
                <c:pt idx="21">
                  <c:v>0.2860219727152</c:v>
                </c:pt>
                <c:pt idx="22">
                  <c:v>0.28623875901887</c:v>
                </c:pt>
                <c:pt idx="23">
                  <c:v>0.308263200989959</c:v>
                </c:pt>
                <c:pt idx="24">
                  <c:v>0.312230798929904</c:v>
                </c:pt>
                <c:pt idx="25">
                  <c:v>0.298369681801931</c:v>
                </c:pt>
                <c:pt idx="26">
                  <c:v>0.313128119726243</c:v>
                </c:pt>
                <c:pt idx="27">
                  <c:v>0.274466425369784</c:v>
                </c:pt>
                <c:pt idx="28">
                  <c:v>0.282502450165481</c:v>
                </c:pt>
                <c:pt idx="29">
                  <c:v>0.292071831869511</c:v>
                </c:pt>
                <c:pt idx="30">
                  <c:v>0.280958077220361</c:v>
                </c:pt>
                <c:pt idx="31">
                  <c:v>0.270861750233523</c:v>
                </c:pt>
                <c:pt idx="32">
                  <c:v>0.240270214677767</c:v>
                </c:pt>
                <c:pt idx="33">
                  <c:v>0.191184220432131</c:v>
                </c:pt>
              </c:numCache>
            </c:numRef>
          </c:val>
          <c:smooth val="0"/>
        </c:ser>
        <c:ser>
          <c:idx val="0"/>
          <c:order val="1"/>
          <c:tx>
            <c:strRef>
              <c:f>'Assets(BoP)'!$PI$3</c:f>
              <c:strCache>
                <c:ptCount val="1"/>
                <c:pt idx="0">
                  <c:v>Tax rate on pre-tax MOFA profits, excl. Oil</c:v>
                </c:pt>
              </c:strCache>
            </c:strRef>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'Assets(BoP)'!$PI$74:$PI$108</c:f>
              <c:numCache>
                <c:formatCode>0%</c:formatCode>
                <c:ptCount val="35"/>
                <c:pt idx="0">
                  <c:v>0.413343528961958</c:v>
                </c:pt>
                <c:pt idx="1">
                  <c:v>0.368077396417339</c:v>
                </c:pt>
                <c:pt idx="2">
                  <c:v>0.355994501553909</c:v>
                </c:pt>
                <c:pt idx="3">
                  <c:v>0.372198237624933</c:v>
                </c:pt>
                <c:pt idx="4">
                  <c:v>0.364525071737756</c:v>
                </c:pt>
                <c:pt idx="5">
                  <c:v>0.336469146482122</c:v>
                </c:pt>
                <c:pt idx="6">
                  <c:v>0.345959857415433</c:v>
                </c:pt>
                <c:pt idx="7">
                  <c:v>0.349212287483892</c:v>
                </c:pt>
                <c:pt idx="8">
                  <c:v>0.354755936577624</c:v>
                </c:pt>
                <c:pt idx="9">
                  <c:v>0.361564299424184</c:v>
                </c:pt>
                <c:pt idx="10">
                  <c:v>0.342151325405561</c:v>
                </c:pt>
                <c:pt idx="11">
                  <c:v>0.293097757161967</c:v>
                </c:pt>
                <c:pt idx="12">
                  <c:v>0.319773867210746</c:v>
                </c:pt>
                <c:pt idx="13">
                  <c:v>0.312234603145368</c:v>
                </c:pt>
                <c:pt idx="14">
                  <c:v>0.312401898674332</c:v>
                </c:pt>
                <c:pt idx="15">
                  <c:v>0.307553881565181</c:v>
                </c:pt>
                <c:pt idx="16">
                  <c:v>0.32064841976837</c:v>
                </c:pt>
                <c:pt idx="17">
                  <c:v>0.308245967087539</c:v>
                </c:pt>
                <c:pt idx="18">
                  <c:v>0.322411493464426</c:v>
                </c:pt>
                <c:pt idx="19">
                  <c:v>0.378089914032038</c:v>
                </c:pt>
                <c:pt idx="20">
                  <c:v>0.302308589067862</c:v>
                </c:pt>
                <c:pt idx="21">
                  <c:v>0.248349465760227</c:v>
                </c:pt>
                <c:pt idx="22">
                  <c:v>0.251716106260068</c:v>
                </c:pt>
                <c:pt idx="23">
                  <c:v>0.275915128268789</c:v>
                </c:pt>
                <c:pt idx="24">
                  <c:v>0.276257300274908</c:v>
                </c:pt>
                <c:pt idx="25">
                  <c:v>0.245196495281441</c:v>
                </c:pt>
                <c:pt idx="26">
                  <c:v>0.217773820854958</c:v>
                </c:pt>
                <c:pt idx="27">
                  <c:v>0.220190324991334</c:v>
                </c:pt>
                <c:pt idx="28">
                  <c:v>0.227740240883965</c:v>
                </c:pt>
                <c:pt idx="29">
                  <c:v>0.224272714391045</c:v>
                </c:pt>
                <c:pt idx="30">
                  <c:v>0.205723247373571</c:v>
                </c:pt>
                <c:pt idx="31">
                  <c:v>0.209331668374352</c:v>
                </c:pt>
                <c:pt idx="32">
                  <c:v>0.199462160720313</c:v>
                </c:pt>
                <c:pt idx="33">
                  <c:v>0.177495811459846</c:v>
                </c:pt>
              </c:numCache>
            </c:numRef>
          </c:val>
          <c:smooth val="0"/>
        </c:ser>
        <c:dLbls>
          <c:showLegendKey val="0"/>
          <c:showVal val="0"/>
          <c:showCatName val="0"/>
          <c:showSerName val="0"/>
          <c:showPercent val="0"/>
          <c:showBubbleSize val="0"/>
        </c:dLbls>
        <c:marker val="1"/>
        <c:smooth val="0"/>
        <c:axId val="-2110735240"/>
        <c:axId val="-2110741960"/>
      </c:lineChart>
      <c:catAx>
        <c:axId val="-2110735240"/>
        <c:scaling>
          <c:orientation val="minMax"/>
        </c:scaling>
        <c:delete val="0"/>
        <c:axPos val="b"/>
        <c:numFmt formatCode="0" sourceLinked="0"/>
        <c:majorTickMark val="out"/>
        <c:minorTickMark val="none"/>
        <c:tickLblPos val="nextTo"/>
        <c:crossAx val="-2110741960"/>
        <c:crosses val="autoZero"/>
        <c:auto val="1"/>
        <c:lblAlgn val="ctr"/>
        <c:lblOffset val="100"/>
        <c:noMultiLvlLbl val="0"/>
      </c:catAx>
      <c:valAx>
        <c:axId val="-2110741960"/>
        <c:scaling>
          <c:orientation val="minMax"/>
        </c:scaling>
        <c:delete val="0"/>
        <c:axPos val="l"/>
        <c:majorGridlines/>
        <c:numFmt formatCode="0%" sourceLinked="1"/>
        <c:majorTickMark val="out"/>
        <c:minorTickMark val="none"/>
        <c:tickLblPos val="nextTo"/>
        <c:crossAx val="-2110735240"/>
        <c:crosses val="autoZero"/>
        <c:crossBetween val="between"/>
      </c:valAx>
    </c:plotArea>
    <c:legend>
      <c:legendPos val="r"/>
      <c:layout>
        <c:manualLayout>
          <c:xMode val="edge"/>
          <c:yMode val="edge"/>
          <c:x val="0.200222440944882"/>
          <c:y val="0.628861913094196"/>
          <c:w val="0.680519816638519"/>
          <c:h val="0.195212160979877"/>
        </c:manualLayout>
      </c:layout>
      <c:overlay val="0"/>
    </c:legend>
    <c:plotVisOnly val="1"/>
    <c:dispBlanksAs val="gap"/>
    <c:showDLblsOverMax val="0"/>
  </c:chart>
  <c:printSettings>
    <c:headerFooter/>
    <c:pageMargins b="1.0" l="0.75" r="0.75" t="1.0"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lineChart>
        <c:grouping val="standard"/>
        <c:varyColors val="0"/>
        <c:ser>
          <c:idx val="0"/>
          <c:order val="0"/>
          <c:tx>
            <c:strRef>
              <c:f>'Assets(BoP)'!$BF$3</c:f>
              <c:strCache>
                <c:ptCount val="1"/>
                <c:pt idx="0">
                  <c:v>Staturoy federal corporate tax rate</c:v>
                </c:pt>
              </c:strCache>
            </c:strRef>
          </c:tx>
          <c:marker>
            <c:symbol val="none"/>
          </c:marker>
          <c:cat>
            <c:numRef>
              <c:f>'Assets(BoP)'!$B$5:$B$110</c:f>
              <c:numCache>
                <c:formatCode>General</c:formatCode>
                <c:ptCount val="106"/>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pt idx="102">
                  <c:v>2015.0</c:v>
                </c:pt>
                <c:pt idx="103">
                  <c:v>2016.0</c:v>
                </c:pt>
                <c:pt idx="104">
                  <c:v>2017.0</c:v>
                </c:pt>
                <c:pt idx="105">
                  <c:v>2018.0</c:v>
                </c:pt>
              </c:numCache>
            </c:numRef>
          </c:cat>
          <c:val>
            <c:numRef>
              <c:f>'Assets(BoP)'!$BF$5:$BF$110</c:f>
              <c:numCache>
                <c:formatCode>0.0%</c:formatCode>
                <c:ptCount val="106"/>
                <c:pt idx="0">
                  <c:v>0.01</c:v>
                </c:pt>
                <c:pt idx="1">
                  <c:v>0.01</c:v>
                </c:pt>
                <c:pt idx="2">
                  <c:v>0.01</c:v>
                </c:pt>
                <c:pt idx="3">
                  <c:v>0.02</c:v>
                </c:pt>
                <c:pt idx="4">
                  <c:v>0.06</c:v>
                </c:pt>
                <c:pt idx="5">
                  <c:v>0.12</c:v>
                </c:pt>
                <c:pt idx="6">
                  <c:v>0.1</c:v>
                </c:pt>
                <c:pt idx="7">
                  <c:v>0.1</c:v>
                </c:pt>
                <c:pt idx="8">
                  <c:v>0.1</c:v>
                </c:pt>
                <c:pt idx="9">
                  <c:v>0.125</c:v>
                </c:pt>
                <c:pt idx="10">
                  <c:v>0.125</c:v>
                </c:pt>
                <c:pt idx="11">
                  <c:v>0.125</c:v>
                </c:pt>
                <c:pt idx="12">
                  <c:v>0.13</c:v>
                </c:pt>
                <c:pt idx="13">
                  <c:v>0.135</c:v>
                </c:pt>
                <c:pt idx="14">
                  <c:v>0.135</c:v>
                </c:pt>
                <c:pt idx="15">
                  <c:v>0.12</c:v>
                </c:pt>
                <c:pt idx="16">
                  <c:v>0.11</c:v>
                </c:pt>
                <c:pt idx="17">
                  <c:v>0.12</c:v>
                </c:pt>
                <c:pt idx="18">
                  <c:v>0.12</c:v>
                </c:pt>
                <c:pt idx="19">
                  <c:v>0.1375</c:v>
                </c:pt>
                <c:pt idx="20">
                  <c:v>0.1375</c:v>
                </c:pt>
                <c:pt idx="21">
                  <c:v>0.1375</c:v>
                </c:pt>
                <c:pt idx="22">
                  <c:v>0.1375</c:v>
                </c:pt>
                <c:pt idx="23">
                  <c:v>0.15</c:v>
                </c:pt>
                <c:pt idx="24">
                  <c:v>0.15</c:v>
                </c:pt>
                <c:pt idx="25">
                  <c:v>0.19</c:v>
                </c:pt>
                <c:pt idx="26">
                  <c:v>0.19</c:v>
                </c:pt>
                <c:pt idx="27">
                  <c:v>0.24</c:v>
                </c:pt>
                <c:pt idx="28">
                  <c:v>0.31</c:v>
                </c:pt>
                <c:pt idx="29">
                  <c:v>0.4</c:v>
                </c:pt>
                <c:pt idx="30">
                  <c:v>0.4</c:v>
                </c:pt>
                <c:pt idx="31">
                  <c:v>0.4</c:v>
                </c:pt>
                <c:pt idx="32">
                  <c:v>0.4</c:v>
                </c:pt>
                <c:pt idx="33">
                  <c:v>0.38</c:v>
                </c:pt>
                <c:pt idx="34">
                  <c:v>0.38</c:v>
                </c:pt>
                <c:pt idx="35">
                  <c:v>0.38</c:v>
                </c:pt>
                <c:pt idx="36">
                  <c:v>0.38</c:v>
                </c:pt>
                <c:pt idx="37">
                  <c:v>0.42</c:v>
                </c:pt>
                <c:pt idx="38">
                  <c:v>0.51</c:v>
                </c:pt>
                <c:pt idx="39">
                  <c:v>0.52</c:v>
                </c:pt>
                <c:pt idx="40">
                  <c:v>0.52</c:v>
                </c:pt>
                <c:pt idx="41">
                  <c:v>0.52</c:v>
                </c:pt>
                <c:pt idx="42">
                  <c:v>0.52</c:v>
                </c:pt>
                <c:pt idx="43">
                  <c:v>0.52</c:v>
                </c:pt>
                <c:pt idx="44">
                  <c:v>0.52</c:v>
                </c:pt>
                <c:pt idx="45">
                  <c:v>0.52</c:v>
                </c:pt>
                <c:pt idx="46">
                  <c:v>0.52</c:v>
                </c:pt>
                <c:pt idx="47">
                  <c:v>0.52</c:v>
                </c:pt>
                <c:pt idx="48">
                  <c:v>0.52</c:v>
                </c:pt>
                <c:pt idx="49">
                  <c:v>0.52</c:v>
                </c:pt>
                <c:pt idx="50">
                  <c:v>0.52</c:v>
                </c:pt>
                <c:pt idx="51">
                  <c:v>0.5</c:v>
                </c:pt>
                <c:pt idx="52">
                  <c:v>0.48</c:v>
                </c:pt>
                <c:pt idx="53">
                  <c:v>0.48</c:v>
                </c:pt>
                <c:pt idx="54">
                  <c:v>0.48</c:v>
                </c:pt>
                <c:pt idx="55">
                  <c:v>0.528</c:v>
                </c:pt>
                <c:pt idx="56">
                  <c:v>0.528</c:v>
                </c:pt>
                <c:pt idx="57">
                  <c:v>0.492</c:v>
                </c:pt>
                <c:pt idx="58">
                  <c:v>0.48</c:v>
                </c:pt>
                <c:pt idx="59">
                  <c:v>0.48</c:v>
                </c:pt>
                <c:pt idx="60">
                  <c:v>0.48</c:v>
                </c:pt>
                <c:pt idx="61">
                  <c:v>0.48</c:v>
                </c:pt>
                <c:pt idx="62">
                  <c:v>0.48</c:v>
                </c:pt>
                <c:pt idx="63">
                  <c:v>0.48</c:v>
                </c:pt>
                <c:pt idx="64">
                  <c:v>0.48</c:v>
                </c:pt>
                <c:pt idx="65">
                  <c:v>0.48</c:v>
                </c:pt>
                <c:pt idx="66">
                  <c:v>0.46</c:v>
                </c:pt>
                <c:pt idx="67">
                  <c:v>0.46</c:v>
                </c:pt>
                <c:pt idx="68">
                  <c:v>0.46</c:v>
                </c:pt>
                <c:pt idx="69">
                  <c:v>0.46</c:v>
                </c:pt>
                <c:pt idx="70">
                  <c:v>0.46</c:v>
                </c:pt>
                <c:pt idx="71">
                  <c:v>0.46</c:v>
                </c:pt>
                <c:pt idx="72">
                  <c:v>0.46</c:v>
                </c:pt>
                <c:pt idx="73">
                  <c:v>0.46</c:v>
                </c:pt>
                <c:pt idx="74">
                  <c:v>0.4</c:v>
                </c:pt>
                <c:pt idx="75">
                  <c:v>0.34</c:v>
                </c:pt>
                <c:pt idx="76">
                  <c:v>0.34</c:v>
                </c:pt>
                <c:pt idx="77">
                  <c:v>0.34</c:v>
                </c:pt>
                <c:pt idx="78">
                  <c:v>0.34</c:v>
                </c:pt>
                <c:pt idx="79">
                  <c:v>0.34</c:v>
                </c:pt>
                <c:pt idx="80">
                  <c:v>0.35</c:v>
                </c:pt>
                <c:pt idx="81">
                  <c:v>0.35</c:v>
                </c:pt>
                <c:pt idx="82">
                  <c:v>0.35</c:v>
                </c:pt>
                <c:pt idx="83">
                  <c:v>0.35</c:v>
                </c:pt>
                <c:pt idx="84">
                  <c:v>0.35</c:v>
                </c:pt>
                <c:pt idx="85">
                  <c:v>0.35</c:v>
                </c:pt>
                <c:pt idx="86">
                  <c:v>0.35</c:v>
                </c:pt>
                <c:pt idx="87">
                  <c:v>0.35</c:v>
                </c:pt>
                <c:pt idx="88">
                  <c:v>0.35</c:v>
                </c:pt>
                <c:pt idx="89">
                  <c:v>0.35</c:v>
                </c:pt>
                <c:pt idx="90">
                  <c:v>0.35</c:v>
                </c:pt>
                <c:pt idx="91">
                  <c:v>0.35</c:v>
                </c:pt>
                <c:pt idx="92">
                  <c:v>0.35</c:v>
                </c:pt>
                <c:pt idx="93">
                  <c:v>0.35</c:v>
                </c:pt>
                <c:pt idx="94">
                  <c:v>0.35</c:v>
                </c:pt>
                <c:pt idx="95">
                  <c:v>0.35</c:v>
                </c:pt>
                <c:pt idx="96">
                  <c:v>0.35</c:v>
                </c:pt>
                <c:pt idx="97">
                  <c:v>0.35</c:v>
                </c:pt>
                <c:pt idx="98">
                  <c:v>0.35</c:v>
                </c:pt>
                <c:pt idx="99">
                  <c:v>0.35</c:v>
                </c:pt>
                <c:pt idx="100">
                  <c:v>0.35</c:v>
                </c:pt>
                <c:pt idx="101">
                  <c:v>0.35</c:v>
                </c:pt>
                <c:pt idx="102">
                  <c:v>0.35</c:v>
                </c:pt>
                <c:pt idx="103">
                  <c:v>0.35</c:v>
                </c:pt>
                <c:pt idx="104">
                  <c:v>0.35</c:v>
                </c:pt>
                <c:pt idx="105">
                  <c:v>0.21</c:v>
                </c:pt>
              </c:numCache>
            </c:numRef>
          </c:val>
          <c:smooth val="0"/>
        </c:ser>
        <c:dLbls>
          <c:showLegendKey val="0"/>
          <c:showVal val="0"/>
          <c:showCatName val="0"/>
          <c:showSerName val="0"/>
          <c:showPercent val="0"/>
          <c:showBubbleSize val="0"/>
        </c:dLbls>
        <c:marker val="1"/>
        <c:smooth val="0"/>
        <c:axId val="-2110758888"/>
        <c:axId val="-2110755880"/>
      </c:lineChart>
      <c:catAx>
        <c:axId val="-2110758888"/>
        <c:scaling>
          <c:orientation val="minMax"/>
        </c:scaling>
        <c:delete val="0"/>
        <c:axPos val="b"/>
        <c:numFmt formatCode="General" sourceLinked="1"/>
        <c:majorTickMark val="out"/>
        <c:minorTickMark val="none"/>
        <c:tickLblPos val="nextTo"/>
        <c:crossAx val="-2110755880"/>
        <c:crosses val="autoZero"/>
        <c:auto val="1"/>
        <c:lblAlgn val="ctr"/>
        <c:lblOffset val="100"/>
        <c:noMultiLvlLbl val="0"/>
      </c:catAx>
      <c:valAx>
        <c:axId val="-2110755880"/>
        <c:scaling>
          <c:orientation val="minMax"/>
        </c:scaling>
        <c:delete val="0"/>
        <c:axPos val="l"/>
        <c:majorGridlines/>
        <c:numFmt formatCode="0.0%" sourceLinked="1"/>
        <c:majorTickMark val="out"/>
        <c:minorTickMark val="none"/>
        <c:tickLblPos val="nextTo"/>
        <c:crossAx val="-2110758888"/>
        <c:crosses val="autoZero"/>
        <c:crossBetween val="between"/>
      </c:valAx>
    </c:plotArea>
    <c:plotVisOnly val="1"/>
    <c:dispBlanksAs val="gap"/>
    <c:showDLblsOverMax val="0"/>
  </c:chart>
  <c:printSettings>
    <c:headerFooter/>
    <c:pageMargins b="1.0" l="0.75" r="0.75" t="1.0"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lineChart>
        <c:grouping val="standard"/>
        <c:varyColors val="0"/>
        <c:ser>
          <c:idx val="0"/>
          <c:order val="0"/>
          <c:tx>
            <c:strRef>
              <c:f>'Assets(BoP)'!$DU$3</c:f>
              <c:strCache>
                <c:ptCount val="1"/>
                <c:pt idx="0">
                  <c:v>Share Middle East in non-havens</c:v>
                </c:pt>
              </c:strCache>
            </c:strRef>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'Assets(BoP)'!$DU$58:$DU$108</c:f>
              <c:numCache>
                <c:formatCode>0%</c:formatCode>
                <c:ptCount val="51"/>
                <c:pt idx="0">
                  <c:v>0.123219814241486</c:v>
                </c:pt>
                <c:pt idx="1">
                  <c:v>0.129857449716852</c:v>
                </c:pt>
                <c:pt idx="2">
                  <c:v>0.115939652345031</c:v>
                </c:pt>
                <c:pt idx="3">
                  <c:v>0.0970053016191431</c:v>
                </c:pt>
                <c:pt idx="4">
                  <c:v>0.0963937093275488</c:v>
                </c:pt>
                <c:pt idx="5">
                  <c:v>0.125272859568276</c:v>
                </c:pt>
                <c:pt idx="6">
                  <c:v>0.135836108588152</c:v>
                </c:pt>
                <c:pt idx="7">
                  <c:v>0.11842015196112</c:v>
                </c:pt>
                <c:pt idx="8">
                  <c:v>0.128960670694119</c:v>
                </c:pt>
                <c:pt idx="9">
                  <c:v>0.118911485850764</c:v>
                </c:pt>
                <c:pt idx="10">
                  <c:v>0.125048318515655</c:v>
                </c:pt>
                <c:pt idx="11">
                  <c:v>0.134554241383696</c:v>
                </c:pt>
                <c:pt idx="12">
                  <c:v>0.09296419857591</c:v>
                </c:pt>
                <c:pt idx="13">
                  <c:v>0.0905459387483355</c:v>
                </c:pt>
                <c:pt idx="14">
                  <c:v>-0.000749752922332413</c:v>
                </c:pt>
                <c:pt idx="15">
                  <c:v>0.0565371024734982</c:v>
                </c:pt>
                <c:pt idx="16">
                  <c:v>0.0660717081571943</c:v>
                </c:pt>
                <c:pt idx="17">
                  <c:v>0.044158476929179</c:v>
                </c:pt>
                <c:pt idx="18">
                  <c:v>0.0325597243781471</c:v>
                </c:pt>
                <c:pt idx="19">
                  <c:v>0.0167395068854622</c:v>
                </c:pt>
                <c:pt idx="20">
                  <c:v>0.00615089667292407</c:v>
                </c:pt>
                <c:pt idx="21">
                  <c:v>0.0173478939157566</c:v>
                </c:pt>
                <c:pt idx="22">
                  <c:v>0.019504929427619</c:v>
                </c:pt>
                <c:pt idx="23">
                  <c:v>0.0153666833178715</c:v>
                </c:pt>
                <c:pt idx="24">
                  <c:v>0.0245035233824471</c:v>
                </c:pt>
                <c:pt idx="25">
                  <c:v>0.0249649010848756</c:v>
                </c:pt>
                <c:pt idx="26">
                  <c:v>0.0277642737535786</c:v>
                </c:pt>
                <c:pt idx="27">
                  <c:v>0.0195473940531242</c:v>
                </c:pt>
                <c:pt idx="28">
                  <c:v>0.0211011449592857</c:v>
                </c:pt>
                <c:pt idx="29">
                  <c:v>0.0213069724856065</c:v>
                </c:pt>
                <c:pt idx="30">
                  <c:v>0.0208142928742003</c:v>
                </c:pt>
                <c:pt idx="31">
                  <c:v>0.018184779068505</c:v>
                </c:pt>
                <c:pt idx="32">
                  <c:v>0.0171513044062558</c:v>
                </c:pt>
                <c:pt idx="33">
                  <c:v>0.0179636686820808</c:v>
                </c:pt>
                <c:pt idx="34">
                  <c:v>0.0247637524932695</c:v>
                </c:pt>
                <c:pt idx="35">
                  <c:v>0.0230061349693252</c:v>
                </c:pt>
                <c:pt idx="36">
                  <c:v>0.0257373456916146</c:v>
                </c:pt>
                <c:pt idx="37">
                  <c:v>0.0270464091793874</c:v>
                </c:pt>
                <c:pt idx="38">
                  <c:v>0.0327113586020182</c:v>
                </c:pt>
                <c:pt idx="39">
                  <c:v>0.0340689379291953</c:v>
                </c:pt>
                <c:pt idx="40">
                  <c:v>0.0345578900415175</c:v>
                </c:pt>
                <c:pt idx="41">
                  <c:v>0.0407406622741043</c:v>
                </c:pt>
                <c:pt idx="42">
                  <c:v>0.0427408017838964</c:v>
                </c:pt>
                <c:pt idx="43">
                  <c:v>0.0308171031173262</c:v>
                </c:pt>
                <c:pt idx="44">
                  <c:v>0.0444196539243393</c:v>
                </c:pt>
                <c:pt idx="45">
                  <c:v>0.071368477497134</c:v>
                </c:pt>
                <c:pt idx="46">
                  <c:v>0.0774599940489099</c:v>
                </c:pt>
                <c:pt idx="47">
                  <c:v>0.0841882412420214</c:v>
                </c:pt>
                <c:pt idx="48">
                  <c:v>0.0815146533643217</c:v>
                </c:pt>
                <c:pt idx="49">
                  <c:v>0.0604757051528107</c:v>
                </c:pt>
                <c:pt idx="50">
                  <c:v>0.0376562203973371</c:v>
                </c:pt>
              </c:numCache>
            </c:numRef>
          </c:val>
          <c:smooth val="0"/>
        </c:ser>
        <c:dLbls>
          <c:showLegendKey val="0"/>
          <c:showVal val="0"/>
          <c:showCatName val="0"/>
          <c:showSerName val="0"/>
          <c:showPercent val="0"/>
          <c:showBubbleSize val="0"/>
        </c:dLbls>
        <c:marker val="1"/>
        <c:smooth val="0"/>
        <c:axId val="-2102221416"/>
        <c:axId val="-2102210728"/>
      </c:lineChart>
      <c:catAx>
        <c:axId val="-2102221416"/>
        <c:scaling>
          <c:orientation val="minMax"/>
        </c:scaling>
        <c:delete val="0"/>
        <c:axPos val="b"/>
        <c:numFmt formatCode="General" sourceLinked="1"/>
        <c:majorTickMark val="out"/>
        <c:minorTickMark val="none"/>
        <c:tickLblPos val="nextTo"/>
        <c:crossAx val="-2102210728"/>
        <c:crosses val="autoZero"/>
        <c:auto val="1"/>
        <c:lblAlgn val="ctr"/>
        <c:lblOffset val="100"/>
        <c:noMultiLvlLbl val="0"/>
      </c:catAx>
      <c:valAx>
        <c:axId val="-2102210728"/>
        <c:scaling>
          <c:orientation val="minMax"/>
        </c:scaling>
        <c:delete val="0"/>
        <c:axPos val="l"/>
        <c:majorGridlines/>
        <c:numFmt formatCode="0%" sourceLinked="1"/>
        <c:majorTickMark val="out"/>
        <c:minorTickMark val="none"/>
        <c:tickLblPos val="nextTo"/>
        <c:crossAx val="-2102221416"/>
        <c:crosses val="autoZero"/>
        <c:crossBetween val="between"/>
      </c:valAx>
    </c:plotArea>
    <c:plotVisOnly val="1"/>
    <c:dispBlanksAs val="gap"/>
    <c:showDLblsOverMax val="0"/>
  </c:chart>
  <c:printSettings>
    <c:headerFooter/>
    <c:pageMargins b="1.0" l="0.75" r="0.75" t="1.0"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manualLayout>
          <c:layoutTarget val="inner"/>
          <c:xMode val="edge"/>
          <c:yMode val="edge"/>
          <c:x val="0.0932248468941382"/>
          <c:y val="0.267592592592593"/>
          <c:w val="0.873441819772528"/>
          <c:h val="0.576466170895305"/>
        </c:manualLayout>
      </c:layout>
      <c:lineChart>
        <c:grouping val="standard"/>
        <c:varyColors val="0"/>
        <c:ser>
          <c:idx val="0"/>
          <c:order val="0"/>
          <c:tx>
            <c:strRef>
              <c:f>'Assets(BoP)'!$AG$3</c:f>
              <c:strCache>
                <c:ptCount val="1"/>
                <c:pt idx="0">
                  <c:v>Memo: S corporation dividends included in NIPA corporate dividends / NIPA corp profits</c:v>
                </c:pt>
              </c:strCache>
            </c:strRef>
          </c:tx>
          <c:marker>
            <c:symbol val="none"/>
          </c:marker>
          <c:cat>
            <c:numRef>
              <c:f>'Assets(BoP)'!$B$83:$B$108</c:f>
              <c:numCache>
                <c:formatCode>General</c:formatCode>
                <c:ptCount val="26"/>
                <c:pt idx="0">
                  <c:v>1991.0</c:v>
                </c:pt>
                <c:pt idx="1">
                  <c:v>1992.0</c:v>
                </c:pt>
                <c:pt idx="2">
                  <c:v>1993.0</c:v>
                </c:pt>
                <c:pt idx="3">
                  <c:v>1994.0</c:v>
                </c:pt>
                <c:pt idx="4">
                  <c:v>1995.0</c:v>
                </c:pt>
                <c:pt idx="5">
                  <c:v>1996.0</c:v>
                </c:pt>
                <c:pt idx="6">
                  <c:v>1997.0</c:v>
                </c:pt>
                <c:pt idx="7">
                  <c:v>1998.0</c:v>
                </c:pt>
                <c:pt idx="8">
                  <c:v>1999.0</c:v>
                </c:pt>
                <c:pt idx="9">
                  <c:v>2000.0</c:v>
                </c:pt>
                <c:pt idx="10">
                  <c:v>2001.0</c:v>
                </c:pt>
                <c:pt idx="11">
                  <c:v>2002.0</c:v>
                </c:pt>
                <c:pt idx="12">
                  <c:v>2003.0</c:v>
                </c:pt>
                <c:pt idx="13">
                  <c:v>2004.0</c:v>
                </c:pt>
                <c:pt idx="14">
                  <c:v>2005.0</c:v>
                </c:pt>
                <c:pt idx="15">
                  <c:v>2006.0</c:v>
                </c:pt>
                <c:pt idx="16">
                  <c:v>2007.0</c:v>
                </c:pt>
                <c:pt idx="17">
                  <c:v>2008.0</c:v>
                </c:pt>
                <c:pt idx="18">
                  <c:v>2009.0</c:v>
                </c:pt>
                <c:pt idx="19">
                  <c:v>2010.0</c:v>
                </c:pt>
                <c:pt idx="20">
                  <c:v>2011.0</c:v>
                </c:pt>
                <c:pt idx="21">
                  <c:v>2012.0</c:v>
                </c:pt>
                <c:pt idx="22">
                  <c:v>2013.0</c:v>
                </c:pt>
                <c:pt idx="23">
                  <c:v>2014.0</c:v>
                </c:pt>
                <c:pt idx="24">
                  <c:v>2015.0</c:v>
                </c:pt>
                <c:pt idx="25">
                  <c:v>2016.0</c:v>
                </c:pt>
              </c:numCache>
            </c:numRef>
          </c:cat>
          <c:val>
            <c:numRef>
              <c:f>'Assets(BoP)'!$AG$83:$AG$108</c:f>
              <c:numCache>
                <c:formatCode>0%</c:formatCode>
                <c:ptCount val="26"/>
                <c:pt idx="0">
                  <c:v>0.0812918236206514</c:v>
                </c:pt>
                <c:pt idx="1">
                  <c:v>0.0896149800126236</c:v>
                </c:pt>
                <c:pt idx="2">
                  <c:v>0.0962471264367816</c:v>
                </c:pt>
                <c:pt idx="3">
                  <c:v>0.108448303585785</c:v>
                </c:pt>
                <c:pt idx="4">
                  <c:v>0.114871977240398</c:v>
                </c:pt>
                <c:pt idx="5">
                  <c:v>0.130470678030785</c:v>
                </c:pt>
                <c:pt idx="6">
                  <c:v>0.136374451374451</c:v>
                </c:pt>
                <c:pt idx="7">
                  <c:v>0.186486755378684</c:v>
                </c:pt>
                <c:pt idx="8">
                  <c:v>0.189495302336786</c:v>
                </c:pt>
                <c:pt idx="9">
                  <c:v>0.229228110599078</c:v>
                </c:pt>
                <c:pt idx="10">
                  <c:v>0.23909151193634</c:v>
                </c:pt>
                <c:pt idx="11">
                  <c:v>0.196829805996473</c:v>
                </c:pt>
                <c:pt idx="12">
                  <c:v>0.179725482771677</c:v>
                </c:pt>
                <c:pt idx="13">
                  <c:v>0.176744331021585</c:v>
                </c:pt>
                <c:pt idx="14">
                  <c:v>0.181371726331461</c:v>
                </c:pt>
                <c:pt idx="15">
                  <c:v>0.19172365624051</c:v>
                </c:pt>
                <c:pt idx="16">
                  <c:v>0.226032047089601</c:v>
                </c:pt>
                <c:pt idx="17">
                  <c:v>0.259665395689051</c:v>
                </c:pt>
                <c:pt idx="18">
                  <c:v>0.196260320687187</c:v>
                </c:pt>
                <c:pt idx="19">
                  <c:v>0.168061726981218</c:v>
                </c:pt>
                <c:pt idx="20">
                  <c:v>0.179056479136849</c:v>
                </c:pt>
                <c:pt idx="21">
                  <c:v>0.189017615854269</c:v>
                </c:pt>
                <c:pt idx="22">
                  <c:v>0.181264695754833</c:v>
                </c:pt>
                <c:pt idx="23">
                  <c:v>0.191047837055031</c:v>
                </c:pt>
                <c:pt idx="24">
                  <c:v>0.191230921639366</c:v>
                </c:pt>
                <c:pt idx="25">
                  <c:v>0.195288872231182</c:v>
                </c:pt>
              </c:numCache>
            </c:numRef>
          </c:val>
          <c:smooth val="0"/>
        </c:ser>
        <c:dLbls>
          <c:showLegendKey val="0"/>
          <c:showVal val="0"/>
          <c:showCatName val="0"/>
          <c:showSerName val="0"/>
          <c:showPercent val="0"/>
          <c:showBubbleSize val="0"/>
        </c:dLbls>
        <c:marker val="1"/>
        <c:smooth val="0"/>
        <c:axId val="-2101383240"/>
        <c:axId val="-2101380232"/>
      </c:lineChart>
      <c:catAx>
        <c:axId val="-2101383240"/>
        <c:scaling>
          <c:orientation val="minMax"/>
        </c:scaling>
        <c:delete val="0"/>
        <c:axPos val="b"/>
        <c:numFmt formatCode="General" sourceLinked="1"/>
        <c:majorTickMark val="out"/>
        <c:minorTickMark val="none"/>
        <c:tickLblPos val="nextTo"/>
        <c:crossAx val="-2101380232"/>
        <c:crosses val="autoZero"/>
        <c:auto val="1"/>
        <c:lblAlgn val="ctr"/>
        <c:lblOffset val="100"/>
        <c:noMultiLvlLbl val="0"/>
      </c:catAx>
      <c:valAx>
        <c:axId val="-2101380232"/>
        <c:scaling>
          <c:orientation val="minMax"/>
        </c:scaling>
        <c:delete val="0"/>
        <c:axPos val="l"/>
        <c:majorGridlines/>
        <c:numFmt formatCode="0%" sourceLinked="1"/>
        <c:majorTickMark val="out"/>
        <c:minorTickMark val="none"/>
        <c:tickLblPos val="nextTo"/>
        <c:crossAx val="-2101383240"/>
        <c:crosses val="autoZero"/>
        <c:crossBetween val="between"/>
      </c:valAx>
    </c:plotArea>
    <c:plotVisOnly val="1"/>
    <c:dispBlanksAs val="gap"/>
    <c:showDLblsOverMax val="0"/>
  </c:chart>
  <c:printSettings>
    <c:headerFooter/>
    <c:pageMargins b="1.0" l="0.75" r="0.75" t="1.0"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1042415597683"/>
          <c:y val="0.0480591497227357"/>
          <c:w val="0.883295521352365"/>
          <c:h val="0.846136783733826"/>
        </c:manualLayout>
      </c:layout>
      <c:lineChart>
        <c:grouping val="standard"/>
        <c:varyColors val="0"/>
        <c:ser>
          <c:idx val="0"/>
          <c:order val="0"/>
          <c:tx>
            <c:strRef>
              <c:f>'Assets(BoP)'!$BF$3</c:f>
              <c:strCache>
                <c:ptCount val="1"/>
                <c:pt idx="0">
                  <c:v>Staturoy federal corporate tax rate</c:v>
                </c:pt>
              </c:strCache>
            </c:strRef>
          </c:tx>
          <c:marker>
            <c:symbol val="none"/>
          </c:marker>
          <c:cat>
            <c:numRef>
              <c:f>'Assets(BoP)'!$B$42:$B$111</c:f>
              <c:numCache>
                <c:formatCode>General</c:formatCode>
                <c:ptCount val="70"/>
                <c:pt idx="0">
                  <c:v>1950.0</c:v>
                </c:pt>
                <c:pt idx="1">
                  <c:v>1951.0</c:v>
                </c:pt>
                <c:pt idx="2">
                  <c:v>1952.0</c:v>
                </c:pt>
                <c:pt idx="3">
                  <c:v>1953.0</c:v>
                </c:pt>
                <c:pt idx="4">
                  <c:v>1954.0</c:v>
                </c:pt>
                <c:pt idx="5">
                  <c:v>1955.0</c:v>
                </c:pt>
                <c:pt idx="6">
                  <c:v>1956.0</c:v>
                </c:pt>
                <c:pt idx="7">
                  <c:v>1957.0</c:v>
                </c:pt>
                <c:pt idx="8">
                  <c:v>1958.0</c:v>
                </c:pt>
                <c:pt idx="9">
                  <c:v>1959.0</c:v>
                </c:pt>
                <c:pt idx="10">
                  <c:v>1960.0</c:v>
                </c:pt>
                <c:pt idx="11">
                  <c:v>1961.0</c:v>
                </c:pt>
                <c:pt idx="12">
                  <c:v>1962.0</c:v>
                </c:pt>
                <c:pt idx="13">
                  <c:v>1963.0</c:v>
                </c:pt>
                <c:pt idx="14">
                  <c:v>1964.0</c:v>
                </c:pt>
                <c:pt idx="15">
                  <c:v>1965.0</c:v>
                </c:pt>
                <c:pt idx="16">
                  <c:v>1966.0</c:v>
                </c:pt>
                <c:pt idx="17">
                  <c:v>1967.0</c:v>
                </c:pt>
                <c:pt idx="18">
                  <c:v>1968.0</c:v>
                </c:pt>
                <c:pt idx="19">
                  <c:v>1969.0</c:v>
                </c:pt>
                <c:pt idx="20">
                  <c:v>1970.0</c:v>
                </c:pt>
                <c:pt idx="21">
                  <c:v>1971.0</c:v>
                </c:pt>
                <c:pt idx="22">
                  <c:v>1972.0</c:v>
                </c:pt>
                <c:pt idx="23">
                  <c:v>1973.0</c:v>
                </c:pt>
                <c:pt idx="24">
                  <c:v>1974.0</c:v>
                </c:pt>
                <c:pt idx="25">
                  <c:v>1975.0</c:v>
                </c:pt>
                <c:pt idx="26">
                  <c:v>1976.0</c:v>
                </c:pt>
                <c:pt idx="27">
                  <c:v>1977.0</c:v>
                </c:pt>
                <c:pt idx="28">
                  <c:v>1978.0</c:v>
                </c:pt>
                <c:pt idx="29">
                  <c:v>1979.0</c:v>
                </c:pt>
                <c:pt idx="30">
                  <c:v>1980.0</c:v>
                </c:pt>
                <c:pt idx="31">
                  <c:v>1981.0</c:v>
                </c:pt>
                <c:pt idx="32">
                  <c:v>1982.0</c:v>
                </c:pt>
                <c:pt idx="33">
                  <c:v>1983.0</c:v>
                </c:pt>
                <c:pt idx="34">
                  <c:v>1984.0</c:v>
                </c:pt>
                <c:pt idx="35">
                  <c:v>1985.0</c:v>
                </c:pt>
                <c:pt idx="36">
                  <c:v>1986.0</c:v>
                </c:pt>
                <c:pt idx="37">
                  <c:v>1987.0</c:v>
                </c:pt>
                <c:pt idx="38">
                  <c:v>1988.0</c:v>
                </c:pt>
                <c:pt idx="39">
                  <c:v>1989.0</c:v>
                </c:pt>
                <c:pt idx="40">
                  <c:v>1990.0</c:v>
                </c:pt>
                <c:pt idx="41">
                  <c:v>1991.0</c:v>
                </c:pt>
                <c:pt idx="42">
                  <c:v>1992.0</c:v>
                </c:pt>
                <c:pt idx="43">
                  <c:v>1993.0</c:v>
                </c:pt>
                <c:pt idx="44">
                  <c:v>1994.0</c:v>
                </c:pt>
                <c:pt idx="45">
                  <c:v>1995.0</c:v>
                </c:pt>
                <c:pt idx="46">
                  <c:v>1996.0</c:v>
                </c:pt>
                <c:pt idx="47">
                  <c:v>1997.0</c:v>
                </c:pt>
                <c:pt idx="48">
                  <c:v>1998.0</c:v>
                </c:pt>
                <c:pt idx="49">
                  <c:v>1999.0</c:v>
                </c:pt>
                <c:pt idx="50">
                  <c:v>2000.0</c:v>
                </c:pt>
                <c:pt idx="51">
                  <c:v>2001.0</c:v>
                </c:pt>
                <c:pt idx="52">
                  <c:v>2002.0</c:v>
                </c:pt>
                <c:pt idx="53">
                  <c:v>2003.0</c:v>
                </c:pt>
                <c:pt idx="54">
                  <c:v>2004.0</c:v>
                </c:pt>
                <c:pt idx="55">
                  <c:v>2005.0</c:v>
                </c:pt>
                <c:pt idx="56">
                  <c:v>2006.0</c:v>
                </c:pt>
                <c:pt idx="57">
                  <c:v>2007.0</c:v>
                </c:pt>
                <c:pt idx="58">
                  <c:v>2008.0</c:v>
                </c:pt>
                <c:pt idx="59">
                  <c:v>2009.0</c:v>
                </c:pt>
                <c:pt idx="60">
                  <c:v>2010.0</c:v>
                </c:pt>
                <c:pt idx="61">
                  <c:v>2011.0</c:v>
                </c:pt>
                <c:pt idx="62">
                  <c:v>2012.0</c:v>
                </c:pt>
                <c:pt idx="63">
                  <c:v>2013.0</c:v>
                </c:pt>
                <c:pt idx="64">
                  <c:v>2014.0</c:v>
                </c:pt>
                <c:pt idx="65">
                  <c:v>2015.0</c:v>
                </c:pt>
                <c:pt idx="66">
                  <c:v>2016.0</c:v>
                </c:pt>
                <c:pt idx="67">
                  <c:v>2017.0</c:v>
                </c:pt>
                <c:pt idx="68">
                  <c:v>2018.0</c:v>
                </c:pt>
              </c:numCache>
            </c:numRef>
          </c:cat>
          <c:val>
            <c:numRef>
              <c:f>'Assets(BoP)'!$BF$42:$BF$111</c:f>
              <c:numCache>
                <c:formatCode>0.0%</c:formatCode>
                <c:ptCount val="70"/>
                <c:pt idx="0">
                  <c:v>0.42</c:v>
                </c:pt>
                <c:pt idx="1">
                  <c:v>0.51</c:v>
                </c:pt>
                <c:pt idx="2">
                  <c:v>0.52</c:v>
                </c:pt>
                <c:pt idx="3">
                  <c:v>0.52</c:v>
                </c:pt>
                <c:pt idx="4">
                  <c:v>0.52</c:v>
                </c:pt>
                <c:pt idx="5">
                  <c:v>0.52</c:v>
                </c:pt>
                <c:pt idx="6">
                  <c:v>0.52</c:v>
                </c:pt>
                <c:pt idx="7">
                  <c:v>0.52</c:v>
                </c:pt>
                <c:pt idx="8">
                  <c:v>0.52</c:v>
                </c:pt>
                <c:pt idx="9">
                  <c:v>0.52</c:v>
                </c:pt>
                <c:pt idx="10">
                  <c:v>0.52</c:v>
                </c:pt>
                <c:pt idx="11">
                  <c:v>0.52</c:v>
                </c:pt>
                <c:pt idx="12">
                  <c:v>0.52</c:v>
                </c:pt>
                <c:pt idx="13">
                  <c:v>0.52</c:v>
                </c:pt>
                <c:pt idx="14">
                  <c:v>0.5</c:v>
                </c:pt>
                <c:pt idx="15">
                  <c:v>0.48</c:v>
                </c:pt>
                <c:pt idx="16">
                  <c:v>0.48</c:v>
                </c:pt>
                <c:pt idx="17">
                  <c:v>0.48</c:v>
                </c:pt>
                <c:pt idx="18">
                  <c:v>0.528</c:v>
                </c:pt>
                <c:pt idx="19">
                  <c:v>0.528</c:v>
                </c:pt>
                <c:pt idx="20">
                  <c:v>0.492</c:v>
                </c:pt>
                <c:pt idx="21">
                  <c:v>0.48</c:v>
                </c:pt>
                <c:pt idx="22">
                  <c:v>0.48</c:v>
                </c:pt>
                <c:pt idx="23">
                  <c:v>0.48</c:v>
                </c:pt>
                <c:pt idx="24">
                  <c:v>0.48</c:v>
                </c:pt>
                <c:pt idx="25">
                  <c:v>0.48</c:v>
                </c:pt>
                <c:pt idx="26">
                  <c:v>0.48</c:v>
                </c:pt>
                <c:pt idx="27">
                  <c:v>0.48</c:v>
                </c:pt>
                <c:pt idx="28">
                  <c:v>0.48</c:v>
                </c:pt>
                <c:pt idx="29">
                  <c:v>0.46</c:v>
                </c:pt>
                <c:pt idx="30">
                  <c:v>0.46</c:v>
                </c:pt>
                <c:pt idx="31">
                  <c:v>0.46</c:v>
                </c:pt>
                <c:pt idx="32">
                  <c:v>0.46</c:v>
                </c:pt>
                <c:pt idx="33">
                  <c:v>0.46</c:v>
                </c:pt>
                <c:pt idx="34">
                  <c:v>0.46</c:v>
                </c:pt>
                <c:pt idx="35">
                  <c:v>0.46</c:v>
                </c:pt>
                <c:pt idx="36">
                  <c:v>0.46</c:v>
                </c:pt>
                <c:pt idx="37">
                  <c:v>0.4</c:v>
                </c:pt>
                <c:pt idx="38">
                  <c:v>0.34</c:v>
                </c:pt>
                <c:pt idx="39">
                  <c:v>0.34</c:v>
                </c:pt>
                <c:pt idx="40">
                  <c:v>0.34</c:v>
                </c:pt>
                <c:pt idx="41">
                  <c:v>0.34</c:v>
                </c:pt>
                <c:pt idx="42">
                  <c:v>0.34</c:v>
                </c:pt>
                <c:pt idx="43">
                  <c:v>0.35</c:v>
                </c:pt>
                <c:pt idx="44">
                  <c:v>0.35</c:v>
                </c:pt>
                <c:pt idx="45">
                  <c:v>0.35</c:v>
                </c:pt>
                <c:pt idx="46">
                  <c:v>0.35</c:v>
                </c:pt>
                <c:pt idx="47">
                  <c:v>0.35</c:v>
                </c:pt>
                <c:pt idx="48">
                  <c:v>0.35</c:v>
                </c:pt>
                <c:pt idx="49">
                  <c:v>0.35</c:v>
                </c:pt>
                <c:pt idx="50">
                  <c:v>0.35</c:v>
                </c:pt>
                <c:pt idx="51">
                  <c:v>0.35</c:v>
                </c:pt>
                <c:pt idx="52">
                  <c:v>0.35</c:v>
                </c:pt>
                <c:pt idx="53">
                  <c:v>0.35</c:v>
                </c:pt>
                <c:pt idx="54">
                  <c:v>0.35</c:v>
                </c:pt>
                <c:pt idx="55">
                  <c:v>0.35</c:v>
                </c:pt>
                <c:pt idx="56">
                  <c:v>0.35</c:v>
                </c:pt>
                <c:pt idx="57">
                  <c:v>0.35</c:v>
                </c:pt>
                <c:pt idx="58">
                  <c:v>0.35</c:v>
                </c:pt>
                <c:pt idx="59">
                  <c:v>0.35</c:v>
                </c:pt>
                <c:pt idx="60">
                  <c:v>0.35</c:v>
                </c:pt>
                <c:pt idx="61">
                  <c:v>0.35</c:v>
                </c:pt>
                <c:pt idx="62">
                  <c:v>0.35</c:v>
                </c:pt>
                <c:pt idx="63">
                  <c:v>0.35</c:v>
                </c:pt>
                <c:pt idx="64">
                  <c:v>0.35</c:v>
                </c:pt>
                <c:pt idx="65">
                  <c:v>0.35</c:v>
                </c:pt>
                <c:pt idx="66">
                  <c:v>0.35</c:v>
                </c:pt>
                <c:pt idx="67">
                  <c:v>0.35</c:v>
                </c:pt>
                <c:pt idx="68">
                  <c:v>0.21</c:v>
                </c:pt>
              </c:numCache>
            </c:numRef>
          </c:val>
          <c:smooth val="0"/>
        </c:ser>
        <c:ser>
          <c:idx val="2"/>
          <c:order val="1"/>
          <c:tx>
            <c:strRef>
              <c:f>'Assets(BoP)'!$BH$3</c:f>
              <c:strCache>
                <c:ptCount val="1"/>
                <c:pt idx="0">
                  <c:v>Effective tax rate paid to US (fed+local)</c:v>
                </c:pt>
              </c:strCache>
            </c:strRef>
          </c:tx>
          <c:marker>
            <c:symbol val="none"/>
          </c:marker>
          <c:cat>
            <c:numRef>
              <c:f>'Assets(BoP)'!$B$42:$B$111</c:f>
              <c:numCache>
                <c:formatCode>General</c:formatCode>
                <c:ptCount val="70"/>
                <c:pt idx="0">
                  <c:v>1950.0</c:v>
                </c:pt>
                <c:pt idx="1">
                  <c:v>1951.0</c:v>
                </c:pt>
                <c:pt idx="2">
                  <c:v>1952.0</c:v>
                </c:pt>
                <c:pt idx="3">
                  <c:v>1953.0</c:v>
                </c:pt>
                <c:pt idx="4">
                  <c:v>1954.0</c:v>
                </c:pt>
                <c:pt idx="5">
                  <c:v>1955.0</c:v>
                </c:pt>
                <c:pt idx="6">
                  <c:v>1956.0</c:v>
                </c:pt>
                <c:pt idx="7">
                  <c:v>1957.0</c:v>
                </c:pt>
                <c:pt idx="8">
                  <c:v>1958.0</c:v>
                </c:pt>
                <c:pt idx="9">
                  <c:v>1959.0</c:v>
                </c:pt>
                <c:pt idx="10">
                  <c:v>1960.0</c:v>
                </c:pt>
                <c:pt idx="11">
                  <c:v>1961.0</c:v>
                </c:pt>
                <c:pt idx="12">
                  <c:v>1962.0</c:v>
                </c:pt>
                <c:pt idx="13">
                  <c:v>1963.0</c:v>
                </c:pt>
                <c:pt idx="14">
                  <c:v>1964.0</c:v>
                </c:pt>
                <c:pt idx="15">
                  <c:v>1965.0</c:v>
                </c:pt>
                <c:pt idx="16">
                  <c:v>1966.0</c:v>
                </c:pt>
                <c:pt idx="17">
                  <c:v>1967.0</c:v>
                </c:pt>
                <c:pt idx="18">
                  <c:v>1968.0</c:v>
                </c:pt>
                <c:pt idx="19">
                  <c:v>1969.0</c:v>
                </c:pt>
                <c:pt idx="20">
                  <c:v>1970.0</c:v>
                </c:pt>
                <c:pt idx="21">
                  <c:v>1971.0</c:v>
                </c:pt>
                <c:pt idx="22">
                  <c:v>1972.0</c:v>
                </c:pt>
                <c:pt idx="23">
                  <c:v>1973.0</c:v>
                </c:pt>
                <c:pt idx="24">
                  <c:v>1974.0</c:v>
                </c:pt>
                <c:pt idx="25">
                  <c:v>1975.0</c:v>
                </c:pt>
                <c:pt idx="26">
                  <c:v>1976.0</c:v>
                </c:pt>
                <c:pt idx="27">
                  <c:v>1977.0</c:v>
                </c:pt>
                <c:pt idx="28">
                  <c:v>1978.0</c:v>
                </c:pt>
                <c:pt idx="29">
                  <c:v>1979.0</c:v>
                </c:pt>
                <c:pt idx="30">
                  <c:v>1980.0</c:v>
                </c:pt>
                <c:pt idx="31">
                  <c:v>1981.0</c:v>
                </c:pt>
                <c:pt idx="32">
                  <c:v>1982.0</c:v>
                </c:pt>
                <c:pt idx="33">
                  <c:v>1983.0</c:v>
                </c:pt>
                <c:pt idx="34">
                  <c:v>1984.0</c:v>
                </c:pt>
                <c:pt idx="35">
                  <c:v>1985.0</c:v>
                </c:pt>
                <c:pt idx="36">
                  <c:v>1986.0</c:v>
                </c:pt>
                <c:pt idx="37">
                  <c:v>1987.0</c:v>
                </c:pt>
                <c:pt idx="38">
                  <c:v>1988.0</c:v>
                </c:pt>
                <c:pt idx="39">
                  <c:v>1989.0</c:v>
                </c:pt>
                <c:pt idx="40">
                  <c:v>1990.0</c:v>
                </c:pt>
                <c:pt idx="41">
                  <c:v>1991.0</c:v>
                </c:pt>
                <c:pt idx="42">
                  <c:v>1992.0</c:v>
                </c:pt>
                <c:pt idx="43">
                  <c:v>1993.0</c:v>
                </c:pt>
                <c:pt idx="44">
                  <c:v>1994.0</c:v>
                </c:pt>
                <c:pt idx="45">
                  <c:v>1995.0</c:v>
                </c:pt>
                <c:pt idx="46">
                  <c:v>1996.0</c:v>
                </c:pt>
                <c:pt idx="47">
                  <c:v>1997.0</c:v>
                </c:pt>
                <c:pt idx="48">
                  <c:v>1998.0</c:v>
                </c:pt>
                <c:pt idx="49">
                  <c:v>1999.0</c:v>
                </c:pt>
                <c:pt idx="50">
                  <c:v>2000.0</c:v>
                </c:pt>
                <c:pt idx="51">
                  <c:v>2001.0</c:v>
                </c:pt>
                <c:pt idx="52">
                  <c:v>2002.0</c:v>
                </c:pt>
                <c:pt idx="53">
                  <c:v>2003.0</c:v>
                </c:pt>
                <c:pt idx="54">
                  <c:v>2004.0</c:v>
                </c:pt>
                <c:pt idx="55">
                  <c:v>2005.0</c:v>
                </c:pt>
                <c:pt idx="56">
                  <c:v>2006.0</c:v>
                </c:pt>
                <c:pt idx="57">
                  <c:v>2007.0</c:v>
                </c:pt>
                <c:pt idx="58">
                  <c:v>2008.0</c:v>
                </c:pt>
                <c:pt idx="59">
                  <c:v>2009.0</c:v>
                </c:pt>
                <c:pt idx="60">
                  <c:v>2010.0</c:v>
                </c:pt>
                <c:pt idx="61">
                  <c:v>2011.0</c:v>
                </c:pt>
                <c:pt idx="62">
                  <c:v>2012.0</c:v>
                </c:pt>
                <c:pt idx="63">
                  <c:v>2013.0</c:v>
                </c:pt>
                <c:pt idx="64">
                  <c:v>2014.0</c:v>
                </c:pt>
                <c:pt idx="65">
                  <c:v>2015.0</c:v>
                </c:pt>
                <c:pt idx="66">
                  <c:v>2016.0</c:v>
                </c:pt>
                <c:pt idx="67">
                  <c:v>2017.0</c:v>
                </c:pt>
                <c:pt idx="68">
                  <c:v>2018.0</c:v>
                </c:pt>
              </c:numCache>
            </c:numRef>
          </c:cat>
          <c:val>
            <c:numRef>
              <c:f>'Assets(BoP)'!$BH$42:$BH$111</c:f>
              <c:numCache>
                <c:formatCode>0%</c:formatCode>
                <c:ptCount val="70"/>
                <c:pt idx="0">
                  <c:v>0.486263736263736</c:v>
                </c:pt>
                <c:pt idx="1">
                  <c:v>0.539759036144578</c:v>
                </c:pt>
                <c:pt idx="2">
                  <c:v>0.477386934673367</c:v>
                </c:pt>
                <c:pt idx="3">
                  <c:v>0.495049504950495</c:v>
                </c:pt>
                <c:pt idx="4">
                  <c:v>0.439393939393939</c:v>
                </c:pt>
                <c:pt idx="5">
                  <c:v>0.430555555555555</c:v>
                </c:pt>
                <c:pt idx="6">
                  <c:v>0.434607645875251</c:v>
                </c:pt>
                <c:pt idx="7">
                  <c:v>0.423625254582485</c:v>
                </c:pt>
                <c:pt idx="8">
                  <c:v>0.420091324200913</c:v>
                </c:pt>
                <c:pt idx="9">
                  <c:v>0.409009009009009</c:v>
                </c:pt>
                <c:pt idx="10">
                  <c:v>0.4</c:v>
                </c:pt>
                <c:pt idx="11">
                  <c:v>0.395348837209302</c:v>
                </c:pt>
                <c:pt idx="12">
                  <c:v>0.362068965517241</c:v>
                </c:pt>
                <c:pt idx="13">
                  <c:v>0.361823361823362</c:v>
                </c:pt>
                <c:pt idx="14">
                  <c:v>0.340645161290322</c:v>
                </c:pt>
                <c:pt idx="15">
                  <c:v>0.333707865168539</c:v>
                </c:pt>
                <c:pt idx="16">
                  <c:v>0.334031413612565</c:v>
                </c:pt>
                <c:pt idx="17">
                  <c:v>0.33010752688172</c:v>
                </c:pt>
                <c:pt idx="18">
                  <c:v>0.365805168986083</c:v>
                </c:pt>
                <c:pt idx="19">
                  <c:v>0.37952430196484</c:v>
                </c:pt>
                <c:pt idx="20">
                  <c:v>0.365795724465558</c:v>
                </c:pt>
                <c:pt idx="21">
                  <c:v>0.346774193548387</c:v>
                </c:pt>
                <c:pt idx="22">
                  <c:v>0.333333333333333</c:v>
                </c:pt>
                <c:pt idx="23">
                  <c:v>0.341185410334346</c:v>
                </c:pt>
                <c:pt idx="24">
                  <c:v>0.375915378356387</c:v>
                </c:pt>
                <c:pt idx="25">
                  <c:v>0.332357247437774</c:v>
                </c:pt>
                <c:pt idx="26">
                  <c:v>0.336610757663389</c:v>
                </c:pt>
                <c:pt idx="27">
                  <c:v>0.32843857072932</c:v>
                </c:pt>
                <c:pt idx="28">
                  <c:v>0.322648671446647</c:v>
                </c:pt>
                <c:pt idx="29">
                  <c:v>0.318255250403877</c:v>
                </c:pt>
                <c:pt idx="30">
                  <c:v>0.33197093551317</c:v>
                </c:pt>
                <c:pt idx="31">
                  <c:v>0.277547638773819</c:v>
                </c:pt>
                <c:pt idx="32">
                  <c:v>0.218921389396709</c:v>
                </c:pt>
                <c:pt idx="33">
                  <c:v>0.232669616519174</c:v>
                </c:pt>
                <c:pt idx="34">
                  <c:v>0.235578375113259</c:v>
                </c:pt>
                <c:pt idx="35">
                  <c:v>0.226578264629576</c:v>
                </c:pt>
                <c:pt idx="36">
                  <c:v>0.278528764539453</c:v>
                </c:pt>
                <c:pt idx="37">
                  <c:v>0.303299140560022</c:v>
                </c:pt>
                <c:pt idx="38">
                  <c:v>0.290957705396208</c:v>
                </c:pt>
                <c:pt idx="39">
                  <c:v>0.298084100522518</c:v>
                </c:pt>
                <c:pt idx="40">
                  <c:v>0.292353823088456</c:v>
                </c:pt>
                <c:pt idx="41">
                  <c:v>0.26245924545878</c:v>
                </c:pt>
                <c:pt idx="42">
                  <c:v>0.273317463752435</c:v>
                </c:pt>
                <c:pt idx="43">
                  <c:v>0.288807268509569</c:v>
                </c:pt>
                <c:pt idx="44">
                  <c:v>0.263851404984918</c:v>
                </c:pt>
                <c:pt idx="45">
                  <c:v>0.262597984322508</c:v>
                </c:pt>
                <c:pt idx="46">
                  <c:v>0.254120879120879</c:v>
                </c:pt>
                <c:pt idx="47">
                  <c:v>0.243449904419206</c:v>
                </c:pt>
                <c:pt idx="48">
                  <c:v>0.258452931160302</c:v>
                </c:pt>
                <c:pt idx="49">
                  <c:v>0.260044252940491</c:v>
                </c:pt>
                <c:pt idx="50">
                  <c:v>0.284368414528325</c:v>
                </c:pt>
                <c:pt idx="51">
                  <c:v>0.225837061135963</c:v>
                </c:pt>
                <c:pt idx="52">
                  <c:v>0.168638416863842</c:v>
                </c:pt>
                <c:pt idx="53">
                  <c:v>0.18743857768248</c:v>
                </c:pt>
                <c:pt idx="54">
                  <c:v>0.197705462154557</c:v>
                </c:pt>
                <c:pt idx="55">
                  <c:v>0.234704112337011</c:v>
                </c:pt>
                <c:pt idx="56">
                  <c:v>0.237581717606303</c:v>
                </c:pt>
                <c:pt idx="57">
                  <c:v>0.234131555016672</c:v>
                </c:pt>
                <c:pt idx="58">
                  <c:v>0.175087719298246</c:v>
                </c:pt>
                <c:pt idx="59">
                  <c:v>0.133194658793531</c:v>
                </c:pt>
                <c:pt idx="60">
                  <c:v>0.143255714132418</c:v>
                </c:pt>
                <c:pt idx="61">
                  <c:v>0.139668789808917</c:v>
                </c:pt>
                <c:pt idx="62">
                  <c:v>0.151108033240997</c:v>
                </c:pt>
                <c:pt idx="63">
                  <c:v>0.160208239022182</c:v>
                </c:pt>
                <c:pt idx="64">
                  <c:v>0.170895329835727</c:v>
                </c:pt>
                <c:pt idx="65">
                  <c:v>0.176808943688977</c:v>
                </c:pt>
                <c:pt idx="66">
                  <c:v>0.162551655204308</c:v>
                </c:pt>
              </c:numCache>
            </c:numRef>
          </c:val>
          <c:smooth val="0"/>
        </c:ser>
        <c:ser>
          <c:idx val="1"/>
          <c:order val="2"/>
          <c:tx>
            <c:strRef>
              <c:f>'Assets(BoP)'!$BK$3</c:f>
              <c:strCache>
                <c:ptCount val="1"/>
                <c:pt idx="0">
                  <c:v>Effective tax rate paid worldwide</c:v>
                </c:pt>
              </c:strCache>
            </c:strRef>
          </c:tx>
          <c:marker>
            <c:symbol val="none"/>
          </c:marker>
          <c:cat>
            <c:numRef>
              <c:f>'Assets(BoP)'!$B$42:$B$111</c:f>
              <c:numCache>
                <c:formatCode>General</c:formatCode>
                <c:ptCount val="70"/>
                <c:pt idx="0">
                  <c:v>1950.0</c:v>
                </c:pt>
                <c:pt idx="1">
                  <c:v>1951.0</c:v>
                </c:pt>
                <c:pt idx="2">
                  <c:v>1952.0</c:v>
                </c:pt>
                <c:pt idx="3">
                  <c:v>1953.0</c:v>
                </c:pt>
                <c:pt idx="4">
                  <c:v>1954.0</c:v>
                </c:pt>
                <c:pt idx="5">
                  <c:v>1955.0</c:v>
                </c:pt>
                <c:pt idx="6">
                  <c:v>1956.0</c:v>
                </c:pt>
                <c:pt idx="7">
                  <c:v>1957.0</c:v>
                </c:pt>
                <c:pt idx="8">
                  <c:v>1958.0</c:v>
                </c:pt>
                <c:pt idx="9">
                  <c:v>1959.0</c:v>
                </c:pt>
                <c:pt idx="10">
                  <c:v>1960.0</c:v>
                </c:pt>
                <c:pt idx="11">
                  <c:v>1961.0</c:v>
                </c:pt>
                <c:pt idx="12">
                  <c:v>1962.0</c:v>
                </c:pt>
                <c:pt idx="13">
                  <c:v>1963.0</c:v>
                </c:pt>
                <c:pt idx="14">
                  <c:v>1964.0</c:v>
                </c:pt>
                <c:pt idx="15">
                  <c:v>1965.0</c:v>
                </c:pt>
                <c:pt idx="16">
                  <c:v>1966.0</c:v>
                </c:pt>
                <c:pt idx="17">
                  <c:v>1967.0</c:v>
                </c:pt>
                <c:pt idx="18">
                  <c:v>1968.0</c:v>
                </c:pt>
                <c:pt idx="19">
                  <c:v>1969.0</c:v>
                </c:pt>
                <c:pt idx="20">
                  <c:v>1970.0</c:v>
                </c:pt>
                <c:pt idx="21">
                  <c:v>1971.0</c:v>
                </c:pt>
                <c:pt idx="22">
                  <c:v>1972.0</c:v>
                </c:pt>
                <c:pt idx="23">
                  <c:v>1973.0</c:v>
                </c:pt>
                <c:pt idx="24">
                  <c:v>1974.0</c:v>
                </c:pt>
                <c:pt idx="25">
                  <c:v>1975.0</c:v>
                </c:pt>
                <c:pt idx="26">
                  <c:v>1976.0</c:v>
                </c:pt>
                <c:pt idx="27">
                  <c:v>1977.0</c:v>
                </c:pt>
                <c:pt idx="28">
                  <c:v>1978.0</c:v>
                </c:pt>
                <c:pt idx="29">
                  <c:v>1979.0</c:v>
                </c:pt>
                <c:pt idx="30">
                  <c:v>1980.0</c:v>
                </c:pt>
                <c:pt idx="31">
                  <c:v>1981.0</c:v>
                </c:pt>
                <c:pt idx="32">
                  <c:v>1982.0</c:v>
                </c:pt>
                <c:pt idx="33">
                  <c:v>1983.0</c:v>
                </c:pt>
                <c:pt idx="34">
                  <c:v>1984.0</c:v>
                </c:pt>
                <c:pt idx="35">
                  <c:v>1985.0</c:v>
                </c:pt>
                <c:pt idx="36">
                  <c:v>1986.0</c:v>
                </c:pt>
                <c:pt idx="37">
                  <c:v>1987.0</c:v>
                </c:pt>
                <c:pt idx="38">
                  <c:v>1988.0</c:v>
                </c:pt>
                <c:pt idx="39">
                  <c:v>1989.0</c:v>
                </c:pt>
                <c:pt idx="40">
                  <c:v>1990.0</c:v>
                </c:pt>
                <c:pt idx="41">
                  <c:v>1991.0</c:v>
                </c:pt>
                <c:pt idx="42">
                  <c:v>1992.0</c:v>
                </c:pt>
                <c:pt idx="43">
                  <c:v>1993.0</c:v>
                </c:pt>
                <c:pt idx="44">
                  <c:v>1994.0</c:v>
                </c:pt>
                <c:pt idx="45">
                  <c:v>1995.0</c:v>
                </c:pt>
                <c:pt idx="46">
                  <c:v>1996.0</c:v>
                </c:pt>
                <c:pt idx="47">
                  <c:v>1997.0</c:v>
                </c:pt>
                <c:pt idx="48">
                  <c:v>1998.0</c:v>
                </c:pt>
                <c:pt idx="49">
                  <c:v>1999.0</c:v>
                </c:pt>
                <c:pt idx="50">
                  <c:v>2000.0</c:v>
                </c:pt>
                <c:pt idx="51">
                  <c:v>2001.0</c:v>
                </c:pt>
                <c:pt idx="52">
                  <c:v>2002.0</c:v>
                </c:pt>
                <c:pt idx="53">
                  <c:v>2003.0</c:v>
                </c:pt>
                <c:pt idx="54">
                  <c:v>2004.0</c:v>
                </c:pt>
                <c:pt idx="55">
                  <c:v>2005.0</c:v>
                </c:pt>
                <c:pt idx="56">
                  <c:v>2006.0</c:v>
                </c:pt>
                <c:pt idx="57">
                  <c:v>2007.0</c:v>
                </c:pt>
                <c:pt idx="58">
                  <c:v>2008.0</c:v>
                </c:pt>
                <c:pt idx="59">
                  <c:v>2009.0</c:v>
                </c:pt>
                <c:pt idx="60">
                  <c:v>2010.0</c:v>
                </c:pt>
                <c:pt idx="61">
                  <c:v>2011.0</c:v>
                </c:pt>
                <c:pt idx="62">
                  <c:v>2012.0</c:v>
                </c:pt>
                <c:pt idx="63">
                  <c:v>2013.0</c:v>
                </c:pt>
                <c:pt idx="64">
                  <c:v>2014.0</c:v>
                </c:pt>
                <c:pt idx="65">
                  <c:v>2015.0</c:v>
                </c:pt>
                <c:pt idx="66">
                  <c:v>2016.0</c:v>
                </c:pt>
                <c:pt idx="67">
                  <c:v>2017.0</c:v>
                </c:pt>
                <c:pt idx="68">
                  <c:v>2018.0</c:v>
                </c:pt>
              </c:numCache>
            </c:numRef>
          </c:cat>
          <c:val>
            <c:numRef>
              <c:f>'Assets(BoP)'!$BK$42:$BK$111</c:f>
              <c:numCache>
                <c:formatCode>0%</c:formatCode>
                <c:ptCount val="70"/>
                <c:pt idx="0">
                  <c:v>0.493224932249322</c:v>
                </c:pt>
                <c:pt idx="1">
                  <c:v>0.543942992874109</c:v>
                </c:pt>
                <c:pt idx="2">
                  <c:v>0.487623762376238</c:v>
                </c:pt>
                <c:pt idx="3">
                  <c:v>0.502439024390244</c:v>
                </c:pt>
                <c:pt idx="4">
                  <c:v>0.446650124069479</c:v>
                </c:pt>
                <c:pt idx="5">
                  <c:v>0.441634241245136</c:v>
                </c:pt>
                <c:pt idx="6">
                  <c:v>0.445759368836292</c:v>
                </c:pt>
                <c:pt idx="7">
                  <c:v>0.438247011952191</c:v>
                </c:pt>
                <c:pt idx="8">
                  <c:v>0.43652561247216</c:v>
                </c:pt>
                <c:pt idx="9">
                  <c:v>0.421516754850088</c:v>
                </c:pt>
                <c:pt idx="10">
                  <c:v>0.412926391382406</c:v>
                </c:pt>
                <c:pt idx="11">
                  <c:v>0.411149825783972</c:v>
                </c:pt>
                <c:pt idx="12">
                  <c:v>0.379204892966361</c:v>
                </c:pt>
                <c:pt idx="13">
                  <c:v>0.378640776699029</c:v>
                </c:pt>
                <c:pt idx="14">
                  <c:v>0.359649122807017</c:v>
                </c:pt>
                <c:pt idx="15">
                  <c:v>0.351528384279476</c:v>
                </c:pt>
                <c:pt idx="16">
                  <c:v>0.355691056910569</c:v>
                </c:pt>
                <c:pt idx="17">
                  <c:v>0.353430353430353</c:v>
                </c:pt>
                <c:pt idx="18">
                  <c:v>0.38830297219559</c:v>
                </c:pt>
                <c:pt idx="19">
                  <c:v>0.404170804369414</c:v>
                </c:pt>
                <c:pt idx="20">
                  <c:v>0.399098083427283</c:v>
                </c:pt>
                <c:pt idx="21">
                  <c:v>0.382268827454719</c:v>
                </c:pt>
                <c:pt idx="22">
                  <c:v>0.366830065359477</c:v>
                </c:pt>
                <c:pt idx="23">
                  <c:v>0.386685552407932</c:v>
                </c:pt>
                <c:pt idx="24">
                  <c:v>0.46624913013222</c:v>
                </c:pt>
                <c:pt idx="25">
                  <c:v>0.418263090676884</c:v>
                </c:pt>
                <c:pt idx="26">
                  <c:v>0.418864097363083</c:v>
                </c:pt>
                <c:pt idx="27">
                  <c:v>0.406317611423626</c:v>
                </c:pt>
                <c:pt idx="28">
                  <c:v>0.393046107331822</c:v>
                </c:pt>
                <c:pt idx="29">
                  <c:v>0.409027291812456</c:v>
                </c:pt>
                <c:pt idx="30">
                  <c:v>0.403487429034874</c:v>
                </c:pt>
                <c:pt idx="31">
                  <c:v>0.342760180995475</c:v>
                </c:pt>
                <c:pt idx="32">
                  <c:v>0.287916666666667</c:v>
                </c:pt>
                <c:pt idx="33">
                  <c:v>0.288691492996242</c:v>
                </c:pt>
                <c:pt idx="34">
                  <c:v>0.28514963297572</c:v>
                </c:pt>
                <c:pt idx="35">
                  <c:v>0.282119914346895</c:v>
                </c:pt>
                <c:pt idx="36">
                  <c:v>0.33021897810219</c:v>
                </c:pt>
                <c:pt idx="37">
                  <c:v>0.345653305570016</c:v>
                </c:pt>
                <c:pt idx="38">
                  <c:v>0.338248638838475</c:v>
                </c:pt>
                <c:pt idx="39">
                  <c:v>0.342197340797761</c:v>
                </c:pt>
                <c:pt idx="40">
                  <c:v>0.338935574229692</c:v>
                </c:pt>
                <c:pt idx="41">
                  <c:v>0.302643171806167</c:v>
                </c:pt>
                <c:pt idx="42">
                  <c:v>0.311243331965531</c:v>
                </c:pt>
                <c:pt idx="43">
                  <c:v>0.324646724169572</c:v>
                </c:pt>
                <c:pt idx="44">
                  <c:v>0.296464876346533</c:v>
                </c:pt>
                <c:pt idx="45">
                  <c:v>0.295494050006685</c:v>
                </c:pt>
                <c:pt idx="46">
                  <c:v>0.292500888520317</c:v>
                </c:pt>
                <c:pt idx="47">
                  <c:v>0.279704560051381</c:v>
                </c:pt>
                <c:pt idx="48">
                  <c:v>0.292807424593968</c:v>
                </c:pt>
                <c:pt idx="49">
                  <c:v>0.29301135099043</c:v>
                </c:pt>
                <c:pt idx="50">
                  <c:v>0.326056502451553</c:v>
                </c:pt>
                <c:pt idx="51">
                  <c:v>0.267564102564103</c:v>
                </c:pt>
                <c:pt idx="52">
                  <c:v>0.205549845837616</c:v>
                </c:pt>
                <c:pt idx="53">
                  <c:v>0.222915242652085</c:v>
                </c:pt>
                <c:pt idx="54" formatCode="0.0%">
                  <c:v>0.229756874696959</c:v>
                </c:pt>
                <c:pt idx="55" formatCode="0.0%">
                  <c:v>0.27251057743877</c:v>
                </c:pt>
                <c:pt idx="56" formatCode="0.0%">
                  <c:v>0.26973508161627</c:v>
                </c:pt>
                <c:pt idx="57" formatCode="0.0%">
                  <c:v>0.272276942572432</c:v>
                </c:pt>
                <c:pt idx="58" formatCode="0.0%">
                  <c:v>0.229316900485119</c:v>
                </c:pt>
                <c:pt idx="59" formatCode="0.0%">
                  <c:v>0.184418208220216</c:v>
                </c:pt>
                <c:pt idx="60" formatCode="0.0%">
                  <c:v>0.194308491851254</c:v>
                </c:pt>
                <c:pt idx="61" formatCode="0.0%">
                  <c:v>0.184238500193274</c:v>
                </c:pt>
                <c:pt idx="62" formatCode="0.0%">
                  <c:v>0.19194937598875</c:v>
                </c:pt>
                <c:pt idx="63" formatCode="0.0%">
                  <c:v>0.202896059811799</c:v>
                </c:pt>
                <c:pt idx="64" formatCode="0.0%">
                  <c:v>0.210847318870242</c:v>
                </c:pt>
                <c:pt idx="65" formatCode="0.0%">
                  <c:v>0.2052016578416</c:v>
                </c:pt>
                <c:pt idx="66" formatCode="0.0%">
                  <c:v>0.19175676492303</c:v>
                </c:pt>
              </c:numCache>
            </c:numRef>
          </c:val>
          <c:smooth val="0"/>
        </c:ser>
        <c:dLbls>
          <c:showLegendKey val="0"/>
          <c:showVal val="0"/>
          <c:showCatName val="0"/>
          <c:showSerName val="0"/>
          <c:showPercent val="0"/>
          <c:showBubbleSize val="0"/>
        </c:dLbls>
        <c:marker val="1"/>
        <c:smooth val="0"/>
        <c:axId val="-2101422232"/>
        <c:axId val="-2101449768"/>
      </c:lineChart>
      <c:catAx>
        <c:axId val="-2101422232"/>
        <c:scaling>
          <c:orientation val="minMax"/>
        </c:scaling>
        <c:delete val="0"/>
        <c:axPos val="b"/>
        <c:numFmt formatCode="General" sourceLinked="1"/>
        <c:majorTickMark val="out"/>
        <c:minorTickMark val="none"/>
        <c:tickLblPos val="nextTo"/>
        <c:crossAx val="-2101449768"/>
        <c:crosses val="autoZero"/>
        <c:auto val="1"/>
        <c:lblAlgn val="ctr"/>
        <c:lblOffset val="100"/>
        <c:noMultiLvlLbl val="0"/>
      </c:catAx>
      <c:valAx>
        <c:axId val="-2101449768"/>
        <c:scaling>
          <c:orientation val="minMax"/>
          <c:min val="0.1"/>
        </c:scaling>
        <c:delete val="0"/>
        <c:axPos val="l"/>
        <c:majorGridlines/>
        <c:numFmt formatCode="0.0%" sourceLinked="1"/>
        <c:majorTickMark val="out"/>
        <c:minorTickMark val="none"/>
        <c:tickLblPos val="nextTo"/>
        <c:crossAx val="-2101422232"/>
        <c:crosses val="autoZero"/>
        <c:crossBetween val="between"/>
      </c:valAx>
    </c:plotArea>
    <c:legend>
      <c:legendPos val="r"/>
      <c:layout>
        <c:manualLayout>
          <c:xMode val="edge"/>
          <c:yMode val="edge"/>
          <c:x val="0.364749082007344"/>
          <c:y val="0.0631577568515581"/>
          <c:w val="0.635250917992656"/>
          <c:h val="0.241521824559361"/>
        </c:manualLayout>
      </c:layout>
      <c:overlay val="0"/>
    </c:legend>
    <c:plotVisOnly val="1"/>
    <c:dispBlanksAs val="gap"/>
    <c:showDLblsOverMax val="0"/>
  </c:chart>
  <c:printSettings>
    <c:headerFooter/>
    <c:pageMargins b="1.0" l="0.75" r="0.75" t="1.0"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T.A16!$C$7</c:f>
              <c:strCache>
                <c:ptCount val="1"/>
                <c:pt idx="0">
                  <c:v>Oil</c:v>
                </c:pt>
              </c:strCache>
            </c:strRef>
          </c:tx>
          <c:marker>
            <c:symbol val="none"/>
          </c:marker>
          <c:cat>
            <c:numRef>
              <c:f>T.A16!$A$26:$A$59</c:f>
              <c:numCache>
                <c:formatCode>General</c:formatCode>
                <c:ptCount val="34"/>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numCache>
            </c:numRef>
          </c:cat>
          <c:val>
            <c:numRef>
              <c:f>T.A16!$C$26:$C$59</c:f>
              <c:numCache>
                <c:formatCode>0%</c:formatCode>
                <c:ptCount val="34"/>
                <c:pt idx="0">
                  <c:v>0.61337704359673</c:v>
                </c:pt>
                <c:pt idx="1">
                  <c:v>0.636668798433902</c:v>
                </c:pt>
                <c:pt idx="2">
                  <c:v>0.683413837065235</c:v>
                </c:pt>
                <c:pt idx="3">
                  <c:v>0.644048435001142</c:v>
                </c:pt>
                <c:pt idx="4">
                  <c:v>0.356794915365398</c:v>
                </c:pt>
                <c:pt idx="5">
                  <c:v>0.322598800073245</c:v>
                </c:pt>
                <c:pt idx="6">
                  <c:v>0.289798369894694</c:v>
                </c:pt>
                <c:pt idx="7">
                  <c:v>0.365831968172244</c:v>
                </c:pt>
                <c:pt idx="8">
                  <c:v>0.403741575156949</c:v>
                </c:pt>
                <c:pt idx="9">
                  <c:v>0.309289677525683</c:v>
                </c:pt>
                <c:pt idx="10">
                  <c:v>0.291083867884647</c:v>
                </c:pt>
                <c:pt idx="11">
                  <c:v>0.330905326209536</c:v>
                </c:pt>
                <c:pt idx="12">
                  <c:v>0.298161515903451</c:v>
                </c:pt>
                <c:pt idx="13">
                  <c:v>0.320104888951462</c:v>
                </c:pt>
                <c:pt idx="14">
                  <c:v>0.414049345939645</c:v>
                </c:pt>
                <c:pt idx="15">
                  <c:v>0.380787704130644</c:v>
                </c:pt>
                <c:pt idx="16">
                  <c:v>0.182140855594993</c:v>
                </c:pt>
                <c:pt idx="17">
                  <c:v>0.306930838702086</c:v>
                </c:pt>
                <c:pt idx="18">
                  <c:v>0.58867343881914</c:v>
                </c:pt>
                <c:pt idx="19">
                  <c:v>0.413961223885358</c:v>
                </c:pt>
                <c:pt idx="20">
                  <c:v>0.341559865179129</c:v>
                </c:pt>
                <c:pt idx="21">
                  <c:v>0.426132699500672</c:v>
                </c:pt>
                <c:pt idx="22">
                  <c:v>0.481705665790803</c:v>
                </c:pt>
                <c:pt idx="23">
                  <c:v>0.546292527681813</c:v>
                </c:pt>
                <c:pt idx="24">
                  <c:v>0.585741605172854</c:v>
                </c:pt>
                <c:pt idx="25">
                  <c:v>0.539063014558362</c:v>
                </c:pt>
                <c:pt idx="26">
                  <c:v>0.723604102646678</c:v>
                </c:pt>
                <c:pt idx="27">
                  <c:v>0.429160061432008</c:v>
                </c:pt>
                <c:pt idx="28">
                  <c:v>0.489616908490851</c:v>
                </c:pt>
                <c:pt idx="29">
                  <c:v>0.589560973764691</c:v>
                </c:pt>
                <c:pt idx="30">
                  <c:v>0.454855552314365</c:v>
                </c:pt>
                <c:pt idx="31">
                  <c:v>0.333511833463854</c:v>
                </c:pt>
                <c:pt idx="32">
                  <c:v>0.254582633774824</c:v>
                </c:pt>
                <c:pt idx="33">
                  <c:v>0.0</c:v>
                </c:pt>
              </c:numCache>
            </c:numRef>
          </c:val>
          <c:smooth val="0"/>
        </c:ser>
        <c:ser>
          <c:idx val="1"/>
          <c:order val="1"/>
          <c:tx>
            <c:strRef>
              <c:f>T.A16!$D$7</c:f>
              <c:strCache>
                <c:ptCount val="1"/>
                <c:pt idx="0">
                  <c:v>Non-oil</c:v>
                </c:pt>
              </c:strCache>
            </c:strRef>
          </c:tx>
          <c:marker>
            <c:symbol val="none"/>
          </c:marker>
          <c:cat>
            <c:numRef>
              <c:f>T.A16!$A$26:$A$59</c:f>
              <c:numCache>
                <c:formatCode>General</c:formatCode>
                <c:ptCount val="34"/>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numCache>
            </c:numRef>
          </c:cat>
          <c:val>
            <c:numRef>
              <c:f>T.A16!$D$26:$D$59</c:f>
              <c:numCache>
                <c:formatCode>0%</c:formatCode>
                <c:ptCount val="34"/>
                <c:pt idx="0">
                  <c:v>0.183966987069459</c:v>
                </c:pt>
                <c:pt idx="1">
                  <c:v>0.206238415229502</c:v>
                </c:pt>
                <c:pt idx="2">
                  <c:v>0.230148553266632</c:v>
                </c:pt>
                <c:pt idx="3">
                  <c:v>0.211215882316394</c:v>
                </c:pt>
                <c:pt idx="4">
                  <c:v>0.227302852381029</c:v>
                </c:pt>
                <c:pt idx="5">
                  <c:v>0.242713308953834</c:v>
                </c:pt>
                <c:pt idx="6">
                  <c:v>0.285990312693098</c:v>
                </c:pt>
                <c:pt idx="7">
                  <c:v>0.259878870018212</c:v>
                </c:pt>
                <c:pt idx="8">
                  <c:v>0.212409447746198</c:v>
                </c:pt>
                <c:pt idx="9">
                  <c:v>0.17123303628633</c:v>
                </c:pt>
                <c:pt idx="10">
                  <c:v>0.15370204538201</c:v>
                </c:pt>
                <c:pt idx="11">
                  <c:v>0.145410385970872</c:v>
                </c:pt>
                <c:pt idx="12">
                  <c:v>0.149561056082475</c:v>
                </c:pt>
                <c:pt idx="13">
                  <c:v>0.178055313505583</c:v>
                </c:pt>
                <c:pt idx="14">
                  <c:v>0.170063953040396</c:v>
                </c:pt>
                <c:pt idx="15">
                  <c:v>0.174301322143932</c:v>
                </c:pt>
                <c:pt idx="16">
                  <c:v>0.143990220523762</c:v>
                </c:pt>
                <c:pt idx="17">
                  <c:v>0.137379216376833</c:v>
                </c:pt>
                <c:pt idx="18">
                  <c:v>0.119611459944228</c:v>
                </c:pt>
                <c:pt idx="19">
                  <c:v>0.0938493781083351</c:v>
                </c:pt>
                <c:pt idx="20">
                  <c:v>0.0924442934841775</c:v>
                </c:pt>
                <c:pt idx="21">
                  <c:v>0.111895640721442</c:v>
                </c:pt>
                <c:pt idx="22">
                  <c:v>0.123521547131056</c:v>
                </c:pt>
                <c:pt idx="23">
                  <c:v>0.130854880957895</c:v>
                </c:pt>
                <c:pt idx="24">
                  <c:v>0.133525850343106</c:v>
                </c:pt>
                <c:pt idx="25">
                  <c:v>0.130626789423884</c:v>
                </c:pt>
                <c:pt idx="26">
                  <c:v>0.128386683270117</c:v>
                </c:pt>
                <c:pt idx="27">
                  <c:v>0.0892724221946594</c:v>
                </c:pt>
                <c:pt idx="28">
                  <c:v>0.0959197832340128</c:v>
                </c:pt>
                <c:pt idx="29">
                  <c:v>0.106781206220267</c:v>
                </c:pt>
                <c:pt idx="30">
                  <c:v>0.0976975962385327</c:v>
                </c:pt>
                <c:pt idx="31">
                  <c:v>0.095463312875641</c:v>
                </c:pt>
                <c:pt idx="32">
                  <c:v>0.0927947665541472</c:v>
                </c:pt>
                <c:pt idx="33">
                  <c:v>0.0</c:v>
                </c:pt>
              </c:numCache>
            </c:numRef>
          </c:val>
          <c:smooth val="0"/>
        </c:ser>
        <c:dLbls>
          <c:showLegendKey val="0"/>
          <c:showVal val="0"/>
          <c:showCatName val="0"/>
          <c:showSerName val="0"/>
          <c:showPercent val="0"/>
          <c:showBubbleSize val="0"/>
        </c:dLbls>
        <c:marker val="1"/>
        <c:smooth val="0"/>
        <c:axId val="-2113229320"/>
        <c:axId val="-2113232744"/>
      </c:lineChart>
      <c:catAx>
        <c:axId val="-2113229320"/>
        <c:scaling>
          <c:orientation val="minMax"/>
        </c:scaling>
        <c:delete val="0"/>
        <c:axPos val="b"/>
        <c:numFmt formatCode="General" sourceLinked="1"/>
        <c:majorTickMark val="out"/>
        <c:minorTickMark val="none"/>
        <c:tickLblPos val="nextTo"/>
        <c:crossAx val="-2113232744"/>
        <c:crosses val="autoZero"/>
        <c:auto val="1"/>
        <c:lblAlgn val="ctr"/>
        <c:lblOffset val="100"/>
        <c:noMultiLvlLbl val="0"/>
      </c:catAx>
      <c:valAx>
        <c:axId val="-2113232744"/>
        <c:scaling>
          <c:orientation val="minMax"/>
        </c:scaling>
        <c:delete val="0"/>
        <c:axPos val="l"/>
        <c:majorGridlines/>
        <c:numFmt formatCode="0%" sourceLinked="1"/>
        <c:majorTickMark val="out"/>
        <c:minorTickMark val="none"/>
        <c:tickLblPos val="nextTo"/>
        <c:crossAx val="-2113229320"/>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17672345675465"/>
          <c:y val="0.0529780668877776"/>
          <c:w val="0.852585589193421"/>
          <c:h val="0.896706567611693"/>
        </c:manualLayout>
      </c:layout>
      <c:lineChart>
        <c:grouping val="standard"/>
        <c:varyColors val="0"/>
        <c:ser>
          <c:idx val="0"/>
          <c:order val="0"/>
          <c:tx>
            <c:strRef>
              <c:f>'Assets(BoP)'!$BF$3</c:f>
              <c:strCache>
                <c:ptCount val="1"/>
                <c:pt idx="0">
                  <c:v>Staturoy federal corporate tax rate</c:v>
                </c:pt>
              </c:strCache>
            </c:strRef>
          </c:tx>
          <c:marker>
            <c:symbol val="none"/>
          </c:marker>
          <c:cat>
            <c:numRef>
              <c:f>'Assets(BoP)'!$A$80:$A$110</c:f>
              <c:numCache>
                <c:formatCode>General</c:formatCode>
                <c:ptCount val="31"/>
              </c:numCache>
            </c:numRef>
          </c:cat>
          <c:val>
            <c:numRef>
              <c:f>'Assets(BoP)'!$BF$80:$BF$110</c:f>
              <c:numCache>
                <c:formatCode>0.0%</c:formatCode>
                <c:ptCount val="31"/>
                <c:pt idx="0">
                  <c:v>0.34</c:v>
                </c:pt>
                <c:pt idx="1">
                  <c:v>0.34</c:v>
                </c:pt>
                <c:pt idx="2">
                  <c:v>0.34</c:v>
                </c:pt>
                <c:pt idx="3">
                  <c:v>0.34</c:v>
                </c:pt>
                <c:pt idx="4">
                  <c:v>0.34</c:v>
                </c:pt>
                <c:pt idx="5">
                  <c:v>0.35</c:v>
                </c:pt>
                <c:pt idx="6">
                  <c:v>0.35</c:v>
                </c:pt>
                <c:pt idx="7">
                  <c:v>0.35</c:v>
                </c:pt>
                <c:pt idx="8">
                  <c:v>0.35</c:v>
                </c:pt>
                <c:pt idx="9">
                  <c:v>0.35</c:v>
                </c:pt>
                <c:pt idx="10">
                  <c:v>0.35</c:v>
                </c:pt>
                <c:pt idx="11">
                  <c:v>0.35</c:v>
                </c:pt>
                <c:pt idx="12">
                  <c:v>0.35</c:v>
                </c:pt>
                <c:pt idx="13">
                  <c:v>0.35</c:v>
                </c:pt>
                <c:pt idx="14">
                  <c:v>0.35</c:v>
                </c:pt>
                <c:pt idx="15">
                  <c:v>0.35</c:v>
                </c:pt>
                <c:pt idx="16">
                  <c:v>0.35</c:v>
                </c:pt>
                <c:pt idx="17">
                  <c:v>0.35</c:v>
                </c:pt>
                <c:pt idx="18">
                  <c:v>0.35</c:v>
                </c:pt>
                <c:pt idx="19">
                  <c:v>0.35</c:v>
                </c:pt>
                <c:pt idx="20">
                  <c:v>0.35</c:v>
                </c:pt>
                <c:pt idx="21">
                  <c:v>0.35</c:v>
                </c:pt>
                <c:pt idx="22">
                  <c:v>0.35</c:v>
                </c:pt>
                <c:pt idx="23">
                  <c:v>0.35</c:v>
                </c:pt>
                <c:pt idx="24">
                  <c:v>0.35</c:v>
                </c:pt>
                <c:pt idx="25">
                  <c:v>0.35</c:v>
                </c:pt>
                <c:pt idx="26">
                  <c:v>0.35</c:v>
                </c:pt>
                <c:pt idx="27">
                  <c:v>0.35</c:v>
                </c:pt>
                <c:pt idx="28">
                  <c:v>0.35</c:v>
                </c:pt>
                <c:pt idx="29">
                  <c:v>0.35</c:v>
                </c:pt>
                <c:pt idx="30">
                  <c:v>0.21</c:v>
                </c:pt>
              </c:numCache>
            </c:numRef>
          </c:val>
          <c:smooth val="0"/>
        </c:ser>
        <c:ser>
          <c:idx val="2"/>
          <c:order val="1"/>
          <c:tx>
            <c:strRef>
              <c:f>'Assets(BoP)'!$BH$3</c:f>
              <c:strCache>
                <c:ptCount val="1"/>
                <c:pt idx="0">
                  <c:v>Effective tax rate paid to US (fed+local)</c:v>
                </c:pt>
              </c:strCache>
            </c:strRef>
          </c:tx>
          <c:marker>
            <c:symbol val="none"/>
          </c:marker>
          <c:cat>
            <c:numRef>
              <c:f>'Assets(BoP)'!$A$80:$A$110</c:f>
              <c:numCache>
                <c:formatCode>General</c:formatCode>
                <c:ptCount val="31"/>
              </c:numCache>
            </c:numRef>
          </c:cat>
          <c:val>
            <c:numRef>
              <c:f>'Assets(BoP)'!$BH$80:$BH$110</c:f>
              <c:numCache>
                <c:formatCode>0%</c:formatCode>
                <c:ptCount val="31"/>
                <c:pt idx="0">
                  <c:v>0.290957705396208</c:v>
                </c:pt>
                <c:pt idx="1">
                  <c:v>0.298084100522518</c:v>
                </c:pt>
                <c:pt idx="2">
                  <c:v>0.292353823088456</c:v>
                </c:pt>
                <c:pt idx="3">
                  <c:v>0.26245924545878</c:v>
                </c:pt>
                <c:pt idx="4">
                  <c:v>0.273317463752435</c:v>
                </c:pt>
                <c:pt idx="5">
                  <c:v>0.288807268509569</c:v>
                </c:pt>
                <c:pt idx="6">
                  <c:v>0.263851404984918</c:v>
                </c:pt>
                <c:pt idx="7">
                  <c:v>0.262597984322508</c:v>
                </c:pt>
                <c:pt idx="8">
                  <c:v>0.254120879120879</c:v>
                </c:pt>
                <c:pt idx="9">
                  <c:v>0.243449904419206</c:v>
                </c:pt>
                <c:pt idx="10">
                  <c:v>0.258452931160302</c:v>
                </c:pt>
                <c:pt idx="11">
                  <c:v>0.260044252940491</c:v>
                </c:pt>
                <c:pt idx="12">
                  <c:v>0.284368414528325</c:v>
                </c:pt>
                <c:pt idx="13">
                  <c:v>0.225837061135963</c:v>
                </c:pt>
                <c:pt idx="14">
                  <c:v>0.168638416863842</c:v>
                </c:pt>
                <c:pt idx="15">
                  <c:v>0.18743857768248</c:v>
                </c:pt>
                <c:pt idx="16">
                  <c:v>0.197705462154557</c:v>
                </c:pt>
                <c:pt idx="17">
                  <c:v>0.234704112337011</c:v>
                </c:pt>
                <c:pt idx="18">
                  <c:v>0.237581717606303</c:v>
                </c:pt>
                <c:pt idx="19">
                  <c:v>0.234131555016672</c:v>
                </c:pt>
                <c:pt idx="20">
                  <c:v>0.175087719298246</c:v>
                </c:pt>
                <c:pt idx="21">
                  <c:v>0.133194658793531</c:v>
                </c:pt>
                <c:pt idx="22">
                  <c:v>0.143255714132418</c:v>
                </c:pt>
                <c:pt idx="23">
                  <c:v>0.139668789808917</c:v>
                </c:pt>
                <c:pt idx="24">
                  <c:v>0.151108033240997</c:v>
                </c:pt>
                <c:pt idx="25">
                  <c:v>0.160208239022182</c:v>
                </c:pt>
                <c:pt idx="26">
                  <c:v>0.170895329835727</c:v>
                </c:pt>
                <c:pt idx="27">
                  <c:v>0.176808943688977</c:v>
                </c:pt>
                <c:pt idx="28">
                  <c:v>0.162551655204308</c:v>
                </c:pt>
              </c:numCache>
            </c:numRef>
          </c:val>
          <c:smooth val="0"/>
        </c:ser>
        <c:dLbls>
          <c:showLegendKey val="0"/>
          <c:showVal val="0"/>
          <c:showCatName val="0"/>
          <c:showSerName val="0"/>
          <c:showPercent val="0"/>
          <c:showBubbleSize val="0"/>
        </c:dLbls>
        <c:marker val="1"/>
        <c:smooth val="0"/>
        <c:axId val="-2101473992"/>
        <c:axId val="-2101471320"/>
      </c:lineChart>
      <c:catAx>
        <c:axId val="-2101473992"/>
        <c:scaling>
          <c:orientation val="minMax"/>
        </c:scaling>
        <c:delete val="0"/>
        <c:axPos val="b"/>
        <c:numFmt formatCode="General" sourceLinked="1"/>
        <c:majorTickMark val="out"/>
        <c:minorTickMark val="none"/>
        <c:tickLblPos val="nextTo"/>
        <c:crossAx val="-2101471320"/>
        <c:crosses val="autoZero"/>
        <c:auto val="1"/>
        <c:lblAlgn val="ctr"/>
        <c:lblOffset val="100"/>
        <c:noMultiLvlLbl val="0"/>
      </c:catAx>
      <c:valAx>
        <c:axId val="-2101471320"/>
        <c:scaling>
          <c:orientation val="minMax"/>
          <c:min val="0.125"/>
        </c:scaling>
        <c:delete val="0"/>
        <c:axPos val="l"/>
        <c:majorGridlines/>
        <c:numFmt formatCode="0.0%" sourceLinked="1"/>
        <c:majorTickMark val="out"/>
        <c:minorTickMark val="none"/>
        <c:tickLblPos val="nextTo"/>
        <c:crossAx val="-2101473992"/>
        <c:crosses val="autoZero"/>
        <c:crossBetween val="between"/>
      </c:valAx>
    </c:plotArea>
    <c:legend>
      <c:legendPos val="r"/>
      <c:layout>
        <c:manualLayout>
          <c:xMode val="edge"/>
          <c:yMode val="edge"/>
          <c:x val="0.360170047014794"/>
          <c:y val="0.07549968168236"/>
          <c:w val="0.430378275125738"/>
          <c:h val="0.262166664955281"/>
        </c:manualLayout>
      </c:layout>
      <c:overlay val="0"/>
    </c:legend>
    <c:plotVisOnly val="1"/>
    <c:dispBlanksAs val="gap"/>
    <c:showDLblsOverMax val="0"/>
  </c:chart>
  <c:printSettings>
    <c:headerFooter/>
    <c:pageMargins b="1.0" l="0.75" r="0.75" t="1.0"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9195308919718"/>
          <c:y val="0.0593607305936073"/>
          <c:w val="0.856413156688747"/>
          <c:h val="0.881278538812785"/>
        </c:manualLayout>
      </c:layout>
      <c:lineChart>
        <c:grouping val="standard"/>
        <c:varyColors val="0"/>
        <c:ser>
          <c:idx val="0"/>
          <c:order val="0"/>
          <c:tx>
            <c:strRef>
              <c:f>'Assets(BoP)'!$NU$3</c:f>
              <c:strCache>
                <c:ptCount val="1"/>
                <c:pt idx="0">
                  <c:v>Return on DI equitiy assets (at market-value), no CCAdj</c:v>
                </c:pt>
              </c:strCache>
            </c:strRef>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'Assets(BoP)'!$NU$58:$NU$108</c:f>
              <c:numCache>
                <c:formatCode>0.0%</c:formatCode>
                <c:ptCount val="51"/>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0.117439052817227</c:v>
                </c:pt>
                <c:pt idx="17">
                  <c:v>0.107841524987841</c:v>
                </c:pt>
                <c:pt idx="18">
                  <c:v>0.121372241657929</c:v>
                </c:pt>
                <c:pt idx="19">
                  <c:v>0.0813375687365838</c:v>
                </c:pt>
                <c:pt idx="20">
                  <c:v>0.0635100731087272</c:v>
                </c:pt>
                <c:pt idx="21">
                  <c:v>0.0715333277012756</c:v>
                </c:pt>
                <c:pt idx="22">
                  <c:v>0.0781363487265997</c:v>
                </c:pt>
                <c:pt idx="23">
                  <c:v>0.0668202564443676</c:v>
                </c:pt>
                <c:pt idx="24">
                  <c:v>0.0798439506004522</c:v>
                </c:pt>
                <c:pt idx="25">
                  <c:v>0.0632679325314641</c:v>
                </c:pt>
                <c:pt idx="26">
                  <c:v>0.0647851253981832</c:v>
                </c:pt>
                <c:pt idx="27">
                  <c:v>0.057566654261852</c:v>
                </c:pt>
                <c:pt idx="28">
                  <c:v>0.0632618248884301</c:v>
                </c:pt>
                <c:pt idx="29">
                  <c:v>0.065015475133708</c:v>
                </c:pt>
                <c:pt idx="30">
                  <c:v>0.0593328270140796</c:v>
                </c:pt>
                <c:pt idx="31">
                  <c:v>0.0568706230573076</c:v>
                </c:pt>
                <c:pt idx="32">
                  <c:v>0.0401948429379298</c:v>
                </c:pt>
                <c:pt idx="33">
                  <c:v>0.0409986273689272</c:v>
                </c:pt>
                <c:pt idx="34">
                  <c:v>0.0505526588395755</c:v>
                </c:pt>
                <c:pt idx="35">
                  <c:v>0.0485258540069507</c:v>
                </c:pt>
                <c:pt idx="36">
                  <c:v>0.0649776372064713</c:v>
                </c:pt>
                <c:pt idx="37">
                  <c:v>0.0624975720393104</c:v>
                </c:pt>
                <c:pt idx="38">
                  <c:v>0.0701188596913149</c:v>
                </c:pt>
                <c:pt idx="39">
                  <c:v>0.0771306774530035</c:v>
                </c:pt>
                <c:pt idx="40">
                  <c:v>0.0694702117993126</c:v>
                </c:pt>
                <c:pt idx="41">
                  <c:v>0.0673429886025605</c:v>
                </c:pt>
                <c:pt idx="42">
                  <c:v>0.131399140821823</c:v>
                </c:pt>
                <c:pt idx="43">
                  <c:v>0.0813982010549209</c:v>
                </c:pt>
                <c:pt idx="44">
                  <c:v>0.089118668643215</c:v>
                </c:pt>
                <c:pt idx="45">
                  <c:v>0.102090437800286</c:v>
                </c:pt>
                <c:pt idx="46">
                  <c:v>0.086017462245894</c:v>
                </c:pt>
                <c:pt idx="47">
                  <c:v>0.0727818761998848</c:v>
                </c:pt>
                <c:pt idx="48">
                  <c:v>0.0723160051714127</c:v>
                </c:pt>
                <c:pt idx="49">
                  <c:v>0.0686482448247313</c:v>
                </c:pt>
                <c:pt idx="50">
                  <c:v>0.0647531387640397</c:v>
                </c:pt>
              </c:numCache>
            </c:numRef>
          </c:val>
          <c:smooth val="0"/>
        </c:ser>
        <c:ser>
          <c:idx val="1"/>
          <c:order val="1"/>
          <c:tx>
            <c:strRef>
              <c:f>'Assets(BoP)'!$NY$3</c:f>
              <c:strCache>
                <c:ptCount val="1"/>
                <c:pt idx="0">
                  <c:v>Return on DI equity liab (at MV), no CCAdj</c:v>
                </c:pt>
              </c:strCache>
            </c:strRef>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'Assets(BoP)'!$NY$58:$NY$108</c:f>
              <c:numCache>
                <c:formatCode>0.0%</c:formatCode>
                <c:ptCount val="51"/>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0.0101721913057505</c:v>
                </c:pt>
                <c:pt idx="17">
                  <c:v>0.0244527971880965</c:v>
                </c:pt>
                <c:pt idx="18">
                  <c:v>0.0498376275236665</c:v>
                </c:pt>
                <c:pt idx="19">
                  <c:v>0.0261218402631259</c:v>
                </c:pt>
                <c:pt idx="20">
                  <c:v>0.0200960548565466</c:v>
                </c:pt>
                <c:pt idx="21">
                  <c:v>0.021765341759521</c:v>
                </c:pt>
                <c:pt idx="22">
                  <c:v>0.025837364601956</c:v>
                </c:pt>
                <c:pt idx="23">
                  <c:v>0.000655050748696991</c:v>
                </c:pt>
                <c:pt idx="24">
                  <c:v>-0.0124158748540565</c:v>
                </c:pt>
                <c:pt idx="25">
                  <c:v>-0.020354465213531</c:v>
                </c:pt>
                <c:pt idx="26">
                  <c:v>-0.00922896331650593</c:v>
                </c:pt>
                <c:pt idx="27">
                  <c:v>0.00150688507158905</c:v>
                </c:pt>
                <c:pt idx="28">
                  <c:v>0.0222563106298127</c:v>
                </c:pt>
                <c:pt idx="29">
                  <c:v>0.0261927195845015</c:v>
                </c:pt>
                <c:pt idx="30">
                  <c:v>0.0197394873125133</c:v>
                </c:pt>
                <c:pt idx="31">
                  <c:v>0.0211002906837172</c:v>
                </c:pt>
                <c:pt idx="32">
                  <c:v>0.0111847150178867</c:v>
                </c:pt>
                <c:pt idx="33">
                  <c:v>0.0122564147433291</c:v>
                </c:pt>
                <c:pt idx="34">
                  <c:v>0.0114221758360936</c:v>
                </c:pt>
                <c:pt idx="35">
                  <c:v>-0.00800333503070269</c:v>
                </c:pt>
                <c:pt idx="36">
                  <c:v>0.00712730140508106</c:v>
                </c:pt>
                <c:pt idx="37">
                  <c:v>0.020946941809214</c:v>
                </c:pt>
                <c:pt idx="38">
                  <c:v>0.0308148064152628</c:v>
                </c:pt>
                <c:pt idx="39">
                  <c:v>0.0382695788856607</c:v>
                </c:pt>
                <c:pt idx="40">
                  <c:v>0.0436296485860452</c:v>
                </c:pt>
                <c:pt idx="41">
                  <c:v>0.031178884479258</c:v>
                </c:pt>
                <c:pt idx="42">
                  <c:v>0.0505511600053586</c:v>
                </c:pt>
                <c:pt idx="43">
                  <c:v>0.0294701342654305</c:v>
                </c:pt>
                <c:pt idx="44">
                  <c:v>0.0414724192922012</c:v>
                </c:pt>
                <c:pt idx="45">
                  <c:v>0.0476798315030309</c:v>
                </c:pt>
                <c:pt idx="46">
                  <c:v>0.0392544388017833</c:v>
                </c:pt>
                <c:pt idx="47">
                  <c:v>0.0319030179941736</c:v>
                </c:pt>
                <c:pt idx="48">
                  <c:v>0.0310156641921404</c:v>
                </c:pt>
                <c:pt idx="49">
                  <c:v>0.0237013485881783</c:v>
                </c:pt>
                <c:pt idx="50">
                  <c:v>0.0219422495028962</c:v>
                </c:pt>
              </c:numCache>
            </c:numRef>
          </c:val>
          <c:smooth val="0"/>
        </c:ser>
        <c:dLbls>
          <c:showLegendKey val="0"/>
          <c:showVal val="0"/>
          <c:showCatName val="0"/>
          <c:showSerName val="0"/>
          <c:showPercent val="0"/>
          <c:showBubbleSize val="0"/>
        </c:dLbls>
        <c:marker val="1"/>
        <c:smooth val="0"/>
        <c:axId val="-2101493880"/>
        <c:axId val="-2101490872"/>
      </c:lineChart>
      <c:catAx>
        <c:axId val="-2101493880"/>
        <c:scaling>
          <c:orientation val="minMax"/>
        </c:scaling>
        <c:delete val="0"/>
        <c:axPos val="b"/>
        <c:numFmt formatCode="General" sourceLinked="1"/>
        <c:majorTickMark val="out"/>
        <c:minorTickMark val="none"/>
        <c:tickLblPos val="nextTo"/>
        <c:crossAx val="-2101490872"/>
        <c:crosses val="autoZero"/>
        <c:auto val="1"/>
        <c:lblAlgn val="ctr"/>
        <c:lblOffset val="100"/>
        <c:noMultiLvlLbl val="0"/>
      </c:catAx>
      <c:valAx>
        <c:axId val="-2101490872"/>
        <c:scaling>
          <c:orientation val="minMax"/>
        </c:scaling>
        <c:delete val="0"/>
        <c:axPos val="l"/>
        <c:majorGridlines/>
        <c:numFmt formatCode="0.0%" sourceLinked="1"/>
        <c:majorTickMark val="out"/>
        <c:minorTickMark val="none"/>
        <c:tickLblPos val="nextTo"/>
        <c:crossAx val="-2101493880"/>
        <c:crosses val="autoZero"/>
        <c:crossBetween val="between"/>
      </c:valAx>
    </c:plotArea>
    <c:legend>
      <c:legendPos val="r"/>
      <c:layout>
        <c:manualLayout>
          <c:xMode val="edge"/>
          <c:yMode val="edge"/>
          <c:x val="0.199974279719333"/>
          <c:y val="0.0559418257649301"/>
          <c:w val="0.7762161857275"/>
          <c:h val="0.212317261712149"/>
        </c:manualLayout>
      </c:layout>
      <c:overlay val="0"/>
    </c:legend>
    <c:plotVisOnly val="1"/>
    <c:dispBlanksAs val="gap"/>
    <c:showDLblsOverMax val="0"/>
  </c:chart>
  <c:printSettings>
    <c:headerFooter/>
    <c:pageMargins b="1.0" l="0.75" r="0.75" t="1.0"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18608697619694"/>
          <c:y val="0.0619047619047619"/>
          <c:w val="0.844287718345552"/>
          <c:h val="0.876190476190476"/>
        </c:manualLayout>
      </c:layout>
      <c:lineChart>
        <c:grouping val="standard"/>
        <c:varyColors val="0"/>
        <c:ser>
          <c:idx val="0"/>
          <c:order val="0"/>
          <c:tx>
            <c:strRef>
              <c:f>'Assets(BoP)'!$NV$3</c:f>
              <c:strCache>
                <c:ptCount val="1"/>
                <c:pt idx="0">
                  <c:v>Return on DI equitiy assets (at current cost), no CCAdj</c:v>
                </c:pt>
              </c:strCache>
            </c:strRef>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'Assets(BoP)'!$NV$58:$NV$108</c:f>
              <c:numCache>
                <c:formatCode>0.0%</c:formatCode>
                <c:ptCount val="51"/>
                <c:pt idx="0">
                  <c:v>0.0952202715719214</c:v>
                </c:pt>
                <c:pt idx="1">
                  <c:v>0.0904549047650517</c:v>
                </c:pt>
                <c:pt idx="2">
                  <c:v>0.0946232642196</c:v>
                </c:pt>
                <c:pt idx="3">
                  <c:v>0.0968361838974706</c:v>
                </c:pt>
                <c:pt idx="4">
                  <c:v>0.0913913824707566</c:v>
                </c:pt>
                <c:pt idx="5">
                  <c:v>0.0931152593970846</c:v>
                </c:pt>
                <c:pt idx="6">
                  <c:v>0.0924807157065864</c:v>
                </c:pt>
                <c:pt idx="7">
                  <c:v>0.140321554770803</c:v>
                </c:pt>
                <c:pt idx="8">
                  <c:v>0.152055345111698</c:v>
                </c:pt>
                <c:pt idx="9">
                  <c:v>0.11796603993172</c:v>
                </c:pt>
                <c:pt idx="10">
                  <c:v>0.0920010214989254</c:v>
                </c:pt>
                <c:pt idx="11">
                  <c:v>0.0798922864256248</c:v>
                </c:pt>
                <c:pt idx="12">
                  <c:v>0.0895540127108811</c:v>
                </c:pt>
                <c:pt idx="13">
                  <c:v>0.114156440752313</c:v>
                </c:pt>
                <c:pt idx="14">
                  <c:v>0.0953667499391677</c:v>
                </c:pt>
                <c:pt idx="15">
                  <c:v>0.0786515118460603</c:v>
                </c:pt>
                <c:pt idx="16">
                  <c:v>0.0655482565960664</c:v>
                </c:pt>
                <c:pt idx="17">
                  <c:v>0.0761727052543127</c:v>
                </c:pt>
                <c:pt idx="18">
                  <c:v>0.085977409328457</c:v>
                </c:pt>
                <c:pt idx="19">
                  <c:v>0.077233402294527</c:v>
                </c:pt>
                <c:pt idx="20">
                  <c:v>0.0766957219838944</c:v>
                </c:pt>
                <c:pt idx="21">
                  <c:v>0.0833031631472488</c:v>
                </c:pt>
                <c:pt idx="22">
                  <c:v>0.101374547596204</c:v>
                </c:pt>
                <c:pt idx="23">
                  <c:v>0.0990669158823377</c:v>
                </c:pt>
                <c:pt idx="24">
                  <c:v>0.0933627598484169</c:v>
                </c:pt>
                <c:pt idx="25">
                  <c:v>0.0802242928116458</c:v>
                </c:pt>
                <c:pt idx="26">
                  <c:v>0.0774020013542999</c:v>
                </c:pt>
                <c:pt idx="27">
                  <c:v>0.0868273024682255</c:v>
                </c:pt>
                <c:pt idx="28">
                  <c:v>0.0918431857592857</c:v>
                </c:pt>
                <c:pt idx="29">
                  <c:v>0.102600207649177</c:v>
                </c:pt>
                <c:pt idx="30">
                  <c:v>0.0991366594360086</c:v>
                </c:pt>
                <c:pt idx="31">
                  <c:v>0.103271572281753</c:v>
                </c:pt>
                <c:pt idx="32">
                  <c:v>0.0799259642391585</c:v>
                </c:pt>
                <c:pt idx="33">
                  <c:v>0.0868750469666467</c:v>
                </c:pt>
                <c:pt idx="34">
                  <c:v>0.0917579228528117</c:v>
                </c:pt>
                <c:pt idx="35">
                  <c:v>0.0666437232901565</c:v>
                </c:pt>
                <c:pt idx="36">
                  <c:v>0.0684825820922109</c:v>
                </c:pt>
                <c:pt idx="37">
                  <c:v>0.082006851110126</c:v>
                </c:pt>
                <c:pt idx="38">
                  <c:v>0.0913926886671257</c:v>
                </c:pt>
                <c:pt idx="39">
                  <c:v>0.100826632325978</c:v>
                </c:pt>
                <c:pt idx="40">
                  <c:v>0.100651189844394</c:v>
                </c:pt>
                <c:pt idx="41">
                  <c:v>0.0968724234254039</c:v>
                </c:pt>
                <c:pt idx="42">
                  <c:v>0.102458758829025</c:v>
                </c:pt>
                <c:pt idx="43">
                  <c:v>0.0838729699340113</c:v>
                </c:pt>
                <c:pt idx="44">
                  <c:v>0.0980715949029939</c:v>
                </c:pt>
                <c:pt idx="45">
                  <c:v>0.0971811182584449</c:v>
                </c:pt>
                <c:pt idx="46">
                  <c:v>0.0877577218553783</c:v>
                </c:pt>
                <c:pt idx="47">
                  <c:v>0.0864599263564659</c:v>
                </c:pt>
                <c:pt idx="48">
                  <c:v>0.0809413252386696</c:v>
                </c:pt>
                <c:pt idx="49">
                  <c:v>0.0714124598413875</c:v>
                </c:pt>
                <c:pt idx="50">
                  <c:v>0.0677462134952055</c:v>
                </c:pt>
              </c:numCache>
            </c:numRef>
          </c:val>
          <c:smooth val="0"/>
        </c:ser>
        <c:ser>
          <c:idx val="1"/>
          <c:order val="1"/>
          <c:tx>
            <c:strRef>
              <c:f>'Assets(BoP)'!$NZ$3</c:f>
              <c:strCache>
                <c:ptCount val="1"/>
                <c:pt idx="0">
                  <c:v>Return on DI equitiy liab (at current cost), no CCAdj</c:v>
                </c:pt>
              </c:strCache>
            </c:strRef>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'Assets(BoP)'!$NZ$58:$NZ$108</c:f>
              <c:numCache>
                <c:formatCode>0.0%</c:formatCode>
                <c:ptCount val="51"/>
                <c:pt idx="0">
                  <c:v>0.0951769768590563</c:v>
                </c:pt>
                <c:pt idx="1">
                  <c:v>0.101286865678588</c:v>
                </c:pt>
                <c:pt idx="2">
                  <c:v>0.100225939246524</c:v>
                </c:pt>
                <c:pt idx="3">
                  <c:v>0.0869248693490665</c:v>
                </c:pt>
                <c:pt idx="4">
                  <c:v>0.0792473876997316</c:v>
                </c:pt>
                <c:pt idx="5">
                  <c:v>0.102341516249061</c:v>
                </c:pt>
                <c:pt idx="6">
                  <c:v>0.10435077595902</c:v>
                </c:pt>
                <c:pt idx="7">
                  <c:v>0.10805604466752</c:v>
                </c:pt>
                <c:pt idx="8">
                  <c:v>0.0705170401044883</c:v>
                </c:pt>
                <c:pt idx="9">
                  <c:v>0.106137118572789</c:v>
                </c:pt>
                <c:pt idx="10">
                  <c:v>0.0783701345340441</c:v>
                </c:pt>
                <c:pt idx="11">
                  <c:v>0.0612530791857198</c:v>
                </c:pt>
                <c:pt idx="12">
                  <c:v>0.0733927964765497</c:v>
                </c:pt>
                <c:pt idx="13">
                  <c:v>0.0799459159804757</c:v>
                </c:pt>
                <c:pt idx="14">
                  <c:v>0.0526961338046132</c:v>
                </c:pt>
                <c:pt idx="15">
                  <c:v>0.039785747488111</c:v>
                </c:pt>
                <c:pt idx="16">
                  <c:v>0.00656875382472038</c:v>
                </c:pt>
                <c:pt idx="17">
                  <c:v>0.0182533754307558</c:v>
                </c:pt>
                <c:pt idx="18">
                  <c:v>0.0358068510111432</c:v>
                </c:pt>
                <c:pt idx="19">
                  <c:v>0.0225697219114592</c:v>
                </c:pt>
                <c:pt idx="20">
                  <c:v>0.0190544336672497</c:v>
                </c:pt>
                <c:pt idx="21">
                  <c:v>0.0202223492691369</c:v>
                </c:pt>
                <c:pt idx="22">
                  <c:v>0.0249965026516259</c:v>
                </c:pt>
                <c:pt idx="23">
                  <c:v>0.000778046177181055</c:v>
                </c:pt>
                <c:pt idx="24">
                  <c:v>-0.013514455973405</c:v>
                </c:pt>
                <c:pt idx="25">
                  <c:v>-0.0269399274419225</c:v>
                </c:pt>
                <c:pt idx="26">
                  <c:v>-0.0126138291040229</c:v>
                </c:pt>
                <c:pt idx="27">
                  <c:v>0.00209398685305597</c:v>
                </c:pt>
                <c:pt idx="28">
                  <c:v>0.0286881943483121</c:v>
                </c:pt>
                <c:pt idx="29">
                  <c:v>0.0418548712864015</c:v>
                </c:pt>
                <c:pt idx="30">
                  <c:v>0.0357553393040236</c:v>
                </c:pt>
                <c:pt idx="31">
                  <c:v>0.0477189880093691</c:v>
                </c:pt>
                <c:pt idx="32">
                  <c:v>0.0309768843486547</c:v>
                </c:pt>
                <c:pt idx="33">
                  <c:v>0.0364642471813766</c:v>
                </c:pt>
                <c:pt idx="34">
                  <c:v>0.0248678730336529</c:v>
                </c:pt>
                <c:pt idx="35">
                  <c:v>-0.0147240180873725</c:v>
                </c:pt>
                <c:pt idx="36">
                  <c:v>0.00973178120986597</c:v>
                </c:pt>
                <c:pt idx="37">
                  <c:v>0.0334000279117184</c:v>
                </c:pt>
                <c:pt idx="38">
                  <c:v>0.0488869547043674</c:v>
                </c:pt>
                <c:pt idx="39">
                  <c:v>0.0568182837112352</c:v>
                </c:pt>
                <c:pt idx="40">
                  <c:v>0.0679771614042583</c:v>
                </c:pt>
                <c:pt idx="41">
                  <c:v>0.0480528966477361</c:v>
                </c:pt>
                <c:pt idx="42">
                  <c:v>0.0478632899338382</c:v>
                </c:pt>
                <c:pt idx="43">
                  <c:v>0.035637509025427</c:v>
                </c:pt>
                <c:pt idx="44">
                  <c:v>0.0528648765378885</c:v>
                </c:pt>
                <c:pt idx="45">
                  <c:v>0.0575318510304279</c:v>
                </c:pt>
                <c:pt idx="46">
                  <c:v>0.0504334841594921</c:v>
                </c:pt>
                <c:pt idx="47">
                  <c:v>0.0503441645454936</c:v>
                </c:pt>
                <c:pt idx="48">
                  <c:v>0.0509629409857567</c:v>
                </c:pt>
                <c:pt idx="49">
                  <c:v>0.036498755041717</c:v>
                </c:pt>
                <c:pt idx="50">
                  <c:v>0.0350608231500949</c:v>
                </c:pt>
              </c:numCache>
            </c:numRef>
          </c:val>
          <c:smooth val="0"/>
        </c:ser>
        <c:dLbls>
          <c:showLegendKey val="0"/>
          <c:showVal val="0"/>
          <c:showCatName val="0"/>
          <c:showSerName val="0"/>
          <c:showPercent val="0"/>
          <c:showBubbleSize val="0"/>
        </c:dLbls>
        <c:marker val="1"/>
        <c:smooth val="0"/>
        <c:axId val="-2101527000"/>
        <c:axId val="-2101523960"/>
      </c:lineChart>
      <c:catAx>
        <c:axId val="-2101527000"/>
        <c:scaling>
          <c:orientation val="minMax"/>
        </c:scaling>
        <c:delete val="0"/>
        <c:axPos val="b"/>
        <c:numFmt formatCode="General" sourceLinked="1"/>
        <c:majorTickMark val="out"/>
        <c:minorTickMark val="none"/>
        <c:tickLblPos val="nextTo"/>
        <c:crossAx val="-2101523960"/>
        <c:crosses val="autoZero"/>
        <c:auto val="1"/>
        <c:lblAlgn val="ctr"/>
        <c:lblOffset val="100"/>
        <c:noMultiLvlLbl val="0"/>
      </c:catAx>
      <c:valAx>
        <c:axId val="-2101523960"/>
        <c:scaling>
          <c:orientation val="minMax"/>
        </c:scaling>
        <c:delete val="0"/>
        <c:axPos val="l"/>
        <c:majorGridlines/>
        <c:numFmt formatCode="0.0%" sourceLinked="1"/>
        <c:majorTickMark val="out"/>
        <c:minorTickMark val="none"/>
        <c:tickLblPos val="nextTo"/>
        <c:crossAx val="-2101527000"/>
        <c:crosses val="autoZero"/>
        <c:crossBetween val="between"/>
      </c:valAx>
    </c:plotArea>
    <c:legend>
      <c:legendPos val="r"/>
      <c:layout>
        <c:manualLayout>
          <c:xMode val="edge"/>
          <c:yMode val="edge"/>
          <c:x val="0.0979538872296135"/>
          <c:y val="0.0226250468691414"/>
          <c:w val="0.87905760702326"/>
          <c:h val="0.249988001499812"/>
        </c:manualLayout>
      </c:layout>
      <c:overlay val="0"/>
    </c:legend>
    <c:plotVisOnly val="1"/>
    <c:dispBlanksAs val="gap"/>
    <c:showDLblsOverMax val="0"/>
  </c:chart>
  <c:printSettings>
    <c:headerFooter/>
    <c:pageMargins b="1.0" l="0.75" r="0.75" t="1.0"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14655074365704"/>
          <c:y val="0.0601851851851852"/>
          <c:w val="0.85337489063867"/>
          <c:h val="0.87962962962963"/>
        </c:manualLayout>
      </c:layout>
      <c:lineChart>
        <c:grouping val="standard"/>
        <c:varyColors val="0"/>
        <c:ser>
          <c:idx val="0"/>
          <c:order val="0"/>
          <c:tx>
            <c:strRef>
              <c:f>'Assets(BoP)'!$NY$3</c:f>
              <c:strCache>
                <c:ptCount val="1"/>
                <c:pt idx="0">
                  <c:v>Return on DI equity liab (at MV), no CCAdj</c:v>
                </c:pt>
              </c:strCache>
            </c:strRef>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'Assets(BoP)'!$NY$58:$NY$108</c:f>
              <c:numCache>
                <c:formatCode>0.0%</c:formatCode>
                <c:ptCount val="51"/>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0.0101721913057505</c:v>
                </c:pt>
                <c:pt idx="17">
                  <c:v>0.0244527971880965</c:v>
                </c:pt>
                <c:pt idx="18">
                  <c:v>0.0498376275236665</c:v>
                </c:pt>
                <c:pt idx="19">
                  <c:v>0.0261218402631259</c:v>
                </c:pt>
                <c:pt idx="20">
                  <c:v>0.0200960548565466</c:v>
                </c:pt>
                <c:pt idx="21">
                  <c:v>0.021765341759521</c:v>
                </c:pt>
                <c:pt idx="22">
                  <c:v>0.025837364601956</c:v>
                </c:pt>
                <c:pt idx="23">
                  <c:v>0.000655050748696991</c:v>
                </c:pt>
                <c:pt idx="24">
                  <c:v>-0.0124158748540565</c:v>
                </c:pt>
                <c:pt idx="25">
                  <c:v>-0.020354465213531</c:v>
                </c:pt>
                <c:pt idx="26">
                  <c:v>-0.00922896331650593</c:v>
                </c:pt>
                <c:pt idx="27">
                  <c:v>0.00150688507158905</c:v>
                </c:pt>
                <c:pt idx="28">
                  <c:v>0.0222563106298127</c:v>
                </c:pt>
                <c:pt idx="29">
                  <c:v>0.0261927195845015</c:v>
                </c:pt>
                <c:pt idx="30">
                  <c:v>0.0197394873125133</c:v>
                </c:pt>
                <c:pt idx="31">
                  <c:v>0.0211002906837172</c:v>
                </c:pt>
                <c:pt idx="32">
                  <c:v>0.0111847150178867</c:v>
                </c:pt>
                <c:pt idx="33">
                  <c:v>0.0122564147433291</c:v>
                </c:pt>
                <c:pt idx="34">
                  <c:v>0.0114221758360936</c:v>
                </c:pt>
                <c:pt idx="35">
                  <c:v>-0.00800333503070269</c:v>
                </c:pt>
                <c:pt idx="36">
                  <c:v>0.00712730140508106</c:v>
                </c:pt>
                <c:pt idx="37">
                  <c:v>0.020946941809214</c:v>
                </c:pt>
                <c:pt idx="38">
                  <c:v>0.0308148064152628</c:v>
                </c:pt>
                <c:pt idx="39">
                  <c:v>0.0382695788856607</c:v>
                </c:pt>
                <c:pt idx="40">
                  <c:v>0.0436296485860452</c:v>
                </c:pt>
                <c:pt idx="41">
                  <c:v>0.031178884479258</c:v>
                </c:pt>
                <c:pt idx="42">
                  <c:v>0.0505511600053586</c:v>
                </c:pt>
                <c:pt idx="43">
                  <c:v>0.0294701342654305</c:v>
                </c:pt>
                <c:pt idx="44">
                  <c:v>0.0414724192922012</c:v>
                </c:pt>
                <c:pt idx="45">
                  <c:v>0.0476798315030309</c:v>
                </c:pt>
                <c:pt idx="46">
                  <c:v>0.0392544388017833</c:v>
                </c:pt>
                <c:pt idx="47">
                  <c:v>0.0319030179941736</c:v>
                </c:pt>
                <c:pt idx="48">
                  <c:v>0.0310156641921404</c:v>
                </c:pt>
                <c:pt idx="49">
                  <c:v>0.0237013485881783</c:v>
                </c:pt>
                <c:pt idx="50">
                  <c:v>0.0219422495028962</c:v>
                </c:pt>
              </c:numCache>
            </c:numRef>
          </c:val>
          <c:smooth val="0"/>
        </c:ser>
        <c:ser>
          <c:idx val="1"/>
          <c:order val="1"/>
          <c:tx>
            <c:strRef>
              <c:f>'Assets(BoP)'!$NZ$3</c:f>
              <c:strCache>
                <c:ptCount val="1"/>
                <c:pt idx="0">
                  <c:v>Return on DI equitiy liab (at current cost), no CCAdj</c:v>
                </c:pt>
              </c:strCache>
            </c:strRef>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'Assets(BoP)'!$NZ$58:$NZ$108</c:f>
              <c:numCache>
                <c:formatCode>0.0%</c:formatCode>
                <c:ptCount val="51"/>
                <c:pt idx="0">
                  <c:v>0.0951769768590563</c:v>
                </c:pt>
                <c:pt idx="1">
                  <c:v>0.101286865678588</c:v>
                </c:pt>
                <c:pt idx="2">
                  <c:v>0.100225939246524</c:v>
                </c:pt>
                <c:pt idx="3">
                  <c:v>0.0869248693490665</c:v>
                </c:pt>
                <c:pt idx="4">
                  <c:v>0.0792473876997316</c:v>
                </c:pt>
                <c:pt idx="5">
                  <c:v>0.102341516249061</c:v>
                </c:pt>
                <c:pt idx="6">
                  <c:v>0.10435077595902</c:v>
                </c:pt>
                <c:pt idx="7">
                  <c:v>0.10805604466752</c:v>
                </c:pt>
                <c:pt idx="8">
                  <c:v>0.0705170401044883</c:v>
                </c:pt>
                <c:pt idx="9">
                  <c:v>0.106137118572789</c:v>
                </c:pt>
                <c:pt idx="10">
                  <c:v>0.0783701345340441</c:v>
                </c:pt>
                <c:pt idx="11">
                  <c:v>0.0612530791857198</c:v>
                </c:pt>
                <c:pt idx="12">
                  <c:v>0.0733927964765497</c:v>
                </c:pt>
                <c:pt idx="13">
                  <c:v>0.0799459159804757</c:v>
                </c:pt>
                <c:pt idx="14">
                  <c:v>0.0526961338046132</c:v>
                </c:pt>
                <c:pt idx="15">
                  <c:v>0.039785747488111</c:v>
                </c:pt>
                <c:pt idx="16">
                  <c:v>0.00656875382472038</c:v>
                </c:pt>
                <c:pt idx="17">
                  <c:v>0.0182533754307558</c:v>
                </c:pt>
                <c:pt idx="18">
                  <c:v>0.0358068510111432</c:v>
                </c:pt>
                <c:pt idx="19">
                  <c:v>0.0225697219114592</c:v>
                </c:pt>
                <c:pt idx="20">
                  <c:v>0.0190544336672497</c:v>
                </c:pt>
                <c:pt idx="21">
                  <c:v>0.0202223492691369</c:v>
                </c:pt>
                <c:pt idx="22">
                  <c:v>0.0249965026516259</c:v>
                </c:pt>
                <c:pt idx="23">
                  <c:v>0.000778046177181055</c:v>
                </c:pt>
                <c:pt idx="24">
                  <c:v>-0.013514455973405</c:v>
                </c:pt>
                <c:pt idx="25">
                  <c:v>-0.0269399274419225</c:v>
                </c:pt>
                <c:pt idx="26">
                  <c:v>-0.0126138291040229</c:v>
                </c:pt>
                <c:pt idx="27">
                  <c:v>0.00209398685305597</c:v>
                </c:pt>
                <c:pt idx="28">
                  <c:v>0.0286881943483121</c:v>
                </c:pt>
                <c:pt idx="29">
                  <c:v>0.0418548712864015</c:v>
                </c:pt>
                <c:pt idx="30">
                  <c:v>0.0357553393040236</c:v>
                </c:pt>
                <c:pt idx="31">
                  <c:v>0.0477189880093691</c:v>
                </c:pt>
                <c:pt idx="32">
                  <c:v>0.0309768843486547</c:v>
                </c:pt>
                <c:pt idx="33">
                  <c:v>0.0364642471813766</c:v>
                </c:pt>
                <c:pt idx="34">
                  <c:v>0.0248678730336529</c:v>
                </c:pt>
                <c:pt idx="35">
                  <c:v>-0.0147240180873725</c:v>
                </c:pt>
                <c:pt idx="36">
                  <c:v>0.00973178120986597</c:v>
                </c:pt>
                <c:pt idx="37">
                  <c:v>0.0334000279117184</c:v>
                </c:pt>
                <c:pt idx="38">
                  <c:v>0.0488869547043674</c:v>
                </c:pt>
                <c:pt idx="39">
                  <c:v>0.0568182837112352</c:v>
                </c:pt>
                <c:pt idx="40">
                  <c:v>0.0679771614042583</c:v>
                </c:pt>
                <c:pt idx="41">
                  <c:v>0.0480528966477361</c:v>
                </c:pt>
                <c:pt idx="42">
                  <c:v>0.0478632899338382</c:v>
                </c:pt>
                <c:pt idx="43">
                  <c:v>0.035637509025427</c:v>
                </c:pt>
                <c:pt idx="44">
                  <c:v>0.0528648765378885</c:v>
                </c:pt>
                <c:pt idx="45">
                  <c:v>0.0575318510304279</c:v>
                </c:pt>
                <c:pt idx="46">
                  <c:v>0.0504334841594921</c:v>
                </c:pt>
                <c:pt idx="47">
                  <c:v>0.0503441645454936</c:v>
                </c:pt>
                <c:pt idx="48">
                  <c:v>0.0509629409857567</c:v>
                </c:pt>
                <c:pt idx="49">
                  <c:v>0.036498755041717</c:v>
                </c:pt>
                <c:pt idx="50">
                  <c:v>0.0350608231500949</c:v>
                </c:pt>
              </c:numCache>
            </c:numRef>
          </c:val>
          <c:smooth val="0"/>
        </c:ser>
        <c:dLbls>
          <c:showLegendKey val="0"/>
          <c:showVal val="0"/>
          <c:showCatName val="0"/>
          <c:showSerName val="0"/>
          <c:showPercent val="0"/>
          <c:showBubbleSize val="0"/>
        </c:dLbls>
        <c:marker val="1"/>
        <c:smooth val="0"/>
        <c:axId val="-2101557896"/>
        <c:axId val="-2101554856"/>
      </c:lineChart>
      <c:catAx>
        <c:axId val="-2101557896"/>
        <c:scaling>
          <c:orientation val="minMax"/>
        </c:scaling>
        <c:delete val="0"/>
        <c:axPos val="b"/>
        <c:numFmt formatCode="General" sourceLinked="1"/>
        <c:majorTickMark val="out"/>
        <c:minorTickMark val="none"/>
        <c:tickLblPos val="nextTo"/>
        <c:crossAx val="-2101554856"/>
        <c:crosses val="autoZero"/>
        <c:auto val="1"/>
        <c:lblAlgn val="ctr"/>
        <c:lblOffset val="100"/>
        <c:noMultiLvlLbl val="0"/>
      </c:catAx>
      <c:valAx>
        <c:axId val="-2101554856"/>
        <c:scaling>
          <c:orientation val="minMax"/>
        </c:scaling>
        <c:delete val="0"/>
        <c:axPos val="l"/>
        <c:majorGridlines/>
        <c:numFmt formatCode="0.0%" sourceLinked="1"/>
        <c:majorTickMark val="out"/>
        <c:minorTickMark val="none"/>
        <c:tickLblPos val="nextTo"/>
        <c:crossAx val="-2101557896"/>
        <c:crosses val="autoZero"/>
        <c:crossBetween val="between"/>
      </c:valAx>
    </c:plotArea>
    <c:legend>
      <c:legendPos val="r"/>
      <c:layout>
        <c:manualLayout>
          <c:xMode val="edge"/>
          <c:yMode val="edge"/>
          <c:x val="0.321601049868766"/>
          <c:y val="0.0636632400116652"/>
          <c:w val="0.658954505686789"/>
          <c:h val="0.173599445902596"/>
        </c:manualLayout>
      </c:layout>
      <c:overlay val="0"/>
    </c:legend>
    <c:plotVisOnly val="1"/>
    <c:dispBlanksAs val="gap"/>
    <c:showDLblsOverMax val="0"/>
  </c:chart>
  <c:printSettings>
    <c:headerFooter/>
    <c:pageMargins b="1.0" l="0.75" r="0.75" t="1.0"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0766185476815"/>
          <c:y val="0.0694444444444444"/>
          <c:w val="0.847370953630796"/>
          <c:h val="0.785432341790609"/>
        </c:manualLayout>
      </c:layout>
      <c:lineChart>
        <c:grouping val="standard"/>
        <c:varyColors val="0"/>
        <c:ser>
          <c:idx val="0"/>
          <c:order val="0"/>
          <c:tx>
            <c:strRef>
              <c:f>'Assets(BoP)'!$OB$3</c:f>
              <c:strCache>
                <c:ptCount val="1"/>
                <c:pt idx="0">
                  <c:v>DI return differential, MV</c:v>
                </c:pt>
              </c:strCache>
            </c:strRef>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'Assets(BoP)'!$OB$58:$OB$108</c:f>
              <c:numCache>
                <c:formatCode>0.0%</c:formatCode>
                <c:ptCount val="51"/>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0.107266861511476</c:v>
                </c:pt>
                <c:pt idx="17">
                  <c:v>0.0833887277997446</c:v>
                </c:pt>
                <c:pt idx="18">
                  <c:v>0.0715346141342627</c:v>
                </c:pt>
                <c:pt idx="19">
                  <c:v>0.0552157284734579</c:v>
                </c:pt>
                <c:pt idx="20">
                  <c:v>0.0434140182521806</c:v>
                </c:pt>
                <c:pt idx="21">
                  <c:v>0.0497679859417546</c:v>
                </c:pt>
                <c:pt idx="22">
                  <c:v>0.0522989841246436</c:v>
                </c:pt>
                <c:pt idx="23">
                  <c:v>0.0661652056956706</c:v>
                </c:pt>
                <c:pt idx="24">
                  <c:v>0.0922598254545087</c:v>
                </c:pt>
                <c:pt idx="25">
                  <c:v>0.0836223977449951</c:v>
                </c:pt>
                <c:pt idx="26">
                  <c:v>0.0740140887146891</c:v>
                </c:pt>
                <c:pt idx="27">
                  <c:v>0.0560597691902629</c:v>
                </c:pt>
                <c:pt idx="28">
                  <c:v>0.0410055142586174</c:v>
                </c:pt>
                <c:pt idx="29">
                  <c:v>0.0388227555492065</c:v>
                </c:pt>
                <c:pt idx="30">
                  <c:v>0.0395933397015662</c:v>
                </c:pt>
                <c:pt idx="31">
                  <c:v>0.0357703323735904</c:v>
                </c:pt>
                <c:pt idx="32">
                  <c:v>0.0290101279200431</c:v>
                </c:pt>
                <c:pt idx="33">
                  <c:v>0.0287422126255981</c:v>
                </c:pt>
                <c:pt idx="34">
                  <c:v>0.0391304830034819</c:v>
                </c:pt>
                <c:pt idx="35">
                  <c:v>0.0565291890376534</c:v>
                </c:pt>
                <c:pt idx="36">
                  <c:v>0.0578503358013903</c:v>
                </c:pt>
                <c:pt idx="37">
                  <c:v>0.0415506302300964</c:v>
                </c:pt>
                <c:pt idx="38">
                  <c:v>0.0393040532760521</c:v>
                </c:pt>
                <c:pt idx="39">
                  <c:v>0.0388610985673428</c:v>
                </c:pt>
                <c:pt idx="40">
                  <c:v>0.0258405632132674</c:v>
                </c:pt>
                <c:pt idx="41">
                  <c:v>0.0361641041233024</c:v>
                </c:pt>
                <c:pt idx="42">
                  <c:v>0.0808479808164648</c:v>
                </c:pt>
                <c:pt idx="43">
                  <c:v>0.0519280667894905</c:v>
                </c:pt>
                <c:pt idx="44">
                  <c:v>0.0476462493510138</c:v>
                </c:pt>
                <c:pt idx="45">
                  <c:v>0.0544106062972548</c:v>
                </c:pt>
                <c:pt idx="46">
                  <c:v>0.0467630234441107</c:v>
                </c:pt>
                <c:pt idx="47">
                  <c:v>0.0408788582057112</c:v>
                </c:pt>
                <c:pt idx="48">
                  <c:v>0.0413003409792723</c:v>
                </c:pt>
                <c:pt idx="49">
                  <c:v>0.044946896236553</c:v>
                </c:pt>
                <c:pt idx="50">
                  <c:v>0.0428108892611435</c:v>
                </c:pt>
              </c:numCache>
            </c:numRef>
          </c:val>
          <c:smooth val="0"/>
        </c:ser>
        <c:ser>
          <c:idx val="1"/>
          <c:order val="1"/>
          <c:tx>
            <c:strRef>
              <c:f>'Assets(BoP)'!$OC$3</c:f>
              <c:strCache>
                <c:ptCount val="1"/>
                <c:pt idx="0">
                  <c:v>DI return differential, current cost</c:v>
                </c:pt>
              </c:strCache>
            </c:strRef>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'Assets(BoP)'!$OC$58:$OC$108</c:f>
              <c:numCache>
                <c:formatCode>0.0%</c:formatCode>
                <c:ptCount val="51"/>
                <c:pt idx="0">
                  <c:v>4.32947128651412E-5</c:v>
                </c:pt>
                <c:pt idx="1">
                  <c:v>-0.0108319609135365</c:v>
                </c:pt>
                <c:pt idx="2">
                  <c:v>-0.00560267502692391</c:v>
                </c:pt>
                <c:pt idx="3">
                  <c:v>0.00991131454840416</c:v>
                </c:pt>
                <c:pt idx="4">
                  <c:v>0.012143994771025</c:v>
                </c:pt>
                <c:pt idx="5">
                  <c:v>-0.009226256851976</c:v>
                </c:pt>
                <c:pt idx="6">
                  <c:v>-0.0118700602524335</c:v>
                </c:pt>
                <c:pt idx="7">
                  <c:v>0.0322655101032825</c:v>
                </c:pt>
                <c:pt idx="8">
                  <c:v>0.0815383050072095</c:v>
                </c:pt>
                <c:pt idx="9">
                  <c:v>0.0118289213589315</c:v>
                </c:pt>
                <c:pt idx="10">
                  <c:v>0.0136308869648813</c:v>
                </c:pt>
                <c:pt idx="11">
                  <c:v>0.018639207239905</c:v>
                </c:pt>
                <c:pt idx="12">
                  <c:v>0.0161612162343314</c:v>
                </c:pt>
                <c:pt idx="13">
                  <c:v>0.0342105247718373</c:v>
                </c:pt>
                <c:pt idx="14">
                  <c:v>0.0426706161345545</c:v>
                </c:pt>
                <c:pt idx="15">
                  <c:v>0.0388657643579494</c:v>
                </c:pt>
                <c:pt idx="16">
                  <c:v>0.058979502771346</c:v>
                </c:pt>
                <c:pt idx="17">
                  <c:v>0.0579193298235569</c:v>
                </c:pt>
                <c:pt idx="18">
                  <c:v>0.0501705583173138</c:v>
                </c:pt>
                <c:pt idx="19">
                  <c:v>0.0546636803830678</c:v>
                </c:pt>
                <c:pt idx="20">
                  <c:v>0.0576412883166447</c:v>
                </c:pt>
                <c:pt idx="21">
                  <c:v>0.063080813878112</c:v>
                </c:pt>
                <c:pt idx="22">
                  <c:v>0.0763780449445781</c:v>
                </c:pt>
                <c:pt idx="23">
                  <c:v>0.0982888697051567</c:v>
                </c:pt>
                <c:pt idx="24">
                  <c:v>0.106877215821822</c:v>
                </c:pt>
                <c:pt idx="25">
                  <c:v>0.107164220253568</c:v>
                </c:pt>
                <c:pt idx="26">
                  <c:v>0.0900158304583228</c:v>
                </c:pt>
                <c:pt idx="27">
                  <c:v>0.0847333156151695</c:v>
                </c:pt>
                <c:pt idx="28">
                  <c:v>0.0631549914109737</c:v>
                </c:pt>
                <c:pt idx="29">
                  <c:v>0.0607453363627753</c:v>
                </c:pt>
                <c:pt idx="30">
                  <c:v>0.0633813201319851</c:v>
                </c:pt>
                <c:pt idx="31">
                  <c:v>0.0555525842723836</c:v>
                </c:pt>
                <c:pt idx="32">
                  <c:v>0.0489490798905038</c:v>
                </c:pt>
                <c:pt idx="33">
                  <c:v>0.0504107997852702</c:v>
                </c:pt>
                <c:pt idx="34">
                  <c:v>0.0668900498191588</c:v>
                </c:pt>
                <c:pt idx="35">
                  <c:v>0.081367741377529</c:v>
                </c:pt>
                <c:pt idx="36">
                  <c:v>0.0587508008823449</c:v>
                </c:pt>
                <c:pt idx="37">
                  <c:v>0.0486068231984076</c:v>
                </c:pt>
                <c:pt idx="38">
                  <c:v>0.0425057339627583</c:v>
                </c:pt>
                <c:pt idx="39">
                  <c:v>0.0440083486147426</c:v>
                </c:pt>
                <c:pt idx="40">
                  <c:v>0.0326740284401356</c:v>
                </c:pt>
                <c:pt idx="41">
                  <c:v>0.0488195267776677</c:v>
                </c:pt>
                <c:pt idx="42">
                  <c:v>0.0545954688951863</c:v>
                </c:pt>
                <c:pt idx="43">
                  <c:v>0.0482354609085843</c:v>
                </c:pt>
                <c:pt idx="44">
                  <c:v>0.0452067183651054</c:v>
                </c:pt>
                <c:pt idx="45">
                  <c:v>0.0396492672280171</c:v>
                </c:pt>
                <c:pt idx="46">
                  <c:v>0.0373242376958862</c:v>
                </c:pt>
                <c:pt idx="47">
                  <c:v>0.0361157618109723</c:v>
                </c:pt>
                <c:pt idx="48">
                  <c:v>0.0299783842529128</c:v>
                </c:pt>
                <c:pt idx="49">
                  <c:v>0.0349137047996705</c:v>
                </c:pt>
                <c:pt idx="50">
                  <c:v>0.0326853903451106</c:v>
                </c:pt>
              </c:numCache>
            </c:numRef>
          </c:val>
          <c:smooth val="0"/>
        </c:ser>
        <c:dLbls>
          <c:showLegendKey val="0"/>
          <c:showVal val="0"/>
          <c:showCatName val="0"/>
          <c:showSerName val="0"/>
          <c:showPercent val="0"/>
          <c:showBubbleSize val="0"/>
        </c:dLbls>
        <c:marker val="1"/>
        <c:smooth val="0"/>
        <c:axId val="-2101630648"/>
        <c:axId val="-2101627640"/>
      </c:lineChart>
      <c:catAx>
        <c:axId val="-2101630648"/>
        <c:scaling>
          <c:orientation val="minMax"/>
        </c:scaling>
        <c:delete val="0"/>
        <c:axPos val="b"/>
        <c:numFmt formatCode="General" sourceLinked="1"/>
        <c:majorTickMark val="out"/>
        <c:minorTickMark val="none"/>
        <c:tickLblPos val="nextTo"/>
        <c:crossAx val="-2101627640"/>
        <c:crosses val="autoZero"/>
        <c:auto val="1"/>
        <c:lblAlgn val="ctr"/>
        <c:lblOffset val="100"/>
        <c:noMultiLvlLbl val="0"/>
      </c:catAx>
      <c:valAx>
        <c:axId val="-2101627640"/>
        <c:scaling>
          <c:orientation val="minMax"/>
        </c:scaling>
        <c:delete val="0"/>
        <c:axPos val="l"/>
        <c:majorGridlines/>
        <c:numFmt formatCode="0.0%" sourceLinked="1"/>
        <c:majorTickMark val="out"/>
        <c:minorTickMark val="none"/>
        <c:tickLblPos val="nextTo"/>
        <c:crossAx val="-2101630648"/>
        <c:crosses val="autoZero"/>
        <c:crossBetween val="between"/>
      </c:valAx>
    </c:plotArea>
    <c:legend>
      <c:legendPos val="r"/>
      <c:layout>
        <c:manualLayout>
          <c:xMode val="edge"/>
          <c:yMode val="edge"/>
          <c:x val="0.620646325459318"/>
          <c:y val="0.124232283464567"/>
          <c:w val="0.329353674540682"/>
          <c:h val="0.297831729367162"/>
        </c:manualLayout>
      </c:layout>
      <c:overlay val="0"/>
    </c:legend>
    <c:plotVisOnly val="1"/>
    <c:dispBlanksAs val="gap"/>
    <c:showDLblsOverMax val="0"/>
  </c:chart>
  <c:printSettings>
    <c:headerFooter/>
    <c:pageMargins b="1.0" l="0.75" r="0.75" t="1.0"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31451677616731"/>
          <c:y val="0.062200956937799"/>
          <c:w val="0.781995085009278"/>
          <c:h val="0.776937799043062"/>
        </c:manualLayout>
      </c:layout>
      <c:lineChart>
        <c:grouping val="standard"/>
        <c:varyColors val="0"/>
        <c:ser>
          <c:idx val="0"/>
          <c:order val="0"/>
          <c:tx>
            <c:v>Market value</c:v>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'Assets(BoP)'!$NU$59:$NU$108</c:f>
              <c:numCache>
                <c:formatCode>0.0%</c:formatCode>
                <c:ptCount val="50"/>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0.117439052817227</c:v>
                </c:pt>
                <c:pt idx="16">
                  <c:v>0.107841524987841</c:v>
                </c:pt>
                <c:pt idx="17">
                  <c:v>0.121372241657929</c:v>
                </c:pt>
                <c:pt idx="18">
                  <c:v>0.0813375687365838</c:v>
                </c:pt>
                <c:pt idx="19">
                  <c:v>0.0635100731087272</c:v>
                </c:pt>
                <c:pt idx="20">
                  <c:v>0.0715333277012756</c:v>
                </c:pt>
                <c:pt idx="21">
                  <c:v>0.0781363487265997</c:v>
                </c:pt>
                <c:pt idx="22">
                  <c:v>0.0668202564443676</c:v>
                </c:pt>
                <c:pt idx="23">
                  <c:v>0.0798439506004522</c:v>
                </c:pt>
                <c:pt idx="24">
                  <c:v>0.0632679325314641</c:v>
                </c:pt>
                <c:pt idx="25">
                  <c:v>0.0647851253981832</c:v>
                </c:pt>
                <c:pt idx="26">
                  <c:v>0.057566654261852</c:v>
                </c:pt>
                <c:pt idx="27">
                  <c:v>0.0632618248884301</c:v>
                </c:pt>
                <c:pt idx="28">
                  <c:v>0.065015475133708</c:v>
                </c:pt>
                <c:pt idx="29">
                  <c:v>0.0593328270140796</c:v>
                </c:pt>
                <c:pt idx="30">
                  <c:v>0.0568706230573076</c:v>
                </c:pt>
                <c:pt idx="31">
                  <c:v>0.0401948429379298</c:v>
                </c:pt>
                <c:pt idx="32">
                  <c:v>0.0409986273689272</c:v>
                </c:pt>
                <c:pt idx="33">
                  <c:v>0.0505526588395755</c:v>
                </c:pt>
                <c:pt idx="34">
                  <c:v>0.0485258540069507</c:v>
                </c:pt>
                <c:pt idx="35">
                  <c:v>0.0649776372064713</c:v>
                </c:pt>
                <c:pt idx="36">
                  <c:v>0.0624975720393104</c:v>
                </c:pt>
                <c:pt idx="37">
                  <c:v>0.0701188596913149</c:v>
                </c:pt>
                <c:pt idx="38">
                  <c:v>0.0771306774530035</c:v>
                </c:pt>
                <c:pt idx="39">
                  <c:v>0.0694702117993126</c:v>
                </c:pt>
                <c:pt idx="40">
                  <c:v>0.0673429886025605</c:v>
                </c:pt>
                <c:pt idx="41">
                  <c:v>0.131399140821823</c:v>
                </c:pt>
                <c:pt idx="42">
                  <c:v>0.0813982010549209</c:v>
                </c:pt>
                <c:pt idx="43">
                  <c:v>0.089118668643215</c:v>
                </c:pt>
                <c:pt idx="44">
                  <c:v>0.102090437800286</c:v>
                </c:pt>
                <c:pt idx="45">
                  <c:v>0.086017462245894</c:v>
                </c:pt>
                <c:pt idx="46">
                  <c:v>0.0727818761998848</c:v>
                </c:pt>
                <c:pt idx="47">
                  <c:v>0.0723160051714127</c:v>
                </c:pt>
                <c:pt idx="48">
                  <c:v>0.0686482448247313</c:v>
                </c:pt>
                <c:pt idx="49">
                  <c:v>0.0647531387640397</c:v>
                </c:pt>
              </c:numCache>
            </c:numRef>
          </c:val>
          <c:smooth val="0"/>
        </c:ser>
        <c:ser>
          <c:idx val="1"/>
          <c:order val="1"/>
          <c:tx>
            <c:v>Current cost</c:v>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'Assets(BoP)'!$NV$59:$NV$108</c:f>
              <c:numCache>
                <c:formatCode>0.0%</c:formatCode>
                <c:ptCount val="50"/>
                <c:pt idx="0">
                  <c:v>0.0904549047650517</c:v>
                </c:pt>
                <c:pt idx="1">
                  <c:v>0.0946232642196</c:v>
                </c:pt>
                <c:pt idx="2">
                  <c:v>0.0968361838974706</c:v>
                </c:pt>
                <c:pt idx="3">
                  <c:v>0.0913913824707566</c:v>
                </c:pt>
                <c:pt idx="4">
                  <c:v>0.0931152593970846</c:v>
                </c:pt>
                <c:pt idx="5">
                  <c:v>0.0924807157065864</c:v>
                </c:pt>
                <c:pt idx="6">
                  <c:v>0.140321554770803</c:v>
                </c:pt>
                <c:pt idx="7">
                  <c:v>0.152055345111698</c:v>
                </c:pt>
                <c:pt idx="8">
                  <c:v>0.11796603993172</c:v>
                </c:pt>
                <c:pt idx="9">
                  <c:v>0.0920010214989254</c:v>
                </c:pt>
                <c:pt idx="10">
                  <c:v>0.0798922864256248</c:v>
                </c:pt>
                <c:pt idx="11">
                  <c:v>0.0895540127108811</c:v>
                </c:pt>
                <c:pt idx="12">
                  <c:v>0.114156440752313</c:v>
                </c:pt>
                <c:pt idx="13">
                  <c:v>0.0953667499391677</c:v>
                </c:pt>
                <c:pt idx="14">
                  <c:v>0.0786515118460603</c:v>
                </c:pt>
                <c:pt idx="15">
                  <c:v>0.0655482565960664</c:v>
                </c:pt>
                <c:pt idx="16">
                  <c:v>0.0761727052543127</c:v>
                </c:pt>
                <c:pt idx="17">
                  <c:v>0.085977409328457</c:v>
                </c:pt>
                <c:pt idx="18">
                  <c:v>0.077233402294527</c:v>
                </c:pt>
                <c:pt idx="19">
                  <c:v>0.0766957219838944</c:v>
                </c:pt>
                <c:pt idx="20">
                  <c:v>0.0833031631472488</c:v>
                </c:pt>
                <c:pt idx="21">
                  <c:v>0.101374547596204</c:v>
                </c:pt>
                <c:pt idx="22">
                  <c:v>0.0990669158823377</c:v>
                </c:pt>
                <c:pt idx="23">
                  <c:v>0.0933627598484169</c:v>
                </c:pt>
                <c:pt idx="24">
                  <c:v>0.0802242928116458</c:v>
                </c:pt>
                <c:pt idx="25">
                  <c:v>0.0774020013542999</c:v>
                </c:pt>
                <c:pt idx="26">
                  <c:v>0.0868273024682255</c:v>
                </c:pt>
                <c:pt idx="27">
                  <c:v>0.0918431857592857</c:v>
                </c:pt>
                <c:pt idx="28">
                  <c:v>0.102600207649177</c:v>
                </c:pt>
                <c:pt idx="29">
                  <c:v>0.0991366594360086</c:v>
                </c:pt>
                <c:pt idx="30">
                  <c:v>0.103271572281753</c:v>
                </c:pt>
                <c:pt idx="31">
                  <c:v>0.0799259642391585</c:v>
                </c:pt>
                <c:pt idx="32">
                  <c:v>0.0868750469666467</c:v>
                </c:pt>
                <c:pt idx="33">
                  <c:v>0.0917579228528117</c:v>
                </c:pt>
                <c:pt idx="34">
                  <c:v>0.0666437232901565</c:v>
                </c:pt>
                <c:pt idx="35">
                  <c:v>0.0684825820922109</c:v>
                </c:pt>
                <c:pt idx="36">
                  <c:v>0.082006851110126</c:v>
                </c:pt>
                <c:pt idx="37">
                  <c:v>0.0913926886671257</c:v>
                </c:pt>
                <c:pt idx="38">
                  <c:v>0.100826632325978</c:v>
                </c:pt>
                <c:pt idx="39">
                  <c:v>0.100651189844394</c:v>
                </c:pt>
                <c:pt idx="40">
                  <c:v>0.0968724234254039</c:v>
                </c:pt>
                <c:pt idx="41">
                  <c:v>0.102458758829025</c:v>
                </c:pt>
                <c:pt idx="42">
                  <c:v>0.0838729699340113</c:v>
                </c:pt>
                <c:pt idx="43">
                  <c:v>0.0980715949029939</c:v>
                </c:pt>
                <c:pt idx="44">
                  <c:v>0.0971811182584449</c:v>
                </c:pt>
                <c:pt idx="45">
                  <c:v>0.0877577218553783</c:v>
                </c:pt>
                <c:pt idx="46">
                  <c:v>0.0864599263564659</c:v>
                </c:pt>
                <c:pt idx="47">
                  <c:v>0.0809413252386696</c:v>
                </c:pt>
                <c:pt idx="48">
                  <c:v>0.0714124598413875</c:v>
                </c:pt>
                <c:pt idx="49">
                  <c:v>0.0677462134952055</c:v>
                </c:pt>
              </c:numCache>
            </c:numRef>
          </c:val>
          <c:smooth val="0"/>
        </c:ser>
        <c:ser>
          <c:idx val="2"/>
          <c:order val="2"/>
          <c:tx>
            <c:v>Historical cost</c:v>
          </c:tx>
          <c:marker>
            <c:symbol val="none"/>
          </c:marker>
          <c:cat>
            <c:numRef>
              <c:f>'Assets(BoP)'!$B$58:$B$108</c:f>
              <c:numCache>
                <c:formatCode>General</c:formatCode>
                <c:ptCount val="51"/>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pt idx="50">
                  <c:v>2016.0</c:v>
                </c:pt>
              </c:numCache>
            </c:numRef>
          </c:cat>
          <c:val>
            <c:numRef>
              <c:f>'Assets(BoP)'!$NW$59:$NW$108</c:f>
              <c:numCache>
                <c:formatCode>0.0%</c:formatCode>
                <c:ptCount val="50"/>
                <c:pt idx="0">
                  <c:v>0.106198447422106</c:v>
                </c:pt>
                <c:pt idx="1">
                  <c:v>0.114223299754982</c:v>
                </c:pt>
                <c:pt idx="2">
                  <c:v>0.120114603164899</c:v>
                </c:pt>
                <c:pt idx="3">
                  <c:v>0.116413252393681</c:v>
                </c:pt>
                <c:pt idx="4">
                  <c:v>0.119178301762022</c:v>
                </c:pt>
                <c:pt idx="5">
                  <c:v>0.133088347020823</c:v>
                </c:pt>
                <c:pt idx="6">
                  <c:v>0.178131206374751</c:v>
                </c:pt>
                <c:pt idx="7">
                  <c:v>0.190149094816328</c:v>
                </c:pt>
                <c:pt idx="8">
                  <c:v>0.144426199917363</c:v>
                </c:pt>
                <c:pt idx="9">
                  <c:v>0.156802907654458</c:v>
                </c:pt>
                <c:pt idx="10">
                  <c:v>0.141217266220195</c:v>
                </c:pt>
                <c:pt idx="11">
                  <c:v>0.164042473884006</c:v>
                </c:pt>
                <c:pt idx="12">
                  <c:v>0.2136921131741</c:v>
                </c:pt>
                <c:pt idx="13">
                  <c:v>0.18039029895855</c:v>
                </c:pt>
                <c:pt idx="14">
                  <c:v>0.149192153780124</c:v>
                </c:pt>
                <c:pt idx="15">
                  <c:v>0.128077589060019</c:v>
                </c:pt>
                <c:pt idx="16">
                  <c:v>0.137835577598197</c:v>
                </c:pt>
                <c:pt idx="17">
                  <c:v>0.148304905583791</c:v>
                </c:pt>
                <c:pt idx="18">
                  <c:v>0.128371249716702</c:v>
                </c:pt>
                <c:pt idx="19">
                  <c:v>0.122623345798481</c:v>
                </c:pt>
                <c:pt idx="20">
                  <c:v>0.129132518140531</c:v>
                </c:pt>
                <c:pt idx="21">
                  <c:v>0.158047355856096</c:v>
                </c:pt>
                <c:pt idx="22">
                  <c:v>0.151978915696721</c:v>
                </c:pt>
                <c:pt idx="23">
                  <c:v>0.139542560716812</c:v>
                </c:pt>
                <c:pt idx="24">
                  <c:v>0.114549883609044</c:v>
                </c:pt>
                <c:pt idx="25">
                  <c:v>0.106046451696035</c:v>
                </c:pt>
                <c:pt idx="26">
                  <c:v>0.114191227111882</c:v>
                </c:pt>
                <c:pt idx="27">
                  <c:v>0.120720401043524</c:v>
                </c:pt>
                <c:pt idx="28">
                  <c:v>0.132456707018316</c:v>
                </c:pt>
                <c:pt idx="29">
                  <c:v>0.125661273825105</c:v>
                </c:pt>
                <c:pt idx="30">
                  <c:v>0.128748837011012</c:v>
                </c:pt>
                <c:pt idx="31">
                  <c:v>0.0972539956865788</c:v>
                </c:pt>
                <c:pt idx="32">
                  <c:v>0.104089779531768</c:v>
                </c:pt>
                <c:pt idx="33">
                  <c:v>0.110192698289828</c:v>
                </c:pt>
                <c:pt idx="34">
                  <c:v>0.0803194592775289</c:v>
                </c:pt>
                <c:pt idx="35">
                  <c:v>0.0833752885145076</c:v>
                </c:pt>
                <c:pt idx="36">
                  <c:v>0.100238463712167</c:v>
                </c:pt>
                <c:pt idx="37">
                  <c:v>0.112930853187605</c:v>
                </c:pt>
                <c:pt idx="38">
                  <c:v>0.129591780071916</c:v>
                </c:pt>
                <c:pt idx="39">
                  <c:v>0.129637853909177</c:v>
                </c:pt>
                <c:pt idx="40">
                  <c:v>0.122009340356454</c:v>
                </c:pt>
                <c:pt idx="41">
                  <c:v>0.125810356475102</c:v>
                </c:pt>
                <c:pt idx="42">
                  <c:v>0.0998488956991111</c:v>
                </c:pt>
                <c:pt idx="43">
                  <c:v>0.115897504597298</c:v>
                </c:pt>
                <c:pt idx="44">
                  <c:v>0.114383942324076</c:v>
                </c:pt>
                <c:pt idx="45">
                  <c:v>0.102780700046703</c:v>
                </c:pt>
                <c:pt idx="46">
                  <c:v>0.100607589121709</c:v>
                </c:pt>
                <c:pt idx="47">
                  <c:v>0.0934644952048942</c:v>
                </c:pt>
                <c:pt idx="48">
                  <c:v>0.0822814745847512</c:v>
                </c:pt>
                <c:pt idx="49">
                  <c:v>0.0777108925675754</c:v>
                </c:pt>
              </c:numCache>
            </c:numRef>
          </c:val>
          <c:smooth val="0"/>
        </c:ser>
        <c:dLbls>
          <c:showLegendKey val="0"/>
          <c:showVal val="0"/>
          <c:showCatName val="0"/>
          <c:showSerName val="0"/>
          <c:showPercent val="0"/>
          <c:showBubbleSize val="0"/>
        </c:dLbls>
        <c:marker val="1"/>
        <c:smooth val="0"/>
        <c:axId val="-2101593272"/>
        <c:axId val="-2101590264"/>
      </c:lineChart>
      <c:catAx>
        <c:axId val="-2101593272"/>
        <c:scaling>
          <c:orientation val="minMax"/>
        </c:scaling>
        <c:delete val="0"/>
        <c:axPos val="b"/>
        <c:numFmt formatCode="General" sourceLinked="1"/>
        <c:majorTickMark val="out"/>
        <c:minorTickMark val="none"/>
        <c:tickLblPos val="nextTo"/>
        <c:crossAx val="-2101590264"/>
        <c:crosses val="autoZero"/>
        <c:auto val="1"/>
        <c:lblAlgn val="ctr"/>
        <c:lblOffset val="100"/>
        <c:noMultiLvlLbl val="0"/>
      </c:catAx>
      <c:valAx>
        <c:axId val="-2101590264"/>
        <c:scaling>
          <c:orientation val="minMax"/>
        </c:scaling>
        <c:delete val="0"/>
        <c:axPos val="l"/>
        <c:majorGridlines/>
        <c:numFmt formatCode="0.0%" sourceLinked="1"/>
        <c:majorTickMark val="out"/>
        <c:minorTickMark val="none"/>
        <c:tickLblPos val="nextTo"/>
        <c:crossAx val="-2101593272"/>
        <c:crosses val="autoZero"/>
        <c:crossBetween val="between"/>
      </c:valAx>
    </c:plotArea>
    <c:legend>
      <c:legendPos val="r"/>
      <c:layout>
        <c:manualLayout>
          <c:xMode val="edge"/>
          <c:yMode val="edge"/>
          <c:x val="0.508988163899895"/>
          <c:y val="0.126198997852541"/>
          <c:w val="0.284005466673354"/>
          <c:h val="0.288271484007083"/>
        </c:manualLayout>
      </c:layout>
      <c:overlay val="0"/>
    </c:legend>
    <c:plotVisOnly val="1"/>
    <c:dispBlanksAs val="gap"/>
    <c:showDLblsOverMax val="0"/>
  </c:chart>
  <c:printSettings>
    <c:headerFooter/>
    <c:pageMargins b="1.0" l="0.75" r="0.75" t="1.0"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1729002624672"/>
          <c:y val="0.0601851851851852"/>
          <c:w val="0.843968722659667"/>
          <c:h val="0.785752209545235"/>
        </c:manualLayout>
      </c:layout>
      <c:lineChart>
        <c:grouping val="standard"/>
        <c:varyColors val="0"/>
        <c:ser>
          <c:idx val="0"/>
          <c:order val="0"/>
          <c:tx>
            <c:v>Assets</c:v>
          </c:tx>
          <c:marker>
            <c:symbol val="none"/>
          </c:marke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'Assets(BoP)'!$MR$74:$MR$108</c:f>
              <c:numCache>
                <c:formatCode>0%</c:formatCode>
                <c:ptCount val="35"/>
                <c:pt idx="0">
                  <c:v>0.5581470134818</c:v>
                </c:pt>
                <c:pt idx="1">
                  <c:v>0.706339281300974</c:v>
                </c:pt>
                <c:pt idx="2">
                  <c:v>0.708377864279481</c:v>
                </c:pt>
                <c:pt idx="3">
                  <c:v>0.949541564792176</c:v>
                </c:pt>
                <c:pt idx="4">
                  <c:v>1.207615079462966</c:v>
                </c:pt>
                <c:pt idx="5">
                  <c:v>1.16453638917966</c:v>
                </c:pt>
                <c:pt idx="6">
                  <c:v>1.297405743272126</c:v>
                </c:pt>
                <c:pt idx="7">
                  <c:v>1.48258808262458</c:v>
                </c:pt>
                <c:pt idx="8">
                  <c:v>1.169315385151898</c:v>
                </c:pt>
                <c:pt idx="9">
                  <c:v>1.268008762128415</c:v>
                </c:pt>
                <c:pt idx="10">
                  <c:v>1.194749579916234</c:v>
                </c:pt>
                <c:pt idx="11">
                  <c:v>1.508291624405968</c:v>
                </c:pt>
                <c:pt idx="12">
                  <c:v>1.451794758075068</c:v>
                </c:pt>
                <c:pt idx="13">
                  <c:v>1.578089023239061</c:v>
                </c:pt>
                <c:pt idx="14">
                  <c:v>1.6708568329718</c:v>
                </c:pt>
                <c:pt idx="15">
                  <c:v>1.815903655173385</c:v>
                </c:pt>
                <c:pt idx="16">
                  <c:v>1.988463155897456</c:v>
                </c:pt>
                <c:pt idx="17">
                  <c:v>2.118974525290798</c:v>
                </c:pt>
                <c:pt idx="18">
                  <c:v>1.815095881385734</c:v>
                </c:pt>
                <c:pt idx="19">
                  <c:v>1.373365284423653</c:v>
                </c:pt>
                <c:pt idx="20">
                  <c:v>1.053940786960324</c:v>
                </c:pt>
                <c:pt idx="21">
                  <c:v>1.312160591751379</c:v>
                </c:pt>
                <c:pt idx="22">
                  <c:v>1.303396676293152</c:v>
                </c:pt>
                <c:pt idx="23">
                  <c:v>1.307218290509797</c:v>
                </c:pt>
                <c:pt idx="24">
                  <c:v>1.44883954197747</c:v>
                </c:pt>
                <c:pt idx="25">
                  <c:v>1.438493084961196</c:v>
                </c:pt>
                <c:pt idx="26">
                  <c:v>0.779752121575574</c:v>
                </c:pt>
                <c:pt idx="27">
                  <c:v>1.030403237995648</c:v>
                </c:pt>
                <c:pt idx="28">
                  <c:v>1.100460727208816</c:v>
                </c:pt>
                <c:pt idx="29">
                  <c:v>0.951912053198904</c:v>
                </c:pt>
                <c:pt idx="30">
                  <c:v>1.020231468867444</c:v>
                </c:pt>
                <c:pt idx="31">
                  <c:v>1.187932090662466</c:v>
                </c:pt>
                <c:pt idx="32">
                  <c:v>1.119272629161581</c:v>
                </c:pt>
                <c:pt idx="33">
                  <c:v>1.040266361124216</c:v>
                </c:pt>
                <c:pt idx="34">
                  <c:v>1.046222851714919</c:v>
                </c:pt>
              </c:numCache>
            </c:numRef>
          </c:val>
          <c:smooth val="0"/>
        </c:ser>
        <c:ser>
          <c:idx val="1"/>
          <c:order val="1"/>
          <c:tx>
            <c:v>Liabilities</c:v>
          </c:tx>
          <c:marker>
            <c:symbol val="none"/>
          </c:marker>
          <c:cat>
            <c:numRef>
              <c:f>'Assets(BoP)'!$B$74:$B$108</c:f>
              <c:numCache>
                <c:formatCode>General</c:formatCode>
                <c:ptCount val="35"/>
                <c:pt idx="0">
                  <c:v>1982.0</c:v>
                </c:pt>
                <c:pt idx="1">
                  <c:v>1983.0</c:v>
                </c:pt>
                <c:pt idx="2">
                  <c:v>1984.0</c:v>
                </c:pt>
                <c:pt idx="3">
                  <c:v>1985.0</c:v>
                </c:pt>
                <c:pt idx="4">
                  <c:v>1986.0</c:v>
                </c:pt>
                <c:pt idx="5">
                  <c:v>1987.0</c:v>
                </c:pt>
                <c:pt idx="6">
                  <c:v>1988.0</c:v>
                </c:pt>
                <c:pt idx="7">
                  <c:v>1989.0</c:v>
                </c:pt>
                <c:pt idx="8">
                  <c:v>1990.0</c:v>
                </c:pt>
                <c:pt idx="9">
                  <c:v>1991.0</c:v>
                </c:pt>
                <c:pt idx="10">
                  <c:v>1992.0</c:v>
                </c:pt>
                <c:pt idx="11">
                  <c:v>1993.0</c:v>
                </c:pt>
                <c:pt idx="12">
                  <c:v>1994.0</c:v>
                </c:pt>
                <c:pt idx="13">
                  <c:v>1995.0</c:v>
                </c:pt>
                <c:pt idx="14">
                  <c:v>1996.0</c:v>
                </c:pt>
                <c:pt idx="15">
                  <c:v>1997.0</c:v>
                </c:pt>
                <c:pt idx="16">
                  <c:v>1998.0</c:v>
                </c:pt>
                <c:pt idx="17">
                  <c:v>1999.0</c:v>
                </c:pt>
                <c:pt idx="18">
                  <c:v>2000.0</c:v>
                </c:pt>
                <c:pt idx="19">
                  <c:v>2001.0</c:v>
                </c:pt>
                <c:pt idx="20">
                  <c:v>2002.0</c:v>
                </c:pt>
                <c:pt idx="21">
                  <c:v>2003.0</c:v>
                </c:pt>
                <c:pt idx="22">
                  <c:v>2004.0</c:v>
                </c:pt>
                <c:pt idx="23">
                  <c:v>2005.0</c:v>
                </c:pt>
                <c:pt idx="24">
                  <c:v>2006.0</c:v>
                </c:pt>
                <c:pt idx="25">
                  <c:v>2007.0</c:v>
                </c:pt>
                <c:pt idx="26">
                  <c:v>2008.0</c:v>
                </c:pt>
                <c:pt idx="27">
                  <c:v>2009.0</c:v>
                </c:pt>
                <c:pt idx="28">
                  <c:v>2010.0</c:v>
                </c:pt>
                <c:pt idx="29">
                  <c:v>2011.0</c:v>
                </c:pt>
                <c:pt idx="30">
                  <c:v>2012.0</c:v>
                </c:pt>
                <c:pt idx="31">
                  <c:v>2013.0</c:v>
                </c:pt>
                <c:pt idx="32">
                  <c:v>2014.0</c:v>
                </c:pt>
                <c:pt idx="33">
                  <c:v>2015.0</c:v>
                </c:pt>
                <c:pt idx="34">
                  <c:v>2016.0</c:v>
                </c:pt>
              </c:numCache>
            </c:numRef>
          </c:cat>
          <c:val>
            <c:numRef>
              <c:f>'Assets(BoP)'!$MX$74:$MX$108</c:f>
              <c:numCache>
                <c:formatCode>0%</c:formatCode>
                <c:ptCount val="35"/>
                <c:pt idx="0">
                  <c:v>0.645756025155267</c:v>
                </c:pt>
                <c:pt idx="1">
                  <c:v>0.746473922404324</c:v>
                </c:pt>
                <c:pt idx="2">
                  <c:v>0.718466262395034</c:v>
                </c:pt>
                <c:pt idx="3">
                  <c:v>0.864012985391435</c:v>
                </c:pt>
                <c:pt idx="4">
                  <c:v>0.948167876892634</c:v>
                </c:pt>
                <c:pt idx="5">
                  <c:v>0.929107821626132</c:v>
                </c:pt>
                <c:pt idx="6">
                  <c:v>0.96745558367565</c:v>
                </c:pt>
                <c:pt idx="7">
                  <c:v>1.187764732318409</c:v>
                </c:pt>
                <c:pt idx="8">
                  <c:v>1.088481974267773</c:v>
                </c:pt>
                <c:pt idx="9">
                  <c:v>1.323538946334673</c:v>
                </c:pt>
                <c:pt idx="10">
                  <c:v>1.366765547920553</c:v>
                </c:pt>
                <c:pt idx="11">
                  <c:v>1.389609753818013</c:v>
                </c:pt>
                <c:pt idx="12">
                  <c:v>1.288991460690872</c:v>
                </c:pt>
                <c:pt idx="13">
                  <c:v>1.597958209393706</c:v>
                </c:pt>
                <c:pt idx="14">
                  <c:v>1.811361092512137</c:v>
                </c:pt>
                <c:pt idx="15">
                  <c:v>2.261532256813563</c:v>
                </c:pt>
                <c:pt idx="16">
                  <c:v>2.769569073477758</c:v>
                </c:pt>
                <c:pt idx="17">
                  <c:v>2.975115312675207</c:v>
                </c:pt>
                <c:pt idx="18">
                  <c:v>2.17715919435594</c:v>
                </c:pt>
                <c:pt idx="19">
                  <c:v>1.83973531420185</c:v>
                </c:pt>
                <c:pt idx="20">
                  <c:v>1.365422992063753</c:v>
                </c:pt>
                <c:pt idx="21">
                  <c:v>1.594504977834829</c:v>
                </c:pt>
                <c:pt idx="22">
                  <c:v>1.586476125975378</c:v>
                </c:pt>
                <c:pt idx="23">
                  <c:v>1.484685365391478</c:v>
                </c:pt>
                <c:pt idx="24">
                  <c:v>1.558049711773306</c:v>
                </c:pt>
                <c:pt idx="25">
                  <c:v>1.541199996417565</c:v>
                </c:pt>
                <c:pt idx="26">
                  <c:v>0.946829164398798</c:v>
                </c:pt>
                <c:pt idx="27">
                  <c:v>1.209276002863124</c:v>
                </c:pt>
                <c:pt idx="28">
                  <c:v>1.27469960615077</c:v>
                </c:pt>
                <c:pt idx="29">
                  <c:v>1.206628656537317</c:v>
                </c:pt>
                <c:pt idx="30">
                  <c:v>1.284784235845473</c:v>
                </c:pt>
                <c:pt idx="31">
                  <c:v>1.578037681409574</c:v>
                </c:pt>
                <c:pt idx="32">
                  <c:v>1.643135567564955</c:v>
                </c:pt>
                <c:pt idx="33">
                  <c:v>1.539944231693289</c:v>
                </c:pt>
                <c:pt idx="34">
                  <c:v>1.5978682197314</c:v>
                </c:pt>
              </c:numCache>
            </c:numRef>
          </c:val>
          <c:smooth val="0"/>
        </c:ser>
        <c:dLbls>
          <c:showLegendKey val="0"/>
          <c:showVal val="0"/>
          <c:showCatName val="0"/>
          <c:showSerName val="0"/>
          <c:showPercent val="0"/>
          <c:showBubbleSize val="0"/>
        </c:dLbls>
        <c:marker val="1"/>
        <c:smooth val="0"/>
        <c:axId val="-2101673032"/>
        <c:axId val="-2101670024"/>
      </c:lineChart>
      <c:catAx>
        <c:axId val="-2101673032"/>
        <c:scaling>
          <c:orientation val="minMax"/>
        </c:scaling>
        <c:delete val="0"/>
        <c:axPos val="b"/>
        <c:numFmt formatCode="General" sourceLinked="1"/>
        <c:majorTickMark val="out"/>
        <c:minorTickMark val="none"/>
        <c:tickLblPos val="nextTo"/>
        <c:crossAx val="-2101670024"/>
        <c:crosses val="autoZero"/>
        <c:auto val="1"/>
        <c:lblAlgn val="ctr"/>
        <c:lblOffset val="100"/>
        <c:noMultiLvlLbl val="0"/>
      </c:catAx>
      <c:valAx>
        <c:axId val="-2101670024"/>
        <c:scaling>
          <c:orientation val="minMax"/>
        </c:scaling>
        <c:delete val="0"/>
        <c:axPos val="l"/>
        <c:majorGridlines/>
        <c:numFmt formatCode="0%" sourceLinked="1"/>
        <c:majorTickMark val="out"/>
        <c:minorTickMark val="none"/>
        <c:tickLblPos val="nextTo"/>
        <c:crossAx val="-2101673032"/>
        <c:crosses val="autoZero"/>
        <c:crossBetween val="between"/>
      </c:valAx>
    </c:plotArea>
    <c:legend>
      <c:legendPos val="r"/>
      <c:layout>
        <c:manualLayout>
          <c:xMode val="edge"/>
          <c:yMode val="edge"/>
          <c:x val="0.306808836395451"/>
          <c:y val="0.0736902158063575"/>
          <c:w val="0.318191163604549"/>
          <c:h val="0.185952901720618"/>
        </c:manualLayout>
      </c:layout>
      <c:overlay val="0"/>
    </c:legend>
    <c:plotVisOnly val="1"/>
    <c:dispBlanksAs val="gap"/>
    <c:showDLblsOverMax val="0"/>
  </c:chart>
  <c:printSettings>
    <c:headerFooter/>
    <c:pageMargins b="1.0" l="0.75" r="0.75" t="1.0"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lineChart>
        <c:grouping val="standard"/>
        <c:varyColors val="0"/>
        <c:ser>
          <c:idx val="0"/>
          <c:order val="0"/>
          <c:tx>
            <c:strRef>
              <c:f>'Assets(MOFA)'!$M$3</c:f>
              <c:strCache>
                <c:ptCount val="1"/>
                <c:pt idx="0">
                  <c:v>Share havens in comp.</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'Assets(MOFA)'!$M$11:$M$60</c:f>
              <c:numCache>
                <c:formatCode>0%</c:formatCode>
                <c:ptCount val="50"/>
                <c:pt idx="0">
                  <c:v>0.0395640513141905</c:v>
                </c:pt>
                <c:pt idx="1">
                  <c:v>0.0395640513141905</c:v>
                </c:pt>
                <c:pt idx="2">
                  <c:v>0.0395640513141905</c:v>
                </c:pt>
                <c:pt idx="3">
                  <c:v>0.0395640513141905</c:v>
                </c:pt>
                <c:pt idx="4">
                  <c:v>0.0395640513141905</c:v>
                </c:pt>
                <c:pt idx="5">
                  <c:v>0.0395640513141905</c:v>
                </c:pt>
                <c:pt idx="6">
                  <c:v>0.0395640513141905</c:v>
                </c:pt>
                <c:pt idx="7">
                  <c:v>0.0435839181770285</c:v>
                </c:pt>
                <c:pt idx="8">
                  <c:v>0.0476037850398665</c:v>
                </c:pt>
                <c:pt idx="9">
                  <c:v>0.0516236519027044</c:v>
                </c:pt>
                <c:pt idx="10">
                  <c:v>0.0556435187655424</c:v>
                </c:pt>
                <c:pt idx="11">
                  <c:v>0.0596633856283804</c:v>
                </c:pt>
                <c:pt idx="12">
                  <c:v>0.0599303842811156</c:v>
                </c:pt>
                <c:pt idx="13">
                  <c:v>0.0601973829338509</c:v>
                </c:pt>
                <c:pt idx="14">
                  <c:v>0.0604643815865861</c:v>
                </c:pt>
                <c:pt idx="15">
                  <c:v>0.0607313802393213</c:v>
                </c:pt>
                <c:pt idx="16">
                  <c:v>0.0609983788920566</c:v>
                </c:pt>
                <c:pt idx="17">
                  <c:v>0.0643030384282563</c:v>
                </c:pt>
                <c:pt idx="18">
                  <c:v>0.0640489904503758</c:v>
                </c:pt>
                <c:pt idx="19">
                  <c:v>0.0607610372803743</c:v>
                </c:pt>
                <c:pt idx="20">
                  <c:v>0.0640912795436023</c:v>
                </c:pt>
                <c:pt idx="21">
                  <c:v>0.0678412927208588</c:v>
                </c:pt>
                <c:pt idx="22">
                  <c:v>0.0670638232638948</c:v>
                </c:pt>
                <c:pt idx="23">
                  <c:v>0.0688492437672085</c:v>
                </c:pt>
                <c:pt idx="24">
                  <c:v>0.0693341983833275</c:v>
                </c:pt>
                <c:pt idx="25">
                  <c:v>0.071988106095626</c:v>
                </c:pt>
                <c:pt idx="26">
                  <c:v>0.0700280112044818</c:v>
                </c:pt>
                <c:pt idx="27">
                  <c:v>0.0754289627991925</c:v>
                </c:pt>
                <c:pt idx="28">
                  <c:v>0.0788001590491909</c:v>
                </c:pt>
                <c:pt idx="29">
                  <c:v>0.0813766581038653</c:v>
                </c:pt>
                <c:pt idx="30">
                  <c:v>0.0821707854078882</c:v>
                </c:pt>
                <c:pt idx="31">
                  <c:v>0.0796242880093472</c:v>
                </c:pt>
                <c:pt idx="32">
                  <c:v>0.0790849498566059</c:v>
                </c:pt>
                <c:pt idx="33">
                  <c:v>0.0778980319547471</c:v>
                </c:pt>
                <c:pt idx="34">
                  <c:v>0.0760896302996128</c:v>
                </c:pt>
                <c:pt idx="35">
                  <c:v>0.0767301204728247</c:v>
                </c:pt>
                <c:pt idx="36">
                  <c:v>0.0789605792078656</c:v>
                </c:pt>
                <c:pt idx="37">
                  <c:v>0.07822408707913</c:v>
                </c:pt>
                <c:pt idx="38">
                  <c:v>0.0803092948282985</c:v>
                </c:pt>
                <c:pt idx="39">
                  <c:v>0.0807662036780437</c:v>
                </c:pt>
                <c:pt idx="40">
                  <c:v>0.083313510789858</c:v>
                </c:pt>
                <c:pt idx="41">
                  <c:v>0.083971736182511</c:v>
                </c:pt>
                <c:pt idx="42">
                  <c:v>0.092026924448753</c:v>
                </c:pt>
                <c:pt idx="43">
                  <c:v>0.0896707956377154</c:v>
                </c:pt>
                <c:pt idx="44">
                  <c:v>0.089401149446244</c:v>
                </c:pt>
                <c:pt idx="45">
                  <c:v>0.0894173421864007</c:v>
                </c:pt>
                <c:pt idx="46">
                  <c:v>0.0905548499447704</c:v>
                </c:pt>
                <c:pt idx="47">
                  <c:v>0.0939078187606247</c:v>
                </c:pt>
                <c:pt idx="48">
                  <c:v>0.0966317074173261</c:v>
                </c:pt>
                <c:pt idx="49">
                  <c:v>0.0972326690256457</c:v>
                </c:pt>
              </c:numCache>
            </c:numRef>
          </c:val>
          <c:smooth val="0"/>
        </c:ser>
        <c:dLbls>
          <c:showLegendKey val="0"/>
          <c:showVal val="0"/>
          <c:showCatName val="0"/>
          <c:showSerName val="0"/>
          <c:showPercent val="0"/>
          <c:showBubbleSize val="0"/>
        </c:dLbls>
        <c:marker val="1"/>
        <c:smooth val="0"/>
        <c:axId val="-2102120136"/>
        <c:axId val="-2102136648"/>
      </c:lineChart>
      <c:catAx>
        <c:axId val="-2102120136"/>
        <c:scaling>
          <c:orientation val="minMax"/>
        </c:scaling>
        <c:delete val="0"/>
        <c:axPos val="b"/>
        <c:numFmt formatCode="General" sourceLinked="1"/>
        <c:majorTickMark val="out"/>
        <c:minorTickMark val="none"/>
        <c:tickLblPos val="nextTo"/>
        <c:crossAx val="-2102136648"/>
        <c:crosses val="autoZero"/>
        <c:auto val="1"/>
        <c:lblAlgn val="ctr"/>
        <c:lblOffset val="100"/>
        <c:noMultiLvlLbl val="0"/>
      </c:catAx>
      <c:valAx>
        <c:axId val="-2102136648"/>
        <c:scaling>
          <c:orientation val="minMax"/>
        </c:scaling>
        <c:delete val="0"/>
        <c:axPos val="l"/>
        <c:majorGridlines/>
        <c:numFmt formatCode="0%" sourceLinked="1"/>
        <c:majorTickMark val="out"/>
        <c:minorTickMark val="none"/>
        <c:tickLblPos val="nextTo"/>
        <c:crossAx val="-2102120136"/>
        <c:crosses val="autoZero"/>
        <c:crossBetween val="between"/>
      </c:valAx>
    </c:plotArea>
    <c:plotVisOnly val="1"/>
    <c:dispBlanksAs val="gap"/>
    <c:showDLblsOverMax val="0"/>
  </c:chart>
  <c:printSettings>
    <c:headerFooter/>
    <c:pageMargins b="1.0" l="0.75" r="0.75" t="1.0"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0932248468941382"/>
          <c:y val="0.0601851851851852"/>
          <c:w val="0.875635826771653"/>
          <c:h val="0.786711869349665"/>
        </c:manualLayout>
      </c:layout>
      <c:lineChart>
        <c:grouping val="standard"/>
        <c:varyColors val="0"/>
        <c:ser>
          <c:idx val="0"/>
          <c:order val="0"/>
          <c:tx>
            <c:strRef>
              <c:f>'Assets(MOFA)'!$BA$3</c:f>
              <c:strCache>
                <c:ptCount val="1"/>
                <c:pt idx="0">
                  <c:v>Share havens (less oil) in non oil pre-tax profits</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'Assets(MOFA)'!$BA$11:$BA$60</c:f>
              <c:numCache>
                <c:formatCode>0%</c:formatCode>
                <c:ptCount val="50"/>
                <c:pt idx="0">
                  <c:v>0.0451022305388263</c:v>
                </c:pt>
                <c:pt idx="1">
                  <c:v>0.0519064232434553</c:v>
                </c:pt>
                <c:pt idx="2">
                  <c:v>0.0524432420769666</c:v>
                </c:pt>
                <c:pt idx="3">
                  <c:v>0.0531593421746659</c:v>
                </c:pt>
                <c:pt idx="4">
                  <c:v>0.0668236870065322</c:v>
                </c:pt>
                <c:pt idx="5">
                  <c:v>0.070368375076473</c:v>
                </c:pt>
                <c:pt idx="6">
                  <c:v>0.0703246566137592</c:v>
                </c:pt>
                <c:pt idx="7">
                  <c:v>0.0701240898065308</c:v>
                </c:pt>
                <c:pt idx="8">
                  <c:v>0.0858123459462558</c:v>
                </c:pt>
                <c:pt idx="9">
                  <c:v>0.0958914173928409</c:v>
                </c:pt>
                <c:pt idx="10">
                  <c:v>0.109050609559828</c:v>
                </c:pt>
                <c:pt idx="11">
                  <c:v>0.133262388554709</c:v>
                </c:pt>
                <c:pt idx="12">
                  <c:v>0.140781248626167</c:v>
                </c:pt>
                <c:pt idx="13">
                  <c:v>0.156370696300844</c:v>
                </c:pt>
                <c:pt idx="14">
                  <c:v>0.168817356755302</c:v>
                </c:pt>
                <c:pt idx="15">
                  <c:v>0.190921762782786</c:v>
                </c:pt>
                <c:pt idx="16">
                  <c:v>0.249627222328427</c:v>
                </c:pt>
                <c:pt idx="17">
                  <c:v>0.236444968696145</c:v>
                </c:pt>
                <c:pt idx="18">
                  <c:v>0.219588862733614</c:v>
                </c:pt>
                <c:pt idx="19">
                  <c:v>0.224765725051457</c:v>
                </c:pt>
                <c:pt idx="20">
                  <c:v>0.181942939969655</c:v>
                </c:pt>
                <c:pt idx="21">
                  <c:v>0.201100293413689</c:v>
                </c:pt>
                <c:pt idx="22">
                  <c:v>0.151458839740263</c:v>
                </c:pt>
                <c:pt idx="23">
                  <c:v>0.186809861671448</c:v>
                </c:pt>
                <c:pt idx="24">
                  <c:v>0.22932900733449</c:v>
                </c:pt>
                <c:pt idx="25">
                  <c:v>0.242845945990038</c:v>
                </c:pt>
                <c:pt idx="26">
                  <c:v>0.230818817515834</c:v>
                </c:pt>
                <c:pt idx="27">
                  <c:v>0.234275227052184</c:v>
                </c:pt>
                <c:pt idx="28">
                  <c:v>0.217659894017966</c:v>
                </c:pt>
                <c:pt idx="29">
                  <c:v>0.23710902749027</c:v>
                </c:pt>
                <c:pt idx="30">
                  <c:v>0.231306946226712</c:v>
                </c:pt>
                <c:pt idx="31">
                  <c:v>0.261257616024504</c:v>
                </c:pt>
                <c:pt idx="32">
                  <c:v>0.285543284213553</c:v>
                </c:pt>
                <c:pt idx="33">
                  <c:v>0.267209058171259</c:v>
                </c:pt>
                <c:pt idx="34">
                  <c:v>0.301445353241394</c:v>
                </c:pt>
                <c:pt idx="35">
                  <c:v>0.340883900062361</c:v>
                </c:pt>
                <c:pt idx="36">
                  <c:v>0.330061607305443</c:v>
                </c:pt>
                <c:pt idx="37">
                  <c:v>0.313718462017119</c:v>
                </c:pt>
                <c:pt idx="38">
                  <c:v>0.350692862901092</c:v>
                </c:pt>
                <c:pt idx="39">
                  <c:v>0.3069857289041</c:v>
                </c:pt>
                <c:pt idx="40">
                  <c:v>0.335717153939603</c:v>
                </c:pt>
                <c:pt idx="41">
                  <c:v>0.340414830985409</c:v>
                </c:pt>
                <c:pt idx="42">
                  <c:v>0.336357838065852</c:v>
                </c:pt>
                <c:pt idx="43">
                  <c:v>0.37207248932069</c:v>
                </c:pt>
                <c:pt idx="44">
                  <c:v>0.334287591635616</c:v>
                </c:pt>
                <c:pt idx="45">
                  <c:v>0.355546880946423</c:v>
                </c:pt>
                <c:pt idx="46">
                  <c:v>0.383391760275748</c:v>
                </c:pt>
                <c:pt idx="47">
                  <c:v>0.377592294809443</c:v>
                </c:pt>
                <c:pt idx="48">
                  <c:v>0.397208728506002</c:v>
                </c:pt>
                <c:pt idx="49">
                  <c:v>0.454257775835215</c:v>
                </c:pt>
              </c:numCache>
            </c:numRef>
          </c:val>
          <c:smooth val="0"/>
        </c:ser>
        <c:ser>
          <c:idx val="1"/>
          <c:order val="1"/>
          <c:tx>
            <c:strRef>
              <c:f>'Assets(MOFA)'!$AY$3</c:f>
              <c:strCache>
                <c:ptCount val="1"/>
                <c:pt idx="0">
                  <c:v>Share havens in pre-tax profits</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'Assets(MOFA)'!$AY$11:$AY$60</c:f>
              <c:numCache>
                <c:formatCode>0%</c:formatCode>
                <c:ptCount val="50"/>
                <c:pt idx="0">
                  <c:v>0.033040656503871</c:v>
                </c:pt>
                <c:pt idx="1">
                  <c:v>0.0361995350160986</c:v>
                </c:pt>
                <c:pt idx="2">
                  <c:v>0.0355790514245522</c:v>
                </c:pt>
                <c:pt idx="3">
                  <c:v>0.0371688318296681</c:v>
                </c:pt>
                <c:pt idx="4">
                  <c:v>0.0478726295428846</c:v>
                </c:pt>
                <c:pt idx="5">
                  <c:v>0.0480413106176903</c:v>
                </c:pt>
                <c:pt idx="6">
                  <c:v>0.0458574905714482</c:v>
                </c:pt>
                <c:pt idx="7">
                  <c:v>0.0589573524543508</c:v>
                </c:pt>
                <c:pt idx="8">
                  <c:v>0.0518990767289853</c:v>
                </c:pt>
                <c:pt idx="9">
                  <c:v>0.0518371464816503</c:v>
                </c:pt>
                <c:pt idx="10">
                  <c:v>0.0447759379121944</c:v>
                </c:pt>
                <c:pt idx="11">
                  <c:v>0.0563189612506914</c:v>
                </c:pt>
                <c:pt idx="12">
                  <c:v>0.0770435022390459</c:v>
                </c:pt>
                <c:pt idx="13">
                  <c:v>0.0898288815107603</c:v>
                </c:pt>
                <c:pt idx="14">
                  <c:v>0.128693843071415</c:v>
                </c:pt>
                <c:pt idx="15">
                  <c:v>0.125986859675276</c:v>
                </c:pt>
                <c:pt idx="16">
                  <c:v>0.149808679421372</c:v>
                </c:pt>
                <c:pt idx="17">
                  <c:v>0.140004135506772</c:v>
                </c:pt>
                <c:pt idx="18">
                  <c:v>0.133245423518461</c:v>
                </c:pt>
                <c:pt idx="19">
                  <c:v>0.140409374451588</c:v>
                </c:pt>
                <c:pt idx="20">
                  <c:v>0.146912704045422</c:v>
                </c:pt>
                <c:pt idx="21">
                  <c:v>0.171098462322657</c:v>
                </c:pt>
                <c:pt idx="22">
                  <c:v>0.139820847920067</c:v>
                </c:pt>
                <c:pt idx="23">
                  <c:v>0.167932331705493</c:v>
                </c:pt>
                <c:pt idx="24">
                  <c:v>0.195577889447236</c:v>
                </c:pt>
                <c:pt idx="25">
                  <c:v>0.208278195386148</c:v>
                </c:pt>
                <c:pt idx="26">
                  <c:v>0.194220052702061</c:v>
                </c:pt>
                <c:pt idx="27">
                  <c:v>0.192418718744494</c:v>
                </c:pt>
                <c:pt idx="28">
                  <c:v>0.189293286219081</c:v>
                </c:pt>
                <c:pt idx="29">
                  <c:v>0.208487116991643</c:v>
                </c:pt>
                <c:pt idx="30">
                  <c:v>0.197295202130681</c:v>
                </c:pt>
                <c:pt idx="31">
                  <c:v>0.224769020703231</c:v>
                </c:pt>
                <c:pt idx="32">
                  <c:v>0.263376175750548</c:v>
                </c:pt>
                <c:pt idx="33">
                  <c:v>0.24067316633323</c:v>
                </c:pt>
                <c:pt idx="34">
                  <c:v>0.241811158548982</c:v>
                </c:pt>
                <c:pt idx="35">
                  <c:v>0.269862179350982</c:v>
                </c:pt>
                <c:pt idx="36">
                  <c:v>0.273675190193039</c:v>
                </c:pt>
                <c:pt idx="37">
                  <c:v>0.257587830496197</c:v>
                </c:pt>
                <c:pt idx="38">
                  <c:v>0.275823823344141</c:v>
                </c:pt>
                <c:pt idx="39">
                  <c:v>0.238448941396655</c:v>
                </c:pt>
                <c:pt idx="40">
                  <c:v>0.257351431129707</c:v>
                </c:pt>
                <c:pt idx="41">
                  <c:v>0.261489691335955</c:v>
                </c:pt>
                <c:pt idx="42">
                  <c:v>0.234182626158278</c:v>
                </c:pt>
                <c:pt idx="43">
                  <c:v>0.302546660345792</c:v>
                </c:pt>
                <c:pt idx="44">
                  <c:v>0.265306743333485</c:v>
                </c:pt>
                <c:pt idx="45">
                  <c:v>0.275596697844188</c:v>
                </c:pt>
                <c:pt idx="46">
                  <c:v>0.301402333541904</c:v>
                </c:pt>
                <c:pt idx="47">
                  <c:v>0.298974451171134</c:v>
                </c:pt>
                <c:pt idx="48">
                  <c:v>0.33766189244099</c:v>
                </c:pt>
                <c:pt idx="49">
                  <c:v>0.429958510042075</c:v>
                </c:pt>
              </c:numCache>
            </c:numRef>
          </c:val>
          <c:smooth val="0"/>
        </c:ser>
        <c:ser>
          <c:idx val="2"/>
          <c:order val="2"/>
          <c:tx>
            <c:strRef>
              <c:f>'Assets(MOFA)'!$BI$3</c:f>
              <c:strCache>
                <c:ptCount val="1"/>
                <c:pt idx="0">
                  <c:v>Share havens excl. NL in non-oil profits</c:v>
                </c:pt>
              </c:strCache>
            </c:strRef>
          </c:tx>
          <c:marker>
            <c:symbol val="none"/>
          </c:marker>
          <c:cat>
            <c:numRef>
              <c:f>'Assets(MOFA)'!$A$11:$A$60</c:f>
              <c:numCache>
                <c:formatCode>General</c:formatCode>
                <c:ptCount val="50"/>
                <c:pt idx="0">
                  <c:v>1966.0</c:v>
                </c:pt>
                <c:pt idx="1">
                  <c:v>1967.0</c:v>
                </c:pt>
                <c:pt idx="2">
                  <c:v>1968.0</c:v>
                </c:pt>
                <c:pt idx="3">
                  <c:v>1969.0</c:v>
                </c:pt>
                <c:pt idx="4">
                  <c:v>1970.0</c:v>
                </c:pt>
                <c:pt idx="5">
                  <c:v>1971.0</c:v>
                </c:pt>
                <c:pt idx="6">
                  <c:v>1972.0</c:v>
                </c:pt>
                <c:pt idx="7">
                  <c:v>1973.0</c:v>
                </c:pt>
                <c:pt idx="8">
                  <c:v>1974.0</c:v>
                </c:pt>
                <c:pt idx="9">
                  <c:v>1975.0</c:v>
                </c:pt>
                <c:pt idx="10">
                  <c:v>1976.0</c:v>
                </c:pt>
                <c:pt idx="11">
                  <c:v>1977.0</c:v>
                </c:pt>
                <c:pt idx="12">
                  <c:v>1978.0</c:v>
                </c:pt>
                <c:pt idx="13">
                  <c:v>1979.0</c:v>
                </c:pt>
                <c:pt idx="14">
                  <c:v>1980.0</c:v>
                </c:pt>
                <c:pt idx="15">
                  <c:v>1981.0</c:v>
                </c:pt>
                <c:pt idx="16">
                  <c:v>1982.0</c:v>
                </c:pt>
                <c:pt idx="17">
                  <c:v>1983.0</c:v>
                </c:pt>
                <c:pt idx="18">
                  <c:v>1984.0</c:v>
                </c:pt>
                <c:pt idx="19">
                  <c:v>1985.0</c:v>
                </c:pt>
                <c:pt idx="20">
                  <c:v>1986.0</c:v>
                </c:pt>
                <c:pt idx="21">
                  <c:v>1987.0</c:v>
                </c:pt>
                <c:pt idx="22">
                  <c:v>1988.0</c:v>
                </c:pt>
                <c:pt idx="23">
                  <c:v>1989.0</c:v>
                </c:pt>
                <c:pt idx="24">
                  <c:v>1990.0</c:v>
                </c:pt>
                <c:pt idx="25">
                  <c:v>1991.0</c:v>
                </c:pt>
                <c:pt idx="26">
                  <c:v>1992.0</c:v>
                </c:pt>
                <c:pt idx="27">
                  <c:v>1993.0</c:v>
                </c:pt>
                <c:pt idx="28">
                  <c:v>1994.0</c:v>
                </c:pt>
                <c:pt idx="29">
                  <c:v>1995.0</c:v>
                </c:pt>
                <c:pt idx="30">
                  <c:v>1996.0</c:v>
                </c:pt>
                <c:pt idx="31">
                  <c:v>1997.0</c:v>
                </c:pt>
                <c:pt idx="32">
                  <c:v>1998.0</c:v>
                </c:pt>
                <c:pt idx="33">
                  <c:v>1999.0</c:v>
                </c:pt>
                <c:pt idx="34">
                  <c:v>2000.0</c:v>
                </c:pt>
                <c:pt idx="35">
                  <c:v>2001.0</c:v>
                </c:pt>
                <c:pt idx="36">
                  <c:v>2002.0</c:v>
                </c:pt>
                <c:pt idx="37">
                  <c:v>2003.0</c:v>
                </c:pt>
                <c:pt idx="38">
                  <c:v>2004.0</c:v>
                </c:pt>
                <c:pt idx="39">
                  <c:v>2005.0</c:v>
                </c:pt>
                <c:pt idx="40">
                  <c:v>2006.0</c:v>
                </c:pt>
                <c:pt idx="41">
                  <c:v>2007.0</c:v>
                </c:pt>
                <c:pt idx="42">
                  <c:v>2008.0</c:v>
                </c:pt>
                <c:pt idx="43">
                  <c:v>2009.0</c:v>
                </c:pt>
                <c:pt idx="44">
                  <c:v>2010.0</c:v>
                </c:pt>
                <c:pt idx="45">
                  <c:v>2011.0</c:v>
                </c:pt>
                <c:pt idx="46">
                  <c:v>2012.0</c:v>
                </c:pt>
                <c:pt idx="47">
                  <c:v>2013.0</c:v>
                </c:pt>
                <c:pt idx="48">
                  <c:v>2014.0</c:v>
                </c:pt>
                <c:pt idx="49">
                  <c:v>2015.0</c:v>
                </c:pt>
              </c:numCache>
            </c:numRef>
          </c:cat>
          <c:val>
            <c:numRef>
              <c:f>'Assets(MOFA)'!$BI$11:$BI$60</c:f>
              <c:numCache>
                <c:formatCode>0%</c:formatCode>
                <c:ptCount val="50"/>
                <c:pt idx="0">
                  <c:v>0.0442918544350596</c:v>
                </c:pt>
                <c:pt idx="1">
                  <c:v>0.0504160963753404</c:v>
                </c:pt>
                <c:pt idx="2">
                  <c:v>0.0538807864266761</c:v>
                </c:pt>
                <c:pt idx="3">
                  <c:v>0.0549951710193177</c:v>
                </c:pt>
                <c:pt idx="4">
                  <c:v>0.061494691492627</c:v>
                </c:pt>
                <c:pt idx="5">
                  <c:v>0.0674907450571501</c:v>
                </c:pt>
                <c:pt idx="6">
                  <c:v>0.0716400408734994</c:v>
                </c:pt>
                <c:pt idx="7">
                  <c:v>0.104251463264658</c:v>
                </c:pt>
                <c:pt idx="8">
                  <c:v>0.147564833941304</c:v>
                </c:pt>
                <c:pt idx="9">
                  <c:v>0.140948095581275</c:v>
                </c:pt>
                <c:pt idx="10">
                  <c:v>0.12568938291331</c:v>
                </c:pt>
                <c:pt idx="11">
                  <c:v>0.129503105590062</c:v>
                </c:pt>
                <c:pt idx="12">
                  <c:v>0.152000399616336</c:v>
                </c:pt>
                <c:pt idx="13">
                  <c:v>0.208441011637333</c:v>
                </c:pt>
                <c:pt idx="14">
                  <c:v>0.208204483326633</c:v>
                </c:pt>
                <c:pt idx="15">
                  <c:v>0.216810139264707</c:v>
                </c:pt>
                <c:pt idx="16">
                  <c:v>0.271343911298031</c:v>
                </c:pt>
                <c:pt idx="17">
                  <c:v>0.227334883084917</c:v>
                </c:pt>
                <c:pt idx="18">
                  <c:v>0.211480994501554</c:v>
                </c:pt>
                <c:pt idx="19">
                  <c:v>0.207256490626294</c:v>
                </c:pt>
                <c:pt idx="20">
                  <c:v>0.144059141092359</c:v>
                </c:pt>
                <c:pt idx="21">
                  <c:v>0.154447808535179</c:v>
                </c:pt>
                <c:pt idx="22">
                  <c:v>0.102856128621929</c:v>
                </c:pt>
                <c:pt idx="23">
                  <c:v>0.14310457108811</c:v>
                </c:pt>
                <c:pt idx="24">
                  <c:v>0.178282730899868</c:v>
                </c:pt>
                <c:pt idx="25">
                  <c:v>0.191458733205374</c:v>
                </c:pt>
                <c:pt idx="26">
                  <c:v>0.178519226952018</c:v>
                </c:pt>
                <c:pt idx="27">
                  <c:v>0.194767290352843</c:v>
                </c:pt>
                <c:pt idx="28">
                  <c:v>0.174771175153731</c:v>
                </c:pt>
                <c:pt idx="29">
                  <c:v>0.178039721275747</c:v>
                </c:pt>
                <c:pt idx="30">
                  <c:v>0.188108700996615</c:v>
                </c:pt>
                <c:pt idx="31">
                  <c:v>0.20907302783009</c:v>
                </c:pt>
                <c:pt idx="32">
                  <c:v>0.232105211220856</c:v>
                </c:pt>
                <c:pt idx="33">
                  <c:v>0.227798695186471</c:v>
                </c:pt>
                <c:pt idx="34">
                  <c:v>0.259083114210586</c:v>
                </c:pt>
                <c:pt idx="35">
                  <c:v>0.291793113167661</c:v>
                </c:pt>
                <c:pt idx="36">
                  <c:v>0.303121356911811</c:v>
                </c:pt>
                <c:pt idx="37">
                  <c:v>0.283959320537734</c:v>
                </c:pt>
                <c:pt idx="38">
                  <c:v>0.31679988507988</c:v>
                </c:pt>
                <c:pt idx="39">
                  <c:v>0.280511722762974</c:v>
                </c:pt>
                <c:pt idx="40">
                  <c:v>0.321463614891637</c:v>
                </c:pt>
                <c:pt idx="41">
                  <c:v>0.329002485874747</c:v>
                </c:pt>
                <c:pt idx="42">
                  <c:v>0.336990410646789</c:v>
                </c:pt>
                <c:pt idx="43">
                  <c:v>0.364301812586591</c:v>
                </c:pt>
                <c:pt idx="44">
                  <c:v>0.338092134972762</c:v>
                </c:pt>
                <c:pt idx="45">
                  <c:v>0.341527029590972</c:v>
                </c:pt>
                <c:pt idx="46">
                  <c:v>0.35956304073102</c:v>
                </c:pt>
                <c:pt idx="47">
                  <c:v>0.389942809139269</c:v>
                </c:pt>
                <c:pt idx="48">
                  <c:v>0.374767281080904</c:v>
                </c:pt>
                <c:pt idx="49">
                  <c:v>0.407331620685804</c:v>
                </c:pt>
              </c:numCache>
            </c:numRef>
          </c:val>
          <c:smooth val="0"/>
        </c:ser>
        <c:dLbls>
          <c:showLegendKey val="0"/>
          <c:showVal val="0"/>
          <c:showCatName val="0"/>
          <c:showSerName val="0"/>
          <c:showPercent val="0"/>
          <c:showBubbleSize val="0"/>
        </c:dLbls>
        <c:marker val="1"/>
        <c:smooth val="0"/>
        <c:axId val="-2102177320"/>
        <c:axId val="-2102182840"/>
      </c:lineChart>
      <c:catAx>
        <c:axId val="-2102177320"/>
        <c:scaling>
          <c:orientation val="minMax"/>
        </c:scaling>
        <c:delete val="0"/>
        <c:axPos val="b"/>
        <c:numFmt formatCode="General" sourceLinked="1"/>
        <c:majorTickMark val="out"/>
        <c:minorTickMark val="none"/>
        <c:tickLblPos val="nextTo"/>
        <c:crossAx val="-2102182840"/>
        <c:crosses val="autoZero"/>
        <c:auto val="1"/>
        <c:lblAlgn val="ctr"/>
        <c:lblOffset val="100"/>
        <c:noMultiLvlLbl val="0"/>
      </c:catAx>
      <c:valAx>
        <c:axId val="-2102182840"/>
        <c:scaling>
          <c:orientation val="minMax"/>
          <c:min val="0.0"/>
        </c:scaling>
        <c:delete val="0"/>
        <c:axPos val="l"/>
        <c:majorGridlines/>
        <c:numFmt formatCode="0%" sourceLinked="0"/>
        <c:majorTickMark val="out"/>
        <c:minorTickMark val="none"/>
        <c:tickLblPos val="nextTo"/>
        <c:crossAx val="-2102177320"/>
        <c:crosses val="autoZero"/>
        <c:crossBetween val="between"/>
      </c:valAx>
    </c:plotArea>
    <c:legend>
      <c:legendPos val="r"/>
      <c:layout>
        <c:manualLayout>
          <c:xMode val="edge"/>
          <c:yMode val="edge"/>
          <c:x val="0.0"/>
          <c:y val="0.0825656167979003"/>
          <c:w val="0.761111111111111"/>
          <c:h val="0.219128025663459"/>
        </c:manualLayout>
      </c:layout>
      <c:overlay val="0"/>
    </c:legend>
    <c:plotVisOnly val="1"/>
    <c:dispBlanksAs val="span"/>
    <c:showDLblsOverMax val="0"/>
  </c:chart>
  <c:printSettings>
    <c:headerFooter/>
    <c:pageMargins b="1.0" l="0.75" r="0.75" t="1.0"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7303587051619"/>
          <c:y val="0.0601851851851852"/>
          <c:w val="0.869198381452318"/>
          <c:h val="0.78080271216098"/>
        </c:manualLayout>
      </c:layout>
      <c:lineChart>
        <c:grouping val="standard"/>
        <c:varyColors val="0"/>
        <c:ser>
          <c:idx val="0"/>
          <c:order val="0"/>
          <c:tx>
            <c:strRef>
              <c:f>'Assets(MOFA)'!$EA$3</c:f>
              <c:strCache>
                <c:ptCount val="1"/>
                <c:pt idx="0">
                  <c:v>Havens</c:v>
                </c:pt>
              </c:strCache>
            </c:strRef>
          </c:tx>
          <c:marker>
            <c:symbol val="none"/>
          </c:marker>
          <c:cat>
            <c:numRef>
              <c:f>'Assets(MOFA)'!$A$12:$A$61</c:f>
              <c:numCache>
                <c:formatCode>General</c:formatCode>
                <c:ptCount val="50"/>
                <c:pt idx="0">
                  <c:v>1967.0</c:v>
                </c:pt>
                <c:pt idx="1">
                  <c:v>1968.0</c:v>
                </c:pt>
                <c:pt idx="2">
                  <c:v>1969.0</c:v>
                </c:pt>
                <c:pt idx="3">
                  <c:v>1970.0</c:v>
                </c:pt>
                <c:pt idx="4">
                  <c:v>1971.0</c:v>
                </c:pt>
                <c:pt idx="5">
                  <c:v>1972.0</c:v>
                </c:pt>
                <c:pt idx="6">
                  <c:v>1973.0</c:v>
                </c:pt>
                <c:pt idx="7">
                  <c:v>1974.0</c:v>
                </c:pt>
                <c:pt idx="8">
                  <c:v>1975.0</c:v>
                </c:pt>
                <c:pt idx="9">
                  <c:v>1976.0</c:v>
                </c:pt>
                <c:pt idx="10">
                  <c:v>1977.0</c:v>
                </c:pt>
                <c:pt idx="11">
                  <c:v>1978.0</c:v>
                </c:pt>
                <c:pt idx="12">
                  <c:v>1979.0</c:v>
                </c:pt>
                <c:pt idx="13">
                  <c:v>1980.0</c:v>
                </c:pt>
                <c:pt idx="14">
                  <c:v>1981.0</c:v>
                </c:pt>
                <c:pt idx="15">
                  <c:v>1982.0</c:v>
                </c:pt>
                <c:pt idx="16">
                  <c:v>1983.0</c:v>
                </c:pt>
                <c:pt idx="17">
                  <c:v>1984.0</c:v>
                </c:pt>
                <c:pt idx="18">
                  <c:v>1985.0</c:v>
                </c:pt>
                <c:pt idx="19">
                  <c:v>1986.0</c:v>
                </c:pt>
                <c:pt idx="20">
                  <c:v>1987.0</c:v>
                </c:pt>
                <c:pt idx="21">
                  <c:v>1988.0</c:v>
                </c:pt>
                <c:pt idx="22">
                  <c:v>1989.0</c:v>
                </c:pt>
                <c:pt idx="23">
                  <c:v>1990.0</c:v>
                </c:pt>
                <c:pt idx="24">
                  <c:v>1991.0</c:v>
                </c:pt>
                <c:pt idx="25">
                  <c:v>1992.0</c:v>
                </c:pt>
                <c:pt idx="26">
                  <c:v>1993.0</c:v>
                </c:pt>
                <c:pt idx="27">
                  <c:v>1994.0</c:v>
                </c:pt>
                <c:pt idx="28">
                  <c:v>1995.0</c:v>
                </c:pt>
                <c:pt idx="29">
                  <c:v>1996.0</c:v>
                </c:pt>
                <c:pt idx="30">
                  <c:v>1997.0</c:v>
                </c:pt>
                <c:pt idx="31">
                  <c:v>1998.0</c:v>
                </c:pt>
                <c:pt idx="32">
                  <c:v>1999.0</c:v>
                </c:pt>
                <c:pt idx="33">
                  <c:v>2000.0</c:v>
                </c:pt>
                <c:pt idx="34">
                  <c:v>2001.0</c:v>
                </c:pt>
                <c:pt idx="35">
                  <c:v>2002.0</c:v>
                </c:pt>
                <c:pt idx="36">
                  <c:v>2003.0</c:v>
                </c:pt>
                <c:pt idx="37">
                  <c:v>2004.0</c:v>
                </c:pt>
                <c:pt idx="38">
                  <c:v>2005.0</c:v>
                </c:pt>
                <c:pt idx="39">
                  <c:v>2006.0</c:v>
                </c:pt>
                <c:pt idx="40">
                  <c:v>2007.0</c:v>
                </c:pt>
                <c:pt idx="41">
                  <c:v>2008.0</c:v>
                </c:pt>
                <c:pt idx="42">
                  <c:v>2009.0</c:v>
                </c:pt>
                <c:pt idx="43">
                  <c:v>2010.0</c:v>
                </c:pt>
                <c:pt idx="44">
                  <c:v>2011.0</c:v>
                </c:pt>
                <c:pt idx="45">
                  <c:v>2012.0</c:v>
                </c:pt>
                <c:pt idx="46">
                  <c:v>2013.0</c:v>
                </c:pt>
                <c:pt idx="47">
                  <c:v>2014.0</c:v>
                </c:pt>
                <c:pt idx="48">
                  <c:v>2015.0</c:v>
                </c:pt>
                <c:pt idx="49">
                  <c:v>2016.0</c:v>
                </c:pt>
              </c:numCache>
            </c:numRef>
          </c:cat>
          <c:val>
            <c:numRef>
              <c:f>'Assets(MOFA)'!$EA$11:$EA$61</c:f>
              <c:numCache>
                <c:formatCode>0%</c:formatCode>
                <c:ptCount val="51"/>
                <c:pt idx="0">
                  <c:v>0.555104685826885</c:v>
                </c:pt>
                <c:pt idx="1">
                  <c:v>0.60113811376826</c:v>
                </c:pt>
                <c:pt idx="2">
                  <c:v>0.594033955903759</c:v>
                </c:pt>
                <c:pt idx="3">
                  <c:v>0.625934709517174</c:v>
                </c:pt>
                <c:pt idx="4">
                  <c:v>0.80433727715458</c:v>
                </c:pt>
                <c:pt idx="5">
                  <c:v>0.951321963445138</c:v>
                </c:pt>
                <c:pt idx="6">
                  <c:v>0.956875827311371</c:v>
                </c:pt>
                <c:pt idx="7">
                  <c:v>1.477211953886343</c:v>
                </c:pt>
                <c:pt idx="8">
                  <c:v>1.821099384385906</c:v>
                </c:pt>
                <c:pt idx="9">
                  <c:v>1.422213525260647</c:v>
                </c:pt>
                <c:pt idx="10">
                  <c:v>1.237096850637527</c:v>
                </c:pt>
                <c:pt idx="11">
                  <c:v>1.089245495495496</c:v>
                </c:pt>
                <c:pt idx="12">
                  <c:v>1.398376907107357</c:v>
                </c:pt>
                <c:pt idx="13">
                  <c:v>2.063700305044834</c:v>
                </c:pt>
                <c:pt idx="14">
                  <c:v>1.884597734200488</c:v>
                </c:pt>
                <c:pt idx="15">
                  <c:v>1.518019239465922</c:v>
                </c:pt>
                <c:pt idx="16">
                  <c:v>1.471041055718475</c:v>
                </c:pt>
                <c:pt idx="17">
                  <c:v>1.539992418498863</c:v>
                </c:pt>
                <c:pt idx="18">
                  <c:v>1.682797805642633</c:v>
                </c:pt>
                <c:pt idx="19">
                  <c:v>1.802375588777391</c:v>
                </c:pt>
                <c:pt idx="20">
                  <c:v>1.403865717192269</c:v>
                </c:pt>
                <c:pt idx="21">
                  <c:v>1.689124965054515</c:v>
                </c:pt>
                <c:pt idx="22">
                  <c:v>1.425233348149089</c:v>
                </c:pt>
                <c:pt idx="23">
                  <c:v>1.574887695847486</c:v>
                </c:pt>
                <c:pt idx="24">
                  <c:v>1.5793946338203</c:v>
                </c:pt>
                <c:pt idx="25">
                  <c:v>1.324800416522041</c:v>
                </c:pt>
                <c:pt idx="26">
                  <c:v>1.135831578947369</c:v>
                </c:pt>
                <c:pt idx="27">
                  <c:v>1.130864197530864</c:v>
                </c:pt>
                <c:pt idx="28">
                  <c:v>1.110873021358955</c:v>
                </c:pt>
                <c:pt idx="29">
                  <c:v>1.473816995877177</c:v>
                </c:pt>
                <c:pt idx="30">
                  <c:v>1.484379511462724</c:v>
                </c:pt>
                <c:pt idx="31">
                  <c:v>1.85882150636249</c:v>
                </c:pt>
                <c:pt idx="32">
                  <c:v>1.841601441522608</c:v>
                </c:pt>
                <c:pt idx="33">
                  <c:v>1.720465303655957</c:v>
                </c:pt>
                <c:pt idx="34">
                  <c:v>2.070476474684174</c:v>
                </c:pt>
                <c:pt idx="35">
                  <c:v>1.876027768204421</c:v>
                </c:pt>
                <c:pt idx="36">
                  <c:v>1.97028350758218</c:v>
                </c:pt>
                <c:pt idx="37">
                  <c:v>2.322361546499477</c:v>
                </c:pt>
                <c:pt idx="38">
                  <c:v>2.680172737514082</c:v>
                </c:pt>
                <c:pt idx="39">
                  <c:v>2.657939884710403</c:v>
                </c:pt>
                <c:pt idx="40">
                  <c:v>2.8853651797501</c:v>
                </c:pt>
                <c:pt idx="41">
                  <c:v>3.059853851732024</c:v>
                </c:pt>
                <c:pt idx="42">
                  <c:v>2.613291925465838</c:v>
                </c:pt>
                <c:pt idx="43">
                  <c:v>2.790491613649508</c:v>
                </c:pt>
                <c:pt idx="44">
                  <c:v>2.766468015680587</c:v>
                </c:pt>
                <c:pt idx="45">
                  <c:v>3.210105665234269</c:v>
                </c:pt>
                <c:pt idx="46">
                  <c:v>3.253655435473617</c:v>
                </c:pt>
                <c:pt idx="47">
                  <c:v>2.890969558398367</c:v>
                </c:pt>
                <c:pt idx="48">
                  <c:v>3.0616615404751</c:v>
                </c:pt>
                <c:pt idx="49">
                  <c:v>3.457570967307951</c:v>
                </c:pt>
                <c:pt idx="50">
                  <c:v>3.492576784668173</c:v>
                </c:pt>
              </c:numCache>
            </c:numRef>
          </c:val>
          <c:smooth val="0"/>
        </c:ser>
        <c:ser>
          <c:idx val="1"/>
          <c:order val="1"/>
          <c:tx>
            <c:strRef>
              <c:f>'Assets(MOFA)'!$EC$3</c:f>
              <c:strCache>
                <c:ptCount val="1"/>
                <c:pt idx="0">
                  <c:v>Non-havens</c:v>
                </c:pt>
              </c:strCache>
            </c:strRef>
          </c:tx>
          <c:marker>
            <c:symbol val="none"/>
          </c:marker>
          <c:cat>
            <c:numRef>
              <c:f>'Assets(MOFA)'!$A$12:$A$61</c:f>
              <c:numCache>
                <c:formatCode>General</c:formatCode>
                <c:ptCount val="50"/>
                <c:pt idx="0">
                  <c:v>1967.0</c:v>
                </c:pt>
                <c:pt idx="1">
                  <c:v>1968.0</c:v>
                </c:pt>
                <c:pt idx="2">
                  <c:v>1969.0</c:v>
                </c:pt>
                <c:pt idx="3">
                  <c:v>1970.0</c:v>
                </c:pt>
                <c:pt idx="4">
                  <c:v>1971.0</c:v>
                </c:pt>
                <c:pt idx="5">
                  <c:v>1972.0</c:v>
                </c:pt>
                <c:pt idx="6">
                  <c:v>1973.0</c:v>
                </c:pt>
                <c:pt idx="7">
                  <c:v>1974.0</c:v>
                </c:pt>
                <c:pt idx="8">
                  <c:v>1975.0</c:v>
                </c:pt>
                <c:pt idx="9">
                  <c:v>1976.0</c:v>
                </c:pt>
                <c:pt idx="10">
                  <c:v>1977.0</c:v>
                </c:pt>
                <c:pt idx="11">
                  <c:v>1978.0</c:v>
                </c:pt>
                <c:pt idx="12">
                  <c:v>1979.0</c:v>
                </c:pt>
                <c:pt idx="13">
                  <c:v>1980.0</c:v>
                </c:pt>
                <c:pt idx="14">
                  <c:v>1981.0</c:v>
                </c:pt>
                <c:pt idx="15">
                  <c:v>1982.0</c:v>
                </c:pt>
                <c:pt idx="16">
                  <c:v>1983.0</c:v>
                </c:pt>
                <c:pt idx="17">
                  <c:v>1984.0</c:v>
                </c:pt>
                <c:pt idx="18">
                  <c:v>1985.0</c:v>
                </c:pt>
                <c:pt idx="19">
                  <c:v>1986.0</c:v>
                </c:pt>
                <c:pt idx="20">
                  <c:v>1987.0</c:v>
                </c:pt>
                <c:pt idx="21">
                  <c:v>1988.0</c:v>
                </c:pt>
                <c:pt idx="22">
                  <c:v>1989.0</c:v>
                </c:pt>
                <c:pt idx="23">
                  <c:v>1990.0</c:v>
                </c:pt>
                <c:pt idx="24">
                  <c:v>1991.0</c:v>
                </c:pt>
                <c:pt idx="25">
                  <c:v>1992.0</c:v>
                </c:pt>
                <c:pt idx="26">
                  <c:v>1993.0</c:v>
                </c:pt>
                <c:pt idx="27">
                  <c:v>1994.0</c:v>
                </c:pt>
                <c:pt idx="28">
                  <c:v>1995.0</c:v>
                </c:pt>
                <c:pt idx="29">
                  <c:v>1996.0</c:v>
                </c:pt>
                <c:pt idx="30">
                  <c:v>1997.0</c:v>
                </c:pt>
                <c:pt idx="31">
                  <c:v>1998.0</c:v>
                </c:pt>
                <c:pt idx="32">
                  <c:v>1999.0</c:v>
                </c:pt>
                <c:pt idx="33">
                  <c:v>2000.0</c:v>
                </c:pt>
                <c:pt idx="34">
                  <c:v>2001.0</c:v>
                </c:pt>
                <c:pt idx="35">
                  <c:v>2002.0</c:v>
                </c:pt>
                <c:pt idx="36">
                  <c:v>2003.0</c:v>
                </c:pt>
                <c:pt idx="37">
                  <c:v>2004.0</c:v>
                </c:pt>
                <c:pt idx="38">
                  <c:v>2005.0</c:v>
                </c:pt>
                <c:pt idx="39">
                  <c:v>2006.0</c:v>
                </c:pt>
                <c:pt idx="40">
                  <c:v>2007.0</c:v>
                </c:pt>
                <c:pt idx="41">
                  <c:v>2008.0</c:v>
                </c:pt>
                <c:pt idx="42">
                  <c:v>2009.0</c:v>
                </c:pt>
                <c:pt idx="43">
                  <c:v>2010.0</c:v>
                </c:pt>
                <c:pt idx="44">
                  <c:v>2011.0</c:v>
                </c:pt>
                <c:pt idx="45">
                  <c:v>2012.0</c:v>
                </c:pt>
                <c:pt idx="46">
                  <c:v>2013.0</c:v>
                </c:pt>
                <c:pt idx="47">
                  <c:v>2014.0</c:v>
                </c:pt>
                <c:pt idx="48">
                  <c:v>2015.0</c:v>
                </c:pt>
                <c:pt idx="49">
                  <c:v>2016.0</c:v>
                </c:pt>
              </c:numCache>
            </c:numRef>
          </c:cat>
          <c:val>
            <c:numRef>
              <c:f>'Assets(MOFA)'!$EC$11:$EC$61</c:f>
              <c:numCache>
                <c:formatCode>0%</c:formatCode>
                <c:ptCount val="51"/>
                <c:pt idx="0">
                  <c:v>0.66921672914951</c:v>
                </c:pt>
                <c:pt idx="1">
                  <c:v>0.659311654979286</c:v>
                </c:pt>
                <c:pt idx="2">
                  <c:v>0.663309000184772</c:v>
                </c:pt>
                <c:pt idx="3">
                  <c:v>0.667932556958693</c:v>
                </c:pt>
                <c:pt idx="4">
                  <c:v>0.658989223763597</c:v>
                </c:pt>
                <c:pt idx="5">
                  <c:v>0.776538743000364</c:v>
                </c:pt>
                <c:pt idx="6">
                  <c:v>0.820145474067519</c:v>
                </c:pt>
                <c:pt idx="7">
                  <c:v>1.074468151418424</c:v>
                </c:pt>
                <c:pt idx="8">
                  <c:v>1.662847453912617</c:v>
                </c:pt>
                <c:pt idx="9">
                  <c:v>1.416037204317548</c:v>
                </c:pt>
                <c:pt idx="10">
                  <c:v>1.555044723845884</c:v>
                </c:pt>
                <c:pt idx="11">
                  <c:v>1.158032939159015</c:v>
                </c:pt>
                <c:pt idx="12">
                  <c:v>1.067963733301873</c:v>
                </c:pt>
                <c:pt idx="13">
                  <c:v>1.339351743387122</c:v>
                </c:pt>
                <c:pt idx="14">
                  <c:v>0.821141579605074</c:v>
                </c:pt>
                <c:pt idx="15">
                  <c:v>0.68091566456748</c:v>
                </c:pt>
                <c:pt idx="16">
                  <c:v>0.542321018228578</c:v>
                </c:pt>
                <c:pt idx="17">
                  <c:v>0.650085316452399</c:v>
                </c:pt>
                <c:pt idx="18">
                  <c:v>0.74909164041027</c:v>
                </c:pt>
                <c:pt idx="19">
                  <c:v>0.713822021435858</c:v>
                </c:pt>
                <c:pt idx="20">
                  <c:v>0.558245381819871</c:v>
                </c:pt>
                <c:pt idx="21">
                  <c:v>0.595556369407312</c:v>
                </c:pt>
                <c:pt idx="22">
                  <c:v>0.630288424233295</c:v>
                </c:pt>
                <c:pt idx="23">
                  <c:v>0.576969814805813</c:v>
                </c:pt>
                <c:pt idx="24">
                  <c:v>0.48395908321359</c:v>
                </c:pt>
                <c:pt idx="25">
                  <c:v>0.390648770177304</c:v>
                </c:pt>
                <c:pt idx="26">
                  <c:v>0.354844641724794</c:v>
                </c:pt>
                <c:pt idx="27">
                  <c:v>0.387210594374013</c:v>
                </c:pt>
                <c:pt idx="28">
                  <c:v>0.406973581514155</c:v>
                </c:pt>
                <c:pt idx="29">
                  <c:v>0.49566094303625</c:v>
                </c:pt>
                <c:pt idx="30">
                  <c:v>0.540679429448836</c:v>
                </c:pt>
                <c:pt idx="31">
                  <c:v>0.554642017673487</c:v>
                </c:pt>
                <c:pt idx="32">
                  <c:v>0.442322664255284</c:v>
                </c:pt>
                <c:pt idx="33">
                  <c:v>0.4585582711165</c:v>
                </c:pt>
                <c:pt idx="34">
                  <c:v>0.534646814262601</c:v>
                </c:pt>
                <c:pt idx="35">
                  <c:v>0.421831781207548</c:v>
                </c:pt>
                <c:pt idx="36">
                  <c:v>0.448287138906272</c:v>
                </c:pt>
                <c:pt idx="37">
                  <c:v>0.568021429891003</c:v>
                </c:pt>
                <c:pt idx="38">
                  <c:v>0.61446798464076</c:v>
                </c:pt>
                <c:pt idx="39">
                  <c:v>0.745851673198673</c:v>
                </c:pt>
                <c:pt idx="40">
                  <c:v>0.75674951729372</c:v>
                </c:pt>
                <c:pt idx="41">
                  <c:v>0.792185578449746</c:v>
                </c:pt>
                <c:pt idx="42">
                  <c:v>0.866164553965784</c:v>
                </c:pt>
                <c:pt idx="43">
                  <c:v>0.633659666010355</c:v>
                </c:pt>
                <c:pt idx="44">
                  <c:v>0.752141277603015</c:v>
                </c:pt>
                <c:pt idx="45">
                  <c:v>0.828567933951687</c:v>
                </c:pt>
                <c:pt idx="46">
                  <c:v>0.750908954237764</c:v>
                </c:pt>
                <c:pt idx="47">
                  <c:v>0.702542590296913</c:v>
                </c:pt>
                <c:pt idx="48">
                  <c:v>0.642406137670583</c:v>
                </c:pt>
                <c:pt idx="49">
                  <c:v>0.493727585582322</c:v>
                </c:pt>
                <c:pt idx="50">
                  <c:v>0.418857995237786</c:v>
                </c:pt>
              </c:numCache>
            </c:numRef>
          </c:val>
          <c:smooth val="0"/>
        </c:ser>
        <c:ser>
          <c:idx val="2"/>
          <c:order val="2"/>
          <c:tx>
            <c:strRef>
              <c:f>'Assets(MOFA)'!$EG$3</c:f>
              <c:strCache>
                <c:ptCount val="1"/>
                <c:pt idx="0">
                  <c:v>Oil</c:v>
                </c:pt>
              </c:strCache>
            </c:strRef>
          </c:tx>
          <c:marker>
            <c:symbol val="none"/>
          </c:marker>
          <c:cat>
            <c:numRef>
              <c:f>'Assets(MOFA)'!$A$12:$A$61</c:f>
              <c:numCache>
                <c:formatCode>General</c:formatCode>
                <c:ptCount val="50"/>
                <c:pt idx="0">
                  <c:v>1967.0</c:v>
                </c:pt>
                <c:pt idx="1">
                  <c:v>1968.0</c:v>
                </c:pt>
                <c:pt idx="2">
                  <c:v>1969.0</c:v>
                </c:pt>
                <c:pt idx="3">
                  <c:v>1970.0</c:v>
                </c:pt>
                <c:pt idx="4">
                  <c:v>1971.0</c:v>
                </c:pt>
                <c:pt idx="5">
                  <c:v>1972.0</c:v>
                </c:pt>
                <c:pt idx="6">
                  <c:v>1973.0</c:v>
                </c:pt>
                <c:pt idx="7">
                  <c:v>1974.0</c:v>
                </c:pt>
                <c:pt idx="8">
                  <c:v>1975.0</c:v>
                </c:pt>
                <c:pt idx="9">
                  <c:v>1976.0</c:v>
                </c:pt>
                <c:pt idx="10">
                  <c:v>1977.0</c:v>
                </c:pt>
                <c:pt idx="11">
                  <c:v>1978.0</c:v>
                </c:pt>
                <c:pt idx="12">
                  <c:v>1979.0</c:v>
                </c:pt>
                <c:pt idx="13">
                  <c:v>1980.0</c:v>
                </c:pt>
                <c:pt idx="14">
                  <c:v>1981.0</c:v>
                </c:pt>
                <c:pt idx="15">
                  <c:v>1982.0</c:v>
                </c:pt>
                <c:pt idx="16">
                  <c:v>1983.0</c:v>
                </c:pt>
                <c:pt idx="17">
                  <c:v>1984.0</c:v>
                </c:pt>
                <c:pt idx="18">
                  <c:v>1985.0</c:v>
                </c:pt>
                <c:pt idx="19">
                  <c:v>1986.0</c:v>
                </c:pt>
                <c:pt idx="20">
                  <c:v>1987.0</c:v>
                </c:pt>
                <c:pt idx="21">
                  <c:v>1988.0</c:v>
                </c:pt>
                <c:pt idx="22">
                  <c:v>1989.0</c:v>
                </c:pt>
                <c:pt idx="23">
                  <c:v>1990.0</c:v>
                </c:pt>
                <c:pt idx="24">
                  <c:v>1991.0</c:v>
                </c:pt>
                <c:pt idx="25">
                  <c:v>1992.0</c:v>
                </c:pt>
                <c:pt idx="26">
                  <c:v>1993.0</c:v>
                </c:pt>
                <c:pt idx="27">
                  <c:v>1994.0</c:v>
                </c:pt>
                <c:pt idx="28">
                  <c:v>1995.0</c:v>
                </c:pt>
                <c:pt idx="29">
                  <c:v>1996.0</c:v>
                </c:pt>
                <c:pt idx="30">
                  <c:v>1997.0</c:v>
                </c:pt>
                <c:pt idx="31">
                  <c:v>1998.0</c:v>
                </c:pt>
                <c:pt idx="32">
                  <c:v>1999.0</c:v>
                </c:pt>
                <c:pt idx="33">
                  <c:v>2000.0</c:v>
                </c:pt>
                <c:pt idx="34">
                  <c:v>2001.0</c:v>
                </c:pt>
                <c:pt idx="35">
                  <c:v>2002.0</c:v>
                </c:pt>
                <c:pt idx="36">
                  <c:v>2003.0</c:v>
                </c:pt>
                <c:pt idx="37">
                  <c:v>2004.0</c:v>
                </c:pt>
                <c:pt idx="38">
                  <c:v>2005.0</c:v>
                </c:pt>
                <c:pt idx="39">
                  <c:v>2006.0</c:v>
                </c:pt>
                <c:pt idx="40">
                  <c:v>2007.0</c:v>
                </c:pt>
                <c:pt idx="41">
                  <c:v>2008.0</c:v>
                </c:pt>
                <c:pt idx="42">
                  <c:v>2009.0</c:v>
                </c:pt>
                <c:pt idx="43">
                  <c:v>2010.0</c:v>
                </c:pt>
                <c:pt idx="44">
                  <c:v>2011.0</c:v>
                </c:pt>
                <c:pt idx="45">
                  <c:v>2012.0</c:v>
                </c:pt>
                <c:pt idx="46">
                  <c:v>2013.0</c:v>
                </c:pt>
                <c:pt idx="47">
                  <c:v>2014.0</c:v>
                </c:pt>
                <c:pt idx="48">
                  <c:v>2015.0</c:v>
                </c:pt>
                <c:pt idx="49">
                  <c:v>2016.0</c:v>
                </c:pt>
              </c:numCache>
            </c:numRef>
          </c:cat>
          <c:val>
            <c:numRef>
              <c:f>'Assets(MOFA)'!$EG$11:$EG$61</c:f>
              <c:numCache>
                <c:formatCode>0%</c:formatCode>
                <c:ptCount val="51"/>
                <c:pt idx="0">
                  <c:v>2.14765694076039</c:v>
                </c:pt>
                <c:pt idx="1">
                  <c:v>2.510845648244128</c:v>
                </c:pt>
                <c:pt idx="2">
                  <c:v>2.817103216845776</c:v>
                </c:pt>
                <c:pt idx="3">
                  <c:v>2.982418498269581</c:v>
                </c:pt>
                <c:pt idx="4">
                  <c:v>3.279555308185595</c:v>
                </c:pt>
                <c:pt idx="5">
                  <c:v>4.123996746316621</c:v>
                </c:pt>
                <c:pt idx="6">
                  <c:v>4.61550603754412</c:v>
                </c:pt>
                <c:pt idx="7">
                  <c:v>7.336403056430617</c:v>
                </c:pt>
                <c:pt idx="8">
                  <c:v>14.90649973237826</c:v>
                </c:pt>
                <c:pt idx="9">
                  <c:v>12.03507846992634</c:v>
                </c:pt>
                <c:pt idx="10">
                  <c:v>13.31790095869359</c:v>
                </c:pt>
                <c:pt idx="11">
                  <c:v>9.46636587366694</c:v>
                </c:pt>
                <c:pt idx="12">
                  <c:v>7.959844357640125</c:v>
                </c:pt>
                <c:pt idx="13">
                  <c:v>9.613082586838425</c:v>
                </c:pt>
                <c:pt idx="14">
                  <c:v>4.133540375480293</c:v>
                </c:pt>
                <c:pt idx="15">
                  <c:v>3.244628117067445</c:v>
                </c:pt>
                <c:pt idx="16">
                  <c:v>2.652863777089783</c:v>
                </c:pt>
                <c:pt idx="17">
                  <c:v>2.946560196560196</c:v>
                </c:pt>
                <c:pt idx="18">
                  <c:v>3.376838435559429</c:v>
                </c:pt>
                <c:pt idx="19">
                  <c:v>3.39165687426557</c:v>
                </c:pt>
                <c:pt idx="20">
                  <c:v>1.793972215681657</c:v>
                </c:pt>
                <c:pt idx="21">
                  <c:v>1.787460148777896</c:v>
                </c:pt>
                <c:pt idx="22">
                  <c:v>1.426896629466802</c:v>
                </c:pt>
                <c:pt idx="23">
                  <c:v>1.446911717149941</c:v>
                </c:pt>
                <c:pt idx="24">
                  <c:v>2.172767574414186</c:v>
                </c:pt>
                <c:pt idx="25">
                  <c:v>1.830190989226249</c:v>
                </c:pt>
                <c:pt idx="26">
                  <c:v>1.649230045844598</c:v>
                </c:pt>
                <c:pt idx="27">
                  <c:v>2.034353059177532</c:v>
                </c:pt>
                <c:pt idx="28">
                  <c:v>1.747864290944594</c:v>
                </c:pt>
                <c:pt idx="29">
                  <c:v>2.0289872219593</c:v>
                </c:pt>
                <c:pt idx="30">
                  <c:v>2.773205200678349</c:v>
                </c:pt>
                <c:pt idx="31">
                  <c:v>2.696162626372432</c:v>
                </c:pt>
                <c:pt idx="32">
                  <c:v>1.464553314121037</c:v>
                </c:pt>
                <c:pt idx="33">
                  <c:v>2.925</c:v>
                </c:pt>
                <c:pt idx="34">
                  <c:v>5.978975032851511</c:v>
                </c:pt>
                <c:pt idx="35">
                  <c:v>5.311382734912146</c:v>
                </c:pt>
                <c:pt idx="36">
                  <c:v>4.532389845345784</c:v>
                </c:pt>
                <c:pt idx="37">
                  <c:v>5.829155060352832</c:v>
                </c:pt>
                <c:pt idx="38">
                  <c:v>8.084715714828416</c:v>
                </c:pt>
                <c:pt idx="39">
                  <c:v>11.02043124565742</c:v>
                </c:pt>
                <c:pt idx="40">
                  <c:v>12.07152142252472</c:v>
                </c:pt>
                <c:pt idx="41">
                  <c:v>11.70466435430873</c:v>
                </c:pt>
                <c:pt idx="42">
                  <c:v>14.95136529453925</c:v>
                </c:pt>
                <c:pt idx="43">
                  <c:v>7.314410480349345</c:v>
                </c:pt>
                <c:pt idx="44">
                  <c:v>8.997797356828193</c:v>
                </c:pt>
                <c:pt idx="45">
                  <c:v>10.9887614853064</c:v>
                </c:pt>
                <c:pt idx="46">
                  <c:v>10.78407325647944</c:v>
                </c:pt>
                <c:pt idx="47">
                  <c:v>9.717089976764682</c:v>
                </c:pt>
                <c:pt idx="48">
                  <c:v>7.576054877562416</c:v>
                </c:pt>
                <c:pt idx="49">
                  <c:v>2.53701088311041</c:v>
                </c:pt>
                <c:pt idx="50">
                  <c:v>1.511706656346749</c:v>
                </c:pt>
              </c:numCache>
            </c:numRef>
          </c:val>
          <c:smooth val="0"/>
        </c:ser>
        <c:dLbls>
          <c:showLegendKey val="0"/>
          <c:showVal val="0"/>
          <c:showCatName val="0"/>
          <c:showSerName val="0"/>
          <c:showPercent val="0"/>
          <c:showBubbleSize val="0"/>
        </c:dLbls>
        <c:marker val="1"/>
        <c:smooth val="0"/>
        <c:axId val="-2102220984"/>
        <c:axId val="-2102227048"/>
      </c:lineChart>
      <c:catAx>
        <c:axId val="-2102220984"/>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2102227048"/>
        <c:crosses val="autoZero"/>
        <c:auto val="1"/>
        <c:lblAlgn val="ctr"/>
        <c:lblOffset val="100"/>
        <c:noMultiLvlLbl val="0"/>
      </c:catAx>
      <c:valAx>
        <c:axId val="-2102227048"/>
        <c:scaling>
          <c:orientation val="minMax"/>
        </c:scaling>
        <c:delete val="0"/>
        <c:axPos val="l"/>
        <c:majorGridlines/>
        <c:numFmt formatCode="0%" sourceLinked="1"/>
        <c:majorTickMark val="out"/>
        <c:minorTickMark val="none"/>
        <c:tickLblPos val="nextTo"/>
        <c:crossAx val="-2102220984"/>
        <c:crosses val="autoZero"/>
        <c:crossBetween val="between"/>
      </c:valAx>
    </c:plotArea>
    <c:legend>
      <c:legendPos val="r"/>
      <c:layout>
        <c:manualLayout>
          <c:xMode val="edge"/>
          <c:yMode val="edge"/>
          <c:x val="0.220152449693788"/>
          <c:y val="0.092208734324876"/>
          <c:w val="0.247305109066573"/>
          <c:h val="0.280226698406885"/>
        </c:manualLayout>
      </c:layout>
      <c:overlay val="0"/>
    </c:legend>
    <c:plotVisOnly val="1"/>
    <c:dispBlanksAs val="gap"/>
    <c:showDLblsOverMax val="0"/>
  </c:chart>
  <c:printSettings>
    <c:headerFooter/>
    <c:pageMargins b="1.0" l="0.75" r="0.75" t="1.0" header="0.5" footer="0.5"/>
    <c:pageSetup/>
  </c:printSettings>
</c:chartSpac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8.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30.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32.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34.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36.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38.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40.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42.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44.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46.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48.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50.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52.xml"/></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54.xml"/></Relationships>
</file>

<file path=xl/chartsheets/_rels/sheet27.xml.rels><?xml version="1.0" encoding="UTF-8" standalone="yes"?>
<Relationships xmlns="http://schemas.openxmlformats.org/package/2006/relationships"><Relationship Id="rId1" Type="http://schemas.openxmlformats.org/officeDocument/2006/relationships/drawing" Target="../drawings/drawing56.xml"/></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58.xml"/></Relationships>
</file>

<file path=xl/chartsheets/_rels/sheet29.xml.rels><?xml version="1.0" encoding="UTF-8" standalone="yes"?>
<Relationships xmlns="http://schemas.openxmlformats.org/package/2006/relationships"><Relationship Id="rId1" Type="http://schemas.openxmlformats.org/officeDocument/2006/relationships/drawing" Target="../drawings/drawing60.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30.xml.rels><?xml version="1.0" encoding="UTF-8" standalone="yes"?>
<Relationships xmlns="http://schemas.openxmlformats.org/package/2006/relationships"><Relationship Id="rId1" Type="http://schemas.openxmlformats.org/officeDocument/2006/relationships/drawing" Target="../drawings/drawing66.xml"/></Relationships>
</file>

<file path=xl/chartsheets/_rels/sheet31.xml.rels><?xml version="1.0" encoding="UTF-8" standalone="yes"?>
<Relationships xmlns="http://schemas.openxmlformats.org/package/2006/relationships"><Relationship Id="rId1" Type="http://schemas.openxmlformats.org/officeDocument/2006/relationships/drawing" Target="../drawings/drawing68.xml"/></Relationships>
</file>

<file path=xl/chartsheets/_rels/sheet32.xml.rels><?xml version="1.0" encoding="UTF-8" standalone="yes"?>
<Relationships xmlns="http://schemas.openxmlformats.org/package/2006/relationships"><Relationship Id="rId1" Type="http://schemas.openxmlformats.org/officeDocument/2006/relationships/drawing" Target="../drawings/drawing70.xml"/></Relationships>
</file>

<file path=xl/chartsheets/_rels/sheet33.xml.rels><?xml version="1.0" encoding="UTF-8" standalone="yes"?>
<Relationships xmlns="http://schemas.openxmlformats.org/package/2006/relationships"><Relationship Id="rId1" Type="http://schemas.openxmlformats.org/officeDocument/2006/relationships/drawing" Target="../drawings/drawing72.xml"/></Relationships>
</file>

<file path=xl/chartsheets/_rels/sheet34.xml.rels><?xml version="1.0" encoding="UTF-8" standalone="yes"?>
<Relationships xmlns="http://schemas.openxmlformats.org/package/2006/relationships"><Relationship Id="rId1" Type="http://schemas.openxmlformats.org/officeDocument/2006/relationships/drawing" Target="../drawings/drawing74.xml"/></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76.xml"/></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78.xml"/></Relationships>
</file>

<file path=xl/chartsheets/_rels/sheet37.xml.rels><?xml version="1.0" encoding="UTF-8" standalone="yes"?>
<Relationships xmlns="http://schemas.openxmlformats.org/package/2006/relationships"><Relationship Id="rId1" Type="http://schemas.openxmlformats.org/officeDocument/2006/relationships/drawing" Target="../drawings/drawing80.xml"/></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82.xml"/></Relationships>
</file>

<file path=xl/chartsheets/_rels/sheet39.xml.rels><?xml version="1.0" encoding="UTF-8" standalone="yes"?>
<Relationships xmlns="http://schemas.openxmlformats.org/package/2006/relationships"><Relationship Id="rId1" Type="http://schemas.openxmlformats.org/officeDocument/2006/relationships/drawing" Target="../drawings/drawing87.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40.xml.rels><?xml version="1.0" encoding="UTF-8" standalone="yes"?>
<Relationships xmlns="http://schemas.openxmlformats.org/package/2006/relationships"><Relationship Id="rId1" Type="http://schemas.openxmlformats.org/officeDocument/2006/relationships/drawing" Target="../drawings/drawing89.xml"/></Relationships>
</file>

<file path=xl/chartsheets/_rels/sheet41.xml.rels><?xml version="1.0" encoding="UTF-8" standalone="yes"?>
<Relationships xmlns="http://schemas.openxmlformats.org/package/2006/relationships"><Relationship Id="rId1" Type="http://schemas.openxmlformats.org/officeDocument/2006/relationships/drawing" Target="../drawings/drawing91.xml"/></Relationships>
</file>

<file path=xl/chartsheets/_rels/sheet42.xml.rels><?xml version="1.0" encoding="UTF-8" standalone="yes"?>
<Relationships xmlns="http://schemas.openxmlformats.org/package/2006/relationships"><Relationship Id="rId1" Type="http://schemas.openxmlformats.org/officeDocument/2006/relationships/drawing" Target="../drawings/drawing92.xml"/></Relationships>
</file>

<file path=xl/chartsheets/_rels/sheet43.xml.rels><?xml version="1.0" encoding="UTF-8" standalone="yes"?>
<Relationships xmlns="http://schemas.openxmlformats.org/package/2006/relationships"><Relationship Id="rId1" Type="http://schemas.openxmlformats.org/officeDocument/2006/relationships/drawing" Target="../drawings/drawing94.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8.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20.xml"/></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10.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11.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12.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13.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14.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15.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16.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17.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18.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19.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2.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20.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21.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22.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23.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24.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25.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26.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27.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28.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29.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3.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30.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31.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32.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33.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34.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35.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36.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37.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38.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39.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4.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40.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41.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42.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43.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5.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6.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7.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8.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9.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 Id="rId2"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4" Type="http://schemas.openxmlformats.org/officeDocument/2006/relationships/chart" Target="../charts/chart7.xml"/><Relationship Id="rId5" Type="http://schemas.openxmlformats.org/officeDocument/2006/relationships/chart" Target="../charts/chart8.xml"/><Relationship Id="rId6" Type="http://schemas.openxmlformats.org/officeDocument/2006/relationships/chart" Target="../charts/chart9.xml"/><Relationship Id="rId1" Type="http://schemas.openxmlformats.org/officeDocument/2006/relationships/chart" Target="../charts/chart4.xml"/><Relationship Id="rId2"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62.xml.rels><?xml version="1.0" encoding="UTF-8" standalone="yes"?>
<Relationships xmlns="http://schemas.openxmlformats.org/package/2006/relationships"><Relationship Id="rId13" Type="http://schemas.openxmlformats.org/officeDocument/2006/relationships/chart" Target="../charts/chart51.xml"/><Relationship Id="rId14" Type="http://schemas.openxmlformats.org/officeDocument/2006/relationships/chart" Target="../charts/chart52.xml"/><Relationship Id="rId15" Type="http://schemas.openxmlformats.org/officeDocument/2006/relationships/chart" Target="../charts/chart53.xml"/><Relationship Id="rId16" Type="http://schemas.openxmlformats.org/officeDocument/2006/relationships/chart" Target="../charts/chart54.xml"/><Relationship Id="rId17" Type="http://schemas.openxmlformats.org/officeDocument/2006/relationships/chart" Target="../charts/chart55.xml"/><Relationship Id="rId18" Type="http://schemas.openxmlformats.org/officeDocument/2006/relationships/chart" Target="../charts/chart56.xml"/><Relationship Id="rId19" Type="http://schemas.openxmlformats.org/officeDocument/2006/relationships/chart" Target="../charts/chart57.xml"/><Relationship Id="rId50" Type="http://schemas.openxmlformats.org/officeDocument/2006/relationships/chart" Target="../charts/chart88.xml"/><Relationship Id="rId51" Type="http://schemas.openxmlformats.org/officeDocument/2006/relationships/chart" Target="../charts/chart89.xml"/><Relationship Id="rId52" Type="http://schemas.openxmlformats.org/officeDocument/2006/relationships/chart" Target="../charts/chart90.xml"/><Relationship Id="rId53" Type="http://schemas.openxmlformats.org/officeDocument/2006/relationships/chart" Target="../charts/chart91.xml"/><Relationship Id="rId54" Type="http://schemas.openxmlformats.org/officeDocument/2006/relationships/chart" Target="../charts/chart92.xml"/><Relationship Id="rId55" Type="http://schemas.openxmlformats.org/officeDocument/2006/relationships/chart" Target="../charts/chart93.xml"/><Relationship Id="rId56" Type="http://schemas.openxmlformats.org/officeDocument/2006/relationships/chart" Target="../charts/chart94.xml"/><Relationship Id="rId57" Type="http://schemas.openxmlformats.org/officeDocument/2006/relationships/chart" Target="../charts/chart95.xml"/><Relationship Id="rId58" Type="http://schemas.openxmlformats.org/officeDocument/2006/relationships/chart" Target="../charts/chart96.xml"/><Relationship Id="rId40" Type="http://schemas.openxmlformats.org/officeDocument/2006/relationships/chart" Target="../charts/chart78.xml"/><Relationship Id="rId41" Type="http://schemas.openxmlformats.org/officeDocument/2006/relationships/chart" Target="../charts/chart79.xml"/><Relationship Id="rId42" Type="http://schemas.openxmlformats.org/officeDocument/2006/relationships/chart" Target="../charts/chart80.xml"/><Relationship Id="rId43" Type="http://schemas.openxmlformats.org/officeDocument/2006/relationships/chart" Target="../charts/chart81.xml"/><Relationship Id="rId44" Type="http://schemas.openxmlformats.org/officeDocument/2006/relationships/chart" Target="../charts/chart82.xml"/><Relationship Id="rId45" Type="http://schemas.openxmlformats.org/officeDocument/2006/relationships/chart" Target="../charts/chart83.xml"/><Relationship Id="rId46" Type="http://schemas.openxmlformats.org/officeDocument/2006/relationships/chart" Target="../charts/chart84.xml"/><Relationship Id="rId47" Type="http://schemas.openxmlformats.org/officeDocument/2006/relationships/chart" Target="../charts/chart85.xml"/><Relationship Id="rId48" Type="http://schemas.openxmlformats.org/officeDocument/2006/relationships/chart" Target="../charts/chart86.xml"/><Relationship Id="rId49" Type="http://schemas.openxmlformats.org/officeDocument/2006/relationships/chart" Target="../charts/chart87.xml"/><Relationship Id="rId1" Type="http://schemas.openxmlformats.org/officeDocument/2006/relationships/chart" Target="../charts/chart39.xml"/><Relationship Id="rId2" Type="http://schemas.openxmlformats.org/officeDocument/2006/relationships/chart" Target="../charts/chart40.xml"/><Relationship Id="rId3" Type="http://schemas.openxmlformats.org/officeDocument/2006/relationships/chart" Target="../charts/chart41.xml"/><Relationship Id="rId4" Type="http://schemas.openxmlformats.org/officeDocument/2006/relationships/chart" Target="../charts/chart42.xml"/><Relationship Id="rId5" Type="http://schemas.openxmlformats.org/officeDocument/2006/relationships/chart" Target="../charts/chart43.xml"/><Relationship Id="rId6" Type="http://schemas.openxmlformats.org/officeDocument/2006/relationships/chart" Target="../charts/chart44.xml"/><Relationship Id="rId7" Type="http://schemas.openxmlformats.org/officeDocument/2006/relationships/chart" Target="../charts/chart45.xml"/><Relationship Id="rId8" Type="http://schemas.openxmlformats.org/officeDocument/2006/relationships/chart" Target="../charts/chart46.xml"/><Relationship Id="rId9" Type="http://schemas.openxmlformats.org/officeDocument/2006/relationships/chart" Target="../charts/chart47.xml"/><Relationship Id="rId30" Type="http://schemas.openxmlformats.org/officeDocument/2006/relationships/chart" Target="../charts/chart68.xml"/><Relationship Id="rId31" Type="http://schemas.openxmlformats.org/officeDocument/2006/relationships/chart" Target="../charts/chart69.xml"/><Relationship Id="rId32" Type="http://schemas.openxmlformats.org/officeDocument/2006/relationships/chart" Target="../charts/chart70.xml"/><Relationship Id="rId33" Type="http://schemas.openxmlformats.org/officeDocument/2006/relationships/chart" Target="../charts/chart71.xml"/><Relationship Id="rId34" Type="http://schemas.openxmlformats.org/officeDocument/2006/relationships/chart" Target="../charts/chart72.xml"/><Relationship Id="rId35" Type="http://schemas.openxmlformats.org/officeDocument/2006/relationships/chart" Target="../charts/chart73.xml"/><Relationship Id="rId36" Type="http://schemas.openxmlformats.org/officeDocument/2006/relationships/chart" Target="../charts/chart74.xml"/><Relationship Id="rId37" Type="http://schemas.openxmlformats.org/officeDocument/2006/relationships/chart" Target="../charts/chart75.xml"/><Relationship Id="rId38" Type="http://schemas.openxmlformats.org/officeDocument/2006/relationships/chart" Target="../charts/chart76.xml"/><Relationship Id="rId39" Type="http://schemas.openxmlformats.org/officeDocument/2006/relationships/chart" Target="../charts/chart77.xml"/><Relationship Id="rId20" Type="http://schemas.openxmlformats.org/officeDocument/2006/relationships/chart" Target="../charts/chart58.xml"/><Relationship Id="rId21" Type="http://schemas.openxmlformats.org/officeDocument/2006/relationships/chart" Target="../charts/chart59.xml"/><Relationship Id="rId22" Type="http://schemas.openxmlformats.org/officeDocument/2006/relationships/chart" Target="../charts/chart60.xml"/><Relationship Id="rId23" Type="http://schemas.openxmlformats.org/officeDocument/2006/relationships/chart" Target="../charts/chart61.xml"/><Relationship Id="rId24" Type="http://schemas.openxmlformats.org/officeDocument/2006/relationships/chart" Target="../charts/chart62.xml"/><Relationship Id="rId25" Type="http://schemas.openxmlformats.org/officeDocument/2006/relationships/chart" Target="../charts/chart63.xml"/><Relationship Id="rId26" Type="http://schemas.openxmlformats.org/officeDocument/2006/relationships/chart" Target="../charts/chart64.xml"/><Relationship Id="rId27" Type="http://schemas.openxmlformats.org/officeDocument/2006/relationships/chart" Target="../charts/chart65.xml"/><Relationship Id="rId28" Type="http://schemas.openxmlformats.org/officeDocument/2006/relationships/chart" Target="../charts/chart66.xml"/><Relationship Id="rId29" Type="http://schemas.openxmlformats.org/officeDocument/2006/relationships/chart" Target="../charts/chart67.xml"/><Relationship Id="rId10" Type="http://schemas.openxmlformats.org/officeDocument/2006/relationships/chart" Target="../charts/chart48.xml"/><Relationship Id="rId11" Type="http://schemas.openxmlformats.org/officeDocument/2006/relationships/chart" Target="../charts/chart49.xml"/><Relationship Id="rId12" Type="http://schemas.openxmlformats.org/officeDocument/2006/relationships/chart" Target="../charts/chart50.xml"/></Relationships>
</file>

<file path=xl/drawings/_rels/drawing63.xml.rels><?xml version="1.0" encoding="UTF-8" standalone="yes"?>
<Relationships xmlns="http://schemas.openxmlformats.org/package/2006/relationships"><Relationship Id="rId20" Type="http://schemas.openxmlformats.org/officeDocument/2006/relationships/chart" Target="../charts/chart116.xml"/><Relationship Id="rId21" Type="http://schemas.openxmlformats.org/officeDocument/2006/relationships/chart" Target="../charts/chart117.xml"/><Relationship Id="rId22" Type="http://schemas.openxmlformats.org/officeDocument/2006/relationships/chart" Target="../charts/chart118.xml"/><Relationship Id="rId23" Type="http://schemas.openxmlformats.org/officeDocument/2006/relationships/chart" Target="../charts/chart119.xml"/><Relationship Id="rId24" Type="http://schemas.openxmlformats.org/officeDocument/2006/relationships/chart" Target="../charts/chart120.xml"/><Relationship Id="rId25" Type="http://schemas.openxmlformats.org/officeDocument/2006/relationships/chart" Target="../charts/chart121.xml"/><Relationship Id="rId26" Type="http://schemas.openxmlformats.org/officeDocument/2006/relationships/chart" Target="../charts/chart122.xml"/><Relationship Id="rId27" Type="http://schemas.openxmlformats.org/officeDocument/2006/relationships/chart" Target="../charts/chart123.xml"/><Relationship Id="rId28" Type="http://schemas.openxmlformats.org/officeDocument/2006/relationships/chart" Target="../charts/chart124.xml"/><Relationship Id="rId29" Type="http://schemas.openxmlformats.org/officeDocument/2006/relationships/chart" Target="../charts/chart125.xml"/><Relationship Id="rId1" Type="http://schemas.openxmlformats.org/officeDocument/2006/relationships/chart" Target="../charts/chart97.xml"/><Relationship Id="rId2" Type="http://schemas.openxmlformats.org/officeDocument/2006/relationships/chart" Target="../charts/chart98.xml"/><Relationship Id="rId3" Type="http://schemas.openxmlformats.org/officeDocument/2006/relationships/chart" Target="../charts/chart99.xml"/><Relationship Id="rId4" Type="http://schemas.openxmlformats.org/officeDocument/2006/relationships/chart" Target="../charts/chart100.xml"/><Relationship Id="rId5" Type="http://schemas.openxmlformats.org/officeDocument/2006/relationships/chart" Target="../charts/chart101.xml"/><Relationship Id="rId30" Type="http://schemas.openxmlformats.org/officeDocument/2006/relationships/chart" Target="../charts/chart126.xml"/><Relationship Id="rId31" Type="http://schemas.openxmlformats.org/officeDocument/2006/relationships/chart" Target="../charts/chart127.xml"/><Relationship Id="rId32" Type="http://schemas.openxmlformats.org/officeDocument/2006/relationships/chart" Target="../charts/chart128.xml"/><Relationship Id="rId9" Type="http://schemas.openxmlformats.org/officeDocument/2006/relationships/chart" Target="../charts/chart105.xml"/><Relationship Id="rId6" Type="http://schemas.openxmlformats.org/officeDocument/2006/relationships/chart" Target="../charts/chart102.xml"/><Relationship Id="rId7" Type="http://schemas.openxmlformats.org/officeDocument/2006/relationships/chart" Target="../charts/chart103.xml"/><Relationship Id="rId8" Type="http://schemas.openxmlformats.org/officeDocument/2006/relationships/chart" Target="../charts/chart104.xml"/><Relationship Id="rId33" Type="http://schemas.openxmlformats.org/officeDocument/2006/relationships/chart" Target="../charts/chart129.xml"/><Relationship Id="rId34" Type="http://schemas.openxmlformats.org/officeDocument/2006/relationships/chart" Target="../charts/chart130.xml"/><Relationship Id="rId35" Type="http://schemas.openxmlformats.org/officeDocument/2006/relationships/chart" Target="../charts/chart131.xml"/><Relationship Id="rId10" Type="http://schemas.openxmlformats.org/officeDocument/2006/relationships/chart" Target="../charts/chart106.xml"/><Relationship Id="rId11" Type="http://schemas.openxmlformats.org/officeDocument/2006/relationships/chart" Target="../charts/chart107.xml"/><Relationship Id="rId12" Type="http://schemas.openxmlformats.org/officeDocument/2006/relationships/chart" Target="../charts/chart108.xml"/><Relationship Id="rId13" Type="http://schemas.openxmlformats.org/officeDocument/2006/relationships/chart" Target="../charts/chart109.xml"/><Relationship Id="rId14" Type="http://schemas.openxmlformats.org/officeDocument/2006/relationships/chart" Target="../charts/chart110.xml"/><Relationship Id="rId15" Type="http://schemas.openxmlformats.org/officeDocument/2006/relationships/chart" Target="../charts/chart111.xml"/><Relationship Id="rId16" Type="http://schemas.openxmlformats.org/officeDocument/2006/relationships/chart" Target="../charts/chart112.xml"/><Relationship Id="rId17" Type="http://schemas.openxmlformats.org/officeDocument/2006/relationships/chart" Target="../charts/chart113.xml"/><Relationship Id="rId18" Type="http://schemas.openxmlformats.org/officeDocument/2006/relationships/chart" Target="../charts/chart114.xml"/><Relationship Id="rId19" Type="http://schemas.openxmlformats.org/officeDocument/2006/relationships/chart" Target="../charts/chart115.xml"/></Relationships>
</file>

<file path=xl/drawings/_rels/drawing64.xml.rels><?xml version="1.0" encoding="UTF-8" standalone="yes"?>
<Relationships xmlns="http://schemas.openxmlformats.org/package/2006/relationships"><Relationship Id="rId9" Type="http://schemas.openxmlformats.org/officeDocument/2006/relationships/chart" Target="../charts/chart140.xml"/><Relationship Id="rId20" Type="http://schemas.openxmlformats.org/officeDocument/2006/relationships/chart" Target="../charts/chart151.xml"/><Relationship Id="rId21" Type="http://schemas.openxmlformats.org/officeDocument/2006/relationships/chart" Target="../charts/chart152.xml"/><Relationship Id="rId10" Type="http://schemas.openxmlformats.org/officeDocument/2006/relationships/chart" Target="../charts/chart141.xml"/><Relationship Id="rId11" Type="http://schemas.openxmlformats.org/officeDocument/2006/relationships/chart" Target="../charts/chart142.xml"/><Relationship Id="rId12" Type="http://schemas.openxmlformats.org/officeDocument/2006/relationships/chart" Target="../charts/chart143.xml"/><Relationship Id="rId13" Type="http://schemas.openxmlformats.org/officeDocument/2006/relationships/chart" Target="../charts/chart144.xml"/><Relationship Id="rId14" Type="http://schemas.openxmlformats.org/officeDocument/2006/relationships/chart" Target="../charts/chart145.xml"/><Relationship Id="rId15" Type="http://schemas.openxmlformats.org/officeDocument/2006/relationships/chart" Target="../charts/chart146.xml"/><Relationship Id="rId16" Type="http://schemas.openxmlformats.org/officeDocument/2006/relationships/chart" Target="../charts/chart147.xml"/><Relationship Id="rId17" Type="http://schemas.openxmlformats.org/officeDocument/2006/relationships/chart" Target="../charts/chart148.xml"/><Relationship Id="rId18" Type="http://schemas.openxmlformats.org/officeDocument/2006/relationships/chart" Target="../charts/chart149.xml"/><Relationship Id="rId19" Type="http://schemas.openxmlformats.org/officeDocument/2006/relationships/chart" Target="../charts/chart150.xml"/><Relationship Id="rId1" Type="http://schemas.openxmlformats.org/officeDocument/2006/relationships/chart" Target="../charts/chart132.xml"/><Relationship Id="rId2" Type="http://schemas.openxmlformats.org/officeDocument/2006/relationships/chart" Target="../charts/chart133.xml"/><Relationship Id="rId3" Type="http://schemas.openxmlformats.org/officeDocument/2006/relationships/chart" Target="../charts/chart134.xml"/><Relationship Id="rId4" Type="http://schemas.openxmlformats.org/officeDocument/2006/relationships/chart" Target="../charts/chart135.xml"/><Relationship Id="rId5" Type="http://schemas.openxmlformats.org/officeDocument/2006/relationships/chart" Target="../charts/chart136.xml"/><Relationship Id="rId6" Type="http://schemas.openxmlformats.org/officeDocument/2006/relationships/chart" Target="../charts/chart137.xml"/><Relationship Id="rId7" Type="http://schemas.openxmlformats.org/officeDocument/2006/relationships/chart" Target="../charts/chart138.xml"/><Relationship Id="rId8" Type="http://schemas.openxmlformats.org/officeDocument/2006/relationships/chart" Target="../charts/chart139.xml"/></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chart" Target="../charts/chart153.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15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155.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156.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157.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158.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15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160.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161.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164.xml"/><Relationship Id="rId4" Type="http://schemas.openxmlformats.org/officeDocument/2006/relationships/chart" Target="../charts/chart165.xml"/><Relationship Id="rId5" Type="http://schemas.openxmlformats.org/officeDocument/2006/relationships/chart" Target="../charts/chart166.xml"/><Relationship Id="rId6" Type="http://schemas.openxmlformats.org/officeDocument/2006/relationships/chart" Target="../charts/chart167.xml"/><Relationship Id="rId7" Type="http://schemas.openxmlformats.org/officeDocument/2006/relationships/chart" Target="../charts/chart168.xml"/><Relationship Id="rId8" Type="http://schemas.openxmlformats.org/officeDocument/2006/relationships/chart" Target="../charts/chart169.xml"/><Relationship Id="rId1" Type="http://schemas.openxmlformats.org/officeDocument/2006/relationships/chart" Target="../charts/chart162.xml"/><Relationship Id="rId2" Type="http://schemas.openxmlformats.org/officeDocument/2006/relationships/chart" Target="../charts/chart163.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170.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171.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72.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73.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74.xml"/></Relationships>
</file>

<file path=xl/drawings/drawing1.xml><?xml version="1.0" encoding="utf-8"?>
<xdr:wsDr xmlns:xdr="http://schemas.openxmlformats.org/drawingml/2006/spreadsheetDrawing" xmlns:a="http://schemas.openxmlformats.org/drawingml/2006/main">
  <xdr:twoCellAnchor>
    <xdr:from>
      <xdr:col>1</xdr:col>
      <xdr:colOff>781050</xdr:colOff>
      <xdr:row>72</xdr:row>
      <xdr:rowOff>31750</xdr:rowOff>
    </xdr:from>
    <xdr:to>
      <xdr:col>7</xdr:col>
      <xdr:colOff>171450</xdr:colOff>
      <xdr:row>86</xdr:row>
      <xdr:rowOff>107950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0.27557</cdr:x>
      <cdr:y>0.80748</cdr:y>
    </cdr:from>
    <cdr:to>
      <cdr:x>0.50964</cdr:x>
      <cdr:y>0.88316</cdr:y>
    </cdr:to>
    <cdr:sp macro="" textlink="">
      <cdr:nvSpPr>
        <cdr:cNvPr id="2" name="Rectangle 1"/>
        <cdr:cNvSpPr/>
      </cdr:nvSpPr>
      <cdr:spPr>
        <a:xfrm xmlns:a="http://schemas.openxmlformats.org/drawingml/2006/main">
          <a:off x="2362324" y="4707020"/>
          <a:ext cx="2006565" cy="4411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accent2">
                  <a:lumMod val="75000"/>
                </a:schemeClr>
              </a:solidFill>
              <a:effectLst/>
              <a:latin typeface="Arial"/>
            </a:rPr>
            <a:t>FDIUS</a:t>
          </a:r>
        </a:p>
        <a:p xmlns:a="http://schemas.openxmlformats.org/drawingml/2006/main">
          <a:pPr algn="ctr"/>
          <a:endParaRPr lang="fr-FR" sz="1600" u="none" baseline="0">
            <a:ln>
              <a:noFill/>
            </a:ln>
            <a:solidFill>
              <a:schemeClr val="tx2">
                <a:lumMod val="75000"/>
              </a:schemeClr>
            </a:solidFill>
            <a:effectLst/>
            <a:latin typeface="Arial"/>
          </a:endParaRPr>
        </a:p>
      </cdr:txBody>
    </cdr:sp>
  </cdr:relSizeAnchor>
  <cdr:relSizeAnchor xmlns:cdr="http://schemas.openxmlformats.org/drawingml/2006/chartDrawing">
    <cdr:from>
      <cdr:x>0.67259</cdr:x>
      <cdr:y>0.28064</cdr:y>
    </cdr:from>
    <cdr:to>
      <cdr:x>0.96058</cdr:x>
      <cdr:y>0.35632</cdr:y>
    </cdr:to>
    <cdr:sp macro="" textlink="">
      <cdr:nvSpPr>
        <cdr:cNvPr id="3" name="Rectangle 2"/>
        <cdr:cNvSpPr/>
      </cdr:nvSpPr>
      <cdr:spPr>
        <a:xfrm xmlns:a="http://schemas.openxmlformats.org/drawingml/2006/main">
          <a:off x="5765806" y="1635923"/>
          <a:ext cx="2468795" cy="4411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tx2">
                  <a:lumMod val="75000"/>
                </a:schemeClr>
              </a:solidFill>
              <a:effectLst/>
              <a:latin typeface="Arial"/>
            </a:rPr>
            <a:t>USDIA</a:t>
          </a:r>
        </a:p>
        <a:p xmlns:a="http://schemas.openxmlformats.org/drawingml/2006/main">
          <a:endParaRPr lang="fr-FR" sz="1600" u="none" baseline="0">
            <a:ln>
              <a:noFill/>
            </a:ln>
            <a:solidFill>
              <a:schemeClr val="tx1"/>
            </a:solidFill>
            <a:effectLst/>
            <a:latin typeface="Arial"/>
          </a:endParaRPr>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0.27557</cdr:x>
      <cdr:y>0.80748</cdr:y>
    </cdr:from>
    <cdr:to>
      <cdr:x>0.50964</cdr:x>
      <cdr:y>0.88316</cdr:y>
    </cdr:to>
    <cdr:sp macro="" textlink="">
      <cdr:nvSpPr>
        <cdr:cNvPr id="2" name="Rectangle 1"/>
        <cdr:cNvSpPr/>
      </cdr:nvSpPr>
      <cdr:spPr>
        <a:xfrm xmlns:a="http://schemas.openxmlformats.org/drawingml/2006/main">
          <a:off x="2362324" y="4707020"/>
          <a:ext cx="2006565" cy="4411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accent2">
                  <a:lumMod val="75000"/>
                </a:schemeClr>
              </a:solidFill>
              <a:effectLst/>
              <a:latin typeface="Arial"/>
            </a:rPr>
            <a:t>FDIUS</a:t>
          </a:r>
        </a:p>
        <a:p xmlns:a="http://schemas.openxmlformats.org/drawingml/2006/main">
          <a:pPr algn="ctr"/>
          <a:endParaRPr lang="fr-FR" sz="1600" u="none" baseline="0">
            <a:ln>
              <a:noFill/>
            </a:ln>
            <a:solidFill>
              <a:schemeClr val="tx2">
                <a:lumMod val="75000"/>
              </a:schemeClr>
            </a:solidFill>
            <a:effectLst/>
            <a:latin typeface="Arial"/>
          </a:endParaRPr>
        </a:p>
      </cdr:txBody>
    </cdr:sp>
  </cdr:relSizeAnchor>
  <cdr:relSizeAnchor xmlns:cdr="http://schemas.openxmlformats.org/drawingml/2006/chartDrawing">
    <cdr:from>
      <cdr:x>0.67259</cdr:x>
      <cdr:y>0.28064</cdr:y>
    </cdr:from>
    <cdr:to>
      <cdr:x>0.96058</cdr:x>
      <cdr:y>0.35632</cdr:y>
    </cdr:to>
    <cdr:sp macro="" textlink="">
      <cdr:nvSpPr>
        <cdr:cNvPr id="3" name="Rectangle 2"/>
        <cdr:cNvSpPr/>
      </cdr:nvSpPr>
      <cdr:spPr>
        <a:xfrm xmlns:a="http://schemas.openxmlformats.org/drawingml/2006/main">
          <a:off x="5765806" y="1635923"/>
          <a:ext cx="2468795" cy="4411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tx2">
                  <a:lumMod val="75000"/>
                </a:schemeClr>
              </a:solidFill>
              <a:effectLst/>
              <a:latin typeface="Arial"/>
            </a:rPr>
            <a:t>USDIA</a:t>
          </a:r>
        </a:p>
        <a:p xmlns:a="http://schemas.openxmlformats.org/drawingml/2006/main">
          <a:endParaRPr lang="fr-FR" sz="1600" u="none" baseline="0">
            <a:ln>
              <a:noFill/>
            </a:ln>
            <a:solidFill>
              <a:schemeClr val="tx1"/>
            </a:solidFill>
            <a:effectLst/>
            <a:latin typeface="Arial"/>
          </a:endParaRPr>
        </a:p>
      </cdr:txBody>
    </cdr:sp>
  </cdr:relSizeAnchor>
  <cdr:relSizeAnchor xmlns:cdr="http://schemas.openxmlformats.org/drawingml/2006/chartDrawing">
    <cdr:from>
      <cdr:x>0.22818</cdr:x>
      <cdr:y>0.48148</cdr:y>
    </cdr:from>
    <cdr:to>
      <cdr:x>0.73929</cdr:x>
      <cdr:y>0.55716</cdr:y>
    </cdr:to>
    <cdr:sp macro="" textlink="">
      <cdr:nvSpPr>
        <cdr:cNvPr id="4" name="Rectangle 3"/>
        <cdr:cNvSpPr/>
      </cdr:nvSpPr>
      <cdr:spPr>
        <a:xfrm xmlns:a="http://schemas.openxmlformats.org/drawingml/2006/main">
          <a:off x="1953157" y="2806715"/>
          <a:ext cx="4374999" cy="4411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accent3">
                  <a:lumMod val="75000"/>
                </a:schemeClr>
              </a:solidFill>
              <a:effectLst/>
              <a:latin typeface="Arial"/>
            </a:rPr>
            <a:t>US domestic corporate</a:t>
          </a:r>
        </a:p>
        <a:p xmlns:a="http://schemas.openxmlformats.org/drawingml/2006/main">
          <a:pPr algn="ctr"/>
          <a:r>
            <a:rPr lang="fr-FR" sz="1600" u="none" baseline="0">
              <a:ln>
                <a:noFill/>
              </a:ln>
              <a:solidFill>
                <a:schemeClr val="accent3">
                  <a:lumMod val="75000"/>
                </a:schemeClr>
              </a:solidFill>
              <a:effectLst/>
              <a:latin typeface="Arial"/>
            </a:rPr>
            <a:t> capital</a:t>
          </a:r>
        </a:p>
        <a:p xmlns:a="http://schemas.openxmlformats.org/drawingml/2006/main">
          <a:pPr algn="ctr"/>
          <a:endParaRPr lang="fr-FR" sz="1600" u="none" baseline="0">
            <a:ln>
              <a:noFill/>
            </a:ln>
            <a:solidFill>
              <a:schemeClr val="tx2">
                <a:lumMod val="75000"/>
              </a:schemeClr>
            </a:solidFill>
            <a:effectLst/>
            <a:latin typeface="Arial"/>
          </a:endParaRPr>
        </a:p>
      </cdr:txBody>
    </cdr:sp>
  </cdr:relSizeAnchor>
</c:userShapes>
</file>

<file path=xl/drawings/drawing14.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0.02207</cdr:x>
      <cdr:y>0.95023</cdr:y>
    </cdr:from>
    <cdr:to>
      <cdr:x>0.99258</cdr:x>
      <cdr:y>1</cdr:y>
    </cdr:to>
    <cdr:sp macro="" textlink="">
      <cdr:nvSpPr>
        <cdr:cNvPr id="2" name="Rectangle 1"/>
        <cdr:cNvSpPr/>
      </cdr:nvSpPr>
      <cdr:spPr>
        <a:xfrm xmlns:a="http://schemas.openxmlformats.org/drawingml/2006/main">
          <a:off x="203200" y="5334000"/>
          <a:ext cx="8935980" cy="2794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rtl="0"/>
          <a:r>
            <a:rPr lang="fr-FR" sz="950" b="0" i="0" baseline="0">
              <a:solidFill>
                <a:schemeClr val="tx1"/>
              </a:solidFill>
              <a:effectLst/>
              <a:latin typeface="Arial"/>
              <a:ea typeface="+mn-ea"/>
              <a:cs typeface="Arial"/>
            </a:rPr>
            <a:t>Notes: Foreign profits include dividends on foreign portfolio equities and income on US direct investment abroad (distributed and retained). Profits are net of interest payments, gross of US but net of foreign corporate income taxes. </a:t>
          </a:r>
        </a:p>
        <a:p xmlns:a="http://schemas.openxmlformats.org/drawingml/2006/main">
          <a:pPr algn="l" rtl="0"/>
          <a:endParaRPr lang="fr-FR" sz="950">
            <a:solidFill>
              <a:schemeClr val="tx1"/>
            </a:solidFill>
            <a:effectLst/>
            <a:latin typeface="Arial"/>
            <a:cs typeface="Arial"/>
          </a:endParaRPr>
        </a:p>
      </cdr:txBody>
    </cdr:sp>
  </cdr:relSizeAnchor>
</c:userShapes>
</file>

<file path=xl/drawings/drawing16.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0.79685</cdr:x>
      <cdr:y>0.38107</cdr:y>
    </cdr:from>
    <cdr:to>
      <cdr:x>0.98428</cdr:x>
      <cdr:y>0.45679</cdr:y>
    </cdr:to>
    <cdr:sp macro="" textlink="">
      <cdr:nvSpPr>
        <cdr:cNvPr id="3" name="Rectangle 2"/>
        <cdr:cNvSpPr/>
      </cdr:nvSpPr>
      <cdr:spPr>
        <a:xfrm xmlns:a="http://schemas.openxmlformats.org/drawingml/2006/main">
          <a:off x="6832600" y="2222500"/>
          <a:ext cx="1607128" cy="44160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Tax havens</a:t>
          </a:r>
        </a:p>
        <a:p xmlns:a="http://schemas.openxmlformats.org/drawingml/2006/main">
          <a:endParaRPr lang="fr-FR" sz="1600" u="none" baseline="0">
            <a:ln>
              <a:noFill/>
            </a:ln>
            <a:solidFill>
              <a:schemeClr val="tx1"/>
            </a:solidFill>
            <a:effectLst/>
            <a:latin typeface="Arial"/>
          </a:endParaRPr>
        </a:p>
      </cdr:txBody>
    </cdr:sp>
  </cdr:relSizeAnchor>
  <cdr:relSizeAnchor xmlns:cdr="http://schemas.openxmlformats.org/drawingml/2006/chartDrawing">
    <cdr:from>
      <cdr:x>0.50951</cdr:x>
      <cdr:y>0.75343</cdr:y>
    </cdr:from>
    <cdr:to>
      <cdr:x>0.69694</cdr:x>
      <cdr:y>0.82914</cdr:y>
    </cdr:to>
    <cdr:sp macro="" textlink="">
      <cdr:nvSpPr>
        <cdr:cNvPr id="4" name="Rectangle 3"/>
        <cdr:cNvSpPr/>
      </cdr:nvSpPr>
      <cdr:spPr>
        <a:xfrm xmlns:a="http://schemas.openxmlformats.org/drawingml/2006/main">
          <a:off x="4368800" y="4394200"/>
          <a:ext cx="1607128" cy="44160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Non-tax havens</a:t>
          </a:r>
        </a:p>
        <a:p xmlns:a="http://schemas.openxmlformats.org/drawingml/2006/main">
          <a:endParaRPr lang="fr-FR" sz="1600" u="none" baseline="0">
            <a:ln>
              <a:noFill/>
            </a:ln>
            <a:solidFill>
              <a:schemeClr val="tx1"/>
            </a:solidFill>
            <a:effectLst/>
            <a:latin typeface="Arial"/>
          </a:endParaRP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0.85655</cdr:x>
      <cdr:y>0.45249</cdr:y>
    </cdr:from>
    <cdr:to>
      <cdr:x>1</cdr:x>
      <cdr:y>0.53112</cdr:y>
    </cdr:to>
    <cdr:sp macro="" textlink="">
      <cdr:nvSpPr>
        <cdr:cNvPr id="4" name="Rectangle 3"/>
        <cdr:cNvSpPr/>
      </cdr:nvSpPr>
      <cdr:spPr>
        <a:xfrm xmlns:a="http://schemas.openxmlformats.org/drawingml/2006/main">
          <a:off x="7886700" y="2540000"/>
          <a:ext cx="1320800" cy="4413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Tax havens</a:t>
          </a:r>
        </a:p>
        <a:p xmlns:a="http://schemas.openxmlformats.org/drawingml/2006/main">
          <a:endParaRPr lang="fr-FR" sz="1600" u="none" baseline="0">
            <a:ln>
              <a:noFill/>
            </a:ln>
            <a:solidFill>
              <a:schemeClr val="tx1"/>
            </a:solidFill>
            <a:effectLst/>
            <a:latin typeface="Arial"/>
          </a:endParaRPr>
        </a:p>
      </cdr:txBody>
    </cdr:sp>
  </cdr:relSizeAnchor>
  <cdr:relSizeAnchor xmlns:cdr="http://schemas.openxmlformats.org/drawingml/2006/chartDrawing">
    <cdr:from>
      <cdr:x>0.55863</cdr:x>
      <cdr:y>0.72605</cdr:y>
    </cdr:from>
    <cdr:to>
      <cdr:x>0.73287</cdr:x>
      <cdr:y>0.80468</cdr:y>
    </cdr:to>
    <cdr:sp macro="" textlink="">
      <cdr:nvSpPr>
        <cdr:cNvPr id="5" name="Rectangle 4"/>
        <cdr:cNvSpPr/>
      </cdr:nvSpPr>
      <cdr:spPr>
        <a:xfrm xmlns:a="http://schemas.openxmlformats.org/drawingml/2006/main">
          <a:off x="5143562" y="4075586"/>
          <a:ext cx="1604369" cy="44137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Non-tax havens</a:t>
          </a:r>
        </a:p>
        <a:p xmlns:a="http://schemas.openxmlformats.org/drawingml/2006/main">
          <a:endParaRPr lang="fr-FR" sz="1600" u="none" baseline="0">
            <a:ln>
              <a:noFill/>
            </a:ln>
            <a:solidFill>
              <a:schemeClr val="tx1"/>
            </a:solidFill>
            <a:effectLst/>
            <a:latin typeface="Arial"/>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14</xdr:col>
      <xdr:colOff>311150</xdr:colOff>
      <xdr:row>37</xdr:row>
      <xdr:rowOff>69850</xdr:rowOff>
    </xdr:from>
    <xdr:to>
      <xdr:col>19</xdr:col>
      <xdr:colOff>755650</xdr:colOff>
      <xdr:row>51</xdr:row>
      <xdr:rowOff>158750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330200</xdr:colOff>
      <xdr:row>19</xdr:row>
      <xdr:rowOff>165100</xdr:rowOff>
    </xdr:from>
    <xdr:to>
      <xdr:col>19</xdr:col>
      <xdr:colOff>774700</xdr:colOff>
      <xdr:row>35</xdr:row>
      <xdr:rowOff>63500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0.79389</cdr:x>
      <cdr:y>0.41373</cdr:y>
    </cdr:from>
    <cdr:to>
      <cdr:x>0.98132</cdr:x>
      <cdr:y>0.48945</cdr:y>
    </cdr:to>
    <cdr:sp macro="" textlink="">
      <cdr:nvSpPr>
        <cdr:cNvPr id="3" name="Rectangle 2"/>
        <cdr:cNvSpPr/>
      </cdr:nvSpPr>
      <cdr:spPr>
        <a:xfrm xmlns:a="http://schemas.openxmlformats.org/drawingml/2006/main">
          <a:off x="6807208" y="2413012"/>
          <a:ext cx="1607123" cy="4416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Tax havens</a:t>
          </a:r>
        </a:p>
        <a:p xmlns:a="http://schemas.openxmlformats.org/drawingml/2006/main">
          <a:endParaRPr lang="fr-FR" sz="1600" u="none" baseline="0">
            <a:ln>
              <a:noFill/>
            </a:ln>
            <a:solidFill>
              <a:schemeClr val="tx1"/>
            </a:solidFill>
            <a:effectLst/>
            <a:latin typeface="Arial"/>
          </a:endParaRPr>
        </a:p>
      </cdr:txBody>
    </cdr:sp>
  </cdr:relSizeAnchor>
  <cdr:relSizeAnchor xmlns:cdr="http://schemas.openxmlformats.org/drawingml/2006/chartDrawing">
    <cdr:from>
      <cdr:x>0.44878</cdr:x>
      <cdr:y>0.80569</cdr:y>
    </cdr:from>
    <cdr:to>
      <cdr:x>0.63621</cdr:x>
      <cdr:y>0.8814</cdr:y>
    </cdr:to>
    <cdr:sp macro="" textlink="">
      <cdr:nvSpPr>
        <cdr:cNvPr id="4" name="Rectangle 3"/>
        <cdr:cNvSpPr/>
      </cdr:nvSpPr>
      <cdr:spPr>
        <a:xfrm xmlns:a="http://schemas.openxmlformats.org/drawingml/2006/main">
          <a:off x="3848105" y="4699025"/>
          <a:ext cx="1607122" cy="4415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Non-tax havens</a:t>
          </a:r>
        </a:p>
        <a:p xmlns:a="http://schemas.openxmlformats.org/drawingml/2006/main">
          <a:endParaRPr lang="fr-FR" sz="1600" u="none" baseline="0">
            <a:ln>
              <a:noFill/>
            </a:ln>
            <a:solidFill>
              <a:schemeClr val="tx1"/>
            </a:solidFill>
            <a:effectLst/>
            <a:latin typeface="Arial"/>
          </a:endParaRPr>
        </a:p>
      </cdr:txBody>
    </cdr:sp>
  </cdr:relSizeAnchor>
</c:userShapes>
</file>

<file path=xl/drawings/drawing22.xml><?xml version="1.0" encoding="utf-8"?>
<xdr:wsDr xmlns:xdr="http://schemas.openxmlformats.org/drawingml/2006/spreadsheetDrawing" xmlns:a="http://schemas.openxmlformats.org/drawingml/2006/main">
  <xdr:absoluteAnchor>
    <xdr:pos x="0" y="0"/>
    <xdr:ext cx="91948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0.85517</cdr:x>
      <cdr:y>0.3552</cdr:y>
    </cdr:from>
    <cdr:to>
      <cdr:x>1</cdr:x>
      <cdr:y>0.45249</cdr:y>
    </cdr:to>
    <cdr:sp macro="" textlink="">
      <cdr:nvSpPr>
        <cdr:cNvPr id="4" name="Rectangle 3"/>
        <cdr:cNvSpPr/>
      </cdr:nvSpPr>
      <cdr:spPr>
        <a:xfrm xmlns:a="http://schemas.openxmlformats.org/drawingml/2006/main">
          <a:off x="7874000" y="1993900"/>
          <a:ext cx="1333500" cy="5461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Tax havens</a:t>
          </a:r>
        </a:p>
        <a:p xmlns:a="http://schemas.openxmlformats.org/drawingml/2006/main">
          <a:endParaRPr lang="fr-FR" sz="1600" u="none" baseline="0">
            <a:ln>
              <a:noFill/>
            </a:ln>
            <a:solidFill>
              <a:schemeClr val="tx1"/>
            </a:solidFill>
            <a:effectLst/>
            <a:latin typeface="Arial"/>
          </a:endParaRPr>
        </a:p>
      </cdr:txBody>
    </cdr:sp>
  </cdr:relSizeAnchor>
  <cdr:relSizeAnchor xmlns:cdr="http://schemas.openxmlformats.org/drawingml/2006/chartDrawing">
    <cdr:from>
      <cdr:x>0.60828</cdr:x>
      <cdr:y>0.7534</cdr:y>
    </cdr:from>
    <cdr:to>
      <cdr:x>0.78282</cdr:x>
      <cdr:y>0.83206</cdr:y>
    </cdr:to>
    <cdr:sp macro="" textlink="">
      <cdr:nvSpPr>
        <cdr:cNvPr id="5" name="Rectangle 4"/>
        <cdr:cNvSpPr/>
      </cdr:nvSpPr>
      <cdr:spPr>
        <a:xfrm xmlns:a="http://schemas.openxmlformats.org/drawingml/2006/main">
          <a:off x="5600700" y="4229113"/>
          <a:ext cx="1607122" cy="4415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Non-tax havens</a:t>
          </a:r>
        </a:p>
        <a:p xmlns:a="http://schemas.openxmlformats.org/drawingml/2006/main">
          <a:endParaRPr lang="fr-FR" sz="1600" u="none" baseline="0">
            <a:ln>
              <a:noFill/>
            </a:ln>
            <a:solidFill>
              <a:schemeClr val="tx1"/>
            </a:solidFill>
            <a:effectLst/>
            <a:latin typeface="Arial"/>
          </a:endParaRPr>
        </a:p>
      </cdr:txBody>
    </cdr:sp>
  </cdr:relSizeAnchor>
</c:userShapes>
</file>

<file path=xl/drawings/drawing24.xml><?xml version="1.0" encoding="utf-8"?>
<xdr:wsDr xmlns:xdr="http://schemas.openxmlformats.org/drawingml/2006/spreadsheetDrawing" xmlns:a="http://schemas.openxmlformats.org/drawingml/2006/main">
  <xdr:absoluteAnchor>
    <xdr:pos x="0" y="0"/>
    <xdr:ext cx="91948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0.85517</cdr:x>
      <cdr:y>0.56561</cdr:y>
    </cdr:from>
    <cdr:to>
      <cdr:x>1</cdr:x>
      <cdr:y>0.6629</cdr:y>
    </cdr:to>
    <cdr:sp macro="" textlink="">
      <cdr:nvSpPr>
        <cdr:cNvPr id="4" name="Rectangle 3"/>
        <cdr:cNvSpPr/>
      </cdr:nvSpPr>
      <cdr:spPr>
        <a:xfrm xmlns:a="http://schemas.openxmlformats.org/drawingml/2006/main">
          <a:off x="7873978" y="3174980"/>
          <a:ext cx="1333522" cy="54612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Tax havens</a:t>
          </a:r>
        </a:p>
        <a:p xmlns:a="http://schemas.openxmlformats.org/drawingml/2006/main">
          <a:endParaRPr lang="fr-FR" sz="1600" u="none" baseline="0">
            <a:ln>
              <a:noFill/>
            </a:ln>
            <a:solidFill>
              <a:schemeClr val="tx1"/>
            </a:solidFill>
            <a:effectLst/>
            <a:latin typeface="Arial"/>
          </a:endParaRPr>
        </a:p>
      </cdr:txBody>
    </cdr:sp>
  </cdr:relSizeAnchor>
</c:userShapes>
</file>

<file path=xl/drawings/drawing26.xml><?xml version="1.0" encoding="utf-8"?>
<xdr:wsDr xmlns:xdr="http://schemas.openxmlformats.org/drawingml/2006/spreadsheetDrawing" xmlns:a="http://schemas.openxmlformats.org/drawingml/2006/main">
  <xdr:absoluteAnchor>
    <xdr:pos x="0" y="0"/>
    <xdr:ext cx="91948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0.6419</cdr:x>
      <cdr:y>0.1454</cdr:y>
    </cdr:from>
    <cdr:to>
      <cdr:x>0.78815</cdr:x>
      <cdr:y>0.20583</cdr:y>
    </cdr:to>
    <cdr:sp macro="" textlink="">
      <cdr:nvSpPr>
        <cdr:cNvPr id="2" name="Rectangle 1"/>
        <cdr:cNvSpPr/>
      </cdr:nvSpPr>
      <cdr:spPr>
        <a:xfrm xmlns:a="http://schemas.openxmlformats.org/drawingml/2006/main">
          <a:off x="5910275" y="816172"/>
          <a:ext cx="1346597"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600" u="none" baseline="0">
              <a:ln>
                <a:noFill/>
              </a:ln>
              <a:solidFill>
                <a:schemeClr val="tx1"/>
              </a:solidFill>
              <a:effectLst/>
              <a:latin typeface="Arial"/>
            </a:rPr>
            <a:t>Singapore</a:t>
          </a:r>
        </a:p>
      </cdr:txBody>
    </cdr:sp>
  </cdr:relSizeAnchor>
  <cdr:relSizeAnchor xmlns:cdr="http://schemas.openxmlformats.org/drawingml/2006/chartDrawing">
    <cdr:from>
      <cdr:x>0.82545</cdr:x>
      <cdr:y>0.7495</cdr:y>
    </cdr:from>
    <cdr:to>
      <cdr:x>0.9717</cdr:x>
      <cdr:y>0.80993</cdr:y>
    </cdr:to>
    <cdr:sp macro="" textlink="">
      <cdr:nvSpPr>
        <cdr:cNvPr id="3" name="Rectangle 2"/>
        <cdr:cNvSpPr/>
      </cdr:nvSpPr>
      <cdr:spPr>
        <a:xfrm xmlns:a="http://schemas.openxmlformats.org/drawingml/2006/main">
          <a:off x="7600310" y="4209545"/>
          <a:ext cx="1346640" cy="3393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bg1"/>
              </a:solidFill>
              <a:effectLst/>
              <a:latin typeface="Arial"/>
            </a:rPr>
            <a:t>Ireland</a:t>
          </a:r>
        </a:p>
      </cdr:txBody>
    </cdr:sp>
  </cdr:relSizeAnchor>
  <cdr:relSizeAnchor xmlns:cdr="http://schemas.openxmlformats.org/drawingml/2006/chartDrawing">
    <cdr:from>
      <cdr:x>0.61592</cdr:x>
      <cdr:y>0.69643</cdr:y>
    </cdr:from>
    <cdr:to>
      <cdr:x>0.76218</cdr:x>
      <cdr:y>0.75686</cdr:y>
    </cdr:to>
    <cdr:sp macro="" textlink="">
      <cdr:nvSpPr>
        <cdr:cNvPr id="4" name="Rectangle 3"/>
        <cdr:cNvSpPr/>
      </cdr:nvSpPr>
      <cdr:spPr>
        <a:xfrm xmlns:a="http://schemas.openxmlformats.org/drawingml/2006/main">
          <a:off x="5671112" y="3909365"/>
          <a:ext cx="1346689"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bg1"/>
              </a:solidFill>
              <a:effectLst/>
              <a:latin typeface="Arial"/>
            </a:rPr>
            <a:t>Netherlands</a:t>
          </a:r>
        </a:p>
      </cdr:txBody>
    </cdr:sp>
  </cdr:relSizeAnchor>
  <cdr:relSizeAnchor xmlns:cdr="http://schemas.openxmlformats.org/drawingml/2006/chartDrawing">
    <cdr:from>
      <cdr:x>0.84547</cdr:x>
      <cdr:y>0.475</cdr:y>
    </cdr:from>
    <cdr:to>
      <cdr:x>0.99172</cdr:x>
      <cdr:y>0.53543</cdr:y>
    </cdr:to>
    <cdr:sp macro="" textlink="">
      <cdr:nvSpPr>
        <cdr:cNvPr id="5" name="Rectangle 4"/>
        <cdr:cNvSpPr/>
      </cdr:nvSpPr>
      <cdr:spPr>
        <a:xfrm xmlns:a="http://schemas.openxmlformats.org/drawingml/2006/main">
          <a:off x="7784703" y="2666392"/>
          <a:ext cx="1346597"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Luxembourg</a:t>
          </a:r>
        </a:p>
      </cdr:txBody>
    </cdr:sp>
  </cdr:relSizeAnchor>
  <cdr:relSizeAnchor xmlns:cdr="http://schemas.openxmlformats.org/drawingml/2006/chartDrawing">
    <cdr:from>
      <cdr:x>0.26767</cdr:x>
      <cdr:y>0.69626</cdr:y>
    </cdr:from>
    <cdr:to>
      <cdr:x>0.41393</cdr:x>
      <cdr:y>0.75669</cdr:y>
    </cdr:to>
    <cdr:sp macro="" textlink="">
      <cdr:nvSpPr>
        <cdr:cNvPr id="6" name="Rectangle 5"/>
        <cdr:cNvSpPr/>
      </cdr:nvSpPr>
      <cdr:spPr>
        <a:xfrm xmlns:a="http://schemas.openxmlformats.org/drawingml/2006/main">
          <a:off x="2464597" y="3908403"/>
          <a:ext cx="1346689"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Switzerland</a:t>
          </a:r>
        </a:p>
      </cdr:txBody>
    </cdr:sp>
  </cdr:relSizeAnchor>
  <cdr:relSizeAnchor xmlns:cdr="http://schemas.openxmlformats.org/drawingml/2006/chartDrawing">
    <cdr:from>
      <cdr:x>0.71097</cdr:x>
      <cdr:y>0.38662</cdr:y>
    </cdr:from>
    <cdr:to>
      <cdr:x>0.97655</cdr:x>
      <cdr:y>0.46529</cdr:y>
    </cdr:to>
    <cdr:sp macro="" textlink="">
      <cdr:nvSpPr>
        <cdr:cNvPr id="7" name="Rectangle 6"/>
        <cdr:cNvSpPr/>
      </cdr:nvSpPr>
      <cdr:spPr>
        <a:xfrm xmlns:a="http://schemas.openxmlformats.org/drawingml/2006/main">
          <a:off x="6546275" y="2170236"/>
          <a:ext cx="2445328" cy="44160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Bermuda &amp; </a:t>
          </a:r>
        </a:p>
        <a:p xmlns:a="http://schemas.openxmlformats.org/drawingml/2006/main">
          <a:r>
            <a:rPr lang="fr-FR" sz="1600" u="none" baseline="0">
              <a:ln>
                <a:noFill/>
              </a:ln>
              <a:solidFill>
                <a:schemeClr val="tx1"/>
              </a:solidFill>
              <a:effectLst/>
              <a:latin typeface="Arial"/>
            </a:rPr>
            <a:t>Caribbean</a:t>
          </a:r>
        </a:p>
      </cdr:txBody>
    </cdr:sp>
  </cdr:relSizeAnchor>
  <cdr:relSizeAnchor xmlns:cdr="http://schemas.openxmlformats.org/drawingml/2006/chartDrawing">
    <cdr:from>
      <cdr:x>0.73424</cdr:x>
      <cdr:y>0.19956</cdr:y>
    </cdr:from>
    <cdr:to>
      <cdr:x>0.8</cdr:x>
      <cdr:y>0.35068</cdr:y>
    </cdr:to>
    <cdr:cxnSp macro="">
      <cdr:nvCxnSpPr>
        <cdr:cNvPr id="10" name="Connecteur droit avec flèche 9"/>
        <cdr:cNvCxnSpPr/>
      </cdr:nvCxnSpPr>
      <cdr:spPr>
        <a:xfrm xmlns:a="http://schemas.openxmlformats.org/drawingml/2006/main">
          <a:off x="6760515" y="1120210"/>
          <a:ext cx="605485" cy="848290"/>
        </a:xfrm>
        <a:prstGeom xmlns:a="http://schemas.openxmlformats.org/drawingml/2006/main" prst="straightConnector1">
          <a:avLst/>
        </a:prstGeom>
        <a:ln xmlns:a="http://schemas.openxmlformats.org/drawingml/2006/main" w="9525">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0.00345</cdr:x>
      <cdr:y>0.93217</cdr:y>
    </cdr:from>
    <cdr:to>
      <cdr:x>1</cdr:x>
      <cdr:y>1</cdr:y>
    </cdr:to>
    <cdr:sp macro="" textlink="">
      <cdr:nvSpPr>
        <cdr:cNvPr id="9" name="Rectangle 8"/>
        <cdr:cNvSpPr/>
      </cdr:nvSpPr>
      <cdr:spPr>
        <a:xfrm xmlns:a="http://schemas.openxmlformats.org/drawingml/2006/main">
          <a:off x="31750" y="5232643"/>
          <a:ext cx="9175749" cy="3807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rtl="0"/>
          <a:r>
            <a:rPr lang="fr-FR" sz="1000" b="0" i="0" baseline="0">
              <a:solidFill>
                <a:srgbClr val="000000"/>
              </a:solidFill>
              <a:effectLst/>
              <a:latin typeface="Arial"/>
              <a:ea typeface="+mn-ea"/>
              <a:cs typeface="Arial"/>
            </a:rPr>
            <a:t>Notes: This figure charts the share of income on U.S. direct investment equity income made in the main tax havens. In 2016, total equity income on U.S. DI abroad was about $420bn. 16% came from the Netherlands, 8% from Luxembourg, etc. Source: authors' computations using balance of payments data.</a:t>
          </a:r>
          <a:endParaRPr lang="fr-FR" sz="1000">
            <a:solidFill>
              <a:srgbClr val="000000"/>
            </a:solidFill>
            <a:effectLst/>
            <a:latin typeface="Arial"/>
            <a:cs typeface="Arial"/>
          </a:endParaRPr>
        </a:p>
      </cdr:txBody>
    </cdr:sp>
  </cdr:relSizeAnchor>
</c:userShapes>
</file>

<file path=xl/drawings/drawing28.xml><?xml version="1.0" encoding="utf-8"?>
<xdr:wsDr xmlns:xdr="http://schemas.openxmlformats.org/drawingml/2006/spreadsheetDrawing" xmlns:a="http://schemas.openxmlformats.org/drawingml/2006/main">
  <xdr:absoluteAnchor>
    <xdr:pos x="0" y="0"/>
    <xdr:ext cx="91948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0.6419</cdr:x>
      <cdr:y>0.1454</cdr:y>
    </cdr:from>
    <cdr:to>
      <cdr:x>0.78815</cdr:x>
      <cdr:y>0.20583</cdr:y>
    </cdr:to>
    <cdr:sp macro="" textlink="">
      <cdr:nvSpPr>
        <cdr:cNvPr id="2" name="Rectangle 1"/>
        <cdr:cNvSpPr/>
      </cdr:nvSpPr>
      <cdr:spPr>
        <a:xfrm xmlns:a="http://schemas.openxmlformats.org/drawingml/2006/main">
          <a:off x="5910275" y="816172"/>
          <a:ext cx="1346597"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600" u="none" baseline="0">
              <a:ln>
                <a:noFill/>
              </a:ln>
              <a:solidFill>
                <a:schemeClr val="tx1"/>
              </a:solidFill>
              <a:effectLst/>
              <a:latin typeface="Arial"/>
            </a:rPr>
            <a:t>Singapore</a:t>
          </a:r>
        </a:p>
      </cdr:txBody>
    </cdr:sp>
  </cdr:relSizeAnchor>
  <cdr:relSizeAnchor xmlns:cdr="http://schemas.openxmlformats.org/drawingml/2006/chartDrawing">
    <cdr:from>
      <cdr:x>0.82545</cdr:x>
      <cdr:y>0.7495</cdr:y>
    </cdr:from>
    <cdr:to>
      <cdr:x>0.9717</cdr:x>
      <cdr:y>0.80993</cdr:y>
    </cdr:to>
    <cdr:sp macro="" textlink="">
      <cdr:nvSpPr>
        <cdr:cNvPr id="3" name="Rectangle 2"/>
        <cdr:cNvSpPr/>
      </cdr:nvSpPr>
      <cdr:spPr>
        <a:xfrm xmlns:a="http://schemas.openxmlformats.org/drawingml/2006/main">
          <a:off x="7600310" y="4209545"/>
          <a:ext cx="1346640" cy="3393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bg1"/>
              </a:solidFill>
              <a:effectLst/>
              <a:latin typeface="Arial"/>
            </a:rPr>
            <a:t>Ireland</a:t>
          </a:r>
        </a:p>
      </cdr:txBody>
    </cdr:sp>
  </cdr:relSizeAnchor>
  <cdr:relSizeAnchor xmlns:cdr="http://schemas.openxmlformats.org/drawingml/2006/chartDrawing">
    <cdr:from>
      <cdr:x>0.61592</cdr:x>
      <cdr:y>0.67381</cdr:y>
    </cdr:from>
    <cdr:to>
      <cdr:x>0.76218</cdr:x>
      <cdr:y>0.73424</cdr:y>
    </cdr:to>
    <cdr:sp macro="" textlink="">
      <cdr:nvSpPr>
        <cdr:cNvPr id="4" name="Rectangle 3"/>
        <cdr:cNvSpPr/>
      </cdr:nvSpPr>
      <cdr:spPr>
        <a:xfrm xmlns:a="http://schemas.openxmlformats.org/drawingml/2006/main">
          <a:off x="5671083" y="3782340"/>
          <a:ext cx="1346689"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bg1"/>
              </a:solidFill>
              <a:effectLst/>
              <a:latin typeface="Arial"/>
            </a:rPr>
            <a:t>Netherlands</a:t>
          </a:r>
        </a:p>
      </cdr:txBody>
    </cdr:sp>
  </cdr:relSizeAnchor>
  <cdr:relSizeAnchor xmlns:cdr="http://schemas.openxmlformats.org/drawingml/2006/chartDrawing">
    <cdr:from>
      <cdr:x>0.84133</cdr:x>
      <cdr:y>0.45464</cdr:y>
    </cdr:from>
    <cdr:to>
      <cdr:x>0.98758</cdr:x>
      <cdr:y>0.51507</cdr:y>
    </cdr:to>
    <cdr:sp macro="" textlink="">
      <cdr:nvSpPr>
        <cdr:cNvPr id="5" name="Rectangle 4"/>
        <cdr:cNvSpPr/>
      </cdr:nvSpPr>
      <cdr:spPr>
        <a:xfrm xmlns:a="http://schemas.openxmlformats.org/drawingml/2006/main">
          <a:off x="7746565" y="2552065"/>
          <a:ext cx="1346597"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Luxembourg</a:t>
          </a:r>
        </a:p>
      </cdr:txBody>
    </cdr:sp>
  </cdr:relSizeAnchor>
  <cdr:relSizeAnchor xmlns:cdr="http://schemas.openxmlformats.org/drawingml/2006/chartDrawing">
    <cdr:from>
      <cdr:x>0.26767</cdr:x>
      <cdr:y>0.6397</cdr:y>
    </cdr:from>
    <cdr:to>
      <cdr:x>0.41393</cdr:x>
      <cdr:y>0.70013</cdr:y>
    </cdr:to>
    <cdr:sp macro="" textlink="">
      <cdr:nvSpPr>
        <cdr:cNvPr id="6" name="Rectangle 5"/>
        <cdr:cNvSpPr/>
      </cdr:nvSpPr>
      <cdr:spPr>
        <a:xfrm xmlns:a="http://schemas.openxmlformats.org/drawingml/2006/main">
          <a:off x="2464572" y="3590886"/>
          <a:ext cx="1346688"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Switzerland</a:t>
          </a:r>
        </a:p>
      </cdr:txBody>
    </cdr:sp>
  </cdr:relSizeAnchor>
  <cdr:relSizeAnchor xmlns:cdr="http://schemas.openxmlformats.org/drawingml/2006/chartDrawing">
    <cdr:from>
      <cdr:x>0.77655</cdr:x>
      <cdr:y>0.30517</cdr:y>
    </cdr:from>
    <cdr:to>
      <cdr:x>0.98621</cdr:x>
      <cdr:y>0.38384</cdr:y>
    </cdr:to>
    <cdr:sp macro="" textlink="">
      <cdr:nvSpPr>
        <cdr:cNvPr id="7" name="Rectangle 6"/>
        <cdr:cNvSpPr/>
      </cdr:nvSpPr>
      <cdr:spPr>
        <a:xfrm xmlns:a="http://schemas.openxmlformats.org/drawingml/2006/main">
          <a:off x="7150100" y="1713053"/>
          <a:ext cx="1930384" cy="44160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Bermuda &amp; </a:t>
          </a:r>
        </a:p>
        <a:p xmlns:a="http://schemas.openxmlformats.org/drawingml/2006/main">
          <a:r>
            <a:rPr lang="fr-FR" sz="1600" u="none" baseline="0">
              <a:ln>
                <a:noFill/>
              </a:ln>
              <a:solidFill>
                <a:schemeClr val="tx1"/>
              </a:solidFill>
              <a:effectLst/>
              <a:latin typeface="Arial"/>
            </a:rPr>
            <a:t>Caribbean</a:t>
          </a:r>
        </a:p>
      </cdr:txBody>
    </cdr:sp>
  </cdr:relSizeAnchor>
  <cdr:relSizeAnchor xmlns:cdr="http://schemas.openxmlformats.org/drawingml/2006/chartDrawing">
    <cdr:from>
      <cdr:x>0.73424</cdr:x>
      <cdr:y>0.19956</cdr:y>
    </cdr:from>
    <cdr:to>
      <cdr:x>0.77241</cdr:x>
      <cdr:y>0.3009</cdr:y>
    </cdr:to>
    <cdr:cxnSp macro="">
      <cdr:nvCxnSpPr>
        <cdr:cNvPr id="10" name="Connecteur droit avec flèche 9"/>
        <cdr:cNvCxnSpPr/>
      </cdr:nvCxnSpPr>
      <cdr:spPr>
        <a:xfrm xmlns:a="http://schemas.openxmlformats.org/drawingml/2006/main">
          <a:off x="6760515" y="1120210"/>
          <a:ext cx="351485" cy="568890"/>
        </a:xfrm>
        <a:prstGeom xmlns:a="http://schemas.openxmlformats.org/drawingml/2006/main" prst="straightConnector1">
          <a:avLst/>
        </a:prstGeom>
        <a:ln xmlns:a="http://schemas.openxmlformats.org/drawingml/2006/main" w="9525">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0.00345</cdr:x>
      <cdr:y>0.93217</cdr:y>
    </cdr:from>
    <cdr:to>
      <cdr:x>1</cdr:x>
      <cdr:y>1</cdr:y>
    </cdr:to>
    <cdr:sp macro="" textlink="">
      <cdr:nvSpPr>
        <cdr:cNvPr id="9" name="Rectangle 8"/>
        <cdr:cNvSpPr/>
      </cdr:nvSpPr>
      <cdr:spPr>
        <a:xfrm xmlns:a="http://schemas.openxmlformats.org/drawingml/2006/main">
          <a:off x="31750" y="5232643"/>
          <a:ext cx="9175749" cy="3807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rtl="0"/>
          <a:r>
            <a:rPr lang="fr-FR" sz="1000" b="0" i="0" baseline="0">
              <a:solidFill>
                <a:srgbClr val="000000"/>
              </a:solidFill>
              <a:effectLst/>
              <a:latin typeface="Arial"/>
              <a:ea typeface="+mn-ea"/>
              <a:cs typeface="Arial"/>
            </a:rPr>
            <a:t>Notes: This figure charts the share of income on U.S. direct investment equity income made in the main tax havens. In 2016, total equity income on U.S. DI abroad was about $420bn. 16% came from the Netherlands, 8% from Luxembourg, etc. Source: authors' computations using balance of payments data.</a:t>
          </a:r>
          <a:endParaRPr lang="fr-FR" sz="1000">
            <a:solidFill>
              <a:srgbClr val="000000"/>
            </a:solidFill>
            <a:effectLst/>
            <a:latin typeface="Arial"/>
            <a:cs typeface="Arial"/>
          </a:endParaRPr>
        </a:p>
      </cdr:txBody>
    </cdr:sp>
  </cdr:relSizeAnchor>
  <cdr:relSizeAnchor xmlns:cdr="http://schemas.openxmlformats.org/drawingml/2006/chartDrawing">
    <cdr:from>
      <cdr:x>0.47311</cdr:x>
      <cdr:y>0.10633</cdr:y>
    </cdr:from>
    <cdr:to>
      <cdr:x>0.47311</cdr:x>
      <cdr:y>0.82579</cdr:y>
    </cdr:to>
    <cdr:cxnSp macro="">
      <cdr:nvCxnSpPr>
        <cdr:cNvPr id="12" name="Connecteur droit avec flèche 9"/>
        <cdr:cNvCxnSpPr/>
      </cdr:nvCxnSpPr>
      <cdr:spPr>
        <a:xfrm xmlns:a="http://schemas.openxmlformats.org/drawingml/2006/main" flipH="1">
          <a:off x="4356147" y="596900"/>
          <a:ext cx="0" cy="4038616"/>
        </a:xfrm>
        <a:prstGeom xmlns:a="http://schemas.openxmlformats.org/drawingml/2006/main" prst="straightConnector1">
          <a:avLst/>
        </a:prstGeom>
        <a:ln xmlns:a="http://schemas.openxmlformats.org/drawingml/2006/main" w="9525">
          <a:solidFill>
            <a:schemeClr val="tx1"/>
          </a:solidFill>
          <a:prstDash val="sysDash"/>
          <a:tailEnd type="non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0.27862</cdr:x>
      <cdr:y>0.23756</cdr:y>
    </cdr:from>
    <cdr:to>
      <cdr:x>0.46349</cdr:x>
      <cdr:y>0.29799</cdr:y>
    </cdr:to>
    <cdr:sp macro="" textlink="">
      <cdr:nvSpPr>
        <cdr:cNvPr id="13" name="Rectangle 12"/>
        <cdr:cNvSpPr/>
      </cdr:nvSpPr>
      <cdr:spPr>
        <a:xfrm xmlns:a="http://schemas.openxmlformats.org/drawingml/2006/main">
          <a:off x="2565400" y="1333500"/>
          <a:ext cx="1702190"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tx1"/>
              </a:solidFill>
              <a:effectLst/>
              <a:latin typeface="Arial"/>
            </a:rPr>
            <a:t>Check-the-box regulations</a:t>
          </a:r>
        </a:p>
      </cdr:txBody>
    </cdr:sp>
  </cdr:relSizeAnchor>
</c:userShapes>
</file>

<file path=xl/drawings/drawing3.xml><?xml version="1.0" encoding="utf-8"?>
<xdr:wsDr xmlns:xdr="http://schemas.openxmlformats.org/drawingml/2006/spreadsheetDrawing" xmlns:a="http://schemas.openxmlformats.org/drawingml/2006/main">
  <xdr:twoCellAnchor>
    <xdr:from>
      <xdr:col>14</xdr:col>
      <xdr:colOff>82550</xdr:colOff>
      <xdr:row>42</xdr:row>
      <xdr:rowOff>57150</xdr:rowOff>
    </xdr:from>
    <xdr:to>
      <xdr:col>19</xdr:col>
      <xdr:colOff>527050</xdr:colOff>
      <xdr:row>56</xdr:row>
      <xdr:rowOff>133350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57150</xdr:colOff>
      <xdr:row>10</xdr:row>
      <xdr:rowOff>133350</xdr:rowOff>
    </xdr:from>
    <xdr:to>
      <xdr:col>19</xdr:col>
      <xdr:colOff>501650</xdr:colOff>
      <xdr:row>26</xdr:row>
      <xdr:rowOff>31750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152400</xdr:colOff>
      <xdr:row>26</xdr:row>
      <xdr:rowOff>165100</xdr:rowOff>
    </xdr:from>
    <xdr:to>
      <xdr:col>19</xdr:col>
      <xdr:colOff>596900</xdr:colOff>
      <xdr:row>42</xdr:row>
      <xdr:rowOff>12700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57150</xdr:colOff>
      <xdr:row>57</xdr:row>
      <xdr:rowOff>146050</xdr:rowOff>
    </xdr:from>
    <xdr:to>
      <xdr:col>19</xdr:col>
      <xdr:colOff>501650</xdr:colOff>
      <xdr:row>72</xdr:row>
      <xdr:rowOff>6350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692150</xdr:colOff>
      <xdr:row>10</xdr:row>
      <xdr:rowOff>6350</xdr:rowOff>
    </xdr:from>
    <xdr:to>
      <xdr:col>25</xdr:col>
      <xdr:colOff>311150</xdr:colOff>
      <xdr:row>25</xdr:row>
      <xdr:rowOff>82550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63500</xdr:colOff>
      <xdr:row>27</xdr:row>
      <xdr:rowOff>133350</xdr:rowOff>
    </xdr:from>
    <xdr:to>
      <xdr:col>25</xdr:col>
      <xdr:colOff>508000</xdr:colOff>
      <xdr:row>42</xdr:row>
      <xdr:rowOff>158750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0.xml><?xml version="1.0" encoding="utf-8"?>
<xdr:wsDr xmlns:xdr="http://schemas.openxmlformats.org/drawingml/2006/spreadsheetDrawing" xmlns:a="http://schemas.openxmlformats.org/drawingml/2006/main">
  <xdr:absoluteAnchor>
    <xdr:pos x="0" y="0"/>
    <xdr:ext cx="91948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0.60328</cdr:x>
      <cdr:y>0.18385</cdr:y>
    </cdr:from>
    <cdr:to>
      <cdr:x>0.74953</cdr:x>
      <cdr:y>0.24428</cdr:y>
    </cdr:to>
    <cdr:sp macro="" textlink="">
      <cdr:nvSpPr>
        <cdr:cNvPr id="2" name="Rectangle 1"/>
        <cdr:cNvSpPr/>
      </cdr:nvSpPr>
      <cdr:spPr>
        <a:xfrm xmlns:a="http://schemas.openxmlformats.org/drawingml/2006/main">
          <a:off x="5554682" y="1032048"/>
          <a:ext cx="1346596"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600" u="none" baseline="0">
              <a:ln>
                <a:noFill/>
              </a:ln>
              <a:solidFill>
                <a:schemeClr val="tx1"/>
              </a:solidFill>
              <a:effectLst/>
              <a:latin typeface="Arial"/>
            </a:rPr>
            <a:t>Singapore</a:t>
          </a:r>
        </a:p>
      </cdr:txBody>
    </cdr:sp>
  </cdr:relSizeAnchor>
  <cdr:relSizeAnchor xmlns:cdr="http://schemas.openxmlformats.org/drawingml/2006/chartDrawing">
    <cdr:from>
      <cdr:x>0.83235</cdr:x>
      <cdr:y>0.77438</cdr:y>
    </cdr:from>
    <cdr:to>
      <cdr:x>0.9786</cdr:x>
      <cdr:y>0.83481</cdr:y>
    </cdr:to>
    <cdr:sp macro="" textlink="">
      <cdr:nvSpPr>
        <cdr:cNvPr id="3" name="Rectangle 2"/>
        <cdr:cNvSpPr/>
      </cdr:nvSpPr>
      <cdr:spPr>
        <a:xfrm xmlns:a="http://schemas.openxmlformats.org/drawingml/2006/main">
          <a:off x="7663863" y="4346917"/>
          <a:ext cx="1346597"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bg1"/>
              </a:solidFill>
              <a:effectLst/>
              <a:latin typeface="Arial"/>
            </a:rPr>
            <a:t>Ireland</a:t>
          </a:r>
        </a:p>
      </cdr:txBody>
    </cdr:sp>
  </cdr:relSizeAnchor>
  <cdr:relSizeAnchor xmlns:cdr="http://schemas.openxmlformats.org/drawingml/2006/chartDrawing">
    <cdr:from>
      <cdr:x>0.6573</cdr:x>
      <cdr:y>0.70096</cdr:y>
    </cdr:from>
    <cdr:to>
      <cdr:x>0.80356</cdr:x>
      <cdr:y>0.76139</cdr:y>
    </cdr:to>
    <cdr:sp macro="" textlink="">
      <cdr:nvSpPr>
        <cdr:cNvPr id="4" name="Rectangle 3"/>
        <cdr:cNvSpPr/>
      </cdr:nvSpPr>
      <cdr:spPr>
        <a:xfrm xmlns:a="http://schemas.openxmlformats.org/drawingml/2006/main">
          <a:off x="6052093" y="3934755"/>
          <a:ext cx="1346689"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bg1"/>
              </a:solidFill>
              <a:effectLst/>
              <a:latin typeface="Arial"/>
            </a:rPr>
            <a:t>Netherlands</a:t>
          </a:r>
        </a:p>
      </cdr:txBody>
    </cdr:sp>
  </cdr:relSizeAnchor>
  <cdr:relSizeAnchor xmlns:cdr="http://schemas.openxmlformats.org/drawingml/2006/chartDrawing">
    <cdr:from>
      <cdr:x>0.85375</cdr:x>
      <cdr:y>0.53156</cdr:y>
    </cdr:from>
    <cdr:to>
      <cdr:x>1</cdr:x>
      <cdr:y>0.59199</cdr:y>
    </cdr:to>
    <cdr:sp macro="" textlink="">
      <cdr:nvSpPr>
        <cdr:cNvPr id="5" name="Rectangle 4"/>
        <cdr:cNvSpPr/>
      </cdr:nvSpPr>
      <cdr:spPr>
        <a:xfrm xmlns:a="http://schemas.openxmlformats.org/drawingml/2006/main">
          <a:off x="7860903" y="2983879"/>
          <a:ext cx="1346597" cy="3392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Luxembourg</a:t>
          </a:r>
        </a:p>
      </cdr:txBody>
    </cdr:sp>
  </cdr:relSizeAnchor>
  <cdr:relSizeAnchor xmlns:cdr="http://schemas.openxmlformats.org/drawingml/2006/chartDrawing">
    <cdr:from>
      <cdr:x>0.28147</cdr:x>
      <cdr:y>0.70305</cdr:y>
    </cdr:from>
    <cdr:to>
      <cdr:x>0.42773</cdr:x>
      <cdr:y>0.76348</cdr:y>
    </cdr:to>
    <cdr:sp macro="" textlink="">
      <cdr:nvSpPr>
        <cdr:cNvPr id="6" name="Rectangle 5"/>
        <cdr:cNvSpPr/>
      </cdr:nvSpPr>
      <cdr:spPr>
        <a:xfrm xmlns:a="http://schemas.openxmlformats.org/drawingml/2006/main">
          <a:off x="2591641" y="3946500"/>
          <a:ext cx="1346689" cy="3392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Switzerland</a:t>
          </a:r>
        </a:p>
      </cdr:txBody>
    </cdr:sp>
  </cdr:relSizeAnchor>
  <cdr:relSizeAnchor xmlns:cdr="http://schemas.openxmlformats.org/drawingml/2006/chartDrawing">
    <cdr:from>
      <cdr:x>0.72477</cdr:x>
      <cdr:y>0.44092</cdr:y>
    </cdr:from>
    <cdr:to>
      <cdr:x>0.99035</cdr:x>
      <cdr:y>0.51959</cdr:y>
    </cdr:to>
    <cdr:sp macro="" textlink="">
      <cdr:nvSpPr>
        <cdr:cNvPr id="7" name="Rectangle 6"/>
        <cdr:cNvSpPr/>
      </cdr:nvSpPr>
      <cdr:spPr>
        <a:xfrm xmlns:a="http://schemas.openxmlformats.org/drawingml/2006/main">
          <a:off x="6673320" y="2475039"/>
          <a:ext cx="2445328" cy="44160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Bermuda &amp;</a:t>
          </a:r>
        </a:p>
        <a:p xmlns:a="http://schemas.openxmlformats.org/drawingml/2006/main">
          <a:r>
            <a:rPr lang="fr-FR" sz="1600" u="none" baseline="0">
              <a:ln>
                <a:noFill/>
              </a:ln>
              <a:solidFill>
                <a:schemeClr val="tx1"/>
              </a:solidFill>
              <a:effectLst/>
              <a:latin typeface="Arial"/>
            </a:rPr>
            <a:t>Caribbean</a:t>
          </a:r>
        </a:p>
      </cdr:txBody>
    </cdr:sp>
  </cdr:relSizeAnchor>
  <cdr:relSizeAnchor xmlns:cdr="http://schemas.openxmlformats.org/drawingml/2006/chartDrawing">
    <cdr:from>
      <cdr:x>0.69517</cdr:x>
      <cdr:y>0.24434</cdr:y>
    </cdr:from>
    <cdr:to>
      <cdr:x>0.77379</cdr:x>
      <cdr:y>0.41629</cdr:y>
    </cdr:to>
    <cdr:cxnSp macro="">
      <cdr:nvCxnSpPr>
        <cdr:cNvPr id="10" name="Connecteur droit avec flèche 9"/>
        <cdr:cNvCxnSpPr/>
      </cdr:nvCxnSpPr>
      <cdr:spPr>
        <a:xfrm xmlns:a="http://schemas.openxmlformats.org/drawingml/2006/main">
          <a:off x="6400800" y="1371600"/>
          <a:ext cx="723897" cy="965223"/>
        </a:xfrm>
        <a:prstGeom xmlns:a="http://schemas.openxmlformats.org/drawingml/2006/main" prst="straightConnector1">
          <a:avLst/>
        </a:prstGeom>
        <a:ln xmlns:a="http://schemas.openxmlformats.org/drawingml/2006/main" w="9525">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0.00345</cdr:x>
      <cdr:y>0.93217</cdr:y>
    </cdr:from>
    <cdr:to>
      <cdr:x>1</cdr:x>
      <cdr:y>1</cdr:y>
    </cdr:to>
    <cdr:sp macro="" textlink="">
      <cdr:nvSpPr>
        <cdr:cNvPr id="9" name="Rectangle 8"/>
        <cdr:cNvSpPr/>
      </cdr:nvSpPr>
      <cdr:spPr>
        <a:xfrm xmlns:a="http://schemas.openxmlformats.org/drawingml/2006/main">
          <a:off x="31750" y="5232643"/>
          <a:ext cx="9175749" cy="3807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rtl="0"/>
          <a:r>
            <a:rPr lang="fr-FR" sz="1000" b="0" i="0" baseline="0">
              <a:solidFill>
                <a:srgbClr val="000000"/>
              </a:solidFill>
              <a:effectLst/>
              <a:latin typeface="Arial"/>
              <a:ea typeface="+mn-ea"/>
              <a:cs typeface="Arial"/>
            </a:rPr>
            <a:t>Notes: This figure charts the stock of U.S. direct equity investments abroad in the main tax havens. In 2016, total US direct investment equity assets reached  about $5,100bn at historical cost. 16% were in the Netherlands, 11% in Luxembourg, etc. Source: authors' computations using IIP data.</a:t>
          </a:r>
          <a:endParaRPr lang="fr-FR" sz="1000">
            <a:solidFill>
              <a:srgbClr val="000000"/>
            </a:solidFill>
            <a:effectLst/>
            <a:latin typeface="Arial"/>
            <a:cs typeface="Arial"/>
          </a:endParaRPr>
        </a:p>
      </cdr:txBody>
    </cdr:sp>
  </cdr:relSizeAnchor>
</c:userShapes>
</file>

<file path=xl/drawings/drawing32.xml><?xml version="1.0" encoding="utf-8"?>
<xdr:wsDr xmlns:xdr="http://schemas.openxmlformats.org/drawingml/2006/spreadsheetDrawing" xmlns:a="http://schemas.openxmlformats.org/drawingml/2006/main">
  <xdr:absoluteAnchor>
    <xdr:pos x="0" y="0"/>
    <xdr:ext cx="91948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0.6419</cdr:x>
      <cdr:y>0.1454</cdr:y>
    </cdr:from>
    <cdr:to>
      <cdr:x>0.78815</cdr:x>
      <cdr:y>0.20583</cdr:y>
    </cdr:to>
    <cdr:sp macro="" textlink="">
      <cdr:nvSpPr>
        <cdr:cNvPr id="2" name="Rectangle 1"/>
        <cdr:cNvSpPr/>
      </cdr:nvSpPr>
      <cdr:spPr>
        <a:xfrm xmlns:a="http://schemas.openxmlformats.org/drawingml/2006/main">
          <a:off x="5910275" y="816172"/>
          <a:ext cx="1346597"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600" u="none" baseline="0">
              <a:ln>
                <a:noFill/>
              </a:ln>
              <a:solidFill>
                <a:schemeClr val="tx1"/>
              </a:solidFill>
              <a:effectLst/>
              <a:latin typeface="Arial"/>
            </a:rPr>
            <a:t>Singapore</a:t>
          </a:r>
        </a:p>
      </cdr:txBody>
    </cdr:sp>
  </cdr:relSizeAnchor>
  <cdr:relSizeAnchor xmlns:cdr="http://schemas.openxmlformats.org/drawingml/2006/chartDrawing">
    <cdr:from>
      <cdr:x>0.82545</cdr:x>
      <cdr:y>0.7495</cdr:y>
    </cdr:from>
    <cdr:to>
      <cdr:x>0.9717</cdr:x>
      <cdr:y>0.80993</cdr:y>
    </cdr:to>
    <cdr:sp macro="" textlink="">
      <cdr:nvSpPr>
        <cdr:cNvPr id="3" name="Rectangle 2"/>
        <cdr:cNvSpPr/>
      </cdr:nvSpPr>
      <cdr:spPr>
        <a:xfrm xmlns:a="http://schemas.openxmlformats.org/drawingml/2006/main">
          <a:off x="7600310" y="4209545"/>
          <a:ext cx="1346640" cy="3393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bg1"/>
              </a:solidFill>
              <a:effectLst/>
              <a:latin typeface="Arial"/>
            </a:rPr>
            <a:t>Ireland</a:t>
          </a:r>
        </a:p>
      </cdr:txBody>
    </cdr:sp>
  </cdr:relSizeAnchor>
  <cdr:relSizeAnchor xmlns:cdr="http://schemas.openxmlformats.org/drawingml/2006/chartDrawing">
    <cdr:from>
      <cdr:x>0.61592</cdr:x>
      <cdr:y>0.69643</cdr:y>
    </cdr:from>
    <cdr:to>
      <cdr:x>0.76218</cdr:x>
      <cdr:y>0.75686</cdr:y>
    </cdr:to>
    <cdr:sp macro="" textlink="">
      <cdr:nvSpPr>
        <cdr:cNvPr id="4" name="Rectangle 3"/>
        <cdr:cNvSpPr/>
      </cdr:nvSpPr>
      <cdr:spPr>
        <a:xfrm xmlns:a="http://schemas.openxmlformats.org/drawingml/2006/main">
          <a:off x="5671112" y="3909365"/>
          <a:ext cx="1346689"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bg1"/>
              </a:solidFill>
              <a:effectLst/>
              <a:latin typeface="Arial"/>
            </a:rPr>
            <a:t>Netherlands</a:t>
          </a:r>
        </a:p>
      </cdr:txBody>
    </cdr:sp>
  </cdr:relSizeAnchor>
  <cdr:relSizeAnchor xmlns:cdr="http://schemas.openxmlformats.org/drawingml/2006/chartDrawing">
    <cdr:from>
      <cdr:x>0.84547</cdr:x>
      <cdr:y>0.475</cdr:y>
    </cdr:from>
    <cdr:to>
      <cdr:x>0.99172</cdr:x>
      <cdr:y>0.53543</cdr:y>
    </cdr:to>
    <cdr:sp macro="" textlink="">
      <cdr:nvSpPr>
        <cdr:cNvPr id="5" name="Rectangle 4"/>
        <cdr:cNvSpPr/>
      </cdr:nvSpPr>
      <cdr:spPr>
        <a:xfrm xmlns:a="http://schemas.openxmlformats.org/drawingml/2006/main">
          <a:off x="7784703" y="2666392"/>
          <a:ext cx="1346597"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Luxembourg</a:t>
          </a:r>
        </a:p>
      </cdr:txBody>
    </cdr:sp>
  </cdr:relSizeAnchor>
  <cdr:relSizeAnchor xmlns:cdr="http://schemas.openxmlformats.org/drawingml/2006/chartDrawing">
    <cdr:from>
      <cdr:x>0.26767</cdr:x>
      <cdr:y>0.69626</cdr:y>
    </cdr:from>
    <cdr:to>
      <cdr:x>0.41393</cdr:x>
      <cdr:y>0.75669</cdr:y>
    </cdr:to>
    <cdr:sp macro="" textlink="">
      <cdr:nvSpPr>
        <cdr:cNvPr id="6" name="Rectangle 5"/>
        <cdr:cNvSpPr/>
      </cdr:nvSpPr>
      <cdr:spPr>
        <a:xfrm xmlns:a="http://schemas.openxmlformats.org/drawingml/2006/main">
          <a:off x="2464597" y="3908403"/>
          <a:ext cx="1346689"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Switzerland</a:t>
          </a:r>
        </a:p>
      </cdr:txBody>
    </cdr:sp>
  </cdr:relSizeAnchor>
  <cdr:relSizeAnchor xmlns:cdr="http://schemas.openxmlformats.org/drawingml/2006/chartDrawing">
    <cdr:from>
      <cdr:x>0.71925</cdr:x>
      <cdr:y>0.39114</cdr:y>
    </cdr:from>
    <cdr:to>
      <cdr:x>0.98483</cdr:x>
      <cdr:y>0.46981</cdr:y>
    </cdr:to>
    <cdr:sp macro="" textlink="">
      <cdr:nvSpPr>
        <cdr:cNvPr id="7" name="Rectangle 6"/>
        <cdr:cNvSpPr/>
      </cdr:nvSpPr>
      <cdr:spPr>
        <a:xfrm xmlns:a="http://schemas.openxmlformats.org/drawingml/2006/main">
          <a:off x="6622456" y="2195653"/>
          <a:ext cx="2445328" cy="44160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Bermuda &amp; </a:t>
          </a:r>
        </a:p>
        <a:p xmlns:a="http://schemas.openxmlformats.org/drawingml/2006/main">
          <a:r>
            <a:rPr lang="fr-FR" sz="1600" u="none" baseline="0">
              <a:ln>
                <a:noFill/>
              </a:ln>
              <a:solidFill>
                <a:schemeClr val="tx1"/>
              </a:solidFill>
              <a:effectLst/>
              <a:latin typeface="Arial"/>
            </a:rPr>
            <a:t>Caribbean</a:t>
          </a:r>
        </a:p>
      </cdr:txBody>
    </cdr:sp>
  </cdr:relSizeAnchor>
  <cdr:relSizeAnchor xmlns:cdr="http://schemas.openxmlformats.org/drawingml/2006/chartDrawing">
    <cdr:from>
      <cdr:x>0.73424</cdr:x>
      <cdr:y>0.19956</cdr:y>
    </cdr:from>
    <cdr:to>
      <cdr:x>0.8</cdr:x>
      <cdr:y>0.35068</cdr:y>
    </cdr:to>
    <cdr:cxnSp macro="">
      <cdr:nvCxnSpPr>
        <cdr:cNvPr id="10" name="Connecteur droit avec flèche 9"/>
        <cdr:cNvCxnSpPr/>
      </cdr:nvCxnSpPr>
      <cdr:spPr>
        <a:xfrm xmlns:a="http://schemas.openxmlformats.org/drawingml/2006/main">
          <a:off x="6760515" y="1120210"/>
          <a:ext cx="605485" cy="848290"/>
        </a:xfrm>
        <a:prstGeom xmlns:a="http://schemas.openxmlformats.org/drawingml/2006/main" prst="straightConnector1">
          <a:avLst/>
        </a:prstGeom>
        <a:ln xmlns:a="http://schemas.openxmlformats.org/drawingml/2006/main" w="9525">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0.00345</cdr:x>
      <cdr:y>0.93217</cdr:y>
    </cdr:from>
    <cdr:to>
      <cdr:x>1</cdr:x>
      <cdr:y>1</cdr:y>
    </cdr:to>
    <cdr:sp macro="" textlink="">
      <cdr:nvSpPr>
        <cdr:cNvPr id="9" name="Rectangle 8"/>
        <cdr:cNvSpPr/>
      </cdr:nvSpPr>
      <cdr:spPr>
        <a:xfrm xmlns:a="http://schemas.openxmlformats.org/drawingml/2006/main">
          <a:off x="31750" y="5232643"/>
          <a:ext cx="9175749" cy="3807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rtl="0"/>
          <a:r>
            <a:rPr lang="fr-FR" sz="1000" b="0" i="0" baseline="0">
              <a:solidFill>
                <a:srgbClr val="000000"/>
              </a:solidFill>
              <a:effectLst/>
              <a:latin typeface="Arial"/>
              <a:ea typeface="+mn-ea"/>
              <a:cs typeface="Arial"/>
            </a:rPr>
            <a:t>Notes: This figure charts the share of income on U.S. direct investment income made in the main tax havens. In 2016, total equity income on U.S. DI abroad was about $430bn. 16% came from the Netherlands, 8% from Luxembourg, etc. Source: authors' computations using balance of payments data.</a:t>
          </a:r>
          <a:endParaRPr lang="fr-FR" sz="1000">
            <a:solidFill>
              <a:srgbClr val="000000"/>
            </a:solidFill>
            <a:effectLst/>
            <a:latin typeface="Arial"/>
            <a:cs typeface="Arial"/>
          </a:endParaRPr>
        </a:p>
      </cdr:txBody>
    </cdr:sp>
  </cdr:relSizeAnchor>
</c:userShapes>
</file>

<file path=xl/drawings/drawing34.xml><?xml version="1.0" encoding="utf-8"?>
<xdr:wsDr xmlns:xdr="http://schemas.openxmlformats.org/drawingml/2006/spreadsheetDrawing" xmlns:a="http://schemas.openxmlformats.org/drawingml/2006/main">
  <xdr:absoluteAnchor>
    <xdr:pos x="0" y="0"/>
    <xdr:ext cx="91948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0.58673</cdr:x>
      <cdr:y>0.23815</cdr:y>
    </cdr:from>
    <cdr:to>
      <cdr:x>0.73298</cdr:x>
      <cdr:y>0.29858</cdr:y>
    </cdr:to>
    <cdr:sp macro="" textlink="">
      <cdr:nvSpPr>
        <cdr:cNvPr id="2" name="Rectangle 1"/>
        <cdr:cNvSpPr/>
      </cdr:nvSpPr>
      <cdr:spPr>
        <a:xfrm xmlns:a="http://schemas.openxmlformats.org/drawingml/2006/main">
          <a:off x="5402282" y="1336848"/>
          <a:ext cx="1346596"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600" u="none" baseline="0">
              <a:ln>
                <a:noFill/>
              </a:ln>
              <a:solidFill>
                <a:schemeClr val="tx1"/>
              </a:solidFill>
              <a:effectLst/>
              <a:latin typeface="Arial"/>
            </a:rPr>
            <a:t>Singapore</a:t>
          </a:r>
        </a:p>
      </cdr:txBody>
    </cdr:sp>
  </cdr:relSizeAnchor>
  <cdr:relSizeAnchor xmlns:cdr="http://schemas.openxmlformats.org/drawingml/2006/chartDrawing">
    <cdr:from>
      <cdr:x>0.83235</cdr:x>
      <cdr:y>0.76307</cdr:y>
    </cdr:from>
    <cdr:to>
      <cdr:x>0.9786</cdr:x>
      <cdr:y>0.8235</cdr:y>
    </cdr:to>
    <cdr:sp macro="" textlink="">
      <cdr:nvSpPr>
        <cdr:cNvPr id="3" name="Rectangle 2"/>
        <cdr:cNvSpPr/>
      </cdr:nvSpPr>
      <cdr:spPr>
        <a:xfrm xmlns:a="http://schemas.openxmlformats.org/drawingml/2006/main">
          <a:off x="7663831" y="4283443"/>
          <a:ext cx="1346597"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bg1"/>
              </a:solidFill>
              <a:effectLst/>
              <a:latin typeface="Arial"/>
            </a:rPr>
            <a:t>Ireland</a:t>
          </a:r>
        </a:p>
      </cdr:txBody>
    </cdr:sp>
  </cdr:relSizeAnchor>
  <cdr:relSizeAnchor xmlns:cdr="http://schemas.openxmlformats.org/drawingml/2006/chartDrawing">
    <cdr:from>
      <cdr:x>0.66006</cdr:x>
      <cdr:y>0.71001</cdr:y>
    </cdr:from>
    <cdr:to>
      <cdr:x>0.80632</cdr:x>
      <cdr:y>0.77044</cdr:y>
    </cdr:to>
    <cdr:sp macro="" textlink="">
      <cdr:nvSpPr>
        <cdr:cNvPr id="4" name="Rectangle 3"/>
        <cdr:cNvSpPr/>
      </cdr:nvSpPr>
      <cdr:spPr>
        <a:xfrm xmlns:a="http://schemas.openxmlformats.org/drawingml/2006/main">
          <a:off x="6077490" y="3985569"/>
          <a:ext cx="1346689"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bg1"/>
              </a:solidFill>
              <a:effectLst/>
              <a:latin typeface="Arial"/>
            </a:rPr>
            <a:t>Netherlands</a:t>
          </a:r>
        </a:p>
      </cdr:txBody>
    </cdr:sp>
  </cdr:relSizeAnchor>
  <cdr:relSizeAnchor xmlns:cdr="http://schemas.openxmlformats.org/drawingml/2006/chartDrawing">
    <cdr:from>
      <cdr:x>0.85375</cdr:x>
      <cdr:y>0.52025</cdr:y>
    </cdr:from>
    <cdr:to>
      <cdr:x>1</cdr:x>
      <cdr:y>0.58068</cdr:y>
    </cdr:to>
    <cdr:sp macro="" textlink="">
      <cdr:nvSpPr>
        <cdr:cNvPr id="5" name="Rectangle 4"/>
        <cdr:cNvSpPr/>
      </cdr:nvSpPr>
      <cdr:spPr>
        <a:xfrm xmlns:a="http://schemas.openxmlformats.org/drawingml/2006/main">
          <a:off x="7860903" y="2920379"/>
          <a:ext cx="1346597" cy="3392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Luxembourg</a:t>
          </a:r>
        </a:p>
      </cdr:txBody>
    </cdr:sp>
  </cdr:relSizeAnchor>
  <cdr:relSizeAnchor xmlns:cdr="http://schemas.openxmlformats.org/drawingml/2006/chartDrawing">
    <cdr:from>
      <cdr:x>0.27733</cdr:x>
      <cdr:y>0.7121</cdr:y>
    </cdr:from>
    <cdr:to>
      <cdr:x>0.42359</cdr:x>
      <cdr:y>0.77253</cdr:y>
    </cdr:to>
    <cdr:sp macro="" textlink="">
      <cdr:nvSpPr>
        <cdr:cNvPr id="6" name="Rectangle 5"/>
        <cdr:cNvSpPr/>
      </cdr:nvSpPr>
      <cdr:spPr>
        <a:xfrm xmlns:a="http://schemas.openxmlformats.org/drawingml/2006/main">
          <a:off x="2553541" y="3997300"/>
          <a:ext cx="1346689" cy="3392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Switzerland</a:t>
          </a:r>
        </a:p>
      </cdr:txBody>
    </cdr:sp>
  </cdr:relSizeAnchor>
  <cdr:relSizeAnchor xmlns:cdr="http://schemas.openxmlformats.org/drawingml/2006/chartDrawing">
    <cdr:from>
      <cdr:x>0.8331</cdr:x>
      <cdr:y>0.34816</cdr:y>
    </cdr:from>
    <cdr:to>
      <cdr:x>1</cdr:x>
      <cdr:y>0.42683</cdr:y>
    </cdr:to>
    <cdr:sp macro="" textlink="">
      <cdr:nvSpPr>
        <cdr:cNvPr id="7" name="Rectangle 6"/>
        <cdr:cNvSpPr/>
      </cdr:nvSpPr>
      <cdr:spPr>
        <a:xfrm xmlns:a="http://schemas.openxmlformats.org/drawingml/2006/main">
          <a:off x="7670800" y="1954339"/>
          <a:ext cx="1536700" cy="44160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Bermuda &amp; </a:t>
          </a:r>
        </a:p>
        <a:p xmlns:a="http://schemas.openxmlformats.org/drawingml/2006/main">
          <a:r>
            <a:rPr lang="fr-FR" sz="1600" u="none" baseline="0">
              <a:ln>
                <a:noFill/>
              </a:ln>
              <a:solidFill>
                <a:schemeClr val="tx1"/>
              </a:solidFill>
              <a:effectLst/>
              <a:latin typeface="Arial"/>
            </a:rPr>
            <a:t>Caribbean</a:t>
          </a:r>
        </a:p>
      </cdr:txBody>
    </cdr:sp>
  </cdr:relSizeAnchor>
  <cdr:relSizeAnchor xmlns:cdr="http://schemas.openxmlformats.org/drawingml/2006/chartDrawing">
    <cdr:from>
      <cdr:x>0.66665</cdr:x>
      <cdr:y>0.29684</cdr:y>
    </cdr:from>
    <cdr:to>
      <cdr:x>0.73793</cdr:x>
      <cdr:y>0.45475</cdr:y>
    </cdr:to>
    <cdr:cxnSp macro="">
      <cdr:nvCxnSpPr>
        <cdr:cNvPr id="10" name="Connecteur droit avec flèche 9"/>
        <cdr:cNvCxnSpPr/>
      </cdr:nvCxnSpPr>
      <cdr:spPr>
        <a:xfrm xmlns:a="http://schemas.openxmlformats.org/drawingml/2006/main">
          <a:off x="6138218" y="1666285"/>
          <a:ext cx="656311" cy="886412"/>
        </a:xfrm>
        <a:prstGeom xmlns:a="http://schemas.openxmlformats.org/drawingml/2006/main" prst="straightConnector1">
          <a:avLst/>
        </a:prstGeom>
        <a:ln xmlns:a="http://schemas.openxmlformats.org/drawingml/2006/main" w="9525">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0.00345</cdr:x>
      <cdr:y>0.93217</cdr:y>
    </cdr:from>
    <cdr:to>
      <cdr:x>1</cdr:x>
      <cdr:y>1</cdr:y>
    </cdr:to>
    <cdr:sp macro="" textlink="">
      <cdr:nvSpPr>
        <cdr:cNvPr id="9" name="Rectangle 8"/>
        <cdr:cNvSpPr/>
      </cdr:nvSpPr>
      <cdr:spPr>
        <a:xfrm xmlns:a="http://schemas.openxmlformats.org/drawingml/2006/main">
          <a:off x="31750" y="5232643"/>
          <a:ext cx="9175749" cy="3807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rtl="0"/>
          <a:r>
            <a:rPr lang="fr-FR" sz="1000" b="0" i="0" baseline="0">
              <a:solidFill>
                <a:srgbClr val="000000"/>
              </a:solidFill>
              <a:effectLst/>
              <a:latin typeface="Arial"/>
              <a:ea typeface="+mn-ea"/>
              <a:cs typeface="Arial"/>
            </a:rPr>
            <a:t>Notes: This figure charts the stock of U.S. direct investments abroad in the main tax havens. In 2016, total US direct investments assets reached reached about $5,300bn at historical cost. 16% were in the Netherlands, 11% in Luxembourg, etc. Source: author's computations using BEA data.</a:t>
          </a:r>
          <a:endParaRPr lang="fr-FR" sz="1000">
            <a:solidFill>
              <a:srgbClr val="000000"/>
            </a:solidFill>
            <a:effectLst/>
            <a:latin typeface="Arial"/>
            <a:cs typeface="Arial"/>
          </a:endParaRPr>
        </a:p>
      </cdr:txBody>
    </cdr:sp>
  </cdr:relSizeAnchor>
</c:userShapes>
</file>

<file path=xl/drawings/drawing36.xml><?xml version="1.0" encoding="utf-8"?>
<xdr:wsDr xmlns:xdr="http://schemas.openxmlformats.org/drawingml/2006/spreadsheetDrawing" xmlns:a="http://schemas.openxmlformats.org/drawingml/2006/main">
  <xdr:absoluteAnchor>
    <xdr:pos x="0" y="0"/>
    <xdr:ext cx="91948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c:userShapes xmlns:c="http://schemas.openxmlformats.org/drawingml/2006/chart">
  <cdr:relSizeAnchor xmlns:cdr="http://schemas.openxmlformats.org/drawingml/2006/chartDrawing">
    <cdr:from>
      <cdr:x>0.58397</cdr:x>
      <cdr:y>0.16123</cdr:y>
    </cdr:from>
    <cdr:to>
      <cdr:x>0.73022</cdr:x>
      <cdr:y>0.22166</cdr:y>
    </cdr:to>
    <cdr:sp macro="" textlink="">
      <cdr:nvSpPr>
        <cdr:cNvPr id="2" name="Rectangle 1"/>
        <cdr:cNvSpPr/>
      </cdr:nvSpPr>
      <cdr:spPr>
        <a:xfrm xmlns:a="http://schemas.openxmlformats.org/drawingml/2006/main">
          <a:off x="5376882" y="905048"/>
          <a:ext cx="1346596"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600" u="none" baseline="0">
              <a:ln>
                <a:noFill/>
              </a:ln>
              <a:solidFill>
                <a:schemeClr val="tx1"/>
              </a:solidFill>
              <a:effectLst/>
              <a:latin typeface="Arial"/>
            </a:rPr>
            <a:t>Singapore</a:t>
          </a:r>
        </a:p>
      </cdr:txBody>
    </cdr:sp>
  </cdr:relSizeAnchor>
  <cdr:relSizeAnchor xmlns:cdr="http://schemas.openxmlformats.org/drawingml/2006/chartDrawing">
    <cdr:from>
      <cdr:x>0.83235</cdr:x>
      <cdr:y>0.76307</cdr:y>
    </cdr:from>
    <cdr:to>
      <cdr:x>0.9786</cdr:x>
      <cdr:y>0.8235</cdr:y>
    </cdr:to>
    <cdr:sp macro="" textlink="">
      <cdr:nvSpPr>
        <cdr:cNvPr id="3" name="Rectangle 2"/>
        <cdr:cNvSpPr/>
      </cdr:nvSpPr>
      <cdr:spPr>
        <a:xfrm xmlns:a="http://schemas.openxmlformats.org/drawingml/2006/main">
          <a:off x="7663831" y="4283443"/>
          <a:ext cx="1346597"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bg1"/>
              </a:solidFill>
              <a:effectLst/>
              <a:latin typeface="Arial"/>
            </a:rPr>
            <a:t>Ireland</a:t>
          </a:r>
        </a:p>
      </cdr:txBody>
    </cdr:sp>
  </cdr:relSizeAnchor>
  <cdr:relSizeAnchor xmlns:cdr="http://schemas.openxmlformats.org/drawingml/2006/chartDrawing">
    <cdr:from>
      <cdr:x>0.65868</cdr:x>
      <cdr:y>0.6806</cdr:y>
    </cdr:from>
    <cdr:to>
      <cdr:x>0.80494</cdr:x>
      <cdr:y>0.74103</cdr:y>
    </cdr:to>
    <cdr:sp macro="" textlink="">
      <cdr:nvSpPr>
        <cdr:cNvPr id="4" name="Rectangle 3"/>
        <cdr:cNvSpPr/>
      </cdr:nvSpPr>
      <cdr:spPr>
        <a:xfrm xmlns:a="http://schemas.openxmlformats.org/drawingml/2006/main">
          <a:off x="6064790" y="3820469"/>
          <a:ext cx="1346689"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bg1"/>
              </a:solidFill>
              <a:effectLst/>
              <a:latin typeface="Arial"/>
            </a:rPr>
            <a:t>Netherlands</a:t>
          </a:r>
        </a:p>
      </cdr:txBody>
    </cdr:sp>
  </cdr:relSizeAnchor>
  <cdr:relSizeAnchor xmlns:cdr="http://schemas.openxmlformats.org/drawingml/2006/chartDrawing">
    <cdr:from>
      <cdr:x>0.8372</cdr:x>
      <cdr:y>0.46822</cdr:y>
    </cdr:from>
    <cdr:to>
      <cdr:x>0.98345</cdr:x>
      <cdr:y>0.52865</cdr:y>
    </cdr:to>
    <cdr:sp macro="" textlink="">
      <cdr:nvSpPr>
        <cdr:cNvPr id="5" name="Rectangle 4"/>
        <cdr:cNvSpPr/>
      </cdr:nvSpPr>
      <cdr:spPr>
        <a:xfrm xmlns:a="http://schemas.openxmlformats.org/drawingml/2006/main">
          <a:off x="7708490" y="2628306"/>
          <a:ext cx="1346597"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Luxembourg</a:t>
          </a:r>
        </a:p>
      </cdr:txBody>
    </cdr:sp>
  </cdr:relSizeAnchor>
  <cdr:relSizeAnchor xmlns:cdr="http://schemas.openxmlformats.org/drawingml/2006/chartDrawing">
    <cdr:from>
      <cdr:x>0.24147</cdr:x>
      <cdr:y>0.65554</cdr:y>
    </cdr:from>
    <cdr:to>
      <cdr:x>0.38773</cdr:x>
      <cdr:y>0.71597</cdr:y>
    </cdr:to>
    <cdr:sp macro="" textlink="">
      <cdr:nvSpPr>
        <cdr:cNvPr id="6" name="Rectangle 5"/>
        <cdr:cNvSpPr/>
      </cdr:nvSpPr>
      <cdr:spPr>
        <a:xfrm xmlns:a="http://schemas.openxmlformats.org/drawingml/2006/main">
          <a:off x="2223360" y="3679781"/>
          <a:ext cx="1346689"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Switzerland</a:t>
          </a:r>
        </a:p>
      </cdr:txBody>
    </cdr:sp>
  </cdr:relSizeAnchor>
  <cdr:relSizeAnchor xmlns:cdr="http://schemas.openxmlformats.org/drawingml/2006/chartDrawing">
    <cdr:from>
      <cdr:x>0.61856</cdr:x>
      <cdr:y>0.3934</cdr:y>
    </cdr:from>
    <cdr:to>
      <cdr:x>0.88414</cdr:x>
      <cdr:y>0.47207</cdr:y>
    </cdr:to>
    <cdr:sp macro="" textlink="">
      <cdr:nvSpPr>
        <cdr:cNvPr id="7" name="Rectangle 6"/>
        <cdr:cNvSpPr/>
      </cdr:nvSpPr>
      <cdr:spPr>
        <a:xfrm xmlns:a="http://schemas.openxmlformats.org/drawingml/2006/main">
          <a:off x="5695423" y="2208313"/>
          <a:ext cx="2445328" cy="44160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Bermuda &amp; and Caribbean</a:t>
          </a:r>
        </a:p>
      </cdr:txBody>
    </cdr:sp>
  </cdr:relSizeAnchor>
  <cdr:relSizeAnchor xmlns:cdr="http://schemas.openxmlformats.org/drawingml/2006/chartDrawing">
    <cdr:from>
      <cdr:x>0.67493</cdr:x>
      <cdr:y>0.22218</cdr:y>
    </cdr:from>
    <cdr:to>
      <cdr:x>0.71448</cdr:x>
      <cdr:y>0.33484</cdr:y>
    </cdr:to>
    <cdr:cxnSp macro="">
      <cdr:nvCxnSpPr>
        <cdr:cNvPr id="10" name="Connecteur droit avec flèche 9"/>
        <cdr:cNvCxnSpPr/>
      </cdr:nvCxnSpPr>
      <cdr:spPr>
        <a:xfrm xmlns:a="http://schemas.openxmlformats.org/drawingml/2006/main">
          <a:off x="6214418" y="1247185"/>
          <a:ext cx="364182" cy="632415"/>
        </a:xfrm>
        <a:prstGeom xmlns:a="http://schemas.openxmlformats.org/drawingml/2006/main" prst="straightConnector1">
          <a:avLst/>
        </a:prstGeom>
        <a:ln xmlns:a="http://schemas.openxmlformats.org/drawingml/2006/main" w="9525">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0.00345</cdr:x>
      <cdr:y>0.93217</cdr:y>
    </cdr:from>
    <cdr:to>
      <cdr:x>1</cdr:x>
      <cdr:y>1</cdr:y>
    </cdr:to>
    <cdr:sp macro="" textlink="">
      <cdr:nvSpPr>
        <cdr:cNvPr id="9" name="Rectangle 8"/>
        <cdr:cNvSpPr/>
      </cdr:nvSpPr>
      <cdr:spPr>
        <a:xfrm xmlns:a="http://schemas.openxmlformats.org/drawingml/2006/main">
          <a:off x="31750" y="5232643"/>
          <a:ext cx="9175749" cy="3807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rtl="0"/>
          <a:r>
            <a:rPr lang="fr-FR" sz="1000" b="0" i="0" baseline="0">
              <a:solidFill>
                <a:srgbClr val="000000"/>
              </a:solidFill>
              <a:effectLst/>
              <a:latin typeface="Arial"/>
              <a:ea typeface="+mn-ea"/>
              <a:cs typeface="Arial"/>
            </a:rPr>
            <a:t>Notes: This figure charts the stock of U.S. direct equity investments abroad in the main tax havens. In 2016, total US direct investments assets reached reached about $5,100bn at historical cost. 16% were in the Netherlands, 11% in Luxembourg, etc. Source: authors' computations using IIP data.</a:t>
          </a:r>
          <a:endParaRPr lang="fr-FR" sz="1000">
            <a:solidFill>
              <a:srgbClr val="000000"/>
            </a:solidFill>
            <a:effectLst/>
            <a:latin typeface="Arial"/>
            <a:cs typeface="Arial"/>
          </a:endParaRPr>
        </a:p>
      </cdr:txBody>
    </cdr:sp>
  </cdr:relSizeAnchor>
  <cdr:relSizeAnchor xmlns:cdr="http://schemas.openxmlformats.org/drawingml/2006/chartDrawing">
    <cdr:from>
      <cdr:x>0.44138</cdr:x>
      <cdr:y>0.11086</cdr:y>
    </cdr:from>
    <cdr:to>
      <cdr:x>0.44139</cdr:x>
      <cdr:y>0.81674</cdr:y>
    </cdr:to>
    <cdr:cxnSp macro="">
      <cdr:nvCxnSpPr>
        <cdr:cNvPr id="11" name="Connecteur droit avec flèche 9"/>
        <cdr:cNvCxnSpPr/>
      </cdr:nvCxnSpPr>
      <cdr:spPr>
        <a:xfrm xmlns:a="http://schemas.openxmlformats.org/drawingml/2006/main">
          <a:off x="4064000" y="622300"/>
          <a:ext cx="98" cy="3962388"/>
        </a:xfrm>
        <a:prstGeom xmlns:a="http://schemas.openxmlformats.org/drawingml/2006/main" prst="straightConnector1">
          <a:avLst/>
        </a:prstGeom>
        <a:ln xmlns:a="http://schemas.openxmlformats.org/drawingml/2006/main" w="9525">
          <a:solidFill>
            <a:schemeClr val="tx1"/>
          </a:solidFill>
          <a:prstDash val="sysDash"/>
          <a:tailEnd type="non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0.25104</cdr:x>
      <cdr:y>0.29186</cdr:y>
    </cdr:from>
    <cdr:to>
      <cdr:x>0.43591</cdr:x>
      <cdr:y>0.35229</cdr:y>
    </cdr:to>
    <cdr:sp macro="" textlink="">
      <cdr:nvSpPr>
        <cdr:cNvPr id="12" name="Rectangle 11"/>
        <cdr:cNvSpPr/>
      </cdr:nvSpPr>
      <cdr:spPr>
        <a:xfrm xmlns:a="http://schemas.openxmlformats.org/drawingml/2006/main">
          <a:off x="2311406" y="1638323"/>
          <a:ext cx="1702191"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tx1"/>
              </a:solidFill>
              <a:effectLst/>
              <a:latin typeface="Arial"/>
            </a:rPr>
            <a:t>Check-the-box regulations</a:t>
          </a:r>
        </a:p>
      </cdr:txBody>
    </cdr:sp>
  </cdr:relSizeAnchor>
</c:userShapes>
</file>

<file path=xl/drawings/drawing38.xml><?xml version="1.0" encoding="utf-8"?>
<xdr:wsDr xmlns:xdr="http://schemas.openxmlformats.org/drawingml/2006/spreadsheetDrawing" xmlns:a="http://schemas.openxmlformats.org/drawingml/2006/main">
  <xdr:absoluteAnchor>
    <xdr:pos x="0" y="0"/>
    <xdr:ext cx="91948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cdr:x>
      <cdr:y>0.93217</cdr:y>
    </cdr:from>
    <cdr:to>
      <cdr:x>1</cdr:x>
      <cdr:y>1</cdr:y>
    </cdr:to>
    <cdr:sp macro="" textlink="">
      <cdr:nvSpPr>
        <cdr:cNvPr id="3" name="Rectangle 2"/>
        <cdr:cNvSpPr/>
      </cdr:nvSpPr>
      <cdr:spPr>
        <a:xfrm xmlns:a="http://schemas.openxmlformats.org/drawingml/2006/main">
          <a:off x="0" y="5232643"/>
          <a:ext cx="9207500" cy="3807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rtl="0"/>
          <a:r>
            <a:rPr lang="fr-FR" sz="980" b="0" i="0" baseline="0">
              <a:solidFill>
                <a:srgbClr val="000000"/>
              </a:solidFill>
              <a:effectLst/>
              <a:latin typeface="Arial"/>
              <a:ea typeface="+mn-ea"/>
              <a:cs typeface="Arial"/>
            </a:rPr>
            <a:t>Notes: This figure charts the ratio of profits made in the main tax havens (Netherlands, Ireland, Switzerland, Singapore, Luxembourg, Bermuda and other Caribbean havens) to total US corporate profits (domestic plus foreign). Source: authors' computations using NIPA and balance of payments data.</a:t>
          </a:r>
          <a:endParaRPr lang="fr-FR" sz="980">
            <a:solidFill>
              <a:srgbClr val="000000"/>
            </a:solidFill>
            <a:effectLst/>
            <a:latin typeface="Arial"/>
            <a:cs typeface="Arial"/>
          </a:endParaRPr>
        </a:p>
      </cdr:txBody>
    </cdr:sp>
  </cdr:relSizeAnchor>
  <cdr:relSizeAnchor xmlns:cdr="http://schemas.openxmlformats.org/drawingml/2006/chartDrawing">
    <cdr:from>
      <cdr:x>0.49241</cdr:x>
      <cdr:y>0.13122</cdr:y>
    </cdr:from>
    <cdr:to>
      <cdr:x>0.49241</cdr:x>
      <cdr:y>0.82127</cdr:y>
    </cdr:to>
    <cdr:cxnSp macro="">
      <cdr:nvCxnSpPr>
        <cdr:cNvPr id="4" name="Connecteur droit avec flèche 9"/>
        <cdr:cNvCxnSpPr/>
      </cdr:nvCxnSpPr>
      <cdr:spPr>
        <a:xfrm xmlns:a="http://schemas.openxmlformats.org/drawingml/2006/main" flipH="1">
          <a:off x="4533866" y="736600"/>
          <a:ext cx="34" cy="3873517"/>
        </a:xfrm>
        <a:prstGeom xmlns:a="http://schemas.openxmlformats.org/drawingml/2006/main" prst="straightConnector1">
          <a:avLst/>
        </a:prstGeom>
        <a:ln xmlns:a="http://schemas.openxmlformats.org/drawingml/2006/main" w="9525">
          <a:solidFill>
            <a:schemeClr val="tx1"/>
          </a:solidFill>
          <a:prstDash val="sysDash"/>
          <a:tailEnd type="non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0.30345</cdr:x>
      <cdr:y>0.33032</cdr:y>
    </cdr:from>
    <cdr:to>
      <cdr:x>0.48832</cdr:x>
      <cdr:y>0.39075</cdr:y>
    </cdr:to>
    <cdr:sp macro="" textlink="">
      <cdr:nvSpPr>
        <cdr:cNvPr id="5" name="Rectangle 4"/>
        <cdr:cNvSpPr/>
      </cdr:nvSpPr>
      <cdr:spPr>
        <a:xfrm xmlns:a="http://schemas.openxmlformats.org/drawingml/2006/main">
          <a:off x="2793994" y="1854205"/>
          <a:ext cx="1702190" cy="3392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tx1"/>
              </a:solidFill>
              <a:effectLst/>
              <a:latin typeface="Arial"/>
            </a:rPr>
            <a:t>Check-the-box regulations</a:t>
          </a: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91948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91948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0.09329</cdr:x>
      <cdr:y>0.35069</cdr:y>
    </cdr:from>
    <cdr:to>
      <cdr:x>0.39537</cdr:x>
      <cdr:y>0.40887</cdr:y>
    </cdr:to>
    <cdr:sp macro="" textlink="">
      <cdr:nvSpPr>
        <cdr:cNvPr id="2" name="Rectangle 1"/>
        <cdr:cNvSpPr/>
      </cdr:nvSpPr>
      <cdr:spPr>
        <a:xfrm xmlns:a="http://schemas.openxmlformats.org/drawingml/2006/main">
          <a:off x="800100" y="2044700"/>
          <a:ext cx="2590800"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Rising profit shifting to Caribbean</a:t>
          </a:r>
        </a:p>
      </cdr:txBody>
    </cdr:sp>
  </cdr:relSizeAnchor>
  <cdr:relSizeAnchor xmlns:cdr="http://schemas.openxmlformats.org/drawingml/2006/chartDrawing">
    <cdr:from>
      <cdr:x>0.17909</cdr:x>
      <cdr:y>0.41168</cdr:y>
    </cdr:from>
    <cdr:to>
      <cdr:x>0.3391</cdr:x>
      <cdr:y>0.63808</cdr:y>
    </cdr:to>
    <cdr:cxnSp macro="">
      <cdr:nvCxnSpPr>
        <cdr:cNvPr id="3" name="Connecteur droit avec flèche 9"/>
        <cdr:cNvCxnSpPr/>
      </cdr:nvCxnSpPr>
      <cdr:spPr>
        <a:xfrm xmlns:a="http://schemas.openxmlformats.org/drawingml/2006/main" flipV="1">
          <a:off x="1536021" y="2400300"/>
          <a:ext cx="1372279" cy="1320022"/>
        </a:xfrm>
        <a:prstGeom xmlns:a="http://schemas.openxmlformats.org/drawingml/2006/main" prst="straightConnector1">
          <a:avLst/>
        </a:prstGeom>
        <a:ln xmlns:a="http://schemas.openxmlformats.org/drawingml/2006/main" w="9525">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0.39685</cdr:x>
      <cdr:y>0.44436</cdr:y>
    </cdr:from>
    <cdr:to>
      <cdr:x>0.39833</cdr:x>
      <cdr:y>0.63386</cdr:y>
    </cdr:to>
    <cdr:cxnSp macro="">
      <cdr:nvCxnSpPr>
        <cdr:cNvPr id="4" name="Connecteur droit avec flèche 9"/>
        <cdr:cNvCxnSpPr/>
      </cdr:nvCxnSpPr>
      <cdr:spPr>
        <a:xfrm xmlns:a="http://schemas.openxmlformats.org/drawingml/2006/main" flipV="1">
          <a:off x="3403600" y="2590800"/>
          <a:ext cx="12700" cy="1104900"/>
        </a:xfrm>
        <a:prstGeom xmlns:a="http://schemas.openxmlformats.org/drawingml/2006/main" prst="straightConnector1">
          <a:avLst/>
        </a:prstGeom>
        <a:ln xmlns:a="http://schemas.openxmlformats.org/drawingml/2006/main" w="9525">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0.23704</cdr:x>
      <cdr:y>0.68614</cdr:y>
    </cdr:from>
    <cdr:to>
      <cdr:x>0.54788</cdr:x>
      <cdr:y>0.74432</cdr:y>
    </cdr:to>
    <cdr:sp macro="" textlink="">
      <cdr:nvSpPr>
        <cdr:cNvPr id="10" name="Rectangle 9"/>
        <cdr:cNvSpPr/>
      </cdr:nvSpPr>
      <cdr:spPr>
        <a:xfrm xmlns:a="http://schemas.openxmlformats.org/drawingml/2006/main">
          <a:off x="2032000" y="3999716"/>
          <a:ext cx="2664701" cy="3391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1984: Deficit Reduction Act</a:t>
          </a:r>
        </a:p>
      </cdr:txBody>
    </cdr:sp>
  </cdr:relSizeAnchor>
  <cdr:relSizeAnchor xmlns:cdr="http://schemas.openxmlformats.org/drawingml/2006/chartDrawing">
    <cdr:from>
      <cdr:x>0.76112</cdr:x>
      <cdr:y>0.42257</cdr:y>
    </cdr:from>
    <cdr:to>
      <cdr:x>0.7626</cdr:x>
      <cdr:y>0.61208</cdr:y>
    </cdr:to>
    <cdr:cxnSp macro="">
      <cdr:nvCxnSpPr>
        <cdr:cNvPr id="11" name="Connecteur droit avec flèche 9"/>
        <cdr:cNvCxnSpPr/>
      </cdr:nvCxnSpPr>
      <cdr:spPr>
        <a:xfrm xmlns:a="http://schemas.openxmlformats.org/drawingml/2006/main" flipV="1">
          <a:off x="6527800" y="2463800"/>
          <a:ext cx="12700" cy="1104900"/>
        </a:xfrm>
        <a:prstGeom xmlns:a="http://schemas.openxmlformats.org/drawingml/2006/main" prst="straightConnector1">
          <a:avLst/>
        </a:prstGeom>
        <a:ln xmlns:a="http://schemas.openxmlformats.org/drawingml/2006/main" w="9525">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0.66487</cdr:x>
      <cdr:y>0.62515</cdr:y>
    </cdr:from>
    <cdr:to>
      <cdr:x>0.92252</cdr:x>
      <cdr:y>0.68333</cdr:y>
    </cdr:to>
    <cdr:sp macro="" textlink="">
      <cdr:nvSpPr>
        <cdr:cNvPr id="12" name="Rectangle 11"/>
        <cdr:cNvSpPr/>
      </cdr:nvSpPr>
      <cdr:spPr>
        <a:xfrm xmlns:a="http://schemas.openxmlformats.org/drawingml/2006/main">
          <a:off x="5702300" y="3644900"/>
          <a:ext cx="2209800"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2005: repatriation </a:t>
          </a:r>
        </a:p>
        <a:p xmlns:a="http://schemas.openxmlformats.org/drawingml/2006/main">
          <a:r>
            <a:rPr lang="fr-FR" sz="1600" u="none" baseline="0">
              <a:ln>
                <a:noFill/>
              </a:ln>
              <a:solidFill>
                <a:schemeClr val="tx1"/>
              </a:solidFill>
              <a:effectLst/>
              <a:latin typeface="Arial"/>
            </a:rPr>
            <a:t>tax holidy</a:t>
          </a:r>
        </a:p>
      </cdr:txBody>
    </cdr:sp>
  </cdr:relSizeAnchor>
  <cdr:relSizeAnchor xmlns:cdr="http://schemas.openxmlformats.org/drawingml/2006/chartDrawing">
    <cdr:from>
      <cdr:x>0.38647</cdr:x>
      <cdr:y>0.12633</cdr:y>
    </cdr:from>
    <cdr:to>
      <cdr:x>0.81145</cdr:x>
      <cdr:y>0.1895</cdr:y>
    </cdr:to>
    <cdr:sp macro="" textlink="">
      <cdr:nvSpPr>
        <cdr:cNvPr id="14" name="Rectangle 13"/>
        <cdr:cNvSpPr/>
      </cdr:nvSpPr>
      <cdr:spPr>
        <a:xfrm xmlns:a="http://schemas.openxmlformats.org/drawingml/2006/main">
          <a:off x="3313055" y="736431"/>
          <a:ext cx="3643141" cy="36823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rgbClr val="FF0000"/>
              </a:solidFill>
              <a:effectLst/>
              <a:latin typeface="Arial"/>
            </a:rPr>
            <a:t>Rising profit shifting across the board</a:t>
          </a:r>
        </a:p>
      </cdr:txBody>
    </cdr:sp>
  </cdr:relSizeAnchor>
  <cdr:relSizeAnchor xmlns:cdr="http://schemas.openxmlformats.org/drawingml/2006/chartDrawing">
    <cdr:from>
      <cdr:x>0.60563</cdr:x>
      <cdr:y>0.061</cdr:y>
    </cdr:from>
    <cdr:to>
      <cdr:x>0.89185</cdr:x>
      <cdr:y>0.42694</cdr:y>
    </cdr:to>
    <cdr:cxnSp macro="">
      <cdr:nvCxnSpPr>
        <cdr:cNvPr id="15" name="Connecteur droit avec flèche 9"/>
        <cdr:cNvCxnSpPr/>
      </cdr:nvCxnSpPr>
      <cdr:spPr>
        <a:xfrm xmlns:a="http://schemas.openxmlformats.org/drawingml/2006/main" flipV="1">
          <a:off x="5191785" y="355600"/>
          <a:ext cx="2453615" cy="2133150"/>
        </a:xfrm>
        <a:prstGeom xmlns:a="http://schemas.openxmlformats.org/drawingml/2006/main" prst="straightConnector1">
          <a:avLst/>
        </a:prstGeom>
        <a:ln xmlns:a="http://schemas.openxmlformats.org/drawingml/2006/main" w="9525">
          <a:solidFill>
            <a:srgbClr val="FF0000"/>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0.60415</cdr:x>
      <cdr:y>0.51842</cdr:y>
    </cdr:from>
    <cdr:to>
      <cdr:x>0.60415</cdr:x>
      <cdr:y>0.83861</cdr:y>
    </cdr:to>
    <cdr:cxnSp macro="">
      <cdr:nvCxnSpPr>
        <cdr:cNvPr id="16" name="Connecteur droit avec flèche 9"/>
        <cdr:cNvCxnSpPr/>
      </cdr:nvCxnSpPr>
      <cdr:spPr>
        <a:xfrm xmlns:a="http://schemas.openxmlformats.org/drawingml/2006/main" flipV="1">
          <a:off x="5181600" y="3022600"/>
          <a:ext cx="0" cy="1866900"/>
        </a:xfrm>
        <a:prstGeom xmlns:a="http://schemas.openxmlformats.org/drawingml/2006/main" prst="straightConnector1">
          <a:avLst/>
        </a:prstGeom>
        <a:ln xmlns:a="http://schemas.openxmlformats.org/drawingml/2006/main" w="9525">
          <a:solidFill>
            <a:srgbClr val="FF0000"/>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0.43535</cdr:x>
      <cdr:y>0.83426</cdr:y>
    </cdr:from>
    <cdr:to>
      <cdr:x>0.79962</cdr:x>
      <cdr:y>0.89244</cdr:y>
    </cdr:to>
    <cdr:sp macro="" textlink="">
      <cdr:nvSpPr>
        <cdr:cNvPr id="17" name="Rectangle 16"/>
        <cdr:cNvSpPr/>
      </cdr:nvSpPr>
      <cdr:spPr>
        <a:xfrm xmlns:a="http://schemas.openxmlformats.org/drawingml/2006/main">
          <a:off x="3733800" y="4864100"/>
          <a:ext cx="3124200"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rgbClr val="FF0000"/>
              </a:solidFill>
              <a:effectLst/>
              <a:latin typeface="Arial"/>
            </a:rPr>
            <a:t>1996: check-the-box regulations</a:t>
          </a:r>
        </a:p>
      </cdr:txBody>
    </cdr:sp>
  </cdr:relSizeAnchor>
</c:userShapes>
</file>

<file path=xl/drawings/drawing42.xml><?xml version="1.0" encoding="utf-8"?>
<xdr:wsDr xmlns:xdr="http://schemas.openxmlformats.org/drawingml/2006/spreadsheetDrawing" xmlns:a="http://schemas.openxmlformats.org/drawingml/2006/main">
  <xdr:absoluteAnchor>
    <xdr:pos x="0" y="0"/>
    <xdr:ext cx="91948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c:userShapes xmlns:c="http://schemas.openxmlformats.org/drawingml/2006/chart">
  <cdr:relSizeAnchor xmlns:cdr="http://schemas.openxmlformats.org/drawingml/2006/chartDrawing">
    <cdr:from>
      <cdr:x>0.17926</cdr:x>
      <cdr:y>0.20834</cdr:y>
    </cdr:from>
    <cdr:to>
      <cdr:x>0.74519</cdr:x>
      <cdr:y>0.28402</cdr:y>
    </cdr:to>
    <cdr:sp macro="" textlink="">
      <cdr:nvSpPr>
        <cdr:cNvPr id="2" name="Rectangle 1"/>
        <cdr:cNvSpPr/>
      </cdr:nvSpPr>
      <cdr:spPr>
        <a:xfrm xmlns:a="http://schemas.openxmlformats.org/drawingml/2006/main">
          <a:off x="1536675" y="1214495"/>
          <a:ext cx="4851435" cy="4411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accent2">
                  <a:lumMod val="75000"/>
                </a:schemeClr>
              </a:solidFill>
              <a:effectLst/>
              <a:latin typeface="Arial"/>
            </a:rPr>
            <a:t>Loans by foreign subsiadiries to U.S. parent</a:t>
          </a:r>
        </a:p>
        <a:p xmlns:a="http://schemas.openxmlformats.org/drawingml/2006/main">
          <a:pPr algn="ctr"/>
          <a:endParaRPr lang="fr-FR" sz="1600" u="none" baseline="0">
            <a:ln>
              <a:noFill/>
            </a:ln>
            <a:solidFill>
              <a:schemeClr val="tx2">
                <a:lumMod val="75000"/>
              </a:schemeClr>
            </a:solidFill>
            <a:effectLst/>
            <a:latin typeface="Arial"/>
          </a:endParaRPr>
        </a:p>
      </cdr:txBody>
    </cdr:sp>
  </cdr:relSizeAnchor>
  <cdr:relSizeAnchor xmlns:cdr="http://schemas.openxmlformats.org/drawingml/2006/chartDrawing">
    <cdr:from>
      <cdr:x>0.44741</cdr:x>
      <cdr:y>0.5704</cdr:y>
    </cdr:from>
    <cdr:to>
      <cdr:x>0.97481</cdr:x>
      <cdr:y>0.62963</cdr:y>
    </cdr:to>
    <cdr:sp macro="" textlink="">
      <cdr:nvSpPr>
        <cdr:cNvPr id="3" name="Rectangle 2"/>
        <cdr:cNvSpPr/>
      </cdr:nvSpPr>
      <cdr:spPr>
        <a:xfrm xmlns:a="http://schemas.openxmlformats.org/drawingml/2006/main">
          <a:off x="3835423" y="3325045"/>
          <a:ext cx="4521177" cy="3452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tx2">
                  <a:lumMod val="75000"/>
                </a:schemeClr>
              </a:solidFill>
              <a:effectLst/>
              <a:latin typeface="Arial"/>
            </a:rPr>
            <a:t>Loans by U.S. parents to foreign subsidiaries</a:t>
          </a:r>
        </a:p>
        <a:p xmlns:a="http://schemas.openxmlformats.org/drawingml/2006/main">
          <a:endParaRPr lang="fr-FR" sz="1600" u="none" baseline="0">
            <a:ln>
              <a:noFill/>
            </a:ln>
            <a:solidFill>
              <a:schemeClr val="tx1"/>
            </a:solidFill>
            <a:effectLst/>
            <a:latin typeface="Arial"/>
          </a:endParaRPr>
        </a:p>
      </cdr:txBody>
    </cdr:sp>
  </cdr:relSizeAnchor>
</c:userShapes>
</file>

<file path=xl/drawings/drawing44.xml><?xml version="1.0" encoding="utf-8"?>
<xdr:wsDr xmlns:xdr="http://schemas.openxmlformats.org/drawingml/2006/spreadsheetDrawing" xmlns:a="http://schemas.openxmlformats.org/drawingml/2006/main">
  <xdr:absoluteAnchor>
    <xdr:pos x="0" y="0"/>
    <xdr:ext cx="91948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c:userShapes xmlns:c="http://schemas.openxmlformats.org/drawingml/2006/chart">
  <cdr:relSizeAnchor xmlns:cdr="http://schemas.openxmlformats.org/drawingml/2006/chartDrawing">
    <cdr:from>
      <cdr:x>0.42128</cdr:x>
      <cdr:y>0.2168</cdr:y>
    </cdr:from>
    <cdr:to>
      <cdr:x>0.9866</cdr:x>
      <cdr:y>0.29244</cdr:y>
    </cdr:to>
    <cdr:sp macro="" textlink="">
      <cdr:nvSpPr>
        <cdr:cNvPr id="2" name="Rectangle 1"/>
        <cdr:cNvSpPr/>
      </cdr:nvSpPr>
      <cdr:spPr>
        <a:xfrm xmlns:a="http://schemas.openxmlformats.org/drawingml/2006/main">
          <a:off x="3611461" y="1263799"/>
          <a:ext cx="4846206" cy="44092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rgbClr val="008000"/>
              </a:solidFill>
              <a:effectLst/>
              <a:latin typeface="Arial"/>
            </a:rPr>
            <a:t>Tax rate in non-havens</a:t>
          </a:r>
        </a:p>
        <a:p xmlns:a="http://schemas.openxmlformats.org/drawingml/2006/main">
          <a:pPr algn="ctr"/>
          <a:endParaRPr lang="fr-FR" sz="1600" u="none" baseline="0">
            <a:ln>
              <a:noFill/>
            </a:ln>
            <a:solidFill>
              <a:schemeClr val="tx2">
                <a:lumMod val="75000"/>
              </a:schemeClr>
            </a:solidFill>
            <a:effectLst/>
            <a:latin typeface="Arial"/>
          </a:endParaRPr>
        </a:p>
      </cdr:txBody>
    </cdr:sp>
  </cdr:relSizeAnchor>
  <cdr:relSizeAnchor xmlns:cdr="http://schemas.openxmlformats.org/drawingml/2006/chartDrawing">
    <cdr:from>
      <cdr:x>0.43339</cdr:x>
      <cdr:y>0.57517</cdr:y>
    </cdr:from>
    <cdr:to>
      <cdr:x>0.96022</cdr:x>
      <cdr:y>0.63437</cdr:y>
    </cdr:to>
    <cdr:sp macro="" textlink="">
      <cdr:nvSpPr>
        <cdr:cNvPr id="3" name="Rectangle 2"/>
        <cdr:cNvSpPr/>
      </cdr:nvSpPr>
      <cdr:spPr>
        <a:xfrm xmlns:a="http://schemas.openxmlformats.org/drawingml/2006/main">
          <a:off x="3715274" y="3352817"/>
          <a:ext cx="4516250" cy="3450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accent4">
                  <a:lumMod val="75000"/>
                </a:schemeClr>
              </a:solidFill>
              <a:effectLst/>
              <a:latin typeface="Arial"/>
            </a:rPr>
            <a:t>Tax rate in tax havens</a:t>
          </a:r>
        </a:p>
        <a:p xmlns:a="http://schemas.openxmlformats.org/drawingml/2006/main">
          <a:endParaRPr lang="fr-FR" sz="1600" u="none" baseline="0">
            <a:ln>
              <a:noFill/>
            </a:ln>
            <a:solidFill>
              <a:schemeClr val="tx1"/>
            </a:solidFill>
            <a:effectLst/>
            <a:latin typeface="Arial"/>
          </a:endParaRPr>
        </a:p>
      </cdr:txBody>
    </cdr:sp>
  </cdr:relSizeAnchor>
</c:userShapes>
</file>

<file path=xl/drawings/drawing46.xml><?xml version="1.0" encoding="utf-8"?>
<xdr:wsDr xmlns:xdr="http://schemas.openxmlformats.org/drawingml/2006/spreadsheetDrawing" xmlns:a="http://schemas.openxmlformats.org/drawingml/2006/main">
  <xdr:absoluteAnchor>
    <xdr:pos x="0" y="0"/>
    <xdr:ext cx="91948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c:userShapes xmlns:c="http://schemas.openxmlformats.org/drawingml/2006/chart">
  <cdr:relSizeAnchor xmlns:cdr="http://schemas.openxmlformats.org/drawingml/2006/chartDrawing">
    <cdr:from>
      <cdr:x>0.4889</cdr:x>
      <cdr:y>0.23012</cdr:y>
    </cdr:from>
    <cdr:to>
      <cdr:x>0.84741</cdr:x>
      <cdr:y>0.3058</cdr:y>
    </cdr:to>
    <cdr:sp macro="" textlink="">
      <cdr:nvSpPr>
        <cdr:cNvPr id="2" name="Rectangle 1"/>
        <cdr:cNvSpPr/>
      </cdr:nvSpPr>
      <cdr:spPr>
        <a:xfrm xmlns:a="http://schemas.openxmlformats.org/drawingml/2006/main">
          <a:off x="4191105" y="1341462"/>
          <a:ext cx="3073327" cy="4411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accent2">
                  <a:lumMod val="75000"/>
                </a:schemeClr>
              </a:solidFill>
              <a:effectLst/>
              <a:latin typeface="Arial"/>
            </a:rPr>
            <a:t>United States</a:t>
          </a:r>
        </a:p>
        <a:p xmlns:a="http://schemas.openxmlformats.org/drawingml/2006/main">
          <a:pPr algn="ctr"/>
          <a:endParaRPr lang="fr-FR" sz="1600" u="none" baseline="0">
            <a:ln>
              <a:noFill/>
            </a:ln>
            <a:solidFill>
              <a:schemeClr val="tx2">
                <a:lumMod val="75000"/>
              </a:schemeClr>
            </a:solidFill>
            <a:effectLst/>
            <a:latin typeface="Arial"/>
          </a:endParaRPr>
        </a:p>
      </cdr:txBody>
    </cdr:sp>
  </cdr:relSizeAnchor>
  <cdr:relSizeAnchor xmlns:cdr="http://schemas.openxmlformats.org/drawingml/2006/chartDrawing">
    <cdr:from>
      <cdr:x>0.62518</cdr:x>
      <cdr:y>0.54209</cdr:y>
    </cdr:from>
    <cdr:to>
      <cdr:x>0.88889</cdr:x>
      <cdr:y>0.61777</cdr:y>
    </cdr:to>
    <cdr:sp macro="" textlink="">
      <cdr:nvSpPr>
        <cdr:cNvPr id="3" name="Rectangle 2"/>
        <cdr:cNvSpPr/>
      </cdr:nvSpPr>
      <cdr:spPr>
        <a:xfrm xmlns:a="http://schemas.openxmlformats.org/drawingml/2006/main">
          <a:off x="5359356" y="3159983"/>
          <a:ext cx="2260654" cy="4411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tx2">
                  <a:lumMod val="75000"/>
                </a:schemeClr>
              </a:solidFill>
              <a:effectLst/>
              <a:latin typeface="Arial"/>
            </a:rPr>
            <a:t>OECD</a:t>
          </a:r>
        </a:p>
        <a:p xmlns:a="http://schemas.openxmlformats.org/drawingml/2006/main">
          <a:endParaRPr lang="fr-FR" sz="1600" u="none" baseline="0">
            <a:ln>
              <a:noFill/>
            </a:ln>
            <a:solidFill>
              <a:schemeClr val="tx1"/>
            </a:solidFill>
            <a:effectLst/>
            <a:latin typeface="Arial"/>
          </a:endParaRPr>
        </a:p>
      </cdr:txBody>
    </cdr:sp>
  </cdr:relSizeAnchor>
</c:userShapes>
</file>

<file path=xl/drawings/drawing48.xml><?xml version="1.0" encoding="utf-8"?>
<xdr:wsDr xmlns:xdr="http://schemas.openxmlformats.org/drawingml/2006/spreadsheetDrawing" xmlns:a="http://schemas.openxmlformats.org/drawingml/2006/main">
  <xdr:absoluteAnchor>
    <xdr:pos x="0" y="0"/>
    <xdr:ext cx="91948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0.12742</cdr:x>
      <cdr:y>0.30638</cdr:y>
    </cdr:from>
    <cdr:to>
      <cdr:x>0.36149</cdr:x>
      <cdr:y>0.38206</cdr:y>
    </cdr:to>
    <cdr:sp macro="" textlink="">
      <cdr:nvSpPr>
        <cdr:cNvPr id="2" name="Rectangle 1"/>
        <cdr:cNvSpPr/>
      </cdr:nvSpPr>
      <cdr:spPr>
        <a:xfrm xmlns:a="http://schemas.openxmlformats.org/drawingml/2006/main">
          <a:off x="1092276" y="1786009"/>
          <a:ext cx="2006565" cy="4411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accent2">
                  <a:lumMod val="75000"/>
                </a:schemeClr>
              </a:solidFill>
              <a:effectLst/>
              <a:latin typeface="Arial"/>
            </a:rPr>
            <a:t>OPEC share</a:t>
          </a:r>
        </a:p>
        <a:p xmlns:a="http://schemas.openxmlformats.org/drawingml/2006/main">
          <a:pPr algn="ctr"/>
          <a:r>
            <a:rPr lang="fr-FR" sz="1600" u="none" baseline="0">
              <a:ln>
                <a:noFill/>
              </a:ln>
              <a:solidFill>
                <a:schemeClr val="accent2">
                  <a:lumMod val="75000"/>
                </a:schemeClr>
              </a:solidFill>
              <a:effectLst/>
              <a:latin typeface="Arial"/>
            </a:rPr>
            <a:t>(pre-tax)</a:t>
          </a:r>
        </a:p>
        <a:p xmlns:a="http://schemas.openxmlformats.org/drawingml/2006/main">
          <a:pPr algn="ctr"/>
          <a:endParaRPr lang="fr-FR" sz="1600" u="none" baseline="0">
            <a:ln>
              <a:noFill/>
            </a:ln>
            <a:solidFill>
              <a:schemeClr val="tx2">
                <a:lumMod val="75000"/>
              </a:schemeClr>
            </a:solidFill>
            <a:effectLst/>
            <a:latin typeface="Aria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0.34519</cdr:x>
      <cdr:y>0.43493</cdr:y>
    </cdr:from>
    <cdr:to>
      <cdr:x>0.57926</cdr:x>
      <cdr:y>0.51061</cdr:y>
    </cdr:to>
    <cdr:sp macro="" textlink="">
      <cdr:nvSpPr>
        <cdr:cNvPr id="2" name="Rectangle 1"/>
        <cdr:cNvSpPr/>
      </cdr:nvSpPr>
      <cdr:spPr>
        <a:xfrm xmlns:a="http://schemas.openxmlformats.org/drawingml/2006/main">
          <a:off x="2959100" y="2535325"/>
          <a:ext cx="2006584" cy="4411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accent2">
                  <a:lumMod val="75000"/>
                </a:schemeClr>
              </a:solidFill>
              <a:effectLst/>
              <a:latin typeface="Arial"/>
            </a:rPr>
            <a:t>Net assets (left)</a:t>
          </a:r>
        </a:p>
        <a:p xmlns:a="http://schemas.openxmlformats.org/drawingml/2006/main">
          <a:pPr algn="ctr"/>
          <a:endParaRPr lang="fr-FR" sz="1600" u="none" baseline="0">
            <a:ln>
              <a:noFill/>
            </a:ln>
            <a:solidFill>
              <a:schemeClr val="tx2">
                <a:lumMod val="75000"/>
              </a:schemeClr>
            </a:solidFill>
            <a:effectLst/>
            <a:latin typeface="Arial"/>
          </a:endParaRPr>
        </a:p>
      </cdr:txBody>
    </cdr:sp>
  </cdr:relSizeAnchor>
  <cdr:relSizeAnchor xmlns:cdr="http://schemas.openxmlformats.org/drawingml/2006/chartDrawing">
    <cdr:from>
      <cdr:x>0.53333</cdr:x>
      <cdr:y>0.1826</cdr:y>
    </cdr:from>
    <cdr:to>
      <cdr:x>0.82132</cdr:x>
      <cdr:y>0.25828</cdr:y>
    </cdr:to>
    <cdr:sp macro="" textlink="">
      <cdr:nvSpPr>
        <cdr:cNvPr id="3" name="Rectangle 2"/>
        <cdr:cNvSpPr/>
      </cdr:nvSpPr>
      <cdr:spPr>
        <a:xfrm xmlns:a="http://schemas.openxmlformats.org/drawingml/2006/main">
          <a:off x="4572000" y="1064413"/>
          <a:ext cx="2468788" cy="4411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tx2">
                  <a:lumMod val="75000"/>
                </a:schemeClr>
              </a:solidFill>
              <a:effectLst/>
              <a:latin typeface="Arial"/>
            </a:rPr>
            <a:t>Net income (right)</a:t>
          </a:r>
        </a:p>
        <a:p xmlns:a="http://schemas.openxmlformats.org/drawingml/2006/main">
          <a:endParaRPr lang="fr-FR" sz="1600" u="none" baseline="0">
            <a:ln>
              <a:noFill/>
            </a:ln>
            <a:solidFill>
              <a:schemeClr val="tx1"/>
            </a:solidFill>
            <a:effectLst/>
            <a:latin typeface="Arial"/>
          </a:endParaRPr>
        </a:p>
      </cdr:txBody>
    </cdr:sp>
  </cdr:relSizeAnchor>
</c:userShapes>
</file>

<file path=xl/drawings/drawing50.xml><?xml version="1.0" encoding="utf-8"?>
<xdr:wsDr xmlns:xdr="http://schemas.openxmlformats.org/drawingml/2006/spreadsheetDrawing" xmlns:a="http://schemas.openxmlformats.org/drawingml/2006/main">
  <xdr:absoluteAnchor>
    <xdr:pos x="0" y="0"/>
    <xdr:ext cx="91948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c:userShapes xmlns:c="http://schemas.openxmlformats.org/drawingml/2006/chart">
  <cdr:relSizeAnchor xmlns:cdr="http://schemas.openxmlformats.org/drawingml/2006/chartDrawing">
    <cdr:from>
      <cdr:x>0.12742</cdr:x>
      <cdr:y>0.30638</cdr:y>
    </cdr:from>
    <cdr:to>
      <cdr:x>0.36149</cdr:x>
      <cdr:y>0.38206</cdr:y>
    </cdr:to>
    <cdr:sp macro="" textlink="">
      <cdr:nvSpPr>
        <cdr:cNvPr id="2" name="Rectangle 1"/>
        <cdr:cNvSpPr/>
      </cdr:nvSpPr>
      <cdr:spPr>
        <a:xfrm xmlns:a="http://schemas.openxmlformats.org/drawingml/2006/main">
          <a:off x="1092276" y="1786009"/>
          <a:ext cx="2006565" cy="4411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accent2">
                  <a:lumMod val="75000"/>
                </a:schemeClr>
              </a:solidFill>
              <a:effectLst/>
              <a:latin typeface="Arial"/>
            </a:rPr>
            <a:t>OPEC share</a:t>
          </a:r>
        </a:p>
        <a:p xmlns:a="http://schemas.openxmlformats.org/drawingml/2006/main">
          <a:pPr algn="ctr"/>
          <a:r>
            <a:rPr lang="fr-FR" sz="1600" u="none" baseline="0">
              <a:ln>
                <a:noFill/>
              </a:ln>
              <a:solidFill>
                <a:schemeClr val="accent2">
                  <a:lumMod val="75000"/>
                </a:schemeClr>
              </a:solidFill>
              <a:effectLst/>
              <a:latin typeface="Arial"/>
            </a:rPr>
            <a:t>(pre-tax)</a:t>
          </a:r>
        </a:p>
        <a:p xmlns:a="http://schemas.openxmlformats.org/drawingml/2006/main">
          <a:pPr algn="ctr"/>
          <a:endParaRPr lang="fr-FR" sz="1600" u="none" baseline="0">
            <a:ln>
              <a:noFill/>
            </a:ln>
            <a:solidFill>
              <a:schemeClr val="tx2">
                <a:lumMod val="75000"/>
              </a:schemeClr>
            </a:solidFill>
            <a:effectLst/>
            <a:latin typeface="Arial"/>
          </a:endParaRPr>
        </a:p>
      </cdr:txBody>
    </cdr:sp>
  </cdr:relSizeAnchor>
  <cdr:relSizeAnchor xmlns:cdr="http://schemas.openxmlformats.org/drawingml/2006/chartDrawing">
    <cdr:from>
      <cdr:x>0.65481</cdr:x>
      <cdr:y>0.80352</cdr:y>
    </cdr:from>
    <cdr:to>
      <cdr:x>0.88148</cdr:x>
      <cdr:y>0.8792</cdr:y>
    </cdr:to>
    <cdr:sp macro="" textlink="">
      <cdr:nvSpPr>
        <cdr:cNvPr id="3" name="Rectangle 2"/>
        <cdr:cNvSpPr/>
      </cdr:nvSpPr>
      <cdr:spPr>
        <a:xfrm xmlns:a="http://schemas.openxmlformats.org/drawingml/2006/main">
          <a:off x="5613371" y="4683939"/>
          <a:ext cx="1943129" cy="4411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tx2">
                  <a:lumMod val="75000"/>
                </a:schemeClr>
              </a:solidFill>
              <a:effectLst/>
              <a:latin typeface="Arial"/>
            </a:rPr>
            <a:t>OPEC share</a:t>
          </a:r>
        </a:p>
        <a:p xmlns:a="http://schemas.openxmlformats.org/drawingml/2006/main">
          <a:pPr algn="ctr"/>
          <a:r>
            <a:rPr lang="fr-FR" sz="1600" u="none" baseline="0">
              <a:ln>
                <a:noFill/>
              </a:ln>
              <a:solidFill>
                <a:schemeClr val="tx2">
                  <a:lumMod val="75000"/>
                </a:schemeClr>
              </a:solidFill>
              <a:effectLst/>
              <a:latin typeface="Arial"/>
            </a:rPr>
            <a:t>(post-tax)</a:t>
          </a:r>
        </a:p>
        <a:p xmlns:a="http://schemas.openxmlformats.org/drawingml/2006/main">
          <a:endParaRPr lang="fr-FR" sz="1600" u="none" baseline="0">
            <a:ln>
              <a:noFill/>
            </a:ln>
            <a:solidFill>
              <a:schemeClr val="tx1"/>
            </a:solidFill>
            <a:effectLst/>
            <a:latin typeface="Arial"/>
          </a:endParaRPr>
        </a:p>
      </cdr:txBody>
    </cdr:sp>
  </cdr:relSizeAnchor>
</c:userShapes>
</file>

<file path=xl/drawings/drawing52.xml><?xml version="1.0" encoding="utf-8"?>
<xdr:wsDr xmlns:xdr="http://schemas.openxmlformats.org/drawingml/2006/spreadsheetDrawing" xmlns:a="http://schemas.openxmlformats.org/drawingml/2006/main">
  <xdr:absoluteAnchor>
    <xdr:pos x="0" y="0"/>
    <xdr:ext cx="91948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c:userShapes xmlns:c="http://schemas.openxmlformats.org/drawingml/2006/chart">
  <cdr:relSizeAnchor xmlns:cdr="http://schemas.openxmlformats.org/drawingml/2006/chartDrawing">
    <cdr:from>
      <cdr:x>0.29779</cdr:x>
      <cdr:y>0.23666</cdr:y>
    </cdr:from>
    <cdr:to>
      <cdr:x>0.6563</cdr:x>
      <cdr:y>0.31234</cdr:y>
    </cdr:to>
    <cdr:sp macro="" textlink="">
      <cdr:nvSpPr>
        <cdr:cNvPr id="2" name="Rectangle 1"/>
        <cdr:cNvSpPr/>
      </cdr:nvSpPr>
      <cdr:spPr>
        <a:xfrm xmlns:a="http://schemas.openxmlformats.org/drawingml/2006/main">
          <a:off x="2552808" y="1379581"/>
          <a:ext cx="3073292" cy="4411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accent2">
                  <a:lumMod val="75000"/>
                </a:schemeClr>
              </a:solidFill>
              <a:effectLst/>
              <a:latin typeface="Arial"/>
            </a:rPr>
            <a:t>Tax rate OPEC countries</a:t>
          </a:r>
        </a:p>
        <a:p xmlns:a="http://schemas.openxmlformats.org/drawingml/2006/main">
          <a:pPr algn="ctr"/>
          <a:endParaRPr lang="fr-FR" sz="1600" u="none" baseline="0">
            <a:ln>
              <a:noFill/>
            </a:ln>
            <a:solidFill>
              <a:schemeClr val="tx2">
                <a:lumMod val="75000"/>
              </a:schemeClr>
            </a:solidFill>
            <a:effectLst/>
            <a:latin typeface="Arial"/>
          </a:endParaRPr>
        </a:p>
      </cdr:txBody>
    </cdr:sp>
  </cdr:relSizeAnchor>
  <cdr:relSizeAnchor xmlns:cdr="http://schemas.openxmlformats.org/drawingml/2006/chartDrawing">
    <cdr:from>
      <cdr:x>0.62518</cdr:x>
      <cdr:y>0.56823</cdr:y>
    </cdr:from>
    <cdr:to>
      <cdr:x>0.88889</cdr:x>
      <cdr:y>0.64391</cdr:y>
    </cdr:to>
    <cdr:sp macro="" textlink="">
      <cdr:nvSpPr>
        <cdr:cNvPr id="3" name="Rectangle 2"/>
        <cdr:cNvSpPr/>
      </cdr:nvSpPr>
      <cdr:spPr>
        <a:xfrm xmlns:a="http://schemas.openxmlformats.org/drawingml/2006/main">
          <a:off x="5359358" y="3312359"/>
          <a:ext cx="2260641" cy="4411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tx2">
                  <a:lumMod val="75000"/>
                </a:schemeClr>
              </a:solidFill>
              <a:effectLst/>
              <a:latin typeface="Arial"/>
            </a:rPr>
            <a:t>Tax rate non-OPEC</a:t>
          </a:r>
        </a:p>
        <a:p xmlns:a="http://schemas.openxmlformats.org/drawingml/2006/main">
          <a:endParaRPr lang="fr-FR" sz="1600" u="none" baseline="0">
            <a:ln>
              <a:noFill/>
            </a:ln>
            <a:solidFill>
              <a:schemeClr val="tx1"/>
            </a:solidFill>
            <a:effectLst/>
            <a:latin typeface="Arial"/>
          </a:endParaRPr>
        </a:p>
      </cdr:txBody>
    </cdr:sp>
  </cdr:relSizeAnchor>
</c:userShapes>
</file>

<file path=xl/drawings/drawing54.xml><?xml version="1.0" encoding="utf-8"?>
<xdr:wsDr xmlns:xdr="http://schemas.openxmlformats.org/drawingml/2006/spreadsheetDrawing" xmlns:a="http://schemas.openxmlformats.org/drawingml/2006/main">
  <xdr:absoluteAnchor>
    <xdr:pos x="0" y="0"/>
    <xdr:ext cx="91948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c:userShapes xmlns:c="http://schemas.openxmlformats.org/drawingml/2006/chart">
  <cdr:relSizeAnchor xmlns:cdr="http://schemas.openxmlformats.org/drawingml/2006/chartDrawing">
    <cdr:from>
      <cdr:x>0.23853</cdr:x>
      <cdr:y>0.28677</cdr:y>
    </cdr:from>
    <cdr:to>
      <cdr:x>0.42667</cdr:x>
      <cdr:y>0.36245</cdr:y>
    </cdr:to>
    <cdr:sp macro="" textlink="">
      <cdr:nvSpPr>
        <cdr:cNvPr id="2" name="Rectangle 1"/>
        <cdr:cNvSpPr/>
      </cdr:nvSpPr>
      <cdr:spPr>
        <a:xfrm xmlns:a="http://schemas.openxmlformats.org/drawingml/2006/main">
          <a:off x="2044805" y="1671662"/>
          <a:ext cx="1612795" cy="4411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accent2">
                  <a:lumMod val="75000"/>
                </a:schemeClr>
              </a:solidFill>
              <a:effectLst/>
              <a:latin typeface="Arial"/>
            </a:rPr>
            <a:t>Oil affiliates</a:t>
          </a:r>
        </a:p>
        <a:p xmlns:a="http://schemas.openxmlformats.org/drawingml/2006/main">
          <a:pPr algn="ctr"/>
          <a:endParaRPr lang="fr-FR" sz="1600" u="none" baseline="0">
            <a:ln>
              <a:noFill/>
            </a:ln>
            <a:solidFill>
              <a:schemeClr val="tx2">
                <a:lumMod val="75000"/>
              </a:schemeClr>
            </a:solidFill>
            <a:effectLst/>
            <a:latin typeface="Arial"/>
          </a:endParaRPr>
        </a:p>
      </cdr:txBody>
    </cdr:sp>
  </cdr:relSizeAnchor>
  <cdr:relSizeAnchor xmlns:cdr="http://schemas.openxmlformats.org/drawingml/2006/chartDrawing">
    <cdr:from>
      <cdr:x>0.65777</cdr:x>
      <cdr:y>0.80135</cdr:y>
    </cdr:from>
    <cdr:to>
      <cdr:x>0.92148</cdr:x>
      <cdr:y>0.87703</cdr:y>
    </cdr:to>
    <cdr:sp macro="" textlink="">
      <cdr:nvSpPr>
        <cdr:cNvPr id="3" name="Rectangle 2"/>
        <cdr:cNvSpPr/>
      </cdr:nvSpPr>
      <cdr:spPr>
        <a:xfrm xmlns:a="http://schemas.openxmlformats.org/drawingml/2006/main">
          <a:off x="5638756" y="4671283"/>
          <a:ext cx="2260654" cy="4411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tx2">
                  <a:lumMod val="75000"/>
                </a:schemeClr>
              </a:solidFill>
              <a:effectLst/>
              <a:latin typeface="Arial"/>
            </a:rPr>
            <a:t>Non-oil affiliates</a:t>
          </a:r>
        </a:p>
        <a:p xmlns:a="http://schemas.openxmlformats.org/drawingml/2006/main">
          <a:endParaRPr lang="fr-FR" sz="1600" u="none" baseline="0">
            <a:ln>
              <a:noFill/>
            </a:ln>
            <a:solidFill>
              <a:schemeClr val="tx1"/>
            </a:solidFill>
            <a:effectLst/>
            <a:latin typeface="Arial"/>
          </a:endParaRPr>
        </a:p>
      </cdr:txBody>
    </cdr:sp>
  </cdr:relSizeAnchor>
</c:userShapes>
</file>

<file path=xl/drawings/drawing56.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c:userShapes xmlns:c="http://schemas.openxmlformats.org/drawingml/2006/chart">
  <cdr:relSizeAnchor xmlns:cdr="http://schemas.openxmlformats.org/drawingml/2006/chartDrawing">
    <cdr:from>
      <cdr:x>0.286</cdr:x>
      <cdr:y>0.22878</cdr:y>
    </cdr:from>
    <cdr:to>
      <cdr:x>0.56755</cdr:x>
      <cdr:y>0.30447</cdr:y>
    </cdr:to>
    <cdr:sp macro="" textlink="">
      <cdr:nvSpPr>
        <cdr:cNvPr id="2" name="Rectangle 1"/>
        <cdr:cNvSpPr/>
      </cdr:nvSpPr>
      <cdr:spPr>
        <a:xfrm xmlns:a="http://schemas.openxmlformats.org/drawingml/2006/main">
          <a:off x="2451710" y="1333618"/>
          <a:ext cx="2413587" cy="4412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b="0" u="none" baseline="0">
              <a:ln>
                <a:noFill/>
              </a:ln>
              <a:solidFill>
                <a:schemeClr val="accent4">
                  <a:lumMod val="75000"/>
                </a:schemeClr>
              </a:solidFill>
              <a:effectLst/>
              <a:latin typeface="Arial"/>
            </a:rPr>
            <a:t>U.S. investments in foreing oil</a:t>
          </a:r>
        </a:p>
        <a:p xmlns:a="http://schemas.openxmlformats.org/drawingml/2006/main">
          <a:endParaRPr lang="fr-FR" sz="1600" u="none" baseline="0">
            <a:ln>
              <a:noFill/>
            </a:ln>
            <a:solidFill>
              <a:schemeClr val="tx1"/>
            </a:solidFill>
            <a:effectLst/>
            <a:latin typeface="Arial"/>
          </a:endParaRPr>
        </a:p>
      </cdr:txBody>
    </cdr:sp>
  </cdr:relSizeAnchor>
  <cdr:relSizeAnchor xmlns:cdr="http://schemas.openxmlformats.org/drawingml/2006/chartDrawing">
    <cdr:from>
      <cdr:x>0.38973</cdr:x>
      <cdr:y>0.74867</cdr:y>
    </cdr:from>
    <cdr:to>
      <cdr:x>0.78241</cdr:x>
      <cdr:y>0.82435</cdr:y>
    </cdr:to>
    <cdr:sp macro="" textlink="">
      <cdr:nvSpPr>
        <cdr:cNvPr id="3" name="Rectangle 1"/>
        <cdr:cNvSpPr/>
      </cdr:nvSpPr>
      <cdr:spPr>
        <a:xfrm xmlns:a="http://schemas.openxmlformats.org/drawingml/2006/main">
          <a:off x="3340100" y="4363641"/>
          <a:ext cx="3365500" cy="4411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accent5">
                  <a:lumMod val="75000"/>
                </a:schemeClr>
              </a:solidFill>
              <a:effectLst/>
              <a:latin typeface="Arial"/>
            </a:rPr>
            <a:t>Foreign investments in U.S. oil</a:t>
          </a:r>
        </a:p>
        <a:p xmlns:a="http://schemas.openxmlformats.org/drawingml/2006/main">
          <a:pPr algn="ctr"/>
          <a:endParaRPr lang="fr-FR" sz="1600" u="none" baseline="0">
            <a:ln>
              <a:noFill/>
            </a:ln>
            <a:solidFill>
              <a:schemeClr val="tx2">
                <a:lumMod val="75000"/>
              </a:schemeClr>
            </a:solidFill>
            <a:effectLst/>
            <a:latin typeface="Arial"/>
          </a:endParaRPr>
        </a:p>
      </cdr:txBody>
    </cdr:sp>
  </cdr:relSizeAnchor>
</c:userShapes>
</file>

<file path=xl/drawings/drawing58.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9.xml><?xml version="1.0" encoding="utf-8"?>
<c:userShapes xmlns:c="http://schemas.openxmlformats.org/drawingml/2006/chart">
  <cdr:relSizeAnchor xmlns:cdr="http://schemas.openxmlformats.org/drawingml/2006/chartDrawing">
    <cdr:from>
      <cdr:x>0.69925</cdr:x>
      <cdr:y>0.70291</cdr:y>
    </cdr:from>
    <cdr:to>
      <cdr:x>0.89037</cdr:x>
      <cdr:y>0.77859</cdr:y>
    </cdr:to>
    <cdr:sp macro="" textlink="">
      <cdr:nvSpPr>
        <cdr:cNvPr id="2" name="Rectangle 1"/>
        <cdr:cNvSpPr/>
      </cdr:nvSpPr>
      <cdr:spPr>
        <a:xfrm xmlns:a="http://schemas.openxmlformats.org/drawingml/2006/main">
          <a:off x="5994333" y="4097445"/>
          <a:ext cx="1638377" cy="4411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accent2">
                  <a:lumMod val="60000"/>
                  <a:lumOff val="40000"/>
                </a:schemeClr>
              </a:solidFill>
              <a:effectLst/>
              <a:latin typeface="Arial"/>
            </a:rPr>
            <a:t>Tax havens</a:t>
          </a:r>
        </a:p>
        <a:p xmlns:a="http://schemas.openxmlformats.org/drawingml/2006/main">
          <a:pPr algn="ctr"/>
          <a:endParaRPr lang="fr-FR" sz="1600" u="none" baseline="0">
            <a:ln>
              <a:noFill/>
            </a:ln>
            <a:solidFill>
              <a:schemeClr val="tx2">
                <a:lumMod val="75000"/>
              </a:schemeClr>
            </a:solidFill>
            <a:effectLst/>
            <a:latin typeface="Arial"/>
          </a:endParaRPr>
        </a:p>
      </cdr:txBody>
    </cdr:sp>
  </cdr:relSizeAnchor>
  <cdr:relSizeAnchor xmlns:cdr="http://schemas.openxmlformats.org/drawingml/2006/chartDrawing">
    <cdr:from>
      <cdr:x>0.64741</cdr:x>
      <cdr:y>0.24143</cdr:y>
    </cdr:from>
    <cdr:to>
      <cdr:x>0.77333</cdr:x>
      <cdr:y>0.31711</cdr:y>
    </cdr:to>
    <cdr:sp macro="" textlink="">
      <cdr:nvSpPr>
        <cdr:cNvPr id="3" name="Rectangle 2"/>
        <cdr:cNvSpPr/>
      </cdr:nvSpPr>
      <cdr:spPr>
        <a:xfrm xmlns:a="http://schemas.openxmlformats.org/drawingml/2006/main">
          <a:off x="5549899" y="1407349"/>
          <a:ext cx="1079503" cy="4411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tx2">
                  <a:lumMod val="60000"/>
                  <a:lumOff val="40000"/>
                </a:schemeClr>
              </a:solidFill>
              <a:effectLst/>
              <a:latin typeface="Arial"/>
            </a:rPr>
            <a:t>Oil</a:t>
          </a:r>
        </a:p>
        <a:p xmlns:a="http://schemas.openxmlformats.org/drawingml/2006/main">
          <a:endParaRPr lang="fr-FR" sz="1600" u="none" baseline="0">
            <a:ln>
              <a:noFill/>
            </a:ln>
            <a:solidFill>
              <a:schemeClr val="tx1"/>
            </a:solidFill>
            <a:effectLst/>
            <a:latin typeface="Arial"/>
          </a:endParaRPr>
        </a:p>
      </cdr:txBody>
    </cdr:sp>
  </cdr:relSizeAnchor>
  <cdr:relSizeAnchor xmlns:cdr="http://schemas.openxmlformats.org/drawingml/2006/chartDrawing">
    <cdr:from>
      <cdr:x>0.6963</cdr:x>
      <cdr:y>0.82135</cdr:y>
    </cdr:from>
    <cdr:to>
      <cdr:x>0.82222</cdr:x>
      <cdr:y>0.89703</cdr:y>
    </cdr:to>
    <cdr:sp macro="" textlink="">
      <cdr:nvSpPr>
        <cdr:cNvPr id="4" name="Rectangle 3"/>
        <cdr:cNvSpPr/>
      </cdr:nvSpPr>
      <cdr:spPr>
        <a:xfrm xmlns:a="http://schemas.openxmlformats.org/drawingml/2006/main">
          <a:off x="5969000" y="4787900"/>
          <a:ext cx="1079503" cy="4411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tx1"/>
              </a:solidFill>
              <a:effectLst/>
              <a:latin typeface="Arial"/>
            </a:rPr>
            <a:t>Other</a:t>
          </a:r>
        </a:p>
        <a:p xmlns:a="http://schemas.openxmlformats.org/drawingml/2006/main">
          <a:endParaRPr lang="fr-FR" sz="1600" u="none" baseline="0">
            <a:ln>
              <a:noFill/>
            </a:ln>
            <a:solidFill>
              <a:schemeClr val="tx1"/>
            </a:solidFill>
            <a:effectLst/>
            <a:latin typeface="Arial"/>
          </a:endParaRP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1.xml><?xml version="1.0" encoding="utf-8"?>
<c:userShapes xmlns:c="http://schemas.openxmlformats.org/drawingml/2006/chart">
  <cdr:relSizeAnchor xmlns:cdr="http://schemas.openxmlformats.org/drawingml/2006/chartDrawing">
    <cdr:from>
      <cdr:x>0.67999</cdr:x>
      <cdr:y>0.81184</cdr:y>
    </cdr:from>
    <cdr:to>
      <cdr:x>0.87111</cdr:x>
      <cdr:y>0.88752</cdr:y>
    </cdr:to>
    <cdr:sp macro="" textlink="">
      <cdr:nvSpPr>
        <cdr:cNvPr id="2" name="Rectangle 1"/>
        <cdr:cNvSpPr/>
      </cdr:nvSpPr>
      <cdr:spPr>
        <a:xfrm xmlns:a="http://schemas.openxmlformats.org/drawingml/2006/main">
          <a:off x="5829221" y="4732473"/>
          <a:ext cx="1638376" cy="4411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tx2">
                  <a:lumMod val="50000"/>
                </a:schemeClr>
              </a:solidFill>
              <a:effectLst/>
              <a:latin typeface="Arial"/>
            </a:rPr>
            <a:t>Post-tax</a:t>
          </a:r>
        </a:p>
        <a:p xmlns:a="http://schemas.openxmlformats.org/drawingml/2006/main">
          <a:pPr algn="ctr"/>
          <a:endParaRPr lang="fr-FR" sz="1600" u="none" baseline="0">
            <a:ln>
              <a:noFill/>
            </a:ln>
            <a:solidFill>
              <a:schemeClr val="tx2">
                <a:lumMod val="75000"/>
              </a:schemeClr>
            </a:solidFill>
            <a:effectLst/>
            <a:latin typeface="Arial"/>
          </a:endParaRPr>
        </a:p>
      </cdr:txBody>
    </cdr:sp>
  </cdr:relSizeAnchor>
  <cdr:relSizeAnchor xmlns:cdr="http://schemas.openxmlformats.org/drawingml/2006/chartDrawing">
    <cdr:from>
      <cdr:x>0.64741</cdr:x>
      <cdr:y>0.24143</cdr:y>
    </cdr:from>
    <cdr:to>
      <cdr:x>0.77333</cdr:x>
      <cdr:y>0.31711</cdr:y>
    </cdr:to>
    <cdr:sp macro="" textlink="">
      <cdr:nvSpPr>
        <cdr:cNvPr id="3" name="Rectangle 2"/>
        <cdr:cNvSpPr/>
      </cdr:nvSpPr>
      <cdr:spPr>
        <a:xfrm xmlns:a="http://schemas.openxmlformats.org/drawingml/2006/main">
          <a:off x="5549899" y="1407349"/>
          <a:ext cx="1079503" cy="4411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tx2">
                  <a:lumMod val="60000"/>
                  <a:lumOff val="40000"/>
                </a:schemeClr>
              </a:solidFill>
              <a:effectLst/>
              <a:latin typeface="Arial"/>
            </a:rPr>
            <a:t>Pre-tax</a:t>
          </a:r>
        </a:p>
        <a:p xmlns:a="http://schemas.openxmlformats.org/drawingml/2006/main">
          <a:endParaRPr lang="fr-FR" sz="1600" u="none" baseline="0">
            <a:ln>
              <a:noFill/>
            </a:ln>
            <a:solidFill>
              <a:schemeClr val="tx1"/>
            </a:solidFill>
            <a:effectLst/>
            <a:latin typeface="Arial"/>
          </a:endParaRPr>
        </a:p>
      </cdr:txBody>
    </cdr:sp>
  </cdr:relSizeAnchor>
  <cdr:relSizeAnchor xmlns:cdr="http://schemas.openxmlformats.org/drawingml/2006/chartDrawing">
    <cdr:from>
      <cdr:x>0.23852</cdr:x>
      <cdr:y>0.57436</cdr:y>
    </cdr:from>
    <cdr:to>
      <cdr:x>0.37481</cdr:x>
      <cdr:y>0.65004</cdr:y>
    </cdr:to>
    <cdr:sp macro="" textlink="">
      <cdr:nvSpPr>
        <cdr:cNvPr id="4" name="Rectangle 3"/>
        <cdr:cNvSpPr/>
      </cdr:nvSpPr>
      <cdr:spPr>
        <a:xfrm xmlns:a="http://schemas.openxmlformats.org/drawingml/2006/main">
          <a:off x="2044700" y="3348133"/>
          <a:ext cx="1168400" cy="4411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tx1"/>
              </a:solidFill>
              <a:effectLst/>
              <a:latin typeface="Arial"/>
            </a:rPr>
            <a:t>Taxes</a:t>
          </a:r>
        </a:p>
        <a:p xmlns:a="http://schemas.openxmlformats.org/drawingml/2006/main">
          <a:pPr algn="ctr"/>
          <a:endParaRPr lang="fr-FR" sz="1600" u="none" baseline="0">
            <a:ln>
              <a:noFill/>
            </a:ln>
            <a:solidFill>
              <a:schemeClr val="tx2">
                <a:lumMod val="75000"/>
              </a:schemeClr>
            </a:solidFill>
            <a:effectLst/>
            <a:latin typeface="Arial"/>
          </a:endParaRPr>
        </a:p>
      </cdr:txBody>
    </cdr:sp>
  </cdr:relSizeAnchor>
  <cdr:relSizeAnchor xmlns:cdr="http://schemas.openxmlformats.org/drawingml/2006/chartDrawing">
    <cdr:from>
      <cdr:x>0.27111</cdr:x>
      <cdr:y>0.28976</cdr:y>
    </cdr:from>
    <cdr:to>
      <cdr:x>0.27111</cdr:x>
      <cdr:y>0.83007</cdr:y>
    </cdr:to>
    <cdr:cxnSp macro="">
      <cdr:nvCxnSpPr>
        <cdr:cNvPr id="5" name="Connecteur droit avec flèche 9"/>
        <cdr:cNvCxnSpPr/>
      </cdr:nvCxnSpPr>
      <cdr:spPr>
        <a:xfrm xmlns:a="http://schemas.openxmlformats.org/drawingml/2006/main" flipV="1">
          <a:off x="2324100" y="1689100"/>
          <a:ext cx="0" cy="3149600"/>
        </a:xfrm>
        <a:prstGeom xmlns:a="http://schemas.openxmlformats.org/drawingml/2006/main" prst="straightConnector1">
          <a:avLst/>
        </a:prstGeom>
        <a:ln xmlns:a="http://schemas.openxmlformats.org/drawingml/2006/main" w="25400">
          <a:solidFill>
            <a:schemeClr val="tx1"/>
          </a:solidFill>
          <a:headEnd type="triangle"/>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62.xml><?xml version="1.0" encoding="utf-8"?>
<xdr:wsDr xmlns:xdr="http://schemas.openxmlformats.org/drawingml/2006/spreadsheetDrawing" xmlns:a="http://schemas.openxmlformats.org/drawingml/2006/main">
  <xdr:twoCellAnchor>
    <xdr:from>
      <xdr:col>7</xdr:col>
      <xdr:colOff>890955</xdr:colOff>
      <xdr:row>193</xdr:row>
      <xdr:rowOff>132863</xdr:rowOff>
    </xdr:from>
    <xdr:to>
      <xdr:col>12</xdr:col>
      <xdr:colOff>546100</xdr:colOff>
      <xdr:row>207</xdr:row>
      <xdr:rowOff>127001</xdr:rowOff>
    </xdr:to>
    <xdr:graphicFrame macro="">
      <xdr:nvGraphicFramePr>
        <xdr:cNvPr id="26" name="Graphique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68</xdr:col>
      <xdr:colOff>279400</xdr:colOff>
      <xdr:row>209</xdr:row>
      <xdr:rowOff>177800</xdr:rowOff>
    </xdr:from>
    <xdr:to>
      <xdr:col>73</xdr:col>
      <xdr:colOff>0</xdr:colOff>
      <xdr:row>224</xdr:row>
      <xdr:rowOff>50800</xdr:rowOff>
    </xdr:to>
    <xdr:graphicFrame macro="">
      <xdr:nvGraphicFramePr>
        <xdr:cNvPr id="30" name="Graphique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73</xdr:col>
      <xdr:colOff>317499</xdr:colOff>
      <xdr:row>195</xdr:row>
      <xdr:rowOff>93785</xdr:rowOff>
    </xdr:from>
    <xdr:to>
      <xdr:col>77</xdr:col>
      <xdr:colOff>558800</xdr:colOff>
      <xdr:row>208</xdr:row>
      <xdr:rowOff>177801</xdr:rowOff>
    </xdr:to>
    <xdr:graphicFrame macro="">
      <xdr:nvGraphicFramePr>
        <xdr:cNvPr id="31" name="Graphique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68</xdr:col>
      <xdr:colOff>278424</xdr:colOff>
      <xdr:row>195</xdr:row>
      <xdr:rowOff>9770</xdr:rowOff>
    </xdr:from>
    <xdr:to>
      <xdr:col>73</xdr:col>
      <xdr:colOff>63501</xdr:colOff>
      <xdr:row>209</xdr:row>
      <xdr:rowOff>23449</xdr:rowOff>
    </xdr:to>
    <xdr:graphicFrame macro="">
      <xdr:nvGraphicFramePr>
        <xdr:cNvPr id="33" name="Graphique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591037</xdr:colOff>
      <xdr:row>193</xdr:row>
      <xdr:rowOff>107461</xdr:rowOff>
    </xdr:from>
    <xdr:to>
      <xdr:col>7</xdr:col>
      <xdr:colOff>87923</xdr:colOff>
      <xdr:row>208</xdr:row>
      <xdr:rowOff>48846</xdr:rowOff>
    </xdr:to>
    <xdr:graphicFrame macro="">
      <xdr:nvGraphicFramePr>
        <xdr:cNvPr id="34" name="Graphique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288192</xdr:colOff>
      <xdr:row>194</xdr:row>
      <xdr:rowOff>175850</xdr:rowOff>
    </xdr:from>
    <xdr:to>
      <xdr:col>37</xdr:col>
      <xdr:colOff>622300</xdr:colOff>
      <xdr:row>208</xdr:row>
      <xdr:rowOff>165100</xdr:rowOff>
    </xdr:to>
    <xdr:graphicFrame macro="">
      <xdr:nvGraphicFramePr>
        <xdr:cNvPr id="37" name="Graphique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921239</xdr:colOff>
      <xdr:row>223</xdr:row>
      <xdr:rowOff>30285</xdr:rowOff>
    </xdr:from>
    <xdr:to>
      <xdr:col>12</xdr:col>
      <xdr:colOff>584200</xdr:colOff>
      <xdr:row>238</xdr:row>
      <xdr:rowOff>127000</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302846</xdr:colOff>
      <xdr:row>193</xdr:row>
      <xdr:rowOff>9768</xdr:rowOff>
    </xdr:from>
    <xdr:to>
      <xdr:col>18</xdr:col>
      <xdr:colOff>654539</xdr:colOff>
      <xdr:row>207</xdr:row>
      <xdr:rowOff>85969</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57</xdr:col>
      <xdr:colOff>453292</xdr:colOff>
      <xdr:row>210</xdr:row>
      <xdr:rowOff>42494</xdr:rowOff>
    </xdr:from>
    <xdr:to>
      <xdr:col>61</xdr:col>
      <xdr:colOff>355600</xdr:colOff>
      <xdr:row>226</xdr:row>
      <xdr:rowOff>12700</xdr:rowOff>
    </xdr:to>
    <xdr:graphicFrame macro="">
      <xdr:nvGraphicFramePr>
        <xdr:cNvPr id="46" name="Graphique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591036</xdr:colOff>
      <xdr:row>208</xdr:row>
      <xdr:rowOff>171940</xdr:rowOff>
    </xdr:from>
    <xdr:to>
      <xdr:col>7</xdr:col>
      <xdr:colOff>117230</xdr:colOff>
      <xdr:row>222</xdr:row>
      <xdr:rowOff>146538</xdr:rowOff>
    </xdr:to>
    <xdr:graphicFrame macro="">
      <xdr:nvGraphicFramePr>
        <xdr:cNvPr id="47" name="Graphique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125</xdr:col>
      <xdr:colOff>266700</xdr:colOff>
      <xdr:row>121</xdr:row>
      <xdr:rowOff>133839</xdr:rowOff>
    </xdr:from>
    <xdr:to>
      <xdr:col>129</xdr:col>
      <xdr:colOff>660400</xdr:colOff>
      <xdr:row>199</xdr:row>
      <xdr:rowOff>12700</xdr:rowOff>
    </xdr:to>
    <xdr:graphicFrame macro="">
      <xdr:nvGraphicFramePr>
        <xdr:cNvPr id="49" name="Graphique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137</xdr:col>
      <xdr:colOff>808894</xdr:colOff>
      <xdr:row>131</xdr:row>
      <xdr:rowOff>165100</xdr:rowOff>
    </xdr:from>
    <xdr:to>
      <xdr:col>142</xdr:col>
      <xdr:colOff>598854</xdr:colOff>
      <xdr:row>199</xdr:row>
      <xdr:rowOff>183666</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267</xdr:col>
      <xdr:colOff>752231</xdr:colOff>
      <xdr:row>192</xdr:row>
      <xdr:rowOff>127001</xdr:rowOff>
    </xdr:from>
    <xdr:to>
      <xdr:col>273</xdr:col>
      <xdr:colOff>591041</xdr:colOff>
      <xdr:row>206</xdr:row>
      <xdr:rowOff>185616</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404</xdr:col>
      <xdr:colOff>342900</xdr:colOff>
      <xdr:row>208</xdr:row>
      <xdr:rowOff>130906</xdr:rowOff>
    </xdr:from>
    <xdr:to>
      <xdr:col>408</xdr:col>
      <xdr:colOff>342900</xdr:colOff>
      <xdr:row>222</xdr:row>
      <xdr:rowOff>88900</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930029</xdr:colOff>
      <xdr:row>208</xdr:row>
      <xdr:rowOff>162170</xdr:rowOff>
    </xdr:from>
    <xdr:to>
      <xdr:col>12</xdr:col>
      <xdr:colOff>578337</xdr:colOff>
      <xdr:row>222</xdr:row>
      <xdr:rowOff>53731</xdr:rowOff>
    </xdr:to>
    <xdr:graphicFrame macro="">
      <xdr:nvGraphicFramePr>
        <xdr:cNvPr id="4"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39</xdr:col>
      <xdr:colOff>50800</xdr:colOff>
      <xdr:row>192</xdr:row>
      <xdr:rowOff>165100</xdr:rowOff>
    </xdr:from>
    <xdr:to>
      <xdr:col>43</xdr:col>
      <xdr:colOff>215900</xdr:colOff>
      <xdr:row>205</xdr:row>
      <xdr:rowOff>127000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57</xdr:col>
      <xdr:colOff>406400</xdr:colOff>
      <xdr:row>226</xdr:row>
      <xdr:rowOff>124460</xdr:rowOff>
    </xdr:from>
    <xdr:to>
      <xdr:col>61</xdr:col>
      <xdr:colOff>444500</xdr:colOff>
      <xdr:row>240</xdr:row>
      <xdr:rowOff>127000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274</xdr:col>
      <xdr:colOff>0</xdr:colOff>
      <xdr:row>193</xdr:row>
      <xdr:rowOff>0</xdr:rowOff>
    </xdr:from>
    <xdr:to>
      <xdr:col>278</xdr:col>
      <xdr:colOff>787400</xdr:colOff>
      <xdr:row>207</xdr:row>
      <xdr:rowOff>58615</xdr:rowOff>
    </xdr:to>
    <xdr:graphicFrame macro="">
      <xdr:nvGraphicFramePr>
        <xdr:cNvPr id="25"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414</xdr:col>
      <xdr:colOff>177800</xdr:colOff>
      <xdr:row>194</xdr:row>
      <xdr:rowOff>63500</xdr:rowOff>
    </xdr:from>
    <xdr:to>
      <xdr:col>418</xdr:col>
      <xdr:colOff>533400</xdr:colOff>
      <xdr:row>208</xdr:row>
      <xdr:rowOff>12700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408</xdr:col>
      <xdr:colOff>463550</xdr:colOff>
      <xdr:row>193</xdr:row>
      <xdr:rowOff>165100</xdr:rowOff>
    </xdr:from>
    <xdr:to>
      <xdr:col>412</xdr:col>
      <xdr:colOff>876300</xdr:colOff>
      <xdr:row>207</xdr:row>
      <xdr:rowOff>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408</xdr:col>
      <xdr:colOff>508000</xdr:colOff>
      <xdr:row>208</xdr:row>
      <xdr:rowOff>101600</xdr:rowOff>
    </xdr:from>
    <xdr:to>
      <xdr:col>412</xdr:col>
      <xdr:colOff>774700</xdr:colOff>
      <xdr:row>222</xdr:row>
      <xdr:rowOff>127000</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255</xdr:col>
      <xdr:colOff>63500</xdr:colOff>
      <xdr:row>131</xdr:row>
      <xdr:rowOff>63500</xdr:rowOff>
    </xdr:from>
    <xdr:to>
      <xdr:col>259</xdr:col>
      <xdr:colOff>876300</xdr:colOff>
      <xdr:row>200</xdr:row>
      <xdr:rowOff>12700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260</xdr:col>
      <xdr:colOff>165100</xdr:colOff>
      <xdr:row>131</xdr:row>
      <xdr:rowOff>63500</xdr:rowOff>
    </xdr:from>
    <xdr:to>
      <xdr:col>265</xdr:col>
      <xdr:colOff>215900</xdr:colOff>
      <xdr:row>200</xdr:row>
      <xdr:rowOff>0</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260</xdr:col>
      <xdr:colOff>177800</xdr:colOff>
      <xdr:row>200</xdr:row>
      <xdr:rowOff>165100</xdr:rowOff>
    </xdr:from>
    <xdr:to>
      <xdr:col>265</xdr:col>
      <xdr:colOff>215900</xdr:colOff>
      <xdr:row>215</xdr:row>
      <xdr:rowOff>114300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404</xdr:col>
      <xdr:colOff>292100</xdr:colOff>
      <xdr:row>193</xdr:row>
      <xdr:rowOff>76200</xdr:rowOff>
    </xdr:from>
    <xdr:to>
      <xdr:col>408</xdr:col>
      <xdr:colOff>292100</xdr:colOff>
      <xdr:row>207</xdr:row>
      <xdr:rowOff>152400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88</xdr:col>
      <xdr:colOff>660400</xdr:colOff>
      <xdr:row>131</xdr:row>
      <xdr:rowOff>12700</xdr:rowOff>
    </xdr:from>
    <xdr:to>
      <xdr:col>95</xdr:col>
      <xdr:colOff>469900</xdr:colOff>
      <xdr:row>199</xdr:row>
      <xdr:rowOff>88900</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246</xdr:col>
      <xdr:colOff>152400</xdr:colOff>
      <xdr:row>111</xdr:row>
      <xdr:rowOff>127000</xdr:rowOff>
    </xdr:from>
    <xdr:to>
      <xdr:col>250</xdr:col>
      <xdr:colOff>330200</xdr:colOff>
      <xdr:row>198</xdr:row>
      <xdr:rowOff>12700</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313</xdr:col>
      <xdr:colOff>772160</xdr:colOff>
      <xdr:row>110</xdr:row>
      <xdr:rowOff>25400</xdr:rowOff>
    </xdr:from>
    <xdr:to>
      <xdr:col>318</xdr:col>
      <xdr:colOff>673100</xdr:colOff>
      <xdr:row>196</xdr:row>
      <xdr:rowOff>177800</xdr:rowOff>
    </xdr:to>
    <xdr:graphicFrame macro="">
      <xdr:nvGraphicFramePr>
        <xdr:cNvPr id="40" name="Chart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313</xdr:col>
      <xdr:colOff>749300</xdr:colOff>
      <xdr:row>197</xdr:row>
      <xdr:rowOff>25400</xdr:rowOff>
    </xdr:from>
    <xdr:to>
      <xdr:col>318</xdr:col>
      <xdr:colOff>901700</xdr:colOff>
      <xdr:row>212</xdr:row>
      <xdr:rowOff>12700</xdr:rowOff>
    </xdr:to>
    <xdr:graphicFrame macro="">
      <xdr:nvGraphicFramePr>
        <xdr:cNvPr id="41" name="Chart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210</xdr:col>
      <xdr:colOff>438150</xdr:colOff>
      <xdr:row>109</xdr:row>
      <xdr:rowOff>88900</xdr:rowOff>
    </xdr:from>
    <xdr:to>
      <xdr:col>215</xdr:col>
      <xdr:colOff>247650</xdr:colOff>
      <xdr:row>195</xdr:row>
      <xdr:rowOff>165100</xdr:rowOff>
    </xdr:to>
    <xdr:graphicFrame macro="">
      <xdr:nvGraphicFramePr>
        <xdr:cNvPr id="55" name="Chart 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210</xdr:col>
      <xdr:colOff>609600</xdr:colOff>
      <xdr:row>196</xdr:row>
      <xdr:rowOff>165100</xdr:rowOff>
    </xdr:from>
    <xdr:to>
      <xdr:col>215</xdr:col>
      <xdr:colOff>419100</xdr:colOff>
      <xdr:row>211</xdr:row>
      <xdr:rowOff>50800</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319</xdr:col>
      <xdr:colOff>279400</xdr:colOff>
      <xdr:row>109</xdr:row>
      <xdr:rowOff>165100</xdr:rowOff>
    </xdr:from>
    <xdr:to>
      <xdr:col>324</xdr:col>
      <xdr:colOff>330200</xdr:colOff>
      <xdr:row>196</xdr:row>
      <xdr:rowOff>101600</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319</xdr:col>
      <xdr:colOff>292100</xdr:colOff>
      <xdr:row>197</xdr:row>
      <xdr:rowOff>76200</xdr:rowOff>
    </xdr:from>
    <xdr:to>
      <xdr:col>324</xdr:col>
      <xdr:colOff>330200</xdr:colOff>
      <xdr:row>212</xdr:row>
      <xdr:rowOff>25400</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398</xdr:col>
      <xdr:colOff>647700</xdr:colOff>
      <xdr:row>198</xdr:row>
      <xdr:rowOff>25400</xdr:rowOff>
    </xdr:from>
    <xdr:to>
      <xdr:col>402</xdr:col>
      <xdr:colOff>825500</xdr:colOff>
      <xdr:row>210</xdr:row>
      <xdr:rowOff>139700</xdr:rowOff>
    </xdr:to>
    <xdr:graphicFrame macro="">
      <xdr:nvGraphicFramePr>
        <xdr:cNvPr id="60" name="Chart 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166</xdr:col>
      <xdr:colOff>723900</xdr:colOff>
      <xdr:row>110</xdr:row>
      <xdr:rowOff>133350</xdr:rowOff>
    </xdr:from>
    <xdr:to>
      <xdr:col>170</xdr:col>
      <xdr:colOff>571500</xdr:colOff>
      <xdr:row>197</xdr:row>
      <xdr:rowOff>19050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166</xdr:col>
      <xdr:colOff>419100</xdr:colOff>
      <xdr:row>197</xdr:row>
      <xdr:rowOff>184150</xdr:rowOff>
    </xdr:from>
    <xdr:to>
      <xdr:col>171</xdr:col>
      <xdr:colOff>228600</xdr:colOff>
      <xdr:row>212</xdr:row>
      <xdr:rowOff>69850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171</xdr:col>
      <xdr:colOff>787400</xdr:colOff>
      <xdr:row>197</xdr:row>
      <xdr:rowOff>152400</xdr:rowOff>
    </xdr:from>
    <xdr:to>
      <xdr:col>176</xdr:col>
      <xdr:colOff>889000</xdr:colOff>
      <xdr:row>212</xdr:row>
      <xdr:rowOff>44450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166</xdr:col>
      <xdr:colOff>406400</xdr:colOff>
      <xdr:row>212</xdr:row>
      <xdr:rowOff>101600</xdr:rowOff>
    </xdr:from>
    <xdr:to>
      <xdr:col>171</xdr:col>
      <xdr:colOff>215900</xdr:colOff>
      <xdr:row>226</xdr:row>
      <xdr:rowOff>177800</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166</xdr:col>
      <xdr:colOff>406400</xdr:colOff>
      <xdr:row>227</xdr:row>
      <xdr:rowOff>101600</xdr:rowOff>
    </xdr:from>
    <xdr:to>
      <xdr:col>171</xdr:col>
      <xdr:colOff>215900</xdr:colOff>
      <xdr:row>241</xdr:row>
      <xdr:rowOff>177800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171</xdr:col>
      <xdr:colOff>787400</xdr:colOff>
      <xdr:row>212</xdr:row>
      <xdr:rowOff>101600</xdr:rowOff>
    </xdr:from>
    <xdr:to>
      <xdr:col>176</xdr:col>
      <xdr:colOff>939800</xdr:colOff>
      <xdr:row>226</xdr:row>
      <xdr:rowOff>184150</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171</xdr:col>
      <xdr:colOff>635000</xdr:colOff>
      <xdr:row>227</xdr:row>
      <xdr:rowOff>127000</xdr:rowOff>
    </xdr:from>
    <xdr:to>
      <xdr:col>176</xdr:col>
      <xdr:colOff>876300</xdr:colOff>
      <xdr:row>242</xdr:row>
      <xdr:rowOff>19050</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359</xdr:col>
      <xdr:colOff>260350</xdr:colOff>
      <xdr:row>111</xdr:row>
      <xdr:rowOff>95250</xdr:rowOff>
    </xdr:from>
    <xdr:to>
      <xdr:col>364</xdr:col>
      <xdr:colOff>787400</xdr:colOff>
      <xdr:row>197</xdr:row>
      <xdr:rowOff>38100</xdr:rowOff>
    </xdr:to>
    <xdr:graphicFrame macro="">
      <xdr:nvGraphicFramePr>
        <xdr:cNvPr id="53" name="Chart 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359</xdr:col>
      <xdr:colOff>349250</xdr:colOff>
      <xdr:row>198</xdr:row>
      <xdr:rowOff>107950</xdr:rowOff>
    </xdr:from>
    <xdr:to>
      <xdr:col>364</xdr:col>
      <xdr:colOff>774700</xdr:colOff>
      <xdr:row>211</xdr:row>
      <xdr:rowOff>12700</xdr:rowOff>
    </xdr:to>
    <xdr:graphicFrame macro="">
      <xdr:nvGraphicFramePr>
        <xdr:cNvPr id="54" name="Chart 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366</xdr:col>
      <xdr:colOff>114300</xdr:colOff>
      <xdr:row>110</xdr:row>
      <xdr:rowOff>25400</xdr:rowOff>
    </xdr:from>
    <xdr:to>
      <xdr:col>370</xdr:col>
      <xdr:colOff>876300</xdr:colOff>
      <xdr:row>196</xdr:row>
      <xdr:rowOff>101600</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398</xdr:col>
      <xdr:colOff>857250</xdr:colOff>
      <xdr:row>211</xdr:row>
      <xdr:rowOff>127000</xdr:rowOff>
    </xdr:from>
    <xdr:to>
      <xdr:col>403</xdr:col>
      <xdr:colOff>0</xdr:colOff>
      <xdr:row>226</xdr:row>
      <xdr:rowOff>25400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398</xdr:col>
      <xdr:colOff>723900</xdr:colOff>
      <xdr:row>121</xdr:row>
      <xdr:rowOff>101600</xdr:rowOff>
    </xdr:from>
    <xdr:to>
      <xdr:col>402</xdr:col>
      <xdr:colOff>774700</xdr:colOff>
      <xdr:row>196</xdr:row>
      <xdr:rowOff>177800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424</xdr:col>
      <xdr:colOff>736600</xdr:colOff>
      <xdr:row>171</xdr:row>
      <xdr:rowOff>152400</xdr:rowOff>
    </xdr:from>
    <xdr:to>
      <xdr:col>427</xdr:col>
      <xdr:colOff>482600</xdr:colOff>
      <xdr:row>204</xdr:row>
      <xdr:rowOff>38100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57</xdr:col>
      <xdr:colOff>469906</xdr:colOff>
      <xdr:row>194</xdr:row>
      <xdr:rowOff>165100</xdr:rowOff>
    </xdr:from>
    <xdr:to>
      <xdr:col>61</xdr:col>
      <xdr:colOff>317500</xdr:colOff>
      <xdr:row>209</xdr:row>
      <xdr:rowOff>63500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120</xdr:col>
      <xdr:colOff>152400</xdr:colOff>
      <xdr:row>121</xdr:row>
      <xdr:rowOff>152400</xdr:rowOff>
    </xdr:from>
    <xdr:to>
      <xdr:col>124</xdr:col>
      <xdr:colOff>914400</xdr:colOff>
      <xdr:row>199</xdr:row>
      <xdr:rowOff>38100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24</xdr:col>
      <xdr:colOff>476250</xdr:colOff>
      <xdr:row>192</xdr:row>
      <xdr:rowOff>158750</xdr:rowOff>
    </xdr:from>
    <xdr:to>
      <xdr:col>29</xdr:col>
      <xdr:colOff>285750</xdr:colOff>
      <xdr:row>207</xdr:row>
      <xdr:rowOff>44450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62</xdr:col>
      <xdr:colOff>127000</xdr:colOff>
      <xdr:row>195</xdr:row>
      <xdr:rowOff>38100</xdr:rowOff>
    </xdr:from>
    <xdr:to>
      <xdr:col>66</xdr:col>
      <xdr:colOff>536332</xdr:colOff>
      <xdr:row>208</xdr:row>
      <xdr:rowOff>126999</xdr:rowOff>
    </xdr:to>
    <xdr:graphicFrame macro="">
      <xdr:nvGraphicFramePr>
        <xdr:cNvPr id="62" name="Graphique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62</xdr:col>
      <xdr:colOff>146539</xdr:colOff>
      <xdr:row>211</xdr:row>
      <xdr:rowOff>47869</xdr:rowOff>
    </xdr:from>
    <xdr:to>
      <xdr:col>66</xdr:col>
      <xdr:colOff>422031</xdr:colOff>
      <xdr:row>222</xdr:row>
      <xdr:rowOff>139699</xdr:rowOff>
    </xdr:to>
    <xdr:graphicFrame macro="">
      <xdr:nvGraphicFramePr>
        <xdr:cNvPr id="63" name="Graphique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384</xdr:col>
      <xdr:colOff>63500</xdr:colOff>
      <xdr:row>196</xdr:row>
      <xdr:rowOff>12700</xdr:rowOff>
    </xdr:from>
    <xdr:to>
      <xdr:col>389</xdr:col>
      <xdr:colOff>685800</xdr:colOff>
      <xdr:row>210</xdr:row>
      <xdr:rowOff>76200</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384</xdr:col>
      <xdr:colOff>76200</xdr:colOff>
      <xdr:row>211</xdr:row>
      <xdr:rowOff>88900</xdr:rowOff>
    </xdr:from>
    <xdr:to>
      <xdr:col>389</xdr:col>
      <xdr:colOff>685800</xdr:colOff>
      <xdr:row>225</xdr:row>
      <xdr:rowOff>88900</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384</xdr:col>
      <xdr:colOff>133350</xdr:colOff>
      <xdr:row>226</xdr:row>
      <xdr:rowOff>19050</xdr:rowOff>
    </xdr:from>
    <xdr:to>
      <xdr:col>389</xdr:col>
      <xdr:colOff>895350</xdr:colOff>
      <xdr:row>240</xdr:row>
      <xdr:rowOff>95250</xdr:rowOff>
    </xdr:to>
    <xdr:graphicFrame macro="">
      <xdr:nvGraphicFramePr>
        <xdr:cNvPr id="65" name="Chart 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389</xdr:col>
      <xdr:colOff>882650</xdr:colOff>
      <xdr:row>196</xdr:row>
      <xdr:rowOff>31750</xdr:rowOff>
    </xdr:from>
    <xdr:to>
      <xdr:col>393</xdr:col>
      <xdr:colOff>787400</xdr:colOff>
      <xdr:row>210</xdr:row>
      <xdr:rowOff>127000</xdr:rowOff>
    </xdr:to>
    <xdr:graphicFrame macro="">
      <xdr:nvGraphicFramePr>
        <xdr:cNvPr id="66" name="Chart 6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389</xdr:col>
      <xdr:colOff>571500</xdr:colOff>
      <xdr:row>211</xdr:row>
      <xdr:rowOff>101600</xdr:rowOff>
    </xdr:from>
    <xdr:to>
      <xdr:col>393</xdr:col>
      <xdr:colOff>749300</xdr:colOff>
      <xdr:row>225</xdr:row>
      <xdr:rowOff>88900</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353</xdr:col>
      <xdr:colOff>428625</xdr:colOff>
      <xdr:row>111</xdr:row>
      <xdr:rowOff>47625</xdr:rowOff>
    </xdr:from>
    <xdr:to>
      <xdr:col>359</xdr:col>
      <xdr:colOff>3175</xdr:colOff>
      <xdr:row>198</xdr:row>
      <xdr:rowOff>63500</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527050</xdr:colOff>
      <xdr:row>68</xdr:row>
      <xdr:rowOff>12700</xdr:rowOff>
    </xdr:from>
    <xdr:to>
      <xdr:col>6</xdr:col>
      <xdr:colOff>57150</xdr:colOff>
      <xdr:row>83</xdr:row>
      <xdr:rowOff>88900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780143</xdr:colOff>
      <xdr:row>67</xdr:row>
      <xdr:rowOff>88900</xdr:rowOff>
    </xdr:from>
    <xdr:to>
      <xdr:col>33</xdr:col>
      <xdr:colOff>163286</xdr:colOff>
      <xdr:row>84</xdr:row>
      <xdr:rowOff>90714</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127</xdr:col>
      <xdr:colOff>870856</xdr:colOff>
      <xdr:row>68</xdr:row>
      <xdr:rowOff>120951</xdr:rowOff>
    </xdr:from>
    <xdr:to>
      <xdr:col>132</xdr:col>
      <xdr:colOff>557587</xdr:colOff>
      <xdr:row>82</xdr:row>
      <xdr:rowOff>54428</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177800</xdr:colOff>
      <xdr:row>68</xdr:row>
      <xdr:rowOff>19050</xdr:rowOff>
    </xdr:from>
    <xdr:to>
      <xdr:col>10</xdr:col>
      <xdr:colOff>444500</xdr:colOff>
      <xdr:row>83</xdr:row>
      <xdr:rowOff>95250</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116</xdr:col>
      <xdr:colOff>241300</xdr:colOff>
      <xdr:row>69</xdr:row>
      <xdr:rowOff>12699</xdr:rowOff>
    </xdr:from>
    <xdr:to>
      <xdr:col>120</xdr:col>
      <xdr:colOff>943429</xdr:colOff>
      <xdr:row>83</xdr:row>
      <xdr:rowOff>72571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116</xdr:col>
      <xdr:colOff>254001</xdr:colOff>
      <xdr:row>85</xdr:row>
      <xdr:rowOff>44450</xdr:rowOff>
    </xdr:from>
    <xdr:to>
      <xdr:col>120</xdr:col>
      <xdr:colOff>943429</xdr:colOff>
      <xdr:row>98</xdr:row>
      <xdr:rowOff>72572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495300</xdr:colOff>
      <xdr:row>84</xdr:row>
      <xdr:rowOff>38100</xdr:rowOff>
    </xdr:from>
    <xdr:to>
      <xdr:col>6</xdr:col>
      <xdr:colOff>36285</xdr:colOff>
      <xdr:row>99</xdr:row>
      <xdr:rowOff>36285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46</xdr:col>
      <xdr:colOff>489856</xdr:colOff>
      <xdr:row>66</xdr:row>
      <xdr:rowOff>50800</xdr:rowOff>
    </xdr:from>
    <xdr:to>
      <xdr:col>52</xdr:col>
      <xdr:colOff>780142</xdr:colOff>
      <xdr:row>80</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204</xdr:col>
      <xdr:colOff>381000</xdr:colOff>
      <xdr:row>81</xdr:row>
      <xdr:rowOff>5441</xdr:rowOff>
    </xdr:from>
    <xdr:to>
      <xdr:col>209</xdr:col>
      <xdr:colOff>395515</xdr:colOff>
      <xdr:row>96</xdr:row>
      <xdr:rowOff>145141</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90</xdr:col>
      <xdr:colOff>38100</xdr:colOff>
      <xdr:row>68</xdr:row>
      <xdr:rowOff>184150</xdr:rowOff>
    </xdr:from>
    <xdr:to>
      <xdr:col>94</xdr:col>
      <xdr:colOff>290286</xdr:colOff>
      <xdr:row>82</xdr:row>
      <xdr:rowOff>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195</xdr:col>
      <xdr:colOff>749300</xdr:colOff>
      <xdr:row>68</xdr:row>
      <xdr:rowOff>57150</xdr:rowOff>
    </xdr:from>
    <xdr:to>
      <xdr:col>201</xdr:col>
      <xdr:colOff>139700</xdr:colOff>
      <xdr:row>83</xdr:row>
      <xdr:rowOff>133350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209</xdr:col>
      <xdr:colOff>948872</xdr:colOff>
      <xdr:row>64</xdr:row>
      <xdr:rowOff>12701</xdr:rowOff>
    </xdr:from>
    <xdr:to>
      <xdr:col>214</xdr:col>
      <xdr:colOff>435428</xdr:colOff>
      <xdr:row>79</xdr:row>
      <xdr:rowOff>181429</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110</xdr:col>
      <xdr:colOff>341086</xdr:colOff>
      <xdr:row>69</xdr:row>
      <xdr:rowOff>24492</xdr:rowOff>
    </xdr:from>
    <xdr:to>
      <xdr:col>114</xdr:col>
      <xdr:colOff>598714</xdr:colOff>
      <xdr:row>83</xdr:row>
      <xdr:rowOff>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90</xdr:col>
      <xdr:colOff>120651</xdr:colOff>
      <xdr:row>83</xdr:row>
      <xdr:rowOff>0</xdr:rowOff>
    </xdr:from>
    <xdr:to>
      <xdr:col>94</xdr:col>
      <xdr:colOff>471716</xdr:colOff>
      <xdr:row>97</xdr:row>
      <xdr:rowOff>145143</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210</xdr:col>
      <xdr:colOff>72571</xdr:colOff>
      <xdr:row>80</xdr:row>
      <xdr:rowOff>145143</xdr:rowOff>
    </xdr:from>
    <xdr:to>
      <xdr:col>214</xdr:col>
      <xdr:colOff>635000</xdr:colOff>
      <xdr:row>97</xdr:row>
      <xdr:rowOff>123371</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344</xdr:col>
      <xdr:colOff>488950</xdr:colOff>
      <xdr:row>64</xdr:row>
      <xdr:rowOff>25400</xdr:rowOff>
    </xdr:from>
    <xdr:to>
      <xdr:col>349</xdr:col>
      <xdr:colOff>298450</xdr:colOff>
      <xdr:row>81</xdr:row>
      <xdr:rowOff>101600</xdr:rowOff>
    </xdr:to>
    <xdr:graphicFrame macro="">
      <xdr:nvGraphicFramePr>
        <xdr:cNvPr id="34" name="Chart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345</xdr:col>
      <xdr:colOff>0</xdr:colOff>
      <xdr:row>84</xdr:row>
      <xdr:rowOff>0</xdr:rowOff>
    </xdr:from>
    <xdr:to>
      <xdr:col>349</xdr:col>
      <xdr:colOff>762000</xdr:colOff>
      <xdr:row>99</xdr:row>
      <xdr:rowOff>76200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53</xdr:col>
      <xdr:colOff>350157</xdr:colOff>
      <xdr:row>66</xdr:row>
      <xdr:rowOff>52614</xdr:rowOff>
    </xdr:from>
    <xdr:to>
      <xdr:col>57</xdr:col>
      <xdr:colOff>544286</xdr:colOff>
      <xdr:row>80</xdr:row>
      <xdr:rowOff>18143</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730251</xdr:colOff>
      <xdr:row>68</xdr:row>
      <xdr:rowOff>0</xdr:rowOff>
    </xdr:from>
    <xdr:to>
      <xdr:col>15</xdr:col>
      <xdr:colOff>54429</xdr:colOff>
      <xdr:row>83</xdr:row>
      <xdr:rowOff>108857</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105</xdr:col>
      <xdr:colOff>155122</xdr:colOff>
      <xdr:row>84</xdr:row>
      <xdr:rowOff>63501</xdr:rowOff>
    </xdr:from>
    <xdr:to>
      <xdr:col>110</xdr:col>
      <xdr:colOff>21772</xdr:colOff>
      <xdr:row>98</xdr:row>
      <xdr:rowOff>38101</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105</xdr:col>
      <xdr:colOff>290286</xdr:colOff>
      <xdr:row>69</xdr:row>
      <xdr:rowOff>-1</xdr:rowOff>
    </xdr:from>
    <xdr:to>
      <xdr:col>109</xdr:col>
      <xdr:colOff>798286</xdr:colOff>
      <xdr:row>83</xdr:row>
      <xdr:rowOff>72570</xdr:rowOff>
    </xdr:to>
    <xdr:graphicFrame macro="">
      <xdr:nvGraphicFramePr>
        <xdr:cNvPr id="32"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204</xdr:col>
      <xdr:colOff>471714</xdr:colOff>
      <xdr:row>97</xdr:row>
      <xdr:rowOff>103415</xdr:rowOff>
    </xdr:from>
    <xdr:to>
      <xdr:col>209</xdr:col>
      <xdr:colOff>381000</xdr:colOff>
      <xdr:row>110</xdr:row>
      <xdr:rowOff>72572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74</xdr:col>
      <xdr:colOff>342901</xdr:colOff>
      <xdr:row>68</xdr:row>
      <xdr:rowOff>88900</xdr:rowOff>
    </xdr:from>
    <xdr:to>
      <xdr:col>78</xdr:col>
      <xdr:colOff>725716</xdr:colOff>
      <xdr:row>81</xdr:row>
      <xdr:rowOff>0</xdr:rowOff>
    </xdr:to>
    <xdr:graphicFrame macro="">
      <xdr:nvGraphicFramePr>
        <xdr:cNvPr id="50" name="Chart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79</xdr:col>
      <xdr:colOff>279400</xdr:colOff>
      <xdr:row>68</xdr:row>
      <xdr:rowOff>139700</xdr:rowOff>
    </xdr:from>
    <xdr:to>
      <xdr:col>84</xdr:col>
      <xdr:colOff>88900</xdr:colOff>
      <xdr:row>81</xdr:row>
      <xdr:rowOff>25400</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84</xdr:col>
      <xdr:colOff>457200</xdr:colOff>
      <xdr:row>69</xdr:row>
      <xdr:rowOff>12700</xdr:rowOff>
    </xdr:from>
    <xdr:to>
      <xdr:col>89</xdr:col>
      <xdr:colOff>266700</xdr:colOff>
      <xdr:row>81</xdr:row>
      <xdr:rowOff>88900</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74</xdr:col>
      <xdr:colOff>469900</xdr:colOff>
      <xdr:row>81</xdr:row>
      <xdr:rowOff>152400</xdr:rowOff>
    </xdr:from>
    <xdr:to>
      <xdr:col>78</xdr:col>
      <xdr:colOff>762000</xdr:colOff>
      <xdr:row>97</xdr:row>
      <xdr:rowOff>54428</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84</xdr:col>
      <xdr:colOff>424543</xdr:colOff>
      <xdr:row>82</xdr:row>
      <xdr:rowOff>38100</xdr:rowOff>
    </xdr:from>
    <xdr:to>
      <xdr:col>89</xdr:col>
      <xdr:colOff>234043</xdr:colOff>
      <xdr:row>97</xdr:row>
      <xdr:rowOff>114300</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79</xdr:col>
      <xdr:colOff>270328</xdr:colOff>
      <xdr:row>82</xdr:row>
      <xdr:rowOff>19958</xdr:rowOff>
    </xdr:from>
    <xdr:to>
      <xdr:col>84</xdr:col>
      <xdr:colOff>79828</xdr:colOff>
      <xdr:row>97</xdr:row>
      <xdr:rowOff>105229</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520700</xdr:colOff>
      <xdr:row>67</xdr:row>
      <xdr:rowOff>114300</xdr:rowOff>
    </xdr:from>
    <xdr:to>
      <xdr:col>38</xdr:col>
      <xdr:colOff>127000</xdr:colOff>
      <xdr:row>85</xdr:row>
      <xdr:rowOff>18141</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122</xdr:col>
      <xdr:colOff>435429</xdr:colOff>
      <xdr:row>69</xdr:row>
      <xdr:rowOff>145144</xdr:rowOff>
    </xdr:from>
    <xdr:to>
      <xdr:col>126</xdr:col>
      <xdr:colOff>870858</xdr:colOff>
      <xdr:row>82</xdr:row>
      <xdr:rowOff>127001</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122</xdr:col>
      <xdr:colOff>304800</xdr:colOff>
      <xdr:row>84</xdr:row>
      <xdr:rowOff>127000</xdr:rowOff>
    </xdr:from>
    <xdr:to>
      <xdr:col>127</xdr:col>
      <xdr:colOff>135466</xdr:colOff>
      <xdr:row>100</xdr:row>
      <xdr:rowOff>76200</xdr:rowOff>
    </xdr:to>
    <xdr:graphicFrame macro="">
      <xdr:nvGraphicFramePr>
        <xdr:cNvPr id="33" name="Chart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127</xdr:col>
      <xdr:colOff>795866</xdr:colOff>
      <xdr:row>84</xdr:row>
      <xdr:rowOff>50799</xdr:rowOff>
    </xdr:from>
    <xdr:to>
      <xdr:col>132</xdr:col>
      <xdr:colOff>626533</xdr:colOff>
      <xdr:row>100</xdr:row>
      <xdr:rowOff>-1</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139</xdr:col>
      <xdr:colOff>201385</xdr:colOff>
      <xdr:row>69</xdr:row>
      <xdr:rowOff>97065</xdr:rowOff>
    </xdr:from>
    <xdr:to>
      <xdr:col>143</xdr:col>
      <xdr:colOff>616856</xdr:colOff>
      <xdr:row>81</xdr:row>
      <xdr:rowOff>18143</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100</xdr:col>
      <xdr:colOff>914400</xdr:colOff>
      <xdr:row>43</xdr:row>
      <xdr:rowOff>165100</xdr:rowOff>
    </xdr:from>
    <xdr:to>
      <xdr:col>105</xdr:col>
      <xdr:colOff>723900</xdr:colOff>
      <xdr:row>58</xdr:row>
      <xdr:rowOff>50800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57</xdr:col>
      <xdr:colOff>863600</xdr:colOff>
      <xdr:row>66</xdr:row>
      <xdr:rowOff>19050</xdr:rowOff>
    </xdr:from>
    <xdr:to>
      <xdr:col>62</xdr:col>
      <xdr:colOff>584200</xdr:colOff>
      <xdr:row>80</xdr:row>
      <xdr:rowOff>95250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8</xdr:col>
      <xdr:colOff>400539</xdr:colOff>
      <xdr:row>222</xdr:row>
      <xdr:rowOff>68385</xdr:rowOff>
    </xdr:from>
    <xdr:to>
      <xdr:col>13</xdr:col>
      <xdr:colOff>908538</xdr:colOff>
      <xdr:row>238</xdr:row>
      <xdr:rowOff>68385</xdr:rowOff>
    </xdr:to>
    <xdr:graphicFrame macro="">
      <xdr:nvGraphicFramePr>
        <xdr:cNvPr id="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591036</xdr:colOff>
      <xdr:row>208</xdr:row>
      <xdr:rowOff>171940</xdr:rowOff>
    </xdr:from>
    <xdr:to>
      <xdr:col>7</xdr:col>
      <xdr:colOff>117230</xdr:colOff>
      <xdr:row>222</xdr:row>
      <xdr:rowOff>146538</xdr:rowOff>
    </xdr:to>
    <xdr:graphicFrame macro="">
      <xdr:nvGraphicFramePr>
        <xdr:cNvPr id="14" name="Graphique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119</xdr:col>
      <xdr:colOff>815731</xdr:colOff>
      <xdr:row>111</xdr:row>
      <xdr:rowOff>152401</xdr:rowOff>
    </xdr:from>
    <xdr:to>
      <xdr:col>124</xdr:col>
      <xdr:colOff>654541</xdr:colOff>
      <xdr:row>198</xdr:row>
      <xdr:rowOff>20516</xdr:rowOff>
    </xdr:to>
    <xdr:graphicFrame macro="">
      <xdr:nvGraphicFramePr>
        <xdr:cNvPr id="17"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879229</xdr:colOff>
      <xdr:row>121</xdr:row>
      <xdr:rowOff>149471</xdr:rowOff>
    </xdr:from>
    <xdr:to>
      <xdr:col>12</xdr:col>
      <xdr:colOff>101600</xdr:colOff>
      <xdr:row>198</xdr:row>
      <xdr:rowOff>12701</xdr:rowOff>
    </xdr:to>
    <xdr:graphicFrame macro="">
      <xdr:nvGraphicFramePr>
        <xdr:cNvPr id="1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235</xdr:col>
      <xdr:colOff>228600</xdr:colOff>
      <xdr:row>208</xdr:row>
      <xdr:rowOff>177800</xdr:rowOff>
    </xdr:from>
    <xdr:to>
      <xdr:col>239</xdr:col>
      <xdr:colOff>825500</xdr:colOff>
      <xdr:row>222</xdr:row>
      <xdr:rowOff>165100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230</xdr:col>
      <xdr:colOff>0</xdr:colOff>
      <xdr:row>194</xdr:row>
      <xdr:rowOff>50800</xdr:rowOff>
    </xdr:from>
    <xdr:to>
      <xdr:col>234</xdr:col>
      <xdr:colOff>0</xdr:colOff>
      <xdr:row>208</xdr:row>
      <xdr:rowOff>127000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584200</xdr:colOff>
      <xdr:row>110</xdr:row>
      <xdr:rowOff>38100</xdr:rowOff>
    </xdr:from>
    <xdr:to>
      <xdr:col>30</xdr:col>
      <xdr:colOff>393700</xdr:colOff>
      <xdr:row>196</xdr:row>
      <xdr:rowOff>114300</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115</xdr:col>
      <xdr:colOff>0</xdr:colOff>
      <xdr:row>111</xdr:row>
      <xdr:rowOff>127000</xdr:rowOff>
    </xdr:from>
    <xdr:to>
      <xdr:col>118</xdr:col>
      <xdr:colOff>330200</xdr:colOff>
      <xdr:row>198</xdr:row>
      <xdr:rowOff>12700</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177</xdr:col>
      <xdr:colOff>0</xdr:colOff>
      <xdr:row>110</xdr:row>
      <xdr:rowOff>25400</xdr:rowOff>
    </xdr:from>
    <xdr:to>
      <xdr:col>180</xdr:col>
      <xdr:colOff>673100</xdr:colOff>
      <xdr:row>196</xdr:row>
      <xdr:rowOff>177800</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177</xdr:col>
      <xdr:colOff>0</xdr:colOff>
      <xdr:row>197</xdr:row>
      <xdr:rowOff>25400</xdr:rowOff>
    </xdr:from>
    <xdr:to>
      <xdr:col>180</xdr:col>
      <xdr:colOff>901700</xdr:colOff>
      <xdr:row>212</xdr:row>
      <xdr:rowOff>12700</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181</xdr:col>
      <xdr:colOff>279400</xdr:colOff>
      <xdr:row>109</xdr:row>
      <xdr:rowOff>165100</xdr:rowOff>
    </xdr:from>
    <xdr:to>
      <xdr:col>186</xdr:col>
      <xdr:colOff>330200</xdr:colOff>
      <xdr:row>196</xdr:row>
      <xdr:rowOff>101600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181</xdr:col>
      <xdr:colOff>292100</xdr:colOff>
      <xdr:row>197</xdr:row>
      <xdr:rowOff>76200</xdr:rowOff>
    </xdr:from>
    <xdr:to>
      <xdr:col>186</xdr:col>
      <xdr:colOff>330200</xdr:colOff>
      <xdr:row>212</xdr:row>
      <xdr:rowOff>25400</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80</xdr:col>
      <xdr:colOff>279400</xdr:colOff>
      <xdr:row>108</xdr:row>
      <xdr:rowOff>184150</xdr:rowOff>
    </xdr:from>
    <xdr:to>
      <xdr:col>84</xdr:col>
      <xdr:colOff>127000</xdr:colOff>
      <xdr:row>195</xdr:row>
      <xdr:rowOff>69850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84</xdr:col>
      <xdr:colOff>482600</xdr:colOff>
      <xdr:row>195</xdr:row>
      <xdr:rowOff>82550</xdr:rowOff>
    </xdr:from>
    <xdr:to>
      <xdr:col>89</xdr:col>
      <xdr:colOff>431800</xdr:colOff>
      <xdr:row>209</xdr:row>
      <xdr:rowOff>88900</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89</xdr:col>
      <xdr:colOff>736600</xdr:colOff>
      <xdr:row>195</xdr:row>
      <xdr:rowOff>88900</xdr:rowOff>
    </xdr:from>
    <xdr:to>
      <xdr:col>94</xdr:col>
      <xdr:colOff>838200</xdr:colOff>
      <xdr:row>209</xdr:row>
      <xdr:rowOff>171450</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206</xdr:col>
      <xdr:colOff>546100</xdr:colOff>
      <xdr:row>199</xdr:row>
      <xdr:rowOff>25400</xdr:rowOff>
    </xdr:from>
    <xdr:to>
      <xdr:col>212</xdr:col>
      <xdr:colOff>635000</xdr:colOff>
      <xdr:row>212</xdr:row>
      <xdr:rowOff>177800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56</xdr:col>
      <xdr:colOff>311150</xdr:colOff>
      <xdr:row>109</xdr:row>
      <xdr:rowOff>31750</xdr:rowOff>
    </xdr:from>
    <xdr:to>
      <xdr:col>60</xdr:col>
      <xdr:colOff>882650</xdr:colOff>
      <xdr:row>195</xdr:row>
      <xdr:rowOff>107950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137</xdr:col>
      <xdr:colOff>565150</xdr:colOff>
      <xdr:row>111</xdr:row>
      <xdr:rowOff>120650</xdr:rowOff>
    </xdr:from>
    <xdr:to>
      <xdr:col>142</xdr:col>
      <xdr:colOff>374650</xdr:colOff>
      <xdr:row>198</xdr:row>
      <xdr:rowOff>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149</xdr:col>
      <xdr:colOff>857250</xdr:colOff>
      <xdr:row>108</xdr:row>
      <xdr:rowOff>184150</xdr:rowOff>
    </xdr:from>
    <xdr:to>
      <xdr:col>154</xdr:col>
      <xdr:colOff>666750</xdr:colOff>
      <xdr:row>195</xdr:row>
      <xdr:rowOff>69850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103</xdr:col>
      <xdr:colOff>184150</xdr:colOff>
      <xdr:row>131</xdr:row>
      <xdr:rowOff>69850</xdr:rowOff>
    </xdr:from>
    <xdr:to>
      <xdr:col>107</xdr:col>
      <xdr:colOff>946150</xdr:colOff>
      <xdr:row>199</xdr:row>
      <xdr:rowOff>146050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230</xdr:col>
      <xdr:colOff>95250</xdr:colOff>
      <xdr:row>209</xdr:row>
      <xdr:rowOff>82550</xdr:rowOff>
    </xdr:from>
    <xdr:to>
      <xdr:col>234</xdr:col>
      <xdr:colOff>857250</xdr:colOff>
      <xdr:row>223</xdr:row>
      <xdr:rowOff>158750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65.xml><?xml version="1.0" encoding="utf-8"?>
<xdr:wsDr xmlns:xdr="http://schemas.openxmlformats.org/drawingml/2006/spreadsheetDrawing" xmlns:a="http://schemas.openxmlformats.org/drawingml/2006/main">
  <xdr:oneCellAnchor>
    <xdr:from>
      <xdr:col>0</xdr:col>
      <xdr:colOff>177800</xdr:colOff>
      <xdr:row>6</xdr:row>
      <xdr:rowOff>114300</xdr:rowOff>
    </xdr:from>
    <xdr:ext cx="5410200" cy="679450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7800" y="1333500"/>
          <a:ext cx="5410200" cy="6794500"/>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absoluteAnchor>
    <xdr:pos x="0" y="0"/>
    <xdr:ext cx="91948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c:userShapes xmlns:c="http://schemas.openxmlformats.org/drawingml/2006/chart">
  <cdr:relSizeAnchor xmlns:cdr="http://schemas.openxmlformats.org/drawingml/2006/chartDrawing">
    <cdr:from>
      <cdr:x>0.02715</cdr:x>
      <cdr:y>0.78112</cdr:y>
    </cdr:from>
    <cdr:to>
      <cdr:x>1</cdr:x>
      <cdr:y>0.96294</cdr:y>
    </cdr:to>
    <cdr:sp macro="" textlink="">
      <cdr:nvSpPr>
        <cdr:cNvPr id="2" name="TextBox 1"/>
        <cdr:cNvSpPr txBox="1"/>
      </cdr:nvSpPr>
      <cdr:spPr>
        <a:xfrm xmlns:a="http://schemas.openxmlformats.org/drawingml/2006/main">
          <a:off x="232433" y="4546150"/>
          <a:ext cx="8328646" cy="10582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latin typeface="Arial" charset="0"/>
              <a:ea typeface="Arial" charset="0"/>
              <a:cs typeface="Arial" charset="0"/>
            </a:rPr>
            <a:t>Sources:  </a:t>
          </a:r>
          <a:r>
            <a:rPr lang="en-US" sz="1100">
              <a:latin typeface="Arial" charset="0"/>
              <a:ea typeface="Arial" charset="0"/>
              <a:cs typeface="Arial" charset="0"/>
            </a:rPr>
            <a:t>Raw data and underlying computations in tab 'BOPS and IIP'. Data is extracted from IMF BOPS  (in Feb 2018) for countries other than the US.  For the US we use the more comparable current cost measure </a:t>
          </a:r>
          <a:r>
            <a:rPr lang="en-US" sz="1100" baseline="0">
              <a:latin typeface="Arial" charset="0"/>
              <a:ea typeface="Arial" charset="0"/>
              <a:cs typeface="Arial" charset="0"/>
            </a:rPr>
            <a:t> </a:t>
          </a:r>
          <a:r>
            <a:rPr lang="en-US" sz="1100">
              <a:latin typeface="Arial" charset="0"/>
              <a:ea typeface="Arial" charset="0"/>
              <a:cs typeface="Arial" charset="0"/>
            </a:rPr>
            <a:t>for DI equity positions (see appendix for more detail). These come from BEA table 2.1 lines 36 </a:t>
          </a:r>
          <a:r>
            <a:rPr lang="en-US" sz="1100" baseline="0">
              <a:latin typeface="Arial" charset="0"/>
              <a:ea typeface="Arial" charset="0"/>
              <a:cs typeface="Arial" charset="0"/>
            </a:rPr>
            <a:t> and 41. </a:t>
          </a:r>
          <a:r>
            <a:rPr lang="en-US" sz="1100">
              <a:latin typeface="Arial" charset="0"/>
              <a:ea typeface="Arial" charset="0"/>
              <a:cs typeface="Arial" charset="0"/>
            </a:rPr>
            <a:t>US DI equity income flows includes a</a:t>
          </a:r>
          <a:r>
            <a:rPr lang="en-US" sz="1100" baseline="0">
              <a:latin typeface="Arial" charset="0"/>
              <a:ea typeface="Arial" charset="0"/>
              <a:cs typeface="Arial" charset="0"/>
            </a:rPr>
            <a:t> current cost adjustment (BEA Table 4.2, lines 2 and 39).  </a:t>
          </a:r>
          <a:r>
            <a:rPr lang="en-US" sz="1100" b="1" baseline="0">
              <a:latin typeface="Arial" charset="0"/>
              <a:ea typeface="Arial" charset="0"/>
              <a:cs typeface="Arial" charset="0"/>
            </a:rPr>
            <a:t>Notes: </a:t>
          </a:r>
          <a:r>
            <a:rPr lang="en-US" sz="1100" b="0" baseline="0">
              <a:latin typeface="Arial" charset="0"/>
              <a:ea typeface="Arial" charset="0"/>
              <a:cs typeface="Arial" charset="0"/>
            </a:rPr>
            <a:t>Returns are income yields, they do not include capital gains. Yields are computed by dividing DI equity earnings (dividends plus reinvested earnings, IMF code: bxipide_bp6_usd,  bmipide_bp6_usd) in year t by positions (IMF code: iade_bp6_usd, ilde_bp6_usd) at the end of year t-1. Returns are after foreign taxes paid and net of depreciation.</a:t>
          </a:r>
          <a:endParaRPr lang="en-US" sz="1100" b="0">
            <a:latin typeface="Arial" charset="0"/>
            <a:ea typeface="Arial" charset="0"/>
            <a:cs typeface="Arial" charset="0"/>
          </a:endParaRPr>
        </a:p>
      </cdr:txBody>
    </cdr:sp>
  </cdr:relSizeAnchor>
</c:userShapes>
</file>

<file path=xl/drawings/drawing68.xml><?xml version="1.0" encoding="utf-8"?>
<xdr:wsDr xmlns:xdr="http://schemas.openxmlformats.org/drawingml/2006/spreadsheetDrawing" xmlns:a="http://schemas.openxmlformats.org/drawingml/2006/main">
  <xdr:absoluteAnchor>
    <xdr:pos x="0" y="0"/>
    <xdr:ext cx="8576623" cy="583045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9.xml><?xml version="1.0" encoding="utf-8"?>
<c:userShapes xmlns:c="http://schemas.openxmlformats.org/drawingml/2006/chart">
  <cdr:relSizeAnchor xmlns:cdr="http://schemas.openxmlformats.org/drawingml/2006/chartDrawing">
    <cdr:from>
      <cdr:x>0.02334</cdr:x>
      <cdr:y>0.7779</cdr:y>
    </cdr:from>
    <cdr:to>
      <cdr:x>0.95099</cdr:x>
      <cdr:y>1</cdr:y>
    </cdr:to>
    <cdr:sp macro="" textlink="">
      <cdr:nvSpPr>
        <cdr:cNvPr id="2" name="TextBox 1"/>
        <cdr:cNvSpPr txBox="1"/>
      </cdr:nvSpPr>
      <cdr:spPr>
        <a:xfrm xmlns:a="http://schemas.openxmlformats.org/drawingml/2006/main">
          <a:off x="254000" y="5028559"/>
          <a:ext cx="10096500" cy="14357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latin typeface="Arial" charset="0"/>
              <a:ea typeface="Arial" charset="0"/>
              <a:cs typeface="Arial" charset="0"/>
            </a:rPr>
            <a:t>Sources:  </a:t>
          </a:r>
          <a:r>
            <a:rPr lang="en-US" sz="1100">
              <a:latin typeface="Arial" charset="0"/>
              <a:ea typeface="Arial" charset="0"/>
              <a:cs typeface="Arial" charset="0"/>
            </a:rPr>
            <a:t>Raw data and underlying computations in tab 'BOPS and IIP'. Data is extracted from IMF BOPS  (in Feb 2018) for countries other than the US.  For the US we use the more comparable current cost measure </a:t>
          </a:r>
          <a:r>
            <a:rPr lang="en-US" sz="1100" baseline="0">
              <a:latin typeface="Arial" charset="0"/>
              <a:ea typeface="Arial" charset="0"/>
              <a:cs typeface="Arial" charset="0"/>
            </a:rPr>
            <a:t> </a:t>
          </a:r>
          <a:r>
            <a:rPr lang="en-US" sz="1100">
              <a:latin typeface="Arial" charset="0"/>
              <a:ea typeface="Arial" charset="0"/>
              <a:cs typeface="Arial" charset="0"/>
            </a:rPr>
            <a:t>for DI equity positions (see appendix for more detail). These come from BEA table 2.1 lines 36 </a:t>
          </a:r>
          <a:r>
            <a:rPr lang="en-US" sz="1100" baseline="0">
              <a:latin typeface="Arial" charset="0"/>
              <a:ea typeface="Arial" charset="0"/>
              <a:cs typeface="Arial" charset="0"/>
            </a:rPr>
            <a:t> and 41. </a:t>
          </a:r>
          <a:r>
            <a:rPr lang="en-US" sz="1100">
              <a:latin typeface="Arial" charset="0"/>
              <a:ea typeface="Arial" charset="0"/>
              <a:cs typeface="Arial" charset="0"/>
            </a:rPr>
            <a:t>US DI equity income flows includes a</a:t>
          </a:r>
          <a:r>
            <a:rPr lang="en-US" sz="1100" baseline="0">
              <a:latin typeface="Arial" charset="0"/>
              <a:ea typeface="Arial" charset="0"/>
              <a:cs typeface="Arial" charset="0"/>
            </a:rPr>
            <a:t> current cost adjustment (BEA Table 4.2, lines 2 and 39).  </a:t>
          </a:r>
          <a:r>
            <a:rPr lang="en-US" sz="1100" b="1" baseline="0">
              <a:latin typeface="Arial" charset="0"/>
              <a:ea typeface="Arial" charset="0"/>
              <a:cs typeface="Arial" charset="0"/>
            </a:rPr>
            <a:t>Notes: </a:t>
          </a:r>
          <a:r>
            <a:rPr lang="en-US" sz="1100" b="0" baseline="0">
              <a:latin typeface="Arial" charset="0"/>
              <a:ea typeface="Arial" charset="0"/>
              <a:cs typeface="Arial" charset="0"/>
            </a:rPr>
            <a:t>Returns are income yields, they do not include capital gains. Yields are computed by dividing DI equity earnings (dividends plus reinvested earnings, IMF code: bxipide_bp6_usd,  bmipide_bp6_usd) in year t by positions (IMF code: iade_bp6_usd, ilde_bp6_usd) at the end of year t-1. Returns are after domestic taxes paid and net of depreciation.</a:t>
          </a:r>
          <a:endParaRPr lang="en-US" sz="1100" b="0">
            <a:latin typeface="Arial" charset="0"/>
            <a:ea typeface="Arial" charset="0"/>
            <a:cs typeface="Arial"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0.59112</cdr:x>
      <cdr:y>0.24974</cdr:y>
    </cdr:from>
    <cdr:to>
      <cdr:x>0.82519</cdr:x>
      <cdr:y>0.32542</cdr:y>
    </cdr:to>
    <cdr:sp macro="" textlink="">
      <cdr:nvSpPr>
        <cdr:cNvPr id="2" name="Rectangle 1"/>
        <cdr:cNvSpPr/>
      </cdr:nvSpPr>
      <cdr:spPr>
        <a:xfrm xmlns:a="http://schemas.openxmlformats.org/drawingml/2006/main">
          <a:off x="5067341" y="1455837"/>
          <a:ext cx="2006565" cy="4411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accent2">
                  <a:lumMod val="75000"/>
                </a:schemeClr>
              </a:solidFill>
              <a:effectLst/>
              <a:latin typeface="Arial"/>
            </a:rPr>
            <a:t>FDI income</a:t>
          </a:r>
        </a:p>
        <a:p xmlns:a="http://schemas.openxmlformats.org/drawingml/2006/main">
          <a:pPr algn="ctr"/>
          <a:endParaRPr lang="fr-FR" sz="1600" u="none" baseline="0">
            <a:ln>
              <a:noFill/>
            </a:ln>
            <a:solidFill>
              <a:schemeClr val="tx2">
                <a:lumMod val="75000"/>
              </a:schemeClr>
            </a:solidFill>
            <a:effectLst/>
            <a:latin typeface="Arial"/>
          </a:endParaRPr>
        </a:p>
      </cdr:txBody>
    </cdr:sp>
  </cdr:relSizeAnchor>
  <cdr:relSizeAnchor xmlns:cdr="http://schemas.openxmlformats.org/drawingml/2006/chartDrawing">
    <cdr:from>
      <cdr:x>0.77333</cdr:x>
      <cdr:y>0.45929</cdr:y>
    </cdr:from>
    <cdr:to>
      <cdr:x>1</cdr:x>
      <cdr:y>0.53497</cdr:y>
    </cdr:to>
    <cdr:sp macro="" textlink="">
      <cdr:nvSpPr>
        <cdr:cNvPr id="3" name="Rectangle 2"/>
        <cdr:cNvSpPr/>
      </cdr:nvSpPr>
      <cdr:spPr>
        <a:xfrm xmlns:a="http://schemas.openxmlformats.org/drawingml/2006/main">
          <a:off x="6629400" y="2677330"/>
          <a:ext cx="1943100" cy="4411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tx2">
                  <a:lumMod val="75000"/>
                </a:schemeClr>
              </a:solidFill>
              <a:effectLst/>
              <a:latin typeface="Arial"/>
            </a:rPr>
            <a:t>All income</a:t>
          </a:r>
        </a:p>
        <a:p xmlns:a="http://schemas.openxmlformats.org/drawingml/2006/main">
          <a:endParaRPr lang="fr-FR" sz="1600" u="none" baseline="0">
            <a:ln>
              <a:noFill/>
            </a:ln>
            <a:solidFill>
              <a:schemeClr val="tx1"/>
            </a:solidFill>
            <a:effectLst/>
            <a:latin typeface="Arial"/>
          </a:endParaRPr>
        </a:p>
      </cdr:txBody>
    </cdr:sp>
  </cdr:relSizeAnchor>
  <cdr:relSizeAnchor xmlns:cdr="http://schemas.openxmlformats.org/drawingml/2006/chartDrawing">
    <cdr:from>
      <cdr:x>0.38222</cdr:x>
      <cdr:y>0.76253</cdr:y>
    </cdr:from>
    <cdr:to>
      <cdr:x>0.69778</cdr:x>
      <cdr:y>0.83821</cdr:y>
    </cdr:to>
    <cdr:sp macro="" textlink="">
      <cdr:nvSpPr>
        <cdr:cNvPr id="4" name="Rectangle 3"/>
        <cdr:cNvSpPr/>
      </cdr:nvSpPr>
      <cdr:spPr>
        <a:xfrm xmlns:a="http://schemas.openxmlformats.org/drawingml/2006/main">
          <a:off x="3276600" y="4445000"/>
          <a:ext cx="2705100" cy="4411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accent3">
                  <a:lumMod val="75000"/>
                </a:schemeClr>
              </a:solidFill>
              <a:effectLst/>
              <a:latin typeface="Arial"/>
            </a:rPr>
            <a:t>Portfolio and other income</a:t>
          </a:r>
        </a:p>
        <a:p xmlns:a="http://schemas.openxmlformats.org/drawingml/2006/main">
          <a:endParaRPr lang="fr-FR" sz="1600" u="none" baseline="0">
            <a:ln>
              <a:noFill/>
            </a:ln>
            <a:solidFill>
              <a:schemeClr val="tx1"/>
            </a:solidFill>
            <a:effectLst/>
            <a:latin typeface="Arial"/>
          </a:endParaRPr>
        </a:p>
      </cdr:txBody>
    </cdr:sp>
  </cdr:relSizeAnchor>
</c:userShapes>
</file>

<file path=xl/drawings/drawing70.xml><?xml version="1.0" encoding="utf-8"?>
<xdr:wsDr xmlns:xdr="http://schemas.openxmlformats.org/drawingml/2006/spreadsheetDrawing" xmlns:a="http://schemas.openxmlformats.org/drawingml/2006/main">
  <xdr:absoluteAnchor>
    <xdr:pos x="0" y="0"/>
    <xdr:ext cx="8576623" cy="583045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1.xml><?xml version="1.0" encoding="utf-8"?>
<c:userShapes xmlns:c="http://schemas.openxmlformats.org/drawingml/2006/chart">
  <cdr:relSizeAnchor xmlns:cdr="http://schemas.openxmlformats.org/drawingml/2006/chartDrawing">
    <cdr:from>
      <cdr:x>0.01827</cdr:x>
      <cdr:y>0.79505</cdr:y>
    </cdr:from>
    <cdr:to>
      <cdr:x>0.97143</cdr:x>
      <cdr:y>1</cdr:y>
    </cdr:to>
    <cdr:sp macro="" textlink="">
      <cdr:nvSpPr>
        <cdr:cNvPr id="2" name="TextBox 1"/>
        <cdr:cNvSpPr txBox="1"/>
      </cdr:nvSpPr>
      <cdr:spPr>
        <a:xfrm xmlns:a="http://schemas.openxmlformats.org/drawingml/2006/main">
          <a:off x="156688" y="4635499"/>
          <a:ext cx="8174894" cy="11949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latin typeface="Arial" charset="0"/>
              <a:ea typeface="Arial" charset="0"/>
              <a:cs typeface="Arial" charset="0"/>
            </a:rPr>
            <a:t>Sources:  </a:t>
          </a:r>
          <a:r>
            <a:rPr lang="en-US" sz="1100">
              <a:latin typeface="Arial" charset="0"/>
              <a:ea typeface="Arial" charset="0"/>
              <a:cs typeface="Arial" charset="0"/>
            </a:rPr>
            <a:t>Raw data and underlying computations in tab 'BOPS and IIP'. Data is extracted from IMF BOPS  (in Feb 2018) for countries other than the US.  For the US we use the more comparable current cost measure </a:t>
          </a:r>
          <a:r>
            <a:rPr lang="en-US" sz="1100" baseline="0">
              <a:latin typeface="Arial" charset="0"/>
              <a:ea typeface="Arial" charset="0"/>
              <a:cs typeface="Arial" charset="0"/>
            </a:rPr>
            <a:t> </a:t>
          </a:r>
          <a:r>
            <a:rPr lang="en-US" sz="1100">
              <a:latin typeface="Arial" charset="0"/>
              <a:ea typeface="Arial" charset="0"/>
              <a:cs typeface="Arial" charset="0"/>
            </a:rPr>
            <a:t>for DI equity positions (see appendix for more detail). These come from BEA table 2.1 lines 36 </a:t>
          </a:r>
          <a:r>
            <a:rPr lang="en-US" sz="1100" baseline="0">
              <a:latin typeface="Arial" charset="0"/>
              <a:ea typeface="Arial" charset="0"/>
              <a:cs typeface="Arial" charset="0"/>
            </a:rPr>
            <a:t> and 41. </a:t>
          </a:r>
          <a:r>
            <a:rPr lang="en-US" sz="1100">
              <a:latin typeface="Arial" charset="0"/>
              <a:ea typeface="Arial" charset="0"/>
              <a:cs typeface="Arial" charset="0"/>
            </a:rPr>
            <a:t>US DI equity income flows includes a</a:t>
          </a:r>
          <a:r>
            <a:rPr lang="en-US" sz="1100" baseline="0">
              <a:latin typeface="Arial" charset="0"/>
              <a:ea typeface="Arial" charset="0"/>
              <a:cs typeface="Arial" charset="0"/>
            </a:rPr>
            <a:t> current cost adjustment (BEA Table 4.2, lines 2 and 39).  </a:t>
          </a:r>
          <a:r>
            <a:rPr lang="en-US" sz="1100" b="1" baseline="0">
              <a:latin typeface="Arial" charset="0"/>
              <a:ea typeface="Arial" charset="0"/>
              <a:cs typeface="Arial" charset="0"/>
            </a:rPr>
            <a:t>Notes: </a:t>
          </a:r>
          <a:r>
            <a:rPr lang="en-US" sz="1100" b="0" baseline="0">
              <a:latin typeface="Arial" charset="0"/>
              <a:ea typeface="Arial" charset="0"/>
              <a:cs typeface="Arial" charset="0"/>
            </a:rPr>
            <a:t>Returns are income yields, they do not include capital gains. Yields are computed by dividing DI equity earnings (dividends plus reinvested earnings, IMF code: bxipide_bp6_usd,  bmipide_bp6_usd) in year t by positions (IMF code: iade_bp6_usd, ilde_bp6_usd) at the end of year t-1. Asset returns are after foreign taxes paid, liability returns are after domestic taxes paid. Both are net of depreciation.</a:t>
          </a:r>
          <a:endParaRPr lang="en-US" sz="1100" b="0">
            <a:latin typeface="Arial" charset="0"/>
            <a:ea typeface="Arial" charset="0"/>
            <a:cs typeface="Arial" charset="0"/>
          </a:endParaRPr>
        </a:p>
        <a:p xmlns:a="http://schemas.openxmlformats.org/drawingml/2006/main">
          <a:endParaRPr lang="en-US" sz="1100" b="0"/>
        </a:p>
      </cdr:txBody>
    </cdr:sp>
  </cdr:relSizeAnchor>
</c:userShapes>
</file>

<file path=xl/drawings/drawing72.xml><?xml version="1.0" encoding="utf-8"?>
<xdr:wsDr xmlns:xdr="http://schemas.openxmlformats.org/drawingml/2006/spreadsheetDrawing" xmlns:a="http://schemas.openxmlformats.org/drawingml/2006/main">
  <xdr:absoluteAnchor>
    <xdr:pos x="0" y="0"/>
    <xdr:ext cx="8576623" cy="583045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c:userShapes xmlns:c="http://schemas.openxmlformats.org/drawingml/2006/chart">
  <cdr:relSizeAnchor xmlns:cdr="http://schemas.openxmlformats.org/drawingml/2006/chartDrawing">
    <cdr:from>
      <cdr:x>0.0368</cdr:x>
      <cdr:y>0.73113</cdr:y>
    </cdr:from>
    <cdr:to>
      <cdr:x>0.9792</cdr:x>
      <cdr:y>0.96934</cdr:y>
    </cdr:to>
    <cdr:sp macro="" textlink="">
      <cdr:nvSpPr>
        <cdr:cNvPr id="2" name="TextBox 1"/>
        <cdr:cNvSpPr txBox="1"/>
      </cdr:nvSpPr>
      <cdr:spPr>
        <a:xfrm xmlns:a="http://schemas.openxmlformats.org/drawingml/2006/main">
          <a:off x="292100" y="3937000"/>
          <a:ext cx="7480300" cy="1282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0.06587</cdr:x>
      <cdr:y>0.62893</cdr:y>
    </cdr:from>
    <cdr:to>
      <cdr:x>0.9491</cdr:x>
      <cdr:y>1</cdr:y>
    </cdr:to>
    <cdr:sp macro="" textlink="">
      <cdr:nvSpPr>
        <cdr:cNvPr id="3" name="TextBox 2"/>
        <cdr:cNvSpPr txBox="1"/>
      </cdr:nvSpPr>
      <cdr:spPr>
        <a:xfrm xmlns:a="http://schemas.openxmlformats.org/drawingml/2006/main">
          <a:off x="577297" y="3754967"/>
          <a:ext cx="7741021" cy="22154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b="0">
            <a:latin typeface="Arial" charset="0"/>
            <a:ea typeface="Arial" charset="0"/>
            <a:cs typeface="Arial" charset="0"/>
          </a:endParaRPr>
        </a:p>
      </cdr:txBody>
    </cdr:sp>
  </cdr:relSizeAnchor>
  <cdr:relSizeAnchor xmlns:cdr="http://schemas.openxmlformats.org/drawingml/2006/chartDrawing">
    <cdr:from>
      <cdr:x>0.84937</cdr:x>
      <cdr:y>0.05593</cdr:y>
    </cdr:from>
    <cdr:to>
      <cdr:x>0.93221</cdr:x>
      <cdr:y>0.1246</cdr:y>
    </cdr:to>
    <cdr:sp macro="" textlink="">
      <cdr:nvSpPr>
        <cdr:cNvPr id="4" name="TextBox 3"/>
        <cdr:cNvSpPr txBox="1"/>
      </cdr:nvSpPr>
      <cdr:spPr>
        <a:xfrm xmlns:a="http://schemas.openxmlformats.org/drawingml/2006/main">
          <a:off x="6365523" y="302277"/>
          <a:ext cx="620844" cy="3711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a:t>USA</a:t>
          </a:r>
        </a:p>
      </cdr:txBody>
    </cdr:sp>
  </cdr:relSizeAnchor>
  <cdr:relSizeAnchor xmlns:cdr="http://schemas.openxmlformats.org/drawingml/2006/chartDrawing">
    <cdr:from>
      <cdr:x>0.15863</cdr:x>
      <cdr:y>0.67776</cdr:y>
    </cdr:from>
    <cdr:to>
      <cdr:x>0.2253</cdr:x>
      <cdr:y>0.74643</cdr:y>
    </cdr:to>
    <cdr:sp macro="" textlink="">
      <cdr:nvSpPr>
        <cdr:cNvPr id="5" name="TextBox 4"/>
        <cdr:cNvSpPr txBox="1"/>
      </cdr:nvSpPr>
      <cdr:spPr>
        <a:xfrm xmlns:a="http://schemas.openxmlformats.org/drawingml/2006/main">
          <a:off x="1370122" y="3662982"/>
          <a:ext cx="575856" cy="3711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a:t>IRE</a:t>
          </a:r>
        </a:p>
      </cdr:txBody>
    </cdr:sp>
  </cdr:relSizeAnchor>
</c:userShapes>
</file>

<file path=xl/drawings/drawing74.xml><?xml version="1.0" encoding="utf-8"?>
<xdr:wsDr xmlns:xdr="http://schemas.openxmlformats.org/drawingml/2006/spreadsheetDrawing" xmlns:a="http://schemas.openxmlformats.org/drawingml/2006/main">
  <xdr:absoluteAnchor>
    <xdr:pos x="0" y="0"/>
    <xdr:ext cx="8566727" cy="582660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5.xml><?xml version="1.0" encoding="utf-8"?>
<c:userShapes xmlns:c="http://schemas.openxmlformats.org/drawingml/2006/chart">
  <cdr:relSizeAnchor xmlns:cdr="http://schemas.openxmlformats.org/drawingml/2006/chartDrawing">
    <cdr:from>
      <cdr:x>0.04288</cdr:x>
      <cdr:y>0.83962</cdr:y>
    </cdr:from>
    <cdr:to>
      <cdr:x>0.93989</cdr:x>
      <cdr:y>0.96736</cdr:y>
    </cdr:to>
    <cdr:sp macro="" textlink="">
      <cdr:nvSpPr>
        <cdr:cNvPr id="3" name="TextBox 2"/>
        <cdr:cNvSpPr txBox="1"/>
      </cdr:nvSpPr>
      <cdr:spPr>
        <a:xfrm xmlns:a="http://schemas.openxmlformats.org/drawingml/2006/main">
          <a:off x="368147" y="5596634"/>
          <a:ext cx="7701434" cy="8514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baseline="0">
            <a:latin typeface="Arial" charset="0"/>
            <a:ea typeface="Arial" charset="0"/>
            <a:cs typeface="Arial" charset="0"/>
          </a:endParaRPr>
        </a:p>
      </cdr:txBody>
    </cdr:sp>
  </cdr:relSizeAnchor>
  <cdr:relSizeAnchor xmlns:cdr="http://schemas.openxmlformats.org/drawingml/2006/chartDrawing">
    <cdr:from>
      <cdr:x>0.88909</cdr:x>
      <cdr:y>0.48503</cdr:y>
    </cdr:from>
    <cdr:to>
      <cdr:x>0.97966</cdr:x>
      <cdr:y>0.55263</cdr:y>
    </cdr:to>
    <cdr:sp macro="" textlink="">
      <cdr:nvSpPr>
        <cdr:cNvPr id="4" name="TextBox 3"/>
        <cdr:cNvSpPr txBox="1"/>
      </cdr:nvSpPr>
      <cdr:spPr>
        <a:xfrm xmlns:a="http://schemas.openxmlformats.org/drawingml/2006/main">
          <a:off x="6617153" y="2571749"/>
          <a:ext cx="674117" cy="3584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Arial"/>
              <a:cs typeface="Arial"/>
            </a:rPr>
            <a:t>USA</a:t>
          </a:r>
        </a:p>
      </cdr:txBody>
    </cdr:sp>
  </cdr:relSizeAnchor>
  <cdr:relSizeAnchor xmlns:cdr="http://schemas.openxmlformats.org/drawingml/2006/chartDrawing">
    <cdr:from>
      <cdr:x>0.15939</cdr:x>
      <cdr:y>0.10611</cdr:y>
    </cdr:from>
    <cdr:to>
      <cdr:x>0.22711</cdr:x>
      <cdr:y>0.18263</cdr:y>
    </cdr:to>
    <cdr:sp macro="" textlink="">
      <cdr:nvSpPr>
        <cdr:cNvPr id="5" name="TextBox 4"/>
        <cdr:cNvSpPr txBox="1"/>
      </cdr:nvSpPr>
      <cdr:spPr>
        <a:xfrm xmlns:a="http://schemas.openxmlformats.org/drawingml/2006/main">
          <a:off x="1368445" y="562633"/>
          <a:ext cx="581458" cy="4057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Arial"/>
              <a:cs typeface="Arial"/>
            </a:rPr>
            <a:t>IRE</a:t>
          </a:r>
        </a:p>
        <a:p xmlns:a="http://schemas.openxmlformats.org/drawingml/2006/main">
          <a:endParaRPr lang="en-US" sz="1100"/>
        </a:p>
      </cdr:txBody>
    </cdr:sp>
  </cdr:relSizeAnchor>
</c:userShapes>
</file>

<file path=xl/drawings/drawing76.xml><?xml version="1.0" encoding="utf-8"?>
<xdr:wsDr xmlns:xdr="http://schemas.openxmlformats.org/drawingml/2006/spreadsheetDrawing" xmlns:a="http://schemas.openxmlformats.org/drawingml/2006/main">
  <xdr:absoluteAnchor>
    <xdr:pos x="0" y="0"/>
    <xdr:ext cx="8566727" cy="582660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7.xml><?xml version="1.0" encoding="utf-8"?>
<c:userShapes xmlns:c="http://schemas.openxmlformats.org/drawingml/2006/chart">
  <cdr:relSizeAnchor xmlns:cdr="http://schemas.openxmlformats.org/drawingml/2006/chartDrawing">
    <cdr:from>
      <cdr:x>0.91824</cdr:x>
      <cdr:y>0.52462</cdr:y>
    </cdr:from>
    <cdr:to>
      <cdr:x>0.98933</cdr:x>
      <cdr:y>0.57737</cdr:y>
    </cdr:to>
    <cdr:sp macro="" textlink="">
      <cdr:nvSpPr>
        <cdr:cNvPr id="3" name="TextBox 2"/>
        <cdr:cNvSpPr txBox="1"/>
      </cdr:nvSpPr>
      <cdr:spPr>
        <a:xfrm xmlns:a="http://schemas.openxmlformats.org/drawingml/2006/main">
          <a:off x="7866303" y="3056754"/>
          <a:ext cx="609017" cy="3073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Arial"/>
              <a:cs typeface="Arial"/>
            </a:rPr>
            <a:t>USA</a:t>
          </a:r>
        </a:p>
      </cdr:txBody>
    </cdr:sp>
  </cdr:relSizeAnchor>
  <cdr:relSizeAnchor xmlns:cdr="http://schemas.openxmlformats.org/drawingml/2006/chartDrawing">
    <cdr:from>
      <cdr:x>0.91321</cdr:x>
      <cdr:y>0.60607</cdr:y>
    </cdr:from>
    <cdr:to>
      <cdr:x>0.99466</cdr:x>
      <cdr:y>0.63348</cdr:y>
    </cdr:to>
    <cdr:sp macro="" textlink="">
      <cdr:nvSpPr>
        <cdr:cNvPr id="4" name="TextBox 3"/>
        <cdr:cNvSpPr txBox="1"/>
      </cdr:nvSpPr>
      <cdr:spPr>
        <a:xfrm xmlns:a="http://schemas.openxmlformats.org/drawingml/2006/main">
          <a:off x="7895937" y="3866019"/>
          <a:ext cx="704272" cy="1748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a:latin typeface="Arial"/>
              <a:cs typeface="Arial"/>
            </a:rPr>
            <a:t>USA</a:t>
          </a:r>
        </a:p>
      </cdr:txBody>
    </cdr:sp>
  </cdr:relSizeAnchor>
  <cdr:relSizeAnchor xmlns:cdr="http://schemas.openxmlformats.org/drawingml/2006/chartDrawing">
    <cdr:from>
      <cdr:x>0.50928</cdr:x>
      <cdr:y>0.3609</cdr:y>
    </cdr:from>
    <cdr:to>
      <cdr:x>0.74135</cdr:x>
      <cdr:y>0.43006</cdr:y>
    </cdr:to>
    <cdr:sp macro="" textlink="">
      <cdr:nvSpPr>
        <cdr:cNvPr id="5" name="Rectangle 4"/>
        <cdr:cNvSpPr/>
      </cdr:nvSpPr>
      <cdr:spPr>
        <a:xfrm xmlns:a="http://schemas.openxmlformats.org/drawingml/2006/main">
          <a:off x="4403437" y="2302163"/>
          <a:ext cx="2006565" cy="4411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rgbClr val="FF0000"/>
              </a:solidFill>
              <a:effectLst/>
              <a:latin typeface="Arial"/>
            </a:rPr>
            <a:t>Before tax</a:t>
          </a:r>
        </a:p>
      </cdr:txBody>
    </cdr:sp>
  </cdr:relSizeAnchor>
  <cdr:relSizeAnchor xmlns:cdr="http://schemas.openxmlformats.org/drawingml/2006/chartDrawing">
    <cdr:from>
      <cdr:x>0.13406</cdr:x>
      <cdr:y>0.49303</cdr:y>
    </cdr:from>
    <cdr:to>
      <cdr:x>0.36613</cdr:x>
      <cdr:y>0.56219</cdr:y>
    </cdr:to>
    <cdr:sp macro="" textlink="">
      <cdr:nvSpPr>
        <cdr:cNvPr id="6" name="Rectangle 5"/>
        <cdr:cNvSpPr/>
      </cdr:nvSpPr>
      <cdr:spPr>
        <a:xfrm xmlns:a="http://schemas.openxmlformats.org/drawingml/2006/main">
          <a:off x="1159165" y="3144982"/>
          <a:ext cx="2006565" cy="4411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tx2">
                  <a:lumMod val="75000"/>
                </a:schemeClr>
              </a:solidFill>
              <a:effectLst/>
              <a:latin typeface="Arial"/>
            </a:rPr>
            <a:t>After tax</a:t>
          </a:r>
        </a:p>
      </cdr:txBody>
    </cdr:sp>
  </cdr:relSizeAnchor>
  <cdr:relSizeAnchor xmlns:cdr="http://schemas.openxmlformats.org/drawingml/2006/chartDrawing">
    <cdr:from>
      <cdr:x>0.91169</cdr:x>
      <cdr:y>0.49472</cdr:y>
    </cdr:from>
    <cdr:to>
      <cdr:x>1</cdr:x>
      <cdr:y>0.55136</cdr:y>
    </cdr:to>
    <cdr:sp macro="" textlink="">
      <cdr:nvSpPr>
        <cdr:cNvPr id="7" name="TextBox 6"/>
        <cdr:cNvSpPr txBox="1"/>
      </cdr:nvSpPr>
      <cdr:spPr>
        <a:xfrm xmlns:a="http://schemas.openxmlformats.org/drawingml/2006/main">
          <a:off x="7601262" y="3320671"/>
          <a:ext cx="736289" cy="3801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600">
            <a:latin typeface="Arial"/>
            <a:cs typeface="Arial"/>
          </a:endParaRPr>
        </a:p>
      </cdr:txBody>
    </cdr:sp>
  </cdr:relSizeAnchor>
  <cdr:relSizeAnchor xmlns:cdr="http://schemas.openxmlformats.org/drawingml/2006/chartDrawing">
    <cdr:from>
      <cdr:x>0.91321</cdr:x>
      <cdr:y>0.62263</cdr:y>
    </cdr:from>
    <cdr:to>
      <cdr:x>0.99466</cdr:x>
      <cdr:y>0.65004</cdr:y>
    </cdr:to>
    <cdr:sp macro="" textlink="">
      <cdr:nvSpPr>
        <cdr:cNvPr id="8" name="TextBox 7"/>
        <cdr:cNvSpPr txBox="1"/>
      </cdr:nvSpPr>
      <cdr:spPr>
        <a:xfrm xmlns:a="http://schemas.openxmlformats.org/drawingml/2006/main">
          <a:off x="8150333" y="4179211"/>
          <a:ext cx="726935" cy="1839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200">
            <a:latin typeface="Arial"/>
            <a:cs typeface="Arial"/>
          </a:endParaRPr>
        </a:p>
      </cdr:txBody>
    </cdr:sp>
  </cdr:relSizeAnchor>
  <cdr:relSizeAnchor xmlns:cdr="http://schemas.openxmlformats.org/drawingml/2006/chartDrawing">
    <cdr:from>
      <cdr:x>0.18347</cdr:x>
      <cdr:y>0.24782</cdr:y>
    </cdr:from>
    <cdr:to>
      <cdr:x>0.25456</cdr:x>
      <cdr:y>0.30057</cdr:y>
    </cdr:to>
    <cdr:sp macro="" textlink="">
      <cdr:nvSpPr>
        <cdr:cNvPr id="9" name="TextBox 2"/>
        <cdr:cNvSpPr txBox="1"/>
      </cdr:nvSpPr>
      <cdr:spPr>
        <a:xfrm xmlns:a="http://schemas.openxmlformats.org/drawingml/2006/main">
          <a:off x="1571700" y="1443952"/>
          <a:ext cx="609017" cy="3073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a:latin typeface="Arial"/>
              <a:cs typeface="Arial"/>
            </a:rPr>
            <a:t>IRE</a:t>
          </a:r>
        </a:p>
      </cdr:txBody>
    </cdr:sp>
  </cdr:relSizeAnchor>
  <cdr:relSizeAnchor xmlns:cdr="http://schemas.openxmlformats.org/drawingml/2006/chartDrawing">
    <cdr:from>
      <cdr:x>0.17844</cdr:x>
      <cdr:y>0.32927</cdr:y>
    </cdr:from>
    <cdr:to>
      <cdr:x>0.25989</cdr:x>
      <cdr:y>0.35668</cdr:y>
    </cdr:to>
    <cdr:sp macro="" textlink="">
      <cdr:nvSpPr>
        <cdr:cNvPr id="10" name="TextBox 3"/>
        <cdr:cNvSpPr txBox="1"/>
      </cdr:nvSpPr>
      <cdr:spPr>
        <a:xfrm xmlns:a="http://schemas.openxmlformats.org/drawingml/2006/main">
          <a:off x="1528618" y="1918529"/>
          <a:ext cx="697760" cy="1597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a:latin typeface="Arial"/>
              <a:cs typeface="Arial"/>
            </a:rPr>
            <a:t>IRE</a:t>
          </a:r>
        </a:p>
      </cdr:txBody>
    </cdr:sp>
  </cdr:relSizeAnchor>
</c:userShapes>
</file>

<file path=xl/drawings/drawing78.xml><?xml version="1.0" encoding="utf-8"?>
<xdr:wsDr xmlns:xdr="http://schemas.openxmlformats.org/drawingml/2006/spreadsheetDrawing" xmlns:a="http://schemas.openxmlformats.org/drawingml/2006/main">
  <xdr:absoluteAnchor>
    <xdr:pos x="0" y="0"/>
    <xdr:ext cx="8566727" cy="582660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9.xml><?xml version="1.0" encoding="utf-8"?>
<c:userShapes xmlns:c="http://schemas.openxmlformats.org/drawingml/2006/chart">
  <cdr:relSizeAnchor xmlns:cdr="http://schemas.openxmlformats.org/drawingml/2006/chartDrawing">
    <cdr:from>
      <cdr:x>0.02077</cdr:x>
      <cdr:y>0.81955</cdr:y>
    </cdr:from>
    <cdr:to>
      <cdr:x>0.98368</cdr:x>
      <cdr:y>1</cdr:y>
    </cdr:to>
    <cdr:sp macro="" textlink="">
      <cdr:nvSpPr>
        <cdr:cNvPr id="2" name="TextBox 1"/>
        <cdr:cNvSpPr txBox="1"/>
      </cdr:nvSpPr>
      <cdr:spPr>
        <a:xfrm xmlns:a="http://schemas.openxmlformats.org/drawingml/2006/main">
          <a:off x="177931" y="4775200"/>
          <a:ext cx="8248987" cy="10514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baseline="0">
            <a:latin typeface="Arial" charset="0"/>
            <a:ea typeface="Arial" charset="0"/>
            <a:cs typeface="Arial" charset="0"/>
          </a:endParaRPr>
        </a:p>
        <a:p xmlns:a="http://schemas.openxmlformats.org/drawingml/2006/main">
          <a:r>
            <a:rPr lang="en-US" sz="1100" b="1" baseline="0">
              <a:latin typeface="Arial" charset="0"/>
              <a:ea typeface="Arial" charset="0"/>
              <a:cs typeface="Arial" charset="0"/>
            </a:rPr>
            <a:t>Notes: </a:t>
          </a:r>
          <a:r>
            <a:rPr lang="en-US" sz="1100" b="0" baseline="0">
              <a:latin typeface="Arial" charset="0"/>
              <a:ea typeface="Arial" charset="0"/>
              <a:cs typeface="Arial" charset="0"/>
            </a:rPr>
            <a:t>Same as figure 2, except here the slope is conditional on the PI equity rate of return differential, GDP per capita and membership of the EU. The PI equity differential is computed analagously to the DI equity differential. Earnings (IMF code: bxipipe_bp6_usd, bmipipe_bp6_usd) in period t, over positions (iape_bp6_usd, ilpe_bp6_usd) in t-1. </a:t>
          </a:r>
          <a:r>
            <a:rPr lang="en-US" sz="1100" b="1" baseline="0">
              <a:latin typeface="Arial" charset="0"/>
              <a:ea typeface="Arial" charset="0"/>
              <a:cs typeface="Arial" charset="0"/>
            </a:rPr>
            <a:t>Sample </a:t>
          </a:r>
          <a:r>
            <a:rPr lang="en-US" sz="1100" b="0" baseline="0">
              <a:latin typeface="Arial" charset="0"/>
              <a:ea typeface="Arial" charset="0"/>
              <a:cs typeface="Arial" charset="0"/>
            </a:rPr>
            <a:t>is same as in F.B2a. Slope coefficient is 0.21 with a p-value of 5.5% (pooled OLS with errors clustered at country level).</a:t>
          </a:r>
          <a:endParaRPr lang="en-US" sz="1100" b="1">
            <a:latin typeface="Arial" charset="0"/>
            <a:ea typeface="Arial" charset="0"/>
            <a:cs typeface="Arial" charset="0"/>
          </a:endParaRPr>
        </a:p>
      </cdr:txBody>
    </cdr:sp>
  </cdr:relSizeAnchor>
</c:userShapes>
</file>

<file path=xl/drawings/drawing8.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0.xml><?xml version="1.0" encoding="utf-8"?>
<xdr:wsDr xmlns:xdr="http://schemas.openxmlformats.org/drawingml/2006/spreadsheetDrawing" xmlns:a="http://schemas.openxmlformats.org/drawingml/2006/main">
  <xdr:absoluteAnchor>
    <xdr:pos x="0" y="0"/>
    <xdr:ext cx="8566727" cy="582660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1.xml><?xml version="1.0" encoding="utf-8"?>
<c:userShapes xmlns:c="http://schemas.openxmlformats.org/drawingml/2006/chart">
  <cdr:relSizeAnchor xmlns:cdr="http://schemas.openxmlformats.org/drawingml/2006/chartDrawing">
    <cdr:from>
      <cdr:x>0.88754</cdr:x>
      <cdr:y>0.1001</cdr:y>
    </cdr:from>
    <cdr:to>
      <cdr:x>0.98086</cdr:x>
      <cdr:y>0.17082</cdr:y>
    </cdr:to>
    <cdr:sp macro="" textlink="">
      <cdr:nvSpPr>
        <cdr:cNvPr id="4" name="TextBox 3"/>
        <cdr:cNvSpPr txBox="1"/>
      </cdr:nvSpPr>
      <cdr:spPr>
        <a:xfrm xmlns:a="http://schemas.openxmlformats.org/drawingml/2006/main">
          <a:off x="7676444" y="559409"/>
          <a:ext cx="807165" cy="3952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a:latin typeface="Arial"/>
              <a:cs typeface="Arial"/>
            </a:rPr>
            <a:t>USA</a:t>
          </a:r>
        </a:p>
      </cdr:txBody>
    </cdr:sp>
  </cdr:relSizeAnchor>
  <cdr:relSizeAnchor xmlns:cdr="http://schemas.openxmlformats.org/drawingml/2006/chartDrawing">
    <cdr:from>
      <cdr:x>0.14164</cdr:x>
      <cdr:y>0.61512</cdr:y>
    </cdr:from>
    <cdr:to>
      <cdr:x>0.2082</cdr:x>
      <cdr:y>0.7444</cdr:y>
    </cdr:to>
    <cdr:sp macro="" textlink="">
      <cdr:nvSpPr>
        <cdr:cNvPr id="5" name="TextBox 4"/>
        <cdr:cNvSpPr txBox="1"/>
      </cdr:nvSpPr>
      <cdr:spPr>
        <a:xfrm xmlns:a="http://schemas.openxmlformats.org/drawingml/2006/main">
          <a:off x="1225027" y="3437737"/>
          <a:ext cx="575687" cy="7225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a:latin typeface="Arial"/>
              <a:cs typeface="Arial"/>
            </a:rPr>
            <a:t>IRE</a:t>
          </a:r>
        </a:p>
        <a:p xmlns:a="http://schemas.openxmlformats.org/drawingml/2006/main">
          <a:endParaRPr lang="en-US" sz="1100"/>
        </a:p>
      </cdr:txBody>
    </cdr:sp>
  </cdr:relSizeAnchor>
</c:userShapes>
</file>

<file path=xl/drawings/drawing82.xml><?xml version="1.0" encoding="utf-8"?>
<xdr:wsDr xmlns:xdr="http://schemas.openxmlformats.org/drawingml/2006/spreadsheetDrawing" xmlns:a="http://schemas.openxmlformats.org/drawingml/2006/main">
  <xdr:absoluteAnchor>
    <xdr:pos x="0" y="0"/>
    <xdr:ext cx="8566727" cy="582660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3.xml><?xml version="1.0" encoding="utf-8"?>
<c:userShapes xmlns:c="http://schemas.openxmlformats.org/drawingml/2006/chart">
  <cdr:relSizeAnchor xmlns:cdr="http://schemas.openxmlformats.org/drawingml/2006/chartDrawing">
    <cdr:from>
      <cdr:x>0.03423</cdr:x>
      <cdr:y>0.91328</cdr:y>
    </cdr:from>
    <cdr:to>
      <cdr:x>0.9781</cdr:x>
      <cdr:y>0.97226</cdr:y>
    </cdr:to>
    <cdr:sp macro="" textlink="">
      <cdr:nvSpPr>
        <cdr:cNvPr id="2" name="TextBox 1"/>
        <cdr:cNvSpPr txBox="1"/>
      </cdr:nvSpPr>
      <cdr:spPr>
        <a:xfrm xmlns:a="http://schemas.openxmlformats.org/drawingml/2006/main">
          <a:off x="293239" y="5321300"/>
          <a:ext cx="8085877" cy="3436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latin typeface="Arial" charset="0"/>
              <a:ea typeface="Arial" charset="0"/>
              <a:cs typeface="Arial" charset="0"/>
            </a:rPr>
            <a:t>Sources</a:t>
          </a:r>
          <a:r>
            <a:rPr lang="en-US" sz="1100">
              <a:latin typeface="Arial" charset="0"/>
              <a:ea typeface="Arial" charset="0"/>
              <a:cs typeface="Arial" charset="0"/>
            </a:rPr>
            <a:t> and </a:t>
          </a:r>
          <a:r>
            <a:rPr lang="en-US" sz="1100" b="1">
              <a:latin typeface="Arial" charset="0"/>
              <a:ea typeface="Arial" charset="0"/>
              <a:cs typeface="Arial" charset="0"/>
            </a:rPr>
            <a:t>Notes</a:t>
          </a:r>
          <a:r>
            <a:rPr lang="en-US" sz="1100">
              <a:latin typeface="Arial" charset="0"/>
              <a:ea typeface="Arial" charset="0"/>
              <a:cs typeface="Arial" charset="0"/>
            </a:rPr>
            <a:t>: See Table B.6.</a:t>
          </a:r>
        </a:p>
      </cdr:txBody>
    </cdr:sp>
  </cdr:relSizeAnchor>
</c:userShapes>
</file>

<file path=xl/drawings/drawing84.xml><?xml version="1.0" encoding="utf-8"?>
<xdr:wsDr xmlns:xdr="http://schemas.openxmlformats.org/drawingml/2006/spreadsheetDrawing" xmlns:a="http://schemas.openxmlformats.org/drawingml/2006/main">
  <xdr:twoCellAnchor>
    <xdr:from>
      <xdr:col>1</xdr:col>
      <xdr:colOff>112857</xdr:colOff>
      <xdr:row>10</xdr:row>
      <xdr:rowOff>196274</xdr:rowOff>
    </xdr:from>
    <xdr:to>
      <xdr:col>2</xdr:col>
      <xdr:colOff>12989</xdr:colOff>
      <xdr:row>12</xdr:row>
      <xdr:rowOff>196274</xdr:rowOff>
    </xdr:to>
    <xdr:sp macro="" textlink="">
      <xdr:nvSpPr>
        <xdr:cNvPr id="3" name="TextBox 2"/>
        <xdr:cNvSpPr txBox="1"/>
      </xdr:nvSpPr>
      <xdr:spPr>
        <a:xfrm>
          <a:off x="938357" y="1961574"/>
          <a:ext cx="725632" cy="355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a:latin typeface="Arial"/>
              <a:cs typeface="Arial"/>
            </a:rPr>
            <a:t>IRE</a:t>
          </a:r>
        </a:p>
      </xdr:txBody>
    </xdr:sp>
    <xdr:clientData/>
  </xdr:twoCellAnchor>
  <xdr:twoCellAnchor>
    <xdr:from>
      <xdr:col>1</xdr:col>
      <xdr:colOff>124114</xdr:colOff>
      <xdr:row>12</xdr:row>
      <xdr:rowOff>64943</xdr:rowOff>
    </xdr:from>
    <xdr:to>
      <xdr:col>2</xdr:col>
      <xdr:colOff>190500</xdr:colOff>
      <xdr:row>14</xdr:row>
      <xdr:rowOff>47625</xdr:rowOff>
    </xdr:to>
    <xdr:sp macro="" textlink="">
      <xdr:nvSpPr>
        <xdr:cNvPr id="4" name="TextBox 3"/>
        <xdr:cNvSpPr txBox="1"/>
      </xdr:nvSpPr>
      <xdr:spPr>
        <a:xfrm flipH="1">
          <a:off x="949614" y="2198543"/>
          <a:ext cx="891886" cy="33828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a:latin typeface="Arial"/>
              <a:cs typeface="Arial"/>
            </a:rPr>
            <a:t>IRE</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0</xdr:colOff>
      <xdr:row>52</xdr:row>
      <xdr:rowOff>0</xdr:rowOff>
    </xdr:from>
    <xdr:to>
      <xdr:col>1</xdr:col>
      <xdr:colOff>0</xdr:colOff>
      <xdr:row>52</xdr:row>
      <xdr:rowOff>0</xdr:rowOff>
    </xdr:to>
    <xdr:sp macro="" textlink="">
      <xdr:nvSpPr>
        <xdr:cNvPr id="2" name="Line 1"/>
        <xdr:cNvSpPr>
          <a:spLocks noChangeShapeType="1"/>
        </xdr:cNvSpPr>
      </xdr:nvSpPr>
      <xdr:spPr bwMode="auto">
        <a:xfrm>
          <a:off x="698500" y="7467600"/>
          <a:ext cx="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txBody>
        <a:bodyPr rtlCol="0"/>
        <a:lstStyle/>
        <a:p>
          <a:pPr algn="ctr"/>
          <a:endParaRPr lang="fr-FR"/>
        </a:p>
      </xdr:txBody>
    </xdr:sp>
    <xdr:clientData/>
  </xdr:twoCellAnchor>
  <xdr:twoCellAnchor>
    <xdr:from>
      <xdr:col>1</xdr:col>
      <xdr:colOff>50800</xdr:colOff>
      <xdr:row>52</xdr:row>
      <xdr:rowOff>0</xdr:rowOff>
    </xdr:from>
    <xdr:to>
      <xdr:col>1</xdr:col>
      <xdr:colOff>50800</xdr:colOff>
      <xdr:row>52</xdr:row>
      <xdr:rowOff>0</xdr:rowOff>
    </xdr:to>
    <xdr:sp macro="" textlink="">
      <xdr:nvSpPr>
        <xdr:cNvPr id="3" name="Line 2"/>
        <xdr:cNvSpPr>
          <a:spLocks noChangeShapeType="1"/>
        </xdr:cNvSpPr>
      </xdr:nvSpPr>
      <xdr:spPr bwMode="auto">
        <a:xfrm>
          <a:off x="749300" y="7467600"/>
          <a:ext cx="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txBody>
        <a:bodyPr rtlCol="0"/>
        <a:lstStyle/>
        <a:p>
          <a:pPr algn="ctr"/>
          <a:endParaRPr lang="fr-FR"/>
        </a:p>
      </xdr:txBody>
    </xdr:sp>
    <xdr:clientData/>
  </xdr:twoCellAnchor>
  <xdr:twoCellAnchor>
    <xdr:from>
      <xdr:col>1</xdr:col>
      <xdr:colOff>50800</xdr:colOff>
      <xdr:row>52</xdr:row>
      <xdr:rowOff>0</xdr:rowOff>
    </xdr:from>
    <xdr:to>
      <xdr:col>1</xdr:col>
      <xdr:colOff>50800</xdr:colOff>
      <xdr:row>52</xdr:row>
      <xdr:rowOff>0</xdr:rowOff>
    </xdr:to>
    <xdr:sp macro="" textlink="">
      <xdr:nvSpPr>
        <xdr:cNvPr id="4" name="Line 3"/>
        <xdr:cNvSpPr>
          <a:spLocks noChangeShapeType="1"/>
        </xdr:cNvSpPr>
      </xdr:nvSpPr>
      <xdr:spPr bwMode="auto">
        <a:xfrm>
          <a:off x="749300" y="7467600"/>
          <a:ext cx="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txBody>
        <a:bodyPr rtlCol="0"/>
        <a:lstStyle/>
        <a:p>
          <a:pPr algn="ctr"/>
          <a:endParaRPr lang="fr-FR"/>
        </a:p>
      </xdr:txBody>
    </xdr:sp>
    <xdr:clientData/>
  </xdr:twoCellAnchor>
  <xdr:twoCellAnchor>
    <xdr:from>
      <xdr:col>1</xdr:col>
      <xdr:colOff>0</xdr:colOff>
      <xdr:row>52</xdr:row>
      <xdr:rowOff>0</xdr:rowOff>
    </xdr:from>
    <xdr:to>
      <xdr:col>1</xdr:col>
      <xdr:colOff>0</xdr:colOff>
      <xdr:row>52</xdr:row>
      <xdr:rowOff>0</xdr:rowOff>
    </xdr:to>
    <xdr:sp macro="" textlink="">
      <xdr:nvSpPr>
        <xdr:cNvPr id="5" name="Line 4"/>
        <xdr:cNvSpPr>
          <a:spLocks noChangeShapeType="1"/>
        </xdr:cNvSpPr>
      </xdr:nvSpPr>
      <xdr:spPr bwMode="auto">
        <a:xfrm>
          <a:off x="698500" y="7467600"/>
          <a:ext cx="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txBody>
        <a:bodyPr rtlCol="0"/>
        <a:lstStyle/>
        <a:p>
          <a:pPr algn="ctr"/>
          <a:endParaRPr lang="fr-FR"/>
        </a:p>
      </xdr:txBody>
    </xdr:sp>
    <xdr:clientData/>
  </xdr:twoCellAnchor>
  <xdr:twoCellAnchor>
    <xdr:from>
      <xdr:col>1</xdr:col>
      <xdr:colOff>0</xdr:colOff>
      <xdr:row>52</xdr:row>
      <xdr:rowOff>0</xdr:rowOff>
    </xdr:from>
    <xdr:to>
      <xdr:col>1</xdr:col>
      <xdr:colOff>0</xdr:colOff>
      <xdr:row>52</xdr:row>
      <xdr:rowOff>0</xdr:rowOff>
    </xdr:to>
    <xdr:sp macro="" textlink="">
      <xdr:nvSpPr>
        <xdr:cNvPr id="6" name="Line 5"/>
        <xdr:cNvSpPr>
          <a:spLocks noChangeShapeType="1"/>
        </xdr:cNvSpPr>
      </xdr:nvSpPr>
      <xdr:spPr bwMode="auto">
        <a:xfrm>
          <a:off x="698500" y="746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rtlCol="0"/>
        <a:lstStyle/>
        <a:p>
          <a:pPr algn="ctr"/>
          <a:endParaRPr lang="fr-FR"/>
        </a:p>
      </xdr:txBody>
    </xdr:sp>
    <xdr:clientData/>
  </xdr:twoCellAnchor>
  <xdr:twoCellAnchor>
    <xdr:from>
      <xdr:col>4</xdr:col>
      <xdr:colOff>0</xdr:colOff>
      <xdr:row>52</xdr:row>
      <xdr:rowOff>0</xdr:rowOff>
    </xdr:from>
    <xdr:to>
      <xdr:col>4</xdr:col>
      <xdr:colOff>0</xdr:colOff>
      <xdr:row>52</xdr:row>
      <xdr:rowOff>0</xdr:rowOff>
    </xdr:to>
    <xdr:sp macro="" textlink="">
      <xdr:nvSpPr>
        <xdr:cNvPr id="7" name="Line 6"/>
        <xdr:cNvSpPr>
          <a:spLocks noChangeShapeType="1"/>
        </xdr:cNvSpPr>
      </xdr:nvSpPr>
      <xdr:spPr bwMode="auto">
        <a:xfrm>
          <a:off x="2794000" y="7467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rtlCol="0"/>
        <a:lstStyle/>
        <a:p>
          <a:pPr algn="ctr"/>
          <a:endParaRPr lang="fr-FR"/>
        </a:p>
      </xdr:txBody>
    </xdr:sp>
    <xdr:clientData/>
  </xdr:twoCellAnchor>
  <xdr:twoCellAnchor>
    <xdr:from>
      <xdr:col>1</xdr:col>
      <xdr:colOff>0</xdr:colOff>
      <xdr:row>34</xdr:row>
      <xdr:rowOff>0</xdr:rowOff>
    </xdr:from>
    <xdr:to>
      <xdr:col>1</xdr:col>
      <xdr:colOff>0</xdr:colOff>
      <xdr:row>34</xdr:row>
      <xdr:rowOff>0</xdr:rowOff>
    </xdr:to>
    <xdr:sp macro="" textlink="">
      <xdr:nvSpPr>
        <xdr:cNvPr id="8" name="Line 7"/>
        <xdr:cNvSpPr>
          <a:spLocks noChangeShapeType="1"/>
        </xdr:cNvSpPr>
      </xdr:nvSpPr>
      <xdr:spPr bwMode="auto">
        <a:xfrm>
          <a:off x="698500" y="4724400"/>
          <a:ext cx="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txBody>
        <a:bodyPr rtlCol="0"/>
        <a:lstStyle/>
        <a:p>
          <a:pPr algn="ctr"/>
          <a:endParaRPr lang="fr-FR"/>
        </a:p>
      </xdr:txBody>
    </xdr:sp>
    <xdr:clientData/>
  </xdr:twoCellAnchor>
  <xdr:twoCellAnchor>
    <xdr:from>
      <xdr:col>1</xdr:col>
      <xdr:colOff>50800</xdr:colOff>
      <xdr:row>34</xdr:row>
      <xdr:rowOff>0</xdr:rowOff>
    </xdr:from>
    <xdr:to>
      <xdr:col>1</xdr:col>
      <xdr:colOff>50800</xdr:colOff>
      <xdr:row>34</xdr:row>
      <xdr:rowOff>0</xdr:rowOff>
    </xdr:to>
    <xdr:sp macro="" textlink="">
      <xdr:nvSpPr>
        <xdr:cNvPr id="9" name="Line 8"/>
        <xdr:cNvSpPr>
          <a:spLocks noChangeShapeType="1"/>
        </xdr:cNvSpPr>
      </xdr:nvSpPr>
      <xdr:spPr bwMode="auto">
        <a:xfrm>
          <a:off x="749300" y="4724400"/>
          <a:ext cx="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txBody>
        <a:bodyPr rtlCol="0"/>
        <a:lstStyle/>
        <a:p>
          <a:pPr algn="ctr"/>
          <a:endParaRPr lang="fr-FR"/>
        </a:p>
      </xdr:txBody>
    </xdr:sp>
    <xdr:clientData/>
  </xdr:twoCellAnchor>
  <xdr:twoCellAnchor>
    <xdr:from>
      <xdr:col>1</xdr:col>
      <xdr:colOff>50800</xdr:colOff>
      <xdr:row>34</xdr:row>
      <xdr:rowOff>0</xdr:rowOff>
    </xdr:from>
    <xdr:to>
      <xdr:col>1</xdr:col>
      <xdr:colOff>50800</xdr:colOff>
      <xdr:row>34</xdr:row>
      <xdr:rowOff>0</xdr:rowOff>
    </xdr:to>
    <xdr:sp macro="" textlink="">
      <xdr:nvSpPr>
        <xdr:cNvPr id="10" name="Line 9"/>
        <xdr:cNvSpPr>
          <a:spLocks noChangeShapeType="1"/>
        </xdr:cNvSpPr>
      </xdr:nvSpPr>
      <xdr:spPr bwMode="auto">
        <a:xfrm>
          <a:off x="749300" y="4724400"/>
          <a:ext cx="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txBody>
        <a:bodyPr rtlCol="0"/>
        <a:lstStyle/>
        <a:p>
          <a:pPr algn="ctr"/>
          <a:endParaRPr lang="fr-FR"/>
        </a:p>
      </xdr:txBody>
    </xdr:sp>
    <xdr:clientData/>
  </xdr:twoCellAnchor>
  <xdr:twoCellAnchor>
    <xdr:from>
      <xdr:col>1</xdr:col>
      <xdr:colOff>0</xdr:colOff>
      <xdr:row>34</xdr:row>
      <xdr:rowOff>0</xdr:rowOff>
    </xdr:from>
    <xdr:to>
      <xdr:col>1</xdr:col>
      <xdr:colOff>0</xdr:colOff>
      <xdr:row>34</xdr:row>
      <xdr:rowOff>0</xdr:rowOff>
    </xdr:to>
    <xdr:sp macro="" textlink="">
      <xdr:nvSpPr>
        <xdr:cNvPr id="11" name="Line 10"/>
        <xdr:cNvSpPr>
          <a:spLocks noChangeShapeType="1"/>
        </xdr:cNvSpPr>
      </xdr:nvSpPr>
      <xdr:spPr bwMode="auto">
        <a:xfrm>
          <a:off x="698500" y="4724400"/>
          <a:ext cx="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txBody>
        <a:bodyPr rtlCol="0"/>
        <a:lstStyle/>
        <a:p>
          <a:pPr algn="ctr"/>
          <a:endParaRPr lang="fr-FR"/>
        </a:p>
      </xdr:txBody>
    </xdr:sp>
    <xdr:clientData/>
  </xdr:twoCellAnchor>
  <xdr:twoCellAnchor>
    <xdr:from>
      <xdr:col>1</xdr:col>
      <xdr:colOff>0</xdr:colOff>
      <xdr:row>34</xdr:row>
      <xdr:rowOff>0</xdr:rowOff>
    </xdr:from>
    <xdr:to>
      <xdr:col>1</xdr:col>
      <xdr:colOff>0</xdr:colOff>
      <xdr:row>34</xdr:row>
      <xdr:rowOff>0</xdr:rowOff>
    </xdr:to>
    <xdr:sp macro="" textlink="">
      <xdr:nvSpPr>
        <xdr:cNvPr id="12" name="Line 11"/>
        <xdr:cNvSpPr>
          <a:spLocks noChangeShapeType="1"/>
        </xdr:cNvSpPr>
      </xdr:nvSpPr>
      <xdr:spPr bwMode="auto">
        <a:xfrm>
          <a:off x="698500" y="472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rtlCol="0"/>
        <a:lstStyle/>
        <a:p>
          <a:pPr algn="ctr"/>
          <a:endParaRPr lang="fr-FR"/>
        </a:p>
      </xdr:txBody>
    </xdr:sp>
    <xdr:clientData/>
  </xdr:twoCellAnchor>
  <xdr:twoCellAnchor>
    <xdr:from>
      <xdr:col>4</xdr:col>
      <xdr:colOff>0</xdr:colOff>
      <xdr:row>34</xdr:row>
      <xdr:rowOff>0</xdr:rowOff>
    </xdr:from>
    <xdr:to>
      <xdr:col>4</xdr:col>
      <xdr:colOff>0</xdr:colOff>
      <xdr:row>34</xdr:row>
      <xdr:rowOff>0</xdr:rowOff>
    </xdr:to>
    <xdr:sp macro="" textlink="">
      <xdr:nvSpPr>
        <xdr:cNvPr id="13" name="Line 12"/>
        <xdr:cNvSpPr>
          <a:spLocks noChangeShapeType="1"/>
        </xdr:cNvSpPr>
      </xdr:nvSpPr>
      <xdr:spPr bwMode="auto">
        <a:xfrm>
          <a:off x="2794000" y="4724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rtlCol="0"/>
        <a:lstStyle/>
        <a:p>
          <a:pPr algn="ctr"/>
          <a:endParaRPr lang="fr-F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75</xdr:col>
      <xdr:colOff>666749</xdr:colOff>
      <xdr:row>61</xdr:row>
      <xdr:rowOff>174625</xdr:rowOff>
    </xdr:from>
    <xdr:to>
      <xdr:col>83</xdr:col>
      <xdr:colOff>79375</xdr:colOff>
      <xdr:row>78</xdr:row>
      <xdr:rowOff>111125</xdr:rowOff>
    </xdr:to>
    <xdr:graphicFrame macro="">
      <xdr:nvGraphicFramePr>
        <xdr:cNvPr id="2" name="Chart 1">
          <a:extLst>
            <a:ext uri="{FF2B5EF4-FFF2-40B4-BE49-F238E27FC236}">
              <a16:creationId xmlns=""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217</xdr:col>
      <xdr:colOff>136071</xdr:colOff>
      <xdr:row>66</xdr:row>
      <xdr:rowOff>95250</xdr:rowOff>
    </xdr:from>
    <xdr:to>
      <xdr:col>224</xdr:col>
      <xdr:colOff>247197</xdr:colOff>
      <xdr:row>93</xdr:row>
      <xdr:rowOff>31751</xdr:rowOff>
    </xdr:to>
    <xdr:graphicFrame macro="">
      <xdr:nvGraphicFramePr>
        <xdr:cNvPr id="3" name="Chart 2">
          <a:extLst>
            <a:ext uri="{FF2B5EF4-FFF2-40B4-BE49-F238E27FC236}">
              <a16:creationId xmlns=""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224</xdr:col>
      <xdr:colOff>701675</xdr:colOff>
      <xdr:row>66</xdr:row>
      <xdr:rowOff>174625</xdr:rowOff>
    </xdr:from>
    <xdr:to>
      <xdr:col>233</xdr:col>
      <xdr:colOff>263979</xdr:colOff>
      <xdr:row>93</xdr:row>
      <xdr:rowOff>120197</xdr:rowOff>
    </xdr:to>
    <xdr:graphicFrame macro="">
      <xdr:nvGraphicFramePr>
        <xdr:cNvPr id="4" name="Chart 3">
          <a:extLst>
            <a:ext uri="{FF2B5EF4-FFF2-40B4-BE49-F238E27FC236}">
              <a16:creationId xmlns=""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85</xdr:col>
      <xdr:colOff>3629</xdr:colOff>
      <xdr:row>62</xdr:row>
      <xdr:rowOff>177800</xdr:rowOff>
    </xdr:from>
    <xdr:to>
      <xdr:col>93</xdr:col>
      <xdr:colOff>511630</xdr:colOff>
      <xdr:row>79</xdr:row>
      <xdr:rowOff>110671</xdr:rowOff>
    </xdr:to>
    <xdr:graphicFrame macro="">
      <xdr:nvGraphicFramePr>
        <xdr:cNvPr id="5" name="Chart 4">
          <a:extLst>
            <a:ext uri="{FF2B5EF4-FFF2-40B4-BE49-F238E27FC236}">
              <a16:creationId xmlns=""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85</xdr:col>
      <xdr:colOff>158750</xdr:colOff>
      <xdr:row>79</xdr:row>
      <xdr:rowOff>196850</xdr:rowOff>
    </xdr:from>
    <xdr:to>
      <xdr:col>93</xdr:col>
      <xdr:colOff>666751</xdr:colOff>
      <xdr:row>96</xdr:row>
      <xdr:rowOff>126546</xdr:rowOff>
    </xdr:to>
    <xdr:graphicFrame macro="">
      <xdr:nvGraphicFramePr>
        <xdr:cNvPr id="6" name="Chart 5">
          <a:extLst>
            <a:ext uri="{FF2B5EF4-FFF2-40B4-BE49-F238E27FC236}">
              <a16:creationId xmlns=""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53</xdr:col>
      <xdr:colOff>1365250</xdr:colOff>
      <xdr:row>63</xdr:row>
      <xdr:rowOff>104775</xdr:rowOff>
    </xdr:from>
    <xdr:to>
      <xdr:col>58</xdr:col>
      <xdr:colOff>603251</xdr:colOff>
      <xdr:row>80</xdr:row>
      <xdr:rowOff>50346</xdr:rowOff>
    </xdr:to>
    <xdr:graphicFrame macro="">
      <xdr:nvGraphicFramePr>
        <xdr:cNvPr id="7" name="Chart 6">
          <a:extLst>
            <a:ext uri="{FF2B5EF4-FFF2-40B4-BE49-F238E27FC236}">
              <a16:creationId xmlns="" xmlns:a16="http://schemas.microsoft.com/office/drawing/2014/main" id="{7969A52A-A598-4ED2-AEE2-A7006A389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235</xdr:col>
      <xdr:colOff>558800</xdr:colOff>
      <xdr:row>17</xdr:row>
      <xdr:rowOff>38100</xdr:rowOff>
    </xdr:from>
    <xdr:to>
      <xdr:col>244</xdr:col>
      <xdr:colOff>139700</xdr:colOff>
      <xdr:row>43</xdr:row>
      <xdr:rowOff>152400</xdr:rowOff>
    </xdr:to>
    <xdr:graphicFrame macro="">
      <xdr:nvGraphicFramePr>
        <xdr:cNvPr id="8" name="Chart 7">
          <a:extLst>
            <a:ext uri="{FF2B5EF4-FFF2-40B4-BE49-F238E27FC236}">
              <a16:creationId xmlns="" xmlns:a16="http://schemas.microsoft.com/office/drawing/2014/main" id="{9027DDF9-E988-4D61-AE60-855DA77D6F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192</xdr:col>
      <xdr:colOff>486832</xdr:colOff>
      <xdr:row>9</xdr:row>
      <xdr:rowOff>51858</xdr:rowOff>
    </xdr:from>
    <xdr:to>
      <xdr:col>199</xdr:col>
      <xdr:colOff>486832</xdr:colOff>
      <xdr:row>30</xdr:row>
      <xdr:rowOff>169332</xdr:rowOff>
    </xdr:to>
    <xdr:graphicFrame macro="">
      <xdr:nvGraphicFramePr>
        <xdr:cNvPr id="9" name="Chart 8">
          <a:extLst>
            <a:ext uri="{FF2B5EF4-FFF2-40B4-BE49-F238E27FC236}">
              <a16:creationId xmlns="" xmlns:a16="http://schemas.microsoft.com/office/drawing/2014/main" id="{75E080A3-BFCD-426B-84CB-4F9542501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7.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8.xml><?xml version="1.0" encoding="utf-8"?>
<c:userShapes xmlns:c="http://schemas.openxmlformats.org/drawingml/2006/chart">
  <cdr:relSizeAnchor xmlns:cdr="http://schemas.openxmlformats.org/drawingml/2006/chartDrawing">
    <cdr:from>
      <cdr:x>0.69892</cdr:x>
      <cdr:y>0.10853</cdr:y>
    </cdr:from>
    <cdr:to>
      <cdr:x>0.70159</cdr:x>
      <cdr:y>0.91641</cdr:y>
    </cdr:to>
    <cdr:cxnSp macro="">
      <cdr:nvCxnSpPr>
        <cdr:cNvPr id="3" name="Connecteur droit 2"/>
        <cdr:cNvCxnSpPr/>
      </cdr:nvCxnSpPr>
      <cdr:spPr>
        <a:xfrm xmlns:a="http://schemas.openxmlformats.org/drawingml/2006/main" flipH="1" flipV="1">
          <a:off x="6435293" y="609233"/>
          <a:ext cx="24584" cy="4534954"/>
        </a:xfrm>
        <a:prstGeom xmlns:a="http://schemas.openxmlformats.org/drawingml/2006/main" prst="line">
          <a:avLst/>
        </a:prstGeom>
        <a:ln xmlns:a="http://schemas.openxmlformats.org/drawingml/2006/main">
          <a:solidFill>
            <a:schemeClr val="tx1"/>
          </a:solidFill>
          <a:prstDash val="sysDot"/>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0.55183</cdr:x>
      <cdr:y>0.14455</cdr:y>
    </cdr:from>
    <cdr:to>
      <cdr:x>0.69809</cdr:x>
      <cdr:y>0.20498</cdr:y>
    </cdr:to>
    <cdr:sp macro="" textlink="">
      <cdr:nvSpPr>
        <cdr:cNvPr id="4" name="Rectangle 3"/>
        <cdr:cNvSpPr/>
      </cdr:nvSpPr>
      <cdr:spPr>
        <a:xfrm xmlns:a="http://schemas.openxmlformats.org/drawingml/2006/main">
          <a:off x="5080975" y="811402"/>
          <a:ext cx="1346689"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Repatriation tax holiday</a:t>
          </a:r>
        </a:p>
      </cdr:txBody>
    </cdr:sp>
  </cdr:relSizeAnchor>
  <cdr:relSizeAnchor xmlns:cdr="http://schemas.openxmlformats.org/drawingml/2006/chartDrawing">
    <cdr:from>
      <cdr:x>0.01909</cdr:x>
      <cdr:y>0.90322</cdr:y>
    </cdr:from>
    <cdr:to>
      <cdr:x>1</cdr:x>
      <cdr:y>0.98088</cdr:y>
    </cdr:to>
    <cdr:sp macro="" textlink="">
      <cdr:nvSpPr>
        <cdr:cNvPr id="5" name="Rectangle 4"/>
        <cdr:cNvSpPr/>
      </cdr:nvSpPr>
      <cdr:spPr>
        <a:xfrm xmlns:a="http://schemas.openxmlformats.org/drawingml/2006/main">
          <a:off x="175771" y="5070148"/>
          <a:ext cx="9031729" cy="43593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rtl="0"/>
          <a:r>
            <a:rPr lang="fr-FR" sz="900" b="0" i="0" baseline="0">
              <a:solidFill>
                <a:schemeClr val="tx1"/>
              </a:solidFill>
              <a:effectLst/>
              <a:latin typeface="Arial"/>
              <a:ea typeface="+mn-ea"/>
              <a:cs typeface="Arial"/>
            </a:rPr>
            <a:t>Notes: This figure charts the ratio of US direct investment income reinvested in the main tax havens (Netherlands, Ireland, Switzerland, Singapore, Luxembourg, Bermuda and other Caribbean havens) to total US direct investment equity income abroad.The negative amount of reinvested earnings in 2005 means that U.S. firms repatriated more that 100% of the 2005 profits of their foreign affiliates. Source: author's computations using balance of payments data, see Online Appendix.</a:t>
          </a:r>
          <a:endParaRPr lang="fr-FR" sz="900">
            <a:solidFill>
              <a:schemeClr val="tx1"/>
            </a:solidFill>
            <a:effectLst/>
            <a:latin typeface="Arial"/>
            <a:cs typeface="Arial"/>
          </a:endParaRPr>
        </a:p>
      </cdr:txBody>
    </cdr:sp>
  </cdr:relSizeAnchor>
</c:userShapes>
</file>

<file path=xl/drawings/drawing89.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0.35557</cdr:x>
      <cdr:y>0.55911</cdr:y>
    </cdr:from>
    <cdr:to>
      <cdr:x>0.58964</cdr:x>
      <cdr:y>0.63479</cdr:y>
    </cdr:to>
    <cdr:sp macro="" textlink="">
      <cdr:nvSpPr>
        <cdr:cNvPr id="2" name="Rectangle 1"/>
        <cdr:cNvSpPr/>
      </cdr:nvSpPr>
      <cdr:spPr>
        <a:xfrm xmlns:a="http://schemas.openxmlformats.org/drawingml/2006/main">
          <a:off x="3048083" y="3259214"/>
          <a:ext cx="2006565" cy="4411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accent2">
                  <a:lumMod val="75000"/>
                </a:schemeClr>
              </a:solidFill>
              <a:effectLst/>
              <a:latin typeface="Arial"/>
            </a:rPr>
            <a:t>Liabilities</a:t>
          </a:r>
        </a:p>
        <a:p xmlns:a="http://schemas.openxmlformats.org/drawingml/2006/main">
          <a:pPr algn="ctr"/>
          <a:endParaRPr lang="fr-FR" sz="1600" u="none" baseline="0">
            <a:ln>
              <a:noFill/>
            </a:ln>
            <a:solidFill>
              <a:schemeClr val="tx2">
                <a:lumMod val="75000"/>
              </a:schemeClr>
            </a:solidFill>
            <a:effectLst/>
            <a:latin typeface="Arial"/>
          </a:endParaRPr>
        </a:p>
      </cdr:txBody>
    </cdr:sp>
  </cdr:relSizeAnchor>
  <cdr:relSizeAnchor xmlns:cdr="http://schemas.openxmlformats.org/drawingml/2006/chartDrawing">
    <cdr:from>
      <cdr:x>0.67259</cdr:x>
      <cdr:y>0.28064</cdr:y>
    </cdr:from>
    <cdr:to>
      <cdr:x>0.96058</cdr:x>
      <cdr:y>0.35632</cdr:y>
    </cdr:to>
    <cdr:sp macro="" textlink="">
      <cdr:nvSpPr>
        <cdr:cNvPr id="3" name="Rectangle 2"/>
        <cdr:cNvSpPr/>
      </cdr:nvSpPr>
      <cdr:spPr>
        <a:xfrm xmlns:a="http://schemas.openxmlformats.org/drawingml/2006/main">
          <a:off x="5765806" y="1635923"/>
          <a:ext cx="2468795" cy="4411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u="none" baseline="0">
              <a:ln>
                <a:noFill/>
              </a:ln>
              <a:solidFill>
                <a:schemeClr val="tx2">
                  <a:lumMod val="75000"/>
                </a:schemeClr>
              </a:solidFill>
              <a:effectLst/>
              <a:latin typeface="Arial"/>
            </a:rPr>
            <a:t>Assets</a:t>
          </a:r>
        </a:p>
        <a:p xmlns:a="http://schemas.openxmlformats.org/drawingml/2006/main">
          <a:endParaRPr lang="fr-FR" sz="1600" u="none" baseline="0">
            <a:ln>
              <a:noFill/>
            </a:ln>
            <a:solidFill>
              <a:schemeClr val="tx1"/>
            </a:solidFill>
            <a:effectLst/>
            <a:latin typeface="Arial"/>
          </a:endParaRPr>
        </a:p>
      </cdr:txBody>
    </cdr:sp>
  </cdr:relSizeAnchor>
</c:userShapes>
</file>

<file path=xl/drawings/drawing90.xml><?xml version="1.0" encoding="utf-8"?>
<c:userShapes xmlns:c="http://schemas.openxmlformats.org/drawingml/2006/chart">
  <cdr:relSizeAnchor xmlns:cdr="http://schemas.openxmlformats.org/drawingml/2006/chartDrawing">
    <cdr:from>
      <cdr:x>0.45734</cdr:x>
      <cdr:y>0.17807</cdr:y>
    </cdr:from>
    <cdr:to>
      <cdr:x>0.74784</cdr:x>
      <cdr:y>0.23165</cdr:y>
    </cdr:to>
    <cdr:sp macro="" textlink="">
      <cdr:nvSpPr>
        <cdr:cNvPr id="2" name="Rectangle 1"/>
        <cdr:cNvSpPr/>
      </cdr:nvSpPr>
      <cdr:spPr>
        <a:xfrm xmlns:a="http://schemas.openxmlformats.org/drawingml/2006/main">
          <a:off x="4210999" y="999600"/>
          <a:ext cx="2674779" cy="3007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Nominal U.S. federal rate</a:t>
          </a:r>
        </a:p>
      </cdr:txBody>
    </cdr:sp>
  </cdr:relSizeAnchor>
  <cdr:relSizeAnchor xmlns:cdr="http://schemas.openxmlformats.org/drawingml/2006/chartDrawing">
    <cdr:from>
      <cdr:x>0.4399</cdr:x>
      <cdr:y>0.58301</cdr:y>
    </cdr:from>
    <cdr:to>
      <cdr:x>0.82716</cdr:x>
      <cdr:y>0.64354</cdr:y>
    </cdr:to>
    <cdr:sp macro="" textlink="">
      <cdr:nvSpPr>
        <cdr:cNvPr id="3" name="Rectangle 2"/>
        <cdr:cNvSpPr/>
      </cdr:nvSpPr>
      <cdr:spPr>
        <a:xfrm xmlns:a="http://schemas.openxmlformats.org/drawingml/2006/main">
          <a:off x="4050363" y="3272650"/>
          <a:ext cx="3565697" cy="33977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Effective rate paid to US government</a:t>
          </a:r>
        </a:p>
      </cdr:txBody>
    </cdr:sp>
  </cdr:relSizeAnchor>
  <cdr:relSizeAnchor xmlns:cdr="http://schemas.openxmlformats.org/drawingml/2006/chartDrawing">
    <cdr:from>
      <cdr:x>0.77241</cdr:x>
      <cdr:y>0.41781</cdr:y>
    </cdr:from>
    <cdr:to>
      <cdr:x>1</cdr:x>
      <cdr:y>0.54131</cdr:y>
    </cdr:to>
    <cdr:sp macro="" textlink="">
      <cdr:nvSpPr>
        <cdr:cNvPr id="4" name="Rectangle 3"/>
        <cdr:cNvSpPr/>
      </cdr:nvSpPr>
      <cdr:spPr>
        <a:xfrm xmlns:a="http://schemas.openxmlformats.org/drawingml/2006/main">
          <a:off x="7111965" y="2345308"/>
          <a:ext cx="2095535" cy="6932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Effective rate paid to US and foreign gov.</a:t>
          </a:r>
        </a:p>
      </cdr:txBody>
    </cdr:sp>
  </cdr:relSizeAnchor>
  <cdr:relSizeAnchor xmlns:cdr="http://schemas.openxmlformats.org/drawingml/2006/chartDrawing">
    <cdr:from>
      <cdr:x>0.01379</cdr:x>
      <cdr:y>0.9095</cdr:y>
    </cdr:from>
    <cdr:to>
      <cdr:x>0.99724</cdr:x>
      <cdr:y>0.994</cdr:y>
    </cdr:to>
    <cdr:sp macro="" textlink="">
      <cdr:nvSpPr>
        <cdr:cNvPr id="5" name="Rectangle 4"/>
        <cdr:cNvSpPr/>
      </cdr:nvSpPr>
      <cdr:spPr>
        <a:xfrm xmlns:a="http://schemas.openxmlformats.org/drawingml/2006/main">
          <a:off x="126971" y="5105400"/>
          <a:ext cx="9055129" cy="4743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000" smtClean="0">
              <a:solidFill>
                <a:schemeClr val="tx1"/>
              </a:solidFill>
              <a:latin typeface="Arial"/>
              <a:ea typeface="+mn-ea"/>
              <a:cs typeface="Arial"/>
            </a:rPr>
            <a:t>Notes: </a:t>
          </a:r>
          <a:r>
            <a:rPr kumimoji="0" lang="fr-FR" sz="950" b="0" i="0" u="none" strike="noStrike" kern="0" cap="none" spc="0" normalizeH="0" baseline="0" noProof="0">
              <a:ln>
                <a:noFill/>
              </a:ln>
              <a:solidFill>
                <a:prstClr val="black"/>
              </a:solidFill>
              <a:effectLst/>
              <a:uLnTx/>
              <a:uFillTx/>
              <a:latin typeface="Arial"/>
              <a:ea typeface="+mn-ea"/>
              <a:cs typeface="Arial"/>
            </a:rPr>
            <a:t>The figure reports decennial averages (e.g., 1970-79 is the average of 1970, 1971, ..., 1979).</a:t>
          </a:r>
          <a:r>
            <a:rPr lang="fr-FR" sz="1000" smtClean="0">
              <a:solidFill>
                <a:schemeClr val="tx1"/>
              </a:solidFill>
              <a:latin typeface="Arial"/>
              <a:ea typeface="+mn-ea"/>
              <a:cs typeface="Arial"/>
            </a:rPr>
            <a:t> In 2010-2016, over $100 of corporate profits earned by US residents, on average $16 is paid in corporate taxes to the U.S. government (federal and States) and $4 to foreign governments. Source: author's computations using NIPA data, see Online Appendix.</a:t>
          </a:r>
        </a:p>
      </cdr:txBody>
    </cdr:sp>
  </cdr:relSizeAnchor>
</c:userShapes>
</file>

<file path=xl/drawings/drawing91.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2.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3.xml><?xml version="1.0" encoding="utf-8"?>
<c:userShapes xmlns:c="http://schemas.openxmlformats.org/drawingml/2006/chart">
  <cdr:relSizeAnchor xmlns:cdr="http://schemas.openxmlformats.org/drawingml/2006/chartDrawing">
    <cdr:from>
      <cdr:x>0.55389</cdr:x>
      <cdr:y>0.16223</cdr:y>
    </cdr:from>
    <cdr:to>
      <cdr:x>0.84439</cdr:x>
      <cdr:y>0.21581</cdr:y>
    </cdr:to>
    <cdr:sp macro="" textlink="">
      <cdr:nvSpPr>
        <cdr:cNvPr id="2" name="Rectangle 1"/>
        <cdr:cNvSpPr/>
      </cdr:nvSpPr>
      <cdr:spPr>
        <a:xfrm xmlns:a="http://schemas.openxmlformats.org/drawingml/2006/main">
          <a:off x="5099958" y="910678"/>
          <a:ext cx="2674779" cy="3007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Nominal U.S. federal rate</a:t>
          </a:r>
        </a:p>
      </cdr:txBody>
    </cdr:sp>
  </cdr:relSizeAnchor>
  <cdr:relSizeAnchor xmlns:cdr="http://schemas.openxmlformats.org/drawingml/2006/chartDrawing">
    <cdr:from>
      <cdr:x>0.4399</cdr:x>
      <cdr:y>0.58301</cdr:y>
    </cdr:from>
    <cdr:to>
      <cdr:x>0.82716</cdr:x>
      <cdr:y>0.64354</cdr:y>
    </cdr:to>
    <cdr:sp macro="" textlink="">
      <cdr:nvSpPr>
        <cdr:cNvPr id="3" name="Rectangle 2"/>
        <cdr:cNvSpPr/>
      </cdr:nvSpPr>
      <cdr:spPr>
        <a:xfrm xmlns:a="http://schemas.openxmlformats.org/drawingml/2006/main">
          <a:off x="4050363" y="3272650"/>
          <a:ext cx="3565697" cy="33977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Effective rate paid to US government</a:t>
          </a:r>
        </a:p>
      </cdr:txBody>
    </cdr:sp>
  </cdr:relSizeAnchor>
  <cdr:relSizeAnchor xmlns:cdr="http://schemas.openxmlformats.org/drawingml/2006/chartDrawing">
    <cdr:from>
      <cdr:x>0.77931</cdr:x>
      <cdr:y>0.41781</cdr:y>
    </cdr:from>
    <cdr:to>
      <cdr:x>1</cdr:x>
      <cdr:y>0.54131</cdr:y>
    </cdr:to>
    <cdr:sp macro="" textlink="">
      <cdr:nvSpPr>
        <cdr:cNvPr id="4" name="Rectangle 3"/>
        <cdr:cNvSpPr/>
      </cdr:nvSpPr>
      <cdr:spPr>
        <a:xfrm xmlns:a="http://schemas.openxmlformats.org/drawingml/2006/main">
          <a:off x="7175500" y="2345335"/>
          <a:ext cx="2032000" cy="6932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u="none" baseline="0">
              <a:ln>
                <a:noFill/>
              </a:ln>
              <a:solidFill>
                <a:schemeClr val="tx1"/>
              </a:solidFill>
              <a:effectLst/>
              <a:latin typeface="Arial"/>
            </a:rPr>
            <a:t>Effective rate paid to US and foreign gov.</a:t>
          </a:r>
        </a:p>
      </cdr:txBody>
    </cdr:sp>
  </cdr:relSizeAnchor>
  <cdr:relSizeAnchor xmlns:cdr="http://schemas.openxmlformats.org/drawingml/2006/chartDrawing">
    <cdr:from>
      <cdr:x>0.01379</cdr:x>
      <cdr:y>0.92534</cdr:y>
    </cdr:from>
    <cdr:to>
      <cdr:x>0.99724</cdr:x>
      <cdr:y>0.994</cdr:y>
    </cdr:to>
    <cdr:sp macro="" textlink="">
      <cdr:nvSpPr>
        <cdr:cNvPr id="5" name="Rectangle 4"/>
        <cdr:cNvSpPr/>
      </cdr:nvSpPr>
      <cdr:spPr>
        <a:xfrm xmlns:a="http://schemas.openxmlformats.org/drawingml/2006/main">
          <a:off x="126971" y="5194300"/>
          <a:ext cx="9055116" cy="3854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000" smtClean="0">
              <a:solidFill>
                <a:schemeClr val="tx1"/>
              </a:solidFill>
              <a:latin typeface="Arial"/>
              <a:ea typeface="+mn-ea"/>
              <a:cs typeface="Arial"/>
            </a:rPr>
            <a:t>Notes: </a:t>
          </a:r>
          <a:r>
            <a:rPr kumimoji="0" lang="fr-FR" sz="950" b="0" i="0" u="none" strike="noStrike" kern="0" cap="none" spc="0" normalizeH="0" baseline="0" noProof="0">
              <a:ln>
                <a:noFill/>
              </a:ln>
              <a:solidFill>
                <a:prstClr val="black"/>
              </a:solidFill>
              <a:effectLst/>
              <a:uLnTx/>
              <a:uFillTx/>
              <a:latin typeface="Arial"/>
              <a:ea typeface="+mn-ea"/>
              <a:cs typeface="Arial"/>
            </a:rPr>
            <a:t>The figure reports decennial averages (e.g., 1970-79 is the average of 1970, 1971, ..., 1979).</a:t>
          </a:r>
          <a:r>
            <a:rPr lang="fr-FR" sz="1000" smtClean="0">
              <a:solidFill>
                <a:schemeClr val="tx1"/>
              </a:solidFill>
              <a:latin typeface="Arial"/>
              <a:ea typeface="+mn-ea"/>
              <a:cs typeface="Arial"/>
            </a:rPr>
            <a:t> In 2010-2016, over $100 of corporate profits earned by US residents, on average $16 is paid in corporate taxes to the U.S. government (federal and States) and $4 to foreign governments.</a:t>
          </a:r>
        </a:p>
      </cdr:txBody>
    </cdr:sp>
  </cdr:relSizeAnchor>
</c:userShapes>
</file>

<file path=xl/drawings/drawing94.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5.xml><?xml version="1.0" encoding="utf-8"?>
<c:userShapes xmlns:c="http://schemas.openxmlformats.org/drawingml/2006/chart">
  <cdr:relSizeAnchor xmlns:cdr="http://schemas.openxmlformats.org/drawingml/2006/chartDrawing">
    <cdr:from>
      <cdr:x>0.00954</cdr:x>
      <cdr:y>0.93565</cdr:y>
    </cdr:from>
    <cdr:to>
      <cdr:x>1</cdr:x>
      <cdr:y>0.99826</cdr:y>
    </cdr:to>
    <cdr:sp macro="" textlink="">
      <cdr:nvSpPr>
        <cdr:cNvPr id="2" name="Rectangle 1"/>
        <cdr:cNvSpPr/>
      </cdr:nvSpPr>
      <cdr:spPr>
        <a:xfrm xmlns:a="http://schemas.openxmlformats.org/drawingml/2006/main">
          <a:off x="87923" y="5255846"/>
          <a:ext cx="9124462" cy="3516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850" b="0" i="0" baseline="0">
              <a:solidFill>
                <a:srgbClr val="000000"/>
              </a:solidFill>
              <a:effectLst/>
              <a:latin typeface="Arial"/>
              <a:ea typeface="+mn-ea"/>
              <a:cs typeface="Arial"/>
            </a:rPr>
            <a:t>Corporate profits (net of interest payments) are rising as a share of national income, despite the fact that a growing fraction of US activitiy has been originating from the non-corporate sector (partnerships in particular) since the 1980s. This is due both to the rise of the corporate capital share and the fall of interest rates. Source: author's computations using BEA data.</a:t>
          </a:r>
          <a:endParaRPr lang="fr-FR" sz="850">
            <a:solidFill>
              <a:srgbClr val="000000"/>
            </a:solidFill>
            <a:effectLst/>
            <a:latin typeface="Arial"/>
            <a:cs typeface="Arial"/>
          </a:endParaRPr>
        </a:p>
      </cdr:txBody>
    </cdr:sp>
  </cdr:relSizeAnchor>
</c:userShape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3.xml.rels><?xml version="1.0" encoding="UTF-8" standalone="yes"?>
<Relationships xmlns="http://schemas.openxmlformats.org/package/2006/relationships"><Relationship Id="rId1" Type="http://schemas.openxmlformats.org/officeDocument/2006/relationships/hyperlink" Target="http://www.federalreserve.gov/datadownload/Download.aspx?rel=Z1&amp;series=eb53394b952f46570fc84f3841925d4b&amp;filetype=spreadsheetml&amp;label=include&amp;layout=seriescolumn&amp;from=01/01/1945&amp;to=12/31/2017" TargetMode="Externa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62.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3.xml"/><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44.xml.rels><?xml version="1.0" encoding="UTF-8" standalone="yes"?>
<Relationships xmlns="http://schemas.openxmlformats.org/package/2006/relationships"><Relationship Id="rId1" Type="http://schemas.openxmlformats.org/officeDocument/2006/relationships/hyperlink" Target="https://qdd.oecd.org/subject.aspx?Subject=fdi_metadata"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68.xml.rels><?xml version="1.0" encoding="UTF-8" standalone="yes"?>
<Relationships xmlns="http://schemas.openxmlformats.org/package/2006/relationships"><Relationship Id="rId3" Type="http://schemas.openxmlformats.org/officeDocument/2006/relationships/hyperlink" Target="http://stats.oecd.org/OECDStat_Metadata/ShowMetadata.ashx?Dataset=AMNE_OUT_PARTNER&amp;Coords=%5BCOU%5D.%5BUSA%5D,%5BVAR%5D.%5BPEC%5D&amp;ShowOnWeb=true" TargetMode="External"/><Relationship Id="rId4" Type="http://schemas.openxmlformats.org/officeDocument/2006/relationships/hyperlink" Target="http://stats.oecd.org/" TargetMode="External"/><Relationship Id="rId1" Type="http://schemas.openxmlformats.org/officeDocument/2006/relationships/hyperlink" Target="http://stats.oecd.org/OECDStat_Metadata/ShowMetadata.ashx?Dataset=AMNE_OUT_PARTNER&amp;ShowOnWeb=true&amp;Lang=en" TargetMode="External"/><Relationship Id="rId2" Type="http://schemas.openxmlformats.org/officeDocument/2006/relationships/hyperlink" Target="http://stats.oecd.org/OECDStat_Metadata/ShowMetadata.ashx?Dataset=AMNE_OUT_PARTNER&amp;Coords=%5BCOU%5D.%5BUSA%5D&amp;ShowOnWeb=true&amp;Lang=en"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stats.oecd.org/OECDStat_Metadata/ShowMetadata.ashx?Dataset=AFA_OUT3_PARTNER&amp;Coords=%5BCOU%5D.%5BUSA%5D,%5BISIC3%5D.%5BS01_99%5D,%5BAFA_VAR%5D.%5BWS%5D&amp;ShowOnWeb=true" TargetMode="External"/><Relationship Id="rId4" Type="http://schemas.openxmlformats.org/officeDocument/2006/relationships/hyperlink" Target="http://stats.oecd.org/OECDStat_Metadata/ShowMetadata.ashx?Dataset=AFA_OUT3_PARTNER&amp;Coords=%5BPART%5D.%5BLATAM%5D&amp;ShowOnWeb=true&amp;Lang=en" TargetMode="External"/><Relationship Id="rId5" Type="http://schemas.openxmlformats.org/officeDocument/2006/relationships/hyperlink" Target="http://stats.oecd.org/OECDStat_Metadata/ShowMetadata.ashx?Dataset=AFA_OUT3_PARTNER&amp;Coords=%5BPART%5D.%5BOTHEU%5D&amp;ShowOnWeb=true&amp;Lang=en" TargetMode="External"/><Relationship Id="rId6" Type="http://schemas.openxmlformats.org/officeDocument/2006/relationships/hyperlink" Target="http://stats.oecd.org/" TargetMode="External"/><Relationship Id="rId1" Type="http://schemas.openxmlformats.org/officeDocument/2006/relationships/hyperlink" Target="http://stats.oecd.org/OECDStat_Metadata/ShowMetadata.ashx?Dataset=AFA_OUT3_PARTNER&amp;ShowOnWeb=true&amp;Lang=en" TargetMode="External"/><Relationship Id="rId2" Type="http://schemas.openxmlformats.org/officeDocument/2006/relationships/hyperlink" Target="http://stats.oecd.org/OECDStat_Metadata/ShowMetadata.ashx?Dataset=AFA_OUT3_PARTNER&amp;Coords=%5BCOU%5D.%5BUSA%5D&amp;ShowOnWeb=true&amp;Lang=en"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3" Type="http://schemas.openxmlformats.org/officeDocument/2006/relationships/hyperlink" Target="http://stats.oecd.org/OECDStat_Metadata/ShowMetadata.ashx?Dataset=AMNE_OUT_PARTNER&amp;Coords=%5BCOU%5D.%5BUSA%5D,%5BVAR%5D.%5BGOS%5D&amp;ShowOnWeb=true" TargetMode="External"/><Relationship Id="rId4" Type="http://schemas.openxmlformats.org/officeDocument/2006/relationships/hyperlink" Target="http://stats.oecd.org/" TargetMode="External"/><Relationship Id="rId1" Type="http://schemas.openxmlformats.org/officeDocument/2006/relationships/hyperlink" Target="http://stats.oecd.org/OECDStat_Metadata/ShowMetadata.ashx?Dataset=AMNE_OUT_PARTNER&amp;ShowOnWeb=true&amp;Lang=en" TargetMode="External"/><Relationship Id="rId2" Type="http://schemas.openxmlformats.org/officeDocument/2006/relationships/hyperlink" Target="http://stats.oecd.org/OECDStat_Metadata/ShowMetadata.ashx?Dataset=AMNE_OUT_PARTNER&amp;Coords=%5BCOU%5D.%5BUSA%5D&amp;ShowOnWeb=true&amp;Lang=en" TargetMode="External"/></Relationships>
</file>

<file path=xl/worksheets/_rels/sheet7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97.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sqref="A1:A2"/>
    </sheetView>
  </sheetViews>
  <sheetFormatPr baseColWidth="10" defaultRowHeight="15" x14ac:dyDescent="0"/>
  <sheetData>
    <row r="1" spans="1:1">
      <c r="A1" s="1724" t="s">
        <v>3529</v>
      </c>
    </row>
    <row r="2" spans="1:1">
      <c r="A2" s="1724" t="s">
        <v>3530</v>
      </c>
    </row>
  </sheetData>
  <pageMargins left="0.75" right="0.75" top="1" bottom="1" header="0.5" footer="0.5"/>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64"/>
  <sheetViews>
    <sheetView workbookViewId="0">
      <pane xSplit="1" ySplit="9" topLeftCell="B10" activePane="bottomRight" state="frozen"/>
      <selection activeCell="X67" sqref="X67"/>
      <selection pane="topRight" activeCell="X67" sqref="X67"/>
      <selection pane="bottomLeft" activeCell="X67" sqref="X67"/>
      <selection pane="bottomRight" activeCell="X67" sqref="X67"/>
    </sheetView>
  </sheetViews>
  <sheetFormatPr baseColWidth="10" defaultColWidth="9.28515625" defaultRowHeight="15" x14ac:dyDescent="0"/>
  <cols>
    <col min="1" max="1" width="16.28515625" style="805" customWidth="1"/>
    <col min="2" max="14" width="9.7109375" style="805" customWidth="1"/>
    <col min="15" max="15" width="9.28515625" style="805"/>
    <col min="16" max="16" width="11.140625" style="805" bestFit="1" customWidth="1"/>
    <col min="18" max="16384" width="9.28515625" style="805"/>
  </cols>
  <sheetData>
    <row r="1" spans="1:17">
      <c r="B1" s="829"/>
      <c r="C1" s="829"/>
      <c r="G1" s="829"/>
    </row>
    <row r="2" spans="1:17" ht="16" thickBot="1"/>
    <row r="3" spans="1:17" ht="32" customHeight="1" thickTop="1">
      <c r="A3" s="1734" t="s">
        <v>3473</v>
      </c>
      <c r="B3" s="1735"/>
      <c r="C3" s="1735"/>
      <c r="D3" s="1735"/>
      <c r="E3" s="1735"/>
      <c r="F3" s="1735"/>
      <c r="G3" s="1735"/>
      <c r="H3" s="1735"/>
      <c r="I3" s="1735"/>
      <c r="J3" s="1735"/>
      <c r="K3" s="1735"/>
      <c r="L3" s="1736"/>
      <c r="M3" s="807"/>
      <c r="N3" s="807"/>
    </row>
    <row r="4" spans="1:17" ht="12" customHeight="1">
      <c r="A4" s="806"/>
      <c r="B4" s="807"/>
      <c r="C4" s="807"/>
      <c r="D4" s="807"/>
      <c r="E4" s="807"/>
      <c r="F4" s="807"/>
      <c r="G4" s="807"/>
      <c r="H4" s="807"/>
      <c r="I4" s="807"/>
      <c r="J4" s="807"/>
      <c r="K4" s="807"/>
      <c r="L4" s="808"/>
      <c r="M4" s="807"/>
      <c r="N4" s="807"/>
    </row>
    <row r="5" spans="1:17" ht="16" thickBot="1">
      <c r="A5" s="809"/>
      <c r="B5" s="839" t="s">
        <v>2411</v>
      </c>
      <c r="C5" s="839" t="s">
        <v>2412</v>
      </c>
      <c r="D5" s="839" t="s">
        <v>2413</v>
      </c>
      <c r="E5" s="839" t="s">
        <v>2414</v>
      </c>
      <c r="F5" s="839" t="s">
        <v>2415</v>
      </c>
      <c r="G5" s="839" t="s">
        <v>2416</v>
      </c>
      <c r="H5" s="839" t="s">
        <v>2417</v>
      </c>
      <c r="I5" s="839" t="s">
        <v>2429</v>
      </c>
      <c r="J5" s="839" t="s">
        <v>2430</v>
      </c>
      <c r="K5" s="839" t="s">
        <v>2431</v>
      </c>
      <c r="L5" s="840" t="s">
        <v>2432</v>
      </c>
      <c r="M5" s="839"/>
      <c r="N5" s="839"/>
    </row>
    <row r="6" spans="1:17" ht="21" customHeight="1">
      <c r="A6" s="809"/>
      <c r="B6" s="1737" t="s">
        <v>2418</v>
      </c>
      <c r="C6" s="1738"/>
      <c r="D6" s="1738"/>
      <c r="E6" s="1738"/>
      <c r="F6" s="1738"/>
      <c r="G6" s="1738"/>
      <c r="H6" s="1738"/>
      <c r="I6" s="1738"/>
      <c r="J6" s="1738"/>
      <c r="K6" s="1751" t="s">
        <v>2610</v>
      </c>
      <c r="L6" s="1739" t="s">
        <v>2544</v>
      </c>
      <c r="M6" s="1186"/>
      <c r="N6" s="1314"/>
    </row>
    <row r="7" spans="1:17" ht="21" customHeight="1">
      <c r="A7" s="809"/>
      <c r="B7" s="1748" t="s">
        <v>2421</v>
      </c>
      <c r="C7" s="1749"/>
      <c r="D7" s="1749"/>
      <c r="E7" s="1748" t="s">
        <v>2422</v>
      </c>
      <c r="F7" s="1749"/>
      <c r="G7" s="1749"/>
      <c r="H7" s="1749"/>
      <c r="I7" s="1749"/>
      <c r="J7" s="1749"/>
      <c r="K7" s="1752"/>
      <c r="L7" s="1740"/>
      <c r="M7" s="1187"/>
      <c r="N7" s="1313"/>
    </row>
    <row r="8" spans="1:17" ht="85" customHeight="1">
      <c r="A8" s="809"/>
      <c r="B8" s="1762" t="s">
        <v>2543</v>
      </c>
      <c r="C8" s="1192" t="s">
        <v>2608</v>
      </c>
      <c r="D8" s="1191" t="s">
        <v>2606</v>
      </c>
      <c r="E8" s="1741" t="s">
        <v>2607</v>
      </c>
      <c r="F8" s="812" t="s">
        <v>2198</v>
      </c>
      <c r="G8" s="812" t="s">
        <v>2541</v>
      </c>
      <c r="H8" s="1815" t="s">
        <v>2609</v>
      </c>
      <c r="I8" s="812" t="s">
        <v>2198</v>
      </c>
      <c r="J8" s="812" t="s">
        <v>2541</v>
      </c>
      <c r="K8" s="1752"/>
      <c r="L8" s="1740"/>
      <c r="M8" s="1187"/>
      <c r="N8" s="1313"/>
      <c r="O8" s="1327" t="s">
        <v>2984</v>
      </c>
      <c r="P8" s="1216" t="s">
        <v>2611</v>
      </c>
      <c r="Q8" t="s">
        <v>3228</v>
      </c>
    </row>
    <row r="9" spans="1:17" ht="33" customHeight="1">
      <c r="A9" s="809"/>
      <c r="B9" s="1741"/>
      <c r="C9" s="1015"/>
      <c r="D9" s="1086"/>
      <c r="E9" s="1741"/>
      <c r="F9" s="812"/>
      <c r="G9" s="812"/>
      <c r="H9" s="1816"/>
      <c r="I9" s="812"/>
      <c r="J9" s="812"/>
      <c r="K9" s="1752"/>
      <c r="L9" s="1740"/>
      <c r="M9" s="1187"/>
      <c r="N9" s="1313"/>
      <c r="P9" s="813"/>
    </row>
    <row r="10" spans="1:17" ht="14" customHeight="1">
      <c r="A10" s="921">
        <v>1966</v>
      </c>
      <c r="B10" s="1087">
        <f>T.A5b!B10</f>
        <v>47.685781148754018</v>
      </c>
      <c r="C10" s="1061">
        <f>'Assets(BoP)'!LE58</f>
        <v>3.4687999999999994</v>
      </c>
      <c r="D10" s="1061">
        <f>T.A5c!B10-C10</f>
        <v>44.216981148754016</v>
      </c>
      <c r="E10" s="922"/>
      <c r="F10" s="1088"/>
      <c r="G10" s="930"/>
      <c r="H10" s="1077"/>
      <c r="I10" s="930"/>
      <c r="J10" s="930"/>
      <c r="K10" s="1332">
        <f>(C10/O10)/(B10/L10)</f>
        <v>9.3726008291994733E-2</v>
      </c>
      <c r="L10" s="1333">
        <f t="shared" ref="L10:L19" si="0">(L$21+L$26)/2</f>
        <v>1.1285633961638686</v>
      </c>
      <c r="M10" s="1213"/>
      <c r="N10" s="1213"/>
      <c r="O10" s="13">
        <f t="shared" ref="O10:O20" si="1">(O$21+O$26)/2</f>
        <v>0.87590337205312818</v>
      </c>
      <c r="P10" s="813"/>
    </row>
    <row r="11" spans="1:17" ht="14" customHeight="1">
      <c r="A11" s="826">
        <v>1967</v>
      </c>
      <c r="B11" s="1082">
        <f>T.A5b!B11</f>
        <v>51.996993685338424</v>
      </c>
      <c r="C11" s="832">
        <f>'Assets(BoP)'!LE59</f>
        <v>3.8187999999999991</v>
      </c>
      <c r="D11" s="832">
        <f>T.A5c!B11-C11</f>
        <v>48.178193685338428</v>
      </c>
      <c r="E11" s="814"/>
      <c r="F11" s="1089"/>
      <c r="G11" s="834"/>
      <c r="H11" s="1078"/>
      <c r="I11" s="834"/>
      <c r="J11" s="834"/>
      <c r="K11" s="1210">
        <f t="shared" ref="K11:K59" si="2">(C11/O11)/(B11/L11)</f>
        <v>9.4627734160187202E-2</v>
      </c>
      <c r="L11" s="1329">
        <f t="shared" si="0"/>
        <v>1.1285633961638686</v>
      </c>
      <c r="M11" s="1213"/>
      <c r="N11" s="1213"/>
      <c r="O11" s="13">
        <f t="shared" si="1"/>
        <v>0.87590337205312818</v>
      </c>
      <c r="P11" s="813"/>
    </row>
    <row r="12" spans="1:17" ht="14" customHeight="1">
      <c r="A12" s="826">
        <v>1968</v>
      </c>
      <c r="B12" s="1082">
        <f>T.A5b!B12</f>
        <v>56.783511016692515</v>
      </c>
      <c r="C12" s="832">
        <f>'Assets(BoP)'!LE60</f>
        <v>4.1947999999999999</v>
      </c>
      <c r="D12" s="832">
        <f>T.A5c!B12-C12</f>
        <v>52.588711016692514</v>
      </c>
      <c r="E12" s="814"/>
      <c r="F12" s="1089"/>
      <c r="G12" s="834"/>
      <c r="H12" s="1078"/>
      <c r="I12" s="834"/>
      <c r="J12" s="834"/>
      <c r="K12" s="1210">
        <f t="shared" si="2"/>
        <v>9.5182866366156901E-2</v>
      </c>
      <c r="L12" s="1329">
        <f t="shared" si="0"/>
        <v>1.1285633961638686</v>
      </c>
      <c r="M12" s="1213"/>
      <c r="N12" s="1213"/>
      <c r="O12" s="13">
        <f t="shared" si="1"/>
        <v>0.87590337205312818</v>
      </c>
      <c r="P12" s="813"/>
    </row>
    <row r="13" spans="1:17" ht="14" customHeight="1">
      <c r="A13" s="856">
        <v>1969</v>
      </c>
      <c r="B13" s="1083">
        <f>T.A5b!B13</f>
        <v>62.315487066333169</v>
      </c>
      <c r="C13" s="876">
        <f>'Assets(BoP)'!LE61</f>
        <v>4.7097999999999995</v>
      </c>
      <c r="D13" s="876">
        <f>T.A5c!B13-C13</f>
        <v>57.605687066333168</v>
      </c>
      <c r="E13" s="857"/>
      <c r="F13" s="1090"/>
      <c r="G13" s="860"/>
      <c r="H13" s="1079"/>
      <c r="I13" s="860"/>
      <c r="J13" s="860"/>
      <c r="K13" s="1211">
        <f t="shared" si="2"/>
        <v>9.738144923345507E-2</v>
      </c>
      <c r="L13" s="1330">
        <f t="shared" si="0"/>
        <v>1.1285633961638686</v>
      </c>
      <c r="M13" s="1213"/>
      <c r="N13" s="1213"/>
      <c r="O13" s="13">
        <f t="shared" si="1"/>
        <v>0.87590337205312818</v>
      </c>
      <c r="P13" s="813"/>
    </row>
    <row r="14" spans="1:17" ht="14" customHeight="1">
      <c r="A14" s="863">
        <v>1970</v>
      </c>
      <c r="B14" s="1082">
        <f>T.A5b!B14</f>
        <v>68.918270343209798</v>
      </c>
      <c r="C14" s="832">
        <f>'Assets(BoP)'!LE62</f>
        <v>5.4602000000000004</v>
      </c>
      <c r="D14" s="832">
        <f>T.A5c!B14-C14</f>
        <v>63.458070343209798</v>
      </c>
      <c r="E14" s="864"/>
      <c r="F14" s="1091"/>
      <c r="G14" s="866"/>
      <c r="H14" s="1080"/>
      <c r="I14" s="866"/>
      <c r="J14" s="866"/>
      <c r="K14" s="1326">
        <f t="shared" si="2"/>
        <v>0.10208077140362387</v>
      </c>
      <c r="L14" s="1331">
        <f t="shared" si="0"/>
        <v>1.1285633961638686</v>
      </c>
      <c r="M14" s="1213"/>
      <c r="N14" s="1213"/>
      <c r="O14" s="13">
        <f t="shared" si="1"/>
        <v>0.87590337205312818</v>
      </c>
      <c r="P14" s="813"/>
    </row>
    <row r="15" spans="1:17" ht="14" customHeight="1">
      <c r="A15" s="826">
        <v>1971</v>
      </c>
      <c r="B15" s="1082">
        <f>T.A5b!B15</f>
        <v>75.533883827069545</v>
      </c>
      <c r="C15" s="832">
        <f>'Assets(BoP)'!LE63</f>
        <v>6.0658000000000012</v>
      </c>
      <c r="D15" s="832">
        <f>T.A5c!B15-C15</f>
        <v>69.468083827069549</v>
      </c>
      <c r="E15" s="814"/>
      <c r="F15" s="1089"/>
      <c r="G15" s="834"/>
      <c r="H15" s="1078"/>
      <c r="I15" s="834"/>
      <c r="J15" s="834"/>
      <c r="K15" s="1210">
        <f t="shared" si="2"/>
        <v>0.10347037730582206</v>
      </c>
      <c r="L15" s="1334">
        <f t="shared" si="0"/>
        <v>1.1285633961638686</v>
      </c>
      <c r="M15" s="1214"/>
      <c r="N15" s="1214"/>
      <c r="O15" s="13">
        <f t="shared" si="1"/>
        <v>0.87590337205312818</v>
      </c>
      <c r="P15" s="813"/>
    </row>
    <row r="16" spans="1:17" ht="14" customHeight="1">
      <c r="A16" s="826">
        <v>1972</v>
      </c>
      <c r="B16" s="1082">
        <f>T.A5b!B16</f>
        <v>81.149103146575612</v>
      </c>
      <c r="C16" s="832">
        <f>'Assets(BoP)'!LE64</f>
        <v>6.6871999999999998</v>
      </c>
      <c r="D16" s="832">
        <f>T.A5c!B16-C16</f>
        <v>74.461903146575608</v>
      </c>
      <c r="E16" s="814"/>
      <c r="F16" s="1089"/>
      <c r="G16" s="834"/>
      <c r="H16" s="1078"/>
      <c r="I16" s="834"/>
      <c r="J16" s="834"/>
      <c r="K16" s="1210">
        <f t="shared" si="2"/>
        <v>0.10617697542110979</v>
      </c>
      <c r="L16" s="1334">
        <f t="shared" si="0"/>
        <v>1.1285633961638686</v>
      </c>
      <c r="M16" s="1214"/>
      <c r="N16" s="1214"/>
      <c r="O16" s="13">
        <f t="shared" si="1"/>
        <v>0.87590337205312818</v>
      </c>
      <c r="P16" s="813"/>
    </row>
    <row r="17" spans="1:17" ht="14" customHeight="1">
      <c r="A17" s="826">
        <v>1973</v>
      </c>
      <c r="B17" s="1082">
        <f>T.A5b!B17</f>
        <v>92.532916244463266</v>
      </c>
      <c r="C17" s="832">
        <f>'Assets(BoP)'!LE65</f>
        <v>8.2767999999999997</v>
      </c>
      <c r="D17" s="832">
        <f>T.A5c!B17-C17</f>
        <v>84.256116244463271</v>
      </c>
      <c r="E17" s="814"/>
      <c r="F17" s="1089"/>
      <c r="G17" s="834"/>
      <c r="H17" s="1078"/>
      <c r="I17" s="834"/>
      <c r="J17" s="834"/>
      <c r="K17" s="1210">
        <f t="shared" si="2"/>
        <v>0.11524868361477598</v>
      </c>
      <c r="L17" s="1334">
        <f t="shared" si="0"/>
        <v>1.1285633961638686</v>
      </c>
      <c r="M17" s="1214"/>
      <c r="N17" s="1214"/>
      <c r="O17" s="13">
        <f t="shared" si="1"/>
        <v>0.87590337205312818</v>
      </c>
      <c r="P17" s="813"/>
    </row>
    <row r="18" spans="1:17" ht="14" customHeight="1">
      <c r="A18" s="826">
        <v>1974</v>
      </c>
      <c r="B18" s="1082">
        <f>T.A5b!B18</f>
        <v>100.6683729864185</v>
      </c>
      <c r="C18" s="832">
        <f>'Assets(BoP)'!LE66</f>
        <v>10.931999999999999</v>
      </c>
      <c r="D18" s="832">
        <f>T.A5c!B18-C18</f>
        <v>89.736372986418502</v>
      </c>
      <c r="E18" s="814"/>
      <c r="F18" s="1089"/>
      <c r="G18" s="834"/>
      <c r="H18" s="1078"/>
      <c r="I18" s="834"/>
      <c r="J18" s="834"/>
      <c r="K18" s="1210">
        <f t="shared" si="2"/>
        <v>0.13991888493338084</v>
      </c>
      <c r="L18" s="1334">
        <f t="shared" si="0"/>
        <v>1.1285633961638686</v>
      </c>
      <c r="M18" s="1214"/>
      <c r="N18" s="1214"/>
      <c r="O18" s="13">
        <f t="shared" si="1"/>
        <v>0.87590337205312818</v>
      </c>
      <c r="P18" s="813"/>
    </row>
    <row r="19" spans="1:17" ht="14" customHeight="1">
      <c r="A19" s="826">
        <v>1975</v>
      </c>
      <c r="B19" s="1084">
        <f>T.A5b!B19</f>
        <v>113.64973951673339</v>
      </c>
      <c r="C19" s="882">
        <f>'Assets(BoP)'!LE67</f>
        <v>12.142600000000002</v>
      </c>
      <c r="D19" s="882">
        <f>T.A5c!B19-C19</f>
        <v>101.50713951673339</v>
      </c>
      <c r="E19" s="814"/>
      <c r="F19" s="1089"/>
      <c r="G19" s="834"/>
      <c r="H19" s="1078"/>
      <c r="I19" s="834"/>
      <c r="J19" s="834"/>
      <c r="K19" s="1210">
        <f t="shared" si="2"/>
        <v>0.13766166122322737</v>
      </c>
      <c r="L19" s="1334">
        <f t="shared" si="0"/>
        <v>1.1285633961638686</v>
      </c>
      <c r="M19" s="1214"/>
      <c r="N19" s="1214"/>
      <c r="O19" s="13">
        <f t="shared" si="1"/>
        <v>0.87590337205312818</v>
      </c>
      <c r="P19" s="813"/>
    </row>
    <row r="20" spans="1:17" ht="14" customHeight="1">
      <c r="A20" s="826">
        <v>1976</v>
      </c>
      <c r="B20" s="1084">
        <f>T.A5b!B20</f>
        <v>121.34979054043714</v>
      </c>
      <c r="C20" s="882">
        <f>'Assets(BoP)'!LE68</f>
        <v>13.872599999999998</v>
      </c>
      <c r="D20" s="882">
        <f>T.A5c!B20-C20</f>
        <v>107.47719054043714</v>
      </c>
      <c r="E20" s="814"/>
      <c r="F20" s="1089"/>
      <c r="G20" s="834"/>
      <c r="H20" s="1078"/>
      <c r="I20" s="834"/>
      <c r="J20" s="834"/>
      <c r="K20" s="1210">
        <f t="shared" si="2"/>
        <v>0.14729520018881409</v>
      </c>
      <c r="L20" s="1329">
        <f t="shared" ref="L20:L24" si="3">(L$21+L$26)/2</f>
        <v>1.1285633961638686</v>
      </c>
      <c r="M20" s="1214"/>
      <c r="N20" s="1214"/>
      <c r="O20" s="13">
        <f t="shared" si="1"/>
        <v>0.87590337205312818</v>
      </c>
      <c r="P20" s="813"/>
    </row>
    <row r="21" spans="1:17" ht="14" customHeight="1">
      <c r="A21" s="826">
        <v>1977</v>
      </c>
      <c r="B21" s="1082">
        <f>T.A5b!B21</f>
        <v>133.285</v>
      </c>
      <c r="C21" s="832">
        <f>'Assets(BoP)'!LE69</f>
        <v>17.867800000000003</v>
      </c>
      <c r="D21" s="832">
        <f>T.A5c!B21-C21</f>
        <v>115.41719999999999</v>
      </c>
      <c r="E21" s="814">
        <f t="shared" ref="E21:E58" si="4">F21-G21</f>
        <v>20.285999999999998</v>
      </c>
      <c r="F21" s="1089">
        <f>'Assets(MOFA)'!JP22/1000</f>
        <v>26.867999999999999</v>
      </c>
      <c r="G21" s="834">
        <f>'Assets(MOFA)'!KA22/1000</f>
        <v>6.5819999999999999</v>
      </c>
      <c r="H21" s="1078">
        <f t="shared" ref="H21:H59" si="5">I21-J21</f>
        <v>96.523000000000025</v>
      </c>
      <c r="I21" s="834">
        <f>T.A5b!F21-T.A5c!F21</f>
        <v>110.53300000000002</v>
      </c>
      <c r="J21" s="834">
        <f>T.A5b!G21-T.A5c!G21</f>
        <v>14.009999999999998</v>
      </c>
      <c r="K21" s="1210">
        <f t="shared" si="2"/>
        <v>0.17366812488763703</v>
      </c>
      <c r="L21" s="838">
        <f t="shared" ref="L21:L58" si="6">B21/(E21+H21)</f>
        <v>1.1410507751971164</v>
      </c>
      <c r="M21" s="1214"/>
      <c r="N21" s="1214"/>
      <c r="O21" s="854">
        <f>C21/E21</f>
        <v>0.88079463669525804</v>
      </c>
      <c r="P21" s="813"/>
      <c r="Q21" s="240">
        <f>('Assets(MOFA)'!JN22-'Assets(MOFA)'!JY22)/1000/T.A5b!E21</f>
        <v>8.87602838822351E-2</v>
      </c>
    </row>
    <row r="22" spans="1:17" ht="14" customHeight="1">
      <c r="A22" s="826">
        <v>1978</v>
      </c>
      <c r="B22" s="1082">
        <f>T.A5b!B22</f>
        <v>150.02199999999999</v>
      </c>
      <c r="C22" s="832">
        <f>'Assets(BoP)'!LE70</f>
        <v>22.141400000000004</v>
      </c>
      <c r="D22" s="832">
        <f>T.A5c!B22-C22</f>
        <v>127.88059999999999</v>
      </c>
      <c r="E22" s="814"/>
      <c r="F22" s="1089"/>
      <c r="G22" s="834"/>
      <c r="H22" s="1078"/>
      <c r="I22" s="834"/>
      <c r="J22" s="834"/>
      <c r="K22" s="1210">
        <f t="shared" si="2"/>
        <v>0.1901603153317982</v>
      </c>
      <c r="L22" s="1329">
        <f t="shared" si="3"/>
        <v>1.1285633961638686</v>
      </c>
      <c r="M22" s="1213"/>
      <c r="N22" s="1213"/>
      <c r="O22" s="13">
        <f>(O$21+O$26)/2</f>
        <v>0.87590337205312818</v>
      </c>
      <c r="P22" s="813"/>
    </row>
    <row r="23" spans="1:17" ht="14" customHeight="1">
      <c r="A23" s="856">
        <v>1979</v>
      </c>
      <c r="B23" s="1083">
        <f>T.A5b!B23</f>
        <v>175.15299999999999</v>
      </c>
      <c r="C23" s="876">
        <f>'Assets(BoP)'!LE71</f>
        <v>27.842799999999997</v>
      </c>
      <c r="D23" s="876">
        <f>T.A5c!B23-C23</f>
        <v>147.31020000000001</v>
      </c>
      <c r="E23" s="857"/>
      <c r="F23" s="1090"/>
      <c r="G23" s="860"/>
      <c r="H23" s="1079"/>
      <c r="I23" s="860"/>
      <c r="J23" s="860"/>
      <c r="K23" s="1211">
        <f t="shared" si="2"/>
        <v>0.20481657028878061</v>
      </c>
      <c r="L23" s="1330">
        <f t="shared" si="3"/>
        <v>1.1285633961638686</v>
      </c>
      <c r="M23" s="1213"/>
      <c r="N23" s="1213"/>
      <c r="O23" s="13">
        <f>(O$21+O$26)/2</f>
        <v>0.87590337205312818</v>
      </c>
      <c r="P23" s="813"/>
    </row>
    <row r="24" spans="1:17" ht="14" customHeight="1">
      <c r="A24" s="863">
        <v>1980</v>
      </c>
      <c r="B24" s="1085">
        <f>T.A5b!B24</f>
        <v>202.67</v>
      </c>
      <c r="C24" s="879">
        <f>'Assets(BoP)'!LE72</f>
        <v>34.013600000000004</v>
      </c>
      <c r="D24" s="879">
        <f>T.A5c!B24-C24</f>
        <v>168.65639999999999</v>
      </c>
      <c r="E24" s="864"/>
      <c r="F24" s="1091"/>
      <c r="G24" s="866"/>
      <c r="H24" s="1080"/>
      <c r="I24" s="866"/>
      <c r="J24" s="866"/>
      <c r="K24" s="1326">
        <f t="shared" si="2"/>
        <v>0.21623843749750751</v>
      </c>
      <c r="L24" s="1331">
        <f t="shared" si="3"/>
        <v>1.1285633961638686</v>
      </c>
      <c r="M24" s="1213"/>
      <c r="N24" s="1213"/>
      <c r="O24" s="13">
        <f>(O$21+O$26)/2</f>
        <v>0.87590337205312818</v>
      </c>
      <c r="P24" s="1095">
        <f t="shared" ref="P24:P37" si="7">C24/B24</f>
        <v>0.16782750283712441</v>
      </c>
    </row>
    <row r="25" spans="1:17" ht="14" customHeight="1">
      <c r="A25" s="826">
        <v>1981</v>
      </c>
      <c r="B25" s="1082">
        <f>T.A5b!B25</f>
        <v>215.643</v>
      </c>
      <c r="C25" s="832">
        <f>'Assets(BoP)'!LE73</f>
        <v>36.981000000000002</v>
      </c>
      <c r="D25" s="832">
        <f>T.A5c!B25-C25</f>
        <v>178.66200000000001</v>
      </c>
      <c r="E25" s="814"/>
      <c r="F25" s="1089"/>
      <c r="G25" s="834"/>
      <c r="H25" s="1078"/>
      <c r="I25" s="834"/>
      <c r="J25" s="834"/>
      <c r="K25" s="1210">
        <f t="shared" si="2"/>
        <v>0.22095968779937566</v>
      </c>
      <c r="L25" s="1329">
        <f>(L$21+L$26)/2</f>
        <v>1.1285633961638686</v>
      </c>
      <c r="M25" s="1213"/>
      <c r="N25" s="1213"/>
      <c r="O25" s="13">
        <f>(O$21+O$26)/2</f>
        <v>0.87590337205312818</v>
      </c>
      <c r="P25" s="1095">
        <f t="shared" si="7"/>
        <v>0.17149177112171507</v>
      </c>
    </row>
    <row r="26" spans="1:17" ht="14" customHeight="1">
      <c r="A26" s="826">
        <v>1982</v>
      </c>
      <c r="B26" s="1082">
        <f>T.A5b!B26</f>
        <v>208.483</v>
      </c>
      <c r="C26" s="832">
        <f>'Assets(BoP)'!LE74</f>
        <v>38.631999999999998</v>
      </c>
      <c r="D26" s="832">
        <f>T.A5c!B26-C26</f>
        <v>169.851</v>
      </c>
      <c r="E26" s="814">
        <f t="shared" si="4"/>
        <v>44.352999999999994</v>
      </c>
      <c r="F26" s="1089">
        <f>'Assets(MOFA)'!JP27/1000</f>
        <v>58.4</v>
      </c>
      <c r="G26" s="834">
        <f>'Assets(MOFA)'!KA27/1000</f>
        <v>14.047000000000001</v>
      </c>
      <c r="H26" s="1078">
        <f t="shared" si="5"/>
        <v>142.447</v>
      </c>
      <c r="I26" s="834">
        <f>T.A5b!F26-T.A5c!F26</f>
        <v>167.78100000000001</v>
      </c>
      <c r="J26" s="834">
        <f>T.A5b!G26-T.A5c!G26</f>
        <v>25.334</v>
      </c>
      <c r="K26" s="1210">
        <f t="shared" si="2"/>
        <v>0.23743576017130616</v>
      </c>
      <c r="L26" s="837">
        <f t="shared" si="6"/>
        <v>1.116076017130621</v>
      </c>
      <c r="M26" s="1213"/>
      <c r="N26" s="1213"/>
      <c r="O26" s="854">
        <f t="shared" ref="O26:O59" si="8">C26/E26</f>
        <v>0.87101210741099822</v>
      </c>
      <c r="P26" s="1095">
        <f t="shared" si="7"/>
        <v>0.18530048013507094</v>
      </c>
      <c r="Q26" s="240">
        <f>('Assets(MOFA)'!JN27-'Assets(MOFA)'!JY27)/1000/T.A5b!E26</f>
        <v>0.1478800856531049</v>
      </c>
    </row>
    <row r="27" spans="1:17" ht="14" customHeight="1">
      <c r="A27" s="826">
        <v>1983</v>
      </c>
      <c r="B27" s="1082">
        <f>T.A5b!B27</f>
        <v>223.607</v>
      </c>
      <c r="C27" s="832">
        <f>'Assets(BoP)'!LE75</f>
        <v>46.506</v>
      </c>
      <c r="D27" s="832">
        <f>T.A5c!B27-C27</f>
        <v>177.101</v>
      </c>
      <c r="E27" s="814">
        <f t="shared" si="4"/>
        <v>47.371571428571421</v>
      </c>
      <c r="F27" s="1089">
        <f>'Assets(MOFA)'!JP28/1000</f>
        <v>65.593999999999994</v>
      </c>
      <c r="G27" s="834">
        <f>'Assets(MOFA)'!KA28/1000</f>
        <v>18.222428571428573</v>
      </c>
      <c r="H27" s="1078">
        <f t="shared" si="5"/>
        <v>137.01014285714285</v>
      </c>
      <c r="I27" s="834">
        <f>T.A5b!F27-T.A5c!F27</f>
        <v>167.489</v>
      </c>
      <c r="J27" s="834">
        <f>T.A5b!G27-T.A5c!G27</f>
        <v>30.478857142857137</v>
      </c>
      <c r="K27" s="1210">
        <f t="shared" si="2"/>
        <v>0.25692120073883989</v>
      </c>
      <c r="L27" s="837">
        <f t="shared" si="6"/>
        <v>1.212739565125764</v>
      </c>
      <c r="M27" s="1213"/>
      <c r="N27" s="1213"/>
      <c r="O27" s="854">
        <f t="shared" si="8"/>
        <v>0.98172804062713936</v>
      </c>
      <c r="P27" s="1095">
        <f t="shared" si="7"/>
        <v>0.20798096660659102</v>
      </c>
      <c r="Q27" s="240">
        <f>('Assets(MOFA)'!JN28-'Assets(MOFA)'!JY28)/1000/T.A5b!E27</f>
        <v>0.16877796992574409</v>
      </c>
    </row>
    <row r="28" spans="1:17" ht="14" customHeight="1">
      <c r="A28" s="826">
        <v>1984</v>
      </c>
      <c r="B28" s="1082">
        <f>T.A5b!B28</f>
        <v>236.506</v>
      </c>
      <c r="C28" s="832">
        <f>'Assets(BoP)'!LE76</f>
        <v>51.745999999999995</v>
      </c>
      <c r="D28" s="832">
        <f>T.A5c!B28-C28</f>
        <v>184.76</v>
      </c>
      <c r="E28" s="814">
        <f t="shared" si="4"/>
        <v>47.92614285714285</v>
      </c>
      <c r="F28" s="1089">
        <f>'Assets(MOFA)'!JP29/1000</f>
        <v>70.323999999999998</v>
      </c>
      <c r="G28" s="834">
        <f>'Assets(MOFA)'!KA29/1000</f>
        <v>22.397857142857145</v>
      </c>
      <c r="H28" s="1078">
        <f t="shared" si="5"/>
        <v>138.06628571428573</v>
      </c>
      <c r="I28" s="834">
        <f>T.A5b!F28-T.A5c!F28</f>
        <v>173.69</v>
      </c>
      <c r="J28" s="834">
        <f>T.A5b!G28-T.A5c!G28</f>
        <v>35.623714285714271</v>
      </c>
      <c r="K28" s="1210">
        <f t="shared" si="2"/>
        <v>0.25767792390934496</v>
      </c>
      <c r="L28" s="837">
        <f t="shared" si="6"/>
        <v>1.2715893964961706</v>
      </c>
      <c r="M28" s="1213"/>
      <c r="N28" s="1213"/>
      <c r="O28" s="854">
        <f t="shared" si="8"/>
        <v>1.0797029953827766</v>
      </c>
      <c r="P28" s="1095">
        <f t="shared" si="7"/>
        <v>0.21879360354494176</v>
      </c>
      <c r="Q28" s="240">
        <f>('Assets(MOFA)'!JN29-'Assets(MOFA)'!JY29)/1000/T.A5b!E28</f>
        <v>0.18283616767810051</v>
      </c>
    </row>
    <row r="29" spans="1:17" ht="14" customHeight="1">
      <c r="A29" s="826">
        <v>1985</v>
      </c>
      <c r="B29" s="1082">
        <f>T.A5b!B29</f>
        <v>255.91399999999999</v>
      </c>
      <c r="C29" s="832">
        <f>'Assets(BoP)'!LE77</f>
        <v>56.801000000000002</v>
      </c>
      <c r="D29" s="832">
        <f>T.A5c!B29-C29</f>
        <v>199.113</v>
      </c>
      <c r="E29" s="814">
        <f t="shared" si="4"/>
        <v>48.306714285714285</v>
      </c>
      <c r="F29" s="1089">
        <f>'Assets(MOFA)'!JP30/1000</f>
        <v>74.88</v>
      </c>
      <c r="G29" s="834">
        <f>'Assets(MOFA)'!KA30/1000</f>
        <v>26.57328571428571</v>
      </c>
      <c r="H29" s="1078">
        <f t="shared" si="5"/>
        <v>148.67142857142858</v>
      </c>
      <c r="I29" s="834">
        <f>T.A5b!F29-T.A5c!F29</f>
        <v>189.44</v>
      </c>
      <c r="J29" s="834">
        <f>T.A5b!G29-T.A5c!G29</f>
        <v>40.768571428571427</v>
      </c>
      <c r="K29" s="1210">
        <f t="shared" si="2"/>
        <v>0.24523895689659544</v>
      </c>
      <c r="L29" s="837">
        <f t="shared" si="6"/>
        <v>1.2991999837545425</v>
      </c>
      <c r="M29" s="1213"/>
      <c r="N29" s="1213"/>
      <c r="O29" s="854">
        <f t="shared" si="8"/>
        <v>1.1758406846726424</v>
      </c>
      <c r="P29" s="1095">
        <f t="shared" si="7"/>
        <v>0.22195346874340602</v>
      </c>
      <c r="Q29" s="240">
        <f>('Assets(MOFA)'!JN30-'Assets(MOFA)'!JY30)/1000/T.A5b!E29</f>
        <v>0.16588497491019669</v>
      </c>
    </row>
    <row r="30" spans="1:17" ht="14" customHeight="1">
      <c r="A30" s="826">
        <v>1986</v>
      </c>
      <c r="B30" s="1082">
        <f>T.A5b!B30</f>
        <v>278.911</v>
      </c>
      <c r="C30" s="832">
        <f>'Assets(BoP)'!LE78</f>
        <v>64.147500000000008</v>
      </c>
      <c r="D30" s="832">
        <f>T.A5c!B30-C30</f>
        <v>214.76349999999999</v>
      </c>
      <c r="E30" s="814">
        <f t="shared" si="4"/>
        <v>51.724285714285713</v>
      </c>
      <c r="F30" s="1089">
        <f>'Assets(MOFA)'!JP31/1000</f>
        <v>82.472999999999999</v>
      </c>
      <c r="G30" s="834">
        <f>'Assets(MOFA)'!KA31/1000</f>
        <v>30.748714285714286</v>
      </c>
      <c r="H30" s="1078">
        <f t="shared" si="5"/>
        <v>164.54157142857144</v>
      </c>
      <c r="I30" s="834">
        <f>T.A5b!F30-T.A5c!F30</f>
        <v>210.45499999999998</v>
      </c>
      <c r="J30" s="834">
        <f>T.A5b!G30-T.A5c!G30</f>
        <v>45.913428571428554</v>
      </c>
      <c r="K30" s="1210">
        <f t="shared" si="2"/>
        <v>0.23916991057963707</v>
      </c>
      <c r="L30" s="837">
        <f t="shared" si="6"/>
        <v>1.2896672812100978</v>
      </c>
      <c r="M30" s="1213"/>
      <c r="N30" s="1213"/>
      <c r="O30" s="854">
        <f t="shared" si="8"/>
        <v>1.2401814566244098</v>
      </c>
      <c r="P30" s="1095">
        <f t="shared" si="7"/>
        <v>0.22999272169258297</v>
      </c>
      <c r="Q30" s="240">
        <f>('Assets(MOFA)'!JN31-'Assets(MOFA)'!JY31)/1000/T.A5b!E30</f>
        <v>0.14854071807120997</v>
      </c>
    </row>
    <row r="31" spans="1:17" ht="14" customHeight="1">
      <c r="A31" s="826">
        <v>1987</v>
      </c>
      <c r="B31" s="1082">
        <f>T.A5b!B31</f>
        <v>327.85700000000003</v>
      </c>
      <c r="C31" s="832">
        <f>'Assets(BoP)'!LE79</f>
        <v>73.882000000000005</v>
      </c>
      <c r="D31" s="832">
        <f>T.A5c!B31-C31</f>
        <v>253.97500000000002</v>
      </c>
      <c r="E31" s="814">
        <f t="shared" si="4"/>
        <v>61.012857142857143</v>
      </c>
      <c r="F31" s="1089">
        <f>'Assets(MOFA)'!JP32/1000</f>
        <v>95.936999999999998</v>
      </c>
      <c r="G31" s="834">
        <f>'Assets(MOFA)'!KA32/1000</f>
        <v>34.924142857142854</v>
      </c>
      <c r="H31" s="1078">
        <f t="shared" si="5"/>
        <v>206.38671428571428</v>
      </c>
      <c r="I31" s="834">
        <f>T.A5b!F31-T.A5c!F31</f>
        <v>257.44499999999999</v>
      </c>
      <c r="J31" s="834">
        <f>T.A5b!G31-T.A5c!G31</f>
        <v>51.058285714285702</v>
      </c>
      <c r="K31" s="1210">
        <f t="shared" si="2"/>
        <v>0.22817111043558672</v>
      </c>
      <c r="L31" s="837">
        <f t="shared" si="6"/>
        <v>1.2260939621123446</v>
      </c>
      <c r="M31" s="1213"/>
      <c r="N31" s="1213"/>
      <c r="O31" s="854">
        <f t="shared" si="8"/>
        <v>1.2109250977545718</v>
      </c>
      <c r="P31" s="1095">
        <f t="shared" si="7"/>
        <v>0.22534824633910516</v>
      </c>
      <c r="Q31" s="240">
        <f>('Assets(MOFA)'!JN32-'Assets(MOFA)'!JY32)/1000/T.A5b!E31</f>
        <v>0.12827566237150717</v>
      </c>
    </row>
    <row r="32" spans="1:17" ht="14" customHeight="1">
      <c r="A32" s="826">
        <v>1988</v>
      </c>
      <c r="B32" s="1082">
        <f>T.A5b!B32</f>
        <v>337.61399999999998</v>
      </c>
      <c r="C32" s="832">
        <f>'Assets(BoP)'!LE80</f>
        <v>71.906999999999996</v>
      </c>
      <c r="D32" s="832">
        <f>T.A5c!B32-C32</f>
        <v>265.70699999999999</v>
      </c>
      <c r="E32" s="814">
        <f t="shared" si="4"/>
        <v>56.756428571428572</v>
      </c>
      <c r="F32" s="1089">
        <f>'Assets(MOFA)'!JP33/1000</f>
        <v>95.855999999999995</v>
      </c>
      <c r="G32" s="834">
        <f>'Assets(MOFA)'!KA33/1000</f>
        <v>39.099571428571423</v>
      </c>
      <c r="H32" s="1078">
        <f t="shared" si="5"/>
        <v>216.31885714285715</v>
      </c>
      <c r="I32" s="834">
        <f>T.A5b!F32-T.A5c!F32</f>
        <v>272.52199999999999</v>
      </c>
      <c r="J32" s="834">
        <f>T.A5b!G32-T.A5c!G32</f>
        <v>56.203142857142836</v>
      </c>
      <c r="K32" s="1210">
        <f t="shared" si="2"/>
        <v>0.20784168886968379</v>
      </c>
      <c r="L32" s="837">
        <f t="shared" si="6"/>
        <v>1.236340370813491</v>
      </c>
      <c r="M32" s="1213"/>
      <c r="N32" s="1213"/>
      <c r="O32" s="854">
        <f t="shared" si="8"/>
        <v>1.2669401829874525</v>
      </c>
      <c r="P32" s="1095">
        <f t="shared" si="7"/>
        <v>0.21298583589543088</v>
      </c>
      <c r="Q32" s="240">
        <f>('Assets(MOFA)'!JN33-'Assets(MOFA)'!JY33)/1000/T.A5b!E32</f>
        <v>0.1163540980587771</v>
      </c>
    </row>
    <row r="33" spans="1:17" ht="14" customHeight="1">
      <c r="A33" s="856">
        <v>1989</v>
      </c>
      <c r="B33" s="1083">
        <f>T.A5b!B33</f>
        <v>353.62799999999999</v>
      </c>
      <c r="C33" s="876">
        <f>'Assets(BoP)'!LE81</f>
        <v>74.662000000000006</v>
      </c>
      <c r="D33" s="876">
        <f>T.A5c!B33-C33</f>
        <v>278.96600000000001</v>
      </c>
      <c r="E33" s="857">
        <f t="shared" si="4"/>
        <v>65.557999999999993</v>
      </c>
      <c r="F33" s="1090">
        <f>'Assets(MOFA)'!JP34/1000</f>
        <v>108.833</v>
      </c>
      <c r="G33" s="860">
        <f>'Assets(MOFA)'!KA34/1000</f>
        <v>43.274999999999999</v>
      </c>
      <c r="H33" s="1079">
        <f t="shared" si="5"/>
        <v>236.89299999999997</v>
      </c>
      <c r="I33" s="860">
        <f>T.A5b!F33-T.A5c!F33</f>
        <v>298.24099999999999</v>
      </c>
      <c r="J33" s="860">
        <f>T.A5b!G33-T.A5c!G33</f>
        <v>61.348000000000006</v>
      </c>
      <c r="K33" s="1210">
        <f t="shared" si="2"/>
        <v>0.21675577200935028</v>
      </c>
      <c r="L33" s="862">
        <f t="shared" si="6"/>
        <v>1.1692075741194443</v>
      </c>
      <c r="M33" s="1213"/>
      <c r="N33" s="1213"/>
      <c r="O33" s="854">
        <f t="shared" si="8"/>
        <v>1.1388693980902409</v>
      </c>
      <c r="P33" s="1095">
        <f t="shared" si="7"/>
        <v>0.21113147148981418</v>
      </c>
      <c r="Q33" s="240">
        <f>('Assets(MOFA)'!JN34-'Assets(MOFA)'!JY34)/1000/T.A5b!E33</f>
        <v>9.9503721263940262E-2</v>
      </c>
    </row>
    <row r="34" spans="1:17" ht="14" customHeight="1">
      <c r="A34" s="863">
        <v>1990</v>
      </c>
      <c r="B34" s="1082">
        <f>T.A5b!B34</f>
        <v>402.89499999999998</v>
      </c>
      <c r="C34" s="832">
        <f>'Assets(BoP)'!LE82</f>
        <v>85.810000000000016</v>
      </c>
      <c r="D34" s="832">
        <f>T.A5c!B34-C34</f>
        <v>317.08499999999998</v>
      </c>
      <c r="E34" s="864">
        <f t="shared" si="4"/>
        <v>74.106400000000008</v>
      </c>
      <c r="F34" s="1091">
        <f>'Assets(MOFA)'!JP35/1000</f>
        <v>123.955</v>
      </c>
      <c r="G34" s="866">
        <f>'Assets(MOFA)'!KA35/1000</f>
        <v>49.848599999999998</v>
      </c>
      <c r="H34" s="1080">
        <f t="shared" si="5"/>
        <v>267.13559999999995</v>
      </c>
      <c r="I34" s="866">
        <f>T.A5b!F34-T.A5c!F34</f>
        <v>341.291</v>
      </c>
      <c r="J34" s="866">
        <f>T.A5b!G34-T.A5c!G34</f>
        <v>74.155400000000014</v>
      </c>
      <c r="K34" s="1326">
        <f t="shared" si="2"/>
        <v>0.21716670280915018</v>
      </c>
      <c r="L34" s="868">
        <f t="shared" si="6"/>
        <v>1.1806723674108113</v>
      </c>
      <c r="M34" s="1213"/>
      <c r="N34" s="1213"/>
      <c r="O34" s="854">
        <f t="shared" si="8"/>
        <v>1.1579296794878715</v>
      </c>
      <c r="P34" s="1095">
        <f t="shared" si="7"/>
        <v>0.21298353168939804</v>
      </c>
      <c r="Q34" s="240">
        <f>('Assets(MOFA)'!JN35-'Assets(MOFA)'!JY35)/1000/T.A5b!E34</f>
        <v>9.6317569349611123E-2</v>
      </c>
    </row>
    <row r="35" spans="1:17" ht="14" customHeight="1">
      <c r="A35" s="826">
        <v>1991</v>
      </c>
      <c r="B35" s="1082">
        <f>T.A5b!B35</f>
        <v>443.76299999999998</v>
      </c>
      <c r="C35" s="832">
        <f>'Assets(BoP)'!LE83</f>
        <v>96.496000000000009</v>
      </c>
      <c r="D35" s="832">
        <f>T.A5c!B35-C35</f>
        <v>347.26699999999994</v>
      </c>
      <c r="E35" s="814">
        <f t="shared" si="4"/>
        <v>79.757800000000003</v>
      </c>
      <c r="F35" s="1089">
        <f>'Assets(MOFA)'!JP36/1000</f>
        <v>136.18</v>
      </c>
      <c r="G35" s="834">
        <f>'Assets(MOFA)'!KA36/1000</f>
        <v>56.422200000000004</v>
      </c>
      <c r="H35" s="1078">
        <f t="shared" si="5"/>
        <v>283.89319999999998</v>
      </c>
      <c r="I35" s="834">
        <f>T.A5b!F35-T.A5c!F35</f>
        <v>370.85599999999999</v>
      </c>
      <c r="J35" s="834">
        <f>T.A5b!G35-T.A5c!G35</f>
        <v>86.962799999999987</v>
      </c>
      <c r="K35" s="1210">
        <f t="shared" si="2"/>
        <v>0.21932512216383293</v>
      </c>
      <c r="L35" s="837">
        <f t="shared" si="6"/>
        <v>1.2202991329598984</v>
      </c>
      <c r="M35" s="1213"/>
      <c r="N35" s="1213"/>
      <c r="O35" s="854">
        <f t="shared" si="8"/>
        <v>1.209862859808069</v>
      </c>
      <c r="P35" s="1095">
        <f t="shared" si="7"/>
        <v>0.2174494042991417</v>
      </c>
      <c r="Q35" s="240">
        <f>('Assets(MOFA)'!JN36-'Assets(MOFA)'!JY36)/1000/T.A5b!E35</f>
        <v>0.10151821389189083</v>
      </c>
    </row>
    <row r="36" spans="1:17" ht="14" customHeight="1">
      <c r="A36" s="826">
        <v>1992</v>
      </c>
      <c r="B36" s="1082">
        <f>T.A5b!B36</f>
        <v>465.64499999999998</v>
      </c>
      <c r="C36" s="832">
        <f>'Assets(BoP)'!LE84</f>
        <v>105.01400000000001</v>
      </c>
      <c r="D36" s="832">
        <f>T.A5c!B36-C36</f>
        <v>360.63099999999997</v>
      </c>
      <c r="E36" s="814">
        <f t="shared" si="4"/>
        <v>81.774200000000008</v>
      </c>
      <c r="F36" s="1089">
        <f>'Assets(MOFA)'!JP37/1000</f>
        <v>144.77000000000001</v>
      </c>
      <c r="G36" s="834">
        <f>'Assets(MOFA)'!KA37/1000</f>
        <v>62.995799999999996</v>
      </c>
      <c r="H36" s="1078">
        <f t="shared" si="5"/>
        <v>295.35980000000001</v>
      </c>
      <c r="I36" s="834">
        <f>T.A5b!F36-T.A5c!F36</f>
        <v>395.13</v>
      </c>
      <c r="J36" s="834">
        <f>T.A5b!G36-T.A5c!G36</f>
        <v>99.770199999999988</v>
      </c>
      <c r="K36" s="1210">
        <f t="shared" si="2"/>
        <v>0.21683062253734747</v>
      </c>
      <c r="L36" s="837">
        <f t="shared" si="6"/>
        <v>1.2346937693233704</v>
      </c>
      <c r="M36" s="1213"/>
      <c r="N36" s="1213"/>
      <c r="O36" s="854">
        <f t="shared" si="8"/>
        <v>1.2841947704777301</v>
      </c>
      <c r="P36" s="1095">
        <f t="shared" si="7"/>
        <v>0.22552373589322341</v>
      </c>
      <c r="Q36" s="240">
        <f>('Assets(MOFA)'!JN37-'Assets(MOFA)'!JY37)/1000/T.A5b!E36</f>
        <v>0.1018863321790133</v>
      </c>
    </row>
    <row r="37" spans="1:17" ht="14" customHeight="1">
      <c r="A37" s="826">
        <v>1993</v>
      </c>
      <c r="B37" s="1084">
        <f>T.A5b!B37</f>
        <v>505.28399999999999</v>
      </c>
      <c r="C37" s="882">
        <f>'Assets(BoP)'!LE85</f>
        <v>115.48400000000001</v>
      </c>
      <c r="D37" s="882">
        <f>T.A5c!B37-C37</f>
        <v>389.79999999999995</v>
      </c>
      <c r="E37" s="814">
        <f t="shared" si="4"/>
        <v>91.150600000000011</v>
      </c>
      <c r="F37" s="1089">
        <f>'Assets(MOFA)'!JP38/1000</f>
        <v>160.72</v>
      </c>
      <c r="G37" s="834">
        <f>'Assets(MOFA)'!KA38/1000</f>
        <v>69.569399999999987</v>
      </c>
      <c r="H37" s="1078">
        <f t="shared" si="5"/>
        <v>316.2054</v>
      </c>
      <c r="I37" s="834">
        <f>T.A5b!F37-T.A5c!F37</f>
        <v>428.78300000000002</v>
      </c>
      <c r="J37" s="834">
        <f>T.A5b!G37-T.A5c!G37</f>
        <v>112.5776</v>
      </c>
      <c r="K37" s="1210">
        <f t="shared" si="2"/>
        <v>0.22376152554522338</v>
      </c>
      <c r="L37" s="837">
        <f t="shared" si="6"/>
        <v>1.2403990612633666</v>
      </c>
      <c r="M37" s="1213"/>
      <c r="N37" s="1213"/>
      <c r="O37" s="854">
        <f t="shared" si="8"/>
        <v>1.2669581988489378</v>
      </c>
      <c r="P37" s="1095">
        <f t="shared" si="7"/>
        <v>0.22855265553629248</v>
      </c>
      <c r="Q37" s="240">
        <f>('Assets(MOFA)'!JN38-'Assets(MOFA)'!JY38)/1000/T.A5b!E37</f>
        <v>8.9583558361727808E-2</v>
      </c>
    </row>
    <row r="38" spans="1:17" ht="14" customHeight="1">
      <c r="A38" s="826">
        <v>1994</v>
      </c>
      <c r="B38" s="1082">
        <f>T.A5b!B38</f>
        <v>552.35900000000004</v>
      </c>
      <c r="C38" s="832">
        <f>'Assets(BoP)'!LE86</f>
        <v>128.12199999999999</v>
      </c>
      <c r="D38" s="832">
        <f>T.A5c!B38-C38</f>
        <v>424.23700000000008</v>
      </c>
      <c r="E38" s="814">
        <f t="shared" si="4"/>
        <v>113.80500000000001</v>
      </c>
      <c r="F38" s="1089">
        <f>'Assets(MOFA)'!JP39/1000</f>
        <v>189.94800000000001</v>
      </c>
      <c r="G38" s="834">
        <f>'Assets(MOFA)'!KA39/1000</f>
        <v>76.143000000000001</v>
      </c>
      <c r="H38" s="1078">
        <f t="shared" si="5"/>
        <v>367.35</v>
      </c>
      <c r="I38" s="834">
        <f>T.A5b!F38-T.A5c!F38</f>
        <v>492.73500000000001</v>
      </c>
      <c r="J38" s="834">
        <f>T.A5b!G38-T.A5c!G38</f>
        <v>125.38499999999999</v>
      </c>
      <c r="K38" s="1210">
        <f t="shared" si="2"/>
        <v>0.23652461265080896</v>
      </c>
      <c r="L38" s="838">
        <f t="shared" si="6"/>
        <v>1.1479855763735178</v>
      </c>
      <c r="M38" s="1214"/>
      <c r="N38" s="1214"/>
      <c r="O38" s="854">
        <f t="shared" si="8"/>
        <v>1.1258029084838099</v>
      </c>
      <c r="P38" s="1095">
        <f>C38/B38</f>
        <v>0.2319542181805673</v>
      </c>
      <c r="Q38" s="240">
        <f>('Assets(MOFA)'!JN39-'Assets(MOFA)'!JY39)/1000/T.A5b!E38</f>
        <v>8.3573900302397364E-2</v>
      </c>
    </row>
    <row r="39" spans="1:17">
      <c r="A39" s="826">
        <v>1995</v>
      </c>
      <c r="B39" s="1082">
        <f>T.A5b!B39</f>
        <v>640.86599999999999</v>
      </c>
      <c r="C39" s="832">
        <f>'Assets(BoP)'!LE87</f>
        <v>149.20900000000003</v>
      </c>
      <c r="D39" s="832">
        <f>T.A5c!B39-C39</f>
        <v>491.65699999999993</v>
      </c>
      <c r="E39" s="814">
        <f t="shared" si="4"/>
        <v>134.41300000000001</v>
      </c>
      <c r="F39" s="1089">
        <f>'Assets(MOFA)'!JP40/1000</f>
        <v>231.459</v>
      </c>
      <c r="G39" s="834">
        <f>'Assets(MOFA)'!KA40/1000</f>
        <v>97.046000000000006</v>
      </c>
      <c r="H39" s="1078">
        <f t="shared" si="5"/>
        <v>419.32199999999995</v>
      </c>
      <c r="I39" s="834">
        <f>T.A5b!F39-T.A5c!F39</f>
        <v>564.32999999999993</v>
      </c>
      <c r="J39" s="834">
        <f>T.A5b!G39-T.A5c!G39</f>
        <v>145.00799999999998</v>
      </c>
      <c r="K39" s="1210">
        <f t="shared" si="2"/>
        <v>0.24273885522858413</v>
      </c>
      <c r="L39" s="838">
        <f t="shared" si="6"/>
        <v>1.1573514406710792</v>
      </c>
      <c r="M39" s="1214"/>
      <c r="N39" s="1214"/>
      <c r="O39" s="854">
        <f t="shared" si="8"/>
        <v>1.1100786382269574</v>
      </c>
      <c r="P39" s="1095">
        <f t="shared" ref="P39:P42" si="9">C39/B39</f>
        <v>0.23282402249456211</v>
      </c>
      <c r="Q39" s="240">
        <f>('Assets(MOFA)'!JN40-'Assets(MOFA)'!JY40)/1000/T.A5b!E39</f>
        <v>8.8278689264720489E-2</v>
      </c>
    </row>
    <row r="40" spans="1:17">
      <c r="A40" s="826">
        <v>1996</v>
      </c>
      <c r="B40" s="1082">
        <f>T.A5b!B40</f>
        <v>727.38400000000001</v>
      </c>
      <c r="C40" s="832">
        <f>'Assets(BoP)'!LE88</f>
        <v>179.39900000000003</v>
      </c>
      <c r="D40" s="832">
        <f>T.A5c!B40-C40</f>
        <v>547.98500000000001</v>
      </c>
      <c r="E40" s="814">
        <f t="shared" si="4"/>
        <v>138.45900000000003</v>
      </c>
      <c r="F40" s="1089">
        <f>'Assets(MOFA)'!JP41/1000</f>
        <v>268.68900000000002</v>
      </c>
      <c r="G40" s="834">
        <f>'Assets(MOFA)'!KA41/1000</f>
        <v>130.22999999999999</v>
      </c>
      <c r="H40" s="1078">
        <f t="shared" si="5"/>
        <v>494.35299999999995</v>
      </c>
      <c r="I40" s="834">
        <f>T.A5b!F40-T.A5c!F40</f>
        <v>651.45399999999995</v>
      </c>
      <c r="J40" s="834">
        <f>T.A5b!G40-T.A5c!G40</f>
        <v>157.10100000000003</v>
      </c>
      <c r="K40" s="1210">
        <f t="shared" si="2"/>
        <v>0.21879958028608815</v>
      </c>
      <c r="L40" s="838">
        <f t="shared" si="6"/>
        <v>1.1494472291928723</v>
      </c>
      <c r="M40" s="1214"/>
      <c r="N40" s="1214"/>
      <c r="O40" s="854">
        <f t="shared" si="8"/>
        <v>1.2956831986364195</v>
      </c>
      <c r="P40" s="1095">
        <f t="shared" si="9"/>
        <v>0.24663588970887457</v>
      </c>
      <c r="Q40" s="240">
        <f>('Assets(MOFA)'!JN41-'Assets(MOFA)'!JY41)/1000/T.A5b!E40</f>
        <v>6.8965190293483691E-2</v>
      </c>
    </row>
    <row r="41" spans="1:17">
      <c r="A41" s="826">
        <v>1997</v>
      </c>
      <c r="B41" s="1082">
        <f>T.A5b!B41</f>
        <v>797.51400000000001</v>
      </c>
      <c r="C41" s="832">
        <f>'Assets(BoP)'!LE89</f>
        <v>204.05700000000002</v>
      </c>
      <c r="D41" s="832">
        <f>T.A5c!B41-C41</f>
        <v>593.45699999999999</v>
      </c>
      <c r="E41" s="814">
        <f t="shared" si="4"/>
        <v>163.52000000000001</v>
      </c>
      <c r="F41" s="1089">
        <f>'Assets(MOFA)'!JP42/1000</f>
        <v>315.536</v>
      </c>
      <c r="G41" s="834">
        <f>'Assets(MOFA)'!KA42/1000</f>
        <v>152.01599999999999</v>
      </c>
      <c r="H41" s="1078">
        <f t="shared" si="5"/>
        <v>535.69499999999982</v>
      </c>
      <c r="I41" s="834">
        <f>T.A5b!F41-T.A5c!F41</f>
        <v>709.82399999999984</v>
      </c>
      <c r="J41" s="834">
        <f>T.A5b!G41-T.A5c!G41</f>
        <v>174.12899999999999</v>
      </c>
      <c r="K41" s="1210">
        <f t="shared" si="2"/>
        <v>0.23386225981994102</v>
      </c>
      <c r="L41" s="838">
        <f t="shared" si="6"/>
        <v>1.140584798667077</v>
      </c>
      <c r="M41" s="1214"/>
      <c r="N41" s="1214"/>
      <c r="O41" s="854">
        <f t="shared" si="8"/>
        <v>1.2479023972602741</v>
      </c>
      <c r="P41" s="1095">
        <f t="shared" si="9"/>
        <v>0.25586635469722163</v>
      </c>
      <c r="Q41" s="240">
        <f>('Assets(MOFA)'!JN42-'Assets(MOFA)'!JY42)/1000/T.A5b!E41</f>
        <v>7.8748310605464708E-2</v>
      </c>
    </row>
    <row r="42" spans="1:17">
      <c r="A42" s="826">
        <v>1998</v>
      </c>
      <c r="B42" s="1082">
        <f>T.A5b!B42</f>
        <v>900.90899999999999</v>
      </c>
      <c r="C42" s="832">
        <f>'Assets(BoP)'!LE90</f>
        <v>237.99300000000002</v>
      </c>
      <c r="D42" s="832">
        <f>T.A5c!B42-C42</f>
        <v>662.91599999999994</v>
      </c>
      <c r="E42" s="814">
        <f t="shared" si="4"/>
        <v>180.41099999999997</v>
      </c>
      <c r="F42" s="1089">
        <f>'Assets(MOFA)'!JP43/1000</f>
        <v>370.86599999999999</v>
      </c>
      <c r="G42" s="834">
        <f>'Assets(MOFA)'!KA43/1000</f>
        <v>190.45500000000001</v>
      </c>
      <c r="H42" s="1078">
        <f t="shared" si="5"/>
        <v>594.77299999999991</v>
      </c>
      <c r="I42" s="834">
        <f>T.A5b!F42-T.A5c!F42</f>
        <v>821.78199999999993</v>
      </c>
      <c r="J42" s="834">
        <f>T.A5b!G42-T.A5c!G42</f>
        <v>227.00899999999999</v>
      </c>
      <c r="K42" s="1210">
        <f t="shared" si="2"/>
        <v>0.23273313174678528</v>
      </c>
      <c r="L42" s="838">
        <f t="shared" si="6"/>
        <v>1.1621873000474727</v>
      </c>
      <c r="M42" s="1214"/>
      <c r="N42" s="1214"/>
      <c r="O42" s="854">
        <f t="shared" si="8"/>
        <v>1.3191712257013157</v>
      </c>
      <c r="P42" s="1095">
        <f t="shared" si="9"/>
        <v>0.26416985511300256</v>
      </c>
      <c r="Q42" s="240">
        <f>('Assets(MOFA)'!JN43-'Assets(MOFA)'!JY43)/1000/T.A5b!E42</f>
        <v>8.2352060930050167E-2</v>
      </c>
    </row>
    <row r="43" spans="1:17">
      <c r="A43" s="856">
        <v>1999</v>
      </c>
      <c r="B43" s="1083">
        <f>T.A5b!B43</f>
        <v>1055.1179999999999</v>
      </c>
      <c r="C43" s="876">
        <f>'Assets(BoP)'!LE91</f>
        <v>303.32100000000003</v>
      </c>
      <c r="D43" s="876">
        <f>T.A5c!B43-C43</f>
        <v>751.79699999999991</v>
      </c>
      <c r="E43" s="857">
        <f t="shared" si="4"/>
        <v>230.14699999999999</v>
      </c>
      <c r="F43" s="1090">
        <f>'Assets(MOFA)'!JP44/1000</f>
        <v>478.99799999999999</v>
      </c>
      <c r="G43" s="860">
        <f>'Assets(MOFA)'!KA44/1000</f>
        <v>248.851</v>
      </c>
      <c r="H43" s="1079">
        <f t="shared" si="5"/>
        <v>686.25700000000006</v>
      </c>
      <c r="I43" s="860">
        <f>T.A5b!F43-T.A5c!F43</f>
        <v>968.45900000000006</v>
      </c>
      <c r="J43" s="860">
        <f>T.A5b!G43-T.A5c!G43</f>
        <v>282.202</v>
      </c>
      <c r="K43" s="1211">
        <f t="shared" si="2"/>
        <v>0.251141417977224</v>
      </c>
      <c r="L43" s="838">
        <f t="shared" si="6"/>
        <v>1.1513677373734728</v>
      </c>
      <c r="M43" s="1214"/>
      <c r="N43" s="1214"/>
      <c r="O43" s="854">
        <f t="shared" si="8"/>
        <v>1.3179446180050143</v>
      </c>
      <c r="P43" s="1095">
        <f>C43/B43</f>
        <v>0.28747590316912425</v>
      </c>
      <c r="Q43" s="240">
        <f>('Assets(MOFA)'!JN44-'Assets(MOFA)'!JY44)/1000/T.A5b!E43</f>
        <v>9.1481486331356027E-2</v>
      </c>
    </row>
    <row r="44" spans="1:17">
      <c r="A44" s="863">
        <v>2000</v>
      </c>
      <c r="B44" s="1082">
        <f>T.A5b!B44</f>
        <v>1167.836</v>
      </c>
      <c r="C44" s="832">
        <f>'Assets(BoP)'!LE92</f>
        <v>354.01949999999999</v>
      </c>
      <c r="D44" s="832">
        <f>T.A5c!B44-C44</f>
        <v>813.81650000000002</v>
      </c>
      <c r="E44" s="864">
        <f t="shared" si="4"/>
        <v>267.32</v>
      </c>
      <c r="F44" s="1091">
        <f>'Assets(MOFA)'!JP45/1000</f>
        <v>662.01900000000001</v>
      </c>
      <c r="G44" s="866">
        <f>'Assets(MOFA)'!KA45/1000</f>
        <v>394.69900000000001</v>
      </c>
      <c r="H44" s="1080">
        <f t="shared" si="5"/>
        <v>772.19599999999991</v>
      </c>
      <c r="I44" s="866">
        <f>T.A5b!F44-T.A5c!F44</f>
        <v>1151.3109999999999</v>
      </c>
      <c r="J44" s="866">
        <f>T.A5b!G44-T.A5c!G44</f>
        <v>379.11499999999995</v>
      </c>
      <c r="K44" s="1210">
        <f t="shared" si="2"/>
        <v>0.25715813898006384</v>
      </c>
      <c r="L44" s="1212">
        <f t="shared" si="6"/>
        <v>1.1234420634218234</v>
      </c>
      <c r="M44" s="1214"/>
      <c r="N44" s="1214"/>
      <c r="O44" s="854">
        <f t="shared" si="8"/>
        <v>1.324328520125692</v>
      </c>
      <c r="P44" s="1095">
        <f t="shared" ref="P44:P47" si="10">C44/B44</f>
        <v>0.30314145136817156</v>
      </c>
      <c r="Q44" s="240">
        <f>('Assets(MOFA)'!JN45-'Assets(MOFA)'!JY45)/1000/T.A5b!E44</f>
        <v>8.6367117004452071E-2</v>
      </c>
    </row>
    <row r="45" spans="1:17">
      <c r="A45" s="826">
        <v>2001</v>
      </c>
      <c r="B45" s="1084">
        <f>T.A5b!B45</f>
        <v>1304.329</v>
      </c>
      <c r="C45" s="882">
        <f>'Assets(BoP)'!LE93</f>
        <v>456.15950000000004</v>
      </c>
      <c r="D45" s="882">
        <f>T.A5c!B45-C45</f>
        <v>848.16949999999997</v>
      </c>
      <c r="E45" s="814">
        <f t="shared" si="4"/>
        <v>308.06000000000006</v>
      </c>
      <c r="F45" s="1089">
        <f>'Assets(MOFA)'!JP46/1000</f>
        <v>837.74900000000002</v>
      </c>
      <c r="G45" s="834">
        <f>'Assets(MOFA)'!KA46/1000</f>
        <v>529.68899999999996</v>
      </c>
      <c r="H45" s="1078">
        <f t="shared" si="5"/>
        <v>781.26699999999983</v>
      </c>
      <c r="I45" s="834">
        <f>T.A5b!F45-T.A5c!F45</f>
        <v>1228.1139999999998</v>
      </c>
      <c r="J45" s="834">
        <f>T.A5b!G45-T.A5c!G45</f>
        <v>446.84699999999998</v>
      </c>
      <c r="K45" s="1210">
        <f t="shared" si="2"/>
        <v>0.28279846180256263</v>
      </c>
      <c r="L45" s="838">
        <f t="shared" si="6"/>
        <v>1.1973714045461099</v>
      </c>
      <c r="M45" s="1214"/>
      <c r="N45" s="1214"/>
      <c r="O45" s="854">
        <f t="shared" si="8"/>
        <v>1.4807488800882944</v>
      </c>
      <c r="P45" s="1095">
        <f t="shared" si="10"/>
        <v>0.3497273310644784</v>
      </c>
      <c r="Q45" s="240">
        <f>('Assets(MOFA)'!JN46-'Assets(MOFA)'!JY46)/1000/T.A5b!E45</f>
        <v>0.10988619578877602</v>
      </c>
    </row>
    <row r="46" spans="1:17">
      <c r="A46" s="826">
        <v>2002</v>
      </c>
      <c r="B46" s="1082">
        <f>T.A5b!B46</f>
        <v>1434.07</v>
      </c>
      <c r="C46" s="832">
        <f>'Assets(BoP)'!LE94</f>
        <v>522.74349999999981</v>
      </c>
      <c r="D46" s="832">
        <f>T.A5c!B46-C46</f>
        <v>911.32650000000012</v>
      </c>
      <c r="E46" s="814">
        <f t="shared" si="4"/>
        <v>402.70300000000009</v>
      </c>
      <c r="F46" s="1089">
        <f>'Assets(MOFA)'!JP47/1000</f>
        <v>1142.5350000000001</v>
      </c>
      <c r="G46" s="834">
        <f>'Assets(MOFA)'!KA47/1000</f>
        <v>739.83199999999999</v>
      </c>
      <c r="H46" s="1078">
        <f t="shared" si="5"/>
        <v>843.11299999999994</v>
      </c>
      <c r="I46" s="834">
        <f>T.A5b!F46-T.A5c!F46</f>
        <v>1349.316</v>
      </c>
      <c r="J46" s="834">
        <f>T.A5b!G46-T.A5c!G46</f>
        <v>506.20300000000009</v>
      </c>
      <c r="K46" s="1210">
        <f t="shared" si="2"/>
        <v>0.32324436353361979</v>
      </c>
      <c r="L46" s="838">
        <f t="shared" si="6"/>
        <v>1.1511089920180828</v>
      </c>
      <c r="M46" s="1214"/>
      <c r="N46" s="1214"/>
      <c r="O46" s="854">
        <f t="shared" si="8"/>
        <v>1.2980869275868312</v>
      </c>
      <c r="P46" s="1095">
        <f t="shared" si="10"/>
        <v>0.36451742244102436</v>
      </c>
      <c r="Q46" s="240">
        <f>('Assets(MOFA)'!JN47-'Assets(MOFA)'!JY47)/1000/T.A5b!E46</f>
        <v>0.12901664451251227</v>
      </c>
    </row>
    <row r="47" spans="1:17">
      <c r="A47" s="826">
        <v>2003</v>
      </c>
      <c r="B47" s="1082">
        <f>T.A5b!B47</f>
        <v>1588.921</v>
      </c>
      <c r="C47" s="832">
        <f>'Assets(BoP)'!LE95</f>
        <v>595.01900000000012</v>
      </c>
      <c r="D47" s="832">
        <f>T.A5c!B47-C47</f>
        <v>993.90199999999993</v>
      </c>
      <c r="E47" s="814">
        <f t="shared" si="4"/>
        <v>478.50700000000006</v>
      </c>
      <c r="F47" s="1089">
        <f>'Assets(MOFA)'!JP48/1000</f>
        <v>1440.6880000000001</v>
      </c>
      <c r="G47" s="834">
        <f>'Assets(MOFA)'!KA48/1000</f>
        <v>962.18100000000004</v>
      </c>
      <c r="H47" s="1078">
        <f t="shared" si="5"/>
        <v>969.41199999999981</v>
      </c>
      <c r="I47" s="834">
        <f>T.A5b!F47-T.A5c!F47</f>
        <v>1589.6109999999999</v>
      </c>
      <c r="J47" s="834">
        <f>T.A5b!G47-T.A5c!G47</f>
        <v>620.19900000000007</v>
      </c>
      <c r="K47" s="1210">
        <f t="shared" si="2"/>
        <v>0.33047912210558744</v>
      </c>
      <c r="L47" s="838">
        <f t="shared" si="6"/>
        <v>1.0973825193260121</v>
      </c>
      <c r="M47" s="1214"/>
      <c r="N47" s="1214"/>
      <c r="O47" s="854">
        <f t="shared" si="8"/>
        <v>1.2434906908362888</v>
      </c>
      <c r="P47" s="1095">
        <f t="shared" si="10"/>
        <v>0.37447991435697564</v>
      </c>
      <c r="Q47" s="240">
        <f>('Assets(MOFA)'!JN48-'Assets(MOFA)'!JY48)/1000/T.A5b!E47</f>
        <v>0.12730062938603612</v>
      </c>
    </row>
    <row r="48" spans="1:17">
      <c r="A48" s="826">
        <v>2004</v>
      </c>
      <c r="B48" s="1082">
        <f>T.A5b!B48</f>
        <v>1968.5940000000001</v>
      </c>
      <c r="C48" s="832">
        <f>'Assets(BoP)'!LE96</f>
        <v>736.94900000000007</v>
      </c>
      <c r="D48" s="832">
        <f>T.A5c!B48-C48</f>
        <v>1231.645</v>
      </c>
      <c r="E48" s="814">
        <f t="shared" si="4"/>
        <v>507.202</v>
      </c>
      <c r="F48" s="1089">
        <f>'Assets(MOFA)'!JP49/1000</f>
        <v>1811.7180000000001</v>
      </c>
      <c r="G48" s="834">
        <f>'Assets(MOFA)'!KA49/1000</f>
        <v>1304.5160000000001</v>
      </c>
      <c r="H48" s="1078">
        <f t="shared" si="5"/>
        <v>1081.1960000000001</v>
      </c>
      <c r="I48" s="834">
        <f>T.A5b!F48-T.A5c!F48</f>
        <v>1857.6589999999999</v>
      </c>
      <c r="J48" s="834">
        <f>T.A5b!G48-T.A5c!G48</f>
        <v>776.46299999999974</v>
      </c>
      <c r="K48" s="1210">
        <f t="shared" si="2"/>
        <v>0.31931669518596728</v>
      </c>
      <c r="L48" s="838">
        <f t="shared" si="6"/>
        <v>1.2393581457544016</v>
      </c>
      <c r="M48" s="1214"/>
      <c r="N48" s="1214"/>
      <c r="O48" s="854">
        <f t="shared" si="8"/>
        <v>1.4529694283539893</v>
      </c>
      <c r="P48" s="1095">
        <f>C48/B48</f>
        <v>0.37435296460316347</v>
      </c>
      <c r="Q48" s="240">
        <f>('Assets(MOFA)'!JN49-'Assets(MOFA)'!JY49)/1000/T.A5b!E48</f>
        <v>0.13095647312575309</v>
      </c>
    </row>
    <row r="49" spans="1:17">
      <c r="A49" s="826">
        <v>2005</v>
      </c>
      <c r="B49" s="1082">
        <f>T.A5b!B49</f>
        <v>2052.962</v>
      </c>
      <c r="C49" s="832">
        <f>'Assets(BoP)'!LE97</f>
        <v>746.23099999999999</v>
      </c>
      <c r="D49" s="832">
        <f>T.A5c!B49-C49</f>
        <v>1306.731</v>
      </c>
      <c r="E49" s="814">
        <f t="shared" si="4"/>
        <v>480.17799999999988</v>
      </c>
      <c r="F49" s="1089">
        <f>'Assets(MOFA)'!JP50/1000</f>
        <v>2027.627</v>
      </c>
      <c r="G49" s="834">
        <f>'Assets(MOFA)'!KA50/1000</f>
        <v>1547.4490000000001</v>
      </c>
      <c r="H49" s="1078">
        <f t="shared" si="5"/>
        <v>1293.4539999999997</v>
      </c>
      <c r="I49" s="834">
        <f>T.A5b!F49-T.A5c!F49</f>
        <v>2167.2019999999998</v>
      </c>
      <c r="J49" s="834">
        <f>T.A5b!G49-T.A5c!G49</f>
        <v>873.74800000000005</v>
      </c>
      <c r="K49" s="1210">
        <f t="shared" si="2"/>
        <v>0.27073147078988197</v>
      </c>
      <c r="L49" s="837">
        <f t="shared" si="6"/>
        <v>1.1574903925955331</v>
      </c>
      <c r="M49" s="1213"/>
      <c r="N49" s="1213"/>
      <c r="O49" s="854">
        <f t="shared" si="8"/>
        <v>1.5540716151093974</v>
      </c>
      <c r="P49" s="1095">
        <f t="shared" ref="P49:P60" si="11">C49/B49</f>
        <v>0.36348992334003261</v>
      </c>
      <c r="Q49" s="240">
        <f>('Assets(MOFA)'!JN50-'Assets(MOFA)'!JY50)/1000/T.A5b!E49</f>
        <v>0.12341511655179882</v>
      </c>
    </row>
    <row r="50" spans="1:17">
      <c r="A50" s="826">
        <v>2006</v>
      </c>
      <c r="B50" s="1082">
        <f>T.A5b!B50</f>
        <v>2301.2260000000001</v>
      </c>
      <c r="C50" s="832">
        <f>'Assets(BoP)'!LE98</f>
        <v>891.6049999999999</v>
      </c>
      <c r="D50" s="832">
        <f>T.A5c!B50-C50</f>
        <v>1409.6210000000001</v>
      </c>
      <c r="E50" s="814">
        <f t="shared" si="4"/>
        <v>565.89900000000011</v>
      </c>
      <c r="F50" s="1089">
        <f>'Assets(MOFA)'!JP51/1000</f>
        <v>2359.3090000000002</v>
      </c>
      <c r="G50" s="834">
        <f>'Assets(MOFA)'!KA51/1000</f>
        <v>1793.41</v>
      </c>
      <c r="H50" s="1078">
        <f t="shared" si="5"/>
        <v>1425.1769999999995</v>
      </c>
      <c r="I50" s="834">
        <f>T.A5b!F50-T.A5c!F50</f>
        <v>2471.0559999999996</v>
      </c>
      <c r="J50" s="834">
        <f>T.A5b!G50-T.A5c!G50</f>
        <v>1045.8790000000001</v>
      </c>
      <c r="K50" s="1210">
        <f t="shared" si="2"/>
        <v>0.28421767928496966</v>
      </c>
      <c r="L50" s="837">
        <f t="shared" si="6"/>
        <v>1.1557700459450069</v>
      </c>
      <c r="M50" s="1213"/>
      <c r="N50" s="1213"/>
      <c r="O50" s="854">
        <f t="shared" si="8"/>
        <v>1.5755550018642899</v>
      </c>
      <c r="P50" s="1095">
        <f t="shared" si="11"/>
        <v>0.3874478212917809</v>
      </c>
      <c r="Q50" s="240">
        <f>('Assets(MOFA)'!JN51-'Assets(MOFA)'!JY51)/1000/T.A5b!E50</f>
        <v>0.15145529351968487</v>
      </c>
    </row>
    <row r="51" spans="1:17">
      <c r="A51" s="826">
        <v>2007</v>
      </c>
      <c r="B51" s="1082">
        <f>T.A5b!B51</f>
        <v>2809.9569999999999</v>
      </c>
      <c r="C51" s="832">
        <f>'Assets(BoP)'!LE99</f>
        <v>1157.9236666666668</v>
      </c>
      <c r="D51" s="832">
        <f>T.A5c!B51-C51</f>
        <v>1652.0333333333331</v>
      </c>
      <c r="E51" s="814">
        <f t="shared" si="4"/>
        <v>720.23500000000013</v>
      </c>
      <c r="F51" s="1089">
        <f>'Assets(MOFA)'!JP52/1000</f>
        <v>2804.2510000000002</v>
      </c>
      <c r="G51" s="834">
        <f>'Assets(MOFA)'!KA52/1000</f>
        <v>2084.0160000000001</v>
      </c>
      <c r="H51" s="1078">
        <f t="shared" si="5"/>
        <v>1715.6440000000002</v>
      </c>
      <c r="I51" s="834">
        <f>T.A5b!F51-T.A5c!F51</f>
        <v>2958.027</v>
      </c>
      <c r="J51" s="834">
        <f>T.A5b!G51-T.A5c!G51</f>
        <v>1242.3829999999998</v>
      </c>
      <c r="K51" s="1210">
        <f t="shared" si="2"/>
        <v>0.29567765886564973</v>
      </c>
      <c r="L51" s="837">
        <f t="shared" si="6"/>
        <v>1.1535700254405081</v>
      </c>
      <c r="M51" s="1213"/>
      <c r="N51" s="1213"/>
      <c r="O51" s="854">
        <f t="shared" si="8"/>
        <v>1.6077025785565358</v>
      </c>
      <c r="P51" s="1095">
        <f t="shared" si="11"/>
        <v>0.41207878507274909</v>
      </c>
      <c r="Q51" s="240">
        <f>('Assets(MOFA)'!JN52-'Assets(MOFA)'!JY52)/1000/T.A5b!E51</f>
        <v>0.14482615926324746</v>
      </c>
    </row>
    <row r="52" spans="1:17">
      <c r="A52" s="826">
        <v>2008</v>
      </c>
      <c r="B52" s="1082">
        <f>T.A5b!B52</f>
        <v>3058.2220000000002</v>
      </c>
      <c r="C52" s="832">
        <f>'Assets(BoP)'!LE100</f>
        <v>1273.7663333333335</v>
      </c>
      <c r="D52" s="832">
        <f>T.A5c!B52-C52</f>
        <v>1784.4556666666667</v>
      </c>
      <c r="E52" s="814">
        <f t="shared" si="4"/>
        <v>747.09899999999971</v>
      </c>
      <c r="F52" s="1089">
        <f>'Assets(MOFA)'!JP53/1000</f>
        <v>2999.8629999999998</v>
      </c>
      <c r="G52" s="834">
        <f>'Assets(MOFA)'!KA53/1000</f>
        <v>2252.7640000000001</v>
      </c>
      <c r="H52" s="1078">
        <f t="shared" si="5"/>
        <v>1675.3920000000003</v>
      </c>
      <c r="I52" s="834">
        <f>T.A5b!F52-T.A5c!F52</f>
        <v>2962.9259999999999</v>
      </c>
      <c r="J52" s="834">
        <f>T.A5b!G52-T.A5c!G52</f>
        <v>1287.5339999999997</v>
      </c>
      <c r="K52" s="1210">
        <f t="shared" si="2"/>
        <v>0.3084011457627705</v>
      </c>
      <c r="L52" s="837">
        <f t="shared" si="6"/>
        <v>1.2624286323457963</v>
      </c>
      <c r="M52" s="1213"/>
      <c r="N52" s="1213"/>
      <c r="O52" s="854">
        <f t="shared" si="8"/>
        <v>1.7049498571586015</v>
      </c>
      <c r="P52" s="1095">
        <f t="shared" si="11"/>
        <v>0.41650551638610062</v>
      </c>
      <c r="Q52" s="240">
        <f>('Assets(MOFA)'!JN53-'Assets(MOFA)'!JY53)/1000/T.A5b!E52</f>
        <v>0.14405337316010669</v>
      </c>
    </row>
    <row r="53" spans="1:17">
      <c r="A53" s="856">
        <v>2009</v>
      </c>
      <c r="B53" s="1083">
        <f>T.A5b!B53</f>
        <v>3340.0770000000002</v>
      </c>
      <c r="C53" s="876">
        <f>'Assets(BoP)'!LE101</f>
        <v>1466.5030000000002</v>
      </c>
      <c r="D53" s="876">
        <f>T.A5c!B53-C53</f>
        <v>1873.5740000000001</v>
      </c>
      <c r="E53" s="857">
        <f t="shared" si="4"/>
        <v>1038.73</v>
      </c>
      <c r="F53" s="1090">
        <f>'Assets(MOFA)'!JP54/1000</f>
        <v>3798.1010000000001</v>
      </c>
      <c r="G53" s="860">
        <f>'Assets(MOFA)'!KA54/1000</f>
        <v>2759.3710000000001</v>
      </c>
      <c r="H53" s="1079">
        <f t="shared" si="5"/>
        <v>2167.8030000000003</v>
      </c>
      <c r="I53" s="860">
        <f>T.A5b!F53-T.A5c!F53</f>
        <v>3930.5239999999999</v>
      </c>
      <c r="J53" s="860">
        <f>T.A5b!G53-T.A5c!G53</f>
        <v>1762.7209999999995</v>
      </c>
      <c r="K53" s="1211">
        <f t="shared" si="2"/>
        <v>0.3239417776146386</v>
      </c>
      <c r="L53" s="862">
        <f t="shared" si="6"/>
        <v>1.0416474740787012</v>
      </c>
      <c r="M53" s="1213"/>
      <c r="N53" s="1213"/>
      <c r="O53" s="854">
        <f t="shared" si="8"/>
        <v>1.4118230916600081</v>
      </c>
      <c r="P53" s="1095">
        <f t="shared" si="11"/>
        <v>0.43906263238841503</v>
      </c>
      <c r="Q53" s="240">
        <f>('Assets(MOFA)'!JN54-'Assets(MOFA)'!JY54)/1000/T.A5b!E53</f>
        <v>0.19761904836157929</v>
      </c>
    </row>
    <row r="54" spans="1:17">
      <c r="A54" s="826">
        <v>2010</v>
      </c>
      <c r="B54" s="1082">
        <f>T.A5b!B54</f>
        <v>3553.174</v>
      </c>
      <c r="C54" s="832">
        <f>'Assets(BoP)'!LE102</f>
        <v>1608.068</v>
      </c>
      <c r="D54" s="832">
        <f>T.A5c!B54-C54</f>
        <v>1945.106</v>
      </c>
      <c r="E54" s="814">
        <f t="shared" si="4"/>
        <v>1110.3219999999997</v>
      </c>
      <c r="F54" s="1089">
        <f>'Assets(MOFA)'!JP55/1000</f>
        <v>4087.6129999999998</v>
      </c>
      <c r="G54" s="834">
        <f>'Assets(MOFA)'!KA55/1000</f>
        <v>2977.2910000000002</v>
      </c>
      <c r="H54" s="1078">
        <f t="shared" si="5"/>
        <v>2317.0090000000009</v>
      </c>
      <c r="I54" s="834">
        <f>T.A5b!F54-T.A5c!F54</f>
        <v>4150.3970000000008</v>
      </c>
      <c r="J54" s="834">
        <f>T.A5b!G54-T.A5c!G54</f>
        <v>1833.3879999999999</v>
      </c>
      <c r="K54" s="1094">
        <f t="shared" si="2"/>
        <v>0.32396112310132857</v>
      </c>
      <c r="L54" s="837">
        <f t="shared" si="6"/>
        <v>1.0367174924161102</v>
      </c>
      <c r="M54" s="1213"/>
      <c r="N54" s="1213"/>
      <c r="O54" s="854">
        <f t="shared" si="8"/>
        <v>1.4482897753984885</v>
      </c>
      <c r="P54" s="1095">
        <f t="shared" si="11"/>
        <v>0.45257226355928531</v>
      </c>
      <c r="Q54" s="240">
        <f>('Assets(MOFA)'!JN55-'Assets(MOFA)'!JY55)/1000/T.A5b!E54</f>
        <v>0.16646947726963052</v>
      </c>
    </row>
    <row r="55" spans="1:17">
      <c r="A55" s="826">
        <v>2011</v>
      </c>
      <c r="B55" s="1082">
        <f>T.A5b!B55</f>
        <v>3855.7510000000002</v>
      </c>
      <c r="C55" s="832">
        <f>'Assets(BoP)'!LE103</f>
        <v>1815.8930000000003</v>
      </c>
      <c r="D55" s="832">
        <f>T.A5c!B55-C55</f>
        <v>2039.8579999999999</v>
      </c>
      <c r="E55" s="814">
        <f t="shared" si="4"/>
        <v>1257.8290000000002</v>
      </c>
      <c r="F55" s="1089">
        <f>'Assets(MOFA)'!JP56/1000</f>
        <v>4565.4110000000001</v>
      </c>
      <c r="G55" s="834">
        <f>'Assets(MOFA)'!KA56/1000</f>
        <v>3307.5819999999999</v>
      </c>
      <c r="H55" s="1078">
        <f t="shared" si="5"/>
        <v>2462.7370000000005</v>
      </c>
      <c r="I55" s="834">
        <f>T.A5b!F55-T.A5c!F55</f>
        <v>4530.6980000000003</v>
      </c>
      <c r="J55" s="834">
        <f>T.A5b!G55-T.A5c!G55</f>
        <v>2067.9609999999998</v>
      </c>
      <c r="K55" s="1094">
        <f t="shared" si="2"/>
        <v>0.3380746370310323</v>
      </c>
      <c r="L55" s="837">
        <f t="shared" si="6"/>
        <v>1.0363345254458594</v>
      </c>
      <c r="M55" s="1213"/>
      <c r="N55" s="1213"/>
      <c r="O55" s="854">
        <f t="shared" si="8"/>
        <v>1.4436723910801865</v>
      </c>
      <c r="P55" s="1095">
        <f>C55/B55</f>
        <v>0.47095701978680682</v>
      </c>
      <c r="Q55" s="240">
        <f>('Assets(MOFA)'!JN56-'Assets(MOFA)'!JY56)/1000/T.A5b!E55</f>
        <v>0.1433878608792318</v>
      </c>
    </row>
    <row r="56" spans="1:17">
      <c r="A56" s="826">
        <v>2012</v>
      </c>
      <c r="B56" s="1082">
        <f>T.A5b!B56</f>
        <v>4171.0360000000001</v>
      </c>
      <c r="C56" s="832">
        <f>'Assets(BoP)'!LE104</f>
        <v>2030.5060000000001</v>
      </c>
      <c r="D56" s="832">
        <f>T.A5c!B56-C56</f>
        <v>2140.5299999999997</v>
      </c>
      <c r="E56" s="814">
        <f t="shared" si="4"/>
        <v>1413.3389999999999</v>
      </c>
      <c r="F56" s="1089">
        <f>'Assets(MOFA)'!JP57/1000</f>
        <v>5142.433</v>
      </c>
      <c r="G56" s="834">
        <f>'Assets(MOFA)'!KA57/1000</f>
        <v>3729.0940000000001</v>
      </c>
      <c r="H56" s="1078">
        <f t="shared" si="5"/>
        <v>2661.2920000000004</v>
      </c>
      <c r="I56" s="834">
        <f>T.A5b!F56-T.A5c!F56</f>
        <v>4878.4610000000002</v>
      </c>
      <c r="J56" s="834">
        <f>T.A5b!G56-T.A5c!G56</f>
        <v>2217.1689999999999</v>
      </c>
      <c r="K56" s="1094">
        <f t="shared" si="2"/>
        <v>0.34686306563710922</v>
      </c>
      <c r="L56" s="837">
        <f t="shared" si="6"/>
        <v>1.0236598111583601</v>
      </c>
      <c r="M56" s="1213"/>
      <c r="N56" s="1213"/>
      <c r="O56" s="854">
        <f t="shared" si="8"/>
        <v>1.4366730133393335</v>
      </c>
      <c r="P56" s="1095">
        <f t="shared" si="11"/>
        <v>0.48681095056479973</v>
      </c>
      <c r="Q56" s="240">
        <f>('Assets(MOFA)'!JN57-'Assets(MOFA)'!JY57)/1000/T.A5b!E56</f>
        <v>0.13198274886732073</v>
      </c>
    </row>
    <row r="57" spans="1:17">
      <c r="A57" s="826">
        <v>2013</v>
      </c>
      <c r="B57" s="1082">
        <f>T.A5b!B57</f>
        <v>4379.7690000000002</v>
      </c>
      <c r="C57" s="832">
        <f>'Assets(BoP)'!LE105</f>
        <v>2245.3970000000004</v>
      </c>
      <c r="D57" s="832">
        <f>T.A5c!B57-C57</f>
        <v>2134.3719999999998</v>
      </c>
      <c r="E57" s="814">
        <f t="shared" si="4"/>
        <v>1399.9759999999997</v>
      </c>
      <c r="F57" s="1089">
        <f>'Assets(MOFA)'!JP58/1000</f>
        <v>5523.0349999999999</v>
      </c>
      <c r="G57" s="834">
        <f>'Assets(MOFA)'!KA58/1000</f>
        <v>4123.0590000000002</v>
      </c>
      <c r="H57" s="1078">
        <f t="shared" si="5"/>
        <v>2676.9630000000006</v>
      </c>
      <c r="I57" s="834">
        <f>T.A5b!F57-T.A5c!F57</f>
        <v>5276.0550000000003</v>
      </c>
      <c r="J57" s="834">
        <f>T.A5b!G57-T.A5c!G57</f>
        <v>2599.0919999999996</v>
      </c>
      <c r="K57" s="1094">
        <f t="shared" si="2"/>
        <v>0.34338899846183607</v>
      </c>
      <c r="L57" s="837">
        <f t="shared" si="6"/>
        <v>1.0742787664961384</v>
      </c>
      <c r="M57" s="1213"/>
      <c r="N57" s="1213"/>
      <c r="O57" s="854">
        <f t="shared" si="8"/>
        <v>1.6038824951284887</v>
      </c>
      <c r="P57" s="1095">
        <f t="shared" si="11"/>
        <v>0.51267475522110872</v>
      </c>
      <c r="Q57" s="240">
        <f>('Assets(MOFA)'!JN58-'Assets(MOFA)'!JY58)/1000/T.A5b!E57</f>
        <v>0.12887193063227093</v>
      </c>
    </row>
    <row r="58" spans="1:17">
      <c r="A58" s="826">
        <v>2014</v>
      </c>
      <c r="B58" s="1082">
        <f>T.A5b!B58</f>
        <v>4673.4110000000001</v>
      </c>
      <c r="C58" s="832">
        <f>'Assets(BoP)'!LE106</f>
        <v>2509.4229999999998</v>
      </c>
      <c r="D58" s="832">
        <f>T.A5c!B58-C58</f>
        <v>2163.9880000000003</v>
      </c>
      <c r="E58" s="814">
        <f t="shared" si="4"/>
        <v>1791.0140000000001</v>
      </c>
      <c r="F58" s="1089">
        <f>'Assets(MOFA)'!JP59/1000</f>
        <v>6490.2809999999999</v>
      </c>
      <c r="G58" s="834">
        <f>'Assets(MOFA)'!KA59/1000</f>
        <v>4699.2669999999998</v>
      </c>
      <c r="H58" s="1078">
        <f t="shared" si="5"/>
        <v>3012.3829999999998</v>
      </c>
      <c r="I58" s="834">
        <f>T.A5b!F58-T.A5c!F58</f>
        <v>5849.54</v>
      </c>
      <c r="J58" s="834">
        <f>T.A5b!G58-T.A5c!G58</f>
        <v>2837.1570000000002</v>
      </c>
      <c r="K58" s="1094">
        <f t="shared" si="2"/>
        <v>0.37286403768000032</v>
      </c>
      <c r="L58" s="837">
        <f t="shared" si="6"/>
        <v>0.97293873481621451</v>
      </c>
      <c r="M58" s="1213"/>
      <c r="N58" s="1213"/>
      <c r="O58" s="854">
        <f t="shared" si="8"/>
        <v>1.4011185842210052</v>
      </c>
      <c r="P58" s="1095">
        <f t="shared" si="11"/>
        <v>0.53695748137709265</v>
      </c>
      <c r="Q58" s="240">
        <f>('Assets(MOFA)'!JN59-'Assets(MOFA)'!JY59)/1000/T.A5b!E58</f>
        <v>0.15390545482707343</v>
      </c>
    </row>
    <row r="59" spans="1:17">
      <c r="A59" s="826">
        <v>2015</v>
      </c>
      <c r="B59" s="1082">
        <f>T.A5b!B59</f>
        <v>4828.9120000000003</v>
      </c>
      <c r="C59" s="832">
        <f>'Assets(BoP)'!LE107</f>
        <v>2674.8240000000001</v>
      </c>
      <c r="D59" s="832">
        <f>T.A5c!B59-C59</f>
        <v>2154.0880000000002</v>
      </c>
      <c r="E59" s="814">
        <f>F59-G59</f>
        <v>1900.7479999999996</v>
      </c>
      <c r="F59" s="1089">
        <f>'Assets(MOFA)'!JP60/1000</f>
        <v>6980.7359999999999</v>
      </c>
      <c r="G59" s="834">
        <f>'Assets(MOFA)'!KA60/1000</f>
        <v>5079.9880000000003</v>
      </c>
      <c r="H59" s="1078">
        <f t="shared" si="5"/>
        <v>3014.0920000000006</v>
      </c>
      <c r="I59" s="834">
        <f>T.A5b!F59-T.A5c!F59</f>
        <v>5714.9960000000001</v>
      </c>
      <c r="J59" s="834">
        <f>T.A5b!G59-T.A5c!G59</f>
        <v>2700.9039999999995</v>
      </c>
      <c r="K59" s="1094">
        <f t="shared" si="2"/>
        <v>0.38673649599986976</v>
      </c>
      <c r="L59" s="837">
        <f>B59/(E59+H59)</f>
        <v>0.98251662312506616</v>
      </c>
      <c r="M59" s="1213"/>
      <c r="N59" s="1213"/>
      <c r="O59" s="854">
        <f t="shared" si="8"/>
        <v>1.4072480939082932</v>
      </c>
      <c r="P59" s="1095">
        <f t="shared" si="11"/>
        <v>0.55391856385040772</v>
      </c>
      <c r="Q59" s="240">
        <f>('Assets(MOFA)'!JN60-'Assets(MOFA)'!JY60)/1000/T.A5b!E59</f>
        <v>0.13085593834183817</v>
      </c>
    </row>
    <row r="60" spans="1:17">
      <c r="A60" s="826">
        <v>2016</v>
      </c>
      <c r="B60" s="1082">
        <f>T.A5b!B60</f>
        <v>5143.1400000000003</v>
      </c>
      <c r="C60" s="832">
        <f>'Assets(BoP)'!LE108</f>
        <v>2861.6940000000004</v>
      </c>
      <c r="D60" s="832">
        <f>T.A5c!B60-C60</f>
        <v>2281.4459999999999</v>
      </c>
      <c r="E60" s="814"/>
      <c r="F60" s="827"/>
      <c r="G60" s="827"/>
      <c r="H60" s="1081"/>
      <c r="I60" s="827"/>
      <c r="J60" s="827"/>
      <c r="K60" s="996"/>
      <c r="L60" s="897"/>
      <c r="M60" s="1215"/>
      <c r="N60" s="1215"/>
      <c r="P60" s="1095">
        <f t="shared" si="11"/>
        <v>0.55640989745563996</v>
      </c>
    </row>
    <row r="61" spans="1:17" ht="16" thickBot="1">
      <c r="A61" s="819"/>
      <c r="B61" s="820"/>
      <c r="C61" s="821"/>
      <c r="D61" s="833"/>
      <c r="E61" s="820"/>
      <c r="F61" s="821"/>
      <c r="G61" s="821"/>
      <c r="H61" s="954"/>
      <c r="I61" s="821"/>
      <c r="J61" s="821"/>
      <c r="K61" s="835"/>
      <c r="L61" s="823"/>
      <c r="M61" s="1112"/>
      <c r="N61" s="1112"/>
    </row>
    <row r="62" spans="1:17" ht="16" thickTop="1">
      <c r="D62" s="824"/>
      <c r="P62" s="829"/>
    </row>
    <row r="64" spans="1:17" s="825" customFormat="1">
      <c r="A64" s="805"/>
      <c r="B64" s="805"/>
      <c r="C64" s="805"/>
      <c r="D64" s="805"/>
      <c r="E64" s="805"/>
      <c r="F64" s="805"/>
      <c r="G64" s="805"/>
      <c r="H64" s="805"/>
      <c r="I64" s="805"/>
      <c r="J64" s="805"/>
      <c r="K64" s="805"/>
      <c r="L64" s="805"/>
      <c r="M64" s="805"/>
      <c r="N64" s="805"/>
      <c r="P64" s="805"/>
    </row>
  </sheetData>
  <mergeCells count="9">
    <mergeCell ref="A3:L3"/>
    <mergeCell ref="B6:J6"/>
    <mergeCell ref="K6:K9"/>
    <mergeCell ref="L6:L9"/>
    <mergeCell ref="B7:D7"/>
    <mergeCell ref="E7:J7"/>
    <mergeCell ref="B8:B9"/>
    <mergeCell ref="E8:E9"/>
    <mergeCell ref="H8:H9"/>
  </mergeCells>
  <pageMargins left="0.75" right="0.75" top="1" bottom="1" header="0.5" footer="0.5"/>
  <pageSetup scale="74" orientation="portrait" horizontalDpi="4294967292" verticalDpi="4294967292"/>
  <extLst>
    <ext xmlns:mx="http://schemas.microsoft.com/office/mac/excel/2008/main" uri="{64002731-A6B0-56B0-2670-7721B7C09600}">
      <mx:PLV Mode="0" OnePage="0" WScale="0"/>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88"/>
  <sheetViews>
    <sheetView zoomScale="70" zoomScaleNormal="70" zoomScalePageLayoutView="70" workbookViewId="0">
      <pane xSplit="2" ySplit="17" topLeftCell="V43" activePane="bottomRight" state="frozen"/>
      <selection activeCell="X67" sqref="X67"/>
      <selection pane="topRight" activeCell="X67" sqref="X67"/>
      <selection pane="bottomLeft" activeCell="X67" sqref="X67"/>
      <selection pane="bottomRight" activeCell="X67" sqref="X67"/>
    </sheetView>
  </sheetViews>
  <sheetFormatPr baseColWidth="10" defaultRowHeight="15" x14ac:dyDescent="0"/>
  <cols>
    <col min="2" max="2" width="43" customWidth="1"/>
  </cols>
  <sheetData>
    <row r="1" spans="1:38" s="1394" customFormat="1" ht="17">
      <c r="A1" s="1940" t="s">
        <v>1080</v>
      </c>
      <c r="B1" s="1939"/>
      <c r="C1" s="1939"/>
      <c r="D1" s="1939"/>
      <c r="E1" s="1939"/>
      <c r="F1" s="1939"/>
      <c r="G1" s="1939"/>
      <c r="H1" s="1939"/>
      <c r="I1" s="1939"/>
      <c r="J1" s="1939"/>
      <c r="K1" s="1939"/>
      <c r="L1" s="1939"/>
      <c r="M1" s="1939"/>
      <c r="N1" s="1939"/>
      <c r="O1" s="1939"/>
      <c r="P1" s="1939"/>
      <c r="Q1" s="1939"/>
      <c r="R1" s="1939"/>
      <c r="S1" s="1939"/>
      <c r="T1" s="1939"/>
      <c r="U1" s="1939"/>
      <c r="V1" s="1939"/>
      <c r="W1" s="1939"/>
      <c r="X1" s="1939"/>
      <c r="Y1" s="1939"/>
      <c r="Z1" s="1939"/>
      <c r="AA1" s="1939"/>
      <c r="AB1" s="1939"/>
      <c r="AC1" s="1939"/>
      <c r="AD1" s="1939"/>
      <c r="AE1" s="1939"/>
      <c r="AF1" s="1939"/>
      <c r="AG1" s="1939"/>
      <c r="AH1" s="1939"/>
      <c r="AI1" s="1939"/>
      <c r="AJ1" s="1939"/>
      <c r="AK1" s="1939"/>
      <c r="AL1" s="1939"/>
    </row>
    <row r="2" spans="1:38" s="1394" customFormat="1" ht="16">
      <c r="A2" s="1941" t="s">
        <v>248</v>
      </c>
      <c r="B2" s="1939"/>
      <c r="C2" s="1939"/>
      <c r="D2" s="1939"/>
      <c r="E2" s="1939"/>
      <c r="F2" s="1939"/>
      <c r="G2" s="1939"/>
      <c r="H2" s="1939"/>
      <c r="I2" s="1939"/>
      <c r="J2" s="1939"/>
      <c r="K2" s="1939"/>
      <c r="L2" s="1939"/>
      <c r="M2" s="1939"/>
      <c r="N2" s="1939"/>
      <c r="O2" s="1939"/>
      <c r="P2" s="1939"/>
      <c r="Q2" s="1939"/>
      <c r="R2" s="1939"/>
      <c r="S2" s="1939"/>
      <c r="T2" s="1939"/>
      <c r="U2" s="1939"/>
      <c r="V2" s="1939"/>
      <c r="W2" s="1939"/>
      <c r="X2" s="1939"/>
      <c r="Y2" s="1939"/>
      <c r="Z2" s="1939"/>
      <c r="AA2" s="1939"/>
      <c r="AB2" s="1939"/>
      <c r="AC2" s="1939"/>
      <c r="AD2" s="1939"/>
      <c r="AE2" s="1939"/>
      <c r="AF2" s="1939"/>
      <c r="AG2" s="1939"/>
      <c r="AH2" s="1939"/>
      <c r="AI2" s="1939"/>
      <c r="AJ2" s="1939"/>
      <c r="AK2" s="1939"/>
      <c r="AL2" s="1939"/>
    </row>
    <row r="3" spans="1:38" s="1394" customFormat="1">
      <c r="A3" s="1939" t="s">
        <v>160</v>
      </c>
      <c r="B3" s="1939"/>
      <c r="C3" s="1939"/>
      <c r="D3" s="1939"/>
      <c r="E3" s="1939"/>
      <c r="F3" s="1939"/>
      <c r="G3" s="1939"/>
      <c r="H3" s="1939"/>
      <c r="I3" s="1939"/>
      <c r="J3" s="1939"/>
      <c r="K3" s="1939"/>
      <c r="L3" s="1939"/>
      <c r="M3" s="1939"/>
      <c r="N3" s="1939"/>
      <c r="O3" s="1939"/>
      <c r="P3" s="1939"/>
      <c r="Q3" s="1939"/>
      <c r="R3" s="1939"/>
      <c r="S3" s="1939"/>
      <c r="T3" s="1939"/>
      <c r="U3" s="1939"/>
      <c r="V3" s="1939"/>
      <c r="W3" s="1939"/>
      <c r="X3" s="1939"/>
      <c r="Y3" s="1939"/>
      <c r="Z3" s="1939"/>
      <c r="AA3" s="1939"/>
      <c r="AB3" s="1939"/>
      <c r="AC3" s="1939"/>
      <c r="AD3" s="1939"/>
      <c r="AE3" s="1939"/>
      <c r="AF3" s="1939"/>
      <c r="AG3" s="1939"/>
      <c r="AH3" s="1939"/>
      <c r="AI3" s="1939"/>
      <c r="AJ3" s="1939"/>
      <c r="AK3" s="1939"/>
      <c r="AL3" s="1939"/>
    </row>
    <row r="4" spans="1:38" s="1394" customFormat="1">
      <c r="A4" s="1939" t="s">
        <v>3282</v>
      </c>
      <c r="B4" s="1939"/>
      <c r="C4" s="1939"/>
      <c r="D4" s="1939"/>
      <c r="E4" s="1939"/>
      <c r="F4" s="1939"/>
      <c r="G4" s="1939"/>
      <c r="H4" s="1939"/>
      <c r="I4" s="1939"/>
      <c r="J4" s="1939"/>
      <c r="K4" s="1939"/>
      <c r="L4" s="1939"/>
      <c r="M4" s="1939"/>
      <c r="N4" s="1939"/>
      <c r="O4" s="1939"/>
      <c r="P4" s="1939"/>
      <c r="Q4" s="1939"/>
      <c r="R4" s="1939"/>
      <c r="S4" s="1939"/>
      <c r="T4" s="1939"/>
      <c r="U4" s="1939"/>
      <c r="V4" s="1939"/>
      <c r="W4" s="1939"/>
      <c r="X4" s="1939"/>
      <c r="Y4" s="1939"/>
      <c r="Z4" s="1939"/>
      <c r="AA4" s="1939"/>
      <c r="AB4" s="1939"/>
      <c r="AC4" s="1939"/>
      <c r="AD4" s="1939"/>
      <c r="AE4" s="1939"/>
      <c r="AF4" s="1939"/>
      <c r="AG4" s="1939"/>
      <c r="AH4" s="1939"/>
      <c r="AI4" s="1939"/>
      <c r="AJ4" s="1939"/>
      <c r="AK4" s="1939"/>
      <c r="AL4" s="1939"/>
    </row>
    <row r="5" spans="1:38" s="1394" customFormat="1"/>
    <row r="6" spans="1:38" s="1394" customFormat="1">
      <c r="A6" s="1395" t="s">
        <v>159</v>
      </c>
      <c r="B6" s="1395" t="s">
        <v>32</v>
      </c>
      <c r="C6" s="1395" t="s">
        <v>105</v>
      </c>
      <c r="D6" s="1395" t="s">
        <v>1078</v>
      </c>
      <c r="E6" s="1395" t="s">
        <v>103</v>
      </c>
      <c r="F6" s="1395" t="s">
        <v>1077</v>
      </c>
      <c r="G6" s="1395" t="s">
        <v>101</v>
      </c>
      <c r="H6" s="1395" t="s">
        <v>1076</v>
      </c>
      <c r="I6" s="1395" t="s">
        <v>99</v>
      </c>
      <c r="J6" s="1395" t="s">
        <v>1075</v>
      </c>
      <c r="K6" s="1395" t="s">
        <v>97</v>
      </c>
      <c r="L6" s="1395" t="s">
        <v>1074</v>
      </c>
      <c r="M6" s="1395" t="s">
        <v>95</v>
      </c>
      <c r="N6" s="1395" t="s">
        <v>1073</v>
      </c>
      <c r="O6" s="1395" t="s">
        <v>93</v>
      </c>
      <c r="P6" s="1395" t="s">
        <v>1072</v>
      </c>
      <c r="Q6" s="1395" t="s">
        <v>91</v>
      </c>
      <c r="R6" s="1395" t="s">
        <v>1071</v>
      </c>
      <c r="S6" s="1395" t="s">
        <v>89</v>
      </c>
      <c r="T6" s="1395" t="s">
        <v>261</v>
      </c>
      <c r="U6" s="1395" t="s">
        <v>87</v>
      </c>
      <c r="V6" s="1395" t="s">
        <v>260</v>
      </c>
      <c r="W6" s="1395" t="s">
        <v>85</v>
      </c>
      <c r="X6" s="1395" t="s">
        <v>259</v>
      </c>
      <c r="Y6" s="1395" t="s">
        <v>83</v>
      </c>
      <c r="Z6" s="1395" t="s">
        <v>258</v>
      </c>
      <c r="AA6" s="1395" t="s">
        <v>81</v>
      </c>
      <c r="AB6" s="1395" t="s">
        <v>257</v>
      </c>
      <c r="AC6" s="1395" t="s">
        <v>79</v>
      </c>
      <c r="AD6" s="1395" t="s">
        <v>256</v>
      </c>
      <c r="AE6" s="1395" t="s">
        <v>77</v>
      </c>
      <c r="AF6" s="1395" t="s">
        <v>255</v>
      </c>
      <c r="AG6" s="1395" t="s">
        <v>75</v>
      </c>
      <c r="AH6" s="1395" t="s">
        <v>794</v>
      </c>
      <c r="AI6" s="1395" t="s">
        <v>866</v>
      </c>
      <c r="AJ6" s="1395" t="s">
        <v>1070</v>
      </c>
      <c r="AK6" s="1395" t="s">
        <v>864</v>
      </c>
      <c r="AL6" s="1395" t="s">
        <v>3281</v>
      </c>
    </row>
    <row r="7" spans="1:38" s="1394" customFormat="1">
      <c r="A7" s="1394" t="s">
        <v>32</v>
      </c>
      <c r="B7" s="1394" t="s">
        <v>1069</v>
      </c>
      <c r="C7" s="1394" t="s">
        <v>32</v>
      </c>
      <c r="D7" s="1394" t="s">
        <v>32</v>
      </c>
      <c r="E7" s="1394" t="s">
        <v>32</v>
      </c>
      <c r="F7" s="1394" t="s">
        <v>32</v>
      </c>
      <c r="G7" s="1394" t="s">
        <v>32</v>
      </c>
      <c r="H7" s="1394" t="s">
        <v>32</v>
      </c>
      <c r="I7" s="1394" t="s">
        <v>32</v>
      </c>
      <c r="J7" s="1394" t="s">
        <v>32</v>
      </c>
      <c r="K7" s="1394" t="s">
        <v>32</v>
      </c>
      <c r="L7" s="1394" t="s">
        <v>32</v>
      </c>
      <c r="M7" s="1394" t="s">
        <v>32</v>
      </c>
      <c r="N7" s="1394" t="s">
        <v>32</v>
      </c>
      <c r="O7" s="1394" t="s">
        <v>32</v>
      </c>
      <c r="P7" s="1394" t="s">
        <v>32</v>
      </c>
      <c r="Q7" s="1394" t="s">
        <v>32</v>
      </c>
      <c r="R7" s="1394" t="s">
        <v>32</v>
      </c>
      <c r="S7" s="1394" t="s">
        <v>32</v>
      </c>
      <c r="T7" s="1394" t="s">
        <v>32</v>
      </c>
      <c r="U7" s="1394" t="s">
        <v>32</v>
      </c>
      <c r="V7" s="1394" t="s">
        <v>32</v>
      </c>
      <c r="W7" s="1394" t="s">
        <v>32</v>
      </c>
      <c r="X7" s="1394" t="s">
        <v>32</v>
      </c>
      <c r="Y7" s="1394" t="s">
        <v>32</v>
      </c>
      <c r="Z7" s="1394" t="s">
        <v>32</v>
      </c>
      <c r="AA7" s="1394" t="s">
        <v>32</v>
      </c>
      <c r="AB7" s="1394" t="s">
        <v>32</v>
      </c>
      <c r="AC7" s="1394" t="s">
        <v>32</v>
      </c>
      <c r="AD7" s="1394" t="s">
        <v>32</v>
      </c>
      <c r="AE7" s="1394" t="s">
        <v>32</v>
      </c>
      <c r="AF7" s="1394" t="s">
        <v>32</v>
      </c>
      <c r="AG7" s="1394" t="s">
        <v>32</v>
      </c>
      <c r="AH7" s="1394" t="s">
        <v>32</v>
      </c>
      <c r="AI7" s="1394" t="s">
        <v>32</v>
      </c>
      <c r="AJ7" s="1394" t="s">
        <v>32</v>
      </c>
      <c r="AK7" s="1394" t="s">
        <v>32</v>
      </c>
      <c r="AL7" s="1394" t="s">
        <v>32</v>
      </c>
    </row>
    <row r="8" spans="1:38" s="1394" customFormat="1">
      <c r="A8" s="1394" t="s">
        <v>73</v>
      </c>
      <c r="B8" s="269" t="s">
        <v>1068</v>
      </c>
      <c r="C8" s="1394">
        <v>34243</v>
      </c>
      <c r="D8" s="1394">
        <v>37781</v>
      </c>
      <c r="E8" s="1394">
        <v>42145</v>
      </c>
      <c r="F8" s="1394">
        <v>41914</v>
      </c>
      <c r="G8" s="1394">
        <v>42672</v>
      </c>
      <c r="H8" s="1394">
        <v>51707</v>
      </c>
      <c r="I8" s="1394">
        <v>63398</v>
      </c>
      <c r="J8" s="1394">
        <v>67078</v>
      </c>
      <c r="K8" s="1394">
        <v>71125</v>
      </c>
      <c r="L8" s="1394">
        <v>64831</v>
      </c>
      <c r="M8" s="1394">
        <v>62854</v>
      </c>
      <c r="N8" s="1394">
        <v>72794</v>
      </c>
      <c r="O8" s="1394">
        <v>80270</v>
      </c>
      <c r="P8" s="1394">
        <v>98677</v>
      </c>
      <c r="Q8" s="1394">
        <v>105906</v>
      </c>
      <c r="R8" s="1394">
        <v>119876</v>
      </c>
      <c r="S8" s="1394">
        <v>108388</v>
      </c>
      <c r="T8" s="1394">
        <v>135317</v>
      </c>
      <c r="U8" s="1394">
        <v>156067</v>
      </c>
      <c r="V8" s="1394">
        <v>133212</v>
      </c>
      <c r="W8" s="1394">
        <v>149414</v>
      </c>
      <c r="X8" s="1394">
        <v>188380</v>
      </c>
      <c r="Y8" s="1394">
        <v>250900</v>
      </c>
      <c r="Z8" s="1394">
        <v>291418</v>
      </c>
      <c r="AA8" s="1394">
        <v>320975</v>
      </c>
      <c r="AB8" s="1394">
        <v>371794</v>
      </c>
      <c r="AC8" s="1394">
        <v>415225</v>
      </c>
      <c r="AD8" s="1394">
        <v>369172</v>
      </c>
      <c r="AE8" s="1394">
        <v>443028</v>
      </c>
      <c r="AF8" s="1394">
        <v>473625</v>
      </c>
      <c r="AG8" s="1394">
        <v>464813</v>
      </c>
      <c r="AH8" s="1394">
        <v>476212</v>
      </c>
      <c r="AI8" s="1394">
        <v>474805</v>
      </c>
      <c r="AJ8" s="1394">
        <v>436909</v>
      </c>
      <c r="AK8" s="1394">
        <v>444038</v>
      </c>
      <c r="AL8" s="1394">
        <v>507029</v>
      </c>
    </row>
    <row r="9" spans="1:38" s="1394" customFormat="1">
      <c r="A9" s="1394" t="s">
        <v>72</v>
      </c>
      <c r="B9" s="1394" t="s">
        <v>1055</v>
      </c>
      <c r="C9" s="1394">
        <v>31343</v>
      </c>
      <c r="D9" s="1394">
        <v>35311</v>
      </c>
      <c r="E9" s="1394">
        <v>39656</v>
      </c>
      <c r="F9" s="1394">
        <v>39484</v>
      </c>
      <c r="G9" s="1394">
        <v>40099</v>
      </c>
      <c r="H9" s="1394">
        <v>48597</v>
      </c>
      <c r="I9" s="1394">
        <v>59746</v>
      </c>
      <c r="J9" s="1394">
        <v>61796</v>
      </c>
      <c r="K9" s="1394">
        <v>64190</v>
      </c>
      <c r="L9" s="1394">
        <v>57464</v>
      </c>
      <c r="M9" s="1394">
        <v>56355</v>
      </c>
      <c r="N9" s="1394">
        <v>65565</v>
      </c>
      <c r="O9" s="1394">
        <v>75037</v>
      </c>
      <c r="P9" s="1394">
        <v>92800</v>
      </c>
      <c r="Q9" s="1394">
        <v>100314</v>
      </c>
      <c r="R9" s="1394">
        <v>113208</v>
      </c>
      <c r="S9" s="1394">
        <v>100905</v>
      </c>
      <c r="T9" s="1394">
        <v>125990</v>
      </c>
      <c r="U9" s="1394">
        <v>144834</v>
      </c>
      <c r="V9" s="1394">
        <v>122258</v>
      </c>
      <c r="W9" s="1394">
        <v>139300</v>
      </c>
      <c r="X9" s="1394">
        <v>178206</v>
      </c>
      <c r="Y9" s="1394">
        <v>240334</v>
      </c>
      <c r="Z9" s="1394">
        <v>279062</v>
      </c>
      <c r="AA9" s="1394">
        <v>306768</v>
      </c>
      <c r="AB9" s="1394">
        <v>354311</v>
      </c>
      <c r="AC9" s="1394">
        <v>397401</v>
      </c>
      <c r="AD9" s="1394">
        <v>354854</v>
      </c>
      <c r="AE9" s="1394">
        <v>430360</v>
      </c>
      <c r="AF9" s="1394">
        <v>459739</v>
      </c>
      <c r="AG9" s="1394">
        <v>448869</v>
      </c>
      <c r="AH9" s="1394">
        <v>459144</v>
      </c>
      <c r="AI9" s="1394">
        <v>455568</v>
      </c>
      <c r="AJ9" s="1394">
        <v>416422</v>
      </c>
      <c r="AK9" s="1394">
        <v>419493</v>
      </c>
      <c r="AL9" s="1394">
        <v>479053</v>
      </c>
    </row>
    <row r="10" spans="1:38" s="1394" customFormat="1">
      <c r="A10" s="1394" t="s">
        <v>70</v>
      </c>
      <c r="B10" s="1394" t="s">
        <v>1054</v>
      </c>
      <c r="C10" s="1394">
        <v>23058</v>
      </c>
      <c r="D10" s="1394">
        <v>18629</v>
      </c>
      <c r="E10" s="1394">
        <v>18688</v>
      </c>
      <c r="F10" s="1394">
        <v>19780</v>
      </c>
      <c r="G10" s="1394">
        <v>26077</v>
      </c>
      <c r="H10" s="1394">
        <v>25264</v>
      </c>
      <c r="I10" s="1394">
        <v>41744</v>
      </c>
      <c r="J10" s="1394">
        <v>43257</v>
      </c>
      <c r="K10" s="1394">
        <v>36553</v>
      </c>
      <c r="L10" s="1394">
        <v>33945</v>
      </c>
      <c r="M10" s="1394">
        <v>34441</v>
      </c>
      <c r="N10" s="1394">
        <v>28847</v>
      </c>
      <c r="O10" s="1394">
        <v>44032</v>
      </c>
      <c r="P10" s="1394">
        <v>38891</v>
      </c>
      <c r="Q10" s="1394">
        <v>45623</v>
      </c>
      <c r="R10" s="1394">
        <v>55196</v>
      </c>
      <c r="S10" s="1394">
        <v>56742</v>
      </c>
      <c r="T10" s="1394">
        <v>62536</v>
      </c>
      <c r="U10" s="1394">
        <v>52863</v>
      </c>
      <c r="V10" s="1394">
        <v>53235</v>
      </c>
      <c r="W10" s="1394">
        <v>54601</v>
      </c>
      <c r="X10" s="1394">
        <v>59459</v>
      </c>
      <c r="Y10" s="1394">
        <v>81555</v>
      </c>
      <c r="Z10" s="1394">
        <v>298712</v>
      </c>
      <c r="AA10" s="1394">
        <v>101686</v>
      </c>
      <c r="AB10" s="1394">
        <v>132833</v>
      </c>
      <c r="AC10" s="1394">
        <v>172448</v>
      </c>
      <c r="AD10" s="1394">
        <v>128561</v>
      </c>
      <c r="AE10" s="1394">
        <v>132616</v>
      </c>
      <c r="AF10" s="1394">
        <v>151122</v>
      </c>
      <c r="AG10" s="1394">
        <v>164883</v>
      </c>
      <c r="AH10" s="1394">
        <v>144080</v>
      </c>
      <c r="AI10" s="1394">
        <v>143994</v>
      </c>
      <c r="AJ10" s="1394">
        <v>125507</v>
      </c>
      <c r="AK10" s="1394">
        <v>120899</v>
      </c>
      <c r="AL10" s="1394">
        <v>134468</v>
      </c>
    </row>
    <row r="11" spans="1:38" s="1394" customFormat="1">
      <c r="A11" s="1394" t="s">
        <v>69</v>
      </c>
      <c r="B11" s="1394" t="s">
        <v>235</v>
      </c>
      <c r="C11" s="1394">
        <v>8285</v>
      </c>
      <c r="D11" s="1394">
        <v>16682</v>
      </c>
      <c r="E11" s="1394">
        <v>20969</v>
      </c>
      <c r="F11" s="1394">
        <v>19705</v>
      </c>
      <c r="G11" s="1394">
        <v>14023</v>
      </c>
      <c r="H11" s="1394">
        <v>23333</v>
      </c>
      <c r="I11" s="1394">
        <v>18002</v>
      </c>
      <c r="J11" s="1394">
        <v>18539</v>
      </c>
      <c r="K11" s="1394">
        <v>27638</v>
      </c>
      <c r="L11" s="1394">
        <v>23521</v>
      </c>
      <c r="M11" s="1394">
        <v>21912</v>
      </c>
      <c r="N11" s="1394">
        <v>36718</v>
      </c>
      <c r="O11" s="1394">
        <v>31004</v>
      </c>
      <c r="P11" s="1394">
        <v>53908</v>
      </c>
      <c r="Q11" s="1394">
        <v>54691</v>
      </c>
      <c r="R11" s="1394">
        <v>58012</v>
      </c>
      <c r="S11" s="1394">
        <v>44162</v>
      </c>
      <c r="T11" s="1394">
        <v>63454</v>
      </c>
      <c r="U11" s="1394">
        <v>91971</v>
      </c>
      <c r="V11" s="1394">
        <v>69023</v>
      </c>
      <c r="W11" s="1394">
        <v>84698</v>
      </c>
      <c r="X11" s="1394">
        <v>118747</v>
      </c>
      <c r="Y11" s="1394">
        <v>158779</v>
      </c>
      <c r="Z11" s="1394">
        <v>-19650</v>
      </c>
      <c r="AA11" s="1394">
        <v>205082</v>
      </c>
      <c r="AB11" s="1394">
        <v>221478</v>
      </c>
      <c r="AC11" s="1394">
        <v>224954</v>
      </c>
      <c r="AD11" s="1394">
        <v>226293</v>
      </c>
      <c r="AE11" s="1394">
        <v>297744</v>
      </c>
      <c r="AF11" s="1394">
        <v>308617</v>
      </c>
      <c r="AG11" s="1394">
        <v>283987</v>
      </c>
      <c r="AH11" s="1394">
        <v>315064</v>
      </c>
      <c r="AI11" s="1394">
        <v>311574</v>
      </c>
      <c r="AJ11" s="1394">
        <v>290915</v>
      </c>
      <c r="AK11" s="1394">
        <v>298594</v>
      </c>
      <c r="AL11" s="1394">
        <v>344584</v>
      </c>
    </row>
    <row r="12" spans="1:38" s="1394" customFormat="1">
      <c r="A12" s="1394" t="s">
        <v>68</v>
      </c>
      <c r="B12" s="1394" t="s">
        <v>252</v>
      </c>
      <c r="C12" s="1394">
        <v>2900</v>
      </c>
      <c r="D12" s="1394">
        <v>2470</v>
      </c>
      <c r="E12" s="1394">
        <v>2489</v>
      </c>
      <c r="F12" s="1394">
        <v>2430</v>
      </c>
      <c r="G12" s="1394">
        <v>2573</v>
      </c>
      <c r="H12" s="1394">
        <v>3110</v>
      </c>
      <c r="I12" s="1394">
        <v>3652</v>
      </c>
      <c r="J12" s="1394">
        <v>5282</v>
      </c>
      <c r="K12" s="1394">
        <v>6935</v>
      </c>
      <c r="L12" s="1394">
        <v>7367</v>
      </c>
      <c r="M12" s="1394">
        <v>6499</v>
      </c>
      <c r="N12" s="1394">
        <v>7229</v>
      </c>
      <c r="O12" s="1394">
        <v>5233</v>
      </c>
      <c r="P12" s="1394">
        <v>5877</v>
      </c>
      <c r="Q12" s="1394">
        <v>5592</v>
      </c>
      <c r="R12" s="1394">
        <v>6668</v>
      </c>
      <c r="S12" s="1394">
        <v>7483</v>
      </c>
      <c r="T12" s="1394">
        <v>9326</v>
      </c>
      <c r="U12" s="1394">
        <v>11233</v>
      </c>
      <c r="V12" s="1394">
        <v>10954</v>
      </c>
      <c r="W12" s="1394">
        <v>10113</v>
      </c>
      <c r="X12" s="1394">
        <v>10174</v>
      </c>
      <c r="Y12" s="1394">
        <v>10566</v>
      </c>
      <c r="Z12" s="1394">
        <v>12356</v>
      </c>
      <c r="AA12" s="1394">
        <v>14207</v>
      </c>
      <c r="AB12" s="1394">
        <v>17483</v>
      </c>
      <c r="AC12" s="1394">
        <v>17824</v>
      </c>
      <c r="AD12" s="1394">
        <v>14317</v>
      </c>
      <c r="AE12" s="1394">
        <v>12668</v>
      </c>
      <c r="AF12" s="1394">
        <v>13886</v>
      </c>
      <c r="AG12" s="1394">
        <v>15943</v>
      </c>
      <c r="AH12" s="1394">
        <v>17068</v>
      </c>
      <c r="AI12" s="1394">
        <v>19237</v>
      </c>
      <c r="AJ12" s="1394">
        <v>20487</v>
      </c>
      <c r="AK12" s="1394">
        <v>24544</v>
      </c>
      <c r="AL12" s="1394">
        <v>27976</v>
      </c>
    </row>
    <row r="13" spans="1:38" s="1394" customFormat="1">
      <c r="A13" s="1394" t="s">
        <v>66</v>
      </c>
      <c r="B13" s="1394" t="s">
        <v>238</v>
      </c>
      <c r="C13" s="1394">
        <v>2264</v>
      </c>
      <c r="D13" s="1394">
        <v>1911</v>
      </c>
      <c r="E13" s="1394">
        <v>1854</v>
      </c>
      <c r="F13" s="1394">
        <v>1706</v>
      </c>
      <c r="G13" s="1394">
        <v>1685</v>
      </c>
      <c r="H13" s="1394">
        <v>1860</v>
      </c>
      <c r="I13" s="1394">
        <v>2335</v>
      </c>
      <c r="J13" s="1394">
        <v>3379</v>
      </c>
      <c r="K13" s="1394">
        <v>4962</v>
      </c>
      <c r="L13" s="1394">
        <v>4740</v>
      </c>
      <c r="M13" s="1394">
        <v>3930</v>
      </c>
      <c r="N13" s="1394">
        <v>4257</v>
      </c>
      <c r="O13" s="1394">
        <v>3868</v>
      </c>
      <c r="P13" s="1394">
        <v>4342</v>
      </c>
      <c r="Q13" s="1394">
        <v>4144</v>
      </c>
      <c r="R13" s="1394">
        <v>4866</v>
      </c>
      <c r="S13" s="1394">
        <v>5658</v>
      </c>
      <c r="T13" s="1394">
        <v>7757</v>
      </c>
      <c r="U13" s="1394">
        <v>8690</v>
      </c>
      <c r="V13" s="1394">
        <v>8938</v>
      </c>
      <c r="W13" s="1394">
        <v>8467</v>
      </c>
      <c r="X13" s="1394">
        <v>8657</v>
      </c>
      <c r="Y13" s="1394">
        <v>8353</v>
      </c>
      <c r="Z13" s="1394">
        <v>8980</v>
      </c>
      <c r="AA13" s="1394">
        <v>9602</v>
      </c>
      <c r="AB13" s="1394">
        <v>11300</v>
      </c>
      <c r="AC13" s="1394">
        <v>12227</v>
      </c>
      <c r="AD13" s="1394">
        <v>9873</v>
      </c>
      <c r="AE13" s="1394">
        <v>8407</v>
      </c>
      <c r="AF13" s="1394">
        <v>9517</v>
      </c>
      <c r="AG13" s="1394">
        <v>12312</v>
      </c>
      <c r="AH13" s="1394">
        <v>13486</v>
      </c>
      <c r="AI13" s="1394">
        <v>14683</v>
      </c>
      <c r="AJ13" s="1394">
        <v>15661</v>
      </c>
      <c r="AK13" s="1394">
        <v>17670</v>
      </c>
      <c r="AL13" s="1394">
        <v>18145</v>
      </c>
    </row>
    <row r="14" spans="1:38" s="1394" customFormat="1">
      <c r="A14" s="1394" t="s">
        <v>65</v>
      </c>
      <c r="B14" s="1394" t="s">
        <v>233</v>
      </c>
      <c r="C14" s="1394">
        <v>636</v>
      </c>
      <c r="D14" s="1394">
        <v>559</v>
      </c>
      <c r="E14" s="1394">
        <v>635</v>
      </c>
      <c r="F14" s="1394">
        <v>724</v>
      </c>
      <c r="G14" s="1394">
        <v>888</v>
      </c>
      <c r="H14" s="1394">
        <v>1250</v>
      </c>
      <c r="I14" s="1394">
        <v>1317</v>
      </c>
      <c r="J14" s="1394">
        <v>1903</v>
      </c>
      <c r="K14" s="1394">
        <v>1973</v>
      </c>
      <c r="L14" s="1394">
        <v>2627</v>
      </c>
      <c r="M14" s="1394">
        <v>2569</v>
      </c>
      <c r="N14" s="1394">
        <v>2972</v>
      </c>
      <c r="O14" s="1394">
        <v>1365</v>
      </c>
      <c r="P14" s="1394">
        <v>1535</v>
      </c>
      <c r="Q14" s="1394">
        <v>1448</v>
      </c>
      <c r="R14" s="1394">
        <v>1802</v>
      </c>
      <c r="S14" s="1394">
        <v>1825</v>
      </c>
      <c r="T14" s="1394">
        <v>1569</v>
      </c>
      <c r="U14" s="1394">
        <v>2543</v>
      </c>
      <c r="V14" s="1394">
        <v>2016</v>
      </c>
      <c r="W14" s="1394">
        <v>1646</v>
      </c>
      <c r="X14" s="1394">
        <v>1518</v>
      </c>
      <c r="Y14" s="1394">
        <v>2213</v>
      </c>
      <c r="Z14" s="1394">
        <v>3376</v>
      </c>
      <c r="AA14" s="1394">
        <v>4605</v>
      </c>
      <c r="AB14" s="1394">
        <v>6183</v>
      </c>
      <c r="AC14" s="1394">
        <v>5597</v>
      </c>
      <c r="AD14" s="1394">
        <v>4445</v>
      </c>
      <c r="AE14" s="1394">
        <v>4261</v>
      </c>
      <c r="AF14" s="1394">
        <v>4369</v>
      </c>
      <c r="AG14" s="1394">
        <v>3632</v>
      </c>
      <c r="AH14" s="1394">
        <v>3582</v>
      </c>
      <c r="AI14" s="1394">
        <v>4554</v>
      </c>
      <c r="AJ14" s="1394">
        <v>4826</v>
      </c>
      <c r="AK14" s="1394">
        <v>6874</v>
      </c>
      <c r="AL14" s="1394">
        <v>9831</v>
      </c>
    </row>
    <row r="15" spans="1:38" s="1394" customFormat="1">
      <c r="A15" s="1394" t="s">
        <v>64</v>
      </c>
      <c r="B15" s="269" t="s">
        <v>1059</v>
      </c>
      <c r="C15" s="1394">
        <v>4774</v>
      </c>
      <c r="D15" s="1394">
        <v>6031</v>
      </c>
      <c r="E15" s="1394">
        <v>6818</v>
      </c>
      <c r="F15" s="1394">
        <v>6504</v>
      </c>
      <c r="G15" s="1394">
        <v>5734</v>
      </c>
      <c r="H15" s="1394">
        <v>5419</v>
      </c>
      <c r="I15" s="1394">
        <v>4954</v>
      </c>
      <c r="J15" s="1394">
        <v>5097</v>
      </c>
      <c r="K15" s="1394">
        <v>5152</v>
      </c>
      <c r="L15" s="1394">
        <v>6113</v>
      </c>
      <c r="M15" s="1394">
        <v>5314</v>
      </c>
      <c r="N15" s="1394">
        <v>5547</v>
      </c>
      <c r="O15" s="1394">
        <v>2927</v>
      </c>
      <c r="P15" s="1394">
        <v>3418</v>
      </c>
      <c r="Q15" s="1394">
        <v>3402</v>
      </c>
      <c r="R15" s="1394">
        <v>4553</v>
      </c>
      <c r="S15" s="1394">
        <v>4424</v>
      </c>
      <c r="T15" s="1394">
        <v>4805</v>
      </c>
      <c r="U15" s="1394">
        <v>6227</v>
      </c>
      <c r="V15" s="1394">
        <v>5688</v>
      </c>
      <c r="W15" s="1394">
        <v>4739</v>
      </c>
      <c r="X15" s="1394">
        <v>4243</v>
      </c>
      <c r="Y15" s="1394">
        <v>4716</v>
      </c>
      <c r="Z15" s="1394">
        <v>6526</v>
      </c>
      <c r="AA15" s="1394">
        <v>8419</v>
      </c>
      <c r="AB15" s="1394">
        <v>10087</v>
      </c>
      <c r="AC15" s="1394">
        <v>9626</v>
      </c>
      <c r="AD15" s="1394">
        <v>7781</v>
      </c>
      <c r="AE15" s="1394">
        <v>6867</v>
      </c>
      <c r="AF15" s="1394">
        <v>6687</v>
      </c>
      <c r="AG15" s="1394">
        <v>6557</v>
      </c>
      <c r="AH15" s="1394">
        <v>8816</v>
      </c>
      <c r="AI15" s="1394">
        <v>10221</v>
      </c>
      <c r="AJ15" s="1394">
        <v>11126</v>
      </c>
      <c r="AK15" s="1394">
        <v>14257</v>
      </c>
      <c r="AL15" s="1394">
        <v>18413</v>
      </c>
    </row>
    <row r="16" spans="1:38" s="1394" customFormat="1">
      <c r="A16" s="1394" t="s">
        <v>63</v>
      </c>
      <c r="B16" s="1394" t="s">
        <v>1058</v>
      </c>
      <c r="C16" s="1394">
        <v>4138</v>
      </c>
      <c r="D16" s="1394">
        <v>5472</v>
      </c>
      <c r="E16" s="1394">
        <v>6183</v>
      </c>
      <c r="F16" s="1394">
        <v>5780</v>
      </c>
      <c r="G16" s="1394">
        <v>4846</v>
      </c>
      <c r="H16" s="1394">
        <v>4169</v>
      </c>
      <c r="I16" s="1394">
        <v>3637</v>
      </c>
      <c r="J16" s="1394">
        <v>3194</v>
      </c>
      <c r="K16" s="1394">
        <v>3179</v>
      </c>
      <c r="L16" s="1394">
        <v>3486</v>
      </c>
      <c r="M16" s="1394">
        <v>2745</v>
      </c>
      <c r="N16" s="1394">
        <v>2575</v>
      </c>
      <c r="O16" s="1394">
        <v>1562</v>
      </c>
      <c r="P16" s="1394">
        <v>1883</v>
      </c>
      <c r="Q16" s="1394">
        <v>1954</v>
      </c>
      <c r="R16" s="1394">
        <v>2751</v>
      </c>
      <c r="S16" s="1394">
        <v>2599</v>
      </c>
      <c r="T16" s="1394">
        <v>3235</v>
      </c>
      <c r="U16" s="1394">
        <v>3685</v>
      </c>
      <c r="V16" s="1394">
        <v>3672</v>
      </c>
      <c r="W16" s="1394">
        <v>3093</v>
      </c>
      <c r="X16" s="1394">
        <v>2725</v>
      </c>
      <c r="Y16" s="1394">
        <v>2503</v>
      </c>
      <c r="Z16" s="1394">
        <v>3150</v>
      </c>
      <c r="AA16" s="1394">
        <v>3814</v>
      </c>
      <c r="AB16" s="1394">
        <v>3904</v>
      </c>
      <c r="AC16" s="1394">
        <v>4029</v>
      </c>
      <c r="AD16" s="1394">
        <v>3337</v>
      </c>
      <c r="AE16" s="1394">
        <v>2606</v>
      </c>
      <c r="AF16" s="1394">
        <v>2318</v>
      </c>
      <c r="AG16" s="1394">
        <v>2925</v>
      </c>
      <c r="AH16" s="1394">
        <v>5235</v>
      </c>
      <c r="AI16" s="1394">
        <v>5667</v>
      </c>
      <c r="AJ16" s="1394">
        <v>6300</v>
      </c>
      <c r="AK16" s="1394">
        <v>7382</v>
      </c>
      <c r="AL16" s="1394">
        <v>8582</v>
      </c>
    </row>
    <row r="17" spans="1:38" s="1394" customFormat="1">
      <c r="A17" s="1394" t="s">
        <v>61</v>
      </c>
      <c r="B17" s="1394" t="s">
        <v>1057</v>
      </c>
      <c r="C17" s="1394">
        <v>636</v>
      </c>
      <c r="D17" s="1394">
        <v>559</v>
      </c>
      <c r="E17" s="1394">
        <v>635</v>
      </c>
      <c r="F17" s="1394">
        <v>724</v>
      </c>
      <c r="G17" s="1394">
        <v>888</v>
      </c>
      <c r="H17" s="1394">
        <v>1250</v>
      </c>
      <c r="I17" s="1394">
        <v>1317</v>
      </c>
      <c r="J17" s="1394">
        <v>1903</v>
      </c>
      <c r="K17" s="1394">
        <v>1973</v>
      </c>
      <c r="L17" s="1394">
        <v>2627</v>
      </c>
      <c r="M17" s="1394">
        <v>2569</v>
      </c>
      <c r="N17" s="1394">
        <v>2972</v>
      </c>
      <c r="O17" s="1394">
        <v>1365</v>
      </c>
      <c r="P17" s="1394">
        <v>1535</v>
      </c>
      <c r="Q17" s="1394">
        <v>1448</v>
      </c>
      <c r="R17" s="1394">
        <v>1802</v>
      </c>
      <c r="S17" s="1394">
        <v>1825</v>
      </c>
      <c r="T17" s="1394">
        <v>1569</v>
      </c>
      <c r="U17" s="1394">
        <v>2543</v>
      </c>
      <c r="V17" s="1394">
        <v>2016</v>
      </c>
      <c r="W17" s="1394">
        <v>1646</v>
      </c>
      <c r="X17" s="1394">
        <v>1518</v>
      </c>
      <c r="Y17" s="1394">
        <v>2213</v>
      </c>
      <c r="Z17" s="1394">
        <v>3376</v>
      </c>
      <c r="AA17" s="1394">
        <v>4605</v>
      </c>
      <c r="AB17" s="1394">
        <v>6183</v>
      </c>
      <c r="AC17" s="1394">
        <v>5597</v>
      </c>
      <c r="AD17" s="1394">
        <v>4445</v>
      </c>
      <c r="AE17" s="1394">
        <v>4261</v>
      </c>
      <c r="AF17" s="1394">
        <v>4369</v>
      </c>
      <c r="AG17" s="1394">
        <v>3632</v>
      </c>
      <c r="AH17" s="1394">
        <v>3582</v>
      </c>
      <c r="AI17" s="1394">
        <v>4554</v>
      </c>
      <c r="AJ17" s="1394">
        <v>4826</v>
      </c>
      <c r="AK17" s="1394">
        <v>6874</v>
      </c>
      <c r="AL17" s="1394">
        <v>9831</v>
      </c>
    </row>
    <row r="18" spans="1:38" s="1394" customFormat="1">
      <c r="A18" s="1394" t="s">
        <v>60</v>
      </c>
      <c r="B18" s="269" t="s">
        <v>1067</v>
      </c>
      <c r="C18" s="1394">
        <v>29469</v>
      </c>
      <c r="D18" s="1394">
        <v>31750</v>
      </c>
      <c r="E18" s="1394">
        <v>35326</v>
      </c>
      <c r="F18" s="1394">
        <v>35410</v>
      </c>
      <c r="G18" s="1394">
        <v>36938</v>
      </c>
      <c r="H18" s="1394">
        <v>46287</v>
      </c>
      <c r="I18" s="1394">
        <v>58445</v>
      </c>
      <c r="J18" s="1394">
        <v>61981</v>
      </c>
      <c r="K18" s="1394">
        <v>65973</v>
      </c>
      <c r="L18" s="1394">
        <v>58717</v>
      </c>
      <c r="M18" s="1394">
        <v>57539</v>
      </c>
      <c r="N18" s="1394">
        <v>67245</v>
      </c>
      <c r="O18" s="1394">
        <v>77344</v>
      </c>
      <c r="P18" s="1394">
        <v>95260</v>
      </c>
      <c r="Q18" s="1394">
        <v>102505</v>
      </c>
      <c r="R18" s="1394">
        <v>115323</v>
      </c>
      <c r="S18" s="1394">
        <v>103963</v>
      </c>
      <c r="T18" s="1394">
        <v>130512</v>
      </c>
      <c r="U18" s="1394">
        <v>149839</v>
      </c>
      <c r="V18" s="1394">
        <v>127523</v>
      </c>
      <c r="W18" s="1394">
        <v>144675</v>
      </c>
      <c r="X18" s="1394">
        <v>184137</v>
      </c>
      <c r="Y18" s="1394">
        <v>246184</v>
      </c>
      <c r="Z18" s="1394">
        <v>284892</v>
      </c>
      <c r="AA18" s="1394">
        <v>312556</v>
      </c>
      <c r="AB18" s="1394">
        <v>361708</v>
      </c>
      <c r="AC18" s="1394">
        <v>405600</v>
      </c>
      <c r="AD18" s="1394">
        <v>361390</v>
      </c>
      <c r="AE18" s="1394">
        <v>436161</v>
      </c>
      <c r="AF18" s="1394">
        <v>466938</v>
      </c>
      <c r="AG18" s="1394">
        <v>458256</v>
      </c>
      <c r="AH18" s="1394">
        <v>467396</v>
      </c>
      <c r="AI18" s="1394">
        <v>464584</v>
      </c>
      <c r="AJ18" s="1394">
        <v>425784</v>
      </c>
      <c r="AK18" s="1394">
        <v>429781</v>
      </c>
      <c r="AL18" s="1394">
        <v>488616</v>
      </c>
    </row>
    <row r="19" spans="1:38" s="1394" customFormat="1">
      <c r="A19" s="1394" t="s">
        <v>59</v>
      </c>
      <c r="B19" s="1394" t="s">
        <v>1055</v>
      </c>
      <c r="C19" s="1394">
        <v>31343</v>
      </c>
      <c r="D19" s="1394">
        <v>35311</v>
      </c>
      <c r="E19" s="1394">
        <v>39656</v>
      </c>
      <c r="F19" s="1394">
        <v>39484</v>
      </c>
      <c r="G19" s="1394">
        <v>40099</v>
      </c>
      <c r="H19" s="1394">
        <v>48597</v>
      </c>
      <c r="I19" s="1394">
        <v>59746</v>
      </c>
      <c r="J19" s="1394">
        <v>61796</v>
      </c>
      <c r="K19" s="1394">
        <v>64190</v>
      </c>
      <c r="L19" s="1394">
        <v>57464</v>
      </c>
      <c r="M19" s="1394">
        <v>56355</v>
      </c>
      <c r="N19" s="1394">
        <v>65565</v>
      </c>
      <c r="O19" s="1394">
        <v>75037</v>
      </c>
      <c r="P19" s="1394">
        <v>92800</v>
      </c>
      <c r="Q19" s="1394">
        <v>100314</v>
      </c>
      <c r="R19" s="1394">
        <v>113208</v>
      </c>
      <c r="S19" s="1394">
        <v>100905</v>
      </c>
      <c r="T19" s="1394">
        <v>125990</v>
      </c>
      <c r="U19" s="1394">
        <v>144834</v>
      </c>
      <c r="V19" s="1394">
        <v>122258</v>
      </c>
      <c r="W19" s="1394">
        <v>139300</v>
      </c>
      <c r="X19" s="1394">
        <v>178206</v>
      </c>
      <c r="Y19" s="1394">
        <v>240334</v>
      </c>
      <c r="Z19" s="1394">
        <v>279062</v>
      </c>
      <c r="AA19" s="1394">
        <v>306768</v>
      </c>
      <c r="AB19" s="1394">
        <v>354311</v>
      </c>
      <c r="AC19" s="1394">
        <v>397401</v>
      </c>
      <c r="AD19" s="1394">
        <v>354854</v>
      </c>
      <c r="AE19" s="1394">
        <v>430360</v>
      </c>
      <c r="AF19" s="1394">
        <v>459739</v>
      </c>
      <c r="AG19" s="1394">
        <v>448869</v>
      </c>
      <c r="AH19" s="1394">
        <v>459144</v>
      </c>
      <c r="AI19" s="1394">
        <v>455568</v>
      </c>
      <c r="AJ19" s="1394">
        <v>416422</v>
      </c>
      <c r="AK19" s="1394">
        <v>419493</v>
      </c>
      <c r="AL19" s="1394">
        <v>479053</v>
      </c>
    </row>
    <row r="20" spans="1:38" s="1394" customFormat="1">
      <c r="A20" s="1394" t="s">
        <v>57</v>
      </c>
      <c r="B20" s="1394" t="s">
        <v>1054</v>
      </c>
      <c r="C20" s="1394">
        <v>23058</v>
      </c>
      <c r="D20" s="1394">
        <v>18629</v>
      </c>
      <c r="E20" s="1394">
        <v>18688</v>
      </c>
      <c r="F20" s="1394">
        <v>19780</v>
      </c>
      <c r="G20" s="1394">
        <v>26077</v>
      </c>
      <c r="H20" s="1394">
        <v>25264</v>
      </c>
      <c r="I20" s="1394">
        <v>41744</v>
      </c>
      <c r="J20" s="1394">
        <v>43257</v>
      </c>
      <c r="K20" s="1394">
        <v>36553</v>
      </c>
      <c r="L20" s="1394">
        <v>33945</v>
      </c>
      <c r="M20" s="1394">
        <v>34441</v>
      </c>
      <c r="N20" s="1394">
        <v>28847</v>
      </c>
      <c r="O20" s="1394">
        <v>44032</v>
      </c>
      <c r="P20" s="1394">
        <v>38891</v>
      </c>
      <c r="Q20" s="1394">
        <v>45623</v>
      </c>
      <c r="R20" s="1394">
        <v>55196</v>
      </c>
      <c r="S20" s="1394">
        <v>56742</v>
      </c>
      <c r="T20" s="1394">
        <v>62536</v>
      </c>
      <c r="U20" s="1394">
        <v>52863</v>
      </c>
      <c r="V20" s="1394">
        <v>53235</v>
      </c>
      <c r="W20" s="1394">
        <v>54601</v>
      </c>
      <c r="X20" s="1394">
        <v>59459</v>
      </c>
      <c r="Y20" s="1394">
        <v>81555</v>
      </c>
      <c r="Z20" s="1394">
        <v>298712</v>
      </c>
      <c r="AA20" s="1394">
        <v>101686</v>
      </c>
      <c r="AB20" s="1394">
        <v>132833</v>
      </c>
      <c r="AC20" s="1394">
        <v>172448</v>
      </c>
      <c r="AD20" s="1394">
        <v>128561</v>
      </c>
      <c r="AE20" s="1394">
        <v>132616</v>
      </c>
      <c r="AF20" s="1394">
        <v>151122</v>
      </c>
      <c r="AG20" s="1394">
        <v>164883</v>
      </c>
      <c r="AH20" s="1394">
        <v>144080</v>
      </c>
      <c r="AI20" s="1394">
        <v>143994</v>
      </c>
      <c r="AJ20" s="1394">
        <v>125507</v>
      </c>
      <c r="AK20" s="1394">
        <v>120899</v>
      </c>
      <c r="AL20" s="1394">
        <v>134468</v>
      </c>
    </row>
    <row r="21" spans="1:38" s="1394" customFormat="1">
      <c r="A21" s="1394" t="s">
        <v>55</v>
      </c>
      <c r="B21" s="1394" t="s">
        <v>235</v>
      </c>
      <c r="C21" s="1394">
        <v>8285</v>
      </c>
      <c r="D21" s="1394">
        <v>16682</v>
      </c>
      <c r="E21" s="1394">
        <v>20969</v>
      </c>
      <c r="F21" s="1394">
        <v>19705</v>
      </c>
      <c r="G21" s="1394">
        <v>14023</v>
      </c>
      <c r="H21" s="1394">
        <v>23333</v>
      </c>
      <c r="I21" s="1394">
        <v>18002</v>
      </c>
      <c r="J21" s="1394">
        <v>18539</v>
      </c>
      <c r="K21" s="1394">
        <v>27638</v>
      </c>
      <c r="L21" s="1394">
        <v>23521</v>
      </c>
      <c r="M21" s="1394">
        <v>21912</v>
      </c>
      <c r="N21" s="1394">
        <v>36718</v>
      </c>
      <c r="O21" s="1394">
        <v>31004</v>
      </c>
      <c r="P21" s="1394">
        <v>53908</v>
      </c>
      <c r="Q21" s="1394">
        <v>54691</v>
      </c>
      <c r="R21" s="1394">
        <v>58012</v>
      </c>
      <c r="S21" s="1394">
        <v>44162</v>
      </c>
      <c r="T21" s="1394">
        <v>63454</v>
      </c>
      <c r="U21" s="1394">
        <v>91971</v>
      </c>
      <c r="V21" s="1394">
        <v>69023</v>
      </c>
      <c r="W21" s="1394">
        <v>84698</v>
      </c>
      <c r="X21" s="1394">
        <v>118747</v>
      </c>
      <c r="Y21" s="1394">
        <v>158779</v>
      </c>
      <c r="Z21" s="1394">
        <v>-19650</v>
      </c>
      <c r="AA21" s="1394">
        <v>205082</v>
      </c>
      <c r="AB21" s="1394">
        <v>221478</v>
      </c>
      <c r="AC21" s="1394">
        <v>224954</v>
      </c>
      <c r="AD21" s="1394">
        <v>226293</v>
      </c>
      <c r="AE21" s="1394">
        <v>297744</v>
      </c>
      <c r="AF21" s="1394">
        <v>308617</v>
      </c>
      <c r="AG21" s="1394">
        <v>283987</v>
      </c>
      <c r="AH21" s="1394">
        <v>315064</v>
      </c>
      <c r="AI21" s="1394">
        <v>311574</v>
      </c>
      <c r="AJ21" s="1394">
        <v>290915</v>
      </c>
      <c r="AK21" s="1394">
        <v>298594</v>
      </c>
      <c r="AL21" s="1394">
        <v>344584</v>
      </c>
    </row>
    <row r="22" spans="1:38" s="1394" customFormat="1">
      <c r="A22" s="1394" t="s">
        <v>54</v>
      </c>
      <c r="B22" s="1394" t="s">
        <v>254</v>
      </c>
      <c r="C22" s="1394">
        <v>4807</v>
      </c>
      <c r="D22" s="1394">
        <v>13679</v>
      </c>
      <c r="E22" s="1394">
        <v>17607</v>
      </c>
      <c r="F22" s="1394">
        <v>14166</v>
      </c>
      <c r="G22" s="1394">
        <v>9669</v>
      </c>
      <c r="H22" s="1394">
        <v>18453</v>
      </c>
      <c r="I22" s="1394">
        <v>14073</v>
      </c>
      <c r="J22" s="1394">
        <v>12696</v>
      </c>
      <c r="K22" s="1394">
        <v>21437</v>
      </c>
      <c r="L22" s="1394">
        <v>18328</v>
      </c>
      <c r="M22" s="1394">
        <v>16293</v>
      </c>
      <c r="N22" s="1394">
        <v>30015</v>
      </c>
      <c r="O22" s="1394">
        <v>24088</v>
      </c>
      <c r="P22" s="1394">
        <v>47232</v>
      </c>
      <c r="Q22" s="1394">
        <v>47233</v>
      </c>
      <c r="R22" s="1394">
        <v>48978</v>
      </c>
      <c r="S22" s="1394">
        <v>32522</v>
      </c>
      <c r="T22" s="1394">
        <v>48706</v>
      </c>
      <c r="U22" s="1394">
        <v>77018</v>
      </c>
      <c r="V22" s="1394">
        <v>52307</v>
      </c>
      <c r="W22" s="1394">
        <v>65755</v>
      </c>
      <c r="X22" s="1394">
        <v>100478</v>
      </c>
      <c r="Y22" s="1394">
        <v>141589</v>
      </c>
      <c r="Z22" s="1394">
        <v>-31182</v>
      </c>
      <c r="AA22" s="1394">
        <v>196640</v>
      </c>
      <c r="AB22" s="1394">
        <v>210007</v>
      </c>
      <c r="AC22" s="1394">
        <v>212308</v>
      </c>
      <c r="AD22" s="1394">
        <v>204942</v>
      </c>
      <c r="AE22" s="1394">
        <v>279188</v>
      </c>
      <c r="AF22" s="1394">
        <v>289914</v>
      </c>
      <c r="AG22" s="1394">
        <v>263820</v>
      </c>
      <c r="AH22" s="1394">
        <v>296558</v>
      </c>
      <c r="AI22" s="1394">
        <v>292804</v>
      </c>
      <c r="AJ22" s="1394">
        <v>271823</v>
      </c>
      <c r="AK22" s="1394">
        <v>278779</v>
      </c>
      <c r="AL22" s="1394">
        <v>324256</v>
      </c>
    </row>
    <row r="23" spans="1:38" s="1394" customFormat="1">
      <c r="A23" s="1394" t="s">
        <v>53</v>
      </c>
      <c r="B23" s="1394" t="s">
        <v>253</v>
      </c>
      <c r="C23" s="1394">
        <v>3478</v>
      </c>
      <c r="D23" s="1394">
        <v>3003</v>
      </c>
      <c r="E23" s="1394">
        <v>3362</v>
      </c>
      <c r="F23" s="1394">
        <v>5539</v>
      </c>
      <c r="G23" s="1394">
        <v>4354</v>
      </c>
      <c r="H23" s="1394">
        <v>4880</v>
      </c>
      <c r="I23" s="1394">
        <v>3929</v>
      </c>
      <c r="J23" s="1394">
        <v>5843</v>
      </c>
      <c r="K23" s="1394">
        <v>6201</v>
      </c>
      <c r="L23" s="1394">
        <v>5193</v>
      </c>
      <c r="M23" s="1394">
        <v>5619</v>
      </c>
      <c r="N23" s="1394">
        <v>6703</v>
      </c>
      <c r="O23" s="1394">
        <v>6916</v>
      </c>
      <c r="P23" s="1394">
        <v>6676</v>
      </c>
      <c r="Q23" s="1394">
        <v>7458</v>
      </c>
      <c r="R23" s="1394">
        <v>9034</v>
      </c>
      <c r="S23" s="1394">
        <v>11640</v>
      </c>
      <c r="T23" s="1394">
        <v>14748</v>
      </c>
      <c r="U23" s="1394">
        <v>14953</v>
      </c>
      <c r="V23" s="1394">
        <v>16716</v>
      </c>
      <c r="W23" s="1394">
        <v>18943</v>
      </c>
      <c r="X23" s="1394">
        <v>18269</v>
      </c>
      <c r="Y23" s="1394">
        <v>17190</v>
      </c>
      <c r="Z23" s="1394">
        <v>11532</v>
      </c>
      <c r="AA23" s="1394">
        <v>8443</v>
      </c>
      <c r="AB23" s="1394">
        <v>11471</v>
      </c>
      <c r="AC23" s="1394">
        <v>12645</v>
      </c>
      <c r="AD23" s="1394">
        <v>21351</v>
      </c>
      <c r="AE23" s="1394">
        <v>18555</v>
      </c>
      <c r="AF23" s="1394">
        <v>18703</v>
      </c>
      <c r="AG23" s="1394">
        <v>20167</v>
      </c>
      <c r="AH23" s="1394">
        <v>18506</v>
      </c>
      <c r="AI23" s="1394">
        <v>18769</v>
      </c>
      <c r="AJ23" s="1394">
        <v>19092</v>
      </c>
      <c r="AK23" s="1394">
        <v>19815</v>
      </c>
      <c r="AL23" s="1394">
        <v>20329</v>
      </c>
    </row>
    <row r="24" spans="1:38" s="1394" customFormat="1">
      <c r="A24" s="1394" t="s">
        <v>52</v>
      </c>
      <c r="B24" s="1394" t="s">
        <v>1066</v>
      </c>
      <c r="C24" s="1394">
        <v>-1874</v>
      </c>
      <c r="D24" s="1394">
        <v>-3561</v>
      </c>
      <c r="E24" s="1394">
        <v>-4329</v>
      </c>
      <c r="F24" s="1394">
        <v>-4074</v>
      </c>
      <c r="G24" s="1394">
        <v>-3161</v>
      </c>
      <c r="H24" s="1394">
        <v>-2309</v>
      </c>
      <c r="I24" s="1394">
        <v>-1302</v>
      </c>
      <c r="J24" s="1394">
        <v>185</v>
      </c>
      <c r="K24" s="1394">
        <v>1783</v>
      </c>
      <c r="L24" s="1394">
        <v>1254</v>
      </c>
      <c r="M24" s="1394">
        <v>1185</v>
      </c>
      <c r="N24" s="1394">
        <v>1682</v>
      </c>
      <c r="O24" s="1394">
        <v>2306</v>
      </c>
      <c r="P24" s="1394">
        <v>2459</v>
      </c>
      <c r="Q24" s="1394">
        <v>2190</v>
      </c>
      <c r="R24" s="1394">
        <v>2115</v>
      </c>
      <c r="S24" s="1394">
        <v>3059</v>
      </c>
      <c r="T24" s="1394">
        <v>4521</v>
      </c>
      <c r="U24" s="1394">
        <v>5005</v>
      </c>
      <c r="V24" s="1394">
        <v>5266</v>
      </c>
      <c r="W24" s="1394">
        <v>5374</v>
      </c>
      <c r="X24" s="1394">
        <v>5932</v>
      </c>
      <c r="Y24" s="1394">
        <v>5850</v>
      </c>
      <c r="Z24" s="1394">
        <v>5830</v>
      </c>
      <c r="AA24" s="1394">
        <v>5788</v>
      </c>
      <c r="AB24" s="1394">
        <v>7396</v>
      </c>
      <c r="AC24" s="1394">
        <v>8198</v>
      </c>
      <c r="AD24" s="1394">
        <v>6536</v>
      </c>
      <c r="AE24" s="1394">
        <v>5801</v>
      </c>
      <c r="AF24" s="1394">
        <v>7199</v>
      </c>
      <c r="AG24" s="1394">
        <v>9387</v>
      </c>
      <c r="AH24" s="1394">
        <v>8252</v>
      </c>
      <c r="AI24" s="1394">
        <v>9017</v>
      </c>
      <c r="AJ24" s="1394">
        <v>9361</v>
      </c>
      <c r="AK24" s="1394">
        <v>10288</v>
      </c>
      <c r="AL24" s="1394">
        <v>9563</v>
      </c>
    </row>
    <row r="25" spans="1:38" s="1394" customFormat="1">
      <c r="A25" s="1394" t="s">
        <v>51</v>
      </c>
      <c r="B25" s="1394" t="s">
        <v>238</v>
      </c>
      <c r="C25" s="1394">
        <v>2264</v>
      </c>
      <c r="D25" s="1394">
        <v>1911</v>
      </c>
      <c r="E25" s="1394">
        <v>1854</v>
      </c>
      <c r="F25" s="1394">
        <v>1706</v>
      </c>
      <c r="G25" s="1394">
        <v>1685</v>
      </c>
      <c r="H25" s="1394">
        <v>1860</v>
      </c>
      <c r="I25" s="1394">
        <v>2335</v>
      </c>
      <c r="J25" s="1394">
        <v>3379</v>
      </c>
      <c r="K25" s="1394">
        <v>4962</v>
      </c>
      <c r="L25" s="1394">
        <v>4740</v>
      </c>
      <c r="M25" s="1394">
        <v>3930</v>
      </c>
      <c r="N25" s="1394">
        <v>4257</v>
      </c>
      <c r="O25" s="1394">
        <v>3868</v>
      </c>
      <c r="P25" s="1394">
        <v>4342</v>
      </c>
      <c r="Q25" s="1394">
        <v>4144</v>
      </c>
      <c r="R25" s="1394">
        <v>4866</v>
      </c>
      <c r="S25" s="1394">
        <v>5658</v>
      </c>
      <c r="T25" s="1394">
        <v>7757</v>
      </c>
      <c r="U25" s="1394">
        <v>8690</v>
      </c>
      <c r="V25" s="1394">
        <v>8938</v>
      </c>
      <c r="W25" s="1394">
        <v>8467</v>
      </c>
      <c r="X25" s="1394">
        <v>8657</v>
      </c>
      <c r="Y25" s="1394">
        <v>8353</v>
      </c>
      <c r="Z25" s="1394">
        <v>8980</v>
      </c>
      <c r="AA25" s="1394">
        <v>9602</v>
      </c>
      <c r="AB25" s="1394">
        <v>11300</v>
      </c>
      <c r="AC25" s="1394">
        <v>12227</v>
      </c>
      <c r="AD25" s="1394">
        <v>9873</v>
      </c>
      <c r="AE25" s="1394">
        <v>8407</v>
      </c>
      <c r="AF25" s="1394">
        <v>9517</v>
      </c>
      <c r="AG25" s="1394">
        <v>12312</v>
      </c>
      <c r="AH25" s="1394">
        <v>13486</v>
      </c>
      <c r="AI25" s="1394">
        <v>14683</v>
      </c>
      <c r="AJ25" s="1394">
        <v>15661</v>
      </c>
      <c r="AK25" s="1394">
        <v>17670</v>
      </c>
      <c r="AL25" s="1394">
        <v>18145</v>
      </c>
    </row>
    <row r="26" spans="1:38" s="1394" customFormat="1">
      <c r="A26" s="1394" t="s">
        <v>49</v>
      </c>
      <c r="B26" s="1394" t="s">
        <v>237</v>
      </c>
      <c r="C26" s="1394">
        <v>4138</v>
      </c>
      <c r="D26" s="1394">
        <v>5472</v>
      </c>
      <c r="E26" s="1394">
        <v>6183</v>
      </c>
      <c r="F26" s="1394">
        <v>5780</v>
      </c>
      <c r="G26" s="1394">
        <v>4846</v>
      </c>
      <c r="H26" s="1394">
        <v>4169</v>
      </c>
      <c r="I26" s="1394">
        <v>3637</v>
      </c>
      <c r="J26" s="1394">
        <v>3194</v>
      </c>
      <c r="K26" s="1394">
        <v>3179</v>
      </c>
      <c r="L26" s="1394">
        <v>3486</v>
      </c>
      <c r="M26" s="1394">
        <v>2745</v>
      </c>
      <c r="N26" s="1394">
        <v>2575</v>
      </c>
      <c r="O26" s="1394">
        <v>1562</v>
      </c>
      <c r="P26" s="1394">
        <v>1883</v>
      </c>
      <c r="Q26" s="1394">
        <v>1954</v>
      </c>
      <c r="R26" s="1394">
        <v>2751</v>
      </c>
      <c r="S26" s="1394">
        <v>2599</v>
      </c>
      <c r="T26" s="1394">
        <v>3235</v>
      </c>
      <c r="U26" s="1394">
        <v>3685</v>
      </c>
      <c r="V26" s="1394">
        <v>3672</v>
      </c>
      <c r="W26" s="1394">
        <v>3093</v>
      </c>
      <c r="X26" s="1394">
        <v>2725</v>
      </c>
      <c r="Y26" s="1394">
        <v>2503</v>
      </c>
      <c r="Z26" s="1394">
        <v>3150</v>
      </c>
      <c r="AA26" s="1394">
        <v>3814</v>
      </c>
      <c r="AB26" s="1394">
        <v>3904</v>
      </c>
      <c r="AC26" s="1394">
        <v>4029</v>
      </c>
      <c r="AD26" s="1394">
        <v>3337</v>
      </c>
      <c r="AE26" s="1394">
        <v>2606</v>
      </c>
      <c r="AF26" s="1394">
        <v>2318</v>
      </c>
      <c r="AG26" s="1394">
        <v>2925</v>
      </c>
      <c r="AH26" s="1394">
        <v>5235</v>
      </c>
      <c r="AI26" s="1394">
        <v>5667</v>
      </c>
      <c r="AJ26" s="1394">
        <v>6300</v>
      </c>
      <c r="AK26" s="1394">
        <v>7382</v>
      </c>
      <c r="AL26" s="1394">
        <v>8582</v>
      </c>
    </row>
    <row r="27" spans="1:38" s="1394" customFormat="1">
      <c r="A27" s="1394" t="s">
        <v>47</v>
      </c>
      <c r="B27" s="269" t="s">
        <v>1065</v>
      </c>
      <c r="C27" s="1394">
        <v>25991</v>
      </c>
      <c r="D27" s="1394">
        <v>28747</v>
      </c>
      <c r="E27" s="1394">
        <v>31964</v>
      </c>
      <c r="F27" s="1394">
        <v>29871</v>
      </c>
      <c r="G27" s="1394">
        <v>32584</v>
      </c>
      <c r="H27" s="1394">
        <v>41407</v>
      </c>
      <c r="I27" s="1394">
        <v>54516</v>
      </c>
      <c r="J27" s="1394">
        <v>56138</v>
      </c>
      <c r="K27" s="1394">
        <v>59772</v>
      </c>
      <c r="L27" s="1394">
        <v>53524</v>
      </c>
      <c r="M27" s="1394">
        <v>51920</v>
      </c>
      <c r="N27" s="1394">
        <v>60542</v>
      </c>
      <c r="O27" s="1394">
        <v>70428</v>
      </c>
      <c r="P27" s="1394">
        <v>88584</v>
      </c>
      <c r="Q27" s="1394">
        <v>95047</v>
      </c>
      <c r="R27" s="1394">
        <v>106289</v>
      </c>
      <c r="S27" s="1394">
        <v>92323</v>
      </c>
      <c r="T27" s="1394">
        <v>115764</v>
      </c>
      <c r="U27" s="1394">
        <v>134886</v>
      </c>
      <c r="V27" s="1394">
        <v>110808</v>
      </c>
      <c r="W27" s="1394">
        <v>125731</v>
      </c>
      <c r="X27" s="1394">
        <v>165868</v>
      </c>
      <c r="Y27" s="1394">
        <v>228995</v>
      </c>
      <c r="Z27" s="1394">
        <v>273361</v>
      </c>
      <c r="AA27" s="1394">
        <v>304114</v>
      </c>
      <c r="AB27" s="1394">
        <v>350237</v>
      </c>
      <c r="AC27" s="1394">
        <v>392954</v>
      </c>
      <c r="AD27" s="1394">
        <v>340039</v>
      </c>
      <c r="AE27" s="1394">
        <v>417605</v>
      </c>
      <c r="AF27" s="1394">
        <v>448235</v>
      </c>
      <c r="AG27" s="1394">
        <v>438089</v>
      </c>
      <c r="AH27" s="1394">
        <v>448890</v>
      </c>
      <c r="AI27" s="1394">
        <v>445815</v>
      </c>
      <c r="AJ27" s="1394">
        <v>406691</v>
      </c>
      <c r="AK27" s="1394">
        <v>409966</v>
      </c>
      <c r="AL27" s="1394">
        <v>468287</v>
      </c>
    </row>
    <row r="28" spans="1:38" s="1394" customFormat="1">
      <c r="A28" s="1394" t="s">
        <v>45</v>
      </c>
      <c r="B28" s="1394" t="s">
        <v>205</v>
      </c>
      <c r="C28" s="1394" t="s">
        <v>583</v>
      </c>
      <c r="D28" s="1394" t="s">
        <v>583</v>
      </c>
      <c r="E28" s="1394" t="s">
        <v>583</v>
      </c>
      <c r="F28" s="1394" t="s">
        <v>583</v>
      </c>
      <c r="G28" s="1394" t="s">
        <v>583</v>
      </c>
      <c r="H28" s="1394" t="s">
        <v>583</v>
      </c>
      <c r="I28" s="1394" t="s">
        <v>583</v>
      </c>
      <c r="J28" s="1394" t="s">
        <v>583</v>
      </c>
      <c r="K28" s="1394" t="s">
        <v>583</v>
      </c>
      <c r="L28" s="1394" t="s">
        <v>583</v>
      </c>
      <c r="M28" s="1394" t="s">
        <v>583</v>
      </c>
      <c r="N28" s="1394" t="s">
        <v>583</v>
      </c>
      <c r="O28" s="1394" t="s">
        <v>583</v>
      </c>
      <c r="P28" s="1394" t="s">
        <v>583</v>
      </c>
      <c r="Q28" s="1394" t="s">
        <v>583</v>
      </c>
      <c r="R28" s="1394" t="s">
        <v>583</v>
      </c>
      <c r="S28" s="1394" t="s">
        <v>583</v>
      </c>
      <c r="T28" s="1394">
        <v>36293</v>
      </c>
      <c r="U28" s="1394">
        <v>42630</v>
      </c>
      <c r="V28" s="1394">
        <v>27930</v>
      </c>
      <c r="W28" s="1394">
        <v>26708</v>
      </c>
      <c r="X28" s="1394">
        <v>34814</v>
      </c>
      <c r="Y28" s="1394">
        <v>46807</v>
      </c>
      <c r="Z28" s="1394">
        <v>47480</v>
      </c>
      <c r="AA28" s="1394">
        <v>57677</v>
      </c>
      <c r="AB28" s="1394">
        <v>66435</v>
      </c>
      <c r="AC28" s="1394">
        <v>60144</v>
      </c>
      <c r="AD28" s="1394">
        <v>40239</v>
      </c>
      <c r="AE28" s="1394">
        <v>61240</v>
      </c>
      <c r="AF28" s="1394">
        <v>66666</v>
      </c>
      <c r="AG28" s="1394">
        <v>60903</v>
      </c>
      <c r="AH28" s="1394">
        <v>63772</v>
      </c>
      <c r="AI28" s="1394">
        <v>59565</v>
      </c>
      <c r="AJ28" s="1394">
        <v>60508</v>
      </c>
      <c r="AK28" s="1394">
        <v>64966</v>
      </c>
      <c r="AL28" s="1394">
        <v>76692</v>
      </c>
    </row>
    <row r="29" spans="1:38" s="1394" customFormat="1">
      <c r="A29" s="1394" t="s">
        <v>43</v>
      </c>
      <c r="B29" s="1394" t="s">
        <v>250</v>
      </c>
      <c r="C29" s="1394" t="s">
        <v>583</v>
      </c>
      <c r="D29" s="1394" t="s">
        <v>583</v>
      </c>
      <c r="E29" s="1394" t="s">
        <v>583</v>
      </c>
      <c r="F29" s="1394" t="s">
        <v>583</v>
      </c>
      <c r="G29" s="1394" t="s">
        <v>583</v>
      </c>
      <c r="H29" s="1394" t="s">
        <v>583</v>
      </c>
      <c r="I29" s="1394" t="s">
        <v>583</v>
      </c>
      <c r="J29" s="1394" t="s">
        <v>583</v>
      </c>
      <c r="K29" s="1394" t="s">
        <v>583</v>
      </c>
      <c r="L29" s="1394" t="s">
        <v>583</v>
      </c>
      <c r="M29" s="1394" t="s">
        <v>583</v>
      </c>
      <c r="N29" s="1394" t="s">
        <v>583</v>
      </c>
      <c r="O29" s="1394" t="s">
        <v>583</v>
      </c>
      <c r="P29" s="1394" t="s">
        <v>583</v>
      </c>
      <c r="Q29" s="1394" t="s">
        <v>583</v>
      </c>
      <c r="R29" s="1394" t="s">
        <v>583</v>
      </c>
      <c r="S29" s="1394" t="s">
        <v>583</v>
      </c>
      <c r="T29" s="1394">
        <v>12533</v>
      </c>
      <c r="U29" s="1394">
        <v>14426</v>
      </c>
      <c r="V29" s="1394">
        <v>13790</v>
      </c>
      <c r="W29" s="1394">
        <v>13479</v>
      </c>
      <c r="X29" s="1394">
        <v>18557</v>
      </c>
      <c r="Y29" s="1394">
        <v>23457</v>
      </c>
      <c r="Z29" s="1394">
        <v>24715</v>
      </c>
      <c r="AA29" s="1394">
        <v>24321</v>
      </c>
      <c r="AB29" s="1394">
        <v>28527</v>
      </c>
      <c r="AC29" s="1394">
        <v>28773</v>
      </c>
      <c r="AD29" s="1394">
        <v>19512</v>
      </c>
      <c r="AE29" s="1394">
        <v>24538</v>
      </c>
      <c r="AF29" s="1394">
        <v>27854</v>
      </c>
      <c r="AG29" s="1394">
        <v>25789</v>
      </c>
      <c r="AH29" s="1394">
        <v>24716</v>
      </c>
      <c r="AI29" s="1394">
        <v>27442</v>
      </c>
      <c r="AJ29" s="1394">
        <v>19697</v>
      </c>
      <c r="AK29" s="1394">
        <v>21832</v>
      </c>
      <c r="AL29" s="1394">
        <v>23635</v>
      </c>
    </row>
    <row r="30" spans="1:38" s="1394" customFormat="1">
      <c r="A30" s="1394" t="s">
        <v>42</v>
      </c>
      <c r="B30" s="1394" t="s">
        <v>251</v>
      </c>
      <c r="C30" s="1394" t="s">
        <v>583</v>
      </c>
      <c r="D30" s="1394" t="s">
        <v>583</v>
      </c>
      <c r="E30" s="1394" t="s">
        <v>583</v>
      </c>
      <c r="F30" s="1394" t="s">
        <v>583</v>
      </c>
      <c r="G30" s="1394" t="s">
        <v>583</v>
      </c>
      <c r="H30" s="1394" t="s">
        <v>583</v>
      </c>
      <c r="I30" s="1394" t="s">
        <v>583</v>
      </c>
      <c r="J30" s="1394" t="s">
        <v>583</v>
      </c>
      <c r="K30" s="1394" t="s">
        <v>583</v>
      </c>
      <c r="L30" s="1394" t="s">
        <v>583</v>
      </c>
      <c r="M30" s="1394" t="s">
        <v>583</v>
      </c>
      <c r="N30" s="1394" t="s">
        <v>583</v>
      </c>
      <c r="O30" s="1394" t="s">
        <v>583</v>
      </c>
      <c r="P30" s="1394" t="s">
        <v>583</v>
      </c>
      <c r="Q30" s="1394" t="s">
        <v>583</v>
      </c>
      <c r="R30" s="1394" t="s">
        <v>583</v>
      </c>
      <c r="S30" s="1394" t="s">
        <v>583</v>
      </c>
      <c r="T30" s="1394">
        <v>14166</v>
      </c>
      <c r="U30" s="1394">
        <v>17523</v>
      </c>
      <c r="V30" s="1394">
        <v>11611</v>
      </c>
      <c r="W30" s="1394">
        <v>15970</v>
      </c>
      <c r="X30" s="1394">
        <v>21921</v>
      </c>
      <c r="Y30" s="1394">
        <v>28870</v>
      </c>
      <c r="Z30" s="1394">
        <v>28122</v>
      </c>
      <c r="AA30" s="1394">
        <v>33040</v>
      </c>
      <c r="AB30" s="1394">
        <v>34875</v>
      </c>
      <c r="AC30" s="1394">
        <v>44631</v>
      </c>
      <c r="AD30" s="1394">
        <v>43357</v>
      </c>
      <c r="AE30" s="1394">
        <v>36470</v>
      </c>
      <c r="AF30" s="1394">
        <v>41454</v>
      </c>
      <c r="AG30" s="1394">
        <v>48466</v>
      </c>
      <c r="AH30" s="1394">
        <v>44615</v>
      </c>
      <c r="AI30" s="1394">
        <v>41039</v>
      </c>
      <c r="AJ30" s="1394">
        <v>43367</v>
      </c>
      <c r="AK30" s="1394">
        <v>49416</v>
      </c>
      <c r="AL30" s="1394">
        <v>52839</v>
      </c>
    </row>
    <row r="31" spans="1:38" s="1394" customFormat="1">
      <c r="A31" s="1394" t="s">
        <v>41</v>
      </c>
      <c r="B31" s="1394" t="s">
        <v>1062</v>
      </c>
      <c r="C31" s="1394" t="s">
        <v>583</v>
      </c>
      <c r="D31" s="1394" t="s">
        <v>583</v>
      </c>
      <c r="E31" s="1394" t="s">
        <v>583</v>
      </c>
      <c r="F31" s="1394" t="s">
        <v>583</v>
      </c>
      <c r="G31" s="1394" t="s">
        <v>583</v>
      </c>
      <c r="H31" s="1394" t="s">
        <v>583</v>
      </c>
      <c r="I31" s="1394" t="s">
        <v>583</v>
      </c>
      <c r="J31" s="1394" t="s">
        <v>583</v>
      </c>
      <c r="K31" s="1394" t="s">
        <v>583</v>
      </c>
      <c r="L31" s="1394" t="s">
        <v>583</v>
      </c>
      <c r="M31" s="1394" t="s">
        <v>583</v>
      </c>
      <c r="N31" s="1394" t="s">
        <v>583</v>
      </c>
      <c r="O31" s="1394" t="s">
        <v>583</v>
      </c>
      <c r="P31" s="1394" t="s">
        <v>583</v>
      </c>
      <c r="Q31" s="1394" t="s">
        <v>583</v>
      </c>
      <c r="R31" s="1394" t="s">
        <v>583</v>
      </c>
      <c r="S31" s="1394" t="s">
        <v>583</v>
      </c>
      <c r="T31" s="1394">
        <v>33814</v>
      </c>
      <c r="U31" s="1394">
        <v>37623</v>
      </c>
      <c r="V31" s="1394">
        <v>41713</v>
      </c>
      <c r="W31" s="1394">
        <v>48572</v>
      </c>
      <c r="X31" s="1394">
        <v>59471</v>
      </c>
      <c r="Y31" s="1394">
        <v>80059</v>
      </c>
      <c r="Z31" s="1394">
        <v>109804</v>
      </c>
      <c r="AA31" s="1394">
        <v>120884</v>
      </c>
      <c r="AB31" s="1394">
        <v>146576</v>
      </c>
      <c r="AC31" s="1394">
        <v>179733</v>
      </c>
      <c r="AD31" s="1394">
        <v>170226</v>
      </c>
      <c r="AE31" s="1394">
        <v>220101</v>
      </c>
      <c r="AF31" s="1394">
        <v>223612</v>
      </c>
      <c r="AG31" s="1394">
        <v>217706</v>
      </c>
      <c r="AH31" s="1394">
        <v>230409</v>
      </c>
      <c r="AI31" s="1394">
        <v>239331</v>
      </c>
      <c r="AJ31" s="1394">
        <v>221141</v>
      </c>
      <c r="AK31" s="1394">
        <v>206032</v>
      </c>
      <c r="AL31" s="1394">
        <v>230879</v>
      </c>
    </row>
    <row r="32" spans="1:38" s="1394" customFormat="1">
      <c r="A32" s="1394" t="s">
        <v>40</v>
      </c>
      <c r="B32" s="1394" t="s">
        <v>67</v>
      </c>
      <c r="C32" s="1394" t="s">
        <v>583</v>
      </c>
      <c r="D32" s="1394" t="s">
        <v>583</v>
      </c>
      <c r="E32" s="1394" t="s">
        <v>583</v>
      </c>
      <c r="F32" s="1394" t="s">
        <v>583</v>
      </c>
      <c r="G32" s="1394" t="s">
        <v>583</v>
      </c>
      <c r="H32" s="1394" t="s">
        <v>583</v>
      </c>
      <c r="I32" s="1394" t="s">
        <v>583</v>
      </c>
      <c r="J32" s="1394" t="s">
        <v>583</v>
      </c>
      <c r="K32" s="1394" t="s">
        <v>583</v>
      </c>
      <c r="L32" s="1394" t="s">
        <v>583</v>
      </c>
      <c r="M32" s="1394" t="s">
        <v>583</v>
      </c>
      <c r="N32" s="1394" t="s">
        <v>583</v>
      </c>
      <c r="O32" s="1394" t="s">
        <v>583</v>
      </c>
      <c r="P32" s="1394" t="s">
        <v>583</v>
      </c>
      <c r="Q32" s="1394" t="s">
        <v>583</v>
      </c>
      <c r="R32" s="1394" t="s">
        <v>583</v>
      </c>
      <c r="S32" s="1394" t="s">
        <v>583</v>
      </c>
      <c r="T32" s="1394">
        <v>18957</v>
      </c>
      <c r="U32" s="1394">
        <v>22686</v>
      </c>
      <c r="V32" s="1394">
        <v>15766</v>
      </c>
      <c r="W32" s="1394">
        <v>21003</v>
      </c>
      <c r="X32" s="1394">
        <v>31106</v>
      </c>
      <c r="Y32" s="1394">
        <v>49803</v>
      </c>
      <c r="Z32" s="1394">
        <v>63239</v>
      </c>
      <c r="AA32" s="1394">
        <v>68191</v>
      </c>
      <c r="AB32" s="1394">
        <v>73823</v>
      </c>
      <c r="AC32" s="1394">
        <v>79674</v>
      </c>
      <c r="AD32" s="1394">
        <v>66704</v>
      </c>
      <c r="AE32" s="1394">
        <v>75256</v>
      </c>
      <c r="AF32" s="1394">
        <v>88649</v>
      </c>
      <c r="AG32" s="1394">
        <v>85226</v>
      </c>
      <c r="AH32" s="1394">
        <v>85377</v>
      </c>
      <c r="AI32" s="1394">
        <v>78438</v>
      </c>
      <c r="AJ32" s="1394">
        <v>61979</v>
      </c>
      <c r="AK32" s="1394">
        <v>67720</v>
      </c>
      <c r="AL32" s="1394">
        <v>84242</v>
      </c>
    </row>
    <row r="33" spans="1:38" s="1394" customFormat="1">
      <c r="A33" s="1394" t="s">
        <v>37</v>
      </c>
      <c r="B33" s="1394" t="s">
        <v>1064</v>
      </c>
      <c r="C33" s="1394">
        <v>27865</v>
      </c>
      <c r="D33" s="1394">
        <v>32308</v>
      </c>
      <c r="E33" s="1394">
        <v>36294</v>
      </c>
      <c r="F33" s="1394">
        <v>33945</v>
      </c>
      <c r="G33" s="1394">
        <v>35745</v>
      </c>
      <c r="H33" s="1394">
        <v>43717</v>
      </c>
      <c r="I33" s="1394">
        <v>55817</v>
      </c>
      <c r="J33" s="1394">
        <v>55953</v>
      </c>
      <c r="K33" s="1394">
        <v>57989</v>
      </c>
      <c r="L33" s="1394">
        <v>52271</v>
      </c>
      <c r="M33" s="1394">
        <v>50736</v>
      </c>
      <c r="N33" s="1394">
        <v>58862</v>
      </c>
      <c r="O33" s="1394">
        <v>68121</v>
      </c>
      <c r="P33" s="1394">
        <v>86124</v>
      </c>
      <c r="Q33" s="1394">
        <v>92856</v>
      </c>
      <c r="R33" s="1394">
        <v>104174</v>
      </c>
      <c r="S33" s="1394">
        <v>89265</v>
      </c>
      <c r="T33" s="1394">
        <v>111242</v>
      </c>
      <c r="U33" s="1394">
        <v>129881</v>
      </c>
      <c r="V33" s="1394">
        <v>105542</v>
      </c>
      <c r="W33" s="1394">
        <v>120357</v>
      </c>
      <c r="X33" s="1394">
        <v>159937</v>
      </c>
      <c r="Y33" s="1394">
        <v>223144</v>
      </c>
      <c r="Z33" s="1394">
        <v>267530</v>
      </c>
      <c r="AA33" s="1394">
        <v>298326</v>
      </c>
      <c r="AB33" s="1394">
        <v>342840</v>
      </c>
      <c r="AC33" s="1394">
        <v>384756</v>
      </c>
      <c r="AD33" s="1394">
        <v>333503</v>
      </c>
      <c r="AE33" s="1394">
        <v>411805</v>
      </c>
      <c r="AF33" s="1394">
        <v>441036</v>
      </c>
      <c r="AG33" s="1394">
        <v>428702</v>
      </c>
      <c r="AH33" s="1394">
        <v>440638</v>
      </c>
      <c r="AI33" s="1394">
        <v>436799</v>
      </c>
      <c r="AJ33" s="1394">
        <v>397330</v>
      </c>
      <c r="AK33" s="1394">
        <v>399678</v>
      </c>
      <c r="AL33" s="1394">
        <v>458724</v>
      </c>
    </row>
    <row r="34" spans="1:38" s="1394" customFormat="1">
      <c r="A34" s="1394" t="s">
        <v>36</v>
      </c>
      <c r="B34" s="1394" t="s">
        <v>205</v>
      </c>
      <c r="C34" s="1394" t="s">
        <v>583</v>
      </c>
      <c r="D34" s="1394" t="s">
        <v>583</v>
      </c>
      <c r="E34" s="1394" t="s">
        <v>583</v>
      </c>
      <c r="F34" s="1394" t="s">
        <v>583</v>
      </c>
      <c r="G34" s="1394" t="s">
        <v>583</v>
      </c>
      <c r="H34" s="1394" t="s">
        <v>583</v>
      </c>
      <c r="I34" s="1394" t="s">
        <v>583</v>
      </c>
      <c r="J34" s="1394" t="s">
        <v>583</v>
      </c>
      <c r="K34" s="1394" t="s">
        <v>583</v>
      </c>
      <c r="L34" s="1394" t="s">
        <v>583</v>
      </c>
      <c r="M34" s="1394" t="s">
        <v>583</v>
      </c>
      <c r="N34" s="1394" t="s">
        <v>583</v>
      </c>
      <c r="O34" s="1394" t="s">
        <v>583</v>
      </c>
      <c r="P34" s="1394" t="s">
        <v>583</v>
      </c>
      <c r="Q34" s="1394" t="s">
        <v>583</v>
      </c>
      <c r="R34" s="1394" t="s">
        <v>583</v>
      </c>
      <c r="S34" s="1394" t="s">
        <v>583</v>
      </c>
      <c r="T34" s="1394">
        <v>34857</v>
      </c>
      <c r="U34" s="1394">
        <v>41140</v>
      </c>
      <c r="V34" s="1394">
        <v>26509</v>
      </c>
      <c r="W34" s="1394">
        <v>25335</v>
      </c>
      <c r="X34" s="1394">
        <v>33519</v>
      </c>
      <c r="Y34" s="1394">
        <v>45748</v>
      </c>
      <c r="Z34" s="1394">
        <v>46088</v>
      </c>
      <c r="AA34" s="1394">
        <v>56246</v>
      </c>
      <c r="AB34" s="1394">
        <v>65288</v>
      </c>
      <c r="AC34" s="1394">
        <v>59088</v>
      </c>
      <c r="AD34" s="1394">
        <v>39474</v>
      </c>
      <c r="AE34" s="1394">
        <v>60540</v>
      </c>
      <c r="AF34" s="1394">
        <v>66104</v>
      </c>
      <c r="AG34" s="1394">
        <v>60459</v>
      </c>
      <c r="AH34" s="1394">
        <v>63249</v>
      </c>
      <c r="AI34" s="1394">
        <v>59101</v>
      </c>
      <c r="AJ34" s="1394">
        <v>60045</v>
      </c>
      <c r="AK34" s="1394">
        <v>64395</v>
      </c>
      <c r="AL34" s="1394">
        <v>75973</v>
      </c>
    </row>
    <row r="35" spans="1:38" s="1394" customFormat="1">
      <c r="A35" s="1394" t="s">
        <v>35</v>
      </c>
      <c r="B35" s="1394" t="s">
        <v>250</v>
      </c>
      <c r="C35" s="1394" t="s">
        <v>583</v>
      </c>
      <c r="D35" s="1394" t="s">
        <v>583</v>
      </c>
      <c r="E35" s="1394" t="s">
        <v>583</v>
      </c>
      <c r="F35" s="1394" t="s">
        <v>583</v>
      </c>
      <c r="G35" s="1394" t="s">
        <v>583</v>
      </c>
      <c r="H35" s="1394" t="s">
        <v>583</v>
      </c>
      <c r="I35" s="1394" t="s">
        <v>583</v>
      </c>
      <c r="J35" s="1394" t="s">
        <v>583</v>
      </c>
      <c r="K35" s="1394" t="s">
        <v>583</v>
      </c>
      <c r="L35" s="1394" t="s">
        <v>583</v>
      </c>
      <c r="M35" s="1394" t="s">
        <v>583</v>
      </c>
      <c r="N35" s="1394" t="s">
        <v>583</v>
      </c>
      <c r="O35" s="1394" t="s">
        <v>583</v>
      </c>
      <c r="P35" s="1394" t="s">
        <v>583</v>
      </c>
      <c r="Q35" s="1394" t="s">
        <v>583</v>
      </c>
      <c r="R35" s="1394" t="s">
        <v>583</v>
      </c>
      <c r="S35" s="1394" t="s">
        <v>583</v>
      </c>
      <c r="T35" s="1394">
        <v>12591</v>
      </c>
      <c r="U35" s="1394">
        <v>13987</v>
      </c>
      <c r="V35" s="1394">
        <v>13357</v>
      </c>
      <c r="W35" s="1394">
        <v>13093</v>
      </c>
      <c r="X35" s="1394">
        <v>18165</v>
      </c>
      <c r="Y35" s="1394">
        <v>23104</v>
      </c>
      <c r="Z35" s="1394">
        <v>24341</v>
      </c>
      <c r="AA35" s="1394">
        <v>23896</v>
      </c>
      <c r="AB35" s="1394">
        <v>28159</v>
      </c>
      <c r="AC35" s="1394">
        <v>28493</v>
      </c>
      <c r="AD35" s="1394">
        <v>19192</v>
      </c>
      <c r="AE35" s="1394">
        <v>24255</v>
      </c>
      <c r="AF35" s="1394">
        <v>27636</v>
      </c>
      <c r="AG35" s="1394">
        <v>25542</v>
      </c>
      <c r="AH35" s="1394">
        <v>24568</v>
      </c>
      <c r="AI35" s="1394">
        <v>27191</v>
      </c>
      <c r="AJ35" s="1394">
        <v>19548</v>
      </c>
      <c r="AK35" s="1394">
        <v>21603</v>
      </c>
      <c r="AL35" s="1394">
        <v>23329</v>
      </c>
    </row>
    <row r="36" spans="1:38" s="1394" customFormat="1">
      <c r="A36" s="1394" t="s">
        <v>34</v>
      </c>
      <c r="B36" s="1394" t="s">
        <v>251</v>
      </c>
      <c r="C36" s="1394" t="s">
        <v>583</v>
      </c>
      <c r="D36" s="1394" t="s">
        <v>583</v>
      </c>
      <c r="E36" s="1394" t="s">
        <v>583</v>
      </c>
      <c r="F36" s="1394" t="s">
        <v>583</v>
      </c>
      <c r="G36" s="1394" t="s">
        <v>583</v>
      </c>
      <c r="H36" s="1394" t="s">
        <v>583</v>
      </c>
      <c r="I36" s="1394" t="s">
        <v>583</v>
      </c>
      <c r="J36" s="1394" t="s">
        <v>583</v>
      </c>
      <c r="K36" s="1394" t="s">
        <v>583</v>
      </c>
      <c r="L36" s="1394" t="s">
        <v>583</v>
      </c>
      <c r="M36" s="1394" t="s">
        <v>583</v>
      </c>
      <c r="N36" s="1394" t="s">
        <v>583</v>
      </c>
      <c r="O36" s="1394" t="s">
        <v>583</v>
      </c>
      <c r="P36" s="1394" t="s">
        <v>583</v>
      </c>
      <c r="Q36" s="1394" t="s">
        <v>583</v>
      </c>
      <c r="R36" s="1394" t="s">
        <v>583</v>
      </c>
      <c r="S36" s="1394" t="s">
        <v>583</v>
      </c>
      <c r="T36" s="1394">
        <v>14328</v>
      </c>
      <c r="U36" s="1394">
        <v>17918</v>
      </c>
      <c r="V36" s="1394">
        <v>12347</v>
      </c>
      <c r="W36" s="1394">
        <v>16384</v>
      </c>
      <c r="X36" s="1394">
        <v>22131</v>
      </c>
      <c r="Y36" s="1394">
        <v>28942</v>
      </c>
      <c r="Z36" s="1394">
        <v>28307</v>
      </c>
      <c r="AA36" s="1394">
        <v>33320</v>
      </c>
      <c r="AB36" s="1394">
        <v>34593</v>
      </c>
      <c r="AC36" s="1394">
        <v>43791</v>
      </c>
      <c r="AD36" s="1394">
        <v>42828</v>
      </c>
      <c r="AE36" s="1394">
        <v>36313</v>
      </c>
      <c r="AF36" s="1394">
        <v>40893</v>
      </c>
      <c r="AG36" s="1394">
        <v>47334</v>
      </c>
      <c r="AH36" s="1394">
        <v>45355</v>
      </c>
      <c r="AI36" s="1394">
        <v>42886</v>
      </c>
      <c r="AJ36" s="1394">
        <v>46138</v>
      </c>
      <c r="AK36" s="1394">
        <v>51971</v>
      </c>
      <c r="AL36" s="1394">
        <v>56029</v>
      </c>
    </row>
    <row r="37" spans="1:38" s="1394" customFormat="1">
      <c r="A37" s="1394" t="s">
        <v>30</v>
      </c>
      <c r="B37" s="1394" t="s">
        <v>1062</v>
      </c>
      <c r="C37" s="1394" t="s">
        <v>583</v>
      </c>
      <c r="D37" s="1394" t="s">
        <v>583</v>
      </c>
      <c r="E37" s="1394" t="s">
        <v>583</v>
      </c>
      <c r="F37" s="1394" t="s">
        <v>583</v>
      </c>
      <c r="G37" s="1394" t="s">
        <v>583</v>
      </c>
      <c r="H37" s="1394" t="s">
        <v>583</v>
      </c>
      <c r="I37" s="1394" t="s">
        <v>583</v>
      </c>
      <c r="J37" s="1394" t="s">
        <v>583</v>
      </c>
      <c r="K37" s="1394" t="s">
        <v>583</v>
      </c>
      <c r="L37" s="1394" t="s">
        <v>583</v>
      </c>
      <c r="M37" s="1394" t="s">
        <v>583</v>
      </c>
      <c r="N37" s="1394" t="s">
        <v>583</v>
      </c>
      <c r="O37" s="1394" t="s">
        <v>583</v>
      </c>
      <c r="P37" s="1394" t="s">
        <v>583</v>
      </c>
      <c r="Q37" s="1394" t="s">
        <v>583</v>
      </c>
      <c r="R37" s="1394" t="s">
        <v>583</v>
      </c>
      <c r="S37" s="1394" t="s">
        <v>583</v>
      </c>
      <c r="T37" s="1394">
        <v>32816</v>
      </c>
      <c r="U37" s="1394">
        <v>36621</v>
      </c>
      <c r="V37" s="1394">
        <v>40049</v>
      </c>
      <c r="W37" s="1394">
        <v>46972</v>
      </c>
      <c r="X37" s="1394">
        <v>57586</v>
      </c>
      <c r="Y37" s="1394">
        <v>78316</v>
      </c>
      <c r="Z37" s="1394">
        <v>108265</v>
      </c>
      <c r="AA37" s="1394">
        <v>118893</v>
      </c>
      <c r="AB37" s="1394">
        <v>144116</v>
      </c>
      <c r="AC37" s="1394">
        <v>176365</v>
      </c>
      <c r="AD37" s="1394">
        <v>167387</v>
      </c>
      <c r="AE37" s="1394">
        <v>217334</v>
      </c>
      <c r="AF37" s="1394">
        <v>219553</v>
      </c>
      <c r="AG37" s="1394">
        <v>211893</v>
      </c>
      <c r="AH37" s="1394">
        <v>223366</v>
      </c>
      <c r="AI37" s="1394">
        <v>230802</v>
      </c>
      <c r="AJ37" s="1394">
        <v>211362</v>
      </c>
      <c r="AK37" s="1394">
        <v>195925</v>
      </c>
      <c r="AL37" s="1394">
        <v>221258</v>
      </c>
    </row>
    <row r="38" spans="1:38" s="1394" customFormat="1">
      <c r="A38" s="1394" t="s">
        <v>29</v>
      </c>
      <c r="B38" s="1394" t="s">
        <v>67</v>
      </c>
      <c r="C38" s="1394" t="s">
        <v>583</v>
      </c>
      <c r="D38" s="1394" t="s">
        <v>583</v>
      </c>
      <c r="E38" s="1394" t="s">
        <v>583</v>
      </c>
      <c r="F38" s="1394" t="s">
        <v>583</v>
      </c>
      <c r="G38" s="1394" t="s">
        <v>583</v>
      </c>
      <c r="H38" s="1394" t="s">
        <v>583</v>
      </c>
      <c r="I38" s="1394" t="s">
        <v>583</v>
      </c>
      <c r="J38" s="1394" t="s">
        <v>583</v>
      </c>
      <c r="K38" s="1394" t="s">
        <v>583</v>
      </c>
      <c r="L38" s="1394" t="s">
        <v>583</v>
      </c>
      <c r="M38" s="1394" t="s">
        <v>583</v>
      </c>
      <c r="N38" s="1394" t="s">
        <v>583</v>
      </c>
      <c r="O38" s="1394" t="s">
        <v>583</v>
      </c>
      <c r="P38" s="1394" t="s">
        <v>583</v>
      </c>
      <c r="Q38" s="1394" t="s">
        <v>583</v>
      </c>
      <c r="R38" s="1394" t="s">
        <v>583</v>
      </c>
      <c r="S38" s="1394" t="s">
        <v>583</v>
      </c>
      <c r="T38" s="1394">
        <v>16650</v>
      </c>
      <c r="U38" s="1394">
        <v>20215</v>
      </c>
      <c r="V38" s="1394">
        <v>13279</v>
      </c>
      <c r="W38" s="1394">
        <v>18576</v>
      </c>
      <c r="X38" s="1394">
        <v>28534</v>
      </c>
      <c r="Y38" s="1394">
        <v>47034</v>
      </c>
      <c r="Z38" s="1394">
        <v>60529</v>
      </c>
      <c r="AA38" s="1394">
        <v>65969</v>
      </c>
      <c r="AB38" s="1394">
        <v>70684</v>
      </c>
      <c r="AC38" s="1394">
        <v>77020</v>
      </c>
      <c r="AD38" s="1394">
        <v>64622</v>
      </c>
      <c r="AE38" s="1394">
        <v>73362</v>
      </c>
      <c r="AF38" s="1394">
        <v>86850</v>
      </c>
      <c r="AG38" s="1394">
        <v>83476</v>
      </c>
      <c r="AH38" s="1394">
        <v>84100</v>
      </c>
      <c r="AI38" s="1394">
        <v>76817</v>
      </c>
      <c r="AJ38" s="1394">
        <v>60236</v>
      </c>
      <c r="AK38" s="1394">
        <v>65784</v>
      </c>
      <c r="AL38" s="1394">
        <v>82135</v>
      </c>
    </row>
    <row r="39" spans="1:38" s="1394" customFormat="1">
      <c r="A39" s="1394" t="s">
        <v>27</v>
      </c>
      <c r="B39" s="1394" t="s">
        <v>1063</v>
      </c>
      <c r="C39" s="1394">
        <v>-1874</v>
      </c>
      <c r="D39" s="1394">
        <v>-3561</v>
      </c>
      <c r="E39" s="1394">
        <v>-4329</v>
      </c>
      <c r="F39" s="1394">
        <v>-4074</v>
      </c>
      <c r="G39" s="1394">
        <v>-3161</v>
      </c>
      <c r="H39" s="1394">
        <v>-2309</v>
      </c>
      <c r="I39" s="1394">
        <v>-1302</v>
      </c>
      <c r="J39" s="1394">
        <v>185</v>
      </c>
      <c r="K39" s="1394">
        <v>1783</v>
      </c>
      <c r="L39" s="1394">
        <v>1254</v>
      </c>
      <c r="M39" s="1394">
        <v>1185</v>
      </c>
      <c r="N39" s="1394">
        <v>1682</v>
      </c>
      <c r="O39" s="1394">
        <v>2306</v>
      </c>
      <c r="P39" s="1394">
        <v>2459</v>
      </c>
      <c r="Q39" s="1394">
        <v>2190</v>
      </c>
      <c r="R39" s="1394">
        <v>2115</v>
      </c>
      <c r="S39" s="1394">
        <v>3059</v>
      </c>
      <c r="T39" s="1394">
        <v>4521</v>
      </c>
      <c r="U39" s="1394">
        <v>5005</v>
      </c>
      <c r="V39" s="1394">
        <v>5266</v>
      </c>
      <c r="W39" s="1394">
        <v>5374</v>
      </c>
      <c r="X39" s="1394">
        <v>5932</v>
      </c>
      <c r="Y39" s="1394">
        <v>5850</v>
      </c>
      <c r="Z39" s="1394">
        <v>5830</v>
      </c>
      <c r="AA39" s="1394">
        <v>5788</v>
      </c>
      <c r="AB39" s="1394">
        <v>7396</v>
      </c>
      <c r="AC39" s="1394">
        <v>8198</v>
      </c>
      <c r="AD39" s="1394">
        <v>6536</v>
      </c>
      <c r="AE39" s="1394">
        <v>5801</v>
      </c>
      <c r="AF39" s="1394">
        <v>7199</v>
      </c>
      <c r="AG39" s="1394">
        <v>9387</v>
      </c>
      <c r="AH39" s="1394">
        <v>8252</v>
      </c>
      <c r="AI39" s="1394">
        <v>9017</v>
      </c>
      <c r="AJ39" s="1394">
        <v>9361</v>
      </c>
      <c r="AK39" s="1394">
        <v>10288</v>
      </c>
      <c r="AL39" s="1394">
        <v>9563</v>
      </c>
    </row>
    <row r="40" spans="1:38" s="1394" customFormat="1">
      <c r="A40" s="1394" t="s">
        <v>26</v>
      </c>
      <c r="B40" s="1394" t="s">
        <v>205</v>
      </c>
      <c r="C40" s="1394" t="s">
        <v>583</v>
      </c>
      <c r="D40" s="1394" t="s">
        <v>583</v>
      </c>
      <c r="E40" s="1394" t="s">
        <v>583</v>
      </c>
      <c r="F40" s="1394" t="s">
        <v>583</v>
      </c>
      <c r="G40" s="1394" t="s">
        <v>583</v>
      </c>
      <c r="H40" s="1394" t="s">
        <v>583</v>
      </c>
      <c r="I40" s="1394" t="s">
        <v>583</v>
      </c>
      <c r="J40" s="1394" t="s">
        <v>583</v>
      </c>
      <c r="K40" s="1394" t="s">
        <v>583</v>
      </c>
      <c r="L40" s="1394" t="s">
        <v>583</v>
      </c>
      <c r="M40" s="1394" t="s">
        <v>583</v>
      </c>
      <c r="N40" s="1394" t="s">
        <v>583</v>
      </c>
      <c r="O40" s="1394" t="s">
        <v>583</v>
      </c>
      <c r="P40" s="1394" t="s">
        <v>583</v>
      </c>
      <c r="Q40" s="1394" t="s">
        <v>583</v>
      </c>
      <c r="R40" s="1394" t="s">
        <v>583</v>
      </c>
      <c r="S40" s="1394" t="s">
        <v>583</v>
      </c>
      <c r="T40" s="1394">
        <v>1436</v>
      </c>
      <c r="U40" s="1394">
        <v>1490</v>
      </c>
      <c r="V40" s="1394">
        <v>1422</v>
      </c>
      <c r="W40" s="1394">
        <v>1373</v>
      </c>
      <c r="X40" s="1394">
        <v>1295</v>
      </c>
      <c r="Y40" s="1394">
        <v>1059</v>
      </c>
      <c r="Z40" s="1394">
        <v>1392</v>
      </c>
      <c r="AA40" s="1394">
        <v>1431</v>
      </c>
      <c r="AB40" s="1394">
        <v>1147</v>
      </c>
      <c r="AC40" s="1394">
        <v>1056</v>
      </c>
      <c r="AD40" s="1394">
        <v>765</v>
      </c>
      <c r="AE40" s="1394">
        <v>700</v>
      </c>
      <c r="AF40" s="1394">
        <v>563</v>
      </c>
      <c r="AG40" s="1394">
        <v>444</v>
      </c>
      <c r="AH40" s="1394">
        <v>523</v>
      </c>
      <c r="AI40" s="1394">
        <v>464</v>
      </c>
      <c r="AJ40" s="1394">
        <v>463</v>
      </c>
      <c r="AK40" s="1394">
        <v>570</v>
      </c>
      <c r="AL40" s="1394">
        <v>720</v>
      </c>
    </row>
    <row r="41" spans="1:38" s="1394" customFormat="1">
      <c r="A41" s="1394" t="s">
        <v>25</v>
      </c>
      <c r="B41" s="1394" t="s">
        <v>250</v>
      </c>
      <c r="C41" s="1394" t="s">
        <v>583</v>
      </c>
      <c r="D41" s="1394" t="s">
        <v>583</v>
      </c>
      <c r="E41" s="1394" t="s">
        <v>583</v>
      </c>
      <c r="F41" s="1394" t="s">
        <v>583</v>
      </c>
      <c r="G41" s="1394" t="s">
        <v>583</v>
      </c>
      <c r="H41" s="1394" t="s">
        <v>583</v>
      </c>
      <c r="I41" s="1394" t="s">
        <v>583</v>
      </c>
      <c r="J41" s="1394" t="s">
        <v>583</v>
      </c>
      <c r="K41" s="1394" t="s">
        <v>583</v>
      </c>
      <c r="L41" s="1394" t="s">
        <v>583</v>
      </c>
      <c r="M41" s="1394" t="s">
        <v>583</v>
      </c>
      <c r="N41" s="1394" t="s">
        <v>583</v>
      </c>
      <c r="O41" s="1394" t="s">
        <v>583</v>
      </c>
      <c r="P41" s="1394" t="s">
        <v>583</v>
      </c>
      <c r="Q41" s="1394" t="s">
        <v>583</v>
      </c>
      <c r="R41" s="1394" t="s">
        <v>583</v>
      </c>
      <c r="S41" s="1394" t="s">
        <v>583</v>
      </c>
      <c r="T41" s="1394">
        <v>-58</v>
      </c>
      <c r="U41" s="1394">
        <v>439</v>
      </c>
      <c r="V41" s="1394">
        <v>433</v>
      </c>
      <c r="W41" s="1394">
        <v>387</v>
      </c>
      <c r="X41" s="1394">
        <v>392</v>
      </c>
      <c r="Y41" s="1394">
        <v>352</v>
      </c>
      <c r="Z41" s="1394">
        <v>374</v>
      </c>
      <c r="AA41" s="1394">
        <v>425</v>
      </c>
      <c r="AB41" s="1394">
        <v>368</v>
      </c>
      <c r="AC41" s="1394">
        <v>280</v>
      </c>
      <c r="AD41" s="1394">
        <v>320</v>
      </c>
      <c r="AE41" s="1394">
        <v>283</v>
      </c>
      <c r="AF41" s="1394">
        <v>217</v>
      </c>
      <c r="AG41" s="1394">
        <v>247</v>
      </c>
      <c r="AH41" s="1394">
        <v>148</v>
      </c>
      <c r="AI41" s="1394">
        <v>251</v>
      </c>
      <c r="AJ41" s="1394">
        <v>148</v>
      </c>
      <c r="AK41" s="1394">
        <v>230</v>
      </c>
      <c r="AL41" s="1394">
        <v>306</v>
      </c>
    </row>
    <row r="42" spans="1:38" s="1394" customFormat="1">
      <c r="A42" s="1394" t="s">
        <v>23</v>
      </c>
      <c r="B42" s="1394" t="s">
        <v>251</v>
      </c>
      <c r="C42" s="1394" t="s">
        <v>583</v>
      </c>
      <c r="D42" s="1394" t="s">
        <v>583</v>
      </c>
      <c r="E42" s="1394" t="s">
        <v>583</v>
      </c>
      <c r="F42" s="1394" t="s">
        <v>583</v>
      </c>
      <c r="G42" s="1394" t="s">
        <v>583</v>
      </c>
      <c r="H42" s="1394" t="s">
        <v>583</v>
      </c>
      <c r="I42" s="1394" t="s">
        <v>583</v>
      </c>
      <c r="J42" s="1394" t="s">
        <v>583</v>
      </c>
      <c r="K42" s="1394" t="s">
        <v>583</v>
      </c>
      <c r="L42" s="1394" t="s">
        <v>583</v>
      </c>
      <c r="M42" s="1394" t="s">
        <v>583</v>
      </c>
      <c r="N42" s="1394" t="s">
        <v>583</v>
      </c>
      <c r="O42" s="1394" t="s">
        <v>583</v>
      </c>
      <c r="P42" s="1394" t="s">
        <v>583</v>
      </c>
      <c r="Q42" s="1394" t="s">
        <v>583</v>
      </c>
      <c r="R42" s="1394" t="s">
        <v>583</v>
      </c>
      <c r="S42" s="1394" t="s">
        <v>583</v>
      </c>
      <c r="T42" s="1394">
        <v>-162</v>
      </c>
      <c r="U42" s="1394">
        <v>-395</v>
      </c>
      <c r="V42" s="1394">
        <v>-737</v>
      </c>
      <c r="W42" s="1394">
        <v>-414</v>
      </c>
      <c r="X42" s="1394">
        <v>-210</v>
      </c>
      <c r="Y42" s="1394">
        <v>-72</v>
      </c>
      <c r="Z42" s="1394">
        <v>-185</v>
      </c>
      <c r="AA42" s="1394">
        <v>-280</v>
      </c>
      <c r="AB42" s="1394">
        <v>282</v>
      </c>
      <c r="AC42" s="1394">
        <v>840</v>
      </c>
      <c r="AD42" s="1394">
        <v>529</v>
      </c>
      <c r="AE42" s="1394">
        <v>157</v>
      </c>
      <c r="AF42" s="1394">
        <v>560</v>
      </c>
      <c r="AG42" s="1394">
        <v>1132</v>
      </c>
      <c r="AH42" s="1394">
        <v>-740</v>
      </c>
      <c r="AI42" s="1394">
        <v>-1847</v>
      </c>
      <c r="AJ42" s="1394">
        <v>-2771</v>
      </c>
      <c r="AK42" s="1394">
        <v>-2556</v>
      </c>
      <c r="AL42" s="1394">
        <v>-3190</v>
      </c>
    </row>
    <row r="43" spans="1:38" s="1394" customFormat="1">
      <c r="A43" s="1394" t="s">
        <v>22</v>
      </c>
      <c r="B43" s="1394" t="s">
        <v>1062</v>
      </c>
      <c r="C43" s="1394" t="s">
        <v>583</v>
      </c>
      <c r="D43" s="1394" t="s">
        <v>583</v>
      </c>
      <c r="E43" s="1394" t="s">
        <v>583</v>
      </c>
      <c r="F43" s="1394" t="s">
        <v>583</v>
      </c>
      <c r="G43" s="1394" t="s">
        <v>583</v>
      </c>
      <c r="H43" s="1394" t="s">
        <v>583</v>
      </c>
      <c r="I43" s="1394" t="s">
        <v>583</v>
      </c>
      <c r="J43" s="1394" t="s">
        <v>583</v>
      </c>
      <c r="K43" s="1394" t="s">
        <v>583</v>
      </c>
      <c r="L43" s="1394" t="s">
        <v>583</v>
      </c>
      <c r="M43" s="1394" t="s">
        <v>583</v>
      </c>
      <c r="N43" s="1394" t="s">
        <v>583</v>
      </c>
      <c r="O43" s="1394" t="s">
        <v>583</v>
      </c>
      <c r="P43" s="1394" t="s">
        <v>583</v>
      </c>
      <c r="Q43" s="1394" t="s">
        <v>583</v>
      </c>
      <c r="R43" s="1394" t="s">
        <v>583</v>
      </c>
      <c r="S43" s="1394" t="s">
        <v>583</v>
      </c>
      <c r="T43" s="1394">
        <v>998</v>
      </c>
      <c r="U43" s="1394">
        <v>1002</v>
      </c>
      <c r="V43" s="1394">
        <v>1663</v>
      </c>
      <c r="W43" s="1394">
        <v>1599</v>
      </c>
      <c r="X43" s="1394">
        <v>1885</v>
      </c>
      <c r="Y43" s="1394">
        <v>1743</v>
      </c>
      <c r="Z43" s="1394">
        <v>1539</v>
      </c>
      <c r="AA43" s="1394">
        <v>1991</v>
      </c>
      <c r="AB43" s="1394">
        <v>2460</v>
      </c>
      <c r="AC43" s="1394">
        <v>3368</v>
      </c>
      <c r="AD43" s="1394">
        <v>2840</v>
      </c>
      <c r="AE43" s="1394">
        <v>2767</v>
      </c>
      <c r="AF43" s="1394">
        <v>4059</v>
      </c>
      <c r="AG43" s="1394">
        <v>5813</v>
      </c>
      <c r="AH43" s="1394">
        <v>7043</v>
      </c>
      <c r="AI43" s="1394">
        <v>8529</v>
      </c>
      <c r="AJ43" s="1394">
        <v>9778</v>
      </c>
      <c r="AK43" s="1394">
        <v>10108</v>
      </c>
      <c r="AL43" s="1394">
        <v>9621</v>
      </c>
    </row>
    <row r="44" spans="1:38" s="1394" customFormat="1">
      <c r="A44" s="1394" t="s">
        <v>21</v>
      </c>
      <c r="B44" s="1394" t="s">
        <v>67</v>
      </c>
      <c r="C44" s="1394" t="s">
        <v>583</v>
      </c>
      <c r="D44" s="1394" t="s">
        <v>583</v>
      </c>
      <c r="E44" s="1394" t="s">
        <v>583</v>
      </c>
      <c r="F44" s="1394" t="s">
        <v>583</v>
      </c>
      <c r="G44" s="1394" t="s">
        <v>583</v>
      </c>
      <c r="H44" s="1394" t="s">
        <v>583</v>
      </c>
      <c r="I44" s="1394" t="s">
        <v>583</v>
      </c>
      <c r="J44" s="1394" t="s">
        <v>583</v>
      </c>
      <c r="K44" s="1394" t="s">
        <v>583</v>
      </c>
      <c r="L44" s="1394" t="s">
        <v>583</v>
      </c>
      <c r="M44" s="1394" t="s">
        <v>583</v>
      </c>
      <c r="N44" s="1394" t="s">
        <v>583</v>
      </c>
      <c r="O44" s="1394" t="s">
        <v>583</v>
      </c>
      <c r="P44" s="1394" t="s">
        <v>583</v>
      </c>
      <c r="Q44" s="1394" t="s">
        <v>583</v>
      </c>
      <c r="R44" s="1394" t="s">
        <v>583</v>
      </c>
      <c r="S44" s="1394" t="s">
        <v>583</v>
      </c>
      <c r="T44" s="1394">
        <v>2307</v>
      </c>
      <c r="U44" s="1394">
        <v>2471</v>
      </c>
      <c r="V44" s="1394">
        <v>2486</v>
      </c>
      <c r="W44" s="1394">
        <v>2427</v>
      </c>
      <c r="X44" s="1394">
        <v>2571</v>
      </c>
      <c r="Y44" s="1394">
        <v>2769</v>
      </c>
      <c r="Z44" s="1394">
        <v>2710</v>
      </c>
      <c r="AA44" s="1394">
        <v>2222</v>
      </c>
      <c r="AB44" s="1394">
        <v>3139</v>
      </c>
      <c r="AC44" s="1394">
        <v>2654</v>
      </c>
      <c r="AD44" s="1394">
        <v>2082</v>
      </c>
      <c r="AE44" s="1394">
        <v>1894</v>
      </c>
      <c r="AF44" s="1394">
        <v>1799</v>
      </c>
      <c r="AG44" s="1394">
        <v>1750</v>
      </c>
      <c r="AH44" s="1394">
        <v>1278</v>
      </c>
      <c r="AI44" s="1394">
        <v>1620</v>
      </c>
      <c r="AJ44" s="1394">
        <v>1743</v>
      </c>
      <c r="AK44" s="1394">
        <v>1936</v>
      </c>
      <c r="AL44" s="1394">
        <v>2107</v>
      </c>
    </row>
    <row r="45" spans="1:38" s="1394" customFormat="1">
      <c r="A45" s="1394" t="s">
        <v>32</v>
      </c>
      <c r="B45" s="1394" t="s">
        <v>1061</v>
      </c>
      <c r="C45" s="1394" t="s">
        <v>32</v>
      </c>
      <c r="D45" s="1394" t="s">
        <v>32</v>
      </c>
      <c r="E45" s="1394" t="s">
        <v>32</v>
      </c>
      <c r="F45" s="1394" t="s">
        <v>32</v>
      </c>
      <c r="G45" s="1394" t="s">
        <v>32</v>
      </c>
      <c r="H45" s="1394" t="s">
        <v>32</v>
      </c>
      <c r="I45" s="1394" t="s">
        <v>32</v>
      </c>
      <c r="J45" s="1394" t="s">
        <v>32</v>
      </c>
      <c r="K45" s="1394" t="s">
        <v>32</v>
      </c>
      <c r="L45" s="1394" t="s">
        <v>32</v>
      </c>
      <c r="M45" s="1394" t="s">
        <v>32</v>
      </c>
      <c r="N45" s="1394" t="s">
        <v>32</v>
      </c>
      <c r="O45" s="1394" t="s">
        <v>32</v>
      </c>
      <c r="P45" s="1394" t="s">
        <v>32</v>
      </c>
      <c r="Q45" s="1394" t="s">
        <v>32</v>
      </c>
      <c r="R45" s="1394" t="s">
        <v>32</v>
      </c>
      <c r="S45" s="1394" t="s">
        <v>32</v>
      </c>
      <c r="T45" s="1394" t="s">
        <v>32</v>
      </c>
      <c r="U45" s="1394" t="s">
        <v>32</v>
      </c>
      <c r="V45" s="1394" t="s">
        <v>32</v>
      </c>
      <c r="W45" s="1394" t="s">
        <v>32</v>
      </c>
      <c r="X45" s="1394" t="s">
        <v>32</v>
      </c>
      <c r="Y45" s="1394" t="s">
        <v>32</v>
      </c>
      <c r="Z45" s="1394" t="s">
        <v>32</v>
      </c>
      <c r="AA45" s="1394" t="s">
        <v>32</v>
      </c>
      <c r="AB45" s="1394" t="s">
        <v>32</v>
      </c>
      <c r="AC45" s="1394" t="s">
        <v>32</v>
      </c>
      <c r="AD45" s="1394" t="s">
        <v>32</v>
      </c>
      <c r="AE45" s="1394" t="s">
        <v>32</v>
      </c>
      <c r="AF45" s="1394" t="s">
        <v>32</v>
      </c>
      <c r="AG45" s="1394" t="s">
        <v>32</v>
      </c>
      <c r="AH45" s="1394" t="s">
        <v>32</v>
      </c>
      <c r="AI45" s="1394" t="s">
        <v>32</v>
      </c>
      <c r="AJ45" s="1394" t="s">
        <v>32</v>
      </c>
      <c r="AK45" s="1394" t="s">
        <v>32</v>
      </c>
      <c r="AL45" s="1394" t="s">
        <v>32</v>
      </c>
    </row>
    <row r="46" spans="1:38" s="1394" customFormat="1">
      <c r="A46" s="1394" t="s">
        <v>20</v>
      </c>
      <c r="B46" s="269" t="s">
        <v>1060</v>
      </c>
      <c r="C46" s="1394">
        <v>6890</v>
      </c>
      <c r="D46" s="1394">
        <v>10150</v>
      </c>
      <c r="E46" s="1394">
        <v>15261</v>
      </c>
      <c r="F46" s="1394">
        <v>13450</v>
      </c>
      <c r="G46" s="1394">
        <v>12589</v>
      </c>
      <c r="H46" s="1394">
        <v>13094</v>
      </c>
      <c r="I46" s="1394">
        <v>17105</v>
      </c>
      <c r="J46" s="1394">
        <v>12142</v>
      </c>
      <c r="K46" s="1394">
        <v>8603</v>
      </c>
      <c r="L46" s="1394">
        <v>3848</v>
      </c>
      <c r="M46" s="1394">
        <v>7503</v>
      </c>
      <c r="N46" s="1394">
        <v>13489</v>
      </c>
      <c r="O46" s="1394">
        <v>25077</v>
      </c>
      <c r="P46" s="1394">
        <v>33736</v>
      </c>
      <c r="Q46" s="1394">
        <v>36494</v>
      </c>
      <c r="R46" s="1394">
        <v>47505</v>
      </c>
      <c r="S46" s="1394">
        <v>42842</v>
      </c>
      <c r="T46" s="1394">
        <v>57927</v>
      </c>
      <c r="U46" s="1394">
        <v>62247</v>
      </c>
      <c r="V46" s="1394">
        <v>19528</v>
      </c>
      <c r="W46" s="1394">
        <v>49578</v>
      </c>
      <c r="X46" s="1394">
        <v>83757</v>
      </c>
      <c r="Y46" s="1394">
        <v>110270</v>
      </c>
      <c r="Z46" s="1394">
        <v>131946</v>
      </c>
      <c r="AA46" s="1394">
        <v>163365</v>
      </c>
      <c r="AB46" s="1394">
        <v>142809</v>
      </c>
      <c r="AC46" s="1394">
        <v>147430</v>
      </c>
      <c r="AD46" s="1394">
        <v>119904</v>
      </c>
      <c r="AE46" s="1394">
        <v>164451</v>
      </c>
      <c r="AF46" s="1394">
        <v>184949</v>
      </c>
      <c r="AG46" s="1394">
        <v>179319</v>
      </c>
      <c r="AH46" s="1394">
        <v>192931</v>
      </c>
      <c r="AI46" s="1394">
        <v>198107</v>
      </c>
      <c r="AJ46" s="1394">
        <v>170380</v>
      </c>
      <c r="AK46" s="1394">
        <v>185211</v>
      </c>
      <c r="AL46" s="1394">
        <v>201969</v>
      </c>
    </row>
    <row r="47" spans="1:38" s="1394" customFormat="1">
      <c r="A47" s="1394" t="s">
        <v>19</v>
      </c>
      <c r="B47" s="1394" t="s">
        <v>1055</v>
      </c>
      <c r="C47" s="1394">
        <v>-49</v>
      </c>
      <c r="D47" s="1394">
        <v>1858</v>
      </c>
      <c r="E47" s="1394">
        <v>5513</v>
      </c>
      <c r="F47" s="1394">
        <v>3917</v>
      </c>
      <c r="G47" s="1394">
        <v>3736</v>
      </c>
      <c r="H47" s="1394">
        <v>4251</v>
      </c>
      <c r="I47" s="1394">
        <v>7239</v>
      </c>
      <c r="J47" s="1394">
        <v>-169</v>
      </c>
      <c r="K47" s="1394">
        <v>-4717</v>
      </c>
      <c r="L47" s="1394">
        <v>-10711</v>
      </c>
      <c r="M47" s="1394">
        <v>-4574</v>
      </c>
      <c r="N47" s="1394">
        <v>1812</v>
      </c>
      <c r="O47" s="1394">
        <v>15155</v>
      </c>
      <c r="P47" s="1394">
        <v>22182</v>
      </c>
      <c r="Q47" s="1394">
        <v>23992</v>
      </c>
      <c r="R47" s="1394">
        <v>33770</v>
      </c>
      <c r="S47" s="1394">
        <v>28055</v>
      </c>
      <c r="T47" s="1394">
        <v>37695</v>
      </c>
      <c r="U47" s="1394">
        <v>36071</v>
      </c>
      <c r="V47" s="1394">
        <v>-7415</v>
      </c>
      <c r="W47" s="1394">
        <v>24363</v>
      </c>
      <c r="X47" s="1394">
        <v>63304</v>
      </c>
      <c r="Y47" s="1394">
        <v>91580</v>
      </c>
      <c r="Z47" s="1394">
        <v>110146</v>
      </c>
      <c r="AA47" s="1394">
        <v>136522</v>
      </c>
      <c r="AB47" s="1394">
        <v>108339</v>
      </c>
      <c r="AC47" s="1394">
        <v>113211</v>
      </c>
      <c r="AD47" s="1394">
        <v>88218</v>
      </c>
      <c r="AE47" s="1394">
        <v>133917</v>
      </c>
      <c r="AF47" s="1394">
        <v>153825</v>
      </c>
      <c r="AG47" s="1394">
        <v>146521</v>
      </c>
      <c r="AH47" s="1394">
        <v>157632</v>
      </c>
      <c r="AI47" s="1394">
        <v>162437</v>
      </c>
      <c r="AJ47" s="1394">
        <v>131237</v>
      </c>
      <c r="AK47" s="1394">
        <v>138108</v>
      </c>
      <c r="AL47" s="1394">
        <v>149941</v>
      </c>
    </row>
    <row r="48" spans="1:38" s="1394" customFormat="1">
      <c r="A48" s="1394" t="s">
        <v>18</v>
      </c>
      <c r="B48" s="1394" t="s">
        <v>1054</v>
      </c>
      <c r="C48" s="1394">
        <v>3486</v>
      </c>
      <c r="D48" s="1394">
        <v>3345</v>
      </c>
      <c r="E48" s="1394">
        <v>3507</v>
      </c>
      <c r="F48" s="1394">
        <v>4574</v>
      </c>
      <c r="G48" s="1394">
        <v>4699</v>
      </c>
      <c r="H48" s="1394">
        <v>4784</v>
      </c>
      <c r="I48" s="1394">
        <v>6114</v>
      </c>
      <c r="J48" s="1394">
        <v>7958</v>
      </c>
      <c r="K48" s="1394">
        <v>9367</v>
      </c>
      <c r="L48" s="1394">
        <v>7601</v>
      </c>
      <c r="M48" s="1394">
        <v>7037</v>
      </c>
      <c r="N48" s="1394">
        <v>8875</v>
      </c>
      <c r="O48" s="1394">
        <v>10272</v>
      </c>
      <c r="P48" s="1394">
        <v>13757</v>
      </c>
      <c r="Q48" s="1394">
        <v>15487</v>
      </c>
      <c r="R48" s="1394">
        <v>18801</v>
      </c>
      <c r="S48" s="1394">
        <v>25214</v>
      </c>
      <c r="T48" s="1394">
        <v>33906</v>
      </c>
      <c r="U48" s="1394">
        <v>37274</v>
      </c>
      <c r="V48" s="1394">
        <v>25410</v>
      </c>
      <c r="W48" s="1394">
        <v>21191</v>
      </c>
      <c r="X48" s="1394">
        <v>43255</v>
      </c>
      <c r="Y48" s="1394">
        <v>36287</v>
      </c>
      <c r="Z48" s="1394">
        <v>64395</v>
      </c>
      <c r="AA48" s="1394">
        <v>63230</v>
      </c>
      <c r="AB48" s="1394">
        <v>53626</v>
      </c>
      <c r="AC48" s="1394">
        <v>65716</v>
      </c>
      <c r="AD48" s="1394">
        <v>59272</v>
      </c>
      <c r="AE48" s="1394">
        <v>66549</v>
      </c>
      <c r="AF48" s="1394">
        <v>69149</v>
      </c>
      <c r="AG48" s="1394">
        <v>54878</v>
      </c>
      <c r="AH48" s="1394">
        <v>69966</v>
      </c>
      <c r="AI48" s="1394">
        <v>67595</v>
      </c>
      <c r="AJ48" s="1394">
        <v>50490</v>
      </c>
      <c r="AK48" s="1394">
        <v>40436</v>
      </c>
      <c r="AL48" s="1394">
        <v>41466</v>
      </c>
    </row>
    <row r="49" spans="1:38" s="1394" customFormat="1">
      <c r="A49" s="1394" t="s">
        <v>17</v>
      </c>
      <c r="B49" s="1394" t="s">
        <v>235</v>
      </c>
      <c r="C49" s="1394">
        <v>-3536</v>
      </c>
      <c r="D49" s="1394">
        <v>-1486</v>
      </c>
      <c r="E49" s="1394">
        <v>2006</v>
      </c>
      <c r="F49" s="1394">
        <v>-658</v>
      </c>
      <c r="G49" s="1394">
        <v>-964</v>
      </c>
      <c r="H49" s="1394">
        <v>-533</v>
      </c>
      <c r="I49" s="1394">
        <v>1128</v>
      </c>
      <c r="J49" s="1394">
        <v>-8127</v>
      </c>
      <c r="K49" s="1394">
        <v>-14083</v>
      </c>
      <c r="L49" s="1394">
        <v>-18312</v>
      </c>
      <c r="M49" s="1394">
        <v>-11611</v>
      </c>
      <c r="N49" s="1394">
        <v>-7061</v>
      </c>
      <c r="O49" s="1394">
        <v>4883</v>
      </c>
      <c r="P49" s="1394">
        <v>8425</v>
      </c>
      <c r="Q49" s="1394">
        <v>8506</v>
      </c>
      <c r="R49" s="1394">
        <v>14968</v>
      </c>
      <c r="S49" s="1394">
        <v>2842</v>
      </c>
      <c r="T49" s="1394">
        <v>3789</v>
      </c>
      <c r="U49" s="1394">
        <v>-1203</v>
      </c>
      <c r="V49" s="1394">
        <v>-32825</v>
      </c>
      <c r="W49" s="1394">
        <v>3173</v>
      </c>
      <c r="X49" s="1394">
        <v>20048</v>
      </c>
      <c r="Y49" s="1394">
        <v>55293</v>
      </c>
      <c r="Z49" s="1394">
        <v>45752</v>
      </c>
      <c r="AA49" s="1394">
        <v>73292</v>
      </c>
      <c r="AB49" s="1394">
        <v>54714</v>
      </c>
      <c r="AC49" s="1394">
        <v>47494</v>
      </c>
      <c r="AD49" s="1394">
        <v>28946</v>
      </c>
      <c r="AE49" s="1394">
        <v>67367</v>
      </c>
      <c r="AF49" s="1394">
        <v>84676</v>
      </c>
      <c r="AG49" s="1394">
        <v>91643</v>
      </c>
      <c r="AH49" s="1394">
        <v>87667</v>
      </c>
      <c r="AI49" s="1394">
        <v>94842</v>
      </c>
      <c r="AJ49" s="1394">
        <v>80747</v>
      </c>
      <c r="AK49" s="1394">
        <v>97672</v>
      </c>
      <c r="AL49" s="1394">
        <v>108475</v>
      </c>
    </row>
    <row r="50" spans="1:38" s="1394" customFormat="1">
      <c r="A50" s="1394" t="s">
        <v>16</v>
      </c>
      <c r="B50" s="1394" t="s">
        <v>252</v>
      </c>
      <c r="C50" s="1394">
        <v>6939</v>
      </c>
      <c r="D50" s="1394">
        <v>8292</v>
      </c>
      <c r="E50" s="1394">
        <v>9748</v>
      </c>
      <c r="F50" s="1394">
        <v>9533</v>
      </c>
      <c r="G50" s="1394">
        <v>8853</v>
      </c>
      <c r="H50" s="1394">
        <v>8843</v>
      </c>
      <c r="I50" s="1394">
        <v>9866</v>
      </c>
      <c r="J50" s="1394">
        <v>12311</v>
      </c>
      <c r="K50" s="1394">
        <v>13320</v>
      </c>
      <c r="L50" s="1394">
        <v>14559</v>
      </c>
      <c r="M50" s="1394">
        <v>12077</v>
      </c>
      <c r="N50" s="1394">
        <v>11677</v>
      </c>
      <c r="O50" s="1394">
        <v>9922</v>
      </c>
      <c r="P50" s="1394">
        <v>11554</v>
      </c>
      <c r="Q50" s="1394">
        <v>12502</v>
      </c>
      <c r="R50" s="1394">
        <v>13735</v>
      </c>
      <c r="S50" s="1394">
        <v>14787</v>
      </c>
      <c r="T50" s="1394">
        <v>20232</v>
      </c>
      <c r="U50" s="1394">
        <v>26176</v>
      </c>
      <c r="V50" s="1394">
        <v>26943</v>
      </c>
      <c r="W50" s="1394">
        <v>25215</v>
      </c>
      <c r="X50" s="1394">
        <v>20453</v>
      </c>
      <c r="Y50" s="1394">
        <v>18690</v>
      </c>
      <c r="Z50" s="1394">
        <v>21800</v>
      </c>
      <c r="AA50" s="1394">
        <v>26843</v>
      </c>
      <c r="AB50" s="1394">
        <v>34470</v>
      </c>
      <c r="AC50" s="1394">
        <v>34219</v>
      </c>
      <c r="AD50" s="1394">
        <v>31686</v>
      </c>
      <c r="AE50" s="1394">
        <v>30534</v>
      </c>
      <c r="AF50" s="1394">
        <v>31124</v>
      </c>
      <c r="AG50" s="1394">
        <v>32798</v>
      </c>
      <c r="AH50" s="1394">
        <v>35299</v>
      </c>
      <c r="AI50" s="1394">
        <v>35670</v>
      </c>
      <c r="AJ50" s="1394">
        <v>39143</v>
      </c>
      <c r="AK50" s="1394">
        <v>47103</v>
      </c>
      <c r="AL50" s="1394">
        <v>52028</v>
      </c>
    </row>
    <row r="51" spans="1:38" s="1394" customFormat="1">
      <c r="A51" s="1394" t="s">
        <v>15</v>
      </c>
      <c r="B51" s="1394" t="s">
        <v>234</v>
      </c>
      <c r="C51" s="1394">
        <v>2801</v>
      </c>
      <c r="D51" s="1394">
        <v>2820</v>
      </c>
      <c r="E51" s="1394">
        <v>3565</v>
      </c>
      <c r="F51" s="1394">
        <v>3753</v>
      </c>
      <c r="G51" s="1394">
        <v>4007</v>
      </c>
      <c r="H51" s="1394">
        <v>4674</v>
      </c>
      <c r="I51" s="1394">
        <v>6229</v>
      </c>
      <c r="J51" s="1394">
        <v>9117</v>
      </c>
      <c r="K51" s="1394">
        <v>10141</v>
      </c>
      <c r="L51" s="1394">
        <v>11073</v>
      </c>
      <c r="M51" s="1394">
        <v>9332</v>
      </c>
      <c r="N51" s="1394">
        <v>9102</v>
      </c>
      <c r="O51" s="1394">
        <v>8360</v>
      </c>
      <c r="P51" s="1394">
        <v>9671</v>
      </c>
      <c r="Q51" s="1394">
        <v>10548</v>
      </c>
      <c r="R51" s="1394">
        <v>10984</v>
      </c>
      <c r="S51" s="1394">
        <v>12188</v>
      </c>
      <c r="T51" s="1394">
        <v>16997</v>
      </c>
      <c r="U51" s="1394">
        <v>22491</v>
      </c>
      <c r="V51" s="1394">
        <v>23271</v>
      </c>
      <c r="W51" s="1394">
        <v>22123</v>
      </c>
      <c r="X51" s="1394">
        <v>17728</v>
      </c>
      <c r="Y51" s="1394">
        <v>16187</v>
      </c>
      <c r="Z51" s="1394">
        <v>18650</v>
      </c>
      <c r="AA51" s="1394">
        <v>23029</v>
      </c>
      <c r="AB51" s="1394">
        <v>30566</v>
      </c>
      <c r="AC51" s="1394">
        <v>30190</v>
      </c>
      <c r="AD51" s="1394">
        <v>28349</v>
      </c>
      <c r="AE51" s="1394">
        <v>27928</v>
      </c>
      <c r="AF51" s="1394">
        <v>28806</v>
      </c>
      <c r="AG51" s="1394">
        <v>29872</v>
      </c>
      <c r="AH51" s="1394">
        <v>30065</v>
      </c>
      <c r="AI51" s="1394">
        <v>30003</v>
      </c>
      <c r="AJ51" s="1394">
        <v>32843</v>
      </c>
      <c r="AK51" s="1394">
        <v>39720</v>
      </c>
      <c r="AL51" s="1394">
        <v>43447</v>
      </c>
    </row>
    <row r="52" spans="1:38" s="1394" customFormat="1">
      <c r="A52" s="1394" t="s">
        <v>14</v>
      </c>
      <c r="B52" s="1394" t="s">
        <v>237</v>
      </c>
      <c r="C52" s="1394">
        <v>4138</v>
      </c>
      <c r="D52" s="1394">
        <v>5472</v>
      </c>
      <c r="E52" s="1394">
        <v>6183</v>
      </c>
      <c r="F52" s="1394">
        <v>5780</v>
      </c>
      <c r="G52" s="1394">
        <v>4846</v>
      </c>
      <c r="H52" s="1394">
        <v>4169</v>
      </c>
      <c r="I52" s="1394">
        <v>3637</v>
      </c>
      <c r="J52" s="1394">
        <v>3194</v>
      </c>
      <c r="K52" s="1394">
        <v>3179</v>
      </c>
      <c r="L52" s="1394">
        <v>3486</v>
      </c>
      <c r="M52" s="1394">
        <v>2745</v>
      </c>
      <c r="N52" s="1394">
        <v>2575</v>
      </c>
      <c r="O52" s="1394">
        <v>1562</v>
      </c>
      <c r="P52" s="1394">
        <v>1883</v>
      </c>
      <c r="Q52" s="1394">
        <v>1954</v>
      </c>
      <c r="R52" s="1394">
        <v>2751</v>
      </c>
      <c r="S52" s="1394">
        <v>2599</v>
      </c>
      <c r="T52" s="1394">
        <v>3235</v>
      </c>
      <c r="U52" s="1394">
        <v>3685</v>
      </c>
      <c r="V52" s="1394">
        <v>3672</v>
      </c>
      <c r="W52" s="1394">
        <v>3093</v>
      </c>
      <c r="X52" s="1394">
        <v>2725</v>
      </c>
      <c r="Y52" s="1394">
        <v>2503</v>
      </c>
      <c r="Z52" s="1394">
        <v>3150</v>
      </c>
      <c r="AA52" s="1394">
        <v>3814</v>
      </c>
      <c r="AB52" s="1394">
        <v>3904</v>
      </c>
      <c r="AC52" s="1394">
        <v>4029</v>
      </c>
      <c r="AD52" s="1394">
        <v>3337</v>
      </c>
      <c r="AE52" s="1394">
        <v>2606</v>
      </c>
      <c r="AF52" s="1394">
        <v>2318</v>
      </c>
      <c r="AG52" s="1394">
        <v>2925</v>
      </c>
      <c r="AH52" s="1394">
        <v>5235</v>
      </c>
      <c r="AI52" s="1394">
        <v>5667</v>
      </c>
      <c r="AJ52" s="1394">
        <v>6300</v>
      </c>
      <c r="AK52" s="1394">
        <v>7382</v>
      </c>
      <c r="AL52" s="1394">
        <v>8582</v>
      </c>
    </row>
    <row r="53" spans="1:38" s="1394" customFormat="1">
      <c r="A53" s="1394" t="s">
        <v>13</v>
      </c>
      <c r="B53" s="269" t="s">
        <v>1059</v>
      </c>
      <c r="C53" s="1394">
        <v>4774</v>
      </c>
      <c r="D53" s="1394">
        <v>6031</v>
      </c>
      <c r="E53" s="1394">
        <v>6818</v>
      </c>
      <c r="F53" s="1394">
        <v>6504</v>
      </c>
      <c r="G53" s="1394">
        <v>5734</v>
      </c>
      <c r="H53" s="1394">
        <v>5419</v>
      </c>
      <c r="I53" s="1394">
        <v>4954</v>
      </c>
      <c r="J53" s="1394">
        <v>5097</v>
      </c>
      <c r="K53" s="1394">
        <v>5152</v>
      </c>
      <c r="L53" s="1394">
        <v>6113</v>
      </c>
      <c r="M53" s="1394">
        <v>5314</v>
      </c>
      <c r="N53" s="1394">
        <v>5547</v>
      </c>
      <c r="O53" s="1394">
        <v>2927</v>
      </c>
      <c r="P53" s="1394">
        <v>3418</v>
      </c>
      <c r="Q53" s="1394">
        <v>3402</v>
      </c>
      <c r="R53" s="1394">
        <v>4553</v>
      </c>
      <c r="S53" s="1394">
        <v>4424</v>
      </c>
      <c r="T53" s="1394">
        <v>4805</v>
      </c>
      <c r="U53" s="1394">
        <v>6227</v>
      </c>
      <c r="V53" s="1394">
        <v>5688</v>
      </c>
      <c r="W53" s="1394">
        <v>4739</v>
      </c>
      <c r="X53" s="1394">
        <v>4243</v>
      </c>
      <c r="Y53" s="1394">
        <v>4716</v>
      </c>
      <c r="Z53" s="1394">
        <v>6526</v>
      </c>
      <c r="AA53" s="1394">
        <v>8419</v>
      </c>
      <c r="AB53" s="1394">
        <v>10087</v>
      </c>
      <c r="AC53" s="1394">
        <v>9626</v>
      </c>
      <c r="AD53" s="1394">
        <v>7781</v>
      </c>
      <c r="AE53" s="1394">
        <v>6867</v>
      </c>
      <c r="AF53" s="1394">
        <v>6687</v>
      </c>
      <c r="AG53" s="1394">
        <v>6557</v>
      </c>
      <c r="AH53" s="1394">
        <v>8816</v>
      </c>
      <c r="AI53" s="1394">
        <v>10221</v>
      </c>
      <c r="AJ53" s="1394">
        <v>11126</v>
      </c>
      <c r="AK53" s="1394">
        <v>14257</v>
      </c>
      <c r="AL53" s="1394">
        <v>18413</v>
      </c>
    </row>
    <row r="54" spans="1:38" s="1394" customFormat="1">
      <c r="A54" s="1394" t="s">
        <v>11</v>
      </c>
      <c r="B54" s="1394" t="s">
        <v>1058</v>
      </c>
      <c r="C54" s="1394">
        <v>4138</v>
      </c>
      <c r="D54" s="1394">
        <v>5472</v>
      </c>
      <c r="E54" s="1394">
        <v>6183</v>
      </c>
      <c r="F54" s="1394">
        <v>5780</v>
      </c>
      <c r="G54" s="1394">
        <v>4846</v>
      </c>
      <c r="H54" s="1394">
        <v>4169</v>
      </c>
      <c r="I54" s="1394">
        <v>3637</v>
      </c>
      <c r="J54" s="1394">
        <v>3194</v>
      </c>
      <c r="K54" s="1394">
        <v>3179</v>
      </c>
      <c r="L54" s="1394">
        <v>3486</v>
      </c>
      <c r="M54" s="1394">
        <v>2745</v>
      </c>
      <c r="N54" s="1394">
        <v>2575</v>
      </c>
      <c r="O54" s="1394">
        <v>1562</v>
      </c>
      <c r="P54" s="1394">
        <v>1883</v>
      </c>
      <c r="Q54" s="1394">
        <v>1954</v>
      </c>
      <c r="R54" s="1394">
        <v>2751</v>
      </c>
      <c r="S54" s="1394">
        <v>2599</v>
      </c>
      <c r="T54" s="1394">
        <v>3235</v>
      </c>
      <c r="U54" s="1394">
        <v>3685</v>
      </c>
      <c r="V54" s="1394">
        <v>3672</v>
      </c>
      <c r="W54" s="1394">
        <v>3093</v>
      </c>
      <c r="X54" s="1394">
        <v>2725</v>
      </c>
      <c r="Y54" s="1394">
        <v>2503</v>
      </c>
      <c r="Z54" s="1394">
        <v>3150</v>
      </c>
      <c r="AA54" s="1394">
        <v>3814</v>
      </c>
      <c r="AB54" s="1394">
        <v>3904</v>
      </c>
      <c r="AC54" s="1394">
        <v>4029</v>
      </c>
      <c r="AD54" s="1394">
        <v>3337</v>
      </c>
      <c r="AE54" s="1394">
        <v>2606</v>
      </c>
      <c r="AF54" s="1394">
        <v>2318</v>
      </c>
      <c r="AG54" s="1394">
        <v>2925</v>
      </c>
      <c r="AH54" s="1394">
        <v>5235</v>
      </c>
      <c r="AI54" s="1394">
        <v>5667</v>
      </c>
      <c r="AJ54" s="1394">
        <v>6300</v>
      </c>
      <c r="AK54" s="1394">
        <v>7382</v>
      </c>
      <c r="AL54" s="1394">
        <v>8582</v>
      </c>
    </row>
    <row r="55" spans="1:38" s="1394" customFormat="1">
      <c r="A55" s="1394" t="s">
        <v>10</v>
      </c>
      <c r="B55" s="1394" t="s">
        <v>1057</v>
      </c>
      <c r="C55" s="1394">
        <v>636</v>
      </c>
      <c r="D55" s="1394">
        <v>559</v>
      </c>
      <c r="E55" s="1394">
        <v>635</v>
      </c>
      <c r="F55" s="1394">
        <v>724</v>
      </c>
      <c r="G55" s="1394">
        <v>888</v>
      </c>
      <c r="H55" s="1394">
        <v>1250</v>
      </c>
      <c r="I55" s="1394">
        <v>1317</v>
      </c>
      <c r="J55" s="1394">
        <v>1903</v>
      </c>
      <c r="K55" s="1394">
        <v>1973</v>
      </c>
      <c r="L55" s="1394">
        <v>2627</v>
      </c>
      <c r="M55" s="1394">
        <v>2569</v>
      </c>
      <c r="N55" s="1394">
        <v>2972</v>
      </c>
      <c r="O55" s="1394">
        <v>1365</v>
      </c>
      <c r="P55" s="1394">
        <v>1535</v>
      </c>
      <c r="Q55" s="1394">
        <v>1448</v>
      </c>
      <c r="R55" s="1394">
        <v>1802</v>
      </c>
      <c r="S55" s="1394">
        <v>1825</v>
      </c>
      <c r="T55" s="1394">
        <v>1569</v>
      </c>
      <c r="U55" s="1394">
        <v>2543</v>
      </c>
      <c r="V55" s="1394">
        <v>2016</v>
      </c>
      <c r="W55" s="1394">
        <v>1646</v>
      </c>
      <c r="X55" s="1394">
        <v>1518</v>
      </c>
      <c r="Y55" s="1394">
        <v>2213</v>
      </c>
      <c r="Z55" s="1394">
        <v>3376</v>
      </c>
      <c r="AA55" s="1394">
        <v>4605</v>
      </c>
      <c r="AB55" s="1394">
        <v>6183</v>
      </c>
      <c r="AC55" s="1394">
        <v>5597</v>
      </c>
      <c r="AD55" s="1394">
        <v>4445</v>
      </c>
      <c r="AE55" s="1394">
        <v>4261</v>
      </c>
      <c r="AF55" s="1394">
        <v>4369</v>
      </c>
      <c r="AG55" s="1394">
        <v>3632</v>
      </c>
      <c r="AH55" s="1394">
        <v>3582</v>
      </c>
      <c r="AI55" s="1394">
        <v>4554</v>
      </c>
      <c r="AJ55" s="1394">
        <v>4826</v>
      </c>
      <c r="AK55" s="1394">
        <v>6874</v>
      </c>
      <c r="AL55" s="1394">
        <v>9831</v>
      </c>
    </row>
    <row r="56" spans="1:38" s="1394" customFormat="1">
      <c r="A56" s="1394" t="s">
        <v>9</v>
      </c>
      <c r="B56" s="269" t="s">
        <v>1056</v>
      </c>
      <c r="C56" s="1394">
        <v>2116</v>
      </c>
      <c r="D56" s="1394">
        <v>4119</v>
      </c>
      <c r="E56" s="1394">
        <v>8443</v>
      </c>
      <c r="F56" s="1394">
        <v>6946</v>
      </c>
      <c r="G56" s="1394">
        <v>6855</v>
      </c>
      <c r="H56" s="1394">
        <v>7675</v>
      </c>
      <c r="I56" s="1394">
        <v>12151</v>
      </c>
      <c r="J56" s="1394">
        <v>7045</v>
      </c>
      <c r="K56" s="1394">
        <v>3451</v>
      </c>
      <c r="L56" s="1394">
        <v>-2265</v>
      </c>
      <c r="M56" s="1394">
        <v>2189</v>
      </c>
      <c r="N56" s="1394">
        <v>7942</v>
      </c>
      <c r="O56" s="1394">
        <v>22150</v>
      </c>
      <c r="P56" s="1394">
        <v>30318</v>
      </c>
      <c r="Q56" s="1394">
        <v>33092</v>
      </c>
      <c r="R56" s="1394">
        <v>42952</v>
      </c>
      <c r="S56" s="1394">
        <v>38418</v>
      </c>
      <c r="T56" s="1394">
        <v>53123</v>
      </c>
      <c r="U56" s="1394">
        <v>56019</v>
      </c>
      <c r="V56" s="1394">
        <v>13840</v>
      </c>
      <c r="W56" s="1394">
        <v>44839</v>
      </c>
      <c r="X56" s="1394">
        <v>79514</v>
      </c>
      <c r="Y56" s="1394">
        <v>105554</v>
      </c>
      <c r="Z56" s="1394">
        <v>125420</v>
      </c>
      <c r="AA56" s="1394">
        <v>154946</v>
      </c>
      <c r="AB56" s="1394">
        <v>132723</v>
      </c>
      <c r="AC56" s="1394">
        <v>137804</v>
      </c>
      <c r="AD56" s="1394">
        <v>112123</v>
      </c>
      <c r="AE56" s="1394">
        <v>157584</v>
      </c>
      <c r="AF56" s="1394">
        <v>178262</v>
      </c>
      <c r="AG56" s="1394">
        <v>172762</v>
      </c>
      <c r="AH56" s="1394">
        <v>184115</v>
      </c>
      <c r="AI56" s="1394">
        <v>187886</v>
      </c>
      <c r="AJ56" s="1394">
        <v>159254</v>
      </c>
      <c r="AK56" s="1394">
        <v>170954</v>
      </c>
      <c r="AL56" s="1394">
        <v>183557</v>
      </c>
    </row>
    <row r="57" spans="1:38" s="1394" customFormat="1">
      <c r="A57" s="1394" t="s">
        <v>8</v>
      </c>
      <c r="B57" s="1394" t="s">
        <v>1055</v>
      </c>
      <c r="C57" s="1394">
        <v>-49</v>
      </c>
      <c r="D57" s="1394">
        <v>1858</v>
      </c>
      <c r="E57" s="1394">
        <v>5513</v>
      </c>
      <c r="F57" s="1394">
        <v>3917</v>
      </c>
      <c r="G57" s="1394">
        <v>3736</v>
      </c>
      <c r="H57" s="1394">
        <v>4251</v>
      </c>
      <c r="I57" s="1394">
        <v>7239</v>
      </c>
      <c r="J57" s="1394">
        <v>-169</v>
      </c>
      <c r="K57" s="1394">
        <v>-4717</v>
      </c>
      <c r="L57" s="1394">
        <v>-10711</v>
      </c>
      <c r="M57" s="1394">
        <v>-4574</v>
      </c>
      <c r="N57" s="1394">
        <v>1812</v>
      </c>
      <c r="O57" s="1394">
        <v>15155</v>
      </c>
      <c r="P57" s="1394">
        <v>22182</v>
      </c>
      <c r="Q57" s="1394">
        <v>23992</v>
      </c>
      <c r="R57" s="1394">
        <v>33770</v>
      </c>
      <c r="S57" s="1394">
        <v>28055</v>
      </c>
      <c r="T57" s="1394">
        <v>37695</v>
      </c>
      <c r="U57" s="1394">
        <v>36071</v>
      </c>
      <c r="V57" s="1394">
        <v>-7415</v>
      </c>
      <c r="W57" s="1394">
        <v>24363</v>
      </c>
      <c r="X57" s="1394">
        <v>63304</v>
      </c>
      <c r="Y57" s="1394">
        <v>91580</v>
      </c>
      <c r="Z57" s="1394">
        <v>110146</v>
      </c>
      <c r="AA57" s="1394">
        <v>136522</v>
      </c>
      <c r="AB57" s="1394">
        <v>108339</v>
      </c>
      <c r="AC57" s="1394">
        <v>113211</v>
      </c>
      <c r="AD57" s="1394">
        <v>88218</v>
      </c>
      <c r="AE57" s="1394">
        <v>133917</v>
      </c>
      <c r="AF57" s="1394">
        <v>153825</v>
      </c>
      <c r="AG57" s="1394">
        <v>146521</v>
      </c>
      <c r="AH57" s="1394">
        <v>157632</v>
      </c>
      <c r="AI57" s="1394">
        <v>162437</v>
      </c>
      <c r="AJ57" s="1394">
        <v>131237</v>
      </c>
      <c r="AK57" s="1394">
        <v>138108</v>
      </c>
      <c r="AL57" s="1394">
        <v>149941</v>
      </c>
    </row>
    <row r="58" spans="1:38" s="1394" customFormat="1">
      <c r="A58" s="1394" t="s">
        <v>232</v>
      </c>
      <c r="B58" s="1394" t="s">
        <v>1054</v>
      </c>
      <c r="C58" s="1394">
        <v>3486</v>
      </c>
      <c r="D58" s="1394">
        <v>3345</v>
      </c>
      <c r="E58" s="1394">
        <v>3507</v>
      </c>
      <c r="F58" s="1394">
        <v>4574</v>
      </c>
      <c r="G58" s="1394">
        <v>4699</v>
      </c>
      <c r="H58" s="1394">
        <v>4784</v>
      </c>
      <c r="I58" s="1394">
        <v>6114</v>
      </c>
      <c r="J58" s="1394">
        <v>7958</v>
      </c>
      <c r="K58" s="1394">
        <v>9367</v>
      </c>
      <c r="L58" s="1394">
        <v>7601</v>
      </c>
      <c r="M58" s="1394">
        <v>7037</v>
      </c>
      <c r="N58" s="1394">
        <v>8875</v>
      </c>
      <c r="O58" s="1394">
        <v>10272</v>
      </c>
      <c r="P58" s="1394">
        <v>13757</v>
      </c>
      <c r="Q58" s="1394">
        <v>15487</v>
      </c>
      <c r="R58" s="1394">
        <v>18801</v>
      </c>
      <c r="S58" s="1394">
        <v>25214</v>
      </c>
      <c r="T58" s="1394">
        <v>33906</v>
      </c>
      <c r="U58" s="1394">
        <v>37274</v>
      </c>
      <c r="V58" s="1394">
        <v>25410</v>
      </c>
      <c r="W58" s="1394">
        <v>21191</v>
      </c>
      <c r="X58" s="1394">
        <v>43255</v>
      </c>
      <c r="Y58" s="1394">
        <v>36287</v>
      </c>
      <c r="Z58" s="1394">
        <v>64395</v>
      </c>
      <c r="AA58" s="1394">
        <v>63230</v>
      </c>
      <c r="AB58" s="1394">
        <v>53626</v>
      </c>
      <c r="AC58" s="1394">
        <v>65716</v>
      </c>
      <c r="AD58" s="1394">
        <v>59272</v>
      </c>
      <c r="AE58" s="1394">
        <v>66549</v>
      </c>
      <c r="AF58" s="1394">
        <v>69149</v>
      </c>
      <c r="AG58" s="1394">
        <v>54878</v>
      </c>
      <c r="AH58" s="1394">
        <v>69966</v>
      </c>
      <c r="AI58" s="1394">
        <v>67595</v>
      </c>
      <c r="AJ58" s="1394">
        <v>50490</v>
      </c>
      <c r="AK58" s="1394">
        <v>40436</v>
      </c>
      <c r="AL58" s="1394">
        <v>41466</v>
      </c>
    </row>
    <row r="59" spans="1:38" s="1394" customFormat="1">
      <c r="A59" s="1394" t="s">
        <v>231</v>
      </c>
      <c r="B59" s="1394" t="s">
        <v>235</v>
      </c>
      <c r="C59" s="1394">
        <v>-3536</v>
      </c>
      <c r="D59" s="1394">
        <v>-1486</v>
      </c>
      <c r="E59" s="1394">
        <v>2006</v>
      </c>
      <c r="F59" s="1394">
        <v>-658</v>
      </c>
      <c r="G59" s="1394">
        <v>-964</v>
      </c>
      <c r="H59" s="1394">
        <v>-533</v>
      </c>
      <c r="I59" s="1394">
        <v>1128</v>
      </c>
      <c r="J59" s="1394">
        <v>-8127</v>
      </c>
      <c r="K59" s="1394">
        <v>-14083</v>
      </c>
      <c r="L59" s="1394">
        <v>-18312</v>
      </c>
      <c r="M59" s="1394">
        <v>-11611</v>
      </c>
      <c r="N59" s="1394">
        <v>-7061</v>
      </c>
      <c r="O59" s="1394">
        <v>4883</v>
      </c>
      <c r="P59" s="1394">
        <v>8425</v>
      </c>
      <c r="Q59" s="1394">
        <v>8506</v>
      </c>
      <c r="R59" s="1394">
        <v>14968</v>
      </c>
      <c r="S59" s="1394">
        <v>2842</v>
      </c>
      <c r="T59" s="1394">
        <v>3789</v>
      </c>
      <c r="U59" s="1394">
        <v>-1203</v>
      </c>
      <c r="V59" s="1394">
        <v>-32825</v>
      </c>
      <c r="W59" s="1394">
        <v>3173</v>
      </c>
      <c r="X59" s="1394">
        <v>20048</v>
      </c>
      <c r="Y59" s="1394">
        <v>55293</v>
      </c>
      <c r="Z59" s="1394">
        <v>45752</v>
      </c>
      <c r="AA59" s="1394">
        <v>73292</v>
      </c>
      <c r="AB59" s="1394">
        <v>54714</v>
      </c>
      <c r="AC59" s="1394">
        <v>47494</v>
      </c>
      <c r="AD59" s="1394">
        <v>28946</v>
      </c>
      <c r="AE59" s="1394">
        <v>67367</v>
      </c>
      <c r="AF59" s="1394">
        <v>84676</v>
      </c>
      <c r="AG59" s="1394">
        <v>91643</v>
      </c>
      <c r="AH59" s="1394">
        <v>87667</v>
      </c>
      <c r="AI59" s="1394">
        <v>94842</v>
      </c>
      <c r="AJ59" s="1394">
        <v>80747</v>
      </c>
      <c r="AK59" s="1394">
        <v>97672</v>
      </c>
      <c r="AL59" s="1394">
        <v>108475</v>
      </c>
    </row>
    <row r="60" spans="1:38" s="1394" customFormat="1">
      <c r="A60" s="1394" t="s">
        <v>230</v>
      </c>
      <c r="B60" s="1394" t="s">
        <v>254</v>
      </c>
      <c r="C60" s="1394">
        <v>-2361</v>
      </c>
      <c r="D60" s="1394">
        <v>-340</v>
      </c>
      <c r="E60" s="1394">
        <v>3105</v>
      </c>
      <c r="F60" s="1394">
        <v>90</v>
      </c>
      <c r="G60" s="1394">
        <v>-239</v>
      </c>
      <c r="H60" s="1394">
        <v>578</v>
      </c>
      <c r="I60" s="1394">
        <v>1964</v>
      </c>
      <c r="J60" s="1394">
        <v>-7391</v>
      </c>
      <c r="K60" s="1394">
        <v>-14155</v>
      </c>
      <c r="L60" s="1394">
        <v>-18683</v>
      </c>
      <c r="M60" s="1394">
        <v>-12212</v>
      </c>
      <c r="N60" s="1394">
        <v>-7760</v>
      </c>
      <c r="O60" s="1394">
        <v>3857</v>
      </c>
      <c r="P60" s="1394">
        <v>9421</v>
      </c>
      <c r="Q60" s="1394">
        <v>6459</v>
      </c>
      <c r="R60" s="1394">
        <v>12764</v>
      </c>
      <c r="S60" s="1394">
        <v>-1769</v>
      </c>
      <c r="T60" s="1394">
        <v>-1940</v>
      </c>
      <c r="U60" s="1394">
        <v>-7528</v>
      </c>
      <c r="V60" s="1394">
        <v>-41410</v>
      </c>
      <c r="W60" s="1394">
        <v>-8331</v>
      </c>
      <c r="X60" s="1394">
        <v>3683</v>
      </c>
      <c r="Y60" s="1394">
        <v>39389</v>
      </c>
      <c r="Z60" s="1394">
        <v>33869</v>
      </c>
      <c r="AA60" s="1394">
        <v>63101</v>
      </c>
      <c r="AB60" s="1394">
        <v>42951</v>
      </c>
      <c r="AC60" s="1394">
        <v>35411</v>
      </c>
      <c r="AD60" s="1394">
        <v>14814</v>
      </c>
      <c r="AE60" s="1394">
        <v>54871</v>
      </c>
      <c r="AF60" s="1394">
        <v>72383</v>
      </c>
      <c r="AG60" s="1394">
        <v>79210</v>
      </c>
      <c r="AH60" s="1394">
        <v>71787</v>
      </c>
      <c r="AI60" s="1394">
        <v>84250</v>
      </c>
      <c r="AJ60" s="1394">
        <v>69828</v>
      </c>
      <c r="AK60" s="1394">
        <v>86467</v>
      </c>
      <c r="AL60" s="1394">
        <v>97002</v>
      </c>
    </row>
    <row r="61" spans="1:38" s="1394" customFormat="1">
      <c r="A61" s="1394" t="s">
        <v>229</v>
      </c>
      <c r="B61" s="1394" t="s">
        <v>253</v>
      </c>
      <c r="C61" s="1394">
        <v>-1175</v>
      </c>
      <c r="D61" s="1394">
        <v>-1146</v>
      </c>
      <c r="E61" s="1394">
        <v>-1099</v>
      </c>
      <c r="F61" s="1394">
        <v>-748</v>
      </c>
      <c r="G61" s="1394">
        <v>-725</v>
      </c>
      <c r="H61" s="1394">
        <v>-1111</v>
      </c>
      <c r="I61" s="1394">
        <v>-836</v>
      </c>
      <c r="J61" s="1394">
        <v>-736</v>
      </c>
      <c r="K61" s="1394">
        <v>72</v>
      </c>
      <c r="L61" s="1394">
        <v>371</v>
      </c>
      <c r="M61" s="1394">
        <v>601</v>
      </c>
      <c r="N61" s="1394">
        <v>699</v>
      </c>
      <c r="O61" s="1394">
        <v>1026</v>
      </c>
      <c r="P61" s="1394">
        <v>-996</v>
      </c>
      <c r="Q61" s="1394">
        <v>2047</v>
      </c>
      <c r="R61" s="1394">
        <v>2204</v>
      </c>
      <c r="S61" s="1394">
        <v>4611</v>
      </c>
      <c r="T61" s="1394">
        <v>5729</v>
      </c>
      <c r="U61" s="1394">
        <v>6325</v>
      </c>
      <c r="V61" s="1394">
        <v>8585</v>
      </c>
      <c r="W61" s="1394">
        <v>11504</v>
      </c>
      <c r="X61" s="1394">
        <v>16365</v>
      </c>
      <c r="Y61" s="1394">
        <v>15904</v>
      </c>
      <c r="Z61" s="1394">
        <v>11882</v>
      </c>
      <c r="AA61" s="1394">
        <v>10191</v>
      </c>
      <c r="AB61" s="1394">
        <v>11762</v>
      </c>
      <c r="AC61" s="1394">
        <v>12083</v>
      </c>
      <c r="AD61" s="1394">
        <v>14133</v>
      </c>
      <c r="AE61" s="1394">
        <v>12496</v>
      </c>
      <c r="AF61" s="1394">
        <v>12293</v>
      </c>
      <c r="AG61" s="1394">
        <v>12434</v>
      </c>
      <c r="AH61" s="1394">
        <v>15880</v>
      </c>
      <c r="AI61" s="1394">
        <v>10592</v>
      </c>
      <c r="AJ61" s="1394">
        <v>10919</v>
      </c>
      <c r="AK61" s="1394">
        <v>11205</v>
      </c>
      <c r="AL61" s="1394">
        <v>11473</v>
      </c>
    </row>
    <row r="62" spans="1:38" s="1394" customFormat="1">
      <c r="A62" s="1394" t="s">
        <v>228</v>
      </c>
      <c r="B62" s="1394" t="s">
        <v>1053</v>
      </c>
      <c r="C62" s="1394">
        <v>2165</v>
      </c>
      <c r="D62" s="1394">
        <v>2261</v>
      </c>
      <c r="E62" s="1394">
        <v>2930</v>
      </c>
      <c r="F62" s="1394">
        <v>3029</v>
      </c>
      <c r="G62" s="1394">
        <v>3119</v>
      </c>
      <c r="H62" s="1394">
        <v>3424</v>
      </c>
      <c r="I62" s="1394">
        <v>4912</v>
      </c>
      <c r="J62" s="1394">
        <v>7214</v>
      </c>
      <c r="K62" s="1394">
        <v>8168</v>
      </c>
      <c r="L62" s="1394">
        <v>8446</v>
      </c>
      <c r="M62" s="1394">
        <v>6763</v>
      </c>
      <c r="N62" s="1394">
        <v>6130</v>
      </c>
      <c r="O62" s="1394">
        <v>6995</v>
      </c>
      <c r="P62" s="1394">
        <v>8136</v>
      </c>
      <c r="Q62" s="1394">
        <v>9100</v>
      </c>
      <c r="R62" s="1394">
        <v>9182</v>
      </c>
      <c r="S62" s="1394">
        <v>10363</v>
      </c>
      <c r="T62" s="1394">
        <v>15427</v>
      </c>
      <c r="U62" s="1394">
        <v>19948</v>
      </c>
      <c r="V62" s="1394">
        <v>21255</v>
      </c>
      <c r="W62" s="1394">
        <v>20476</v>
      </c>
      <c r="X62" s="1394">
        <v>16210</v>
      </c>
      <c r="Y62" s="1394">
        <v>13974</v>
      </c>
      <c r="Z62" s="1394">
        <v>15274</v>
      </c>
      <c r="AA62" s="1394">
        <v>18424</v>
      </c>
      <c r="AB62" s="1394">
        <v>24383</v>
      </c>
      <c r="AC62" s="1394">
        <v>24593</v>
      </c>
      <c r="AD62" s="1394">
        <v>23905</v>
      </c>
      <c r="AE62" s="1394">
        <v>23667</v>
      </c>
      <c r="AF62" s="1394">
        <v>24437</v>
      </c>
      <c r="AG62" s="1394">
        <v>26241</v>
      </c>
      <c r="AH62" s="1394">
        <v>26483</v>
      </c>
      <c r="AI62" s="1394">
        <v>25449</v>
      </c>
      <c r="AJ62" s="1394">
        <v>28017</v>
      </c>
      <c r="AK62" s="1394">
        <v>32846</v>
      </c>
      <c r="AL62" s="1394">
        <v>33616</v>
      </c>
    </row>
    <row r="63" spans="1:38" s="1394" customFormat="1">
      <c r="A63" s="1394" t="s">
        <v>227</v>
      </c>
      <c r="B63" s="1394" t="s">
        <v>234</v>
      </c>
      <c r="C63" s="1394">
        <v>2801</v>
      </c>
      <c r="D63" s="1394">
        <v>2820</v>
      </c>
      <c r="E63" s="1394">
        <v>3565</v>
      </c>
      <c r="F63" s="1394">
        <v>3753</v>
      </c>
      <c r="G63" s="1394">
        <v>4007</v>
      </c>
      <c r="H63" s="1394">
        <v>4674</v>
      </c>
      <c r="I63" s="1394">
        <v>6229</v>
      </c>
      <c r="J63" s="1394">
        <v>9117</v>
      </c>
      <c r="K63" s="1394">
        <v>10141</v>
      </c>
      <c r="L63" s="1394">
        <v>11073</v>
      </c>
      <c r="M63" s="1394">
        <v>9332</v>
      </c>
      <c r="N63" s="1394">
        <v>9102</v>
      </c>
      <c r="O63" s="1394">
        <v>8360</v>
      </c>
      <c r="P63" s="1394">
        <v>9671</v>
      </c>
      <c r="Q63" s="1394">
        <v>10548</v>
      </c>
      <c r="R63" s="1394">
        <v>10984</v>
      </c>
      <c r="S63" s="1394">
        <v>12188</v>
      </c>
      <c r="T63" s="1394">
        <v>16997</v>
      </c>
      <c r="U63" s="1394">
        <v>22491</v>
      </c>
      <c r="V63" s="1394">
        <v>23271</v>
      </c>
      <c r="W63" s="1394">
        <v>22123</v>
      </c>
      <c r="X63" s="1394">
        <v>17728</v>
      </c>
      <c r="Y63" s="1394">
        <v>16187</v>
      </c>
      <c r="Z63" s="1394">
        <v>18650</v>
      </c>
      <c r="AA63" s="1394">
        <v>23029</v>
      </c>
      <c r="AB63" s="1394">
        <v>30566</v>
      </c>
      <c r="AC63" s="1394">
        <v>30190</v>
      </c>
      <c r="AD63" s="1394">
        <v>28349</v>
      </c>
      <c r="AE63" s="1394">
        <v>27928</v>
      </c>
      <c r="AF63" s="1394">
        <v>28806</v>
      </c>
      <c r="AG63" s="1394">
        <v>29872</v>
      </c>
      <c r="AH63" s="1394">
        <v>30065</v>
      </c>
      <c r="AI63" s="1394">
        <v>30003</v>
      </c>
      <c r="AJ63" s="1394">
        <v>32843</v>
      </c>
      <c r="AK63" s="1394">
        <v>39720</v>
      </c>
      <c r="AL63" s="1394">
        <v>43447</v>
      </c>
    </row>
    <row r="64" spans="1:38" s="1394" customFormat="1">
      <c r="A64" s="1394" t="s">
        <v>226</v>
      </c>
      <c r="B64" s="1394" t="s">
        <v>233</v>
      </c>
      <c r="C64" s="1394">
        <v>636</v>
      </c>
      <c r="D64" s="1394">
        <v>559</v>
      </c>
      <c r="E64" s="1394">
        <v>635</v>
      </c>
      <c r="F64" s="1394">
        <v>724</v>
      </c>
      <c r="G64" s="1394">
        <v>888</v>
      </c>
      <c r="H64" s="1394">
        <v>1250</v>
      </c>
      <c r="I64" s="1394">
        <v>1317</v>
      </c>
      <c r="J64" s="1394">
        <v>1903</v>
      </c>
      <c r="K64" s="1394">
        <v>1973</v>
      </c>
      <c r="L64" s="1394">
        <v>2627</v>
      </c>
      <c r="M64" s="1394">
        <v>2569</v>
      </c>
      <c r="N64" s="1394">
        <v>2972</v>
      </c>
      <c r="O64" s="1394">
        <v>1365</v>
      </c>
      <c r="P64" s="1394">
        <v>1535</v>
      </c>
      <c r="Q64" s="1394">
        <v>1448</v>
      </c>
      <c r="R64" s="1394">
        <v>1802</v>
      </c>
      <c r="S64" s="1394">
        <v>1825</v>
      </c>
      <c r="T64" s="1394">
        <v>1569</v>
      </c>
      <c r="U64" s="1394">
        <v>2543</v>
      </c>
      <c r="V64" s="1394">
        <v>2016</v>
      </c>
      <c r="W64" s="1394">
        <v>1646</v>
      </c>
      <c r="X64" s="1394">
        <v>1518</v>
      </c>
      <c r="Y64" s="1394">
        <v>2213</v>
      </c>
      <c r="Z64" s="1394">
        <v>3376</v>
      </c>
      <c r="AA64" s="1394">
        <v>4605</v>
      </c>
      <c r="AB64" s="1394">
        <v>6183</v>
      </c>
      <c r="AC64" s="1394">
        <v>5597</v>
      </c>
      <c r="AD64" s="1394">
        <v>4445</v>
      </c>
      <c r="AE64" s="1394">
        <v>4261</v>
      </c>
      <c r="AF64" s="1394">
        <v>4369</v>
      </c>
      <c r="AG64" s="1394">
        <v>3632</v>
      </c>
      <c r="AH64" s="1394">
        <v>3582</v>
      </c>
      <c r="AI64" s="1394">
        <v>4554</v>
      </c>
      <c r="AJ64" s="1394">
        <v>4826</v>
      </c>
      <c r="AK64" s="1394">
        <v>6874</v>
      </c>
      <c r="AL64" s="1394">
        <v>9831</v>
      </c>
    </row>
    <row r="65" spans="1:38" s="1394" customFormat="1">
      <c r="A65" s="1394" t="s">
        <v>224</v>
      </c>
      <c r="B65" s="269" t="s">
        <v>1052</v>
      </c>
      <c r="C65" s="1394">
        <v>3291</v>
      </c>
      <c r="D65" s="1394">
        <v>5265</v>
      </c>
      <c r="E65" s="1394">
        <v>9542</v>
      </c>
      <c r="F65" s="1394">
        <v>7694</v>
      </c>
      <c r="G65" s="1394">
        <v>7580</v>
      </c>
      <c r="H65" s="1394">
        <v>8786</v>
      </c>
      <c r="I65" s="1394">
        <v>12987</v>
      </c>
      <c r="J65" s="1394">
        <v>7781</v>
      </c>
      <c r="K65" s="1394">
        <v>3379</v>
      </c>
      <c r="L65" s="1394">
        <v>-2636</v>
      </c>
      <c r="M65" s="1394">
        <v>1588</v>
      </c>
      <c r="N65" s="1394">
        <v>7243</v>
      </c>
      <c r="O65" s="1394">
        <v>21124</v>
      </c>
      <c r="P65" s="1394">
        <v>31314</v>
      </c>
      <c r="Q65" s="1394">
        <v>31045</v>
      </c>
      <c r="R65" s="1394">
        <v>40748</v>
      </c>
      <c r="S65" s="1394">
        <v>33807</v>
      </c>
      <c r="T65" s="1394">
        <v>47393</v>
      </c>
      <c r="U65" s="1394">
        <v>49694</v>
      </c>
      <c r="V65" s="1394">
        <v>5255</v>
      </c>
      <c r="W65" s="1394">
        <v>33335</v>
      </c>
      <c r="X65" s="1394">
        <v>63149</v>
      </c>
      <c r="Y65" s="1394">
        <v>89650</v>
      </c>
      <c r="Z65" s="1394">
        <v>113538</v>
      </c>
      <c r="AA65" s="1394">
        <v>144755</v>
      </c>
      <c r="AB65" s="1394">
        <v>120960</v>
      </c>
      <c r="AC65" s="1394">
        <v>125721</v>
      </c>
      <c r="AD65" s="1394">
        <v>97990</v>
      </c>
      <c r="AE65" s="1394">
        <v>145088</v>
      </c>
      <c r="AF65" s="1394">
        <v>165968</v>
      </c>
      <c r="AG65" s="1394">
        <v>160328</v>
      </c>
      <c r="AH65" s="1394">
        <v>168235</v>
      </c>
      <c r="AI65" s="1394">
        <v>177294</v>
      </c>
      <c r="AJ65" s="1394">
        <v>148335</v>
      </c>
      <c r="AK65" s="1394">
        <v>159749</v>
      </c>
      <c r="AL65" s="1394">
        <v>172084</v>
      </c>
    </row>
    <row r="66" spans="1:38" s="1394" customFormat="1">
      <c r="A66" s="1394" t="s">
        <v>223</v>
      </c>
      <c r="B66" s="1394" t="s">
        <v>205</v>
      </c>
      <c r="C66" s="1394" t="s">
        <v>583</v>
      </c>
      <c r="D66" s="1394" t="s">
        <v>583</v>
      </c>
      <c r="E66" s="1394" t="s">
        <v>583</v>
      </c>
      <c r="F66" s="1394" t="s">
        <v>583</v>
      </c>
      <c r="G66" s="1394" t="s">
        <v>583</v>
      </c>
      <c r="H66" s="1394" t="s">
        <v>583</v>
      </c>
      <c r="I66" s="1394" t="s">
        <v>583</v>
      </c>
      <c r="J66" s="1394" t="s">
        <v>583</v>
      </c>
      <c r="K66" s="1394" t="s">
        <v>583</v>
      </c>
      <c r="L66" s="1394" t="s">
        <v>583</v>
      </c>
      <c r="M66" s="1394" t="s">
        <v>583</v>
      </c>
      <c r="N66" s="1394" t="s">
        <v>583</v>
      </c>
      <c r="O66" s="1394" t="s">
        <v>583</v>
      </c>
      <c r="P66" s="1394" t="s">
        <v>583</v>
      </c>
      <c r="Q66" s="1394" t="s">
        <v>583</v>
      </c>
      <c r="R66" s="1394" t="s">
        <v>583</v>
      </c>
      <c r="S66" s="1394" t="s">
        <v>583</v>
      </c>
      <c r="T66" s="1394">
        <v>29291</v>
      </c>
      <c r="U66" s="1394">
        <v>25675</v>
      </c>
      <c r="V66" s="1394">
        <v>4859</v>
      </c>
      <c r="W66" s="1394">
        <v>23980</v>
      </c>
      <c r="X66" s="1394">
        <v>23903</v>
      </c>
      <c r="Y66" s="1394">
        <v>34637</v>
      </c>
      <c r="Z66" s="1394">
        <v>47361</v>
      </c>
      <c r="AA66" s="1394">
        <v>55253</v>
      </c>
      <c r="AB66" s="1394">
        <v>46886</v>
      </c>
      <c r="AC66" s="1394">
        <v>36323</v>
      </c>
      <c r="AD66" s="1394">
        <v>38341</v>
      </c>
      <c r="AE66" s="1394">
        <v>62882</v>
      </c>
      <c r="AF66" s="1394">
        <v>67426</v>
      </c>
      <c r="AG66" s="1394">
        <v>68706</v>
      </c>
      <c r="AH66" s="1394">
        <v>64932</v>
      </c>
      <c r="AI66" s="1394">
        <v>70634</v>
      </c>
      <c r="AJ66" s="1394">
        <v>59998</v>
      </c>
      <c r="AK66" s="1394">
        <v>78714</v>
      </c>
      <c r="AL66" s="1394">
        <v>90908</v>
      </c>
    </row>
    <row r="67" spans="1:38" s="1394" customFormat="1">
      <c r="A67" s="1394" t="s">
        <v>222</v>
      </c>
      <c r="B67" s="1394" t="s">
        <v>250</v>
      </c>
      <c r="C67" s="1394" t="s">
        <v>583</v>
      </c>
      <c r="D67" s="1394" t="s">
        <v>583</v>
      </c>
      <c r="E67" s="1394" t="s">
        <v>583</v>
      </c>
      <c r="F67" s="1394" t="s">
        <v>583</v>
      </c>
      <c r="G67" s="1394" t="s">
        <v>583</v>
      </c>
      <c r="H67" s="1394" t="s">
        <v>583</v>
      </c>
      <c r="I67" s="1394" t="s">
        <v>583</v>
      </c>
      <c r="J67" s="1394" t="s">
        <v>583</v>
      </c>
      <c r="K67" s="1394" t="s">
        <v>583</v>
      </c>
      <c r="L67" s="1394" t="s">
        <v>583</v>
      </c>
      <c r="M67" s="1394" t="s">
        <v>583</v>
      </c>
      <c r="N67" s="1394" t="s">
        <v>583</v>
      </c>
      <c r="O67" s="1394" t="s">
        <v>583</v>
      </c>
      <c r="P67" s="1394" t="s">
        <v>583</v>
      </c>
      <c r="Q67" s="1394" t="s">
        <v>583</v>
      </c>
      <c r="R67" s="1394" t="s">
        <v>583</v>
      </c>
      <c r="S67" s="1394" t="s">
        <v>583</v>
      </c>
      <c r="T67" s="1394">
        <v>6166</v>
      </c>
      <c r="U67" s="1394">
        <v>13778</v>
      </c>
      <c r="V67" s="1394">
        <v>9721</v>
      </c>
      <c r="W67" s="1394">
        <v>11428</v>
      </c>
      <c r="X67" s="1394">
        <v>19476</v>
      </c>
      <c r="Y67" s="1394">
        <v>25638</v>
      </c>
      <c r="Z67" s="1394">
        <v>27311</v>
      </c>
      <c r="AA67" s="1394">
        <v>25295</v>
      </c>
      <c r="AB67" s="1394">
        <v>24242</v>
      </c>
      <c r="AC67" s="1394">
        <v>22733</v>
      </c>
      <c r="AD67" s="1394">
        <v>4385</v>
      </c>
      <c r="AE67" s="1394">
        <v>13469</v>
      </c>
      <c r="AF67" s="1394">
        <v>15935</v>
      </c>
      <c r="AG67" s="1394">
        <v>14965</v>
      </c>
      <c r="AH67" s="1394">
        <v>21420</v>
      </c>
      <c r="AI67" s="1394">
        <v>20769</v>
      </c>
      <c r="AJ67" s="1394">
        <v>19237</v>
      </c>
      <c r="AK67" s="1394">
        <v>9241</v>
      </c>
      <c r="AL67" s="1394">
        <v>11701</v>
      </c>
    </row>
    <row r="68" spans="1:38" s="1394" customFormat="1">
      <c r="A68" s="1394" t="s">
        <v>221</v>
      </c>
      <c r="B68" s="1394" t="s">
        <v>251</v>
      </c>
      <c r="C68" s="1394" t="s">
        <v>583</v>
      </c>
      <c r="D68" s="1394" t="s">
        <v>583</v>
      </c>
      <c r="E68" s="1394" t="s">
        <v>583</v>
      </c>
      <c r="F68" s="1394" t="s">
        <v>583</v>
      </c>
      <c r="G68" s="1394" t="s">
        <v>583</v>
      </c>
      <c r="H68" s="1394" t="s">
        <v>583</v>
      </c>
      <c r="I68" s="1394" t="s">
        <v>583</v>
      </c>
      <c r="J68" s="1394" t="s">
        <v>583</v>
      </c>
      <c r="K68" s="1394" t="s">
        <v>583</v>
      </c>
      <c r="L68" s="1394" t="s">
        <v>583</v>
      </c>
      <c r="M68" s="1394" t="s">
        <v>583</v>
      </c>
      <c r="N68" s="1394" t="s">
        <v>583</v>
      </c>
      <c r="O68" s="1394" t="s">
        <v>583</v>
      </c>
      <c r="P68" s="1394" t="s">
        <v>583</v>
      </c>
      <c r="Q68" s="1394" t="s">
        <v>583</v>
      </c>
      <c r="R68" s="1394" t="s">
        <v>583</v>
      </c>
      <c r="S68" s="1394" t="s">
        <v>583</v>
      </c>
      <c r="T68" s="1394">
        <v>6358</v>
      </c>
      <c r="U68" s="1394">
        <v>7690</v>
      </c>
      <c r="V68" s="1394">
        <v>874</v>
      </c>
      <c r="W68" s="1394">
        <v>-2365</v>
      </c>
      <c r="X68" s="1394">
        <v>9545</v>
      </c>
      <c r="Y68" s="1394">
        <v>11136</v>
      </c>
      <c r="Z68" s="1394">
        <v>8886</v>
      </c>
      <c r="AA68" s="1394">
        <v>15374</v>
      </c>
      <c r="AB68" s="1394">
        <v>10560</v>
      </c>
      <c r="AC68" s="1394">
        <v>29789</v>
      </c>
      <c r="AD68" s="1394">
        <v>21884</v>
      </c>
      <c r="AE68" s="1394">
        <v>29177</v>
      </c>
      <c r="AF68" s="1394">
        <v>31156</v>
      </c>
      <c r="AG68" s="1394">
        <v>30047</v>
      </c>
      <c r="AH68" s="1394">
        <v>37186</v>
      </c>
      <c r="AI68" s="1394">
        <v>39181</v>
      </c>
      <c r="AJ68" s="1394">
        <v>33166</v>
      </c>
      <c r="AK68" s="1394">
        <v>37735</v>
      </c>
      <c r="AL68" s="1394">
        <v>28272</v>
      </c>
    </row>
    <row r="69" spans="1:38" s="1394" customFormat="1">
      <c r="A69" s="1394" t="s">
        <v>220</v>
      </c>
      <c r="B69" s="1394" t="s">
        <v>67</v>
      </c>
      <c r="C69" s="1394" t="s">
        <v>583</v>
      </c>
      <c r="D69" s="1394" t="s">
        <v>583</v>
      </c>
      <c r="E69" s="1394" t="s">
        <v>583</v>
      </c>
      <c r="F69" s="1394" t="s">
        <v>583</v>
      </c>
      <c r="G69" s="1394" t="s">
        <v>583</v>
      </c>
      <c r="H69" s="1394" t="s">
        <v>583</v>
      </c>
      <c r="I69" s="1394" t="s">
        <v>583</v>
      </c>
      <c r="J69" s="1394" t="s">
        <v>583</v>
      </c>
      <c r="K69" s="1394" t="s">
        <v>583</v>
      </c>
      <c r="L69" s="1394" t="s">
        <v>583</v>
      </c>
      <c r="M69" s="1394" t="s">
        <v>583</v>
      </c>
      <c r="N69" s="1394" t="s">
        <v>583</v>
      </c>
      <c r="O69" s="1394" t="s">
        <v>583</v>
      </c>
      <c r="P69" s="1394" t="s">
        <v>583</v>
      </c>
      <c r="Q69" s="1394" t="s">
        <v>583</v>
      </c>
      <c r="R69" s="1394" t="s">
        <v>583</v>
      </c>
      <c r="S69" s="1394" t="s">
        <v>583</v>
      </c>
      <c r="T69" s="1394">
        <v>5579</v>
      </c>
      <c r="U69" s="1394">
        <v>2549</v>
      </c>
      <c r="V69" s="1394">
        <v>-10197</v>
      </c>
      <c r="W69" s="1394">
        <v>294</v>
      </c>
      <c r="X69" s="1394">
        <v>10226</v>
      </c>
      <c r="Y69" s="1394">
        <v>18239</v>
      </c>
      <c r="Z69" s="1394">
        <v>29979</v>
      </c>
      <c r="AA69" s="1394">
        <v>48832</v>
      </c>
      <c r="AB69" s="1394">
        <v>39271</v>
      </c>
      <c r="AC69" s="1394">
        <v>36876</v>
      </c>
      <c r="AD69" s="1394">
        <v>33380</v>
      </c>
      <c r="AE69" s="1394">
        <v>39560</v>
      </c>
      <c r="AF69" s="1394">
        <v>51451</v>
      </c>
      <c r="AG69" s="1394">
        <v>46611</v>
      </c>
      <c r="AH69" s="1394">
        <v>44698</v>
      </c>
      <c r="AI69" s="1394">
        <v>46711</v>
      </c>
      <c r="AJ69" s="1394">
        <v>35934</v>
      </c>
      <c r="AK69" s="1394">
        <v>34059</v>
      </c>
      <c r="AL69" s="1394">
        <v>41203</v>
      </c>
    </row>
    <row r="70" spans="1:38" s="1394" customFormat="1">
      <c r="A70" s="1394" t="s">
        <v>219</v>
      </c>
      <c r="B70" s="1394" t="s">
        <v>1051</v>
      </c>
      <c r="C70" s="1394">
        <v>1126</v>
      </c>
      <c r="D70" s="1394">
        <v>3004</v>
      </c>
      <c r="E70" s="1394">
        <v>6612</v>
      </c>
      <c r="F70" s="1394">
        <v>4665</v>
      </c>
      <c r="G70" s="1394">
        <v>4461</v>
      </c>
      <c r="H70" s="1394">
        <v>5362</v>
      </c>
      <c r="I70" s="1394">
        <v>8075</v>
      </c>
      <c r="J70" s="1394">
        <v>567</v>
      </c>
      <c r="K70" s="1394">
        <v>-4789</v>
      </c>
      <c r="L70" s="1394">
        <v>-11082</v>
      </c>
      <c r="M70" s="1394">
        <v>-5175</v>
      </c>
      <c r="N70" s="1394">
        <v>1113</v>
      </c>
      <c r="O70" s="1394">
        <v>14129</v>
      </c>
      <c r="P70" s="1394">
        <v>23178</v>
      </c>
      <c r="Q70" s="1394">
        <v>21945</v>
      </c>
      <c r="R70" s="1394">
        <v>31566</v>
      </c>
      <c r="S70" s="1394">
        <v>23444</v>
      </c>
      <c r="T70" s="1394">
        <v>31966</v>
      </c>
      <c r="U70" s="1394">
        <v>29746</v>
      </c>
      <c r="V70" s="1394">
        <v>-16000</v>
      </c>
      <c r="W70" s="1394">
        <v>12859</v>
      </c>
      <c r="X70" s="1394">
        <v>46939</v>
      </c>
      <c r="Y70" s="1394">
        <v>75676</v>
      </c>
      <c r="Z70" s="1394">
        <v>98264</v>
      </c>
      <c r="AA70" s="1394">
        <v>126331</v>
      </c>
      <c r="AB70" s="1394">
        <v>96577</v>
      </c>
      <c r="AC70" s="1394">
        <v>101128</v>
      </c>
      <c r="AD70" s="1394">
        <v>74086</v>
      </c>
      <c r="AE70" s="1394">
        <v>121421</v>
      </c>
      <c r="AF70" s="1394">
        <v>141532</v>
      </c>
      <c r="AG70" s="1394">
        <v>134087</v>
      </c>
      <c r="AH70" s="1394">
        <v>141752</v>
      </c>
      <c r="AI70" s="1394">
        <v>151845</v>
      </c>
      <c r="AJ70" s="1394">
        <v>120318</v>
      </c>
      <c r="AK70" s="1394">
        <v>126903</v>
      </c>
      <c r="AL70" s="1394">
        <v>138468</v>
      </c>
    </row>
    <row r="71" spans="1:38" s="1394" customFormat="1">
      <c r="A71" s="1394" t="s">
        <v>218</v>
      </c>
      <c r="B71" s="1394" t="s">
        <v>205</v>
      </c>
      <c r="C71" s="1394" t="s">
        <v>583</v>
      </c>
      <c r="D71" s="1394" t="s">
        <v>583</v>
      </c>
      <c r="E71" s="1394" t="s">
        <v>583</v>
      </c>
      <c r="F71" s="1394" t="s">
        <v>583</v>
      </c>
      <c r="G71" s="1394" t="s">
        <v>583</v>
      </c>
      <c r="H71" s="1394" t="s">
        <v>583</v>
      </c>
      <c r="I71" s="1394" t="s">
        <v>583</v>
      </c>
      <c r="J71" s="1394" t="s">
        <v>583</v>
      </c>
      <c r="K71" s="1394" t="s">
        <v>583</v>
      </c>
      <c r="L71" s="1394" t="s">
        <v>583</v>
      </c>
      <c r="M71" s="1394" t="s">
        <v>583</v>
      </c>
      <c r="N71" s="1394" t="s">
        <v>583</v>
      </c>
      <c r="O71" s="1394" t="s">
        <v>583</v>
      </c>
      <c r="P71" s="1394" t="s">
        <v>583</v>
      </c>
      <c r="Q71" s="1394" t="s">
        <v>583</v>
      </c>
      <c r="R71" s="1394" t="s">
        <v>583</v>
      </c>
      <c r="S71" s="1394" t="s">
        <v>583</v>
      </c>
      <c r="T71" s="1394">
        <v>21001</v>
      </c>
      <c r="U71" s="1394">
        <v>15006</v>
      </c>
      <c r="V71" s="1394">
        <v>-6743</v>
      </c>
      <c r="W71" s="1394">
        <v>12521</v>
      </c>
      <c r="X71" s="1394">
        <v>15589</v>
      </c>
      <c r="Y71" s="1394">
        <v>26852</v>
      </c>
      <c r="Z71" s="1394">
        <v>39464</v>
      </c>
      <c r="AA71" s="1394">
        <v>46499</v>
      </c>
      <c r="AB71" s="1394">
        <v>36243</v>
      </c>
      <c r="AC71" s="1394">
        <v>27685</v>
      </c>
      <c r="AD71" s="1394">
        <v>29449</v>
      </c>
      <c r="AE71" s="1394">
        <v>54902</v>
      </c>
      <c r="AF71" s="1394">
        <v>58838</v>
      </c>
      <c r="AG71" s="1394">
        <v>58265</v>
      </c>
      <c r="AH71" s="1394">
        <v>53448</v>
      </c>
      <c r="AI71" s="1394">
        <v>57630</v>
      </c>
      <c r="AJ71" s="1394">
        <v>46000</v>
      </c>
      <c r="AK71" s="1394">
        <v>61904</v>
      </c>
      <c r="AL71" s="1394">
        <v>74679</v>
      </c>
    </row>
    <row r="72" spans="1:38" s="1394" customFormat="1">
      <c r="A72" s="1394" t="s">
        <v>217</v>
      </c>
      <c r="B72" s="1394" t="s">
        <v>250</v>
      </c>
      <c r="C72" s="1394" t="s">
        <v>583</v>
      </c>
      <c r="D72" s="1394" t="s">
        <v>583</v>
      </c>
      <c r="E72" s="1394" t="s">
        <v>583</v>
      </c>
      <c r="F72" s="1394" t="s">
        <v>583</v>
      </c>
      <c r="G72" s="1394" t="s">
        <v>583</v>
      </c>
      <c r="H72" s="1394" t="s">
        <v>583</v>
      </c>
      <c r="I72" s="1394" t="s">
        <v>583</v>
      </c>
      <c r="J72" s="1394" t="s">
        <v>583</v>
      </c>
      <c r="K72" s="1394" t="s">
        <v>583</v>
      </c>
      <c r="L72" s="1394" t="s">
        <v>583</v>
      </c>
      <c r="M72" s="1394" t="s">
        <v>583</v>
      </c>
      <c r="N72" s="1394" t="s">
        <v>583</v>
      </c>
      <c r="O72" s="1394" t="s">
        <v>583</v>
      </c>
      <c r="P72" s="1394" t="s">
        <v>583</v>
      </c>
      <c r="Q72" s="1394" t="s">
        <v>583</v>
      </c>
      <c r="R72" s="1394" t="s">
        <v>583</v>
      </c>
      <c r="S72" s="1394" t="s">
        <v>583</v>
      </c>
      <c r="T72" s="1394">
        <v>5044</v>
      </c>
      <c r="U72" s="1394">
        <v>12249</v>
      </c>
      <c r="V72" s="1394">
        <v>8394</v>
      </c>
      <c r="W72" s="1394">
        <v>10759</v>
      </c>
      <c r="X72" s="1394">
        <v>18609</v>
      </c>
      <c r="Y72" s="1394">
        <v>25263</v>
      </c>
      <c r="Z72" s="1394">
        <v>26694</v>
      </c>
      <c r="AA72" s="1394">
        <v>24323</v>
      </c>
      <c r="AB72" s="1394">
        <v>22885</v>
      </c>
      <c r="AC72" s="1394">
        <v>21134</v>
      </c>
      <c r="AD72" s="1394">
        <v>3213</v>
      </c>
      <c r="AE72" s="1394">
        <v>12185</v>
      </c>
      <c r="AF72" s="1394">
        <v>14565</v>
      </c>
      <c r="AG72" s="1394">
        <v>13290</v>
      </c>
      <c r="AH72" s="1394">
        <v>19413</v>
      </c>
      <c r="AI72" s="1394">
        <v>19187</v>
      </c>
      <c r="AJ72" s="1394">
        <v>16872</v>
      </c>
      <c r="AK72" s="1394">
        <v>7058</v>
      </c>
      <c r="AL72" s="1394">
        <v>9128</v>
      </c>
    </row>
    <row r="73" spans="1:38" s="1394" customFormat="1">
      <c r="A73" s="1394" t="s">
        <v>216</v>
      </c>
      <c r="B73" s="1394" t="s">
        <v>251</v>
      </c>
      <c r="C73" s="1394" t="s">
        <v>583</v>
      </c>
      <c r="D73" s="1394" t="s">
        <v>583</v>
      </c>
      <c r="E73" s="1394" t="s">
        <v>583</v>
      </c>
      <c r="F73" s="1394" t="s">
        <v>583</v>
      </c>
      <c r="G73" s="1394" t="s">
        <v>583</v>
      </c>
      <c r="H73" s="1394" t="s">
        <v>583</v>
      </c>
      <c r="I73" s="1394" t="s">
        <v>583</v>
      </c>
      <c r="J73" s="1394" t="s">
        <v>583</v>
      </c>
      <c r="K73" s="1394" t="s">
        <v>583</v>
      </c>
      <c r="L73" s="1394" t="s">
        <v>583</v>
      </c>
      <c r="M73" s="1394" t="s">
        <v>583</v>
      </c>
      <c r="N73" s="1394" t="s">
        <v>583</v>
      </c>
      <c r="O73" s="1394" t="s">
        <v>583</v>
      </c>
      <c r="P73" s="1394" t="s">
        <v>583</v>
      </c>
      <c r="Q73" s="1394" t="s">
        <v>583</v>
      </c>
      <c r="R73" s="1394" t="s">
        <v>583</v>
      </c>
      <c r="S73" s="1394" t="s">
        <v>583</v>
      </c>
      <c r="T73" s="1394">
        <v>4901</v>
      </c>
      <c r="U73" s="1394">
        <v>5557</v>
      </c>
      <c r="V73" s="1394">
        <v>-1688</v>
      </c>
      <c r="W73" s="1394">
        <v>-3870</v>
      </c>
      <c r="X73" s="1394">
        <v>8362</v>
      </c>
      <c r="Y73" s="1394">
        <v>10458</v>
      </c>
      <c r="Z73" s="1394">
        <v>8213</v>
      </c>
      <c r="AA73" s="1394">
        <v>14504</v>
      </c>
      <c r="AB73" s="1394">
        <v>8539</v>
      </c>
      <c r="AC73" s="1394">
        <v>27460</v>
      </c>
      <c r="AD73" s="1394">
        <v>19452</v>
      </c>
      <c r="AE73" s="1394">
        <v>27427</v>
      </c>
      <c r="AF73" s="1394">
        <v>29469</v>
      </c>
      <c r="AG73" s="1394">
        <v>28148</v>
      </c>
      <c r="AH73" s="1394">
        <v>35302</v>
      </c>
      <c r="AI73" s="1394">
        <v>37523</v>
      </c>
      <c r="AJ73" s="1394">
        <v>31705</v>
      </c>
      <c r="AK73" s="1394">
        <v>35932</v>
      </c>
      <c r="AL73" s="1394">
        <v>26224</v>
      </c>
    </row>
    <row r="74" spans="1:38" s="1394" customFormat="1">
      <c r="A74" s="1394" t="s">
        <v>215</v>
      </c>
      <c r="B74" s="1394" t="s">
        <v>67</v>
      </c>
      <c r="C74" s="1394" t="s">
        <v>583</v>
      </c>
      <c r="D74" s="1394" t="s">
        <v>583</v>
      </c>
      <c r="E74" s="1394" t="s">
        <v>583</v>
      </c>
      <c r="F74" s="1394" t="s">
        <v>583</v>
      </c>
      <c r="G74" s="1394" t="s">
        <v>583</v>
      </c>
      <c r="H74" s="1394" t="s">
        <v>583</v>
      </c>
      <c r="I74" s="1394" t="s">
        <v>583</v>
      </c>
      <c r="J74" s="1394" t="s">
        <v>583</v>
      </c>
      <c r="K74" s="1394" t="s">
        <v>583</v>
      </c>
      <c r="L74" s="1394" t="s">
        <v>583</v>
      </c>
      <c r="M74" s="1394" t="s">
        <v>583</v>
      </c>
      <c r="N74" s="1394" t="s">
        <v>583</v>
      </c>
      <c r="O74" s="1394" t="s">
        <v>583</v>
      </c>
      <c r="P74" s="1394" t="s">
        <v>583</v>
      </c>
      <c r="Q74" s="1394" t="s">
        <v>583</v>
      </c>
      <c r="R74" s="1394" t="s">
        <v>583</v>
      </c>
      <c r="S74" s="1394" t="s">
        <v>583</v>
      </c>
      <c r="T74" s="1394">
        <v>1019</v>
      </c>
      <c r="U74" s="1394">
        <v>-3066</v>
      </c>
      <c r="V74" s="1394">
        <v>-15962</v>
      </c>
      <c r="W74" s="1394">
        <v>-6552</v>
      </c>
      <c r="X74" s="1394">
        <v>4380</v>
      </c>
      <c r="Y74" s="1394">
        <v>13103</v>
      </c>
      <c r="Z74" s="1394">
        <v>23892</v>
      </c>
      <c r="AA74" s="1394">
        <v>41005</v>
      </c>
      <c r="AB74" s="1394">
        <v>28909</v>
      </c>
      <c r="AC74" s="1394">
        <v>24849</v>
      </c>
      <c r="AD74" s="1394">
        <v>21972</v>
      </c>
      <c r="AE74" s="1394">
        <v>26906</v>
      </c>
      <c r="AF74" s="1394">
        <v>38659</v>
      </c>
      <c r="AG74" s="1394">
        <v>34385</v>
      </c>
      <c r="AH74" s="1394">
        <v>33589</v>
      </c>
      <c r="AI74" s="1394">
        <v>37505</v>
      </c>
      <c r="AJ74" s="1394">
        <v>25741</v>
      </c>
      <c r="AK74" s="1394">
        <v>22010</v>
      </c>
      <c r="AL74" s="1394">
        <v>28437</v>
      </c>
    </row>
    <row r="75" spans="1:38" s="1394" customFormat="1">
      <c r="A75" s="1394" t="s">
        <v>214</v>
      </c>
      <c r="B75" s="1394" t="s">
        <v>1050</v>
      </c>
      <c r="C75" s="1394">
        <v>2165</v>
      </c>
      <c r="D75" s="1394">
        <v>2261</v>
      </c>
      <c r="E75" s="1394">
        <v>2930</v>
      </c>
      <c r="F75" s="1394">
        <v>3029</v>
      </c>
      <c r="G75" s="1394">
        <v>3119</v>
      </c>
      <c r="H75" s="1394">
        <v>3424</v>
      </c>
      <c r="I75" s="1394">
        <v>4912</v>
      </c>
      <c r="J75" s="1394">
        <v>7214</v>
      </c>
      <c r="K75" s="1394">
        <v>8168</v>
      </c>
      <c r="L75" s="1394">
        <v>8446</v>
      </c>
      <c r="M75" s="1394">
        <v>6763</v>
      </c>
      <c r="N75" s="1394">
        <v>6130</v>
      </c>
      <c r="O75" s="1394">
        <v>6995</v>
      </c>
      <c r="P75" s="1394">
        <v>8136</v>
      </c>
      <c r="Q75" s="1394">
        <v>9100</v>
      </c>
      <c r="R75" s="1394">
        <v>9182</v>
      </c>
      <c r="S75" s="1394">
        <v>10363</v>
      </c>
      <c r="T75" s="1394">
        <v>15427</v>
      </c>
      <c r="U75" s="1394">
        <v>19948</v>
      </c>
      <c r="V75" s="1394">
        <v>21255</v>
      </c>
      <c r="W75" s="1394">
        <v>20476</v>
      </c>
      <c r="X75" s="1394">
        <v>16210</v>
      </c>
      <c r="Y75" s="1394">
        <v>13974</v>
      </c>
      <c r="Z75" s="1394">
        <v>15274</v>
      </c>
      <c r="AA75" s="1394">
        <v>18424</v>
      </c>
      <c r="AB75" s="1394">
        <v>24383</v>
      </c>
      <c r="AC75" s="1394">
        <v>24593</v>
      </c>
      <c r="AD75" s="1394">
        <v>23905</v>
      </c>
      <c r="AE75" s="1394">
        <v>23667</v>
      </c>
      <c r="AF75" s="1394">
        <v>24437</v>
      </c>
      <c r="AG75" s="1394">
        <v>26241</v>
      </c>
      <c r="AH75" s="1394">
        <v>26483</v>
      </c>
      <c r="AI75" s="1394">
        <v>25449</v>
      </c>
      <c r="AJ75" s="1394">
        <v>28017</v>
      </c>
      <c r="AK75" s="1394">
        <v>32846</v>
      </c>
      <c r="AL75" s="1394">
        <v>33616</v>
      </c>
    </row>
    <row r="76" spans="1:38" s="1394" customFormat="1">
      <c r="A76" s="1394" t="s">
        <v>213</v>
      </c>
      <c r="B76" s="1394" t="s">
        <v>205</v>
      </c>
      <c r="C76" s="1394" t="s">
        <v>583</v>
      </c>
      <c r="D76" s="1394" t="s">
        <v>583</v>
      </c>
      <c r="E76" s="1394" t="s">
        <v>583</v>
      </c>
      <c r="F76" s="1394" t="s">
        <v>583</v>
      </c>
      <c r="G76" s="1394" t="s">
        <v>583</v>
      </c>
      <c r="H76" s="1394" t="s">
        <v>583</v>
      </c>
      <c r="I76" s="1394" t="s">
        <v>583</v>
      </c>
      <c r="J76" s="1394" t="s">
        <v>583</v>
      </c>
      <c r="K76" s="1394" t="s">
        <v>583</v>
      </c>
      <c r="L76" s="1394" t="s">
        <v>583</v>
      </c>
      <c r="M76" s="1394" t="s">
        <v>583</v>
      </c>
      <c r="N76" s="1394" t="s">
        <v>583</v>
      </c>
      <c r="O76" s="1394" t="s">
        <v>583</v>
      </c>
      <c r="P76" s="1394" t="s">
        <v>583</v>
      </c>
      <c r="Q76" s="1394" t="s">
        <v>583</v>
      </c>
      <c r="R76" s="1394" t="s">
        <v>583</v>
      </c>
      <c r="S76" s="1394" t="s">
        <v>583</v>
      </c>
      <c r="T76" s="1394">
        <v>8290</v>
      </c>
      <c r="U76" s="1394">
        <v>10669</v>
      </c>
      <c r="V76" s="1394">
        <v>11603</v>
      </c>
      <c r="W76" s="1394">
        <v>11458</v>
      </c>
      <c r="X76" s="1394">
        <v>8313</v>
      </c>
      <c r="Y76" s="1394">
        <v>7784</v>
      </c>
      <c r="Z76" s="1394">
        <v>7897</v>
      </c>
      <c r="AA76" s="1394">
        <v>8754</v>
      </c>
      <c r="AB76" s="1394">
        <v>10643</v>
      </c>
      <c r="AC76" s="1394">
        <v>8637</v>
      </c>
      <c r="AD76" s="1394">
        <v>8892</v>
      </c>
      <c r="AE76" s="1394">
        <v>7979</v>
      </c>
      <c r="AF76" s="1394">
        <v>8588</v>
      </c>
      <c r="AG76" s="1394">
        <v>10441</v>
      </c>
      <c r="AH76" s="1394">
        <v>11484</v>
      </c>
      <c r="AI76" s="1394">
        <v>13004</v>
      </c>
      <c r="AJ76" s="1394">
        <v>13998</v>
      </c>
      <c r="AK76" s="1394">
        <v>16810</v>
      </c>
      <c r="AL76" s="1394">
        <v>16229</v>
      </c>
    </row>
    <row r="77" spans="1:38" s="1394" customFormat="1">
      <c r="A77" s="1394" t="s">
        <v>212</v>
      </c>
      <c r="B77" s="1394" t="s">
        <v>250</v>
      </c>
      <c r="C77" s="1394" t="s">
        <v>583</v>
      </c>
      <c r="D77" s="1394" t="s">
        <v>583</v>
      </c>
      <c r="E77" s="1394" t="s">
        <v>583</v>
      </c>
      <c r="F77" s="1394" t="s">
        <v>583</v>
      </c>
      <c r="G77" s="1394" t="s">
        <v>583</v>
      </c>
      <c r="H77" s="1394" t="s">
        <v>583</v>
      </c>
      <c r="I77" s="1394" t="s">
        <v>583</v>
      </c>
      <c r="J77" s="1394" t="s">
        <v>583</v>
      </c>
      <c r="K77" s="1394" t="s">
        <v>583</v>
      </c>
      <c r="L77" s="1394" t="s">
        <v>583</v>
      </c>
      <c r="M77" s="1394" t="s">
        <v>583</v>
      </c>
      <c r="N77" s="1394" t="s">
        <v>583</v>
      </c>
      <c r="O77" s="1394" t="s">
        <v>583</v>
      </c>
      <c r="P77" s="1394" t="s">
        <v>583</v>
      </c>
      <c r="Q77" s="1394" t="s">
        <v>583</v>
      </c>
      <c r="R77" s="1394" t="s">
        <v>583</v>
      </c>
      <c r="S77" s="1394" t="s">
        <v>583</v>
      </c>
      <c r="T77" s="1394">
        <v>1122</v>
      </c>
      <c r="U77" s="1394">
        <v>1529</v>
      </c>
      <c r="V77" s="1394">
        <v>1327</v>
      </c>
      <c r="W77" s="1394">
        <v>669</v>
      </c>
      <c r="X77" s="1394">
        <v>868</v>
      </c>
      <c r="Y77" s="1394">
        <v>375</v>
      </c>
      <c r="Z77" s="1394">
        <v>617</v>
      </c>
      <c r="AA77" s="1394">
        <v>972</v>
      </c>
      <c r="AB77" s="1394">
        <v>1357</v>
      </c>
      <c r="AC77" s="1394">
        <v>1600</v>
      </c>
      <c r="AD77" s="1394">
        <v>1172</v>
      </c>
      <c r="AE77" s="1394">
        <v>1284</v>
      </c>
      <c r="AF77" s="1394">
        <v>1370</v>
      </c>
      <c r="AG77" s="1394">
        <v>1675</v>
      </c>
      <c r="AH77" s="1394">
        <v>2007</v>
      </c>
      <c r="AI77" s="1394">
        <v>1582</v>
      </c>
      <c r="AJ77" s="1394">
        <v>2365</v>
      </c>
      <c r="AK77" s="1394">
        <v>2183</v>
      </c>
      <c r="AL77" s="1394">
        <v>2574</v>
      </c>
    </row>
    <row r="78" spans="1:38" s="1394" customFormat="1">
      <c r="A78" s="1394" t="s">
        <v>211</v>
      </c>
      <c r="B78" s="1394" t="s">
        <v>251</v>
      </c>
      <c r="C78" s="1394" t="s">
        <v>583</v>
      </c>
      <c r="D78" s="1394" t="s">
        <v>583</v>
      </c>
      <c r="E78" s="1394" t="s">
        <v>583</v>
      </c>
      <c r="F78" s="1394" t="s">
        <v>583</v>
      </c>
      <c r="G78" s="1394" t="s">
        <v>583</v>
      </c>
      <c r="H78" s="1394" t="s">
        <v>583</v>
      </c>
      <c r="I78" s="1394" t="s">
        <v>583</v>
      </c>
      <c r="J78" s="1394" t="s">
        <v>583</v>
      </c>
      <c r="K78" s="1394" t="s">
        <v>583</v>
      </c>
      <c r="L78" s="1394" t="s">
        <v>583</v>
      </c>
      <c r="M78" s="1394" t="s">
        <v>583</v>
      </c>
      <c r="N78" s="1394" t="s">
        <v>583</v>
      </c>
      <c r="O78" s="1394" t="s">
        <v>583</v>
      </c>
      <c r="P78" s="1394" t="s">
        <v>583</v>
      </c>
      <c r="Q78" s="1394" t="s">
        <v>583</v>
      </c>
      <c r="R78" s="1394" t="s">
        <v>583</v>
      </c>
      <c r="S78" s="1394" t="s">
        <v>583</v>
      </c>
      <c r="T78" s="1394">
        <v>1457</v>
      </c>
      <c r="U78" s="1394">
        <v>2133</v>
      </c>
      <c r="V78" s="1394">
        <v>2561</v>
      </c>
      <c r="W78" s="1394">
        <v>1504</v>
      </c>
      <c r="X78" s="1394">
        <v>1184</v>
      </c>
      <c r="Y78" s="1394">
        <v>678</v>
      </c>
      <c r="Z78" s="1394">
        <v>673</v>
      </c>
      <c r="AA78" s="1394">
        <v>870</v>
      </c>
      <c r="AB78" s="1394">
        <v>2021</v>
      </c>
      <c r="AC78" s="1394">
        <v>2329</v>
      </c>
      <c r="AD78" s="1394">
        <v>2432</v>
      </c>
      <c r="AE78" s="1394">
        <v>1749</v>
      </c>
      <c r="AF78" s="1394">
        <v>1687</v>
      </c>
      <c r="AG78" s="1394">
        <v>1899</v>
      </c>
      <c r="AH78" s="1394">
        <v>1883</v>
      </c>
      <c r="AI78" s="1394">
        <v>1658</v>
      </c>
      <c r="AJ78" s="1394">
        <v>1461</v>
      </c>
      <c r="AK78" s="1394">
        <v>1803</v>
      </c>
      <c r="AL78" s="1394">
        <v>2048</v>
      </c>
    </row>
    <row r="79" spans="1:38" s="1394" customFormat="1">
      <c r="A79" s="1394" t="s">
        <v>210</v>
      </c>
      <c r="B79" s="1394" t="s">
        <v>67</v>
      </c>
      <c r="C79" s="1394" t="s">
        <v>583</v>
      </c>
      <c r="D79" s="1394" t="s">
        <v>583</v>
      </c>
      <c r="E79" s="1394" t="s">
        <v>583</v>
      </c>
      <c r="F79" s="1394" t="s">
        <v>583</v>
      </c>
      <c r="G79" s="1394" t="s">
        <v>583</v>
      </c>
      <c r="H79" s="1394" t="s">
        <v>583</v>
      </c>
      <c r="I79" s="1394" t="s">
        <v>583</v>
      </c>
      <c r="J79" s="1394" t="s">
        <v>583</v>
      </c>
      <c r="K79" s="1394" t="s">
        <v>583</v>
      </c>
      <c r="L79" s="1394" t="s">
        <v>583</v>
      </c>
      <c r="M79" s="1394" t="s">
        <v>583</v>
      </c>
      <c r="N79" s="1394" t="s">
        <v>583</v>
      </c>
      <c r="O79" s="1394" t="s">
        <v>583</v>
      </c>
      <c r="P79" s="1394" t="s">
        <v>583</v>
      </c>
      <c r="Q79" s="1394" t="s">
        <v>583</v>
      </c>
      <c r="R79" s="1394" t="s">
        <v>583</v>
      </c>
      <c r="S79" s="1394" t="s">
        <v>583</v>
      </c>
      <c r="T79" s="1394">
        <v>4560</v>
      </c>
      <c r="U79" s="1394">
        <v>5615</v>
      </c>
      <c r="V79" s="1394">
        <v>5765</v>
      </c>
      <c r="W79" s="1394">
        <v>6846</v>
      </c>
      <c r="X79" s="1394">
        <v>5847</v>
      </c>
      <c r="Y79" s="1394">
        <v>5136</v>
      </c>
      <c r="Z79" s="1394">
        <v>6087</v>
      </c>
      <c r="AA79" s="1394">
        <v>7827</v>
      </c>
      <c r="AB79" s="1394">
        <v>10362</v>
      </c>
      <c r="AC79" s="1394">
        <v>12027</v>
      </c>
      <c r="AD79" s="1394">
        <v>11409</v>
      </c>
      <c r="AE79" s="1394">
        <v>12655</v>
      </c>
      <c r="AF79" s="1394">
        <v>12792</v>
      </c>
      <c r="AG79" s="1394">
        <v>12226</v>
      </c>
      <c r="AH79" s="1394">
        <v>11109</v>
      </c>
      <c r="AI79" s="1394">
        <v>9205</v>
      </c>
      <c r="AJ79" s="1394">
        <v>10192</v>
      </c>
      <c r="AK79" s="1394">
        <v>12049</v>
      </c>
      <c r="AL79" s="1394">
        <v>12766</v>
      </c>
    </row>
    <row r="80" spans="1:38" s="1394" customFormat="1">
      <c r="A80" s="1942" t="s">
        <v>7</v>
      </c>
      <c r="B80" s="1939"/>
      <c r="C80" s="1939"/>
      <c r="D80" s="1939"/>
      <c r="E80" s="1939"/>
      <c r="F80" s="1939"/>
      <c r="G80" s="1939"/>
      <c r="H80" s="1939"/>
      <c r="I80" s="1939"/>
      <c r="J80" s="1939"/>
      <c r="K80" s="1939"/>
      <c r="L80" s="1939"/>
      <c r="M80" s="1939"/>
      <c r="N80" s="1939"/>
      <c r="O80" s="1939"/>
      <c r="P80" s="1939"/>
      <c r="Q80" s="1939"/>
      <c r="R80" s="1939"/>
      <c r="S80" s="1939"/>
      <c r="T80" s="1939"/>
      <c r="U80" s="1939"/>
      <c r="V80" s="1939"/>
      <c r="W80" s="1939"/>
      <c r="X80" s="1939"/>
      <c r="Y80" s="1939"/>
      <c r="Z80" s="1939"/>
      <c r="AA80" s="1939"/>
      <c r="AB80" s="1939"/>
      <c r="AC80" s="1939"/>
      <c r="AD80" s="1939"/>
      <c r="AE80" s="1939"/>
      <c r="AF80" s="1939"/>
      <c r="AG80" s="1939"/>
      <c r="AH80" s="1939"/>
      <c r="AI80" s="1939"/>
      <c r="AJ80" s="1939"/>
      <c r="AK80" s="1939"/>
      <c r="AL80" s="1939"/>
    </row>
    <row r="81" spans="1:38" s="1394" customFormat="1">
      <c r="A81" s="1938" t="s">
        <v>983</v>
      </c>
      <c r="B81" s="1939"/>
      <c r="C81" s="1939"/>
      <c r="D81" s="1939"/>
      <c r="E81" s="1939"/>
      <c r="F81" s="1939"/>
      <c r="G81" s="1939"/>
      <c r="H81" s="1939"/>
      <c r="I81" s="1939"/>
      <c r="J81" s="1939"/>
      <c r="K81" s="1939"/>
      <c r="L81" s="1939"/>
      <c r="M81" s="1939"/>
      <c r="N81" s="1939"/>
      <c r="O81" s="1939"/>
      <c r="P81" s="1939"/>
      <c r="Q81" s="1939"/>
      <c r="R81" s="1939"/>
      <c r="S81" s="1939"/>
      <c r="T81" s="1939"/>
      <c r="U81" s="1939"/>
      <c r="V81" s="1939"/>
      <c r="W81" s="1939"/>
      <c r="X81" s="1939"/>
      <c r="Y81" s="1939"/>
      <c r="Z81" s="1939"/>
      <c r="AA81" s="1939"/>
      <c r="AB81" s="1939"/>
      <c r="AC81" s="1939"/>
      <c r="AD81" s="1939"/>
      <c r="AE81" s="1939"/>
      <c r="AF81" s="1939"/>
      <c r="AG81" s="1939"/>
      <c r="AH81" s="1939"/>
      <c r="AI81" s="1939"/>
      <c r="AJ81" s="1939"/>
      <c r="AK81" s="1939"/>
      <c r="AL81" s="1939"/>
    </row>
    <row r="82" spans="1:38" s="1394" customFormat="1">
      <c r="A82" s="1938" t="s">
        <v>982</v>
      </c>
      <c r="B82" s="1939"/>
      <c r="C82" s="1939"/>
      <c r="D82" s="1939"/>
      <c r="E82" s="1939"/>
      <c r="F82" s="1939"/>
      <c r="G82" s="1939"/>
      <c r="H82" s="1939"/>
      <c r="I82" s="1939"/>
      <c r="J82" s="1939"/>
      <c r="K82" s="1939"/>
      <c r="L82" s="1939"/>
      <c r="M82" s="1939"/>
      <c r="N82" s="1939"/>
      <c r="O82" s="1939"/>
      <c r="P82" s="1939"/>
      <c r="Q82" s="1939"/>
      <c r="R82" s="1939"/>
      <c r="S82" s="1939"/>
      <c r="T82" s="1939"/>
      <c r="U82" s="1939"/>
      <c r="V82" s="1939"/>
      <c r="W82" s="1939"/>
      <c r="X82" s="1939"/>
      <c r="Y82" s="1939"/>
      <c r="Z82" s="1939"/>
      <c r="AA82" s="1939"/>
      <c r="AB82" s="1939"/>
      <c r="AC82" s="1939"/>
      <c r="AD82" s="1939"/>
      <c r="AE82" s="1939"/>
      <c r="AF82" s="1939"/>
      <c r="AG82" s="1939"/>
      <c r="AH82" s="1939"/>
      <c r="AI82" s="1939"/>
      <c r="AJ82" s="1939"/>
      <c r="AK82" s="1939"/>
      <c r="AL82" s="1939"/>
    </row>
    <row r="83" spans="1:38" s="1394" customFormat="1">
      <c r="A83" s="1938" t="s">
        <v>200</v>
      </c>
      <c r="B83" s="1939"/>
      <c r="C83" s="1939"/>
      <c r="D83" s="1939"/>
      <c r="E83" s="1939"/>
      <c r="F83" s="1939"/>
      <c r="G83" s="1939"/>
      <c r="H83" s="1939"/>
      <c r="I83" s="1939"/>
      <c r="J83" s="1939"/>
      <c r="K83" s="1939"/>
      <c r="L83" s="1939"/>
      <c r="M83" s="1939"/>
      <c r="N83" s="1939"/>
      <c r="O83" s="1939"/>
      <c r="P83" s="1939"/>
      <c r="Q83" s="1939"/>
      <c r="R83" s="1939"/>
      <c r="S83" s="1939"/>
      <c r="T83" s="1939"/>
      <c r="U83" s="1939"/>
      <c r="V83" s="1939"/>
      <c r="W83" s="1939"/>
      <c r="X83" s="1939"/>
      <c r="Y83" s="1939"/>
      <c r="Z83" s="1939"/>
      <c r="AA83" s="1939"/>
      <c r="AB83" s="1939"/>
      <c r="AC83" s="1939"/>
      <c r="AD83" s="1939"/>
      <c r="AE83" s="1939"/>
      <c r="AF83" s="1939"/>
      <c r="AG83" s="1939"/>
      <c r="AH83" s="1939"/>
      <c r="AI83" s="1939"/>
      <c r="AJ83" s="1939"/>
      <c r="AK83" s="1939"/>
      <c r="AL83" s="1939"/>
    </row>
    <row r="84" spans="1:38" s="1394" customFormat="1">
      <c r="A84" s="1938" t="s">
        <v>199</v>
      </c>
      <c r="B84" s="1939"/>
      <c r="C84" s="1939"/>
      <c r="D84" s="1939"/>
      <c r="E84" s="1939"/>
      <c r="F84" s="1939"/>
      <c r="G84" s="1939"/>
      <c r="H84" s="1939"/>
      <c r="I84" s="1939"/>
      <c r="J84" s="1939"/>
      <c r="K84" s="1939"/>
      <c r="L84" s="1939"/>
      <c r="M84" s="1939"/>
      <c r="N84" s="1939"/>
      <c r="O84" s="1939"/>
      <c r="P84" s="1939"/>
      <c r="Q84" s="1939"/>
      <c r="R84" s="1939"/>
      <c r="S84" s="1939"/>
      <c r="T84" s="1939"/>
      <c r="U84" s="1939"/>
      <c r="V84" s="1939"/>
      <c r="W84" s="1939"/>
      <c r="X84" s="1939"/>
      <c r="Y84" s="1939"/>
      <c r="Z84" s="1939"/>
      <c r="AA84" s="1939"/>
      <c r="AB84" s="1939"/>
      <c r="AC84" s="1939"/>
      <c r="AD84" s="1939"/>
      <c r="AE84" s="1939"/>
      <c r="AF84" s="1939"/>
      <c r="AG84" s="1939"/>
      <c r="AH84" s="1939"/>
      <c r="AI84" s="1939"/>
      <c r="AJ84" s="1939"/>
      <c r="AK84" s="1939"/>
      <c r="AL84" s="1939"/>
    </row>
    <row r="85" spans="1:38" s="1394" customFormat="1">
      <c r="A85" s="1938" t="s">
        <v>981</v>
      </c>
      <c r="B85" s="1939"/>
      <c r="C85" s="1939"/>
      <c r="D85" s="1939"/>
      <c r="E85" s="1939"/>
      <c r="F85" s="1939"/>
      <c r="G85" s="1939"/>
      <c r="H85" s="1939"/>
      <c r="I85" s="1939"/>
      <c r="J85" s="1939"/>
      <c r="K85" s="1939"/>
      <c r="L85" s="1939"/>
      <c r="M85" s="1939"/>
      <c r="N85" s="1939"/>
      <c r="O85" s="1939"/>
      <c r="P85" s="1939"/>
      <c r="Q85" s="1939"/>
      <c r="R85" s="1939"/>
      <c r="S85" s="1939"/>
      <c r="T85" s="1939"/>
      <c r="U85" s="1939"/>
      <c r="V85" s="1939"/>
      <c r="W85" s="1939"/>
      <c r="X85" s="1939"/>
      <c r="Y85" s="1939"/>
      <c r="Z85" s="1939"/>
      <c r="AA85" s="1939"/>
      <c r="AB85" s="1939"/>
      <c r="AC85" s="1939"/>
      <c r="AD85" s="1939"/>
      <c r="AE85" s="1939"/>
      <c r="AF85" s="1939"/>
      <c r="AG85" s="1939"/>
      <c r="AH85" s="1939"/>
      <c r="AI85" s="1939"/>
      <c r="AJ85" s="1939"/>
      <c r="AK85" s="1939"/>
      <c r="AL85" s="1939"/>
    </row>
    <row r="86" spans="1:38" s="1394" customFormat="1">
      <c r="A86" s="1938" t="s">
        <v>980</v>
      </c>
      <c r="B86" s="1939"/>
      <c r="C86" s="1939"/>
      <c r="D86" s="1939"/>
      <c r="E86" s="1939"/>
      <c r="F86" s="1939"/>
      <c r="G86" s="1939"/>
      <c r="H86" s="1939"/>
      <c r="I86" s="1939"/>
      <c r="J86" s="1939"/>
      <c r="K86" s="1939"/>
      <c r="L86" s="1939"/>
      <c r="M86" s="1939"/>
      <c r="N86" s="1939"/>
      <c r="O86" s="1939"/>
      <c r="P86" s="1939"/>
      <c r="Q86" s="1939"/>
      <c r="R86" s="1939"/>
      <c r="S86" s="1939"/>
      <c r="T86" s="1939"/>
      <c r="U86" s="1939"/>
      <c r="V86" s="1939"/>
      <c r="W86" s="1939"/>
      <c r="X86" s="1939"/>
      <c r="Y86" s="1939"/>
      <c r="Z86" s="1939"/>
      <c r="AA86" s="1939"/>
      <c r="AB86" s="1939"/>
      <c r="AC86" s="1939"/>
      <c r="AD86" s="1939"/>
      <c r="AE86" s="1939"/>
      <c r="AF86" s="1939"/>
      <c r="AG86" s="1939"/>
      <c r="AH86" s="1939"/>
      <c r="AI86" s="1939"/>
      <c r="AJ86" s="1939"/>
      <c r="AK86" s="1939"/>
      <c r="AL86" s="1939"/>
    </row>
    <row r="87" spans="1:38" s="1394" customFormat="1">
      <c r="A87" s="1938" t="s">
        <v>1049</v>
      </c>
      <c r="B87" s="1939"/>
      <c r="C87" s="1939"/>
      <c r="D87" s="1939"/>
      <c r="E87" s="1939"/>
      <c r="F87" s="1939"/>
      <c r="G87" s="1939"/>
      <c r="H87" s="1939"/>
      <c r="I87" s="1939"/>
      <c r="J87" s="1939"/>
      <c r="K87" s="1939"/>
      <c r="L87" s="1939"/>
      <c r="M87" s="1939"/>
      <c r="N87" s="1939"/>
      <c r="O87" s="1939"/>
      <c r="P87" s="1939"/>
      <c r="Q87" s="1939"/>
      <c r="R87" s="1939"/>
      <c r="S87" s="1939"/>
      <c r="T87" s="1939"/>
      <c r="U87" s="1939"/>
      <c r="V87" s="1939"/>
      <c r="W87" s="1939"/>
      <c r="X87" s="1939"/>
      <c r="Y87" s="1939"/>
      <c r="Z87" s="1939"/>
      <c r="AA87" s="1939"/>
      <c r="AB87" s="1939"/>
      <c r="AC87" s="1939"/>
      <c r="AD87" s="1939"/>
      <c r="AE87" s="1939"/>
      <c r="AF87" s="1939"/>
      <c r="AG87" s="1939"/>
      <c r="AH87" s="1939"/>
      <c r="AI87" s="1939"/>
      <c r="AJ87" s="1939"/>
      <c r="AK87" s="1939"/>
      <c r="AL87" s="1939"/>
    </row>
    <row r="88" spans="1:38" s="1394" customFormat="1">
      <c r="A88" s="1938" t="s">
        <v>1048</v>
      </c>
      <c r="B88" s="1939"/>
      <c r="C88" s="1939"/>
      <c r="D88" s="1939"/>
      <c r="E88" s="1939"/>
      <c r="F88" s="1939"/>
      <c r="G88" s="1939"/>
      <c r="H88" s="1939"/>
      <c r="I88" s="1939"/>
      <c r="J88" s="1939"/>
      <c r="K88" s="1939"/>
      <c r="L88" s="1939"/>
      <c r="M88" s="1939"/>
      <c r="N88" s="1939"/>
      <c r="O88" s="1939"/>
      <c r="P88" s="1939"/>
      <c r="Q88" s="1939"/>
      <c r="R88" s="1939"/>
      <c r="S88" s="1939"/>
      <c r="T88" s="1939"/>
      <c r="U88" s="1939"/>
      <c r="V88" s="1939"/>
      <c r="W88" s="1939"/>
      <c r="X88" s="1939"/>
      <c r="Y88" s="1939"/>
      <c r="Z88" s="1939"/>
      <c r="AA88" s="1939"/>
      <c r="AB88" s="1939"/>
      <c r="AC88" s="1939"/>
      <c r="AD88" s="1939"/>
      <c r="AE88" s="1939"/>
      <c r="AF88" s="1939"/>
      <c r="AG88" s="1939"/>
      <c r="AH88" s="1939"/>
      <c r="AI88" s="1939"/>
      <c r="AJ88" s="1939"/>
      <c r="AK88" s="1939"/>
      <c r="AL88" s="1939"/>
    </row>
  </sheetData>
  <mergeCells count="13">
    <mergeCell ref="A88:AL88"/>
    <mergeCell ref="A82:AL82"/>
    <mergeCell ref="A83:AL83"/>
    <mergeCell ref="A84:AL84"/>
    <mergeCell ref="A85:AL85"/>
    <mergeCell ref="A86:AL86"/>
    <mergeCell ref="A87:AL87"/>
    <mergeCell ref="A81:AL81"/>
    <mergeCell ref="A1:AL1"/>
    <mergeCell ref="A2:AL2"/>
    <mergeCell ref="A3:AL3"/>
    <mergeCell ref="A4:AL4"/>
    <mergeCell ref="A80:AL80"/>
  </mergeCells>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9"/>
  <sheetViews>
    <sheetView topLeftCell="A15" zoomScale="90" zoomScaleNormal="90" zoomScalePageLayoutView="90" workbookViewId="0">
      <selection activeCell="X67" sqref="X67"/>
    </sheetView>
  </sheetViews>
  <sheetFormatPr baseColWidth="10" defaultColWidth="7.5703125" defaultRowHeight="15" x14ac:dyDescent="0"/>
  <cols>
    <col min="1" max="1" width="7.5703125" style="1267"/>
    <col min="2" max="2" width="10.42578125" style="1267" customWidth="1"/>
    <col min="3" max="3" width="8.85546875" style="1267" customWidth="1"/>
    <col min="4" max="6" width="7.5703125" style="1267"/>
    <col min="7" max="7" width="12.5703125" style="1267" customWidth="1"/>
    <col min="8" max="10" width="7.5703125" style="1267"/>
    <col min="11" max="11" width="11.42578125" style="1267" customWidth="1"/>
    <col min="12" max="12" width="13" style="1267" customWidth="1"/>
    <col min="13" max="13" width="17.85546875" style="1267" customWidth="1"/>
    <col min="14" max="14" width="16.42578125" style="1267" customWidth="1"/>
    <col min="15" max="15" width="7.5703125" style="1267"/>
    <col min="16" max="16" width="8.140625" style="1267" customWidth="1"/>
    <col min="17" max="17" width="10.140625" style="1267" customWidth="1"/>
    <col min="18" max="18" width="10.28515625" style="1267" customWidth="1"/>
    <col min="19" max="20" width="9.7109375" style="1267" customWidth="1"/>
    <col min="21" max="21" width="7.5703125" style="1267"/>
    <col min="22" max="22" width="10.7109375" style="1267" customWidth="1"/>
    <col min="23" max="23" width="10.28515625" style="1267" customWidth="1"/>
    <col min="24" max="24" width="10" style="1267" customWidth="1"/>
    <col min="25" max="16384" width="7.5703125" style="1267"/>
  </cols>
  <sheetData>
    <row r="1" spans="1:24">
      <c r="A1" s="1267" t="s">
        <v>2640</v>
      </c>
    </row>
    <row r="3" spans="1:24" ht="16" thickBot="1"/>
    <row r="4" spans="1:24" ht="16" thickTop="1">
      <c r="A4" s="1285"/>
      <c r="B4" s="1989" t="s">
        <v>2641</v>
      </c>
      <c r="C4" s="1989"/>
      <c r="D4" s="1989"/>
      <c r="E4" s="1990"/>
      <c r="H4" s="1285"/>
      <c r="I4" s="1989" t="s">
        <v>2642</v>
      </c>
      <c r="J4" s="1989"/>
      <c r="K4" s="1989"/>
      <c r="L4" s="1989"/>
      <c r="M4" s="1989"/>
      <c r="N4" s="1990"/>
      <c r="O4" s="1286"/>
      <c r="P4" s="1285"/>
      <c r="Q4" s="1989" t="s">
        <v>2643</v>
      </c>
      <c r="R4" s="1989"/>
      <c r="S4" s="1990"/>
      <c r="T4" s="1286"/>
      <c r="U4" s="1285"/>
      <c r="V4" s="1989" t="s">
        <v>2644</v>
      </c>
      <c r="W4" s="1989"/>
      <c r="X4" s="1990"/>
    </row>
    <row r="5" spans="1:24" ht="56.5" customHeight="1">
      <c r="A5" s="1270"/>
      <c r="B5" s="1984" t="s">
        <v>2645</v>
      </c>
      <c r="C5" s="1983"/>
      <c r="D5" s="1982" t="s">
        <v>2646</v>
      </c>
      <c r="E5" s="1991"/>
      <c r="H5" s="1270"/>
      <c r="I5" s="1984" t="s">
        <v>2647</v>
      </c>
      <c r="J5" s="1983"/>
      <c r="K5" s="1982" t="s">
        <v>2648</v>
      </c>
      <c r="L5" s="1983"/>
      <c r="M5" s="1982" t="s">
        <v>2649</v>
      </c>
      <c r="N5" s="1991"/>
      <c r="O5" s="1287"/>
      <c r="P5" s="1288"/>
      <c r="Q5" s="1289" t="s">
        <v>2650</v>
      </c>
      <c r="R5" s="1289" t="s">
        <v>2651</v>
      </c>
      <c r="S5" s="1290" t="s">
        <v>2652</v>
      </c>
      <c r="T5" s="1272"/>
      <c r="U5" s="1270"/>
      <c r="V5" s="1289" t="s">
        <v>2650</v>
      </c>
      <c r="W5" s="1291" t="s">
        <v>2651</v>
      </c>
      <c r="X5" s="1290" t="s">
        <v>2652</v>
      </c>
    </row>
    <row r="6" spans="1:24">
      <c r="A6" s="1270"/>
      <c r="B6" s="1272" t="s">
        <v>2653</v>
      </c>
      <c r="C6" s="1272" t="s">
        <v>2638</v>
      </c>
      <c r="D6" s="1272" t="s">
        <v>2653</v>
      </c>
      <c r="E6" s="1273" t="s">
        <v>2638</v>
      </c>
      <c r="H6" s="1270"/>
      <c r="I6" s="1272"/>
      <c r="J6" s="1272"/>
      <c r="K6" s="1280"/>
      <c r="L6" s="1292"/>
      <c r="M6" s="1272"/>
      <c r="N6" s="1273"/>
      <c r="O6" s="1272"/>
      <c r="P6" s="1270"/>
      <c r="Q6" s="1272"/>
      <c r="R6" s="1272"/>
      <c r="S6" s="1273"/>
      <c r="T6" s="1272"/>
      <c r="U6" s="1270"/>
      <c r="V6" s="1272"/>
      <c r="W6" s="1271"/>
      <c r="X6" s="1273"/>
    </row>
    <row r="7" spans="1:24">
      <c r="A7" s="1293">
        <v>2013</v>
      </c>
      <c r="B7" s="1272"/>
      <c r="C7" s="1272"/>
      <c r="D7" s="1272"/>
      <c r="E7" s="1273"/>
      <c r="H7" s="1293">
        <v>2013</v>
      </c>
      <c r="I7" s="1272">
        <v>6054227</v>
      </c>
      <c r="J7" s="1272">
        <v>4443216</v>
      </c>
      <c r="K7" s="1280">
        <v>5096442</v>
      </c>
      <c r="L7" s="1292">
        <v>2815659</v>
      </c>
      <c r="M7" s="1272">
        <v>4379769</v>
      </c>
      <c r="N7" s="1273">
        <v>2222623</v>
      </c>
      <c r="O7" s="1272"/>
      <c r="P7" s="1293">
        <v>2013</v>
      </c>
      <c r="Q7" s="1272"/>
      <c r="R7" s="1272"/>
      <c r="S7" s="1273"/>
      <c r="T7" s="1272"/>
      <c r="U7" s="1293">
        <v>2013</v>
      </c>
      <c r="V7" s="1272"/>
      <c r="W7" s="1271"/>
      <c r="X7" s="1273"/>
    </row>
    <row r="8" spans="1:24">
      <c r="A8" s="1293">
        <v>2014</v>
      </c>
      <c r="B8" s="1272">
        <v>455568</v>
      </c>
      <c r="C8" s="1272">
        <v>162437</v>
      </c>
      <c r="D8" s="1272">
        <v>436799</v>
      </c>
      <c r="E8" s="1273">
        <v>151845</v>
      </c>
      <c r="H8" s="1293">
        <v>2014</v>
      </c>
      <c r="I8" s="1272">
        <v>6040129</v>
      </c>
      <c r="J8" s="1272">
        <v>4895752</v>
      </c>
      <c r="K8" s="1280">
        <v>5396477</v>
      </c>
      <c r="L8" s="1292">
        <v>2979518</v>
      </c>
      <c r="M8" s="1272">
        <v>4673411</v>
      </c>
      <c r="N8" s="1273">
        <v>2384659</v>
      </c>
      <c r="O8" s="1272"/>
      <c r="P8" s="1293">
        <v>2014</v>
      </c>
      <c r="Q8" s="1318">
        <f>(B8/I7)-(C8/J7)</f>
        <v>3.8689492073893217E-2</v>
      </c>
      <c r="R8" s="1318">
        <f>(B8/K7)-(C8/L7)</f>
        <v>3.1698841371605162E-2</v>
      </c>
      <c r="S8" s="1319">
        <f>(B8/M7)-(C8/N7)</f>
        <v>3.0932975306611182E-2</v>
      </c>
      <c r="T8" s="1272"/>
      <c r="U8" s="1293">
        <v>2014</v>
      </c>
      <c r="V8" s="1318">
        <f>(D8/I7)-(E8/J7)</f>
        <v>3.797320292716843E-2</v>
      </c>
      <c r="W8" s="1323">
        <f>(D8/K7)-(E8/L7)</f>
        <v>3.1777895191913479E-2</v>
      </c>
      <c r="X8" s="1319">
        <f>(D8/M7)-(E8/N7)</f>
        <v>3.1413130013949686E-2</v>
      </c>
    </row>
    <row r="9" spans="1:24">
      <c r="A9" s="1293">
        <v>2015</v>
      </c>
      <c r="B9" s="1272">
        <v>416422</v>
      </c>
      <c r="C9" s="1272">
        <v>131237</v>
      </c>
      <c r="D9" s="1272">
        <v>397330</v>
      </c>
      <c r="E9" s="1273">
        <v>120318</v>
      </c>
      <c r="H9" s="1293">
        <v>2015</v>
      </c>
      <c r="I9" s="1272">
        <v>5787912</v>
      </c>
      <c r="J9" s="1272">
        <v>5076420</v>
      </c>
      <c r="K9" s="1280">
        <v>5563875</v>
      </c>
      <c r="L9" s="1292">
        <v>3296496</v>
      </c>
      <c r="M9" s="1272">
        <v>4828912</v>
      </c>
      <c r="N9" s="1273">
        <v>2670348</v>
      </c>
      <c r="O9" s="1272"/>
      <c r="P9" s="1293">
        <v>2015</v>
      </c>
      <c r="Q9" s="1318">
        <f>(B9/I8)-(C9/J8)</f>
        <v>4.2136266640280744E-2</v>
      </c>
      <c r="R9" s="1318">
        <f t="shared" ref="R9:R10" si="0">(B9/K8)-(C9/L8)</f>
        <v>3.3119142521409968E-2</v>
      </c>
      <c r="S9" s="1319">
        <f t="shared" ref="S9:S10" si="1">(B9/M8)-(C9/N8)</f>
        <v>3.4070646222031646E-2</v>
      </c>
      <c r="T9" s="1272"/>
      <c r="U9" s="1293">
        <v>2015</v>
      </c>
      <c r="V9" s="1318">
        <f t="shared" ref="V9:V10" si="2">(D9/I8)-(E9/J8)</f>
        <v>4.1205707877642814E-2</v>
      </c>
      <c r="W9" s="1323">
        <f t="shared" ref="W9:W10" si="3">(D9/K8)-(E9/L8)</f>
        <v>3.3245965541740113E-2</v>
      </c>
      <c r="X9" s="1319">
        <f t="shared" ref="X9:X10" si="4">(D9/M8)-(E9/N8)</f>
        <v>3.4564259145575614E-2</v>
      </c>
    </row>
    <row r="10" spans="1:24" ht="16" thickBot="1">
      <c r="A10" s="1294">
        <v>2016</v>
      </c>
      <c r="B10" s="1276">
        <v>419493</v>
      </c>
      <c r="C10" s="1276">
        <v>138108</v>
      </c>
      <c r="D10" s="1276">
        <v>399678</v>
      </c>
      <c r="E10" s="1277">
        <v>126903</v>
      </c>
      <c r="H10" s="1294">
        <v>2016</v>
      </c>
      <c r="I10" s="1276">
        <v>6172334</v>
      </c>
      <c r="J10" s="1276">
        <v>5783500</v>
      </c>
      <c r="K10" s="1281">
        <v>5899636</v>
      </c>
      <c r="L10" s="1295">
        <v>3619510</v>
      </c>
      <c r="M10" s="1276">
        <v>5143140</v>
      </c>
      <c r="N10" s="1277">
        <v>2953297</v>
      </c>
      <c r="O10" s="1272"/>
      <c r="P10" s="1294">
        <v>2016</v>
      </c>
      <c r="Q10" s="1320">
        <f>(B10/I9)-(C10/J9)</f>
        <v>4.5271645520862401E-2</v>
      </c>
      <c r="R10" s="1320">
        <f t="shared" si="0"/>
        <v>3.3500440355081859E-2</v>
      </c>
      <c r="S10" s="1321">
        <f t="shared" si="1"/>
        <v>3.5152019499500468E-2</v>
      </c>
      <c r="T10" s="1272"/>
      <c r="U10" s="1294">
        <v>2016</v>
      </c>
      <c r="V10" s="1320">
        <f t="shared" si="2"/>
        <v>4.405539530868624E-2</v>
      </c>
      <c r="W10" s="1324">
        <f t="shared" si="3"/>
        <v>3.3338137235071966E-2</v>
      </c>
      <c r="X10" s="1321">
        <f t="shared" si="4"/>
        <v>3.5244693006885049E-2</v>
      </c>
    </row>
    <row r="11" spans="1:24" ht="17" thickTop="1" thickBot="1">
      <c r="U11" s="1296"/>
    </row>
    <row r="12" spans="1:24" ht="16" thickBot="1">
      <c r="I12" s="1297"/>
      <c r="J12" s="1297"/>
      <c r="K12" s="1297"/>
      <c r="L12" s="1297"/>
      <c r="P12" s="1268" t="s">
        <v>2654</v>
      </c>
      <c r="Q12" s="1322">
        <f>100*AVERAGE(Q8:Q10)</f>
        <v>4.203246807834546</v>
      </c>
      <c r="R12" s="1322">
        <f t="shared" ref="R12:W12" si="5">100*AVERAGE(R8:R10)</f>
        <v>3.2772808082698992</v>
      </c>
      <c r="S12" s="1322">
        <f t="shared" si="5"/>
        <v>3.3385213676047769</v>
      </c>
      <c r="V12" s="1322">
        <f t="shared" si="5"/>
        <v>4.1078102037832496</v>
      </c>
      <c r="W12" s="1322">
        <f t="shared" si="5"/>
        <v>3.2787332656241857</v>
      </c>
      <c r="X12" s="1322">
        <f>100*AVERAGE(X8:X10)</f>
        <v>3.3740694055470115</v>
      </c>
    </row>
    <row r="16" spans="1:24">
      <c r="D16" s="1267" t="s">
        <v>2655</v>
      </c>
      <c r="E16" s="1267" t="s">
        <v>2656</v>
      </c>
      <c r="F16" s="1267" t="s">
        <v>2657</v>
      </c>
    </row>
    <row r="17" spans="2:20">
      <c r="C17" s="1268" t="s">
        <v>2654</v>
      </c>
      <c r="D17" s="1298">
        <v>4.203246807834546</v>
      </c>
      <c r="E17" s="1298">
        <v>3.2772808082698992</v>
      </c>
      <c r="F17" s="1298">
        <v>3.3385213676047769</v>
      </c>
      <c r="G17" s="1298"/>
    </row>
    <row r="18" spans="2:20" ht="16" thickBot="1"/>
    <row r="19" spans="2:20" ht="16" thickTop="1">
      <c r="P19" s="1285"/>
      <c r="Q19" s="1989" t="s">
        <v>2658</v>
      </c>
      <c r="R19" s="1989"/>
      <c r="S19" s="1990"/>
      <c r="T19" s="1286"/>
    </row>
    <row r="20" spans="2:20">
      <c r="P20" s="1270"/>
      <c r="Q20" s="1289" t="s">
        <v>2650</v>
      </c>
      <c r="R20" s="1291" t="s">
        <v>2651</v>
      </c>
      <c r="S20" s="1290" t="s">
        <v>2652</v>
      </c>
      <c r="T20" s="1272"/>
    </row>
    <row r="21" spans="2:20" ht="16" thickBot="1">
      <c r="P21" s="1299">
        <v>2013</v>
      </c>
      <c r="Q21" s="1272"/>
      <c r="R21" s="1271"/>
      <c r="S21" s="1273"/>
      <c r="T21" s="1272"/>
    </row>
    <row r="22" spans="2:20" ht="16" thickTop="1">
      <c r="B22" s="1285"/>
      <c r="C22" s="1992" t="s">
        <v>3283</v>
      </c>
      <c r="D22" s="1989"/>
      <c r="E22" s="1989"/>
      <c r="F22" s="1993"/>
      <c r="G22" s="1985" t="s">
        <v>3284</v>
      </c>
      <c r="H22" s="1986"/>
      <c r="I22" s="1986"/>
      <c r="J22" s="1987"/>
      <c r="K22" s="1985" t="s">
        <v>3289</v>
      </c>
      <c r="L22" s="1986"/>
      <c r="M22" s="1986"/>
      <c r="N22" s="1988"/>
      <c r="P22" s="1299">
        <v>2014</v>
      </c>
      <c r="Q22" s="1272">
        <f>B8/I7</f>
        <v>7.5247921823876115E-2</v>
      </c>
      <c r="R22" s="1271">
        <f>B8/K7</f>
        <v>8.9389421090242963E-2</v>
      </c>
      <c r="S22" s="1273">
        <f>B8/M7</f>
        <v>0.10401644470290557</v>
      </c>
      <c r="T22" s="1272"/>
    </row>
    <row r="23" spans="2:20" ht="34" customHeight="1">
      <c r="B23" s="1270"/>
      <c r="C23" s="1994" t="s">
        <v>3285</v>
      </c>
      <c r="D23" s="1983"/>
      <c r="E23" s="1994" t="s">
        <v>3286</v>
      </c>
      <c r="F23" s="1983"/>
      <c r="G23" s="1984" t="s">
        <v>2647</v>
      </c>
      <c r="H23" s="1983"/>
      <c r="I23" s="1982" t="s">
        <v>2648</v>
      </c>
      <c r="J23" s="1983"/>
      <c r="K23" s="1410" t="s">
        <v>3287</v>
      </c>
      <c r="L23" s="1410" t="s">
        <v>3288</v>
      </c>
      <c r="M23" s="1410" t="s">
        <v>3290</v>
      </c>
      <c r="N23" s="1411" t="s">
        <v>3291</v>
      </c>
      <c r="P23" s="1299">
        <v>2015</v>
      </c>
      <c r="Q23" s="1272">
        <f t="shared" ref="Q23:Q24" si="6">B9/I8</f>
        <v>6.8942567286228496E-2</v>
      </c>
      <c r="R23" s="1271">
        <f t="shared" ref="R23" si="7">B9/K8</f>
        <v>7.7165528547606152E-2</v>
      </c>
      <c r="S23" s="1273">
        <f t="shared" ref="S23:S24" si="8">B9/M8</f>
        <v>8.9104510602641199E-2</v>
      </c>
      <c r="T23" s="1272"/>
    </row>
    <row r="24" spans="2:20">
      <c r="B24" s="1270"/>
      <c r="C24" s="1280" t="s">
        <v>2653</v>
      </c>
      <c r="D24" s="1409" t="s">
        <v>2638</v>
      </c>
      <c r="E24" s="1272" t="s">
        <v>2653</v>
      </c>
      <c r="F24" s="1292" t="s">
        <v>2638</v>
      </c>
      <c r="G24" s="1272"/>
      <c r="H24" s="1272"/>
      <c r="I24" s="1280"/>
      <c r="J24" s="1292"/>
      <c r="K24" s="1272"/>
      <c r="L24" s="1409"/>
      <c r="M24" s="1272"/>
      <c r="N24" s="1273"/>
      <c r="P24" s="1299">
        <v>2016</v>
      </c>
      <c r="Q24" s="1272">
        <f t="shared" si="6"/>
        <v>7.2477432276095419E-2</v>
      </c>
      <c r="R24" s="1271">
        <f>B10/K9</f>
        <v>7.5395834737480627E-2</v>
      </c>
      <c r="S24" s="1273">
        <f t="shared" si="8"/>
        <v>8.6871121279493188E-2</v>
      </c>
      <c r="T24" s="1272"/>
    </row>
    <row r="25" spans="2:20" ht="16" thickBot="1">
      <c r="B25" s="1293">
        <v>2013</v>
      </c>
      <c r="C25" s="1280"/>
      <c r="D25" s="1292"/>
      <c r="E25" s="1272"/>
      <c r="F25" s="1292"/>
      <c r="G25" s="1272">
        <v>7120688</v>
      </c>
      <c r="H25" s="1272">
        <v>5814935</v>
      </c>
      <c r="I25" s="1280">
        <v>6162903</v>
      </c>
      <c r="J25" s="1292">
        <v>4187378</v>
      </c>
      <c r="L25" s="1292"/>
      <c r="M25" s="1272"/>
      <c r="N25" s="1273"/>
      <c r="P25" s="1300" t="s">
        <v>2659</v>
      </c>
      <c r="Q25" s="1276"/>
      <c r="R25" s="1275">
        <f>AVERAGE(R22:R24)</f>
        <v>8.0650261458443243E-2</v>
      </c>
      <c r="S25" s="1277">
        <f>AVERAGE(S22:S24)</f>
        <v>9.3330692195013318E-2</v>
      </c>
      <c r="T25" s="1272"/>
    </row>
    <row r="26" spans="2:20" ht="17" thickTop="1" thickBot="1">
      <c r="B26" s="1293">
        <v>2014</v>
      </c>
      <c r="C26" s="1280">
        <v>474805</v>
      </c>
      <c r="D26" s="1292">
        <v>198107</v>
      </c>
      <c r="E26" s="1272">
        <f>'US DI inc 170618'!AI31+'US DI inc 170618'!AI10</f>
        <v>383325</v>
      </c>
      <c r="F26" s="1292">
        <f>'US DI inc 170618'!AI70+'US DI inc 170618'!AI50</f>
        <v>187515</v>
      </c>
      <c r="G26" s="1272">
        <v>7189420</v>
      </c>
      <c r="H26" s="1272">
        <v>6369524</v>
      </c>
      <c r="I26" s="1280">
        <v>6545768</v>
      </c>
      <c r="J26" s="1292">
        <v>4453290</v>
      </c>
      <c r="K26" s="1272">
        <f>(C26/G25)-(D26/H25)</f>
        <v>3.2610999773180716E-2</v>
      </c>
      <c r="L26" s="1292">
        <f>(C26/I25)-(D26/J25)</f>
        <v>2.9731913583794609E-2</v>
      </c>
      <c r="M26" s="1280">
        <f>(E26/G25)-(F26/H25)</f>
        <v>2.1585443060604309E-2</v>
      </c>
      <c r="N26" s="1273">
        <f>(E26/I25)-(F26/J25)</f>
        <v>1.7417766077373699E-2</v>
      </c>
      <c r="P26" s="1301"/>
    </row>
    <row r="27" spans="2:20" ht="16" thickTop="1">
      <c r="B27" s="1293">
        <v>2015</v>
      </c>
      <c r="C27" s="1280">
        <v>436909</v>
      </c>
      <c r="D27" s="1292">
        <v>170380</v>
      </c>
      <c r="E27" s="1272">
        <f>'US DI inc 170618'!AJ32+'US DI inc 170618'!AJ11</f>
        <v>352894</v>
      </c>
      <c r="F27" s="1292">
        <f>'US DI inc 170618'!AJ70+'US DI inc 170618'!AJ50</f>
        <v>159461</v>
      </c>
      <c r="G27" s="1272">
        <v>6998949</v>
      </c>
      <c r="H27" s="1272">
        <v>6700834</v>
      </c>
      <c r="I27" s="1280">
        <v>6774912</v>
      </c>
      <c r="J27" s="1292">
        <v>4920910</v>
      </c>
      <c r="K27" s="1272">
        <f>(C27/G26)-(D27/H26)</f>
        <v>3.4021853726222108E-2</v>
      </c>
      <c r="L27" s="1292">
        <f t="shared" ref="L27" si="9">(C27/I26)-(D27/J26)</f>
        <v>2.8487435361451867E-2</v>
      </c>
      <c r="M27" s="1280">
        <f>(E27/G26)-(F27/H26)</f>
        <v>2.405018874006272E-2</v>
      </c>
      <c r="N27" s="1273">
        <f t="shared" ref="N27:N28" si="10">(E27/I26)-(F27/J26)</f>
        <v>1.8104320131582086E-2</v>
      </c>
      <c r="P27" s="1302"/>
      <c r="Q27" s="1989" t="s">
        <v>2660</v>
      </c>
      <c r="R27" s="1989"/>
      <c r="S27" s="1990"/>
      <c r="T27" s="1286"/>
    </row>
    <row r="28" spans="2:20">
      <c r="B28" s="1293">
        <v>2016</v>
      </c>
      <c r="C28" s="1280">
        <v>444038</v>
      </c>
      <c r="D28" s="1292">
        <v>185211</v>
      </c>
      <c r="E28" s="1272">
        <f>'US DI inc 170618'!AK33+'US DI inc 170618'!AK12</f>
        <v>424222</v>
      </c>
      <c r="F28" s="1292">
        <f>'US DI inc 170618'!AK70+'US DI inc 170618'!AK50</f>
        <v>174006</v>
      </c>
      <c r="G28" s="1272">
        <v>7375049</v>
      </c>
      <c r="H28" s="1272">
        <v>7569251</v>
      </c>
      <c r="I28" s="1280">
        <v>7102351</v>
      </c>
      <c r="J28" s="1292">
        <v>5405261</v>
      </c>
      <c r="K28" s="1280">
        <f>(C28/G27)-(D28/H27)</f>
        <v>3.5803533316611243E-2</v>
      </c>
      <c r="L28" s="1292">
        <f>(C28/I27)-(D28/J27)</f>
        <v>2.7903964742582277E-2</v>
      </c>
      <c r="M28" s="1280">
        <f>(E28/G27)-(F28/H27)</f>
        <v>3.464443098768874E-2</v>
      </c>
      <c r="N28" s="1273">
        <f t="shared" si="10"/>
        <v>2.7256073771084181E-2</v>
      </c>
      <c r="P28" s="1288"/>
      <c r="Q28" s="1289" t="s">
        <v>2650</v>
      </c>
      <c r="R28" s="1291" t="s">
        <v>2651</v>
      </c>
      <c r="S28" s="1290" t="s">
        <v>2652</v>
      </c>
      <c r="T28" s="1272"/>
    </row>
    <row r="29" spans="2:20" ht="16" thickBot="1">
      <c r="B29" s="1417" t="s">
        <v>3292</v>
      </c>
      <c r="C29" s="1413"/>
      <c r="D29" s="1414"/>
      <c r="E29" s="1415"/>
      <c r="F29" s="1414"/>
      <c r="G29" s="1415"/>
      <c r="H29" s="1415"/>
      <c r="I29" s="1413"/>
      <c r="J29" s="1414"/>
      <c r="K29" s="1413">
        <f>AVERAGE(K26:K28)</f>
        <v>3.4145462272004684E-2</v>
      </c>
      <c r="L29" s="1415">
        <f t="shared" ref="L29:N29" si="11">AVERAGE(L26:L28)</f>
        <v>2.8707771229276247E-2</v>
      </c>
      <c r="M29" s="1413">
        <f t="shared" si="11"/>
        <v>2.6760020929451924E-2</v>
      </c>
      <c r="N29" s="1416">
        <f t="shared" si="11"/>
        <v>2.0926053326679989E-2</v>
      </c>
      <c r="P29" s="1299">
        <v>2013</v>
      </c>
      <c r="Q29" s="1272"/>
      <c r="R29" s="1271"/>
      <c r="S29" s="1273"/>
      <c r="T29" s="1272"/>
    </row>
    <row r="30" spans="2:20" ht="16" thickTop="1">
      <c r="P30" s="1299">
        <v>2014</v>
      </c>
      <c r="Q30" s="1272">
        <f>C8/J7</f>
        <v>3.6558429749982899E-2</v>
      </c>
      <c r="R30" s="1271">
        <f>C8/L7</f>
        <v>5.7690579718637801E-2</v>
      </c>
      <c r="S30" s="1273">
        <f>C8/N7</f>
        <v>7.3083469396294384E-2</v>
      </c>
      <c r="T30" s="1272"/>
    </row>
    <row r="31" spans="2:20" ht="16" thickBot="1">
      <c r="P31" s="1299">
        <v>2015</v>
      </c>
      <c r="Q31" s="1272">
        <f t="shared" ref="Q31:Q32" si="12">C9/J8</f>
        <v>2.6806300645947752E-2</v>
      </c>
      <c r="R31" s="1271">
        <f t="shared" ref="R31:R32" si="13">C9/L8</f>
        <v>4.4046386026196184E-2</v>
      </c>
      <c r="S31" s="1273">
        <f t="shared" ref="S31:S32" si="14">C9/N8</f>
        <v>5.5033864380609553E-2</v>
      </c>
      <c r="T31" s="1272"/>
    </row>
    <row r="32" spans="2:20" ht="44" customHeight="1" thickTop="1">
      <c r="B32" s="1285"/>
      <c r="C32" s="1985" t="s">
        <v>3278</v>
      </c>
      <c r="D32" s="1987"/>
      <c r="E32" s="1985" t="s">
        <v>3279</v>
      </c>
      <c r="F32" s="1987"/>
      <c r="G32" s="1420" t="s">
        <v>3293</v>
      </c>
      <c r="P32" s="1299">
        <v>2016</v>
      </c>
      <c r="Q32" s="1272">
        <f t="shared" si="12"/>
        <v>2.7205786755233018E-2</v>
      </c>
      <c r="R32" s="1271">
        <f t="shared" si="13"/>
        <v>4.1895394382398768E-2</v>
      </c>
      <c r="S32" s="1273">
        <f t="shared" si="14"/>
        <v>5.171910177999272E-2</v>
      </c>
      <c r="T32" s="1272"/>
    </row>
    <row r="33" spans="2:20" ht="16" thickBot="1">
      <c r="B33" s="1270"/>
      <c r="C33" s="1418" t="s">
        <v>2653</v>
      </c>
      <c r="D33" s="1419" t="s">
        <v>2638</v>
      </c>
      <c r="E33" s="1418" t="s">
        <v>2653</v>
      </c>
      <c r="F33" s="1419" t="s">
        <v>2638</v>
      </c>
      <c r="G33" s="1273"/>
      <c r="P33" s="1300" t="s">
        <v>2659</v>
      </c>
      <c r="Q33" s="1276"/>
      <c r="R33" s="1275">
        <f>AVERAGE(R30:R32)</f>
        <v>4.7877453375744249E-2</v>
      </c>
      <c r="S33" s="1277">
        <f>AVERAGE(S30:S32)</f>
        <v>5.9945478518965555E-2</v>
      </c>
      <c r="T33" s="1272"/>
    </row>
    <row r="34" spans="2:20" ht="16" thickTop="1">
      <c r="B34" s="1293">
        <v>2013</v>
      </c>
      <c r="C34" s="1280"/>
      <c r="D34" s="1292"/>
      <c r="E34" s="1280">
        <v>1066461</v>
      </c>
      <c r="F34" s="1292">
        <v>1371719</v>
      </c>
      <c r="G34" s="1273"/>
    </row>
    <row r="35" spans="2:20">
      <c r="B35" s="1293">
        <v>2014</v>
      </c>
      <c r="C35" s="1280">
        <v>19237</v>
      </c>
      <c r="D35" s="1292">
        <v>35670</v>
      </c>
      <c r="E35" s="1280">
        <v>1149291</v>
      </c>
      <c r="F35" s="1292">
        <v>1473772</v>
      </c>
      <c r="G35" s="1273">
        <f>(C35/E34)-(D35/F34)</f>
        <v>-7.9657026553919333E-3</v>
      </c>
    </row>
    <row r="36" spans="2:20">
      <c r="B36" s="1293">
        <v>2015</v>
      </c>
      <c r="C36" s="1280">
        <v>20487</v>
      </c>
      <c r="D36" s="1292">
        <v>39143</v>
      </c>
      <c r="E36" s="1280">
        <v>1211037</v>
      </c>
      <c r="F36" s="1292">
        <v>1624414</v>
      </c>
      <c r="G36" s="1273">
        <f t="shared" ref="G36" si="15">(C36/E35)-(D36/F35)</f>
        <v>-8.733966641952088E-3</v>
      </c>
    </row>
    <row r="37" spans="2:20">
      <c r="B37" s="1293">
        <v>2016</v>
      </c>
      <c r="C37" s="1280">
        <v>24544</v>
      </c>
      <c r="D37" s="1292">
        <v>47103</v>
      </c>
      <c r="E37" s="1280">
        <v>1202715</v>
      </c>
      <c r="F37" s="1292">
        <v>1785751</v>
      </c>
      <c r="G37" s="1273">
        <f>(C37/E36)-(D37/F36)</f>
        <v>-8.729990012641374E-3</v>
      </c>
      <c r="P37" s="1267" t="s">
        <v>2661</v>
      </c>
      <c r="R37" s="1267">
        <f>R25-R33</f>
        <v>3.2772808082698994E-2</v>
      </c>
    </row>
    <row r="38" spans="2:20" ht="16" thickBot="1">
      <c r="B38" s="1412" t="s">
        <v>3295</v>
      </c>
      <c r="C38" s="1413"/>
      <c r="D38" s="1414"/>
      <c r="E38" s="1413"/>
      <c r="F38" s="1414"/>
      <c r="G38" s="1416">
        <f>AVERAGE(G35:G37)</f>
        <v>-8.4765531033284651E-3</v>
      </c>
    </row>
    <row r="39" spans="2:20" ht="16" thickTop="1"/>
  </sheetData>
  <mergeCells count="20">
    <mergeCell ref="Q19:S19"/>
    <mergeCell ref="Q27:S27"/>
    <mergeCell ref="B4:E4"/>
    <mergeCell ref="I4:N4"/>
    <mergeCell ref="Q4:S4"/>
    <mergeCell ref="C22:F22"/>
    <mergeCell ref="C23:D23"/>
    <mergeCell ref="E23:F23"/>
    <mergeCell ref="V4:X4"/>
    <mergeCell ref="B5:C5"/>
    <mergeCell ref="D5:E5"/>
    <mergeCell ref="I5:J5"/>
    <mergeCell ref="K5:L5"/>
    <mergeCell ref="M5:N5"/>
    <mergeCell ref="I23:J23"/>
    <mergeCell ref="G23:H23"/>
    <mergeCell ref="G22:J22"/>
    <mergeCell ref="K22:N22"/>
    <mergeCell ref="C32:D32"/>
    <mergeCell ref="E32:F32"/>
  </mergeCells>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0.34998626667073579"/>
  </sheetPr>
  <dimension ref="A1"/>
  <sheetViews>
    <sheetView workbookViewId="0">
      <selection activeCell="X67" sqref="X67"/>
    </sheetView>
  </sheetViews>
  <sheetFormatPr baseColWidth="10" defaultRowHeight="15" x14ac:dyDescent="0"/>
  <sheetData/>
  <pageMargins left="0.75" right="0.75" top="1" bottom="1" header="0.5" footer="0.5"/>
  <extLst>
    <ext xmlns:mx="http://schemas.microsoft.com/office/mac/excel/2008/main" uri="{64002731-A6B0-56B0-2670-7721B7C09600}">
      <mx:PLV Mode="0" OnePage="0" WScale="0"/>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79"/>
  <sheetViews>
    <sheetView workbookViewId="0">
      <pane xSplit="1" ySplit="7" topLeftCell="BE8" activePane="bottomRight" state="frozen"/>
      <selection activeCell="X67" sqref="X67"/>
      <selection pane="topRight" activeCell="X67" sqref="X67"/>
      <selection pane="bottomLeft" activeCell="X67" sqref="X67"/>
      <selection pane="bottomRight" activeCell="X67" sqref="X67"/>
    </sheetView>
  </sheetViews>
  <sheetFormatPr baseColWidth="10" defaultColWidth="9.28515625" defaultRowHeight="12" x14ac:dyDescent="0"/>
  <cols>
    <col min="1" max="1" width="12.85546875" style="1315" bestFit="1" customWidth="1"/>
    <col min="2" max="16384" width="9.28515625" style="1315"/>
  </cols>
  <sheetData>
    <row r="1" spans="1:70" s="1339" customFormat="1" ht="16" customHeight="1">
      <c r="A1" s="1340" t="s">
        <v>3201</v>
      </c>
      <c r="B1" s="1339" t="s">
        <v>3200</v>
      </c>
    </row>
    <row r="2" spans="1:70" s="1338" customFormat="1" ht="180" customHeight="1">
      <c r="A2" s="1338" t="s">
        <v>3199</v>
      </c>
      <c r="B2" s="1338" t="s">
        <v>3198</v>
      </c>
      <c r="C2" s="1338" t="s">
        <v>3197</v>
      </c>
      <c r="D2" s="1338" t="s">
        <v>3196</v>
      </c>
      <c r="E2" s="1338" t="s">
        <v>3195</v>
      </c>
      <c r="F2" s="1338" t="s">
        <v>3194</v>
      </c>
      <c r="G2" s="1338" t="s">
        <v>3193</v>
      </c>
      <c r="H2" s="1338" t="s">
        <v>3192</v>
      </c>
      <c r="I2" s="1338" t="s">
        <v>3191</v>
      </c>
      <c r="J2" s="1338" t="s">
        <v>3190</v>
      </c>
      <c r="K2" s="1338" t="s">
        <v>3189</v>
      </c>
      <c r="L2" s="1338" t="s">
        <v>3188</v>
      </c>
      <c r="M2" s="1338" t="s">
        <v>3187</v>
      </c>
      <c r="N2" s="1338" t="s">
        <v>3186</v>
      </c>
      <c r="O2" s="1338" t="s">
        <v>3185</v>
      </c>
      <c r="P2" s="1338" t="s">
        <v>3184</v>
      </c>
      <c r="Q2" s="1338" t="s">
        <v>3183</v>
      </c>
      <c r="R2" s="1338" t="s">
        <v>3182</v>
      </c>
      <c r="S2" s="1338" t="s">
        <v>3181</v>
      </c>
      <c r="T2" s="1338" t="s">
        <v>3180</v>
      </c>
      <c r="U2" s="1338" t="s">
        <v>3179</v>
      </c>
      <c r="V2" s="1338" t="s">
        <v>3178</v>
      </c>
      <c r="W2" s="1338" t="s">
        <v>3177</v>
      </c>
      <c r="X2" s="1338" t="s">
        <v>3176</v>
      </c>
      <c r="Y2" s="1338" t="s">
        <v>3175</v>
      </c>
      <c r="Z2" s="1338" t="s">
        <v>3174</v>
      </c>
      <c r="AA2" s="1338" t="s">
        <v>3173</v>
      </c>
      <c r="AB2" s="1338" t="s">
        <v>3172</v>
      </c>
      <c r="AC2" s="1338" t="s">
        <v>3171</v>
      </c>
      <c r="AD2" s="1338" t="s">
        <v>3170</v>
      </c>
      <c r="AE2" s="1338" t="s">
        <v>3150</v>
      </c>
      <c r="AF2" s="1338" t="s">
        <v>3169</v>
      </c>
      <c r="AG2" s="1338" t="s">
        <v>3168</v>
      </c>
      <c r="AH2" s="1338" t="s">
        <v>3167</v>
      </c>
      <c r="AI2" s="1338" t="s">
        <v>3166</v>
      </c>
      <c r="AJ2" s="1338" t="s">
        <v>3165</v>
      </c>
      <c r="AK2" s="1338" t="s">
        <v>3164</v>
      </c>
      <c r="AL2" s="1338" t="s">
        <v>3163</v>
      </c>
      <c r="AM2" s="1338" t="s">
        <v>3162</v>
      </c>
      <c r="AN2" s="1338" t="s">
        <v>3161</v>
      </c>
      <c r="AO2" s="1338" t="s">
        <v>3160</v>
      </c>
      <c r="AP2" s="1338" t="s">
        <v>3159</v>
      </c>
      <c r="AQ2" s="1338" t="s">
        <v>3158</v>
      </c>
      <c r="AR2" s="1338" t="s">
        <v>3157</v>
      </c>
      <c r="AS2" s="1338" t="s">
        <v>3156</v>
      </c>
      <c r="AT2" s="1338" t="s">
        <v>3155</v>
      </c>
      <c r="AU2" s="1338" t="s">
        <v>3142</v>
      </c>
      <c r="AV2" s="1338" t="s">
        <v>3154</v>
      </c>
      <c r="AW2" s="1338" t="s">
        <v>3153</v>
      </c>
      <c r="AX2" s="1338" t="s">
        <v>3152</v>
      </c>
      <c r="AY2" s="1338" t="s">
        <v>3151</v>
      </c>
      <c r="AZ2" s="1338" t="s">
        <v>3150</v>
      </c>
      <c r="BA2" s="1338" t="s">
        <v>3149</v>
      </c>
      <c r="BB2" s="1338" t="s">
        <v>3148</v>
      </c>
      <c r="BC2" s="1338" t="s">
        <v>3147</v>
      </c>
      <c r="BD2" s="1338" t="s">
        <v>3146</v>
      </c>
      <c r="BE2" s="1338" t="s">
        <v>3145</v>
      </c>
      <c r="BF2" s="1338" t="s">
        <v>3144</v>
      </c>
      <c r="BG2" s="1338" t="s">
        <v>3143</v>
      </c>
      <c r="BH2" s="1338" t="s">
        <v>3142</v>
      </c>
      <c r="BI2" s="1338" t="s">
        <v>3141</v>
      </c>
      <c r="BJ2" s="1338" t="s">
        <v>3140</v>
      </c>
      <c r="BK2" s="1338" t="s">
        <v>3139</v>
      </c>
      <c r="BL2" s="1338" t="s">
        <v>3138</v>
      </c>
      <c r="BM2" s="1338" t="s">
        <v>3137</v>
      </c>
      <c r="BN2" s="1338" t="s">
        <v>3136</v>
      </c>
      <c r="BO2" s="1338" t="s">
        <v>3135</v>
      </c>
      <c r="BP2" s="1338" t="s">
        <v>3134</v>
      </c>
      <c r="BQ2" s="1338" t="s">
        <v>3133</v>
      </c>
      <c r="BR2" s="1338" t="s">
        <v>3132</v>
      </c>
    </row>
    <row r="3" spans="1:70" ht="12" customHeight="1">
      <c r="A3" s="1315" t="s">
        <v>3131</v>
      </c>
      <c r="B3" s="1315" t="s">
        <v>3130</v>
      </c>
      <c r="C3" s="1315" t="s">
        <v>3130</v>
      </c>
      <c r="D3" s="1315" t="s">
        <v>3130</v>
      </c>
      <c r="E3" s="1315" t="s">
        <v>3130</v>
      </c>
      <c r="F3" s="1315" t="s">
        <v>3130</v>
      </c>
      <c r="G3" s="1315" t="s">
        <v>3130</v>
      </c>
      <c r="H3" s="1315" t="s">
        <v>3130</v>
      </c>
      <c r="I3" s="1315" t="s">
        <v>3130</v>
      </c>
      <c r="J3" s="1315" t="s">
        <v>3130</v>
      </c>
      <c r="K3" s="1315" t="s">
        <v>3130</v>
      </c>
      <c r="L3" s="1315" t="s">
        <v>3130</v>
      </c>
      <c r="M3" s="1315" t="s">
        <v>3130</v>
      </c>
      <c r="N3" s="1315" t="s">
        <v>3130</v>
      </c>
      <c r="O3" s="1315" t="s">
        <v>3130</v>
      </c>
      <c r="P3" s="1315" t="s">
        <v>3130</v>
      </c>
      <c r="Q3" s="1315" t="s">
        <v>3130</v>
      </c>
      <c r="R3" s="1315" t="s">
        <v>3130</v>
      </c>
      <c r="S3" s="1315" t="s">
        <v>3130</v>
      </c>
      <c r="T3" s="1315" t="s">
        <v>3130</v>
      </c>
      <c r="U3" s="1315" t="s">
        <v>3130</v>
      </c>
      <c r="V3" s="1315" t="s">
        <v>3130</v>
      </c>
      <c r="W3" s="1315" t="s">
        <v>3130</v>
      </c>
      <c r="X3" s="1315" t="s">
        <v>3130</v>
      </c>
      <c r="Y3" s="1315" t="s">
        <v>3130</v>
      </c>
      <c r="Z3" s="1315" t="s">
        <v>3130</v>
      </c>
      <c r="AA3" s="1315" t="s">
        <v>3130</v>
      </c>
      <c r="AB3" s="1315" t="s">
        <v>3130</v>
      </c>
      <c r="AC3" s="1315" t="s">
        <v>3130</v>
      </c>
      <c r="AD3" s="1315" t="s">
        <v>3130</v>
      </c>
      <c r="AE3" s="1315" t="s">
        <v>3130</v>
      </c>
      <c r="AF3" s="1315" t="s">
        <v>3130</v>
      </c>
      <c r="AG3" s="1315" t="s">
        <v>3130</v>
      </c>
      <c r="AH3" s="1315" t="s">
        <v>3130</v>
      </c>
      <c r="AI3" s="1315" t="s">
        <v>3130</v>
      </c>
      <c r="AJ3" s="1315" t="s">
        <v>3130</v>
      </c>
      <c r="AK3" s="1315" t="s">
        <v>3130</v>
      </c>
      <c r="AL3" s="1315" t="s">
        <v>3130</v>
      </c>
      <c r="AM3" s="1315" t="s">
        <v>3130</v>
      </c>
      <c r="AN3" s="1315" t="s">
        <v>3130</v>
      </c>
      <c r="AO3" s="1315" t="s">
        <v>3130</v>
      </c>
      <c r="AP3" s="1315" t="s">
        <v>3130</v>
      </c>
      <c r="AQ3" s="1315" t="s">
        <v>3130</v>
      </c>
      <c r="AR3" s="1315" t="s">
        <v>3130</v>
      </c>
      <c r="AS3" s="1315" t="s">
        <v>3130</v>
      </c>
      <c r="AT3" s="1315" t="s">
        <v>3130</v>
      </c>
      <c r="AU3" s="1315" t="s">
        <v>3130</v>
      </c>
      <c r="AV3" s="1315" t="s">
        <v>3130</v>
      </c>
      <c r="AW3" s="1315" t="s">
        <v>3130</v>
      </c>
      <c r="AX3" s="1315" t="s">
        <v>3130</v>
      </c>
      <c r="AY3" s="1315" t="s">
        <v>3130</v>
      </c>
      <c r="AZ3" s="1315" t="s">
        <v>3130</v>
      </c>
      <c r="BA3" s="1315" t="s">
        <v>3130</v>
      </c>
      <c r="BB3" s="1315" t="s">
        <v>3130</v>
      </c>
      <c r="BC3" s="1315" t="s">
        <v>3130</v>
      </c>
      <c r="BD3" s="1315" t="s">
        <v>3130</v>
      </c>
      <c r="BE3" s="1315" t="s">
        <v>3130</v>
      </c>
      <c r="BF3" s="1315" t="s">
        <v>3130</v>
      </c>
      <c r="BG3" s="1315" t="s">
        <v>3130</v>
      </c>
      <c r="BH3" s="1315" t="s">
        <v>3130</v>
      </c>
      <c r="BI3" s="1315" t="s">
        <v>3130</v>
      </c>
      <c r="BJ3" s="1315" t="s">
        <v>3130</v>
      </c>
      <c r="BK3" s="1315" t="s">
        <v>3130</v>
      </c>
      <c r="BL3" s="1315" t="s">
        <v>3130</v>
      </c>
      <c r="BM3" s="1315" t="s">
        <v>3130</v>
      </c>
      <c r="BN3" s="1315" t="s">
        <v>3130</v>
      </c>
      <c r="BO3" s="1315" t="s">
        <v>3130</v>
      </c>
      <c r="BP3" s="1315" t="s">
        <v>3130</v>
      </c>
      <c r="BQ3" s="1315" t="s">
        <v>3130</v>
      </c>
      <c r="BR3" s="1315" t="s">
        <v>3130</v>
      </c>
    </row>
    <row r="4" spans="1:70" ht="12" customHeight="1">
      <c r="A4" s="1315" t="s">
        <v>3129</v>
      </c>
      <c r="B4" s="1315">
        <v>1000000</v>
      </c>
      <c r="C4" s="1315">
        <v>1000000</v>
      </c>
      <c r="D4" s="1315">
        <v>1000000</v>
      </c>
      <c r="E4" s="1315">
        <v>1000000</v>
      </c>
      <c r="F4" s="1315">
        <v>1000000</v>
      </c>
      <c r="G4" s="1315">
        <v>1000000</v>
      </c>
      <c r="H4" s="1315">
        <v>1000000</v>
      </c>
      <c r="I4" s="1315">
        <v>1000000</v>
      </c>
      <c r="J4" s="1315">
        <v>1000000</v>
      </c>
      <c r="K4" s="1315">
        <v>1000000</v>
      </c>
      <c r="L4" s="1315">
        <v>1000000</v>
      </c>
      <c r="M4" s="1315">
        <v>1000000</v>
      </c>
      <c r="N4" s="1315">
        <v>1000000</v>
      </c>
      <c r="O4" s="1315">
        <v>1000000</v>
      </c>
      <c r="P4" s="1315">
        <v>1000000</v>
      </c>
      <c r="Q4" s="1315">
        <v>1000000</v>
      </c>
      <c r="R4" s="1315">
        <v>1000000</v>
      </c>
      <c r="S4" s="1315">
        <v>1000000</v>
      </c>
      <c r="T4" s="1315">
        <v>1000000</v>
      </c>
      <c r="U4" s="1315">
        <v>1000000</v>
      </c>
      <c r="V4" s="1315">
        <v>1000000</v>
      </c>
      <c r="W4" s="1315">
        <v>1000000</v>
      </c>
      <c r="X4" s="1315">
        <v>1000000</v>
      </c>
      <c r="Y4" s="1315">
        <v>1000000</v>
      </c>
      <c r="Z4" s="1315">
        <v>1000000</v>
      </c>
      <c r="AA4" s="1315">
        <v>1000000</v>
      </c>
      <c r="AB4" s="1315">
        <v>1000000</v>
      </c>
      <c r="AC4" s="1315">
        <v>1000000</v>
      </c>
      <c r="AD4" s="1315">
        <v>1000000</v>
      </c>
      <c r="AE4" s="1315">
        <v>1000000</v>
      </c>
      <c r="AF4" s="1315">
        <v>1000000</v>
      </c>
      <c r="AG4" s="1315">
        <v>1000000</v>
      </c>
      <c r="AH4" s="1315">
        <v>1000000</v>
      </c>
      <c r="AI4" s="1315">
        <v>1000000</v>
      </c>
      <c r="AJ4" s="1315">
        <v>1000000</v>
      </c>
      <c r="AK4" s="1315">
        <v>1000000</v>
      </c>
      <c r="AL4" s="1315">
        <v>1000000</v>
      </c>
      <c r="AM4" s="1315">
        <v>1000000</v>
      </c>
      <c r="AN4" s="1315">
        <v>1000000</v>
      </c>
      <c r="AO4" s="1315">
        <v>1000000</v>
      </c>
      <c r="AP4" s="1315">
        <v>1000000</v>
      </c>
      <c r="AQ4" s="1315">
        <v>1000000</v>
      </c>
      <c r="AR4" s="1315">
        <v>1000000</v>
      </c>
      <c r="AS4" s="1315">
        <v>1000000</v>
      </c>
      <c r="AT4" s="1315">
        <v>1000000</v>
      </c>
      <c r="AU4" s="1315">
        <v>1000000</v>
      </c>
      <c r="AV4" s="1315">
        <v>1000000</v>
      </c>
      <c r="AW4" s="1315">
        <v>1000000</v>
      </c>
      <c r="AX4" s="1315">
        <v>1000000</v>
      </c>
      <c r="AY4" s="1315">
        <v>1000000</v>
      </c>
      <c r="AZ4" s="1315">
        <v>1000000</v>
      </c>
      <c r="BA4" s="1315">
        <v>1000000</v>
      </c>
      <c r="BB4" s="1315">
        <v>1000000</v>
      </c>
      <c r="BC4" s="1315">
        <v>1000000</v>
      </c>
      <c r="BD4" s="1315">
        <v>1000000</v>
      </c>
      <c r="BE4" s="1315">
        <v>1000000</v>
      </c>
      <c r="BF4" s="1315">
        <v>1000000</v>
      </c>
      <c r="BG4" s="1315">
        <v>1000000</v>
      </c>
      <c r="BH4" s="1315">
        <v>1000000</v>
      </c>
      <c r="BI4" s="1315">
        <v>1000000</v>
      </c>
      <c r="BJ4" s="1315">
        <v>1000000</v>
      </c>
      <c r="BK4" s="1315">
        <v>1000000</v>
      </c>
      <c r="BL4" s="1315">
        <v>1000000</v>
      </c>
      <c r="BM4" s="1315">
        <v>1000000</v>
      </c>
      <c r="BN4" s="1315">
        <v>1000000</v>
      </c>
      <c r="BO4" s="1315">
        <v>1000000</v>
      </c>
      <c r="BP4" s="1315">
        <v>1000000</v>
      </c>
      <c r="BQ4" s="1315">
        <v>1000000</v>
      </c>
      <c r="BR4" s="1315">
        <v>1000000</v>
      </c>
    </row>
    <row r="5" spans="1:70" ht="12" customHeight="1">
      <c r="A5" s="1315" t="s">
        <v>3128</v>
      </c>
      <c r="B5" s="1315" t="s">
        <v>2774</v>
      </c>
      <c r="C5" s="1315" t="s">
        <v>2774</v>
      </c>
      <c r="D5" s="1315" t="s">
        <v>2774</v>
      </c>
      <c r="E5" s="1315" t="s">
        <v>2774</v>
      </c>
      <c r="F5" s="1315" t="s">
        <v>2774</v>
      </c>
      <c r="G5" s="1315" t="s">
        <v>2774</v>
      </c>
      <c r="H5" s="1315" t="s">
        <v>2774</v>
      </c>
      <c r="I5" s="1315" t="s">
        <v>2774</v>
      </c>
      <c r="J5" s="1315" t="s">
        <v>2774</v>
      </c>
      <c r="K5" s="1315" t="s">
        <v>2774</v>
      </c>
      <c r="L5" s="1315" t="s">
        <v>2774</v>
      </c>
      <c r="M5" s="1315" t="s">
        <v>2774</v>
      </c>
      <c r="N5" s="1315" t="s">
        <v>2774</v>
      </c>
      <c r="O5" s="1315" t="s">
        <v>2774</v>
      </c>
      <c r="P5" s="1315" t="s">
        <v>2774</v>
      </c>
      <c r="Q5" s="1315" t="s">
        <v>2774</v>
      </c>
      <c r="R5" s="1315" t="s">
        <v>2774</v>
      </c>
      <c r="S5" s="1315" t="s">
        <v>2774</v>
      </c>
      <c r="T5" s="1315" t="s">
        <v>2774</v>
      </c>
      <c r="U5" s="1315" t="s">
        <v>2774</v>
      </c>
      <c r="V5" s="1315" t="s">
        <v>2774</v>
      </c>
      <c r="W5" s="1315" t="s">
        <v>2774</v>
      </c>
      <c r="X5" s="1315" t="s">
        <v>2774</v>
      </c>
      <c r="Y5" s="1315" t="s">
        <v>2774</v>
      </c>
      <c r="Z5" s="1315" t="s">
        <v>2774</v>
      </c>
      <c r="AA5" s="1315" t="s">
        <v>2774</v>
      </c>
      <c r="AB5" s="1315" t="s">
        <v>2774</v>
      </c>
      <c r="AC5" s="1315" t="s">
        <v>2774</v>
      </c>
      <c r="AD5" s="1315" t="s">
        <v>2774</v>
      </c>
      <c r="AE5" s="1315" t="s">
        <v>2774</v>
      </c>
      <c r="AF5" s="1315" t="s">
        <v>2774</v>
      </c>
      <c r="AG5" s="1315" t="s">
        <v>2774</v>
      </c>
      <c r="AH5" s="1315" t="s">
        <v>2774</v>
      </c>
      <c r="AI5" s="1315" t="s">
        <v>2774</v>
      </c>
      <c r="AJ5" s="1315" t="s">
        <v>2774</v>
      </c>
      <c r="AK5" s="1315" t="s">
        <v>2774</v>
      </c>
      <c r="AL5" s="1315" t="s">
        <v>2774</v>
      </c>
      <c r="AM5" s="1315" t="s">
        <v>2774</v>
      </c>
      <c r="AN5" s="1315" t="s">
        <v>2774</v>
      </c>
      <c r="AO5" s="1315" t="s">
        <v>2774</v>
      </c>
      <c r="AP5" s="1315" t="s">
        <v>2774</v>
      </c>
      <c r="AQ5" s="1315" t="s">
        <v>2774</v>
      </c>
      <c r="AR5" s="1315" t="s">
        <v>2774</v>
      </c>
      <c r="AS5" s="1315" t="s">
        <v>2774</v>
      </c>
      <c r="AT5" s="1315" t="s">
        <v>2774</v>
      </c>
      <c r="AU5" s="1315" t="s">
        <v>2774</v>
      </c>
      <c r="AV5" s="1315" t="s">
        <v>2774</v>
      </c>
      <c r="AW5" s="1315" t="s">
        <v>2774</v>
      </c>
      <c r="AX5" s="1315" t="s">
        <v>2774</v>
      </c>
      <c r="AY5" s="1315" t="s">
        <v>2774</v>
      </c>
      <c r="AZ5" s="1315" t="s">
        <v>2774</v>
      </c>
      <c r="BA5" s="1315" t="s">
        <v>2774</v>
      </c>
      <c r="BB5" s="1315" t="s">
        <v>2774</v>
      </c>
      <c r="BC5" s="1315" t="s">
        <v>2774</v>
      </c>
      <c r="BD5" s="1315" t="s">
        <v>2774</v>
      </c>
      <c r="BE5" s="1315" t="s">
        <v>2774</v>
      </c>
      <c r="BF5" s="1315" t="s">
        <v>2774</v>
      </c>
      <c r="BG5" s="1315" t="s">
        <v>2774</v>
      </c>
      <c r="BH5" s="1315" t="s">
        <v>2774</v>
      </c>
      <c r="BI5" s="1315" t="s">
        <v>2774</v>
      </c>
      <c r="BJ5" s="1315" t="s">
        <v>2774</v>
      </c>
      <c r="BK5" s="1315" t="s">
        <v>2774</v>
      </c>
      <c r="BL5" s="1315" t="s">
        <v>2774</v>
      </c>
      <c r="BM5" s="1315" t="s">
        <v>2774</v>
      </c>
      <c r="BN5" s="1315" t="s">
        <v>2774</v>
      </c>
      <c r="BO5" s="1315" t="s">
        <v>2774</v>
      </c>
      <c r="BP5" s="1315" t="s">
        <v>2774</v>
      </c>
      <c r="BQ5" s="1315" t="s">
        <v>2774</v>
      </c>
      <c r="BR5" s="1315" t="s">
        <v>2774</v>
      </c>
    </row>
    <row r="6" spans="1:70" ht="12" customHeight="1">
      <c r="A6" s="1315" t="s">
        <v>3127</v>
      </c>
      <c r="B6" s="1315" t="s">
        <v>3126</v>
      </c>
      <c r="C6" s="1315" t="s">
        <v>3125</v>
      </c>
      <c r="D6" s="1315" t="s">
        <v>3124</v>
      </c>
      <c r="E6" s="1315" t="s">
        <v>3123</v>
      </c>
      <c r="F6" s="1315" t="s">
        <v>3122</v>
      </c>
      <c r="G6" s="1315" t="s">
        <v>3121</v>
      </c>
      <c r="H6" s="1315" t="s">
        <v>3120</v>
      </c>
      <c r="I6" s="1315" t="s">
        <v>3119</v>
      </c>
      <c r="J6" s="1315" t="s">
        <v>3118</v>
      </c>
      <c r="K6" s="1315" t="s">
        <v>3117</v>
      </c>
      <c r="L6" s="1315" t="s">
        <v>3116</v>
      </c>
      <c r="M6" s="1315" t="s">
        <v>3115</v>
      </c>
      <c r="N6" s="1315" t="s">
        <v>3114</v>
      </c>
      <c r="O6" s="1315" t="s">
        <v>3113</v>
      </c>
      <c r="P6" s="1315" t="s">
        <v>3112</v>
      </c>
      <c r="Q6" s="1315" t="s">
        <v>3111</v>
      </c>
      <c r="R6" s="1315" t="s">
        <v>3110</v>
      </c>
      <c r="S6" s="1315" t="s">
        <v>3109</v>
      </c>
      <c r="T6" s="1315" t="s">
        <v>3108</v>
      </c>
      <c r="U6" s="1315" t="s">
        <v>3107</v>
      </c>
      <c r="V6" s="1315" t="s">
        <v>3106</v>
      </c>
      <c r="W6" s="1315" t="s">
        <v>3105</v>
      </c>
      <c r="X6" s="1315" t="s">
        <v>3104</v>
      </c>
      <c r="Y6" s="1315" t="s">
        <v>3103</v>
      </c>
      <c r="Z6" s="1315" t="s">
        <v>3102</v>
      </c>
      <c r="AA6" s="1315" t="s">
        <v>3101</v>
      </c>
      <c r="AB6" s="1315" t="s">
        <v>3100</v>
      </c>
      <c r="AC6" s="1315" t="s">
        <v>3099</v>
      </c>
      <c r="AD6" s="1315" t="s">
        <v>3098</v>
      </c>
      <c r="AE6" s="1315" t="s">
        <v>3097</v>
      </c>
      <c r="AF6" s="1315" t="s">
        <v>3096</v>
      </c>
      <c r="AG6" s="1315" t="s">
        <v>3095</v>
      </c>
      <c r="AH6" s="1315" t="s">
        <v>3094</v>
      </c>
      <c r="AI6" s="1315" t="s">
        <v>3093</v>
      </c>
      <c r="AJ6" s="1315" t="s">
        <v>3092</v>
      </c>
      <c r="AK6" s="1315" t="s">
        <v>3091</v>
      </c>
      <c r="AL6" s="1315" t="s">
        <v>3090</v>
      </c>
      <c r="AM6" s="1315" t="s">
        <v>3089</v>
      </c>
      <c r="AN6" s="1315" t="s">
        <v>3088</v>
      </c>
      <c r="AO6" s="1315" t="s">
        <v>3087</v>
      </c>
      <c r="AP6" s="1315" t="s">
        <v>3086</v>
      </c>
      <c r="AQ6" s="1315" t="s">
        <v>3085</v>
      </c>
      <c r="AR6" s="1315" t="s">
        <v>3084</v>
      </c>
      <c r="AS6" s="1315" t="s">
        <v>3083</v>
      </c>
      <c r="AT6" s="1315" t="s">
        <v>3082</v>
      </c>
      <c r="AU6" s="1315" t="s">
        <v>3081</v>
      </c>
      <c r="AV6" s="1315" t="s">
        <v>3080</v>
      </c>
      <c r="AW6" s="1315" t="s">
        <v>3079</v>
      </c>
      <c r="AX6" s="1315" t="s">
        <v>3078</v>
      </c>
      <c r="AY6" s="1315" t="s">
        <v>3077</v>
      </c>
      <c r="AZ6" s="1315" t="s">
        <v>3076</v>
      </c>
      <c r="BA6" s="1315" t="s">
        <v>3075</v>
      </c>
      <c r="BB6" s="1315" t="s">
        <v>3074</v>
      </c>
      <c r="BC6" s="1315" t="s">
        <v>3073</v>
      </c>
      <c r="BD6" s="1315" t="s">
        <v>3072</v>
      </c>
      <c r="BE6" s="1315" t="s">
        <v>3071</v>
      </c>
      <c r="BF6" s="1315" t="s">
        <v>3070</v>
      </c>
      <c r="BG6" s="1315" t="s">
        <v>3069</v>
      </c>
      <c r="BH6" s="1315" t="s">
        <v>3068</v>
      </c>
      <c r="BI6" s="1315" t="s">
        <v>3067</v>
      </c>
      <c r="BJ6" s="1315" t="s">
        <v>3066</v>
      </c>
      <c r="BK6" s="1315" t="s">
        <v>3065</v>
      </c>
      <c r="BL6" s="1315" t="s">
        <v>3064</v>
      </c>
      <c r="BM6" s="1315" t="s">
        <v>3063</v>
      </c>
      <c r="BN6" s="1315" t="s">
        <v>3062</v>
      </c>
      <c r="BO6" s="1315" t="s">
        <v>3061</v>
      </c>
      <c r="BP6" s="1315" t="s">
        <v>3060</v>
      </c>
      <c r="BQ6" s="1315" t="s">
        <v>3059</v>
      </c>
      <c r="BR6" s="1315" t="s">
        <v>3058</v>
      </c>
    </row>
    <row r="7" spans="1:70" ht="13" customHeight="1" thickBot="1">
      <c r="A7" s="1336" t="s">
        <v>3057</v>
      </c>
      <c r="B7" s="1337" t="s">
        <v>3056</v>
      </c>
      <c r="C7" s="1337" t="s">
        <v>3055</v>
      </c>
      <c r="D7" s="1337" t="s">
        <v>3054</v>
      </c>
      <c r="E7" s="1337" t="s">
        <v>3053</v>
      </c>
      <c r="F7" s="1337" t="s">
        <v>3052</v>
      </c>
      <c r="G7" s="1337" t="s">
        <v>3051</v>
      </c>
      <c r="H7" s="1337" t="s">
        <v>3050</v>
      </c>
      <c r="I7" s="1337" t="s">
        <v>3049</v>
      </c>
      <c r="J7" s="1337" t="s">
        <v>3048</v>
      </c>
      <c r="K7" s="1337" t="s">
        <v>3047</v>
      </c>
      <c r="L7" s="1337" t="s">
        <v>3046</v>
      </c>
      <c r="M7" s="1337" t="s">
        <v>3045</v>
      </c>
      <c r="N7" s="1337" t="s">
        <v>3044</v>
      </c>
      <c r="O7" s="1337" t="s">
        <v>3043</v>
      </c>
      <c r="P7" s="1337" t="s">
        <v>3042</v>
      </c>
      <c r="Q7" s="1337" t="s">
        <v>3041</v>
      </c>
      <c r="R7" s="1337" t="s">
        <v>3040</v>
      </c>
      <c r="S7" s="1337" t="s">
        <v>3039</v>
      </c>
      <c r="T7" s="1337" t="s">
        <v>3038</v>
      </c>
      <c r="U7" s="1337" t="s">
        <v>3037</v>
      </c>
      <c r="V7" s="1337" t="s">
        <v>3036</v>
      </c>
      <c r="W7" s="1337" t="s">
        <v>3035</v>
      </c>
      <c r="X7" s="1337" t="s">
        <v>3034</v>
      </c>
      <c r="Y7" s="1337" t="s">
        <v>3033</v>
      </c>
      <c r="Z7" s="1337" t="s">
        <v>3032</v>
      </c>
      <c r="AA7" s="1337" t="s">
        <v>3031</v>
      </c>
      <c r="AB7" s="1337" t="s">
        <v>3030</v>
      </c>
      <c r="AC7" s="1337" t="s">
        <v>3029</v>
      </c>
      <c r="AD7" s="1337" t="s">
        <v>3028</v>
      </c>
      <c r="AE7" s="1337" t="s">
        <v>3027</v>
      </c>
      <c r="AF7" s="1337" t="s">
        <v>3026</v>
      </c>
      <c r="AG7" s="1337" t="s">
        <v>3025</v>
      </c>
      <c r="AH7" s="1337" t="s">
        <v>3024</v>
      </c>
      <c r="AI7" s="1337" t="s">
        <v>3023</v>
      </c>
      <c r="AJ7" s="1337" t="s">
        <v>3022</v>
      </c>
      <c r="AK7" s="1337" t="s">
        <v>3021</v>
      </c>
      <c r="AL7" s="1337" t="s">
        <v>3020</v>
      </c>
      <c r="AM7" s="1337" t="s">
        <v>3019</v>
      </c>
      <c r="AN7" s="1337" t="s">
        <v>3018</v>
      </c>
      <c r="AO7" s="1337" t="s">
        <v>3017</v>
      </c>
      <c r="AP7" s="1337" t="s">
        <v>3016</v>
      </c>
      <c r="AQ7" s="1337" t="s">
        <v>3015</v>
      </c>
      <c r="AR7" s="1337" t="s">
        <v>3014</v>
      </c>
      <c r="AS7" s="1337" t="s">
        <v>3013</v>
      </c>
      <c r="AT7" s="1337" t="s">
        <v>3012</v>
      </c>
      <c r="AU7" s="1337" t="s">
        <v>3011</v>
      </c>
      <c r="AV7" s="1337" t="s">
        <v>3010</v>
      </c>
      <c r="AW7" s="1337" t="s">
        <v>3009</v>
      </c>
      <c r="AX7" s="1337" t="s">
        <v>3008</v>
      </c>
      <c r="AY7" s="1337" t="s">
        <v>3007</v>
      </c>
      <c r="AZ7" s="1337" t="s">
        <v>3006</v>
      </c>
      <c r="BA7" s="1337" t="s">
        <v>3005</v>
      </c>
      <c r="BB7" s="1337" t="s">
        <v>3004</v>
      </c>
      <c r="BC7" s="1337" t="s">
        <v>3003</v>
      </c>
      <c r="BD7" s="1337" t="s">
        <v>3002</v>
      </c>
      <c r="BE7" s="1337" t="s">
        <v>3001</v>
      </c>
      <c r="BF7" s="1337" t="s">
        <v>3000</v>
      </c>
      <c r="BG7" s="1337" t="s">
        <v>2999</v>
      </c>
      <c r="BH7" s="1337" t="s">
        <v>2998</v>
      </c>
      <c r="BI7" s="1337" t="s">
        <v>2997</v>
      </c>
      <c r="BJ7" s="1337" t="s">
        <v>2996</v>
      </c>
      <c r="BK7" s="1337" t="s">
        <v>2995</v>
      </c>
      <c r="BL7" s="1337" t="s">
        <v>2994</v>
      </c>
      <c r="BM7" s="1337" t="s">
        <v>2993</v>
      </c>
      <c r="BN7" s="1337" t="s">
        <v>2992</v>
      </c>
      <c r="BO7" s="1337" t="s">
        <v>2991</v>
      </c>
      <c r="BP7" s="1337" t="s">
        <v>2990</v>
      </c>
      <c r="BQ7" s="1337" t="s">
        <v>2989</v>
      </c>
      <c r="BR7" s="1337" t="s">
        <v>2988</v>
      </c>
    </row>
    <row r="8" spans="1:70" ht="12" customHeight="1">
      <c r="A8" s="1336" t="s">
        <v>141</v>
      </c>
      <c r="B8" s="1315">
        <v>10331</v>
      </c>
      <c r="C8" s="1315">
        <v>6974</v>
      </c>
      <c r="D8" s="1315">
        <v>440</v>
      </c>
      <c r="E8" s="1315">
        <v>2917</v>
      </c>
      <c r="F8" s="1315">
        <v>15248</v>
      </c>
      <c r="G8" s="1315">
        <v>14156</v>
      </c>
      <c r="H8" s="1315">
        <v>1092</v>
      </c>
      <c r="I8" s="1315">
        <v>0</v>
      </c>
      <c r="J8" s="1315">
        <v>-4917</v>
      </c>
      <c r="K8" s="1315">
        <v>-4736</v>
      </c>
      <c r="L8" s="1315">
        <v>0</v>
      </c>
      <c r="M8" s="1315">
        <v>-4736</v>
      </c>
      <c r="N8" s="1315">
        <v>-1996</v>
      </c>
      <c r="O8" s="1315">
        <v>-623</v>
      </c>
      <c r="P8" s="1315">
        <v>0</v>
      </c>
      <c r="Q8" s="1315">
        <v>-245</v>
      </c>
      <c r="R8" s="1315">
        <v>-397</v>
      </c>
      <c r="S8" s="1315">
        <v>4</v>
      </c>
      <c r="T8" s="1315">
        <v>0</v>
      </c>
      <c r="U8" s="1315">
        <v>16</v>
      </c>
      <c r="V8" s="1315">
        <v>-474</v>
      </c>
      <c r="W8" s="1315">
        <v>0</v>
      </c>
      <c r="X8" s="1315">
        <v>-474</v>
      </c>
      <c r="Y8" s="1315">
        <v>0</v>
      </c>
      <c r="Z8" s="1315">
        <v>0</v>
      </c>
      <c r="AA8" s="1315">
        <v>-274</v>
      </c>
      <c r="AB8" s="1315">
        <v>0</v>
      </c>
      <c r="AC8" s="1315">
        <v>-64</v>
      </c>
      <c r="AD8" s="1315">
        <v>0</v>
      </c>
      <c r="AE8" s="1315">
        <v>-4</v>
      </c>
      <c r="AF8" s="1315">
        <v>2740</v>
      </c>
      <c r="AG8" s="1315">
        <v>-248</v>
      </c>
      <c r="AH8" s="1315">
        <v>2547</v>
      </c>
      <c r="AI8" s="1315">
        <v>0</v>
      </c>
      <c r="AJ8" s="1315">
        <v>234</v>
      </c>
      <c r="AK8" s="1315">
        <v>13</v>
      </c>
      <c r="AL8" s="1315">
        <v>244</v>
      </c>
      <c r="AM8" s="1315">
        <v>-23</v>
      </c>
      <c r="AN8" s="1315">
        <v>2389</v>
      </c>
      <c r="AO8" s="1315">
        <v>16</v>
      </c>
      <c r="AP8" s="1315">
        <v>92</v>
      </c>
      <c r="AQ8" s="1315">
        <v>-43</v>
      </c>
      <c r="AR8" s="1315">
        <v>127</v>
      </c>
      <c r="AS8" s="1315">
        <v>317</v>
      </c>
      <c r="AT8" s="1315">
        <v>-190</v>
      </c>
      <c r="AU8" s="1315">
        <v>230</v>
      </c>
      <c r="AV8" s="1315">
        <v>-181</v>
      </c>
      <c r="AW8" s="1315">
        <v>7182</v>
      </c>
      <c r="AX8" s="1315">
        <v>652</v>
      </c>
      <c r="AY8" s="1315">
        <v>4917</v>
      </c>
      <c r="AZ8" s="1315">
        <v>2503</v>
      </c>
      <c r="BA8" s="1315" t="s">
        <v>0</v>
      </c>
      <c r="BB8" s="1315" t="s">
        <v>0</v>
      </c>
      <c r="BC8" s="1315" t="s">
        <v>0</v>
      </c>
      <c r="BD8" s="1315" t="s">
        <v>0</v>
      </c>
      <c r="BE8" s="1315" t="s">
        <v>0</v>
      </c>
      <c r="BF8" s="1315" t="s">
        <v>0</v>
      </c>
      <c r="BG8" s="1315" t="s">
        <v>0</v>
      </c>
      <c r="BH8" s="1315">
        <v>7227</v>
      </c>
      <c r="BI8" s="1315" t="s">
        <v>0</v>
      </c>
      <c r="BJ8" s="1315" t="s">
        <v>0</v>
      </c>
      <c r="BK8" s="1315" t="s">
        <v>0</v>
      </c>
      <c r="BL8" s="1315" t="s">
        <v>0</v>
      </c>
      <c r="BM8" s="1315" t="s">
        <v>0</v>
      </c>
      <c r="BN8" s="1315" t="s">
        <v>0</v>
      </c>
      <c r="BO8" s="1315" t="s">
        <v>0</v>
      </c>
      <c r="BP8" s="1315" t="s">
        <v>0</v>
      </c>
      <c r="BQ8" s="1315">
        <v>0</v>
      </c>
      <c r="BR8" s="1315">
        <v>73</v>
      </c>
    </row>
    <row r="9" spans="1:70" ht="12" customHeight="1">
      <c r="A9" s="1336" t="s">
        <v>140</v>
      </c>
      <c r="B9" s="1315">
        <v>11048</v>
      </c>
      <c r="C9" s="1315">
        <v>7933</v>
      </c>
      <c r="D9" s="1315">
        <v>487</v>
      </c>
      <c r="E9" s="1315">
        <v>2628</v>
      </c>
      <c r="F9" s="1315">
        <v>20337</v>
      </c>
      <c r="G9" s="1315">
        <v>18740</v>
      </c>
      <c r="H9" s="1315">
        <v>1597</v>
      </c>
      <c r="I9" s="1315">
        <v>0</v>
      </c>
      <c r="J9" s="1315">
        <v>-9289</v>
      </c>
      <c r="K9" s="1315">
        <v>-8658</v>
      </c>
      <c r="L9" s="1315">
        <v>0</v>
      </c>
      <c r="M9" s="1315">
        <v>-8658</v>
      </c>
      <c r="N9" s="1315">
        <v>-2156</v>
      </c>
      <c r="O9" s="1315">
        <v>-2162</v>
      </c>
      <c r="P9" s="1315">
        <v>0</v>
      </c>
      <c r="Q9" s="1315">
        <v>-31</v>
      </c>
      <c r="R9" s="1315">
        <v>-562</v>
      </c>
      <c r="S9" s="1315">
        <v>-18</v>
      </c>
      <c r="T9" s="1315">
        <v>0</v>
      </c>
      <c r="U9" s="1315">
        <v>6</v>
      </c>
      <c r="V9" s="1315">
        <v>600</v>
      </c>
      <c r="W9" s="1315">
        <v>0</v>
      </c>
      <c r="X9" s="1315">
        <v>600</v>
      </c>
      <c r="Y9" s="1315">
        <v>0</v>
      </c>
      <c r="Z9" s="1315">
        <v>0</v>
      </c>
      <c r="AA9" s="1315">
        <v>51</v>
      </c>
      <c r="AB9" s="1315">
        <v>0</v>
      </c>
      <c r="AC9" s="1315">
        <v>-151</v>
      </c>
      <c r="AD9" s="1315">
        <v>0</v>
      </c>
      <c r="AE9" s="1315">
        <v>10</v>
      </c>
      <c r="AF9" s="1315">
        <v>6502</v>
      </c>
      <c r="AG9" s="1315">
        <v>1185</v>
      </c>
      <c r="AH9" s="1315">
        <v>4072</v>
      </c>
      <c r="AI9" s="1315">
        <v>0</v>
      </c>
      <c r="AJ9" s="1315">
        <v>266</v>
      </c>
      <c r="AK9" s="1315">
        <v>51</v>
      </c>
      <c r="AL9" s="1315">
        <v>-9</v>
      </c>
      <c r="AM9" s="1315">
        <v>224</v>
      </c>
      <c r="AN9" s="1315">
        <v>3789</v>
      </c>
      <c r="AO9" s="1315">
        <v>38</v>
      </c>
      <c r="AP9" s="1315">
        <v>6</v>
      </c>
      <c r="AQ9" s="1315">
        <v>77</v>
      </c>
      <c r="AR9" s="1315">
        <v>430</v>
      </c>
      <c r="AS9" s="1315">
        <v>318</v>
      </c>
      <c r="AT9" s="1315">
        <v>112</v>
      </c>
      <c r="AU9" s="1315">
        <v>749</v>
      </c>
      <c r="AV9" s="1315">
        <v>-631</v>
      </c>
      <c r="AW9" s="1315">
        <v>10807</v>
      </c>
      <c r="AX9" s="1315">
        <v>1110</v>
      </c>
      <c r="AY9" s="1315">
        <v>9289</v>
      </c>
      <c r="AZ9" s="1315">
        <v>2603</v>
      </c>
      <c r="BA9" s="1315" t="s">
        <v>0</v>
      </c>
      <c r="BB9" s="1315" t="s">
        <v>0</v>
      </c>
      <c r="BC9" s="1315" t="s">
        <v>0</v>
      </c>
      <c r="BD9" s="1315" t="s">
        <v>0</v>
      </c>
      <c r="BE9" s="1315" t="s">
        <v>0</v>
      </c>
      <c r="BF9" s="1315" t="s">
        <v>0</v>
      </c>
      <c r="BG9" s="1315" t="s">
        <v>0</v>
      </c>
      <c r="BH9" s="1315">
        <v>8366</v>
      </c>
      <c r="BI9" s="1315" t="s">
        <v>0</v>
      </c>
      <c r="BJ9" s="1315" t="s">
        <v>0</v>
      </c>
      <c r="BK9" s="1315" t="s">
        <v>0</v>
      </c>
      <c r="BL9" s="1315" t="s">
        <v>0</v>
      </c>
      <c r="BM9" s="1315" t="s">
        <v>0</v>
      </c>
      <c r="BN9" s="1315" t="s">
        <v>0</v>
      </c>
      <c r="BO9" s="1315" t="s">
        <v>0</v>
      </c>
      <c r="BP9" s="1315" t="s">
        <v>0</v>
      </c>
      <c r="BQ9" s="1315">
        <v>0</v>
      </c>
      <c r="BR9" s="1315">
        <v>160</v>
      </c>
    </row>
    <row r="10" spans="1:70" ht="12" customHeight="1">
      <c r="A10" s="1336" t="s">
        <v>139</v>
      </c>
      <c r="B10" s="1315">
        <v>15161</v>
      </c>
      <c r="C10" s="1315">
        <v>10060</v>
      </c>
      <c r="D10" s="1315">
        <v>575</v>
      </c>
      <c r="E10" s="1315">
        <v>4526</v>
      </c>
      <c r="F10" s="1315">
        <v>17578</v>
      </c>
      <c r="G10" s="1315">
        <v>15547</v>
      </c>
      <c r="H10" s="1315">
        <v>2031</v>
      </c>
      <c r="I10" s="1315">
        <v>0</v>
      </c>
      <c r="J10" s="1315">
        <v>-2417</v>
      </c>
      <c r="K10" s="1315">
        <v>-3092</v>
      </c>
      <c r="L10" s="1315">
        <v>0</v>
      </c>
      <c r="M10" s="1315">
        <v>-3092</v>
      </c>
      <c r="N10" s="1315">
        <v>-915</v>
      </c>
      <c r="O10" s="1315">
        <v>-1531</v>
      </c>
      <c r="P10" s="1315">
        <v>0</v>
      </c>
      <c r="Q10" s="1315">
        <v>19</v>
      </c>
      <c r="R10" s="1315">
        <v>481</v>
      </c>
      <c r="S10" s="1315">
        <v>21</v>
      </c>
      <c r="T10" s="1315">
        <v>0</v>
      </c>
      <c r="U10" s="1315">
        <v>49</v>
      </c>
      <c r="V10" s="1315">
        <v>100</v>
      </c>
      <c r="W10" s="1315">
        <v>0</v>
      </c>
      <c r="X10" s="1315">
        <v>100</v>
      </c>
      <c r="Y10" s="1315">
        <v>0</v>
      </c>
      <c r="Z10" s="1315">
        <v>0</v>
      </c>
      <c r="AA10" s="1315">
        <v>-48</v>
      </c>
      <c r="AB10" s="1315">
        <v>0</v>
      </c>
      <c r="AC10" s="1315">
        <v>-144</v>
      </c>
      <c r="AD10" s="1315">
        <v>0</v>
      </c>
      <c r="AE10" s="1315">
        <v>34</v>
      </c>
      <c r="AF10" s="1315">
        <v>2177</v>
      </c>
      <c r="AG10" s="1315">
        <v>356</v>
      </c>
      <c r="AH10" s="1315">
        <v>1275</v>
      </c>
      <c r="AI10" s="1315">
        <v>0</v>
      </c>
      <c r="AJ10" s="1315">
        <v>101</v>
      </c>
      <c r="AK10" s="1315">
        <v>-8</v>
      </c>
      <c r="AL10" s="1315">
        <v>63</v>
      </c>
      <c r="AM10" s="1315">
        <v>46</v>
      </c>
      <c r="AN10" s="1315">
        <v>1099</v>
      </c>
      <c r="AO10" s="1315">
        <v>-5</v>
      </c>
      <c r="AP10" s="1315">
        <v>-65</v>
      </c>
      <c r="AQ10" s="1315">
        <v>19</v>
      </c>
      <c r="AR10" s="1315">
        <v>-88</v>
      </c>
      <c r="AS10" s="1315">
        <v>0</v>
      </c>
      <c r="AT10" s="1315">
        <v>-88</v>
      </c>
      <c r="AU10" s="1315">
        <v>721</v>
      </c>
      <c r="AV10" s="1315">
        <v>675</v>
      </c>
      <c r="AW10" s="1315">
        <v>5487</v>
      </c>
      <c r="AX10" s="1315">
        <v>1456</v>
      </c>
      <c r="AY10" s="1315">
        <v>2417</v>
      </c>
      <c r="AZ10" s="1315">
        <v>2787</v>
      </c>
      <c r="BA10" s="1315" t="s">
        <v>0</v>
      </c>
      <c r="BB10" s="1315" t="s">
        <v>0</v>
      </c>
      <c r="BC10" s="1315" t="s">
        <v>0</v>
      </c>
      <c r="BD10" s="1315" t="s">
        <v>0</v>
      </c>
      <c r="BE10" s="1315" t="s">
        <v>0</v>
      </c>
      <c r="BF10" s="1315" t="s">
        <v>0</v>
      </c>
      <c r="BG10" s="1315" t="s">
        <v>0</v>
      </c>
      <c r="BH10" s="1315">
        <v>9625</v>
      </c>
      <c r="BI10" s="1315" t="s">
        <v>0</v>
      </c>
      <c r="BJ10" s="1315" t="s">
        <v>0</v>
      </c>
      <c r="BK10" s="1315" t="s">
        <v>0</v>
      </c>
      <c r="BL10" s="1315" t="s">
        <v>0</v>
      </c>
      <c r="BM10" s="1315" t="s">
        <v>0</v>
      </c>
      <c r="BN10" s="1315" t="s">
        <v>0</v>
      </c>
      <c r="BO10" s="1315" t="s">
        <v>0</v>
      </c>
      <c r="BP10" s="1315" t="s">
        <v>0</v>
      </c>
      <c r="BQ10" s="1315">
        <v>0</v>
      </c>
      <c r="BR10" s="1315">
        <v>152</v>
      </c>
    </row>
    <row r="11" spans="1:70" ht="12" customHeight="1">
      <c r="A11" s="1336" t="s">
        <v>138</v>
      </c>
      <c r="B11" s="1315">
        <v>15549</v>
      </c>
      <c r="C11" s="1315">
        <v>9249</v>
      </c>
      <c r="D11" s="1315">
        <v>664</v>
      </c>
      <c r="E11" s="1315">
        <v>5636</v>
      </c>
      <c r="F11" s="1315">
        <v>16428</v>
      </c>
      <c r="G11" s="1315">
        <v>14484</v>
      </c>
      <c r="H11" s="1315">
        <v>1944</v>
      </c>
      <c r="I11" s="1315">
        <v>0</v>
      </c>
      <c r="J11" s="1315">
        <v>-879</v>
      </c>
      <c r="K11" s="1315">
        <v>-881</v>
      </c>
      <c r="L11" s="1315">
        <v>0</v>
      </c>
      <c r="M11" s="1315">
        <v>-881</v>
      </c>
      <c r="N11" s="1315">
        <v>322</v>
      </c>
      <c r="O11" s="1315">
        <v>-164</v>
      </c>
      <c r="P11" s="1315">
        <v>0</v>
      </c>
      <c r="Q11" s="1315">
        <v>130</v>
      </c>
      <c r="R11" s="1315">
        <v>-211</v>
      </c>
      <c r="S11" s="1315">
        <v>142</v>
      </c>
      <c r="T11" s="1315">
        <v>0</v>
      </c>
      <c r="U11" s="1315">
        <v>31</v>
      </c>
      <c r="V11" s="1315">
        <v>100</v>
      </c>
      <c r="W11" s="1315">
        <v>0</v>
      </c>
      <c r="X11" s="1315">
        <v>100</v>
      </c>
      <c r="Y11" s="1315">
        <v>0</v>
      </c>
      <c r="Z11" s="1315">
        <v>0</v>
      </c>
      <c r="AA11" s="1315">
        <v>95</v>
      </c>
      <c r="AB11" s="1315">
        <v>0</v>
      </c>
      <c r="AC11" s="1315">
        <v>-21</v>
      </c>
      <c r="AD11" s="1315">
        <v>0</v>
      </c>
      <c r="AE11" s="1315">
        <v>56</v>
      </c>
      <c r="AF11" s="1315">
        <v>1203</v>
      </c>
      <c r="AG11" s="1315">
        <v>169</v>
      </c>
      <c r="AH11" s="1315">
        <v>213</v>
      </c>
      <c r="AI11" s="1315">
        <v>0</v>
      </c>
      <c r="AJ11" s="1315">
        <v>-167</v>
      </c>
      <c r="AK11" s="1315">
        <v>-12</v>
      </c>
      <c r="AL11" s="1315">
        <v>-140</v>
      </c>
      <c r="AM11" s="1315">
        <v>-15</v>
      </c>
      <c r="AN11" s="1315">
        <v>400</v>
      </c>
      <c r="AO11" s="1315">
        <v>-11</v>
      </c>
      <c r="AP11" s="1315">
        <v>-9</v>
      </c>
      <c r="AQ11" s="1315">
        <v>-3</v>
      </c>
      <c r="AR11" s="1315">
        <v>173</v>
      </c>
      <c r="AS11" s="1315">
        <v>0</v>
      </c>
      <c r="AT11" s="1315">
        <v>173</v>
      </c>
      <c r="AU11" s="1315">
        <v>660</v>
      </c>
      <c r="AV11" s="1315">
        <v>2</v>
      </c>
      <c r="AW11" s="1315">
        <v>5235</v>
      </c>
      <c r="AX11" s="1315">
        <v>1280</v>
      </c>
      <c r="AY11" s="1315">
        <v>879</v>
      </c>
      <c r="AZ11" s="1315">
        <v>2941</v>
      </c>
      <c r="BA11" s="1315" t="s">
        <v>0</v>
      </c>
      <c r="BB11" s="1315" t="s">
        <v>0</v>
      </c>
      <c r="BC11" s="1315" t="s">
        <v>0</v>
      </c>
      <c r="BD11" s="1315" t="s">
        <v>0</v>
      </c>
      <c r="BE11" s="1315" t="s">
        <v>0</v>
      </c>
      <c r="BF11" s="1315" t="s">
        <v>0</v>
      </c>
      <c r="BG11" s="1315" t="s">
        <v>0</v>
      </c>
      <c r="BH11" s="1315">
        <v>10700</v>
      </c>
      <c r="BI11" s="1315" t="s">
        <v>0</v>
      </c>
      <c r="BJ11" s="1315" t="s">
        <v>0</v>
      </c>
      <c r="BK11" s="1315" t="s">
        <v>0</v>
      </c>
      <c r="BL11" s="1315" t="s">
        <v>0</v>
      </c>
      <c r="BM11" s="1315" t="s">
        <v>0</v>
      </c>
      <c r="BN11" s="1315" t="s">
        <v>0</v>
      </c>
      <c r="BO11" s="1315" t="s">
        <v>0</v>
      </c>
      <c r="BP11" s="1315" t="s">
        <v>0</v>
      </c>
      <c r="BQ11" s="1315">
        <v>0</v>
      </c>
      <c r="BR11" s="1315">
        <v>152</v>
      </c>
    </row>
    <row r="12" spans="1:70" ht="12" customHeight="1">
      <c r="A12" s="1336" t="s">
        <v>137</v>
      </c>
      <c r="B12" s="1315">
        <v>16379</v>
      </c>
      <c r="C12" s="1315">
        <v>11612</v>
      </c>
      <c r="D12" s="1315">
        <v>746</v>
      </c>
      <c r="E12" s="1315">
        <v>4021</v>
      </c>
      <c r="F12" s="1315">
        <v>14536</v>
      </c>
      <c r="G12" s="1315">
        <v>12350</v>
      </c>
      <c r="H12" s="1315">
        <v>2186</v>
      </c>
      <c r="I12" s="1315">
        <v>0</v>
      </c>
      <c r="J12" s="1315">
        <v>1843</v>
      </c>
      <c r="K12" s="1315">
        <v>3177</v>
      </c>
      <c r="L12" s="1315">
        <v>0</v>
      </c>
      <c r="M12" s="1315">
        <v>3177</v>
      </c>
      <c r="N12" s="1315">
        <v>3818</v>
      </c>
      <c r="O12" s="1315">
        <v>1743</v>
      </c>
      <c r="P12" s="1315">
        <v>0</v>
      </c>
      <c r="Q12" s="1315">
        <v>76</v>
      </c>
      <c r="R12" s="1315">
        <v>47</v>
      </c>
      <c r="S12" s="1315">
        <v>227</v>
      </c>
      <c r="T12" s="1315">
        <v>0</v>
      </c>
      <c r="U12" s="1315">
        <v>58</v>
      </c>
      <c r="V12" s="1315">
        <v>1400</v>
      </c>
      <c r="W12" s="1315">
        <v>0</v>
      </c>
      <c r="X12" s="1315">
        <v>1400</v>
      </c>
      <c r="Y12" s="1315">
        <v>0</v>
      </c>
      <c r="Z12" s="1315">
        <v>0</v>
      </c>
      <c r="AA12" s="1315">
        <v>-10</v>
      </c>
      <c r="AB12" s="1315">
        <v>0</v>
      </c>
      <c r="AC12" s="1315">
        <v>3</v>
      </c>
      <c r="AD12" s="1315">
        <v>0</v>
      </c>
      <c r="AE12" s="1315">
        <v>80</v>
      </c>
      <c r="AF12" s="1315">
        <v>641</v>
      </c>
      <c r="AG12" s="1315">
        <v>-16</v>
      </c>
      <c r="AH12" s="1315">
        <v>185</v>
      </c>
      <c r="AI12" s="1315">
        <v>0</v>
      </c>
      <c r="AJ12" s="1315">
        <v>-213</v>
      </c>
      <c r="AK12" s="1315">
        <v>80</v>
      </c>
      <c r="AL12" s="1315">
        <v>43</v>
      </c>
      <c r="AM12" s="1315">
        <v>-336</v>
      </c>
      <c r="AN12" s="1315">
        <v>89</v>
      </c>
      <c r="AO12" s="1315">
        <v>58</v>
      </c>
      <c r="AP12" s="1315">
        <v>-227</v>
      </c>
      <c r="AQ12" s="1315">
        <v>-4</v>
      </c>
      <c r="AR12" s="1315">
        <v>35</v>
      </c>
      <c r="AS12" s="1315">
        <v>0</v>
      </c>
      <c r="AT12" s="1315">
        <v>35</v>
      </c>
      <c r="AU12" s="1315">
        <v>621</v>
      </c>
      <c r="AV12" s="1315">
        <v>-1334</v>
      </c>
      <c r="AW12" s="1315">
        <v>738</v>
      </c>
      <c r="AX12" s="1315">
        <v>1440</v>
      </c>
      <c r="AY12" s="1315">
        <v>-1843</v>
      </c>
      <c r="AZ12" s="1315">
        <v>3391</v>
      </c>
      <c r="BA12" s="1315" t="s">
        <v>0</v>
      </c>
      <c r="BB12" s="1315" t="s">
        <v>0</v>
      </c>
      <c r="BC12" s="1315" t="s">
        <v>0</v>
      </c>
      <c r="BD12" s="1315" t="s">
        <v>0</v>
      </c>
      <c r="BE12" s="1315" t="s">
        <v>0</v>
      </c>
      <c r="BF12" s="1315" t="s">
        <v>0</v>
      </c>
      <c r="BG12" s="1315" t="s">
        <v>0</v>
      </c>
      <c r="BH12" s="1315">
        <v>11788</v>
      </c>
      <c r="BI12" s="1315" t="s">
        <v>0</v>
      </c>
      <c r="BJ12" s="1315" t="s">
        <v>0</v>
      </c>
      <c r="BK12" s="1315" t="s">
        <v>0</v>
      </c>
      <c r="BL12" s="1315" t="s">
        <v>0</v>
      </c>
      <c r="BM12" s="1315" t="s">
        <v>0</v>
      </c>
      <c r="BN12" s="1315" t="s">
        <v>0</v>
      </c>
      <c r="BO12" s="1315" t="s">
        <v>0</v>
      </c>
      <c r="BP12" s="1315" t="s">
        <v>0</v>
      </c>
      <c r="BQ12" s="1315">
        <v>0</v>
      </c>
      <c r="BR12" s="1315">
        <v>239</v>
      </c>
    </row>
    <row r="13" spans="1:70" ht="12" customHeight="1">
      <c r="A13" s="1336" t="s">
        <v>136</v>
      </c>
      <c r="B13" s="1315">
        <v>18978</v>
      </c>
      <c r="C13" s="1315">
        <v>14586</v>
      </c>
      <c r="D13" s="1315">
        <v>864</v>
      </c>
      <c r="E13" s="1315">
        <v>3528</v>
      </c>
      <c r="F13" s="1315">
        <v>19855</v>
      </c>
      <c r="G13" s="1315">
        <v>17099</v>
      </c>
      <c r="H13" s="1315">
        <v>2756</v>
      </c>
      <c r="I13" s="1315">
        <v>0</v>
      </c>
      <c r="J13" s="1315">
        <v>-877</v>
      </c>
      <c r="K13" s="1315">
        <v>-785</v>
      </c>
      <c r="L13" s="1315">
        <v>0</v>
      </c>
      <c r="M13" s="1315">
        <v>-785</v>
      </c>
      <c r="N13" s="1315">
        <v>234</v>
      </c>
      <c r="O13" s="1315">
        <v>-52</v>
      </c>
      <c r="P13" s="1315">
        <v>0</v>
      </c>
      <c r="Q13" s="1315">
        <v>343</v>
      </c>
      <c r="R13" s="1315">
        <v>-335</v>
      </c>
      <c r="S13" s="1315">
        <v>-288</v>
      </c>
      <c r="T13" s="1315">
        <v>0</v>
      </c>
      <c r="U13" s="1315">
        <v>91</v>
      </c>
      <c r="V13" s="1315">
        <v>-22</v>
      </c>
      <c r="W13" s="1315">
        <v>0</v>
      </c>
      <c r="X13" s="1315">
        <v>-22</v>
      </c>
      <c r="Y13" s="1315">
        <v>0</v>
      </c>
      <c r="Z13" s="1315">
        <v>0</v>
      </c>
      <c r="AA13" s="1315">
        <v>6</v>
      </c>
      <c r="AB13" s="1315">
        <v>0</v>
      </c>
      <c r="AC13" s="1315">
        <v>120</v>
      </c>
      <c r="AD13" s="1315">
        <v>0</v>
      </c>
      <c r="AE13" s="1315">
        <v>90</v>
      </c>
      <c r="AF13" s="1315">
        <v>1019</v>
      </c>
      <c r="AG13" s="1315">
        <v>-20</v>
      </c>
      <c r="AH13" s="1315">
        <v>650</v>
      </c>
      <c r="AI13" s="1315">
        <v>0</v>
      </c>
      <c r="AJ13" s="1315">
        <v>151</v>
      </c>
      <c r="AK13" s="1315">
        <v>166</v>
      </c>
      <c r="AL13" s="1315">
        <v>51</v>
      </c>
      <c r="AM13" s="1315">
        <v>-66</v>
      </c>
      <c r="AN13" s="1315">
        <v>164</v>
      </c>
      <c r="AO13" s="1315">
        <v>58</v>
      </c>
      <c r="AP13" s="1315">
        <v>-201</v>
      </c>
      <c r="AQ13" s="1315">
        <v>45</v>
      </c>
      <c r="AR13" s="1315">
        <v>3</v>
      </c>
      <c r="AS13" s="1315">
        <v>0</v>
      </c>
      <c r="AT13" s="1315">
        <v>3</v>
      </c>
      <c r="AU13" s="1315">
        <v>508</v>
      </c>
      <c r="AV13" s="1315">
        <v>-92</v>
      </c>
      <c r="AW13" s="1315">
        <v>2513</v>
      </c>
      <c r="AX13" s="1315">
        <v>1892</v>
      </c>
      <c r="AY13" s="1315">
        <v>877</v>
      </c>
      <c r="AZ13" s="1315">
        <v>3658</v>
      </c>
      <c r="BA13" s="1315" t="s">
        <v>0</v>
      </c>
      <c r="BB13" s="1315" t="s">
        <v>0</v>
      </c>
      <c r="BC13" s="1315" t="s">
        <v>0</v>
      </c>
      <c r="BD13" s="1315" t="s">
        <v>0</v>
      </c>
      <c r="BE13" s="1315" t="s">
        <v>0</v>
      </c>
      <c r="BF13" s="1315" t="s">
        <v>0</v>
      </c>
      <c r="BG13" s="1315" t="s">
        <v>0</v>
      </c>
      <c r="BH13" s="1315">
        <v>12979</v>
      </c>
      <c r="BI13" s="1315" t="s">
        <v>0</v>
      </c>
      <c r="BJ13" s="1315" t="s">
        <v>0</v>
      </c>
      <c r="BK13" s="1315" t="s">
        <v>0</v>
      </c>
      <c r="BL13" s="1315" t="s">
        <v>0</v>
      </c>
      <c r="BM13" s="1315" t="s">
        <v>0</v>
      </c>
      <c r="BN13" s="1315" t="s">
        <v>0</v>
      </c>
      <c r="BO13" s="1315" t="s">
        <v>0</v>
      </c>
      <c r="BP13" s="1315" t="s">
        <v>0</v>
      </c>
      <c r="BQ13" s="1315">
        <v>0</v>
      </c>
      <c r="BR13" s="1315">
        <v>62</v>
      </c>
    </row>
    <row r="14" spans="1:70" ht="12" customHeight="1">
      <c r="A14" s="1336" t="s">
        <v>135</v>
      </c>
      <c r="B14" s="1315">
        <v>18726</v>
      </c>
      <c r="C14" s="1315">
        <v>15295</v>
      </c>
      <c r="D14" s="1315">
        <v>872</v>
      </c>
      <c r="E14" s="1315">
        <v>2559</v>
      </c>
      <c r="F14" s="1315">
        <v>19316</v>
      </c>
      <c r="G14" s="1315">
        <v>16459</v>
      </c>
      <c r="H14" s="1315">
        <v>2857</v>
      </c>
      <c r="I14" s="1315">
        <v>0</v>
      </c>
      <c r="J14" s="1315">
        <v>-590</v>
      </c>
      <c r="K14" s="1315">
        <v>-605</v>
      </c>
      <c r="L14" s="1315">
        <v>0</v>
      </c>
      <c r="M14" s="1315">
        <v>-605</v>
      </c>
      <c r="N14" s="1315">
        <v>761</v>
      </c>
      <c r="O14" s="1315">
        <v>-380</v>
      </c>
      <c r="P14" s="1315">
        <v>0</v>
      </c>
      <c r="Q14" s="1315">
        <v>-77</v>
      </c>
      <c r="R14" s="1315">
        <v>250</v>
      </c>
      <c r="S14" s="1315">
        <v>141</v>
      </c>
      <c r="T14" s="1315">
        <v>0</v>
      </c>
      <c r="U14" s="1315">
        <v>16</v>
      </c>
      <c r="V14" s="1315">
        <v>190</v>
      </c>
      <c r="W14" s="1315">
        <v>0</v>
      </c>
      <c r="X14" s="1315">
        <v>190</v>
      </c>
      <c r="Y14" s="1315">
        <v>0</v>
      </c>
      <c r="Z14" s="1315">
        <v>0</v>
      </c>
      <c r="AA14" s="1315">
        <v>36</v>
      </c>
      <c r="AB14" s="1315">
        <v>0</v>
      </c>
      <c r="AC14" s="1315">
        <v>255</v>
      </c>
      <c r="AD14" s="1315">
        <v>0</v>
      </c>
      <c r="AE14" s="1315">
        <v>132</v>
      </c>
      <c r="AF14" s="1315">
        <v>1366</v>
      </c>
      <c r="AG14" s="1315">
        <v>36</v>
      </c>
      <c r="AH14" s="1315">
        <v>447</v>
      </c>
      <c r="AI14" s="1315">
        <v>0</v>
      </c>
      <c r="AJ14" s="1315">
        <v>9</v>
      </c>
      <c r="AK14" s="1315">
        <v>-47</v>
      </c>
      <c r="AL14" s="1315">
        <v>-105</v>
      </c>
      <c r="AM14" s="1315">
        <v>161</v>
      </c>
      <c r="AN14" s="1315">
        <v>431</v>
      </c>
      <c r="AO14" s="1315">
        <v>-20</v>
      </c>
      <c r="AP14" s="1315">
        <v>33</v>
      </c>
      <c r="AQ14" s="1315">
        <v>28</v>
      </c>
      <c r="AR14" s="1315">
        <v>-14</v>
      </c>
      <c r="AS14" s="1315">
        <v>0</v>
      </c>
      <c r="AT14" s="1315">
        <v>-14</v>
      </c>
      <c r="AU14" s="1315">
        <v>852</v>
      </c>
      <c r="AV14" s="1315">
        <v>15</v>
      </c>
      <c r="AW14" s="1315">
        <v>1164</v>
      </c>
      <c r="AX14" s="1315">
        <v>1985</v>
      </c>
      <c r="AY14" s="1315">
        <v>590</v>
      </c>
      <c r="AZ14" s="1315">
        <v>3945</v>
      </c>
      <c r="BA14" s="1315" t="s">
        <v>0</v>
      </c>
      <c r="BB14" s="1315" t="s">
        <v>0</v>
      </c>
      <c r="BC14" s="1315" t="s">
        <v>0</v>
      </c>
      <c r="BD14" s="1315" t="s">
        <v>0</v>
      </c>
      <c r="BE14" s="1315" t="s">
        <v>0</v>
      </c>
      <c r="BF14" s="1315" t="s">
        <v>0</v>
      </c>
      <c r="BG14" s="1315" t="s">
        <v>0</v>
      </c>
      <c r="BH14" s="1315">
        <v>14721</v>
      </c>
      <c r="BI14" s="1315" t="s">
        <v>0</v>
      </c>
      <c r="BJ14" s="1315" t="s">
        <v>0</v>
      </c>
      <c r="BK14" s="1315" t="s">
        <v>0</v>
      </c>
      <c r="BL14" s="1315" t="s">
        <v>0</v>
      </c>
      <c r="BM14" s="1315" t="s">
        <v>0</v>
      </c>
      <c r="BN14" s="1315" t="s">
        <v>0</v>
      </c>
      <c r="BO14" s="1315" t="s">
        <v>0</v>
      </c>
      <c r="BP14" s="1315" t="s">
        <v>0</v>
      </c>
      <c r="BQ14" s="1315">
        <v>0</v>
      </c>
      <c r="BR14" s="1315">
        <v>86</v>
      </c>
    </row>
    <row r="15" spans="1:70" ht="12" customHeight="1">
      <c r="A15" s="1336" t="s">
        <v>134</v>
      </c>
      <c r="B15" s="1315">
        <v>19477</v>
      </c>
      <c r="C15" s="1315">
        <v>16014</v>
      </c>
      <c r="D15" s="1315">
        <v>944</v>
      </c>
      <c r="E15" s="1315">
        <v>2519</v>
      </c>
      <c r="F15" s="1315">
        <v>18156</v>
      </c>
      <c r="G15" s="1315">
        <v>15313</v>
      </c>
      <c r="H15" s="1315">
        <v>2843</v>
      </c>
      <c r="I15" s="1315">
        <v>0</v>
      </c>
      <c r="J15" s="1315">
        <v>1321</v>
      </c>
      <c r="K15" s="1315">
        <v>121</v>
      </c>
      <c r="L15" s="1315">
        <v>0</v>
      </c>
      <c r="M15" s="1315">
        <v>121</v>
      </c>
      <c r="N15" s="1315">
        <v>1955</v>
      </c>
      <c r="O15" s="1315">
        <v>1161</v>
      </c>
      <c r="P15" s="1315">
        <v>0</v>
      </c>
      <c r="Q15" s="1315">
        <v>-81</v>
      </c>
      <c r="R15" s="1315">
        <v>-452</v>
      </c>
      <c r="S15" s="1315">
        <v>601</v>
      </c>
      <c r="T15" s="1315">
        <v>0</v>
      </c>
      <c r="U15" s="1315">
        <v>92</v>
      </c>
      <c r="V15" s="1315">
        <v>567</v>
      </c>
      <c r="W15" s="1315">
        <v>0</v>
      </c>
      <c r="X15" s="1315">
        <v>567</v>
      </c>
      <c r="Y15" s="1315">
        <v>0</v>
      </c>
      <c r="Z15" s="1315">
        <v>0</v>
      </c>
      <c r="AA15" s="1315">
        <v>15</v>
      </c>
      <c r="AB15" s="1315">
        <v>0</v>
      </c>
      <c r="AC15" s="1315">
        <v>-55</v>
      </c>
      <c r="AD15" s="1315">
        <v>0</v>
      </c>
      <c r="AE15" s="1315">
        <v>158</v>
      </c>
      <c r="AF15" s="1315">
        <v>1834</v>
      </c>
      <c r="AG15" s="1315">
        <v>-95</v>
      </c>
      <c r="AH15" s="1315">
        <v>1126</v>
      </c>
      <c r="AI15" s="1315">
        <v>0</v>
      </c>
      <c r="AJ15" s="1315">
        <v>-111</v>
      </c>
      <c r="AK15" s="1315">
        <v>-56</v>
      </c>
      <c r="AL15" s="1315">
        <v>4</v>
      </c>
      <c r="AM15" s="1315">
        <v>-59</v>
      </c>
      <c r="AN15" s="1315">
        <v>1309</v>
      </c>
      <c r="AO15" s="1315">
        <v>40</v>
      </c>
      <c r="AP15" s="1315">
        <v>61</v>
      </c>
      <c r="AQ15" s="1315">
        <v>-19</v>
      </c>
      <c r="AR15" s="1315">
        <v>-13</v>
      </c>
      <c r="AS15" s="1315">
        <v>0</v>
      </c>
      <c r="AT15" s="1315">
        <v>-13</v>
      </c>
      <c r="AU15" s="1315">
        <v>735</v>
      </c>
      <c r="AV15" s="1315">
        <v>1200</v>
      </c>
      <c r="AW15" s="1315">
        <v>-701</v>
      </c>
      <c r="AX15" s="1315">
        <v>1899</v>
      </c>
      <c r="AY15" s="1315">
        <v>-1321</v>
      </c>
      <c r="AZ15" s="1315">
        <v>4251</v>
      </c>
      <c r="BA15" s="1315" t="s">
        <v>0</v>
      </c>
      <c r="BB15" s="1315" t="s">
        <v>0</v>
      </c>
      <c r="BC15" s="1315" t="s">
        <v>0</v>
      </c>
      <c r="BD15" s="1315" t="s">
        <v>0</v>
      </c>
      <c r="BE15" s="1315" t="s">
        <v>0</v>
      </c>
      <c r="BF15" s="1315" t="s">
        <v>0</v>
      </c>
      <c r="BG15" s="1315" t="s">
        <v>0</v>
      </c>
      <c r="BH15" s="1315">
        <v>16253</v>
      </c>
      <c r="BI15" s="1315" t="s">
        <v>0</v>
      </c>
      <c r="BJ15" s="1315" t="s">
        <v>0</v>
      </c>
      <c r="BK15" s="1315" t="s">
        <v>0</v>
      </c>
      <c r="BL15" s="1315" t="s">
        <v>0</v>
      </c>
      <c r="BM15" s="1315" t="s">
        <v>0</v>
      </c>
      <c r="BN15" s="1315" t="s">
        <v>0</v>
      </c>
      <c r="BO15" s="1315" t="s">
        <v>0</v>
      </c>
      <c r="BP15" s="1315" t="s">
        <v>0</v>
      </c>
      <c r="BQ15" s="1315">
        <v>0</v>
      </c>
      <c r="BR15" s="1315">
        <v>79</v>
      </c>
    </row>
    <row r="16" spans="1:70" ht="12" customHeight="1">
      <c r="A16" s="1336" t="s">
        <v>133</v>
      </c>
      <c r="B16" s="1315">
        <v>18705</v>
      </c>
      <c r="C16" s="1315">
        <v>15432</v>
      </c>
      <c r="D16" s="1315">
        <v>944</v>
      </c>
      <c r="E16" s="1315">
        <v>2329</v>
      </c>
      <c r="F16" s="1315">
        <v>18875</v>
      </c>
      <c r="G16" s="1315">
        <v>15836</v>
      </c>
      <c r="H16" s="1315">
        <v>3039</v>
      </c>
      <c r="I16" s="1315">
        <v>0</v>
      </c>
      <c r="J16" s="1315">
        <v>-170</v>
      </c>
      <c r="K16" s="1315">
        <v>1051</v>
      </c>
      <c r="L16" s="1315">
        <v>0</v>
      </c>
      <c r="M16" s="1315">
        <v>1051</v>
      </c>
      <c r="N16" s="1315">
        <v>2261</v>
      </c>
      <c r="O16" s="1315">
        <v>298</v>
      </c>
      <c r="P16" s="1315">
        <v>0</v>
      </c>
      <c r="Q16" s="1315">
        <v>-121</v>
      </c>
      <c r="R16" s="1315">
        <v>210</v>
      </c>
      <c r="S16" s="1315">
        <v>492</v>
      </c>
      <c r="T16" s="1315">
        <v>0</v>
      </c>
      <c r="U16" s="1315">
        <v>183</v>
      </c>
      <c r="V16" s="1315">
        <v>431</v>
      </c>
      <c r="W16" s="1315">
        <v>0</v>
      </c>
      <c r="X16" s="1315">
        <v>431</v>
      </c>
      <c r="Y16" s="1315">
        <v>0</v>
      </c>
      <c r="Z16" s="1315">
        <v>0</v>
      </c>
      <c r="AA16" s="1315">
        <v>6</v>
      </c>
      <c r="AB16" s="1315">
        <v>0</v>
      </c>
      <c r="AC16" s="1315">
        <v>483</v>
      </c>
      <c r="AD16" s="1315">
        <v>0</v>
      </c>
      <c r="AE16" s="1315">
        <v>124</v>
      </c>
      <c r="AF16" s="1315">
        <v>1210</v>
      </c>
      <c r="AG16" s="1315">
        <v>-182</v>
      </c>
      <c r="AH16" s="1315">
        <v>165</v>
      </c>
      <c r="AI16" s="1315">
        <v>0</v>
      </c>
      <c r="AJ16" s="1315">
        <v>352</v>
      </c>
      <c r="AK16" s="1315">
        <v>199</v>
      </c>
      <c r="AL16" s="1315">
        <v>66</v>
      </c>
      <c r="AM16" s="1315">
        <v>87</v>
      </c>
      <c r="AN16" s="1315">
        <v>-211</v>
      </c>
      <c r="AO16" s="1315">
        <v>74</v>
      </c>
      <c r="AP16" s="1315">
        <v>306</v>
      </c>
      <c r="AQ16" s="1315">
        <v>99</v>
      </c>
      <c r="AR16" s="1315">
        <v>111</v>
      </c>
      <c r="AS16" s="1315">
        <v>0</v>
      </c>
      <c r="AT16" s="1315">
        <v>111</v>
      </c>
      <c r="AU16" s="1315">
        <v>667</v>
      </c>
      <c r="AV16" s="1315">
        <v>-1221</v>
      </c>
      <c r="AW16" s="1315">
        <v>404</v>
      </c>
      <c r="AX16" s="1315">
        <v>2095</v>
      </c>
      <c r="AY16" s="1315">
        <v>170</v>
      </c>
      <c r="AZ16" s="1315">
        <v>4633</v>
      </c>
      <c r="BA16" s="1315" t="s">
        <v>0</v>
      </c>
      <c r="BB16" s="1315" t="s">
        <v>0</v>
      </c>
      <c r="BC16" s="1315" t="s">
        <v>0</v>
      </c>
      <c r="BD16" s="1315" t="s">
        <v>0</v>
      </c>
      <c r="BE16" s="1315" t="s">
        <v>0</v>
      </c>
      <c r="BF16" s="1315" t="s">
        <v>0</v>
      </c>
      <c r="BG16" s="1315" t="s">
        <v>0</v>
      </c>
      <c r="BH16" s="1315">
        <v>17631</v>
      </c>
      <c r="BI16" s="1315" t="s">
        <v>0</v>
      </c>
      <c r="BJ16" s="1315" t="s">
        <v>0</v>
      </c>
      <c r="BK16" s="1315" t="s">
        <v>0</v>
      </c>
      <c r="BL16" s="1315" t="s">
        <v>0</v>
      </c>
      <c r="BM16" s="1315" t="s">
        <v>0</v>
      </c>
      <c r="BN16" s="1315" t="s">
        <v>0</v>
      </c>
      <c r="BO16" s="1315" t="s">
        <v>0</v>
      </c>
      <c r="BP16" s="1315" t="s">
        <v>0</v>
      </c>
      <c r="BQ16" s="1315">
        <v>0</v>
      </c>
      <c r="BR16" s="1315">
        <v>141</v>
      </c>
    </row>
    <row r="17" spans="1:70" ht="12" customHeight="1">
      <c r="A17" s="1336" t="s">
        <v>132</v>
      </c>
      <c r="B17" s="1315">
        <v>20812</v>
      </c>
      <c r="C17" s="1315">
        <v>17199</v>
      </c>
      <c r="D17" s="1315">
        <v>1058</v>
      </c>
      <c r="E17" s="1315">
        <v>2555</v>
      </c>
      <c r="F17" s="1315">
        <v>21184</v>
      </c>
      <c r="G17" s="1315">
        <v>17677</v>
      </c>
      <c r="H17" s="1315">
        <v>3507</v>
      </c>
      <c r="I17" s="1315">
        <v>0</v>
      </c>
      <c r="J17" s="1315">
        <v>-372</v>
      </c>
      <c r="K17" s="1315">
        <v>-1063</v>
      </c>
      <c r="L17" s="1315">
        <v>0</v>
      </c>
      <c r="M17" s="1315">
        <v>-1063</v>
      </c>
      <c r="N17" s="1315">
        <v>478</v>
      </c>
      <c r="O17" s="1315">
        <v>40</v>
      </c>
      <c r="P17" s="1315">
        <v>0</v>
      </c>
      <c r="Q17" s="1315">
        <v>68</v>
      </c>
      <c r="R17" s="1315">
        <v>-176</v>
      </c>
      <c r="S17" s="1315">
        <v>-101</v>
      </c>
      <c r="T17" s="1315">
        <v>0</v>
      </c>
      <c r="U17" s="1315">
        <v>-145</v>
      </c>
      <c r="V17" s="1315">
        <v>337</v>
      </c>
      <c r="W17" s="1315">
        <v>0</v>
      </c>
      <c r="X17" s="1315">
        <v>337</v>
      </c>
      <c r="Y17" s="1315">
        <v>0</v>
      </c>
      <c r="Z17" s="1315">
        <v>0</v>
      </c>
      <c r="AA17" s="1315">
        <v>54</v>
      </c>
      <c r="AB17" s="1315">
        <v>0</v>
      </c>
      <c r="AC17" s="1315">
        <v>127</v>
      </c>
      <c r="AD17" s="1315">
        <v>0</v>
      </c>
      <c r="AE17" s="1315">
        <v>197</v>
      </c>
      <c r="AF17" s="1315">
        <v>1541</v>
      </c>
      <c r="AG17" s="1315">
        <v>-141</v>
      </c>
      <c r="AH17" s="1315">
        <v>125</v>
      </c>
      <c r="AI17" s="1315">
        <v>0</v>
      </c>
      <c r="AJ17" s="1315">
        <v>349</v>
      </c>
      <c r="AK17" s="1315">
        <v>5</v>
      </c>
      <c r="AL17" s="1315">
        <v>141</v>
      </c>
      <c r="AM17" s="1315">
        <v>203</v>
      </c>
      <c r="AN17" s="1315">
        <v>-70</v>
      </c>
      <c r="AO17" s="1315">
        <v>39</v>
      </c>
      <c r="AP17" s="1315">
        <v>366</v>
      </c>
      <c r="AQ17" s="1315">
        <v>54</v>
      </c>
      <c r="AR17" s="1315">
        <v>343</v>
      </c>
      <c r="AS17" s="1315">
        <v>0</v>
      </c>
      <c r="AT17" s="1315">
        <v>343</v>
      </c>
      <c r="AU17" s="1315">
        <v>823</v>
      </c>
      <c r="AV17" s="1315">
        <v>691</v>
      </c>
      <c r="AW17" s="1315">
        <v>478</v>
      </c>
      <c r="AX17" s="1315">
        <v>2449</v>
      </c>
      <c r="AY17" s="1315">
        <v>372</v>
      </c>
      <c r="AZ17" s="1315">
        <v>5076</v>
      </c>
      <c r="BA17" s="1315" t="s">
        <v>0</v>
      </c>
      <c r="BB17" s="1315" t="s">
        <v>0</v>
      </c>
      <c r="BC17" s="1315" t="s">
        <v>0</v>
      </c>
      <c r="BD17" s="1315" t="s">
        <v>0</v>
      </c>
      <c r="BE17" s="1315" t="s">
        <v>0</v>
      </c>
      <c r="BF17" s="1315" t="s">
        <v>0</v>
      </c>
      <c r="BG17" s="1315" t="s">
        <v>0</v>
      </c>
      <c r="BH17" s="1315">
        <v>19395</v>
      </c>
      <c r="BI17" s="1315" t="s">
        <v>0</v>
      </c>
      <c r="BJ17" s="1315" t="s">
        <v>0</v>
      </c>
      <c r="BK17" s="1315" t="s">
        <v>0</v>
      </c>
      <c r="BL17" s="1315" t="s">
        <v>0</v>
      </c>
      <c r="BM17" s="1315" t="s">
        <v>0</v>
      </c>
      <c r="BN17" s="1315" t="s">
        <v>0</v>
      </c>
      <c r="BO17" s="1315" t="s">
        <v>0</v>
      </c>
      <c r="BP17" s="1315" t="s">
        <v>0</v>
      </c>
      <c r="BQ17" s="1315">
        <v>0</v>
      </c>
      <c r="BR17" s="1315">
        <v>116</v>
      </c>
    </row>
    <row r="18" spans="1:70" ht="12" customHeight="1">
      <c r="A18" s="1336" t="s">
        <v>131</v>
      </c>
      <c r="B18" s="1315">
        <v>22535</v>
      </c>
      <c r="C18" s="1315">
        <v>18923</v>
      </c>
      <c r="D18" s="1315">
        <v>1137</v>
      </c>
      <c r="E18" s="1315">
        <v>2475</v>
      </c>
      <c r="F18" s="1315">
        <v>25217</v>
      </c>
      <c r="G18" s="1315">
        <v>21284</v>
      </c>
      <c r="H18" s="1315">
        <v>3933</v>
      </c>
      <c r="I18" s="1315">
        <v>0</v>
      </c>
      <c r="J18" s="1315">
        <v>-2682</v>
      </c>
      <c r="K18" s="1315">
        <v>-2576</v>
      </c>
      <c r="L18" s="1315">
        <v>0</v>
      </c>
      <c r="M18" s="1315">
        <v>-2576</v>
      </c>
      <c r="N18" s="1315">
        <v>1306</v>
      </c>
      <c r="O18" s="1315">
        <v>-305</v>
      </c>
      <c r="P18" s="1315">
        <v>0</v>
      </c>
      <c r="Q18" s="1315">
        <v>99</v>
      </c>
      <c r="R18" s="1315">
        <v>221</v>
      </c>
      <c r="S18" s="1315">
        <v>-142</v>
      </c>
      <c r="T18" s="1315">
        <v>0</v>
      </c>
      <c r="U18" s="1315">
        <v>232</v>
      </c>
      <c r="V18" s="1315">
        <v>286</v>
      </c>
      <c r="W18" s="1315">
        <v>0</v>
      </c>
      <c r="X18" s="1315">
        <v>286</v>
      </c>
      <c r="Y18" s="1315">
        <v>0</v>
      </c>
      <c r="Z18" s="1315">
        <v>0</v>
      </c>
      <c r="AA18" s="1315">
        <v>67</v>
      </c>
      <c r="AB18" s="1315">
        <v>0</v>
      </c>
      <c r="AC18" s="1315">
        <v>256</v>
      </c>
      <c r="AD18" s="1315">
        <v>0</v>
      </c>
      <c r="AE18" s="1315">
        <v>232</v>
      </c>
      <c r="AF18" s="1315">
        <v>3882</v>
      </c>
      <c r="AG18" s="1315">
        <v>564</v>
      </c>
      <c r="AH18" s="1315">
        <v>823</v>
      </c>
      <c r="AI18" s="1315">
        <v>0</v>
      </c>
      <c r="AJ18" s="1315">
        <v>352</v>
      </c>
      <c r="AK18" s="1315">
        <v>73</v>
      </c>
      <c r="AL18" s="1315">
        <v>97</v>
      </c>
      <c r="AM18" s="1315">
        <v>182</v>
      </c>
      <c r="AN18" s="1315">
        <v>-6</v>
      </c>
      <c r="AO18" s="1315">
        <v>167</v>
      </c>
      <c r="AP18" s="1315">
        <v>-199</v>
      </c>
      <c r="AQ18" s="1315">
        <v>136</v>
      </c>
      <c r="AR18" s="1315">
        <v>598</v>
      </c>
      <c r="AS18" s="1315">
        <v>35</v>
      </c>
      <c r="AT18" s="1315">
        <v>563</v>
      </c>
      <c r="AU18" s="1315">
        <v>1951</v>
      </c>
      <c r="AV18" s="1315">
        <v>-106</v>
      </c>
      <c r="AW18" s="1315">
        <v>2361</v>
      </c>
      <c r="AX18" s="1315">
        <v>2796</v>
      </c>
      <c r="AY18" s="1315">
        <v>2682</v>
      </c>
      <c r="AZ18" s="1315">
        <v>5459</v>
      </c>
      <c r="BA18" s="1315" t="s">
        <v>0</v>
      </c>
      <c r="BB18" s="1315" t="s">
        <v>0</v>
      </c>
      <c r="BC18" s="1315" t="s">
        <v>0</v>
      </c>
      <c r="BD18" s="1315" t="s">
        <v>0</v>
      </c>
      <c r="BE18" s="1315" t="s">
        <v>0</v>
      </c>
      <c r="BF18" s="1315" t="s">
        <v>0</v>
      </c>
      <c r="BG18" s="1315" t="s">
        <v>0</v>
      </c>
      <c r="BH18" s="1315">
        <v>22505</v>
      </c>
      <c r="BI18" s="1315" t="s">
        <v>0</v>
      </c>
      <c r="BJ18" s="1315" t="s">
        <v>0</v>
      </c>
      <c r="BK18" s="1315" t="s">
        <v>0</v>
      </c>
      <c r="BL18" s="1315" t="s">
        <v>0</v>
      </c>
      <c r="BM18" s="1315" t="s">
        <v>0</v>
      </c>
      <c r="BN18" s="1315" t="s">
        <v>0</v>
      </c>
      <c r="BO18" s="1315" t="s">
        <v>0</v>
      </c>
      <c r="BP18" s="1315" t="s">
        <v>0</v>
      </c>
      <c r="BQ18" s="1315">
        <v>0</v>
      </c>
      <c r="BR18" s="1315">
        <v>84</v>
      </c>
    </row>
    <row r="19" spans="1:70" ht="12" customHeight="1">
      <c r="A19" s="1336" t="s">
        <v>130</v>
      </c>
      <c r="B19" s="1315">
        <v>23568</v>
      </c>
      <c r="C19" s="1315">
        <v>19942</v>
      </c>
      <c r="D19" s="1315">
        <v>1213</v>
      </c>
      <c r="E19" s="1315">
        <v>2413</v>
      </c>
      <c r="F19" s="1315">
        <v>28285</v>
      </c>
      <c r="G19" s="1315">
        <v>24017</v>
      </c>
      <c r="H19" s="1315">
        <v>4268</v>
      </c>
      <c r="I19" s="1315">
        <v>0</v>
      </c>
      <c r="J19" s="1315">
        <v>-4718</v>
      </c>
      <c r="K19" s="1315">
        <v>-4611</v>
      </c>
      <c r="L19" s="1315">
        <v>0</v>
      </c>
      <c r="M19" s="1315">
        <v>-4611</v>
      </c>
      <c r="N19" s="1315">
        <v>-204</v>
      </c>
      <c r="O19" s="1315">
        <v>-799</v>
      </c>
      <c r="P19" s="1315">
        <v>0</v>
      </c>
      <c r="Q19" s="1315">
        <v>-298</v>
      </c>
      <c r="R19" s="1315">
        <v>349</v>
      </c>
      <c r="S19" s="1315">
        <v>-124</v>
      </c>
      <c r="T19" s="1315">
        <v>0</v>
      </c>
      <c r="U19" s="1315">
        <v>283</v>
      </c>
      <c r="V19" s="1315">
        <v>-159</v>
      </c>
      <c r="W19" s="1315">
        <v>0</v>
      </c>
      <c r="X19" s="1315">
        <v>-159</v>
      </c>
      <c r="Y19" s="1315">
        <v>0</v>
      </c>
      <c r="Z19" s="1315">
        <v>0</v>
      </c>
      <c r="AA19" s="1315">
        <v>90</v>
      </c>
      <c r="AB19" s="1315">
        <v>0</v>
      </c>
      <c r="AC19" s="1315">
        <v>147</v>
      </c>
      <c r="AD19" s="1315">
        <v>0</v>
      </c>
      <c r="AE19" s="1315">
        <v>155</v>
      </c>
      <c r="AF19" s="1315">
        <v>4407</v>
      </c>
      <c r="AG19" s="1315">
        <v>367</v>
      </c>
      <c r="AH19" s="1315">
        <v>1293</v>
      </c>
      <c r="AI19" s="1315">
        <v>0</v>
      </c>
      <c r="AJ19" s="1315">
        <v>338</v>
      </c>
      <c r="AK19" s="1315">
        <v>178</v>
      </c>
      <c r="AL19" s="1315">
        <v>11</v>
      </c>
      <c r="AM19" s="1315">
        <v>149</v>
      </c>
      <c r="AN19" s="1315">
        <v>309</v>
      </c>
      <c r="AO19" s="1315">
        <v>211</v>
      </c>
      <c r="AP19" s="1315">
        <v>-400</v>
      </c>
      <c r="AQ19" s="1315">
        <v>88</v>
      </c>
      <c r="AR19" s="1315">
        <v>624</v>
      </c>
      <c r="AS19" s="1315">
        <v>0</v>
      </c>
      <c r="AT19" s="1315">
        <v>624</v>
      </c>
      <c r="AU19" s="1315">
        <v>2442</v>
      </c>
      <c r="AV19" s="1315">
        <v>-107</v>
      </c>
      <c r="AW19" s="1315">
        <v>4076</v>
      </c>
      <c r="AX19" s="1315">
        <v>3055</v>
      </c>
      <c r="AY19" s="1315">
        <v>4718</v>
      </c>
      <c r="AZ19" s="1315">
        <v>5710</v>
      </c>
      <c r="BA19" s="1315" t="s">
        <v>0</v>
      </c>
      <c r="BB19" s="1315" t="s">
        <v>0</v>
      </c>
      <c r="BC19" s="1315" t="s">
        <v>0</v>
      </c>
      <c r="BD19" s="1315" t="s">
        <v>0</v>
      </c>
      <c r="BE19" s="1315" t="s">
        <v>0</v>
      </c>
      <c r="BF19" s="1315" t="s">
        <v>0</v>
      </c>
      <c r="BG19" s="1315" t="s">
        <v>0</v>
      </c>
      <c r="BH19" s="1315">
        <v>25394</v>
      </c>
      <c r="BI19" s="1315" t="s">
        <v>0</v>
      </c>
      <c r="BJ19" s="1315" t="s">
        <v>0</v>
      </c>
      <c r="BK19" s="1315" t="s">
        <v>0</v>
      </c>
      <c r="BL19" s="1315" t="s">
        <v>0</v>
      </c>
      <c r="BM19" s="1315" t="s">
        <v>0</v>
      </c>
      <c r="BN19" s="1315" t="s">
        <v>0</v>
      </c>
      <c r="BO19" s="1315" t="s">
        <v>0</v>
      </c>
      <c r="BP19" s="1315" t="s">
        <v>0</v>
      </c>
      <c r="BQ19" s="1315">
        <v>0</v>
      </c>
      <c r="BR19" s="1315">
        <v>120</v>
      </c>
    </row>
    <row r="20" spans="1:70" ht="12" customHeight="1">
      <c r="A20" s="1336" t="s">
        <v>129</v>
      </c>
      <c r="B20" s="1315">
        <v>23628</v>
      </c>
      <c r="C20" s="1315">
        <v>20023</v>
      </c>
      <c r="D20" s="1315">
        <v>1241</v>
      </c>
      <c r="E20" s="1315">
        <v>2364</v>
      </c>
      <c r="F20" s="1315">
        <v>24429</v>
      </c>
      <c r="G20" s="1315">
        <v>20560</v>
      </c>
      <c r="H20" s="1315">
        <v>3869</v>
      </c>
      <c r="I20" s="1315">
        <v>0</v>
      </c>
      <c r="J20" s="1315">
        <v>-801</v>
      </c>
      <c r="K20" s="1315">
        <v>391</v>
      </c>
      <c r="L20" s="1315">
        <v>0</v>
      </c>
      <c r="M20" s="1315">
        <v>391</v>
      </c>
      <c r="N20" s="1315">
        <v>3265</v>
      </c>
      <c r="O20" s="1315">
        <v>2275</v>
      </c>
      <c r="P20" s="1315">
        <v>0</v>
      </c>
      <c r="Q20" s="1315">
        <v>-80</v>
      </c>
      <c r="R20" s="1315">
        <v>-96</v>
      </c>
      <c r="S20" s="1315">
        <v>881</v>
      </c>
      <c r="T20" s="1315">
        <v>0</v>
      </c>
      <c r="U20" s="1315">
        <v>-111</v>
      </c>
      <c r="V20" s="1315">
        <v>105</v>
      </c>
      <c r="W20" s="1315">
        <v>0</v>
      </c>
      <c r="X20" s="1315">
        <v>105</v>
      </c>
      <c r="Y20" s="1315">
        <v>0</v>
      </c>
      <c r="Z20" s="1315">
        <v>0</v>
      </c>
      <c r="AA20" s="1315">
        <v>54</v>
      </c>
      <c r="AB20" s="1315">
        <v>0</v>
      </c>
      <c r="AC20" s="1315">
        <v>-54</v>
      </c>
      <c r="AD20" s="1315">
        <v>0</v>
      </c>
      <c r="AE20" s="1315">
        <v>98</v>
      </c>
      <c r="AF20" s="1315">
        <v>2874</v>
      </c>
      <c r="AG20" s="1315">
        <v>-17</v>
      </c>
      <c r="AH20" s="1315">
        <v>1944</v>
      </c>
      <c r="AI20" s="1315">
        <v>0</v>
      </c>
      <c r="AJ20" s="1315">
        <v>528</v>
      </c>
      <c r="AK20" s="1315">
        <v>214</v>
      </c>
      <c r="AL20" s="1315">
        <v>74</v>
      </c>
      <c r="AM20" s="1315">
        <v>240</v>
      </c>
      <c r="AN20" s="1315">
        <v>574</v>
      </c>
      <c r="AO20" s="1315">
        <v>-76</v>
      </c>
      <c r="AP20" s="1315">
        <v>-586</v>
      </c>
      <c r="AQ20" s="1315">
        <v>-5</v>
      </c>
      <c r="AR20" s="1315">
        <v>339</v>
      </c>
      <c r="AS20" s="1315">
        <v>0</v>
      </c>
      <c r="AT20" s="1315">
        <v>339</v>
      </c>
      <c r="AU20" s="1315">
        <v>1181</v>
      </c>
      <c r="AV20" s="1315">
        <v>-1192</v>
      </c>
      <c r="AW20" s="1315">
        <v>537</v>
      </c>
      <c r="AX20" s="1315">
        <v>2629</v>
      </c>
      <c r="AY20" s="1315">
        <v>801</v>
      </c>
      <c r="AZ20" s="1315">
        <v>6115</v>
      </c>
      <c r="BA20" s="1315" t="s">
        <v>0</v>
      </c>
      <c r="BB20" s="1315" t="s">
        <v>0</v>
      </c>
      <c r="BC20" s="1315" t="s">
        <v>0</v>
      </c>
      <c r="BD20" s="1315" t="s">
        <v>0</v>
      </c>
      <c r="BE20" s="1315" t="s">
        <v>0</v>
      </c>
      <c r="BF20" s="1315" t="s">
        <v>0</v>
      </c>
      <c r="BG20" s="1315" t="s">
        <v>0</v>
      </c>
      <c r="BH20" s="1315">
        <v>27409</v>
      </c>
      <c r="BI20" s="1315" t="s">
        <v>0</v>
      </c>
      <c r="BJ20" s="1315" t="s">
        <v>0</v>
      </c>
      <c r="BK20" s="1315" t="s">
        <v>0</v>
      </c>
      <c r="BL20" s="1315" t="s">
        <v>0</v>
      </c>
      <c r="BM20" s="1315" t="s">
        <v>0</v>
      </c>
      <c r="BN20" s="1315" t="s">
        <v>0</v>
      </c>
      <c r="BO20" s="1315" t="s">
        <v>0</v>
      </c>
      <c r="BP20" s="1315" t="s">
        <v>0</v>
      </c>
      <c r="BQ20" s="1315">
        <v>0</v>
      </c>
      <c r="BR20" s="1315">
        <v>136</v>
      </c>
    </row>
    <row r="21" spans="1:70" ht="12" customHeight="1">
      <c r="A21" s="1336" t="s">
        <v>128</v>
      </c>
      <c r="B21" s="1315">
        <v>28266</v>
      </c>
      <c r="C21" s="1315">
        <v>22328</v>
      </c>
      <c r="D21" s="1315">
        <v>1508</v>
      </c>
      <c r="E21" s="1315">
        <v>4430</v>
      </c>
      <c r="F21" s="1315">
        <v>26994</v>
      </c>
      <c r="G21" s="1315">
        <v>22725</v>
      </c>
      <c r="H21" s="1315">
        <v>4269</v>
      </c>
      <c r="I21" s="1315">
        <v>0</v>
      </c>
      <c r="J21" s="1315">
        <v>1272</v>
      </c>
      <c r="K21" s="1315">
        <v>3179</v>
      </c>
      <c r="L21" s="1315">
        <v>0</v>
      </c>
      <c r="M21" s="1315">
        <v>3179</v>
      </c>
      <c r="N21" s="1315">
        <v>5315</v>
      </c>
      <c r="O21" s="1315">
        <v>1075</v>
      </c>
      <c r="P21" s="1315">
        <v>0</v>
      </c>
      <c r="Q21" s="1315">
        <v>239</v>
      </c>
      <c r="R21" s="1315">
        <v>134</v>
      </c>
      <c r="S21" s="1315">
        <v>-839</v>
      </c>
      <c r="T21" s="1315">
        <v>0</v>
      </c>
      <c r="U21" s="1315">
        <v>-86</v>
      </c>
      <c r="V21" s="1315">
        <v>4325</v>
      </c>
      <c r="W21" s="1315">
        <v>0</v>
      </c>
      <c r="X21" s="1315">
        <v>4325</v>
      </c>
      <c r="Y21" s="1315">
        <v>0</v>
      </c>
      <c r="Z21" s="1315">
        <v>0</v>
      </c>
      <c r="AA21" s="1315">
        <v>-56</v>
      </c>
      <c r="AB21" s="1315">
        <v>0</v>
      </c>
      <c r="AC21" s="1315">
        <v>351</v>
      </c>
      <c r="AD21" s="1315">
        <v>0</v>
      </c>
      <c r="AE21" s="1315">
        <v>238</v>
      </c>
      <c r="AF21" s="1315">
        <v>2136</v>
      </c>
      <c r="AG21" s="1315">
        <v>39</v>
      </c>
      <c r="AH21" s="1315">
        <v>915</v>
      </c>
      <c r="AI21" s="1315">
        <v>0</v>
      </c>
      <c r="AJ21" s="1315">
        <v>227</v>
      </c>
      <c r="AK21" s="1315">
        <v>-4</v>
      </c>
      <c r="AL21" s="1315">
        <v>79</v>
      </c>
      <c r="AM21" s="1315">
        <v>152</v>
      </c>
      <c r="AN21" s="1315">
        <v>269</v>
      </c>
      <c r="AO21" s="1315">
        <v>-54</v>
      </c>
      <c r="AP21" s="1315">
        <v>-278</v>
      </c>
      <c r="AQ21" s="1315">
        <v>93</v>
      </c>
      <c r="AR21" s="1315">
        <v>12</v>
      </c>
      <c r="AS21" s="1315">
        <v>0</v>
      </c>
      <c r="AT21" s="1315">
        <v>12</v>
      </c>
      <c r="AU21" s="1315">
        <v>1372</v>
      </c>
      <c r="AV21" s="1315">
        <v>-1907</v>
      </c>
      <c r="AW21" s="1315">
        <v>397</v>
      </c>
      <c r="AX21" s="1315">
        <v>2761</v>
      </c>
      <c r="AY21" s="1315">
        <v>-1272</v>
      </c>
      <c r="AZ21" s="1315">
        <v>6604</v>
      </c>
      <c r="BA21" s="1315" t="s">
        <v>0</v>
      </c>
      <c r="BB21" s="1315" t="s">
        <v>0</v>
      </c>
      <c r="BC21" s="1315" t="s">
        <v>0</v>
      </c>
      <c r="BD21" s="1315" t="s">
        <v>0</v>
      </c>
      <c r="BE21" s="1315" t="s">
        <v>0</v>
      </c>
      <c r="BF21" s="1315" t="s">
        <v>0</v>
      </c>
      <c r="BG21" s="1315" t="s">
        <v>0</v>
      </c>
      <c r="BH21" s="1315">
        <v>29827</v>
      </c>
      <c r="BI21" s="1315" t="s">
        <v>0</v>
      </c>
      <c r="BJ21" s="1315" t="s">
        <v>0</v>
      </c>
      <c r="BK21" s="1315" t="s">
        <v>0</v>
      </c>
      <c r="BL21" s="1315" t="s">
        <v>0</v>
      </c>
      <c r="BM21" s="1315" t="s">
        <v>0</v>
      </c>
      <c r="BN21" s="1315" t="s">
        <v>0</v>
      </c>
      <c r="BO21" s="1315" t="s">
        <v>0</v>
      </c>
      <c r="BP21" s="1315" t="s">
        <v>0</v>
      </c>
      <c r="BQ21" s="1315">
        <v>0</v>
      </c>
      <c r="BR21" s="1315">
        <v>128</v>
      </c>
    </row>
    <row r="22" spans="1:70" ht="12" customHeight="1">
      <c r="A22" s="1336" t="s">
        <v>127</v>
      </c>
      <c r="B22" s="1315">
        <v>28761</v>
      </c>
      <c r="C22" s="1315">
        <v>22841</v>
      </c>
      <c r="D22" s="1315">
        <v>1775</v>
      </c>
      <c r="E22" s="1315">
        <v>4145</v>
      </c>
      <c r="F22" s="1315">
        <v>31933</v>
      </c>
      <c r="G22" s="1315">
        <v>27045</v>
      </c>
      <c r="H22" s="1315">
        <v>4888</v>
      </c>
      <c r="I22" s="1315">
        <v>0</v>
      </c>
      <c r="J22" s="1315">
        <v>-3172</v>
      </c>
      <c r="K22" s="1315">
        <v>-1459</v>
      </c>
      <c r="L22" s="1315">
        <v>0</v>
      </c>
      <c r="M22" s="1315">
        <v>-1459</v>
      </c>
      <c r="N22" s="1315">
        <v>4347</v>
      </c>
      <c r="O22" s="1315">
        <v>1703</v>
      </c>
      <c r="P22" s="1315">
        <v>0</v>
      </c>
      <c r="Q22" s="1315">
        <v>393</v>
      </c>
      <c r="R22" s="1315">
        <v>-18</v>
      </c>
      <c r="S22" s="1315">
        <v>284</v>
      </c>
      <c r="T22" s="1315">
        <v>0</v>
      </c>
      <c r="U22" s="1315">
        <v>534</v>
      </c>
      <c r="V22" s="1315">
        <v>291</v>
      </c>
      <c r="W22" s="1315">
        <v>0</v>
      </c>
      <c r="X22" s="1315">
        <v>291</v>
      </c>
      <c r="Y22" s="1315">
        <v>0</v>
      </c>
      <c r="Z22" s="1315">
        <v>0</v>
      </c>
      <c r="AA22" s="1315">
        <v>79</v>
      </c>
      <c r="AB22" s="1315">
        <v>0</v>
      </c>
      <c r="AC22" s="1315">
        <v>203</v>
      </c>
      <c r="AD22" s="1315">
        <v>0</v>
      </c>
      <c r="AE22" s="1315">
        <v>315</v>
      </c>
      <c r="AF22" s="1315">
        <v>5806</v>
      </c>
      <c r="AG22" s="1315">
        <v>-442</v>
      </c>
      <c r="AH22" s="1315">
        <v>1776</v>
      </c>
      <c r="AI22" s="1315">
        <v>0</v>
      </c>
      <c r="AJ22" s="1315">
        <v>146</v>
      </c>
      <c r="AK22" s="1315">
        <v>-27</v>
      </c>
      <c r="AL22" s="1315">
        <v>40</v>
      </c>
      <c r="AM22" s="1315">
        <v>133</v>
      </c>
      <c r="AN22" s="1315">
        <v>418</v>
      </c>
      <c r="AO22" s="1315">
        <v>635</v>
      </c>
      <c r="AP22" s="1315">
        <v>86</v>
      </c>
      <c r="AQ22" s="1315">
        <v>761</v>
      </c>
      <c r="AR22" s="1315">
        <v>682</v>
      </c>
      <c r="AS22" s="1315">
        <v>154</v>
      </c>
      <c r="AT22" s="1315">
        <v>528</v>
      </c>
      <c r="AU22" s="1315">
        <v>2940</v>
      </c>
      <c r="AV22" s="1315">
        <v>-1713</v>
      </c>
      <c r="AW22" s="1315">
        <v>4204</v>
      </c>
      <c r="AX22" s="1315">
        <v>3113</v>
      </c>
      <c r="AY22" s="1315">
        <v>3172</v>
      </c>
      <c r="AZ22" s="1315">
        <v>6925</v>
      </c>
      <c r="BA22" s="1315" t="s">
        <v>0</v>
      </c>
      <c r="BB22" s="1315" t="s">
        <v>0</v>
      </c>
      <c r="BC22" s="1315" t="s">
        <v>0</v>
      </c>
      <c r="BD22" s="1315" t="s">
        <v>0</v>
      </c>
      <c r="BE22" s="1315" t="s">
        <v>0</v>
      </c>
      <c r="BF22" s="1315" t="s">
        <v>0</v>
      </c>
      <c r="BG22" s="1315" t="s">
        <v>0</v>
      </c>
      <c r="BH22" s="1315">
        <v>31865</v>
      </c>
      <c r="BI22" s="1315" t="s">
        <v>0</v>
      </c>
      <c r="BJ22" s="1315" t="s">
        <v>0</v>
      </c>
      <c r="BK22" s="1315" t="s">
        <v>0</v>
      </c>
      <c r="BL22" s="1315" t="s">
        <v>0</v>
      </c>
      <c r="BM22" s="1315" t="s">
        <v>0</v>
      </c>
      <c r="BN22" s="1315" t="s">
        <v>0</v>
      </c>
      <c r="BO22" s="1315" t="s">
        <v>0</v>
      </c>
      <c r="BP22" s="1315" t="s">
        <v>0</v>
      </c>
      <c r="BQ22" s="1315">
        <v>0</v>
      </c>
      <c r="BR22" s="1315">
        <v>162</v>
      </c>
    </row>
    <row r="23" spans="1:70" ht="12" customHeight="1">
      <c r="A23" s="1336" t="s">
        <v>126</v>
      </c>
      <c r="B23" s="1315">
        <v>28695</v>
      </c>
      <c r="C23" s="1315">
        <v>22688</v>
      </c>
      <c r="D23" s="1315">
        <v>1788</v>
      </c>
      <c r="E23" s="1315">
        <v>4219</v>
      </c>
      <c r="F23" s="1315">
        <v>32909</v>
      </c>
      <c r="G23" s="1315">
        <v>27602</v>
      </c>
      <c r="H23" s="1315">
        <v>5307</v>
      </c>
      <c r="I23" s="1315">
        <v>0</v>
      </c>
      <c r="J23" s="1315">
        <v>-4214</v>
      </c>
      <c r="K23" s="1315">
        <v>-2696</v>
      </c>
      <c r="L23" s="1315">
        <v>-2</v>
      </c>
      <c r="M23" s="1315">
        <v>-2694</v>
      </c>
      <c r="N23" s="1315">
        <v>3386</v>
      </c>
      <c r="O23" s="1315">
        <v>857</v>
      </c>
      <c r="P23" s="1315">
        <v>0</v>
      </c>
      <c r="Q23" s="1315">
        <v>-25</v>
      </c>
      <c r="R23" s="1315">
        <v>976</v>
      </c>
      <c r="S23" s="1315">
        <v>52</v>
      </c>
      <c r="T23" s="1315">
        <v>0</v>
      </c>
      <c r="U23" s="1315">
        <v>69</v>
      </c>
      <c r="V23" s="1315">
        <v>384</v>
      </c>
      <c r="W23" s="1315">
        <v>0</v>
      </c>
      <c r="X23" s="1315">
        <v>384</v>
      </c>
      <c r="Y23" s="1315">
        <v>0</v>
      </c>
      <c r="Z23" s="1315">
        <v>0</v>
      </c>
      <c r="AA23" s="1315">
        <v>1</v>
      </c>
      <c r="AB23" s="1315">
        <v>0</v>
      </c>
      <c r="AC23" s="1315">
        <v>323</v>
      </c>
      <c r="AD23" s="1315">
        <v>0</v>
      </c>
      <c r="AE23" s="1315">
        <v>311</v>
      </c>
      <c r="AF23" s="1315">
        <v>6080</v>
      </c>
      <c r="AG23" s="1315">
        <v>251</v>
      </c>
      <c r="AH23" s="1315">
        <v>2224</v>
      </c>
      <c r="AI23" s="1315">
        <v>0</v>
      </c>
      <c r="AJ23" s="1315">
        <v>713</v>
      </c>
      <c r="AK23" s="1315">
        <v>127</v>
      </c>
      <c r="AL23" s="1315">
        <v>231</v>
      </c>
      <c r="AM23" s="1315">
        <v>355</v>
      </c>
      <c r="AN23" s="1315">
        <v>479</v>
      </c>
      <c r="AO23" s="1315">
        <v>595</v>
      </c>
      <c r="AP23" s="1315">
        <v>325</v>
      </c>
      <c r="AQ23" s="1315">
        <v>106</v>
      </c>
      <c r="AR23" s="1315">
        <v>432</v>
      </c>
      <c r="AS23" s="1315">
        <v>171</v>
      </c>
      <c r="AT23" s="1315">
        <v>261</v>
      </c>
      <c r="AU23" s="1315">
        <v>2654</v>
      </c>
      <c r="AV23" s="1315">
        <v>-1518</v>
      </c>
      <c r="AW23" s="1315">
        <v>4914</v>
      </c>
      <c r="AX23" s="1315">
        <v>3519</v>
      </c>
      <c r="AY23" s="1315">
        <v>4214</v>
      </c>
      <c r="AZ23" s="1315">
        <v>7253</v>
      </c>
      <c r="BA23" s="1315" t="s">
        <v>0</v>
      </c>
      <c r="BB23" s="1315" t="s">
        <v>0</v>
      </c>
      <c r="BC23" s="1315" t="s">
        <v>0</v>
      </c>
      <c r="BD23" s="1315" t="s">
        <v>0</v>
      </c>
      <c r="BE23" s="1315" t="s">
        <v>0</v>
      </c>
      <c r="BF23" s="1315" t="s">
        <v>0</v>
      </c>
      <c r="BG23" s="1315" t="s">
        <v>0</v>
      </c>
      <c r="BH23" s="1315">
        <v>34717</v>
      </c>
      <c r="BI23" s="1315" t="s">
        <v>0</v>
      </c>
      <c r="BJ23" s="1315" t="s">
        <v>0</v>
      </c>
      <c r="BK23" s="1315" t="s">
        <v>0</v>
      </c>
      <c r="BL23" s="1315" t="s">
        <v>0</v>
      </c>
      <c r="BM23" s="1315" t="s">
        <v>0</v>
      </c>
      <c r="BN23" s="1315" t="s">
        <v>0</v>
      </c>
      <c r="BO23" s="1315" t="s">
        <v>0</v>
      </c>
      <c r="BP23" s="1315" t="s">
        <v>0</v>
      </c>
      <c r="BQ23" s="1315">
        <v>0</v>
      </c>
      <c r="BR23" s="1315">
        <v>276</v>
      </c>
    </row>
    <row r="24" spans="1:70" ht="12" customHeight="1">
      <c r="A24" s="1336" t="s">
        <v>125</v>
      </c>
      <c r="B24" s="1315">
        <v>31207</v>
      </c>
      <c r="C24" s="1315">
        <v>24965</v>
      </c>
      <c r="D24" s="1315">
        <v>1847</v>
      </c>
      <c r="E24" s="1315">
        <v>4395</v>
      </c>
      <c r="F24" s="1315">
        <v>35006</v>
      </c>
      <c r="G24" s="1315">
        <v>29066</v>
      </c>
      <c r="H24" s="1315">
        <v>5940</v>
      </c>
      <c r="I24" s="1315">
        <v>0</v>
      </c>
      <c r="J24" s="1315">
        <v>-3799</v>
      </c>
      <c r="K24" s="1315">
        <v>-1389</v>
      </c>
      <c r="L24" s="1315">
        <v>1</v>
      </c>
      <c r="M24" s="1315">
        <v>-1390</v>
      </c>
      <c r="N24" s="1315">
        <v>3610</v>
      </c>
      <c r="O24" s="1315">
        <v>890</v>
      </c>
      <c r="P24" s="1315">
        <v>0</v>
      </c>
      <c r="Q24" s="1315">
        <v>-170</v>
      </c>
      <c r="R24" s="1315">
        <v>135</v>
      </c>
      <c r="S24" s="1315">
        <v>498</v>
      </c>
      <c r="T24" s="1315">
        <v>0</v>
      </c>
      <c r="U24" s="1315">
        <v>27</v>
      </c>
      <c r="V24" s="1315">
        <v>1344</v>
      </c>
      <c r="W24" s="1315">
        <v>0</v>
      </c>
      <c r="X24" s="1315">
        <v>1344</v>
      </c>
      <c r="Y24" s="1315">
        <v>337</v>
      </c>
      <c r="Z24" s="1315">
        <v>0</v>
      </c>
      <c r="AA24" s="1315">
        <v>25</v>
      </c>
      <c r="AB24" s="1315">
        <v>0</v>
      </c>
      <c r="AC24" s="1315">
        <v>109</v>
      </c>
      <c r="AD24" s="1315">
        <v>0</v>
      </c>
      <c r="AE24" s="1315">
        <v>346</v>
      </c>
      <c r="AF24" s="1315">
        <v>5000</v>
      </c>
      <c r="AG24" s="1315">
        <v>-643</v>
      </c>
      <c r="AH24" s="1315">
        <v>2102</v>
      </c>
      <c r="AI24" s="1315">
        <v>0</v>
      </c>
      <c r="AJ24" s="1315">
        <v>427</v>
      </c>
      <c r="AK24" s="1315">
        <v>45</v>
      </c>
      <c r="AL24" s="1315">
        <v>247</v>
      </c>
      <c r="AM24" s="1315">
        <v>135</v>
      </c>
      <c r="AN24" s="1315">
        <v>717</v>
      </c>
      <c r="AO24" s="1315">
        <v>-36</v>
      </c>
      <c r="AP24" s="1315">
        <v>-25</v>
      </c>
      <c r="AQ24" s="1315">
        <v>473</v>
      </c>
      <c r="AR24" s="1315">
        <v>367</v>
      </c>
      <c r="AS24" s="1315">
        <v>122</v>
      </c>
      <c r="AT24" s="1315">
        <v>245</v>
      </c>
      <c r="AU24" s="1315">
        <v>2851</v>
      </c>
      <c r="AV24" s="1315">
        <v>-2410</v>
      </c>
      <c r="AW24" s="1315">
        <v>4101</v>
      </c>
      <c r="AX24" s="1315">
        <v>4094</v>
      </c>
      <c r="AY24" s="1315">
        <v>3799</v>
      </c>
      <c r="AZ24" s="1315">
        <v>7555</v>
      </c>
      <c r="BA24" s="1315" t="s">
        <v>0</v>
      </c>
      <c r="BB24" s="1315" t="s">
        <v>0</v>
      </c>
      <c r="BC24" s="1315" t="s">
        <v>0</v>
      </c>
      <c r="BD24" s="1315" t="s">
        <v>0</v>
      </c>
      <c r="BE24" s="1315" t="s">
        <v>0</v>
      </c>
      <c r="BF24" s="1315" t="s">
        <v>0</v>
      </c>
      <c r="BG24" s="1315" t="s">
        <v>0</v>
      </c>
      <c r="BH24" s="1315">
        <v>37276</v>
      </c>
      <c r="BI24" s="1315" t="s">
        <v>0</v>
      </c>
      <c r="BJ24" s="1315" t="s">
        <v>0</v>
      </c>
      <c r="BK24" s="1315" t="s">
        <v>0</v>
      </c>
      <c r="BL24" s="1315" t="s">
        <v>0</v>
      </c>
      <c r="BM24" s="1315" t="s">
        <v>0</v>
      </c>
      <c r="BN24" s="1315" t="s">
        <v>0</v>
      </c>
      <c r="BO24" s="1315" t="s">
        <v>0</v>
      </c>
      <c r="BP24" s="1315" t="s">
        <v>0</v>
      </c>
      <c r="BQ24" s="1315">
        <v>0</v>
      </c>
      <c r="BR24" s="1315">
        <v>261</v>
      </c>
    </row>
    <row r="25" spans="1:70" ht="12" customHeight="1">
      <c r="A25" s="1336" t="s">
        <v>124</v>
      </c>
      <c r="B25" s="1315">
        <v>32658</v>
      </c>
      <c r="C25" s="1315">
        <v>26136</v>
      </c>
      <c r="D25" s="1315">
        <v>2053</v>
      </c>
      <c r="E25" s="1315">
        <v>4469</v>
      </c>
      <c r="F25" s="1315">
        <v>37604</v>
      </c>
      <c r="G25" s="1315">
        <v>31074</v>
      </c>
      <c r="H25" s="1315">
        <v>6530</v>
      </c>
      <c r="I25" s="1315">
        <v>0</v>
      </c>
      <c r="J25" s="1315">
        <v>-4946</v>
      </c>
      <c r="K25" s="1315">
        <v>-3044</v>
      </c>
      <c r="L25" s="1315">
        <v>1</v>
      </c>
      <c r="M25" s="1315">
        <v>-3044</v>
      </c>
      <c r="N25" s="1315">
        <v>3771</v>
      </c>
      <c r="O25" s="1315">
        <v>461</v>
      </c>
      <c r="P25" s="1315">
        <v>0</v>
      </c>
      <c r="Q25" s="1315">
        <v>51</v>
      </c>
      <c r="R25" s="1315">
        <v>266</v>
      </c>
      <c r="S25" s="1315">
        <v>851</v>
      </c>
      <c r="T25" s="1315">
        <v>0</v>
      </c>
      <c r="U25" s="1315">
        <v>50</v>
      </c>
      <c r="V25" s="1315">
        <v>654</v>
      </c>
      <c r="W25" s="1315">
        <v>0</v>
      </c>
      <c r="X25" s="1315">
        <v>654</v>
      </c>
      <c r="Y25" s="1315">
        <v>335</v>
      </c>
      <c r="Z25" s="1315">
        <v>0</v>
      </c>
      <c r="AA25" s="1315">
        <v>57</v>
      </c>
      <c r="AB25" s="1315">
        <v>0</v>
      </c>
      <c r="AC25" s="1315">
        <v>225</v>
      </c>
      <c r="AD25" s="1315">
        <v>0</v>
      </c>
      <c r="AE25" s="1315">
        <v>231</v>
      </c>
      <c r="AF25" s="1315">
        <v>6815</v>
      </c>
      <c r="AG25" s="1315">
        <v>84</v>
      </c>
      <c r="AH25" s="1315">
        <v>3191</v>
      </c>
      <c r="AI25" s="1315">
        <v>0</v>
      </c>
      <c r="AJ25" s="1315">
        <v>572</v>
      </c>
      <c r="AK25" s="1315">
        <v>-122</v>
      </c>
      <c r="AL25" s="1315">
        <v>135</v>
      </c>
      <c r="AM25" s="1315">
        <v>559</v>
      </c>
      <c r="AN25" s="1315">
        <v>1153</v>
      </c>
      <c r="AO25" s="1315">
        <v>473</v>
      </c>
      <c r="AP25" s="1315">
        <v>112</v>
      </c>
      <c r="AQ25" s="1315">
        <v>-355</v>
      </c>
      <c r="AR25" s="1315">
        <v>509</v>
      </c>
      <c r="AS25" s="1315">
        <v>62</v>
      </c>
      <c r="AT25" s="1315">
        <v>447</v>
      </c>
      <c r="AU25" s="1315">
        <v>3483</v>
      </c>
      <c r="AV25" s="1315">
        <v>-1903</v>
      </c>
      <c r="AW25" s="1315">
        <v>4939</v>
      </c>
      <c r="AX25" s="1315">
        <v>4477</v>
      </c>
      <c r="AY25" s="1315">
        <v>4946</v>
      </c>
      <c r="AZ25" s="1315">
        <v>7835</v>
      </c>
      <c r="BA25" s="1315" t="s">
        <v>0</v>
      </c>
      <c r="BB25" s="1315" t="s">
        <v>0</v>
      </c>
      <c r="BC25" s="1315" t="s">
        <v>0</v>
      </c>
      <c r="BD25" s="1315" t="s">
        <v>0</v>
      </c>
      <c r="BE25" s="1315" t="s">
        <v>0</v>
      </c>
      <c r="BF25" s="1315" t="s">
        <v>0</v>
      </c>
      <c r="BG25" s="1315" t="s">
        <v>0</v>
      </c>
      <c r="BH25" s="1315">
        <v>40736</v>
      </c>
      <c r="BI25" s="1315" t="s">
        <v>0</v>
      </c>
      <c r="BJ25" s="1315" t="s">
        <v>0</v>
      </c>
      <c r="BK25" s="1315" t="s">
        <v>0</v>
      </c>
      <c r="BL25" s="1315" t="s">
        <v>0</v>
      </c>
      <c r="BM25" s="1315" t="s">
        <v>0</v>
      </c>
      <c r="BN25" s="1315" t="s">
        <v>0</v>
      </c>
      <c r="BO25" s="1315" t="s">
        <v>0</v>
      </c>
      <c r="BP25" s="1315" t="s">
        <v>0</v>
      </c>
      <c r="BQ25" s="1315">
        <v>0</v>
      </c>
      <c r="BR25" s="1315">
        <v>360</v>
      </c>
    </row>
    <row r="26" spans="1:70" ht="12" customHeight="1">
      <c r="A26" s="1336" t="s">
        <v>123</v>
      </c>
      <c r="B26" s="1315">
        <v>34791</v>
      </c>
      <c r="C26" s="1315">
        <v>28105</v>
      </c>
      <c r="D26" s="1315">
        <v>2319</v>
      </c>
      <c r="E26" s="1315">
        <v>4367</v>
      </c>
      <c r="F26" s="1315">
        <v>42258</v>
      </c>
      <c r="G26" s="1315">
        <v>35019</v>
      </c>
      <c r="H26" s="1315">
        <v>7239</v>
      </c>
      <c r="I26" s="1315">
        <v>0</v>
      </c>
      <c r="J26" s="1315">
        <v>-7467</v>
      </c>
      <c r="K26" s="1315">
        <v>-4563</v>
      </c>
      <c r="L26" s="1315">
        <v>1</v>
      </c>
      <c r="M26" s="1315">
        <v>-4564</v>
      </c>
      <c r="N26" s="1315">
        <v>4246</v>
      </c>
      <c r="O26" s="1315">
        <v>125</v>
      </c>
      <c r="P26" s="1315">
        <v>0</v>
      </c>
      <c r="Q26" s="1315">
        <v>117</v>
      </c>
      <c r="R26" s="1315">
        <v>959</v>
      </c>
      <c r="S26" s="1315">
        <v>1255</v>
      </c>
      <c r="T26" s="1315">
        <v>0</v>
      </c>
      <c r="U26" s="1315">
        <v>183</v>
      </c>
      <c r="V26" s="1315">
        <v>288</v>
      </c>
      <c r="W26" s="1315">
        <v>0</v>
      </c>
      <c r="X26" s="1315">
        <v>288</v>
      </c>
      <c r="Y26" s="1315">
        <v>336</v>
      </c>
      <c r="Z26" s="1315">
        <v>0</v>
      </c>
      <c r="AA26" s="1315">
        <v>208</v>
      </c>
      <c r="AB26" s="1315">
        <v>0</v>
      </c>
      <c r="AC26" s="1315">
        <v>-292</v>
      </c>
      <c r="AD26" s="1315">
        <v>0</v>
      </c>
      <c r="AE26" s="1315">
        <v>322</v>
      </c>
      <c r="AF26" s="1315">
        <v>8810</v>
      </c>
      <c r="AG26" s="1315">
        <v>-46</v>
      </c>
      <c r="AH26" s="1315">
        <v>3905</v>
      </c>
      <c r="AI26" s="1315">
        <v>0</v>
      </c>
      <c r="AJ26" s="1315">
        <v>1481</v>
      </c>
      <c r="AK26" s="1315">
        <v>12</v>
      </c>
      <c r="AL26" s="1315">
        <v>501</v>
      </c>
      <c r="AM26" s="1315">
        <v>968</v>
      </c>
      <c r="AN26" s="1315">
        <v>1550</v>
      </c>
      <c r="AO26" s="1315">
        <v>407</v>
      </c>
      <c r="AP26" s="1315">
        <v>211</v>
      </c>
      <c r="AQ26" s="1315">
        <v>748</v>
      </c>
      <c r="AR26" s="1315">
        <v>131</v>
      </c>
      <c r="AS26" s="1315">
        <v>112</v>
      </c>
      <c r="AT26" s="1315">
        <v>19</v>
      </c>
      <c r="AU26" s="1315">
        <v>3758</v>
      </c>
      <c r="AV26" s="1315">
        <v>-2904</v>
      </c>
      <c r="AW26" s="1315">
        <v>6915</v>
      </c>
      <c r="AX26" s="1315">
        <v>4920</v>
      </c>
      <c r="AY26" s="1315">
        <v>7467</v>
      </c>
      <c r="AZ26" s="1315">
        <v>8147</v>
      </c>
      <c r="BA26" s="1315" t="s">
        <v>0</v>
      </c>
      <c r="BB26" s="1315" t="s">
        <v>0</v>
      </c>
      <c r="BC26" s="1315" t="s">
        <v>0</v>
      </c>
      <c r="BD26" s="1315" t="s">
        <v>0</v>
      </c>
      <c r="BE26" s="1315" t="s">
        <v>0</v>
      </c>
      <c r="BF26" s="1315" t="s">
        <v>0</v>
      </c>
      <c r="BG26" s="1315" t="s">
        <v>0</v>
      </c>
      <c r="BH26" s="1315">
        <v>44480</v>
      </c>
      <c r="BI26" s="1315" t="s">
        <v>0</v>
      </c>
      <c r="BJ26" s="1315" t="s">
        <v>0</v>
      </c>
      <c r="BK26" s="1315" t="s">
        <v>0</v>
      </c>
      <c r="BL26" s="1315" t="s">
        <v>0</v>
      </c>
      <c r="BM26" s="1315" t="s">
        <v>0</v>
      </c>
      <c r="BN26" s="1315" t="s">
        <v>0</v>
      </c>
      <c r="BO26" s="1315" t="s">
        <v>0</v>
      </c>
      <c r="BP26" s="1315" t="s">
        <v>0</v>
      </c>
      <c r="BQ26" s="1315">
        <v>0</v>
      </c>
      <c r="BR26" s="1315">
        <v>363</v>
      </c>
    </row>
    <row r="27" spans="1:70" ht="12" customHeight="1">
      <c r="A27" s="1336" t="s">
        <v>122</v>
      </c>
      <c r="B27" s="1315">
        <v>38870</v>
      </c>
      <c r="C27" s="1315">
        <v>31529</v>
      </c>
      <c r="D27" s="1315">
        <v>2602</v>
      </c>
      <c r="E27" s="1315">
        <v>4739</v>
      </c>
      <c r="F27" s="1315">
        <v>45027</v>
      </c>
      <c r="G27" s="1315">
        <v>37146</v>
      </c>
      <c r="H27" s="1315">
        <v>7881</v>
      </c>
      <c r="I27" s="1315">
        <v>0</v>
      </c>
      <c r="J27" s="1315">
        <v>-6158</v>
      </c>
      <c r="K27" s="1315">
        <v>-4614</v>
      </c>
      <c r="L27" s="1315">
        <v>0</v>
      </c>
      <c r="M27" s="1315">
        <v>-4614</v>
      </c>
      <c r="N27" s="1315">
        <v>3375</v>
      </c>
      <c r="O27" s="1315">
        <v>1666</v>
      </c>
      <c r="P27" s="1315">
        <v>0</v>
      </c>
      <c r="Q27" s="1315">
        <v>324</v>
      </c>
      <c r="R27" s="1315">
        <v>256</v>
      </c>
      <c r="S27" s="1315">
        <v>566</v>
      </c>
      <c r="T27" s="1315">
        <v>0</v>
      </c>
      <c r="U27" s="1315">
        <v>362</v>
      </c>
      <c r="V27" s="1315">
        <v>-265</v>
      </c>
      <c r="W27" s="1315">
        <v>0</v>
      </c>
      <c r="X27" s="1315">
        <v>-265</v>
      </c>
      <c r="Y27" s="1315">
        <v>336</v>
      </c>
      <c r="Z27" s="1315">
        <v>0</v>
      </c>
      <c r="AA27" s="1315">
        <v>44</v>
      </c>
      <c r="AB27" s="1315">
        <v>0</v>
      </c>
      <c r="AC27" s="1315">
        <v>-400</v>
      </c>
      <c r="AD27" s="1315">
        <v>0</v>
      </c>
      <c r="AE27" s="1315">
        <v>414</v>
      </c>
      <c r="AF27" s="1315">
        <v>7989</v>
      </c>
      <c r="AG27" s="1315">
        <v>443</v>
      </c>
      <c r="AH27" s="1315">
        <v>2560</v>
      </c>
      <c r="AI27" s="1315">
        <v>0</v>
      </c>
      <c r="AJ27" s="1315">
        <v>578</v>
      </c>
      <c r="AK27" s="1315">
        <v>125</v>
      </c>
      <c r="AL27" s="1315">
        <v>139</v>
      </c>
      <c r="AM27" s="1315">
        <v>314</v>
      </c>
      <c r="AN27" s="1315">
        <v>1589</v>
      </c>
      <c r="AO27" s="1315">
        <v>-67</v>
      </c>
      <c r="AP27" s="1315">
        <v>299</v>
      </c>
      <c r="AQ27" s="1315">
        <v>-28</v>
      </c>
      <c r="AR27" s="1315">
        <v>16</v>
      </c>
      <c r="AS27" s="1315">
        <v>0</v>
      </c>
      <c r="AT27" s="1315">
        <v>16</v>
      </c>
      <c r="AU27" s="1315">
        <v>5011</v>
      </c>
      <c r="AV27" s="1315">
        <v>-1544</v>
      </c>
      <c r="AW27" s="1315">
        <v>5618</v>
      </c>
      <c r="AX27" s="1315">
        <v>5279</v>
      </c>
      <c r="AY27" s="1315">
        <v>6158</v>
      </c>
      <c r="AZ27" s="1315">
        <v>8532</v>
      </c>
      <c r="BA27" s="1315" t="s">
        <v>0</v>
      </c>
      <c r="BB27" s="1315" t="s">
        <v>0</v>
      </c>
      <c r="BC27" s="1315" t="s">
        <v>0</v>
      </c>
      <c r="BD27" s="1315" t="s">
        <v>0</v>
      </c>
      <c r="BE27" s="1315" t="s">
        <v>0</v>
      </c>
      <c r="BF27" s="1315" t="s">
        <v>0</v>
      </c>
      <c r="BG27" s="1315" t="s">
        <v>0</v>
      </c>
      <c r="BH27" s="1315">
        <v>55410</v>
      </c>
      <c r="BI27" s="1315" t="s">
        <v>0</v>
      </c>
      <c r="BJ27" s="1315" t="s">
        <v>0</v>
      </c>
      <c r="BK27" s="1315" t="s">
        <v>0</v>
      </c>
      <c r="BL27" s="1315" t="s">
        <v>0</v>
      </c>
      <c r="BM27" s="1315" t="s">
        <v>0</v>
      </c>
      <c r="BN27" s="1315" t="s">
        <v>0</v>
      </c>
      <c r="BO27" s="1315" t="s">
        <v>0</v>
      </c>
      <c r="BP27" s="1315" t="s">
        <v>0</v>
      </c>
      <c r="BQ27" s="1315">
        <v>0</v>
      </c>
      <c r="BR27" s="1315">
        <v>308</v>
      </c>
    </row>
    <row r="28" spans="1:70" ht="12" customHeight="1">
      <c r="A28" s="1336" t="s">
        <v>121</v>
      </c>
      <c r="B28" s="1315">
        <v>45183</v>
      </c>
      <c r="C28" s="1315">
        <v>37058</v>
      </c>
      <c r="D28" s="1315">
        <v>3001</v>
      </c>
      <c r="E28" s="1315">
        <v>5124</v>
      </c>
      <c r="F28" s="1315">
        <v>48991</v>
      </c>
      <c r="G28" s="1315">
        <v>40920</v>
      </c>
      <c r="H28" s="1315">
        <v>8071</v>
      </c>
      <c r="I28" s="1315">
        <v>0</v>
      </c>
      <c r="J28" s="1315">
        <v>-3809</v>
      </c>
      <c r="K28" s="1315">
        <v>-2990</v>
      </c>
      <c r="L28" s="1315">
        <v>-1</v>
      </c>
      <c r="M28" s="1315">
        <v>-2989</v>
      </c>
      <c r="N28" s="1315">
        <v>5082</v>
      </c>
      <c r="O28" s="1315">
        <v>571</v>
      </c>
      <c r="P28" s="1315">
        <v>0</v>
      </c>
      <c r="Q28" s="1315">
        <v>2656</v>
      </c>
      <c r="R28" s="1315">
        <v>716</v>
      </c>
      <c r="S28" s="1315">
        <v>332</v>
      </c>
      <c r="T28" s="1315">
        <v>0</v>
      </c>
      <c r="U28" s="1315">
        <v>230</v>
      </c>
      <c r="V28" s="1315">
        <v>-1904</v>
      </c>
      <c r="W28" s="1315">
        <v>0</v>
      </c>
      <c r="X28" s="1315">
        <v>-1904</v>
      </c>
      <c r="Y28" s="1315">
        <v>336</v>
      </c>
      <c r="Z28" s="1315">
        <v>0</v>
      </c>
      <c r="AA28" s="1315">
        <v>1214</v>
      </c>
      <c r="AB28" s="1315">
        <v>0</v>
      </c>
      <c r="AC28" s="1315">
        <v>-305</v>
      </c>
      <c r="AD28" s="1315">
        <v>0</v>
      </c>
      <c r="AE28" s="1315">
        <v>426</v>
      </c>
      <c r="AF28" s="1315">
        <v>8071</v>
      </c>
      <c r="AG28" s="1315">
        <v>3</v>
      </c>
      <c r="AH28" s="1315">
        <v>2054</v>
      </c>
      <c r="AI28" s="1315">
        <v>0</v>
      </c>
      <c r="AJ28" s="1315">
        <v>-9</v>
      </c>
      <c r="AK28" s="1315">
        <v>-104</v>
      </c>
      <c r="AL28" s="1315">
        <v>172</v>
      </c>
      <c r="AM28" s="1315">
        <v>-77</v>
      </c>
      <c r="AN28" s="1315">
        <v>1379</v>
      </c>
      <c r="AO28" s="1315">
        <v>-51</v>
      </c>
      <c r="AP28" s="1315">
        <v>-15</v>
      </c>
      <c r="AQ28" s="1315">
        <v>342</v>
      </c>
      <c r="AR28" s="1315">
        <v>165</v>
      </c>
      <c r="AS28" s="1315">
        <v>-100</v>
      </c>
      <c r="AT28" s="1315">
        <v>265</v>
      </c>
      <c r="AU28" s="1315">
        <v>5418</v>
      </c>
      <c r="AV28" s="1315">
        <v>-819</v>
      </c>
      <c r="AW28" s="1315">
        <v>3863</v>
      </c>
      <c r="AX28" s="1315">
        <v>5070</v>
      </c>
      <c r="AY28" s="1315">
        <v>3809</v>
      </c>
      <c r="AZ28" s="1315">
        <v>8947</v>
      </c>
      <c r="BA28" s="1315" t="s">
        <v>0</v>
      </c>
      <c r="BB28" s="1315" t="s">
        <v>0</v>
      </c>
      <c r="BC28" s="1315" t="s">
        <v>0</v>
      </c>
      <c r="BD28" s="1315" t="s">
        <v>0</v>
      </c>
      <c r="BE28" s="1315" t="s">
        <v>0</v>
      </c>
      <c r="BF28" s="1315" t="s">
        <v>0</v>
      </c>
      <c r="BG28" s="1315" t="s">
        <v>0</v>
      </c>
      <c r="BH28" s="1315">
        <v>59042</v>
      </c>
      <c r="BI28" s="1315" t="s">
        <v>0</v>
      </c>
      <c r="BJ28" s="1315" t="s">
        <v>0</v>
      </c>
      <c r="BK28" s="1315" t="s">
        <v>0</v>
      </c>
      <c r="BL28" s="1315" t="s">
        <v>0</v>
      </c>
      <c r="BM28" s="1315" t="s">
        <v>0</v>
      </c>
      <c r="BN28" s="1315" t="s">
        <v>0</v>
      </c>
      <c r="BO28" s="1315" t="s">
        <v>0</v>
      </c>
      <c r="BP28" s="1315" t="s">
        <v>0</v>
      </c>
      <c r="BQ28" s="1315">
        <v>0</v>
      </c>
      <c r="BR28" s="1315">
        <v>309</v>
      </c>
    </row>
    <row r="29" spans="1:70" ht="12" customHeight="1">
      <c r="A29" s="1336" t="s">
        <v>120</v>
      </c>
      <c r="B29" s="1315">
        <v>48666</v>
      </c>
      <c r="C29" s="1315">
        <v>39912</v>
      </c>
      <c r="D29" s="1315">
        <v>3289</v>
      </c>
      <c r="E29" s="1315">
        <v>5465</v>
      </c>
      <c r="F29" s="1315">
        <v>52149</v>
      </c>
      <c r="G29" s="1315">
        <v>43467</v>
      </c>
      <c r="H29" s="1315">
        <v>8682</v>
      </c>
      <c r="I29" s="1315">
        <v>0</v>
      </c>
      <c r="J29" s="1315">
        <v>-3483</v>
      </c>
      <c r="K29" s="1315">
        <v>-1991</v>
      </c>
      <c r="L29" s="1315">
        <v>1</v>
      </c>
      <c r="M29" s="1315">
        <v>-1992</v>
      </c>
      <c r="N29" s="1315">
        <v>8536</v>
      </c>
      <c r="O29" s="1315">
        <v>1170</v>
      </c>
      <c r="P29" s="1315">
        <v>0</v>
      </c>
      <c r="Q29" s="1315">
        <v>156</v>
      </c>
      <c r="R29" s="1315">
        <v>562</v>
      </c>
      <c r="S29" s="1315">
        <v>1266</v>
      </c>
      <c r="T29" s="1315">
        <v>0</v>
      </c>
      <c r="U29" s="1315">
        <v>35</v>
      </c>
      <c r="V29" s="1315">
        <v>2087</v>
      </c>
      <c r="W29" s="1315">
        <v>0</v>
      </c>
      <c r="X29" s="1315">
        <v>2087</v>
      </c>
      <c r="Y29" s="1315">
        <v>336</v>
      </c>
      <c r="Z29" s="1315">
        <v>0</v>
      </c>
      <c r="AA29" s="1315">
        <v>318</v>
      </c>
      <c r="AB29" s="1315">
        <v>0</v>
      </c>
      <c r="AC29" s="1315">
        <v>698</v>
      </c>
      <c r="AD29" s="1315">
        <v>0</v>
      </c>
      <c r="AE29" s="1315">
        <v>698</v>
      </c>
      <c r="AF29" s="1315">
        <v>10528</v>
      </c>
      <c r="AG29" s="1315">
        <v>1118</v>
      </c>
      <c r="AH29" s="1315">
        <v>3760</v>
      </c>
      <c r="AI29" s="1315">
        <v>0</v>
      </c>
      <c r="AJ29" s="1315">
        <v>-369</v>
      </c>
      <c r="AK29" s="1315">
        <v>15</v>
      </c>
      <c r="AL29" s="1315">
        <v>-415</v>
      </c>
      <c r="AM29" s="1315">
        <v>31</v>
      </c>
      <c r="AN29" s="1315">
        <v>2440</v>
      </c>
      <c r="AO29" s="1315">
        <v>473</v>
      </c>
      <c r="AP29" s="1315">
        <v>92</v>
      </c>
      <c r="AQ29" s="1315">
        <v>685</v>
      </c>
      <c r="AR29" s="1315">
        <v>-17</v>
      </c>
      <c r="AS29" s="1315">
        <v>193</v>
      </c>
      <c r="AT29" s="1315">
        <v>-210</v>
      </c>
      <c r="AU29" s="1315">
        <v>4806</v>
      </c>
      <c r="AV29" s="1315">
        <v>-1492</v>
      </c>
      <c r="AW29" s="1315">
        <v>3555</v>
      </c>
      <c r="AX29" s="1315">
        <v>5394</v>
      </c>
      <c r="AY29" s="1315">
        <v>3483</v>
      </c>
      <c r="AZ29" s="1315">
        <v>9708</v>
      </c>
      <c r="BA29" s="1315" t="s">
        <v>0</v>
      </c>
      <c r="BB29" s="1315" t="s">
        <v>0</v>
      </c>
      <c r="BC29" s="1315" t="s">
        <v>0</v>
      </c>
      <c r="BD29" s="1315" t="s">
        <v>0</v>
      </c>
      <c r="BE29" s="1315" t="s">
        <v>0</v>
      </c>
      <c r="BF29" s="1315" t="s">
        <v>0</v>
      </c>
      <c r="BG29" s="1315" t="s">
        <v>0</v>
      </c>
      <c r="BH29" s="1315">
        <v>65610</v>
      </c>
      <c r="BI29" s="1315" t="s">
        <v>0</v>
      </c>
      <c r="BJ29" s="1315" t="s">
        <v>0</v>
      </c>
      <c r="BK29" s="1315" t="s">
        <v>0</v>
      </c>
      <c r="BL29" s="1315" t="s">
        <v>0</v>
      </c>
      <c r="BM29" s="1315" t="s">
        <v>0</v>
      </c>
      <c r="BN29" s="1315" t="s">
        <v>0</v>
      </c>
      <c r="BO29" s="1315" t="s">
        <v>0</v>
      </c>
      <c r="BP29" s="1315" t="s">
        <v>0</v>
      </c>
      <c r="BQ29" s="1315">
        <v>0</v>
      </c>
      <c r="BR29" s="1315">
        <v>366</v>
      </c>
    </row>
    <row r="30" spans="1:70" ht="12" customHeight="1">
      <c r="A30" s="1336" t="s">
        <v>119</v>
      </c>
      <c r="B30" s="1315">
        <v>56476</v>
      </c>
      <c r="C30" s="1315">
        <v>46557</v>
      </c>
      <c r="D30" s="1315">
        <v>4017</v>
      </c>
      <c r="E30" s="1315">
        <v>5902</v>
      </c>
      <c r="F30" s="1315">
        <v>58008</v>
      </c>
      <c r="G30" s="1315">
        <v>47906</v>
      </c>
      <c r="H30" s="1315">
        <v>10102</v>
      </c>
      <c r="I30" s="1315">
        <v>0</v>
      </c>
      <c r="J30" s="1315">
        <v>-1532</v>
      </c>
      <c r="K30" s="1315">
        <v>-611</v>
      </c>
      <c r="L30" s="1315">
        <v>0</v>
      </c>
      <c r="M30" s="1315">
        <v>-611</v>
      </c>
      <c r="N30" s="1315">
        <v>11154</v>
      </c>
      <c r="O30" s="1315">
        <v>1173</v>
      </c>
      <c r="P30" s="1315">
        <v>0</v>
      </c>
      <c r="Q30" s="1315">
        <v>1789</v>
      </c>
      <c r="R30" s="1315">
        <v>850</v>
      </c>
      <c r="S30" s="1315">
        <v>-270</v>
      </c>
      <c r="T30" s="1315">
        <v>0</v>
      </c>
      <c r="U30" s="1315">
        <v>579</v>
      </c>
      <c r="V30" s="1315">
        <v>-662</v>
      </c>
      <c r="W30" s="1315">
        <v>0</v>
      </c>
      <c r="X30" s="1315">
        <v>-662</v>
      </c>
      <c r="Y30" s="1315">
        <v>336</v>
      </c>
      <c r="Z30" s="1315">
        <v>0</v>
      </c>
      <c r="AA30" s="1315">
        <v>2316</v>
      </c>
      <c r="AB30" s="1315">
        <v>0</v>
      </c>
      <c r="AC30" s="1315">
        <v>2097</v>
      </c>
      <c r="AD30" s="1315">
        <v>0</v>
      </c>
      <c r="AE30" s="1315">
        <v>808</v>
      </c>
      <c r="AF30" s="1315">
        <v>11765</v>
      </c>
      <c r="AG30" s="1315">
        <v>2045</v>
      </c>
      <c r="AH30" s="1315">
        <v>2735</v>
      </c>
      <c r="AI30" s="1315">
        <v>0</v>
      </c>
      <c r="AJ30" s="1315">
        <v>-399</v>
      </c>
      <c r="AK30" s="1315">
        <v>-201</v>
      </c>
      <c r="AL30" s="1315">
        <v>60</v>
      </c>
      <c r="AM30" s="1315">
        <v>-258</v>
      </c>
      <c r="AN30" s="1315">
        <v>2209</v>
      </c>
      <c r="AO30" s="1315">
        <v>-159</v>
      </c>
      <c r="AP30" s="1315">
        <v>485</v>
      </c>
      <c r="AQ30" s="1315">
        <v>609</v>
      </c>
      <c r="AR30" s="1315">
        <v>65</v>
      </c>
      <c r="AS30" s="1315">
        <v>128</v>
      </c>
      <c r="AT30" s="1315">
        <v>-63</v>
      </c>
      <c r="AU30" s="1315">
        <v>5294</v>
      </c>
      <c r="AV30" s="1315">
        <v>-921</v>
      </c>
      <c r="AW30" s="1315">
        <v>1349</v>
      </c>
      <c r="AX30" s="1315">
        <v>6085</v>
      </c>
      <c r="AY30" s="1315">
        <v>1532</v>
      </c>
      <c r="AZ30" s="1315">
        <v>10468</v>
      </c>
      <c r="BA30" s="1315" t="s">
        <v>0</v>
      </c>
      <c r="BB30" s="1315" t="s">
        <v>0</v>
      </c>
      <c r="BC30" s="1315" t="s">
        <v>0</v>
      </c>
      <c r="BD30" s="1315" t="s">
        <v>0</v>
      </c>
      <c r="BE30" s="1315" t="s">
        <v>0</v>
      </c>
      <c r="BF30" s="1315" t="s">
        <v>0</v>
      </c>
      <c r="BG30" s="1315" t="s">
        <v>0</v>
      </c>
      <c r="BH30" s="1315">
        <v>73669</v>
      </c>
      <c r="BI30" s="1315" t="s">
        <v>0</v>
      </c>
      <c r="BJ30" s="1315" t="s">
        <v>0</v>
      </c>
      <c r="BK30" s="1315" t="s">
        <v>0</v>
      </c>
      <c r="BL30" s="1315" t="s">
        <v>0</v>
      </c>
      <c r="BM30" s="1315" t="s">
        <v>0</v>
      </c>
      <c r="BN30" s="1315" t="s">
        <v>0</v>
      </c>
      <c r="BO30" s="1315" t="s">
        <v>0</v>
      </c>
      <c r="BP30" s="1315" t="s">
        <v>0</v>
      </c>
      <c r="BQ30" s="1315">
        <v>0</v>
      </c>
      <c r="BR30" s="1315">
        <v>377</v>
      </c>
    </row>
    <row r="31" spans="1:70" ht="12" customHeight="1">
      <c r="A31" s="1336" t="s">
        <v>118</v>
      </c>
      <c r="B31" s="1315">
        <v>62097</v>
      </c>
      <c r="C31" s="1315">
        <v>50491</v>
      </c>
      <c r="D31" s="1315">
        <v>5664</v>
      </c>
      <c r="E31" s="1315">
        <v>5942</v>
      </c>
      <c r="F31" s="1315">
        <v>63701</v>
      </c>
      <c r="G31" s="1315">
        <v>51922</v>
      </c>
      <c r="H31" s="1315">
        <v>11779</v>
      </c>
      <c r="I31" s="1315">
        <v>-2</v>
      </c>
      <c r="J31" s="1315">
        <v>-1602</v>
      </c>
      <c r="K31" s="1315">
        <v>7574</v>
      </c>
      <c r="L31" s="1315">
        <v>0</v>
      </c>
      <c r="M31" s="1315">
        <v>7574</v>
      </c>
      <c r="N31" s="1315">
        <v>17725</v>
      </c>
      <c r="O31" s="1315">
        <v>-967</v>
      </c>
      <c r="P31" s="1315">
        <v>0</v>
      </c>
      <c r="Q31" s="1315">
        <v>11294</v>
      </c>
      <c r="R31" s="1315">
        <v>817</v>
      </c>
      <c r="S31" s="1315">
        <v>1380</v>
      </c>
      <c r="T31" s="1315">
        <v>0</v>
      </c>
      <c r="U31" s="1315">
        <v>994</v>
      </c>
      <c r="V31" s="1315">
        <v>-2337</v>
      </c>
      <c r="W31" s="1315">
        <v>0</v>
      </c>
      <c r="X31" s="1315">
        <v>-2337</v>
      </c>
      <c r="Y31" s="1315">
        <v>336</v>
      </c>
      <c r="Z31" s="1315">
        <v>0</v>
      </c>
      <c r="AA31" s="1315">
        <v>1565</v>
      </c>
      <c r="AB31" s="1315">
        <v>0</v>
      </c>
      <c r="AC31" s="1315">
        <v>1565</v>
      </c>
      <c r="AD31" s="1315">
        <v>0</v>
      </c>
      <c r="AE31" s="1315">
        <v>1263</v>
      </c>
      <c r="AF31" s="1315">
        <v>10151</v>
      </c>
      <c r="AG31" s="1315">
        <v>214</v>
      </c>
      <c r="AH31" s="1315">
        <v>3185</v>
      </c>
      <c r="AI31" s="1315">
        <v>0</v>
      </c>
      <c r="AJ31" s="1315">
        <v>-264</v>
      </c>
      <c r="AK31" s="1315">
        <v>-9</v>
      </c>
      <c r="AL31" s="1315">
        <v>191</v>
      </c>
      <c r="AM31" s="1315">
        <v>-446</v>
      </c>
      <c r="AN31" s="1315">
        <v>2106</v>
      </c>
      <c r="AO31" s="1315">
        <v>315</v>
      </c>
      <c r="AP31" s="1315">
        <v>521</v>
      </c>
      <c r="AQ31" s="1315">
        <v>591</v>
      </c>
      <c r="AR31" s="1315">
        <v>95</v>
      </c>
      <c r="AS31" s="1315">
        <v>184</v>
      </c>
      <c r="AT31" s="1315">
        <v>-89</v>
      </c>
      <c r="AU31" s="1315">
        <v>5959</v>
      </c>
      <c r="AV31" s="1315">
        <v>-9176</v>
      </c>
      <c r="AW31" s="1315">
        <v>1431</v>
      </c>
      <c r="AX31" s="1315">
        <v>6115</v>
      </c>
      <c r="AY31" s="1315">
        <v>1604</v>
      </c>
      <c r="AZ31" s="1315">
        <v>11684</v>
      </c>
      <c r="BA31" s="1315" t="s">
        <v>0</v>
      </c>
      <c r="BB31" s="1315" t="s">
        <v>0</v>
      </c>
      <c r="BC31" s="1315" t="s">
        <v>0</v>
      </c>
      <c r="BD31" s="1315" t="s">
        <v>0</v>
      </c>
      <c r="BE31" s="1315" t="s">
        <v>0</v>
      </c>
      <c r="BF31" s="1315" t="s">
        <v>0</v>
      </c>
      <c r="BG31" s="1315" t="s">
        <v>0</v>
      </c>
      <c r="BH31" s="1315">
        <v>83073</v>
      </c>
      <c r="BI31" s="1315" t="s">
        <v>0</v>
      </c>
      <c r="BJ31" s="1315" t="s">
        <v>0</v>
      </c>
      <c r="BK31" s="1315" t="s">
        <v>0</v>
      </c>
      <c r="BL31" s="1315" t="s">
        <v>0</v>
      </c>
      <c r="BM31" s="1315" t="s">
        <v>0</v>
      </c>
      <c r="BN31" s="1315" t="s">
        <v>0</v>
      </c>
      <c r="BO31" s="1315" t="s">
        <v>0</v>
      </c>
      <c r="BP31" s="1315" t="s">
        <v>0</v>
      </c>
      <c r="BQ31" s="1315">
        <v>0</v>
      </c>
      <c r="BR31" s="1315">
        <v>419</v>
      </c>
    </row>
    <row r="32" spans="1:70" ht="12" customHeight="1">
      <c r="A32" s="1336" t="s">
        <v>117</v>
      </c>
      <c r="B32" s="1315">
        <v>68818</v>
      </c>
      <c r="C32" s="1315">
        <v>55760</v>
      </c>
      <c r="D32" s="1315">
        <v>6440</v>
      </c>
      <c r="E32" s="1315">
        <v>6618</v>
      </c>
      <c r="F32" s="1315">
        <v>72542</v>
      </c>
      <c r="G32" s="1315">
        <v>59709</v>
      </c>
      <c r="H32" s="1315">
        <v>12833</v>
      </c>
      <c r="I32" s="1315">
        <v>-5</v>
      </c>
      <c r="J32" s="1315">
        <v>-3718</v>
      </c>
      <c r="K32" s="1315">
        <v>272</v>
      </c>
      <c r="L32" s="1315">
        <v>0</v>
      </c>
      <c r="M32" s="1315">
        <v>272</v>
      </c>
      <c r="N32" s="1315">
        <v>10017</v>
      </c>
      <c r="O32" s="1315">
        <v>787</v>
      </c>
      <c r="P32" s="1315">
        <v>867</v>
      </c>
      <c r="Q32" s="1315">
        <v>-6093</v>
      </c>
      <c r="R32" s="1315">
        <v>985</v>
      </c>
      <c r="S32" s="1315">
        <v>-1664</v>
      </c>
      <c r="T32" s="1315">
        <v>0</v>
      </c>
      <c r="U32" s="1315">
        <v>487</v>
      </c>
      <c r="V32" s="1315">
        <v>9492</v>
      </c>
      <c r="W32" s="1315">
        <v>0</v>
      </c>
      <c r="X32" s="1315">
        <v>9492</v>
      </c>
      <c r="Y32" s="1315">
        <v>324</v>
      </c>
      <c r="Z32" s="1315">
        <v>0</v>
      </c>
      <c r="AA32" s="1315">
        <v>1493</v>
      </c>
      <c r="AB32" s="1315">
        <v>0</v>
      </c>
      <c r="AC32" s="1315">
        <v>697</v>
      </c>
      <c r="AD32" s="1315">
        <v>0</v>
      </c>
      <c r="AE32" s="1315">
        <v>1464</v>
      </c>
      <c r="AF32" s="1315">
        <v>9745</v>
      </c>
      <c r="AG32" s="1315">
        <v>-1693</v>
      </c>
      <c r="AH32" s="1315">
        <v>2808</v>
      </c>
      <c r="AI32" s="1315">
        <v>0</v>
      </c>
      <c r="AJ32" s="1315">
        <v>-205</v>
      </c>
      <c r="AK32" s="1315">
        <v>-142</v>
      </c>
      <c r="AL32" s="1315">
        <v>-64</v>
      </c>
      <c r="AM32" s="1315">
        <v>1</v>
      </c>
      <c r="AN32" s="1315">
        <v>1340</v>
      </c>
      <c r="AO32" s="1315">
        <v>799</v>
      </c>
      <c r="AP32" s="1315">
        <v>202</v>
      </c>
      <c r="AQ32" s="1315">
        <v>964</v>
      </c>
      <c r="AR32" s="1315">
        <v>249</v>
      </c>
      <c r="AS32" s="1315">
        <v>233</v>
      </c>
      <c r="AT32" s="1315">
        <v>16</v>
      </c>
      <c r="AU32" s="1315">
        <v>7590</v>
      </c>
      <c r="AV32" s="1315">
        <v>-3990</v>
      </c>
      <c r="AW32" s="1315">
        <v>3948</v>
      </c>
      <c r="AX32" s="1315">
        <v>6393</v>
      </c>
      <c r="AY32" s="1315">
        <v>3723</v>
      </c>
      <c r="AZ32" s="1315">
        <v>13224</v>
      </c>
      <c r="BA32" s="1315" t="s">
        <v>0</v>
      </c>
      <c r="BB32" s="1315" t="s">
        <v>0</v>
      </c>
      <c r="BC32" s="1315" t="s">
        <v>0</v>
      </c>
      <c r="BD32" s="1315" t="s">
        <v>0</v>
      </c>
      <c r="BE32" s="1315" t="s">
        <v>0</v>
      </c>
      <c r="BF32" s="1315" t="s">
        <v>0</v>
      </c>
      <c r="BG32" s="1315" t="s">
        <v>0</v>
      </c>
      <c r="BH32" s="1315">
        <v>94349</v>
      </c>
      <c r="BI32" s="1315" t="s">
        <v>0</v>
      </c>
      <c r="BJ32" s="1315" t="s">
        <v>0</v>
      </c>
      <c r="BK32" s="1315" t="s">
        <v>0</v>
      </c>
      <c r="BL32" s="1315" t="s">
        <v>0</v>
      </c>
      <c r="BM32" s="1315" t="s">
        <v>0</v>
      </c>
      <c r="BN32" s="1315" t="s">
        <v>0</v>
      </c>
      <c r="BO32" s="1315" t="s">
        <v>0</v>
      </c>
      <c r="BP32" s="1315" t="s">
        <v>0</v>
      </c>
      <c r="BQ32" s="1315">
        <v>0</v>
      </c>
      <c r="BR32" s="1315">
        <v>560</v>
      </c>
    </row>
    <row r="33" spans="1:70" ht="12" customHeight="1">
      <c r="A33" s="1336" t="s">
        <v>116</v>
      </c>
      <c r="B33" s="1315">
        <v>76663</v>
      </c>
      <c r="C33" s="1315">
        <v>62342</v>
      </c>
      <c r="D33" s="1315">
        <v>6417</v>
      </c>
      <c r="E33" s="1315">
        <v>7904</v>
      </c>
      <c r="F33" s="1315">
        <v>76974</v>
      </c>
      <c r="G33" s="1315">
        <v>62963</v>
      </c>
      <c r="H33" s="1315">
        <v>14011</v>
      </c>
      <c r="I33" s="1315">
        <v>-16</v>
      </c>
      <c r="J33" s="1315">
        <v>-295</v>
      </c>
      <c r="K33" s="1315">
        <v>14067</v>
      </c>
      <c r="L33" s="1315">
        <v>0</v>
      </c>
      <c r="M33" s="1315">
        <v>14067</v>
      </c>
      <c r="N33" s="1315">
        <v>26498</v>
      </c>
      <c r="O33" s="1315">
        <v>866</v>
      </c>
      <c r="P33" s="1315">
        <v>717</v>
      </c>
      <c r="Q33" s="1315">
        <v>-5056</v>
      </c>
      <c r="R33" s="1315">
        <v>286</v>
      </c>
      <c r="S33" s="1315">
        <v>329</v>
      </c>
      <c r="T33" s="1315">
        <v>0</v>
      </c>
      <c r="U33" s="1315">
        <v>-159</v>
      </c>
      <c r="V33" s="1315">
        <v>26554</v>
      </c>
      <c r="W33" s="1315">
        <v>14364</v>
      </c>
      <c r="X33" s="1315">
        <v>12190</v>
      </c>
      <c r="Y33" s="1315">
        <v>39</v>
      </c>
      <c r="Z33" s="1315">
        <v>0</v>
      </c>
      <c r="AA33" s="1315">
        <v>1453</v>
      </c>
      <c r="AB33" s="1315">
        <v>0</v>
      </c>
      <c r="AC33" s="1315">
        <v>836</v>
      </c>
      <c r="AD33" s="1315">
        <v>0</v>
      </c>
      <c r="AE33" s="1315">
        <v>368</v>
      </c>
      <c r="AF33" s="1315">
        <v>12431</v>
      </c>
      <c r="AG33" s="1315">
        <v>-1482</v>
      </c>
      <c r="AH33" s="1315">
        <v>5060</v>
      </c>
      <c r="AI33" s="1315">
        <v>0</v>
      </c>
      <c r="AJ33" s="1315">
        <v>2000</v>
      </c>
      <c r="AK33" s="1315">
        <v>183</v>
      </c>
      <c r="AL33" s="1315">
        <v>874</v>
      </c>
      <c r="AM33" s="1315">
        <v>943</v>
      </c>
      <c r="AN33" s="1315">
        <v>1818</v>
      </c>
      <c r="AO33" s="1315">
        <v>302</v>
      </c>
      <c r="AP33" s="1315">
        <v>173</v>
      </c>
      <c r="AQ33" s="1315">
        <v>561</v>
      </c>
      <c r="AR33" s="1315">
        <v>65</v>
      </c>
      <c r="AS33" s="1315">
        <v>247</v>
      </c>
      <c r="AT33" s="1315">
        <v>-182</v>
      </c>
      <c r="AU33" s="1315">
        <v>7618</v>
      </c>
      <c r="AV33" s="1315">
        <v>-14362</v>
      </c>
      <c r="AW33" s="1315">
        <v>621</v>
      </c>
      <c r="AX33" s="1315">
        <v>7594</v>
      </c>
      <c r="AY33" s="1315">
        <v>311</v>
      </c>
      <c r="AZ33" s="1315">
        <v>13622</v>
      </c>
      <c r="BA33" s="1315" t="s">
        <v>0</v>
      </c>
      <c r="BB33" s="1315" t="s">
        <v>0</v>
      </c>
      <c r="BC33" s="1315" t="s">
        <v>0</v>
      </c>
      <c r="BD33" s="1315" t="s">
        <v>0</v>
      </c>
      <c r="BE33" s="1315" t="s">
        <v>0</v>
      </c>
      <c r="BF33" s="1315" t="s">
        <v>0</v>
      </c>
      <c r="BG33" s="1315" t="s">
        <v>0</v>
      </c>
      <c r="BH33" s="1315">
        <v>103902</v>
      </c>
      <c r="BI33" s="1315" t="s">
        <v>0</v>
      </c>
      <c r="BJ33" s="1315" t="s">
        <v>0</v>
      </c>
      <c r="BK33" s="1315" t="s">
        <v>0</v>
      </c>
      <c r="BL33" s="1315" t="s">
        <v>0</v>
      </c>
      <c r="BM33" s="1315" t="s">
        <v>0</v>
      </c>
      <c r="BN33" s="1315" t="s">
        <v>0</v>
      </c>
      <c r="BO33" s="1315" t="s">
        <v>0</v>
      </c>
      <c r="BP33" s="1315" t="s">
        <v>0</v>
      </c>
      <c r="BQ33" s="1315">
        <v>0</v>
      </c>
      <c r="BR33" s="1315">
        <v>770</v>
      </c>
    </row>
    <row r="34" spans="1:70" ht="12" customHeight="1">
      <c r="A34" s="1336" t="s">
        <v>115</v>
      </c>
      <c r="B34" s="1315">
        <v>91163</v>
      </c>
      <c r="C34" s="1315">
        <v>74216</v>
      </c>
      <c r="D34" s="1315">
        <v>7720</v>
      </c>
      <c r="E34" s="1315">
        <v>9227</v>
      </c>
      <c r="F34" s="1315">
        <v>87121</v>
      </c>
      <c r="G34" s="1315">
        <v>70843</v>
      </c>
      <c r="H34" s="1315">
        <v>16278</v>
      </c>
      <c r="I34" s="1315">
        <v>-30</v>
      </c>
      <c r="J34" s="1315">
        <v>4071</v>
      </c>
      <c r="K34" s="1315">
        <v>6455</v>
      </c>
      <c r="L34" s="1315">
        <v>0</v>
      </c>
      <c r="M34" s="1315">
        <v>6455</v>
      </c>
      <c r="N34" s="1315">
        <v>20384</v>
      </c>
      <c r="O34" s="1315">
        <v>547</v>
      </c>
      <c r="P34" s="1315">
        <v>710</v>
      </c>
      <c r="Q34" s="1315">
        <v>-755</v>
      </c>
      <c r="R34" s="1315">
        <v>2186</v>
      </c>
      <c r="S34" s="1315">
        <v>2904</v>
      </c>
      <c r="T34" s="1315">
        <v>0</v>
      </c>
      <c r="U34" s="1315">
        <v>-62</v>
      </c>
      <c r="V34" s="1315">
        <v>8174</v>
      </c>
      <c r="W34" s="1315">
        <v>-1180</v>
      </c>
      <c r="X34" s="1315">
        <v>9354</v>
      </c>
      <c r="Y34" s="1315">
        <v>145</v>
      </c>
      <c r="Z34" s="1315">
        <v>0</v>
      </c>
      <c r="AA34" s="1315">
        <v>2074</v>
      </c>
      <c r="AB34" s="1315">
        <v>0</v>
      </c>
      <c r="AC34" s="1315">
        <v>2434</v>
      </c>
      <c r="AD34" s="1315">
        <v>0</v>
      </c>
      <c r="AE34" s="1315">
        <v>948</v>
      </c>
      <c r="AF34" s="1315">
        <v>13929</v>
      </c>
      <c r="AG34" s="1315">
        <v>551</v>
      </c>
      <c r="AH34" s="1315">
        <v>4441</v>
      </c>
      <c r="AI34" s="1315">
        <v>0</v>
      </c>
      <c r="AJ34" s="1315">
        <v>2993</v>
      </c>
      <c r="AK34" s="1315">
        <v>196</v>
      </c>
      <c r="AL34" s="1315">
        <v>1051</v>
      </c>
      <c r="AM34" s="1315">
        <v>1746</v>
      </c>
      <c r="AN34" s="1315">
        <v>1462</v>
      </c>
      <c r="AO34" s="1315">
        <v>-1044</v>
      </c>
      <c r="AP34" s="1315">
        <v>-411</v>
      </c>
      <c r="AQ34" s="1315">
        <v>558</v>
      </c>
      <c r="AR34" s="1315">
        <v>105</v>
      </c>
      <c r="AS34" s="1315">
        <v>271</v>
      </c>
      <c r="AT34" s="1315">
        <v>-166</v>
      </c>
      <c r="AU34" s="1315">
        <v>7747</v>
      </c>
      <c r="AV34" s="1315">
        <v>-2384</v>
      </c>
      <c r="AW34" s="1315">
        <v>-3373</v>
      </c>
      <c r="AX34" s="1315">
        <v>8558</v>
      </c>
      <c r="AY34" s="1315">
        <v>-4041</v>
      </c>
      <c r="AZ34" s="1315">
        <v>14737</v>
      </c>
      <c r="BA34" s="1315" t="s">
        <v>0</v>
      </c>
      <c r="BB34" s="1315" t="s">
        <v>0</v>
      </c>
      <c r="BC34" s="1315" t="s">
        <v>0</v>
      </c>
      <c r="BD34" s="1315" t="s">
        <v>0</v>
      </c>
      <c r="BE34" s="1315" t="s">
        <v>0</v>
      </c>
      <c r="BF34" s="1315" t="s">
        <v>0</v>
      </c>
      <c r="BG34" s="1315" t="s">
        <v>0</v>
      </c>
      <c r="BH34" s="1315">
        <v>125510</v>
      </c>
      <c r="BI34" s="1315" t="s">
        <v>0</v>
      </c>
      <c r="BJ34" s="1315" t="s">
        <v>0</v>
      </c>
      <c r="BK34" s="1315" t="s">
        <v>0</v>
      </c>
      <c r="BL34" s="1315" t="s">
        <v>0</v>
      </c>
      <c r="BM34" s="1315" t="s">
        <v>0</v>
      </c>
      <c r="BN34" s="1315" t="s">
        <v>0</v>
      </c>
      <c r="BO34" s="1315" t="s">
        <v>0</v>
      </c>
      <c r="BP34" s="1315" t="s">
        <v>0</v>
      </c>
      <c r="BQ34" s="1315">
        <v>0</v>
      </c>
      <c r="BR34" s="1315">
        <v>1056</v>
      </c>
    </row>
    <row r="35" spans="1:70" ht="12" customHeight="1">
      <c r="A35" s="1336" t="s">
        <v>114</v>
      </c>
      <c r="B35" s="1315">
        <v>109949</v>
      </c>
      <c r="C35" s="1315">
        <v>91159</v>
      </c>
      <c r="D35" s="1315">
        <v>10922</v>
      </c>
      <c r="E35" s="1315">
        <v>7868</v>
      </c>
      <c r="F35" s="1315">
        <v>118811</v>
      </c>
      <c r="G35" s="1315">
        <v>95270</v>
      </c>
      <c r="H35" s="1315">
        <v>23541</v>
      </c>
      <c r="I35" s="1315">
        <v>-37</v>
      </c>
      <c r="J35" s="1315">
        <v>-8824</v>
      </c>
      <c r="K35" s="1315">
        <v>-10138</v>
      </c>
      <c r="L35" s="1315">
        <v>0</v>
      </c>
      <c r="M35" s="1315">
        <v>-10138</v>
      </c>
      <c r="N35" s="1315">
        <v>13378</v>
      </c>
      <c r="O35" s="1315">
        <v>0</v>
      </c>
      <c r="P35" s="1315">
        <v>0</v>
      </c>
      <c r="Q35" s="1315">
        <v>-911</v>
      </c>
      <c r="R35" s="1315">
        <v>3834</v>
      </c>
      <c r="S35" s="1315">
        <v>2812</v>
      </c>
      <c r="T35" s="1315">
        <v>0</v>
      </c>
      <c r="U35" s="1315">
        <v>301</v>
      </c>
      <c r="V35" s="1315">
        <v>-157</v>
      </c>
      <c r="W35" s="1315">
        <v>21</v>
      </c>
      <c r="X35" s="1315">
        <v>-178</v>
      </c>
      <c r="Y35" s="1315">
        <v>52</v>
      </c>
      <c r="Z35" s="1315">
        <v>0</v>
      </c>
      <c r="AA35" s="1315">
        <v>1292</v>
      </c>
      <c r="AB35" s="1315">
        <v>32</v>
      </c>
      <c r="AC35" s="1315">
        <v>2763</v>
      </c>
      <c r="AD35" s="1315">
        <v>0</v>
      </c>
      <c r="AE35" s="1315">
        <v>2800</v>
      </c>
      <c r="AF35" s="1315">
        <v>23516</v>
      </c>
      <c r="AG35" s="1315">
        <v>-158</v>
      </c>
      <c r="AH35" s="1315">
        <v>6271</v>
      </c>
      <c r="AI35" s="1315">
        <v>0</v>
      </c>
      <c r="AJ35" s="1315">
        <v>2715</v>
      </c>
      <c r="AK35" s="1315">
        <v>438</v>
      </c>
      <c r="AL35" s="1315">
        <v>1600</v>
      </c>
      <c r="AM35" s="1315">
        <v>677</v>
      </c>
      <c r="AN35" s="1315">
        <v>1668</v>
      </c>
      <c r="AO35" s="1315">
        <v>930</v>
      </c>
      <c r="AP35" s="1315">
        <v>-286</v>
      </c>
      <c r="AQ35" s="1315">
        <v>1703</v>
      </c>
      <c r="AR35" s="1315">
        <v>3476</v>
      </c>
      <c r="AS35" s="1315">
        <v>373</v>
      </c>
      <c r="AT35" s="1315">
        <v>603</v>
      </c>
      <c r="AU35" s="1315">
        <v>11353</v>
      </c>
      <c r="AV35" s="1315">
        <v>1314</v>
      </c>
      <c r="AW35" s="1315">
        <v>4111</v>
      </c>
      <c r="AX35" s="1315">
        <v>12619</v>
      </c>
      <c r="AY35" s="1315">
        <v>8861</v>
      </c>
      <c r="AZ35" s="1315">
        <v>17845</v>
      </c>
      <c r="BA35" s="1315" t="s">
        <v>0</v>
      </c>
      <c r="BB35" s="1315" t="s">
        <v>0</v>
      </c>
      <c r="BC35" s="1315" t="s">
        <v>0</v>
      </c>
      <c r="BD35" s="1315" t="s">
        <v>0</v>
      </c>
      <c r="BE35" s="1315" t="s">
        <v>0</v>
      </c>
      <c r="BF35" s="1315" t="s">
        <v>0</v>
      </c>
      <c r="BG35" s="1315" t="s">
        <v>0</v>
      </c>
      <c r="BH35" s="1315">
        <v>126246</v>
      </c>
      <c r="BI35" s="1315" t="s">
        <v>0</v>
      </c>
      <c r="BJ35" s="1315" t="s">
        <v>0</v>
      </c>
      <c r="BK35" s="1315" t="s">
        <v>0</v>
      </c>
      <c r="BL35" s="1315" t="s">
        <v>0</v>
      </c>
      <c r="BM35" s="1315" t="s">
        <v>0</v>
      </c>
      <c r="BN35" s="1315" t="s">
        <v>0</v>
      </c>
      <c r="BO35" s="1315" t="s">
        <v>0</v>
      </c>
      <c r="BP35" s="1315" t="s">
        <v>0</v>
      </c>
      <c r="BQ35" s="1315">
        <v>2500</v>
      </c>
      <c r="BR35" s="1315">
        <v>1389</v>
      </c>
    </row>
    <row r="36" spans="1:70" ht="12" customHeight="1">
      <c r="A36" s="1336" t="s">
        <v>113</v>
      </c>
      <c r="B36" s="1315">
        <v>150500</v>
      </c>
      <c r="C36" s="1315">
        <v>127465</v>
      </c>
      <c r="D36" s="1315">
        <v>14300</v>
      </c>
      <c r="E36" s="1315">
        <v>8735</v>
      </c>
      <c r="F36" s="1315">
        <v>156470</v>
      </c>
      <c r="G36" s="1315">
        <v>126650</v>
      </c>
      <c r="H36" s="1315">
        <v>29820</v>
      </c>
      <c r="I36" s="1315">
        <v>-36</v>
      </c>
      <c r="J36" s="1315">
        <v>-5935</v>
      </c>
      <c r="K36" s="1315">
        <v>-4235</v>
      </c>
      <c r="L36" s="1315">
        <v>0</v>
      </c>
      <c r="M36" s="1315">
        <v>-4235</v>
      </c>
      <c r="N36" s="1315">
        <v>23539</v>
      </c>
      <c r="O36" s="1315">
        <v>0</v>
      </c>
      <c r="P36" s="1315">
        <v>0</v>
      </c>
      <c r="Q36" s="1315">
        <v>-2235</v>
      </c>
      <c r="R36" s="1315">
        <v>3812</v>
      </c>
      <c r="S36" s="1315">
        <v>7731</v>
      </c>
      <c r="T36" s="1315">
        <v>0</v>
      </c>
      <c r="U36" s="1315">
        <v>413</v>
      </c>
      <c r="V36" s="1315">
        <v>3967</v>
      </c>
      <c r="W36" s="1315">
        <v>3324</v>
      </c>
      <c r="X36" s="1315">
        <v>643</v>
      </c>
      <c r="Y36" s="1315">
        <v>-467</v>
      </c>
      <c r="Z36" s="1315">
        <v>0</v>
      </c>
      <c r="AA36" s="1315">
        <v>966</v>
      </c>
      <c r="AB36" s="1315">
        <v>221</v>
      </c>
      <c r="AC36" s="1315">
        <v>239</v>
      </c>
      <c r="AD36" s="1315">
        <v>0</v>
      </c>
      <c r="AE36" s="1315">
        <v>4761</v>
      </c>
      <c r="AF36" s="1315">
        <v>27774</v>
      </c>
      <c r="AG36" s="1315">
        <v>1470</v>
      </c>
      <c r="AH36" s="1315">
        <v>13927</v>
      </c>
      <c r="AI36" s="1315">
        <v>181</v>
      </c>
      <c r="AJ36" s="1315">
        <v>4656</v>
      </c>
      <c r="AK36" s="1315">
        <v>265</v>
      </c>
      <c r="AL36" s="1315">
        <v>3116</v>
      </c>
      <c r="AM36" s="1315">
        <v>1275</v>
      </c>
      <c r="AN36" s="1315">
        <v>-363</v>
      </c>
      <c r="AO36" s="1315">
        <v>7081</v>
      </c>
      <c r="AP36" s="1315">
        <v>-519</v>
      </c>
      <c r="AQ36" s="1315">
        <v>3048</v>
      </c>
      <c r="AR36" s="1315">
        <v>996</v>
      </c>
      <c r="AS36" s="1315">
        <v>537</v>
      </c>
      <c r="AT36" s="1315">
        <v>-541</v>
      </c>
      <c r="AU36" s="1315">
        <v>9052</v>
      </c>
      <c r="AV36" s="1315">
        <v>-1700</v>
      </c>
      <c r="AW36" s="1315">
        <v>-815</v>
      </c>
      <c r="AX36" s="1315">
        <v>15520</v>
      </c>
      <c r="AY36" s="1315">
        <v>5971</v>
      </c>
      <c r="AZ36" s="1315">
        <v>22606</v>
      </c>
      <c r="BA36" s="1315" t="s">
        <v>0</v>
      </c>
      <c r="BB36" s="1315" t="s">
        <v>0</v>
      </c>
      <c r="BC36" s="1315" t="s">
        <v>0</v>
      </c>
      <c r="BD36" s="1315" t="s">
        <v>0</v>
      </c>
      <c r="BE36" s="1315" t="s">
        <v>0</v>
      </c>
      <c r="BF36" s="1315" t="s">
        <v>0</v>
      </c>
      <c r="BG36" s="1315" t="s">
        <v>0</v>
      </c>
      <c r="BH36" s="1315">
        <v>135298</v>
      </c>
      <c r="BI36" s="1315" t="s">
        <v>0</v>
      </c>
      <c r="BJ36" s="1315" t="s">
        <v>0</v>
      </c>
      <c r="BK36" s="1315" t="s">
        <v>0</v>
      </c>
      <c r="BL36" s="1315" t="s">
        <v>0</v>
      </c>
      <c r="BM36" s="1315" t="s">
        <v>0</v>
      </c>
      <c r="BN36" s="1315" t="s">
        <v>0</v>
      </c>
      <c r="BO36" s="1315" t="s">
        <v>0</v>
      </c>
      <c r="BP36" s="1315" t="s">
        <v>0</v>
      </c>
      <c r="BQ36" s="1315">
        <v>3500</v>
      </c>
      <c r="BR36" s="1315">
        <v>2261</v>
      </c>
    </row>
    <row r="37" spans="1:70" ht="12" customHeight="1">
      <c r="A37" s="1336" t="s">
        <v>112</v>
      </c>
      <c r="B37" s="1315">
        <v>146892</v>
      </c>
      <c r="C37" s="1315">
        <v>122730</v>
      </c>
      <c r="D37" s="1315">
        <v>15020</v>
      </c>
      <c r="E37" s="1315">
        <v>9142</v>
      </c>
      <c r="F37" s="1315">
        <v>166730</v>
      </c>
      <c r="G37" s="1315">
        <v>138706</v>
      </c>
      <c r="H37" s="1315">
        <v>28024</v>
      </c>
      <c r="I37" s="1315">
        <v>-57</v>
      </c>
      <c r="J37" s="1315">
        <v>-19782</v>
      </c>
      <c r="K37" s="1315">
        <v>-22088</v>
      </c>
      <c r="L37" s="1315">
        <v>0</v>
      </c>
      <c r="M37" s="1315">
        <v>-22088</v>
      </c>
      <c r="N37" s="1315">
        <v>8489</v>
      </c>
      <c r="O37" s="1315">
        <v>0</v>
      </c>
      <c r="P37" s="1315">
        <v>0</v>
      </c>
      <c r="Q37" s="1315">
        <v>-8414</v>
      </c>
      <c r="R37" s="1315">
        <v>884</v>
      </c>
      <c r="S37" s="1315">
        <v>1456</v>
      </c>
      <c r="T37" s="1315">
        <v>0</v>
      </c>
      <c r="U37" s="1315">
        <v>500</v>
      </c>
      <c r="V37" s="1315">
        <v>7248</v>
      </c>
      <c r="W37" s="1315">
        <v>2246</v>
      </c>
      <c r="X37" s="1315">
        <v>5002</v>
      </c>
      <c r="Y37" s="1315">
        <v>-90</v>
      </c>
      <c r="Z37" s="1315">
        <v>0</v>
      </c>
      <c r="AA37" s="1315">
        <v>789</v>
      </c>
      <c r="AB37" s="1315">
        <v>72</v>
      </c>
      <c r="AC37" s="1315">
        <v>3053</v>
      </c>
      <c r="AD37" s="1315">
        <v>0</v>
      </c>
      <c r="AE37" s="1315">
        <v>2603</v>
      </c>
      <c r="AF37" s="1315">
        <v>30577</v>
      </c>
      <c r="AG37" s="1315">
        <v>848</v>
      </c>
      <c r="AH37" s="1315">
        <v>14126</v>
      </c>
      <c r="AI37" s="1315">
        <v>378</v>
      </c>
      <c r="AJ37" s="1315">
        <v>3859</v>
      </c>
      <c r="AK37" s="1315">
        <v>259</v>
      </c>
      <c r="AL37" s="1315">
        <v>1091</v>
      </c>
      <c r="AM37" s="1315">
        <v>2509</v>
      </c>
      <c r="AN37" s="1315">
        <v>2811</v>
      </c>
      <c r="AO37" s="1315">
        <v>-90</v>
      </c>
      <c r="AP37" s="1315">
        <v>-921</v>
      </c>
      <c r="AQ37" s="1315">
        <v>791</v>
      </c>
      <c r="AR37" s="1315">
        <v>663</v>
      </c>
      <c r="AS37" s="1315">
        <v>654</v>
      </c>
      <c r="AT37" s="1315">
        <v>9</v>
      </c>
      <c r="AU37" s="1315">
        <v>14244</v>
      </c>
      <c r="AV37" s="1315">
        <v>2306</v>
      </c>
      <c r="AW37" s="1315">
        <v>15977</v>
      </c>
      <c r="AX37" s="1315">
        <v>13004</v>
      </c>
      <c r="AY37" s="1315">
        <v>19839</v>
      </c>
      <c r="AZ37" s="1315">
        <v>25209</v>
      </c>
      <c r="BA37" s="1315" t="s">
        <v>0</v>
      </c>
      <c r="BB37" s="1315" t="s">
        <v>0</v>
      </c>
      <c r="BC37" s="1315" t="s">
        <v>0</v>
      </c>
      <c r="BD37" s="1315" t="s">
        <v>0</v>
      </c>
      <c r="BE37" s="1315" t="s">
        <v>0</v>
      </c>
      <c r="BF37" s="1315" t="s">
        <v>0</v>
      </c>
      <c r="BG37" s="1315" t="s">
        <v>0</v>
      </c>
      <c r="BH37" s="1315">
        <v>149542</v>
      </c>
      <c r="BI37" s="1315" t="s">
        <v>0</v>
      </c>
      <c r="BJ37" s="1315" t="s">
        <v>0</v>
      </c>
      <c r="BK37" s="1315" t="s">
        <v>0</v>
      </c>
      <c r="BL37" s="1315" t="s">
        <v>0</v>
      </c>
      <c r="BM37" s="1315" t="s">
        <v>0</v>
      </c>
      <c r="BN37" s="1315" t="s">
        <v>0</v>
      </c>
      <c r="BO37" s="1315" t="s">
        <v>0</v>
      </c>
      <c r="BP37" s="1315" t="s">
        <v>0</v>
      </c>
      <c r="BQ37" s="1315">
        <v>3500</v>
      </c>
      <c r="BR37" s="1315">
        <v>4112</v>
      </c>
    </row>
    <row r="38" spans="1:70" ht="12" customHeight="1">
      <c r="A38" s="1336" t="s">
        <v>111</v>
      </c>
      <c r="B38" s="1315">
        <v>174784</v>
      </c>
      <c r="C38" s="1315">
        <v>151145</v>
      </c>
      <c r="D38" s="1315">
        <v>15516</v>
      </c>
      <c r="E38" s="1315">
        <v>8122</v>
      </c>
      <c r="F38" s="1315">
        <v>181878</v>
      </c>
      <c r="G38" s="1315">
        <v>149515</v>
      </c>
      <c r="H38" s="1315">
        <v>32363</v>
      </c>
      <c r="I38" s="1315">
        <v>-51</v>
      </c>
      <c r="J38" s="1315">
        <v>-7044</v>
      </c>
      <c r="K38" s="1315">
        <v>-18156</v>
      </c>
      <c r="L38" s="1315">
        <v>0</v>
      </c>
      <c r="M38" s="1315">
        <v>-18156</v>
      </c>
      <c r="N38" s="1315">
        <v>19925</v>
      </c>
      <c r="O38" s="1315">
        <v>1</v>
      </c>
      <c r="P38" s="1315">
        <v>0</v>
      </c>
      <c r="Q38" s="1315">
        <v>-8885</v>
      </c>
      <c r="R38" s="1315">
        <v>4514</v>
      </c>
      <c r="S38" s="1315">
        <v>-1899</v>
      </c>
      <c r="T38" s="1315">
        <v>0</v>
      </c>
      <c r="U38" s="1315">
        <v>300</v>
      </c>
      <c r="V38" s="1315">
        <v>12102</v>
      </c>
      <c r="W38" s="1315">
        <v>3307</v>
      </c>
      <c r="X38" s="1315">
        <v>8795</v>
      </c>
      <c r="Y38" s="1315">
        <v>565</v>
      </c>
      <c r="Z38" s="1315">
        <v>0</v>
      </c>
      <c r="AA38" s="1315">
        <v>1206</v>
      </c>
      <c r="AB38" s="1315">
        <v>170</v>
      </c>
      <c r="AC38" s="1315">
        <v>859</v>
      </c>
      <c r="AD38" s="1315">
        <v>0</v>
      </c>
      <c r="AE38" s="1315">
        <v>4347</v>
      </c>
      <c r="AF38" s="1315">
        <v>38081</v>
      </c>
      <c r="AG38" s="1315">
        <v>2556</v>
      </c>
      <c r="AH38" s="1315">
        <v>20485</v>
      </c>
      <c r="AI38" s="1315">
        <v>723</v>
      </c>
      <c r="AJ38" s="1315">
        <v>6776</v>
      </c>
      <c r="AK38" s="1315">
        <v>891</v>
      </c>
      <c r="AL38" s="1315">
        <v>4199</v>
      </c>
      <c r="AM38" s="1315">
        <v>1686</v>
      </c>
      <c r="AN38" s="1315">
        <v>3245</v>
      </c>
      <c r="AO38" s="1315">
        <v>1211</v>
      </c>
      <c r="AP38" s="1315">
        <v>355</v>
      </c>
      <c r="AQ38" s="1315">
        <v>-2</v>
      </c>
      <c r="AR38" s="1315">
        <v>1069</v>
      </c>
      <c r="AS38" s="1315">
        <v>1102</v>
      </c>
      <c r="AT38" s="1315">
        <v>-133</v>
      </c>
      <c r="AU38" s="1315">
        <v>11949</v>
      </c>
      <c r="AV38" s="1315">
        <v>11113</v>
      </c>
      <c r="AW38" s="1315">
        <v>-1630</v>
      </c>
      <c r="AX38" s="1315">
        <v>16847</v>
      </c>
      <c r="AY38" s="1315">
        <v>7095</v>
      </c>
      <c r="AZ38" s="1315">
        <v>47528</v>
      </c>
      <c r="BA38" s="1315" t="s">
        <v>0</v>
      </c>
      <c r="BB38" s="1315" t="s">
        <v>0</v>
      </c>
      <c r="BC38" s="1315" t="s">
        <v>0</v>
      </c>
      <c r="BD38" s="1315" t="s">
        <v>0</v>
      </c>
      <c r="BE38" s="1315" t="s">
        <v>0</v>
      </c>
      <c r="BF38" s="1315" t="s">
        <v>0</v>
      </c>
      <c r="BG38" s="1315" t="s">
        <v>0</v>
      </c>
      <c r="BH38" s="1315">
        <v>222283</v>
      </c>
      <c r="BI38" s="1315" t="s">
        <v>0</v>
      </c>
      <c r="BJ38" s="1315" t="s">
        <v>0</v>
      </c>
      <c r="BK38" s="1315" t="s">
        <v>0</v>
      </c>
      <c r="BL38" s="1315" t="s">
        <v>0</v>
      </c>
      <c r="BM38" s="1315" t="s">
        <v>0</v>
      </c>
      <c r="BN38" s="1315" t="s">
        <v>0</v>
      </c>
      <c r="BO38" s="1315" t="s">
        <v>0</v>
      </c>
      <c r="BP38" s="1315" t="s">
        <v>0</v>
      </c>
      <c r="BQ38" s="1315">
        <v>3600</v>
      </c>
      <c r="BR38" s="1315">
        <v>5929</v>
      </c>
    </row>
    <row r="39" spans="1:70" ht="12" customHeight="1">
      <c r="A39" s="1336" t="s">
        <v>110</v>
      </c>
      <c r="B39" s="1315">
        <v>207463</v>
      </c>
      <c r="C39" s="1315">
        <v>182443</v>
      </c>
      <c r="D39" s="1315">
        <v>16908</v>
      </c>
      <c r="E39" s="1315">
        <v>8112</v>
      </c>
      <c r="F39" s="1315">
        <v>196549</v>
      </c>
      <c r="G39" s="1315">
        <v>159349</v>
      </c>
      <c r="H39" s="1315">
        <v>37200</v>
      </c>
      <c r="I39" s="1315">
        <v>-64</v>
      </c>
      <c r="J39" s="1315">
        <v>10978</v>
      </c>
      <c r="K39" s="1315">
        <v>21034</v>
      </c>
      <c r="L39" s="1315">
        <v>0</v>
      </c>
      <c r="M39" s="1315">
        <v>21034</v>
      </c>
      <c r="N39" s="1315">
        <v>48204</v>
      </c>
      <c r="O39" s="1315">
        <v>-121</v>
      </c>
      <c r="P39" s="1315">
        <v>0</v>
      </c>
      <c r="Q39" s="1315">
        <v>-1694</v>
      </c>
      <c r="R39" s="1315">
        <v>3851</v>
      </c>
      <c r="S39" s="1315">
        <v>331</v>
      </c>
      <c r="T39" s="1315">
        <v>0</v>
      </c>
      <c r="U39" s="1315">
        <v>400</v>
      </c>
      <c r="V39" s="1315">
        <v>30726</v>
      </c>
      <c r="W39" s="1315">
        <v>8162</v>
      </c>
      <c r="X39" s="1315">
        <v>22564</v>
      </c>
      <c r="Y39" s="1315">
        <v>2709</v>
      </c>
      <c r="Z39" s="1315">
        <v>86</v>
      </c>
      <c r="AA39" s="1315">
        <v>4042</v>
      </c>
      <c r="AB39" s="1315">
        <v>150</v>
      </c>
      <c r="AC39" s="1315">
        <v>1324</v>
      </c>
      <c r="AD39" s="1315">
        <v>0</v>
      </c>
      <c r="AE39" s="1315">
        <v>3728</v>
      </c>
      <c r="AF39" s="1315">
        <v>27170</v>
      </c>
      <c r="AG39" s="1315">
        <v>257</v>
      </c>
      <c r="AH39" s="1315">
        <v>13381</v>
      </c>
      <c r="AI39" s="1315">
        <v>565</v>
      </c>
      <c r="AJ39" s="1315">
        <v>3054</v>
      </c>
      <c r="AK39" s="1315">
        <v>82</v>
      </c>
      <c r="AL39" s="1315">
        <v>2650</v>
      </c>
      <c r="AM39" s="1315">
        <v>322</v>
      </c>
      <c r="AN39" s="1315">
        <v>2857</v>
      </c>
      <c r="AO39" s="1315">
        <v>1854</v>
      </c>
      <c r="AP39" s="1315">
        <v>408</v>
      </c>
      <c r="AQ39" s="1315">
        <v>-969</v>
      </c>
      <c r="AR39" s="1315">
        <v>937</v>
      </c>
      <c r="AS39" s="1315">
        <v>870</v>
      </c>
      <c r="AT39" s="1315">
        <v>-33</v>
      </c>
      <c r="AU39" s="1315">
        <v>11841</v>
      </c>
      <c r="AV39" s="1315">
        <v>-10056</v>
      </c>
      <c r="AW39" s="1315">
        <v>-23094</v>
      </c>
      <c r="AX39" s="1315">
        <v>20292</v>
      </c>
      <c r="AY39" s="1315">
        <v>-10914</v>
      </c>
      <c r="AZ39" s="1315">
        <v>55413</v>
      </c>
      <c r="BA39" s="1315" t="s">
        <v>0</v>
      </c>
      <c r="BB39" s="1315" t="s">
        <v>0</v>
      </c>
      <c r="BC39" s="1315" t="s">
        <v>0</v>
      </c>
      <c r="BD39" s="1315" t="s">
        <v>0</v>
      </c>
      <c r="BE39" s="1315" t="s">
        <v>0</v>
      </c>
      <c r="BF39" s="1315" t="s">
        <v>0</v>
      </c>
      <c r="BG39" s="1315" t="s">
        <v>0</v>
      </c>
      <c r="BH39" s="1315">
        <v>248299</v>
      </c>
      <c r="BI39" s="1315" t="s">
        <v>0</v>
      </c>
      <c r="BJ39" s="1315" t="s">
        <v>0</v>
      </c>
      <c r="BK39" s="1315" t="s">
        <v>0</v>
      </c>
      <c r="BL39" s="1315" t="s">
        <v>0</v>
      </c>
      <c r="BM39" s="1315" t="s">
        <v>0</v>
      </c>
      <c r="BN39" s="1315" t="s">
        <v>0</v>
      </c>
      <c r="BO39" s="1315" t="s">
        <v>0</v>
      </c>
      <c r="BP39" s="1315" t="s">
        <v>0</v>
      </c>
      <c r="BQ39" s="1315">
        <v>3700</v>
      </c>
      <c r="BR39" s="1315">
        <v>7956</v>
      </c>
    </row>
    <row r="40" spans="1:70" ht="12" customHeight="1">
      <c r="A40" s="1336" t="s">
        <v>109</v>
      </c>
      <c r="B40" s="1315">
        <v>245763</v>
      </c>
      <c r="C40" s="1315">
        <v>212250</v>
      </c>
      <c r="D40" s="1315">
        <v>24671</v>
      </c>
      <c r="E40" s="1315">
        <v>8842</v>
      </c>
      <c r="F40" s="1315">
        <v>233135</v>
      </c>
      <c r="G40" s="1315">
        <v>186883</v>
      </c>
      <c r="H40" s="1315">
        <v>46252</v>
      </c>
      <c r="I40" s="1315">
        <v>-87</v>
      </c>
      <c r="J40" s="1315">
        <v>12715</v>
      </c>
      <c r="K40" s="1315">
        <v>16174</v>
      </c>
      <c r="L40" s="1315">
        <v>0</v>
      </c>
      <c r="M40" s="1315">
        <v>16174</v>
      </c>
      <c r="N40" s="1315">
        <v>56759</v>
      </c>
      <c r="O40" s="1315">
        <v>-64</v>
      </c>
      <c r="P40" s="1315">
        <v>0</v>
      </c>
      <c r="Q40" s="1315">
        <v>2068</v>
      </c>
      <c r="R40" s="1315">
        <v>1991</v>
      </c>
      <c r="S40" s="1315">
        <v>4249</v>
      </c>
      <c r="T40" s="1315">
        <v>0</v>
      </c>
      <c r="U40" s="1315">
        <v>465</v>
      </c>
      <c r="V40" s="1315">
        <v>25770</v>
      </c>
      <c r="W40" s="1315">
        <v>19296</v>
      </c>
      <c r="X40" s="1315">
        <v>6474</v>
      </c>
      <c r="Y40" s="1315">
        <v>1273</v>
      </c>
      <c r="Z40" s="1315">
        <v>114</v>
      </c>
      <c r="AA40" s="1315">
        <v>1824</v>
      </c>
      <c r="AB40" s="1315">
        <v>256</v>
      </c>
      <c r="AC40" s="1315">
        <v>1320</v>
      </c>
      <c r="AD40" s="1315">
        <v>0</v>
      </c>
      <c r="AE40" s="1315">
        <v>7896</v>
      </c>
      <c r="AF40" s="1315">
        <v>40585</v>
      </c>
      <c r="AG40" s="1315">
        <v>-797</v>
      </c>
      <c r="AH40" s="1315">
        <v>23769</v>
      </c>
      <c r="AI40" s="1315">
        <v>1033</v>
      </c>
      <c r="AJ40" s="1315">
        <v>18267</v>
      </c>
      <c r="AK40" s="1315">
        <v>2132</v>
      </c>
      <c r="AL40" s="1315">
        <v>9523</v>
      </c>
      <c r="AM40" s="1315">
        <v>6612</v>
      </c>
      <c r="AN40" s="1315">
        <v>3662</v>
      </c>
      <c r="AO40" s="1315">
        <v>-3170</v>
      </c>
      <c r="AP40" s="1315">
        <v>-351</v>
      </c>
      <c r="AQ40" s="1315">
        <v>-193</v>
      </c>
      <c r="AR40" s="1315">
        <v>9</v>
      </c>
      <c r="AS40" s="1315">
        <v>867</v>
      </c>
      <c r="AT40" s="1315">
        <v>131</v>
      </c>
      <c r="AU40" s="1315">
        <v>15699</v>
      </c>
      <c r="AV40" s="1315">
        <v>-3459</v>
      </c>
      <c r="AW40" s="1315">
        <v>-25367</v>
      </c>
      <c r="AX40" s="1315">
        <v>21581</v>
      </c>
      <c r="AY40" s="1315">
        <v>-12628</v>
      </c>
      <c r="AZ40" s="1315">
        <v>68976</v>
      </c>
      <c r="BA40" s="1315" t="s">
        <v>0</v>
      </c>
      <c r="BB40" s="1315" t="s">
        <v>0</v>
      </c>
      <c r="BC40" s="1315" t="s">
        <v>0</v>
      </c>
      <c r="BD40" s="1315" t="s">
        <v>0</v>
      </c>
      <c r="BE40" s="1315" t="s">
        <v>0</v>
      </c>
      <c r="BF40" s="1315" t="s">
        <v>0</v>
      </c>
      <c r="BG40" s="1315" t="s">
        <v>0</v>
      </c>
      <c r="BH40" s="1315">
        <v>287511</v>
      </c>
      <c r="BI40" s="1315" t="s">
        <v>0</v>
      </c>
      <c r="BJ40" s="1315" t="s">
        <v>0</v>
      </c>
      <c r="BK40" s="1315" t="s">
        <v>0</v>
      </c>
      <c r="BL40" s="1315" t="s">
        <v>0</v>
      </c>
      <c r="BM40" s="1315" t="s">
        <v>0</v>
      </c>
      <c r="BN40" s="1315" t="s">
        <v>0</v>
      </c>
      <c r="BO40" s="1315" t="s">
        <v>0</v>
      </c>
      <c r="BP40" s="1315" t="s">
        <v>0</v>
      </c>
      <c r="BQ40" s="1315">
        <v>2711</v>
      </c>
      <c r="BR40" s="1315">
        <v>7484</v>
      </c>
    </row>
    <row r="41" spans="1:70" ht="12" customHeight="1">
      <c r="A41" s="1336" t="s">
        <v>108</v>
      </c>
      <c r="B41" s="1315">
        <v>299617</v>
      </c>
      <c r="C41" s="1315">
        <v>252674</v>
      </c>
      <c r="D41" s="1315">
        <v>36390</v>
      </c>
      <c r="E41" s="1315">
        <v>10552</v>
      </c>
      <c r="F41" s="1315">
        <v>298451</v>
      </c>
      <c r="G41" s="1315">
        <v>230130</v>
      </c>
      <c r="H41" s="1315">
        <v>68321</v>
      </c>
      <c r="I41" s="1315">
        <v>-108</v>
      </c>
      <c r="J41" s="1315">
        <v>1274</v>
      </c>
      <c r="K41" s="1315">
        <v>-21875</v>
      </c>
      <c r="L41" s="1315">
        <v>0</v>
      </c>
      <c r="M41" s="1315">
        <v>-21875</v>
      </c>
      <c r="N41" s="1315">
        <v>33321</v>
      </c>
      <c r="O41" s="1315">
        <v>-65</v>
      </c>
      <c r="P41" s="1315">
        <v>1139</v>
      </c>
      <c r="Q41" s="1315">
        <v>14500</v>
      </c>
      <c r="R41" s="1315">
        <v>5946</v>
      </c>
      <c r="S41" s="1315">
        <v>1150</v>
      </c>
      <c r="T41" s="1315">
        <v>0</v>
      </c>
      <c r="U41" s="1315">
        <v>1947</v>
      </c>
      <c r="V41" s="1315">
        <v>-18375</v>
      </c>
      <c r="W41" s="1315">
        <v>-19629</v>
      </c>
      <c r="X41" s="1315">
        <v>1254</v>
      </c>
      <c r="Y41" s="1315">
        <v>545</v>
      </c>
      <c r="Z41" s="1315">
        <v>132</v>
      </c>
      <c r="AA41" s="1315">
        <v>2748</v>
      </c>
      <c r="AB41" s="1315">
        <v>1987</v>
      </c>
      <c r="AC41" s="1315">
        <v>1030</v>
      </c>
      <c r="AD41" s="1315">
        <v>0</v>
      </c>
      <c r="AE41" s="1315">
        <v>11876</v>
      </c>
      <c r="AF41" s="1315">
        <v>55196</v>
      </c>
      <c r="AG41" s="1315">
        <v>1067</v>
      </c>
      <c r="AH41" s="1315">
        <v>15241</v>
      </c>
      <c r="AI41" s="1315">
        <v>1673</v>
      </c>
      <c r="AJ41" s="1315">
        <v>3055</v>
      </c>
      <c r="AK41" s="1315">
        <v>2133</v>
      </c>
      <c r="AL41" s="1315">
        <v>-4085</v>
      </c>
      <c r="AM41" s="1315">
        <v>5007</v>
      </c>
      <c r="AN41" s="1315">
        <v>3219</v>
      </c>
      <c r="AO41" s="1315">
        <v>3593</v>
      </c>
      <c r="AP41" s="1315">
        <v>1025</v>
      </c>
      <c r="AQ41" s="1315">
        <v>1544</v>
      </c>
      <c r="AR41" s="1315">
        <v>-284</v>
      </c>
      <c r="AS41" s="1315">
        <v>552</v>
      </c>
      <c r="AT41" s="1315">
        <v>-25</v>
      </c>
      <c r="AU41" s="1315">
        <v>26821</v>
      </c>
      <c r="AV41" s="1315">
        <v>23149</v>
      </c>
      <c r="AW41" s="1315">
        <v>-22545</v>
      </c>
      <c r="AX41" s="1315">
        <v>31931</v>
      </c>
      <c r="AY41" s="1315">
        <v>-1166</v>
      </c>
      <c r="AZ41" s="1315">
        <v>88579</v>
      </c>
      <c r="BA41" s="1315" t="s">
        <v>0</v>
      </c>
      <c r="BB41" s="1315" t="s">
        <v>0</v>
      </c>
      <c r="BC41" s="1315" t="s">
        <v>0</v>
      </c>
      <c r="BD41" s="1315" t="s">
        <v>0</v>
      </c>
      <c r="BE41" s="1315" t="s">
        <v>0</v>
      </c>
      <c r="BF41" s="1315" t="s">
        <v>0</v>
      </c>
      <c r="BG41" s="1315" t="s">
        <v>0</v>
      </c>
      <c r="BH41" s="1315">
        <v>340578</v>
      </c>
      <c r="BI41" s="1315" t="s">
        <v>0</v>
      </c>
      <c r="BJ41" s="1315" t="s">
        <v>0</v>
      </c>
      <c r="BK41" s="1315" t="s">
        <v>0</v>
      </c>
      <c r="BL41" s="1315" t="s">
        <v>0</v>
      </c>
      <c r="BM41" s="1315" t="s">
        <v>0</v>
      </c>
      <c r="BN41" s="1315" t="s">
        <v>0</v>
      </c>
      <c r="BO41" s="1315" t="s">
        <v>0</v>
      </c>
      <c r="BP41" s="1315" t="s">
        <v>0</v>
      </c>
      <c r="BQ41" s="1315">
        <v>1900</v>
      </c>
      <c r="BR41" s="1315">
        <v>7295</v>
      </c>
    </row>
    <row r="42" spans="1:70" ht="12" customHeight="1">
      <c r="A42" s="1336" t="s">
        <v>107</v>
      </c>
      <c r="B42" s="1315">
        <v>351353</v>
      </c>
      <c r="C42" s="1315">
        <v>293828</v>
      </c>
      <c r="D42" s="1315">
        <v>44907</v>
      </c>
      <c r="E42" s="1315">
        <v>12618</v>
      </c>
      <c r="F42" s="1315">
        <v>359864</v>
      </c>
      <c r="G42" s="1315">
        <v>280772</v>
      </c>
      <c r="H42" s="1315">
        <v>79092</v>
      </c>
      <c r="I42" s="1315">
        <v>-128</v>
      </c>
      <c r="J42" s="1315">
        <v>-8383</v>
      </c>
      <c r="K42" s="1315">
        <v>-29226</v>
      </c>
      <c r="L42" s="1315">
        <v>0</v>
      </c>
      <c r="M42" s="1315">
        <v>-29226</v>
      </c>
      <c r="N42" s="1315">
        <v>37283</v>
      </c>
      <c r="O42" s="1315">
        <v>0</v>
      </c>
      <c r="P42" s="1315">
        <v>1152</v>
      </c>
      <c r="Q42" s="1315">
        <v>-23626</v>
      </c>
      <c r="R42" s="1315">
        <v>2790</v>
      </c>
      <c r="S42" s="1315">
        <v>976</v>
      </c>
      <c r="T42" s="1315">
        <v>0</v>
      </c>
      <c r="U42" s="1315">
        <v>922</v>
      </c>
      <c r="V42" s="1315">
        <v>12353</v>
      </c>
      <c r="W42" s="1315">
        <v>9022</v>
      </c>
      <c r="X42" s="1315">
        <v>3331</v>
      </c>
      <c r="Y42" s="1315">
        <v>2545</v>
      </c>
      <c r="Z42" s="1315">
        <v>135</v>
      </c>
      <c r="AA42" s="1315">
        <v>9028</v>
      </c>
      <c r="AB42" s="1315">
        <v>1614</v>
      </c>
      <c r="AC42" s="1315">
        <v>4232</v>
      </c>
      <c r="AD42" s="1315">
        <v>0</v>
      </c>
      <c r="AE42" s="1315">
        <v>16918</v>
      </c>
      <c r="AF42" s="1315">
        <v>66509</v>
      </c>
      <c r="AG42" s="1315">
        <v>8154</v>
      </c>
      <c r="AH42" s="1315">
        <v>24085</v>
      </c>
      <c r="AI42" s="1315">
        <v>2402</v>
      </c>
      <c r="AJ42" s="1315">
        <v>11780</v>
      </c>
      <c r="AK42" s="1315">
        <v>4544</v>
      </c>
      <c r="AL42" s="1315">
        <v>4678</v>
      </c>
      <c r="AM42" s="1315">
        <v>2558</v>
      </c>
      <c r="AN42" s="1315">
        <v>4610</v>
      </c>
      <c r="AO42" s="1315">
        <v>4091</v>
      </c>
      <c r="AP42" s="1315">
        <v>2366</v>
      </c>
      <c r="AQ42" s="1315">
        <v>1819</v>
      </c>
      <c r="AR42" s="1315">
        <v>2669</v>
      </c>
      <c r="AS42" s="1315">
        <v>795</v>
      </c>
      <c r="AT42" s="1315">
        <v>-242</v>
      </c>
      <c r="AU42" s="1315">
        <v>22937</v>
      </c>
      <c r="AV42" s="1315">
        <v>20843</v>
      </c>
      <c r="AW42" s="1315">
        <v>-13056</v>
      </c>
      <c r="AX42" s="1315">
        <v>34185</v>
      </c>
      <c r="AY42" s="1315">
        <v>8511</v>
      </c>
      <c r="AZ42" s="1315">
        <v>127105</v>
      </c>
      <c r="BA42" s="1315" t="s">
        <v>0</v>
      </c>
      <c r="BB42" s="1315" t="s">
        <v>0</v>
      </c>
      <c r="BC42" s="1315" t="s">
        <v>0</v>
      </c>
      <c r="BD42" s="1315" t="s">
        <v>0</v>
      </c>
      <c r="BE42" s="1315" t="s">
        <v>0</v>
      </c>
      <c r="BF42" s="1315" t="s">
        <v>0</v>
      </c>
      <c r="BG42" s="1315" t="s">
        <v>0</v>
      </c>
      <c r="BH42" s="1315">
        <v>396064</v>
      </c>
      <c r="BI42" s="1315" t="s">
        <v>0</v>
      </c>
      <c r="BJ42" s="1315" t="s">
        <v>0</v>
      </c>
      <c r="BK42" s="1315" t="s">
        <v>0</v>
      </c>
      <c r="BL42" s="1315" t="s">
        <v>0</v>
      </c>
      <c r="BM42" s="1315" t="s">
        <v>0</v>
      </c>
      <c r="BN42" s="1315" t="s">
        <v>0</v>
      </c>
      <c r="BO42" s="1315" t="s">
        <v>0</v>
      </c>
      <c r="BP42" s="1315" t="s">
        <v>0</v>
      </c>
      <c r="BQ42" s="1315">
        <v>4016</v>
      </c>
      <c r="BR42" s="1315">
        <v>12707</v>
      </c>
    </row>
    <row r="43" spans="1:70" ht="12" customHeight="1">
      <c r="A43" s="1336" t="s">
        <v>106</v>
      </c>
      <c r="B43" s="1315">
        <v>393886</v>
      </c>
      <c r="C43" s="1315">
        <v>317758</v>
      </c>
      <c r="D43" s="1315">
        <v>59089</v>
      </c>
      <c r="E43" s="1315">
        <v>17039</v>
      </c>
      <c r="F43" s="1315">
        <v>397262</v>
      </c>
      <c r="G43" s="1315">
        <v>305238</v>
      </c>
      <c r="H43" s="1315">
        <v>92024</v>
      </c>
      <c r="I43" s="1315">
        <v>-122</v>
      </c>
      <c r="J43" s="1315">
        <v>-3254</v>
      </c>
      <c r="K43" s="1315">
        <v>-64112</v>
      </c>
      <c r="L43" s="1315">
        <v>0</v>
      </c>
      <c r="M43" s="1315">
        <v>-64112</v>
      </c>
      <c r="N43" s="1315">
        <v>46349</v>
      </c>
      <c r="O43" s="1315">
        <v>103</v>
      </c>
      <c r="P43" s="1315">
        <v>1093</v>
      </c>
      <c r="Q43" s="1315">
        <v>-6711</v>
      </c>
      <c r="R43" s="1315">
        <v>-2226</v>
      </c>
      <c r="S43" s="1315">
        <v>2272</v>
      </c>
      <c r="T43" s="1315">
        <v>0</v>
      </c>
      <c r="U43" s="1315">
        <v>-1293</v>
      </c>
      <c r="V43" s="1315">
        <v>7946</v>
      </c>
      <c r="W43" s="1315">
        <v>-2280</v>
      </c>
      <c r="X43" s="1315">
        <v>10226</v>
      </c>
      <c r="Y43" s="1315">
        <v>1557</v>
      </c>
      <c r="Z43" s="1315">
        <v>133</v>
      </c>
      <c r="AA43" s="1315">
        <v>10739</v>
      </c>
      <c r="AB43" s="1315">
        <v>10898</v>
      </c>
      <c r="AC43" s="1315">
        <v>4829</v>
      </c>
      <c r="AD43" s="1315">
        <v>0</v>
      </c>
      <c r="AE43" s="1315">
        <v>25196</v>
      </c>
      <c r="AF43" s="1315">
        <v>110461</v>
      </c>
      <c r="AG43" s="1315">
        <v>5176</v>
      </c>
      <c r="AH43" s="1315">
        <v>71755</v>
      </c>
      <c r="AI43" s="1315">
        <v>3874</v>
      </c>
      <c r="AJ43" s="1315">
        <v>51351</v>
      </c>
      <c r="AK43" s="1315">
        <v>11446</v>
      </c>
      <c r="AL43" s="1315">
        <v>9604</v>
      </c>
      <c r="AM43" s="1315">
        <v>30301</v>
      </c>
      <c r="AN43" s="1315">
        <v>4121</v>
      </c>
      <c r="AO43" s="1315">
        <v>6922</v>
      </c>
      <c r="AP43" s="1315">
        <v>213</v>
      </c>
      <c r="AQ43" s="1315">
        <v>323</v>
      </c>
      <c r="AR43" s="1315">
        <v>7119</v>
      </c>
      <c r="AS43" s="1315">
        <v>1142</v>
      </c>
      <c r="AT43" s="1315">
        <v>-165</v>
      </c>
      <c r="AU43" s="1315">
        <v>15456</v>
      </c>
      <c r="AV43" s="1315">
        <v>60858</v>
      </c>
      <c r="AW43" s="1315">
        <v>-12520</v>
      </c>
      <c r="AX43" s="1315">
        <v>32935</v>
      </c>
      <c r="AY43" s="1315">
        <v>3376</v>
      </c>
      <c r="AZ43" s="1315">
        <v>164623</v>
      </c>
      <c r="BA43" s="1315" t="s">
        <v>0</v>
      </c>
      <c r="BB43" s="1315" t="s">
        <v>0</v>
      </c>
      <c r="BC43" s="1315" t="s">
        <v>0</v>
      </c>
      <c r="BD43" s="1315" t="s">
        <v>0</v>
      </c>
      <c r="BE43" s="1315" t="s">
        <v>0</v>
      </c>
      <c r="BF43" s="1315" t="s">
        <v>0</v>
      </c>
      <c r="BG43" s="1315" t="s">
        <v>0</v>
      </c>
      <c r="BH43" s="1315">
        <v>421753</v>
      </c>
      <c r="BI43" s="1315" t="s">
        <v>0</v>
      </c>
      <c r="BJ43" s="1315" t="s">
        <v>0</v>
      </c>
      <c r="BK43" s="1315" t="s">
        <v>0</v>
      </c>
      <c r="BL43" s="1315" t="s">
        <v>0</v>
      </c>
      <c r="BM43" s="1315" t="s">
        <v>0</v>
      </c>
      <c r="BN43" s="1315" t="s">
        <v>0</v>
      </c>
      <c r="BO43" s="1315" t="s">
        <v>0</v>
      </c>
      <c r="BP43" s="1315" t="s">
        <v>0</v>
      </c>
      <c r="BQ43" s="1315">
        <v>10158</v>
      </c>
      <c r="BR43" s="1315">
        <v>21035</v>
      </c>
    </row>
    <row r="44" spans="1:70" ht="12" customHeight="1">
      <c r="A44" s="1336" t="s">
        <v>105</v>
      </c>
      <c r="B44" s="1315">
        <v>387503</v>
      </c>
      <c r="C44" s="1315">
        <v>303184</v>
      </c>
      <c r="D44" s="1315">
        <v>64483</v>
      </c>
      <c r="E44" s="1315">
        <v>19836</v>
      </c>
      <c r="F44" s="1315">
        <v>384203</v>
      </c>
      <c r="G44" s="1315">
        <v>283210</v>
      </c>
      <c r="H44" s="1315">
        <v>100993</v>
      </c>
      <c r="I44" s="1315">
        <v>-113</v>
      </c>
      <c r="J44" s="1315">
        <v>3413</v>
      </c>
      <c r="K44" s="1315">
        <v>-90065</v>
      </c>
      <c r="L44" s="1315">
        <v>0</v>
      </c>
      <c r="M44" s="1315">
        <v>-90065</v>
      </c>
      <c r="N44" s="1315">
        <v>-9010</v>
      </c>
      <c r="O44" s="1315">
        <v>3</v>
      </c>
      <c r="P44" s="1315">
        <v>0</v>
      </c>
      <c r="Q44" s="1315">
        <v>-53189</v>
      </c>
      <c r="R44" s="1315">
        <v>-1193</v>
      </c>
      <c r="S44" s="1315">
        <v>10373</v>
      </c>
      <c r="T44" s="1315">
        <v>0</v>
      </c>
      <c r="U44" s="1315">
        <v>-1712</v>
      </c>
      <c r="V44" s="1315">
        <v>12807</v>
      </c>
      <c r="W44" s="1315">
        <v>314</v>
      </c>
      <c r="X44" s="1315">
        <v>12493</v>
      </c>
      <c r="Y44" s="1315">
        <v>-361</v>
      </c>
      <c r="Z44" s="1315">
        <v>133</v>
      </c>
      <c r="AA44" s="1315">
        <v>15240</v>
      </c>
      <c r="AB44" s="1315">
        <v>4744</v>
      </c>
      <c r="AC44" s="1315">
        <v>3654</v>
      </c>
      <c r="AD44" s="1315">
        <v>0</v>
      </c>
      <c r="AE44" s="1315">
        <v>12635</v>
      </c>
      <c r="AF44" s="1315">
        <v>81055</v>
      </c>
      <c r="AG44" s="1315">
        <v>4964</v>
      </c>
      <c r="AH44" s="1315">
        <v>54997</v>
      </c>
      <c r="AI44" s="1315">
        <v>1864</v>
      </c>
      <c r="AJ44" s="1315">
        <v>33236</v>
      </c>
      <c r="AK44" s="1315">
        <v>6735</v>
      </c>
      <c r="AL44" s="1315">
        <v>15493</v>
      </c>
      <c r="AM44" s="1315">
        <v>11009</v>
      </c>
      <c r="AN44" s="1315">
        <v>4764</v>
      </c>
      <c r="AO44" s="1315">
        <v>8517</v>
      </c>
      <c r="AP44" s="1315">
        <v>1367</v>
      </c>
      <c r="AQ44" s="1315">
        <v>-4002</v>
      </c>
      <c r="AR44" s="1315">
        <v>3545</v>
      </c>
      <c r="AS44" s="1315">
        <v>1007</v>
      </c>
      <c r="AT44" s="1315">
        <v>361</v>
      </c>
      <c r="AU44" s="1315">
        <v>18180</v>
      </c>
      <c r="AV44" s="1315">
        <v>93478</v>
      </c>
      <c r="AW44" s="1315">
        <v>-19974</v>
      </c>
      <c r="AX44" s="1315">
        <v>36510</v>
      </c>
      <c r="AY44" s="1315">
        <v>-3300</v>
      </c>
      <c r="AZ44" s="1315">
        <v>184842</v>
      </c>
      <c r="BA44" s="1315">
        <v>254185</v>
      </c>
      <c r="BB44" s="1315">
        <v>130428</v>
      </c>
      <c r="BC44" s="1315">
        <v>124677</v>
      </c>
      <c r="BD44" s="1315">
        <v>153606</v>
      </c>
      <c r="BE44" s="1315">
        <v>99192</v>
      </c>
      <c r="BF44" s="1315">
        <v>93441</v>
      </c>
      <c r="BG44" s="1315">
        <v>100579</v>
      </c>
      <c r="BH44" s="1315">
        <v>406633</v>
      </c>
      <c r="BI44" s="1315">
        <v>443402</v>
      </c>
      <c r="BJ44" s="1315">
        <v>259212</v>
      </c>
      <c r="BK44" s="1315">
        <v>240326</v>
      </c>
      <c r="BL44" s="1315">
        <v>374790</v>
      </c>
      <c r="BM44" s="1315">
        <v>227369</v>
      </c>
      <c r="BN44" s="1315">
        <v>208483</v>
      </c>
      <c r="BO44" s="1315">
        <v>31843</v>
      </c>
      <c r="BP44" s="1315">
        <v>68612</v>
      </c>
      <c r="BQ44" s="1315">
        <v>12335</v>
      </c>
      <c r="BR44" s="1315">
        <v>48458</v>
      </c>
    </row>
    <row r="45" spans="1:70" ht="12" customHeight="1">
      <c r="A45" s="1336" t="s">
        <v>104</v>
      </c>
      <c r="B45" s="1315">
        <v>413930</v>
      </c>
      <c r="C45" s="1315">
        <v>328638</v>
      </c>
      <c r="D45" s="1315">
        <v>64797</v>
      </c>
      <c r="E45" s="1315">
        <v>20495</v>
      </c>
      <c r="F45" s="1315">
        <v>378878</v>
      </c>
      <c r="G45" s="1315">
        <v>276996</v>
      </c>
      <c r="H45" s="1315">
        <v>101882</v>
      </c>
      <c r="I45" s="1315">
        <v>-101</v>
      </c>
      <c r="J45" s="1315">
        <v>35153</v>
      </c>
      <c r="K45" s="1315">
        <v>36094</v>
      </c>
      <c r="L45" s="1315">
        <v>0</v>
      </c>
      <c r="M45" s="1315">
        <v>36094</v>
      </c>
      <c r="N45" s="1315">
        <v>71810</v>
      </c>
      <c r="O45" s="1315">
        <v>0</v>
      </c>
      <c r="P45" s="1315">
        <v>0</v>
      </c>
      <c r="Q45" s="1315">
        <v>15724</v>
      </c>
      <c r="R45" s="1315">
        <v>5687</v>
      </c>
      <c r="S45" s="1315">
        <v>1020</v>
      </c>
      <c r="T45" s="1315">
        <v>0</v>
      </c>
      <c r="U45" s="1315">
        <v>787</v>
      </c>
      <c r="V45" s="1315">
        <v>15660</v>
      </c>
      <c r="W45" s="1315">
        <v>13040</v>
      </c>
      <c r="X45" s="1315">
        <v>2620</v>
      </c>
      <c r="Y45" s="1315">
        <v>-18</v>
      </c>
      <c r="Z45" s="1315">
        <v>134</v>
      </c>
      <c r="AA45" s="1315">
        <v>6224</v>
      </c>
      <c r="AB45" s="1315">
        <v>5746</v>
      </c>
      <c r="AC45" s="1315">
        <v>4995</v>
      </c>
      <c r="AD45" s="1315">
        <v>0</v>
      </c>
      <c r="AE45" s="1315">
        <v>10371</v>
      </c>
      <c r="AF45" s="1315">
        <v>35716</v>
      </c>
      <c r="AG45" s="1315">
        <v>1195</v>
      </c>
      <c r="AH45" s="1315">
        <v>1771</v>
      </c>
      <c r="AI45" s="1315">
        <v>6486</v>
      </c>
      <c r="AJ45" s="1315">
        <v>-11261</v>
      </c>
      <c r="AK45" s="1315">
        <v>1071</v>
      </c>
      <c r="AL45" s="1315">
        <v>-8502</v>
      </c>
      <c r="AM45" s="1315">
        <v>-3830</v>
      </c>
      <c r="AN45" s="1315">
        <v>3587</v>
      </c>
      <c r="AO45" s="1315">
        <v>-122</v>
      </c>
      <c r="AP45" s="1315">
        <v>3682</v>
      </c>
      <c r="AQ45" s="1315">
        <v>90</v>
      </c>
      <c r="AR45" s="1315">
        <v>4556</v>
      </c>
      <c r="AS45" s="1315">
        <v>1369</v>
      </c>
      <c r="AT45" s="1315">
        <v>50</v>
      </c>
      <c r="AU45" s="1315">
        <v>17971</v>
      </c>
      <c r="AV45" s="1315">
        <v>-941</v>
      </c>
      <c r="AW45" s="1315">
        <v>-51642</v>
      </c>
      <c r="AX45" s="1315">
        <v>37085</v>
      </c>
      <c r="AY45" s="1315">
        <v>-35052</v>
      </c>
      <c r="AZ45" s="1315">
        <v>193708</v>
      </c>
      <c r="BA45" s="1315">
        <v>270690</v>
      </c>
      <c r="BB45" s="1315">
        <v>153318</v>
      </c>
      <c r="BC45" s="1315">
        <v>137061</v>
      </c>
      <c r="BD45" s="1315">
        <v>159313</v>
      </c>
      <c r="BE45" s="1315">
        <v>118923</v>
      </c>
      <c r="BF45" s="1315">
        <v>102666</v>
      </c>
      <c r="BG45" s="1315">
        <v>111377</v>
      </c>
      <c r="BH45" s="1315">
        <v>393163</v>
      </c>
      <c r="BI45" s="1315">
        <v>432626</v>
      </c>
      <c r="BJ45" s="1315">
        <v>311862</v>
      </c>
      <c r="BK45" s="1315">
        <v>249670</v>
      </c>
      <c r="BL45" s="1315">
        <v>367100</v>
      </c>
      <c r="BM45" s="1315">
        <v>285799</v>
      </c>
      <c r="BN45" s="1315">
        <v>223607</v>
      </c>
      <c r="BO45" s="1315">
        <v>26063</v>
      </c>
      <c r="BP45" s="1315">
        <v>65526</v>
      </c>
      <c r="BQ45" s="1315">
        <v>15472</v>
      </c>
      <c r="BR45" s="1315">
        <v>44676</v>
      </c>
    </row>
    <row r="46" spans="1:70" ht="12" customHeight="1">
      <c r="A46" s="1336" t="s">
        <v>103</v>
      </c>
      <c r="B46" s="1315">
        <v>514324</v>
      </c>
      <c r="C46" s="1315">
        <v>405107</v>
      </c>
      <c r="D46" s="1315">
        <v>85575</v>
      </c>
      <c r="E46" s="1315">
        <v>23642</v>
      </c>
      <c r="F46" s="1315">
        <v>424246</v>
      </c>
      <c r="G46" s="1315">
        <v>302381</v>
      </c>
      <c r="H46" s="1315">
        <v>121865</v>
      </c>
      <c r="I46" s="1315">
        <v>-98</v>
      </c>
      <c r="J46" s="1315">
        <v>90176</v>
      </c>
      <c r="K46" s="1315">
        <v>21412</v>
      </c>
      <c r="L46" s="1315">
        <v>0</v>
      </c>
      <c r="M46" s="1315">
        <v>21412</v>
      </c>
      <c r="N46" s="1315">
        <v>83976</v>
      </c>
      <c r="O46" s="1315">
        <v>1</v>
      </c>
      <c r="P46" s="1315">
        <v>0</v>
      </c>
      <c r="Q46" s="1315">
        <v>-8559</v>
      </c>
      <c r="R46" s="1315">
        <v>4496</v>
      </c>
      <c r="S46" s="1315">
        <v>4702</v>
      </c>
      <c r="T46" s="1315">
        <v>0</v>
      </c>
      <c r="U46" s="1315">
        <v>1211</v>
      </c>
      <c r="V46" s="1315">
        <v>27693</v>
      </c>
      <c r="W46" s="1315">
        <v>7701</v>
      </c>
      <c r="X46" s="1315">
        <v>19992</v>
      </c>
      <c r="Y46" s="1315">
        <v>1172</v>
      </c>
      <c r="Z46" s="1315">
        <v>133</v>
      </c>
      <c r="AA46" s="1315">
        <v>15640</v>
      </c>
      <c r="AB46" s="1315">
        <v>22778</v>
      </c>
      <c r="AC46" s="1315">
        <v>-3360</v>
      </c>
      <c r="AD46" s="1315">
        <v>0</v>
      </c>
      <c r="AE46" s="1315">
        <v>24469</v>
      </c>
      <c r="AF46" s="1315">
        <v>62563</v>
      </c>
      <c r="AG46" s="1315">
        <v>3130</v>
      </c>
      <c r="AH46" s="1315">
        <v>37259</v>
      </c>
      <c r="AI46" s="1315">
        <v>6181</v>
      </c>
      <c r="AJ46" s="1315">
        <v>22611</v>
      </c>
      <c r="AK46" s="1315">
        <v>4023</v>
      </c>
      <c r="AL46" s="1315">
        <v>6884</v>
      </c>
      <c r="AM46" s="1315">
        <v>11704</v>
      </c>
      <c r="AN46" s="1315">
        <v>3685</v>
      </c>
      <c r="AO46" s="1315">
        <v>969</v>
      </c>
      <c r="AP46" s="1315">
        <v>943</v>
      </c>
      <c r="AQ46" s="1315">
        <v>-484</v>
      </c>
      <c r="AR46" s="1315">
        <v>2390</v>
      </c>
      <c r="AS46" s="1315">
        <v>1426</v>
      </c>
      <c r="AT46" s="1315">
        <v>378</v>
      </c>
      <c r="AU46" s="1315">
        <v>20272</v>
      </c>
      <c r="AV46" s="1315">
        <v>68764</v>
      </c>
      <c r="AW46" s="1315">
        <v>-102726</v>
      </c>
      <c r="AX46" s="1315">
        <v>36290</v>
      </c>
      <c r="AY46" s="1315">
        <v>-90078</v>
      </c>
      <c r="AZ46" s="1315">
        <v>223538</v>
      </c>
      <c r="BA46" s="1315">
        <v>310885</v>
      </c>
      <c r="BB46" s="1315">
        <v>172377</v>
      </c>
      <c r="BC46" s="1315">
        <v>164584</v>
      </c>
      <c r="BD46" s="1315">
        <v>181726</v>
      </c>
      <c r="BE46" s="1315">
        <v>130564</v>
      </c>
      <c r="BF46" s="1315">
        <v>122771</v>
      </c>
      <c r="BG46" s="1315">
        <v>129159</v>
      </c>
      <c r="BH46" s="1315">
        <v>389543</v>
      </c>
      <c r="BI46" s="1315">
        <v>435688</v>
      </c>
      <c r="BJ46" s="1315">
        <v>311775</v>
      </c>
      <c r="BK46" s="1315">
        <v>259294</v>
      </c>
      <c r="BL46" s="1315">
        <v>366755</v>
      </c>
      <c r="BM46" s="1315">
        <v>288987</v>
      </c>
      <c r="BN46" s="1315">
        <v>236506</v>
      </c>
      <c r="BO46" s="1315">
        <v>22788</v>
      </c>
      <c r="BP46" s="1315">
        <v>68933</v>
      </c>
      <c r="BQ46" s="1315">
        <v>16058</v>
      </c>
      <c r="BR46" s="1315">
        <v>61619</v>
      </c>
    </row>
    <row r="47" spans="1:70" ht="12" customHeight="1">
      <c r="A47" s="1336" t="s">
        <v>102</v>
      </c>
      <c r="B47" s="1315">
        <v>530177</v>
      </c>
      <c r="C47" s="1315">
        <v>417229</v>
      </c>
      <c r="D47" s="1315">
        <v>87297</v>
      </c>
      <c r="E47" s="1315">
        <v>25652</v>
      </c>
      <c r="F47" s="1315">
        <v>415872</v>
      </c>
      <c r="G47" s="1315">
        <v>303210</v>
      </c>
      <c r="H47" s="1315">
        <v>112662</v>
      </c>
      <c r="I47" s="1315">
        <v>-143</v>
      </c>
      <c r="J47" s="1315">
        <v>114449</v>
      </c>
      <c r="K47" s="1315">
        <v>90337</v>
      </c>
      <c r="L47" s="1315">
        <v>0</v>
      </c>
      <c r="M47" s="1315">
        <v>90337</v>
      </c>
      <c r="N47" s="1315">
        <v>128420</v>
      </c>
      <c r="O47" s="1315">
        <v>0</v>
      </c>
      <c r="P47" s="1315">
        <v>0</v>
      </c>
      <c r="Q47" s="1315">
        <v>13119</v>
      </c>
      <c r="R47" s="1315">
        <v>4808</v>
      </c>
      <c r="S47" s="1315">
        <v>3218</v>
      </c>
      <c r="T47" s="1315">
        <v>0</v>
      </c>
      <c r="U47" s="1315">
        <v>-161</v>
      </c>
      <c r="V47" s="1315">
        <v>19594</v>
      </c>
      <c r="W47" s="1315">
        <v>-7236</v>
      </c>
      <c r="X47" s="1315">
        <v>26830</v>
      </c>
      <c r="Y47" s="1315">
        <v>4334</v>
      </c>
      <c r="Z47" s="1315">
        <v>200</v>
      </c>
      <c r="AA47" s="1315">
        <v>36099</v>
      </c>
      <c r="AB47" s="1315">
        <v>7353</v>
      </c>
      <c r="AC47" s="1315">
        <v>4449</v>
      </c>
      <c r="AD47" s="1315">
        <v>0</v>
      </c>
      <c r="AE47" s="1315">
        <v>19747</v>
      </c>
      <c r="AF47" s="1315">
        <v>38083</v>
      </c>
      <c r="AG47" s="1315">
        <v>3857</v>
      </c>
      <c r="AH47" s="1315">
        <v>7594</v>
      </c>
      <c r="AI47" s="1315">
        <v>6202</v>
      </c>
      <c r="AJ47" s="1315">
        <v>3313</v>
      </c>
      <c r="AK47" s="1315">
        <v>-1028</v>
      </c>
      <c r="AL47" s="1315">
        <v>2595</v>
      </c>
      <c r="AM47" s="1315">
        <v>1746</v>
      </c>
      <c r="AN47" s="1315">
        <v>1636</v>
      </c>
      <c r="AO47" s="1315">
        <v>-7351</v>
      </c>
      <c r="AP47" s="1315">
        <v>3688</v>
      </c>
      <c r="AQ47" s="1315">
        <v>-662</v>
      </c>
      <c r="AR47" s="1315">
        <v>1689</v>
      </c>
      <c r="AS47" s="1315">
        <v>1301</v>
      </c>
      <c r="AT47" s="1315">
        <v>-116</v>
      </c>
      <c r="AU47" s="1315">
        <v>14817</v>
      </c>
      <c r="AV47" s="1315">
        <v>24112</v>
      </c>
      <c r="AW47" s="1315">
        <v>-114018</v>
      </c>
      <c r="AX47" s="1315">
        <v>25365</v>
      </c>
      <c r="AY47" s="1315">
        <v>-114306</v>
      </c>
      <c r="AZ47" s="1315">
        <v>247223</v>
      </c>
      <c r="BA47" s="1315">
        <v>336566</v>
      </c>
      <c r="BB47" s="1315">
        <v>219996</v>
      </c>
      <c r="BC47" s="1315">
        <v>184616</v>
      </c>
      <c r="BD47" s="1315">
        <v>200225</v>
      </c>
      <c r="BE47" s="1315">
        <v>172997</v>
      </c>
      <c r="BF47" s="1315">
        <v>137617</v>
      </c>
      <c r="BG47" s="1315">
        <v>136341</v>
      </c>
      <c r="BH47" s="1315">
        <v>407815</v>
      </c>
      <c r="BI47" s="1315">
        <v>460377</v>
      </c>
      <c r="BJ47" s="1315">
        <v>423131</v>
      </c>
      <c r="BK47" s="1315">
        <v>275148</v>
      </c>
      <c r="BL47" s="1315">
        <v>388581</v>
      </c>
      <c r="BM47" s="1315">
        <v>403897</v>
      </c>
      <c r="BN47" s="1315">
        <v>255914</v>
      </c>
      <c r="BO47" s="1315">
        <v>19234</v>
      </c>
      <c r="BP47" s="1315">
        <v>71796</v>
      </c>
      <c r="BQ47" s="1315">
        <v>16562</v>
      </c>
      <c r="BR47" s="1315">
        <v>57233</v>
      </c>
    </row>
    <row r="48" spans="1:70" ht="12" customHeight="1">
      <c r="A48" s="1336" t="s">
        <v>101</v>
      </c>
      <c r="B48" s="1315">
        <v>574997</v>
      </c>
      <c r="C48" s="1315">
        <v>452867</v>
      </c>
      <c r="D48" s="1315">
        <v>94367</v>
      </c>
      <c r="E48" s="1315">
        <v>27763</v>
      </c>
      <c r="F48" s="1315">
        <v>432324</v>
      </c>
      <c r="G48" s="1315">
        <v>321000</v>
      </c>
      <c r="H48" s="1315">
        <v>111324</v>
      </c>
      <c r="I48" s="1315">
        <v>-111</v>
      </c>
      <c r="J48" s="1315">
        <v>142784</v>
      </c>
      <c r="K48" s="1315">
        <v>111229</v>
      </c>
      <c r="L48" s="1315">
        <v>0</v>
      </c>
      <c r="M48" s="1315">
        <v>111229</v>
      </c>
      <c r="N48" s="1315">
        <v>168240</v>
      </c>
      <c r="O48" s="1315">
        <v>0</v>
      </c>
      <c r="P48" s="1315">
        <v>0</v>
      </c>
      <c r="Q48" s="1315">
        <v>-4865</v>
      </c>
      <c r="R48" s="1315">
        <v>5105</v>
      </c>
      <c r="S48" s="1315">
        <v>-2460</v>
      </c>
      <c r="T48" s="1315">
        <v>0</v>
      </c>
      <c r="U48" s="1315">
        <v>-128</v>
      </c>
      <c r="V48" s="1315">
        <v>38173</v>
      </c>
      <c r="W48" s="1315">
        <v>21265</v>
      </c>
      <c r="X48" s="1315">
        <v>16908</v>
      </c>
      <c r="Y48" s="1315">
        <v>6966</v>
      </c>
      <c r="Z48" s="1315">
        <v>200</v>
      </c>
      <c r="AA48" s="1315">
        <v>38913</v>
      </c>
      <c r="AB48" s="1315">
        <v>21596</v>
      </c>
      <c r="AC48" s="1315">
        <v>17898</v>
      </c>
      <c r="AD48" s="1315">
        <v>0</v>
      </c>
      <c r="AE48" s="1315">
        <v>35419</v>
      </c>
      <c r="AF48" s="1315">
        <v>57011</v>
      </c>
      <c r="AG48" s="1315">
        <v>-313</v>
      </c>
      <c r="AH48" s="1315">
        <v>10237</v>
      </c>
      <c r="AI48" s="1315">
        <v>11484</v>
      </c>
      <c r="AJ48" s="1315">
        <v>-503</v>
      </c>
      <c r="AK48" s="1315">
        <v>-1087</v>
      </c>
      <c r="AL48" s="1315">
        <v>2551</v>
      </c>
      <c r="AM48" s="1315">
        <v>-1967</v>
      </c>
      <c r="AN48" s="1315">
        <v>1514</v>
      </c>
      <c r="AO48" s="1315">
        <v>-5376</v>
      </c>
      <c r="AP48" s="1315">
        <v>1153</v>
      </c>
      <c r="AQ48" s="1315">
        <v>7</v>
      </c>
      <c r="AR48" s="1315">
        <v>-770</v>
      </c>
      <c r="AS48" s="1315">
        <v>1482</v>
      </c>
      <c r="AT48" s="1315">
        <v>-974</v>
      </c>
      <c r="AU48" s="1315">
        <v>19100</v>
      </c>
      <c r="AV48" s="1315">
        <v>31555</v>
      </c>
      <c r="AW48" s="1315">
        <v>-131867</v>
      </c>
      <c r="AX48" s="1315">
        <v>16957</v>
      </c>
      <c r="AY48" s="1315">
        <v>-142673</v>
      </c>
      <c r="AZ48" s="1315">
        <v>284701</v>
      </c>
      <c r="BA48" s="1315">
        <v>369765</v>
      </c>
      <c r="BB48" s="1315">
        <v>272966</v>
      </c>
      <c r="BC48" s="1315">
        <v>220414</v>
      </c>
      <c r="BD48" s="1315">
        <v>226404</v>
      </c>
      <c r="BE48" s="1315">
        <v>214669</v>
      </c>
      <c r="BF48" s="1315">
        <v>162117</v>
      </c>
      <c r="BG48" s="1315">
        <v>143361</v>
      </c>
      <c r="BH48" s="1315">
        <v>437492</v>
      </c>
      <c r="BI48" s="1315">
        <v>489882</v>
      </c>
      <c r="BJ48" s="1315">
        <v>562748</v>
      </c>
      <c r="BK48" s="1315">
        <v>303146</v>
      </c>
      <c r="BL48" s="1315">
        <v>413257</v>
      </c>
      <c r="BM48" s="1315">
        <v>538513</v>
      </c>
      <c r="BN48" s="1315">
        <v>278911</v>
      </c>
      <c r="BO48" s="1315">
        <v>24235</v>
      </c>
      <c r="BP48" s="1315">
        <v>76625</v>
      </c>
      <c r="BQ48" s="1315">
        <v>15284</v>
      </c>
      <c r="BR48" s="1315">
        <v>65153</v>
      </c>
    </row>
    <row r="49" spans="1:70" ht="12" customHeight="1">
      <c r="A49" s="1336" t="s">
        <v>100</v>
      </c>
      <c r="B49" s="1315">
        <v>641322</v>
      </c>
      <c r="C49" s="1315">
        <v>508714</v>
      </c>
      <c r="D49" s="1315">
        <v>105798</v>
      </c>
      <c r="E49" s="1315">
        <v>26810</v>
      </c>
      <c r="F49" s="1315">
        <v>487229</v>
      </c>
      <c r="G49" s="1315">
        <v>363943</v>
      </c>
      <c r="H49" s="1315">
        <v>123286</v>
      </c>
      <c r="I49" s="1315">
        <v>-138</v>
      </c>
      <c r="J49" s="1315">
        <v>154231</v>
      </c>
      <c r="K49" s="1315">
        <v>133778</v>
      </c>
      <c r="L49" s="1315">
        <v>0</v>
      </c>
      <c r="M49" s="1315">
        <v>133778</v>
      </c>
      <c r="N49" s="1315">
        <v>172167</v>
      </c>
      <c r="O49" s="1315">
        <v>0</v>
      </c>
      <c r="P49" s="1315">
        <v>0</v>
      </c>
      <c r="Q49" s="1315">
        <v>32001</v>
      </c>
      <c r="R49" s="1315">
        <v>2461</v>
      </c>
      <c r="S49" s="1315">
        <v>872</v>
      </c>
      <c r="T49" s="1315">
        <v>0</v>
      </c>
      <c r="U49" s="1315">
        <v>983</v>
      </c>
      <c r="V49" s="1315">
        <v>35595</v>
      </c>
      <c r="W49" s="1315">
        <v>11345</v>
      </c>
      <c r="X49" s="1315">
        <v>24250</v>
      </c>
      <c r="Y49" s="1315">
        <v>5036</v>
      </c>
      <c r="Z49" s="1315">
        <v>200</v>
      </c>
      <c r="AA49" s="1315">
        <v>18618</v>
      </c>
      <c r="AB49" s="1315">
        <v>455</v>
      </c>
      <c r="AC49" s="1315">
        <v>15025</v>
      </c>
      <c r="AD49" s="1315">
        <v>0</v>
      </c>
      <c r="AE49" s="1315">
        <v>58470</v>
      </c>
      <c r="AF49" s="1315">
        <v>38389</v>
      </c>
      <c r="AG49" s="1315">
        <v>-9149</v>
      </c>
      <c r="AH49" s="1315">
        <v>11409</v>
      </c>
      <c r="AI49" s="1315">
        <v>3838</v>
      </c>
      <c r="AJ49" s="1315">
        <v>1540</v>
      </c>
      <c r="AK49" s="1315">
        <v>454</v>
      </c>
      <c r="AL49" s="1315">
        <v>758</v>
      </c>
      <c r="AM49" s="1315">
        <v>327</v>
      </c>
      <c r="AN49" s="1315">
        <v>-2330</v>
      </c>
      <c r="AO49" s="1315">
        <v>980</v>
      </c>
      <c r="AP49" s="1315">
        <v>-2130</v>
      </c>
      <c r="AQ49" s="1315">
        <v>608</v>
      </c>
      <c r="AR49" s="1315">
        <v>-2140</v>
      </c>
      <c r="AS49" s="1315">
        <v>1211</v>
      </c>
      <c r="AT49" s="1315">
        <v>114</v>
      </c>
      <c r="AU49" s="1315">
        <v>31235</v>
      </c>
      <c r="AV49" s="1315">
        <v>20453</v>
      </c>
      <c r="AW49" s="1315">
        <v>-144771</v>
      </c>
      <c r="AX49" s="1315">
        <v>17488</v>
      </c>
      <c r="AY49" s="1315">
        <v>-154093</v>
      </c>
      <c r="AZ49" s="1315">
        <v>334552</v>
      </c>
      <c r="BA49" s="1315">
        <v>426058</v>
      </c>
      <c r="BB49" s="1315">
        <v>316200</v>
      </c>
      <c r="BC49" s="1315">
        <v>263394</v>
      </c>
      <c r="BD49" s="1315">
        <v>258872</v>
      </c>
      <c r="BE49" s="1315">
        <v>240520</v>
      </c>
      <c r="BF49" s="1315">
        <v>187714</v>
      </c>
      <c r="BG49" s="1315">
        <v>167186</v>
      </c>
      <c r="BH49" s="1315">
        <v>506624</v>
      </c>
      <c r="BI49" s="1315">
        <v>569567</v>
      </c>
      <c r="BJ49" s="1315">
        <v>618808</v>
      </c>
      <c r="BK49" s="1315">
        <v>354815</v>
      </c>
      <c r="BL49" s="1315">
        <v>479666</v>
      </c>
      <c r="BM49" s="1315">
        <v>591850</v>
      </c>
      <c r="BN49" s="1315">
        <v>327857</v>
      </c>
      <c r="BO49" s="1315">
        <v>26958</v>
      </c>
      <c r="BP49" s="1315">
        <v>89901</v>
      </c>
      <c r="BQ49" s="1315">
        <v>11819</v>
      </c>
      <c r="BR49" s="1315">
        <v>73323</v>
      </c>
    </row>
    <row r="50" spans="1:70" ht="12" customHeight="1">
      <c r="A50" s="1336" t="s">
        <v>99</v>
      </c>
      <c r="B50" s="1315">
        <v>712440</v>
      </c>
      <c r="C50" s="1315">
        <v>553994</v>
      </c>
      <c r="D50" s="1315">
        <v>129459</v>
      </c>
      <c r="E50" s="1315">
        <v>28988</v>
      </c>
      <c r="F50" s="1315">
        <v>596718</v>
      </c>
      <c r="G50" s="1315">
        <v>444601</v>
      </c>
      <c r="H50" s="1315">
        <v>152116</v>
      </c>
      <c r="I50" s="1315">
        <v>-134</v>
      </c>
      <c r="J50" s="1315">
        <v>115856</v>
      </c>
      <c r="K50" s="1315">
        <v>132086</v>
      </c>
      <c r="L50" s="1315">
        <v>0</v>
      </c>
      <c r="M50" s="1315">
        <v>132086</v>
      </c>
      <c r="N50" s="1315">
        <v>164376</v>
      </c>
      <c r="O50" s="1315">
        <v>1</v>
      </c>
      <c r="P50" s="1315">
        <v>0</v>
      </c>
      <c r="Q50" s="1315">
        <v>2081</v>
      </c>
      <c r="R50" s="1315">
        <v>3577</v>
      </c>
      <c r="S50" s="1315">
        <v>3369</v>
      </c>
      <c r="T50" s="1315">
        <v>0</v>
      </c>
      <c r="U50" s="1315">
        <v>2817</v>
      </c>
      <c r="V50" s="1315">
        <v>62011</v>
      </c>
      <c r="W50" s="1315">
        <v>13314</v>
      </c>
      <c r="X50" s="1315">
        <v>48697</v>
      </c>
      <c r="Y50" s="1315">
        <v>6733</v>
      </c>
      <c r="Z50" s="1315">
        <v>200</v>
      </c>
      <c r="AA50" s="1315">
        <v>14700</v>
      </c>
      <c r="AB50" s="1315">
        <v>21907</v>
      </c>
      <c r="AC50" s="1315">
        <v>-2877</v>
      </c>
      <c r="AD50" s="1315">
        <v>0</v>
      </c>
      <c r="AE50" s="1315">
        <v>57736</v>
      </c>
      <c r="AF50" s="1315">
        <v>32290</v>
      </c>
      <c r="AG50" s="1315">
        <v>3914</v>
      </c>
      <c r="AH50" s="1315">
        <v>-4364</v>
      </c>
      <c r="AI50" s="1315">
        <v>8698</v>
      </c>
      <c r="AJ50" s="1315">
        <v>-13562</v>
      </c>
      <c r="AK50" s="1315">
        <v>-588</v>
      </c>
      <c r="AL50" s="1315">
        <v>-5951</v>
      </c>
      <c r="AM50" s="1315">
        <v>-7022</v>
      </c>
      <c r="AN50" s="1315">
        <v>-4004</v>
      </c>
      <c r="AO50" s="1315">
        <v>-2374</v>
      </c>
      <c r="AP50" s="1315">
        <v>1102</v>
      </c>
      <c r="AQ50" s="1315">
        <v>1565</v>
      </c>
      <c r="AR50" s="1315">
        <v>-706</v>
      </c>
      <c r="AS50" s="1315">
        <v>1314</v>
      </c>
      <c r="AT50" s="1315">
        <v>-277</v>
      </c>
      <c r="AU50" s="1315">
        <v>16127</v>
      </c>
      <c r="AV50" s="1315">
        <v>-16230</v>
      </c>
      <c r="AW50" s="1315">
        <v>-109392</v>
      </c>
      <c r="AX50" s="1315">
        <v>22658</v>
      </c>
      <c r="AY50" s="1315">
        <v>-115722</v>
      </c>
      <c r="AZ50" s="1315">
        <v>401766</v>
      </c>
      <c r="BA50" s="1315">
        <v>492251</v>
      </c>
      <c r="BB50" s="1315">
        <v>391530</v>
      </c>
      <c r="BC50" s="1315">
        <v>314754</v>
      </c>
      <c r="BD50" s="1315">
        <v>314524</v>
      </c>
      <c r="BE50" s="1315">
        <v>304288</v>
      </c>
      <c r="BF50" s="1315">
        <v>227512</v>
      </c>
      <c r="BG50" s="1315">
        <v>177727</v>
      </c>
      <c r="BH50" s="1315">
        <v>535920</v>
      </c>
      <c r="BI50" s="1315">
        <v>604247</v>
      </c>
      <c r="BJ50" s="1315">
        <v>714620</v>
      </c>
      <c r="BK50" s="1315">
        <v>369338</v>
      </c>
      <c r="BL50" s="1315">
        <v>504196</v>
      </c>
      <c r="BM50" s="1315">
        <v>682896</v>
      </c>
      <c r="BN50" s="1315">
        <v>337614</v>
      </c>
      <c r="BO50" s="1315">
        <v>31724</v>
      </c>
      <c r="BP50" s="1315">
        <v>100051</v>
      </c>
      <c r="BQ50" s="1315">
        <v>10076</v>
      </c>
      <c r="BR50" s="1315">
        <v>83846</v>
      </c>
    </row>
    <row r="51" spans="1:70" ht="12" customHeight="1">
      <c r="A51" s="1336" t="s">
        <v>98</v>
      </c>
      <c r="B51" s="1315">
        <v>774340</v>
      </c>
      <c r="C51" s="1315">
        <v>591031</v>
      </c>
      <c r="D51" s="1315">
        <v>152910</v>
      </c>
      <c r="E51" s="1315">
        <v>30400</v>
      </c>
      <c r="F51" s="1315">
        <v>681988</v>
      </c>
      <c r="G51" s="1315">
        <v>504289</v>
      </c>
      <c r="H51" s="1315">
        <v>177699</v>
      </c>
      <c r="I51" s="1315">
        <v>-348</v>
      </c>
      <c r="J51" s="1315">
        <v>92700</v>
      </c>
      <c r="K51" s="1315">
        <v>41604</v>
      </c>
      <c r="L51" s="1315">
        <v>0</v>
      </c>
      <c r="M51" s="1315">
        <v>41604</v>
      </c>
      <c r="N51" s="1315">
        <v>145087</v>
      </c>
      <c r="O51" s="1315">
        <v>-4</v>
      </c>
      <c r="P51" s="1315">
        <v>0</v>
      </c>
      <c r="Q51" s="1315">
        <v>-7325</v>
      </c>
      <c r="R51" s="1315">
        <v>3918</v>
      </c>
      <c r="S51" s="1315">
        <v>6244</v>
      </c>
      <c r="T51" s="1315">
        <v>391</v>
      </c>
      <c r="U51" s="1315">
        <v>845</v>
      </c>
      <c r="V51" s="1315">
        <v>29766</v>
      </c>
      <c r="W51" s="1315">
        <v>-23957</v>
      </c>
      <c r="X51" s="1315">
        <v>53723</v>
      </c>
      <c r="Y51" s="1315">
        <v>15081</v>
      </c>
      <c r="Z51" s="1315">
        <v>200</v>
      </c>
      <c r="AA51" s="1315">
        <v>13087</v>
      </c>
      <c r="AB51" s="1315">
        <v>22368</v>
      </c>
      <c r="AC51" s="1315">
        <v>8598</v>
      </c>
      <c r="AD51" s="1315">
        <v>0</v>
      </c>
      <c r="AE51" s="1315">
        <v>68273</v>
      </c>
      <c r="AF51" s="1315">
        <v>103483</v>
      </c>
      <c r="AG51" s="1315">
        <v>25293</v>
      </c>
      <c r="AH51" s="1315">
        <v>-7914</v>
      </c>
      <c r="AI51" s="1315">
        <v>13079</v>
      </c>
      <c r="AJ51" s="1315">
        <v>-18239</v>
      </c>
      <c r="AK51" s="1315">
        <v>-2352</v>
      </c>
      <c r="AL51" s="1315">
        <v>-7285</v>
      </c>
      <c r="AM51" s="1315">
        <v>-8603</v>
      </c>
      <c r="AN51" s="1315">
        <v>-2292</v>
      </c>
      <c r="AO51" s="1315">
        <v>-5319</v>
      </c>
      <c r="AP51" s="1315">
        <v>17213</v>
      </c>
      <c r="AQ51" s="1315">
        <v>1711</v>
      </c>
      <c r="AR51" s="1315">
        <v>-734</v>
      </c>
      <c r="AS51" s="1315">
        <v>1174</v>
      </c>
      <c r="AT51" s="1315">
        <v>-115</v>
      </c>
      <c r="AU51" s="1315">
        <v>38817</v>
      </c>
      <c r="AV51" s="1315">
        <v>51096</v>
      </c>
      <c r="AW51" s="1315">
        <v>-86741</v>
      </c>
      <c r="AX51" s="1315">
        <v>24789</v>
      </c>
      <c r="AY51" s="1315">
        <v>-92352</v>
      </c>
      <c r="AZ51" s="1315">
        <v>467886</v>
      </c>
      <c r="BA51" s="1315">
        <v>565391</v>
      </c>
      <c r="BB51" s="1315">
        <v>534734</v>
      </c>
      <c r="BC51" s="1315">
        <v>368924</v>
      </c>
      <c r="BD51" s="1315">
        <v>356020</v>
      </c>
      <c r="BE51" s="1315">
        <v>422868</v>
      </c>
      <c r="BF51" s="1315">
        <v>257058</v>
      </c>
      <c r="BG51" s="1315">
        <v>209371</v>
      </c>
      <c r="BH51" s="1315">
        <v>570655</v>
      </c>
      <c r="BI51" s="1315">
        <v>650598</v>
      </c>
      <c r="BJ51" s="1315">
        <v>850022</v>
      </c>
      <c r="BK51" s="1315">
        <v>399343</v>
      </c>
      <c r="BL51" s="1315">
        <v>524940</v>
      </c>
      <c r="BM51" s="1315">
        <v>804307</v>
      </c>
      <c r="BN51" s="1315">
        <v>353628</v>
      </c>
      <c r="BO51" s="1315">
        <v>45715</v>
      </c>
      <c r="BP51" s="1315">
        <v>125658</v>
      </c>
      <c r="BQ51" s="1315">
        <v>8283</v>
      </c>
      <c r="BR51" s="1315">
        <v>91028</v>
      </c>
    </row>
    <row r="52" spans="1:70" ht="12" customHeight="1">
      <c r="A52" s="1336" t="s">
        <v>97</v>
      </c>
      <c r="B52" s="1315">
        <v>815617</v>
      </c>
      <c r="C52" s="1315">
        <v>629728</v>
      </c>
      <c r="D52" s="1315">
        <v>154155</v>
      </c>
      <c r="E52" s="1315">
        <v>31734</v>
      </c>
      <c r="F52" s="1315">
        <v>740721</v>
      </c>
      <c r="G52" s="1315">
        <v>551874</v>
      </c>
      <c r="H52" s="1315">
        <v>188847</v>
      </c>
      <c r="I52" s="1315">
        <v>-7373</v>
      </c>
      <c r="J52" s="1315">
        <v>82269</v>
      </c>
      <c r="K52" s="1315">
        <v>62664</v>
      </c>
      <c r="L52" s="1315">
        <v>0</v>
      </c>
      <c r="M52" s="1315">
        <v>62664</v>
      </c>
      <c r="N52" s="1315">
        <v>146585</v>
      </c>
      <c r="O52" s="1315">
        <v>1</v>
      </c>
      <c r="P52" s="1315">
        <v>0</v>
      </c>
      <c r="Q52" s="1315">
        <v>11761</v>
      </c>
      <c r="R52" s="1315">
        <v>16276</v>
      </c>
      <c r="S52" s="1315">
        <v>-684</v>
      </c>
      <c r="T52" s="1315">
        <v>783</v>
      </c>
      <c r="U52" s="1315">
        <v>-1975</v>
      </c>
      <c r="V52" s="1315">
        <v>27042</v>
      </c>
      <c r="W52" s="1315">
        <v>5696</v>
      </c>
      <c r="X52" s="1315">
        <v>21346</v>
      </c>
      <c r="Y52" s="1315">
        <v>6250</v>
      </c>
      <c r="Z52" s="1315">
        <v>200</v>
      </c>
      <c r="AA52" s="1315">
        <v>5762</v>
      </c>
      <c r="AB52" s="1315">
        <v>50061</v>
      </c>
      <c r="AC52" s="1315">
        <v>-16736</v>
      </c>
      <c r="AD52" s="1315">
        <v>0</v>
      </c>
      <c r="AE52" s="1315">
        <v>48496</v>
      </c>
      <c r="AF52" s="1315">
        <v>83920</v>
      </c>
      <c r="AG52" s="1315">
        <v>2159</v>
      </c>
      <c r="AH52" s="1315">
        <v>11068</v>
      </c>
      <c r="AI52" s="1315">
        <v>12324</v>
      </c>
      <c r="AJ52" s="1315">
        <v>-15653</v>
      </c>
      <c r="AK52" s="1315">
        <v>-6327</v>
      </c>
      <c r="AL52" s="1315">
        <v>-7039</v>
      </c>
      <c r="AM52" s="1315">
        <v>-2286</v>
      </c>
      <c r="AN52" s="1315">
        <v>-3752</v>
      </c>
      <c r="AO52" s="1315">
        <v>-3212</v>
      </c>
      <c r="AP52" s="1315">
        <v>7404</v>
      </c>
      <c r="AQ52" s="1315">
        <v>1599</v>
      </c>
      <c r="AR52" s="1315">
        <v>1014</v>
      </c>
      <c r="AS52" s="1315">
        <v>1304</v>
      </c>
      <c r="AT52" s="1315">
        <v>131</v>
      </c>
      <c r="AU52" s="1315">
        <v>32765</v>
      </c>
      <c r="AV52" s="1315">
        <v>19604</v>
      </c>
      <c r="AW52" s="1315">
        <v>-77854</v>
      </c>
      <c r="AX52" s="1315">
        <v>34692</v>
      </c>
      <c r="AY52" s="1315">
        <v>-74896</v>
      </c>
      <c r="AZ52" s="1315">
        <v>505346</v>
      </c>
      <c r="BA52" s="1315">
        <v>626915</v>
      </c>
      <c r="BB52" s="1315">
        <v>539601</v>
      </c>
      <c r="BC52" s="1315">
        <v>394911</v>
      </c>
      <c r="BD52" s="1315">
        <v>387141</v>
      </c>
      <c r="BE52" s="1315">
        <v>421396</v>
      </c>
      <c r="BF52" s="1315">
        <v>276706</v>
      </c>
      <c r="BG52" s="1315">
        <v>239774</v>
      </c>
      <c r="BH52" s="1315">
        <v>629804</v>
      </c>
      <c r="BI52" s="1315">
        <v>738224</v>
      </c>
      <c r="BJ52" s="1315">
        <v>744911</v>
      </c>
      <c r="BK52" s="1315">
        <v>443670</v>
      </c>
      <c r="BL52" s="1315">
        <v>589029</v>
      </c>
      <c r="BM52" s="1315">
        <v>704136</v>
      </c>
      <c r="BN52" s="1315">
        <v>402895</v>
      </c>
      <c r="BO52" s="1315">
        <v>40775</v>
      </c>
      <c r="BP52" s="1315">
        <v>149195</v>
      </c>
      <c r="BQ52" s="1315">
        <v>7862</v>
      </c>
      <c r="BR52" s="1315">
        <v>90469</v>
      </c>
    </row>
    <row r="53" spans="1:70" ht="12" customHeight="1">
      <c r="A53" s="1336" t="s">
        <v>96</v>
      </c>
      <c r="B53" s="1315">
        <v>755411</v>
      </c>
      <c r="C53" s="1315">
        <v>623544</v>
      </c>
      <c r="D53" s="1315">
        <v>136777</v>
      </c>
      <c r="E53" s="1315">
        <v>-4910</v>
      </c>
      <c r="F53" s="1315">
        <v>763294</v>
      </c>
      <c r="G53" s="1315">
        <v>594931</v>
      </c>
      <c r="H53" s="1315">
        <v>168363</v>
      </c>
      <c r="I53" s="1315">
        <v>-5299</v>
      </c>
      <c r="J53" s="1315">
        <v>-2584</v>
      </c>
      <c r="K53" s="1315">
        <v>2572</v>
      </c>
      <c r="L53" s="1315">
        <v>0</v>
      </c>
      <c r="M53" s="1315">
        <v>2572</v>
      </c>
      <c r="N53" s="1315">
        <v>63583</v>
      </c>
      <c r="O53" s="1315">
        <v>1</v>
      </c>
      <c r="P53" s="1315">
        <v>0</v>
      </c>
      <c r="Q53" s="1315">
        <v>1032</v>
      </c>
      <c r="R53" s="1315">
        <v>11412</v>
      </c>
      <c r="S53" s="1315">
        <v>-234</v>
      </c>
      <c r="T53" s="1315">
        <v>782</v>
      </c>
      <c r="U53" s="1315">
        <v>606</v>
      </c>
      <c r="V53" s="1315">
        <v>33670</v>
      </c>
      <c r="W53" s="1315">
        <v>13938</v>
      </c>
      <c r="X53" s="1315">
        <v>19732</v>
      </c>
      <c r="Y53" s="1315">
        <v>10226</v>
      </c>
      <c r="Z53" s="1315">
        <v>200</v>
      </c>
      <c r="AA53" s="1315">
        <v>18188</v>
      </c>
      <c r="AB53" s="1315">
        <v>-47343</v>
      </c>
      <c r="AC53" s="1315">
        <v>4203</v>
      </c>
      <c r="AD53" s="1315">
        <v>5431</v>
      </c>
      <c r="AE53" s="1315">
        <v>23171</v>
      </c>
      <c r="AF53" s="1315">
        <v>61011</v>
      </c>
      <c r="AG53" s="1315">
        <v>-5765</v>
      </c>
      <c r="AH53" s="1315">
        <v>13375</v>
      </c>
      <c r="AI53" s="1315">
        <v>6755</v>
      </c>
      <c r="AJ53" s="1315">
        <v>1354</v>
      </c>
      <c r="AK53" s="1315">
        <v>-3673</v>
      </c>
      <c r="AL53" s="1315">
        <v>2937</v>
      </c>
      <c r="AM53" s="1315">
        <v>2090</v>
      </c>
      <c r="AN53" s="1315">
        <v>-5401</v>
      </c>
      <c r="AO53" s="1315">
        <v>-4350</v>
      </c>
      <c r="AP53" s="1315">
        <v>30656</v>
      </c>
      <c r="AQ53" s="1315">
        <v>1905</v>
      </c>
      <c r="AR53" s="1315">
        <v>8197</v>
      </c>
      <c r="AS53" s="1315">
        <v>1504</v>
      </c>
      <c r="AT53" s="1315">
        <v>974</v>
      </c>
      <c r="AU53" s="1315">
        <v>39119</v>
      </c>
      <c r="AV53" s="1315">
        <v>-5156</v>
      </c>
      <c r="AW53" s="1315">
        <v>-28614</v>
      </c>
      <c r="AX53" s="1315">
        <v>31587</v>
      </c>
      <c r="AY53" s="1315">
        <v>7883</v>
      </c>
      <c r="AZ53" s="1315">
        <v>533404</v>
      </c>
      <c r="BA53" s="1315">
        <v>668449</v>
      </c>
      <c r="BB53" s="1315">
        <v>669137</v>
      </c>
      <c r="BC53" s="1315">
        <v>419108</v>
      </c>
      <c r="BD53" s="1315">
        <v>419526</v>
      </c>
      <c r="BE53" s="1315">
        <v>555259</v>
      </c>
      <c r="BF53" s="1315">
        <v>305230</v>
      </c>
      <c r="BG53" s="1315">
        <v>248923</v>
      </c>
      <c r="BH53" s="1315">
        <v>657717</v>
      </c>
      <c r="BI53" s="1315">
        <v>778409</v>
      </c>
      <c r="BJ53" s="1315">
        <v>841890</v>
      </c>
      <c r="BK53" s="1315">
        <v>482197</v>
      </c>
      <c r="BL53" s="1315">
        <v>619283</v>
      </c>
      <c r="BM53" s="1315">
        <v>803456</v>
      </c>
      <c r="BN53" s="1315">
        <v>443763</v>
      </c>
      <c r="BO53" s="1315">
        <v>38434</v>
      </c>
      <c r="BP53" s="1315">
        <v>159126</v>
      </c>
      <c r="BQ53" s="1315">
        <v>10291</v>
      </c>
      <c r="BR53" s="1315">
        <v>90709</v>
      </c>
    </row>
    <row r="54" spans="1:70" ht="12" customHeight="1">
      <c r="A54" s="1336" t="s">
        <v>95</v>
      </c>
      <c r="B54" s="1315">
        <v>830677</v>
      </c>
      <c r="C54" s="1315">
        <v>667791</v>
      </c>
      <c r="D54" s="1315">
        <v>120975</v>
      </c>
      <c r="E54" s="1315">
        <v>41911</v>
      </c>
      <c r="F54" s="1315">
        <v>785104</v>
      </c>
      <c r="G54" s="1315">
        <v>633052</v>
      </c>
      <c r="H54" s="1315">
        <v>152052</v>
      </c>
      <c r="I54" s="1315">
        <v>1307</v>
      </c>
      <c r="J54" s="1315">
        <v>44266</v>
      </c>
      <c r="K54" s="1315">
        <v>96422</v>
      </c>
      <c r="L54" s="1315">
        <v>-30</v>
      </c>
      <c r="M54" s="1315">
        <v>96452</v>
      </c>
      <c r="N54" s="1315">
        <v>180089</v>
      </c>
      <c r="O54" s="1315">
        <v>1</v>
      </c>
      <c r="P54" s="1315">
        <v>0</v>
      </c>
      <c r="Q54" s="1315">
        <v>-2196</v>
      </c>
      <c r="R54" s="1315">
        <v>12593</v>
      </c>
      <c r="S54" s="1315">
        <v>8429</v>
      </c>
      <c r="T54" s="1315">
        <v>783</v>
      </c>
      <c r="U54" s="1315">
        <v>1588</v>
      </c>
      <c r="V54" s="1315">
        <v>55585</v>
      </c>
      <c r="W54" s="1315">
        <v>16910</v>
      </c>
      <c r="X54" s="1315">
        <v>38675</v>
      </c>
      <c r="Y54" s="1315">
        <v>18275</v>
      </c>
      <c r="Z54" s="1315">
        <v>200</v>
      </c>
      <c r="AA54" s="1315">
        <v>16628</v>
      </c>
      <c r="AB54" s="1315">
        <v>4874</v>
      </c>
      <c r="AC54" s="1315">
        <v>-17307</v>
      </c>
      <c r="AD54" s="1315">
        <v>10915</v>
      </c>
      <c r="AE54" s="1315">
        <v>19823</v>
      </c>
      <c r="AF54" s="1315">
        <v>83637</v>
      </c>
      <c r="AG54" s="1315">
        <v>-3901</v>
      </c>
      <c r="AH54" s="1315">
        <v>17275</v>
      </c>
      <c r="AI54" s="1315">
        <v>5584</v>
      </c>
      <c r="AJ54" s="1315">
        <v>-4520</v>
      </c>
      <c r="AK54" s="1315">
        <v>-4503</v>
      </c>
      <c r="AL54" s="1315">
        <v>270</v>
      </c>
      <c r="AM54" s="1315">
        <v>-287</v>
      </c>
      <c r="AN54" s="1315">
        <v>173</v>
      </c>
      <c r="AO54" s="1315">
        <v>-732</v>
      </c>
      <c r="AP54" s="1315">
        <v>32396</v>
      </c>
      <c r="AQ54" s="1315">
        <v>1184</v>
      </c>
      <c r="AR54" s="1315">
        <v>-4333</v>
      </c>
      <c r="AS54" s="1315">
        <v>1427</v>
      </c>
      <c r="AT54" s="1315">
        <v>67</v>
      </c>
      <c r="AU54" s="1315">
        <v>44453</v>
      </c>
      <c r="AV54" s="1315">
        <v>-52156</v>
      </c>
      <c r="AW54" s="1315">
        <v>-34739</v>
      </c>
      <c r="AX54" s="1315">
        <v>31077</v>
      </c>
      <c r="AY54" s="1315">
        <v>-45573</v>
      </c>
      <c r="AZ54" s="1315">
        <v>540270</v>
      </c>
      <c r="BA54" s="1315">
        <v>685004</v>
      </c>
      <c r="BB54" s="1315">
        <v>696178</v>
      </c>
      <c r="BC54" s="1315">
        <v>423131</v>
      </c>
      <c r="BD54" s="1315">
        <v>425089</v>
      </c>
      <c r="BE54" s="1315">
        <v>580997</v>
      </c>
      <c r="BF54" s="1315">
        <v>307950</v>
      </c>
      <c r="BG54" s="1315">
        <v>259915</v>
      </c>
      <c r="BH54" s="1315">
        <v>674386</v>
      </c>
      <c r="BI54" s="1315">
        <v>808564</v>
      </c>
      <c r="BJ54" s="1315">
        <v>809186</v>
      </c>
      <c r="BK54" s="1315">
        <v>512619</v>
      </c>
      <c r="BL54" s="1315">
        <v>627412</v>
      </c>
      <c r="BM54" s="1315">
        <v>762212</v>
      </c>
      <c r="BN54" s="1315">
        <v>465645</v>
      </c>
      <c r="BO54" s="1315">
        <v>46974</v>
      </c>
      <c r="BP54" s="1315">
        <v>181152</v>
      </c>
      <c r="BQ54" s="1315">
        <v>4464</v>
      </c>
      <c r="BR54" s="1315">
        <v>77796</v>
      </c>
    </row>
    <row r="55" spans="1:70" ht="12" customHeight="1">
      <c r="A55" s="1336" t="s">
        <v>94</v>
      </c>
      <c r="B55" s="1315">
        <v>888930</v>
      </c>
      <c r="C55" s="1315">
        <v>719973</v>
      </c>
      <c r="D55" s="1315">
        <v>123602</v>
      </c>
      <c r="E55" s="1315">
        <v>45355</v>
      </c>
      <c r="F55" s="1315">
        <v>810398</v>
      </c>
      <c r="G55" s="1315">
        <v>654799</v>
      </c>
      <c r="H55" s="1315">
        <v>155600</v>
      </c>
      <c r="I55" s="1315">
        <v>-828</v>
      </c>
      <c r="J55" s="1315">
        <v>79359</v>
      </c>
      <c r="K55" s="1315">
        <v>96157</v>
      </c>
      <c r="L55" s="1315">
        <v>-47</v>
      </c>
      <c r="M55" s="1315">
        <v>96204</v>
      </c>
      <c r="N55" s="1315">
        <v>293334</v>
      </c>
      <c r="O55" s="1315">
        <v>3</v>
      </c>
      <c r="P55" s="1315">
        <v>0</v>
      </c>
      <c r="Q55" s="1315">
        <v>18077</v>
      </c>
      <c r="R55" s="1315">
        <v>16360</v>
      </c>
      <c r="S55" s="1315">
        <v>23177</v>
      </c>
      <c r="T55" s="1315">
        <v>782</v>
      </c>
      <c r="U55" s="1315">
        <v>5915</v>
      </c>
      <c r="V55" s="1315">
        <v>73333</v>
      </c>
      <c r="W55" s="1315">
        <v>49095</v>
      </c>
      <c r="X55" s="1315">
        <v>24238</v>
      </c>
      <c r="Y55" s="1315">
        <v>35409</v>
      </c>
      <c r="Z55" s="1315">
        <v>200</v>
      </c>
      <c r="AA55" s="1315">
        <v>30204</v>
      </c>
      <c r="AB55" s="1315">
        <v>-15772</v>
      </c>
      <c r="AC55" s="1315">
        <v>10836</v>
      </c>
      <c r="AD55" s="1315">
        <v>9308</v>
      </c>
      <c r="AE55" s="1315">
        <v>51363</v>
      </c>
      <c r="AF55" s="1315">
        <v>197130</v>
      </c>
      <c r="AG55" s="1315">
        <v>1378</v>
      </c>
      <c r="AH55" s="1315">
        <v>60324</v>
      </c>
      <c r="AI55" s="1315">
        <v>-9605</v>
      </c>
      <c r="AJ55" s="1315">
        <v>-8764</v>
      </c>
      <c r="AK55" s="1315">
        <v>-3077</v>
      </c>
      <c r="AL55" s="1315">
        <v>-1421</v>
      </c>
      <c r="AM55" s="1315">
        <v>-4265</v>
      </c>
      <c r="AN55" s="1315">
        <v>-1102</v>
      </c>
      <c r="AO55" s="1315">
        <v>-3082</v>
      </c>
      <c r="AP55" s="1315">
        <v>63376</v>
      </c>
      <c r="AQ55" s="1315">
        <v>2824</v>
      </c>
      <c r="AR55" s="1315">
        <v>3751</v>
      </c>
      <c r="AS55" s="1315">
        <v>1143</v>
      </c>
      <c r="AT55" s="1315">
        <v>310</v>
      </c>
      <c r="AU55" s="1315">
        <v>83951</v>
      </c>
      <c r="AV55" s="1315">
        <v>-16798</v>
      </c>
      <c r="AW55" s="1315">
        <v>-65174</v>
      </c>
      <c r="AX55" s="1315">
        <v>31998</v>
      </c>
      <c r="AY55" s="1315">
        <v>-78531</v>
      </c>
      <c r="AZ55" s="1315">
        <v>593313</v>
      </c>
      <c r="BA55" s="1315">
        <v>736626</v>
      </c>
      <c r="BB55" s="1315">
        <v>768398</v>
      </c>
      <c r="BC55" s="1315">
        <v>467413</v>
      </c>
      <c r="BD55" s="1315">
        <v>449383</v>
      </c>
      <c r="BE55" s="1315">
        <v>624467</v>
      </c>
      <c r="BF55" s="1315">
        <v>323482</v>
      </c>
      <c r="BG55" s="1315">
        <v>287243</v>
      </c>
      <c r="BH55" s="1315">
        <v>723526</v>
      </c>
      <c r="BI55" s="1315">
        <v>866839</v>
      </c>
      <c r="BJ55" s="1315">
        <v>1061299</v>
      </c>
      <c r="BK55" s="1315">
        <v>564284</v>
      </c>
      <c r="BL55" s="1315">
        <v>664527</v>
      </c>
      <c r="BM55" s="1315">
        <v>1002299</v>
      </c>
      <c r="BN55" s="1315">
        <v>505284</v>
      </c>
      <c r="BO55" s="1315">
        <v>59000</v>
      </c>
      <c r="BP55" s="1315">
        <v>202312</v>
      </c>
      <c r="BQ55" s="1315">
        <v>6762</v>
      </c>
      <c r="BR55" s="1315">
        <v>64484</v>
      </c>
    </row>
    <row r="56" spans="1:70" ht="12" customHeight="1">
      <c r="A56" s="1336" t="s">
        <v>93</v>
      </c>
      <c r="B56" s="1315">
        <v>1020181</v>
      </c>
      <c r="C56" s="1315">
        <v>813424</v>
      </c>
      <c r="D56" s="1315">
        <v>160678</v>
      </c>
      <c r="E56" s="1315">
        <v>46078</v>
      </c>
      <c r="F56" s="1315">
        <v>905481</v>
      </c>
      <c r="G56" s="1315">
        <v>720938</v>
      </c>
      <c r="H56" s="1315">
        <v>184543</v>
      </c>
      <c r="I56" s="1315">
        <v>-1244</v>
      </c>
      <c r="J56" s="1315">
        <v>115944</v>
      </c>
      <c r="K56" s="1315">
        <v>106359</v>
      </c>
      <c r="L56" s="1315">
        <v>-26</v>
      </c>
      <c r="M56" s="1315">
        <v>106385</v>
      </c>
      <c r="N56" s="1315">
        <v>277335</v>
      </c>
      <c r="O56" s="1315">
        <v>2</v>
      </c>
      <c r="P56" s="1315">
        <v>0</v>
      </c>
      <c r="Q56" s="1315">
        <v>71317</v>
      </c>
      <c r="R56" s="1315">
        <v>22402</v>
      </c>
      <c r="S56" s="1315">
        <v>11734</v>
      </c>
      <c r="T56" s="1315">
        <v>783</v>
      </c>
      <c r="U56" s="1315">
        <v>6033</v>
      </c>
      <c r="V56" s="1315">
        <v>65024</v>
      </c>
      <c r="W56" s="1315">
        <v>-13801</v>
      </c>
      <c r="X56" s="1315">
        <v>78825</v>
      </c>
      <c r="Y56" s="1315">
        <v>21654</v>
      </c>
      <c r="Z56" s="1315">
        <v>200</v>
      </c>
      <c r="AA56" s="1315">
        <v>37834</v>
      </c>
      <c r="AB56" s="1315">
        <v>1584</v>
      </c>
      <c r="AC56" s="1315">
        <v>-13206</v>
      </c>
      <c r="AD56" s="1315">
        <v>13310</v>
      </c>
      <c r="AE56" s="1315">
        <v>46121</v>
      </c>
      <c r="AF56" s="1315">
        <v>170950</v>
      </c>
      <c r="AG56" s="1315">
        <v>-5346</v>
      </c>
      <c r="AH56" s="1315">
        <v>-16836</v>
      </c>
      <c r="AI56" s="1315">
        <v>-26133</v>
      </c>
      <c r="AJ56" s="1315">
        <v>-4179</v>
      </c>
      <c r="AK56" s="1315">
        <v>-867</v>
      </c>
      <c r="AL56" s="1315">
        <v>-2569</v>
      </c>
      <c r="AM56" s="1315">
        <v>-743</v>
      </c>
      <c r="AN56" s="1315">
        <v>-1136</v>
      </c>
      <c r="AO56" s="1315">
        <v>-290</v>
      </c>
      <c r="AP56" s="1315">
        <v>48101</v>
      </c>
      <c r="AQ56" s="1315">
        <v>2603</v>
      </c>
      <c r="AR56" s="1315">
        <v>9372</v>
      </c>
      <c r="AS56" s="1315">
        <v>1431</v>
      </c>
      <c r="AT56" s="1315">
        <v>95</v>
      </c>
      <c r="AU56" s="1315">
        <v>80167</v>
      </c>
      <c r="AV56" s="1315">
        <v>9585</v>
      </c>
      <c r="AW56" s="1315">
        <v>-92487</v>
      </c>
      <c r="AX56" s="1315">
        <v>23865</v>
      </c>
      <c r="AY56" s="1315">
        <v>-114700</v>
      </c>
      <c r="AZ56" s="1315">
        <v>617982</v>
      </c>
      <c r="BA56" s="1315">
        <v>737483</v>
      </c>
      <c r="BB56" s="1315">
        <v>757853</v>
      </c>
      <c r="BC56" s="1315">
        <v>480667</v>
      </c>
      <c r="BD56" s="1315">
        <v>483997</v>
      </c>
      <c r="BE56" s="1315">
        <v>623868</v>
      </c>
      <c r="BF56" s="1315">
        <v>346682</v>
      </c>
      <c r="BG56" s="1315">
        <v>253486</v>
      </c>
      <c r="BH56" s="1315">
        <v>786565</v>
      </c>
      <c r="BI56" s="1315">
        <v>906067</v>
      </c>
      <c r="BJ56" s="1315">
        <v>1114582</v>
      </c>
      <c r="BK56" s="1315">
        <v>612893</v>
      </c>
      <c r="BL56" s="1315">
        <v>726031</v>
      </c>
      <c r="BM56" s="1315">
        <v>1054048</v>
      </c>
      <c r="BN56" s="1315">
        <v>552359</v>
      </c>
      <c r="BO56" s="1315">
        <v>60534</v>
      </c>
      <c r="BP56" s="1315">
        <v>180036</v>
      </c>
      <c r="BQ56" s="1315">
        <v>14608</v>
      </c>
      <c r="BR56" s="1315">
        <v>73022</v>
      </c>
    </row>
    <row r="57" spans="1:70" ht="12" customHeight="1">
      <c r="A57" s="1336" t="s">
        <v>92</v>
      </c>
      <c r="B57" s="1315">
        <v>1147697</v>
      </c>
      <c r="C57" s="1315">
        <v>902572</v>
      </c>
      <c r="D57" s="1315">
        <v>201076</v>
      </c>
      <c r="E57" s="1315">
        <v>44050</v>
      </c>
      <c r="F57" s="1315">
        <v>1042644</v>
      </c>
      <c r="G57" s="1315">
        <v>812811</v>
      </c>
      <c r="H57" s="1315">
        <v>229833</v>
      </c>
      <c r="I57" s="1315">
        <v>-641</v>
      </c>
      <c r="J57" s="1315">
        <v>105694</v>
      </c>
      <c r="K57" s="1315">
        <v>67007</v>
      </c>
      <c r="L57" s="1315">
        <v>222</v>
      </c>
      <c r="M57" s="1315">
        <v>66785</v>
      </c>
      <c r="N57" s="1315">
        <v>358943</v>
      </c>
      <c r="O57" s="1315">
        <v>1</v>
      </c>
      <c r="P57" s="1315">
        <v>0</v>
      </c>
      <c r="Q57" s="1315">
        <v>-4253</v>
      </c>
      <c r="R57" s="1315">
        <v>9902</v>
      </c>
      <c r="S57" s="1315">
        <v>-2746</v>
      </c>
      <c r="T57" s="1315">
        <v>752</v>
      </c>
      <c r="U57" s="1315">
        <v>18591</v>
      </c>
      <c r="V57" s="1315">
        <v>160521</v>
      </c>
      <c r="W57" s="1315">
        <v>34417</v>
      </c>
      <c r="X57" s="1315">
        <v>126104</v>
      </c>
      <c r="Y57" s="1315">
        <v>17624</v>
      </c>
      <c r="Z57" s="1315">
        <v>952</v>
      </c>
      <c r="AA57" s="1315">
        <v>49150</v>
      </c>
      <c r="AB57" s="1315">
        <v>10</v>
      </c>
      <c r="AC57" s="1315">
        <v>5820</v>
      </c>
      <c r="AD57" s="1315">
        <v>9951</v>
      </c>
      <c r="AE57" s="1315">
        <v>57776</v>
      </c>
      <c r="AF57" s="1315">
        <v>292158</v>
      </c>
      <c r="AG57" s="1315">
        <v>9609</v>
      </c>
      <c r="AH57" s="1315">
        <v>76349</v>
      </c>
      <c r="AI57" s="1315">
        <v>13491</v>
      </c>
      <c r="AJ57" s="1315">
        <v>6479</v>
      </c>
      <c r="AK57" s="1315">
        <v>-228</v>
      </c>
      <c r="AL57" s="1315">
        <v>1090</v>
      </c>
      <c r="AM57" s="1315">
        <v>5617</v>
      </c>
      <c r="AN57" s="1315">
        <v>-784</v>
      </c>
      <c r="AO57" s="1315">
        <v>278</v>
      </c>
      <c r="AP57" s="1315">
        <v>65409</v>
      </c>
      <c r="AQ57" s="1315">
        <v>1120</v>
      </c>
      <c r="AR57" s="1315">
        <v>5617</v>
      </c>
      <c r="AS57" s="1315">
        <v>1518</v>
      </c>
      <c r="AT57" s="1315">
        <v>250</v>
      </c>
      <c r="AU57" s="1315">
        <v>98750</v>
      </c>
      <c r="AV57" s="1315">
        <v>38686</v>
      </c>
      <c r="AW57" s="1315">
        <v>-89760</v>
      </c>
      <c r="AX57" s="1315">
        <v>28758</v>
      </c>
      <c r="AY57" s="1315">
        <v>-105053</v>
      </c>
      <c r="AZ57" s="1315">
        <v>680066</v>
      </c>
      <c r="BA57" s="1315">
        <v>809882</v>
      </c>
      <c r="BB57" s="1315">
        <v>1005726</v>
      </c>
      <c r="BC57" s="1315">
        <v>535553</v>
      </c>
      <c r="BD57" s="1315">
        <v>544620</v>
      </c>
      <c r="BE57" s="1315">
        <v>870280</v>
      </c>
      <c r="BF57" s="1315">
        <v>400107</v>
      </c>
      <c r="BG57" s="1315">
        <v>265262</v>
      </c>
      <c r="BH57" s="1315">
        <v>885506</v>
      </c>
      <c r="BI57" s="1315">
        <v>1015323</v>
      </c>
      <c r="BJ57" s="1315">
        <v>1363792</v>
      </c>
      <c r="BK57" s="1315">
        <v>699015</v>
      </c>
      <c r="BL57" s="1315">
        <v>827357</v>
      </c>
      <c r="BM57" s="1315">
        <v>1305643</v>
      </c>
      <c r="BN57" s="1315">
        <v>640866</v>
      </c>
      <c r="BO57" s="1315">
        <v>58149</v>
      </c>
      <c r="BP57" s="1315">
        <v>187966</v>
      </c>
      <c r="BQ57" s="1315">
        <v>18457</v>
      </c>
      <c r="BR57" s="1315">
        <v>53388</v>
      </c>
    </row>
    <row r="58" spans="1:70" ht="12" customHeight="1">
      <c r="A58" s="1336" t="s">
        <v>91</v>
      </c>
      <c r="B58" s="1315">
        <v>1228101</v>
      </c>
      <c r="C58" s="1315">
        <v>963966</v>
      </c>
      <c r="D58" s="1315">
        <v>214622</v>
      </c>
      <c r="E58" s="1315">
        <v>49513</v>
      </c>
      <c r="F58" s="1315">
        <v>1113994</v>
      </c>
      <c r="G58" s="1315">
        <v>867590</v>
      </c>
      <c r="H58" s="1315">
        <v>246404</v>
      </c>
      <c r="I58" s="1315">
        <v>-201</v>
      </c>
      <c r="J58" s="1315">
        <v>114308</v>
      </c>
      <c r="K58" s="1315">
        <v>117348</v>
      </c>
      <c r="L58" s="1315">
        <v>-8</v>
      </c>
      <c r="M58" s="1315">
        <v>117356</v>
      </c>
      <c r="N58" s="1315">
        <v>469541</v>
      </c>
      <c r="O58" s="1315">
        <v>1</v>
      </c>
      <c r="P58" s="1315">
        <v>0</v>
      </c>
      <c r="Q58" s="1315">
        <v>-31995</v>
      </c>
      <c r="R58" s="1315">
        <v>16737</v>
      </c>
      <c r="S58" s="1315">
        <v>-178</v>
      </c>
      <c r="T58" s="1315">
        <v>751</v>
      </c>
      <c r="U58" s="1315">
        <v>14423</v>
      </c>
      <c r="V58" s="1315">
        <v>262693</v>
      </c>
      <c r="W58" s="1315">
        <v>39519</v>
      </c>
      <c r="X58" s="1315">
        <v>223174</v>
      </c>
      <c r="Y58" s="1315">
        <v>26773</v>
      </c>
      <c r="Z58" s="1315">
        <v>952</v>
      </c>
      <c r="AA58" s="1315">
        <v>70821</v>
      </c>
      <c r="AB58" s="1315">
        <v>3889</v>
      </c>
      <c r="AC58" s="1315">
        <v>-2173</v>
      </c>
      <c r="AD58" s="1315">
        <v>12479</v>
      </c>
      <c r="AE58" s="1315">
        <v>86503</v>
      </c>
      <c r="AF58" s="1315">
        <v>352185</v>
      </c>
      <c r="AG58" s="1315">
        <v>-6668</v>
      </c>
      <c r="AH58" s="1315">
        <v>89048</v>
      </c>
      <c r="AI58" s="1315">
        <v>11316</v>
      </c>
      <c r="AJ58" s="1315">
        <v>10092</v>
      </c>
      <c r="AK58" s="1315">
        <v>476</v>
      </c>
      <c r="AL58" s="1315">
        <v>3801</v>
      </c>
      <c r="AM58" s="1315">
        <v>5815</v>
      </c>
      <c r="AN58" s="1315">
        <v>-739</v>
      </c>
      <c r="AO58" s="1315">
        <v>1770</v>
      </c>
      <c r="AP58" s="1315">
        <v>82848</v>
      </c>
      <c r="AQ58" s="1315">
        <v>3263</v>
      </c>
      <c r="AR58" s="1315">
        <v>5874</v>
      </c>
      <c r="AS58" s="1315">
        <v>1834</v>
      </c>
      <c r="AT58" s="1315">
        <v>-106</v>
      </c>
      <c r="AU58" s="1315">
        <v>91883</v>
      </c>
      <c r="AV58" s="1315">
        <v>-3040</v>
      </c>
      <c r="AW58" s="1315">
        <v>-96376</v>
      </c>
      <c r="AX58" s="1315">
        <v>31782</v>
      </c>
      <c r="AY58" s="1315">
        <v>-114107</v>
      </c>
      <c r="AZ58" s="1315">
        <v>745619</v>
      </c>
      <c r="BA58" s="1315">
        <v>886577</v>
      </c>
      <c r="BB58" s="1315">
        <v>1229118</v>
      </c>
      <c r="BC58" s="1315">
        <v>598021</v>
      </c>
      <c r="BD58" s="1315">
        <v>595911</v>
      </c>
      <c r="BE58" s="1315">
        <v>1079410</v>
      </c>
      <c r="BF58" s="1315">
        <v>448313</v>
      </c>
      <c r="BG58" s="1315">
        <v>290666</v>
      </c>
      <c r="BH58" s="1315">
        <v>989810</v>
      </c>
      <c r="BI58" s="1315">
        <v>1130768</v>
      </c>
      <c r="BJ58" s="1315">
        <v>1608340</v>
      </c>
      <c r="BK58" s="1315">
        <v>795194</v>
      </c>
      <c r="BL58" s="1315">
        <v>921999</v>
      </c>
      <c r="BM58" s="1315">
        <v>1540530</v>
      </c>
      <c r="BN58" s="1315">
        <v>727384</v>
      </c>
      <c r="BO58" s="1315">
        <v>67810</v>
      </c>
      <c r="BP58" s="1315">
        <v>208769</v>
      </c>
      <c r="BQ58" s="1315">
        <v>22603</v>
      </c>
      <c r="BR58" s="1315">
        <v>59468</v>
      </c>
    </row>
    <row r="59" spans="1:70" ht="12" customHeight="1">
      <c r="A59" s="1336" t="s">
        <v>90</v>
      </c>
      <c r="B59" s="1315">
        <v>1363167</v>
      </c>
      <c r="C59" s="1315">
        <v>1055774</v>
      </c>
      <c r="D59" s="1315">
        <v>255969</v>
      </c>
      <c r="E59" s="1315">
        <v>51424</v>
      </c>
      <c r="F59" s="1315">
        <v>1233875</v>
      </c>
      <c r="G59" s="1315">
        <v>953804</v>
      </c>
      <c r="H59" s="1315">
        <v>280071</v>
      </c>
      <c r="I59" s="1315">
        <v>-403</v>
      </c>
      <c r="J59" s="1315">
        <v>129695</v>
      </c>
      <c r="K59" s="1315">
        <v>153866</v>
      </c>
      <c r="L59" s="1315">
        <v>-73</v>
      </c>
      <c r="M59" s="1315">
        <v>153939</v>
      </c>
      <c r="N59" s="1315">
        <v>506355</v>
      </c>
      <c r="O59" s="1315">
        <v>-1</v>
      </c>
      <c r="P59" s="1315">
        <v>0</v>
      </c>
      <c r="Q59" s="1315">
        <v>27616</v>
      </c>
      <c r="R59" s="1315">
        <v>27495</v>
      </c>
      <c r="S59" s="1315">
        <v>13145</v>
      </c>
      <c r="T59" s="1315">
        <v>752</v>
      </c>
      <c r="U59" s="1315">
        <v>19899</v>
      </c>
      <c r="V59" s="1315">
        <v>123746</v>
      </c>
      <c r="W59" s="1315">
        <v>-43634</v>
      </c>
      <c r="X59" s="1315">
        <v>167380</v>
      </c>
      <c r="Y59" s="1315">
        <v>30313</v>
      </c>
      <c r="Z59" s="1315">
        <v>952</v>
      </c>
      <c r="AA59" s="1315">
        <v>67432</v>
      </c>
      <c r="AB59" s="1315">
        <v>17261</v>
      </c>
      <c r="AC59" s="1315">
        <v>53704</v>
      </c>
      <c r="AD59" s="1315">
        <v>12577</v>
      </c>
      <c r="AE59" s="1315">
        <v>105602</v>
      </c>
      <c r="AF59" s="1315">
        <v>352417</v>
      </c>
      <c r="AG59" s="1315">
        <v>1010</v>
      </c>
      <c r="AH59" s="1315">
        <v>77732</v>
      </c>
      <c r="AI59" s="1315">
        <v>3724</v>
      </c>
      <c r="AJ59" s="1315">
        <v>16250</v>
      </c>
      <c r="AK59" s="1315">
        <v>-746</v>
      </c>
      <c r="AL59" s="1315">
        <v>6129</v>
      </c>
      <c r="AM59" s="1315">
        <v>10866</v>
      </c>
      <c r="AN59" s="1315">
        <v>-1610</v>
      </c>
      <c r="AO59" s="1315">
        <v>-198</v>
      </c>
      <c r="AP59" s="1315">
        <v>57577</v>
      </c>
      <c r="AQ59" s="1315">
        <v>2795</v>
      </c>
      <c r="AR59" s="1315">
        <v>789</v>
      </c>
      <c r="AS59" s="1315">
        <v>1589</v>
      </c>
      <c r="AT59" s="1315">
        <v>-47</v>
      </c>
      <c r="AU59" s="1315">
        <v>104808</v>
      </c>
      <c r="AV59" s="1315">
        <v>-24170</v>
      </c>
      <c r="AW59" s="1315">
        <v>-101970</v>
      </c>
      <c r="AX59" s="1315">
        <v>24102</v>
      </c>
      <c r="AY59" s="1315">
        <v>-129292</v>
      </c>
      <c r="AZ59" s="1315">
        <v>824136</v>
      </c>
      <c r="BA59" s="1315">
        <v>981522</v>
      </c>
      <c r="BB59" s="1315">
        <v>1637408</v>
      </c>
      <c r="BC59" s="1315">
        <v>681842</v>
      </c>
      <c r="BD59" s="1315">
        <v>644670</v>
      </c>
      <c r="BE59" s="1315">
        <v>1457942</v>
      </c>
      <c r="BF59" s="1315">
        <v>502376</v>
      </c>
      <c r="BG59" s="1315">
        <v>336852</v>
      </c>
      <c r="BH59" s="1315">
        <v>1068063</v>
      </c>
      <c r="BI59" s="1315">
        <v>1225448</v>
      </c>
      <c r="BJ59" s="1315">
        <v>1879285</v>
      </c>
      <c r="BK59" s="1315">
        <v>871315</v>
      </c>
      <c r="BL59" s="1315">
        <v>994261</v>
      </c>
      <c r="BM59" s="1315">
        <v>1805484</v>
      </c>
      <c r="BN59" s="1315">
        <v>797514</v>
      </c>
      <c r="BO59" s="1315">
        <v>73801</v>
      </c>
      <c r="BP59" s="1315">
        <v>231187</v>
      </c>
      <c r="BQ59" s="1315">
        <v>21850</v>
      </c>
      <c r="BR59" s="1315">
        <v>57615</v>
      </c>
    </row>
    <row r="60" spans="1:70" ht="12" customHeight="1">
      <c r="A60" s="1336" t="s">
        <v>89</v>
      </c>
      <c r="B60" s="1315">
        <v>1444268</v>
      </c>
      <c r="C60" s="1315">
        <v>1115690</v>
      </c>
      <c r="D60" s="1315">
        <v>268545</v>
      </c>
      <c r="E60" s="1315">
        <v>60033</v>
      </c>
      <c r="F60" s="1315">
        <v>1239759</v>
      </c>
      <c r="G60" s="1315">
        <v>952980</v>
      </c>
      <c r="H60" s="1315">
        <v>286779</v>
      </c>
      <c r="I60" s="1315">
        <v>-245</v>
      </c>
      <c r="J60" s="1315">
        <v>204754</v>
      </c>
      <c r="K60" s="1315">
        <v>125533</v>
      </c>
      <c r="L60" s="1315">
        <v>15</v>
      </c>
      <c r="M60" s="1315">
        <v>125518</v>
      </c>
      <c r="N60" s="1315">
        <v>422304</v>
      </c>
      <c r="O60" s="1315">
        <v>0</v>
      </c>
      <c r="P60" s="1315">
        <v>0</v>
      </c>
      <c r="Q60" s="1315">
        <v>27887</v>
      </c>
      <c r="R60" s="1315">
        <v>10486</v>
      </c>
      <c r="S60" s="1315">
        <v>3104</v>
      </c>
      <c r="T60" s="1315">
        <v>751</v>
      </c>
      <c r="U60" s="1315">
        <v>33641</v>
      </c>
      <c r="V60" s="1315">
        <v>18659</v>
      </c>
      <c r="W60" s="1315">
        <v>-9746</v>
      </c>
      <c r="X60" s="1315">
        <v>28405</v>
      </c>
      <c r="Y60" s="1315">
        <v>11052</v>
      </c>
      <c r="Z60" s="1315">
        <v>952</v>
      </c>
      <c r="AA60" s="1315">
        <v>105198</v>
      </c>
      <c r="AB60" s="1315">
        <v>-995</v>
      </c>
      <c r="AC60" s="1315">
        <v>29406</v>
      </c>
      <c r="AD60" s="1315">
        <v>11801</v>
      </c>
      <c r="AE60" s="1315">
        <v>179044</v>
      </c>
      <c r="AF60" s="1315">
        <v>296786</v>
      </c>
      <c r="AG60" s="1315">
        <v>6783</v>
      </c>
      <c r="AH60" s="1315">
        <v>36011</v>
      </c>
      <c r="AI60" s="1315">
        <v>7794</v>
      </c>
      <c r="AJ60" s="1315">
        <v>5395</v>
      </c>
      <c r="AK60" s="1315">
        <v>1442</v>
      </c>
      <c r="AL60" s="1315">
        <v>-1679</v>
      </c>
      <c r="AM60" s="1315">
        <v>5632</v>
      </c>
      <c r="AN60" s="1315">
        <v>-1013</v>
      </c>
      <c r="AO60" s="1315">
        <v>-5007</v>
      </c>
      <c r="AP60" s="1315">
        <v>101362</v>
      </c>
      <c r="AQ60" s="1315">
        <v>33</v>
      </c>
      <c r="AR60" s="1315">
        <v>848</v>
      </c>
      <c r="AS60" s="1315">
        <v>1580</v>
      </c>
      <c r="AT60" s="1315">
        <v>-145</v>
      </c>
      <c r="AU60" s="1315">
        <v>142647</v>
      </c>
      <c r="AV60" s="1315">
        <v>79220</v>
      </c>
      <c r="AW60" s="1315">
        <v>-162710</v>
      </c>
      <c r="AX60" s="1315">
        <v>18235</v>
      </c>
      <c r="AY60" s="1315">
        <v>-204509</v>
      </c>
      <c r="AZ60" s="1315">
        <v>920044</v>
      </c>
      <c r="BA60" s="1315">
        <v>1109540</v>
      </c>
      <c r="BB60" s="1315">
        <v>2179035</v>
      </c>
      <c r="BC60" s="1315">
        <v>778419</v>
      </c>
      <c r="BD60" s="1315">
        <v>711467</v>
      </c>
      <c r="BE60" s="1315">
        <v>1970457</v>
      </c>
      <c r="BF60" s="1315">
        <v>569841</v>
      </c>
      <c r="BG60" s="1315">
        <v>398073</v>
      </c>
      <c r="BH60" s="1315">
        <v>1196021</v>
      </c>
      <c r="BI60" s="1315">
        <v>1385516</v>
      </c>
      <c r="BJ60" s="1315">
        <v>2279601</v>
      </c>
      <c r="BK60" s="1315">
        <v>1000703</v>
      </c>
      <c r="BL60" s="1315">
        <v>1096227</v>
      </c>
      <c r="BM60" s="1315">
        <v>2179807</v>
      </c>
      <c r="BN60" s="1315">
        <v>900909</v>
      </c>
      <c r="BO60" s="1315">
        <v>99794</v>
      </c>
      <c r="BP60" s="1315">
        <v>289289</v>
      </c>
      <c r="BQ60" s="1315">
        <v>21263</v>
      </c>
      <c r="BR60" s="1315">
        <v>51145</v>
      </c>
    </row>
    <row r="61" spans="1:70" ht="12" customHeight="1">
      <c r="A61" s="1336" t="s">
        <v>88</v>
      </c>
      <c r="B61" s="1315">
        <v>1636630</v>
      </c>
      <c r="C61" s="1315">
        <v>1248611</v>
      </c>
      <c r="D61" s="1315">
        <v>294289</v>
      </c>
      <c r="E61" s="1315">
        <v>93730</v>
      </c>
      <c r="F61" s="1315">
        <v>1350032</v>
      </c>
      <c r="G61" s="1315">
        <v>991980</v>
      </c>
      <c r="H61" s="1315">
        <v>321421</v>
      </c>
      <c r="I61" s="1315">
        <v>-4479</v>
      </c>
      <c r="J61" s="1315">
        <v>291078</v>
      </c>
      <c r="K61" s="1315">
        <v>173415</v>
      </c>
      <c r="L61" s="1315">
        <v>12</v>
      </c>
      <c r="M61" s="1315">
        <v>173403</v>
      </c>
      <c r="N61" s="1315">
        <v>578824</v>
      </c>
      <c r="O61" s="1315">
        <v>0</v>
      </c>
      <c r="P61" s="1315">
        <v>0</v>
      </c>
      <c r="Q61" s="1315">
        <v>55348</v>
      </c>
      <c r="R61" s="1315">
        <v>24339</v>
      </c>
      <c r="S61" s="1315">
        <v>3161</v>
      </c>
      <c r="T61" s="1315">
        <v>752</v>
      </c>
      <c r="U61" s="1315">
        <v>-6357</v>
      </c>
      <c r="V61" s="1315">
        <v>-32321</v>
      </c>
      <c r="W61" s="1315">
        <v>2181</v>
      </c>
      <c r="X61" s="1315">
        <v>-34502</v>
      </c>
      <c r="Y61" s="1315">
        <v>63446</v>
      </c>
      <c r="Z61" s="1315">
        <v>952</v>
      </c>
      <c r="AA61" s="1315">
        <v>137369</v>
      </c>
      <c r="AB61" s="1315">
        <v>-22724</v>
      </c>
      <c r="AC61" s="1315">
        <v>103814</v>
      </c>
      <c r="AD61" s="1315">
        <v>7723</v>
      </c>
      <c r="AE61" s="1315">
        <v>289104</v>
      </c>
      <c r="AF61" s="1315">
        <v>405421</v>
      </c>
      <c r="AG61" s="1315">
        <v>-8747</v>
      </c>
      <c r="AH61" s="1315">
        <v>15366</v>
      </c>
      <c r="AI61" s="1315">
        <v>16293</v>
      </c>
      <c r="AJ61" s="1315">
        <v>-5609</v>
      </c>
      <c r="AK61" s="1315">
        <v>154</v>
      </c>
      <c r="AL61" s="1315">
        <v>-9262</v>
      </c>
      <c r="AM61" s="1315">
        <v>3498</v>
      </c>
      <c r="AN61" s="1315">
        <v>-4835</v>
      </c>
      <c r="AO61" s="1315">
        <v>-886</v>
      </c>
      <c r="AP61" s="1315">
        <v>114311</v>
      </c>
      <c r="AQ61" s="1315">
        <v>5227</v>
      </c>
      <c r="AR61" s="1315">
        <v>6230</v>
      </c>
      <c r="AS61" s="1315">
        <v>1451</v>
      </c>
      <c r="AT61" s="1315">
        <v>634</v>
      </c>
      <c r="AU61" s="1315">
        <v>224140</v>
      </c>
      <c r="AV61" s="1315">
        <v>117662</v>
      </c>
      <c r="AW61" s="1315">
        <v>-256631</v>
      </c>
      <c r="AX61" s="1315">
        <v>27132</v>
      </c>
      <c r="AY61" s="1315">
        <v>-286599</v>
      </c>
      <c r="AZ61" s="1315">
        <v>1121328</v>
      </c>
      <c r="BA61" s="1315">
        <v>1333093</v>
      </c>
      <c r="BB61" s="1315">
        <v>2798193</v>
      </c>
      <c r="BC61" s="1315">
        <v>955727</v>
      </c>
      <c r="BD61" s="1315">
        <v>848996</v>
      </c>
      <c r="BE61" s="1315">
        <v>2525861</v>
      </c>
      <c r="BF61" s="1315">
        <v>683395</v>
      </c>
      <c r="BG61" s="1315">
        <v>484097</v>
      </c>
      <c r="BH61" s="1315">
        <v>1425037</v>
      </c>
      <c r="BI61" s="1315">
        <v>1636802</v>
      </c>
      <c r="BJ61" s="1315">
        <v>2839639</v>
      </c>
      <c r="BK61" s="1315">
        <v>1215960</v>
      </c>
      <c r="BL61" s="1315">
        <v>1264195</v>
      </c>
      <c r="BM61" s="1315">
        <v>2678797</v>
      </c>
      <c r="BN61" s="1315">
        <v>1055118</v>
      </c>
      <c r="BO61" s="1315">
        <v>160842</v>
      </c>
      <c r="BP61" s="1315">
        <v>372607</v>
      </c>
      <c r="BQ61" s="1315">
        <v>25408</v>
      </c>
      <c r="BR61" s="1315">
        <v>41106</v>
      </c>
    </row>
    <row r="62" spans="1:70" ht="12" customHeight="1">
      <c r="A62" s="1336" t="s">
        <v>87</v>
      </c>
      <c r="B62" s="1315">
        <v>1924079</v>
      </c>
      <c r="C62" s="1315">
        <v>1472629</v>
      </c>
      <c r="D62" s="1315">
        <v>345683</v>
      </c>
      <c r="E62" s="1315">
        <v>105767</v>
      </c>
      <c r="F62" s="1315">
        <v>1520355</v>
      </c>
      <c r="G62" s="1315">
        <v>1096833</v>
      </c>
      <c r="H62" s="1315">
        <v>382690</v>
      </c>
      <c r="I62" s="1315">
        <v>-370</v>
      </c>
      <c r="J62" s="1315">
        <v>404094</v>
      </c>
      <c r="K62" s="1315">
        <v>322774</v>
      </c>
      <c r="L62" s="1315">
        <v>27</v>
      </c>
      <c r="M62" s="1315">
        <v>322747</v>
      </c>
      <c r="N62" s="1315">
        <v>744404</v>
      </c>
      <c r="O62" s="1315">
        <v>0</v>
      </c>
      <c r="P62" s="1315">
        <v>0</v>
      </c>
      <c r="Q62" s="1315">
        <v>45520</v>
      </c>
      <c r="R62" s="1315">
        <v>-1185</v>
      </c>
      <c r="S62" s="1315">
        <v>8942</v>
      </c>
      <c r="T62" s="1315">
        <v>3139</v>
      </c>
      <c r="U62" s="1315">
        <v>9255</v>
      </c>
      <c r="V62" s="1315">
        <v>-75181</v>
      </c>
      <c r="W62" s="1315">
        <v>-7829</v>
      </c>
      <c r="X62" s="1315">
        <v>-67352</v>
      </c>
      <c r="Y62" s="1315">
        <v>141903</v>
      </c>
      <c r="Z62" s="1315">
        <v>240</v>
      </c>
      <c r="AA62" s="1315">
        <v>168277</v>
      </c>
      <c r="AB62" s="1315">
        <v>-2203</v>
      </c>
      <c r="AC62" s="1315">
        <v>197795</v>
      </c>
      <c r="AD62" s="1315">
        <v>-7334</v>
      </c>
      <c r="AE62" s="1315">
        <v>320337</v>
      </c>
      <c r="AF62" s="1315">
        <v>421657</v>
      </c>
      <c r="AG62" s="1315">
        <v>290</v>
      </c>
      <c r="AH62" s="1315">
        <v>60525</v>
      </c>
      <c r="AI62" s="1315">
        <v>31748</v>
      </c>
      <c r="AJ62" s="1315">
        <v>8817</v>
      </c>
      <c r="AK62" s="1315">
        <v>194</v>
      </c>
      <c r="AL62" s="1315">
        <v>3402</v>
      </c>
      <c r="AM62" s="1315">
        <v>5220</v>
      </c>
      <c r="AN62" s="1315">
        <v>-583</v>
      </c>
      <c r="AO62" s="1315">
        <v>-708</v>
      </c>
      <c r="AP62" s="1315">
        <v>106714</v>
      </c>
      <c r="AQ62" s="1315">
        <v>680</v>
      </c>
      <c r="AR62" s="1315">
        <v>-31013</v>
      </c>
      <c r="AS62" s="1315">
        <v>1500</v>
      </c>
      <c r="AT62" s="1315">
        <v>24</v>
      </c>
      <c r="AU62" s="1315">
        <v>157582</v>
      </c>
      <c r="AV62" s="1315">
        <v>81320</v>
      </c>
      <c r="AW62" s="1315">
        <v>-375796</v>
      </c>
      <c r="AX62" s="1315">
        <v>37007</v>
      </c>
      <c r="AY62" s="1315">
        <v>-403724</v>
      </c>
      <c r="AZ62" s="1315">
        <v>1459092</v>
      </c>
      <c r="BA62" s="1315">
        <v>1699648</v>
      </c>
      <c r="BB62" s="1315">
        <v>2783235</v>
      </c>
      <c r="BC62" s="1315">
        <v>1256867</v>
      </c>
      <c r="BD62" s="1315">
        <v>1124864</v>
      </c>
      <c r="BE62" s="1315">
        <v>2449008</v>
      </c>
      <c r="BF62" s="1315">
        <v>922640</v>
      </c>
      <c r="BG62" s="1315">
        <v>574784</v>
      </c>
      <c r="BH62" s="1315">
        <v>1550873</v>
      </c>
      <c r="BI62" s="1315">
        <v>1791429</v>
      </c>
      <c r="BJ62" s="1315">
        <v>2694014</v>
      </c>
      <c r="BK62" s="1315">
        <v>1316247</v>
      </c>
      <c r="BL62" s="1315">
        <v>1402462</v>
      </c>
      <c r="BM62" s="1315">
        <v>2545603</v>
      </c>
      <c r="BN62" s="1315">
        <v>1167836</v>
      </c>
      <c r="BO62" s="1315">
        <v>148411</v>
      </c>
      <c r="BP62" s="1315">
        <v>388967</v>
      </c>
      <c r="BQ62" s="1315">
        <v>-7129</v>
      </c>
      <c r="BR62" s="1315">
        <v>35584</v>
      </c>
    </row>
    <row r="63" spans="1:70" ht="12" customHeight="1">
      <c r="A63" s="1336" t="s">
        <v>86</v>
      </c>
      <c r="B63" s="1315">
        <v>1785580</v>
      </c>
      <c r="C63" s="1315">
        <v>1395393</v>
      </c>
      <c r="D63" s="1315">
        <v>273505</v>
      </c>
      <c r="E63" s="1315">
        <v>116683</v>
      </c>
      <c r="F63" s="1315">
        <v>1396811</v>
      </c>
      <c r="G63" s="1315">
        <v>1026710</v>
      </c>
      <c r="H63" s="1315">
        <v>325308</v>
      </c>
      <c r="I63" s="1315">
        <v>12909</v>
      </c>
      <c r="J63" s="1315">
        <v>375860</v>
      </c>
      <c r="K63" s="1315">
        <v>369164</v>
      </c>
      <c r="L63" s="1315">
        <v>31</v>
      </c>
      <c r="M63" s="1315">
        <v>369133</v>
      </c>
      <c r="N63" s="1315">
        <v>607345</v>
      </c>
      <c r="O63" s="1315">
        <v>0</v>
      </c>
      <c r="P63" s="1315">
        <v>0</v>
      </c>
      <c r="Q63" s="1315">
        <v>1844</v>
      </c>
      <c r="R63" s="1315">
        <v>18787</v>
      </c>
      <c r="S63" s="1315">
        <v>-25458</v>
      </c>
      <c r="T63" s="1315">
        <v>3935</v>
      </c>
      <c r="U63" s="1315">
        <v>-5853</v>
      </c>
      <c r="V63" s="1315">
        <v>19322</v>
      </c>
      <c r="W63" s="1315">
        <v>11510</v>
      </c>
      <c r="X63" s="1315">
        <v>7812</v>
      </c>
      <c r="Y63" s="1315">
        <v>92013</v>
      </c>
      <c r="Z63" s="1315">
        <v>0</v>
      </c>
      <c r="AA63" s="1315">
        <v>218323</v>
      </c>
      <c r="AB63" s="1315">
        <v>-1632</v>
      </c>
      <c r="AC63" s="1315">
        <v>134031</v>
      </c>
      <c r="AD63" s="1315">
        <v>-16502</v>
      </c>
      <c r="AE63" s="1315">
        <v>168045</v>
      </c>
      <c r="AF63" s="1315">
        <v>238212</v>
      </c>
      <c r="AG63" s="1315">
        <v>4911</v>
      </c>
      <c r="AH63" s="1315">
        <v>-21105</v>
      </c>
      <c r="AI63" s="1315">
        <v>18343</v>
      </c>
      <c r="AJ63" s="1315">
        <v>-15155</v>
      </c>
      <c r="AK63" s="1315">
        <v>360</v>
      </c>
      <c r="AL63" s="1315">
        <v>-10566</v>
      </c>
      <c r="AM63" s="1315">
        <v>-4950</v>
      </c>
      <c r="AN63" s="1315">
        <v>-1147</v>
      </c>
      <c r="AO63" s="1315">
        <v>-2603</v>
      </c>
      <c r="AP63" s="1315">
        <v>109119</v>
      </c>
      <c r="AQ63" s="1315">
        <v>-5267</v>
      </c>
      <c r="AR63" s="1315">
        <v>-1684</v>
      </c>
      <c r="AS63" s="1315">
        <v>1705</v>
      </c>
      <c r="AT63" s="1315">
        <v>-72</v>
      </c>
      <c r="AU63" s="1315">
        <v>141590</v>
      </c>
      <c r="AV63" s="1315">
        <v>6695</v>
      </c>
      <c r="AW63" s="1315">
        <v>-368683</v>
      </c>
      <c r="AX63" s="1315">
        <v>51804</v>
      </c>
      <c r="AY63" s="1315">
        <v>-388769</v>
      </c>
      <c r="AZ63" s="1315">
        <v>1571593</v>
      </c>
      <c r="BA63" s="1315">
        <v>1811122</v>
      </c>
      <c r="BB63" s="1315">
        <v>2560294</v>
      </c>
      <c r="BC63" s="1315">
        <v>1343988</v>
      </c>
      <c r="BD63" s="1315">
        <v>1177396</v>
      </c>
      <c r="BE63" s="1315">
        <v>2166097</v>
      </c>
      <c r="BF63" s="1315">
        <v>949791</v>
      </c>
      <c r="BG63" s="1315">
        <v>633726</v>
      </c>
      <c r="BH63" s="1315">
        <v>1728009</v>
      </c>
      <c r="BI63" s="1315">
        <v>1967538</v>
      </c>
      <c r="BJ63" s="1315">
        <v>2314934</v>
      </c>
      <c r="BK63" s="1315">
        <v>1460352</v>
      </c>
      <c r="BL63" s="1315">
        <v>1571986</v>
      </c>
      <c r="BM63" s="1315">
        <v>2158911</v>
      </c>
      <c r="BN63" s="1315">
        <v>1304329</v>
      </c>
      <c r="BO63" s="1315">
        <v>156023</v>
      </c>
      <c r="BP63" s="1315">
        <v>395552</v>
      </c>
      <c r="BQ63" s="1315">
        <v>-10446</v>
      </c>
      <c r="BR63" s="1315">
        <v>28540</v>
      </c>
    </row>
    <row r="64" spans="1:70" ht="12" customHeight="1">
      <c r="A64" s="1336" t="s">
        <v>85</v>
      </c>
      <c r="B64" s="1315">
        <v>1825366</v>
      </c>
      <c r="C64" s="1315">
        <v>1428969</v>
      </c>
      <c r="D64" s="1315">
        <v>267206</v>
      </c>
      <c r="E64" s="1315">
        <v>129190</v>
      </c>
      <c r="F64" s="1315">
        <v>1374602</v>
      </c>
      <c r="G64" s="1315">
        <v>1002509</v>
      </c>
      <c r="H64" s="1315">
        <v>315805</v>
      </c>
      <c r="I64" s="1315">
        <v>-552</v>
      </c>
      <c r="J64" s="1315">
        <v>451316</v>
      </c>
      <c r="K64" s="1315">
        <v>408902</v>
      </c>
      <c r="L64" s="1315">
        <v>52</v>
      </c>
      <c r="M64" s="1315">
        <v>408850</v>
      </c>
      <c r="N64" s="1315">
        <v>681951</v>
      </c>
      <c r="O64" s="1315">
        <v>0</v>
      </c>
      <c r="P64" s="1315">
        <v>0</v>
      </c>
      <c r="Q64" s="1315">
        <v>3703</v>
      </c>
      <c r="R64" s="1315">
        <v>18280</v>
      </c>
      <c r="S64" s="1315">
        <v>15967</v>
      </c>
      <c r="T64" s="1315">
        <v>1123</v>
      </c>
      <c r="U64" s="1315">
        <v>18106</v>
      </c>
      <c r="V64" s="1315">
        <v>160869</v>
      </c>
      <c r="W64" s="1315">
        <v>50681</v>
      </c>
      <c r="X64" s="1315">
        <v>110188</v>
      </c>
      <c r="Y64" s="1315">
        <v>127071</v>
      </c>
      <c r="Z64" s="1315">
        <v>3500</v>
      </c>
      <c r="AA64" s="1315">
        <v>123221</v>
      </c>
      <c r="AB64" s="1315">
        <v>10127</v>
      </c>
      <c r="AC64" s="1315">
        <v>62293</v>
      </c>
      <c r="AD64" s="1315">
        <v>-9349</v>
      </c>
      <c r="AE64" s="1315">
        <v>85959</v>
      </c>
      <c r="AF64" s="1315">
        <v>273100</v>
      </c>
      <c r="AG64" s="1315">
        <v>3681</v>
      </c>
      <c r="AH64" s="1315">
        <v>53584</v>
      </c>
      <c r="AI64" s="1315">
        <v>58753</v>
      </c>
      <c r="AJ64" s="1315">
        <v>-6682</v>
      </c>
      <c r="AK64" s="1315">
        <v>354</v>
      </c>
      <c r="AL64" s="1315">
        <v>-8687</v>
      </c>
      <c r="AM64" s="1315">
        <v>1651</v>
      </c>
      <c r="AN64" s="1315">
        <v>-1936</v>
      </c>
      <c r="AO64" s="1315">
        <v>-376</v>
      </c>
      <c r="AP64" s="1315">
        <v>16954</v>
      </c>
      <c r="AQ64" s="1315">
        <v>-633</v>
      </c>
      <c r="AR64" s="1315">
        <v>985</v>
      </c>
      <c r="AS64" s="1315">
        <v>1486</v>
      </c>
      <c r="AT64" s="1315">
        <v>105</v>
      </c>
      <c r="AU64" s="1315">
        <v>153893</v>
      </c>
      <c r="AV64" s="1315">
        <v>42413</v>
      </c>
      <c r="AW64" s="1315">
        <v>-426461</v>
      </c>
      <c r="AX64" s="1315">
        <v>48599</v>
      </c>
      <c r="AY64" s="1315">
        <v>-450764</v>
      </c>
      <c r="AZ64" s="1315">
        <v>1577945</v>
      </c>
      <c r="BA64" s="1315">
        <v>1838498</v>
      </c>
      <c r="BB64" s="1315">
        <v>2021817</v>
      </c>
      <c r="BC64" s="1315">
        <v>1327170</v>
      </c>
      <c r="BD64" s="1315">
        <v>1214680</v>
      </c>
      <c r="BE64" s="1315">
        <v>1658552</v>
      </c>
      <c r="BF64" s="1315">
        <v>963905</v>
      </c>
      <c r="BG64" s="1315">
        <v>623818</v>
      </c>
      <c r="BH64" s="1315">
        <v>1928411</v>
      </c>
      <c r="BI64" s="1315">
        <v>2188964</v>
      </c>
      <c r="BJ64" s="1315">
        <v>2022588</v>
      </c>
      <c r="BK64" s="1315">
        <v>1616548</v>
      </c>
      <c r="BL64" s="1315">
        <v>1745933</v>
      </c>
      <c r="BM64" s="1315">
        <v>1840110</v>
      </c>
      <c r="BN64" s="1315">
        <v>1434070</v>
      </c>
      <c r="BO64" s="1315">
        <v>182478</v>
      </c>
      <c r="BP64" s="1315">
        <v>443031</v>
      </c>
      <c r="BQ64" s="1315">
        <v>-11052</v>
      </c>
      <c r="BR64" s="1315">
        <v>35096</v>
      </c>
    </row>
    <row r="65" spans="1:70" ht="12" customHeight="1">
      <c r="A65" s="1336" t="s">
        <v>84</v>
      </c>
      <c r="B65" s="1315">
        <v>1977879</v>
      </c>
      <c r="C65" s="1315">
        <v>1543934</v>
      </c>
      <c r="D65" s="1315">
        <v>289000</v>
      </c>
      <c r="E65" s="1315">
        <v>144945</v>
      </c>
      <c r="F65" s="1315">
        <v>1462184</v>
      </c>
      <c r="G65" s="1315">
        <v>1040279</v>
      </c>
      <c r="H65" s="1315">
        <v>356114</v>
      </c>
      <c r="I65" s="1315">
        <v>-2191</v>
      </c>
      <c r="J65" s="1315">
        <v>517886</v>
      </c>
      <c r="K65" s="1315">
        <v>306879</v>
      </c>
      <c r="L65" s="1315">
        <v>65</v>
      </c>
      <c r="M65" s="1315">
        <v>306814</v>
      </c>
      <c r="N65" s="1315">
        <v>758029</v>
      </c>
      <c r="O65" s="1315">
        <v>0</v>
      </c>
      <c r="P65" s="1315">
        <v>0</v>
      </c>
      <c r="Q65" s="1315">
        <v>16075</v>
      </c>
      <c r="R65" s="1315">
        <v>14599</v>
      </c>
      <c r="S65" s="1315">
        <v>5967</v>
      </c>
      <c r="T65" s="1315">
        <v>2561</v>
      </c>
      <c r="U65" s="1315">
        <v>2114</v>
      </c>
      <c r="V65" s="1315">
        <v>276386</v>
      </c>
      <c r="W65" s="1315">
        <v>22001</v>
      </c>
      <c r="X65" s="1315">
        <v>254385</v>
      </c>
      <c r="Y65" s="1315">
        <v>12264</v>
      </c>
      <c r="Z65" s="1315">
        <v>8000</v>
      </c>
      <c r="AA65" s="1315">
        <v>220800</v>
      </c>
      <c r="AB65" s="1315">
        <v>-847</v>
      </c>
      <c r="AC65" s="1315">
        <v>18701</v>
      </c>
      <c r="AD65" s="1315">
        <v>12720</v>
      </c>
      <c r="AE65" s="1315">
        <v>69513</v>
      </c>
      <c r="AF65" s="1315">
        <v>451215</v>
      </c>
      <c r="AG65" s="1315">
        <v>-1523</v>
      </c>
      <c r="AH65" s="1315">
        <v>17231</v>
      </c>
      <c r="AI65" s="1315">
        <v>18877</v>
      </c>
      <c r="AJ65" s="1315">
        <v>-508</v>
      </c>
      <c r="AK65" s="1315">
        <v>-1007</v>
      </c>
      <c r="AL65" s="1315">
        <v>5504</v>
      </c>
      <c r="AM65" s="1315">
        <v>-5004</v>
      </c>
      <c r="AN65" s="1315">
        <v>-1971</v>
      </c>
      <c r="AO65" s="1315">
        <v>8</v>
      </c>
      <c r="AP65" s="1315">
        <v>118002</v>
      </c>
      <c r="AQ65" s="1315">
        <v>2280</v>
      </c>
      <c r="AR65" s="1315">
        <v>45568</v>
      </c>
      <c r="AS65" s="1315">
        <v>1434</v>
      </c>
      <c r="AT65" s="1315">
        <v>0</v>
      </c>
      <c r="AU65" s="1315">
        <v>147618</v>
      </c>
      <c r="AV65" s="1315">
        <v>211007</v>
      </c>
      <c r="AW65" s="1315">
        <v>-503655</v>
      </c>
      <c r="AX65" s="1315">
        <v>67114</v>
      </c>
      <c r="AY65" s="1315">
        <v>-515695</v>
      </c>
      <c r="AZ65" s="1315">
        <v>1658275</v>
      </c>
      <c r="BA65" s="1315">
        <v>1966460</v>
      </c>
      <c r="BB65" s="1315">
        <v>2454877</v>
      </c>
      <c r="BC65" s="1315">
        <v>1395159</v>
      </c>
      <c r="BD65" s="1315">
        <v>1339940</v>
      </c>
      <c r="BE65" s="1315">
        <v>2136541</v>
      </c>
      <c r="BF65" s="1315">
        <v>1076823</v>
      </c>
      <c r="BG65" s="1315">
        <v>626520</v>
      </c>
      <c r="BH65" s="1315">
        <v>2122859</v>
      </c>
      <c r="BI65" s="1315">
        <v>2431044</v>
      </c>
      <c r="BJ65" s="1315">
        <v>2729127</v>
      </c>
      <c r="BK65" s="1315">
        <v>1769613</v>
      </c>
      <c r="BL65" s="1315">
        <v>1942167</v>
      </c>
      <c r="BM65" s="1315">
        <v>2548435</v>
      </c>
      <c r="BN65" s="1315">
        <v>1588921</v>
      </c>
      <c r="BO65" s="1315">
        <v>180692</v>
      </c>
      <c r="BP65" s="1315">
        <v>488877</v>
      </c>
      <c r="BQ65" s="1315">
        <v>33082</v>
      </c>
      <c r="BR65" s="1315">
        <v>33929</v>
      </c>
    </row>
    <row r="66" spans="1:70" ht="12" customHeight="1">
      <c r="A66" s="1336" t="s">
        <v>83</v>
      </c>
      <c r="B66" s="1315">
        <v>2324244</v>
      </c>
      <c r="C66" s="1315">
        <v>1800676</v>
      </c>
      <c r="D66" s="1315">
        <v>362312</v>
      </c>
      <c r="E66" s="1315">
        <v>161255</v>
      </c>
      <c r="F66" s="1315">
        <v>1697224</v>
      </c>
      <c r="G66" s="1315">
        <v>1181507</v>
      </c>
      <c r="H66" s="1315">
        <v>451444</v>
      </c>
      <c r="I66" s="1315">
        <v>2772</v>
      </c>
      <c r="J66" s="1315">
        <v>624248</v>
      </c>
      <c r="K66" s="1315">
        <v>436037</v>
      </c>
      <c r="L66" s="1315">
        <v>16</v>
      </c>
      <c r="M66" s="1315">
        <v>436021</v>
      </c>
      <c r="N66" s="1315">
        <v>1206857</v>
      </c>
      <c r="O66" s="1315">
        <v>0</v>
      </c>
      <c r="P66" s="1315">
        <v>0</v>
      </c>
      <c r="Q66" s="1315">
        <v>29739</v>
      </c>
      <c r="R66" s="1315">
        <v>22387</v>
      </c>
      <c r="S66" s="1315">
        <v>22800</v>
      </c>
      <c r="T66" s="1315">
        <v>4054</v>
      </c>
      <c r="U66" s="1315">
        <v>16460</v>
      </c>
      <c r="V66" s="1315">
        <v>366888</v>
      </c>
      <c r="W66" s="1315">
        <v>36956</v>
      </c>
      <c r="X66" s="1315">
        <v>329932</v>
      </c>
      <c r="Y66" s="1315">
        <v>154580</v>
      </c>
      <c r="Z66" s="1315">
        <v>6500</v>
      </c>
      <c r="AA66" s="1315">
        <v>259531</v>
      </c>
      <c r="AB66" s="1315">
        <v>6253</v>
      </c>
      <c r="AC66" s="1315">
        <v>46969</v>
      </c>
      <c r="AD66" s="1315">
        <v>10764</v>
      </c>
      <c r="AE66" s="1315">
        <v>151730</v>
      </c>
      <c r="AF66" s="1315">
        <v>770836</v>
      </c>
      <c r="AG66" s="1315">
        <v>-2805</v>
      </c>
      <c r="AH66" s="1315">
        <v>99072</v>
      </c>
      <c r="AI66" s="1315">
        <v>69237</v>
      </c>
      <c r="AJ66" s="1315">
        <v>952</v>
      </c>
      <c r="AK66" s="1315">
        <v>986</v>
      </c>
      <c r="AL66" s="1315">
        <v>3467</v>
      </c>
      <c r="AM66" s="1315">
        <v>-3502</v>
      </c>
      <c r="AN66" s="1315">
        <v>-3703</v>
      </c>
      <c r="AO66" s="1315">
        <v>79</v>
      </c>
      <c r="AP66" s="1315">
        <v>84753</v>
      </c>
      <c r="AQ66" s="1315">
        <v>-1107</v>
      </c>
      <c r="AR66" s="1315">
        <v>-23566</v>
      </c>
      <c r="AS66" s="1315">
        <v>1993</v>
      </c>
      <c r="AT66" s="1315">
        <v>0</v>
      </c>
      <c r="AU66" s="1315">
        <v>312094</v>
      </c>
      <c r="AV66" s="1315">
        <v>188211</v>
      </c>
      <c r="AW66" s="1315">
        <v>-619170</v>
      </c>
      <c r="AX66" s="1315">
        <v>89132</v>
      </c>
      <c r="AY66" s="1315">
        <v>-627020</v>
      </c>
      <c r="AZ66" s="1315">
        <v>1830644</v>
      </c>
      <c r="BA66" s="1315">
        <v>2214712</v>
      </c>
      <c r="BB66" s="1315">
        <v>2717383</v>
      </c>
      <c r="BC66" s="1315">
        <v>1520315</v>
      </c>
      <c r="BD66" s="1315">
        <v>1511978</v>
      </c>
      <c r="BE66" s="1315">
        <v>2398717</v>
      </c>
      <c r="BF66" s="1315">
        <v>1201649</v>
      </c>
      <c r="BG66" s="1315">
        <v>702734</v>
      </c>
      <c r="BH66" s="1315">
        <v>2624776</v>
      </c>
      <c r="BI66" s="1315">
        <v>3008842</v>
      </c>
      <c r="BJ66" s="1315">
        <v>3362796</v>
      </c>
      <c r="BK66" s="1315">
        <v>2160845</v>
      </c>
      <c r="BL66" s="1315">
        <v>2432525</v>
      </c>
      <c r="BM66" s="1315">
        <v>3170545</v>
      </c>
      <c r="BN66" s="1315">
        <v>1968594</v>
      </c>
      <c r="BO66" s="1315">
        <v>192251</v>
      </c>
      <c r="BP66" s="1315">
        <v>576317</v>
      </c>
      <c r="BQ66" s="1315">
        <v>7523</v>
      </c>
      <c r="BR66" s="1315">
        <v>46358</v>
      </c>
    </row>
    <row r="67" spans="1:70" ht="12" customHeight="1">
      <c r="A67" s="1336" t="s">
        <v>82</v>
      </c>
      <c r="B67" s="1315">
        <v>2691958</v>
      </c>
      <c r="C67" s="1315">
        <v>2030084</v>
      </c>
      <c r="D67" s="1315">
        <v>483218</v>
      </c>
      <c r="E67" s="1315">
        <v>178655</v>
      </c>
      <c r="F67" s="1315">
        <v>1954273</v>
      </c>
      <c r="G67" s="1315">
        <v>1308898</v>
      </c>
      <c r="H67" s="1315">
        <v>575788</v>
      </c>
      <c r="I67" s="1315">
        <v>12776</v>
      </c>
      <c r="J67" s="1315">
        <v>724909</v>
      </c>
      <c r="K67" s="1315">
        <v>714567</v>
      </c>
      <c r="L67" s="1315">
        <v>78</v>
      </c>
      <c r="M67" s="1315">
        <v>714489</v>
      </c>
      <c r="N67" s="1315">
        <v>1054861</v>
      </c>
      <c r="O67" s="1315">
        <v>0</v>
      </c>
      <c r="P67" s="1315">
        <v>0</v>
      </c>
      <c r="Q67" s="1315">
        <v>-2350</v>
      </c>
      <c r="R67" s="1315">
        <v>14863</v>
      </c>
      <c r="S67" s="1315">
        <v>20575</v>
      </c>
      <c r="T67" s="1315">
        <v>84</v>
      </c>
      <c r="U67" s="1315">
        <v>20792</v>
      </c>
      <c r="V67" s="1315">
        <v>245140</v>
      </c>
      <c r="W67" s="1315">
        <v>-58940</v>
      </c>
      <c r="X67" s="1315">
        <v>304080</v>
      </c>
      <c r="Y67" s="1315">
        <v>139789</v>
      </c>
      <c r="Z67" s="1315">
        <v>3000</v>
      </c>
      <c r="AA67" s="1315">
        <v>328455</v>
      </c>
      <c r="AB67" s="1315">
        <v>31301</v>
      </c>
      <c r="AC67" s="1315">
        <v>83131</v>
      </c>
      <c r="AD67" s="1315">
        <v>6043</v>
      </c>
      <c r="AE67" s="1315">
        <v>116656</v>
      </c>
      <c r="AF67" s="1315">
        <v>340372</v>
      </c>
      <c r="AG67" s="1315">
        <v>-14094</v>
      </c>
      <c r="AH67" s="1315">
        <v>103946</v>
      </c>
      <c r="AI67" s="1315">
        <v>38610</v>
      </c>
      <c r="AJ67" s="1315">
        <v>17317</v>
      </c>
      <c r="AK67" s="1315">
        <v>-3588</v>
      </c>
      <c r="AL67" s="1315">
        <v>5010</v>
      </c>
      <c r="AM67" s="1315">
        <v>15896</v>
      </c>
      <c r="AN67" s="1315">
        <v>-6804</v>
      </c>
      <c r="AO67" s="1315">
        <v>-10</v>
      </c>
      <c r="AP67" s="1315">
        <v>186684</v>
      </c>
      <c r="AQ67" s="1315">
        <v>1286</v>
      </c>
      <c r="AR67" s="1315">
        <v>20887</v>
      </c>
      <c r="AS67" s="1315">
        <v>1264</v>
      </c>
      <c r="AT67" s="1315">
        <v>0</v>
      </c>
      <c r="AU67" s="1315">
        <v>26901</v>
      </c>
      <c r="AV67" s="1315">
        <v>10341</v>
      </c>
      <c r="AW67" s="1315">
        <v>-721186</v>
      </c>
      <c r="AX67" s="1315">
        <v>92569</v>
      </c>
      <c r="AY67" s="1315">
        <v>-737685</v>
      </c>
      <c r="AZ67" s="1315">
        <v>2007151</v>
      </c>
      <c r="BA67" s="1315">
        <v>2416325</v>
      </c>
      <c r="BB67" s="1315">
        <v>2817970</v>
      </c>
      <c r="BC67" s="1315">
        <v>1634121</v>
      </c>
      <c r="BD67" s="1315">
        <v>1672877</v>
      </c>
      <c r="BE67" s="1315">
        <v>2483696</v>
      </c>
      <c r="BF67" s="1315">
        <v>1299847</v>
      </c>
      <c r="BG67" s="1315">
        <v>743448</v>
      </c>
      <c r="BH67" s="1315">
        <v>2827352</v>
      </c>
      <c r="BI67" s="1315">
        <v>3236526</v>
      </c>
      <c r="BJ67" s="1315">
        <v>3637996</v>
      </c>
      <c r="BK67" s="1315">
        <v>2241656</v>
      </c>
      <c r="BL67" s="1315">
        <v>2638658</v>
      </c>
      <c r="BM67" s="1315">
        <v>3449302</v>
      </c>
      <c r="BN67" s="1315">
        <v>2052962</v>
      </c>
      <c r="BO67" s="1315">
        <v>188694</v>
      </c>
      <c r="BP67" s="1315">
        <v>597868</v>
      </c>
      <c r="BQ67" s="1315">
        <v>27146</v>
      </c>
      <c r="BR67" s="1315">
        <v>35058</v>
      </c>
    </row>
    <row r="68" spans="1:70" ht="12" customHeight="1">
      <c r="A68" s="1336" t="s">
        <v>81</v>
      </c>
      <c r="B68" s="1315">
        <v>3078454</v>
      </c>
      <c r="C68" s="1315">
        <v>2247260</v>
      </c>
      <c r="D68" s="1315">
        <v>656639</v>
      </c>
      <c r="E68" s="1315">
        <v>174555</v>
      </c>
      <c r="F68" s="1315">
        <v>2276297</v>
      </c>
      <c r="G68" s="1315">
        <v>1476316</v>
      </c>
      <c r="H68" s="1315">
        <v>724240</v>
      </c>
      <c r="I68" s="1315">
        <v>-1989</v>
      </c>
      <c r="J68" s="1315">
        <v>804146</v>
      </c>
      <c r="K68" s="1315">
        <v>563361</v>
      </c>
      <c r="L68" s="1315">
        <v>-77</v>
      </c>
      <c r="M68" s="1315">
        <v>563438</v>
      </c>
      <c r="N68" s="1315">
        <v>1501001</v>
      </c>
      <c r="O68" s="1315">
        <v>0</v>
      </c>
      <c r="P68" s="1315">
        <v>0</v>
      </c>
      <c r="Q68" s="1315">
        <v>119866</v>
      </c>
      <c r="R68" s="1315">
        <v>11413</v>
      </c>
      <c r="S68" s="1315">
        <v>33981</v>
      </c>
      <c r="T68" s="1315">
        <v>4061</v>
      </c>
      <c r="U68" s="1315">
        <v>54934</v>
      </c>
      <c r="V68" s="1315">
        <v>150334</v>
      </c>
      <c r="W68" s="1315">
        <v>-11397</v>
      </c>
      <c r="X68" s="1315">
        <v>161731</v>
      </c>
      <c r="Y68" s="1315">
        <v>217097</v>
      </c>
      <c r="Z68" s="1315">
        <v>5364</v>
      </c>
      <c r="AA68" s="1315">
        <v>540981</v>
      </c>
      <c r="AB68" s="1315">
        <v>6239</v>
      </c>
      <c r="AC68" s="1315">
        <v>119515</v>
      </c>
      <c r="AD68" s="1315">
        <v>21905</v>
      </c>
      <c r="AE68" s="1315">
        <v>247326</v>
      </c>
      <c r="AF68" s="1315">
        <v>937563</v>
      </c>
      <c r="AG68" s="1315">
        <v>-2374</v>
      </c>
      <c r="AH68" s="1315">
        <v>286734</v>
      </c>
      <c r="AI68" s="1315">
        <v>98369</v>
      </c>
      <c r="AJ68" s="1315">
        <v>16921</v>
      </c>
      <c r="AK68" s="1315">
        <v>-721</v>
      </c>
      <c r="AL68" s="1315">
        <v>2928</v>
      </c>
      <c r="AM68" s="1315">
        <v>14713</v>
      </c>
      <c r="AN68" s="1315">
        <v>-7370</v>
      </c>
      <c r="AO68" s="1315">
        <v>-60</v>
      </c>
      <c r="AP68" s="1315">
        <v>137331</v>
      </c>
      <c r="AQ68" s="1315">
        <v>3534</v>
      </c>
      <c r="AR68" s="1315">
        <v>43306</v>
      </c>
      <c r="AS68" s="1315">
        <v>2024</v>
      </c>
      <c r="AT68" s="1315">
        <v>0</v>
      </c>
      <c r="AU68" s="1315">
        <v>232663</v>
      </c>
      <c r="AV68" s="1315">
        <v>240785</v>
      </c>
      <c r="AW68" s="1315">
        <v>-770945</v>
      </c>
      <c r="AX68" s="1315">
        <v>67601</v>
      </c>
      <c r="AY68" s="1315">
        <v>-802157</v>
      </c>
      <c r="AZ68" s="1315">
        <v>2255955</v>
      </c>
      <c r="BA68" s="1315">
        <v>2715504</v>
      </c>
      <c r="BB68" s="1315">
        <v>3293053</v>
      </c>
      <c r="BC68" s="1315">
        <v>1840462</v>
      </c>
      <c r="BD68" s="1315">
        <v>1858433</v>
      </c>
      <c r="BE68" s="1315">
        <v>2895531</v>
      </c>
      <c r="BF68" s="1315">
        <v>1442940</v>
      </c>
      <c r="BG68" s="1315">
        <v>857071</v>
      </c>
      <c r="BH68" s="1315">
        <v>3140001</v>
      </c>
      <c r="BI68" s="1315">
        <v>3599550</v>
      </c>
      <c r="BJ68" s="1315">
        <v>4470343</v>
      </c>
      <c r="BK68" s="1315">
        <v>2477268</v>
      </c>
      <c r="BL68" s="1315">
        <v>2963959</v>
      </c>
      <c r="BM68" s="1315">
        <v>4294301</v>
      </c>
      <c r="BN68" s="1315">
        <v>2301226</v>
      </c>
      <c r="BO68" s="1315">
        <v>176042</v>
      </c>
      <c r="BP68" s="1315">
        <v>635591</v>
      </c>
      <c r="BQ68" s="1315">
        <v>68428</v>
      </c>
      <c r="BR68" s="1315">
        <v>24966</v>
      </c>
    </row>
    <row r="69" spans="1:70" ht="12" customHeight="1">
      <c r="A69" s="1336" t="s">
        <v>80</v>
      </c>
      <c r="B69" s="1315">
        <v>3334409</v>
      </c>
      <c r="C69" s="1315">
        <v>2383165</v>
      </c>
      <c r="D69" s="1315">
        <v>750074</v>
      </c>
      <c r="E69" s="1315">
        <v>201171</v>
      </c>
      <c r="F69" s="1315">
        <v>2616290</v>
      </c>
      <c r="G69" s="1315">
        <v>1664624</v>
      </c>
      <c r="H69" s="1315">
        <v>875655</v>
      </c>
      <c r="I69" s="1315">
        <v>-403</v>
      </c>
      <c r="J69" s="1315">
        <v>718523</v>
      </c>
      <c r="K69" s="1315">
        <v>160334</v>
      </c>
      <c r="L69" s="1315">
        <v>494</v>
      </c>
      <c r="M69" s="1315">
        <v>159840</v>
      </c>
      <c r="N69" s="1315">
        <v>1469838</v>
      </c>
      <c r="O69" s="1315">
        <v>0</v>
      </c>
      <c r="P69" s="1315">
        <v>0</v>
      </c>
      <c r="Q69" s="1315">
        <v>36580</v>
      </c>
      <c r="R69" s="1315">
        <v>-5435</v>
      </c>
      <c r="S69" s="1315">
        <v>36659</v>
      </c>
      <c r="T69" s="1315">
        <v>18957</v>
      </c>
      <c r="U69" s="1315">
        <v>16514</v>
      </c>
      <c r="V69" s="1315">
        <v>165277</v>
      </c>
      <c r="W69" s="1315">
        <v>49367</v>
      </c>
      <c r="X69" s="1315">
        <v>115910</v>
      </c>
      <c r="Y69" s="1315">
        <v>239483</v>
      </c>
      <c r="Z69" s="1315">
        <v>10700</v>
      </c>
      <c r="AA69" s="1315">
        <v>424588</v>
      </c>
      <c r="AB69" s="1315">
        <v>102298</v>
      </c>
      <c r="AC69" s="1315">
        <v>244316</v>
      </c>
      <c r="AD69" s="1315">
        <v>12344</v>
      </c>
      <c r="AE69" s="1315">
        <v>227714</v>
      </c>
      <c r="AF69" s="1315">
        <v>1309997</v>
      </c>
      <c r="AG69" s="1315">
        <v>122</v>
      </c>
      <c r="AH69" s="1315">
        <v>260907</v>
      </c>
      <c r="AI69" s="1315">
        <v>-69314</v>
      </c>
      <c r="AJ69" s="1315">
        <v>29384</v>
      </c>
      <c r="AK69" s="1315">
        <v>230</v>
      </c>
      <c r="AL69" s="1315">
        <v>8943</v>
      </c>
      <c r="AM69" s="1315">
        <v>20212</v>
      </c>
      <c r="AN69" s="1315">
        <v>-3379</v>
      </c>
      <c r="AO69" s="1315">
        <v>129</v>
      </c>
      <c r="AP69" s="1315">
        <v>147781</v>
      </c>
      <c r="AQ69" s="1315">
        <v>10683</v>
      </c>
      <c r="AR69" s="1315">
        <v>67832</v>
      </c>
      <c r="AS69" s="1315">
        <v>1651</v>
      </c>
      <c r="AT69" s="1315">
        <v>24000</v>
      </c>
      <c r="AU69" s="1315">
        <v>404989</v>
      </c>
      <c r="AV69" s="1315">
        <v>558188</v>
      </c>
      <c r="AW69" s="1315">
        <v>-718541</v>
      </c>
      <c r="AX69" s="1315">
        <v>125581</v>
      </c>
      <c r="AY69" s="1315">
        <v>-718119</v>
      </c>
      <c r="AZ69" s="1315">
        <v>2463600</v>
      </c>
      <c r="BA69" s="1315">
        <v>3046532</v>
      </c>
      <c r="BB69" s="1315">
        <v>3551307</v>
      </c>
      <c r="BC69" s="1315">
        <v>1993156</v>
      </c>
      <c r="BD69" s="1315">
        <v>2009806</v>
      </c>
      <c r="BE69" s="1315">
        <v>3097513</v>
      </c>
      <c r="BF69" s="1315">
        <v>1539362</v>
      </c>
      <c r="BG69" s="1315">
        <v>1036726</v>
      </c>
      <c r="BH69" s="1315">
        <v>3723121</v>
      </c>
      <c r="BI69" s="1315">
        <v>4306053</v>
      </c>
      <c r="BJ69" s="1315">
        <v>5274991</v>
      </c>
      <c r="BK69" s="1315">
        <v>2993980</v>
      </c>
      <c r="BL69" s="1315">
        <v>3539098</v>
      </c>
      <c r="BM69" s="1315">
        <v>5090968</v>
      </c>
      <c r="BN69" s="1315">
        <v>2809957</v>
      </c>
      <c r="BO69" s="1315">
        <v>184023</v>
      </c>
      <c r="BP69" s="1315">
        <v>766955</v>
      </c>
      <c r="BQ69" s="1315">
        <v>110609</v>
      </c>
      <c r="BR69" s="1315">
        <v>39872</v>
      </c>
    </row>
    <row r="70" spans="1:70" ht="12" customHeight="1">
      <c r="A70" s="1336" t="s">
        <v>79</v>
      </c>
      <c r="B70" s="1315">
        <v>3481958</v>
      </c>
      <c r="C70" s="1315">
        <v>2565006</v>
      </c>
      <c r="D70" s="1315">
        <v>684918</v>
      </c>
      <c r="E70" s="1315">
        <v>232033</v>
      </c>
      <c r="F70" s="1315">
        <v>2790326</v>
      </c>
      <c r="G70" s="1315">
        <v>1841942</v>
      </c>
      <c r="H70" s="1315">
        <v>856929</v>
      </c>
      <c r="I70" s="1315">
        <v>5411</v>
      </c>
      <c r="J70" s="1315">
        <v>686221</v>
      </c>
      <c r="K70" s="1315">
        <v>673914</v>
      </c>
      <c r="L70" s="1315">
        <v>-1</v>
      </c>
      <c r="M70" s="1315">
        <v>673915</v>
      </c>
      <c r="N70" s="1315">
        <v>567421</v>
      </c>
      <c r="O70" s="1315">
        <v>0</v>
      </c>
      <c r="P70" s="1315">
        <v>0</v>
      </c>
      <c r="Q70" s="1315">
        <v>-7185</v>
      </c>
      <c r="R70" s="1315">
        <v>64006</v>
      </c>
      <c r="S70" s="1315">
        <v>73445</v>
      </c>
      <c r="T70" s="1315">
        <v>23703</v>
      </c>
      <c r="U70" s="1315">
        <v>-59038</v>
      </c>
      <c r="V70" s="1315">
        <v>711596</v>
      </c>
      <c r="W70" s="1315">
        <v>455312</v>
      </c>
      <c r="X70" s="1315">
        <v>256284</v>
      </c>
      <c r="Y70" s="1315">
        <v>-231928</v>
      </c>
      <c r="Z70" s="1315">
        <v>5896</v>
      </c>
      <c r="AA70" s="1315">
        <v>-21846</v>
      </c>
      <c r="AB70" s="1315">
        <v>-44662</v>
      </c>
      <c r="AC70" s="1315">
        <v>128320</v>
      </c>
      <c r="AD70" s="1315">
        <v>-25218</v>
      </c>
      <c r="AE70" s="1315">
        <v>318450</v>
      </c>
      <c r="AF70" s="1315">
        <v>-106493</v>
      </c>
      <c r="AG70" s="1315">
        <v>4848</v>
      </c>
      <c r="AH70" s="1315">
        <v>-198244</v>
      </c>
      <c r="AI70" s="1315">
        <v>-71035</v>
      </c>
      <c r="AJ70" s="1315">
        <v>15133</v>
      </c>
      <c r="AK70" s="1315">
        <v>1714</v>
      </c>
      <c r="AL70" s="1315">
        <v>5419</v>
      </c>
      <c r="AM70" s="1315">
        <v>8000</v>
      </c>
      <c r="AN70" s="1315">
        <v>-1498</v>
      </c>
      <c r="AO70" s="1315">
        <v>1</v>
      </c>
      <c r="AP70" s="1315">
        <v>-38550</v>
      </c>
      <c r="AQ70" s="1315">
        <v>-3712</v>
      </c>
      <c r="AR70" s="1315">
        <v>522042</v>
      </c>
      <c r="AS70" s="1315">
        <v>1384</v>
      </c>
      <c r="AT70" s="1315">
        <v>529728</v>
      </c>
      <c r="AU70" s="1315">
        <v>320942</v>
      </c>
      <c r="AV70" s="1315">
        <v>12307</v>
      </c>
      <c r="AW70" s="1315">
        <v>-723064</v>
      </c>
      <c r="AX70" s="1315">
        <v>172011</v>
      </c>
      <c r="AY70" s="1315">
        <v>-691632</v>
      </c>
      <c r="AZ70" s="1315">
        <v>2598789</v>
      </c>
      <c r="BA70" s="1315">
        <v>3203582</v>
      </c>
      <c r="BB70" s="1315">
        <v>2486446</v>
      </c>
      <c r="BC70" s="1315">
        <v>2046661</v>
      </c>
      <c r="BD70" s="1315">
        <v>2112850</v>
      </c>
      <c r="BE70" s="1315">
        <v>2000508</v>
      </c>
      <c r="BF70" s="1315">
        <v>1560723</v>
      </c>
      <c r="BG70" s="1315">
        <v>1090732</v>
      </c>
      <c r="BH70" s="1315">
        <v>3929499</v>
      </c>
      <c r="BI70" s="1315">
        <v>4534292</v>
      </c>
      <c r="BJ70" s="1315">
        <v>3102418</v>
      </c>
      <c r="BK70" s="1315">
        <v>3232493</v>
      </c>
      <c r="BL70" s="1315">
        <v>3755228</v>
      </c>
      <c r="BM70" s="1315">
        <v>2928147</v>
      </c>
      <c r="BN70" s="1315">
        <v>3058222</v>
      </c>
      <c r="BO70" s="1315">
        <v>174271</v>
      </c>
      <c r="BP70" s="1315">
        <v>779064</v>
      </c>
      <c r="BQ70" s="1315">
        <v>101539</v>
      </c>
      <c r="BR70" s="1315">
        <v>31790</v>
      </c>
    </row>
    <row r="71" spans="1:70" ht="12" customHeight="1">
      <c r="A71" s="1336" t="s">
        <v>78</v>
      </c>
      <c r="B71" s="1315">
        <v>2711988</v>
      </c>
      <c r="C71" s="1315">
        <v>1983177</v>
      </c>
      <c r="D71" s="1315">
        <v>497849</v>
      </c>
      <c r="E71" s="1315">
        <v>230962</v>
      </c>
      <c r="F71" s="1315">
        <v>2330086</v>
      </c>
      <c r="G71" s="1315">
        <v>1587740</v>
      </c>
      <c r="H71" s="1315">
        <v>648897</v>
      </c>
      <c r="I71" s="1315">
        <v>-564</v>
      </c>
      <c r="J71" s="1315">
        <v>382466</v>
      </c>
      <c r="K71" s="1315">
        <v>116311</v>
      </c>
      <c r="L71" s="1315">
        <v>0</v>
      </c>
      <c r="M71" s="1315">
        <v>116311</v>
      </c>
      <c r="N71" s="1315">
        <v>288149</v>
      </c>
      <c r="O71" s="1315">
        <v>0</v>
      </c>
      <c r="P71" s="1315">
        <v>47598</v>
      </c>
      <c r="Q71" s="1315">
        <v>39681</v>
      </c>
      <c r="R71" s="1315">
        <v>-9180</v>
      </c>
      <c r="S71" s="1315">
        <v>-73290</v>
      </c>
      <c r="T71" s="1315">
        <v>7196</v>
      </c>
      <c r="U71" s="1315">
        <v>-48403</v>
      </c>
      <c r="V71" s="1315">
        <v>554440</v>
      </c>
      <c r="W71" s="1315">
        <v>-7573</v>
      </c>
      <c r="X71" s="1315">
        <v>562013</v>
      </c>
      <c r="Y71" s="1315">
        <v>-226011</v>
      </c>
      <c r="Z71" s="1315">
        <v>7695</v>
      </c>
      <c r="AA71" s="1315">
        <v>-127274</v>
      </c>
      <c r="AB71" s="1315">
        <v>-43956</v>
      </c>
      <c r="AC71" s="1315">
        <v>194312</v>
      </c>
      <c r="AD71" s="1315">
        <v>17795</v>
      </c>
      <c r="AE71" s="1315">
        <v>157738</v>
      </c>
      <c r="AF71" s="1315">
        <v>171838</v>
      </c>
      <c r="AG71" s="1315">
        <v>52256</v>
      </c>
      <c r="AH71" s="1315">
        <v>222196</v>
      </c>
      <c r="AI71" s="1315">
        <v>59361</v>
      </c>
      <c r="AJ71" s="1315">
        <v>-14847</v>
      </c>
      <c r="AK71" s="1315">
        <v>-37</v>
      </c>
      <c r="AL71" s="1315">
        <v>-5215</v>
      </c>
      <c r="AM71" s="1315">
        <v>-9595</v>
      </c>
      <c r="AN71" s="1315">
        <v>463</v>
      </c>
      <c r="AO71" s="1315">
        <v>0</v>
      </c>
      <c r="AP71" s="1315">
        <v>63696</v>
      </c>
      <c r="AQ71" s="1315">
        <v>534</v>
      </c>
      <c r="AR71" s="1315">
        <v>-518285</v>
      </c>
      <c r="AS71" s="1315">
        <v>1651</v>
      </c>
      <c r="AT71" s="1315">
        <v>-543456</v>
      </c>
      <c r="AU71" s="1315">
        <v>309253</v>
      </c>
      <c r="AV71" s="1315">
        <v>266155</v>
      </c>
      <c r="AW71" s="1315">
        <v>-395437</v>
      </c>
      <c r="AX71" s="1315">
        <v>151048</v>
      </c>
      <c r="AY71" s="1315">
        <v>-381902</v>
      </c>
      <c r="AZ71" s="1315">
        <v>2560407</v>
      </c>
      <c r="BA71" s="1315">
        <v>3183577</v>
      </c>
      <c r="BB71" s="1315">
        <v>2995459</v>
      </c>
      <c r="BC71" s="1315">
        <v>2069438</v>
      </c>
      <c r="BD71" s="1315">
        <v>2078848</v>
      </c>
      <c r="BE71" s="1315">
        <v>2513901</v>
      </c>
      <c r="BF71" s="1315">
        <v>1587880</v>
      </c>
      <c r="BG71" s="1315">
        <v>1104729</v>
      </c>
      <c r="BH71" s="1315">
        <v>4201230</v>
      </c>
      <c r="BI71" s="1315">
        <v>4824400</v>
      </c>
      <c r="BJ71" s="1315">
        <v>4322122</v>
      </c>
      <c r="BK71" s="1315">
        <v>3565020</v>
      </c>
      <c r="BL71" s="1315">
        <v>3976287</v>
      </c>
      <c r="BM71" s="1315">
        <v>4097179</v>
      </c>
      <c r="BN71" s="1315">
        <v>3340077</v>
      </c>
      <c r="BO71" s="1315">
        <v>224943</v>
      </c>
      <c r="BP71" s="1315">
        <v>848113</v>
      </c>
      <c r="BQ71" s="1315">
        <v>125059</v>
      </c>
      <c r="BR71" s="1315">
        <v>22167</v>
      </c>
    </row>
    <row r="72" spans="1:70" ht="12" customHeight="1">
      <c r="A72" s="1336" t="s">
        <v>77</v>
      </c>
      <c r="B72" s="1315">
        <v>3115486</v>
      </c>
      <c r="C72" s="1315">
        <v>2364992</v>
      </c>
      <c r="D72" s="1315">
        <v>514051</v>
      </c>
      <c r="E72" s="1315">
        <v>236444</v>
      </c>
      <c r="F72" s="1315">
        <v>2669556</v>
      </c>
      <c r="G72" s="1315">
        <v>1852334</v>
      </c>
      <c r="H72" s="1315">
        <v>720019</v>
      </c>
      <c r="I72" s="1315">
        <v>-678</v>
      </c>
      <c r="J72" s="1315">
        <v>446608</v>
      </c>
      <c r="K72" s="1315">
        <v>310332</v>
      </c>
      <c r="L72" s="1315">
        <v>-5</v>
      </c>
      <c r="M72" s="1315">
        <v>310337</v>
      </c>
      <c r="N72" s="1315">
        <v>1124882</v>
      </c>
      <c r="O72" s="1315">
        <v>0</v>
      </c>
      <c r="P72" s="1315">
        <v>0</v>
      </c>
      <c r="Q72" s="1315">
        <v>-56179</v>
      </c>
      <c r="R72" s="1315">
        <v>29497</v>
      </c>
      <c r="S72" s="1315">
        <v>4851</v>
      </c>
      <c r="T72" s="1315">
        <v>-7110</v>
      </c>
      <c r="U72" s="1315">
        <v>-10731</v>
      </c>
      <c r="V72" s="1315">
        <v>740353</v>
      </c>
      <c r="W72" s="1315">
        <v>-40157</v>
      </c>
      <c r="X72" s="1315">
        <v>780510</v>
      </c>
      <c r="Y72" s="1315">
        <v>-66559</v>
      </c>
      <c r="Z72" s="1315">
        <v>13081</v>
      </c>
      <c r="AA72" s="1315">
        <v>-36763</v>
      </c>
      <c r="AB72" s="1315">
        <v>-20188</v>
      </c>
      <c r="AC72" s="1315">
        <v>130894</v>
      </c>
      <c r="AD72" s="1315">
        <v>55169</v>
      </c>
      <c r="AE72" s="1315">
        <v>210545</v>
      </c>
      <c r="AF72" s="1315">
        <v>814545</v>
      </c>
      <c r="AG72" s="1315">
        <v>1834</v>
      </c>
      <c r="AH72" s="1315">
        <v>148966</v>
      </c>
      <c r="AI72" s="1315">
        <v>-2701</v>
      </c>
      <c r="AJ72" s="1315">
        <v>23954</v>
      </c>
      <c r="AK72" s="1315">
        <v>2075</v>
      </c>
      <c r="AL72" s="1315">
        <v>15598</v>
      </c>
      <c r="AM72" s="1315">
        <v>6280</v>
      </c>
      <c r="AN72" s="1315">
        <v>323</v>
      </c>
      <c r="AO72" s="1315">
        <v>0</v>
      </c>
      <c r="AP72" s="1315">
        <v>79150</v>
      </c>
      <c r="AQ72" s="1315">
        <v>6042</v>
      </c>
      <c r="AR72" s="1315">
        <v>2722</v>
      </c>
      <c r="AS72" s="1315">
        <v>2334</v>
      </c>
      <c r="AT72" s="1315">
        <v>-10197</v>
      </c>
      <c r="AU72" s="1315">
        <v>296334</v>
      </c>
      <c r="AV72" s="1315">
        <v>136276</v>
      </c>
      <c r="AW72" s="1315">
        <v>-512657</v>
      </c>
      <c r="AX72" s="1315">
        <v>205968</v>
      </c>
      <c r="AY72" s="1315">
        <v>-445930</v>
      </c>
      <c r="AZ72" s="1315">
        <v>2791358</v>
      </c>
      <c r="BA72" s="1315">
        <v>3468162</v>
      </c>
      <c r="BB72" s="1315">
        <v>3422293</v>
      </c>
      <c r="BC72" s="1315">
        <v>2280044</v>
      </c>
      <c r="BD72" s="1315">
        <v>2296818</v>
      </c>
      <c r="BE72" s="1315">
        <v>2927753</v>
      </c>
      <c r="BF72" s="1315">
        <v>1785504</v>
      </c>
      <c r="BG72" s="1315">
        <v>1171344</v>
      </c>
      <c r="BH72" s="1315">
        <v>4387751</v>
      </c>
      <c r="BI72" s="1315">
        <v>5064555</v>
      </c>
      <c r="BJ72" s="1315">
        <v>4809587</v>
      </c>
      <c r="BK72" s="1315">
        <v>3741911</v>
      </c>
      <c r="BL72" s="1315">
        <v>4199014</v>
      </c>
      <c r="BM72" s="1315">
        <v>4620850</v>
      </c>
      <c r="BN72" s="1315">
        <v>3553174</v>
      </c>
      <c r="BO72" s="1315">
        <v>188737</v>
      </c>
      <c r="BP72" s="1315">
        <v>865541</v>
      </c>
      <c r="BQ72" s="1315">
        <v>135644</v>
      </c>
      <c r="BR72" s="1315">
        <v>35616</v>
      </c>
    </row>
    <row r="73" spans="1:70" ht="12" customHeight="1">
      <c r="A73" s="1336" t="s">
        <v>76</v>
      </c>
      <c r="B73" s="1315">
        <v>3485762</v>
      </c>
      <c r="C73" s="1315">
        <v>2686365</v>
      </c>
      <c r="D73" s="1315">
        <v>546005</v>
      </c>
      <c r="E73" s="1315">
        <v>253393</v>
      </c>
      <c r="F73" s="1315">
        <v>3004246</v>
      </c>
      <c r="G73" s="1315">
        <v>2106370</v>
      </c>
      <c r="H73" s="1315">
        <v>792643</v>
      </c>
      <c r="I73" s="1315">
        <v>-1634</v>
      </c>
      <c r="J73" s="1315">
        <v>483151</v>
      </c>
      <c r="K73" s="1315">
        <v>457250</v>
      </c>
      <c r="L73" s="1315">
        <v>-2</v>
      </c>
      <c r="M73" s="1315">
        <v>457252</v>
      </c>
      <c r="N73" s="1315">
        <v>1086502</v>
      </c>
      <c r="O73" s="1315">
        <v>0</v>
      </c>
      <c r="P73" s="1315">
        <v>0</v>
      </c>
      <c r="Q73" s="1315">
        <v>-274435</v>
      </c>
      <c r="R73" s="1315">
        <v>81832</v>
      </c>
      <c r="S73" s="1315">
        <v>47304</v>
      </c>
      <c r="T73" s="1315">
        <v>4594</v>
      </c>
      <c r="U73" s="1315">
        <v>742</v>
      </c>
      <c r="V73" s="1315">
        <v>355277</v>
      </c>
      <c r="W73" s="1315">
        <v>-62607</v>
      </c>
      <c r="X73" s="1315">
        <v>417884</v>
      </c>
      <c r="Y73" s="1315">
        <v>-41553</v>
      </c>
      <c r="Z73" s="1315">
        <v>634</v>
      </c>
      <c r="AA73" s="1315">
        <v>-111515</v>
      </c>
      <c r="AB73" s="1315">
        <v>33857</v>
      </c>
      <c r="AC73" s="1315">
        <v>48064</v>
      </c>
      <c r="AD73" s="1315">
        <v>70699</v>
      </c>
      <c r="AE73" s="1315">
        <v>242156</v>
      </c>
      <c r="AF73" s="1315">
        <v>629250</v>
      </c>
      <c r="AG73" s="1315">
        <v>15877</v>
      </c>
      <c r="AH73" s="1315">
        <v>172790</v>
      </c>
      <c r="AI73" s="1315">
        <v>-53501</v>
      </c>
      <c r="AJ73" s="1315">
        <v>43224</v>
      </c>
      <c r="AK73" s="1315">
        <v>-1230</v>
      </c>
      <c r="AL73" s="1315">
        <v>16817</v>
      </c>
      <c r="AM73" s="1315">
        <v>27636</v>
      </c>
      <c r="AN73" s="1315">
        <v>1353</v>
      </c>
      <c r="AO73" s="1315">
        <v>0</v>
      </c>
      <c r="AP73" s="1315">
        <v>6950</v>
      </c>
      <c r="AQ73" s="1315">
        <v>4014</v>
      </c>
      <c r="AR73" s="1315">
        <v>132928</v>
      </c>
      <c r="AS73" s="1315">
        <v>2564</v>
      </c>
      <c r="AT73" s="1315">
        <v>99748</v>
      </c>
      <c r="AU73" s="1315">
        <v>415272</v>
      </c>
      <c r="AV73" s="1315">
        <v>25900</v>
      </c>
      <c r="AW73" s="1315">
        <v>-579994</v>
      </c>
      <c r="AX73" s="1315">
        <v>246638</v>
      </c>
      <c r="AY73" s="1315">
        <v>-481517</v>
      </c>
      <c r="AZ73" s="1315">
        <v>2990410</v>
      </c>
      <c r="BA73" s="1315">
        <v>3690909</v>
      </c>
      <c r="BB73" s="1315">
        <v>3498726</v>
      </c>
      <c r="BC73" s="1315">
        <v>2433848</v>
      </c>
      <c r="BD73" s="1315">
        <v>2460046</v>
      </c>
      <c r="BE73" s="1315">
        <v>2968362</v>
      </c>
      <c r="BF73" s="1315">
        <v>1903484</v>
      </c>
      <c r="BG73" s="1315">
        <v>1230863</v>
      </c>
      <c r="BH73" s="1315">
        <v>4732564</v>
      </c>
      <c r="BI73" s="1315">
        <v>5433063</v>
      </c>
      <c r="BJ73" s="1315">
        <v>4514327</v>
      </c>
      <c r="BK73" s="1315">
        <v>4050026</v>
      </c>
      <c r="BL73" s="1315">
        <v>4538289</v>
      </c>
      <c r="BM73" s="1315">
        <v>4320052</v>
      </c>
      <c r="BN73" s="1315">
        <v>3855751</v>
      </c>
      <c r="BO73" s="1315">
        <v>194275</v>
      </c>
      <c r="BP73" s="1315">
        <v>894774</v>
      </c>
      <c r="BQ73" s="1315">
        <v>166260</v>
      </c>
      <c r="BR73" s="1315">
        <v>22880</v>
      </c>
    </row>
    <row r="74" spans="1:70" ht="12" customHeight="1">
      <c r="A74" s="1336" t="s">
        <v>75</v>
      </c>
      <c r="B74" s="1315">
        <v>3582059</v>
      </c>
      <c r="C74" s="1315">
        <v>2763844</v>
      </c>
      <c r="D74" s="1315">
        <v>563940</v>
      </c>
      <c r="E74" s="1315">
        <v>254275</v>
      </c>
      <c r="F74" s="1315">
        <v>3113897</v>
      </c>
      <c r="G74" s="1315">
        <v>2198182</v>
      </c>
      <c r="H74" s="1315">
        <v>801514</v>
      </c>
      <c r="I74" s="1315">
        <v>6548</v>
      </c>
      <c r="J74" s="1315">
        <v>461614</v>
      </c>
      <c r="K74" s="1315">
        <v>478302</v>
      </c>
      <c r="L74" s="1315">
        <v>-52</v>
      </c>
      <c r="M74" s="1315">
        <v>478354</v>
      </c>
      <c r="N74" s="1315">
        <v>871160</v>
      </c>
      <c r="O74" s="1315">
        <v>0</v>
      </c>
      <c r="P74" s="1315">
        <v>0</v>
      </c>
      <c r="Q74" s="1315">
        <v>-82370</v>
      </c>
      <c r="R74" s="1315">
        <v>68287</v>
      </c>
      <c r="S74" s="1315">
        <v>38042</v>
      </c>
      <c r="T74" s="1315">
        <v>22564</v>
      </c>
      <c r="U74" s="1315">
        <v>108</v>
      </c>
      <c r="V74" s="1315">
        <v>589747</v>
      </c>
      <c r="W74" s="1315">
        <v>13981</v>
      </c>
      <c r="X74" s="1315">
        <v>575766</v>
      </c>
      <c r="Y74" s="1315">
        <v>-73607</v>
      </c>
      <c r="Z74" s="1315">
        <v>-594</v>
      </c>
      <c r="AA74" s="1315">
        <v>-19737</v>
      </c>
      <c r="AB74" s="1315">
        <v>-52227</v>
      </c>
      <c r="AC74" s="1315">
        <v>137040</v>
      </c>
      <c r="AD74" s="1315">
        <v>79462</v>
      </c>
      <c r="AE74" s="1315">
        <v>211467</v>
      </c>
      <c r="AF74" s="1315">
        <v>392806</v>
      </c>
      <c r="AG74" s="1315">
        <v>4460</v>
      </c>
      <c r="AH74" s="1315">
        <v>196745</v>
      </c>
      <c r="AI74" s="1315">
        <v>27869</v>
      </c>
      <c r="AJ74" s="1315">
        <v>30302</v>
      </c>
      <c r="AK74" s="1315">
        <v>779</v>
      </c>
      <c r="AL74" s="1315">
        <v>516</v>
      </c>
      <c r="AM74" s="1315">
        <v>29006</v>
      </c>
      <c r="AN74" s="1315">
        <v>3164</v>
      </c>
      <c r="AO74" s="1315">
        <v>0</v>
      </c>
      <c r="AP74" s="1315">
        <v>103974</v>
      </c>
      <c r="AQ74" s="1315">
        <v>689</v>
      </c>
      <c r="AR74" s="1315">
        <v>-140035</v>
      </c>
      <c r="AS74" s="1315">
        <v>2437</v>
      </c>
      <c r="AT74" s="1315">
        <v>-90934</v>
      </c>
      <c r="AU74" s="1315">
        <v>338364</v>
      </c>
      <c r="AV74" s="1315">
        <v>-16689</v>
      </c>
      <c r="AW74" s="1315">
        <v>-565662</v>
      </c>
      <c r="AX74" s="1315">
        <v>237574</v>
      </c>
      <c r="AY74" s="1315">
        <v>-468162</v>
      </c>
      <c r="AZ74" s="1315">
        <v>3158652</v>
      </c>
      <c r="BA74" s="1315">
        <v>3905280</v>
      </c>
      <c r="BB74" s="1315">
        <v>3915805</v>
      </c>
      <c r="BC74" s="1315">
        <v>2584708</v>
      </c>
      <c r="BD74" s="1315">
        <v>2658690</v>
      </c>
      <c r="BE74" s="1315">
        <v>3415843</v>
      </c>
      <c r="BF74" s="1315">
        <v>2084746</v>
      </c>
      <c r="BG74" s="1315">
        <v>1246590</v>
      </c>
      <c r="BH74" s="1315">
        <v>5124041</v>
      </c>
      <c r="BI74" s="1315">
        <v>5870671</v>
      </c>
      <c r="BJ74" s="1315">
        <v>5222873</v>
      </c>
      <c r="BK74" s="1315">
        <v>4410014</v>
      </c>
      <c r="BL74" s="1315">
        <v>4885063</v>
      </c>
      <c r="BM74" s="1315">
        <v>4983895</v>
      </c>
      <c r="BN74" s="1315">
        <v>4171036</v>
      </c>
      <c r="BO74" s="1315">
        <v>238978</v>
      </c>
      <c r="BP74" s="1315">
        <v>985608</v>
      </c>
      <c r="BQ74" s="1315">
        <v>114722</v>
      </c>
      <c r="BR74" s="1315">
        <v>20361</v>
      </c>
    </row>
    <row r="75" spans="1:70" ht="12" customHeight="1">
      <c r="A75" s="1336" t="s">
        <v>74</v>
      </c>
      <c r="B75" s="1315">
        <v>3620092</v>
      </c>
      <c r="C75" s="1315">
        <v>2768613</v>
      </c>
      <c r="D75" s="1315">
        <v>581284</v>
      </c>
      <c r="E75" s="1315">
        <v>270196</v>
      </c>
      <c r="F75" s="1315">
        <v>3233997</v>
      </c>
      <c r="G75" s="1315">
        <v>2276608</v>
      </c>
      <c r="H75" s="1315">
        <v>825545</v>
      </c>
      <c r="I75" s="1315">
        <v>-839</v>
      </c>
      <c r="J75" s="1315">
        <v>386935</v>
      </c>
      <c r="K75" s="1315">
        <v>376496</v>
      </c>
      <c r="L75" s="1315">
        <v>0</v>
      </c>
      <c r="M75" s="1315">
        <v>376496</v>
      </c>
      <c r="N75" s="1315">
        <v>1138502</v>
      </c>
      <c r="O75" s="1315">
        <v>0</v>
      </c>
      <c r="P75" s="1315">
        <v>0</v>
      </c>
      <c r="Q75" s="1315">
        <v>127217</v>
      </c>
      <c r="R75" s="1315">
        <v>50760</v>
      </c>
      <c r="S75" s="1315">
        <v>51503</v>
      </c>
      <c r="T75" s="1315">
        <v>9234</v>
      </c>
      <c r="U75" s="1315">
        <v>-850</v>
      </c>
      <c r="V75" s="1315">
        <v>423194</v>
      </c>
      <c r="W75" s="1315">
        <v>23307</v>
      </c>
      <c r="X75" s="1315">
        <v>399887</v>
      </c>
      <c r="Y75" s="1315">
        <v>-83616</v>
      </c>
      <c r="Z75" s="1315">
        <v>4460</v>
      </c>
      <c r="AA75" s="1315">
        <v>210378</v>
      </c>
      <c r="AB75" s="1315">
        <v>-4212</v>
      </c>
      <c r="AC75" s="1315">
        <v>-56484</v>
      </c>
      <c r="AD75" s="1315">
        <v>-15392</v>
      </c>
      <c r="AE75" s="1315">
        <v>217273</v>
      </c>
      <c r="AF75" s="1315">
        <v>762007</v>
      </c>
      <c r="AG75" s="1315">
        <v>-3099</v>
      </c>
      <c r="AH75" s="1315">
        <v>246611</v>
      </c>
      <c r="AI75" s="1315">
        <v>33951</v>
      </c>
      <c r="AJ75" s="1315">
        <v>39153</v>
      </c>
      <c r="AK75" s="1315">
        <v>947</v>
      </c>
      <c r="AL75" s="1315">
        <v>20042</v>
      </c>
      <c r="AM75" s="1315">
        <v>18164</v>
      </c>
      <c r="AN75" s="1315">
        <v>3440</v>
      </c>
      <c r="AO75" s="1315">
        <v>0</v>
      </c>
      <c r="AP75" s="1315">
        <v>287433</v>
      </c>
      <c r="AQ75" s="1315">
        <v>9805</v>
      </c>
      <c r="AR75" s="1315">
        <v>-23261</v>
      </c>
      <c r="AS75" s="1315">
        <v>2212</v>
      </c>
      <c r="AT75" s="1315">
        <v>-8618</v>
      </c>
      <c r="AU75" s="1315">
        <v>321938</v>
      </c>
      <c r="AV75" s="1315">
        <v>10439</v>
      </c>
      <c r="AW75" s="1315">
        <v>-492005</v>
      </c>
      <c r="AX75" s="1315">
        <v>244261</v>
      </c>
      <c r="AY75" s="1315">
        <v>-386096</v>
      </c>
      <c r="AZ75" s="1315">
        <v>3320861</v>
      </c>
      <c r="BA75" s="1315">
        <v>4187378</v>
      </c>
      <c r="BB75" s="1315">
        <v>4948418</v>
      </c>
      <c r="BC75" s="1315">
        <v>2727825</v>
      </c>
      <c r="BD75" s="1315">
        <v>2815659</v>
      </c>
      <c r="BE75" s="1315">
        <v>4443216</v>
      </c>
      <c r="BF75" s="1315">
        <v>2222623</v>
      </c>
      <c r="BG75" s="1315">
        <v>1371719</v>
      </c>
      <c r="BH75" s="1315">
        <v>5296386</v>
      </c>
      <c r="BI75" s="1315">
        <v>6162903</v>
      </c>
      <c r="BJ75" s="1315">
        <v>6254171</v>
      </c>
      <c r="BK75" s="1315">
        <v>4579713</v>
      </c>
      <c r="BL75" s="1315">
        <v>5096442</v>
      </c>
      <c r="BM75" s="1315">
        <v>6054227</v>
      </c>
      <c r="BN75" s="1315">
        <v>4379769</v>
      </c>
      <c r="BO75" s="1315">
        <v>199944</v>
      </c>
      <c r="BP75" s="1315">
        <v>1066461</v>
      </c>
      <c r="BQ75" s="1315">
        <v>97867</v>
      </c>
      <c r="BR75" s="1315">
        <v>20000</v>
      </c>
    </row>
    <row r="76" spans="1:70" ht="12" customHeight="1">
      <c r="A76" s="1336" t="s">
        <v>866</v>
      </c>
      <c r="B76" s="1315">
        <v>3750168</v>
      </c>
      <c r="C76" s="1315">
        <v>2883157</v>
      </c>
      <c r="D76" s="1315">
        <v>612629</v>
      </c>
      <c r="E76" s="1315">
        <v>254382</v>
      </c>
      <c r="F76" s="1315">
        <v>3366135</v>
      </c>
      <c r="G76" s="1315">
        <v>2373648</v>
      </c>
      <c r="H76" s="1315">
        <v>847158</v>
      </c>
      <c r="I76" s="1315">
        <v>-369</v>
      </c>
      <c r="J76" s="1315">
        <v>384402</v>
      </c>
      <c r="K76" s="1315">
        <v>334928</v>
      </c>
      <c r="L76" s="1315">
        <v>-20</v>
      </c>
      <c r="M76" s="1315">
        <v>334948</v>
      </c>
      <c r="N76" s="1315">
        <v>1151415</v>
      </c>
      <c r="O76" s="1315">
        <v>0</v>
      </c>
      <c r="P76" s="1315">
        <v>0</v>
      </c>
      <c r="Q76" s="1315">
        <v>90464</v>
      </c>
      <c r="R76" s="1315">
        <v>82844</v>
      </c>
      <c r="S76" s="1315">
        <v>54207</v>
      </c>
      <c r="T76" s="1315">
        <v>-854</v>
      </c>
      <c r="U76" s="1315">
        <v>7683</v>
      </c>
      <c r="V76" s="1315">
        <v>320163</v>
      </c>
      <c r="W76" s="1315">
        <v>-13891</v>
      </c>
      <c r="X76" s="1315">
        <v>334054</v>
      </c>
      <c r="Y76" s="1315">
        <v>-8112</v>
      </c>
      <c r="Z76" s="1315">
        <v>4327</v>
      </c>
      <c r="AA76" s="1315">
        <v>209583</v>
      </c>
      <c r="AB76" s="1315">
        <v>30955</v>
      </c>
      <c r="AC76" s="1315">
        <v>114729</v>
      </c>
      <c r="AD76" s="1315">
        <v>40437</v>
      </c>
      <c r="AE76" s="1315">
        <v>212325</v>
      </c>
      <c r="AF76" s="1315">
        <v>816467</v>
      </c>
      <c r="AG76" s="1315">
        <v>-3582</v>
      </c>
      <c r="AH76" s="1315">
        <v>193782</v>
      </c>
      <c r="AI76" s="1315">
        <v>-21391</v>
      </c>
      <c r="AJ76" s="1315">
        <v>28583</v>
      </c>
      <c r="AK76" s="1315">
        <v>1065</v>
      </c>
      <c r="AL76" s="1315">
        <v>-676</v>
      </c>
      <c r="AM76" s="1315">
        <v>28195</v>
      </c>
      <c r="AN76" s="1315">
        <v>3147</v>
      </c>
      <c r="AO76" s="1315">
        <v>0</v>
      </c>
      <c r="AP76" s="1315">
        <v>431626</v>
      </c>
      <c r="AQ76" s="1315">
        <v>-5824</v>
      </c>
      <c r="AR76" s="1315">
        <v>-10975</v>
      </c>
      <c r="AS76" s="1315">
        <v>2340</v>
      </c>
      <c r="AT76" s="1315">
        <v>1256</v>
      </c>
      <c r="AU76" s="1315">
        <v>313524</v>
      </c>
      <c r="AV76" s="1315">
        <v>49474</v>
      </c>
      <c r="AW76" s="1315">
        <v>-509509</v>
      </c>
      <c r="AX76" s="1315">
        <v>234529</v>
      </c>
      <c r="AY76" s="1315">
        <v>-384033</v>
      </c>
      <c r="AZ76" s="1315">
        <v>3540654</v>
      </c>
      <c r="BA76" s="1315">
        <v>4453290</v>
      </c>
      <c r="BB76" s="1315">
        <v>5456888</v>
      </c>
      <c r="BC76" s="1315">
        <v>2945795</v>
      </c>
      <c r="BD76" s="1315">
        <v>2979518</v>
      </c>
      <c r="BE76" s="1315">
        <v>4895752</v>
      </c>
      <c r="BF76" s="1315">
        <v>2384659</v>
      </c>
      <c r="BG76" s="1315">
        <v>1473772</v>
      </c>
      <c r="BH76" s="1315">
        <v>5633131</v>
      </c>
      <c r="BI76" s="1315">
        <v>6545768</v>
      </c>
      <c r="BJ76" s="1315">
        <v>6276783</v>
      </c>
      <c r="BK76" s="1315">
        <v>4910065</v>
      </c>
      <c r="BL76" s="1315">
        <v>5396477</v>
      </c>
      <c r="BM76" s="1315">
        <v>6040129</v>
      </c>
      <c r="BN76" s="1315">
        <v>4673411</v>
      </c>
      <c r="BO76" s="1315">
        <v>236654</v>
      </c>
      <c r="BP76" s="1315">
        <v>1149291</v>
      </c>
      <c r="BQ76" s="1315">
        <v>83296</v>
      </c>
      <c r="BR76" s="1315">
        <v>21448</v>
      </c>
    </row>
    <row r="77" spans="1:70" ht="12" customHeight="1">
      <c r="A77" s="1336" t="s">
        <v>865</v>
      </c>
      <c r="B77" s="1315">
        <v>3659669</v>
      </c>
      <c r="C77" s="1315">
        <v>2788959</v>
      </c>
      <c r="D77" s="1315">
        <v>608385</v>
      </c>
      <c r="E77" s="1315">
        <v>262325</v>
      </c>
      <c r="F77" s="1315">
        <v>3209077</v>
      </c>
      <c r="G77" s="1315">
        <v>2264916</v>
      </c>
      <c r="H77" s="1315">
        <v>812905</v>
      </c>
      <c r="I77" s="1315">
        <v>-396</v>
      </c>
      <c r="J77" s="1315">
        <v>450988</v>
      </c>
      <c r="K77" s="1315">
        <v>264572</v>
      </c>
      <c r="L77" s="1315">
        <v>0</v>
      </c>
      <c r="M77" s="1315">
        <v>264572</v>
      </c>
      <c r="N77" s="1315">
        <v>551547</v>
      </c>
      <c r="O77" s="1315">
        <v>0</v>
      </c>
      <c r="P77" s="1315">
        <v>0</v>
      </c>
      <c r="Q77" s="1315">
        <v>-34154</v>
      </c>
      <c r="R77" s="1315">
        <v>32649</v>
      </c>
      <c r="S77" s="1315">
        <v>-18635</v>
      </c>
      <c r="T77" s="1315">
        <v>2282</v>
      </c>
      <c r="U77" s="1315">
        <v>-2290</v>
      </c>
      <c r="V77" s="1315">
        <v>42697</v>
      </c>
      <c r="W77" s="1315">
        <v>53095</v>
      </c>
      <c r="X77" s="1315">
        <v>-10398</v>
      </c>
      <c r="Y77" s="1315">
        <v>24765</v>
      </c>
      <c r="Z77" s="1315">
        <v>6456</v>
      </c>
      <c r="AA77" s="1315">
        <v>334941</v>
      </c>
      <c r="AB77" s="1315">
        <v>36893</v>
      </c>
      <c r="AC77" s="1315">
        <v>-191331</v>
      </c>
      <c r="AD77" s="1315">
        <v>1743</v>
      </c>
      <c r="AE77" s="1315">
        <v>476684</v>
      </c>
      <c r="AF77" s="1315">
        <v>286975</v>
      </c>
      <c r="AG77" s="1315">
        <v>-6291</v>
      </c>
      <c r="AH77" s="1315">
        <v>-8735</v>
      </c>
      <c r="AI77" s="1315">
        <v>59256</v>
      </c>
      <c r="AJ77" s="1315">
        <v>22706</v>
      </c>
      <c r="AK77" s="1315">
        <v>1331</v>
      </c>
      <c r="AL77" s="1315">
        <v>1188</v>
      </c>
      <c r="AM77" s="1315">
        <v>20187</v>
      </c>
      <c r="AN77" s="1315">
        <v>2225</v>
      </c>
      <c r="AO77" s="1315">
        <v>0</v>
      </c>
      <c r="AP77" s="1315">
        <v>196922</v>
      </c>
      <c r="AQ77" s="1315">
        <v>-1703</v>
      </c>
      <c r="AR77" s="1315">
        <v>-5202</v>
      </c>
      <c r="AS77" s="1315">
        <v>2227</v>
      </c>
      <c r="AT77" s="1315">
        <v>-531</v>
      </c>
      <c r="AU77" s="1315">
        <v>281663</v>
      </c>
      <c r="AV77" s="1315">
        <v>186416</v>
      </c>
      <c r="AW77" s="1315">
        <v>-524042</v>
      </c>
      <c r="AX77" s="1315">
        <v>204520</v>
      </c>
      <c r="AY77" s="1315">
        <v>-450593</v>
      </c>
      <c r="AZ77" s="1315">
        <v>3929734</v>
      </c>
      <c r="BA77" s="1315">
        <v>4920910</v>
      </c>
      <c r="BB77" s="1315">
        <v>5709658</v>
      </c>
      <c r="BC77" s="1315">
        <v>3303586</v>
      </c>
      <c r="BD77" s="1315">
        <v>3296496</v>
      </c>
      <c r="BE77" s="1315">
        <v>5076420</v>
      </c>
      <c r="BF77" s="1315">
        <v>2670348</v>
      </c>
      <c r="BG77" s="1315">
        <v>1624414</v>
      </c>
      <c r="BH77" s="1315">
        <v>5783736</v>
      </c>
      <c r="BI77" s="1315">
        <v>6774912</v>
      </c>
      <c r="BJ77" s="1315">
        <v>6007773</v>
      </c>
      <c r="BK77" s="1315">
        <v>5048773</v>
      </c>
      <c r="BL77" s="1315">
        <v>5563875</v>
      </c>
      <c r="BM77" s="1315">
        <v>5787912</v>
      </c>
      <c r="BN77" s="1315">
        <v>4828912</v>
      </c>
      <c r="BO77" s="1315">
        <v>219861</v>
      </c>
      <c r="BP77" s="1315">
        <v>1211037</v>
      </c>
      <c r="BQ77" s="1315">
        <v>76398</v>
      </c>
      <c r="BR77" s="1315">
        <v>18741</v>
      </c>
    </row>
    <row r="78" spans="1:70" ht="12" customHeight="1">
      <c r="A78" s="1336" t="s">
        <v>864</v>
      </c>
      <c r="B78" s="1315">
        <v>3660064</v>
      </c>
      <c r="C78" s="1315">
        <v>2735805</v>
      </c>
      <c r="D78" s="1315">
        <v>647170</v>
      </c>
      <c r="E78" s="1315">
        <v>277089</v>
      </c>
      <c r="F78" s="1315">
        <v>3199147</v>
      </c>
      <c r="G78" s="1315">
        <v>2214566</v>
      </c>
      <c r="H78" s="1315">
        <v>844252</v>
      </c>
      <c r="I78" s="1315">
        <v>-441</v>
      </c>
      <c r="J78" s="1315">
        <v>461357</v>
      </c>
      <c r="K78" s="1315">
        <v>365602</v>
      </c>
      <c r="L78" s="1315">
        <v>0</v>
      </c>
      <c r="M78" s="1315">
        <v>365602</v>
      </c>
      <c r="N78" s="1315">
        <v>720899</v>
      </c>
      <c r="O78" s="1315">
        <v>0</v>
      </c>
      <c r="P78" s="1315">
        <v>0</v>
      </c>
      <c r="Q78" s="1315">
        <v>-93889</v>
      </c>
      <c r="R78" s="1315">
        <v>59685</v>
      </c>
      <c r="S78" s="1315">
        <v>69920</v>
      </c>
      <c r="T78" s="1315">
        <v>764</v>
      </c>
      <c r="U78" s="1315">
        <v>36994</v>
      </c>
      <c r="V78" s="1315">
        <v>-99307</v>
      </c>
      <c r="W78" s="1315">
        <v>-52354</v>
      </c>
      <c r="X78" s="1315">
        <v>-46953</v>
      </c>
      <c r="Y78" s="1315">
        <v>78367</v>
      </c>
      <c r="Z78" s="1315">
        <v>7253</v>
      </c>
      <c r="AA78" s="1315">
        <v>325757</v>
      </c>
      <c r="AB78" s="1315">
        <v>-1934</v>
      </c>
      <c r="AC78" s="1315">
        <v>-194717</v>
      </c>
      <c r="AD78" s="1315">
        <v>52874</v>
      </c>
      <c r="AE78" s="1315">
        <v>468330</v>
      </c>
      <c r="AF78" s="1315">
        <v>355297</v>
      </c>
      <c r="AG78" s="1315">
        <v>2089</v>
      </c>
      <c r="AH78" s="1315">
        <v>5043</v>
      </c>
      <c r="AI78" s="1315">
        <v>-78691</v>
      </c>
      <c r="AJ78" s="1315">
        <v>-16201</v>
      </c>
      <c r="AK78" s="1315">
        <v>-2221</v>
      </c>
      <c r="AL78" s="1315">
        <v>-16738</v>
      </c>
      <c r="AM78" s="1315">
        <v>2758</v>
      </c>
      <c r="AN78" s="1315">
        <v>-1454</v>
      </c>
      <c r="AO78" s="1315">
        <v>0</v>
      </c>
      <c r="AP78" s="1315">
        <v>14423</v>
      </c>
      <c r="AQ78" s="1315">
        <v>907</v>
      </c>
      <c r="AR78" s="1315">
        <v>6953</v>
      </c>
      <c r="AS78" s="1315">
        <v>1985</v>
      </c>
      <c r="AT78" s="1315">
        <v>4566</v>
      </c>
      <c r="AU78" s="1315">
        <v>300496</v>
      </c>
      <c r="AV78" s="1315">
        <v>95755</v>
      </c>
      <c r="AW78" s="1315">
        <v>-521239</v>
      </c>
      <c r="AX78" s="1315">
        <v>197082</v>
      </c>
      <c r="AY78" s="1315">
        <v>-460917</v>
      </c>
      <c r="AZ78" s="1315">
        <v>4391632</v>
      </c>
      <c r="BA78" s="1315">
        <v>5405261</v>
      </c>
      <c r="BB78" s="1315">
        <v>6555622</v>
      </c>
      <c r="BC78" s="1315">
        <v>3725419</v>
      </c>
      <c r="BD78" s="1315">
        <v>3619510</v>
      </c>
      <c r="BE78" s="1315">
        <v>5783500</v>
      </c>
      <c r="BF78" s="1315">
        <v>2953297</v>
      </c>
      <c r="BG78" s="1315">
        <v>1785751</v>
      </c>
      <c r="BH78" s="1315">
        <v>6088721</v>
      </c>
      <c r="BI78" s="1315">
        <v>7102350</v>
      </c>
      <c r="BJ78" s="1315">
        <v>6361419</v>
      </c>
      <c r="BK78" s="1315">
        <v>5332225</v>
      </c>
      <c r="BL78" s="1315">
        <v>5899636</v>
      </c>
      <c r="BM78" s="1315">
        <v>6172334</v>
      </c>
      <c r="BN78" s="1315">
        <v>5143140</v>
      </c>
      <c r="BO78" s="1315">
        <v>189085</v>
      </c>
      <c r="BP78" s="1315">
        <v>1202714</v>
      </c>
      <c r="BQ78" s="1315">
        <v>76800</v>
      </c>
      <c r="BR78" s="1315">
        <v>28570</v>
      </c>
    </row>
    <row r="79" spans="1:70" ht="12" customHeight="1">
      <c r="A79" s="1336" t="s">
        <v>2987</v>
      </c>
      <c r="B79" s="1315">
        <v>3918677</v>
      </c>
      <c r="C79" s="1315">
        <v>2915346</v>
      </c>
      <c r="D79" s="1315">
        <v>718510</v>
      </c>
      <c r="E79" s="1315">
        <v>284821</v>
      </c>
      <c r="F79" s="1315">
        <v>3431407</v>
      </c>
      <c r="G79" s="1315">
        <v>2344283</v>
      </c>
      <c r="H79" s="1315">
        <v>932400</v>
      </c>
      <c r="I79" s="1315">
        <v>-3575</v>
      </c>
      <c r="J79" s="1315">
        <v>490844</v>
      </c>
      <c r="K79" s="1315">
        <v>440213</v>
      </c>
      <c r="L79" s="1315">
        <v>2</v>
      </c>
      <c r="M79" s="1315">
        <v>440212</v>
      </c>
      <c r="N79" s="1315">
        <v>1397632</v>
      </c>
      <c r="O79" s="1315">
        <v>0</v>
      </c>
      <c r="P79" s="1315">
        <v>0</v>
      </c>
      <c r="Q79" s="1315">
        <v>-23446</v>
      </c>
      <c r="R79" s="1315">
        <v>81122</v>
      </c>
      <c r="S79" s="1315">
        <v>15212</v>
      </c>
      <c r="T79" s="1315">
        <v>4733</v>
      </c>
      <c r="U79" s="1315">
        <v>-13165</v>
      </c>
      <c r="V79" s="1315">
        <v>318828</v>
      </c>
      <c r="W79" s="1315">
        <v>51619</v>
      </c>
      <c r="X79" s="1315">
        <v>267209</v>
      </c>
      <c r="Y79" s="1315">
        <v>20560</v>
      </c>
      <c r="Z79" s="1315">
        <v>10363</v>
      </c>
      <c r="AA79" s="1315">
        <v>310352</v>
      </c>
      <c r="AB79" s="1315">
        <v>57615</v>
      </c>
      <c r="AC79" s="1315">
        <v>134267</v>
      </c>
      <c r="AD79" s="1315">
        <v>20281</v>
      </c>
      <c r="AE79" s="1315">
        <v>318077</v>
      </c>
      <c r="AF79" s="1315">
        <v>957421</v>
      </c>
      <c r="AG79" s="1315">
        <v>-525</v>
      </c>
      <c r="AH79" s="1315">
        <v>263894</v>
      </c>
      <c r="AI79" s="1315">
        <v>62786</v>
      </c>
      <c r="AJ79" s="1315">
        <v>-34889</v>
      </c>
      <c r="AK79" s="1315">
        <v>-3122</v>
      </c>
      <c r="AL79" s="1315">
        <v>910</v>
      </c>
      <c r="AM79" s="1315">
        <v>-32677</v>
      </c>
      <c r="AN79" s="1315">
        <v>4791</v>
      </c>
      <c r="AO79" s="1315">
        <v>0</v>
      </c>
      <c r="AP79" s="1315">
        <v>251903</v>
      </c>
      <c r="AQ79" s="1315">
        <v>3993</v>
      </c>
      <c r="AR79" s="1315">
        <v>3378</v>
      </c>
      <c r="AS79" s="1315">
        <v>274</v>
      </c>
      <c r="AT79" s="1315">
        <v>6504</v>
      </c>
      <c r="AU79" s="1315">
        <v>294253</v>
      </c>
      <c r="AV79" s="1315">
        <v>50631</v>
      </c>
      <c r="AW79" s="1315">
        <v>-571064</v>
      </c>
      <c r="AX79" s="1315">
        <v>213891</v>
      </c>
      <c r="AY79" s="1315">
        <v>-487270</v>
      </c>
      <c r="AZ79" s="1315">
        <v>4698543</v>
      </c>
      <c r="BA79" s="1315">
        <v>5779222</v>
      </c>
      <c r="BB79" s="1315">
        <v>7476598</v>
      </c>
      <c r="BC79" s="1315">
        <v>3961452</v>
      </c>
      <c r="BD79" s="1315">
        <v>3912811</v>
      </c>
      <c r="BE79" s="1315">
        <v>6690866</v>
      </c>
      <c r="BF79" s="1315">
        <v>3175720</v>
      </c>
      <c r="BG79" s="1315">
        <v>1866411</v>
      </c>
      <c r="BH79" s="1315">
        <v>6424249</v>
      </c>
      <c r="BI79" s="1315">
        <v>7518272</v>
      </c>
      <c r="BJ79" s="1315">
        <v>7548924</v>
      </c>
      <c r="BK79" s="1315">
        <v>5635793</v>
      </c>
      <c r="BL79" s="1315">
        <v>6277101</v>
      </c>
      <c r="BM79" s="1315">
        <v>7388430</v>
      </c>
      <c r="BN79" s="1315">
        <v>5475299</v>
      </c>
      <c r="BO79" s="1315">
        <v>160494</v>
      </c>
      <c r="BP79" s="1315">
        <v>1241172</v>
      </c>
      <c r="BQ79" s="1315">
        <v>73400</v>
      </c>
      <c r="BR79" s="1315">
        <v>28021</v>
      </c>
    </row>
  </sheetData>
  <hyperlinks>
    <hyperlink ref="A1" r:id="rId1"/>
  </hyperlinks>
  <pageMargins left="0.75" right="0.75" top="1" bottom="1" header="0.5" footer="0.5"/>
  <extLst>
    <ext xmlns:mx="http://schemas.microsoft.com/office/mac/excel/2008/main" uri="{64002731-A6B0-56B0-2670-7721B7C09600}">
      <mx:PLV Mode="0" OnePage="0" WScale="0"/>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6"/>
  <sheetViews>
    <sheetView defaultGridColor="0" colorId="22" zoomScale="125" zoomScaleNormal="125" zoomScalePageLayoutView="125" workbookViewId="0">
      <pane xSplit="1" ySplit="4" topLeftCell="B66"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15.28515625" style="216" customWidth="1"/>
    <col min="2" max="3" width="10.85546875" style="215" customWidth="1"/>
    <col min="4" max="11" width="9.28515625" style="215" customWidth="1"/>
    <col min="12" max="16384" width="7.5703125" style="215"/>
  </cols>
  <sheetData>
    <row r="1" spans="1:11" s="216" customFormat="1">
      <c r="A1" s="1996" t="s">
        <v>818</v>
      </c>
      <c r="B1" s="1996"/>
      <c r="C1" s="1996"/>
      <c r="D1" s="1996"/>
      <c r="E1" s="1996"/>
      <c r="F1" s="1996"/>
      <c r="G1" s="1996"/>
      <c r="H1" s="1996"/>
      <c r="I1" s="1996"/>
      <c r="J1" s="1996"/>
      <c r="K1" s="1996"/>
    </row>
    <row r="2" spans="1:11" s="216" customFormat="1">
      <c r="A2" s="1997" t="s">
        <v>817</v>
      </c>
      <c r="B2" s="1997"/>
      <c r="C2" s="1997"/>
      <c r="D2" s="1997"/>
      <c r="E2" s="1997"/>
      <c r="F2" s="1997"/>
      <c r="G2" s="1997"/>
      <c r="H2" s="1997"/>
      <c r="I2" s="1997"/>
      <c r="J2" s="1997"/>
    </row>
    <row r="3" spans="1:11" s="216" customFormat="1" ht="28.75" customHeight="1">
      <c r="A3" s="1998" t="s">
        <v>802</v>
      </c>
      <c r="B3" s="2000" t="s">
        <v>801</v>
      </c>
      <c r="C3" s="2000" t="s">
        <v>816</v>
      </c>
      <c r="D3" s="2002" t="s">
        <v>815</v>
      </c>
      <c r="E3" s="2003"/>
      <c r="F3" s="2004"/>
      <c r="G3" s="2000" t="s">
        <v>814</v>
      </c>
      <c r="H3" s="2000" t="s">
        <v>813</v>
      </c>
      <c r="I3" s="2002" t="s">
        <v>800</v>
      </c>
      <c r="J3" s="2003"/>
      <c r="K3" s="2003"/>
    </row>
    <row r="4" spans="1:11" s="216" customFormat="1" ht="24">
      <c r="A4" s="1999"/>
      <c r="B4" s="2001"/>
      <c r="C4" s="2001"/>
      <c r="D4" s="221" t="s">
        <v>1</v>
      </c>
      <c r="E4" s="221" t="s">
        <v>799</v>
      </c>
      <c r="F4" s="221" t="s">
        <v>798</v>
      </c>
      <c r="G4" s="2001"/>
      <c r="H4" s="2001"/>
      <c r="I4" s="221" t="s">
        <v>1</v>
      </c>
      <c r="J4" s="221" t="s">
        <v>799</v>
      </c>
      <c r="K4" s="221" t="s">
        <v>798</v>
      </c>
    </row>
    <row r="5" spans="1:11" s="216" customFormat="1">
      <c r="A5" s="220" t="s">
        <v>153</v>
      </c>
      <c r="B5" s="219">
        <v>420</v>
      </c>
      <c r="C5" s="219">
        <v>364</v>
      </c>
      <c r="D5" s="219">
        <v>30</v>
      </c>
      <c r="E5" s="219">
        <v>30</v>
      </c>
      <c r="F5" s="219" t="s">
        <v>812</v>
      </c>
      <c r="G5" s="219">
        <v>1354</v>
      </c>
      <c r="H5" s="219">
        <v>788</v>
      </c>
      <c r="I5" s="219">
        <v>2955</v>
      </c>
      <c r="J5" s="219">
        <v>2955</v>
      </c>
      <c r="K5" s="219" t="s">
        <v>812</v>
      </c>
    </row>
    <row r="6" spans="1:11" s="216" customFormat="1">
      <c r="A6" s="220" t="s">
        <v>152</v>
      </c>
      <c r="B6" s="219">
        <v>527</v>
      </c>
      <c r="C6" s="219">
        <v>529</v>
      </c>
      <c r="D6" s="219">
        <v>31</v>
      </c>
      <c r="E6" s="219">
        <v>31</v>
      </c>
      <c r="F6" s="219" t="s">
        <v>812</v>
      </c>
      <c r="G6" s="219">
        <v>1439</v>
      </c>
      <c r="H6" s="219">
        <v>1084</v>
      </c>
      <c r="I6" s="219">
        <v>3609</v>
      </c>
      <c r="J6" s="219">
        <v>3609</v>
      </c>
      <c r="K6" s="219" t="s">
        <v>812</v>
      </c>
    </row>
    <row r="7" spans="1:11" s="216" customFormat="1">
      <c r="A7" s="220" t="s">
        <v>151</v>
      </c>
      <c r="B7" s="219">
        <v>674</v>
      </c>
      <c r="C7" s="219">
        <v>719</v>
      </c>
      <c r="D7" s="219">
        <v>52</v>
      </c>
      <c r="E7" s="219">
        <v>52</v>
      </c>
      <c r="F7" s="219" t="s">
        <v>812</v>
      </c>
      <c r="G7" s="219">
        <v>1631</v>
      </c>
      <c r="H7" s="219">
        <v>847</v>
      </c>
      <c r="I7" s="219">
        <v>3923</v>
      </c>
      <c r="J7" s="219">
        <v>3923</v>
      </c>
      <c r="K7" s="219" t="s">
        <v>812</v>
      </c>
    </row>
    <row r="8" spans="1:11" s="216" customFormat="1">
      <c r="A8" s="220" t="s">
        <v>150</v>
      </c>
      <c r="B8" s="219">
        <v>1092</v>
      </c>
      <c r="C8" s="219">
        <v>1038</v>
      </c>
      <c r="D8" s="219">
        <v>580</v>
      </c>
      <c r="E8" s="219">
        <v>315</v>
      </c>
      <c r="F8" s="219">
        <v>265</v>
      </c>
      <c r="G8" s="219">
        <v>1876</v>
      </c>
      <c r="H8" s="219">
        <v>801</v>
      </c>
      <c r="I8" s="219">
        <v>5387</v>
      </c>
      <c r="J8" s="219">
        <v>5122</v>
      </c>
      <c r="K8" s="219">
        <v>265</v>
      </c>
    </row>
    <row r="9" spans="1:11" s="216" customFormat="1">
      <c r="A9" s="220" t="s">
        <v>149</v>
      </c>
      <c r="B9" s="219">
        <v>1286</v>
      </c>
      <c r="C9" s="219">
        <v>1287</v>
      </c>
      <c r="D9" s="219">
        <v>1541</v>
      </c>
      <c r="E9" s="219">
        <v>1154</v>
      </c>
      <c r="F9" s="219">
        <v>387</v>
      </c>
      <c r="G9" s="219">
        <v>1863</v>
      </c>
      <c r="H9" s="219">
        <v>773</v>
      </c>
      <c r="I9" s="219">
        <v>6751</v>
      </c>
      <c r="J9" s="219">
        <v>6364</v>
      </c>
      <c r="K9" s="219">
        <v>387</v>
      </c>
    </row>
    <row r="10" spans="1:11" s="216" customFormat="1">
      <c r="A10" s="220" t="s">
        <v>148</v>
      </c>
      <c r="B10" s="219">
        <v>1029</v>
      </c>
      <c r="C10" s="219">
        <v>1127</v>
      </c>
      <c r="D10" s="219">
        <v>1593</v>
      </c>
      <c r="E10" s="219">
        <v>1090</v>
      </c>
      <c r="F10" s="219">
        <v>503</v>
      </c>
      <c r="G10" s="219">
        <v>1871</v>
      </c>
      <c r="H10" s="219">
        <v>675</v>
      </c>
      <c r="I10" s="219">
        <v>6295</v>
      </c>
      <c r="J10" s="219">
        <v>5792</v>
      </c>
      <c r="K10" s="219">
        <v>503</v>
      </c>
    </row>
    <row r="11" spans="1:11" s="216" customFormat="1">
      <c r="A11" s="220" t="s">
        <v>147</v>
      </c>
      <c r="B11" s="219">
        <v>892</v>
      </c>
      <c r="C11" s="219">
        <v>1197</v>
      </c>
      <c r="D11" s="219">
        <v>1785</v>
      </c>
      <c r="E11" s="219">
        <v>1235</v>
      </c>
      <c r="F11" s="219">
        <v>550</v>
      </c>
      <c r="G11" s="219">
        <v>1977</v>
      </c>
      <c r="H11" s="219">
        <v>698</v>
      </c>
      <c r="I11" s="219">
        <v>6548</v>
      </c>
      <c r="J11" s="219">
        <v>5998</v>
      </c>
      <c r="K11" s="219">
        <v>550</v>
      </c>
    </row>
    <row r="12" spans="1:11" s="216" customFormat="1">
      <c r="A12" s="220" t="s">
        <v>146</v>
      </c>
      <c r="B12" s="219">
        <v>1314</v>
      </c>
      <c r="C12" s="219">
        <v>2124</v>
      </c>
      <c r="D12" s="219">
        <v>1940</v>
      </c>
      <c r="E12" s="219">
        <v>1252</v>
      </c>
      <c r="F12" s="219">
        <v>688</v>
      </c>
      <c r="G12" s="219">
        <v>2552</v>
      </c>
      <c r="H12" s="219">
        <v>781</v>
      </c>
      <c r="I12" s="219">
        <v>8712</v>
      </c>
      <c r="J12" s="219">
        <v>8024</v>
      </c>
      <c r="K12" s="219">
        <v>688</v>
      </c>
    </row>
    <row r="13" spans="1:11" s="216" customFormat="1">
      <c r="A13" s="220" t="s">
        <v>145</v>
      </c>
      <c r="B13" s="219">
        <v>3263</v>
      </c>
      <c r="C13" s="219">
        <v>4719</v>
      </c>
      <c r="D13" s="219">
        <v>2452</v>
      </c>
      <c r="E13" s="219">
        <v>1557</v>
      </c>
      <c r="F13" s="219">
        <v>896</v>
      </c>
      <c r="G13" s="219">
        <v>3399</v>
      </c>
      <c r="H13" s="219">
        <v>801</v>
      </c>
      <c r="I13" s="219">
        <v>14634</v>
      </c>
      <c r="J13" s="219">
        <v>13738</v>
      </c>
      <c r="K13" s="219">
        <v>896</v>
      </c>
    </row>
    <row r="14" spans="1:11" s="216" customFormat="1">
      <c r="A14" s="220" t="s">
        <v>144</v>
      </c>
      <c r="B14" s="219">
        <v>6505</v>
      </c>
      <c r="C14" s="219">
        <v>9557</v>
      </c>
      <c r="D14" s="219">
        <v>3044</v>
      </c>
      <c r="E14" s="219">
        <v>1913</v>
      </c>
      <c r="F14" s="219">
        <v>1130</v>
      </c>
      <c r="G14" s="219">
        <v>4096</v>
      </c>
      <c r="H14" s="219">
        <v>800</v>
      </c>
      <c r="I14" s="219">
        <v>24001</v>
      </c>
      <c r="J14" s="219">
        <v>22871</v>
      </c>
      <c r="K14" s="219">
        <v>1130</v>
      </c>
    </row>
    <row r="15" spans="1:11" s="216" customFormat="1">
      <c r="A15" s="220" t="s">
        <v>143</v>
      </c>
      <c r="B15" s="219">
        <v>19705</v>
      </c>
      <c r="C15" s="219">
        <v>14838</v>
      </c>
      <c r="D15" s="219">
        <v>3473</v>
      </c>
      <c r="E15" s="219">
        <v>2181</v>
      </c>
      <c r="F15" s="219">
        <v>1292</v>
      </c>
      <c r="G15" s="219">
        <v>4759</v>
      </c>
      <c r="H15" s="219">
        <v>972</v>
      </c>
      <c r="I15" s="219">
        <v>43747</v>
      </c>
      <c r="J15" s="219">
        <v>42455</v>
      </c>
      <c r="K15" s="219">
        <v>1292</v>
      </c>
    </row>
    <row r="16" spans="1:11" s="216" customFormat="1">
      <c r="A16" s="220" t="s">
        <v>142</v>
      </c>
      <c r="B16" s="219">
        <v>18372</v>
      </c>
      <c r="C16" s="219">
        <v>15988</v>
      </c>
      <c r="D16" s="219">
        <v>3451</v>
      </c>
      <c r="E16" s="219">
        <v>2141</v>
      </c>
      <c r="F16" s="219">
        <v>1310</v>
      </c>
      <c r="G16" s="219">
        <v>6265</v>
      </c>
      <c r="H16" s="219">
        <v>1083</v>
      </c>
      <c r="I16" s="219">
        <v>45159</v>
      </c>
      <c r="J16" s="219">
        <v>43849</v>
      </c>
      <c r="K16" s="219">
        <v>1310</v>
      </c>
    </row>
    <row r="17" spans="1:11" s="216" customFormat="1">
      <c r="A17" s="220" t="s">
        <v>141</v>
      </c>
      <c r="B17" s="219">
        <v>16098</v>
      </c>
      <c r="C17" s="219">
        <v>11883</v>
      </c>
      <c r="D17" s="219">
        <v>3115</v>
      </c>
      <c r="E17" s="219">
        <v>1877</v>
      </c>
      <c r="F17" s="219">
        <v>1238</v>
      </c>
      <c r="G17" s="219">
        <v>6998</v>
      </c>
      <c r="H17" s="219">
        <v>1202</v>
      </c>
      <c r="I17" s="219">
        <v>39296</v>
      </c>
      <c r="J17" s="219">
        <v>38057</v>
      </c>
      <c r="K17" s="219">
        <v>1238</v>
      </c>
    </row>
    <row r="18" spans="1:11" s="216" customFormat="1">
      <c r="A18" s="220" t="s">
        <v>140</v>
      </c>
      <c r="B18" s="219">
        <v>17935</v>
      </c>
      <c r="C18" s="219">
        <v>8615</v>
      </c>
      <c r="D18" s="219">
        <v>3422</v>
      </c>
      <c r="E18" s="219">
        <v>1963</v>
      </c>
      <c r="F18" s="219">
        <v>1459</v>
      </c>
      <c r="G18" s="219">
        <v>7211</v>
      </c>
      <c r="H18" s="219">
        <v>1331</v>
      </c>
      <c r="I18" s="219">
        <v>38514</v>
      </c>
      <c r="J18" s="219">
        <v>37055</v>
      </c>
      <c r="K18" s="219">
        <v>1459</v>
      </c>
    </row>
    <row r="19" spans="1:11" s="216" customFormat="1">
      <c r="A19" s="220" t="s">
        <v>139</v>
      </c>
      <c r="B19" s="219">
        <v>19315</v>
      </c>
      <c r="C19" s="219">
        <v>9678</v>
      </c>
      <c r="D19" s="219">
        <v>3751</v>
      </c>
      <c r="E19" s="219">
        <v>2134</v>
      </c>
      <c r="F19" s="219">
        <v>1616</v>
      </c>
      <c r="G19" s="219">
        <v>7356</v>
      </c>
      <c r="H19" s="219">
        <v>1461</v>
      </c>
      <c r="I19" s="219">
        <v>41560</v>
      </c>
      <c r="J19" s="219">
        <v>39944</v>
      </c>
      <c r="K19" s="219">
        <v>1616</v>
      </c>
    </row>
    <row r="20" spans="1:11" s="216" customFormat="1">
      <c r="A20" s="220" t="s">
        <v>138</v>
      </c>
      <c r="B20" s="219">
        <v>15552</v>
      </c>
      <c r="C20" s="219">
        <v>11192</v>
      </c>
      <c r="D20" s="219">
        <v>3781</v>
      </c>
      <c r="E20" s="219">
        <v>2091</v>
      </c>
      <c r="F20" s="219">
        <v>1690</v>
      </c>
      <c r="G20" s="219">
        <v>7502</v>
      </c>
      <c r="H20" s="219">
        <v>1388</v>
      </c>
      <c r="I20" s="219">
        <v>39415</v>
      </c>
      <c r="J20" s="219">
        <v>37724</v>
      </c>
      <c r="K20" s="219">
        <v>1690</v>
      </c>
    </row>
    <row r="21" spans="1:11" s="216" customFormat="1">
      <c r="A21" s="220" t="s">
        <v>137</v>
      </c>
      <c r="B21" s="219">
        <v>15755</v>
      </c>
      <c r="C21" s="219">
        <v>10449</v>
      </c>
      <c r="D21" s="219">
        <v>4338</v>
      </c>
      <c r="E21" s="219">
        <v>2232</v>
      </c>
      <c r="F21" s="219">
        <v>2106</v>
      </c>
      <c r="G21" s="219">
        <v>7550</v>
      </c>
      <c r="H21" s="219">
        <v>1351</v>
      </c>
      <c r="I21" s="219">
        <v>39443</v>
      </c>
      <c r="J21" s="219">
        <v>37336</v>
      </c>
      <c r="K21" s="219">
        <v>2106</v>
      </c>
    </row>
    <row r="22" spans="1:11" s="216" customFormat="1">
      <c r="A22" s="220" t="s">
        <v>136</v>
      </c>
      <c r="B22" s="219">
        <v>21616</v>
      </c>
      <c r="C22" s="219">
        <v>14101</v>
      </c>
      <c r="D22" s="219">
        <v>5674</v>
      </c>
      <c r="E22" s="219">
        <v>2554</v>
      </c>
      <c r="F22" s="219">
        <v>3120</v>
      </c>
      <c r="G22" s="219">
        <v>8648</v>
      </c>
      <c r="H22" s="219">
        <v>1578</v>
      </c>
      <c r="I22" s="219">
        <v>51616</v>
      </c>
      <c r="J22" s="219">
        <v>48496</v>
      </c>
      <c r="K22" s="219">
        <v>3120</v>
      </c>
    </row>
    <row r="23" spans="1:11" s="216" customFormat="1">
      <c r="A23" s="220" t="s">
        <v>135</v>
      </c>
      <c r="B23" s="219">
        <v>27934</v>
      </c>
      <c r="C23" s="219">
        <v>21226</v>
      </c>
      <c r="D23" s="219">
        <v>6445</v>
      </c>
      <c r="E23" s="219">
        <v>2851</v>
      </c>
      <c r="F23" s="219">
        <v>3594</v>
      </c>
      <c r="G23" s="219">
        <v>8852</v>
      </c>
      <c r="H23" s="219">
        <v>1710</v>
      </c>
      <c r="I23" s="219">
        <v>66167</v>
      </c>
      <c r="J23" s="219">
        <v>62573</v>
      </c>
      <c r="K23" s="219">
        <v>3594</v>
      </c>
    </row>
    <row r="24" spans="1:11" s="216" customFormat="1">
      <c r="A24" s="220" t="s">
        <v>134</v>
      </c>
      <c r="B24" s="219">
        <v>29816</v>
      </c>
      <c r="C24" s="219">
        <v>21238</v>
      </c>
      <c r="D24" s="219">
        <v>6820</v>
      </c>
      <c r="E24" s="219">
        <v>2723</v>
      </c>
      <c r="F24" s="219">
        <v>4097</v>
      </c>
      <c r="G24" s="219">
        <v>9877</v>
      </c>
      <c r="H24" s="219">
        <v>1857</v>
      </c>
      <c r="I24" s="219">
        <v>69608</v>
      </c>
      <c r="J24" s="219">
        <v>65511</v>
      </c>
      <c r="K24" s="219">
        <v>4097</v>
      </c>
    </row>
    <row r="25" spans="1:11" s="216" customFormat="1">
      <c r="A25" s="220" t="s">
        <v>133</v>
      </c>
      <c r="B25" s="219">
        <v>29542</v>
      </c>
      <c r="C25" s="219">
        <v>21101</v>
      </c>
      <c r="D25" s="219">
        <v>7208</v>
      </c>
      <c r="E25" s="219">
        <v>2619</v>
      </c>
      <c r="F25" s="219">
        <v>4589</v>
      </c>
      <c r="G25" s="219">
        <v>9945</v>
      </c>
      <c r="H25" s="219">
        <v>1905</v>
      </c>
      <c r="I25" s="219">
        <v>69701</v>
      </c>
      <c r="J25" s="219">
        <v>65112</v>
      </c>
      <c r="K25" s="219">
        <v>4589</v>
      </c>
    </row>
    <row r="26" spans="1:11" s="216" customFormat="1">
      <c r="A26" s="220" t="s">
        <v>132</v>
      </c>
      <c r="B26" s="219">
        <v>28747</v>
      </c>
      <c r="C26" s="219">
        <v>17861</v>
      </c>
      <c r="D26" s="219">
        <v>7862</v>
      </c>
      <c r="E26" s="219">
        <v>2781</v>
      </c>
      <c r="F26" s="219">
        <v>5081</v>
      </c>
      <c r="G26" s="219">
        <v>9131</v>
      </c>
      <c r="H26" s="219">
        <v>1850</v>
      </c>
      <c r="I26" s="219">
        <v>65451</v>
      </c>
      <c r="J26" s="219">
        <v>60370</v>
      </c>
      <c r="K26" s="219">
        <v>5081</v>
      </c>
    </row>
    <row r="27" spans="1:11" s="216" customFormat="1">
      <c r="A27" s="220" t="s">
        <v>131</v>
      </c>
      <c r="B27" s="219">
        <v>32188</v>
      </c>
      <c r="C27" s="219">
        <v>20880</v>
      </c>
      <c r="D27" s="219">
        <v>9320</v>
      </c>
      <c r="E27" s="219">
        <v>2896</v>
      </c>
      <c r="F27" s="219">
        <v>6425</v>
      </c>
      <c r="G27" s="219">
        <v>9929</v>
      </c>
      <c r="H27" s="219">
        <v>2270</v>
      </c>
      <c r="I27" s="219">
        <v>74587</v>
      </c>
      <c r="J27" s="219">
        <v>68162</v>
      </c>
      <c r="K27" s="219">
        <v>6425</v>
      </c>
    </row>
    <row r="28" spans="1:11" s="216" customFormat="1">
      <c r="A28" s="220" t="s">
        <v>130</v>
      </c>
      <c r="B28" s="219">
        <v>35620</v>
      </c>
      <c r="C28" s="219">
        <v>21167</v>
      </c>
      <c r="D28" s="219">
        <v>9997</v>
      </c>
      <c r="E28" s="219">
        <v>3208</v>
      </c>
      <c r="F28" s="219">
        <v>6789</v>
      </c>
      <c r="G28" s="219">
        <v>10534</v>
      </c>
      <c r="H28" s="219">
        <v>2672</v>
      </c>
      <c r="I28" s="219">
        <v>79990</v>
      </c>
      <c r="J28" s="219">
        <v>73201</v>
      </c>
      <c r="K28" s="219">
        <v>6789</v>
      </c>
    </row>
    <row r="29" spans="1:11" s="216" customFormat="1">
      <c r="A29" s="220" t="s">
        <v>129</v>
      </c>
      <c r="B29" s="219">
        <v>34724</v>
      </c>
      <c r="C29" s="219">
        <v>20074</v>
      </c>
      <c r="D29" s="219">
        <v>11239</v>
      </c>
      <c r="E29" s="219">
        <v>3190</v>
      </c>
      <c r="F29" s="219">
        <v>8049</v>
      </c>
      <c r="G29" s="219">
        <v>10638</v>
      </c>
      <c r="H29" s="219">
        <v>2961</v>
      </c>
      <c r="I29" s="219">
        <v>79636</v>
      </c>
      <c r="J29" s="219">
        <v>71587</v>
      </c>
      <c r="K29" s="219">
        <v>8049</v>
      </c>
    </row>
    <row r="30" spans="1:11" s="216" customFormat="1">
      <c r="A30" s="220" t="s">
        <v>128</v>
      </c>
      <c r="B30" s="219">
        <v>36719</v>
      </c>
      <c r="C30" s="219">
        <v>17309</v>
      </c>
      <c r="D30" s="219">
        <v>11722</v>
      </c>
      <c r="E30" s="219">
        <v>3427</v>
      </c>
      <c r="F30" s="219">
        <v>8296</v>
      </c>
      <c r="G30" s="219">
        <v>10578</v>
      </c>
      <c r="H30" s="219">
        <v>2921</v>
      </c>
      <c r="I30" s="219">
        <v>79249</v>
      </c>
      <c r="J30" s="219">
        <v>70953</v>
      </c>
      <c r="K30" s="219">
        <v>8296</v>
      </c>
    </row>
    <row r="31" spans="1:11" s="216" customFormat="1">
      <c r="A31" s="220" t="s">
        <v>127</v>
      </c>
      <c r="B31" s="219">
        <v>40715</v>
      </c>
      <c r="C31" s="219">
        <v>21494</v>
      </c>
      <c r="D31" s="219">
        <v>14683</v>
      </c>
      <c r="E31" s="219">
        <v>4042</v>
      </c>
      <c r="F31" s="219">
        <v>10641</v>
      </c>
      <c r="G31" s="219">
        <v>11676</v>
      </c>
      <c r="H31" s="219">
        <v>3923</v>
      </c>
      <c r="I31" s="219">
        <v>92492</v>
      </c>
      <c r="J31" s="219">
        <v>81851</v>
      </c>
      <c r="K31" s="219">
        <v>10641</v>
      </c>
    </row>
    <row r="32" spans="1:11" s="216" customFormat="1">
      <c r="A32" s="220" t="s">
        <v>126</v>
      </c>
      <c r="B32" s="219">
        <v>41338</v>
      </c>
      <c r="C32" s="219">
        <v>20954</v>
      </c>
      <c r="D32" s="219">
        <v>16439</v>
      </c>
      <c r="E32" s="219">
        <v>4331</v>
      </c>
      <c r="F32" s="219">
        <v>12109</v>
      </c>
      <c r="G32" s="219">
        <v>11860</v>
      </c>
      <c r="H32" s="219">
        <v>3796</v>
      </c>
      <c r="I32" s="219">
        <v>94388</v>
      </c>
      <c r="J32" s="219">
        <v>82279</v>
      </c>
      <c r="K32" s="219">
        <v>12109</v>
      </c>
    </row>
    <row r="33" spans="1:11" s="216" customFormat="1">
      <c r="A33" s="220" t="s">
        <v>125</v>
      </c>
      <c r="B33" s="219">
        <v>45571</v>
      </c>
      <c r="C33" s="219">
        <v>20523</v>
      </c>
      <c r="D33" s="219">
        <v>17046</v>
      </c>
      <c r="E33" s="219">
        <v>4776</v>
      </c>
      <c r="F33" s="219">
        <v>12271</v>
      </c>
      <c r="G33" s="219">
        <v>12534</v>
      </c>
      <c r="H33" s="219">
        <v>4001</v>
      </c>
      <c r="I33" s="219">
        <v>99676</v>
      </c>
      <c r="J33" s="219">
        <v>87405</v>
      </c>
      <c r="K33" s="219">
        <v>12271</v>
      </c>
    </row>
    <row r="34" spans="1:11" s="216" customFormat="1">
      <c r="A34" s="220" t="s">
        <v>124</v>
      </c>
      <c r="B34" s="219">
        <v>47588</v>
      </c>
      <c r="C34" s="219">
        <v>21579</v>
      </c>
      <c r="D34" s="219">
        <v>19804</v>
      </c>
      <c r="E34" s="219">
        <v>5629</v>
      </c>
      <c r="F34" s="219">
        <v>14175</v>
      </c>
      <c r="G34" s="219">
        <v>13194</v>
      </c>
      <c r="H34" s="219">
        <v>4395</v>
      </c>
      <c r="I34" s="219">
        <v>106560</v>
      </c>
      <c r="J34" s="219">
        <v>92385</v>
      </c>
      <c r="K34" s="219">
        <v>14175</v>
      </c>
    </row>
    <row r="35" spans="1:11" s="216" customFormat="1">
      <c r="A35" s="220" t="s">
        <v>123</v>
      </c>
      <c r="B35" s="219">
        <v>48697</v>
      </c>
      <c r="C35" s="219">
        <v>23493</v>
      </c>
      <c r="D35" s="219">
        <v>21963</v>
      </c>
      <c r="E35" s="219">
        <v>5597</v>
      </c>
      <c r="F35" s="219">
        <v>16366</v>
      </c>
      <c r="G35" s="219">
        <v>13731</v>
      </c>
      <c r="H35" s="219">
        <v>4731</v>
      </c>
      <c r="I35" s="219">
        <v>112613</v>
      </c>
      <c r="J35" s="219">
        <v>96248</v>
      </c>
      <c r="K35" s="219">
        <v>16366</v>
      </c>
    </row>
    <row r="36" spans="1:11" s="216" customFormat="1">
      <c r="A36" s="220" t="s">
        <v>122</v>
      </c>
      <c r="B36" s="219">
        <v>48792</v>
      </c>
      <c r="C36" s="219">
        <v>25461</v>
      </c>
      <c r="D36" s="219">
        <v>22242</v>
      </c>
      <c r="E36" s="219">
        <v>5519</v>
      </c>
      <c r="F36" s="219">
        <v>16723</v>
      </c>
      <c r="G36" s="219">
        <v>14570</v>
      </c>
      <c r="H36" s="219">
        <v>5753</v>
      </c>
      <c r="I36" s="219">
        <v>116817</v>
      </c>
      <c r="J36" s="219">
        <v>100094</v>
      </c>
      <c r="K36" s="219">
        <v>16723</v>
      </c>
    </row>
    <row r="37" spans="1:11" s="216" customFormat="1">
      <c r="A37" s="220" t="s">
        <v>121</v>
      </c>
      <c r="B37" s="219">
        <v>55446</v>
      </c>
      <c r="C37" s="219">
        <v>30073</v>
      </c>
      <c r="D37" s="219">
        <v>25546</v>
      </c>
      <c r="E37" s="219">
        <v>6460</v>
      </c>
      <c r="F37" s="219">
        <v>19085</v>
      </c>
      <c r="G37" s="219">
        <v>13062</v>
      </c>
      <c r="H37" s="219">
        <v>6708</v>
      </c>
      <c r="I37" s="219">
        <v>130835</v>
      </c>
      <c r="J37" s="219">
        <v>111749</v>
      </c>
      <c r="K37" s="219">
        <v>19085</v>
      </c>
    </row>
    <row r="38" spans="1:11" s="216" customFormat="1">
      <c r="A38" s="220" t="s">
        <v>120</v>
      </c>
      <c r="B38" s="219">
        <v>61526</v>
      </c>
      <c r="C38" s="219">
        <v>33971</v>
      </c>
      <c r="D38" s="219">
        <v>32619</v>
      </c>
      <c r="E38" s="219">
        <v>8217</v>
      </c>
      <c r="F38" s="219">
        <v>24401</v>
      </c>
      <c r="G38" s="219">
        <v>13719</v>
      </c>
      <c r="H38" s="219">
        <v>6987</v>
      </c>
      <c r="I38" s="219">
        <v>148822</v>
      </c>
      <c r="J38" s="219">
        <v>124420</v>
      </c>
      <c r="K38" s="219">
        <v>24401</v>
      </c>
    </row>
    <row r="39" spans="1:11" s="216" customFormat="1">
      <c r="A39" s="220" t="s">
        <v>119</v>
      </c>
      <c r="B39" s="219">
        <v>68726</v>
      </c>
      <c r="C39" s="219">
        <v>28665</v>
      </c>
      <c r="D39" s="219">
        <v>33923</v>
      </c>
      <c r="E39" s="219">
        <v>9007</v>
      </c>
      <c r="F39" s="219">
        <v>24917</v>
      </c>
      <c r="G39" s="219">
        <v>14079</v>
      </c>
      <c r="H39" s="219">
        <v>7580</v>
      </c>
      <c r="I39" s="219">
        <v>152973</v>
      </c>
      <c r="J39" s="219">
        <v>128056</v>
      </c>
      <c r="K39" s="219">
        <v>24917</v>
      </c>
    </row>
    <row r="40" spans="1:11" s="216" customFormat="1">
      <c r="A40" s="220" t="s">
        <v>118</v>
      </c>
      <c r="B40" s="219">
        <v>87249</v>
      </c>
      <c r="C40" s="219">
        <v>36678</v>
      </c>
      <c r="D40" s="219">
        <v>39015</v>
      </c>
      <c r="E40" s="219">
        <v>10062</v>
      </c>
      <c r="F40" s="219">
        <v>28953</v>
      </c>
      <c r="G40" s="219">
        <v>15222</v>
      </c>
      <c r="H40" s="219">
        <v>8718</v>
      </c>
      <c r="I40" s="219">
        <v>186882</v>
      </c>
      <c r="J40" s="219">
        <v>157928</v>
      </c>
      <c r="K40" s="219">
        <v>28953</v>
      </c>
    </row>
    <row r="41" spans="1:11" s="216" customFormat="1">
      <c r="A41" s="220" t="s">
        <v>117</v>
      </c>
      <c r="B41" s="219">
        <v>90412</v>
      </c>
      <c r="C41" s="219">
        <v>32829</v>
      </c>
      <c r="D41" s="219">
        <v>44362</v>
      </c>
      <c r="E41" s="219">
        <v>10903</v>
      </c>
      <c r="F41" s="219">
        <v>33459</v>
      </c>
      <c r="G41" s="219">
        <v>15705</v>
      </c>
      <c r="H41" s="219">
        <v>9499</v>
      </c>
      <c r="I41" s="219">
        <v>192807</v>
      </c>
      <c r="J41" s="219">
        <v>159348</v>
      </c>
      <c r="K41" s="219">
        <v>33459</v>
      </c>
    </row>
    <row r="42" spans="1:11" s="216" customFormat="1">
      <c r="A42" s="220" t="s">
        <v>116</v>
      </c>
      <c r="B42" s="219">
        <v>86230</v>
      </c>
      <c r="C42" s="219">
        <v>26785</v>
      </c>
      <c r="D42" s="219">
        <v>47325</v>
      </c>
      <c r="E42" s="219">
        <v>11481</v>
      </c>
      <c r="F42" s="219">
        <v>35845</v>
      </c>
      <c r="G42" s="219">
        <v>16614</v>
      </c>
      <c r="H42" s="219">
        <v>10185</v>
      </c>
      <c r="I42" s="219">
        <v>187139</v>
      </c>
      <c r="J42" s="219">
        <v>151294</v>
      </c>
      <c r="K42" s="219">
        <v>35845</v>
      </c>
    </row>
    <row r="43" spans="1:11" s="216" customFormat="1">
      <c r="A43" s="220" t="s">
        <v>115</v>
      </c>
      <c r="B43" s="219">
        <v>94737</v>
      </c>
      <c r="C43" s="219">
        <v>32166</v>
      </c>
      <c r="D43" s="219">
        <v>52574</v>
      </c>
      <c r="E43" s="219">
        <v>12667</v>
      </c>
      <c r="F43" s="219">
        <v>39907</v>
      </c>
      <c r="G43" s="219">
        <v>15477</v>
      </c>
      <c r="H43" s="219">
        <v>12355</v>
      </c>
      <c r="I43" s="219">
        <v>207309</v>
      </c>
      <c r="J43" s="219">
        <v>167402</v>
      </c>
      <c r="K43" s="219">
        <v>39907</v>
      </c>
    </row>
    <row r="44" spans="1:11" s="216" customFormat="1">
      <c r="A44" s="220" t="s">
        <v>114</v>
      </c>
      <c r="B44" s="219">
        <v>103246</v>
      </c>
      <c r="C44" s="219">
        <v>36153</v>
      </c>
      <c r="D44" s="219">
        <v>63115</v>
      </c>
      <c r="E44" s="219">
        <v>17031</v>
      </c>
      <c r="F44" s="219">
        <v>46084</v>
      </c>
      <c r="G44" s="219">
        <v>16260</v>
      </c>
      <c r="H44" s="219">
        <v>12026</v>
      </c>
      <c r="I44" s="219">
        <v>230799</v>
      </c>
      <c r="J44" s="219">
        <v>184715</v>
      </c>
      <c r="K44" s="219">
        <v>46084</v>
      </c>
    </row>
    <row r="45" spans="1:11" s="216" customFormat="1">
      <c r="A45" s="220" t="s">
        <v>113</v>
      </c>
      <c r="B45" s="219">
        <v>118952</v>
      </c>
      <c r="C45" s="219">
        <v>38620</v>
      </c>
      <c r="D45" s="219">
        <v>75071</v>
      </c>
      <c r="E45" s="219">
        <v>21146</v>
      </c>
      <c r="F45" s="219">
        <v>53925</v>
      </c>
      <c r="G45" s="219">
        <v>16844</v>
      </c>
      <c r="H45" s="219">
        <v>13737</v>
      </c>
      <c r="I45" s="219">
        <v>263224</v>
      </c>
      <c r="J45" s="219">
        <v>209299</v>
      </c>
      <c r="K45" s="219">
        <v>53925</v>
      </c>
    </row>
    <row r="46" spans="1:11" s="216" customFormat="1">
      <c r="A46" s="220" t="s">
        <v>112</v>
      </c>
      <c r="B46" s="219">
        <v>122386</v>
      </c>
      <c r="C46" s="219">
        <v>40621</v>
      </c>
      <c r="D46" s="219">
        <v>84534</v>
      </c>
      <c r="E46" s="219">
        <v>22077</v>
      </c>
      <c r="F46" s="219">
        <v>62458</v>
      </c>
      <c r="G46" s="219">
        <v>16551</v>
      </c>
      <c r="H46" s="219">
        <v>14998</v>
      </c>
      <c r="I46" s="219">
        <v>279090</v>
      </c>
      <c r="J46" s="219">
        <v>216633</v>
      </c>
      <c r="K46" s="219">
        <v>62458</v>
      </c>
    </row>
    <row r="47" spans="1:11" s="216" customFormat="1">
      <c r="A47" s="220" t="s">
        <v>111</v>
      </c>
      <c r="B47" s="219">
        <v>131603</v>
      </c>
      <c r="C47" s="219">
        <v>41409</v>
      </c>
      <c r="D47" s="219">
        <v>90769</v>
      </c>
      <c r="E47" s="219">
        <v>24381</v>
      </c>
      <c r="F47" s="219">
        <v>66389</v>
      </c>
      <c r="G47" s="219">
        <v>16963</v>
      </c>
      <c r="H47" s="219">
        <v>17317</v>
      </c>
      <c r="I47" s="219">
        <v>298060</v>
      </c>
      <c r="J47" s="219">
        <v>231671</v>
      </c>
      <c r="K47" s="219">
        <v>66389</v>
      </c>
    </row>
    <row r="48" spans="1:11" s="216" customFormat="1">
      <c r="A48" s="220" t="s">
        <v>797</v>
      </c>
      <c r="B48" s="219">
        <v>38801</v>
      </c>
      <c r="C48" s="219">
        <v>8460</v>
      </c>
      <c r="D48" s="219">
        <v>25219</v>
      </c>
      <c r="E48" s="219">
        <v>7203</v>
      </c>
      <c r="F48" s="219">
        <v>18016</v>
      </c>
      <c r="G48" s="219">
        <v>4473</v>
      </c>
      <c r="H48" s="219">
        <v>4279</v>
      </c>
      <c r="I48" s="219">
        <v>81232</v>
      </c>
      <c r="J48" s="219">
        <v>63216</v>
      </c>
      <c r="K48" s="219">
        <v>18016</v>
      </c>
    </row>
    <row r="49" spans="1:11" s="216" customFormat="1">
      <c r="A49" s="220" t="s">
        <v>110</v>
      </c>
      <c r="B49" s="219">
        <v>157626</v>
      </c>
      <c r="C49" s="219">
        <v>54892</v>
      </c>
      <c r="D49" s="219">
        <v>106485</v>
      </c>
      <c r="E49" s="219">
        <v>29668</v>
      </c>
      <c r="F49" s="219">
        <v>76817</v>
      </c>
      <c r="G49" s="219">
        <v>17548</v>
      </c>
      <c r="H49" s="219">
        <v>19008</v>
      </c>
      <c r="I49" s="219">
        <v>355559</v>
      </c>
      <c r="J49" s="219">
        <v>278741</v>
      </c>
      <c r="K49" s="219">
        <v>76817</v>
      </c>
    </row>
    <row r="50" spans="1:11" s="216" customFormat="1">
      <c r="A50" s="220" t="s">
        <v>109</v>
      </c>
      <c r="B50" s="219">
        <v>180988</v>
      </c>
      <c r="C50" s="219">
        <v>59952</v>
      </c>
      <c r="D50" s="219">
        <v>120967</v>
      </c>
      <c r="E50" s="219">
        <v>35576</v>
      </c>
      <c r="F50" s="219">
        <v>85391</v>
      </c>
      <c r="G50" s="219">
        <v>18376</v>
      </c>
      <c r="H50" s="219">
        <v>19278</v>
      </c>
      <c r="I50" s="219">
        <v>399561</v>
      </c>
      <c r="J50" s="219">
        <v>314169</v>
      </c>
      <c r="K50" s="219">
        <v>85391</v>
      </c>
    </row>
    <row r="51" spans="1:11" s="216" customFormat="1">
      <c r="A51" s="220" t="s">
        <v>108</v>
      </c>
      <c r="B51" s="219">
        <v>217841</v>
      </c>
      <c r="C51" s="219">
        <v>65677</v>
      </c>
      <c r="D51" s="219">
        <v>138939</v>
      </c>
      <c r="E51" s="219">
        <v>40945</v>
      </c>
      <c r="F51" s="219">
        <v>97994</v>
      </c>
      <c r="G51" s="219">
        <v>18745</v>
      </c>
      <c r="H51" s="219">
        <v>22101</v>
      </c>
      <c r="I51" s="219">
        <v>463302</v>
      </c>
      <c r="J51" s="219">
        <v>365309</v>
      </c>
      <c r="K51" s="219">
        <v>97994</v>
      </c>
    </row>
    <row r="52" spans="1:11" s="216" customFormat="1">
      <c r="A52" s="220" t="s">
        <v>107</v>
      </c>
      <c r="B52" s="219">
        <v>244069</v>
      </c>
      <c r="C52" s="219">
        <v>64600</v>
      </c>
      <c r="D52" s="219">
        <v>157803</v>
      </c>
      <c r="E52" s="219">
        <v>44594</v>
      </c>
      <c r="F52" s="219">
        <v>113209</v>
      </c>
      <c r="G52" s="219">
        <v>24329</v>
      </c>
      <c r="H52" s="219">
        <v>26311</v>
      </c>
      <c r="I52" s="219">
        <v>517112</v>
      </c>
      <c r="J52" s="219">
        <v>403903</v>
      </c>
      <c r="K52" s="219">
        <v>113209</v>
      </c>
    </row>
    <row r="53" spans="1:11" s="216" customFormat="1">
      <c r="A53" s="220" t="s">
        <v>106</v>
      </c>
      <c r="B53" s="219">
        <v>285917</v>
      </c>
      <c r="C53" s="219">
        <v>61137</v>
      </c>
      <c r="D53" s="219">
        <v>182720</v>
      </c>
      <c r="E53" s="219">
        <v>52545</v>
      </c>
      <c r="F53" s="219">
        <v>130176</v>
      </c>
      <c r="G53" s="219">
        <v>40839</v>
      </c>
      <c r="H53" s="219">
        <v>28659</v>
      </c>
      <c r="I53" s="219">
        <v>599272</v>
      </c>
      <c r="J53" s="219">
        <v>469097</v>
      </c>
      <c r="K53" s="219">
        <v>130176</v>
      </c>
    </row>
    <row r="54" spans="1:11" s="216" customFormat="1">
      <c r="A54" s="220" t="s">
        <v>105</v>
      </c>
      <c r="B54" s="219">
        <v>297744</v>
      </c>
      <c r="C54" s="219">
        <v>49207</v>
      </c>
      <c r="D54" s="219">
        <v>201498</v>
      </c>
      <c r="E54" s="219">
        <v>58031</v>
      </c>
      <c r="F54" s="219">
        <v>143467</v>
      </c>
      <c r="G54" s="219">
        <v>36311</v>
      </c>
      <c r="H54" s="219">
        <v>33006</v>
      </c>
      <c r="I54" s="219">
        <v>617766</v>
      </c>
      <c r="J54" s="219">
        <v>474299</v>
      </c>
      <c r="K54" s="219">
        <v>143467</v>
      </c>
    </row>
    <row r="55" spans="1:11" s="216" customFormat="1">
      <c r="A55" s="220" t="s">
        <v>104</v>
      </c>
      <c r="B55" s="219">
        <v>288938</v>
      </c>
      <c r="C55" s="219">
        <v>37022</v>
      </c>
      <c r="D55" s="219">
        <v>208994</v>
      </c>
      <c r="E55" s="219">
        <v>61674</v>
      </c>
      <c r="F55" s="219">
        <v>147320</v>
      </c>
      <c r="G55" s="219">
        <v>35300</v>
      </c>
      <c r="H55" s="219">
        <v>30309</v>
      </c>
      <c r="I55" s="219">
        <v>600562</v>
      </c>
      <c r="J55" s="219">
        <v>453242</v>
      </c>
      <c r="K55" s="219">
        <v>147320</v>
      </c>
    </row>
    <row r="56" spans="1:11" s="216" customFormat="1">
      <c r="A56" s="220" t="s">
        <v>103</v>
      </c>
      <c r="B56" s="219">
        <v>298415</v>
      </c>
      <c r="C56" s="219">
        <v>56893</v>
      </c>
      <c r="D56" s="219">
        <v>239376</v>
      </c>
      <c r="E56" s="219">
        <v>73301</v>
      </c>
      <c r="F56" s="219">
        <v>166075</v>
      </c>
      <c r="G56" s="219">
        <v>37361</v>
      </c>
      <c r="H56" s="219">
        <v>34392</v>
      </c>
      <c r="I56" s="219">
        <v>666438</v>
      </c>
      <c r="J56" s="219">
        <v>500363</v>
      </c>
      <c r="K56" s="219">
        <v>166075</v>
      </c>
    </row>
    <row r="57" spans="1:11" s="216" customFormat="1">
      <c r="A57" s="220" t="s">
        <v>102</v>
      </c>
      <c r="B57" s="219">
        <v>334531</v>
      </c>
      <c r="C57" s="219">
        <v>61331</v>
      </c>
      <c r="D57" s="219">
        <v>265163</v>
      </c>
      <c r="E57" s="219">
        <v>78992</v>
      </c>
      <c r="F57" s="219">
        <v>186171</v>
      </c>
      <c r="G57" s="219">
        <v>35992</v>
      </c>
      <c r="H57" s="219">
        <v>37020</v>
      </c>
      <c r="I57" s="219">
        <v>734037</v>
      </c>
      <c r="J57" s="219">
        <v>547866</v>
      </c>
      <c r="K57" s="219">
        <v>186171</v>
      </c>
    </row>
    <row r="58" spans="1:11" s="216" customFormat="1">
      <c r="A58" s="220" t="s">
        <v>101</v>
      </c>
      <c r="B58" s="219">
        <v>348959</v>
      </c>
      <c r="C58" s="219">
        <v>63143</v>
      </c>
      <c r="D58" s="219">
        <v>283901</v>
      </c>
      <c r="E58" s="219">
        <v>83673</v>
      </c>
      <c r="F58" s="219">
        <v>200228</v>
      </c>
      <c r="G58" s="219">
        <v>32919</v>
      </c>
      <c r="H58" s="219">
        <v>40233</v>
      </c>
      <c r="I58" s="219">
        <v>769155</v>
      </c>
      <c r="J58" s="219">
        <v>568927</v>
      </c>
      <c r="K58" s="219">
        <v>200228</v>
      </c>
    </row>
    <row r="59" spans="1:11" s="216" customFormat="1">
      <c r="A59" s="220" t="s">
        <v>100</v>
      </c>
      <c r="B59" s="219">
        <v>392557</v>
      </c>
      <c r="C59" s="219">
        <v>83926</v>
      </c>
      <c r="D59" s="219">
        <v>303318</v>
      </c>
      <c r="E59" s="219">
        <v>89916</v>
      </c>
      <c r="F59" s="219">
        <v>213402</v>
      </c>
      <c r="G59" s="219">
        <v>32457</v>
      </c>
      <c r="H59" s="219">
        <v>42029</v>
      </c>
      <c r="I59" s="219">
        <v>854288</v>
      </c>
      <c r="J59" s="219">
        <v>640886</v>
      </c>
      <c r="K59" s="219">
        <v>213402</v>
      </c>
    </row>
    <row r="60" spans="1:11" s="216" customFormat="1">
      <c r="A60" s="220" t="s">
        <v>99</v>
      </c>
      <c r="B60" s="219">
        <v>401181</v>
      </c>
      <c r="C60" s="219">
        <v>94508</v>
      </c>
      <c r="D60" s="219">
        <v>334335</v>
      </c>
      <c r="E60" s="219">
        <v>92845</v>
      </c>
      <c r="F60" s="219">
        <v>241491</v>
      </c>
      <c r="G60" s="219">
        <v>35227</v>
      </c>
      <c r="H60" s="219">
        <v>43987</v>
      </c>
      <c r="I60" s="219">
        <v>909238</v>
      </c>
      <c r="J60" s="219">
        <v>667747</v>
      </c>
      <c r="K60" s="219">
        <v>241491</v>
      </c>
    </row>
    <row r="61" spans="1:11" s="216" customFormat="1">
      <c r="A61" s="220" t="s">
        <v>98</v>
      </c>
      <c r="B61" s="219">
        <v>445690</v>
      </c>
      <c r="C61" s="219">
        <v>103291</v>
      </c>
      <c r="D61" s="219">
        <v>359416</v>
      </c>
      <c r="E61" s="219">
        <v>95751</v>
      </c>
      <c r="F61" s="219">
        <v>263666</v>
      </c>
      <c r="G61" s="219">
        <v>34386</v>
      </c>
      <c r="H61" s="219">
        <v>48321</v>
      </c>
      <c r="I61" s="219">
        <v>991105</v>
      </c>
      <c r="J61" s="219">
        <v>727439</v>
      </c>
      <c r="K61" s="219">
        <v>263666</v>
      </c>
    </row>
    <row r="62" spans="1:11" s="216" customFormat="1">
      <c r="A62" s="220" t="s">
        <v>97</v>
      </c>
      <c r="B62" s="219">
        <v>466884</v>
      </c>
      <c r="C62" s="219">
        <v>93507</v>
      </c>
      <c r="D62" s="219">
        <v>380047</v>
      </c>
      <c r="E62" s="219">
        <v>98392</v>
      </c>
      <c r="F62" s="219">
        <v>281656</v>
      </c>
      <c r="G62" s="219">
        <v>35345</v>
      </c>
      <c r="H62" s="219">
        <v>56174</v>
      </c>
      <c r="I62" s="219">
        <v>1031958</v>
      </c>
      <c r="J62" s="219">
        <v>750302</v>
      </c>
      <c r="K62" s="219">
        <v>281656</v>
      </c>
    </row>
    <row r="63" spans="1:11" s="216" customFormat="1">
      <c r="A63" s="220" t="s">
        <v>96</v>
      </c>
      <c r="B63" s="219">
        <v>467827</v>
      </c>
      <c r="C63" s="219">
        <v>98086</v>
      </c>
      <c r="D63" s="219">
        <v>396016</v>
      </c>
      <c r="E63" s="219">
        <v>102131</v>
      </c>
      <c r="F63" s="219">
        <v>293885</v>
      </c>
      <c r="G63" s="219">
        <v>42402</v>
      </c>
      <c r="H63" s="219">
        <v>50657</v>
      </c>
      <c r="I63" s="219">
        <v>1054988</v>
      </c>
      <c r="J63" s="219">
        <v>761103</v>
      </c>
      <c r="K63" s="219">
        <v>293885</v>
      </c>
    </row>
    <row r="64" spans="1:11" s="216" customFormat="1">
      <c r="A64" s="220" t="s">
        <v>95</v>
      </c>
      <c r="B64" s="219">
        <v>475964</v>
      </c>
      <c r="C64" s="219">
        <v>100270</v>
      </c>
      <c r="D64" s="219">
        <v>413689</v>
      </c>
      <c r="E64" s="219">
        <v>111263</v>
      </c>
      <c r="F64" s="219">
        <v>302426</v>
      </c>
      <c r="G64" s="219">
        <v>45569</v>
      </c>
      <c r="H64" s="219">
        <v>55717</v>
      </c>
      <c r="I64" s="219">
        <v>1091208</v>
      </c>
      <c r="J64" s="219">
        <v>788783</v>
      </c>
      <c r="K64" s="219">
        <v>302426</v>
      </c>
    </row>
    <row r="65" spans="1:11" s="216" customFormat="1">
      <c r="A65" s="220" t="s">
        <v>94</v>
      </c>
      <c r="B65" s="219">
        <v>509680</v>
      </c>
      <c r="C65" s="219">
        <v>117520</v>
      </c>
      <c r="D65" s="219">
        <v>428300</v>
      </c>
      <c r="E65" s="219">
        <v>116366</v>
      </c>
      <c r="F65" s="219">
        <v>311934</v>
      </c>
      <c r="G65" s="219">
        <v>48057</v>
      </c>
      <c r="H65" s="219">
        <v>50778</v>
      </c>
      <c r="I65" s="219">
        <v>1154335</v>
      </c>
      <c r="J65" s="219">
        <v>842401</v>
      </c>
      <c r="K65" s="219">
        <v>311934</v>
      </c>
    </row>
    <row r="66" spans="1:11" s="216" customFormat="1">
      <c r="A66" s="220" t="s">
        <v>93</v>
      </c>
      <c r="B66" s="219">
        <v>543055</v>
      </c>
      <c r="C66" s="219">
        <v>140385</v>
      </c>
      <c r="D66" s="219">
        <v>461475</v>
      </c>
      <c r="E66" s="219">
        <v>126450</v>
      </c>
      <c r="F66" s="219">
        <v>335026</v>
      </c>
      <c r="G66" s="219">
        <v>55225</v>
      </c>
      <c r="H66" s="219">
        <v>58427</v>
      </c>
      <c r="I66" s="219">
        <v>1258566</v>
      </c>
      <c r="J66" s="219">
        <v>923541</v>
      </c>
      <c r="K66" s="219">
        <v>335026</v>
      </c>
    </row>
    <row r="67" spans="1:11" s="216" customFormat="1">
      <c r="A67" s="220" t="s">
        <v>92</v>
      </c>
      <c r="B67" s="219">
        <v>590244</v>
      </c>
      <c r="C67" s="219">
        <v>157004</v>
      </c>
      <c r="D67" s="219">
        <v>484473</v>
      </c>
      <c r="E67" s="219">
        <v>133394</v>
      </c>
      <c r="F67" s="219">
        <v>351079</v>
      </c>
      <c r="G67" s="219">
        <v>57484</v>
      </c>
      <c r="H67" s="219">
        <v>62585</v>
      </c>
      <c r="I67" s="219">
        <v>1351790</v>
      </c>
      <c r="J67" s="219">
        <v>1000711</v>
      </c>
      <c r="K67" s="219">
        <v>351079</v>
      </c>
    </row>
    <row r="68" spans="1:11" s="216" customFormat="1">
      <c r="A68" s="220" t="s">
        <v>91</v>
      </c>
      <c r="B68" s="219">
        <v>656417</v>
      </c>
      <c r="C68" s="219">
        <v>171824</v>
      </c>
      <c r="D68" s="219">
        <v>509414</v>
      </c>
      <c r="E68" s="219">
        <v>141922</v>
      </c>
      <c r="F68" s="219">
        <v>367492</v>
      </c>
      <c r="G68" s="219">
        <v>54014</v>
      </c>
      <c r="H68" s="219">
        <v>61384</v>
      </c>
      <c r="I68" s="219">
        <v>1453053</v>
      </c>
      <c r="J68" s="219">
        <v>1085561</v>
      </c>
      <c r="K68" s="219">
        <v>367492</v>
      </c>
    </row>
    <row r="69" spans="1:11" s="216" customFormat="1">
      <c r="A69" s="220" t="s">
        <v>90</v>
      </c>
      <c r="B69" s="219">
        <v>737466</v>
      </c>
      <c r="C69" s="219">
        <v>182293</v>
      </c>
      <c r="D69" s="219">
        <v>539371</v>
      </c>
      <c r="E69" s="219">
        <v>147381</v>
      </c>
      <c r="F69" s="219">
        <v>391990</v>
      </c>
      <c r="G69" s="219">
        <v>56924</v>
      </c>
      <c r="H69" s="219">
        <v>63178</v>
      </c>
      <c r="I69" s="219">
        <v>1579232</v>
      </c>
      <c r="J69" s="219">
        <v>1187242</v>
      </c>
      <c r="K69" s="219">
        <v>391990</v>
      </c>
    </row>
    <row r="70" spans="1:11" s="216" customFormat="1">
      <c r="A70" s="220" t="s">
        <v>89</v>
      </c>
      <c r="B70" s="219">
        <v>828586</v>
      </c>
      <c r="C70" s="219">
        <v>188677</v>
      </c>
      <c r="D70" s="219">
        <v>571831</v>
      </c>
      <c r="E70" s="219">
        <v>156032</v>
      </c>
      <c r="F70" s="219">
        <v>415799</v>
      </c>
      <c r="G70" s="219">
        <v>57673</v>
      </c>
      <c r="H70" s="219">
        <v>74961</v>
      </c>
      <c r="I70" s="219">
        <v>1721728</v>
      </c>
      <c r="J70" s="219">
        <v>1305929</v>
      </c>
      <c r="K70" s="219">
        <v>415799</v>
      </c>
    </row>
    <row r="71" spans="1:11" s="216" customFormat="1">
      <c r="A71" s="220" t="s">
        <v>88</v>
      </c>
      <c r="B71" s="219">
        <v>879480</v>
      </c>
      <c r="C71" s="219">
        <v>184680</v>
      </c>
      <c r="D71" s="219">
        <v>611833</v>
      </c>
      <c r="E71" s="219">
        <v>167365</v>
      </c>
      <c r="F71" s="219">
        <v>444468</v>
      </c>
      <c r="G71" s="219">
        <v>70414</v>
      </c>
      <c r="H71" s="219">
        <v>81045</v>
      </c>
      <c r="I71" s="219">
        <v>1827452</v>
      </c>
      <c r="J71" s="219">
        <v>1382984</v>
      </c>
      <c r="K71" s="219">
        <v>444468</v>
      </c>
    </row>
    <row r="72" spans="1:11" s="216" customFormat="1">
      <c r="A72" s="220" t="s">
        <v>87</v>
      </c>
      <c r="B72" s="219">
        <v>1004462</v>
      </c>
      <c r="C72" s="219">
        <v>207289</v>
      </c>
      <c r="D72" s="219">
        <v>652852</v>
      </c>
      <c r="E72" s="219">
        <v>172268</v>
      </c>
      <c r="F72" s="219">
        <v>480584</v>
      </c>
      <c r="G72" s="219">
        <v>68865</v>
      </c>
      <c r="H72" s="219">
        <v>91723</v>
      </c>
      <c r="I72" s="219">
        <v>2025191</v>
      </c>
      <c r="J72" s="219">
        <v>1544607</v>
      </c>
      <c r="K72" s="219">
        <v>480584</v>
      </c>
    </row>
    <row r="73" spans="1:11" s="216" customFormat="1">
      <c r="A73" s="220" t="s">
        <v>86</v>
      </c>
      <c r="B73" s="219">
        <v>994339</v>
      </c>
      <c r="C73" s="219">
        <v>151075</v>
      </c>
      <c r="D73" s="219">
        <v>693967</v>
      </c>
      <c r="E73" s="219">
        <v>186448</v>
      </c>
      <c r="F73" s="219">
        <v>507519</v>
      </c>
      <c r="G73" s="219">
        <v>66232</v>
      </c>
      <c r="H73" s="219">
        <v>85469</v>
      </c>
      <c r="I73" s="219">
        <v>1991082</v>
      </c>
      <c r="J73" s="219">
        <v>1483563</v>
      </c>
      <c r="K73" s="219">
        <v>507519</v>
      </c>
    </row>
    <row r="74" spans="1:11" s="216" customFormat="1">
      <c r="A74" s="220" t="s">
        <v>85</v>
      </c>
      <c r="B74" s="219">
        <v>858345</v>
      </c>
      <c r="C74" s="219">
        <v>148044</v>
      </c>
      <c r="D74" s="219">
        <v>700760</v>
      </c>
      <c r="E74" s="219">
        <v>185439</v>
      </c>
      <c r="F74" s="219">
        <v>515321</v>
      </c>
      <c r="G74" s="219">
        <v>66989</v>
      </c>
      <c r="H74" s="219">
        <v>78998</v>
      </c>
      <c r="I74" s="219">
        <v>1853136</v>
      </c>
      <c r="J74" s="219">
        <v>1337815</v>
      </c>
      <c r="K74" s="219">
        <v>515321</v>
      </c>
    </row>
    <row r="75" spans="1:11" s="216" customFormat="1">
      <c r="A75" s="220" t="s">
        <v>84</v>
      </c>
      <c r="B75" s="219">
        <v>793699</v>
      </c>
      <c r="C75" s="219">
        <v>131778</v>
      </c>
      <c r="D75" s="219">
        <v>712978</v>
      </c>
      <c r="E75" s="219">
        <v>189136</v>
      </c>
      <c r="F75" s="219">
        <v>523842</v>
      </c>
      <c r="G75" s="219">
        <v>67524</v>
      </c>
      <c r="H75" s="219">
        <v>76335</v>
      </c>
      <c r="I75" s="219">
        <v>1782314</v>
      </c>
      <c r="J75" s="219">
        <v>1258472</v>
      </c>
      <c r="K75" s="219">
        <v>523842</v>
      </c>
    </row>
    <row r="76" spans="1:11" s="216" customFormat="1">
      <c r="A76" s="220" t="s">
        <v>83</v>
      </c>
      <c r="B76" s="219">
        <v>808959</v>
      </c>
      <c r="C76" s="219">
        <v>189371</v>
      </c>
      <c r="D76" s="219">
        <v>733407</v>
      </c>
      <c r="E76" s="219">
        <v>198662</v>
      </c>
      <c r="F76" s="219">
        <v>534745</v>
      </c>
      <c r="G76" s="219">
        <v>69855</v>
      </c>
      <c r="H76" s="219">
        <v>78522</v>
      </c>
      <c r="I76" s="219">
        <v>1880114</v>
      </c>
      <c r="J76" s="219">
        <v>1345369</v>
      </c>
      <c r="K76" s="219">
        <v>534745</v>
      </c>
    </row>
    <row r="77" spans="1:11" s="216" customFormat="1">
      <c r="A77" s="220" t="s">
        <v>82</v>
      </c>
      <c r="B77" s="219">
        <v>927222</v>
      </c>
      <c r="C77" s="219">
        <v>278282</v>
      </c>
      <c r="D77" s="219">
        <v>794125</v>
      </c>
      <c r="E77" s="219">
        <v>216649</v>
      </c>
      <c r="F77" s="219">
        <v>577476</v>
      </c>
      <c r="G77" s="219">
        <v>73094</v>
      </c>
      <c r="H77" s="219">
        <v>80888</v>
      </c>
      <c r="I77" s="219">
        <v>2153611</v>
      </c>
      <c r="J77" s="219">
        <v>1576135</v>
      </c>
      <c r="K77" s="219">
        <v>577476</v>
      </c>
    </row>
    <row r="78" spans="1:11" s="216" customFormat="1">
      <c r="A78" s="220" t="s">
        <v>81</v>
      </c>
      <c r="B78" s="219">
        <v>1043908</v>
      </c>
      <c r="C78" s="219">
        <v>353915</v>
      </c>
      <c r="D78" s="219">
        <v>837821</v>
      </c>
      <c r="E78" s="219">
        <v>229439</v>
      </c>
      <c r="F78" s="219">
        <v>608382</v>
      </c>
      <c r="G78" s="219">
        <v>73961</v>
      </c>
      <c r="H78" s="219">
        <v>97264</v>
      </c>
      <c r="I78" s="219">
        <v>2406869</v>
      </c>
      <c r="J78" s="219">
        <v>1798487</v>
      </c>
      <c r="K78" s="219">
        <v>608382</v>
      </c>
    </row>
    <row r="79" spans="1:11" s="216" customFormat="1">
      <c r="A79" s="220" t="s">
        <v>80</v>
      </c>
      <c r="B79" s="219">
        <v>1163472</v>
      </c>
      <c r="C79" s="219">
        <v>370243</v>
      </c>
      <c r="D79" s="219">
        <v>869607</v>
      </c>
      <c r="E79" s="219">
        <v>234518</v>
      </c>
      <c r="F79" s="219">
        <v>635089</v>
      </c>
      <c r="G79" s="219">
        <v>65069</v>
      </c>
      <c r="H79" s="219">
        <v>99594</v>
      </c>
      <c r="I79" s="219">
        <v>2567985</v>
      </c>
      <c r="J79" s="219">
        <v>1932896</v>
      </c>
      <c r="K79" s="219">
        <v>635089</v>
      </c>
    </row>
    <row r="80" spans="1:11" s="216" customFormat="1">
      <c r="A80" s="220" t="s">
        <v>79</v>
      </c>
      <c r="B80" s="219">
        <v>1145747</v>
      </c>
      <c r="C80" s="219">
        <v>304346</v>
      </c>
      <c r="D80" s="219">
        <v>900155</v>
      </c>
      <c r="E80" s="219">
        <v>242109</v>
      </c>
      <c r="F80" s="219">
        <v>658046</v>
      </c>
      <c r="G80" s="219">
        <v>67334</v>
      </c>
      <c r="H80" s="219">
        <v>106409</v>
      </c>
      <c r="I80" s="219">
        <v>2523991</v>
      </c>
      <c r="J80" s="219">
        <v>1865945</v>
      </c>
      <c r="K80" s="219">
        <v>658046</v>
      </c>
    </row>
    <row r="81" spans="1:11" s="216" customFormat="1">
      <c r="A81" s="220" t="s">
        <v>78</v>
      </c>
      <c r="B81" s="219">
        <v>915308</v>
      </c>
      <c r="C81" s="219">
        <v>138229</v>
      </c>
      <c r="D81" s="219">
        <v>890917</v>
      </c>
      <c r="E81" s="219">
        <v>236908</v>
      </c>
      <c r="F81" s="219">
        <v>654009</v>
      </c>
      <c r="G81" s="219">
        <v>62483</v>
      </c>
      <c r="H81" s="219">
        <v>98052</v>
      </c>
      <c r="I81" s="219">
        <v>2104989</v>
      </c>
      <c r="J81" s="219">
        <v>1450980</v>
      </c>
      <c r="K81" s="219">
        <v>654009</v>
      </c>
    </row>
    <row r="82" spans="1:11" s="216" customFormat="1">
      <c r="A82" s="220" t="s">
        <v>77</v>
      </c>
      <c r="B82" s="219">
        <v>898549</v>
      </c>
      <c r="C82" s="219">
        <v>191437</v>
      </c>
      <c r="D82" s="219">
        <v>864814</v>
      </c>
      <c r="E82" s="219">
        <v>233127</v>
      </c>
      <c r="F82" s="219">
        <v>631687</v>
      </c>
      <c r="G82" s="219">
        <v>66909</v>
      </c>
      <c r="H82" s="219">
        <v>140997</v>
      </c>
      <c r="I82" s="219">
        <v>2162706</v>
      </c>
      <c r="J82" s="219">
        <v>1531019</v>
      </c>
      <c r="K82" s="219">
        <v>631687</v>
      </c>
    </row>
    <row r="83" spans="1:11" s="216" customFormat="1">
      <c r="A83" s="220" t="s">
        <v>76</v>
      </c>
      <c r="B83" s="219">
        <v>1091473</v>
      </c>
      <c r="C83" s="219">
        <v>181085</v>
      </c>
      <c r="D83" s="219">
        <v>818792</v>
      </c>
      <c r="E83" s="219">
        <v>253004</v>
      </c>
      <c r="F83" s="219">
        <v>565788</v>
      </c>
      <c r="G83" s="219">
        <v>72381</v>
      </c>
      <c r="H83" s="219">
        <v>139735</v>
      </c>
      <c r="I83" s="219">
        <v>2303466</v>
      </c>
      <c r="J83" s="219">
        <v>1737678</v>
      </c>
      <c r="K83" s="219">
        <v>565788</v>
      </c>
    </row>
    <row r="84" spans="1:11" s="216" customFormat="1">
      <c r="A84" s="220" t="s">
        <v>75</v>
      </c>
      <c r="B84" s="219">
        <v>1132206</v>
      </c>
      <c r="C84" s="219">
        <v>242289</v>
      </c>
      <c r="D84" s="219">
        <v>845314</v>
      </c>
      <c r="E84" s="219">
        <v>275813</v>
      </c>
      <c r="F84" s="219">
        <v>569501</v>
      </c>
      <c r="G84" s="219">
        <v>79061</v>
      </c>
      <c r="H84" s="219">
        <v>151294</v>
      </c>
      <c r="I84" s="219">
        <v>2450164</v>
      </c>
      <c r="J84" s="219">
        <v>1880663</v>
      </c>
      <c r="K84" s="219">
        <v>569501</v>
      </c>
    </row>
    <row r="85" spans="1:11" s="216" customFormat="1">
      <c r="A85" s="220" t="s">
        <v>74</v>
      </c>
      <c r="B85" s="219">
        <v>1316405</v>
      </c>
      <c r="C85" s="219">
        <v>273506</v>
      </c>
      <c r="D85" s="219">
        <v>947820</v>
      </c>
      <c r="E85" s="219">
        <v>274546</v>
      </c>
      <c r="F85" s="219">
        <v>673274</v>
      </c>
      <c r="G85" s="219">
        <v>84007</v>
      </c>
      <c r="H85" s="219">
        <v>153365</v>
      </c>
      <c r="I85" s="219">
        <v>2775103</v>
      </c>
      <c r="J85" s="219">
        <v>2101829</v>
      </c>
      <c r="K85" s="219">
        <v>673274</v>
      </c>
    </row>
    <row r="86" spans="1:11" s="216" customFormat="1">
      <c r="A86" s="220" t="s">
        <v>811</v>
      </c>
      <c r="B86" s="219">
        <v>1386068</v>
      </c>
      <c r="C86" s="219">
        <v>332740</v>
      </c>
      <c r="D86" s="219">
        <v>1021109</v>
      </c>
      <c r="E86" s="219">
        <v>288777</v>
      </c>
      <c r="F86" s="219">
        <v>732332</v>
      </c>
      <c r="G86" s="219">
        <v>93528</v>
      </c>
      <c r="H86" s="219">
        <v>168276</v>
      </c>
      <c r="I86" s="219">
        <v>3001721</v>
      </c>
      <c r="J86" s="219">
        <v>2269389</v>
      </c>
      <c r="K86" s="219">
        <v>732332</v>
      </c>
    </row>
    <row r="87" spans="1:11" s="216" customFormat="1">
      <c r="A87" s="220" t="s">
        <v>810</v>
      </c>
      <c r="B87" s="219">
        <v>1533942</v>
      </c>
      <c r="C87" s="219">
        <v>449020</v>
      </c>
      <c r="D87" s="219">
        <v>1055744</v>
      </c>
      <c r="E87" s="219">
        <v>297867</v>
      </c>
      <c r="F87" s="219">
        <v>757877</v>
      </c>
      <c r="G87" s="219">
        <v>110539</v>
      </c>
      <c r="H87" s="219">
        <v>188180</v>
      </c>
      <c r="I87" s="219">
        <v>3337425</v>
      </c>
      <c r="J87" s="219">
        <v>2579548</v>
      </c>
      <c r="K87" s="219">
        <v>757877</v>
      </c>
    </row>
    <row r="88" spans="1:11" s="216" customFormat="1">
      <c r="A88" s="220" t="s">
        <v>809</v>
      </c>
      <c r="B88" s="219">
        <v>1647750</v>
      </c>
      <c r="C88" s="219">
        <v>501701</v>
      </c>
      <c r="D88" s="219">
        <v>1127271</v>
      </c>
      <c r="E88" s="219">
        <v>315780</v>
      </c>
      <c r="F88" s="219">
        <v>811491</v>
      </c>
      <c r="G88" s="219">
        <v>115383</v>
      </c>
      <c r="H88" s="219">
        <v>175847</v>
      </c>
      <c r="I88" s="219">
        <v>3567952</v>
      </c>
      <c r="J88" s="219">
        <v>2756461</v>
      </c>
      <c r="K88" s="219">
        <v>811491</v>
      </c>
    </row>
    <row r="89" spans="1:11" s="216" customFormat="1">
      <c r="A89" s="220" t="s">
        <v>808</v>
      </c>
      <c r="B89" s="219">
        <v>1780677</v>
      </c>
      <c r="C89" s="219">
        <v>527977</v>
      </c>
      <c r="D89" s="219">
        <v>1193808</v>
      </c>
      <c r="E89" s="219">
        <v>343972</v>
      </c>
      <c r="F89" s="219">
        <v>849836</v>
      </c>
      <c r="G89" s="219">
        <v>118906</v>
      </c>
      <c r="H89" s="219">
        <v>189411</v>
      </c>
      <c r="I89" s="219">
        <v>3810779</v>
      </c>
      <c r="J89" s="219">
        <v>2960943</v>
      </c>
      <c r="K89" s="219">
        <v>849836</v>
      </c>
    </row>
    <row r="90" spans="1:11" s="216" customFormat="1">
      <c r="A90" s="220" t="s">
        <v>807</v>
      </c>
      <c r="B90" s="219">
        <v>1920063</v>
      </c>
      <c r="C90" s="219">
        <v>539879</v>
      </c>
      <c r="D90" s="219">
        <v>1255671</v>
      </c>
      <c r="E90" s="219">
        <v>357894</v>
      </c>
      <c r="F90" s="219">
        <v>897777</v>
      </c>
      <c r="G90" s="219">
        <v>122096</v>
      </c>
      <c r="H90" s="219">
        <v>192147</v>
      </c>
      <c r="I90" s="219">
        <v>4029856</v>
      </c>
      <c r="J90" s="219">
        <v>3132079</v>
      </c>
      <c r="K90" s="219">
        <v>897777</v>
      </c>
    </row>
    <row r="91" spans="1:11" s="216" customFormat="1">
      <c r="A91" s="218" t="s">
        <v>806</v>
      </c>
      <c r="B91" s="217">
        <v>2047136</v>
      </c>
      <c r="C91" s="217">
        <v>514373</v>
      </c>
      <c r="D91" s="217">
        <v>1313723</v>
      </c>
      <c r="E91" s="217">
        <v>368632</v>
      </c>
      <c r="F91" s="217">
        <v>945091</v>
      </c>
      <c r="G91" s="217">
        <v>126651</v>
      </c>
      <c r="H91" s="217">
        <v>224236</v>
      </c>
      <c r="I91" s="217">
        <v>4226119</v>
      </c>
      <c r="J91" s="217">
        <v>3281028</v>
      </c>
      <c r="K91" s="217">
        <v>945091</v>
      </c>
    </row>
    <row r="92" spans="1:11" s="216" customFormat="1" ht="28.75" customHeight="1">
      <c r="A92" s="2005" t="s">
        <v>805</v>
      </c>
      <c r="B92" s="2005"/>
      <c r="C92" s="2005"/>
      <c r="D92" s="2005"/>
      <c r="E92" s="2005"/>
      <c r="F92" s="2005"/>
      <c r="G92" s="2005"/>
      <c r="H92" s="2005"/>
      <c r="I92" s="2005"/>
      <c r="J92" s="2005"/>
    </row>
    <row r="93" spans="1:11" s="216" customFormat="1" ht="15.5" customHeight="1">
      <c r="A93" s="1995" t="s">
        <v>804</v>
      </c>
      <c r="B93" s="1995"/>
      <c r="C93" s="1995"/>
      <c r="D93" s="1995"/>
      <c r="E93" s="1995"/>
      <c r="F93" s="1995"/>
      <c r="G93" s="1995"/>
      <c r="H93" s="1995"/>
      <c r="I93" s="1995"/>
      <c r="J93" s="1995"/>
    </row>
    <row r="94" spans="1:11" s="216" customFormat="1" ht="15.5" customHeight="1">
      <c r="A94" s="1995" t="s">
        <v>803</v>
      </c>
      <c r="B94" s="1995"/>
      <c r="C94" s="1995"/>
      <c r="D94" s="1995"/>
      <c r="E94" s="1995"/>
      <c r="F94" s="1995"/>
      <c r="G94" s="1995"/>
      <c r="H94" s="1995"/>
      <c r="I94" s="1995"/>
      <c r="J94" s="1995"/>
    </row>
    <row r="96" spans="1:11">
      <c r="A96" s="216" t="s">
        <v>819</v>
      </c>
    </row>
    <row r="97" spans="1:8">
      <c r="A97" s="224" t="s">
        <v>821</v>
      </c>
    </row>
    <row r="98" spans="1:8">
      <c r="A98" s="216" t="s">
        <v>820</v>
      </c>
    </row>
    <row r="106" spans="1:8">
      <c r="H106" s="238">
        <f>8.1/0.33</f>
        <v>24.545454545454543</v>
      </c>
    </row>
  </sheetData>
  <mergeCells count="12">
    <mergeCell ref="A93:J93"/>
    <mergeCell ref="A94:J94"/>
    <mergeCell ref="A1:K1"/>
    <mergeCell ref="A2:J2"/>
    <mergeCell ref="A3:A4"/>
    <mergeCell ref="B3:B4"/>
    <mergeCell ref="C3:C4"/>
    <mergeCell ref="D3:F3"/>
    <mergeCell ref="G3:G4"/>
    <mergeCell ref="H3:H4"/>
    <mergeCell ref="I3:K3"/>
    <mergeCell ref="A92:J92"/>
  </mergeCells>
  <pageMargins left="0.5" right="0.5" top="0.5" bottom="0.5" header="0.5" footer="0.5"/>
  <pageSetup orientation="portrait"/>
  <extLst>
    <ext xmlns:mx="http://schemas.microsoft.com/office/mac/excel/2008/main" uri="{64002731-A6B0-56B0-2670-7721B7C09600}">
      <mx:PLV Mode="0" OnePage="0" WScale="0"/>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81"/>
  <sheetViews>
    <sheetView workbookViewId="0">
      <pane xSplit="2" ySplit="3" topLeftCell="C4" activePane="bottomRight" state="frozen"/>
      <selection activeCell="X67" sqref="X67"/>
      <selection pane="topRight" activeCell="X67" sqref="X67"/>
      <selection pane="bottomLeft" activeCell="X67" sqref="X67"/>
      <selection pane="bottomRight" activeCell="X67" sqref="X67"/>
    </sheetView>
  </sheetViews>
  <sheetFormatPr baseColWidth="10" defaultRowHeight="15" x14ac:dyDescent="0"/>
  <cols>
    <col min="2" max="2" width="47.28515625" customWidth="1"/>
    <col min="4" max="9" width="10.7109375" style="524"/>
  </cols>
  <sheetData>
    <row r="1" spans="2:10">
      <c r="B1" s="24" t="s">
        <v>1835</v>
      </c>
      <c r="D1" s="261" t="s">
        <v>1888</v>
      </c>
    </row>
    <row r="2" spans="2:10" ht="16" thickBot="1"/>
    <row r="3" spans="2:10" s="530" customFormat="1" ht="70" customHeight="1" thickTop="1">
      <c r="B3" s="531"/>
      <c r="C3" s="541" t="s">
        <v>1854</v>
      </c>
      <c r="D3" s="545" t="s">
        <v>1877</v>
      </c>
      <c r="E3" s="544" t="s">
        <v>1855</v>
      </c>
      <c r="F3" s="544" t="s">
        <v>1879</v>
      </c>
      <c r="G3" s="544" t="s">
        <v>1878</v>
      </c>
      <c r="H3" s="543" t="s">
        <v>1880</v>
      </c>
      <c r="I3" s="57"/>
      <c r="J3" s="548"/>
    </row>
    <row r="4" spans="2:10">
      <c r="B4" s="549" t="s">
        <v>1833</v>
      </c>
      <c r="C4" s="550" t="s">
        <v>1887</v>
      </c>
      <c r="D4" s="542"/>
      <c r="E4" s="542"/>
      <c r="F4" s="542"/>
      <c r="G4" s="542"/>
      <c r="H4" s="542"/>
      <c r="I4" s="533"/>
      <c r="J4" s="24" t="s">
        <v>1873</v>
      </c>
    </row>
    <row r="5" spans="2:10">
      <c r="B5" s="532" t="s">
        <v>1843</v>
      </c>
      <c r="C5" s="533">
        <v>830.57260799999995</v>
      </c>
      <c r="D5" s="533"/>
      <c r="E5" s="533"/>
      <c r="F5" s="533"/>
      <c r="G5" s="533"/>
      <c r="H5" s="533"/>
      <c r="I5" s="533"/>
    </row>
    <row r="6" spans="2:10" s="524" customFormat="1">
      <c r="B6" s="532" t="s">
        <v>1844</v>
      </c>
      <c r="C6" s="533">
        <v>369.62424399999998</v>
      </c>
      <c r="D6" s="533"/>
      <c r="E6" s="533"/>
      <c r="F6" s="533"/>
      <c r="G6" s="533"/>
      <c r="H6" s="533"/>
      <c r="I6" s="533"/>
      <c r="J6" s="524" t="s">
        <v>1853</v>
      </c>
    </row>
    <row r="7" spans="2:10" s="524" customFormat="1">
      <c r="B7" s="532" t="s">
        <v>1845</v>
      </c>
      <c r="C7" s="533">
        <f>C5-C6</f>
        <v>460.94836399999997</v>
      </c>
      <c r="D7" s="533"/>
      <c r="E7" s="185">
        <v>113.586624</v>
      </c>
      <c r="F7" s="533"/>
      <c r="G7" s="533"/>
      <c r="H7" s="533">
        <v>59.023989999999998</v>
      </c>
      <c r="I7" s="533"/>
    </row>
    <row r="8" spans="2:10" s="528" customFormat="1">
      <c r="B8" s="534" t="s">
        <v>1840</v>
      </c>
      <c r="C8" s="535">
        <v>183.63480899999999</v>
      </c>
      <c r="D8" s="535"/>
      <c r="E8" s="535"/>
      <c r="F8" s="535"/>
      <c r="G8" s="535"/>
      <c r="H8" s="535"/>
      <c r="I8" s="535"/>
    </row>
    <row r="9" spans="2:10" s="528" customFormat="1">
      <c r="B9" s="534" t="s">
        <v>1841</v>
      </c>
      <c r="C9" s="535">
        <f>C8/C5*C6</f>
        <v>81.721786626400998</v>
      </c>
      <c r="D9" s="535"/>
      <c r="E9" s="535"/>
      <c r="F9" s="535"/>
      <c r="G9" s="535"/>
      <c r="H9" s="535"/>
      <c r="I9" s="535"/>
    </row>
    <row r="10" spans="2:10" s="528" customFormat="1">
      <c r="B10" s="534" t="s">
        <v>1842</v>
      </c>
      <c r="C10" s="535">
        <f>C8-C9</f>
        <v>101.91302237359899</v>
      </c>
      <c r="D10" s="535"/>
      <c r="E10" s="535"/>
      <c r="F10" s="535"/>
      <c r="G10" s="535"/>
      <c r="H10" s="535"/>
      <c r="I10" s="535"/>
    </row>
    <row r="11" spans="2:10" s="524" customFormat="1">
      <c r="B11" s="532" t="s">
        <v>1846</v>
      </c>
      <c r="C11" s="533">
        <v>27.080379000000001</v>
      </c>
      <c r="D11" s="533"/>
      <c r="E11" s="533"/>
      <c r="F11" s="533"/>
      <c r="G11" s="533"/>
      <c r="H11" s="533"/>
      <c r="I11" s="533"/>
    </row>
    <row r="12" spans="2:10" s="524" customFormat="1">
      <c r="B12" s="532" t="s">
        <v>1847</v>
      </c>
      <c r="C12" s="533">
        <f>C7-C11</f>
        <v>433.86798499999998</v>
      </c>
      <c r="D12" s="533"/>
      <c r="E12" s="533"/>
      <c r="F12" s="533"/>
      <c r="G12" s="533"/>
      <c r="H12" s="533"/>
      <c r="I12" s="533"/>
    </row>
    <row r="13" spans="2:10" s="524" customFormat="1">
      <c r="B13" s="536" t="s">
        <v>1849</v>
      </c>
      <c r="C13" s="533">
        <f>C14-C12</f>
        <v>504.109916</v>
      </c>
      <c r="D13" s="533"/>
      <c r="E13" s="533"/>
      <c r="F13" s="533"/>
      <c r="G13" s="533"/>
      <c r="H13" s="533"/>
      <c r="I13" s="533"/>
    </row>
    <row r="14" spans="2:10" s="524" customFormat="1">
      <c r="B14" s="536" t="s">
        <v>1848</v>
      </c>
      <c r="C14" s="533">
        <v>937.97790099999997</v>
      </c>
      <c r="D14" s="533"/>
      <c r="E14" s="533"/>
      <c r="F14" s="533"/>
      <c r="G14" s="533"/>
      <c r="H14" s="533"/>
      <c r="I14" s="533"/>
    </row>
    <row r="15" spans="2:10" s="524" customFormat="1">
      <c r="B15" s="536" t="s">
        <v>1850</v>
      </c>
      <c r="C15" s="533">
        <v>329.38919800000002</v>
      </c>
      <c r="D15" s="533"/>
      <c r="E15" s="533"/>
      <c r="F15" s="533"/>
      <c r="G15" s="533"/>
      <c r="H15" s="533"/>
      <c r="I15" s="533"/>
    </row>
    <row r="16" spans="2:10" s="524" customFormat="1">
      <c r="B16" s="536" t="s">
        <v>1851</v>
      </c>
      <c r="C16" s="533">
        <f>C12/C14*C15</f>
        <v>152.36118832294966</v>
      </c>
      <c r="D16" s="533"/>
      <c r="E16" s="533"/>
      <c r="F16" s="533"/>
      <c r="G16" s="533"/>
      <c r="H16" s="533"/>
      <c r="I16" s="533"/>
      <c r="J16" s="524" t="s">
        <v>1856</v>
      </c>
    </row>
    <row r="17" spans="2:10" s="524" customFormat="1">
      <c r="B17" s="536" t="s">
        <v>1857</v>
      </c>
      <c r="C17" s="533">
        <f>C18+C19</f>
        <v>126.24286600000001</v>
      </c>
      <c r="D17" s="533"/>
      <c r="E17" s="533">
        <f>'Assets(BoP)'!AW104</f>
        <v>47.166473000000003</v>
      </c>
      <c r="F17" s="533"/>
      <c r="G17" s="533"/>
      <c r="H17" s="533"/>
      <c r="I17" s="533"/>
    </row>
    <row r="18" spans="2:10" s="524" customFormat="1">
      <c r="B18" s="536" t="s">
        <v>1858</v>
      </c>
      <c r="C18" s="533">
        <v>49.789366000000001</v>
      </c>
      <c r="D18" s="533"/>
      <c r="E18" s="533"/>
      <c r="F18" s="533"/>
      <c r="G18" s="533"/>
      <c r="H18" s="533"/>
      <c r="I18" s="533"/>
    </row>
    <row r="19" spans="2:10" s="524" customFormat="1">
      <c r="B19" s="536" t="s">
        <v>1859</v>
      </c>
      <c r="C19" s="533">
        <v>76.453500000000005</v>
      </c>
      <c r="D19" s="533"/>
      <c r="E19" s="533"/>
      <c r="F19" s="533"/>
      <c r="G19" s="533"/>
      <c r="H19" s="533"/>
      <c r="I19" s="533"/>
    </row>
    <row r="20" spans="2:10" s="524" customFormat="1">
      <c r="B20" s="536" t="s">
        <v>1860</v>
      </c>
      <c r="C20" s="533">
        <v>118.28530600000001</v>
      </c>
      <c r="D20" s="533"/>
      <c r="E20" s="533"/>
      <c r="F20" s="533"/>
      <c r="G20" s="533"/>
      <c r="H20" s="533"/>
      <c r="I20" s="533"/>
    </row>
    <row r="21" spans="2:10">
      <c r="B21" s="532"/>
      <c r="C21" s="533"/>
      <c r="D21" s="533"/>
      <c r="E21" s="533"/>
      <c r="F21" s="537"/>
      <c r="G21" s="537"/>
      <c r="H21" s="533"/>
      <c r="I21" s="533"/>
    </row>
    <row r="22" spans="2:10">
      <c r="B22" s="190" t="s">
        <v>1834</v>
      </c>
      <c r="C22" s="533"/>
      <c r="D22" s="533"/>
      <c r="E22" s="537"/>
      <c r="F22" s="537"/>
      <c r="G22" s="537"/>
      <c r="H22" s="533"/>
      <c r="I22" s="533"/>
      <c r="J22" s="24" t="s">
        <v>1870</v>
      </c>
    </row>
    <row r="23" spans="2:10">
      <c r="B23" s="532" t="s">
        <v>1836</v>
      </c>
      <c r="C23" s="185">
        <v>924.12608405900005</v>
      </c>
      <c r="D23" s="185">
        <f>C23-H23</f>
        <v>635.80060016400012</v>
      </c>
      <c r="E23" s="546">
        <v>65.196516525999996</v>
      </c>
      <c r="F23" s="546">
        <v>95.933613093999995</v>
      </c>
      <c r="G23" s="546">
        <v>42.278780763</v>
      </c>
      <c r="H23" s="185">
        <v>288.32548389499999</v>
      </c>
      <c r="I23" s="185"/>
    </row>
    <row r="24" spans="2:10" s="524" customFormat="1">
      <c r="B24" s="538" t="s">
        <v>1874</v>
      </c>
      <c r="C24" s="533">
        <v>449.02576189299998</v>
      </c>
      <c r="D24" s="533">
        <f>C24-H24</f>
        <v>182.76739236699996</v>
      </c>
      <c r="E24" s="537">
        <v>13.666230012</v>
      </c>
      <c r="F24" s="537">
        <v>31.395311775</v>
      </c>
      <c r="G24" s="537">
        <v>47.858927268000002</v>
      </c>
      <c r="H24" s="533">
        <v>266.25836952600002</v>
      </c>
      <c r="I24" s="533"/>
    </row>
    <row r="25" spans="2:10">
      <c r="B25" s="532" t="s">
        <v>1837</v>
      </c>
      <c r="C25" s="533">
        <v>130.81474504799999</v>
      </c>
      <c r="D25" s="533">
        <f>C25-H25</f>
        <v>104.77984637699998</v>
      </c>
      <c r="E25" s="537">
        <v>22.922672387999999</v>
      </c>
      <c r="F25" s="537">
        <v>2.4517121899999998</v>
      </c>
      <c r="G25" s="537">
        <v>6.2067216609999996</v>
      </c>
      <c r="H25" s="533">
        <v>26.034898671000001</v>
      </c>
      <c r="I25" s="533"/>
    </row>
    <row r="26" spans="2:10">
      <c r="B26" s="532" t="s">
        <v>1867</v>
      </c>
      <c r="C26" s="533">
        <f>C23-C25</f>
        <v>793.31133901100009</v>
      </c>
      <c r="D26" s="533">
        <f>C26-H26</f>
        <v>531.0207537870001</v>
      </c>
      <c r="E26" s="537">
        <f>E23-E25</f>
        <v>42.273844138000001</v>
      </c>
      <c r="F26" s="533">
        <f>F23-F25</f>
        <v>93.481900904</v>
      </c>
      <c r="G26" s="533">
        <f>G23-G25</f>
        <v>36.072059101999997</v>
      </c>
      <c r="H26" s="533">
        <f>H23-H25</f>
        <v>262.29058522399998</v>
      </c>
      <c r="I26" s="533"/>
      <c r="J26" t="s">
        <v>1881</v>
      </c>
    </row>
    <row r="27" spans="2:10" s="524" customFormat="1">
      <c r="B27" s="532" t="s">
        <v>1868</v>
      </c>
      <c r="C27" s="533">
        <v>93.482518737000007</v>
      </c>
      <c r="D27" s="533">
        <f>C27-H27</f>
        <v>67.447620066000013</v>
      </c>
      <c r="E27" s="537">
        <v>15.219858629999999</v>
      </c>
      <c r="F27" s="537">
        <v>3.4016570220000002</v>
      </c>
      <c r="G27" s="537">
        <v>3.966744254</v>
      </c>
      <c r="H27" s="537">
        <v>26.034898671000001</v>
      </c>
      <c r="I27" s="537"/>
    </row>
    <row r="28" spans="2:10">
      <c r="B28" s="532"/>
      <c r="C28" s="533"/>
      <c r="D28" s="533"/>
      <c r="E28" s="537"/>
      <c r="F28" s="537"/>
      <c r="G28" s="537"/>
      <c r="H28" s="533"/>
      <c r="I28" s="533"/>
    </row>
    <row r="29" spans="2:10">
      <c r="B29" s="190" t="s">
        <v>1863</v>
      </c>
      <c r="C29" s="533"/>
      <c r="D29" s="533"/>
      <c r="E29" s="537"/>
      <c r="F29" s="537"/>
      <c r="G29" s="537"/>
      <c r="H29" s="533"/>
      <c r="I29" s="533"/>
      <c r="J29" s="24" t="s">
        <v>1864</v>
      </c>
    </row>
    <row r="30" spans="2:10" s="524" customFormat="1">
      <c r="B30" s="532" t="s">
        <v>1869</v>
      </c>
      <c r="C30" s="533"/>
      <c r="D30" s="533"/>
      <c r="E30" s="537"/>
      <c r="F30" s="537"/>
      <c r="G30" s="537"/>
      <c r="H30" s="533"/>
      <c r="I30" s="533"/>
    </row>
    <row r="31" spans="2:10" s="524" customFormat="1">
      <c r="B31" s="538" t="s">
        <v>1875</v>
      </c>
      <c r="C31" s="533"/>
      <c r="D31" s="533"/>
      <c r="E31" s="537"/>
      <c r="F31" s="537"/>
      <c r="G31" s="537"/>
      <c r="H31" s="533"/>
      <c r="I31" s="533"/>
    </row>
    <row r="32" spans="2:10" s="524" customFormat="1">
      <c r="B32" s="538" t="s">
        <v>1876</v>
      </c>
      <c r="C32" s="533"/>
      <c r="D32" s="533"/>
      <c r="E32" s="537"/>
      <c r="F32" s="537"/>
      <c r="G32" s="537"/>
      <c r="H32" s="533"/>
      <c r="I32" s="533"/>
    </row>
    <row r="33" spans="2:12" s="524" customFormat="1">
      <c r="B33" s="532" t="s">
        <v>1839</v>
      </c>
      <c r="C33" s="533">
        <v>1177.0630000000001</v>
      </c>
      <c r="D33" s="533"/>
      <c r="E33" s="537">
        <v>121.50236906347401</v>
      </c>
      <c r="F33" s="537"/>
      <c r="G33" s="537"/>
      <c r="H33" s="533"/>
      <c r="I33" s="533"/>
      <c r="J33" s="524" t="s">
        <v>1865</v>
      </c>
      <c r="K33" s="526">
        <v>125.82800000000002</v>
      </c>
      <c r="L33" s="524" t="s">
        <v>1866</v>
      </c>
    </row>
    <row r="34" spans="2:12" s="524" customFormat="1">
      <c r="B34" s="532"/>
      <c r="C34" s="533"/>
      <c r="D34" s="533"/>
      <c r="E34" s="537"/>
      <c r="F34" s="537"/>
      <c r="G34" s="537"/>
      <c r="H34" s="533"/>
      <c r="I34" s="533"/>
      <c r="J34" s="24"/>
    </row>
    <row r="35" spans="2:12">
      <c r="B35" s="190" t="s">
        <v>1862</v>
      </c>
      <c r="C35" s="533"/>
      <c r="D35" s="533"/>
      <c r="E35" s="537"/>
      <c r="F35" s="537"/>
      <c r="G35" s="537"/>
      <c r="H35" s="533"/>
      <c r="I35" s="533"/>
      <c r="J35" s="24" t="s">
        <v>1871</v>
      </c>
    </row>
    <row r="36" spans="2:12" s="524" customFormat="1">
      <c r="B36" s="90" t="s">
        <v>1838</v>
      </c>
      <c r="C36" s="185">
        <f>C40+C39</f>
        <v>1219.0429999999999</v>
      </c>
      <c r="D36" s="185">
        <f>C36-H36</f>
        <v>652.02599999999995</v>
      </c>
      <c r="E36" s="546">
        <f>E40+E39</f>
        <v>149.06499817072302</v>
      </c>
      <c r="F36" s="185">
        <f>F40+F39</f>
        <v>38.633000000000003</v>
      </c>
      <c r="G36" s="185">
        <f>G40+G39</f>
        <v>74.730999999999995</v>
      </c>
      <c r="H36" s="185">
        <f>H40+H39</f>
        <v>567.01699999999994</v>
      </c>
      <c r="I36" s="185"/>
      <c r="J36" s="524" t="s">
        <v>1872</v>
      </c>
    </row>
    <row r="37" spans="2:12" s="524" customFormat="1">
      <c r="B37" s="538" t="s">
        <v>1875</v>
      </c>
      <c r="C37" s="533">
        <v>681.44899999999996</v>
      </c>
      <c r="D37" s="533">
        <f t="shared" ref="D37:D45" si="0">C37-H37</f>
        <v>104.22299999999996</v>
      </c>
      <c r="E37" s="537"/>
      <c r="F37" s="537">
        <v>4.875</v>
      </c>
      <c r="G37" s="537">
        <v>9.9960000000000004</v>
      </c>
      <c r="H37" s="533">
        <v>577.226</v>
      </c>
      <c r="I37" s="533"/>
    </row>
    <row r="38" spans="2:12" s="524" customFormat="1" hidden="1">
      <c r="B38" s="538" t="s">
        <v>1876</v>
      </c>
      <c r="C38" s="533">
        <v>3.2189999999999999</v>
      </c>
      <c r="D38" s="533">
        <f t="shared" si="0"/>
        <v>-8.588000000000001</v>
      </c>
      <c r="E38" s="537" t="e">
        <v>#VALUE!</v>
      </c>
      <c r="F38" s="537">
        <v>-2.3079999999999998</v>
      </c>
      <c r="G38" s="537">
        <v>-0.57399999999999995</v>
      </c>
      <c r="H38" s="533">
        <v>11.807</v>
      </c>
      <c r="I38" s="533"/>
    </row>
    <row r="39" spans="2:12">
      <c r="B39" s="532" t="s">
        <v>780</v>
      </c>
      <c r="C39" s="533">
        <v>152.667</v>
      </c>
      <c r="D39" s="533">
        <f t="shared" si="0"/>
        <v>142.90100000000001</v>
      </c>
      <c r="E39" s="537">
        <v>68.015998170722995</v>
      </c>
      <c r="F39" s="537">
        <v>2.4359999999999999</v>
      </c>
      <c r="G39" s="537">
        <v>10.058999999999999</v>
      </c>
      <c r="H39" s="533">
        <v>9.766</v>
      </c>
      <c r="I39" s="533"/>
    </row>
    <row r="40" spans="2:12">
      <c r="B40" s="532" t="s">
        <v>1839</v>
      </c>
      <c r="C40" s="533">
        <v>1066.376</v>
      </c>
      <c r="D40" s="533">
        <f t="shared" si="0"/>
        <v>509.125</v>
      </c>
      <c r="E40" s="537">
        <v>81.049000000000007</v>
      </c>
      <c r="F40" s="537">
        <v>36.197000000000003</v>
      </c>
      <c r="G40" s="537">
        <v>64.671999999999997</v>
      </c>
      <c r="H40" s="533">
        <v>557.25099999999998</v>
      </c>
      <c r="I40" s="533"/>
    </row>
    <row r="41" spans="2:12">
      <c r="B41" s="536" t="s">
        <v>1882</v>
      </c>
      <c r="C41" s="533">
        <v>142.738</v>
      </c>
      <c r="D41" s="533">
        <f t="shared" si="0"/>
        <v>142.596</v>
      </c>
      <c r="E41" s="533">
        <v>39.402999999999999</v>
      </c>
      <c r="F41" s="537">
        <v>7.9509999999999996</v>
      </c>
      <c r="G41" s="537">
        <v>12.162000000000001</v>
      </c>
      <c r="H41" s="533">
        <v>0.14199999999999999</v>
      </c>
      <c r="I41" s="533"/>
    </row>
    <row r="42" spans="2:12" s="524" customFormat="1">
      <c r="B42" s="536" t="s">
        <v>1883</v>
      </c>
      <c r="C42" s="533">
        <v>198.827</v>
      </c>
      <c r="D42" s="533">
        <f t="shared" si="0"/>
        <v>178.11599999999999</v>
      </c>
      <c r="E42" s="533">
        <v>1.6759999999999999</v>
      </c>
      <c r="F42" s="537">
        <v>1.472</v>
      </c>
      <c r="G42" s="537">
        <v>1.385</v>
      </c>
      <c r="H42" s="533">
        <v>20.710999999999999</v>
      </c>
      <c r="I42" s="533"/>
    </row>
    <row r="43" spans="2:12" s="524" customFormat="1">
      <c r="B43" s="536" t="s">
        <v>1884</v>
      </c>
      <c r="C43" s="533">
        <v>134.12799999999999</v>
      </c>
      <c r="D43" s="533">
        <f t="shared" si="0"/>
        <v>106.68199999999999</v>
      </c>
      <c r="E43" s="533">
        <v>4.984</v>
      </c>
      <c r="F43" s="537">
        <v>1.716</v>
      </c>
      <c r="G43" s="537">
        <v>2.8679999999999999</v>
      </c>
      <c r="H43" s="533">
        <v>27.446000000000002</v>
      </c>
      <c r="I43" s="533"/>
    </row>
    <row r="44" spans="2:12" s="524" customFormat="1">
      <c r="B44" s="547" t="s">
        <v>1886</v>
      </c>
      <c r="C44" s="533">
        <f>C40-C41+C42-C43</f>
        <v>988.33699999999999</v>
      </c>
      <c r="D44" s="533">
        <f t="shared" si="0"/>
        <v>437.96300000000008</v>
      </c>
      <c r="E44" s="533">
        <f>E40-E41+E42-E43</f>
        <v>38.338000000000008</v>
      </c>
      <c r="F44" s="533">
        <f>F40-F41+F42-F43</f>
        <v>28.002000000000002</v>
      </c>
      <c r="G44" s="533">
        <f>G40-G41+G42-G43</f>
        <v>51.026999999999994</v>
      </c>
      <c r="H44" s="533">
        <f>H40-H41+H42-H43</f>
        <v>550.37399999999991</v>
      </c>
      <c r="I44" s="533"/>
    </row>
    <row r="45" spans="2:12">
      <c r="B45" s="536" t="s">
        <v>1885</v>
      </c>
      <c r="C45" s="527">
        <v>455.79</v>
      </c>
      <c r="D45" s="533">
        <f t="shared" si="0"/>
        <v>231.97900000000001</v>
      </c>
      <c r="E45" s="533">
        <v>52.677999999999997</v>
      </c>
      <c r="F45" s="537">
        <v>13.852</v>
      </c>
      <c r="G45" s="537">
        <v>17.3</v>
      </c>
      <c r="H45" s="527">
        <v>223.81100000000001</v>
      </c>
      <c r="I45" s="527"/>
    </row>
    <row r="46" spans="2:12" s="524" customFormat="1">
      <c r="B46" s="536"/>
      <c r="C46" s="527"/>
      <c r="D46" s="527"/>
      <c r="E46" s="527"/>
      <c r="F46" s="527"/>
      <c r="G46" s="527"/>
      <c r="H46" s="527"/>
      <c r="I46" s="527"/>
    </row>
    <row r="47" spans="2:12" s="524" customFormat="1">
      <c r="B47" s="190" t="s">
        <v>1862</v>
      </c>
      <c r="C47" s="551" t="s">
        <v>1889</v>
      </c>
      <c r="D47" s="533"/>
      <c r="E47" s="537"/>
      <c r="F47" s="537"/>
      <c r="G47" s="537"/>
      <c r="H47" s="533"/>
      <c r="I47" s="527"/>
    </row>
    <row r="48" spans="2:12" s="524" customFormat="1">
      <c r="B48" s="90" t="s">
        <v>1838</v>
      </c>
      <c r="C48" s="185">
        <f>C52+C51</f>
        <v>1219.0429999999999</v>
      </c>
      <c r="D48" s="185">
        <f>C48-H48</f>
        <v>1209.9509999999998</v>
      </c>
      <c r="E48" s="546">
        <f>E52+E51</f>
        <v>333.95849706666661</v>
      </c>
      <c r="F48" s="185">
        <f>F52+F51</f>
        <v>148.398</v>
      </c>
      <c r="G48" s="185">
        <f>G52+G51</f>
        <v>215.869</v>
      </c>
      <c r="H48" s="185">
        <f>H52+H51</f>
        <v>9.0920000000000005</v>
      </c>
      <c r="I48" s="527"/>
    </row>
    <row r="49" spans="2:10" s="524" customFormat="1">
      <c r="B49" s="538" t="s">
        <v>1875</v>
      </c>
      <c r="C49" s="533">
        <v>681.44899999999996</v>
      </c>
      <c r="D49" s="533">
        <f>C49-H49</f>
        <v>682.53499999999997</v>
      </c>
      <c r="E49" s="537"/>
      <c r="F49" s="537">
        <v>109.58499999999999</v>
      </c>
      <c r="G49" s="537">
        <v>133.05799999999999</v>
      </c>
      <c r="H49" s="533">
        <v>-1.0860000000000001</v>
      </c>
      <c r="I49" s="527"/>
    </row>
    <row r="50" spans="2:10" s="524" customFormat="1">
      <c r="B50" s="538" t="s">
        <v>1876</v>
      </c>
      <c r="C50" s="533">
        <v>3.2189999999999999</v>
      </c>
      <c r="D50" s="533">
        <f>C50-H50</f>
        <v>1.2619999999999998</v>
      </c>
      <c r="E50" s="537" t="e">
        <v>#VALUE!</v>
      </c>
      <c r="F50" s="537">
        <v>-6.0949999999999998</v>
      </c>
      <c r="G50" s="537">
        <v>-0.77600000000000002</v>
      </c>
      <c r="H50" s="533">
        <v>1.9570000000000001</v>
      </c>
      <c r="I50" s="527"/>
    </row>
    <row r="51" spans="2:10" s="524" customFormat="1">
      <c r="B51" s="532" t="s">
        <v>780</v>
      </c>
      <c r="C51" s="533">
        <v>152.667</v>
      </c>
      <c r="D51" s="533">
        <f>C51-H51</f>
        <v>153.16800000000001</v>
      </c>
      <c r="E51" s="537">
        <v>74.42149706666666</v>
      </c>
      <c r="F51" s="537">
        <v>5.76</v>
      </c>
      <c r="G51" s="537">
        <v>14.811999999999999</v>
      </c>
      <c r="H51" s="533">
        <v>-0.501</v>
      </c>
      <c r="I51" s="527"/>
    </row>
    <row r="52" spans="2:10" s="524" customFormat="1">
      <c r="B52" s="532" t="s">
        <v>1839</v>
      </c>
      <c r="C52" s="533">
        <v>1066.376</v>
      </c>
      <c r="D52" s="3">
        <f>C52-H52</f>
        <v>1056.7829999999999</v>
      </c>
      <c r="E52" s="191">
        <v>259.53699999999998</v>
      </c>
      <c r="F52" s="537">
        <v>142.63800000000001</v>
      </c>
      <c r="G52" s="537">
        <v>201.05699999999999</v>
      </c>
      <c r="H52" s="533">
        <v>9.593</v>
      </c>
      <c r="I52" s="527"/>
    </row>
    <row r="53" spans="2:10" s="524" customFormat="1">
      <c r="B53" s="536" t="s">
        <v>1882</v>
      </c>
      <c r="C53" s="533"/>
      <c r="D53" s="533"/>
      <c r="E53" s="533">
        <v>33.853000000000002</v>
      </c>
      <c r="F53" s="537"/>
      <c r="G53" s="537"/>
      <c r="H53" s="533"/>
      <c r="I53" s="527"/>
    </row>
    <row r="54" spans="2:10" s="524" customFormat="1">
      <c r="B54" s="536" t="s">
        <v>1883</v>
      </c>
      <c r="C54" s="533"/>
      <c r="D54" s="533"/>
      <c r="E54" s="533"/>
      <c r="F54" s="537"/>
      <c r="G54" s="537"/>
      <c r="H54" s="533"/>
      <c r="I54" s="527"/>
    </row>
    <row r="55" spans="2:10" s="524" customFormat="1">
      <c r="B55" s="536" t="s">
        <v>1884</v>
      </c>
      <c r="C55" s="533"/>
      <c r="D55" s="533"/>
      <c r="E55" s="533"/>
      <c r="F55" s="537"/>
      <c r="G55" s="537"/>
      <c r="H55" s="533"/>
      <c r="I55" s="527"/>
    </row>
    <row r="56" spans="2:10" s="524" customFormat="1">
      <c r="B56" s="547" t="s">
        <v>1886</v>
      </c>
      <c r="C56" s="533"/>
      <c r="D56" s="533"/>
      <c r="E56" s="533"/>
      <c r="F56" s="533"/>
      <c r="G56" s="533"/>
      <c r="H56" s="533"/>
      <c r="I56" s="527"/>
    </row>
    <row r="57" spans="2:10" s="524" customFormat="1">
      <c r="B57" s="536" t="s">
        <v>1885</v>
      </c>
      <c r="C57" s="527"/>
      <c r="D57" s="533"/>
      <c r="E57" s="533"/>
      <c r="F57" s="537"/>
      <c r="G57" s="537"/>
      <c r="H57" s="527"/>
      <c r="I57" s="527"/>
    </row>
    <row r="58" spans="2:10" s="524" customFormat="1">
      <c r="B58" s="536"/>
      <c r="C58" s="527"/>
      <c r="D58" s="527"/>
      <c r="E58" s="527"/>
      <c r="F58" s="527"/>
      <c r="G58" s="527"/>
      <c r="H58" s="527"/>
      <c r="I58" s="527"/>
    </row>
    <row r="59" spans="2:10">
      <c r="B59" s="190" t="s">
        <v>1832</v>
      </c>
      <c r="C59" s="533"/>
      <c r="D59" s="533"/>
      <c r="E59" s="533"/>
      <c r="F59" s="533"/>
      <c r="G59" s="533"/>
      <c r="H59" s="533"/>
      <c r="I59" s="533"/>
      <c r="J59" s="24" t="s">
        <v>1861</v>
      </c>
    </row>
    <row r="60" spans="2:10">
      <c r="B60" s="532" t="s">
        <v>1852</v>
      </c>
      <c r="C60" s="533"/>
      <c r="D60" s="533"/>
      <c r="E60" s="533"/>
      <c r="F60" s="533"/>
      <c r="G60" s="533"/>
      <c r="H60" s="533"/>
      <c r="I60" s="533"/>
    </row>
    <row r="61" spans="2:10">
      <c r="B61" s="532"/>
      <c r="C61" s="533"/>
      <c r="D61" s="533"/>
      <c r="E61" s="533"/>
      <c r="F61" s="533"/>
      <c r="G61" s="533"/>
      <c r="H61" s="533"/>
      <c r="I61" s="533"/>
    </row>
    <row r="62" spans="2:10" ht="16" thickBot="1">
      <c r="B62" s="539"/>
      <c r="C62" s="540"/>
      <c r="D62" s="540"/>
      <c r="E62" s="540"/>
      <c r="F62" s="540"/>
      <c r="G62" s="540"/>
      <c r="H62" s="540"/>
      <c r="I62" s="533"/>
    </row>
    <row r="63" spans="2:10" ht="16" thickTop="1">
      <c r="C63" s="527"/>
      <c r="D63" s="527"/>
      <c r="E63" s="527"/>
      <c r="F63" s="527"/>
      <c r="G63" s="527"/>
      <c r="H63" s="527"/>
      <c r="I63" s="527"/>
    </row>
    <row r="64" spans="2:10">
      <c r="C64" s="527"/>
      <c r="D64" s="527"/>
      <c r="E64" s="527"/>
      <c r="F64" s="527"/>
      <c r="G64" s="527"/>
      <c r="H64" s="527"/>
      <c r="I64" s="527"/>
    </row>
    <row r="65" spans="3:9">
      <c r="C65" s="527"/>
      <c r="D65" s="527"/>
      <c r="E65" s="527"/>
      <c r="F65" s="527"/>
      <c r="G65" s="527"/>
      <c r="H65" s="527"/>
      <c r="I65" s="527"/>
    </row>
    <row r="66" spans="3:9">
      <c r="C66" s="527"/>
      <c r="D66" s="527"/>
      <c r="E66" s="527"/>
      <c r="F66" s="527"/>
      <c r="G66" s="527"/>
      <c r="H66" s="527"/>
      <c r="I66" s="527"/>
    </row>
    <row r="67" spans="3:9">
      <c r="C67" s="527"/>
      <c r="D67" s="527"/>
      <c r="E67" s="527"/>
      <c r="F67" s="527"/>
      <c r="G67" s="527"/>
      <c r="H67" s="527"/>
      <c r="I67" s="527"/>
    </row>
    <row r="68" spans="3:9">
      <c r="C68" s="527"/>
      <c r="D68" s="527"/>
      <c r="E68" s="527"/>
      <c r="F68" s="527"/>
      <c r="G68" s="527"/>
      <c r="H68" s="527"/>
      <c r="I68" s="527"/>
    </row>
    <row r="69" spans="3:9">
      <c r="C69" s="527"/>
      <c r="D69" s="527"/>
      <c r="E69" s="527"/>
      <c r="F69" s="527"/>
      <c r="G69" s="527"/>
      <c r="H69" s="527"/>
      <c r="I69" s="527"/>
    </row>
    <row r="70" spans="3:9">
      <c r="C70" s="527"/>
      <c r="D70" s="527"/>
      <c r="E70" s="527"/>
      <c r="F70" s="527"/>
      <c r="G70" s="527"/>
      <c r="H70" s="527"/>
      <c r="I70" s="527"/>
    </row>
    <row r="71" spans="3:9">
      <c r="C71" s="527"/>
      <c r="D71" s="527"/>
      <c r="E71" s="527"/>
      <c r="F71" s="527"/>
      <c r="G71" s="527"/>
      <c r="H71" s="527"/>
      <c r="I71" s="527"/>
    </row>
    <row r="72" spans="3:9">
      <c r="C72" s="527"/>
      <c r="D72" s="527"/>
      <c r="E72" s="527"/>
      <c r="F72" s="527"/>
      <c r="G72" s="527"/>
      <c r="H72" s="527"/>
      <c r="I72" s="527"/>
    </row>
    <row r="73" spans="3:9">
      <c r="C73" s="527"/>
      <c r="D73" s="527"/>
      <c r="E73" s="527"/>
      <c r="F73" s="527"/>
      <c r="G73" s="527"/>
      <c r="H73" s="527"/>
      <c r="I73" s="527"/>
    </row>
    <row r="74" spans="3:9">
      <c r="C74" s="527"/>
      <c r="D74" s="527"/>
      <c r="E74" s="527"/>
      <c r="F74" s="527"/>
      <c r="G74" s="527"/>
      <c r="H74" s="527"/>
      <c r="I74" s="527"/>
    </row>
    <row r="75" spans="3:9">
      <c r="C75" s="527"/>
      <c r="D75" s="527"/>
      <c r="E75" s="527"/>
      <c r="F75" s="527"/>
      <c r="G75" s="527"/>
      <c r="H75" s="527"/>
      <c r="I75" s="527"/>
    </row>
    <row r="76" spans="3:9">
      <c r="C76" s="527"/>
      <c r="D76" s="527"/>
      <c r="E76" s="527"/>
      <c r="F76" s="527"/>
      <c r="G76" s="527"/>
      <c r="H76" s="527"/>
      <c r="I76" s="527"/>
    </row>
    <row r="77" spans="3:9">
      <c r="C77" s="527"/>
      <c r="D77" s="527"/>
      <c r="E77" s="527"/>
      <c r="F77" s="527"/>
      <c r="G77" s="527"/>
      <c r="H77" s="527"/>
      <c r="I77" s="527"/>
    </row>
    <row r="78" spans="3:9">
      <c r="C78" s="527"/>
      <c r="D78" s="527"/>
      <c r="E78" s="527"/>
      <c r="F78" s="527"/>
      <c r="G78" s="527"/>
      <c r="H78" s="527"/>
      <c r="I78" s="527"/>
    </row>
    <row r="79" spans="3:9">
      <c r="C79" s="527"/>
      <c r="D79" s="527"/>
      <c r="E79" s="527"/>
      <c r="F79" s="527"/>
      <c r="G79" s="527"/>
      <c r="H79" s="527"/>
      <c r="I79" s="527"/>
    </row>
    <row r="80" spans="3:9">
      <c r="C80" s="527"/>
      <c r="D80" s="527"/>
      <c r="E80" s="527"/>
      <c r="F80" s="527"/>
      <c r="G80" s="527"/>
      <c r="H80" s="527"/>
      <c r="I80" s="527"/>
    </row>
    <row r="81" spans="3:9">
      <c r="C81" s="527"/>
      <c r="D81" s="527"/>
      <c r="E81" s="527"/>
      <c r="F81" s="527"/>
      <c r="G81" s="527"/>
      <c r="H81" s="527"/>
      <c r="I81" s="527"/>
    </row>
  </sheetData>
  <pageMargins left="0.75" right="0.75" top="1" bottom="1" header="0.5" footer="0.5"/>
  <extLst>
    <ext xmlns:mx="http://schemas.microsoft.com/office/mac/excel/2008/main" uri="{64002731-A6B0-56B0-2670-7721B7C09600}">
      <mx:PLV Mode="0" OnePage="0" WScale="0"/>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
  <sheetViews>
    <sheetView workbookViewId="0">
      <selection activeCell="X67" sqref="X67"/>
    </sheetView>
  </sheetViews>
  <sheetFormatPr baseColWidth="10" defaultRowHeight="15" x14ac:dyDescent="0"/>
  <sheetData/>
  <pageMargins left="0.75" right="0.75" top="1" bottom="1" header="0.5" footer="0.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65"/>
  <sheetViews>
    <sheetView workbookViewId="0">
      <pane xSplit="1" ySplit="9" topLeftCell="B10" activePane="bottomRight" state="frozen"/>
      <selection activeCell="X67" sqref="X67"/>
      <selection pane="topRight" activeCell="X67" sqref="X67"/>
      <selection pane="bottomLeft" activeCell="X67" sqref="X67"/>
      <selection pane="bottomRight" activeCell="X67" sqref="X67"/>
    </sheetView>
  </sheetViews>
  <sheetFormatPr baseColWidth="10" defaultColWidth="9.28515625" defaultRowHeight="15" x14ac:dyDescent="0"/>
  <cols>
    <col min="1" max="1" width="16.28515625" style="805" customWidth="1"/>
    <col min="2" max="12" width="9.7109375" style="805" customWidth="1"/>
    <col min="13" max="13" width="9.7109375" style="1221" customWidth="1"/>
    <col min="14" max="16384" width="9.28515625" style="805"/>
  </cols>
  <sheetData>
    <row r="1" spans="1:13">
      <c r="B1" s="829"/>
      <c r="E1" s="829"/>
    </row>
    <row r="2" spans="1:13" ht="16" thickBot="1"/>
    <row r="3" spans="1:13" ht="32" customHeight="1" thickTop="1">
      <c r="A3" s="1734" t="s">
        <v>3474</v>
      </c>
      <c r="B3" s="1735"/>
      <c r="C3" s="1735"/>
      <c r="D3" s="1735"/>
      <c r="E3" s="1735"/>
      <c r="F3" s="1735"/>
      <c r="G3" s="1735"/>
      <c r="H3" s="1735"/>
      <c r="I3" s="1735"/>
      <c r="J3" s="1736"/>
      <c r="K3" s="807"/>
      <c r="L3" s="807"/>
      <c r="M3" s="1222"/>
    </row>
    <row r="4" spans="1:13" ht="12" customHeight="1">
      <c r="A4" s="806"/>
      <c r="B4" s="807"/>
      <c r="C4" s="807"/>
      <c r="D4" s="807"/>
      <c r="E4" s="807"/>
      <c r="F4" s="807"/>
      <c r="G4" s="807"/>
      <c r="H4" s="807"/>
      <c r="I4" s="807"/>
      <c r="J4" s="808"/>
      <c r="K4" s="807"/>
      <c r="L4" s="807"/>
      <c r="M4" s="1222"/>
    </row>
    <row r="5" spans="1:13" ht="16" thickBot="1">
      <c r="A5" s="809"/>
      <c r="B5" s="839" t="s">
        <v>2411</v>
      </c>
      <c r="C5" s="839" t="s">
        <v>2412</v>
      </c>
      <c r="D5" s="839" t="s">
        <v>2413</v>
      </c>
      <c r="E5" s="839" t="s">
        <v>2414</v>
      </c>
      <c r="F5" s="839" t="s">
        <v>2415</v>
      </c>
      <c r="G5" s="839" t="s">
        <v>2416</v>
      </c>
      <c r="H5" s="839" t="s">
        <v>2417</v>
      </c>
      <c r="I5" s="839" t="s">
        <v>2429</v>
      </c>
      <c r="J5" s="840" t="s">
        <v>2430</v>
      </c>
      <c r="K5" s="839"/>
      <c r="L5" s="839"/>
      <c r="M5" s="1220"/>
    </row>
    <row r="6" spans="1:13" ht="21" customHeight="1">
      <c r="A6" s="809"/>
      <c r="B6" s="1737" t="s">
        <v>2418</v>
      </c>
      <c r="C6" s="1738"/>
      <c r="D6" s="1738"/>
      <c r="E6" s="1738"/>
      <c r="F6" s="1738"/>
      <c r="G6" s="1738"/>
      <c r="H6" s="1738"/>
      <c r="I6" s="1751" t="s">
        <v>2610</v>
      </c>
      <c r="J6" s="1739" t="s">
        <v>2544</v>
      </c>
      <c r="K6" s="1186"/>
      <c r="L6" s="1186"/>
      <c r="M6" s="1223"/>
    </row>
    <row r="7" spans="1:13" ht="36" customHeight="1">
      <c r="A7" s="809"/>
      <c r="B7" s="1360" t="s">
        <v>3229</v>
      </c>
      <c r="C7" s="1748" t="s">
        <v>2613</v>
      </c>
      <c r="D7" s="1749"/>
      <c r="E7" s="1749"/>
      <c r="F7" s="1749"/>
      <c r="G7" s="1749"/>
      <c r="H7" s="1749"/>
      <c r="I7" s="1752"/>
      <c r="J7" s="1740"/>
      <c r="K7" s="1187"/>
      <c r="L7" s="1187"/>
      <c r="M7" s="1223"/>
    </row>
    <row r="8" spans="1:13" ht="85" customHeight="1">
      <c r="A8" s="809"/>
      <c r="B8" s="1762" t="s">
        <v>2614</v>
      </c>
      <c r="C8" s="1741" t="s">
        <v>2607</v>
      </c>
      <c r="D8" s="812" t="s">
        <v>2198</v>
      </c>
      <c r="E8" s="812" t="s">
        <v>2541</v>
      </c>
      <c r="F8" s="1815" t="s">
        <v>2609</v>
      </c>
      <c r="G8" s="812" t="s">
        <v>2198</v>
      </c>
      <c r="H8" s="812" t="s">
        <v>2541</v>
      </c>
      <c r="I8" s="1752"/>
      <c r="J8" s="1740"/>
      <c r="K8" s="1187"/>
      <c r="L8" s="1187"/>
      <c r="M8" s="1223" t="s">
        <v>1146</v>
      </c>
    </row>
    <row r="9" spans="1:13" ht="33" customHeight="1">
      <c r="A9" s="809"/>
      <c r="B9" s="1741"/>
      <c r="C9" s="1741"/>
      <c r="D9" s="812"/>
      <c r="E9" s="812"/>
      <c r="F9" s="1816"/>
      <c r="G9" s="812"/>
      <c r="H9" s="812"/>
      <c r="I9" s="1752"/>
      <c r="J9" s="1740"/>
      <c r="K9" s="1187"/>
      <c r="L9" s="1187"/>
      <c r="M9" s="1223"/>
    </row>
    <row r="10" spans="1:13" ht="14" customHeight="1">
      <c r="A10" s="921">
        <v>1966</v>
      </c>
      <c r="B10" s="1087">
        <f>T.A5b!D10</f>
        <v>33.792781148754017</v>
      </c>
      <c r="C10" s="922"/>
      <c r="D10" s="1088"/>
      <c r="E10" s="930"/>
      <c r="F10" s="1077"/>
      <c r="G10" s="930"/>
      <c r="H10" s="930"/>
      <c r="I10" s="1096"/>
      <c r="J10" s="1333">
        <f t="shared" ref="J10:J19" si="0">(J$21+J$26)/2</f>
        <v>1.0963422724057008</v>
      </c>
      <c r="K10" s="1213"/>
      <c r="L10" s="1213"/>
      <c r="M10" s="1335">
        <f>F10+C10+T.A5b!H10-T.A5b!E10</f>
        <v>0</v>
      </c>
    </row>
    <row r="11" spans="1:13" ht="14" customHeight="1">
      <c r="A11" s="826">
        <v>1967</v>
      </c>
      <c r="B11" s="1082">
        <f>T.A5b!D11</f>
        <v>36.830993685338427</v>
      </c>
      <c r="C11" s="814"/>
      <c r="D11" s="1089"/>
      <c r="E11" s="834"/>
      <c r="F11" s="1078"/>
      <c r="G11" s="834"/>
      <c r="H11" s="834"/>
      <c r="I11" s="996"/>
      <c r="J11" s="1329">
        <f t="shared" si="0"/>
        <v>1.0963422724057008</v>
      </c>
      <c r="K11" s="1213"/>
      <c r="L11" s="1213"/>
      <c r="M11" s="1335">
        <f>F11+C11+T.A5b!H11-T.A5b!E11</f>
        <v>0</v>
      </c>
    </row>
    <row r="12" spans="1:13" ht="14" customHeight="1">
      <c r="A12" s="826">
        <v>1968</v>
      </c>
      <c r="B12" s="1082">
        <f>T.A5b!D12</f>
        <v>40.209511016692517</v>
      </c>
      <c r="C12" s="814"/>
      <c r="D12" s="1089"/>
      <c r="E12" s="834"/>
      <c r="F12" s="1078"/>
      <c r="G12" s="834"/>
      <c r="H12" s="834"/>
      <c r="I12" s="996"/>
      <c r="J12" s="1329">
        <f t="shared" si="0"/>
        <v>1.0963422724057008</v>
      </c>
      <c r="K12" s="1213"/>
      <c r="L12" s="1213"/>
      <c r="M12" s="1335">
        <f>F12+C12+T.A5b!H12-T.A5b!E12</f>
        <v>0</v>
      </c>
    </row>
    <row r="13" spans="1:13" ht="14" customHeight="1">
      <c r="A13" s="856">
        <v>1969</v>
      </c>
      <c r="B13" s="1083">
        <f>T.A5b!D13</f>
        <v>44.703487066333167</v>
      </c>
      <c r="C13" s="857"/>
      <c r="D13" s="1090"/>
      <c r="E13" s="860"/>
      <c r="F13" s="1079"/>
      <c r="G13" s="860"/>
      <c r="H13" s="860"/>
      <c r="I13" s="1097"/>
      <c r="J13" s="1330">
        <f t="shared" si="0"/>
        <v>1.0963422724057008</v>
      </c>
      <c r="K13" s="1213"/>
      <c r="L13" s="1213"/>
      <c r="M13" s="1335">
        <f>F13+C13+T.A5b!H13-T.A5b!E13</f>
        <v>0</v>
      </c>
    </row>
    <row r="14" spans="1:13" ht="14" customHeight="1">
      <c r="A14" s="863">
        <v>1970</v>
      </c>
      <c r="B14" s="1082">
        <f>T.A5b!D14</f>
        <v>49.164270343209793</v>
      </c>
      <c r="C14" s="864"/>
      <c r="D14" s="1091"/>
      <c r="E14" s="866"/>
      <c r="F14" s="1080"/>
      <c r="G14" s="866"/>
      <c r="H14" s="866"/>
      <c r="I14" s="1098"/>
      <c r="J14" s="1331">
        <f t="shared" si="0"/>
        <v>1.0963422724057008</v>
      </c>
      <c r="K14" s="1213"/>
      <c r="L14" s="1213"/>
      <c r="M14" s="1335">
        <f>F14+C14+T.A5b!H14-T.A5b!E14</f>
        <v>0</v>
      </c>
    </row>
    <row r="15" spans="1:13" ht="14" customHeight="1">
      <c r="A15" s="826">
        <v>1971</v>
      </c>
      <c r="B15" s="1082">
        <f>T.A5b!D15</f>
        <v>53.739883827069548</v>
      </c>
      <c r="C15" s="814"/>
      <c r="D15" s="1089"/>
      <c r="E15" s="834"/>
      <c r="F15" s="1078"/>
      <c r="G15" s="834"/>
      <c r="H15" s="834"/>
      <c r="I15" s="996"/>
      <c r="J15" s="1334">
        <f t="shared" si="0"/>
        <v>1.0963422724057008</v>
      </c>
      <c r="K15" s="1214"/>
      <c r="L15" s="1214"/>
      <c r="M15" s="1335">
        <f>F15+C15+T.A5b!H15-T.A5b!E15</f>
        <v>0</v>
      </c>
    </row>
    <row r="16" spans="1:13" ht="14" customHeight="1">
      <c r="A16" s="826">
        <v>1972</v>
      </c>
      <c r="B16" s="1082">
        <f>T.A5b!D16</f>
        <v>57.764103146575607</v>
      </c>
      <c r="C16" s="814"/>
      <c r="D16" s="1089"/>
      <c r="E16" s="834"/>
      <c r="F16" s="1078"/>
      <c r="G16" s="834"/>
      <c r="H16" s="834"/>
      <c r="I16" s="996"/>
      <c r="J16" s="1334">
        <f t="shared" si="0"/>
        <v>1.0963422724057008</v>
      </c>
      <c r="K16" s="1214"/>
      <c r="L16" s="1214"/>
      <c r="M16" s="1335">
        <f>F16+C16+T.A5b!H16-T.A5b!E16</f>
        <v>0</v>
      </c>
    </row>
    <row r="17" spans="1:13" ht="14" customHeight="1">
      <c r="A17" s="826">
        <v>1973</v>
      </c>
      <c r="B17" s="1082">
        <f>T.A5b!D17</f>
        <v>67.581916244463258</v>
      </c>
      <c r="C17" s="814"/>
      <c r="D17" s="1089"/>
      <c r="E17" s="834"/>
      <c r="F17" s="1078"/>
      <c r="G17" s="834"/>
      <c r="H17" s="834"/>
      <c r="I17" s="996"/>
      <c r="J17" s="1334">
        <f t="shared" si="0"/>
        <v>1.0963422724057008</v>
      </c>
      <c r="K17" s="1214"/>
      <c r="L17" s="1214"/>
      <c r="M17" s="1335">
        <f>F17+C17+T.A5b!H17-T.A5b!E17</f>
        <v>0</v>
      </c>
    </row>
    <row r="18" spans="1:13" ht="14" customHeight="1">
      <c r="A18" s="826">
        <v>1974</v>
      </c>
      <c r="B18" s="1082">
        <f>T.A5b!D18</f>
        <v>79.250372986418512</v>
      </c>
      <c r="C18" s="814"/>
      <c r="D18" s="1089"/>
      <c r="E18" s="834"/>
      <c r="F18" s="1078"/>
      <c r="G18" s="834"/>
      <c r="H18" s="834"/>
      <c r="I18" s="996"/>
      <c r="J18" s="1334">
        <f t="shared" si="0"/>
        <v>1.0963422724057008</v>
      </c>
      <c r="K18" s="1214"/>
      <c r="L18" s="1214"/>
      <c r="M18" s="1335">
        <f>F18+C18+T.A5b!H18-T.A5b!E18</f>
        <v>0</v>
      </c>
    </row>
    <row r="19" spans="1:13" ht="14" customHeight="1">
      <c r="A19" s="826">
        <v>1975</v>
      </c>
      <c r="B19" s="1084">
        <f>T.A5b!D19</f>
        <v>87.677739516733396</v>
      </c>
      <c r="C19" s="814"/>
      <c r="D19" s="1089"/>
      <c r="E19" s="834"/>
      <c r="F19" s="1078"/>
      <c r="G19" s="834"/>
      <c r="H19" s="834"/>
      <c r="I19" s="996"/>
      <c r="J19" s="1334">
        <f t="shared" si="0"/>
        <v>1.0963422724057008</v>
      </c>
      <c r="K19" s="1214"/>
      <c r="L19" s="1214"/>
      <c r="M19" s="1335">
        <f>F19+C19+T.A5b!H19-T.A5b!E19</f>
        <v>0</v>
      </c>
    </row>
    <row r="20" spans="1:13" ht="14" customHeight="1">
      <c r="A20" s="826">
        <v>1976</v>
      </c>
      <c r="B20" s="1084">
        <f>T.A5b!D20</f>
        <v>92.574790540437135</v>
      </c>
      <c r="C20" s="814"/>
      <c r="D20" s="1089"/>
      <c r="E20" s="834"/>
      <c r="F20" s="1078"/>
      <c r="G20" s="834"/>
      <c r="H20" s="834"/>
      <c r="I20" s="996"/>
      <c r="J20" s="1329">
        <f t="shared" ref="J20:J24" si="1">(J$21+J$26)/2</f>
        <v>1.0963422724057008</v>
      </c>
      <c r="K20" s="1214"/>
      <c r="L20" s="1214"/>
      <c r="M20" s="1335">
        <f>F20+C20+T.A5b!H20-T.A5b!E20</f>
        <v>0</v>
      </c>
    </row>
    <row r="21" spans="1:13" ht="14" customHeight="1">
      <c r="A21" s="826">
        <v>1977</v>
      </c>
      <c r="B21" s="1082">
        <f>T.A5b!D21</f>
        <v>105.255</v>
      </c>
      <c r="C21" s="814">
        <f t="shared" ref="C21:C58" si="2">D21-E21</f>
        <v>19.865681112044459</v>
      </c>
      <c r="D21" s="1089">
        <f>T.A5c!F21-T.A5b!I21/T.A2!D21*'Assets(MOFA)'!AQ22*0.001</f>
        <v>26.407773953641851</v>
      </c>
      <c r="E21" s="834">
        <f>T.A5c!G21-T.A5b!J21/T.A2!D21*'Assets(MOFA)'!AQ22*0.001</f>
        <v>6.5420928415973911</v>
      </c>
      <c r="F21" s="1078">
        <f t="shared" ref="F21:F59" si="3">G21-H21</f>
        <v>74.521214509381323</v>
      </c>
      <c r="G21" s="834">
        <f>T.A5c!I21-T.A5b!I21/T.A2!D21*('Assets(MOFA)'!AU22-'Assets(MOFA)'!AQ22)*0.001</f>
        <v>86.442255949881101</v>
      </c>
      <c r="H21" s="834">
        <f>T.A5c!J21-T.A5b!J21/T.A2!D21*('Assets(MOFA)'!AU22-'Assets(MOFA)'!AQ22)*0.001</f>
        <v>11.921041440499781</v>
      </c>
      <c r="I21" s="1210">
        <f t="shared" ref="I21" si="4">C21/(C21+F21)</f>
        <v>0.21047075424244549</v>
      </c>
      <c r="J21" s="838">
        <f>B21/(C21+F21)</f>
        <v>1.1151442083884699</v>
      </c>
      <c r="K21" s="1214"/>
      <c r="L21" s="1214"/>
      <c r="M21" s="1335">
        <f>F21+C21+T.A5b!H21-T.A5b!E21</f>
        <v>-0.16710437857423699</v>
      </c>
    </row>
    <row r="22" spans="1:13" ht="14" customHeight="1">
      <c r="A22" s="826">
        <v>1978</v>
      </c>
      <c r="B22" s="1082">
        <f>T.A5b!D22</f>
        <v>119.49</v>
      </c>
      <c r="C22" s="814"/>
      <c r="D22" s="1089"/>
      <c r="E22" s="834"/>
      <c r="F22" s="1078"/>
      <c r="G22" s="834"/>
      <c r="H22" s="834"/>
      <c r="I22" s="996"/>
      <c r="J22" s="1329">
        <f t="shared" si="1"/>
        <v>1.0963422724057008</v>
      </c>
      <c r="K22" s="1213"/>
      <c r="L22" s="1213"/>
      <c r="M22" s="1335">
        <f>F22+C22+T.A5b!H22-T.A5b!E22</f>
        <v>0</v>
      </c>
    </row>
    <row r="23" spans="1:13" ht="14" customHeight="1">
      <c r="A23" s="856">
        <v>1979</v>
      </c>
      <c r="B23" s="1083">
        <f>T.A5b!D23</f>
        <v>136.02499999999998</v>
      </c>
      <c r="C23" s="857"/>
      <c r="D23" s="1090"/>
      <c r="E23" s="860"/>
      <c r="F23" s="1079"/>
      <c r="G23" s="860"/>
      <c r="H23" s="860"/>
      <c r="I23" s="1097"/>
      <c r="J23" s="1330">
        <f t="shared" si="1"/>
        <v>1.0963422724057008</v>
      </c>
      <c r="K23" s="1213"/>
      <c r="L23" s="1213"/>
      <c r="M23" s="1335">
        <f>F23+C23+T.A5b!H23-T.A5b!E23</f>
        <v>0</v>
      </c>
    </row>
    <row r="24" spans="1:13" ht="14" customHeight="1">
      <c r="A24" s="863">
        <v>1980</v>
      </c>
      <c r="B24" s="1085">
        <f>T.A5b!D24</f>
        <v>155.07899999999998</v>
      </c>
      <c r="C24" s="864"/>
      <c r="D24" s="1091"/>
      <c r="E24" s="866"/>
      <c r="F24" s="1080"/>
      <c r="G24" s="866"/>
      <c r="H24" s="866"/>
      <c r="I24" s="1098"/>
      <c r="J24" s="1331">
        <f t="shared" si="1"/>
        <v>1.0963422724057008</v>
      </c>
      <c r="K24" s="1213"/>
      <c r="L24" s="1213"/>
      <c r="M24" s="1335">
        <f>F24+C24+T.A5b!H24-T.A5b!E24</f>
        <v>0</v>
      </c>
    </row>
    <row r="25" spans="1:13" ht="14" customHeight="1">
      <c r="A25" s="826">
        <v>1981</v>
      </c>
      <c r="B25" s="1082">
        <f>T.A5b!D25</f>
        <v>162.399</v>
      </c>
      <c r="C25" s="814"/>
      <c r="D25" s="1089"/>
      <c r="E25" s="834"/>
      <c r="F25" s="1078"/>
      <c r="G25" s="834"/>
      <c r="H25" s="834"/>
      <c r="I25" s="996"/>
      <c r="J25" s="1329">
        <f>(J$21+J$26)/2</f>
        <v>1.0963422724057008</v>
      </c>
      <c r="K25" s="1213"/>
      <c r="L25" s="1213"/>
      <c r="M25" s="1335">
        <f>F25+C25+T.A5b!H25-T.A5b!E25</f>
        <v>0</v>
      </c>
    </row>
    <row r="26" spans="1:13" ht="14" customHeight="1">
      <c r="A26" s="826">
        <v>1982</v>
      </c>
      <c r="B26" s="1082">
        <f>T.A5b!D26</f>
        <v>150.666</v>
      </c>
      <c r="C26" s="814">
        <f t="shared" si="2"/>
        <v>41.788336542669583</v>
      </c>
      <c r="D26" s="1089">
        <f>T.A5c!F26-T.A5b!I26/T.A2!D26*'Assets(MOFA)'!AQ27*0.001</f>
        <v>55.569894748358863</v>
      </c>
      <c r="E26" s="834">
        <f>T.A5c!G26-T.A5b!J26/T.A2!D26*'Assets(MOFA)'!AQ27*0.001</f>
        <v>13.781558205689279</v>
      </c>
      <c r="F26" s="1078">
        <f t="shared" si="3"/>
        <v>98.035663457330415</v>
      </c>
      <c r="G26" s="834">
        <f>T.A5c!I26-T.A5b!I26/T.A2!D26*('Assets(MOFA)'!AU27-'Assets(MOFA)'!AQ27)*0.001</f>
        <v>118.77310525164114</v>
      </c>
      <c r="H26" s="834">
        <f>T.A5c!J26-T.A5b!J26/T.A2!D26*('Assets(MOFA)'!AU27-'Assets(MOFA)'!AQ27)*0.001</f>
        <v>20.737441794310723</v>
      </c>
      <c r="I26" s="1210">
        <f t="shared" ref="I26:I37" si="5">C26/(C26+F26)</f>
        <v>0.29886383269445577</v>
      </c>
      <c r="J26" s="837">
        <f t="shared" ref="J26:J59" si="6">B26/(C26+F26)</f>
        <v>1.0775403364229317</v>
      </c>
      <c r="K26" s="1213"/>
      <c r="L26" s="1213"/>
      <c r="M26" s="1335">
        <f>F26+C26+T.A5b!H26-T.A5b!E26</f>
        <v>0</v>
      </c>
    </row>
    <row r="27" spans="1:13" ht="14" customHeight="1">
      <c r="A27" s="826">
        <v>1983</v>
      </c>
      <c r="B27" s="1082">
        <f>T.A5b!D27</f>
        <v>165.083</v>
      </c>
      <c r="C27" s="814">
        <f t="shared" si="2"/>
        <v>45.373778629106297</v>
      </c>
      <c r="D27" s="1089">
        <f>T.A5c!F27-T.A5b!I27/T.A2!D27*'Assets(MOFA)'!AQ28*0.001</f>
        <v>63.379990639257009</v>
      </c>
      <c r="E27" s="834">
        <f>T.A5c!G27-T.A5b!J27/T.A2!D27*'Assets(MOFA)'!AQ28*0.001</f>
        <v>18.006212010150715</v>
      </c>
      <c r="F27" s="1078">
        <f t="shared" si="3"/>
        <v>91.428364228036557</v>
      </c>
      <c r="G27" s="834">
        <f>T.A5c!I27-T.A5b!I27/T.A2!D27*('Assets(MOFA)'!AU28-'Assets(MOFA)'!AQ28)*0.001</f>
        <v>116.97400936074298</v>
      </c>
      <c r="H27" s="834">
        <f>T.A5c!J27-T.A5b!J27/T.A2!D27*('Assets(MOFA)'!AU28-'Assets(MOFA)'!AQ28)*0.001</f>
        <v>25.545645132706426</v>
      </c>
      <c r="I27" s="1210">
        <f t="shared" si="5"/>
        <v>0.33167447293927527</v>
      </c>
      <c r="J27" s="837">
        <f t="shared" si="6"/>
        <v>1.2067281736397195</v>
      </c>
      <c r="K27" s="1213"/>
      <c r="L27" s="1213"/>
      <c r="M27" s="1335">
        <f>F27+C27+T.A5b!H27-T.A5b!E27</f>
        <v>0</v>
      </c>
    </row>
    <row r="28" spans="1:13" ht="14" customHeight="1">
      <c r="A28" s="826">
        <v>1984</v>
      </c>
      <c r="B28" s="1082">
        <f>T.A5b!D28</f>
        <v>177.39600000000002</v>
      </c>
      <c r="C28" s="814">
        <f t="shared" si="2"/>
        <v>46.015446129498109</v>
      </c>
      <c r="D28" s="1089">
        <f>T.A5c!F28-T.A5b!I28/T.A2!D28*'Assets(MOFA)'!AQ29*0.001</f>
        <v>68.195681944969309</v>
      </c>
      <c r="E28" s="834">
        <f>T.A5c!G28-T.A5b!J28/T.A2!D28*'Assets(MOFA)'!AQ29*0.001</f>
        <v>22.1802358154712</v>
      </c>
      <c r="F28" s="1078">
        <f t="shared" si="3"/>
        <v>92.241839584787613</v>
      </c>
      <c r="G28" s="834">
        <f>T.A5c!I28-T.A5b!I28/T.A2!D28*('Assets(MOFA)'!AU29-'Assets(MOFA)'!AQ29)*0.001</f>
        <v>122.64631805503069</v>
      </c>
      <c r="H28" s="834">
        <f>T.A5c!J28-T.A5b!J28/T.A2!D28*('Assets(MOFA)'!AU29-'Assets(MOFA)'!AQ29)*0.001</f>
        <v>30.404478470243074</v>
      </c>
      <c r="I28" s="1210">
        <f t="shared" si="5"/>
        <v>0.33282474693298181</v>
      </c>
      <c r="J28" s="837">
        <f t="shared" si="6"/>
        <v>1.2830860889790359</v>
      </c>
      <c r="K28" s="1213"/>
      <c r="L28" s="1213"/>
      <c r="M28" s="1335">
        <f>F28+C28+T.A5b!H28-T.A5b!E28</f>
        <v>0</v>
      </c>
    </row>
    <row r="29" spans="1:13" ht="14" customHeight="1">
      <c r="A29" s="826">
        <v>1985</v>
      </c>
      <c r="B29" s="1082">
        <f>T.A5b!D29</f>
        <v>197.19</v>
      </c>
      <c r="C29" s="814">
        <f t="shared" si="2"/>
        <v>46.331174386403134</v>
      </c>
      <c r="D29" s="1089">
        <f>T.A5c!F29-T.A5b!I29/T.A2!D29*'Assets(MOFA)'!AQ30*0.001</f>
        <v>72.666494046778453</v>
      </c>
      <c r="E29" s="834">
        <f>T.A5c!G29-T.A5b!J29/T.A2!D29*'Assets(MOFA)'!AQ30*0.001</f>
        <v>26.335319660375323</v>
      </c>
      <c r="F29" s="1078">
        <f t="shared" si="3"/>
        <v>103.12525418502543</v>
      </c>
      <c r="G29" s="834">
        <f>T.A5c!I29-T.A5b!I29/T.A2!D29*('Assets(MOFA)'!AU30-'Assets(MOFA)'!AQ30)*0.001</f>
        <v>138.40750595322152</v>
      </c>
      <c r="H29" s="834">
        <f>T.A5c!J29-T.A5b!J29/T.A2!D29*('Assets(MOFA)'!AU30-'Assets(MOFA)'!AQ30)*0.001</f>
        <v>35.282251768196097</v>
      </c>
      <c r="I29" s="1210">
        <f t="shared" si="5"/>
        <v>0.30999786913990413</v>
      </c>
      <c r="J29" s="837">
        <f t="shared" si="6"/>
        <v>1.3193811861077527</v>
      </c>
      <c r="K29" s="1213"/>
      <c r="L29" s="1213"/>
      <c r="M29" s="1335">
        <f>F29+C29+T.A5b!H29-T.A5b!E29</f>
        <v>0</v>
      </c>
    </row>
    <row r="30" spans="1:13" ht="14" customHeight="1">
      <c r="A30" s="826">
        <v>1986</v>
      </c>
      <c r="B30" s="1082">
        <f>T.A5b!D30</f>
        <v>219.286</v>
      </c>
      <c r="C30" s="814">
        <f t="shared" si="2"/>
        <v>49.214296678313644</v>
      </c>
      <c r="D30" s="1089">
        <f>T.A5c!F30-T.A5b!I30/T.A2!D30*'Assets(MOFA)'!AQ31*0.001</f>
        <v>79.648126845128758</v>
      </c>
      <c r="E30" s="834">
        <f>T.A5c!G30-T.A5b!J30/T.A2!D30*'Assets(MOFA)'!AQ31*0.001</f>
        <v>30.43383016681511</v>
      </c>
      <c r="F30" s="1078">
        <f t="shared" si="3"/>
        <v>119.13127475025777</v>
      </c>
      <c r="G30" s="834">
        <f>T.A5c!I30-T.A5b!I30/T.A2!D30*('Assets(MOFA)'!AU31-'Assets(MOFA)'!AQ31)*0.001</f>
        <v>159.34787315487122</v>
      </c>
      <c r="H30" s="834">
        <f>T.A5c!J30-T.A5b!J30/T.A2!D30*('Assets(MOFA)'!AU31-'Assets(MOFA)'!AQ31)*0.001</f>
        <v>40.216598404613443</v>
      </c>
      <c r="I30" s="1210">
        <f t="shared" si="5"/>
        <v>0.29234090484640485</v>
      </c>
      <c r="J30" s="837">
        <f t="shared" si="6"/>
        <v>1.3025944082707426</v>
      </c>
      <c r="K30" s="1213"/>
      <c r="L30" s="1213"/>
      <c r="M30" s="1335">
        <f>F30+C30+T.A5b!H30-T.A5b!E30</f>
        <v>0</v>
      </c>
    </row>
    <row r="31" spans="1:13" ht="14" customHeight="1">
      <c r="A31" s="826">
        <v>1987</v>
      </c>
      <c r="B31" s="1082">
        <f>T.A5b!D31</f>
        <v>267.05</v>
      </c>
      <c r="C31" s="814">
        <f t="shared" si="2"/>
        <v>57.769994993914047</v>
      </c>
      <c r="D31" s="1089">
        <f>T.A5c!F31-T.A5b!I31/T.A2!D31*'Assets(MOFA)'!AQ32*0.001</f>
        <v>92.309087485382193</v>
      </c>
      <c r="E31" s="834">
        <f>T.A5c!G31-T.A5b!J31/T.A2!D31*'Assets(MOFA)'!AQ32*0.001</f>
        <v>34.539092491468146</v>
      </c>
      <c r="F31" s="1078">
        <f t="shared" si="3"/>
        <v>156.57871929180024</v>
      </c>
      <c r="G31" s="834">
        <f>T.A5c!I31-T.A5b!I31/T.A2!D31*('Assets(MOFA)'!AU32-'Assets(MOFA)'!AQ32)*0.001</f>
        <v>201.7229125146178</v>
      </c>
      <c r="H31" s="834">
        <f>T.A5c!J31-T.A5b!J31/T.A2!D31*('Assets(MOFA)'!AU32-'Assets(MOFA)'!AQ32)*0.001</f>
        <v>45.144193222817556</v>
      </c>
      <c r="I31" s="1210">
        <f t="shared" si="5"/>
        <v>0.2695140728341856</v>
      </c>
      <c r="J31" s="837">
        <f t="shared" si="6"/>
        <v>1.2458670484210976</v>
      </c>
      <c r="K31" s="1213"/>
      <c r="L31" s="1213"/>
      <c r="M31" s="1335">
        <f>F31+C31+T.A5b!H31-T.A5b!E31</f>
        <v>0</v>
      </c>
    </row>
    <row r="32" spans="1:13" ht="14" customHeight="1">
      <c r="A32" s="826">
        <v>1988</v>
      </c>
      <c r="B32" s="1082">
        <f>T.A5b!D32</f>
        <v>279.16999999999996</v>
      </c>
      <c r="C32" s="814">
        <f t="shared" si="2"/>
        <v>52.803582873189342</v>
      </c>
      <c r="D32" s="1089">
        <f>T.A5c!F32-T.A5b!I32/T.A2!D32*'Assets(MOFA)'!AQ33*0.001</f>
        <v>91.39164167247776</v>
      </c>
      <c r="E32" s="834">
        <f>T.A5c!G32-T.A5b!J32/T.A2!D32*'Assets(MOFA)'!AQ33*0.001</f>
        <v>38.588058799288419</v>
      </c>
      <c r="F32" s="1078">
        <f t="shared" si="3"/>
        <v>169.37227426966783</v>
      </c>
      <c r="G32" s="834">
        <f>T.A5c!I32-T.A5b!I32/T.A2!D32*('Assets(MOFA)'!AU33-'Assets(MOFA)'!AQ33)*0.001</f>
        <v>219.50035832752224</v>
      </c>
      <c r="H32" s="834">
        <f>T.A5c!J32-T.A5b!J32/T.A2!D32*('Assets(MOFA)'!AU33-'Assets(MOFA)'!AQ33)*0.001</f>
        <v>50.128084057854416</v>
      </c>
      <c r="I32" s="1210">
        <f t="shared" si="5"/>
        <v>0.23766571018216928</v>
      </c>
      <c r="J32" s="837">
        <f t="shared" si="6"/>
        <v>1.25652716541787</v>
      </c>
      <c r="K32" s="1213"/>
      <c r="L32" s="1213"/>
      <c r="M32" s="1335">
        <f>F32+C32+T.A5b!H32-T.A5b!E32</f>
        <v>0</v>
      </c>
    </row>
    <row r="33" spans="1:13" ht="14" customHeight="1">
      <c r="A33" s="856">
        <v>1989</v>
      </c>
      <c r="B33" s="1083">
        <f>T.A5b!D33</f>
        <v>305.303</v>
      </c>
      <c r="C33" s="857">
        <f t="shared" si="2"/>
        <v>62.719269159313555</v>
      </c>
      <c r="D33" s="1090">
        <f>T.A5c!F33-T.A5b!I33/T.A2!D33*'Assets(MOFA)'!AQ34*0.001</f>
        <v>105.53760087476222</v>
      </c>
      <c r="E33" s="860">
        <f>T.A5c!G33-T.A5b!J33/T.A2!D33*'Assets(MOFA)'!AQ34*0.001</f>
        <v>42.818331715448664</v>
      </c>
      <c r="F33" s="1079">
        <f t="shared" si="3"/>
        <v>197.00173084068643</v>
      </c>
      <c r="G33" s="860">
        <f>T.A5c!I33-T.A5b!I33/T.A2!D33*('Assets(MOFA)'!AU34-'Assets(MOFA)'!AQ34)*0.001</f>
        <v>251.93239912523777</v>
      </c>
      <c r="H33" s="860">
        <f>T.A5c!J33-T.A5b!J33/T.A2!D33*('Assets(MOFA)'!AU34-'Assets(MOFA)'!AQ34)*0.001</f>
        <v>54.930668284551345</v>
      </c>
      <c r="I33" s="1210">
        <f t="shared" si="5"/>
        <v>0.24148709253126838</v>
      </c>
      <c r="J33" s="862">
        <f t="shared" si="6"/>
        <v>1.1755037136003634</v>
      </c>
      <c r="K33" s="1213"/>
      <c r="L33" s="1213"/>
      <c r="M33" s="1335">
        <f>F33+C33+T.A5b!H33-T.A5b!E33</f>
        <v>0</v>
      </c>
    </row>
    <row r="34" spans="1:13" ht="14" customHeight="1">
      <c r="A34" s="863">
        <v>1990</v>
      </c>
      <c r="B34" s="1082">
        <f>T.A5b!D34</f>
        <v>352.0376</v>
      </c>
      <c r="C34" s="864">
        <f t="shared" si="2"/>
        <v>71.109488942732256</v>
      </c>
      <c r="D34" s="1091">
        <f>T.A5c!F34-T.A5b!I34/T.A2!D34*'Assets(MOFA)'!AQ35*0.001</f>
        <v>120.46079564091633</v>
      </c>
      <c r="E34" s="866">
        <f>T.A5c!G34-T.A5b!J34/T.A2!D34*'Assets(MOFA)'!AQ35*0.001</f>
        <v>49.351306698184075</v>
      </c>
      <c r="F34" s="1080">
        <f t="shared" si="3"/>
        <v>222.50551105726774</v>
      </c>
      <c r="G34" s="866">
        <f>T.A5c!I34-T.A5b!I34/T.A2!D34*('Assets(MOFA)'!AU35-'Assets(MOFA)'!AQ35)*0.001</f>
        <v>289.25520435908368</v>
      </c>
      <c r="H34" s="866">
        <f>T.A5c!J34-T.A5b!J34/T.A2!D34*('Assets(MOFA)'!AU35-'Assets(MOFA)'!AQ35)*0.001</f>
        <v>66.749693301815938</v>
      </c>
      <c r="I34" s="1326">
        <f t="shared" si="5"/>
        <v>0.24218615855025205</v>
      </c>
      <c r="J34" s="868">
        <f t="shared" si="6"/>
        <v>1.1989768915075865</v>
      </c>
      <c r="K34" s="1213"/>
      <c r="L34" s="1213"/>
      <c r="M34" s="1335">
        <f>F34+C34+T.A5b!H34-T.A5b!E34</f>
        <v>0</v>
      </c>
    </row>
    <row r="35" spans="1:13" ht="14" customHeight="1">
      <c r="A35" s="826">
        <v>1991</v>
      </c>
      <c r="B35" s="1082">
        <f>T.A5b!D35</f>
        <v>390.3732</v>
      </c>
      <c r="C35" s="814">
        <f t="shared" si="2"/>
        <v>75.752433653501157</v>
      </c>
      <c r="D35" s="1089">
        <f>T.A5c!F35-T.A5b!I35/T.A2!D35*'Assets(MOFA)'!AQ36*0.001</f>
        <v>131.51950478816894</v>
      </c>
      <c r="E35" s="834">
        <f>T.A5c!G35-T.A5b!J35/T.A2!D35*'Assets(MOFA)'!AQ36*0.001</f>
        <v>55.767071134667781</v>
      </c>
      <c r="F35" s="1078">
        <f t="shared" si="3"/>
        <v>233.28956634649884</v>
      </c>
      <c r="G35" s="834">
        <f>T.A5c!I35-T.A5b!I35/T.A2!D35*('Assets(MOFA)'!AU36-'Assets(MOFA)'!AQ36)*0.001</f>
        <v>311.97549521183106</v>
      </c>
      <c r="H35" s="834">
        <f>T.A5c!J35-T.A5b!J35/T.A2!D35*('Assets(MOFA)'!AU36-'Assets(MOFA)'!AQ36)*0.001</f>
        <v>78.685928865332215</v>
      </c>
      <c r="I35" s="1210">
        <f t="shared" si="5"/>
        <v>0.2451201896619267</v>
      </c>
      <c r="J35" s="837">
        <f t="shared" si="6"/>
        <v>1.2631719960393732</v>
      </c>
      <c r="K35" s="1213"/>
      <c r="L35" s="1213"/>
      <c r="M35" s="1335">
        <f>F35+C35+T.A5b!H35-T.A5b!E35</f>
        <v>0</v>
      </c>
    </row>
    <row r="36" spans="1:13" ht="14" customHeight="1">
      <c r="A36" s="826">
        <v>1992</v>
      </c>
      <c r="B36" s="1082">
        <f>T.A5b!D36</f>
        <v>409.72279999999995</v>
      </c>
      <c r="C36" s="814">
        <f t="shared" si="2"/>
        <v>79.072411241898124</v>
      </c>
      <c r="D36" s="1089">
        <f>T.A5c!F36-T.A5b!I36/T.A2!D36*'Assets(MOFA)'!AQ37*0.001</f>
        <v>141.57355949084672</v>
      </c>
      <c r="E36" s="834">
        <f>T.A5c!G36-T.A5b!J36/T.A2!D36*'Assets(MOFA)'!AQ37*0.001</f>
        <v>62.501148248948603</v>
      </c>
      <c r="F36" s="1078">
        <f t="shared" si="3"/>
        <v>243.65458875810188</v>
      </c>
      <c r="G36" s="834">
        <f>T.A5c!I36-T.A5b!I36/T.A2!D36*('Assets(MOFA)'!AU37-'Assets(MOFA)'!AQ37)*0.001</f>
        <v>333.95844050915326</v>
      </c>
      <c r="H36" s="834">
        <f>T.A5c!J36-T.A5b!J36/T.A2!D36*('Assets(MOFA)'!AU37-'Assets(MOFA)'!AQ37)*0.001</f>
        <v>90.303851751051383</v>
      </c>
      <c r="I36" s="1210">
        <f t="shared" si="5"/>
        <v>0.2450133123100891</v>
      </c>
      <c r="J36" s="837">
        <f t="shared" si="6"/>
        <v>1.269564678505362</v>
      </c>
      <c r="K36" s="1213"/>
      <c r="L36" s="1213"/>
      <c r="M36" s="1335">
        <f>F36+C36+T.A5b!H36-T.A5b!E36</f>
        <v>0</v>
      </c>
    </row>
    <row r="37" spans="1:13" ht="14" customHeight="1">
      <c r="A37" s="826">
        <v>1993</v>
      </c>
      <c r="B37" s="1084">
        <f>T.A5b!D37</f>
        <v>446.82939999999996</v>
      </c>
      <c r="C37" s="814">
        <f t="shared" si="2"/>
        <v>88.774130764345898</v>
      </c>
      <c r="D37" s="1089">
        <f>T.A5c!F37-T.A5b!I37/T.A2!D37*'Assets(MOFA)'!AQ38*0.001</f>
        <v>157.86068894408302</v>
      </c>
      <c r="E37" s="834">
        <f>T.A5c!G37-T.A5b!J37/T.A2!D37*'Assets(MOFA)'!AQ38*0.001</f>
        <v>69.086558179737125</v>
      </c>
      <c r="F37" s="1078">
        <f t="shared" si="3"/>
        <v>264.49086923565415</v>
      </c>
      <c r="G37" s="834">
        <f>T.A5c!I37-T.A5b!I37/T.A2!D37*('Assets(MOFA)'!AU38-'Assets(MOFA)'!AQ38)*0.001</f>
        <v>366.56131105591703</v>
      </c>
      <c r="H37" s="834">
        <f>T.A5c!J37-T.A5b!J37/T.A2!D37*('Assets(MOFA)'!AU38-'Assets(MOFA)'!AQ38)*0.001</f>
        <v>102.07044182026287</v>
      </c>
      <c r="I37" s="1210">
        <f t="shared" si="5"/>
        <v>0.25129613962420816</v>
      </c>
      <c r="J37" s="837">
        <f t="shared" si="6"/>
        <v>1.2648561278360435</v>
      </c>
      <c r="K37" s="1213"/>
      <c r="L37" s="1213"/>
      <c r="M37" s="1335">
        <f>F37+C37+T.A5b!H37-T.A5b!E37</f>
        <v>0</v>
      </c>
    </row>
    <row r="38" spans="1:13" ht="14" customHeight="1">
      <c r="A38" s="826">
        <v>1994</v>
      </c>
      <c r="B38" s="1082">
        <f>T.A5b!D38</f>
        <v>491.37200000000001</v>
      </c>
      <c r="C38" s="814">
        <f t="shared" si="2"/>
        <v>111.17157142857143</v>
      </c>
      <c r="D38" s="1089">
        <f>T.A5c!F38-T.A5b!I38/T.A2!D38*'Assets(MOFA)'!AQ39*0.001</f>
        <v>186.71957973746683</v>
      </c>
      <c r="E38" s="834">
        <f>T.A5c!G38-T.A5b!J38/T.A2!D38*'Assets(MOFA)'!AQ39*0.001</f>
        <v>75.548008308895405</v>
      </c>
      <c r="F38" s="1078">
        <f t="shared" si="3"/>
        <v>316.78742857142856</v>
      </c>
      <c r="G38" s="834">
        <f>T.A5c!I38-T.A5b!I38/T.A2!D38*('Assets(MOFA)'!AU39-'Assets(MOFA)'!AQ39)*0.001</f>
        <v>430.74842026253316</v>
      </c>
      <c r="H38" s="834">
        <f>T.A5c!J38-T.A5b!J38/T.A2!D38*('Assets(MOFA)'!AU39-'Assets(MOFA)'!AQ39)*0.001</f>
        <v>113.96099169110458</v>
      </c>
      <c r="I38" s="1210">
        <f>C38/(C38+F38)</f>
        <v>0.25977154687381598</v>
      </c>
      <c r="J38" s="838">
        <f t="shared" si="6"/>
        <v>1.1481754093265943</v>
      </c>
      <c r="K38" s="1214"/>
      <c r="L38" s="1214"/>
      <c r="M38" s="1335">
        <f>F38+C38+T.A5b!H38-T.A5b!E38</f>
        <v>0</v>
      </c>
    </row>
    <row r="39" spans="1:13">
      <c r="A39" s="826">
        <v>1995</v>
      </c>
      <c r="B39" s="1082">
        <f>T.A5b!D39</f>
        <v>577.34659999999997</v>
      </c>
      <c r="C39" s="814">
        <f t="shared" si="2"/>
        <v>131.83482845769745</v>
      </c>
      <c r="D39" s="1089">
        <f>T.A5c!F39-T.A5b!I39/T.A2!D39*'Assets(MOFA)'!AQ40*0.001</f>
        <v>228.31439479583929</v>
      </c>
      <c r="E39" s="834">
        <f>T.A5c!G39-T.A5b!J39/T.A2!D39*'Assets(MOFA)'!AQ40*0.001</f>
        <v>96.479566338141836</v>
      </c>
      <c r="F39" s="1078">
        <f t="shared" si="3"/>
        <v>365.07817154230247</v>
      </c>
      <c r="G39" s="834">
        <f>T.A5c!I39-T.A5b!I39/T.A2!D39*('Assets(MOFA)'!AU40-'Assets(MOFA)'!AQ40)*0.001</f>
        <v>498.16860520416066</v>
      </c>
      <c r="H39" s="834">
        <f>T.A5c!J39-T.A5b!J39/T.A2!D39*('Assets(MOFA)'!AU40-'Assets(MOFA)'!AQ40)*0.001</f>
        <v>133.09043366185816</v>
      </c>
      <c r="I39" s="1210">
        <f t="shared" ref="I39:I59" si="7">C39/(C39+F39)</f>
        <v>0.26530766644804521</v>
      </c>
      <c r="J39" s="838">
        <f t="shared" si="6"/>
        <v>1.1618665641671682</v>
      </c>
      <c r="K39" s="1214"/>
      <c r="L39" s="1214"/>
      <c r="M39" s="1335">
        <f>F39+C39+T.A5b!H39-T.A5b!E39</f>
        <v>0</v>
      </c>
    </row>
    <row r="40" spans="1:13">
      <c r="A40" s="826">
        <v>1996</v>
      </c>
      <c r="B40" s="1082">
        <f>T.A5b!D40</f>
        <v>661.33220000000006</v>
      </c>
      <c r="C40" s="814">
        <f t="shared" si="2"/>
        <v>135.33033463477301</v>
      </c>
      <c r="D40" s="1089">
        <f>T.A5c!F40-T.A5b!I40/T.A2!D40*'Assets(MOFA)'!AQ41*0.001</f>
        <v>264.87314056972258</v>
      </c>
      <c r="E40" s="834">
        <f>T.A5c!G40-T.A5b!J40/T.A2!D40*'Assets(MOFA)'!AQ41*0.001</f>
        <v>129.54280593494957</v>
      </c>
      <c r="F40" s="1078">
        <f t="shared" si="3"/>
        <v>435.71366536522692</v>
      </c>
      <c r="G40" s="834">
        <f>T.A5c!I40-T.A5b!I40/T.A2!D40*('Assets(MOFA)'!AU41-'Assets(MOFA)'!AQ41)*0.001</f>
        <v>579.93485943027736</v>
      </c>
      <c r="H40" s="834">
        <f>T.A5c!J40-T.A5b!J40/T.A2!D40*('Assets(MOFA)'!AU41-'Assets(MOFA)'!AQ41)*0.001</f>
        <v>144.22119406505044</v>
      </c>
      <c r="I40" s="1210">
        <f t="shared" si="7"/>
        <v>0.23698757825101577</v>
      </c>
      <c r="J40" s="838">
        <f t="shared" si="6"/>
        <v>1.1581107585404982</v>
      </c>
      <c r="K40" s="1214"/>
      <c r="L40" s="1214"/>
      <c r="M40" s="1335">
        <f>F40+C40+T.A5b!H40-T.A5b!E40</f>
        <v>0</v>
      </c>
    </row>
    <row r="41" spans="1:13">
      <c r="A41" s="826">
        <v>1997</v>
      </c>
      <c r="B41" s="1082">
        <f>T.A5b!D41</f>
        <v>728.9298</v>
      </c>
      <c r="C41" s="814">
        <f t="shared" si="2"/>
        <v>160.20455597882867</v>
      </c>
      <c r="D41" s="1089">
        <f>T.A5c!F41-T.A5b!I41/T.A2!D41*'Assets(MOFA)'!AQ42*0.001</f>
        <v>311.47970748108077</v>
      </c>
      <c r="E41" s="834">
        <f>T.A5c!G41-T.A5b!J41/T.A2!D41*'Assets(MOFA)'!AQ42*0.001</f>
        <v>151.2751515022521</v>
      </c>
      <c r="F41" s="1078">
        <f t="shared" si="3"/>
        <v>471.34544402117126</v>
      </c>
      <c r="G41" s="834">
        <f>T.A5c!I41-T.A5b!I41/T.A2!D41*('Assets(MOFA)'!AU42-'Assets(MOFA)'!AQ42)*0.001</f>
        <v>631.09529251891911</v>
      </c>
      <c r="H41" s="834">
        <f>T.A5c!J41-T.A5b!J41/T.A2!D41*('Assets(MOFA)'!AU42-'Assets(MOFA)'!AQ42)*0.001</f>
        <v>159.74984849774788</v>
      </c>
      <c r="I41" s="1210">
        <f t="shared" si="7"/>
        <v>0.25366884012165097</v>
      </c>
      <c r="J41" s="838">
        <f t="shared" si="6"/>
        <v>1.1541917504552293</v>
      </c>
      <c r="K41" s="1214"/>
      <c r="L41" s="1214"/>
      <c r="M41" s="1335">
        <f>F41+C41+T.A5b!H41-T.A5b!E41</f>
        <v>0</v>
      </c>
    </row>
    <row r="42" spans="1:13">
      <c r="A42" s="826">
        <v>1998</v>
      </c>
      <c r="B42" s="1082">
        <f>T.A5b!D42</f>
        <v>829.79240000000004</v>
      </c>
      <c r="C42" s="814">
        <f t="shared" si="2"/>
        <v>175.24849857988727</v>
      </c>
      <c r="D42" s="1089">
        <f>T.A5c!F42-T.A5b!I42/T.A2!D42*'Assets(MOFA)'!AQ43*0.001</f>
        <v>364.67123251038834</v>
      </c>
      <c r="E42" s="834">
        <f>T.A5c!G42-T.A5b!J42/T.A2!D42*'Assets(MOFA)'!AQ43*0.001</f>
        <v>189.42273393050107</v>
      </c>
      <c r="F42" s="1078">
        <f t="shared" si="3"/>
        <v>524.99350142011258</v>
      </c>
      <c r="G42" s="834">
        <f>T.A5c!I42-T.A5b!I42/T.A2!D42*('Assets(MOFA)'!AU43-'Assets(MOFA)'!AQ43)*0.001</f>
        <v>738.04976748961155</v>
      </c>
      <c r="H42" s="834">
        <f>T.A5c!J42-T.A5b!J42/T.A2!D42*('Assets(MOFA)'!AU43-'Assets(MOFA)'!AQ43)*0.001</f>
        <v>213.05626606949892</v>
      </c>
      <c r="I42" s="1210">
        <f t="shared" si="7"/>
        <v>0.25026847658364865</v>
      </c>
      <c r="J42" s="838">
        <f t="shared" si="6"/>
        <v>1.1850080400775735</v>
      </c>
      <c r="K42" s="1214"/>
      <c r="L42" s="1214"/>
      <c r="M42" s="1335">
        <f>F42+C42+T.A5b!H42-T.A5b!E42</f>
        <v>0</v>
      </c>
    </row>
    <row r="43" spans="1:13">
      <c r="A43" s="856">
        <v>1999</v>
      </c>
      <c r="B43" s="1083">
        <f>T.A5b!D43</f>
        <v>981.46899999999994</v>
      </c>
      <c r="C43" s="857">
        <f t="shared" si="2"/>
        <v>225.66099715026925</v>
      </c>
      <c r="D43" s="1090">
        <f>T.A5c!F43-T.A5b!I43/T.A2!D43*'Assets(MOFA)'!AQ44*0.001</f>
        <v>473.73166782215884</v>
      </c>
      <c r="E43" s="860">
        <f>T.A5c!G43-T.A5b!J43/T.A2!D43*'Assets(MOFA)'!AQ44*0.001</f>
        <v>248.07067067188959</v>
      </c>
      <c r="F43" s="1079">
        <f t="shared" si="3"/>
        <v>622.75700284973072</v>
      </c>
      <c r="G43" s="860">
        <f>T.A5c!I43-T.A5b!I43/T.A2!D43*('Assets(MOFA)'!AU44-'Assets(MOFA)'!AQ44)*0.001</f>
        <v>893.9133321778412</v>
      </c>
      <c r="H43" s="860">
        <f>T.A5c!J43-T.A5b!J43/T.A2!D43*('Assets(MOFA)'!AU44-'Assets(MOFA)'!AQ44)*0.001</f>
        <v>271.15632932811042</v>
      </c>
      <c r="I43" s="1210">
        <f t="shared" si="7"/>
        <v>0.26597855909500889</v>
      </c>
      <c r="J43" s="838">
        <f t="shared" si="6"/>
        <v>1.1568224625125823</v>
      </c>
      <c r="K43" s="1214"/>
      <c r="L43" s="1214"/>
      <c r="M43" s="1335">
        <f>F43+C43+T.A5b!H43-T.A5b!E43</f>
        <v>0</v>
      </c>
    </row>
    <row r="44" spans="1:13">
      <c r="A44" s="863">
        <v>2000</v>
      </c>
      <c r="B44" s="1082">
        <f>T.A5b!D44</f>
        <v>1094.377</v>
      </c>
      <c r="C44" s="864">
        <f t="shared" si="2"/>
        <v>263.59364930440199</v>
      </c>
      <c r="D44" s="1091">
        <f>T.A5c!F44-T.A5b!I44/T.A2!D44*'Assets(MOFA)'!AQ45*0.001</f>
        <v>657.46201174772921</v>
      </c>
      <c r="E44" s="866">
        <f>T.A5c!G44-T.A5b!J44/T.A2!D44*'Assets(MOFA)'!AQ45*0.001</f>
        <v>393.86836244332721</v>
      </c>
      <c r="F44" s="1080">
        <f t="shared" si="3"/>
        <v>702.48435069559787</v>
      </c>
      <c r="G44" s="866">
        <f>T.A5c!I44-T.A5b!I44/T.A2!D44*('Assets(MOFA)'!AU45-'Assets(MOFA)'!AQ45)*0.001</f>
        <v>1066.0599882522706</v>
      </c>
      <c r="H44" s="866">
        <f>T.A5c!J44-T.A5b!J44/T.A2!D44*('Assets(MOFA)'!AU45-'Assets(MOFA)'!AQ45)*0.001</f>
        <v>363.57563755667275</v>
      </c>
      <c r="I44" s="1210">
        <f t="shared" si="7"/>
        <v>0.27284924126664933</v>
      </c>
      <c r="J44" s="1212">
        <f t="shared" si="6"/>
        <v>1.1328039764905111</v>
      </c>
      <c r="K44" s="1214"/>
      <c r="L44" s="1214"/>
      <c r="M44" s="1335">
        <f>F44+C44+T.A5b!H44-T.A5b!E44</f>
        <v>0</v>
      </c>
    </row>
    <row r="45" spans="1:13">
      <c r="A45" s="826">
        <v>2001</v>
      </c>
      <c r="B45" s="1084">
        <f>T.A5b!D45</f>
        <v>1229.925</v>
      </c>
      <c r="C45" s="814">
        <f t="shared" si="2"/>
        <v>303.45890021588548</v>
      </c>
      <c r="D45" s="1089">
        <f>T.A5c!F45-T.A5b!I45/T.A2!D45*'Assets(MOFA)'!AQ46*0.001</f>
        <v>831.97333199131651</v>
      </c>
      <c r="E45" s="834">
        <f>T.A5c!G45-T.A5b!J45/T.A2!D45*'Assets(MOFA)'!AQ46*0.001</f>
        <v>528.51443177543104</v>
      </c>
      <c r="F45" s="1078">
        <f t="shared" si="3"/>
        <v>698.08209978411435</v>
      </c>
      <c r="G45" s="834">
        <f>T.A5c!I45-T.A5b!I45/T.A2!D45*('Assets(MOFA)'!AU46-'Assets(MOFA)'!AQ46)*0.001</f>
        <v>1123.6936680086833</v>
      </c>
      <c r="H45" s="834">
        <f>T.A5c!J45-T.A5b!J45/T.A2!D45*('Assets(MOFA)'!AU46-'Assets(MOFA)'!AQ46)*0.001</f>
        <v>425.61156822456894</v>
      </c>
      <c r="I45" s="1210">
        <f t="shared" si="7"/>
        <v>0.30299198955997358</v>
      </c>
      <c r="J45" s="838">
        <f t="shared" si="6"/>
        <v>1.2280326017606868</v>
      </c>
      <c r="K45" s="1214"/>
      <c r="L45" s="1214"/>
      <c r="M45" s="1335">
        <f>F45+C45+T.A5b!H45-T.A5b!E45</f>
        <v>0</v>
      </c>
    </row>
    <row r="46" spans="1:13">
      <c r="A46" s="826">
        <v>2002</v>
      </c>
      <c r="B46" s="1082">
        <f>T.A5b!D46</f>
        <v>1359.2819999999999</v>
      </c>
      <c r="C46" s="814">
        <f t="shared" si="2"/>
        <v>397.5702423413984</v>
      </c>
      <c r="D46" s="1089">
        <f>T.A5c!F46-T.A5b!I46/T.A2!D46*'Assets(MOFA)'!AQ47*0.001</f>
        <v>1136.1474876185746</v>
      </c>
      <c r="E46" s="834">
        <f>T.A5c!G46-T.A5b!J46/T.A2!D46*'Assets(MOFA)'!AQ47*0.001</f>
        <v>738.57724527717619</v>
      </c>
      <c r="F46" s="1078">
        <f t="shared" si="3"/>
        <v>750.63475765860176</v>
      </c>
      <c r="G46" s="834">
        <f>T.A5c!I46-T.A5b!I46/T.A2!D46*('Assets(MOFA)'!AU47-'Assets(MOFA)'!AQ47)*0.001</f>
        <v>1234.2305123814256</v>
      </c>
      <c r="H46" s="834">
        <f>T.A5c!J46-T.A5b!J46/T.A2!D46*('Assets(MOFA)'!AU47-'Assets(MOFA)'!AQ47)*0.001</f>
        <v>483.59575472282387</v>
      </c>
      <c r="I46" s="1210">
        <f t="shared" si="7"/>
        <v>0.34625371108939462</v>
      </c>
      <c r="J46" s="838">
        <f t="shared" si="6"/>
        <v>1.1838321554077884</v>
      </c>
      <c r="K46" s="1214"/>
      <c r="L46" s="1214"/>
      <c r="M46" s="1335">
        <f>F46+C46+T.A5b!H46-T.A5b!E46</f>
        <v>0</v>
      </c>
    </row>
    <row r="47" spans="1:13">
      <c r="A47" s="826">
        <v>2003</v>
      </c>
      <c r="B47" s="1082">
        <f>T.A5b!D47</f>
        <v>1512.2750000000001</v>
      </c>
      <c r="C47" s="814">
        <f t="shared" si="2"/>
        <v>473.16338062829243</v>
      </c>
      <c r="D47" s="1089">
        <f>T.A5c!F47-T.A5b!I47/T.A2!D47*'Assets(MOFA)'!AQ48*0.001</f>
        <v>1433.725187062847</v>
      </c>
      <c r="E47" s="834">
        <f>T.A5c!G47-T.A5b!J47/T.A2!D47*'Assets(MOFA)'!AQ48*0.001</f>
        <v>960.56180643455457</v>
      </c>
      <c r="F47" s="1078">
        <f t="shared" si="3"/>
        <v>866.20961937170762</v>
      </c>
      <c r="G47" s="834">
        <f>T.A5c!I47-T.A5b!I47/T.A2!D47*('Assets(MOFA)'!AU48-'Assets(MOFA)'!AQ48)*0.001</f>
        <v>1455.1368129371531</v>
      </c>
      <c r="H47" s="834">
        <f>T.A5c!J47-T.A5b!J47/T.A2!D47*('Assets(MOFA)'!AU48-'Assets(MOFA)'!AQ48)*0.001</f>
        <v>588.92719356544546</v>
      </c>
      <c r="I47" s="1210">
        <f t="shared" si="7"/>
        <v>0.35327230026907547</v>
      </c>
      <c r="J47" s="838">
        <f t="shared" si="6"/>
        <v>1.1290917466605643</v>
      </c>
      <c r="K47" s="1214"/>
      <c r="L47" s="1214"/>
      <c r="M47" s="1335">
        <f>F47+C47+T.A5b!H47-T.A5b!E47</f>
        <v>0</v>
      </c>
    </row>
    <row r="48" spans="1:13">
      <c r="A48" s="826">
        <v>2004</v>
      </c>
      <c r="B48" s="1082">
        <f>T.A5b!D48</f>
        <v>1880.3320000000001</v>
      </c>
      <c r="C48" s="814">
        <f t="shared" si="2"/>
        <v>500.74643352947987</v>
      </c>
      <c r="D48" s="1089">
        <f>T.A5c!F48-T.A5b!I48/T.A2!D48*'Assets(MOFA)'!AQ49*0.001</f>
        <v>1803.679431315702</v>
      </c>
      <c r="E48" s="834">
        <f>T.A5c!G48-T.A5b!J48/T.A2!D48*'Assets(MOFA)'!AQ49*0.001</f>
        <v>1302.9329977862221</v>
      </c>
      <c r="F48" s="1078">
        <f t="shared" si="3"/>
        <v>951.0245664705202</v>
      </c>
      <c r="G48" s="834">
        <f>T.A5c!I48-T.A5b!I48/T.A2!D48*('Assets(MOFA)'!AU49-'Assets(MOFA)'!AQ49)*0.001</f>
        <v>1695.5675686842978</v>
      </c>
      <c r="H48" s="834">
        <f>T.A5c!J48-T.A5b!J48/T.A2!D48*('Assets(MOFA)'!AU49-'Assets(MOFA)'!AQ49)*0.001</f>
        <v>744.54300221377764</v>
      </c>
      <c r="I48" s="1210">
        <f t="shared" si="7"/>
        <v>0.34492108847020625</v>
      </c>
      <c r="J48" s="838">
        <f t="shared" si="6"/>
        <v>1.295198760686086</v>
      </c>
      <c r="K48" s="1214"/>
      <c r="L48" s="1214"/>
      <c r="M48" s="1335">
        <f>F48+C48+T.A5b!H48-T.A5b!E48</f>
        <v>0</v>
      </c>
    </row>
    <row r="49" spans="1:13">
      <c r="A49" s="826">
        <v>2005</v>
      </c>
      <c r="B49" s="1082">
        <f>T.A5b!D49</f>
        <v>1955.81</v>
      </c>
      <c r="C49" s="814">
        <f t="shared" si="2"/>
        <v>472.60390032502005</v>
      </c>
      <c r="D49" s="1089">
        <f>T.A5c!F49-T.A5b!I49/T.A2!D49*'Assets(MOFA)'!AQ50*0.001</f>
        <v>2018.5460915114904</v>
      </c>
      <c r="E49" s="834">
        <f>T.A5c!G49-T.A5b!J49/T.A2!D49*'Assets(MOFA)'!AQ50*0.001</f>
        <v>1545.9421911864704</v>
      </c>
      <c r="F49" s="1078">
        <f t="shared" si="3"/>
        <v>1140.6800996749794</v>
      </c>
      <c r="G49" s="834">
        <f>T.A5c!I49-T.A5b!I49/T.A2!D49*('Assets(MOFA)'!AU50-'Assets(MOFA)'!AQ50)*0.001</f>
        <v>1984.0349084885092</v>
      </c>
      <c r="H49" s="834">
        <f>T.A5c!J49-T.A5b!J49/T.A2!D49*('Assets(MOFA)'!AU50-'Assets(MOFA)'!AQ50)*0.001</f>
        <v>843.35480881352976</v>
      </c>
      <c r="I49" s="1210">
        <f t="shared" si="7"/>
        <v>0.29294525968460622</v>
      </c>
      <c r="J49" s="837">
        <f t="shared" si="6"/>
        <v>1.2123159964395609</v>
      </c>
      <c r="K49" s="1213"/>
      <c r="L49" s="1213"/>
      <c r="M49" s="1335">
        <f>F49+C49+T.A5b!H49-T.A5b!E49</f>
        <v>0</v>
      </c>
    </row>
    <row r="50" spans="1:13">
      <c r="A50" s="826">
        <v>2006</v>
      </c>
      <c r="B50" s="1082">
        <f>T.A5b!D50</f>
        <v>2195.9349999999999</v>
      </c>
      <c r="C50" s="814">
        <f t="shared" si="2"/>
        <v>557.83838253796671</v>
      </c>
      <c r="D50" s="1089">
        <f>T.A5c!F50-T.A5b!I50/T.A2!D50*'Assets(MOFA)'!AQ51*0.001</f>
        <v>2348.1174944414538</v>
      </c>
      <c r="E50" s="834">
        <f>T.A5c!G50-T.A5b!J50/T.A2!D50*'Assets(MOFA)'!AQ51*0.001</f>
        <v>1790.2791119034871</v>
      </c>
      <c r="F50" s="1078">
        <f t="shared" si="3"/>
        <v>1261.0236174620329</v>
      </c>
      <c r="G50" s="834">
        <f>T.A5c!I50-T.A5b!I50/T.A2!D50*('Assets(MOFA)'!AU51-'Assets(MOFA)'!AQ51)*0.001</f>
        <v>2243.142505558546</v>
      </c>
      <c r="H50" s="834">
        <f>T.A5c!J50-T.A5b!J50/T.A2!D50*('Assets(MOFA)'!AU51-'Assets(MOFA)'!AQ51)*0.001</f>
        <v>982.11888809651305</v>
      </c>
      <c r="I50" s="1210">
        <f t="shared" si="7"/>
        <v>0.30669637528188881</v>
      </c>
      <c r="J50" s="837">
        <f t="shared" si="6"/>
        <v>1.2073125943584506</v>
      </c>
      <c r="K50" s="1213"/>
      <c r="L50" s="1213"/>
      <c r="M50" s="1335">
        <f>F50+C50+T.A5b!H50-T.A5b!E50</f>
        <v>0</v>
      </c>
    </row>
    <row r="51" spans="1:13">
      <c r="A51" s="826">
        <v>2007</v>
      </c>
      <c r="B51" s="1082">
        <f>T.A5b!D51</f>
        <v>2695.2550000000001</v>
      </c>
      <c r="C51" s="814">
        <f t="shared" si="2"/>
        <v>710.53605861832057</v>
      </c>
      <c r="D51" s="1089">
        <f>T.A5c!F51-T.A5b!I51/T.A2!D51*'Assets(MOFA)'!AQ52*0.001</f>
        <v>2791.5191077784052</v>
      </c>
      <c r="E51" s="834">
        <f>T.A5c!G51-T.A5b!J51/T.A2!D51*'Assets(MOFA)'!AQ52*0.001</f>
        <v>2080.9830491600846</v>
      </c>
      <c r="F51" s="1078">
        <f t="shared" si="3"/>
        <v>1513.5009413816799</v>
      </c>
      <c r="G51" s="834">
        <f>T.A5c!I51-T.A5b!I51/T.A2!D51*('Assets(MOFA)'!AU52-'Assets(MOFA)'!AQ52)*0.001</f>
        <v>2692.671892221595</v>
      </c>
      <c r="H51" s="834">
        <f>T.A5c!J51-T.A5b!J51/T.A2!D51*('Assets(MOFA)'!AU52-'Assets(MOFA)'!AQ52)*0.001</f>
        <v>1179.1709508399151</v>
      </c>
      <c r="I51" s="1210">
        <f t="shared" si="7"/>
        <v>0.31948032277265193</v>
      </c>
      <c r="J51" s="837">
        <f t="shared" si="6"/>
        <v>1.2118750722222695</v>
      </c>
      <c r="K51" s="1213"/>
      <c r="L51" s="1213"/>
      <c r="M51" s="1335">
        <f>F51+C51+T.A5b!H51-T.A5b!E51</f>
        <v>0</v>
      </c>
    </row>
    <row r="52" spans="1:13">
      <c r="A52" s="826">
        <v>2008</v>
      </c>
      <c r="B52" s="1082">
        <f>T.A5b!D52</f>
        <v>2936.2340000000004</v>
      </c>
      <c r="C52" s="814">
        <f t="shared" si="2"/>
        <v>737.79983567873342</v>
      </c>
      <c r="D52" s="1089">
        <f>T.A5c!F52-T.A5b!I52/T.A2!D52*'Assets(MOFA)'!AQ53*0.001</f>
        <v>2987.4573834000062</v>
      </c>
      <c r="E52" s="834">
        <f>T.A5c!G52-T.A5b!J52/T.A2!D52*'Assets(MOFA)'!AQ53*0.001</f>
        <v>2249.6575477212727</v>
      </c>
      <c r="F52" s="1078">
        <f t="shared" si="3"/>
        <v>1466.4021643212668</v>
      </c>
      <c r="G52" s="834">
        <f>T.A5c!I52-T.A5b!I52/T.A2!D52*('Assets(MOFA)'!AU53-'Assets(MOFA)'!AQ53)*0.001</f>
        <v>2684.1216165999936</v>
      </c>
      <c r="H52" s="834">
        <f>T.A5c!J52-T.A5b!J52/T.A2!D52*('Assets(MOFA)'!AU53-'Assets(MOFA)'!AQ53)*0.001</f>
        <v>1217.7194522787267</v>
      </c>
      <c r="I52" s="1210">
        <f t="shared" si="7"/>
        <v>0.33472423837685172</v>
      </c>
      <c r="J52" s="837">
        <f t="shared" si="6"/>
        <v>1.3321074928704357</v>
      </c>
      <c r="K52" s="1213"/>
      <c r="L52" s="1213"/>
      <c r="M52" s="1335">
        <f>F52+C52+T.A5b!H52-T.A5b!E52</f>
        <v>0</v>
      </c>
    </row>
    <row r="53" spans="1:13">
      <c r="A53" s="856">
        <v>2009</v>
      </c>
      <c r="B53" s="1083">
        <f>T.A5b!D53</f>
        <v>3223.7760000000003</v>
      </c>
      <c r="C53" s="857">
        <f t="shared" si="2"/>
        <v>1029.0382667345007</v>
      </c>
      <c r="D53" s="1090">
        <f>T.A5c!F53-T.A5b!I53/T.A2!D53*'Assets(MOFA)'!AQ54*0.001</f>
        <v>3784.5143833175634</v>
      </c>
      <c r="E53" s="860">
        <f>T.A5c!G53-T.A5b!J53/T.A2!D53*'Assets(MOFA)'!AQ54*0.001</f>
        <v>2755.4761165830628</v>
      </c>
      <c r="F53" s="1079">
        <f t="shared" si="3"/>
        <v>1973.865579824703</v>
      </c>
      <c r="G53" s="860">
        <f>T.A5c!I53-T.A5b!I53/T.A2!D53*('Assets(MOFA)'!AU54-'Assets(MOFA)'!AQ54)*0.001</f>
        <v>3658.6476166824364</v>
      </c>
      <c r="H53" s="860">
        <f>T.A5c!J53-T.A5b!J53/T.A2!D53*('Assets(MOFA)'!AU54-'Assets(MOFA)'!AQ54)*0.001</f>
        <v>1684.7820368577334</v>
      </c>
      <c r="I53" s="1211">
        <f t="shared" si="7"/>
        <v>0.34268105784126135</v>
      </c>
      <c r="J53" s="862">
        <f t="shared" si="6"/>
        <v>1.0735528557445744</v>
      </c>
      <c r="K53" s="1213"/>
      <c r="L53" s="1213"/>
      <c r="M53" s="1335">
        <f>F53+C53+T.A5b!H53-T.A5b!E53</f>
        <v>0</v>
      </c>
    </row>
    <row r="54" spans="1:13">
      <c r="A54" s="826">
        <v>2010</v>
      </c>
      <c r="B54" s="1082">
        <f>T.A5b!D54</f>
        <v>3435.8339999999998</v>
      </c>
      <c r="C54" s="814">
        <f t="shared" si="2"/>
        <v>1099.641321567527</v>
      </c>
      <c r="D54" s="1089">
        <f>T.A5c!F54-T.A5b!I54/T.A2!D54*'Assets(MOFA)'!AQ55*0.001</f>
        <v>4072.7139097542454</v>
      </c>
      <c r="E54" s="834">
        <f>T.A5c!G54-T.A5b!J54/T.A2!D54*'Assets(MOFA)'!AQ55*0.001</f>
        <v>2973.0725881867183</v>
      </c>
      <c r="F54" s="1078">
        <f t="shared" si="3"/>
        <v>2097.9263715508814</v>
      </c>
      <c r="G54" s="834">
        <f>T.A5c!I54-T.A5b!I54/T.A2!D54*('Assets(MOFA)'!AU55-'Assets(MOFA)'!AQ55)*0.001</f>
        <v>3844.7860902457555</v>
      </c>
      <c r="H54" s="834">
        <f>T.A5c!J54-T.A5b!J54/T.A2!D54*('Assets(MOFA)'!AU55-'Assets(MOFA)'!AQ55)*0.001</f>
        <v>1746.8597186948741</v>
      </c>
      <c r="I54" s="1094">
        <f t="shared" si="7"/>
        <v>0.34389930944514535</v>
      </c>
      <c r="J54" s="837">
        <f t="shared" si="6"/>
        <v>1.0745148593396074</v>
      </c>
      <c r="K54" s="1213"/>
      <c r="L54" s="1213"/>
      <c r="M54" s="1335">
        <f>F54+C54+T.A5b!H54-T.A5b!E54</f>
        <v>0</v>
      </c>
    </row>
    <row r="55" spans="1:13">
      <c r="A55" s="826">
        <v>2011</v>
      </c>
      <c r="B55" s="1082">
        <f>T.A5b!D55</f>
        <v>3732.2350000000001</v>
      </c>
      <c r="C55" s="814">
        <f t="shared" si="2"/>
        <v>1246.4394743957409</v>
      </c>
      <c r="D55" s="1089">
        <f>T.A5c!F55-T.A5b!I55/T.A2!D55*'Assets(MOFA)'!AQ56*0.001</f>
        <v>4549.4813830039175</v>
      </c>
      <c r="E55" s="834">
        <f>T.A5c!G55-T.A5b!J55/T.A2!D55*'Assets(MOFA)'!AQ56*0.001</f>
        <v>3303.0419086081765</v>
      </c>
      <c r="F55" s="1078">
        <f t="shared" si="3"/>
        <v>2224.1150652818706</v>
      </c>
      <c r="G55" s="834">
        <f>T.A5c!I55-T.A5b!I55/T.A2!D55*('Assets(MOFA)'!AU56-'Assets(MOFA)'!AQ56)*0.001</f>
        <v>4196.9566169960826</v>
      </c>
      <c r="H55" s="834">
        <f>T.A5c!J55-T.A5b!J55/T.A2!D55*('Assets(MOFA)'!AU56-'Assets(MOFA)'!AQ56)*0.001</f>
        <v>1972.8415517142118</v>
      </c>
      <c r="I55" s="1094">
        <f t="shared" si="7"/>
        <v>0.35914706429351367</v>
      </c>
      <c r="J55" s="837">
        <f t="shared" si="6"/>
        <v>1.075400186722522</v>
      </c>
      <c r="K55" s="1213"/>
      <c r="L55" s="1213"/>
      <c r="M55" s="1335">
        <f>F55+C55+T.A5b!H55-T.A5b!E55</f>
        <v>0</v>
      </c>
    </row>
    <row r="56" spans="1:13">
      <c r="A56" s="826">
        <v>2012</v>
      </c>
      <c r="B56" s="1082">
        <f>T.A5b!D56</f>
        <v>4035.9630000000002</v>
      </c>
      <c r="C56" s="814">
        <f t="shared" si="2"/>
        <v>1399.7904441347382</v>
      </c>
      <c r="D56" s="1089">
        <f>T.A5c!F56-T.A5b!I56/T.A2!D56*'Assets(MOFA)'!AQ57*0.001</f>
        <v>5123.9308117417431</v>
      </c>
      <c r="E56" s="834">
        <f>T.A5c!G56-T.A5b!J56/T.A2!D56*'Assets(MOFA)'!AQ57*0.001</f>
        <v>3724.1403676070049</v>
      </c>
      <c r="F56" s="1078">
        <f t="shared" si="3"/>
        <v>2377.8869421020772</v>
      </c>
      <c r="G56" s="834">
        <f>T.A5c!I56-T.A5b!I56/T.A2!D56*('Assets(MOFA)'!AU57-'Assets(MOFA)'!AQ57)*0.001</f>
        <v>4491.4371882582573</v>
      </c>
      <c r="H56" s="834">
        <f>T.A5c!J56-T.A5b!J56/T.A2!D56*('Assets(MOFA)'!AU57-'Assets(MOFA)'!AQ57)*0.001</f>
        <v>2113.55024615618</v>
      </c>
      <c r="I56" s="1094">
        <f t="shared" si="7"/>
        <v>0.37054261150901463</v>
      </c>
      <c r="J56" s="837">
        <f t="shared" si="6"/>
        <v>1.0683715382113346</v>
      </c>
      <c r="K56" s="1213"/>
      <c r="L56" s="1213"/>
      <c r="M56" s="1335">
        <f>F56+C56+T.A5b!H56-T.A5b!E56</f>
        <v>0</v>
      </c>
    </row>
    <row r="57" spans="1:13">
      <c r="A57" s="826">
        <v>2013</v>
      </c>
      <c r="B57" s="1082">
        <f>T.A5b!D57</f>
        <v>4224.884</v>
      </c>
      <c r="C57" s="814">
        <f t="shared" si="2"/>
        <v>1382.9096061654236</v>
      </c>
      <c r="D57" s="1089">
        <f>T.A5c!F57-T.A5b!I57/T.A2!D57*'Assets(MOFA)'!AQ58*0.001</f>
        <v>5500.5794098014212</v>
      </c>
      <c r="E57" s="834">
        <f>T.A5c!G57-T.A5b!J57/T.A2!D57*'Assets(MOFA)'!AQ58*0.001</f>
        <v>4117.6698036359976</v>
      </c>
      <c r="F57" s="1078">
        <f t="shared" si="3"/>
        <v>2321.9796266305957</v>
      </c>
      <c r="G57" s="834">
        <f>T.A5c!I57-T.A5b!I57/T.A2!D57*('Assets(MOFA)'!AU58-'Assets(MOFA)'!AQ58)*0.001</f>
        <v>4808.9755901985791</v>
      </c>
      <c r="H57" s="834">
        <f>T.A5c!J57-T.A5b!J57/T.A2!D57*('Assets(MOFA)'!AU58-'Assets(MOFA)'!AQ58)*0.001</f>
        <v>2486.9959635679834</v>
      </c>
      <c r="I57" s="1094">
        <f t="shared" si="7"/>
        <v>0.37326611384863573</v>
      </c>
      <c r="J57" s="837">
        <f t="shared" si="6"/>
        <v>1.140353660941045</v>
      </c>
      <c r="K57" s="1213"/>
      <c r="L57" s="1213"/>
      <c r="M57" s="1335">
        <f>F57+C57+T.A5b!H57-T.A5b!E57</f>
        <v>0</v>
      </c>
    </row>
    <row r="58" spans="1:13">
      <c r="A58" s="826">
        <v>2014</v>
      </c>
      <c r="B58" s="1082">
        <f>T.A5b!D58</f>
        <v>4509.7550000000001</v>
      </c>
      <c r="C58" s="814">
        <f t="shared" si="2"/>
        <v>1772.0361448736712</v>
      </c>
      <c r="D58" s="1089">
        <f>T.A5c!F58-T.A5b!I58/T.A2!D58*'Assets(MOFA)'!AQ59*0.001</f>
        <v>6465.0154090284541</v>
      </c>
      <c r="E58" s="834">
        <f>T.A5c!G58-T.A5b!J58/T.A2!D58*'Assets(MOFA)'!AQ59*0.001</f>
        <v>4692.9792641547829</v>
      </c>
      <c r="F58" s="1078">
        <f t="shared" si="3"/>
        <v>2649.8619344815515</v>
      </c>
      <c r="G58" s="834">
        <f>T.A5c!I58-T.A5b!I58/T.A2!D58*('Assets(MOFA)'!AU59-'Assets(MOFA)'!AQ59)*0.001</f>
        <v>5366.9085909715459</v>
      </c>
      <c r="H58" s="834">
        <f>T.A5c!J58-T.A5b!J58/T.A2!D58*('Assets(MOFA)'!AU59-'Assets(MOFA)'!AQ59)*0.001</f>
        <v>2717.0466564899943</v>
      </c>
      <c r="I58" s="1094">
        <f t="shared" si="7"/>
        <v>0.40074106482618432</v>
      </c>
      <c r="J58" s="837">
        <f t="shared" si="6"/>
        <v>1.0198685992006373</v>
      </c>
      <c r="K58" s="1213"/>
      <c r="L58" s="1213"/>
      <c r="M58" s="1335">
        <f>F58+C58+T.A5b!H58-T.A5b!E58</f>
        <v>0</v>
      </c>
    </row>
    <row r="59" spans="1:13">
      <c r="A59" s="826">
        <v>2015</v>
      </c>
      <c r="B59" s="1082">
        <f>T.A5b!D59</f>
        <v>4684.652</v>
      </c>
      <c r="C59" s="814" t="e">
        <f>D59-E59</f>
        <v>#VALUE!</v>
      </c>
      <c r="D59" s="1089">
        <f>T.A5c!F59-T.A5b!I59/T.A2!D59*'Assets(MOFA)'!AQ60*0.001</f>
        <v>6944.7343230076322</v>
      </c>
      <c r="E59" s="834" t="e">
        <f>T.A5c!G59-T.A5b!J59/T.A2!D59*'Assets(MOFA)'!AQ60*0.001</f>
        <v>#VALUE!</v>
      </c>
      <c r="F59" s="1078" t="e">
        <f t="shared" si="3"/>
        <v>#VALUE!</v>
      </c>
      <c r="G59" s="834">
        <f>T.A5c!I59-T.A5b!I59/T.A2!D59*('Assets(MOFA)'!AU60-'Assets(MOFA)'!AQ60)*0.001</f>
        <v>5262.9106769923674</v>
      </c>
      <c r="H59" s="834" t="e">
        <f>T.A5c!J59-T.A5b!J59/T.A2!D59*('Assets(MOFA)'!AU60-'Assets(MOFA)'!AQ60)*0.001</f>
        <v>#VALUE!</v>
      </c>
      <c r="I59" s="1094" t="e">
        <f t="shared" si="7"/>
        <v>#VALUE!</v>
      </c>
      <c r="J59" s="837" t="e">
        <f t="shared" si="6"/>
        <v>#VALUE!</v>
      </c>
      <c r="K59" s="1213"/>
      <c r="L59" s="1213"/>
      <c r="M59" s="1335" t="e">
        <f>F59+C59+T.A5b!H59-T.A5b!E59</f>
        <v>#VALUE!</v>
      </c>
    </row>
    <row r="60" spans="1:13">
      <c r="A60" s="826">
        <v>2016</v>
      </c>
      <c r="B60" s="1082">
        <f>T.A5b!D60</f>
        <v>5000.1220000000003</v>
      </c>
      <c r="C60" s="814"/>
      <c r="D60" s="827"/>
      <c r="E60" s="827"/>
      <c r="F60" s="1081"/>
      <c r="G60" s="827"/>
      <c r="H60" s="827"/>
      <c r="I60" s="996"/>
      <c r="J60" s="897"/>
      <c r="K60" s="1215"/>
      <c r="L60" s="1215"/>
      <c r="M60" s="1335">
        <f>F60+C60+T.A5b!H60-T.A5b!E60</f>
        <v>0</v>
      </c>
    </row>
    <row r="61" spans="1:13" ht="16" thickBot="1">
      <c r="A61" s="819"/>
      <c r="B61" s="820"/>
      <c r="C61" s="820"/>
      <c r="D61" s="821"/>
      <c r="E61" s="821"/>
      <c r="F61" s="954"/>
      <c r="G61" s="821"/>
      <c r="H61" s="821"/>
      <c r="I61" s="835"/>
      <c r="J61" s="823"/>
      <c r="K61" s="1112"/>
      <c r="L61" s="1112"/>
      <c r="M61" s="1224"/>
    </row>
    <row r="62" spans="1:13" ht="16" thickTop="1"/>
    <row r="63" spans="1:13" s="825" customFormat="1">
      <c r="A63" s="805"/>
      <c r="B63" s="805"/>
      <c r="C63" s="805"/>
      <c r="D63" s="805"/>
      <c r="E63" s="805"/>
      <c r="F63" s="805"/>
      <c r="G63" s="805"/>
      <c r="H63" s="805"/>
      <c r="I63" s="805"/>
      <c r="J63" s="805"/>
      <c r="K63" s="805"/>
      <c r="L63" s="805"/>
      <c r="M63" s="1221"/>
    </row>
    <row r="65" spans="1:13" s="825" customFormat="1">
      <c r="A65" s="805"/>
      <c r="B65" s="805"/>
      <c r="C65" s="805"/>
      <c r="D65" s="805"/>
      <c r="E65" s="805"/>
      <c r="F65" s="805"/>
      <c r="G65" s="805"/>
      <c r="H65" s="805"/>
      <c r="I65" s="805"/>
      <c r="J65" s="805"/>
      <c r="K65" s="805"/>
      <c r="L65" s="805"/>
      <c r="M65" s="1221"/>
    </row>
  </sheetData>
  <mergeCells count="8">
    <mergeCell ref="A3:J3"/>
    <mergeCell ref="B6:H6"/>
    <mergeCell ref="I6:I9"/>
    <mergeCell ref="J6:J9"/>
    <mergeCell ref="C7:H7"/>
    <mergeCell ref="B8:B9"/>
    <mergeCell ref="C8:C9"/>
    <mergeCell ref="F8:F9"/>
  </mergeCells>
  <pageMargins left="0.75" right="0.75" top="1" bottom="1" header="0.5" footer="0.5"/>
  <pageSetup scale="74"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L79"/>
  <sheetViews>
    <sheetView workbookViewId="0">
      <pane xSplit="1" ySplit="9" topLeftCell="B10" activePane="bottomRight" state="frozen"/>
      <selection activeCell="X67" sqref="X67"/>
      <selection pane="topRight" activeCell="X67" sqref="X67"/>
      <selection pane="bottomLeft" activeCell="X67" sqref="X67"/>
      <selection pane="bottomRight" activeCell="X67" sqref="X67"/>
    </sheetView>
  </sheetViews>
  <sheetFormatPr baseColWidth="10" defaultColWidth="9.28515625" defaultRowHeight="15" x14ac:dyDescent="0"/>
  <cols>
    <col min="1" max="1" width="16.28515625" style="805" customWidth="1"/>
    <col min="2" max="11" width="9.7109375" style="805" customWidth="1"/>
    <col min="12" max="12" width="11.140625" style="805" bestFit="1" customWidth="1"/>
    <col min="13" max="16384" width="9.28515625" style="805"/>
  </cols>
  <sheetData>
    <row r="1" spans="1:12">
      <c r="B1" s="829"/>
      <c r="F1" s="829"/>
    </row>
    <row r="2" spans="1:12" ht="16" thickBot="1"/>
    <row r="3" spans="1:12" ht="32" customHeight="1" thickTop="1">
      <c r="A3" s="1734" t="s">
        <v>2526</v>
      </c>
      <c r="B3" s="1735"/>
      <c r="C3" s="1735"/>
      <c r="D3" s="1735"/>
      <c r="E3" s="1735"/>
      <c r="F3" s="1735"/>
      <c r="G3" s="1735"/>
      <c r="H3" s="1735"/>
      <c r="I3" s="1735"/>
      <c r="J3" s="1735"/>
      <c r="K3" s="1736"/>
    </row>
    <row r="4" spans="1:12" ht="12" customHeight="1">
      <c r="A4" s="806"/>
      <c r="B4" s="807"/>
      <c r="C4" s="807"/>
      <c r="D4" s="807"/>
      <c r="E4" s="807"/>
      <c r="F4" s="807"/>
      <c r="G4" s="807"/>
      <c r="H4" s="807"/>
      <c r="I4" s="807"/>
      <c r="J4" s="807"/>
      <c r="K4" s="808"/>
    </row>
    <row r="5" spans="1:12" ht="16" thickBot="1">
      <c r="A5" s="809"/>
      <c r="B5" s="839" t="s">
        <v>2411</v>
      </c>
      <c r="C5" s="839" t="s">
        <v>2412</v>
      </c>
      <c r="D5" s="839" t="s">
        <v>2413</v>
      </c>
      <c r="E5" s="839" t="s">
        <v>2414</v>
      </c>
      <c r="F5" s="839" t="s">
        <v>2415</v>
      </c>
      <c r="G5" s="839" t="s">
        <v>2416</v>
      </c>
      <c r="H5" s="839" t="s">
        <v>2417</v>
      </c>
      <c r="I5" s="839" t="s">
        <v>2429</v>
      </c>
      <c r="J5" s="839" t="s">
        <v>2430</v>
      </c>
      <c r="K5" s="840" t="s">
        <v>2431</v>
      </c>
    </row>
    <row r="6" spans="1:12" ht="21" customHeight="1">
      <c r="A6" s="809"/>
      <c r="B6" s="1737" t="s">
        <v>2418</v>
      </c>
      <c r="C6" s="1738"/>
      <c r="D6" s="1738"/>
      <c r="E6" s="1738"/>
      <c r="F6" s="1738"/>
      <c r="G6" s="1803"/>
      <c r="H6" s="1803"/>
      <c r="I6" s="1803"/>
      <c r="J6" s="1803"/>
      <c r="K6" s="1817"/>
    </row>
    <row r="7" spans="1:12" ht="21" customHeight="1">
      <c r="A7" s="809"/>
      <c r="B7" s="1748" t="s">
        <v>2476</v>
      </c>
      <c r="C7" s="1749"/>
      <c r="D7" s="1749"/>
      <c r="E7" s="1749"/>
      <c r="F7" s="1749"/>
      <c r="G7" s="1800" t="s">
        <v>2477</v>
      </c>
      <c r="H7" s="1801"/>
      <c r="I7" s="1801"/>
      <c r="J7" s="1801"/>
      <c r="K7" s="1818"/>
    </row>
    <row r="8" spans="1:12" ht="85" customHeight="1">
      <c r="A8" s="809"/>
      <c r="B8" s="1821" t="s">
        <v>2528</v>
      </c>
      <c r="C8" s="933" t="s">
        <v>2495</v>
      </c>
      <c r="D8" s="933" t="s">
        <v>2496</v>
      </c>
      <c r="E8" s="970" t="s">
        <v>2497</v>
      </c>
      <c r="F8" s="1822" t="s">
        <v>1122</v>
      </c>
      <c r="G8" s="1821" t="s">
        <v>3475</v>
      </c>
      <c r="H8" s="933" t="s">
        <v>2495</v>
      </c>
      <c r="I8" s="970" t="s">
        <v>2498</v>
      </c>
      <c r="J8" s="933" t="s">
        <v>2499</v>
      </c>
      <c r="K8" s="1819" t="s">
        <v>1350</v>
      </c>
      <c r="L8" s="813"/>
    </row>
    <row r="9" spans="1:12" ht="33" customHeight="1">
      <c r="A9" s="809"/>
      <c r="B9" s="1821"/>
      <c r="C9" s="1015"/>
      <c r="D9" s="1016"/>
      <c r="E9" s="1059"/>
      <c r="F9" s="1823"/>
      <c r="G9" s="1821"/>
      <c r="H9" s="1015"/>
      <c r="I9" s="1059"/>
      <c r="J9" s="1016"/>
      <c r="K9" s="1820"/>
      <c r="L9" s="813"/>
    </row>
    <row r="10" spans="1:12" ht="14" customHeight="1">
      <c r="A10" s="921">
        <v>1966</v>
      </c>
      <c r="B10" s="1060"/>
      <c r="C10" s="1061">
        <f>T.A1!B10</f>
        <v>5.2309999999999999</v>
      </c>
      <c r="D10" s="1061"/>
      <c r="E10" s="923"/>
      <c r="F10" s="1062">
        <f>'Assets(BoP)'!DI58</f>
        <v>5.2590000000000003</v>
      </c>
      <c r="G10" s="1063"/>
      <c r="H10" s="1064">
        <f>T.A4!B10</f>
        <v>0.71099999999999997</v>
      </c>
      <c r="I10" s="930"/>
      <c r="J10" s="1061"/>
      <c r="K10" s="1065">
        <f>Liabilities!AM58</f>
        <v>0.71099999999999997</v>
      </c>
      <c r="L10" s="813"/>
    </row>
    <row r="11" spans="1:12" ht="14" customHeight="1">
      <c r="A11" s="826">
        <v>1967</v>
      </c>
      <c r="B11" s="816"/>
      <c r="C11" s="832">
        <f>T.A1!B11</f>
        <v>5.5220000000000002</v>
      </c>
      <c r="D11" s="832"/>
      <c r="E11" s="828"/>
      <c r="F11" s="875">
        <f>'Assets(BoP)'!DI59</f>
        <v>5.6050000000000004</v>
      </c>
      <c r="G11" s="973"/>
      <c r="H11" s="934">
        <f>T.A4!B11</f>
        <v>0.82099999999999995</v>
      </c>
      <c r="I11" s="834"/>
      <c r="J11" s="832"/>
      <c r="K11" s="1049">
        <f>Liabilities!AM59</f>
        <v>0.82099999999999995</v>
      </c>
      <c r="L11" s="813"/>
    </row>
    <row r="12" spans="1:12" ht="14" customHeight="1">
      <c r="A12" s="826">
        <v>1968</v>
      </c>
      <c r="B12" s="816"/>
      <c r="C12" s="832">
        <f>T.A1!B12</f>
        <v>6.4859999999999998</v>
      </c>
      <c r="D12" s="832"/>
      <c r="E12" s="828"/>
      <c r="F12" s="875">
        <f>'Assets(BoP)'!DI60</f>
        <v>6.5919999999999996</v>
      </c>
      <c r="G12" s="973"/>
      <c r="H12" s="934">
        <f>T.A4!B12</f>
        <v>0.876</v>
      </c>
      <c r="I12" s="834"/>
      <c r="J12" s="832"/>
      <c r="K12" s="1049">
        <f>Liabilities!AM60</f>
        <v>0.876</v>
      </c>
      <c r="L12" s="813"/>
    </row>
    <row r="13" spans="1:12" ht="14" customHeight="1">
      <c r="A13" s="856">
        <v>1969</v>
      </c>
      <c r="B13" s="872"/>
      <c r="C13" s="876">
        <f>T.A1!B13</f>
        <v>7.4850000000000003</v>
      </c>
      <c r="D13" s="876"/>
      <c r="E13" s="858"/>
      <c r="F13" s="878">
        <f>'Assets(BoP)'!DI61</f>
        <v>7.649</v>
      </c>
      <c r="G13" s="974"/>
      <c r="H13" s="935">
        <f>T.A4!B13</f>
        <v>0.84799999999999998</v>
      </c>
      <c r="I13" s="860"/>
      <c r="J13" s="876"/>
      <c r="K13" s="1050">
        <f>Liabilities!AM61</f>
        <v>0.84799999999999998</v>
      </c>
      <c r="L13" s="813"/>
    </row>
    <row r="14" spans="1:12" ht="14" customHeight="1">
      <c r="A14" s="826">
        <v>1970</v>
      </c>
      <c r="B14" s="816"/>
      <c r="C14" s="832">
        <f>T.A1!B14</f>
        <v>8.0229999999999997</v>
      </c>
      <c r="D14" s="832"/>
      <c r="E14" s="828"/>
      <c r="F14" s="875">
        <f>'Assets(BoP)'!DI62</f>
        <v>8.1690000000000005</v>
      </c>
      <c r="G14" s="973"/>
      <c r="H14" s="934">
        <f>T.A4!B14</f>
        <v>0.875</v>
      </c>
      <c r="I14" s="834"/>
      <c r="J14" s="832"/>
      <c r="K14" s="1049">
        <f>Liabilities!AM62</f>
        <v>0.875</v>
      </c>
      <c r="L14" s="813"/>
    </row>
    <row r="15" spans="1:12" ht="14" customHeight="1">
      <c r="A15" s="826">
        <v>1971</v>
      </c>
      <c r="B15" s="816"/>
      <c r="C15" s="832">
        <f>T.A1!B15</f>
        <v>9.0020000000000007</v>
      </c>
      <c r="D15" s="832"/>
      <c r="E15" s="828"/>
      <c r="F15" s="875">
        <f>'Assets(BoP)'!DI63</f>
        <v>9.1590000000000007</v>
      </c>
      <c r="G15" s="973"/>
      <c r="H15" s="934">
        <f>T.A4!B15</f>
        <v>1.1639999999999999</v>
      </c>
      <c r="I15" s="834"/>
      <c r="J15" s="832"/>
      <c r="K15" s="1049">
        <f>Liabilities!AM63</f>
        <v>1.1639999999999999</v>
      </c>
      <c r="L15" s="813"/>
    </row>
    <row r="16" spans="1:12" ht="14" customHeight="1">
      <c r="A16" s="826">
        <v>1972</v>
      </c>
      <c r="B16" s="816"/>
      <c r="C16" s="832">
        <f>T.A1!B16</f>
        <v>10.8</v>
      </c>
      <c r="D16" s="832"/>
      <c r="E16" s="828"/>
      <c r="F16" s="875">
        <f>'Assets(BoP)'!DI64</f>
        <v>10.949</v>
      </c>
      <c r="G16" s="973"/>
      <c r="H16" s="934">
        <f>T.A4!B16</f>
        <v>1.284</v>
      </c>
      <c r="I16" s="834"/>
      <c r="J16" s="832"/>
      <c r="K16" s="1049">
        <f>Liabilities!AM64</f>
        <v>1.284</v>
      </c>
      <c r="L16" s="813"/>
    </row>
    <row r="17" spans="1:12" ht="14" customHeight="1">
      <c r="A17" s="826">
        <v>1973</v>
      </c>
      <c r="B17" s="816"/>
      <c r="C17" s="832">
        <f>T.A1!B17</f>
        <v>16.483000000000001</v>
      </c>
      <c r="D17" s="832"/>
      <c r="E17" s="828"/>
      <c r="F17" s="875">
        <f>'Assets(BoP)'!DI65</f>
        <v>16.542000000000002</v>
      </c>
      <c r="G17" s="973"/>
      <c r="H17" s="934">
        <f>T.A4!B17</f>
        <v>1.61</v>
      </c>
      <c r="I17" s="834"/>
      <c r="J17" s="832"/>
      <c r="K17" s="1049">
        <f>Liabilities!AM65</f>
        <v>1.61</v>
      </c>
      <c r="L17" s="813"/>
    </row>
    <row r="18" spans="1:12" ht="14" customHeight="1">
      <c r="A18" s="826">
        <v>1974</v>
      </c>
      <c r="B18" s="816"/>
      <c r="C18" s="832">
        <f>T.A1!B18</f>
        <v>19.141999999999999</v>
      </c>
      <c r="D18" s="832"/>
      <c r="E18" s="828"/>
      <c r="F18" s="875">
        <f>'Assets(BoP)'!DI66</f>
        <v>19.155999999999999</v>
      </c>
      <c r="G18" s="973"/>
      <c r="H18" s="934">
        <f>T.A4!B18</f>
        <v>1.331</v>
      </c>
      <c r="I18" s="834"/>
      <c r="J18" s="832"/>
      <c r="K18" s="1049">
        <f>Liabilities!AM66</f>
        <v>1.331</v>
      </c>
      <c r="L18" s="813"/>
    </row>
    <row r="19" spans="1:12" ht="14" customHeight="1">
      <c r="A19" s="826">
        <v>1975</v>
      </c>
      <c r="B19" s="816"/>
      <c r="C19" s="832">
        <f>T.A1!B19</f>
        <v>16.414000000000001</v>
      </c>
      <c r="D19" s="832"/>
      <c r="E19" s="828"/>
      <c r="F19" s="875">
        <f>'Assets(BoP)'!DI67</f>
        <v>16.594999999999999</v>
      </c>
      <c r="G19" s="973"/>
      <c r="H19" s="934">
        <f>T.A4!B19</f>
        <v>2.234</v>
      </c>
      <c r="I19" s="834"/>
      <c r="J19" s="832"/>
      <c r="K19" s="1049">
        <f>Liabilities!AM67</f>
        <v>2.234</v>
      </c>
      <c r="L19" s="813"/>
    </row>
    <row r="20" spans="1:12" ht="14" customHeight="1">
      <c r="A20" s="826">
        <v>1976</v>
      </c>
      <c r="B20" s="816"/>
      <c r="C20" s="832">
        <f>T.A1!B20</f>
        <v>19.027999999999999</v>
      </c>
      <c r="D20" s="832"/>
      <c r="E20" s="828"/>
      <c r="F20" s="875">
        <f>'Assets(BoP)'!DI68</f>
        <v>18.998999999999999</v>
      </c>
      <c r="G20" s="973"/>
      <c r="H20" s="934">
        <f>T.A4!B20</f>
        <v>3.11</v>
      </c>
      <c r="I20" s="834"/>
      <c r="J20" s="832"/>
      <c r="K20" s="1049">
        <f>Liabilities!AM68</f>
        <v>3.11</v>
      </c>
      <c r="L20" s="813"/>
    </row>
    <row r="21" spans="1:12" ht="14" customHeight="1">
      <c r="A21" s="826">
        <v>1977</v>
      </c>
      <c r="B21" s="816"/>
      <c r="C21" s="832">
        <f>T.A1!B21</f>
        <v>18.822143328158646</v>
      </c>
      <c r="D21" s="832"/>
      <c r="E21" s="832"/>
      <c r="F21" s="875">
        <f>'Assets(BoP)'!DI69</f>
        <v>19.672999999999998</v>
      </c>
      <c r="G21" s="973"/>
      <c r="H21" s="934">
        <f>T.A4!B21</f>
        <v>2.8340000000000001</v>
      </c>
      <c r="I21" s="874"/>
      <c r="J21" s="832"/>
      <c r="K21" s="1049">
        <f>Liabilities!AM69</f>
        <v>2.8340000000000001</v>
      </c>
      <c r="L21" s="813"/>
    </row>
    <row r="22" spans="1:12" ht="14" customHeight="1">
      <c r="A22" s="826">
        <v>1978</v>
      </c>
      <c r="B22" s="816"/>
      <c r="C22" s="832">
        <f>T.A1!B22</f>
        <v>24.609980017026388</v>
      </c>
      <c r="D22" s="832"/>
      <c r="E22" s="832"/>
      <c r="F22" s="875">
        <f>'Assets(BoP)'!DI70</f>
        <v>25.457999999999998</v>
      </c>
      <c r="G22" s="973"/>
      <c r="H22" s="934">
        <f>T.A4!B22</f>
        <v>4.2268000000000008</v>
      </c>
      <c r="I22" s="874"/>
      <c r="J22" s="832"/>
      <c r="K22" s="1049">
        <f>Liabilities!AM70</f>
        <v>4.2110000000000003</v>
      </c>
      <c r="L22" s="813"/>
    </row>
    <row r="23" spans="1:12" ht="14" customHeight="1">
      <c r="A23" s="856">
        <v>1979</v>
      </c>
      <c r="B23" s="872"/>
      <c r="C23" s="876">
        <f>T.A1!B23</f>
        <v>37.428814698783114</v>
      </c>
      <c r="D23" s="876"/>
      <c r="E23" s="876"/>
      <c r="F23" s="878">
        <f>'Assets(BoP)'!DI71</f>
        <v>38.183</v>
      </c>
      <c r="G23" s="974"/>
      <c r="H23" s="935">
        <f>T.A4!B23</f>
        <v>5.9127200000000002</v>
      </c>
      <c r="I23" s="877"/>
      <c r="J23" s="876"/>
      <c r="K23" s="1050">
        <f>Liabilities!AM71</f>
        <v>6.3570000000000002</v>
      </c>
      <c r="L23" s="813"/>
    </row>
    <row r="24" spans="1:12" ht="14" customHeight="1">
      <c r="A24" s="863">
        <v>1980</v>
      </c>
      <c r="B24" s="873"/>
      <c r="C24" s="879">
        <f>T.A1!B24</f>
        <v>36.559701889929393</v>
      </c>
      <c r="D24" s="879"/>
      <c r="E24" s="879"/>
      <c r="F24" s="881">
        <f>'Assets(BoP)'!DI72</f>
        <v>37.146000000000001</v>
      </c>
      <c r="G24" s="975"/>
      <c r="H24" s="936">
        <f>T.A4!B24</f>
        <v>5.7845600000000008</v>
      </c>
      <c r="I24" s="880"/>
      <c r="J24" s="879"/>
      <c r="K24" s="1051">
        <f>Liabilities!AM72</f>
        <v>8.6349999999999998</v>
      </c>
      <c r="L24" s="813"/>
    </row>
    <row r="25" spans="1:12" ht="14" customHeight="1">
      <c r="A25" s="826">
        <v>1981</v>
      </c>
      <c r="B25" s="816"/>
      <c r="C25" s="832">
        <f>T.A1!B25</f>
        <v>32.172243617607293</v>
      </c>
      <c r="D25" s="832"/>
      <c r="E25" s="832"/>
      <c r="F25" s="875">
        <f>'Assets(BoP)'!DI73</f>
        <v>32.548999999999999</v>
      </c>
      <c r="G25" s="973"/>
      <c r="H25" s="934">
        <f>T.A4!B25</f>
        <v>5.5634399999999999</v>
      </c>
      <c r="I25" s="874"/>
      <c r="J25" s="832"/>
      <c r="K25" s="1049">
        <f>Liabilities!AM73</f>
        <v>6.8979999999999997</v>
      </c>
    </row>
    <row r="26" spans="1:12" ht="14" customHeight="1">
      <c r="A26" s="826">
        <v>1982</v>
      </c>
      <c r="B26" s="816">
        <f>C26+D26+E26</f>
        <v>29.601999999999997</v>
      </c>
      <c r="C26" s="832">
        <f>T.A1!B26</f>
        <v>26.701999999999998</v>
      </c>
      <c r="D26" s="832">
        <f>'Assets(BoP)'!CQ74</f>
        <v>2.2639999999999998</v>
      </c>
      <c r="E26" s="832">
        <f>Liabilities!CT74</f>
        <v>0.63600000000000001</v>
      </c>
      <c r="F26" s="875">
        <f t="shared" ref="F26:F60" si="0">C26+D26-J26</f>
        <v>24.827999999999996</v>
      </c>
      <c r="G26" s="816">
        <f>H26+I26+J26</f>
        <v>7.9480000000000004</v>
      </c>
      <c r="H26" s="934">
        <f>T.A4!B26</f>
        <v>1.0089999999999999</v>
      </c>
      <c r="I26" s="874">
        <f>Liabilities!AD74</f>
        <v>2.8010000000000002</v>
      </c>
      <c r="J26" s="832">
        <f>'Assets(BoP)'!CR74</f>
        <v>4.1379999999999999</v>
      </c>
      <c r="K26" s="1049">
        <f t="shared" ref="K26:K60" si="1">H26+I26-E26</f>
        <v>3.1739999999999999</v>
      </c>
      <c r="L26" s="895"/>
    </row>
    <row r="27" spans="1:12" ht="14" customHeight="1">
      <c r="A27" s="826">
        <v>1983</v>
      </c>
      <c r="B27" s="816">
        <f t="shared" ref="B27:B60" si="2">C27+D27+E27</f>
        <v>33.290999999999997</v>
      </c>
      <c r="C27" s="832">
        <f>T.A1!B27</f>
        <v>30.821000000000002</v>
      </c>
      <c r="D27" s="832">
        <f>'Assets(BoP)'!CQ75</f>
        <v>1.911</v>
      </c>
      <c r="E27" s="832">
        <f>Liabilities!CT75</f>
        <v>0.55900000000000005</v>
      </c>
      <c r="F27" s="875">
        <f t="shared" si="0"/>
        <v>27.259999999999998</v>
      </c>
      <c r="G27" s="816">
        <f t="shared" ref="G27:G60" si="3">H27+I27+J27</f>
        <v>11.2</v>
      </c>
      <c r="H27" s="934">
        <f>T.A4!B27</f>
        <v>2.9079999999999995</v>
      </c>
      <c r="I27" s="874">
        <f>Liabilities!AD75</f>
        <v>2.82</v>
      </c>
      <c r="J27" s="832">
        <f>'Assets(BoP)'!CR75</f>
        <v>5.4720000000000004</v>
      </c>
      <c r="K27" s="1049">
        <f t="shared" si="1"/>
        <v>5.1689999999999996</v>
      </c>
      <c r="L27" s="813"/>
    </row>
    <row r="28" spans="1:12" ht="14" customHeight="1">
      <c r="A28" s="826">
        <v>1984</v>
      </c>
      <c r="B28" s="816">
        <f t="shared" si="2"/>
        <v>37.563999999999993</v>
      </c>
      <c r="C28" s="832">
        <f>T.A1!B28</f>
        <v>35.074999999999996</v>
      </c>
      <c r="D28" s="832">
        <f>'Assets(BoP)'!CQ76</f>
        <v>1.8540000000000001</v>
      </c>
      <c r="E28" s="832">
        <f>Liabilities!CT76</f>
        <v>0.63500000000000001</v>
      </c>
      <c r="F28" s="875">
        <f t="shared" si="0"/>
        <v>30.745999999999995</v>
      </c>
      <c r="G28" s="816">
        <f t="shared" si="3"/>
        <v>16.254999999999999</v>
      </c>
      <c r="H28" s="934">
        <f>T.A4!B28</f>
        <v>6.5069999999999997</v>
      </c>
      <c r="I28" s="874">
        <f>Liabilities!AD76</f>
        <v>3.5649999999999999</v>
      </c>
      <c r="J28" s="832">
        <f>'Assets(BoP)'!CR76</f>
        <v>6.1829999999999998</v>
      </c>
      <c r="K28" s="1049">
        <f t="shared" si="1"/>
        <v>9.4369999999999994</v>
      </c>
      <c r="L28" s="813"/>
    </row>
    <row r="29" spans="1:12" ht="14" customHeight="1">
      <c r="A29" s="826">
        <v>1985</v>
      </c>
      <c r="B29" s="816">
        <f t="shared" si="2"/>
        <v>35.281999999999996</v>
      </c>
      <c r="C29" s="832">
        <f>T.A1!B29</f>
        <v>32.851999999999997</v>
      </c>
      <c r="D29" s="832">
        <f>'Assets(BoP)'!CQ77</f>
        <v>1.706</v>
      </c>
      <c r="E29" s="832">
        <f>Liabilities!CT77</f>
        <v>0.72399999999999998</v>
      </c>
      <c r="F29" s="875">
        <f t="shared" si="0"/>
        <v>28.777999999999999</v>
      </c>
      <c r="G29" s="816">
        <f t="shared" si="3"/>
        <v>14.052</v>
      </c>
      <c r="H29" s="934">
        <f>T.A4!B29</f>
        <v>4.5190000000000001</v>
      </c>
      <c r="I29" s="874">
        <f>Liabilities!AD77</f>
        <v>3.7530000000000001</v>
      </c>
      <c r="J29" s="832">
        <f>'Assets(BoP)'!CR77</f>
        <v>5.78</v>
      </c>
      <c r="K29" s="1049">
        <f t="shared" si="1"/>
        <v>7.548</v>
      </c>
      <c r="L29" s="813"/>
    </row>
    <row r="30" spans="1:12" ht="14" customHeight="1">
      <c r="A30" s="826">
        <v>1986</v>
      </c>
      <c r="B30" s="816">
        <f t="shared" si="2"/>
        <v>36.774000000000001</v>
      </c>
      <c r="C30" s="832">
        <f>T.A1!B30</f>
        <v>34.201000000000001</v>
      </c>
      <c r="D30" s="832">
        <f>'Assets(BoP)'!CQ78</f>
        <v>1.6850000000000001</v>
      </c>
      <c r="E30" s="832">
        <f>Liabilities!CT78</f>
        <v>0.88800000000000001</v>
      </c>
      <c r="F30" s="875">
        <f t="shared" si="0"/>
        <v>31.040000000000003</v>
      </c>
      <c r="G30" s="816">
        <f t="shared" si="3"/>
        <v>13.167</v>
      </c>
      <c r="H30" s="934">
        <f>T.A4!B30</f>
        <v>4.3140000000000001</v>
      </c>
      <c r="I30" s="874">
        <f>Liabilities!AD78</f>
        <v>4.0069999999999997</v>
      </c>
      <c r="J30" s="832">
        <f>'Assets(BoP)'!CR78</f>
        <v>4.8460000000000001</v>
      </c>
      <c r="K30" s="1049">
        <f t="shared" si="1"/>
        <v>7.4329999999999998</v>
      </c>
      <c r="L30" s="813"/>
    </row>
    <row r="31" spans="1:12" ht="14" customHeight="1">
      <c r="A31" s="826">
        <v>1987</v>
      </c>
      <c r="B31" s="816">
        <f t="shared" si="2"/>
        <v>45.446999999999996</v>
      </c>
      <c r="C31" s="832">
        <f>T.A1!B31</f>
        <v>42.336999999999996</v>
      </c>
      <c r="D31" s="832">
        <f>'Assets(BoP)'!CQ79</f>
        <v>1.86</v>
      </c>
      <c r="E31" s="832">
        <f>Liabilities!CT79</f>
        <v>1.25</v>
      </c>
      <c r="F31" s="875">
        <f t="shared" si="0"/>
        <v>40.027999999999999</v>
      </c>
      <c r="G31" s="816">
        <f t="shared" si="3"/>
        <v>14.078000000000003</v>
      </c>
      <c r="H31" s="934">
        <f>T.A4!B31</f>
        <v>5.2350000000000012</v>
      </c>
      <c r="I31" s="874">
        <f>Liabilities!AD79</f>
        <v>4.6740000000000004</v>
      </c>
      <c r="J31" s="832">
        <f>'Assets(BoP)'!CR79</f>
        <v>4.1689999999999996</v>
      </c>
      <c r="K31" s="1049">
        <f t="shared" si="1"/>
        <v>8.6590000000000025</v>
      </c>
      <c r="L31" s="813"/>
    </row>
    <row r="32" spans="1:12" ht="14" customHeight="1">
      <c r="A32" s="826">
        <v>1988</v>
      </c>
      <c r="B32" s="816">
        <f t="shared" si="2"/>
        <v>57.011000000000003</v>
      </c>
      <c r="C32" s="832">
        <f>T.A1!B32</f>
        <v>53.359000000000002</v>
      </c>
      <c r="D32" s="832">
        <f>'Assets(BoP)'!CQ80</f>
        <v>2.335</v>
      </c>
      <c r="E32" s="832">
        <f>Liabilities!CT80</f>
        <v>1.3169999999999999</v>
      </c>
      <c r="F32" s="875">
        <f t="shared" si="0"/>
        <v>52.057000000000002</v>
      </c>
      <c r="G32" s="816">
        <f t="shared" si="3"/>
        <v>17.727999999999998</v>
      </c>
      <c r="H32" s="934">
        <f>T.A4!B32</f>
        <v>7.8619999999999992</v>
      </c>
      <c r="I32" s="874">
        <f>Liabilities!AD80</f>
        <v>6.2290000000000001</v>
      </c>
      <c r="J32" s="832">
        <f>'Assets(BoP)'!CR80</f>
        <v>3.637</v>
      </c>
      <c r="K32" s="1049">
        <f t="shared" si="1"/>
        <v>12.773999999999999</v>
      </c>
      <c r="L32" s="813"/>
    </row>
    <row r="33" spans="1:12" ht="14" customHeight="1">
      <c r="A33" s="856">
        <v>1989</v>
      </c>
      <c r="B33" s="872">
        <f t="shared" si="2"/>
        <v>59.025999999999996</v>
      </c>
      <c r="C33" s="876">
        <f>T.A1!B33</f>
        <v>53.744</v>
      </c>
      <c r="D33" s="876">
        <f>'Assets(BoP)'!CQ81</f>
        <v>3.379</v>
      </c>
      <c r="E33" s="876">
        <f>Liabilities!CT81</f>
        <v>1.903</v>
      </c>
      <c r="F33" s="878">
        <f t="shared" si="0"/>
        <v>53.928999999999995</v>
      </c>
      <c r="G33" s="872">
        <f t="shared" si="3"/>
        <v>12.588000000000001</v>
      </c>
      <c r="H33" s="935">
        <f>T.A4!B33</f>
        <v>0.27699999999999925</v>
      </c>
      <c r="I33" s="877">
        <f>Liabilities!AD81</f>
        <v>9.1170000000000009</v>
      </c>
      <c r="J33" s="876">
        <f>'Assets(BoP)'!CR81</f>
        <v>3.194</v>
      </c>
      <c r="K33" s="1050">
        <f t="shared" si="1"/>
        <v>7.4909999999999997</v>
      </c>
      <c r="L33" s="895"/>
    </row>
    <row r="34" spans="1:12" ht="14" customHeight="1">
      <c r="A34" s="826">
        <v>1990</v>
      </c>
      <c r="B34" s="816">
        <f t="shared" si="2"/>
        <v>63.155999999999992</v>
      </c>
      <c r="C34" s="832">
        <f>T.A1!B34</f>
        <v>56.220999999999997</v>
      </c>
      <c r="D34" s="832">
        <f>'Assets(BoP)'!CQ82</f>
        <v>4.9619999999999997</v>
      </c>
      <c r="E34" s="832">
        <f>Liabilities!CT82</f>
        <v>1.9730000000000001</v>
      </c>
      <c r="F34" s="875">
        <f t="shared" si="0"/>
        <v>58.003999999999991</v>
      </c>
      <c r="G34" s="816">
        <f t="shared" si="3"/>
        <v>8.088000000000001</v>
      </c>
      <c r="H34" s="934">
        <f>T.A4!B34</f>
        <v>-5.2319999999999993</v>
      </c>
      <c r="I34" s="874">
        <f>Liabilities!AD82</f>
        <v>10.141</v>
      </c>
      <c r="J34" s="832">
        <f>'Assets(BoP)'!CR82</f>
        <v>3.1789999999999998</v>
      </c>
      <c r="K34" s="1049">
        <f t="shared" si="1"/>
        <v>2.9360000000000008</v>
      </c>
      <c r="L34" s="813"/>
    </row>
    <row r="35" spans="1:12" ht="14" customHeight="1">
      <c r="A35" s="826">
        <v>1991</v>
      </c>
      <c r="B35" s="816">
        <f t="shared" si="2"/>
        <v>58.20000000000001</v>
      </c>
      <c r="C35" s="832">
        <f>T.A1!B35</f>
        <v>50.833000000000006</v>
      </c>
      <c r="D35" s="832">
        <f>'Assets(BoP)'!CQ83</f>
        <v>4.74</v>
      </c>
      <c r="E35" s="832">
        <f>Liabilities!CT83</f>
        <v>2.6269999999999998</v>
      </c>
      <c r="F35" s="875">
        <f t="shared" si="0"/>
        <v>52.08700000000001</v>
      </c>
      <c r="G35" s="816">
        <f t="shared" si="3"/>
        <v>3.257000000000001</v>
      </c>
      <c r="H35" s="934">
        <f>T.A4!B35</f>
        <v>-11.302</v>
      </c>
      <c r="I35" s="874">
        <f>Liabilities!AD83</f>
        <v>11.073</v>
      </c>
      <c r="J35" s="832">
        <f>'Assets(BoP)'!CR83</f>
        <v>3.4860000000000002</v>
      </c>
      <c r="K35" s="1049">
        <f t="shared" si="1"/>
        <v>-2.855999999999999</v>
      </c>
      <c r="L35" s="813"/>
    </row>
    <row r="36" spans="1:12" ht="14" customHeight="1">
      <c r="A36" s="826">
        <v>1992</v>
      </c>
      <c r="B36" s="816">
        <f t="shared" si="2"/>
        <v>55.878999999999998</v>
      </c>
      <c r="C36" s="832">
        <f>T.A1!B36</f>
        <v>49.379999999999995</v>
      </c>
      <c r="D36" s="832">
        <f>'Assets(BoP)'!CQ84</f>
        <v>3.93</v>
      </c>
      <c r="E36" s="832">
        <f>Liabilities!CT84</f>
        <v>2.569</v>
      </c>
      <c r="F36" s="875">
        <f t="shared" si="0"/>
        <v>50.564999999999998</v>
      </c>
      <c r="G36" s="816">
        <f t="shared" si="3"/>
        <v>6.7150000000000007</v>
      </c>
      <c r="H36" s="934">
        <f>T.A4!B36</f>
        <v>-5.3620000000000001</v>
      </c>
      <c r="I36" s="874">
        <f>Liabilities!AD84</f>
        <v>9.3320000000000007</v>
      </c>
      <c r="J36" s="832">
        <f>'Assets(BoP)'!CR84</f>
        <v>2.7450000000000001</v>
      </c>
      <c r="K36" s="1049">
        <f t="shared" si="1"/>
        <v>1.4010000000000007</v>
      </c>
      <c r="L36" s="813"/>
    </row>
    <row r="37" spans="1:12" ht="14" customHeight="1">
      <c r="A37" s="826">
        <v>1993</v>
      </c>
      <c r="B37" s="816">
        <f t="shared" si="2"/>
        <v>64.927999999999997</v>
      </c>
      <c r="C37" s="882">
        <f>T.A1!B37</f>
        <v>57.698999999999998</v>
      </c>
      <c r="D37" s="882">
        <f>'Assets(BoP)'!CQ85</f>
        <v>4.2569999999999997</v>
      </c>
      <c r="E37" s="882">
        <f>Liabilities!CT85</f>
        <v>2.972</v>
      </c>
      <c r="F37" s="875">
        <f t="shared" si="0"/>
        <v>59.380999999999993</v>
      </c>
      <c r="G37" s="816">
        <f t="shared" si="3"/>
        <v>12.617999999999999</v>
      </c>
      <c r="H37" s="934">
        <f>T.A4!B37</f>
        <v>0.94099999999999984</v>
      </c>
      <c r="I37" s="874">
        <f>Liabilities!AD85</f>
        <v>9.1020000000000003</v>
      </c>
      <c r="J37" s="882">
        <f>'Assets(BoP)'!CR85</f>
        <v>2.5750000000000002</v>
      </c>
      <c r="K37" s="1049">
        <f t="shared" si="1"/>
        <v>7.0709999999999997</v>
      </c>
      <c r="L37" s="813"/>
    </row>
    <row r="38" spans="1:12" ht="14" customHeight="1">
      <c r="A38" s="826">
        <v>1994</v>
      </c>
      <c r="B38" s="816">
        <f t="shared" si="2"/>
        <v>71.913999999999987</v>
      </c>
      <c r="C38" s="832">
        <f>T.A1!B38</f>
        <v>66.680999999999997</v>
      </c>
      <c r="D38" s="832">
        <f>'Assets(BoP)'!CQ86</f>
        <v>3.8679999999999999</v>
      </c>
      <c r="E38" s="832">
        <f>Liabilities!CT86</f>
        <v>1.365</v>
      </c>
      <c r="F38" s="875">
        <f t="shared" si="0"/>
        <v>68.986999999999995</v>
      </c>
      <c r="G38" s="816">
        <f t="shared" si="3"/>
        <v>23.806999999999999</v>
      </c>
      <c r="H38" s="934">
        <f>T.A4!B38</f>
        <v>13.884999999999998</v>
      </c>
      <c r="I38" s="874">
        <f>Liabilities!AD86</f>
        <v>8.36</v>
      </c>
      <c r="J38" s="832">
        <f>'Assets(BoP)'!CR86</f>
        <v>1.5620000000000001</v>
      </c>
      <c r="K38" s="1049">
        <f t="shared" si="1"/>
        <v>20.88</v>
      </c>
      <c r="L38" s="813"/>
    </row>
    <row r="39" spans="1:12">
      <c r="A39" s="826">
        <v>1995</v>
      </c>
      <c r="B39" s="816">
        <f t="shared" si="2"/>
        <v>90.763999999999996</v>
      </c>
      <c r="C39" s="832">
        <f>T.A1!B39</f>
        <v>84.887</v>
      </c>
      <c r="D39" s="832">
        <f>'Assets(BoP)'!CQ87</f>
        <v>4.3419999999999996</v>
      </c>
      <c r="E39" s="832">
        <f>Liabilities!CT87</f>
        <v>1.5349999999999999</v>
      </c>
      <c r="F39" s="875">
        <f t="shared" si="0"/>
        <v>87.346000000000004</v>
      </c>
      <c r="G39" s="816">
        <f t="shared" si="3"/>
        <v>34.349000000000004</v>
      </c>
      <c r="H39" s="934">
        <f>T.A4!B39</f>
        <v>22.795000000000002</v>
      </c>
      <c r="I39" s="874">
        <f>Liabilities!AD87</f>
        <v>9.6709999999999994</v>
      </c>
      <c r="J39" s="832">
        <f>'Assets(BoP)'!CR87</f>
        <v>1.883</v>
      </c>
      <c r="K39" s="1049">
        <f t="shared" si="1"/>
        <v>30.931000000000001</v>
      </c>
      <c r="L39" s="813"/>
    </row>
    <row r="40" spans="1:12">
      <c r="A40" s="826">
        <v>1996</v>
      </c>
      <c r="B40" s="816">
        <f t="shared" si="2"/>
        <v>96.995999999999995</v>
      </c>
      <c r="C40" s="832">
        <f>T.A1!B40</f>
        <v>91.403999999999996</v>
      </c>
      <c r="D40" s="832">
        <f>'Assets(BoP)'!CQ88</f>
        <v>4.1440000000000001</v>
      </c>
      <c r="E40" s="832">
        <f>Liabilities!CT88</f>
        <v>1.448</v>
      </c>
      <c r="F40" s="875">
        <f t="shared" si="0"/>
        <v>93.594000000000008</v>
      </c>
      <c r="G40" s="816">
        <f t="shared" si="3"/>
        <v>33.809000000000005</v>
      </c>
      <c r="H40" s="934">
        <f>T.A4!B40</f>
        <v>21.307000000000002</v>
      </c>
      <c r="I40" s="874">
        <f>Liabilities!AD88</f>
        <v>10.548</v>
      </c>
      <c r="J40" s="832">
        <f>'Assets(BoP)'!CR88</f>
        <v>1.954</v>
      </c>
      <c r="K40" s="1049">
        <f t="shared" si="1"/>
        <v>30.407000000000004</v>
      </c>
      <c r="L40" s="813"/>
    </row>
    <row r="41" spans="1:12">
      <c r="A41" s="826">
        <v>1997</v>
      </c>
      <c r="B41" s="816">
        <f t="shared" si="2"/>
        <v>109.34700000000001</v>
      </c>
      <c r="C41" s="832">
        <f>T.A1!B41</f>
        <v>102.679</v>
      </c>
      <c r="D41" s="832">
        <f>'Assets(BoP)'!CQ89</f>
        <v>4.8659999999999997</v>
      </c>
      <c r="E41" s="832">
        <f>Liabilities!CT89</f>
        <v>1.802</v>
      </c>
      <c r="F41" s="875">
        <f t="shared" si="0"/>
        <v>104.794</v>
      </c>
      <c r="G41" s="816">
        <f t="shared" si="3"/>
        <v>44.497999999999998</v>
      </c>
      <c r="H41" s="934">
        <f>T.A4!B41</f>
        <v>30.762999999999998</v>
      </c>
      <c r="I41" s="874">
        <f>Liabilities!AD89</f>
        <v>10.984</v>
      </c>
      <c r="J41" s="832">
        <f>'Assets(BoP)'!CR89</f>
        <v>2.7509999999999999</v>
      </c>
      <c r="K41" s="1049">
        <f t="shared" si="1"/>
        <v>39.945</v>
      </c>
      <c r="L41" s="813"/>
    </row>
    <row r="42" spans="1:12">
      <c r="A42" s="826">
        <v>1998</v>
      </c>
      <c r="B42" s="816">
        <f t="shared" si="2"/>
        <v>95.100000000000009</v>
      </c>
      <c r="C42" s="832">
        <f>T.A1!B42</f>
        <v>87.617000000000004</v>
      </c>
      <c r="D42" s="832">
        <f>'Assets(BoP)'!CQ90</f>
        <v>5.6580000000000004</v>
      </c>
      <c r="E42" s="832">
        <f>Liabilities!CT90</f>
        <v>1.825</v>
      </c>
      <c r="F42" s="875">
        <f t="shared" si="0"/>
        <v>90.676000000000002</v>
      </c>
      <c r="G42" s="816">
        <f t="shared" si="3"/>
        <v>36.826000000000008</v>
      </c>
      <c r="H42" s="934">
        <f>T.A4!B42</f>
        <v>22.039000000000001</v>
      </c>
      <c r="I42" s="874">
        <f>Liabilities!AD90</f>
        <v>12.188000000000001</v>
      </c>
      <c r="J42" s="832">
        <f>'Assets(BoP)'!CR90</f>
        <v>2.5990000000000002</v>
      </c>
      <c r="K42" s="1049">
        <f t="shared" si="1"/>
        <v>32.402000000000001</v>
      </c>
      <c r="L42" s="813"/>
    </row>
    <row r="43" spans="1:12">
      <c r="A43" s="856">
        <v>1999</v>
      </c>
      <c r="B43" s="872">
        <f t="shared" si="2"/>
        <v>119.15300000000001</v>
      </c>
      <c r="C43" s="876">
        <f>T.A1!B43</f>
        <v>109.827</v>
      </c>
      <c r="D43" s="876">
        <f>'Assets(BoP)'!CQ91</f>
        <v>7.7569999999999997</v>
      </c>
      <c r="E43" s="876">
        <f>Liabilities!CT91</f>
        <v>1.569</v>
      </c>
      <c r="F43" s="878">
        <f t="shared" si="0"/>
        <v>114.349</v>
      </c>
      <c r="G43" s="872">
        <f t="shared" si="3"/>
        <v>51.19</v>
      </c>
      <c r="H43" s="935">
        <f>T.A4!B43</f>
        <v>30.957999999999998</v>
      </c>
      <c r="I43" s="877">
        <f>Liabilities!AD91</f>
        <v>16.997</v>
      </c>
      <c r="J43" s="876">
        <f>'Assets(BoP)'!CR91</f>
        <v>3.2349999999999999</v>
      </c>
      <c r="K43" s="1050">
        <f t="shared" si="1"/>
        <v>46.385999999999996</v>
      </c>
      <c r="L43" s="813"/>
    </row>
    <row r="44" spans="1:12">
      <c r="A44" s="826">
        <v>2000</v>
      </c>
      <c r="B44" s="816">
        <f t="shared" si="2"/>
        <v>139.92000000000002</v>
      </c>
      <c r="C44" s="832">
        <f>T.A1!B44</f>
        <v>128.68700000000001</v>
      </c>
      <c r="D44" s="832">
        <f>'Assets(BoP)'!CQ92</f>
        <v>8.69</v>
      </c>
      <c r="E44" s="832">
        <f>Liabilities!CT92</f>
        <v>2.5430000000000001</v>
      </c>
      <c r="F44" s="875">
        <f t="shared" si="0"/>
        <v>133.69200000000001</v>
      </c>
      <c r="G44" s="816">
        <f t="shared" si="3"/>
        <v>54.149000000000001</v>
      </c>
      <c r="H44" s="934">
        <f>T.A4!B44</f>
        <v>27.972999999999999</v>
      </c>
      <c r="I44" s="874">
        <f>Liabilities!AD92</f>
        <v>22.491</v>
      </c>
      <c r="J44" s="832">
        <f>'Assets(BoP)'!CR92</f>
        <v>3.6850000000000001</v>
      </c>
      <c r="K44" s="1049">
        <f t="shared" si="1"/>
        <v>47.920999999999999</v>
      </c>
      <c r="L44" s="813"/>
    </row>
    <row r="45" spans="1:12">
      <c r="A45" s="826">
        <v>2001</v>
      </c>
      <c r="B45" s="816">
        <f t="shared" si="2"/>
        <v>115.717</v>
      </c>
      <c r="C45" s="882">
        <f>T.A1!B45</f>
        <v>104.76299999999999</v>
      </c>
      <c r="D45" s="882">
        <f>'Assets(BoP)'!CQ93</f>
        <v>8.9380000000000006</v>
      </c>
      <c r="E45" s="882">
        <f>Liabilities!CT93</f>
        <v>2.016</v>
      </c>
      <c r="F45" s="875">
        <f t="shared" si="0"/>
        <v>110.029</v>
      </c>
      <c r="G45" s="816">
        <f t="shared" si="3"/>
        <v>9.6070000000000029</v>
      </c>
      <c r="H45" s="934">
        <f>T.A4!B45</f>
        <v>-17.335999999999999</v>
      </c>
      <c r="I45" s="874">
        <f>Liabilities!AD93</f>
        <v>23.271000000000001</v>
      </c>
      <c r="J45" s="882">
        <f>'Assets(BoP)'!CR93</f>
        <v>3.6720000000000002</v>
      </c>
      <c r="K45" s="1049">
        <f t="shared" si="1"/>
        <v>3.9190000000000023</v>
      </c>
      <c r="L45" s="813"/>
    </row>
    <row r="46" spans="1:12">
      <c r="A46" s="826">
        <v>2002</v>
      </c>
      <c r="B46" s="816">
        <f t="shared" si="2"/>
        <v>129.679</v>
      </c>
      <c r="C46" s="832">
        <f>T.A1!B46</f>
        <v>119.566</v>
      </c>
      <c r="D46" s="832">
        <f>'Assets(BoP)'!CQ94</f>
        <v>8.4670000000000005</v>
      </c>
      <c r="E46" s="832">
        <f>Liabilities!CT94</f>
        <v>1.6459999999999999</v>
      </c>
      <c r="F46" s="875">
        <f t="shared" si="0"/>
        <v>124.94000000000001</v>
      </c>
      <c r="G46" s="816">
        <f t="shared" si="3"/>
        <v>37.037000000000006</v>
      </c>
      <c r="H46" s="934">
        <f>T.A4!B46</f>
        <v>11.820999999999998</v>
      </c>
      <c r="I46" s="874">
        <f>Liabilities!AD94</f>
        <v>22.123000000000001</v>
      </c>
      <c r="J46" s="832">
        <f>'Assets(BoP)'!CR94</f>
        <v>3.093</v>
      </c>
      <c r="K46" s="1049">
        <f t="shared" si="1"/>
        <v>32.298000000000002</v>
      </c>
      <c r="L46" s="813"/>
    </row>
    <row r="47" spans="1:12">
      <c r="A47" s="826">
        <v>2003</v>
      </c>
      <c r="B47" s="816">
        <f t="shared" si="2"/>
        <v>169.44600000000003</v>
      </c>
      <c r="C47" s="832">
        <f>T.A1!B47</f>
        <v>159.27100000000002</v>
      </c>
      <c r="D47" s="832">
        <f>'Assets(BoP)'!CQ95</f>
        <v>8.657</v>
      </c>
      <c r="E47" s="832">
        <f>Liabilities!CT95</f>
        <v>1.518</v>
      </c>
      <c r="F47" s="875">
        <f t="shared" si="0"/>
        <v>165.20300000000003</v>
      </c>
      <c r="G47" s="816">
        <f t="shared" si="3"/>
        <v>65.206999999999994</v>
      </c>
      <c r="H47" s="934">
        <f>T.A4!B47</f>
        <v>44.753999999999998</v>
      </c>
      <c r="I47" s="874">
        <f>Liabilities!AD95</f>
        <v>17.728000000000002</v>
      </c>
      <c r="J47" s="832">
        <f>'Assets(BoP)'!CR95</f>
        <v>2.7250000000000001</v>
      </c>
      <c r="K47" s="1049">
        <f t="shared" si="1"/>
        <v>60.963999999999999</v>
      </c>
      <c r="L47" s="813"/>
    </row>
    <row r="48" spans="1:12">
      <c r="A48" s="826">
        <v>2004</v>
      </c>
      <c r="B48" s="816">
        <f t="shared" si="2"/>
        <v>232.881</v>
      </c>
      <c r="C48" s="832">
        <f>T.A1!B48</f>
        <v>222.315</v>
      </c>
      <c r="D48" s="832">
        <f>'Assets(BoP)'!CQ96</f>
        <v>8.3529999999999998</v>
      </c>
      <c r="E48" s="832">
        <f>Liabilities!CT96</f>
        <v>2.2130000000000001</v>
      </c>
      <c r="F48" s="875">
        <f t="shared" si="0"/>
        <v>228.16500000000002</v>
      </c>
      <c r="G48" s="816">
        <f t="shared" si="3"/>
        <v>92.605999999999995</v>
      </c>
      <c r="H48" s="934">
        <f>T.A4!B48</f>
        <v>73.915999999999997</v>
      </c>
      <c r="I48" s="874">
        <f>Liabilities!AD96</f>
        <v>16.187000000000001</v>
      </c>
      <c r="J48" s="832">
        <f>'Assets(BoP)'!CR96</f>
        <v>2.5030000000000001</v>
      </c>
      <c r="K48" s="1049">
        <f t="shared" si="1"/>
        <v>87.89</v>
      </c>
      <c r="L48" s="813"/>
    </row>
    <row r="49" spans="1:12">
      <c r="A49" s="826">
        <v>2005</v>
      </c>
      <c r="B49" s="816">
        <f t="shared" si="2"/>
        <v>278.40300000000002</v>
      </c>
      <c r="C49" s="832">
        <f>T.A1!B49</f>
        <v>266.04700000000003</v>
      </c>
      <c r="D49" s="832">
        <f>'Assets(BoP)'!CQ97</f>
        <v>8.98</v>
      </c>
      <c r="E49" s="832">
        <f>Liabilities!CT97</f>
        <v>3.3759999999999999</v>
      </c>
      <c r="F49" s="875">
        <f t="shared" si="0"/>
        <v>271.87700000000007</v>
      </c>
      <c r="G49" s="816">
        <f t="shared" si="3"/>
        <v>116.85</v>
      </c>
      <c r="H49" s="934">
        <f>T.A4!B49</f>
        <v>95.05</v>
      </c>
      <c r="I49" s="874">
        <f>Liabilities!AD97</f>
        <v>18.649999999999999</v>
      </c>
      <c r="J49" s="832">
        <f>'Assets(BoP)'!CR97</f>
        <v>3.15</v>
      </c>
      <c r="K49" s="1049">
        <f t="shared" si="1"/>
        <v>110.32399999999998</v>
      </c>
      <c r="L49" s="813"/>
    </row>
    <row r="50" spans="1:12">
      <c r="A50" s="826">
        <v>2006</v>
      </c>
      <c r="B50" s="816">
        <f t="shared" si="2"/>
        <v>312.53299999999996</v>
      </c>
      <c r="C50" s="832">
        <f>T.A1!B50</f>
        <v>298.32599999999996</v>
      </c>
      <c r="D50" s="832">
        <f>'Assets(BoP)'!CQ98</f>
        <v>9.6020000000000003</v>
      </c>
      <c r="E50" s="832">
        <f>Liabilities!CT98</f>
        <v>4.6050000000000004</v>
      </c>
      <c r="F50" s="875">
        <f t="shared" si="0"/>
        <v>304.11399999999992</v>
      </c>
      <c r="G50" s="816">
        <f t="shared" si="3"/>
        <v>153.17399999999998</v>
      </c>
      <c r="H50" s="934">
        <f>T.A4!B50</f>
        <v>126.33099999999999</v>
      </c>
      <c r="I50" s="874">
        <f>Liabilities!AD98</f>
        <v>23.029</v>
      </c>
      <c r="J50" s="832">
        <f>'Assets(BoP)'!CR98</f>
        <v>3.8140000000000001</v>
      </c>
      <c r="K50" s="1049">
        <f t="shared" si="1"/>
        <v>144.755</v>
      </c>
      <c r="L50" s="813"/>
    </row>
    <row r="51" spans="1:12">
      <c r="A51" s="826">
        <v>2007</v>
      </c>
      <c r="B51" s="816">
        <f t="shared" si="2"/>
        <v>360.32400000000001</v>
      </c>
      <c r="C51" s="832">
        <f>T.A1!B51</f>
        <v>342.84100000000001</v>
      </c>
      <c r="D51" s="832">
        <f>'Assets(BoP)'!CQ99</f>
        <v>11.3</v>
      </c>
      <c r="E51" s="832">
        <f>Liabilities!CT99</f>
        <v>6.1829999999999998</v>
      </c>
      <c r="F51" s="875">
        <f t="shared" si="0"/>
        <v>350.23700000000002</v>
      </c>
      <c r="G51" s="816">
        <f t="shared" si="3"/>
        <v>131.047</v>
      </c>
      <c r="H51" s="934">
        <f>T.A4!B51</f>
        <v>96.576999999999998</v>
      </c>
      <c r="I51" s="874">
        <f>Liabilities!AD99</f>
        <v>30.565999999999999</v>
      </c>
      <c r="J51" s="832">
        <f>'Assets(BoP)'!CR99</f>
        <v>3.9039999999999999</v>
      </c>
      <c r="K51" s="1049">
        <f t="shared" si="1"/>
        <v>120.96000000000001</v>
      </c>
      <c r="L51" s="813"/>
    </row>
    <row r="52" spans="1:12">
      <c r="A52" s="826">
        <v>2008</v>
      </c>
      <c r="B52" s="816">
        <f t="shared" si="2"/>
        <v>402.58</v>
      </c>
      <c r="C52" s="832">
        <f>T.A1!B52</f>
        <v>384.75600000000003</v>
      </c>
      <c r="D52" s="832">
        <f>'Assets(BoP)'!CQ100</f>
        <v>12.227</v>
      </c>
      <c r="E52" s="832">
        <f>Liabilities!CT100</f>
        <v>5.5970000000000004</v>
      </c>
      <c r="F52" s="875">
        <f t="shared" si="0"/>
        <v>392.95400000000001</v>
      </c>
      <c r="G52" s="816">
        <f t="shared" si="3"/>
        <v>135.34700000000001</v>
      </c>
      <c r="H52" s="934">
        <f>T.A4!B52</f>
        <v>101.128</v>
      </c>
      <c r="I52" s="874">
        <f>Liabilities!AD100</f>
        <v>30.19</v>
      </c>
      <c r="J52" s="832">
        <f>'Assets(BoP)'!CR100</f>
        <v>4.0289999999999999</v>
      </c>
      <c r="K52" s="1049">
        <f t="shared" si="1"/>
        <v>125.72100000000002</v>
      </c>
      <c r="L52" s="813"/>
    </row>
    <row r="53" spans="1:12">
      <c r="A53" s="856">
        <v>2009</v>
      </c>
      <c r="B53" s="872">
        <f t="shared" si="2"/>
        <v>347.82099999999997</v>
      </c>
      <c r="C53" s="876">
        <f>T.A1!B53</f>
        <v>333.50299999999999</v>
      </c>
      <c r="D53" s="876">
        <f>'Assets(BoP)'!CQ101</f>
        <v>9.8729999999999993</v>
      </c>
      <c r="E53" s="876">
        <f>Liabilities!CT101</f>
        <v>4.4450000000000003</v>
      </c>
      <c r="F53" s="878">
        <f t="shared" si="0"/>
        <v>340.03899999999999</v>
      </c>
      <c r="G53" s="872">
        <f t="shared" si="3"/>
        <v>105.771</v>
      </c>
      <c r="H53" s="935">
        <f>T.A4!B53</f>
        <v>74.084999999999994</v>
      </c>
      <c r="I53" s="877">
        <f>Liabilities!AD101</f>
        <v>28.349</v>
      </c>
      <c r="J53" s="876">
        <f>'Assets(BoP)'!CR101</f>
        <v>3.3370000000000002</v>
      </c>
      <c r="K53" s="1050">
        <f t="shared" si="1"/>
        <v>97.989000000000004</v>
      </c>
      <c r="L53" s="813"/>
    </row>
    <row r="54" spans="1:12">
      <c r="A54" s="826">
        <v>2010</v>
      </c>
      <c r="B54" s="816">
        <f t="shared" si="2"/>
        <v>424.47200000000004</v>
      </c>
      <c r="C54" s="832">
        <f>T.A1!B54</f>
        <v>411.80400000000003</v>
      </c>
      <c r="D54" s="832">
        <f>'Assets(BoP)'!CQ102</f>
        <v>8.407</v>
      </c>
      <c r="E54" s="832">
        <f>Liabilities!CT102</f>
        <v>4.2610000000000001</v>
      </c>
      <c r="F54" s="875">
        <f t="shared" si="0"/>
        <v>417.60500000000002</v>
      </c>
      <c r="G54" s="816">
        <f t="shared" si="3"/>
        <v>151.95499999999998</v>
      </c>
      <c r="H54" s="934">
        <f>T.A4!B54</f>
        <v>121.42099999999999</v>
      </c>
      <c r="I54" s="874">
        <f>Liabilities!AD102</f>
        <v>27.928000000000001</v>
      </c>
      <c r="J54" s="832">
        <f>'Assets(BoP)'!CR102</f>
        <v>2.6059999999999999</v>
      </c>
      <c r="K54" s="1049">
        <f t="shared" si="1"/>
        <v>145.08799999999999</v>
      </c>
      <c r="L54" s="813"/>
    </row>
    <row r="55" spans="1:12">
      <c r="A55" s="826">
        <v>2011</v>
      </c>
      <c r="B55" s="816">
        <f t="shared" si="2"/>
        <v>454.92200000000003</v>
      </c>
      <c r="C55" s="832">
        <f>T.A1!B55</f>
        <v>441.036</v>
      </c>
      <c r="D55" s="832">
        <f>'Assets(BoP)'!CQ103</f>
        <v>9.5169999999999995</v>
      </c>
      <c r="E55" s="832">
        <f>Liabilities!CT103</f>
        <v>4.3689999999999998</v>
      </c>
      <c r="F55" s="875">
        <f t="shared" si="0"/>
        <v>448.23500000000001</v>
      </c>
      <c r="G55" s="816">
        <f t="shared" si="3"/>
        <v>172.655</v>
      </c>
      <c r="H55" s="934">
        <f>T.A4!B55</f>
        <v>141.53099999999998</v>
      </c>
      <c r="I55" s="874">
        <f>Liabilities!AD103</f>
        <v>28.806000000000001</v>
      </c>
      <c r="J55" s="832">
        <f>'Assets(BoP)'!CR103</f>
        <v>2.3180000000000001</v>
      </c>
      <c r="K55" s="1049">
        <f t="shared" si="1"/>
        <v>165.96799999999999</v>
      </c>
      <c r="L55" s="813"/>
    </row>
    <row r="56" spans="1:12">
      <c r="A56" s="826">
        <v>2012</v>
      </c>
      <c r="B56" s="816">
        <f t="shared" si="2"/>
        <v>444.64600000000002</v>
      </c>
      <c r="C56" s="832">
        <f>T.A1!B56</f>
        <v>428.702</v>
      </c>
      <c r="D56" s="832">
        <f>'Assets(BoP)'!CQ104</f>
        <v>12.311999999999999</v>
      </c>
      <c r="E56" s="832">
        <f>Liabilities!CT104</f>
        <v>3.6320000000000001</v>
      </c>
      <c r="F56" s="875">
        <f t="shared" si="0"/>
        <v>438.089</v>
      </c>
      <c r="G56" s="816">
        <f t="shared" si="3"/>
        <v>166.88400000000001</v>
      </c>
      <c r="H56" s="934">
        <f>T.A4!B56</f>
        <v>134.08699999999999</v>
      </c>
      <c r="I56" s="874">
        <f>Liabilities!AD104</f>
        <v>29.872</v>
      </c>
      <c r="J56" s="832">
        <f>'Assets(BoP)'!CR104</f>
        <v>2.9249999999999998</v>
      </c>
      <c r="K56" s="1049">
        <f t="shared" si="1"/>
        <v>160.327</v>
      </c>
      <c r="L56" s="813"/>
    </row>
    <row r="57" spans="1:12">
      <c r="A57" s="826">
        <v>2013</v>
      </c>
      <c r="B57" s="816">
        <f t="shared" si="2"/>
        <v>457.70599999999996</v>
      </c>
      <c r="C57" s="832">
        <f>T.A1!B57</f>
        <v>440.63799999999998</v>
      </c>
      <c r="D57" s="832">
        <f>'Assets(BoP)'!CQ105</f>
        <v>13.486000000000001</v>
      </c>
      <c r="E57" s="832">
        <f>Liabilities!CT105</f>
        <v>3.5819999999999999</v>
      </c>
      <c r="F57" s="875">
        <f t="shared" si="0"/>
        <v>448.88899999999995</v>
      </c>
      <c r="G57" s="816">
        <f t="shared" si="3"/>
        <v>177.05200000000002</v>
      </c>
      <c r="H57" s="934">
        <f>T.A4!B57</f>
        <v>141.75200000000001</v>
      </c>
      <c r="I57" s="874">
        <f>Liabilities!AD105</f>
        <v>30.065000000000001</v>
      </c>
      <c r="J57" s="832">
        <f>'Assets(BoP)'!CR105</f>
        <v>5.2350000000000003</v>
      </c>
      <c r="K57" s="1049">
        <f t="shared" si="1"/>
        <v>168.23500000000001</v>
      </c>
      <c r="L57" s="813"/>
    </row>
    <row r="58" spans="1:12">
      <c r="A58" s="826">
        <v>2014</v>
      </c>
      <c r="B58" s="816">
        <f t="shared" si="2"/>
        <v>456.03499999999997</v>
      </c>
      <c r="C58" s="832">
        <f>T.A1!B58</f>
        <v>436.798</v>
      </c>
      <c r="D58" s="832">
        <f>'Assets(BoP)'!CQ106</f>
        <v>14.683</v>
      </c>
      <c r="E58" s="832">
        <f>Liabilities!CT106</f>
        <v>4.5540000000000003</v>
      </c>
      <c r="F58" s="875">
        <f t="shared" si="0"/>
        <v>445.81400000000002</v>
      </c>
      <c r="G58" s="816">
        <f t="shared" si="3"/>
        <v>187.51500000000001</v>
      </c>
      <c r="H58" s="934">
        <f>T.A4!B58</f>
        <v>151.845</v>
      </c>
      <c r="I58" s="874">
        <f>Liabilities!AD106</f>
        <v>30.003</v>
      </c>
      <c r="J58" s="832">
        <f>'Assets(BoP)'!CR106</f>
        <v>5.6669999999999998</v>
      </c>
      <c r="K58" s="1049">
        <f t="shared" si="1"/>
        <v>177.29400000000001</v>
      </c>
      <c r="L58" s="813"/>
    </row>
    <row r="59" spans="1:12">
      <c r="A59" s="826">
        <v>2015</v>
      </c>
      <c r="B59" s="816">
        <f t="shared" si="2"/>
        <v>417.81700000000001</v>
      </c>
      <c r="C59" s="832">
        <f>T.A1!B59</f>
        <v>397.33</v>
      </c>
      <c r="D59" s="832">
        <f>'Assets(BoP)'!CQ107</f>
        <v>15.661</v>
      </c>
      <c r="E59" s="832">
        <f>Liabilities!CT107</f>
        <v>4.8259999999999996</v>
      </c>
      <c r="F59" s="875">
        <f t="shared" si="0"/>
        <v>406.69099999999997</v>
      </c>
      <c r="G59" s="816">
        <f t="shared" si="3"/>
        <v>159.46100000000001</v>
      </c>
      <c r="H59" s="934">
        <f>T.A4!B59</f>
        <v>120.31800000000001</v>
      </c>
      <c r="I59" s="874">
        <f>Liabilities!AD107</f>
        <v>32.843000000000004</v>
      </c>
      <c r="J59" s="832">
        <f>'Assets(BoP)'!CR107</f>
        <v>6.3</v>
      </c>
      <c r="K59" s="1049">
        <f t="shared" si="1"/>
        <v>148.33500000000001</v>
      </c>
      <c r="L59" s="813"/>
    </row>
    <row r="60" spans="1:12">
      <c r="A60" s="826">
        <v>2016</v>
      </c>
      <c r="B60" s="816">
        <f t="shared" si="2"/>
        <v>424.22200000000004</v>
      </c>
      <c r="C60" s="832">
        <f>T.A1!B60</f>
        <v>399.678</v>
      </c>
      <c r="D60" s="832">
        <f>'Assets(BoP)'!CQ108</f>
        <v>17.670000000000002</v>
      </c>
      <c r="E60" s="832">
        <f>Liabilities!CT108</f>
        <v>6.8739999999999997</v>
      </c>
      <c r="F60" s="875">
        <f t="shared" si="0"/>
        <v>409.96600000000001</v>
      </c>
      <c r="G60" s="816">
        <f t="shared" si="3"/>
        <v>174.005</v>
      </c>
      <c r="H60" s="874">
        <f>T.A4!B60</f>
        <v>126.90299999999999</v>
      </c>
      <c r="I60" s="874">
        <f>Liabilities!AD108</f>
        <v>39.72</v>
      </c>
      <c r="J60" s="832">
        <f>'Assets(BoP)'!CR108</f>
        <v>7.3819999999999997</v>
      </c>
      <c r="K60" s="1049">
        <f t="shared" si="1"/>
        <v>159.749</v>
      </c>
    </row>
    <row r="61" spans="1:12" ht="16" thickBot="1">
      <c r="A61" s="819"/>
      <c r="B61" s="820"/>
      <c r="C61" s="821"/>
      <c r="D61" s="821"/>
      <c r="E61" s="821"/>
      <c r="F61" s="833"/>
      <c r="G61" s="820"/>
      <c r="H61" s="821"/>
      <c r="I61" s="821"/>
      <c r="J61" s="821"/>
      <c r="K61" s="823"/>
    </row>
    <row r="62" spans="1:12" ht="17" thickTop="1" thickBot="1">
      <c r="F62" s="824"/>
    </row>
    <row r="63" spans="1:12" s="825" customFormat="1" ht="28" customHeight="1" thickBot="1">
      <c r="A63" s="1745" t="s">
        <v>2500</v>
      </c>
      <c r="B63" s="1746"/>
      <c r="C63" s="1746"/>
      <c r="D63" s="1746"/>
      <c r="E63" s="1746"/>
      <c r="F63" s="1746"/>
      <c r="G63" s="1746"/>
      <c r="H63" s="1746"/>
      <c r="I63" s="1746"/>
      <c r="J63" s="1746"/>
      <c r="K63" s="1747"/>
      <c r="L63" s="805"/>
    </row>
    <row r="64" spans="1:12">
      <c r="A64" s="829"/>
      <c r="F64" s="824"/>
    </row>
    <row r="65" spans="1:12">
      <c r="A65" s="829"/>
      <c r="F65" s="824"/>
    </row>
    <row r="66" spans="1:12">
      <c r="A66" s="829"/>
      <c r="C66" s="855"/>
      <c r="D66" s="855"/>
      <c r="E66" s="855"/>
      <c r="F66" s="854"/>
    </row>
    <row r="67" spans="1:12">
      <c r="A67" s="829"/>
      <c r="C67" s="855"/>
      <c r="D67" s="855"/>
      <c r="E67" s="855"/>
      <c r="F67" s="854"/>
    </row>
    <row r="68" spans="1:12">
      <c r="A68" s="829"/>
      <c r="C68" s="855"/>
      <c r="D68" s="855"/>
      <c r="E68" s="855"/>
      <c r="F68" s="854"/>
    </row>
    <row r="69" spans="1:12">
      <c r="A69" s="829"/>
      <c r="C69" s="855"/>
      <c r="D69" s="855"/>
      <c r="E69" s="855"/>
      <c r="F69" s="854"/>
      <c r="G69" s="854"/>
    </row>
    <row r="70" spans="1:12" s="825" customFormat="1">
      <c r="B70" s="805"/>
      <c r="C70" s="805"/>
      <c r="D70" s="805"/>
      <c r="E70" s="805"/>
      <c r="F70" s="805"/>
      <c r="G70" s="805"/>
      <c r="H70" s="805"/>
      <c r="I70" s="805"/>
      <c r="J70" s="805"/>
      <c r="K70" s="805"/>
      <c r="L70" s="805"/>
    </row>
    <row r="71" spans="1:12" s="825" customFormat="1">
      <c r="A71" s="805"/>
      <c r="B71" s="805"/>
      <c r="C71" s="805"/>
      <c r="D71" s="805"/>
      <c r="E71" s="805"/>
      <c r="F71" s="805"/>
      <c r="G71" s="805"/>
      <c r="H71" s="805"/>
      <c r="I71" s="805"/>
      <c r="J71" s="805"/>
      <c r="K71" s="805"/>
      <c r="L71" s="805"/>
    </row>
    <row r="72" spans="1:12" s="825" customFormat="1">
      <c r="A72" s="805"/>
      <c r="B72" s="805"/>
      <c r="C72" s="805"/>
      <c r="D72" s="805"/>
      <c r="E72" s="805"/>
      <c r="F72" s="805"/>
      <c r="G72" s="805"/>
      <c r="H72" s="805"/>
      <c r="I72" s="805"/>
      <c r="J72" s="805"/>
      <c r="K72" s="805"/>
      <c r="L72" s="805"/>
    </row>
    <row r="74" spans="1:12" s="825" customFormat="1">
      <c r="A74" s="805"/>
      <c r="B74" s="805"/>
      <c r="C74" s="805"/>
      <c r="D74" s="805"/>
      <c r="E74" s="805"/>
      <c r="F74" s="805"/>
      <c r="G74" s="805"/>
      <c r="H74" s="805"/>
      <c r="I74" s="805"/>
      <c r="J74" s="805"/>
      <c r="K74" s="805"/>
      <c r="L74" s="805"/>
    </row>
    <row r="79" spans="1:12">
      <c r="K79" s="829"/>
    </row>
  </sheetData>
  <mergeCells count="9">
    <mergeCell ref="A3:K3"/>
    <mergeCell ref="B6:K6"/>
    <mergeCell ref="B7:F7"/>
    <mergeCell ref="G7:K7"/>
    <mergeCell ref="A63:K63"/>
    <mergeCell ref="K8:K9"/>
    <mergeCell ref="B8:B9"/>
    <mergeCell ref="F8:F9"/>
    <mergeCell ref="G8:G9"/>
  </mergeCells>
  <pageMargins left="0.75" right="0.75" top="1" bottom="1" header="0.5" footer="0.5"/>
  <pageSetup scale="74"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71"/>
  <sheetViews>
    <sheetView workbookViewId="0">
      <pane xSplit="1" ySplit="8" topLeftCell="B9" activePane="bottomRight" state="frozen"/>
      <selection activeCell="X67" sqref="X67"/>
      <selection pane="topRight" activeCell="X67" sqref="X67"/>
      <selection pane="bottomLeft" activeCell="X67" sqref="X67"/>
      <selection pane="bottomRight" activeCell="C57" sqref="C57"/>
    </sheetView>
  </sheetViews>
  <sheetFormatPr baseColWidth="10" defaultColWidth="9.28515625" defaultRowHeight="15" x14ac:dyDescent="0"/>
  <cols>
    <col min="1" max="1" width="16.28515625" style="805" customWidth="1"/>
    <col min="2" max="13" width="9.7109375" style="805" customWidth="1"/>
    <col min="14" max="14" width="11.140625" style="805" bestFit="1" customWidth="1"/>
    <col min="15" max="16384" width="9.28515625" style="805"/>
  </cols>
  <sheetData>
    <row r="1" spans="1:18">
      <c r="B1" s="829"/>
      <c r="F1" s="829"/>
    </row>
    <row r="2" spans="1:18" ht="16" thickBot="1"/>
    <row r="3" spans="1:18" ht="32" customHeight="1" thickTop="1">
      <c r="A3" s="1734" t="s">
        <v>2985</v>
      </c>
      <c r="B3" s="1735"/>
      <c r="C3" s="1735"/>
      <c r="D3" s="1735"/>
      <c r="E3" s="1735"/>
      <c r="F3" s="1735"/>
      <c r="G3" s="1735"/>
      <c r="H3" s="1735"/>
      <c r="I3" s="1735"/>
      <c r="J3" s="1735"/>
      <c r="K3" s="1735"/>
      <c r="L3" s="1735"/>
      <c r="M3" s="1736"/>
    </row>
    <row r="4" spans="1:18" ht="12" customHeight="1">
      <c r="A4" s="806"/>
      <c r="B4" s="807"/>
      <c r="C4" s="807"/>
      <c r="D4" s="807"/>
      <c r="E4" s="807"/>
      <c r="F4" s="807"/>
      <c r="G4" s="807"/>
      <c r="H4" s="807"/>
      <c r="I4" s="807"/>
      <c r="J4" s="807"/>
      <c r="K4" s="807"/>
      <c r="L4" s="807"/>
      <c r="M4" s="808"/>
    </row>
    <row r="5" spans="1:18">
      <c r="A5" s="809"/>
      <c r="B5" s="839" t="s">
        <v>2411</v>
      </c>
      <c r="C5" s="839" t="s">
        <v>2412</v>
      </c>
      <c r="D5" s="839" t="s">
        <v>2413</v>
      </c>
      <c r="E5" s="839" t="s">
        <v>2414</v>
      </c>
      <c r="F5" s="839" t="s">
        <v>2415</v>
      </c>
      <c r="G5" s="839" t="s">
        <v>2416</v>
      </c>
      <c r="H5" s="839" t="s">
        <v>2417</v>
      </c>
      <c r="I5" s="839" t="s">
        <v>2429</v>
      </c>
      <c r="J5" s="839" t="s">
        <v>2430</v>
      </c>
      <c r="K5" s="839" t="s">
        <v>2431</v>
      </c>
      <c r="L5" s="839" t="s">
        <v>2432</v>
      </c>
      <c r="M5" s="840" t="s">
        <v>2433</v>
      </c>
    </row>
    <row r="6" spans="1:18" ht="21" customHeight="1">
      <c r="A6" s="809"/>
      <c r="B6" s="1748" t="s">
        <v>2476</v>
      </c>
      <c r="C6" s="1749"/>
      <c r="D6" s="1749"/>
      <c r="E6" s="1749"/>
      <c r="F6" s="1749"/>
      <c r="G6" s="1800" t="s">
        <v>2477</v>
      </c>
      <c r="H6" s="1801"/>
      <c r="I6" s="1801"/>
      <c r="J6" s="1801"/>
      <c r="K6" s="1801"/>
      <c r="L6" s="1807" t="s">
        <v>2501</v>
      </c>
      <c r="M6" s="1777" t="s">
        <v>2527</v>
      </c>
    </row>
    <row r="7" spans="1:18" ht="85" customHeight="1">
      <c r="A7" s="809"/>
      <c r="B7" s="1741" t="s">
        <v>2508</v>
      </c>
      <c r="C7" s="1804" t="s">
        <v>2478</v>
      </c>
      <c r="D7" s="1824" t="s">
        <v>2479</v>
      </c>
      <c r="E7" s="1824" t="s">
        <v>2480</v>
      </c>
      <c r="F7" s="1822" t="s">
        <v>2481</v>
      </c>
      <c r="G7" s="1741" t="s">
        <v>2509</v>
      </c>
      <c r="H7" s="1804" t="s">
        <v>2487</v>
      </c>
      <c r="I7" s="1824" t="s">
        <v>2482</v>
      </c>
      <c r="J7" s="1824" t="s">
        <v>2483</v>
      </c>
      <c r="K7" s="1774" t="s">
        <v>2484</v>
      </c>
      <c r="L7" s="1808"/>
      <c r="M7" s="1811"/>
      <c r="N7" s="813"/>
      <c r="P7" s="829"/>
      <c r="Q7" s="829"/>
    </row>
    <row r="8" spans="1:18" ht="33" customHeight="1">
      <c r="A8" s="809"/>
      <c r="B8" s="1741"/>
      <c r="C8" s="1742"/>
      <c r="D8" s="1804"/>
      <c r="E8" s="1804"/>
      <c r="F8" s="1823"/>
      <c r="G8" s="1741"/>
      <c r="H8" s="1742"/>
      <c r="I8" s="1804"/>
      <c r="J8" s="1804"/>
      <c r="K8" s="1743"/>
      <c r="L8" s="1808"/>
      <c r="M8" s="1811"/>
      <c r="N8" s="813"/>
    </row>
    <row r="9" spans="1:18" ht="14" customHeight="1">
      <c r="A9" s="826">
        <v>1966</v>
      </c>
      <c r="B9" s="976"/>
      <c r="C9" s="977">
        <f>' T.A6'!C10/' T.A5'!C10</f>
        <v>9.5220271571921436E-2</v>
      </c>
      <c r="D9" s="977"/>
      <c r="E9" s="977"/>
      <c r="F9" s="1044">
        <f>' T.A6'!F10/' T.A5'!F10</f>
        <v>8.9072185901561601E-2</v>
      </c>
      <c r="G9" s="978"/>
      <c r="H9" s="979">
        <f>' T.A6'!H10/' T.A5'!H10</f>
        <v>9.5176976859056295E-2</v>
      </c>
      <c r="I9" s="980"/>
      <c r="J9" s="977"/>
      <c r="K9" s="1044">
        <f>' T.A6'!K10/' T.A5'!K10</f>
        <v>7.946797809321561E-2</v>
      </c>
      <c r="L9" s="1052">
        <f t="shared" ref="L9:L40" si="0">C9-H9</f>
        <v>4.3294712865141194E-5</v>
      </c>
      <c r="M9" s="1047"/>
      <c r="N9" s="813"/>
      <c r="P9" s="824"/>
      <c r="R9" s="854"/>
    </row>
    <row r="10" spans="1:18" ht="14" customHeight="1">
      <c r="A10" s="826">
        <v>1967</v>
      </c>
      <c r="B10" s="976"/>
      <c r="C10" s="977">
        <f>' T.A6'!C11/' T.A5'!C11</f>
        <v>9.0454904765051719E-2</v>
      </c>
      <c r="D10" s="977"/>
      <c r="E10" s="977"/>
      <c r="F10" s="1044">
        <f>' T.A6'!F11/' T.A5'!F11</f>
        <v>8.5429050449626592E-2</v>
      </c>
      <c r="G10" s="978"/>
      <c r="H10" s="979">
        <f>' T.A6'!H11/' T.A5'!H11</f>
        <v>0.10128686567858818</v>
      </c>
      <c r="I10" s="980"/>
      <c r="J10" s="977"/>
      <c r="K10" s="1044">
        <f>' T.A6'!K11/' T.A5'!K11</f>
        <v>8.4569427276473028E-2</v>
      </c>
      <c r="L10" s="1052">
        <f t="shared" si="0"/>
        <v>-1.0831960913536456E-2</v>
      </c>
      <c r="M10" s="1047"/>
      <c r="N10" s="813"/>
      <c r="P10" s="824"/>
      <c r="R10" s="854"/>
    </row>
    <row r="11" spans="1:18" ht="14" customHeight="1">
      <c r="A11" s="826">
        <v>1968</v>
      </c>
      <c r="B11" s="976"/>
      <c r="C11" s="977">
        <f>' T.A6'!C12/' T.A5'!C12</f>
        <v>9.4623264219600017E-2</v>
      </c>
      <c r="D11" s="977"/>
      <c r="E11" s="977"/>
      <c r="F11" s="1044">
        <f>' T.A6'!F12/' T.A5'!F12</f>
        <v>8.9481328645699007E-2</v>
      </c>
      <c r="G11" s="978"/>
      <c r="H11" s="979">
        <f>' T.A6'!H12/' T.A5'!H12</f>
        <v>0.10022593924652393</v>
      </c>
      <c r="I11" s="980"/>
      <c r="J11" s="977"/>
      <c r="K11" s="1044">
        <f>' T.A6'!K12/' T.A5'!K12</f>
        <v>8.3683607183798234E-2</v>
      </c>
      <c r="L11" s="1052">
        <f t="shared" si="0"/>
        <v>-5.602675026923909E-3</v>
      </c>
      <c r="M11" s="1047"/>
      <c r="N11" s="813"/>
      <c r="P11" s="824"/>
      <c r="R11" s="854"/>
    </row>
    <row r="12" spans="1:18" ht="14" customHeight="1">
      <c r="A12" s="856">
        <v>1969</v>
      </c>
      <c r="B12" s="982"/>
      <c r="C12" s="983">
        <f>' T.A6'!C13/' T.A5'!C13</f>
        <v>9.6836183897470632E-2</v>
      </c>
      <c r="D12" s="983"/>
      <c r="E12" s="983"/>
      <c r="F12" s="1045">
        <f>' T.A6'!F13/' T.A5'!F13</f>
        <v>9.2075644312833313E-2</v>
      </c>
      <c r="G12" s="984"/>
      <c r="H12" s="985">
        <f>' T.A6'!H13/' T.A5'!H13</f>
        <v>8.6924869349066472E-2</v>
      </c>
      <c r="I12" s="986"/>
      <c r="J12" s="983"/>
      <c r="K12" s="1045">
        <f>' T.A6'!K13/' T.A5'!K13</f>
        <v>7.2577884286203362E-2</v>
      </c>
      <c r="L12" s="1053">
        <f t="shared" si="0"/>
        <v>9.9113145484041598E-3</v>
      </c>
      <c r="M12" s="1048"/>
      <c r="N12" s="813"/>
      <c r="P12" s="824"/>
      <c r="R12" s="854"/>
    </row>
    <row r="13" spans="1:18" ht="14" customHeight="1">
      <c r="A13" s="826">
        <v>1970</v>
      </c>
      <c r="B13" s="976"/>
      <c r="C13" s="977">
        <f>' T.A6'!C14/' T.A5'!C14</f>
        <v>9.1391382470756663E-2</v>
      </c>
      <c r="D13" s="977"/>
      <c r="E13" s="977"/>
      <c r="F13" s="1044">
        <f>' T.A6'!F14/' T.A5'!F14</f>
        <v>8.6582793670309174E-2</v>
      </c>
      <c r="G13" s="978"/>
      <c r="H13" s="979">
        <f>' T.A6'!H14/' T.A5'!H14</f>
        <v>7.9247387699731636E-2</v>
      </c>
      <c r="I13" s="980"/>
      <c r="J13" s="977"/>
      <c r="K13" s="1044">
        <f>' T.A6'!K14/' T.A5'!K14</f>
        <v>6.6167574107683008E-2</v>
      </c>
      <c r="L13" s="1052">
        <f t="shared" si="0"/>
        <v>1.2143994771025027E-2</v>
      </c>
      <c r="M13" s="1047"/>
      <c r="N13" s="813"/>
      <c r="P13" s="824"/>
      <c r="R13" s="854"/>
    </row>
    <row r="14" spans="1:18" ht="14" customHeight="1">
      <c r="A14" s="826">
        <v>1971</v>
      </c>
      <c r="B14" s="976"/>
      <c r="C14" s="977">
        <f>' T.A6'!C15/' T.A5'!C15</f>
        <v>9.3115259397084649E-2</v>
      </c>
      <c r="D14" s="977"/>
      <c r="E14" s="977"/>
      <c r="F14" s="1044">
        <f>' T.A6'!F15/' T.A5'!F15</f>
        <v>8.8150372466362537E-2</v>
      </c>
      <c r="G14" s="978"/>
      <c r="H14" s="979">
        <f>' T.A6'!H15/' T.A5'!H15</f>
        <v>0.10234151624906065</v>
      </c>
      <c r="I14" s="980"/>
      <c r="J14" s="977"/>
      <c r="K14" s="1044">
        <f>' T.A6'!K15/' T.A5'!K15</f>
        <v>8.545000734106592E-2</v>
      </c>
      <c r="L14" s="1052">
        <f t="shared" si="0"/>
        <v>-9.2262568519760058E-3</v>
      </c>
      <c r="M14" s="1047"/>
      <c r="N14" s="813"/>
      <c r="P14" s="824"/>
      <c r="R14" s="854"/>
    </row>
    <row r="15" spans="1:18" ht="14" customHeight="1">
      <c r="A15" s="826">
        <v>1972</v>
      </c>
      <c r="B15" s="976"/>
      <c r="C15" s="977">
        <f>' T.A6'!C16/' T.A5'!C16</f>
        <v>9.2480715706586392E-2</v>
      </c>
      <c r="D15" s="977"/>
      <c r="E15" s="977"/>
      <c r="F15" s="1044">
        <f>' T.A6'!F16/' T.A5'!F16</f>
        <v>8.7236076806628954E-2</v>
      </c>
      <c r="G15" s="978"/>
      <c r="H15" s="979">
        <f>' T.A6'!H16/' T.A5'!H16</f>
        <v>0.1043507759590199</v>
      </c>
      <c r="I15" s="980"/>
      <c r="J15" s="977"/>
      <c r="K15" s="1044">
        <f>' T.A6'!K16/' T.A5'!K16</f>
        <v>8.7127637918165177E-2</v>
      </c>
      <c r="L15" s="1052">
        <f t="shared" si="0"/>
        <v>-1.1870060252433506E-2</v>
      </c>
      <c r="M15" s="1047"/>
      <c r="N15" s="813"/>
      <c r="P15" s="824"/>
      <c r="R15" s="854"/>
    </row>
    <row r="16" spans="1:18" ht="14" customHeight="1">
      <c r="A16" s="826">
        <v>1973</v>
      </c>
      <c r="B16" s="976"/>
      <c r="C16" s="977">
        <f>' T.A6'!C17/' T.A5'!C17</f>
        <v>0.14032155477080294</v>
      </c>
      <c r="D16" s="977"/>
      <c r="E16" s="977"/>
      <c r="F16" s="1044">
        <f>' T.A6'!F17/' T.A5'!F17</f>
        <v>0.13102989401644408</v>
      </c>
      <c r="G16" s="978"/>
      <c r="H16" s="979">
        <f>' T.A6'!H17/' T.A5'!H17</f>
        <v>0.10805604466752046</v>
      </c>
      <c r="I16" s="980"/>
      <c r="J16" s="977"/>
      <c r="K16" s="1044">
        <f>' T.A6'!K17/' T.A5'!K17</f>
        <v>9.0221350518352492E-2</v>
      </c>
      <c r="L16" s="1052">
        <f t="shared" si="0"/>
        <v>3.2265510103282477E-2</v>
      </c>
      <c r="M16" s="1047"/>
      <c r="N16" s="813"/>
      <c r="P16" s="824"/>
      <c r="R16" s="854"/>
    </row>
    <row r="17" spans="1:18" ht="14" customHeight="1">
      <c r="A17" s="826">
        <v>1974</v>
      </c>
      <c r="B17" s="976"/>
      <c r="C17" s="977">
        <f>' T.A6'!C18/' T.A5'!C18</f>
        <v>0.1520553451116978</v>
      </c>
      <c r="D17" s="977"/>
      <c r="E17" s="977"/>
      <c r="F17" s="1044">
        <f>' T.A6'!F18/' T.A5'!F18</f>
        <v>0.14158376324853286</v>
      </c>
      <c r="G17" s="978"/>
      <c r="H17" s="979">
        <f>' T.A6'!H18/' T.A5'!H18</f>
        <v>7.0517040104488324E-2</v>
      </c>
      <c r="I17" s="980"/>
      <c r="J17" s="977"/>
      <c r="K17" s="1044">
        <f>' T.A6'!K18/' T.A5'!K18</f>
        <v>5.887817393612315E-2</v>
      </c>
      <c r="L17" s="1052">
        <f t="shared" si="0"/>
        <v>8.1538305007209474E-2</v>
      </c>
      <c r="M17" s="1047"/>
      <c r="N17" s="813"/>
      <c r="P17" s="824"/>
      <c r="R17" s="854"/>
    </row>
    <row r="18" spans="1:18" ht="14" customHeight="1">
      <c r="A18" s="826">
        <v>1975</v>
      </c>
      <c r="B18" s="976"/>
      <c r="C18" s="977">
        <f>' T.A6'!C19/' T.A5'!C19</f>
        <v>0.11796603993172033</v>
      </c>
      <c r="D18" s="977"/>
      <c r="E18" s="977"/>
      <c r="F18" s="1044">
        <f>' T.A6'!F19/' T.A5'!F19</f>
        <v>0.110972168354041</v>
      </c>
      <c r="G18" s="978"/>
      <c r="H18" s="979">
        <f>' T.A6'!H19/' T.A5'!H19</f>
        <v>0.10613711857278887</v>
      </c>
      <c r="I18" s="980"/>
      <c r="J18" s="977"/>
      <c r="K18" s="1044">
        <f>' T.A6'!K19/' T.A5'!K19</f>
        <v>8.8619143956523469E-2</v>
      </c>
      <c r="L18" s="1052">
        <f t="shared" si="0"/>
        <v>1.182892135893146E-2</v>
      </c>
      <c r="M18" s="1047"/>
      <c r="N18" s="813"/>
      <c r="P18" s="824"/>
      <c r="R18" s="854"/>
    </row>
    <row r="19" spans="1:18" ht="14" customHeight="1">
      <c r="A19" s="826">
        <v>1976</v>
      </c>
      <c r="B19" s="976"/>
      <c r="C19" s="977">
        <f>' T.A6'!C20/' T.A5'!C20</f>
        <v>9.2001021498925389E-2</v>
      </c>
      <c r="D19" s="977"/>
      <c r="E19" s="977"/>
      <c r="F19" s="1044">
        <f>' T.A6'!F20/' T.A5'!F20</f>
        <v>8.5472123374257136E-2</v>
      </c>
      <c r="G19" s="978"/>
      <c r="H19" s="979">
        <f>' T.A6'!H20/' T.A5'!H20</f>
        <v>7.8370134534044081E-2</v>
      </c>
      <c r="I19" s="980"/>
      <c r="J19" s="977"/>
      <c r="K19" s="1044">
        <f>' T.A6'!K20/' T.A5'!K20</f>
        <v>6.5435111934017826E-2</v>
      </c>
      <c r="L19" s="1052">
        <f t="shared" si="0"/>
        <v>1.3630886964881309E-2</v>
      </c>
      <c r="M19" s="1047"/>
      <c r="N19" s="813"/>
      <c r="P19" s="824"/>
      <c r="R19" s="854"/>
    </row>
    <row r="20" spans="1:18" ht="14" customHeight="1">
      <c r="A20" s="826">
        <v>1977</v>
      </c>
      <c r="B20" s="976"/>
      <c r="C20" s="977">
        <f>' T.A6'!C21/' T.A5'!C21</f>
        <v>7.9892286425624792E-2</v>
      </c>
      <c r="D20" s="977"/>
      <c r="E20" s="977"/>
      <c r="F20" s="1044">
        <f>' T.A6'!F21/' T.A5'!F21</f>
        <v>7.9231088324963034E-2</v>
      </c>
      <c r="G20" s="978"/>
      <c r="H20" s="979">
        <f>' T.A6'!H21/' T.A5'!H21</f>
        <v>6.1253079185719823E-2</v>
      </c>
      <c r="I20" s="980"/>
      <c r="J20" s="977"/>
      <c r="K20" s="1044">
        <f>' T.A6'!K21/' T.A5'!K21</f>
        <v>5.1143233537256604E-2</v>
      </c>
      <c r="L20" s="1052">
        <f t="shared" si="0"/>
        <v>1.8639207239904969E-2</v>
      </c>
      <c r="M20" s="1049"/>
      <c r="N20" s="813"/>
      <c r="P20" s="824"/>
      <c r="R20" s="854"/>
    </row>
    <row r="21" spans="1:18" ht="14" customHeight="1">
      <c r="A21" s="826">
        <v>1978</v>
      </c>
      <c r="B21" s="976"/>
      <c r="C21" s="977">
        <f>' T.A6'!C22/' T.A5'!C22</f>
        <v>8.9554012710881079E-2</v>
      </c>
      <c r="D21" s="977"/>
      <c r="E21" s="977"/>
      <c r="F21" s="1044">
        <f>' T.A6'!F22/' T.A5'!F22</f>
        <v>8.854617736364867E-2</v>
      </c>
      <c r="G21" s="978"/>
      <c r="H21" s="979">
        <f>' T.A6'!H22/' T.A5'!H22</f>
        <v>7.3392796476549713E-2</v>
      </c>
      <c r="I21" s="980"/>
      <c r="J21" s="977"/>
      <c r="K21" s="1044">
        <f>' T.A6'!K22/' T.A5'!K22</f>
        <v>6.1050220366504294E-2</v>
      </c>
      <c r="L21" s="1052">
        <f t="shared" si="0"/>
        <v>1.6161216234331366E-2</v>
      </c>
      <c r="M21" s="1049"/>
      <c r="N21" s="813"/>
      <c r="P21" s="824"/>
      <c r="R21" s="854"/>
    </row>
    <row r="22" spans="1:18" ht="14" customHeight="1">
      <c r="A22" s="856">
        <v>1979</v>
      </c>
      <c r="B22" s="982"/>
      <c r="C22" s="983">
        <f>' T.A6'!C23/' T.A5'!C23</f>
        <v>0.11415644075231299</v>
      </c>
      <c r="D22" s="983"/>
      <c r="E22" s="983"/>
      <c r="F22" s="1045">
        <f>' T.A6'!F23/' T.A5'!F23</f>
        <v>0.11211235018116263</v>
      </c>
      <c r="G22" s="984"/>
      <c r="H22" s="985">
        <f>' T.A6'!H23/' T.A5'!H23</f>
        <v>7.9945915980475665E-2</v>
      </c>
      <c r="I22" s="986"/>
      <c r="J22" s="983"/>
      <c r="K22" s="1045">
        <f>' T.A6'!K23/' T.A5'!K23</f>
        <v>7.1766445771571152E-2</v>
      </c>
      <c r="L22" s="1053">
        <f t="shared" si="0"/>
        <v>3.4210524771837322E-2</v>
      </c>
      <c r="M22" s="1050"/>
      <c r="N22" s="813"/>
      <c r="P22" s="824"/>
      <c r="R22" s="854"/>
    </row>
    <row r="23" spans="1:18" ht="14" customHeight="1">
      <c r="A23" s="863">
        <v>1980</v>
      </c>
      <c r="B23" s="988"/>
      <c r="C23" s="989">
        <f>' T.A6'!C24/' T.A5'!C24</f>
        <v>9.5366749939167703E-2</v>
      </c>
      <c r="D23" s="989"/>
      <c r="E23" s="989"/>
      <c r="F23" s="1046">
        <f>' T.A6'!F24/' T.A5'!F24</f>
        <v>9.3787872667043692E-2</v>
      </c>
      <c r="G23" s="990"/>
      <c r="H23" s="991">
        <f>' T.A6'!H24/' T.A5'!H24</f>
        <v>5.2696133804613202E-2</v>
      </c>
      <c r="I23" s="992"/>
      <c r="J23" s="989"/>
      <c r="K23" s="1046">
        <f>' T.A6'!K24/' T.A5'!K24</f>
        <v>6.7935958459541326E-2</v>
      </c>
      <c r="L23" s="1054">
        <f t="shared" si="0"/>
        <v>4.2670616134554501E-2</v>
      </c>
      <c r="M23" s="1051"/>
      <c r="N23" s="813"/>
      <c r="P23" s="824"/>
      <c r="R23" s="854"/>
    </row>
    <row r="24" spans="1:18" ht="14" customHeight="1">
      <c r="A24" s="826">
        <v>1981</v>
      </c>
      <c r="B24" s="976"/>
      <c r="C24" s="977">
        <f>' T.A6'!C25/' T.A5'!C25</f>
        <v>7.8651511846060354E-2</v>
      </c>
      <c r="D24" s="977"/>
      <c r="E24" s="977"/>
      <c r="F24" s="1044">
        <f>' T.A6'!F25/' T.A5'!F25</f>
        <v>7.7175503197369072E-2</v>
      </c>
      <c r="G24" s="978"/>
      <c r="H24" s="979">
        <f>' T.A6'!H25/' T.A5'!H25</f>
        <v>3.9785747488110992E-2</v>
      </c>
      <c r="I24" s="980"/>
      <c r="J24" s="977"/>
      <c r="K24" s="1044">
        <f>' T.A6'!K25/' T.A5'!K25</f>
        <v>4.1901799870006015E-2</v>
      </c>
      <c r="L24" s="1052">
        <f t="shared" si="0"/>
        <v>3.8865764357949362E-2</v>
      </c>
      <c r="M24" s="1049"/>
      <c r="P24" s="824"/>
      <c r="R24" s="854"/>
    </row>
    <row r="25" spans="1:18" ht="14" customHeight="1">
      <c r="A25" s="826">
        <v>1982</v>
      </c>
      <c r="B25" s="976">
        <f>' T.A6'!B26/' T.A5'!B26</f>
        <v>6.2192211372001947E-2</v>
      </c>
      <c r="C25" s="977">
        <f>' T.A6'!C26/' T.A5'!C26</f>
        <v>6.5548256596066418E-2</v>
      </c>
      <c r="D25" s="977">
        <f>' T.A6'!D26/' T.A5'!D26</f>
        <v>3.7791910795065685E-2</v>
      </c>
      <c r="E25" s="977">
        <f>' T.A6'!E26/' T.A5'!E26</f>
        <v>7.3061458931648476E-2</v>
      </c>
      <c r="F25" s="1044">
        <f>' T.A6'!F26/' T.A5'!F26</f>
        <v>6.1057513777779959E-2</v>
      </c>
      <c r="G25" s="976">
        <f>' T.A6'!G26/' T.A5'!G26</f>
        <v>3.1268564234710937E-2</v>
      </c>
      <c r="H25" s="979">
        <f>' T.A6'!H26/' T.A5'!H26</f>
        <v>6.5687538247203867E-3</v>
      </c>
      <c r="I25" s="980">
        <f>' T.A6'!I26/' T.A5'!I26</f>
        <v>7.0128439448186072E-2</v>
      </c>
      <c r="J25" s="977">
        <f>' T.A6'!J26/' T.A5'!J26</f>
        <v>6.8241036973514954E-2</v>
      </c>
      <c r="K25" s="1044">
        <f>' T.A6'!K26/' T.A5'!K26</f>
        <v>1.7171422079397539E-2</v>
      </c>
      <c r="L25" s="1055">
        <f t="shared" si="0"/>
        <v>5.8979502771346032E-2</v>
      </c>
      <c r="M25" s="1057">
        <f t="shared" ref="M25:M59" si="1">D25-I25</f>
        <v>-3.2336528653120387E-2</v>
      </c>
      <c r="N25" s="895"/>
      <c r="P25" s="824"/>
      <c r="R25" s="854"/>
    </row>
    <row r="26" spans="1:18" ht="14" customHeight="1">
      <c r="A26" s="826">
        <v>1983</v>
      </c>
      <c r="B26" s="976">
        <f>' T.A6'!B27/' T.A5'!B27</f>
        <v>7.0809918621024107E-2</v>
      </c>
      <c r="C26" s="977">
        <f>' T.A6'!C27/' T.A5'!C27</f>
        <v>7.6172705254312689E-2</v>
      </c>
      <c r="D26" s="977">
        <f>' T.A6'!D27/' T.A5'!D27</f>
        <v>3.4899010190291825E-2</v>
      </c>
      <c r="E26" s="977">
        <f>' T.A6'!E27/' T.A5'!E27</f>
        <v>5.1913075780089156E-2</v>
      </c>
      <c r="F26" s="1044">
        <f>' T.A6'!F27/' T.A5'!F27</f>
        <v>6.9334934022443562E-2</v>
      </c>
      <c r="G26" s="976">
        <f>' T.A6'!G27/' T.A5'!G27</f>
        <v>4.1375743470390483E-2</v>
      </c>
      <c r="H26" s="979">
        <f>' T.A6'!H27/' T.A5'!H27</f>
        <v>1.8253375430755805E-2</v>
      </c>
      <c r="I26" s="980">
        <f>' T.A6'!I27/' T.A5'!I27</f>
        <v>6.24404933241813E-2</v>
      </c>
      <c r="J26" s="977">
        <f>' T.A6'!J27/' T.A5'!J27</f>
        <v>8.2641133295073554E-2</v>
      </c>
      <c r="K26" s="1044">
        <f>' T.A6'!K27/' T.A5'!K27</f>
        <v>2.6684494187127015E-2</v>
      </c>
      <c r="L26" s="1055">
        <f t="shared" si="0"/>
        <v>5.7919329823556881E-2</v>
      </c>
      <c r="M26" s="1057">
        <f t="shared" si="1"/>
        <v>-2.7541483133889474E-2</v>
      </c>
      <c r="N26" s="813"/>
      <c r="P26" s="824"/>
      <c r="R26" s="854"/>
    </row>
    <row r="27" spans="1:18" ht="14" customHeight="1">
      <c r="A27" s="826">
        <v>1984</v>
      </c>
      <c r="B27" s="976">
        <f>' T.A6'!B28/' T.A5'!B28</f>
        <v>7.8768853968114158E-2</v>
      </c>
      <c r="C27" s="977">
        <f>' T.A6'!C28/' T.A5'!C28</f>
        <v>8.5977409328456975E-2</v>
      </c>
      <c r="D27" s="977">
        <f>' T.A6'!D28/' T.A5'!D28</f>
        <v>3.2569169960474313E-2</v>
      </c>
      <c r="E27" s="977">
        <f>' T.A6'!E28/' T.A5'!E28</f>
        <v>5.2881412391738845E-2</v>
      </c>
      <c r="F27" s="1044">
        <f>' T.A6'!F28/' T.A5'!F28</f>
        <v>7.8928385313046301E-2</v>
      </c>
      <c r="G27" s="976">
        <f>' T.A6'!G28/' T.A5'!G28</f>
        <v>5.2286383345556534E-2</v>
      </c>
      <c r="H27" s="979">
        <f>' T.A6'!H28/' T.A5'!H28</f>
        <v>3.5806851011143205E-2</v>
      </c>
      <c r="I27" s="980">
        <f>' T.A6'!I28/' T.A5'!I28</f>
        <v>6.6238085505657643E-2</v>
      </c>
      <c r="J27" s="977">
        <f>' T.A6'!J28/' T.A5'!J28</f>
        <v>8.2070137248135069E-2</v>
      </c>
      <c r="K27" s="1044">
        <f>' T.A6'!K28/' T.A5'!K28</f>
        <v>4.2216535890989448E-2</v>
      </c>
      <c r="L27" s="1055">
        <f t="shared" si="0"/>
        <v>5.017055831731377E-2</v>
      </c>
      <c r="M27" s="1057">
        <f t="shared" si="1"/>
        <v>-3.366891554518333E-2</v>
      </c>
      <c r="N27" s="813"/>
      <c r="P27" s="824"/>
      <c r="R27" s="854"/>
    </row>
    <row r="28" spans="1:18" ht="14" customHeight="1">
      <c r="A28" s="826">
        <v>1985</v>
      </c>
      <c r="B28" s="976">
        <f>' T.A6'!B29/' T.A5'!B29</f>
        <v>7.0967664073248629E-2</v>
      </c>
      <c r="C28" s="977">
        <f>' T.A6'!C29/' T.A5'!C29</f>
        <v>7.7233402294526979E-2</v>
      </c>
      <c r="D28" s="977">
        <f>' T.A6'!D29/' T.A5'!D29</f>
        <v>3.0446887492861223E-2</v>
      </c>
      <c r="E28" s="977">
        <f>' T.A6'!E29/' T.A5'!E29</f>
        <v>4.5927429586399393E-2</v>
      </c>
      <c r="F28" s="1044">
        <f>' T.A6'!F29/' T.A5'!F29</f>
        <v>7.0566483740136438E-2</v>
      </c>
      <c r="G28" s="976">
        <f>' T.A6'!G29/' T.A5'!G29</f>
        <v>4.1751221903644165E-2</v>
      </c>
      <c r="H28" s="979">
        <f>' T.A6'!H29/' T.A5'!H29</f>
        <v>2.2569721911459166E-2</v>
      </c>
      <c r="I28" s="980">
        <f>' T.A6'!I29/' T.A5'!I29</f>
        <v>5.9796376846231063E-2</v>
      </c>
      <c r="J28" s="977">
        <f>' T.A6'!J29/' T.A5'!J29</f>
        <v>7.8556090135638371E-2</v>
      </c>
      <c r="K28" s="1044">
        <f>' T.A6'!K29/' T.A5'!K29</f>
        <v>3.0531139902031768E-2</v>
      </c>
      <c r="L28" s="1055">
        <f t="shared" si="0"/>
        <v>5.4663680383067813E-2</v>
      </c>
      <c r="M28" s="1057">
        <f t="shared" si="1"/>
        <v>-2.934948935336984E-2</v>
      </c>
      <c r="N28" s="813"/>
      <c r="P28" s="824"/>
      <c r="R28" s="854"/>
    </row>
    <row r="29" spans="1:18" ht="14" customHeight="1">
      <c r="A29" s="826">
        <v>1986</v>
      </c>
      <c r="B29" s="976">
        <f>' T.A6'!B30/' T.A5'!B30</f>
        <v>7.0373318840468768E-2</v>
      </c>
      <c r="C29" s="977">
        <f>' T.A6'!C30/' T.A5'!C30</f>
        <v>7.6695721983894363E-2</v>
      </c>
      <c r="D29" s="977">
        <f>' T.A6'!D30/' T.A5'!D30</f>
        <v>2.8681827466466945E-2</v>
      </c>
      <c r="E29" s="977">
        <f>' T.A6'!E30/' T.A5'!E30</f>
        <v>4.9672763886558148E-2</v>
      </c>
      <c r="F29" s="1044">
        <f>' T.A6'!F30/' T.A5'!F30</f>
        <v>7.0949868797600874E-2</v>
      </c>
      <c r="G29" s="976">
        <f>' T.A6'!G30/' T.A5'!G30</f>
        <v>3.5609103078982594E-2</v>
      </c>
      <c r="H29" s="979">
        <f>' T.A6'!H30/' T.A5'!H30</f>
        <v>1.9054433667249692E-2</v>
      </c>
      <c r="I29" s="980">
        <f>' T.A6'!I30/' T.A5'!I30</f>
        <v>5.2603250452910436E-2</v>
      </c>
      <c r="J29" s="977">
        <f>' T.A6'!J30/' T.A5'!J30</f>
        <v>7.2127048387336842E-2</v>
      </c>
      <c r="K29" s="1044">
        <f>' T.A6'!K30/' T.A5'!K30</f>
        <v>2.610809234951756E-2</v>
      </c>
      <c r="L29" s="1055">
        <f t="shared" si="0"/>
        <v>5.7641288316644668E-2</v>
      </c>
      <c r="M29" s="1057">
        <f t="shared" si="1"/>
        <v>-2.3921422986443491E-2</v>
      </c>
      <c r="N29" s="813"/>
      <c r="P29" s="824"/>
      <c r="R29" s="854"/>
    </row>
    <row r="30" spans="1:18" ht="14" customHeight="1">
      <c r="A30" s="826">
        <v>1987</v>
      </c>
      <c r="B30" s="976">
        <f>' T.A6'!B31/' T.A5'!B31</f>
        <v>7.5981937006899841E-2</v>
      </c>
      <c r="C30" s="977">
        <f>' T.A6'!C31/' T.A5'!C31</f>
        <v>8.3303163147248865E-2</v>
      </c>
      <c r="D30" s="977">
        <f>' T.A6'!D31/' T.A5'!D31</f>
        <v>2.9045707950091353E-2</v>
      </c>
      <c r="E30" s="977">
        <f>' T.A6'!E31/' T.A5'!E31</f>
        <v>4.832972471388803E-2</v>
      </c>
      <c r="F30" s="1044">
        <f>' T.A6'!F31/' T.A5'!F31</f>
        <v>7.9009284992420423E-2</v>
      </c>
      <c r="G30" s="976">
        <f>' T.A6'!G31/' T.A5'!G31</f>
        <v>3.3042449619535369E-2</v>
      </c>
      <c r="H30" s="979">
        <f>' T.A6'!H31/' T.A5'!H31</f>
        <v>2.0222349269136873E-2</v>
      </c>
      <c r="I30" s="980">
        <f>' T.A6'!I31/' T.A5'!I31</f>
        <v>4.6028854202570295E-2</v>
      </c>
      <c r="J30" s="977">
        <f>' T.A6'!J31/' T.A5'!J31</f>
        <v>6.3512134184427402E-2</v>
      </c>
      <c r="K30" s="1044">
        <f>' T.A6'!K31/' T.A5'!K31</f>
        <v>2.5882296676460834E-2</v>
      </c>
      <c r="L30" s="1055">
        <f t="shared" si="0"/>
        <v>6.3080813878111985E-2</v>
      </c>
      <c r="M30" s="1057">
        <f t="shared" si="1"/>
        <v>-1.6983146252478942E-2</v>
      </c>
      <c r="N30" s="813"/>
      <c r="P30" s="824"/>
      <c r="R30" s="854"/>
    </row>
    <row r="31" spans="1:18" ht="14" customHeight="1">
      <c r="A31" s="826">
        <v>1988</v>
      </c>
      <c r="B31" s="976">
        <f>' T.A6'!B32/' T.A5'!B32</f>
        <v>9.1012857475822398E-2</v>
      </c>
      <c r="C31" s="977">
        <f>' T.A6'!C32/' T.A5'!C32</f>
        <v>0.10137454759620411</v>
      </c>
      <c r="D31" s="977">
        <f>' T.A6'!D32/' T.A5'!D32</f>
        <v>3.4353391202000885E-2</v>
      </c>
      <c r="E31" s="977">
        <f>' T.A6'!E32/' T.A5'!E32</f>
        <v>4.1052336273806923E-2</v>
      </c>
      <c r="F31" s="1044">
        <f>' T.A6'!F32/' T.A5'!F32</f>
        <v>9.713558528215914E-2</v>
      </c>
      <c r="G31" s="976">
        <f>' T.A6'!G32/' T.A5'!G32</f>
        <v>3.6014147254144729E-2</v>
      </c>
      <c r="H31" s="979">
        <f>' T.A6'!H32/' T.A5'!H32</f>
        <v>2.4996502651625948E-2</v>
      </c>
      <c r="I31" s="980">
        <f>' T.A6'!I32/' T.A5'!I32</f>
        <v>5.220284438037931E-2</v>
      </c>
      <c r="J31" s="977">
        <f>' T.A6'!J32/' T.A5'!J32</f>
        <v>6.2273131977261829E-2</v>
      </c>
      <c r="K31" s="1044">
        <f>' T.A6'!K32/' T.A5'!K32</f>
        <v>3.1794626723017874E-2</v>
      </c>
      <c r="L31" s="1055">
        <f t="shared" si="0"/>
        <v>7.6378044944578158E-2</v>
      </c>
      <c r="M31" s="1057">
        <f t="shared" si="1"/>
        <v>-1.7849453178378424E-2</v>
      </c>
      <c r="N31" s="813"/>
      <c r="P31" s="824"/>
      <c r="R31" s="854"/>
    </row>
    <row r="32" spans="1:18" ht="14" customHeight="1">
      <c r="A32" s="856">
        <v>1989</v>
      </c>
      <c r="B32" s="982">
        <f>' T.A6'!B33/' T.A5'!B33</f>
        <v>8.8341115900383141E-2</v>
      </c>
      <c r="C32" s="983">
        <f>' T.A6'!C33/' T.A5'!C33</f>
        <v>9.9066915882337764E-2</v>
      </c>
      <c r="D32" s="983">
        <f>' T.A6'!D33/' T.A5'!D33</f>
        <v>3.6694756961035573E-2</v>
      </c>
      <c r="E32" s="983">
        <f>' T.A6'!E33/' T.A5'!E33</f>
        <v>5.6680764877583847E-2</v>
      </c>
      <c r="F32" s="1045">
        <f>' T.A6'!F33/' T.A5'!F33</f>
        <v>9.4503684362706009E-2</v>
      </c>
      <c r="G32" s="982">
        <f>' T.A6'!G33/' T.A5'!G33</f>
        <v>2.2264238376627856E-2</v>
      </c>
      <c r="H32" s="985">
        <f>' T.A6'!H33/' T.A5'!H33</f>
        <v>7.78046177181055E-4</v>
      </c>
      <c r="I32" s="986">
        <f>' T.A6'!I33/' T.A5'!I33</f>
        <v>6.2685643564356436E-2</v>
      </c>
      <c r="J32" s="983">
        <f>' T.A6'!J33/' T.A5'!J33</f>
        <v>4.9960113247094526E-2</v>
      </c>
      <c r="K32" s="1045">
        <f>' T.A6'!K33/' T.A5'!K33</f>
        <v>1.6010310203767582E-2</v>
      </c>
      <c r="L32" s="1056">
        <f t="shared" si="0"/>
        <v>9.8288869705156712E-2</v>
      </c>
      <c r="M32" s="1058">
        <f t="shared" si="1"/>
        <v>-2.5990886603320863E-2</v>
      </c>
      <c r="N32" s="895"/>
      <c r="P32" s="824"/>
      <c r="R32" s="854"/>
    </row>
    <row r="33" spans="1:18" ht="14" customHeight="1">
      <c r="A33" s="826">
        <v>1990</v>
      </c>
      <c r="B33" s="976">
        <f>' T.A6'!B34/' T.A5'!B34</f>
        <v>8.4054124915321674E-2</v>
      </c>
      <c r="C33" s="977">
        <f>' T.A6'!C34/' T.A5'!C34</f>
        <v>9.336275984841691E-2</v>
      </c>
      <c r="D33" s="977">
        <f>' T.A6'!D34/' T.A5'!D34</f>
        <v>4.8908383026957762E-2</v>
      </c>
      <c r="E33" s="977">
        <f>' T.A6'!E34/' T.A5'!E34</f>
        <v>4.1328026811897782E-2</v>
      </c>
      <c r="F33" s="1044">
        <f>' T.A6'!F34/' T.A5'!F34</f>
        <v>9.2098494134683143E-2</v>
      </c>
      <c r="G33" s="976">
        <f>' T.A6'!G34/' T.A5'!G34</f>
        <v>1.2901270507166045E-2</v>
      </c>
      <c r="H33" s="979">
        <f>' T.A6'!H34/' T.A5'!H34</f>
        <v>-1.3514455973405035E-2</v>
      </c>
      <c r="I33" s="980">
        <f>' T.A6'!I34/' T.A5'!I34</f>
        <v>6.1110608936695898E-2</v>
      </c>
      <c r="J33" s="977">
        <f>' T.A6'!J34/' T.A5'!J34</f>
        <v>4.3058960571049319E-2</v>
      </c>
      <c r="K33" s="1044">
        <f>' T.A6'!K34/' T.A5'!K34</f>
        <v>5.809880754967885E-3</v>
      </c>
      <c r="L33" s="1055">
        <f t="shared" si="0"/>
        <v>0.10687721582182194</v>
      </c>
      <c r="M33" s="1057">
        <f t="shared" si="1"/>
        <v>-1.2202225909738136E-2</v>
      </c>
      <c r="N33" s="813"/>
      <c r="P33" s="824"/>
      <c r="R33" s="854"/>
    </row>
    <row r="34" spans="1:18" ht="14" customHeight="1">
      <c r="A34" s="826">
        <v>1991</v>
      </c>
      <c r="B34" s="976">
        <f>' T.A6'!B35/' T.A5'!B35</f>
        <v>7.3414215111218775E-2</v>
      </c>
      <c r="C34" s="977">
        <f>' T.A6'!C35/' T.A5'!C35</f>
        <v>8.0224292811645823E-2</v>
      </c>
      <c r="D34" s="977">
        <f>' T.A6'!D35/' T.A5'!D35</f>
        <v>4.6667782492689699E-2</v>
      </c>
      <c r="E34" s="977">
        <f>' T.A6'!E35/' T.A5'!E35</f>
        <v>4.5641711694494151E-2</v>
      </c>
      <c r="F34" s="1044">
        <f>' T.A6'!F35/' T.A5'!F35</f>
        <v>7.9193634952418782E-2</v>
      </c>
      <c r="G34" s="976">
        <f>' T.A6'!G35/' T.A5'!G35</f>
        <v>4.8724734422521399E-3</v>
      </c>
      <c r="H34" s="979">
        <f>' T.A6'!H35/' T.A5'!H35</f>
        <v>-2.693992744192255E-2</v>
      </c>
      <c r="I34" s="980">
        <f>' T.A6'!I35/' T.A5'!I35</f>
        <v>6.4590077872079793E-2</v>
      </c>
      <c r="J34" s="977">
        <f>' T.A6'!J35/' T.A5'!J35</f>
        <v>4.49876109849267E-2</v>
      </c>
      <c r="K34" s="1044">
        <f>' T.A6'!K35/' T.A5'!K35</f>
        <v>-5.354290556501262E-3</v>
      </c>
      <c r="L34" s="1055">
        <f t="shared" si="0"/>
        <v>0.10716422025356837</v>
      </c>
      <c r="M34" s="1057">
        <f t="shared" si="1"/>
        <v>-1.7922295379390094E-2</v>
      </c>
      <c r="N34" s="813"/>
      <c r="P34" s="824"/>
      <c r="R34" s="854"/>
    </row>
    <row r="35" spans="1:18" ht="14" customHeight="1">
      <c r="A35" s="826">
        <v>1992</v>
      </c>
      <c r="B35" s="976">
        <f>' T.A6'!B36/' T.A5'!B36</f>
        <v>6.8218331868346513E-2</v>
      </c>
      <c r="C35" s="977">
        <f>' T.A6'!C36/' T.A5'!C36</f>
        <v>7.7402001354299893E-2</v>
      </c>
      <c r="D35" s="977">
        <f>' T.A6'!D36/' T.A5'!D36</f>
        <v>3.4856494128498956E-2</v>
      </c>
      <c r="E35" s="977">
        <f>' T.A6'!E36/' T.A5'!E36</f>
        <v>3.755628325828899E-2</v>
      </c>
      <c r="F35" s="1044">
        <f>' T.A6'!F36/' T.A5'!F36</f>
        <v>7.4979314517205284E-2</v>
      </c>
      <c r="G35" s="976">
        <f>' T.A6'!G36/' T.A5'!G36</f>
        <v>9.8028624650367008E-3</v>
      </c>
      <c r="H35" s="979">
        <f>' T.A6'!H36/' T.A5'!H36</f>
        <v>-1.2613829104022922E-2</v>
      </c>
      <c r="I35" s="980">
        <f>' T.A6'!I36/' T.A5'!I36</f>
        <v>5.0832039654655881E-2</v>
      </c>
      <c r="J35" s="977">
        <f>' T.A6'!J36/' T.A5'!J36</f>
        <v>3.5962269094720292E-2</v>
      </c>
      <c r="K35" s="1044">
        <f>' T.A6'!K36/' T.A5'!K36</f>
        <v>2.5931478705091913E-3</v>
      </c>
      <c r="L35" s="1055">
        <f t="shared" si="0"/>
        <v>9.0015830458322815E-2</v>
      </c>
      <c r="M35" s="1057">
        <f t="shared" si="1"/>
        <v>-1.5975545526156924E-2</v>
      </c>
      <c r="N35" s="813"/>
      <c r="P35" s="824"/>
      <c r="R35" s="854"/>
    </row>
    <row r="36" spans="1:18" ht="14" customHeight="1">
      <c r="A36" s="826">
        <v>1993</v>
      </c>
      <c r="B36" s="976">
        <f>' T.A6'!B37/' T.A5'!B37</f>
        <v>7.4902115504857883E-2</v>
      </c>
      <c r="C36" s="994">
        <f>' T.A6'!C37/' T.A5'!C37</f>
        <v>8.6827302468225481E-2</v>
      </c>
      <c r="D36" s="994">
        <f>' T.A6'!D37/' T.A5'!D37</f>
        <v>3.0646624335881816E-2</v>
      </c>
      <c r="E36" s="994">
        <f>' T.A6'!E37/' T.A5'!E37</f>
        <v>4.6872535722171406E-2</v>
      </c>
      <c r="F36" s="1044">
        <f>' T.A6'!F37/' T.A5'!F37</f>
        <v>8.20716878177149E-2</v>
      </c>
      <c r="G36" s="976">
        <f>' T.A6'!G37/' T.A5'!G37</f>
        <v>1.712947564907517E-2</v>
      </c>
      <c r="H36" s="979">
        <f>' T.A6'!H37/' T.A5'!H37</f>
        <v>2.0939868530559743E-3</v>
      </c>
      <c r="I36" s="980">
        <f>' T.A6'!I37/' T.A5'!I37</f>
        <v>4.3899545184892232E-2</v>
      </c>
      <c r="J36" s="994">
        <f>' T.A6'!J37/' T.A5'!J37</f>
        <v>3.2225364803644282E-2</v>
      </c>
      <c r="K36" s="1044">
        <f>' T.A6'!K37/' T.A5'!K37</f>
        <v>1.191782415015346E-2</v>
      </c>
      <c r="L36" s="1055">
        <f t="shared" si="0"/>
        <v>8.4733315615169502E-2</v>
      </c>
      <c r="M36" s="1057">
        <f t="shared" si="1"/>
        <v>-1.3252920849010415E-2</v>
      </c>
      <c r="N36" s="813"/>
      <c r="P36" s="824"/>
      <c r="R36" s="854"/>
    </row>
    <row r="37" spans="1:18" ht="14" customHeight="1">
      <c r="A37" s="826">
        <v>1994</v>
      </c>
      <c r="B37" s="976">
        <f>' T.A6'!B38/' T.A5'!B38</f>
        <v>7.9369406456696892E-2</v>
      </c>
      <c r="C37" s="977">
        <f>' T.A6'!C38/' T.A5'!C38</f>
        <v>9.1843185759285753E-2</v>
      </c>
      <c r="D37" s="977">
        <f>' T.A6'!D38/' T.A5'!D38</f>
        <v>2.7542206936819545E-2</v>
      </c>
      <c r="E37" s="977">
        <f>' T.A6'!E38/' T.A5'!E38</f>
        <v>3.447230850822032E-2</v>
      </c>
      <c r="F37" s="1044">
        <f>' T.A6'!F38/' T.A5'!F38</f>
        <v>8.7706562449940614E-2</v>
      </c>
      <c r="G37" s="976">
        <f>' T.A6'!G38/' T.A5'!G38</f>
        <v>3.2281422080237779E-2</v>
      </c>
      <c r="H37" s="979">
        <f>' T.A6'!H38/' T.A5'!H38</f>
        <v>2.8688194348312074E-2</v>
      </c>
      <c r="I37" s="980">
        <f>' T.A6'!I38/' T.A5'!I38</f>
        <v>4.8161675749789724E-2</v>
      </c>
      <c r="J37" s="977">
        <f>' T.A6'!J38/' T.A5'!J38</f>
        <v>1.9548458149779738E-2</v>
      </c>
      <c r="K37" s="1044">
        <f>' T.A6'!K38/' T.A5'!K38</f>
        <v>3.3787391865782501E-2</v>
      </c>
      <c r="L37" s="1055">
        <f t="shared" si="0"/>
        <v>6.3154991410973679E-2</v>
      </c>
      <c r="M37" s="1057">
        <f t="shared" si="1"/>
        <v>-2.0619468812970179E-2</v>
      </c>
      <c r="N37" s="813"/>
      <c r="P37" s="824"/>
      <c r="R37" s="854"/>
    </row>
    <row r="38" spans="1:18">
      <c r="A38" s="826">
        <v>1995</v>
      </c>
      <c r="B38" s="976">
        <f>' T.A6'!B39/' T.A5'!B39</f>
        <v>8.9394212482136234E-2</v>
      </c>
      <c r="C38" s="977">
        <f>' T.A6'!C39/' T.A5'!C39</f>
        <v>0.10260020764917684</v>
      </c>
      <c r="D38" s="977">
        <f>' T.A6'!D39/' T.A5'!D39</f>
        <v>2.9504097413804817E-2</v>
      </c>
      <c r="E38" s="977">
        <f>' T.A6'!E39/' T.A5'!E39</f>
        <v>3.7622549019607841E-2</v>
      </c>
      <c r="F38" s="1044">
        <f>' T.A6'!F39/' T.A5'!F39</f>
        <v>9.8639536446352219E-2</v>
      </c>
      <c r="G38" s="976">
        <f>' T.A6'!G39/' T.A5'!G39</f>
        <v>4.2412351428973608E-2</v>
      </c>
      <c r="H38" s="979">
        <f>' T.A6'!H39/' T.A5'!H39</f>
        <v>4.1854871286401529E-2</v>
      </c>
      <c r="I38" s="980">
        <f>' T.A6'!I39/' T.A5'!I39</f>
        <v>5.4872167311598552E-2</v>
      </c>
      <c r="J38" s="977">
        <f>' T.A6'!J39/' T.A5'!J39</f>
        <v>2.1153500494293161E-2</v>
      </c>
      <c r="K38" s="1044">
        <f>' T.A6'!K39/' T.A5'!K39</f>
        <v>4.5482350242476467E-2</v>
      </c>
      <c r="L38" s="1055">
        <f t="shared" si="0"/>
        <v>6.0745336362775307E-2</v>
      </c>
      <c r="M38" s="1057">
        <f t="shared" si="1"/>
        <v>-2.5368069897793735E-2</v>
      </c>
      <c r="N38" s="813"/>
      <c r="P38" s="824"/>
      <c r="R38" s="854"/>
    </row>
    <row r="39" spans="1:18">
      <c r="A39" s="826">
        <v>1996</v>
      </c>
      <c r="B39" s="976">
        <f>' T.A6'!B40/' T.A5'!B40</f>
        <v>8.5778793016080226E-2</v>
      </c>
      <c r="C39" s="977">
        <f>' T.A6'!C40/' T.A5'!C40</f>
        <v>9.9136659436008676E-2</v>
      </c>
      <c r="D39" s="977">
        <f>' T.A6'!D40/' T.A5'!D40</f>
        <v>2.5719960278053625E-2</v>
      </c>
      <c r="E39" s="977">
        <f>' T.A6'!E40/' T.A5'!E40</f>
        <v>3.0388885391089002E-2</v>
      </c>
      <c r="F39" s="1044">
        <f>' T.A6'!F40/' T.A5'!F40</f>
        <v>9.4557445815413255E-2</v>
      </c>
      <c r="G39" s="976">
        <f>' T.A6'!G40/' T.A5'!G40</f>
        <v>3.8134307567193833E-2</v>
      </c>
      <c r="H39" s="979">
        <f>' T.A6'!H40/' T.A5'!H40</f>
        <v>3.5755339304023588E-2</v>
      </c>
      <c r="I39" s="980">
        <f>' T.A6'!I40/' T.A5'!I40</f>
        <v>5.3446292758807641E-2</v>
      </c>
      <c r="J39" s="977">
        <f>' T.A6'!J40/' T.A5'!J40</f>
        <v>2.0941173948922399E-2</v>
      </c>
      <c r="K39" s="1044">
        <f>' T.A6'!K40/' T.A5'!K40</f>
        <v>4.0780881388483937E-2</v>
      </c>
      <c r="L39" s="1055">
        <f t="shared" si="0"/>
        <v>6.3381320131985081E-2</v>
      </c>
      <c r="M39" s="1057">
        <f t="shared" si="1"/>
        <v>-2.7726332480754016E-2</v>
      </c>
      <c r="N39" s="813"/>
      <c r="P39" s="824"/>
      <c r="R39" s="854"/>
    </row>
    <row r="40" spans="1:18">
      <c r="A40" s="826">
        <v>1997</v>
      </c>
      <c r="B40" s="976">
        <f>' T.A6'!B41/' T.A5'!B41</f>
        <v>8.9230151560774879E-2</v>
      </c>
      <c r="C40" s="977">
        <f>' T.A6'!C41/' T.A5'!C41</f>
        <v>0.1032715722817527</v>
      </c>
      <c r="D40" s="977">
        <f>' T.A6'!D41/' T.A5'!D41</f>
        <v>2.7320808956464129E-2</v>
      </c>
      <c r="E40" s="977">
        <f>' T.A6'!E41/' T.A5'!E41</f>
        <v>3.3948117028692E-2</v>
      </c>
      <c r="F40" s="1044">
        <f>' T.A6'!F41/' T.A5'!F41</f>
        <v>9.8115935108696775E-2</v>
      </c>
      <c r="G40" s="976">
        <f>' T.A6'!G41/' T.A5'!G41</f>
        <v>4.5335713310552389E-2</v>
      </c>
      <c r="H40" s="979">
        <f>' T.A6'!H41/' T.A5'!H41</f>
        <v>4.7718988009369134E-2</v>
      </c>
      <c r="I40" s="980">
        <f>' T.A6'!I41/' T.A5'!I41</f>
        <v>4.7233462482852928E-2</v>
      </c>
      <c r="J40" s="977">
        <f>' T.A6'!J41/' T.A5'!J41</f>
        <v>2.6374574564977708E-2</v>
      </c>
      <c r="K40" s="1044">
        <f>' T.A6'!K41/' T.A5'!K41</f>
        <v>4.8468942019278372E-2</v>
      </c>
      <c r="L40" s="1055">
        <f t="shared" si="0"/>
        <v>5.5552584272383562E-2</v>
      </c>
      <c r="M40" s="1057">
        <f t="shared" si="1"/>
        <v>-1.99126535263888E-2</v>
      </c>
      <c r="N40" s="813"/>
      <c r="P40" s="824"/>
      <c r="R40" s="854"/>
    </row>
    <row r="41" spans="1:18">
      <c r="A41" s="826">
        <v>1998</v>
      </c>
      <c r="B41" s="976">
        <f>' T.A6'!B42/' T.A5'!B42</f>
        <v>6.8638687680257771E-2</v>
      </c>
      <c r="C41" s="977">
        <f>' T.A6'!C42/' T.A5'!C42</f>
        <v>7.9925964239158515E-2</v>
      </c>
      <c r="D41" s="977">
        <f>' T.A6'!D42/' T.A5'!D42</f>
        <v>2.5560750830114526E-2</v>
      </c>
      <c r="E41" s="977">
        <f>' T.A6'!E42/' T.A5'!E42</f>
        <v>2.6864309476845174E-2</v>
      </c>
      <c r="F41" s="1044">
        <f>' T.A6'!F42/' T.A5'!F42</f>
        <v>7.5814722316748628E-2</v>
      </c>
      <c r="G41" s="976">
        <f>' T.A6'!G42/' T.A5'!G42</f>
        <v>3.3190361041838104E-2</v>
      </c>
      <c r="H41" s="979">
        <f>' T.A6'!H42/' T.A5'!H42</f>
        <v>3.0976884348654751E-2</v>
      </c>
      <c r="I41" s="980">
        <f>' T.A6'!I42/' T.A5'!I42</f>
        <v>4.4077653049415577E-2</v>
      </c>
      <c r="J41" s="977">
        <f>' T.A6'!J42/' T.A5'!J42</f>
        <v>2.1380212403649197E-2</v>
      </c>
      <c r="K41" s="1044">
        <f>' T.A6'!K42/' T.A5'!K42</f>
        <v>3.521788088395772E-2</v>
      </c>
      <c r="L41" s="1055">
        <f t="shared" ref="L41:L59" si="2">C41-H41</f>
        <v>4.8949079890503761E-2</v>
      </c>
      <c r="M41" s="1057">
        <f t="shared" si="1"/>
        <v>-1.8516902219301051E-2</v>
      </c>
      <c r="N41" s="813"/>
      <c r="P41" s="824"/>
      <c r="R41" s="854"/>
    </row>
    <row r="42" spans="1:18">
      <c r="A42" s="856">
        <v>1999</v>
      </c>
      <c r="B42" s="982">
        <f>' T.A6'!B43/' T.A5'!B43</f>
        <v>7.2796220923483729E-2</v>
      </c>
      <c r="C42" s="983">
        <f>' T.A6'!C43/' T.A5'!C43</f>
        <v>8.687504696664676E-2</v>
      </c>
      <c r="D42" s="983">
        <f>' T.A6'!D43/' T.A5'!D43</f>
        <v>2.568866281187699E-2</v>
      </c>
      <c r="E42" s="983">
        <f>' T.A6'!E43/' T.A5'!E43</f>
        <v>2.2209639748035956E-2</v>
      </c>
      <c r="F42" s="1045">
        <f>' T.A6'!F43/' T.A5'!F43</f>
        <v>8.0242828782691275E-2</v>
      </c>
      <c r="G42" s="982">
        <f>' T.A6'!G43/' T.A5'!G43</f>
        <v>3.839942149572461E-2</v>
      </c>
      <c r="H42" s="985">
        <f>' T.A6'!H43/' T.A5'!H43</f>
        <v>3.6464247181376593E-2</v>
      </c>
      <c r="I42" s="986">
        <f>' T.A6'!I43/' T.A5'!I43</f>
        <v>4.9557258941561683E-2</v>
      </c>
      <c r="J42" s="983">
        <f>' T.A6'!J43/' T.A5'!J43</f>
        <v>2.2923752834467119E-2</v>
      </c>
      <c r="K42" s="1045">
        <f>' T.A6'!K43/' T.A5'!K43</f>
        <v>4.1367021959676384E-2</v>
      </c>
      <c r="L42" s="1056">
        <f t="shared" si="2"/>
        <v>5.0410799785270168E-2</v>
      </c>
      <c r="M42" s="1058">
        <f t="shared" si="1"/>
        <v>-2.3868596129684692E-2</v>
      </c>
      <c r="N42" s="813"/>
      <c r="P42" s="824"/>
      <c r="R42" s="854"/>
    </row>
    <row r="43" spans="1:18">
      <c r="A43" s="826">
        <v>2000</v>
      </c>
      <c r="B43" s="976">
        <f>' T.A6'!B44/' T.A5'!B44</f>
        <v>7.8105244472429572E-2</v>
      </c>
      <c r="C43" s="977">
        <f>' T.A6'!C44/' T.A5'!C44</f>
        <v>9.1757922852811702E-2</v>
      </c>
      <c r="D43" s="977">
        <f>' T.A6'!D44/' T.A5'!D44</f>
        <v>2.931571916283212E-2</v>
      </c>
      <c r="E43" s="977">
        <f>' T.A6'!E44/' T.A5'!E44</f>
        <v>2.7480305600881792E-2</v>
      </c>
      <c r="F43" s="1044">
        <f>' T.A6'!F44/' T.A5'!F44</f>
        <v>8.6204350710857705E-2</v>
      </c>
      <c r="G43" s="976">
        <f>' T.A6'!G44/' T.A5'!G44</f>
        <v>3.1858930873374436E-2</v>
      </c>
      <c r="H43" s="979">
        <f>' T.A6'!H44/' T.A5'!H44</f>
        <v>2.4867873033652919E-2</v>
      </c>
      <c r="I43" s="980">
        <f>' T.A6'!I44/' T.A5'!I44</f>
        <v>5.2700888306734119E-2</v>
      </c>
      <c r="J43" s="977">
        <f>' T.A6'!J44/' T.A5'!J44</f>
        <v>2.4895788997209782E-2</v>
      </c>
      <c r="K43" s="1044">
        <f>' T.A6'!K44/' T.A5'!K44</f>
        <v>3.2843005894757901E-2</v>
      </c>
      <c r="L43" s="1055">
        <f t="shared" si="2"/>
        <v>6.6890049819158776E-2</v>
      </c>
      <c r="M43" s="1057">
        <f t="shared" si="1"/>
        <v>-2.3385169143901999E-2</v>
      </c>
      <c r="N43" s="813"/>
      <c r="P43" s="824"/>
      <c r="R43" s="854"/>
    </row>
    <row r="44" spans="1:18">
      <c r="A44" s="826">
        <v>2001</v>
      </c>
      <c r="B44" s="976">
        <f>' T.A6'!B45/' T.A5'!B45</f>
        <v>5.8813095350636169E-2</v>
      </c>
      <c r="C44" s="994">
        <f>' T.A6'!C45/' T.A5'!C45</f>
        <v>6.6643723290156512E-2</v>
      </c>
      <c r="D44" s="994">
        <f>' T.A6'!D45/' T.A5'!D45</f>
        <v>2.8801227065033158E-2</v>
      </c>
      <c r="E44" s="994">
        <f>' T.A6'!E45/' T.A5'!E45</f>
        <v>2.3656973878758009E-2</v>
      </c>
      <c r="F44" s="1044">
        <f>' T.A6'!F45/' T.A5'!F45</f>
        <v>6.367385818013678E-2</v>
      </c>
      <c r="G44" s="976">
        <f>' T.A6'!G45/' T.A5'!G45</f>
        <v>5.3044466358423137E-3</v>
      </c>
      <c r="H44" s="979">
        <f>' T.A6'!H45/' T.A5'!H45</f>
        <v>-1.4724018087372469E-2</v>
      </c>
      <c r="I44" s="980">
        <f>' T.A6'!I45/' T.A5'!I45</f>
        <v>4.854040862300929E-2</v>
      </c>
      <c r="J44" s="994">
        <f>' T.A6'!J45/' T.A5'!J45</f>
        <v>2.3796100083597411E-2</v>
      </c>
      <c r="K44" s="1044">
        <f>' T.A6'!K45/' T.A5'!K45</f>
        <v>2.4936481646329564E-3</v>
      </c>
      <c r="L44" s="1055">
        <f t="shared" si="2"/>
        <v>8.1367741377528974E-2</v>
      </c>
      <c r="M44" s="1057">
        <f t="shared" si="1"/>
        <v>-1.9739181557976132E-2</v>
      </c>
      <c r="N44" s="813"/>
      <c r="P44" s="824"/>
      <c r="R44" s="854"/>
    </row>
    <row r="45" spans="1:18">
      <c r="A45" s="826">
        <v>2002</v>
      </c>
      <c r="B45" s="976">
        <f>' T.A6'!B46/' T.A5'!B46</f>
        <v>5.9242180319091592E-2</v>
      </c>
      <c r="C45" s="977">
        <f>' T.A6'!C46/' T.A5'!C46</f>
        <v>6.8482582092210878E-2</v>
      </c>
      <c r="D45" s="977">
        <f>' T.A6'!D46/' T.A5'!D46</f>
        <v>2.4210174163423682E-2</v>
      </c>
      <c r="E45" s="977">
        <f>' T.A6'!E46/' T.A5'!E46</f>
        <v>1.764163683522325E-2</v>
      </c>
      <c r="F45" s="1044">
        <f>' T.A6'!F46/' T.A5'!F46</f>
        <v>6.4789093196419234E-2</v>
      </c>
      <c r="G45" s="976">
        <f>' T.A6'!G46/' T.A5'!G46</f>
        <v>2.0145249002174608E-2</v>
      </c>
      <c r="H45" s="979">
        <f>' T.A6'!H46/' T.A5'!H46</f>
        <v>9.7317812098659719E-3</v>
      </c>
      <c r="I45" s="980">
        <f>' T.A6'!I46/' T.A5'!I46</f>
        <v>4.845510078476982E-2</v>
      </c>
      <c r="J45" s="977">
        <f>' T.A6'!J46/' T.A5'!J46</f>
        <v>1.8493162970624987E-2</v>
      </c>
      <c r="K45" s="1044">
        <f>' T.A6'!K46/' T.A5'!K46</f>
        <v>2.0468394018802939E-2</v>
      </c>
      <c r="L45" s="1055">
        <f t="shared" si="2"/>
        <v>5.8750800882344904E-2</v>
      </c>
      <c r="M45" s="1057">
        <f t="shared" si="1"/>
        <v>-2.4244926621346138E-2</v>
      </c>
      <c r="N45" s="813"/>
      <c r="P45" s="824"/>
      <c r="R45" s="854"/>
    </row>
    <row r="46" spans="1:18">
      <c r="A46" s="826">
        <v>2003</v>
      </c>
      <c r="B46" s="976">
        <f>' T.A6'!B47/' T.A5'!B47</f>
        <v>6.9700918617680324E-2</v>
      </c>
      <c r="C46" s="977">
        <f>' T.A6'!C47/' T.A5'!C47</f>
        <v>8.200685111012597E-2</v>
      </c>
      <c r="D46" s="977">
        <f>' T.A6'!D47/' T.A5'!D47</f>
        <v>2.3308724145544229E-2</v>
      </c>
      <c r="E46" s="977">
        <f>' T.A6'!E47/' T.A5'!E47</f>
        <v>1.2922338279234875E-2</v>
      </c>
      <c r="F46" s="1044">
        <f>' T.A6'!F47/' T.A5'!F47</f>
        <v>7.7820995176787547E-2</v>
      </c>
      <c r="G46" s="976">
        <f>' T.A6'!G47/' T.A5'!G47</f>
        <v>3.3159603124194297E-2</v>
      </c>
      <c r="H46" s="979">
        <f>' T.A6'!H47/' T.A5'!H47</f>
        <v>3.3400027911718366E-2</v>
      </c>
      <c r="I46" s="980">
        <f>' T.A6'!I47/' T.A5'!I47</f>
        <v>4.0678650592236E-2</v>
      </c>
      <c r="J46" s="977">
        <f>' T.A6'!J47/' T.A5'!J47</f>
        <v>1.4288410918967669E-2</v>
      </c>
      <c r="K46" s="1044">
        <f>' T.A6'!K47/' T.A5'!K47</f>
        <v>3.6763526413608361E-2</v>
      </c>
      <c r="L46" s="1055">
        <f t="shared" si="2"/>
        <v>4.8606823198407603E-2</v>
      </c>
      <c r="M46" s="1057">
        <f t="shared" si="1"/>
        <v>-1.7369926446691771E-2</v>
      </c>
      <c r="N46" s="813"/>
      <c r="P46" s="824"/>
      <c r="R46" s="854"/>
    </row>
    <row r="47" spans="1:18">
      <c r="A47" s="826">
        <v>2004</v>
      </c>
      <c r="B47" s="976">
        <f>' T.A6'!B48/' T.A5'!B48</f>
        <v>7.7398879701891965E-2</v>
      </c>
      <c r="C47" s="977">
        <f>' T.A6'!C48/' T.A5'!C48</f>
        <v>9.1392688667125729E-2</v>
      </c>
      <c r="D47" s="977">
        <f>' T.A6'!D48/' T.A5'!D48</f>
        <v>1.926336593476792E-2</v>
      </c>
      <c r="E47" s="977">
        <f>' T.A6'!E48/' T.A5'!E48</f>
        <v>1.5508493580759097E-2</v>
      </c>
      <c r="F47" s="1044">
        <f>' T.A6'!F48/' T.A5'!F48</f>
        <v>8.6927450924364963E-2</v>
      </c>
      <c r="G47" s="976">
        <f>' T.A6'!G48/' T.A5'!G48</f>
        <v>4.1814014643890493E-2</v>
      </c>
      <c r="H47" s="979">
        <f>' T.A6'!H48/' T.A5'!H48</f>
        <v>4.8886954704367387E-2</v>
      </c>
      <c r="I47" s="980">
        <f>' T.A6'!I48/' T.A5'!I48</f>
        <v>3.5085171546049426E-2</v>
      </c>
      <c r="J47" s="977">
        <f>' T.A6'!J48/' T.A5'!J48</f>
        <v>1.0369928450393792E-2</v>
      </c>
      <c r="K47" s="1044">
        <f>' T.A6'!K48/' T.A5'!K48</f>
        <v>4.8010400705762173E-2</v>
      </c>
      <c r="L47" s="1055">
        <f t="shared" si="2"/>
        <v>4.2505733962758342E-2</v>
      </c>
      <c r="M47" s="1057">
        <f t="shared" si="1"/>
        <v>-1.5821805611281506E-2</v>
      </c>
      <c r="N47" s="813"/>
      <c r="P47" s="824"/>
      <c r="R47" s="854"/>
    </row>
    <row r="48" spans="1:18">
      <c r="A48" s="826">
        <v>2005</v>
      </c>
      <c r="B48" s="976">
        <f>' T.A6'!B49/' T.A5'!B49</f>
        <v>8.6019083424634948E-2</v>
      </c>
      <c r="C48" s="977">
        <f>' T.A6'!C49/' T.A5'!C49</f>
        <v>0.10082663232597784</v>
      </c>
      <c r="D48" s="977">
        <f>' T.A6'!D49/' T.A5'!D49</f>
        <v>2.03815757817855E-2</v>
      </c>
      <c r="E48" s="977">
        <f>' T.A6'!E49/' T.A5'!E49</f>
        <v>2.1465722242710174E-2</v>
      </c>
      <c r="F48" s="1044">
        <f>' T.A6'!F49/' T.A5'!F49</f>
        <v>9.6159586779431802E-2</v>
      </c>
      <c r="G48" s="976">
        <f>' T.A6'!G49/' T.A5'!G49</f>
        <v>4.835856103793984E-2</v>
      </c>
      <c r="H48" s="979">
        <f>' T.A6'!H49/' T.A5'!H49</f>
        <v>5.6818283711235193E-2</v>
      </c>
      <c r="I48" s="980">
        <f>' T.A6'!I49/' T.A5'!I49</f>
        <v>3.7941360762326362E-2</v>
      </c>
      <c r="J48" s="977">
        <f>' T.A6'!J49/' T.A5'!J49</f>
        <v>1.2504962286621674E-2</v>
      </c>
      <c r="K48" s="1044">
        <f>' T.A6'!K49/' T.A5'!K49</f>
        <v>5.4965470958587552E-2</v>
      </c>
      <c r="L48" s="1055">
        <f t="shared" si="2"/>
        <v>4.4008348614742648E-2</v>
      </c>
      <c r="M48" s="1057">
        <f t="shared" si="1"/>
        <v>-1.7559784980540862E-2</v>
      </c>
      <c r="N48" s="813"/>
      <c r="P48" s="824"/>
      <c r="R48" s="854"/>
    </row>
    <row r="49" spans="1:18">
      <c r="A49" s="826">
        <v>2006</v>
      </c>
      <c r="B49" s="976">
        <f>' T.A6'!B50/' T.A5'!B50</f>
        <v>8.6825575419149592E-2</v>
      </c>
      <c r="C49" s="977">
        <f>' T.A6'!C50/' T.A5'!C50</f>
        <v>0.10065118984439392</v>
      </c>
      <c r="D49" s="977">
        <f>' T.A6'!D50/' T.A5'!D50</f>
        <v>2.0736824600845281E-2</v>
      </c>
      <c r="E49" s="977">
        <f>' T.A6'!E50/' T.A5'!E50</f>
        <v>2.6687916545928718E-2</v>
      </c>
      <c r="F49" s="1044">
        <f>' T.A6'!F50/' T.A5'!F50</f>
        <v>9.685156151224153E-2</v>
      </c>
      <c r="G49" s="976">
        <f>' T.A6'!G50/' T.A5'!G50</f>
        <v>5.6407208385625643E-2</v>
      </c>
      <c r="H49" s="979">
        <f>' T.A6'!H50/' T.A5'!H50</f>
        <v>6.7977161404258316E-2</v>
      </c>
      <c r="I49" s="980">
        <f>' T.A6'!I50/' T.A5'!I50</f>
        <v>4.0396651651019522E-2</v>
      </c>
      <c r="J49" s="977">
        <f>' T.A6'!J50/' T.A5'!J50</f>
        <v>1.3289244910261011E-2</v>
      </c>
      <c r="K49" s="1044">
        <f>' T.A6'!K50/' T.A5'!K50</f>
        <v>6.416573025614429E-2</v>
      </c>
      <c r="L49" s="1055">
        <f t="shared" si="2"/>
        <v>3.2674028440135602E-2</v>
      </c>
      <c r="M49" s="1057">
        <f t="shared" si="1"/>
        <v>-1.9659827050174241E-2</v>
      </c>
      <c r="N49" s="813"/>
      <c r="P49" s="824"/>
      <c r="R49" s="854"/>
    </row>
    <row r="50" spans="1:18">
      <c r="A50" s="826">
        <v>2007</v>
      </c>
      <c r="B50" s="976">
        <f>' T.A6'!B51/' T.A5'!B51</f>
        <v>8.3678487004224061E-2</v>
      </c>
      <c r="C50" s="977">
        <f>' T.A6'!C51/' T.A5'!C51</f>
        <v>9.6872423425403878E-2</v>
      </c>
      <c r="D50" s="977">
        <f>' T.A6'!D51/' T.A5'!D51</f>
        <v>2.2152432258646312E-2</v>
      </c>
      <c r="E50" s="977">
        <f>' T.A6'!E51/' T.A5'!E51</f>
        <v>2.4072134645108292E-2</v>
      </c>
      <c r="F50" s="1044">
        <f>' T.A6'!F51/' T.A5'!F51</f>
        <v>9.4070807798081246E-2</v>
      </c>
      <c r="G50" s="976">
        <f>' T.A6'!G51/' T.A5'!G51</f>
        <v>4.3015139837690855E-2</v>
      </c>
      <c r="H50" s="979">
        <f>' T.A6'!H51/' T.A5'!H51</f>
        <v>4.8052896647736147E-2</v>
      </c>
      <c r="I50" s="980">
        <f>' T.A6'!I51/' T.A5'!I51</f>
        <v>4.3011509230321099E-2</v>
      </c>
      <c r="J50" s="977">
        <f>' T.A6'!J51/' T.A5'!J51</f>
        <v>1.1972558797101315E-2</v>
      </c>
      <c r="K50" s="1044">
        <f>' T.A6'!K51/' T.A5'!K51</f>
        <v>4.9098879688261085E-2</v>
      </c>
      <c r="L50" s="1055">
        <f t="shared" si="2"/>
        <v>4.8819526777667731E-2</v>
      </c>
      <c r="M50" s="1057">
        <f t="shared" si="1"/>
        <v>-2.0859076971674786E-2</v>
      </c>
      <c r="N50" s="813"/>
      <c r="P50" s="824"/>
      <c r="R50" s="854"/>
    </row>
    <row r="51" spans="1:18">
      <c r="A51" s="826">
        <v>2008</v>
      </c>
      <c r="B51" s="976">
        <f>' T.A6'!B52/' T.A5'!B52</f>
        <v>8.8785636213988869E-2</v>
      </c>
      <c r="C51" s="977">
        <f>' T.A6'!C52/' T.A5'!C52</f>
        <v>0.10245875882902451</v>
      </c>
      <c r="D51" s="977">
        <f>' T.A6'!D52/' T.A5'!D52</f>
        <v>2.4250153212099095E-2</v>
      </c>
      <c r="E51" s="977">
        <f>' T.A6'!E52/' T.A5'!E52</f>
        <v>2.0363019853671494E-2</v>
      </c>
      <c r="F51" s="1044">
        <f>' T.A6'!F52/' T.A5'!F52</f>
        <v>0.10000106883881861</v>
      </c>
      <c r="G51" s="976">
        <f>' T.A6'!G52/' T.A5'!G52</f>
        <v>4.2248632234594831E-2</v>
      </c>
      <c r="H51" s="979">
        <f>' T.A6'!H52/' T.A5'!H52</f>
        <v>4.7863289933838211E-2</v>
      </c>
      <c r="I51" s="980">
        <f>' T.A6'!I52/' T.A5'!I52</f>
        <v>3.9681965933183405E-2</v>
      </c>
      <c r="J51" s="977">
        <f>' T.A6'!J52/' T.A5'!J52</f>
        <v>1.2211570227894755E-2</v>
      </c>
      <c r="K51" s="1044">
        <f>' T.A6'!K52/' T.A5'!K52</f>
        <v>4.8376763177002832E-2</v>
      </c>
      <c r="L51" s="1055">
        <f t="shared" si="2"/>
        <v>5.4595468895186301E-2</v>
      </c>
      <c r="M51" s="1057">
        <f t="shared" si="1"/>
        <v>-1.543181272108431E-2</v>
      </c>
      <c r="N51" s="813"/>
      <c r="P51" s="824"/>
      <c r="R51" s="854"/>
    </row>
    <row r="52" spans="1:18">
      <c r="A52" s="856">
        <v>2009</v>
      </c>
      <c r="B52" s="982">
        <f>' T.A6'!B53/' T.A5'!B53</f>
        <v>7.2096219218970234E-2</v>
      </c>
      <c r="C52" s="983">
        <f>' T.A6'!C53/' T.A5'!C53</f>
        <v>8.3872969934011318E-2</v>
      </c>
      <c r="D52" s="983">
        <f>' T.A6'!D53/' T.A5'!D53</f>
        <v>1.7259825671040622E-2</v>
      </c>
      <c r="E52" s="983">
        <f>' T.A6'!E53/' T.A5'!E53</f>
        <v>1.6099764208177738E-2</v>
      </c>
      <c r="F52" s="1045">
        <f>' T.A6'!F53/' T.A5'!F53</f>
        <v>8.0937963405954924E-2</v>
      </c>
      <c r="G52" s="982">
        <f>' T.A6'!G53/' T.A5'!G53</f>
        <v>3.3223938599902372E-2</v>
      </c>
      <c r="H52" s="985">
        <f>' T.A6'!H53/' T.A5'!H53</f>
        <v>3.5637509025427047E-2</v>
      </c>
      <c r="I52" s="986">
        <f>' T.A6'!I53/' T.A5'!I53</f>
        <v>3.7417013132712992E-2</v>
      </c>
      <c r="J52" s="983">
        <f>' T.A6'!J53/' T.A5'!J53</f>
        <v>9.6145257996018193E-3</v>
      </c>
      <c r="K52" s="1045">
        <f>' T.A6'!K53/' T.A5'!K53</f>
        <v>3.827085370769033E-2</v>
      </c>
      <c r="L52" s="1056">
        <f t="shared" si="2"/>
        <v>4.8235460908584271E-2</v>
      </c>
      <c r="M52" s="1058">
        <f t="shared" si="1"/>
        <v>-2.015718746167237E-2</v>
      </c>
      <c r="N52" s="813"/>
      <c r="P52" s="824"/>
      <c r="R52" s="854"/>
    </row>
    <row r="53" spans="1:18">
      <c r="A53" s="826">
        <v>2010</v>
      </c>
      <c r="B53" s="976">
        <f>' T.A6'!B54/' T.A5'!B54</f>
        <v>8.3812299402415413E-2</v>
      </c>
      <c r="C53" s="977">
        <f>' T.A6'!C54/' T.A5'!C54</f>
        <v>9.80715949029939E-2</v>
      </c>
      <c r="D53" s="977">
        <f>' T.A6'!D54/' T.A5'!D54</f>
        <v>1.432522189865847E-2</v>
      </c>
      <c r="E53" s="977">
        <f>' T.A6'!E54/' T.A5'!E54</f>
        <v>1.5290267480999306E-2</v>
      </c>
      <c r="F53" s="1044">
        <f>' T.A6'!F54/' T.A5'!F54</f>
        <v>9.5175182000984099E-2</v>
      </c>
      <c r="G53" s="976">
        <f>' T.A6'!G54/' T.A5'!G54</f>
        <v>4.3814273958367567E-2</v>
      </c>
      <c r="H53" s="979">
        <f>' T.A6'!H54/' T.A5'!H54</f>
        <v>5.2864876537888496E-2</v>
      </c>
      <c r="I53" s="980">
        <f>' T.A6'!I54/' T.A5'!I54</f>
        <v>3.6119366695377991E-2</v>
      </c>
      <c r="J53" s="977">
        <f>' T.A6'!J54/' T.A5'!J54</f>
        <v>6.5456006831939315E-3</v>
      </c>
      <c r="K53" s="1044">
        <f>' T.A6'!K54/' T.A5'!K54</f>
        <v>5.1977567907806874E-2</v>
      </c>
      <c r="L53" s="1055">
        <f t="shared" si="2"/>
        <v>4.5206718365105404E-2</v>
      </c>
      <c r="M53" s="1057">
        <f t="shared" si="1"/>
        <v>-2.1794144796719522E-2</v>
      </c>
      <c r="N53" s="813"/>
      <c r="P53" s="824"/>
      <c r="R53" s="854"/>
    </row>
    <row r="54" spans="1:18">
      <c r="A54" s="826">
        <v>2011</v>
      </c>
      <c r="B54" s="976">
        <f>' T.A6'!B55/' T.A5'!B55</f>
        <v>8.3732141519433881E-2</v>
      </c>
      <c r="C54" s="977">
        <f>' T.A6'!C55/' T.A5'!C55</f>
        <v>9.7181118258444971E-2</v>
      </c>
      <c r="D54" s="977">
        <f>' T.A6'!D55/' T.A5'!D55</f>
        <v>1.5372711942159707E-2</v>
      </c>
      <c r="E54" s="977">
        <f>' T.A6'!E55/' T.A5'!E55</f>
        <v>1.5847509884290324E-2</v>
      </c>
      <c r="F54" s="1044">
        <f>' T.A6'!F55/' T.A5'!F55</f>
        <v>9.4712929397256965E-2</v>
      </c>
      <c r="G54" s="976">
        <f>' T.A6'!G55/' T.A5'!G55</f>
        <v>4.6778449428040624E-2</v>
      </c>
      <c r="H54" s="979">
        <f>' T.A6'!H55/' T.A5'!H55</f>
        <v>5.7531851030427884E-2</v>
      </c>
      <c r="I54" s="980">
        <f>' T.A6'!I55/' T.A5'!I55</f>
        <v>3.5737059799963777E-2</v>
      </c>
      <c r="J54" s="977">
        <f>' T.A6'!J55/' T.A5'!J55</f>
        <v>5.4565698937640208E-3</v>
      </c>
      <c r="K54" s="1044">
        <f>' T.A6'!K55/' T.A5'!K55</f>
        <v>5.5500081928564982E-2</v>
      </c>
      <c r="L54" s="1055">
        <f t="shared" si="2"/>
        <v>3.9649267228017086E-2</v>
      </c>
      <c r="M54" s="1057">
        <f t="shared" si="1"/>
        <v>-2.0364347857804069E-2</v>
      </c>
      <c r="N54" s="813"/>
      <c r="P54" s="824"/>
      <c r="R54" s="854"/>
    </row>
    <row r="55" spans="1:18">
      <c r="A55" s="826">
        <v>2012</v>
      </c>
      <c r="B55" s="976">
        <f>' T.A6'!B56/' T.A5'!B56</f>
        <v>7.5740234804505313E-2</v>
      </c>
      <c r="C55" s="977">
        <f>' T.A6'!C56/' T.A5'!C56</f>
        <v>8.7757721855378321E-2</v>
      </c>
      <c r="D55" s="977">
        <f>' T.A6'!D56/' T.A5'!D56</f>
        <v>1.8670443620173543E-2</v>
      </c>
      <c r="E55" s="977">
        <f>' T.A6'!E56/' T.A5'!E56</f>
        <v>1.1135297544225403E-2</v>
      </c>
      <c r="F55" s="1044">
        <f>' T.A6'!F56/' T.A5'!F56</f>
        <v>8.5496762126461873E-2</v>
      </c>
      <c r="G55" s="976">
        <f>' T.A6'!G56/' T.A5'!G56</f>
        <v>4.2732915437561463E-2</v>
      </c>
      <c r="H55" s="979">
        <f>' T.A6'!H56/' T.A5'!H56</f>
        <v>5.0433484159492073E-2</v>
      </c>
      <c r="I55" s="980">
        <f>' T.A6'!I56/' T.A5'!I56</f>
        <v>3.6158914264202653E-2</v>
      </c>
      <c r="J55" s="977">
        <f>' T.A6'!J56/' T.A5'!J56</f>
        <v>6.9566830535200816E-3</v>
      </c>
      <c r="K55" s="1044">
        <f>' T.A6'!K56/' T.A5'!K56</f>
        <v>5.0758060957035139E-2</v>
      </c>
      <c r="L55" s="1055">
        <f t="shared" si="2"/>
        <v>3.7324237695886248E-2</v>
      </c>
      <c r="M55" s="1057">
        <f t="shared" si="1"/>
        <v>-1.748847064402911E-2</v>
      </c>
      <c r="N55" s="813"/>
      <c r="P55" s="824"/>
      <c r="R55" s="854"/>
    </row>
    <row r="56" spans="1:18">
      <c r="A56" s="826">
        <v>2013</v>
      </c>
      <c r="B56" s="976">
        <f>' T.A6'!B57/' T.A5'!B57</f>
        <v>7.4267922113977772E-2</v>
      </c>
      <c r="C56" s="977">
        <f>' T.A6'!C57/' T.A5'!C57</f>
        <v>8.6459926356465933E-2</v>
      </c>
      <c r="D56" s="977">
        <f>' T.A6'!D57/' T.A5'!D57</f>
        <v>1.9316821075187496E-2</v>
      </c>
      <c r="E56" s="977">
        <f>' T.A6'!E57/' T.A5'!E57</f>
        <v>9.7254237564245623E-3</v>
      </c>
      <c r="F56" s="1044">
        <f>' T.A6'!F57/' T.A5'!F57</f>
        <v>8.4753830253308557E-2</v>
      </c>
      <c r="G56" s="976">
        <f>' T.A6'!G57/' T.A5'!G57</f>
        <v>4.2282306493466801E-2</v>
      </c>
      <c r="H56" s="979">
        <f>' T.A6'!H57/' T.A5'!H57</f>
        <v>5.0344164545493619E-2</v>
      </c>
      <c r="I56" s="980">
        <f>' T.A6'!I57/' T.A5'!I57</f>
        <v>3.4418412963715568E-2</v>
      </c>
      <c r="J56" s="977">
        <f>' T.A6'!J57/' T.A5'!J57</f>
        <v>1.0507743815786305E-2</v>
      </c>
      <c r="K56" s="1044">
        <f>' T.A6'!K57/' T.A5'!K57</f>
        <v>5.0660054726771174E-2</v>
      </c>
      <c r="L56" s="1055">
        <f t="shared" si="2"/>
        <v>3.6115761810972313E-2</v>
      </c>
      <c r="M56" s="1057">
        <f t="shared" si="1"/>
        <v>-1.5101591888528072E-2</v>
      </c>
      <c r="N56" s="813"/>
      <c r="P56" s="824"/>
      <c r="R56" s="854"/>
    </row>
    <row r="57" spans="1:18">
      <c r="A57" s="826">
        <v>2014</v>
      </c>
      <c r="B57" s="976">
        <f>' T.A6'!B58/' T.A5'!B58</f>
        <v>6.9668677533331447E-2</v>
      </c>
      <c r="C57" s="977">
        <f>' T.A6'!C58/' T.A5'!C58</f>
        <v>8.0941325238669593E-2</v>
      </c>
      <c r="D57" s="977">
        <f>' T.A6'!D58/' T.A5'!D58</f>
        <v>1.9203178601462437E-2</v>
      </c>
      <c r="E57" s="977">
        <f>' T.A6'!E58/' T.A5'!E58</f>
        <v>1.1838472696644987E-2</v>
      </c>
      <c r="F57" s="1044">
        <f>' T.A6'!F58/' T.A5'!F58</f>
        <v>7.9141408367494295E-2</v>
      </c>
      <c r="G57" s="976">
        <f>' T.A6'!G58/' T.A5'!G58</f>
        <v>4.2107071401143878E-2</v>
      </c>
      <c r="H57" s="979">
        <f>' T.A6'!H58/' T.A5'!H58</f>
        <v>5.0962940985756759E-2</v>
      </c>
      <c r="I57" s="980">
        <f>' T.A6'!I58/' T.A5'!I58</f>
        <v>3.1721881892211368E-2</v>
      </c>
      <c r="J57" s="977">
        <f>' T.A6'!J58/' T.A5'!J58</f>
        <v>1.073380837112043E-2</v>
      </c>
      <c r="K57" s="1044">
        <f>' T.A6'!K58/' T.A5'!K58</f>
        <v>5.0073799925098583E-2</v>
      </c>
      <c r="L57" s="1055">
        <f t="shared" si="2"/>
        <v>2.9978384252912833E-2</v>
      </c>
      <c r="M57" s="1057">
        <f t="shared" si="1"/>
        <v>-1.2518703290748931E-2</v>
      </c>
      <c r="N57" s="813"/>
      <c r="P57" s="824"/>
      <c r="R57" s="854"/>
    </row>
    <row r="58" spans="1:18">
      <c r="A58" s="826">
        <v>2015</v>
      </c>
      <c r="B58" s="976">
        <f>' T.A6'!B59/' T.A5'!B59</f>
        <v>6.167120694704227E-2</v>
      </c>
      <c r="C58" s="977">
        <f>' T.A6'!C59/' T.A5'!C59</f>
        <v>7.1412459841387513E-2</v>
      </c>
      <c r="D58" s="977">
        <f>' T.A6'!D59/' T.A5'!D59</f>
        <v>1.9507388917122559E-2</v>
      </c>
      <c r="E58" s="977">
        <f>' T.A6'!E59/' T.A5'!E59</f>
        <v>1.1822259457685079E-2</v>
      </c>
      <c r="F58" s="1044">
        <f>' T.A6'!F59/' T.A5'!F59</f>
        <v>7.031631457590734E-2</v>
      </c>
      <c r="G58" s="976">
        <f>' T.A6'!G59/' T.A5'!G59</f>
        <v>3.240477879091469E-2</v>
      </c>
      <c r="H58" s="979">
        <f>' T.A6'!H59/' T.A5'!H59</f>
        <v>3.6498755041717026E-2</v>
      </c>
      <c r="I58" s="980">
        <f>' T.A6'!I59/' T.A5'!I59</f>
        <v>3.1535809173931374E-2</v>
      </c>
      <c r="J58" s="977">
        <f>' T.A6'!J59/' T.A5'!J59</f>
        <v>1.0806860812778856E-2</v>
      </c>
      <c r="K58" s="1044">
        <f>' T.A6'!K59/' T.A5'!K59</f>
        <v>3.7746829683637621E-2</v>
      </c>
      <c r="L58" s="1055">
        <f t="shared" si="2"/>
        <v>3.4913704799670486E-2</v>
      </c>
      <c r="M58" s="1057">
        <f t="shared" si="1"/>
        <v>-1.2028420256808815E-2</v>
      </c>
      <c r="N58" s="813"/>
      <c r="P58" s="824"/>
      <c r="R58" s="854"/>
    </row>
    <row r="59" spans="1:18">
      <c r="A59" s="826">
        <v>2016</v>
      </c>
      <c r="B59" s="976">
        <f>' T.A6'!B60/' T.A5'!B60</f>
        <v>5.9729807739691804E-2</v>
      </c>
      <c r="C59" s="977">
        <f>' T.A6'!C60/' T.A5'!C60</f>
        <v>6.7746213495205473E-2</v>
      </c>
      <c r="D59" s="977">
        <f>' T.A6'!D60/' T.A5'!D60</f>
        <v>2.2165550444502708E-2</v>
      </c>
      <c r="E59" s="977">
        <f>' T.A6'!E60/' T.A5'!E60</f>
        <v>1.6950615366026271E-2</v>
      </c>
      <c r="F59" s="1044">
        <f>' T.A6'!F60/' T.A5'!F60</f>
        <v>6.7332039027572468E-2</v>
      </c>
      <c r="G59" s="976">
        <f>' T.A6'!G60/' T.A5'!G60</f>
        <v>3.2191785003536373E-2</v>
      </c>
      <c r="H59" s="979">
        <f>' T.A6'!H60/' T.A5'!H60</f>
        <v>3.50608231500949E-2</v>
      </c>
      <c r="I59" s="995">
        <f>' T.A6'!I60/' T.A5'!I60</f>
        <v>3.3728101571515547E-2</v>
      </c>
      <c r="J59" s="977">
        <f>' T.A6'!J60/' T.A5'!J60</f>
        <v>1.213949067420054E-2</v>
      </c>
      <c r="K59" s="1044">
        <f>' T.A6'!K60/' T.A5'!K60</f>
        <v>3.6375771011778767E-2</v>
      </c>
      <c r="L59" s="1055">
        <f t="shared" si="2"/>
        <v>3.2685390345110574E-2</v>
      </c>
      <c r="M59" s="1057">
        <f t="shared" si="1"/>
        <v>-1.1562551127012839E-2</v>
      </c>
      <c r="P59" s="824"/>
      <c r="R59" s="854"/>
    </row>
    <row r="60" spans="1:18" ht="16" thickBot="1">
      <c r="A60" s="819"/>
      <c r="B60" s="820"/>
      <c r="C60" s="821"/>
      <c r="D60" s="821"/>
      <c r="E60" s="821"/>
      <c r="F60" s="833"/>
      <c r="G60" s="820"/>
      <c r="H60" s="821"/>
      <c r="I60" s="821"/>
      <c r="J60" s="821"/>
      <c r="K60" s="821"/>
      <c r="L60" s="820"/>
      <c r="M60" s="823"/>
      <c r="P60" s="824"/>
    </row>
    <row r="61" spans="1:18" ht="17" thickTop="1" thickBot="1">
      <c r="F61" s="824"/>
    </row>
    <row r="62" spans="1:18" s="825" customFormat="1" ht="28" customHeight="1" thickBot="1">
      <c r="A62" s="1745" t="s">
        <v>2502</v>
      </c>
      <c r="B62" s="1746"/>
      <c r="C62" s="1746"/>
      <c r="D62" s="1746"/>
      <c r="E62" s="1746"/>
      <c r="F62" s="1746"/>
      <c r="G62" s="1746"/>
      <c r="H62" s="1746"/>
      <c r="I62" s="1746"/>
      <c r="J62" s="1746"/>
      <c r="K62" s="1746"/>
      <c r="L62" s="1746"/>
      <c r="M62" s="1747"/>
      <c r="N62" s="805"/>
    </row>
    <row r="63" spans="1:18" s="825" customFormat="1">
      <c r="A63" s="805"/>
      <c r="B63" s="805"/>
      <c r="C63" s="805"/>
      <c r="D63" s="805"/>
      <c r="E63" s="805"/>
      <c r="F63" s="805"/>
      <c r="G63" s="805"/>
      <c r="H63" s="805"/>
      <c r="I63" s="805"/>
      <c r="J63" s="805"/>
      <c r="K63" s="805"/>
      <c r="L63" s="805"/>
      <c r="M63" s="805"/>
      <c r="N63" s="805"/>
    </row>
    <row r="64" spans="1:18" s="825" customFormat="1">
      <c r="A64" s="829" t="s">
        <v>2538</v>
      </c>
      <c r="B64" s="1262">
        <f t="shared" ref="B64:L64" si="3">AVERAGE(B9:B59)</f>
        <v>7.6100907045149518E-2</v>
      </c>
      <c r="C64" s="1262">
        <f t="shared" si="3"/>
        <v>9.1283611024178785E-2</v>
      </c>
      <c r="D64" s="1262">
        <f t="shared" si="3"/>
        <v>2.7003993477849562E-2</v>
      </c>
      <c r="E64" s="1262">
        <f t="shared" si="3"/>
        <v>3.0712328141651563E-2</v>
      </c>
      <c r="F64" s="1262">
        <f t="shared" si="3"/>
        <v>8.7200186232994525E-2</v>
      </c>
      <c r="G64" s="1262">
        <f t="shared" si="3"/>
        <v>3.4454823290282981E-2</v>
      </c>
      <c r="H64" s="1262">
        <f t="shared" si="3"/>
        <v>4.6091202540315117E-2</v>
      </c>
      <c r="I64" s="1262">
        <f t="shared" si="3"/>
        <v>4.7235229616860074E-2</v>
      </c>
      <c r="J64" s="1262">
        <f t="shared" si="3"/>
        <v>3.0357706115587173E-2</v>
      </c>
      <c r="K64" s="1262">
        <f t="shared" si="3"/>
        <v>4.6294398868108606E-2</v>
      </c>
      <c r="L64" s="1262">
        <f t="shared" si="3"/>
        <v>4.5192408483863668E-2</v>
      </c>
      <c r="M64" s="805"/>
      <c r="N64" s="805"/>
    </row>
    <row r="65" spans="1:14">
      <c r="A65" s="829" t="s">
        <v>2624</v>
      </c>
      <c r="B65" s="1262">
        <f t="shared" ref="B65:L65" si="4">AVERAGE(B29:B59)</f>
        <v>7.6799777372446587E-2</v>
      </c>
      <c r="C65" s="1262">
        <f t="shared" si="4"/>
        <v>8.8272433669164194E-2</v>
      </c>
      <c r="D65" s="1262">
        <f t="shared" si="4"/>
        <v>2.6110735267291661E-2</v>
      </c>
      <c r="E65" s="1262">
        <f t="shared" si="4"/>
        <v>2.7456390589288025E-2</v>
      </c>
      <c r="F65" s="1262">
        <f t="shared" si="4"/>
        <v>8.4818831872542966E-2</v>
      </c>
      <c r="G65" s="1262">
        <f t="shared" si="4"/>
        <v>3.3523771038890392E-2</v>
      </c>
      <c r="H65" s="1262">
        <f t="shared" si="4"/>
        <v>2.9927235016859181E-2</v>
      </c>
      <c r="I65" s="1262">
        <f t="shared" si="4"/>
        <v>4.4988052950511184E-2</v>
      </c>
      <c r="J65" s="1262">
        <f t="shared" si="4"/>
        <v>2.4226171496554486E-2</v>
      </c>
      <c r="K65" s="1262">
        <f t="shared" si="4"/>
        <v>3.5110167601854578E-2</v>
      </c>
      <c r="L65" s="1262">
        <f t="shared" si="4"/>
        <v>5.8345198652305023E-2</v>
      </c>
    </row>
    <row r="66" spans="1:14" s="825" customFormat="1">
      <c r="A66" s="805"/>
      <c r="B66" s="805"/>
      <c r="C66" s="805"/>
      <c r="D66" s="805"/>
      <c r="E66" s="805"/>
      <c r="F66" s="805"/>
      <c r="G66" s="805"/>
      <c r="H66" s="805"/>
      <c r="I66" s="805"/>
      <c r="J66" s="805"/>
      <c r="K66" s="805"/>
      <c r="L66" s="805"/>
      <c r="M66" s="805"/>
      <c r="N66" s="805"/>
    </row>
    <row r="71" spans="1:14">
      <c r="K71" s="829"/>
      <c r="L71" s="829"/>
      <c r="M71" s="829"/>
    </row>
  </sheetData>
  <mergeCells count="16">
    <mergeCell ref="A3:M3"/>
    <mergeCell ref="B6:F6"/>
    <mergeCell ref="G6:K6"/>
    <mergeCell ref="L6:L8"/>
    <mergeCell ref="M6:M8"/>
    <mergeCell ref="A62:M62"/>
    <mergeCell ref="H7:H8"/>
    <mergeCell ref="I7:I8"/>
    <mergeCell ref="J7:J8"/>
    <mergeCell ref="K7:K8"/>
    <mergeCell ref="B7:B8"/>
    <mergeCell ref="C7:C8"/>
    <mergeCell ref="D7:D8"/>
    <mergeCell ref="E7:E8"/>
    <mergeCell ref="F7:F8"/>
    <mergeCell ref="G7:G8"/>
  </mergeCells>
  <pageMargins left="0.75" right="0.75" top="1" bottom="1" header="0.5" footer="0.5"/>
  <pageSetup scale="74"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P76"/>
  <sheetViews>
    <sheetView workbookViewId="0">
      <pane xSplit="1" ySplit="8" topLeftCell="B37" activePane="bottomRight" state="frozen"/>
      <selection activeCell="X67" sqref="X67"/>
      <selection pane="topRight" activeCell="X67" sqref="X67"/>
      <selection pane="bottomLeft" activeCell="X67" sqref="X67"/>
      <selection pane="bottomRight" activeCell="X67" sqref="X67"/>
    </sheetView>
  </sheetViews>
  <sheetFormatPr baseColWidth="10" defaultColWidth="9.28515625" defaultRowHeight="15" x14ac:dyDescent="0"/>
  <cols>
    <col min="1" max="1" width="16.28515625" style="805" customWidth="1"/>
    <col min="2" max="15" width="9.7109375" style="805" customWidth="1"/>
    <col min="16" max="16" width="11.140625" style="805" bestFit="1" customWidth="1"/>
    <col min="17" max="16384" width="9.28515625" style="805"/>
  </cols>
  <sheetData>
    <row r="1" spans="1:16">
      <c r="B1" s="829"/>
      <c r="F1" s="829"/>
    </row>
    <row r="2" spans="1:16" ht="16" thickBot="1"/>
    <row r="3" spans="1:16" ht="32" customHeight="1" thickTop="1">
      <c r="A3" s="1734" t="s">
        <v>3476</v>
      </c>
      <c r="B3" s="1735"/>
      <c r="C3" s="1735"/>
      <c r="D3" s="1735"/>
      <c r="E3" s="1735"/>
      <c r="F3" s="1735"/>
      <c r="G3" s="1735"/>
      <c r="H3" s="1735"/>
      <c r="I3" s="1735"/>
      <c r="J3" s="1735"/>
      <c r="K3" s="1735"/>
      <c r="L3" s="1735"/>
      <c r="M3" s="1735"/>
      <c r="N3" s="1735"/>
      <c r="O3" s="1736"/>
    </row>
    <row r="4" spans="1:16" ht="12" customHeight="1">
      <c r="A4" s="806"/>
      <c r="B4" s="807"/>
      <c r="C4" s="807"/>
      <c r="D4" s="807"/>
      <c r="E4" s="807"/>
      <c r="F4" s="807"/>
      <c r="G4" s="807"/>
      <c r="H4" s="807"/>
      <c r="I4" s="807"/>
      <c r="J4" s="807"/>
      <c r="K4" s="807"/>
      <c r="L4" s="807"/>
      <c r="M4" s="807"/>
      <c r="N4" s="807"/>
      <c r="O4" s="808"/>
    </row>
    <row r="5" spans="1:16">
      <c r="A5" s="809"/>
      <c r="B5" s="839" t="s">
        <v>2411</v>
      </c>
      <c r="C5" s="839" t="s">
        <v>2412</v>
      </c>
      <c r="D5" s="839" t="s">
        <v>2413</v>
      </c>
      <c r="E5" s="839" t="s">
        <v>2414</v>
      </c>
      <c r="F5" s="839" t="s">
        <v>2415</v>
      </c>
      <c r="G5" s="839" t="s">
        <v>2416</v>
      </c>
      <c r="H5" s="839" t="s">
        <v>2417</v>
      </c>
      <c r="I5" s="839" t="s">
        <v>2429</v>
      </c>
      <c r="J5" s="839" t="s">
        <v>2430</v>
      </c>
      <c r="K5" s="839" t="s">
        <v>2431</v>
      </c>
      <c r="L5" s="839" t="s">
        <v>2432</v>
      </c>
      <c r="M5" s="839" t="s">
        <v>2433</v>
      </c>
      <c r="N5" s="839" t="s">
        <v>2450</v>
      </c>
      <c r="O5" s="840" t="s">
        <v>2461</v>
      </c>
    </row>
    <row r="6" spans="1:16" ht="21" customHeight="1">
      <c r="A6" s="809"/>
      <c r="B6" s="1748" t="s">
        <v>3230</v>
      </c>
      <c r="C6" s="1749"/>
      <c r="D6" s="1749"/>
      <c r="E6" s="1749"/>
      <c r="F6" s="1749"/>
      <c r="G6" s="1800" t="s">
        <v>3239</v>
      </c>
      <c r="H6" s="1801"/>
      <c r="I6" s="1801"/>
      <c r="J6" s="1801"/>
      <c r="K6" s="1801"/>
      <c r="L6" s="1800" t="s">
        <v>3240</v>
      </c>
      <c r="M6" s="1801"/>
      <c r="N6" s="1801"/>
      <c r="O6" s="1818"/>
    </row>
    <row r="7" spans="1:16" ht="85" customHeight="1">
      <c r="A7" s="809"/>
      <c r="B7" s="1741" t="s">
        <v>3233</v>
      </c>
      <c r="C7" s="1804" t="s">
        <v>2495</v>
      </c>
      <c r="D7" s="1824" t="s">
        <v>3231</v>
      </c>
      <c r="E7" s="1824" t="s">
        <v>3235</v>
      </c>
      <c r="F7" s="1822" t="s">
        <v>3232</v>
      </c>
      <c r="G7" s="1741" t="s">
        <v>3234</v>
      </c>
      <c r="H7" s="1804" t="s">
        <v>2495</v>
      </c>
      <c r="I7" s="1824" t="s">
        <v>3231</v>
      </c>
      <c r="J7" s="1824" t="s">
        <v>3235</v>
      </c>
      <c r="K7" s="1774" t="s">
        <v>3236</v>
      </c>
      <c r="L7" s="1741" t="s">
        <v>3237</v>
      </c>
      <c r="M7" s="1825" t="s">
        <v>3241</v>
      </c>
      <c r="N7" s="1743" t="s">
        <v>3238</v>
      </c>
      <c r="O7" s="1811" t="s">
        <v>3242</v>
      </c>
      <c r="P7" s="813"/>
    </row>
    <row r="8" spans="1:16" ht="33" customHeight="1">
      <c r="A8" s="809"/>
      <c r="B8" s="1741"/>
      <c r="C8" s="1742"/>
      <c r="D8" s="1804"/>
      <c r="E8" s="1804"/>
      <c r="F8" s="1823"/>
      <c r="G8" s="1741"/>
      <c r="H8" s="1742"/>
      <c r="I8" s="1804"/>
      <c r="J8" s="1804"/>
      <c r="K8" s="1743"/>
      <c r="L8" s="1741"/>
      <c r="M8" s="1825"/>
      <c r="N8" s="1743"/>
      <c r="O8" s="1811"/>
      <c r="P8" s="813"/>
    </row>
    <row r="9" spans="1:16" ht="14" customHeight="1">
      <c r="A9" s="826">
        <v>1966</v>
      </c>
      <c r="B9" s="976">
        <f>E9/F9</f>
        <v>0.10375809032861079</v>
      </c>
      <c r="C9" s="1361">
        <f>' T.A6'!C10</f>
        <v>5.2309999999999999</v>
      </c>
      <c r="D9" s="1388">
        <f t="shared" ref="D9:D23" si="0">D10*F9/F10</f>
        <v>0.46903174270521314</v>
      </c>
      <c r="E9" s="1361">
        <f>C9+D9</f>
        <v>5.700031742705213</v>
      </c>
      <c r="F9" s="1362">
        <f>' T.A5'!C10</f>
        <v>54.935781148754018</v>
      </c>
      <c r="G9" s="976">
        <f>J9/K9</f>
        <v>8.752753608200331E-2</v>
      </c>
      <c r="H9" s="1368">
        <f>' T.A6'!H10</f>
        <v>0.71099999999999997</v>
      </c>
      <c r="I9" s="1385">
        <f t="shared" ref="I9:I23" si="1">I10*K9/K10</f>
        <v>-5.7143571607014734E-2</v>
      </c>
      <c r="J9" s="1361">
        <f>H9+I9</f>
        <v>0.65385642839298519</v>
      </c>
      <c r="K9" s="1369">
        <f>' T.A5'!H10</f>
        <v>7.4702940087379623</v>
      </c>
      <c r="L9" s="1374">
        <f>(M9+N9)/O9</f>
        <v>9.5472291149710495E-2</v>
      </c>
      <c r="M9" s="1377">
        <v>17.827999999999999</v>
      </c>
      <c r="N9" s="1377">
        <v>39.884999999999998</v>
      </c>
      <c r="O9" s="1391">
        <v>604.5</v>
      </c>
      <c r="P9" s="813"/>
    </row>
    <row r="10" spans="1:16" ht="14" customHeight="1">
      <c r="A10" s="826">
        <v>1967</v>
      </c>
      <c r="B10" s="976">
        <f t="shared" ref="B10:B59" si="2">E10/F10</f>
        <v>9.8992723521741058E-2</v>
      </c>
      <c r="C10" s="1361">
        <f>' T.A6'!C11</f>
        <v>5.5220000000000002</v>
      </c>
      <c r="D10" s="1388">
        <f t="shared" si="0"/>
        <v>0.52120816772617851</v>
      </c>
      <c r="E10" s="1361">
        <f t="shared" ref="E10:E59" si="3">C10+D10</f>
        <v>6.0432081677261786</v>
      </c>
      <c r="F10" s="1362">
        <f>' T.A5'!C11</f>
        <v>61.046993685338421</v>
      </c>
      <c r="G10" s="976">
        <f t="shared" ref="G10:G59" si="4">J10/K10</f>
        <v>9.3637424901535204E-2</v>
      </c>
      <c r="H10" s="1368">
        <f>' T.A6'!H11</f>
        <v>0.82099999999999995</v>
      </c>
      <c r="I10" s="1385">
        <f t="shared" si="1"/>
        <v>-6.2004000576830115E-2</v>
      </c>
      <c r="J10" s="1361">
        <f t="shared" ref="J10:J59" si="5">H10+I10</f>
        <v>0.75899599942316986</v>
      </c>
      <c r="K10" s="1369">
        <f>' T.A5'!H11</f>
        <v>8.1056906490251635</v>
      </c>
      <c r="L10" s="1374">
        <f t="shared" ref="L10:L59" si="6">(M10+N10)/O10</f>
        <v>8.5515142291888599E-2</v>
      </c>
      <c r="M10" s="1377">
        <v>18.329999999999998</v>
      </c>
      <c r="N10" s="1377">
        <v>37.862000000000002</v>
      </c>
      <c r="O10" s="1391">
        <v>657.1</v>
      </c>
      <c r="P10" s="813"/>
    </row>
    <row r="11" spans="1:16" ht="14" customHeight="1">
      <c r="A11" s="826">
        <v>1968</v>
      </c>
      <c r="B11" s="976">
        <f t="shared" si="2"/>
        <v>0.10316108297628937</v>
      </c>
      <c r="C11" s="1361">
        <f>' T.A6'!C12</f>
        <v>6.4859999999999998</v>
      </c>
      <c r="D11" s="1388">
        <f t="shared" si="0"/>
        <v>0.5852291496451737</v>
      </c>
      <c r="E11" s="1361">
        <f t="shared" si="3"/>
        <v>7.0712291496451734</v>
      </c>
      <c r="F11" s="1362">
        <f>' T.A5'!C12</f>
        <v>68.545511016692515</v>
      </c>
      <c r="G11" s="976">
        <f t="shared" si="4"/>
        <v>9.2576498469470941E-2</v>
      </c>
      <c r="H11" s="1368">
        <f>' T.A6'!H12</f>
        <v>0.876</v>
      </c>
      <c r="I11" s="1385">
        <f t="shared" si="1"/>
        <v>-6.6858042649181881E-2</v>
      </c>
      <c r="J11" s="1361">
        <f t="shared" si="5"/>
        <v>0.80914195735081806</v>
      </c>
      <c r="K11" s="1369">
        <f>' T.A5'!H12</f>
        <v>8.7402523397193477</v>
      </c>
      <c r="L11" s="1374">
        <f t="shared" si="6"/>
        <v>7.7984260665470123E-2</v>
      </c>
      <c r="M11" s="1377">
        <v>20.167000000000002</v>
      </c>
      <c r="N11" s="1377">
        <v>36.317</v>
      </c>
      <c r="O11" s="1391">
        <v>724.3</v>
      </c>
      <c r="P11" s="813"/>
    </row>
    <row r="12" spans="1:16" ht="14" customHeight="1">
      <c r="A12" s="856">
        <v>1969</v>
      </c>
      <c r="B12" s="982">
        <f t="shared" si="2"/>
        <v>0.10537400265415998</v>
      </c>
      <c r="C12" s="1363">
        <f>' T.A6'!C13</f>
        <v>7.4850000000000003</v>
      </c>
      <c r="D12" s="1389">
        <f t="shared" si="0"/>
        <v>0.65993485928237816</v>
      </c>
      <c r="E12" s="1363">
        <f t="shared" si="3"/>
        <v>8.1449348592823778</v>
      </c>
      <c r="F12" s="1364">
        <f>' T.A5'!C13</f>
        <v>77.295487066333152</v>
      </c>
      <c r="G12" s="982">
        <f t="shared" si="4"/>
        <v>7.9275428572013487E-2</v>
      </c>
      <c r="H12" s="1370">
        <f>' T.A6'!H13</f>
        <v>0.84799999999999998</v>
      </c>
      <c r="I12" s="1386">
        <f t="shared" si="1"/>
        <v>-7.4624509964944685E-2</v>
      </c>
      <c r="J12" s="1363">
        <f t="shared" si="5"/>
        <v>0.77337549003505535</v>
      </c>
      <c r="K12" s="1371">
        <f>' T.A5'!H13</f>
        <v>9.7555510448300389</v>
      </c>
      <c r="L12" s="1375">
        <f t="shared" si="6"/>
        <v>6.4853640230172621E-2</v>
      </c>
      <c r="M12" s="1378">
        <v>20.402999999999999</v>
      </c>
      <c r="N12" s="1378">
        <v>31.440999999999999</v>
      </c>
      <c r="O12" s="1392">
        <v>799.4</v>
      </c>
      <c r="P12" s="813"/>
    </row>
    <row r="13" spans="1:16" ht="14" customHeight="1">
      <c r="A13" s="826">
        <v>1970</v>
      </c>
      <c r="B13" s="976">
        <f t="shared" si="2"/>
        <v>9.9929201227446016E-2</v>
      </c>
      <c r="C13" s="1361">
        <f>' T.A6'!C14</f>
        <v>8.0229999999999997</v>
      </c>
      <c r="D13" s="1388">
        <f t="shared" si="0"/>
        <v>0.74951180333481526</v>
      </c>
      <c r="E13" s="1361">
        <f t="shared" si="3"/>
        <v>8.7725118033348153</v>
      </c>
      <c r="F13" s="1362">
        <f>' T.A5'!C14</f>
        <v>87.787270343209798</v>
      </c>
      <c r="G13" s="976">
        <f t="shared" si="4"/>
        <v>7.1597946922678665E-2</v>
      </c>
      <c r="H13" s="1368">
        <f>' T.A6'!H14</f>
        <v>0.875</v>
      </c>
      <c r="I13" s="1385">
        <f t="shared" si="1"/>
        <v>-8.4460332058920617E-2</v>
      </c>
      <c r="J13" s="1361">
        <f t="shared" si="5"/>
        <v>0.79053966794107944</v>
      </c>
      <c r="K13" s="1369">
        <f>' T.A5'!H14</f>
        <v>11.041373418078777</v>
      </c>
      <c r="L13" s="1374">
        <f t="shared" si="6"/>
        <v>5.0462710322874034E-2</v>
      </c>
      <c r="M13" s="1377">
        <v>20.370999999999999</v>
      </c>
      <c r="N13" s="1377">
        <v>24.015999999999998</v>
      </c>
      <c r="O13" s="1391">
        <v>879.6</v>
      </c>
      <c r="P13" s="813"/>
    </row>
    <row r="14" spans="1:16" ht="14" customHeight="1">
      <c r="A14" s="826">
        <v>1971</v>
      </c>
      <c r="B14" s="976">
        <f t="shared" si="2"/>
        <v>0.101653078153774</v>
      </c>
      <c r="C14" s="1361">
        <f>' T.A6'!C15</f>
        <v>9.0020000000000007</v>
      </c>
      <c r="D14" s="1388">
        <f t="shared" si="0"/>
        <v>0.82540117425827486</v>
      </c>
      <c r="E14" s="1361">
        <f t="shared" si="3"/>
        <v>9.8274011742582754</v>
      </c>
      <c r="F14" s="1362">
        <f>' T.A5'!C15</f>
        <v>96.675883827069541</v>
      </c>
      <c r="G14" s="976">
        <f t="shared" si="4"/>
        <v>9.4692075472007683E-2</v>
      </c>
      <c r="H14" s="1368">
        <f>' T.A6'!H15</f>
        <v>1.1639999999999999</v>
      </c>
      <c r="I14" s="1385">
        <f t="shared" si="1"/>
        <v>-8.7002317249441671E-2</v>
      </c>
      <c r="J14" s="1361">
        <f t="shared" si="5"/>
        <v>1.0769976827505583</v>
      </c>
      <c r="K14" s="1369">
        <f>' T.A5'!H15</f>
        <v>11.373683356100205</v>
      </c>
      <c r="L14" s="1374">
        <f t="shared" si="6"/>
        <v>5.6731747845051403E-2</v>
      </c>
      <c r="M14" s="1377">
        <v>20.337</v>
      </c>
      <c r="N14" s="1377">
        <v>34.29</v>
      </c>
      <c r="O14" s="1391">
        <v>962.9</v>
      </c>
      <c r="P14" s="813"/>
    </row>
    <row r="15" spans="1:16" ht="14" customHeight="1">
      <c r="A15" s="826">
        <v>1972</v>
      </c>
      <c r="B15" s="976">
        <f t="shared" si="2"/>
        <v>0.10101853446327573</v>
      </c>
      <c r="C15" s="1361">
        <f>' T.A6'!C16</f>
        <v>10.8</v>
      </c>
      <c r="D15" s="1388">
        <f t="shared" si="0"/>
        <v>0.99705589287170693</v>
      </c>
      <c r="E15" s="1361">
        <f t="shared" si="3"/>
        <v>11.797055892871708</v>
      </c>
      <c r="F15" s="1362">
        <f>' T.A5'!C16</f>
        <v>116.78110314657562</v>
      </c>
      <c r="G15" s="976">
        <f t="shared" si="4"/>
        <v>9.6701335181966913E-2</v>
      </c>
      <c r="H15" s="1368">
        <f>' T.A6'!H16</f>
        <v>1.284</v>
      </c>
      <c r="I15" s="1385">
        <f t="shared" si="1"/>
        <v>-9.412370792137878E-2</v>
      </c>
      <c r="J15" s="1361">
        <f t="shared" si="5"/>
        <v>1.1898762920786212</v>
      </c>
      <c r="K15" s="1369">
        <f>' T.A5'!H16</f>
        <v>12.304652152316011</v>
      </c>
      <c r="L15" s="1374">
        <f t="shared" si="6"/>
        <v>6.2528471624078846E-2</v>
      </c>
      <c r="M15" s="1377">
        <v>21.942</v>
      </c>
      <c r="N15" s="1377">
        <v>43.393999999999998</v>
      </c>
      <c r="O15" s="1391">
        <v>1044.9000000000001</v>
      </c>
      <c r="P15" s="813"/>
    </row>
    <row r="16" spans="1:16" ht="14" customHeight="1">
      <c r="A16" s="826">
        <v>1973</v>
      </c>
      <c r="B16" s="976">
        <f t="shared" si="2"/>
        <v>0.14885937352749229</v>
      </c>
      <c r="C16" s="1361">
        <f>' T.A6'!C17</f>
        <v>16.483000000000001</v>
      </c>
      <c r="D16" s="1388">
        <f t="shared" si="0"/>
        <v>1.0029027029836786</v>
      </c>
      <c r="E16" s="1361">
        <f t="shared" si="3"/>
        <v>17.48590270298368</v>
      </c>
      <c r="F16" s="1362">
        <f>' T.A5'!C17</f>
        <v>117.46591624446326</v>
      </c>
      <c r="G16" s="976">
        <f t="shared" si="4"/>
        <v>0.10040660389046747</v>
      </c>
      <c r="H16" s="1368">
        <f>' T.A6'!H17</f>
        <v>1.61</v>
      </c>
      <c r="I16" s="1385">
        <f t="shared" si="1"/>
        <v>-0.11397418523831203</v>
      </c>
      <c r="J16" s="1361">
        <f t="shared" si="5"/>
        <v>1.4960258147616881</v>
      </c>
      <c r="K16" s="1369">
        <f>' T.A5'!H17</f>
        <v>14.89967548741801</v>
      </c>
      <c r="L16" s="1374">
        <f t="shared" si="6"/>
        <v>5.8121129866825008E-2</v>
      </c>
      <c r="M16" s="1377">
        <v>23.106999999999999</v>
      </c>
      <c r="N16" s="1377">
        <v>45.411999999999999</v>
      </c>
      <c r="O16" s="1391">
        <v>1178.9000000000001</v>
      </c>
      <c r="P16" s="813"/>
    </row>
    <row r="17" spans="1:16" ht="14" customHeight="1">
      <c r="A17" s="826">
        <v>1974</v>
      </c>
      <c r="B17" s="976">
        <f t="shared" si="2"/>
        <v>0.16059316386838715</v>
      </c>
      <c r="C17" s="1361">
        <f>' T.A6'!C18</f>
        <v>19.141999999999999</v>
      </c>
      <c r="D17" s="1388">
        <f t="shared" si="0"/>
        <v>1.0748121121325487</v>
      </c>
      <c r="E17" s="1361">
        <f t="shared" si="3"/>
        <v>20.216812112132548</v>
      </c>
      <c r="F17" s="1362">
        <f>' T.A5'!C18</f>
        <v>125.8883729864185</v>
      </c>
      <c r="G17" s="976">
        <f t="shared" si="4"/>
        <v>6.2867599327435353E-2</v>
      </c>
      <c r="H17" s="1368">
        <f>' T.A6'!H18</f>
        <v>1.331</v>
      </c>
      <c r="I17" s="1385">
        <f t="shared" si="1"/>
        <v>-0.14438220406261038</v>
      </c>
      <c r="J17" s="1361">
        <f t="shared" si="5"/>
        <v>1.1866177959373896</v>
      </c>
      <c r="K17" s="1369">
        <f>' T.A5'!H18</f>
        <v>18.87487049977986</v>
      </c>
      <c r="L17" s="1374">
        <f t="shared" si="6"/>
        <v>3.850763888888889E-2</v>
      </c>
      <c r="M17" s="1377">
        <v>23.454000000000001</v>
      </c>
      <c r="N17" s="1377">
        <v>31.997</v>
      </c>
      <c r="O17" s="1391">
        <v>1440</v>
      </c>
      <c r="P17" s="813"/>
    </row>
    <row r="18" spans="1:16" ht="14" customHeight="1">
      <c r="A18" s="826">
        <v>1975</v>
      </c>
      <c r="B18" s="976">
        <f t="shared" si="2"/>
        <v>0.12650385868840969</v>
      </c>
      <c r="C18" s="1361">
        <f>' T.A6'!C19</f>
        <v>16.414000000000001</v>
      </c>
      <c r="D18" s="1388">
        <f t="shared" si="0"/>
        <v>1.18796695348435</v>
      </c>
      <c r="E18" s="1361">
        <f t="shared" si="3"/>
        <v>17.60196695348435</v>
      </c>
      <c r="F18" s="1362">
        <f>' T.A5'!C19</f>
        <v>139.1417395167334</v>
      </c>
      <c r="G18" s="976">
        <f t="shared" si="4"/>
        <v>9.848767779573589E-2</v>
      </c>
      <c r="H18" s="1368">
        <f>' T.A6'!H19</f>
        <v>2.234</v>
      </c>
      <c r="I18" s="1385">
        <f t="shared" si="1"/>
        <v>-0.16100729816041515</v>
      </c>
      <c r="J18" s="1361">
        <f t="shared" si="5"/>
        <v>2.0729927018395848</v>
      </c>
      <c r="K18" s="1369">
        <f>' T.A5'!H19</f>
        <v>21.048244290407432</v>
      </c>
      <c r="L18" s="1374">
        <f t="shared" si="6"/>
        <v>4.5480293251456853E-2</v>
      </c>
      <c r="M18" s="1377">
        <v>26.404</v>
      </c>
      <c r="N18" s="1377">
        <v>46.177999999999997</v>
      </c>
      <c r="O18" s="1391">
        <v>1595.9</v>
      </c>
      <c r="P18" s="813"/>
    </row>
    <row r="19" spans="1:16" ht="14" customHeight="1">
      <c r="A19" s="826">
        <v>1976</v>
      </c>
      <c r="B19" s="976">
        <f t="shared" si="2"/>
        <v>0.10053884025561474</v>
      </c>
      <c r="C19" s="1361">
        <f>' T.A6'!C20</f>
        <v>19.027999999999999</v>
      </c>
      <c r="D19" s="1388">
        <f t="shared" si="0"/>
        <v>1.7658240382057333</v>
      </c>
      <c r="E19" s="1361">
        <f t="shared" si="3"/>
        <v>20.793824038205731</v>
      </c>
      <c r="F19" s="1362">
        <f>' T.A5'!C20</f>
        <v>206.82379054043713</v>
      </c>
      <c r="G19" s="976">
        <f t="shared" si="4"/>
        <v>7.0720693756991096E-2</v>
      </c>
      <c r="H19" s="1368">
        <f>' T.A6'!H20</f>
        <v>3.11</v>
      </c>
      <c r="I19" s="1385">
        <f t="shared" si="1"/>
        <v>-0.30355646265096642</v>
      </c>
      <c r="J19" s="1361">
        <f t="shared" si="5"/>
        <v>2.8064435373490335</v>
      </c>
      <c r="K19" s="1369">
        <f>' T.A5'!H20</f>
        <v>39.683484256990937</v>
      </c>
      <c r="L19" s="1374">
        <f t="shared" si="6"/>
        <v>5.2752780153977767E-2</v>
      </c>
      <c r="M19" s="1377">
        <v>30.055</v>
      </c>
      <c r="N19" s="1377">
        <v>62.447000000000003</v>
      </c>
      <c r="O19" s="1391">
        <v>1753.5</v>
      </c>
      <c r="P19" s="813"/>
    </row>
    <row r="20" spans="1:16" ht="14" customHeight="1">
      <c r="A20" s="826">
        <v>1977</v>
      </c>
      <c r="B20" s="976">
        <f t="shared" si="2"/>
        <v>8.8430105182314131E-2</v>
      </c>
      <c r="C20" s="1361">
        <f>' T.A6'!C21</f>
        <v>18.822143328158646</v>
      </c>
      <c r="D20" s="1388">
        <f t="shared" si="0"/>
        <v>2.0114588721634705</v>
      </c>
      <c r="E20" s="1361">
        <f t="shared" si="3"/>
        <v>20.833602200322115</v>
      </c>
      <c r="F20" s="1362">
        <f>' T.A5'!C21</f>
        <v>235.59399999999999</v>
      </c>
      <c r="G20" s="976">
        <f t="shared" si="4"/>
        <v>5.3603638408666845E-2</v>
      </c>
      <c r="H20" s="1368">
        <f>' T.A6'!H21</f>
        <v>2.8340000000000001</v>
      </c>
      <c r="I20" s="1385">
        <f t="shared" si="1"/>
        <v>-0.35391714915161593</v>
      </c>
      <c r="J20" s="1361">
        <f t="shared" si="5"/>
        <v>2.4800828508483841</v>
      </c>
      <c r="K20" s="1369">
        <f>' T.A5'!H21</f>
        <v>46.267061797943079</v>
      </c>
      <c r="L20" s="1374">
        <f t="shared" si="6"/>
        <v>5.7538579851320173E-2</v>
      </c>
      <c r="M20" s="1377">
        <v>33.69</v>
      </c>
      <c r="N20" s="1377">
        <v>78.539000000000001</v>
      </c>
      <c r="O20" s="1391">
        <v>1950.5</v>
      </c>
      <c r="P20" s="813"/>
    </row>
    <row r="21" spans="1:16" ht="14" customHeight="1">
      <c r="A21" s="826">
        <v>1978</v>
      </c>
      <c r="B21" s="976">
        <f t="shared" si="2"/>
        <v>9.8091831467570417E-2</v>
      </c>
      <c r="C21" s="1361">
        <f>' T.A6'!C22</f>
        <v>24.609980017026388</v>
      </c>
      <c r="D21" s="1388">
        <f t="shared" si="0"/>
        <v>2.3462438212507735</v>
      </c>
      <c r="E21" s="1361">
        <f t="shared" si="3"/>
        <v>26.956223838277161</v>
      </c>
      <c r="F21" s="1362">
        <f>' T.A5'!C22</f>
        <v>274.80600000000004</v>
      </c>
      <c r="G21" s="976">
        <f t="shared" si="4"/>
        <v>6.5743355699496742E-2</v>
      </c>
      <c r="H21" s="1368">
        <f>' T.A6'!H22</f>
        <v>4.2268000000000008</v>
      </c>
      <c r="I21" s="1385">
        <f t="shared" si="1"/>
        <v>-0.44054263945070393</v>
      </c>
      <c r="J21" s="1361">
        <f t="shared" si="5"/>
        <v>3.7862573605492971</v>
      </c>
      <c r="K21" s="1369">
        <f>' T.A5'!H22</f>
        <v>57.591483128055181</v>
      </c>
      <c r="L21" s="1374">
        <f t="shared" si="6"/>
        <v>5.9091771294372694E-2</v>
      </c>
      <c r="M21" s="1377">
        <v>39.609000000000002</v>
      </c>
      <c r="N21" s="1377">
        <v>91.231999999999999</v>
      </c>
      <c r="O21" s="1391">
        <v>2214.1999999999998</v>
      </c>
      <c r="P21" s="813"/>
    </row>
    <row r="22" spans="1:16" ht="14" customHeight="1">
      <c r="A22" s="856">
        <v>1979</v>
      </c>
      <c r="B22" s="982">
        <f t="shared" si="2"/>
        <v>0.12269425950900234</v>
      </c>
      <c r="C22" s="1363">
        <f>' T.A6'!C23</f>
        <v>37.428814698783114</v>
      </c>
      <c r="D22" s="1389">
        <f t="shared" si="0"/>
        <v>2.7993202492120068</v>
      </c>
      <c r="E22" s="1363">
        <f t="shared" si="3"/>
        <v>40.228134947995123</v>
      </c>
      <c r="F22" s="1364">
        <f>' T.A5'!C23</f>
        <v>327.87299999999999</v>
      </c>
      <c r="G22" s="982">
        <f t="shared" si="4"/>
        <v>7.2296475203422694E-2</v>
      </c>
      <c r="H22" s="1370">
        <f>' T.A6'!H23</f>
        <v>5.9127200000000002</v>
      </c>
      <c r="I22" s="1386">
        <f t="shared" si="1"/>
        <v>-0.56574499043006132</v>
      </c>
      <c r="J22" s="1363">
        <f t="shared" si="5"/>
        <v>5.3469750095699391</v>
      </c>
      <c r="K22" s="1371">
        <f>' T.A5'!H23</f>
        <v>73.959000000000003</v>
      </c>
      <c r="L22" s="1375">
        <f t="shared" si="6"/>
        <v>4.8678070930869802E-2</v>
      </c>
      <c r="M22" s="1378">
        <v>41.478999999999999</v>
      </c>
      <c r="N22" s="1378">
        <v>82.873999999999995</v>
      </c>
      <c r="O22" s="1392">
        <v>2554.6</v>
      </c>
      <c r="P22" s="813"/>
    </row>
    <row r="23" spans="1:16" ht="14" customHeight="1">
      <c r="A23" s="863">
        <v>1980</v>
      </c>
      <c r="B23" s="988">
        <f t="shared" si="2"/>
        <v>0.10390456869585704</v>
      </c>
      <c r="C23" s="1365">
        <f>' T.A6'!C24</f>
        <v>36.559701889929393</v>
      </c>
      <c r="D23" s="1390">
        <f t="shared" si="0"/>
        <v>3.2730496607456727</v>
      </c>
      <c r="E23" s="1365">
        <f t="shared" si="3"/>
        <v>39.832751550675063</v>
      </c>
      <c r="F23" s="1366">
        <f>' T.A5'!C24</f>
        <v>383.35900000000004</v>
      </c>
      <c r="G23" s="988">
        <f t="shared" si="4"/>
        <v>4.5046693027560224E-2</v>
      </c>
      <c r="H23" s="1372">
        <f>' T.A6'!H24</f>
        <v>5.7845600000000008</v>
      </c>
      <c r="I23" s="1387">
        <f t="shared" si="1"/>
        <v>-0.83969441297865965</v>
      </c>
      <c r="J23" s="1365">
        <f t="shared" si="5"/>
        <v>4.9448655870213409</v>
      </c>
      <c r="K23" s="1373">
        <f>' T.A5'!H24</f>
        <v>109.77200000000001</v>
      </c>
      <c r="L23" s="1376">
        <f t="shared" si="6"/>
        <v>3.4378684111894778E-2</v>
      </c>
      <c r="M23" s="1379">
        <v>47.322000000000003</v>
      </c>
      <c r="N23" s="1379">
        <v>53.576000000000001</v>
      </c>
      <c r="O23" s="1393">
        <v>2934.9</v>
      </c>
      <c r="P23" s="813"/>
    </row>
    <row r="24" spans="1:16" ht="14" customHeight="1">
      <c r="A24" s="826">
        <v>1981</v>
      </c>
      <c r="B24" s="976">
        <f t="shared" si="2"/>
        <v>8.7189330602749693E-2</v>
      </c>
      <c r="C24" s="1361">
        <f>' T.A6'!C25</f>
        <v>32.172243617607293</v>
      </c>
      <c r="D24" s="1388">
        <f>D25*F24/F25</f>
        <v>3.492377686786265</v>
      </c>
      <c r="E24" s="1361">
        <f t="shared" si="3"/>
        <v>35.664621304393556</v>
      </c>
      <c r="F24" s="1362">
        <f>' T.A5'!C25</f>
        <v>409.048</v>
      </c>
      <c r="G24" s="976">
        <f t="shared" si="4"/>
        <v>3.2136306711058014E-2</v>
      </c>
      <c r="H24" s="1368">
        <f>' T.A6'!H25</f>
        <v>5.5634399999999999</v>
      </c>
      <c r="I24" s="1385">
        <f>I25*K24/K25</f>
        <v>-1.0696595510592031</v>
      </c>
      <c r="J24" s="1361">
        <f t="shared" si="5"/>
        <v>4.4937804489407966</v>
      </c>
      <c r="K24" s="1369">
        <f>' T.A5'!H25</f>
        <v>139.83499999999998</v>
      </c>
      <c r="L24" s="1374">
        <f t="shared" si="6"/>
        <v>4.0167318687932593E-2</v>
      </c>
      <c r="M24" s="1377">
        <v>58.311</v>
      </c>
      <c r="N24" s="1377">
        <v>75.165000000000006</v>
      </c>
      <c r="O24" s="1391">
        <v>3323</v>
      </c>
    </row>
    <row r="25" spans="1:16" ht="14" customHeight="1">
      <c r="A25" s="826">
        <v>1982</v>
      </c>
      <c r="B25" s="976">
        <f t="shared" si="2"/>
        <v>7.408607535275577E-2</v>
      </c>
      <c r="C25" s="1361">
        <f>' T.A6'!C26</f>
        <v>26.701999999999998</v>
      </c>
      <c r="D25" s="1361">
        <f>'Assets(BoP)'!CU74</f>
        <v>3.4780000000000002</v>
      </c>
      <c r="E25" s="1361">
        <f t="shared" si="3"/>
        <v>30.18</v>
      </c>
      <c r="F25" s="1362">
        <f>' T.A5'!C26</f>
        <v>407.36399999999998</v>
      </c>
      <c r="G25" s="976">
        <f t="shared" si="4"/>
        <v>-1.0806869523325919E-3</v>
      </c>
      <c r="H25" s="1368">
        <f>' T.A6'!H26</f>
        <v>1.0089999999999999</v>
      </c>
      <c r="I25" s="1382">
        <f>Liabilities!AH74</f>
        <v>-1.175</v>
      </c>
      <c r="J25" s="1361">
        <f t="shared" si="5"/>
        <v>-0.16600000000000015</v>
      </c>
      <c r="K25" s="1369">
        <f>' T.A5'!H26</f>
        <v>153.60600000000002</v>
      </c>
      <c r="L25" s="1374">
        <f t="shared" si="6"/>
        <v>3.6895102132942108E-2</v>
      </c>
      <c r="M25" s="1369">
        <v>61.331000000000003</v>
      </c>
      <c r="N25" s="1369">
        <v>69.44</v>
      </c>
      <c r="O25" s="1380">
        <v>3544.4</v>
      </c>
      <c r="P25" s="895"/>
    </row>
    <row r="26" spans="1:16" ht="14" customHeight="1">
      <c r="A26" s="826">
        <v>1983</v>
      </c>
      <c r="B26" s="976">
        <f t="shared" si="2"/>
        <v>8.3594483713113538E-2</v>
      </c>
      <c r="C26" s="1361">
        <f>' T.A6'!C27</f>
        <v>30.821000000000002</v>
      </c>
      <c r="D26" s="1361">
        <f>'Assets(BoP)'!CU75</f>
        <v>3.0030000000000001</v>
      </c>
      <c r="E26" s="1361">
        <f t="shared" si="3"/>
        <v>33.823999999999998</v>
      </c>
      <c r="F26" s="1362">
        <f>' T.A5'!C27</f>
        <v>404.62</v>
      </c>
      <c r="G26" s="976">
        <f t="shared" si="4"/>
        <v>1.1059988827026041E-2</v>
      </c>
      <c r="H26" s="1368">
        <f>' T.A6'!H27</f>
        <v>2.9079999999999995</v>
      </c>
      <c r="I26" s="1382">
        <f>Liabilities!AH75</f>
        <v>-1.1459999999999999</v>
      </c>
      <c r="J26" s="1361">
        <f t="shared" si="5"/>
        <v>1.7619999999999996</v>
      </c>
      <c r="K26" s="1369">
        <f>' T.A5'!H27</f>
        <v>159.31299999999999</v>
      </c>
      <c r="L26" s="1374">
        <f t="shared" si="6"/>
        <v>4.4800251221976457E-2</v>
      </c>
      <c r="M26" s="1369">
        <v>71.319000000000003</v>
      </c>
      <c r="N26" s="1369">
        <v>92.744</v>
      </c>
      <c r="O26" s="1380">
        <v>3662.1</v>
      </c>
      <c r="P26" s="813"/>
    </row>
    <row r="27" spans="1:16" ht="14" customHeight="1">
      <c r="A27" s="826">
        <v>1984</v>
      </c>
      <c r="B27" s="976">
        <f t="shared" si="2"/>
        <v>9.4218494151330032E-2</v>
      </c>
      <c r="C27" s="1361">
        <f>' T.A6'!C28</f>
        <v>35.074999999999996</v>
      </c>
      <c r="D27" s="1361">
        <f>'Assets(BoP)'!CU76</f>
        <v>3.3620000000000001</v>
      </c>
      <c r="E27" s="1361">
        <f t="shared" si="3"/>
        <v>38.436999999999998</v>
      </c>
      <c r="F27" s="1362">
        <f>' T.A5'!C28</f>
        <v>407.95600000000002</v>
      </c>
      <c r="G27" s="976">
        <f t="shared" si="4"/>
        <v>2.9759251616453427E-2</v>
      </c>
      <c r="H27" s="1368">
        <f>' T.A6'!H28</f>
        <v>6.5069999999999997</v>
      </c>
      <c r="I27" s="1382">
        <f>Liabilities!AH76</f>
        <v>-1.099</v>
      </c>
      <c r="J27" s="1361">
        <f t="shared" si="5"/>
        <v>5.4079999999999995</v>
      </c>
      <c r="K27" s="1369">
        <f>' T.A5'!H28</f>
        <v>181.72500000000002</v>
      </c>
      <c r="L27" s="1374">
        <f t="shared" si="6"/>
        <v>5.2363234576149241E-2</v>
      </c>
      <c r="M27" s="1369">
        <v>78.515000000000001</v>
      </c>
      <c r="N27" s="1369">
        <v>125.267</v>
      </c>
      <c r="O27" s="1380">
        <v>3891.7</v>
      </c>
      <c r="P27" s="813"/>
    </row>
    <row r="28" spans="1:16" ht="14" customHeight="1">
      <c r="A28" s="826">
        <v>1985</v>
      </c>
      <c r="B28" s="976">
        <f t="shared" si="2"/>
        <v>9.0255313146511182E-2</v>
      </c>
      <c r="C28" s="1361">
        <f>' T.A6'!C29</f>
        <v>32.851999999999997</v>
      </c>
      <c r="D28" s="1361">
        <f>'Assets(BoP)'!CU77</f>
        <v>5.5389999999999997</v>
      </c>
      <c r="E28" s="1361">
        <f t="shared" si="3"/>
        <v>38.390999999999998</v>
      </c>
      <c r="F28" s="1362">
        <f>' T.A5'!C29</f>
        <v>425.36</v>
      </c>
      <c r="G28" s="976">
        <f t="shared" si="4"/>
        <v>1.8833906025251715E-2</v>
      </c>
      <c r="H28" s="1368">
        <f>' T.A6'!H29</f>
        <v>4.5190000000000001</v>
      </c>
      <c r="I28" s="1382">
        <f>Liabilities!AH77</f>
        <v>-0.748</v>
      </c>
      <c r="J28" s="1361">
        <f t="shared" si="5"/>
        <v>3.7709999999999999</v>
      </c>
      <c r="K28" s="1369">
        <f>' T.A5'!H29</f>
        <v>200.22400000000002</v>
      </c>
      <c r="L28" s="1374">
        <f t="shared" si="6"/>
        <v>5.2713359084614823E-2</v>
      </c>
      <c r="M28" s="1369">
        <v>85.709000000000003</v>
      </c>
      <c r="N28" s="1369">
        <v>131.27500000000001</v>
      </c>
      <c r="O28" s="1380">
        <v>4116.3</v>
      </c>
      <c r="P28" s="813"/>
    </row>
    <row r="29" spans="1:16" ht="14" customHeight="1">
      <c r="A29" s="826">
        <v>1986</v>
      </c>
      <c r="B29" s="976">
        <f t="shared" si="2"/>
        <v>8.6459564372066519E-2</v>
      </c>
      <c r="C29" s="1361">
        <f>' T.A6'!C30</f>
        <v>34.201000000000001</v>
      </c>
      <c r="D29" s="1361">
        <f>'Assets(BoP)'!CU78</f>
        <v>4.3540000000000001</v>
      </c>
      <c r="E29" s="1361">
        <f t="shared" si="3"/>
        <v>38.555</v>
      </c>
      <c r="F29" s="1362">
        <f>' T.A5'!C30</f>
        <v>445.93100000000004</v>
      </c>
      <c r="G29" s="976">
        <f t="shared" si="4"/>
        <v>1.5852193424144449E-2</v>
      </c>
      <c r="H29" s="1368">
        <f>' T.A6'!H30</f>
        <v>4.3140000000000001</v>
      </c>
      <c r="I29" s="1382">
        <f>Liabilities!AH78</f>
        <v>-0.72499999999999998</v>
      </c>
      <c r="J29" s="1361">
        <f t="shared" si="5"/>
        <v>3.589</v>
      </c>
      <c r="K29" s="1369">
        <f>' T.A5'!H30</f>
        <v>226.40400000000002</v>
      </c>
      <c r="L29" s="1374">
        <f t="shared" si="6"/>
        <v>4.0592118979776215E-2</v>
      </c>
      <c r="M29" s="1369">
        <v>88.296999999999997</v>
      </c>
      <c r="N29" s="1369">
        <v>86.927000000000007</v>
      </c>
      <c r="O29" s="1380">
        <v>4316.7</v>
      </c>
      <c r="P29" s="813"/>
    </row>
    <row r="30" spans="1:16" ht="14" customHeight="1">
      <c r="A30" s="826">
        <v>1987</v>
      </c>
      <c r="B30" s="976">
        <f t="shared" si="2"/>
        <v>9.290515280543378E-2</v>
      </c>
      <c r="C30" s="1361">
        <f>' T.A6'!C31</f>
        <v>42.336999999999996</v>
      </c>
      <c r="D30" s="1361">
        <f>'Assets(BoP)'!CU79</f>
        <v>4.88</v>
      </c>
      <c r="E30" s="1361">
        <f t="shared" si="3"/>
        <v>47.216999999999999</v>
      </c>
      <c r="F30" s="1362">
        <f>' T.A5'!C31</f>
        <v>508.22800000000001</v>
      </c>
      <c r="G30" s="976">
        <f t="shared" si="4"/>
        <v>1.5930652986804295E-2</v>
      </c>
      <c r="H30" s="1368">
        <f>' T.A6'!H31</f>
        <v>5.2350000000000012</v>
      </c>
      <c r="I30" s="1382">
        <f>Liabilities!AH79</f>
        <v>-1.111</v>
      </c>
      <c r="J30" s="1361">
        <f t="shared" si="5"/>
        <v>4.1240000000000014</v>
      </c>
      <c r="K30" s="1369">
        <f>' T.A5'!H31</f>
        <v>258.87200000000001</v>
      </c>
      <c r="L30" s="1374">
        <f t="shared" si="6"/>
        <v>4.119681026339491E-2</v>
      </c>
      <c r="M30" s="1369">
        <v>95.606999999999999</v>
      </c>
      <c r="N30" s="1369">
        <v>91.924999999999997</v>
      </c>
      <c r="O30" s="1380">
        <v>4552.1000000000004</v>
      </c>
      <c r="P30" s="813"/>
    </row>
    <row r="31" spans="1:16" ht="14" customHeight="1">
      <c r="A31" s="826">
        <v>1988</v>
      </c>
      <c r="B31" s="976">
        <f t="shared" si="2"/>
        <v>0.1088390914876842</v>
      </c>
      <c r="C31" s="1361">
        <f>' T.A6'!C32</f>
        <v>53.359000000000002</v>
      </c>
      <c r="D31" s="1361">
        <f>'Assets(BoP)'!CU80</f>
        <v>3.9289999999999998</v>
      </c>
      <c r="E31" s="1361">
        <f t="shared" si="3"/>
        <v>57.288000000000004</v>
      </c>
      <c r="F31" s="1362">
        <f>' T.A5'!C32</f>
        <v>526.3549999999999</v>
      </c>
      <c r="G31" s="976">
        <f t="shared" si="4"/>
        <v>2.2338517887347226E-2</v>
      </c>
      <c r="H31" s="1368">
        <f>' T.A6'!H32</f>
        <v>7.8619999999999992</v>
      </c>
      <c r="I31" s="1382">
        <f>Liabilities!AH80</f>
        <v>-0.83599999999999997</v>
      </c>
      <c r="J31" s="1361">
        <f t="shared" si="5"/>
        <v>7.0259999999999989</v>
      </c>
      <c r="K31" s="1369">
        <f>' T.A5'!H32</f>
        <v>314.524</v>
      </c>
      <c r="L31" s="1374">
        <f t="shared" si="6"/>
        <v>4.4596238709943496E-2</v>
      </c>
      <c r="M31" s="1369">
        <v>98.025000000000006</v>
      </c>
      <c r="N31" s="1369">
        <v>118.24</v>
      </c>
      <c r="O31" s="1380">
        <v>4849.3999999999996</v>
      </c>
      <c r="P31" s="813"/>
    </row>
    <row r="32" spans="1:16" ht="14" customHeight="1">
      <c r="A32" s="856">
        <v>1989</v>
      </c>
      <c r="B32" s="982">
        <f t="shared" si="2"/>
        <v>0.10983738308798863</v>
      </c>
      <c r="C32" s="1363">
        <f>' T.A6'!C33</f>
        <v>53.744</v>
      </c>
      <c r="D32" s="1363">
        <f>'Assets(BoP)'!CU81</f>
        <v>5.843</v>
      </c>
      <c r="E32" s="1363">
        <f t="shared" si="3"/>
        <v>59.587000000000003</v>
      </c>
      <c r="F32" s="1364">
        <f>' T.A5'!C33</f>
        <v>542.50199999999995</v>
      </c>
      <c r="G32" s="982">
        <f t="shared" si="4"/>
        <v>-1.2892534127296239E-3</v>
      </c>
      <c r="H32" s="1370">
        <f>' T.A6'!H33</f>
        <v>0.27699999999999925</v>
      </c>
      <c r="I32" s="1383">
        <f>Liabilities!AH81</f>
        <v>-0.73599999999999999</v>
      </c>
      <c r="J32" s="1363">
        <f t="shared" si="5"/>
        <v>-0.45900000000000074</v>
      </c>
      <c r="K32" s="1371">
        <f>' T.A5'!H33</f>
        <v>356.02000000000004</v>
      </c>
      <c r="L32" s="1375">
        <f t="shared" si="6"/>
        <v>3.9067431014380101E-2</v>
      </c>
      <c r="M32" s="1371">
        <v>126.374</v>
      </c>
      <c r="N32" s="1371">
        <v>74.667000000000002</v>
      </c>
      <c r="O32" s="1381">
        <v>5146</v>
      </c>
      <c r="P32" s="895"/>
    </row>
    <row r="33" spans="1:16" ht="14" customHeight="1">
      <c r="A33" s="826">
        <v>1990</v>
      </c>
      <c r="B33" s="976">
        <f t="shared" si="2"/>
        <v>0.10366037948912116</v>
      </c>
      <c r="C33" s="1361">
        <f>' T.A6'!C34</f>
        <v>56.220999999999997</v>
      </c>
      <c r="D33" s="1361">
        <f>'Assets(BoP)'!CU82</f>
        <v>6.2009999999999996</v>
      </c>
      <c r="E33" s="1361">
        <f t="shared" si="3"/>
        <v>62.421999999999997</v>
      </c>
      <c r="F33" s="1362">
        <f>' T.A5'!C34</f>
        <v>602.178</v>
      </c>
      <c r="G33" s="976">
        <f t="shared" si="4"/>
        <v>-1.3328477221477444E-2</v>
      </c>
      <c r="H33" s="1368">
        <f>' T.A6'!H34</f>
        <v>-5.2319999999999993</v>
      </c>
      <c r="I33" s="1382">
        <f>Liabilities!AH82</f>
        <v>7.1999999999999995E-2</v>
      </c>
      <c r="J33" s="1361">
        <f t="shared" si="5"/>
        <v>-5.1599999999999993</v>
      </c>
      <c r="K33" s="1369">
        <f>' T.A5'!H34</f>
        <v>387.14100000000002</v>
      </c>
      <c r="L33" s="1374">
        <f t="shared" si="6"/>
        <v>3.5918520966439008E-2</v>
      </c>
      <c r="M33" s="1369">
        <v>144.08799999999999</v>
      </c>
      <c r="N33" s="1369">
        <v>51.552999999999997</v>
      </c>
      <c r="O33" s="1380">
        <v>5446.8</v>
      </c>
      <c r="P33" s="813"/>
    </row>
    <row r="34" spans="1:16" ht="14" customHeight="1">
      <c r="A34" s="826">
        <v>1991</v>
      </c>
      <c r="B34" s="976">
        <f t="shared" si="2"/>
        <v>8.8419849882266796E-2</v>
      </c>
      <c r="C34" s="1361">
        <f>' T.A6'!C35</f>
        <v>50.833000000000006</v>
      </c>
      <c r="D34" s="1361">
        <f>'Assets(BoP)'!CU83</f>
        <v>5.1929999999999996</v>
      </c>
      <c r="E34" s="1361">
        <f t="shared" si="3"/>
        <v>56.026000000000003</v>
      </c>
      <c r="F34" s="1362">
        <f>' T.A5'!C35</f>
        <v>633.63599999999997</v>
      </c>
      <c r="G34" s="976">
        <f t="shared" si="4"/>
        <v>-2.6055596077477913E-2</v>
      </c>
      <c r="H34" s="1368">
        <f>' T.A6'!H35</f>
        <v>-11.302</v>
      </c>
      <c r="I34" s="1382">
        <f>Liabilities!AH83</f>
        <v>0.371</v>
      </c>
      <c r="J34" s="1361">
        <f t="shared" si="5"/>
        <v>-10.930999999999999</v>
      </c>
      <c r="K34" s="1369">
        <f>' T.A5'!H35</f>
        <v>419.52600000000001</v>
      </c>
      <c r="L34" s="1374">
        <f t="shared" si="6"/>
        <v>4.2246361263097658E-2</v>
      </c>
      <c r="M34" s="1369">
        <v>156.18600000000001</v>
      </c>
      <c r="N34" s="1369">
        <v>80.081000000000003</v>
      </c>
      <c r="O34" s="1380">
        <v>5592.6</v>
      </c>
      <c r="P34" s="813"/>
    </row>
    <row r="35" spans="1:16" ht="14" customHeight="1">
      <c r="A35" s="826">
        <v>1992</v>
      </c>
      <c r="B35" s="976">
        <f t="shared" si="2"/>
        <v>8.6209653148747276E-2</v>
      </c>
      <c r="C35" s="1361">
        <f>' T.A6'!C36</f>
        <v>49.379999999999995</v>
      </c>
      <c r="D35" s="1361">
        <f>'Assets(BoP)'!CU84</f>
        <v>5.6189999999999998</v>
      </c>
      <c r="E35" s="1361">
        <f t="shared" si="3"/>
        <v>54.998999999999995</v>
      </c>
      <c r="F35" s="1362">
        <f>' T.A5'!C36</f>
        <v>637.96799999999996</v>
      </c>
      <c r="G35" s="976">
        <f t="shared" si="4"/>
        <v>-1.1200007527835348E-2</v>
      </c>
      <c r="H35" s="1368">
        <f>' T.A6'!H36</f>
        <v>-5.3620000000000001</v>
      </c>
      <c r="I35" s="1382">
        <f>Liabilities!AH84</f>
        <v>0.60099999999999998</v>
      </c>
      <c r="J35" s="1361">
        <f t="shared" si="5"/>
        <v>-4.7610000000000001</v>
      </c>
      <c r="K35" s="1369">
        <f>' T.A5'!H36</f>
        <v>425.089</v>
      </c>
      <c r="L35" s="1374">
        <f t="shared" si="6"/>
        <v>4.3733416144782017E-2</v>
      </c>
      <c r="M35" s="1369">
        <v>161.482</v>
      </c>
      <c r="N35" s="1369">
        <v>92.01</v>
      </c>
      <c r="O35" s="1380">
        <v>5796.3</v>
      </c>
      <c r="P35" s="813"/>
    </row>
    <row r="36" spans="1:16" ht="14" customHeight="1">
      <c r="A36" s="826">
        <v>1993</v>
      </c>
      <c r="B36" s="976">
        <f t="shared" si="2"/>
        <v>9.6914191468806352E-2</v>
      </c>
      <c r="C36" s="1367">
        <f>' T.A6'!C37</f>
        <v>57.698999999999998</v>
      </c>
      <c r="D36" s="1367">
        <f>'Assets(BoP)'!CU85</f>
        <v>6.7030000000000003</v>
      </c>
      <c r="E36" s="1367">
        <f t="shared" si="3"/>
        <v>64.402000000000001</v>
      </c>
      <c r="F36" s="1362">
        <f>' T.A5'!C37</f>
        <v>664.52599999999995</v>
      </c>
      <c r="G36" s="976">
        <f t="shared" si="4"/>
        <v>3.6494563645183826E-3</v>
      </c>
      <c r="H36" s="1368">
        <f>' T.A6'!H37</f>
        <v>0.94099999999999984</v>
      </c>
      <c r="I36" s="1382">
        <f>Liabilities!AH85</f>
        <v>0.69899999999999995</v>
      </c>
      <c r="J36" s="1367">
        <f t="shared" si="5"/>
        <v>1.6399999999999997</v>
      </c>
      <c r="K36" s="1369">
        <f>' T.A5'!H37</f>
        <v>449.38199999999995</v>
      </c>
      <c r="L36" s="1374">
        <f t="shared" si="6"/>
        <v>4.5070640285521615E-2</v>
      </c>
      <c r="M36" s="1369">
        <v>184.738</v>
      </c>
      <c r="N36" s="1369">
        <v>89.296000000000006</v>
      </c>
      <c r="O36" s="1380">
        <v>6080.1</v>
      </c>
      <c r="P36" s="813"/>
    </row>
    <row r="37" spans="1:16" ht="14" customHeight="1">
      <c r="A37" s="826">
        <v>1994</v>
      </c>
      <c r="B37" s="976">
        <f t="shared" si="2"/>
        <v>0.10136894981068299</v>
      </c>
      <c r="C37" s="1361">
        <f>' T.A6'!C38</f>
        <v>66.680999999999997</v>
      </c>
      <c r="D37" s="1361">
        <f>'Assets(BoP)'!CU86</f>
        <v>6.9160000000000004</v>
      </c>
      <c r="E37" s="1361">
        <f t="shared" si="3"/>
        <v>73.596999999999994</v>
      </c>
      <c r="F37" s="1362">
        <f>' T.A5'!C38</f>
        <v>726.03100000000006</v>
      </c>
      <c r="G37" s="976">
        <f t="shared" si="4"/>
        <v>3.0808042198608668E-2</v>
      </c>
      <c r="H37" s="1368">
        <f>' T.A6'!H38</f>
        <v>13.884999999999998</v>
      </c>
      <c r="I37" s="1382">
        <f>Liabilities!AH86</f>
        <v>1.026</v>
      </c>
      <c r="J37" s="1361">
        <f t="shared" si="5"/>
        <v>14.910999999999998</v>
      </c>
      <c r="K37" s="1369">
        <f>' T.A5'!H38</f>
        <v>483.99699999999996</v>
      </c>
      <c r="L37" s="1374">
        <f t="shared" si="6"/>
        <v>5.4590964970977728E-2</v>
      </c>
      <c r="M37" s="1369">
        <v>197.80699999999999</v>
      </c>
      <c r="N37" s="1369">
        <v>153</v>
      </c>
      <c r="O37" s="1380">
        <v>6426.1</v>
      </c>
      <c r="P37" s="813"/>
    </row>
    <row r="38" spans="1:16">
      <c r="A38" s="826">
        <v>1995</v>
      </c>
      <c r="B38" s="976">
        <f t="shared" si="2"/>
        <v>0.11066927577817073</v>
      </c>
      <c r="C38" s="1361">
        <f>' T.A6'!C39</f>
        <v>84.887</v>
      </c>
      <c r="D38" s="1361">
        <f>'Assets(BoP)'!CU87</f>
        <v>6.6760000000000002</v>
      </c>
      <c r="E38" s="1361">
        <f t="shared" si="3"/>
        <v>91.563000000000002</v>
      </c>
      <c r="F38" s="1362">
        <f>' T.A5'!C39</f>
        <v>827.35699999999997</v>
      </c>
      <c r="G38" s="976">
        <f t="shared" si="4"/>
        <v>4.002607322536815E-2</v>
      </c>
      <c r="H38" s="1368">
        <f>' T.A6'!H39</f>
        <v>22.795000000000002</v>
      </c>
      <c r="I38" s="1382">
        <f>Liabilities!AH87</f>
        <v>-0.996</v>
      </c>
      <c r="J38" s="1361">
        <f t="shared" si="5"/>
        <v>21.799000000000003</v>
      </c>
      <c r="K38" s="1369">
        <f>' T.A5'!H39</f>
        <v>544.62</v>
      </c>
      <c r="L38" s="1374">
        <f t="shared" si="6"/>
        <v>5.7643030347564107E-2</v>
      </c>
      <c r="M38" s="1369">
        <v>226.178</v>
      </c>
      <c r="N38" s="1369">
        <v>166.054</v>
      </c>
      <c r="O38" s="1380">
        <v>6804.5</v>
      </c>
      <c r="P38" s="813"/>
    </row>
    <row r="39" spans="1:16">
      <c r="A39" s="826">
        <v>1996</v>
      </c>
      <c r="B39" s="976">
        <f t="shared" si="2"/>
        <v>0.10722559652928416</v>
      </c>
      <c r="C39" s="1361">
        <f>' T.A6'!C40</f>
        <v>91.403999999999996</v>
      </c>
      <c r="D39" s="1361">
        <f>'Assets(BoP)'!CU88</f>
        <v>7.4580000000000002</v>
      </c>
      <c r="E39" s="1361">
        <f t="shared" si="3"/>
        <v>98.861999999999995</v>
      </c>
      <c r="F39" s="1362">
        <f>' T.A5'!C40</f>
        <v>922</v>
      </c>
      <c r="G39" s="976">
        <f t="shared" si="4"/>
        <v>3.9190416018499409E-2</v>
      </c>
      <c r="H39" s="1368">
        <f>' T.A6'!H40</f>
        <v>21.307000000000002</v>
      </c>
      <c r="I39" s="1382">
        <f>Liabilities!AH88</f>
        <v>2.0470000000000002</v>
      </c>
      <c r="J39" s="1361">
        <f t="shared" si="5"/>
        <v>23.354000000000003</v>
      </c>
      <c r="K39" s="1369">
        <f>' T.A5'!H40</f>
        <v>595.91100000000006</v>
      </c>
      <c r="L39" s="1374">
        <f t="shared" si="6"/>
        <v>6.320291008615754E-2</v>
      </c>
      <c r="M39" s="1369">
        <v>263.137</v>
      </c>
      <c r="N39" s="1369">
        <v>189.47800000000001</v>
      </c>
      <c r="O39" s="1380">
        <v>7161.3</v>
      </c>
      <c r="P39" s="813"/>
    </row>
    <row r="40" spans="1:16">
      <c r="A40" s="826">
        <v>1997</v>
      </c>
      <c r="B40" s="976">
        <f t="shared" si="2"/>
        <v>0.11235770853155407</v>
      </c>
      <c r="C40" s="1361">
        <f>' T.A6'!C41</f>
        <v>102.679</v>
      </c>
      <c r="D40" s="1361">
        <f>'Assets(BoP)'!CU89</f>
        <v>9.0340000000000007</v>
      </c>
      <c r="E40" s="1361">
        <f t="shared" si="3"/>
        <v>111.71300000000001</v>
      </c>
      <c r="F40" s="1362">
        <f>' T.A5'!C41</f>
        <v>994.26200000000006</v>
      </c>
      <c r="G40" s="976">
        <f t="shared" si="4"/>
        <v>5.1137791428172555E-2</v>
      </c>
      <c r="H40" s="1368">
        <f>' T.A6'!H41</f>
        <v>30.762999999999998</v>
      </c>
      <c r="I40" s="1382">
        <f>Liabilities!AH89</f>
        <v>2.2040000000000002</v>
      </c>
      <c r="J40" s="1361">
        <f t="shared" si="5"/>
        <v>32.966999999999999</v>
      </c>
      <c r="K40" s="1369">
        <f>' T.A5'!H41</f>
        <v>644.66999999999996</v>
      </c>
      <c r="L40" s="1374">
        <f t="shared" si="6"/>
        <v>6.7638298994908599E-2</v>
      </c>
      <c r="M40" s="1369">
        <v>292.24200000000002</v>
      </c>
      <c r="N40" s="1369">
        <v>220.55099999999999</v>
      </c>
      <c r="O40" s="1380">
        <v>7581.4</v>
      </c>
      <c r="P40" s="813"/>
    </row>
    <row r="41" spans="1:16">
      <c r="A41" s="826">
        <v>1998</v>
      </c>
      <c r="B41" s="976">
        <f t="shared" si="2"/>
        <v>9.0544202979857297E-2</v>
      </c>
      <c r="C41" s="1361">
        <f>' T.A6'!C42</f>
        <v>87.617000000000004</v>
      </c>
      <c r="D41" s="1361">
        <f>'Assets(BoP)'!CU90</f>
        <v>11.64</v>
      </c>
      <c r="E41" s="1361">
        <f t="shared" si="3"/>
        <v>99.257000000000005</v>
      </c>
      <c r="F41" s="1362">
        <f>' T.A5'!C42</f>
        <v>1096.2269999999999</v>
      </c>
      <c r="G41" s="976">
        <f t="shared" si="4"/>
        <v>3.7457868682410689E-2</v>
      </c>
      <c r="H41" s="1368">
        <f>' T.A6'!H42</f>
        <v>22.039000000000001</v>
      </c>
      <c r="I41" s="1382">
        <f>Liabilities!AH90</f>
        <v>4.6109999999999998</v>
      </c>
      <c r="J41" s="1361">
        <f t="shared" si="5"/>
        <v>26.650000000000002</v>
      </c>
      <c r="K41" s="1369">
        <f>' T.A5'!H42</f>
        <v>711.46600000000001</v>
      </c>
      <c r="L41" s="1374">
        <f t="shared" si="6"/>
        <v>5.6579026254652651E-2</v>
      </c>
      <c r="M41" s="1369">
        <v>314.80200000000002</v>
      </c>
      <c r="N41" s="1369">
        <v>138.18100000000001</v>
      </c>
      <c r="O41" s="1380">
        <v>8006.2</v>
      </c>
      <c r="P41" s="813"/>
    </row>
    <row r="42" spans="1:16">
      <c r="A42" s="856">
        <v>1999</v>
      </c>
      <c r="B42" s="982">
        <f t="shared" si="2"/>
        <v>9.8540968758775355E-2</v>
      </c>
      <c r="C42" s="1363">
        <f>' T.A6'!C43</f>
        <v>109.827</v>
      </c>
      <c r="D42" s="1363">
        <f>'Assets(BoP)'!CU91</f>
        <v>14.747999999999999</v>
      </c>
      <c r="E42" s="1363">
        <f t="shared" si="3"/>
        <v>124.575</v>
      </c>
      <c r="F42" s="1364">
        <f>' T.A5'!C43</f>
        <v>1264.1949999999999</v>
      </c>
      <c r="G42" s="982">
        <f t="shared" si="4"/>
        <v>4.3212217725407419E-2</v>
      </c>
      <c r="H42" s="1370">
        <f>' T.A6'!H43</f>
        <v>30.957999999999998</v>
      </c>
      <c r="I42" s="1383">
        <f>Liabilities!AH91</f>
        <v>5.7290000000000001</v>
      </c>
      <c r="J42" s="1363">
        <f t="shared" si="5"/>
        <v>36.686999999999998</v>
      </c>
      <c r="K42" s="1371">
        <f>' T.A5'!H43</f>
        <v>848.99599999999998</v>
      </c>
      <c r="L42" s="1375">
        <f t="shared" si="6"/>
        <v>5.2944551119697494E-2</v>
      </c>
      <c r="M42" s="1371">
        <v>306.37</v>
      </c>
      <c r="N42" s="1371">
        <v>143.071</v>
      </c>
      <c r="O42" s="1381">
        <v>8488.9</v>
      </c>
      <c r="P42" s="813"/>
    </row>
    <row r="43" spans="1:16">
      <c r="A43" s="826">
        <v>2000</v>
      </c>
      <c r="B43" s="976">
        <f t="shared" si="2"/>
        <v>0.10241988731245483</v>
      </c>
      <c r="C43" s="1361">
        <f>' T.A6'!C44</f>
        <v>128.68700000000001</v>
      </c>
      <c r="D43" s="1361">
        <f>'Assets(BoP)'!CU92</f>
        <v>14.952999999999999</v>
      </c>
      <c r="E43" s="1361">
        <f t="shared" si="3"/>
        <v>143.64000000000001</v>
      </c>
      <c r="F43" s="1362">
        <f>' T.A5'!C44</f>
        <v>1402.462</v>
      </c>
      <c r="G43" s="976">
        <f t="shared" si="4"/>
        <v>3.0490770003511528E-2</v>
      </c>
      <c r="H43" s="1368">
        <f>' T.A6'!H44</f>
        <v>27.972999999999999</v>
      </c>
      <c r="I43" s="1382">
        <f>Liabilities!AH92</f>
        <v>6.3250000000000002</v>
      </c>
      <c r="J43" s="1361">
        <f t="shared" si="5"/>
        <v>34.298000000000002</v>
      </c>
      <c r="K43" s="1369">
        <f>' T.A5'!H44</f>
        <v>1124.8650000000002</v>
      </c>
      <c r="L43" s="1374">
        <f t="shared" si="6"/>
        <v>4.0726269898936525E-2</v>
      </c>
      <c r="M43" s="1369">
        <v>355.44400000000002</v>
      </c>
      <c r="N43" s="1369">
        <v>14.489000000000001</v>
      </c>
      <c r="O43" s="1380">
        <v>9083.4</v>
      </c>
      <c r="P43" s="813"/>
    </row>
    <row r="44" spans="1:16">
      <c r="A44" s="826">
        <v>2001</v>
      </c>
      <c r="B44" s="976">
        <f t="shared" si="2"/>
        <v>7.7277405778422945E-2</v>
      </c>
      <c r="C44" s="1367">
        <f>' T.A6'!C45</f>
        <v>104.76299999999999</v>
      </c>
      <c r="D44" s="1367">
        <f>'Assets(BoP)'!CU93</f>
        <v>16.716000000000001</v>
      </c>
      <c r="E44" s="1367">
        <f t="shared" si="3"/>
        <v>121.47899999999998</v>
      </c>
      <c r="F44" s="1362">
        <f>' T.A5'!C45</f>
        <v>1571.9860000000001</v>
      </c>
      <c r="G44" s="976">
        <f t="shared" si="4"/>
        <v>-7.4325035926739993E-3</v>
      </c>
      <c r="H44" s="1368">
        <f>' T.A6'!H45</f>
        <v>-17.335999999999999</v>
      </c>
      <c r="I44" s="1382">
        <f>Liabilities!AH93</f>
        <v>8.5850000000000009</v>
      </c>
      <c r="J44" s="1367">
        <f t="shared" si="5"/>
        <v>-8.7509999999999977</v>
      </c>
      <c r="K44" s="1369">
        <f>' T.A5'!H45</f>
        <v>1177.3960000000002</v>
      </c>
      <c r="L44" s="1374">
        <f t="shared" si="6"/>
        <v>3.9969314838167298E-2</v>
      </c>
      <c r="M44" s="1369">
        <v>329.91</v>
      </c>
      <c r="N44" s="1369">
        <v>50.438000000000002</v>
      </c>
      <c r="O44" s="1380">
        <v>9516</v>
      </c>
      <c r="P44" s="813"/>
    </row>
    <row r="45" spans="1:16">
      <c r="A45" s="826">
        <v>2002</v>
      </c>
      <c r="B45" s="976">
        <f t="shared" si="2"/>
        <v>7.9332368424217897E-2</v>
      </c>
      <c r="C45" s="1361">
        <f>' T.A6'!C46</f>
        <v>119.566</v>
      </c>
      <c r="D45" s="1361">
        <f>'Assets(BoP)'!CU94</f>
        <v>18.943000000000001</v>
      </c>
      <c r="E45" s="1361">
        <f t="shared" si="3"/>
        <v>138.50900000000001</v>
      </c>
      <c r="F45" s="1362">
        <f>' T.A5'!C46</f>
        <v>1745.933</v>
      </c>
      <c r="G45" s="976">
        <f t="shared" si="4"/>
        <v>1.9202588336022654E-2</v>
      </c>
      <c r="H45" s="1368">
        <f>' T.A6'!H46</f>
        <v>11.820999999999998</v>
      </c>
      <c r="I45" s="1382">
        <f>Liabilities!AH94</f>
        <v>11.504</v>
      </c>
      <c r="J45" s="1361">
        <f t="shared" si="5"/>
        <v>23.324999999999996</v>
      </c>
      <c r="K45" s="1369">
        <f>' T.A5'!H46</f>
        <v>1214.6799999999998</v>
      </c>
      <c r="L45" s="1374">
        <f t="shared" si="6"/>
        <v>5.6596338025302034E-2</v>
      </c>
      <c r="M45" s="1369">
        <v>352.279</v>
      </c>
      <c r="N45" s="1369">
        <v>203.797</v>
      </c>
      <c r="O45" s="1380">
        <v>9825.2999999999993</v>
      </c>
      <c r="P45" s="813"/>
    </row>
    <row r="46" spans="1:16">
      <c r="A46" s="826">
        <v>2003</v>
      </c>
      <c r="B46" s="976">
        <f t="shared" si="2"/>
        <v>9.1413354258413432E-2</v>
      </c>
      <c r="C46" s="1361">
        <f>' T.A6'!C47</f>
        <v>159.27100000000002</v>
      </c>
      <c r="D46" s="1361">
        <f>'Assets(BoP)'!CU95</f>
        <v>18.268999999999998</v>
      </c>
      <c r="E46" s="1361">
        <f t="shared" si="3"/>
        <v>177.54000000000002</v>
      </c>
      <c r="F46" s="1362">
        <f>' T.A5'!C47</f>
        <v>1942.1669999999999</v>
      </c>
      <c r="G46" s="976">
        <f t="shared" si="4"/>
        <v>4.5613270454849059E-2</v>
      </c>
      <c r="H46" s="1368">
        <f>' T.A6'!H47</f>
        <v>44.753999999999998</v>
      </c>
      <c r="I46" s="1382">
        <f>Liabilities!AH95</f>
        <v>16.364999999999998</v>
      </c>
      <c r="J46" s="1361">
        <f t="shared" si="5"/>
        <v>61.119</v>
      </c>
      <c r="K46" s="1369">
        <f>' T.A5'!H47</f>
        <v>1339.9390000000001</v>
      </c>
      <c r="L46" s="1374">
        <f t="shared" si="6"/>
        <v>6.3700201167560755E-2</v>
      </c>
      <c r="M46" s="1369">
        <v>401.87799999999999</v>
      </c>
      <c r="N46" s="1369">
        <v>244.09299999999999</v>
      </c>
      <c r="O46" s="1380">
        <v>10140.799999999999</v>
      </c>
      <c r="P46" s="813"/>
    </row>
    <row r="47" spans="1:16">
      <c r="A47" s="826">
        <v>2004</v>
      </c>
      <c r="B47" s="976">
        <f t="shared" si="2"/>
        <v>9.8459419738748846E-2</v>
      </c>
      <c r="C47" s="1361">
        <f>' T.A6'!C48</f>
        <v>222.315</v>
      </c>
      <c r="D47" s="1361">
        <f>'Assets(BoP)'!CU96</f>
        <v>17.190000000000001</v>
      </c>
      <c r="E47" s="1361">
        <f t="shared" si="3"/>
        <v>239.505</v>
      </c>
      <c r="F47" s="1362">
        <f>' T.A5'!C48</f>
        <v>2432.5249999999996</v>
      </c>
      <c r="G47" s="976">
        <f t="shared" si="4"/>
        <v>5.9405626272339931E-2</v>
      </c>
      <c r="H47" s="1368">
        <f>' T.A6'!H48</f>
        <v>73.915999999999997</v>
      </c>
      <c r="I47" s="1382">
        <f>Liabilities!AH96</f>
        <v>15.904</v>
      </c>
      <c r="J47" s="1361">
        <f t="shared" si="5"/>
        <v>89.82</v>
      </c>
      <c r="K47" s="1369">
        <f>' T.A5'!H48</f>
        <v>1511.9780000000001</v>
      </c>
      <c r="L47" s="1374">
        <f t="shared" si="6"/>
        <v>7.0398293418905494E-2</v>
      </c>
      <c r="M47" s="1369">
        <v>501.77100000000002</v>
      </c>
      <c r="N47" s="1369">
        <v>270.44900000000001</v>
      </c>
      <c r="O47" s="1380">
        <v>10969.3</v>
      </c>
      <c r="P47" s="813"/>
    </row>
    <row r="48" spans="1:16">
      <c r="A48" s="826">
        <v>2005</v>
      </c>
      <c r="B48" s="976">
        <f t="shared" si="2"/>
        <v>0.10519703576590829</v>
      </c>
      <c r="C48" s="1361">
        <f>' T.A6'!C49</f>
        <v>266.04700000000003</v>
      </c>
      <c r="D48" s="1361">
        <f>'Assets(BoP)'!CU97</f>
        <v>11.532</v>
      </c>
      <c r="E48" s="1361">
        <f t="shared" si="3"/>
        <v>277.57900000000001</v>
      </c>
      <c r="F48" s="1362">
        <f>' T.A5'!C49</f>
        <v>2638.6579999999999</v>
      </c>
      <c r="G48" s="976">
        <f t="shared" si="4"/>
        <v>6.3921017504574462E-2</v>
      </c>
      <c r="H48" s="1368">
        <f>' T.A6'!H49</f>
        <v>95.05</v>
      </c>
      <c r="I48" s="1382">
        <f>Liabilities!AH97</f>
        <v>11.882</v>
      </c>
      <c r="J48" s="1361">
        <f t="shared" si="5"/>
        <v>106.932</v>
      </c>
      <c r="K48" s="1369">
        <f>' T.A5'!H49</f>
        <v>1672.877</v>
      </c>
      <c r="L48" s="1374">
        <f t="shared" si="6"/>
        <v>6.9116992622086898E-2</v>
      </c>
      <c r="M48" s="1369">
        <v>319.666</v>
      </c>
      <c r="N48" s="1369">
        <v>506.6</v>
      </c>
      <c r="O48" s="1380">
        <v>11954.6</v>
      </c>
      <c r="P48" s="813"/>
    </row>
    <row r="49" spans="1:16">
      <c r="A49" s="826">
        <v>2006</v>
      </c>
      <c r="B49" s="976">
        <f t="shared" si="2"/>
        <v>0.10349974476704972</v>
      </c>
      <c r="C49" s="1361">
        <f>' T.A6'!C50</f>
        <v>298.32599999999996</v>
      </c>
      <c r="D49" s="1361">
        <f>'Assets(BoP)'!CU98</f>
        <v>8.4429999999999996</v>
      </c>
      <c r="E49" s="1361">
        <f t="shared" si="3"/>
        <v>306.76899999999995</v>
      </c>
      <c r="F49" s="1362">
        <f>' T.A5'!C50</f>
        <v>2963.9590000000003</v>
      </c>
      <c r="G49" s="976">
        <f t="shared" si="4"/>
        <v>7.3460813491796575E-2</v>
      </c>
      <c r="H49" s="1368">
        <f>' T.A6'!H50</f>
        <v>126.33099999999999</v>
      </c>
      <c r="I49" s="1382">
        <f>Liabilities!AH98</f>
        <v>10.191000000000001</v>
      </c>
      <c r="J49" s="1361">
        <f t="shared" si="5"/>
        <v>136.52199999999999</v>
      </c>
      <c r="K49" s="1369">
        <f>' T.A5'!H50</f>
        <v>1858.433</v>
      </c>
      <c r="L49" s="1374">
        <f t="shared" si="6"/>
        <v>7.107333028468675E-2</v>
      </c>
      <c r="M49" s="1369">
        <v>648.10400000000004</v>
      </c>
      <c r="N49" s="1369">
        <v>268.87700000000001</v>
      </c>
      <c r="O49" s="1380">
        <v>12901.9</v>
      </c>
      <c r="P49" s="813"/>
    </row>
    <row r="50" spans="1:16">
      <c r="A50" s="826">
        <v>2007</v>
      </c>
      <c r="B50" s="976">
        <f t="shared" si="2"/>
        <v>0.10011364477615484</v>
      </c>
      <c r="C50" s="1361">
        <f>' T.A6'!C51</f>
        <v>342.84100000000001</v>
      </c>
      <c r="D50" s="1361">
        <f>'Assets(BoP)'!CU99</f>
        <v>11.471</v>
      </c>
      <c r="E50" s="1361">
        <f t="shared" si="3"/>
        <v>354.31200000000001</v>
      </c>
      <c r="F50" s="1362">
        <f>' T.A5'!C51</f>
        <v>3539.098</v>
      </c>
      <c r="G50" s="976">
        <f t="shared" si="4"/>
        <v>5.3905202790717109E-2</v>
      </c>
      <c r="H50" s="1368">
        <f>' T.A6'!H51</f>
        <v>96.576999999999998</v>
      </c>
      <c r="I50" s="1382">
        <f>Liabilities!AH99</f>
        <v>11.762</v>
      </c>
      <c r="J50" s="1361">
        <f t="shared" si="5"/>
        <v>108.339</v>
      </c>
      <c r="K50" s="1369">
        <f>' T.A5'!H51</f>
        <v>2009.806</v>
      </c>
      <c r="L50" s="1374">
        <f t="shared" si="6"/>
        <v>5.3675964592400899E-2</v>
      </c>
      <c r="M50" s="1369">
        <v>678.47900000000004</v>
      </c>
      <c r="N50" s="1369">
        <v>51.6</v>
      </c>
      <c r="O50" s="1380">
        <v>13601.6</v>
      </c>
      <c r="P50" s="813"/>
    </row>
    <row r="51" spans="1:16">
      <c r="A51" s="826">
        <v>2008</v>
      </c>
      <c r="B51" s="976">
        <f t="shared" si="2"/>
        <v>0.10582606435614564</v>
      </c>
      <c r="C51" s="1361">
        <f>' T.A6'!C52</f>
        <v>384.75600000000003</v>
      </c>
      <c r="D51" s="1361">
        <f>'Assets(BoP)'!CU100</f>
        <v>12.645</v>
      </c>
      <c r="E51" s="1361">
        <f t="shared" si="3"/>
        <v>397.40100000000001</v>
      </c>
      <c r="F51" s="1362">
        <f>' T.A5'!C52</f>
        <v>3755.2279999999996</v>
      </c>
      <c r="G51" s="976">
        <f t="shared" si="4"/>
        <v>5.3582103044653877E-2</v>
      </c>
      <c r="H51" s="1368">
        <f>' T.A6'!H52</f>
        <v>101.128</v>
      </c>
      <c r="I51" s="1382">
        <f>Liabilities!AH100</f>
        <v>12.083</v>
      </c>
      <c r="J51" s="1361">
        <f t="shared" si="5"/>
        <v>113.211</v>
      </c>
      <c r="K51" s="1369">
        <f>' T.A5'!H52</f>
        <v>2112.8510000000001</v>
      </c>
      <c r="L51" s="1374">
        <f t="shared" si="6"/>
        <v>3.9458854354395986E-2</v>
      </c>
      <c r="M51" s="1369">
        <v>628.101</v>
      </c>
      <c r="N51" s="1369">
        <v>-58.835999999999999</v>
      </c>
      <c r="O51" s="1380">
        <v>14426.8</v>
      </c>
      <c r="P51" s="813"/>
    </row>
    <row r="52" spans="1:16">
      <c r="A52" s="856">
        <v>2009</v>
      </c>
      <c r="B52" s="982">
        <f t="shared" si="2"/>
        <v>8.9242552159841587E-2</v>
      </c>
      <c r="C52" s="1363">
        <f>' T.A6'!C53</f>
        <v>333.50299999999999</v>
      </c>
      <c r="D52" s="1363">
        <f>'Assets(BoP)'!CU101</f>
        <v>21.350999999999999</v>
      </c>
      <c r="E52" s="1363">
        <f t="shared" si="3"/>
        <v>354.85399999999998</v>
      </c>
      <c r="F52" s="1364">
        <f>' T.A5'!C53</f>
        <v>3976.2869999999994</v>
      </c>
      <c r="G52" s="982">
        <f t="shared" si="4"/>
        <v>4.2435982603835097E-2</v>
      </c>
      <c r="H52" s="1370">
        <f>' T.A6'!H53</f>
        <v>74.084999999999994</v>
      </c>
      <c r="I52" s="1383">
        <f>Liabilities!AH101</f>
        <v>14.132999999999999</v>
      </c>
      <c r="J52" s="1363">
        <f t="shared" si="5"/>
        <v>88.217999999999989</v>
      </c>
      <c r="K52" s="1371">
        <f>' T.A5'!H53</f>
        <v>2078.8490000000002</v>
      </c>
      <c r="L52" s="1375">
        <f t="shared" si="6"/>
        <v>5.5217403770339041E-2</v>
      </c>
      <c r="M52" s="1371">
        <v>456.49299999999999</v>
      </c>
      <c r="N52" s="1371">
        <v>313.84500000000003</v>
      </c>
      <c r="O52" s="1381">
        <v>13951</v>
      </c>
      <c r="P52" s="813"/>
    </row>
    <row r="53" spans="1:16">
      <c r="A53" s="826">
        <v>2010</v>
      </c>
      <c r="B53" s="976">
        <f t="shared" si="2"/>
        <v>0.10249048943394808</v>
      </c>
      <c r="C53" s="1361">
        <f>' T.A6'!C54</f>
        <v>411.80400000000003</v>
      </c>
      <c r="D53" s="1361">
        <f>'Assets(BoP)'!CU102</f>
        <v>18.555</v>
      </c>
      <c r="E53" s="1361">
        <f t="shared" si="3"/>
        <v>430.35900000000004</v>
      </c>
      <c r="F53" s="1362">
        <f>' T.A5'!C54</f>
        <v>4199.0140000000001</v>
      </c>
      <c r="G53" s="976">
        <f t="shared" si="4"/>
        <v>5.8305446927009452E-2</v>
      </c>
      <c r="H53" s="1368">
        <f>' T.A6'!H54</f>
        <v>121.42099999999999</v>
      </c>
      <c r="I53" s="1382">
        <f>Liabilities!AH102</f>
        <v>12.496</v>
      </c>
      <c r="J53" s="1361">
        <f t="shared" si="5"/>
        <v>133.917</v>
      </c>
      <c r="K53" s="1369">
        <f>' T.A5'!H54</f>
        <v>2296.8180000000002</v>
      </c>
      <c r="L53" s="1374">
        <f t="shared" si="6"/>
        <v>6.859394125917169E-2</v>
      </c>
      <c r="M53" s="1369">
        <v>442.53399999999999</v>
      </c>
      <c r="N53" s="1369">
        <v>538.13300000000004</v>
      </c>
      <c r="O53" s="1380">
        <v>14296.7</v>
      </c>
      <c r="P53" s="813"/>
    </row>
    <row r="54" spans="1:16">
      <c r="A54" s="826">
        <v>2011</v>
      </c>
      <c r="B54" s="976">
        <f t="shared" si="2"/>
        <v>0.10130227493224868</v>
      </c>
      <c r="C54" s="1361">
        <f>' T.A6'!C55</f>
        <v>441.036</v>
      </c>
      <c r="D54" s="1361">
        <f>'Assets(BoP)'!CU103</f>
        <v>18.702999999999999</v>
      </c>
      <c r="E54" s="1361">
        <f t="shared" si="3"/>
        <v>459.73899999999998</v>
      </c>
      <c r="F54" s="1362">
        <f>' T.A5'!C55</f>
        <v>4538.2890000000007</v>
      </c>
      <c r="G54" s="976">
        <f t="shared" si="4"/>
        <v>6.252891206099398E-2</v>
      </c>
      <c r="H54" s="1368">
        <f>' T.A6'!H55</f>
        <v>141.53099999999998</v>
      </c>
      <c r="I54" s="1382">
        <f>Liabilities!AH103</f>
        <v>12.292999999999999</v>
      </c>
      <c r="J54" s="1361">
        <f t="shared" si="5"/>
        <v>153.82399999999998</v>
      </c>
      <c r="K54" s="1369">
        <f>' T.A5'!H55</f>
        <v>2460.0459999999998</v>
      </c>
      <c r="L54" s="1374">
        <f t="shared" si="6"/>
        <v>6.830991599351624E-2</v>
      </c>
      <c r="M54" s="1369">
        <v>548.76199999999994</v>
      </c>
      <c r="N54" s="1369">
        <v>466.863</v>
      </c>
      <c r="O54" s="1380">
        <v>14867.9</v>
      </c>
      <c r="P54" s="813"/>
    </row>
    <row r="55" spans="1:16">
      <c r="A55" s="826">
        <v>2012</v>
      </c>
      <c r="B55" s="976">
        <f t="shared" si="2"/>
        <v>9.1886020712527147E-2</v>
      </c>
      <c r="C55" s="1361">
        <f>' T.A6'!C56</f>
        <v>428.702</v>
      </c>
      <c r="D55" s="1361">
        <f>'Assets(BoP)'!CU104</f>
        <v>20.167000000000002</v>
      </c>
      <c r="E55" s="1361">
        <f t="shared" si="3"/>
        <v>448.86900000000003</v>
      </c>
      <c r="F55" s="1362">
        <f>' T.A5'!C56</f>
        <v>4885.0630000000001</v>
      </c>
      <c r="G55" s="976">
        <f t="shared" si="4"/>
        <v>5.5110223455912495E-2</v>
      </c>
      <c r="H55" s="1368">
        <f>' T.A6'!H56</f>
        <v>134.08699999999999</v>
      </c>
      <c r="I55" s="1382">
        <f>Liabilities!AH104</f>
        <v>12.433999999999999</v>
      </c>
      <c r="J55" s="1361">
        <f t="shared" si="5"/>
        <v>146.52099999999999</v>
      </c>
      <c r="K55" s="1369">
        <f>' T.A5'!H56</f>
        <v>2658.69</v>
      </c>
      <c r="L55" s="1374">
        <f t="shared" si="6"/>
        <v>7.4220787251908893E-2</v>
      </c>
      <c r="M55" s="1369">
        <v>680.07799999999997</v>
      </c>
      <c r="N55" s="1369">
        <v>460.12400000000002</v>
      </c>
      <c r="O55" s="1380">
        <v>15362.3</v>
      </c>
      <c r="P55" s="813"/>
    </row>
    <row r="56" spans="1:16">
      <c r="A56" s="826">
        <v>2013</v>
      </c>
      <c r="B56" s="976">
        <f t="shared" si="2"/>
        <v>9.0091087076042464E-2</v>
      </c>
      <c r="C56" s="1361">
        <f>' T.A6'!C57</f>
        <v>440.63799999999998</v>
      </c>
      <c r="D56" s="1361">
        <f>'Assets(BoP)'!CU105</f>
        <v>18.506</v>
      </c>
      <c r="E56" s="1361">
        <f t="shared" si="3"/>
        <v>459.14400000000001</v>
      </c>
      <c r="F56" s="1362">
        <f>' T.A5'!C57</f>
        <v>5096.442</v>
      </c>
      <c r="G56" s="976">
        <f t="shared" si="4"/>
        <v>5.5984052046075192E-2</v>
      </c>
      <c r="H56" s="1368">
        <f>' T.A6'!H57</f>
        <v>141.75200000000001</v>
      </c>
      <c r="I56" s="1382">
        <f>Liabilities!AH105</f>
        <v>15.88</v>
      </c>
      <c r="J56" s="1361">
        <f t="shared" si="5"/>
        <v>157.63200000000001</v>
      </c>
      <c r="K56" s="1369">
        <f>' T.A5'!H57</f>
        <v>2815.6589999999997</v>
      </c>
      <c r="L56" s="1374">
        <f t="shared" si="6"/>
        <v>7.2414672124971755E-2</v>
      </c>
      <c r="M56" s="1369">
        <v>790.93299999999999</v>
      </c>
      <c r="N56" s="1369">
        <v>362.40100000000001</v>
      </c>
      <c r="O56" s="1380">
        <v>15926.8</v>
      </c>
      <c r="P56" s="813"/>
    </row>
    <row r="57" spans="1:16">
      <c r="A57" s="826">
        <v>2014</v>
      </c>
      <c r="B57" s="976">
        <f t="shared" si="2"/>
        <v>8.4419335058780007E-2</v>
      </c>
      <c r="C57" s="1361">
        <f>' T.A6'!C58</f>
        <v>436.798</v>
      </c>
      <c r="D57" s="1361">
        <f>'Assets(BoP)'!CU106</f>
        <v>18.768999999999998</v>
      </c>
      <c r="E57" s="1361">
        <f t="shared" si="3"/>
        <v>455.56700000000001</v>
      </c>
      <c r="F57" s="1362">
        <f>' T.A5'!C58</f>
        <v>5396.4770000000008</v>
      </c>
      <c r="G57" s="976">
        <f t="shared" si="4"/>
        <v>5.4517878395096121E-2</v>
      </c>
      <c r="H57" s="1368">
        <f>' T.A6'!H58</f>
        <v>151.845</v>
      </c>
      <c r="I57" s="1382">
        <f>Liabilities!AH106</f>
        <v>10.592000000000001</v>
      </c>
      <c r="J57" s="1361">
        <f t="shared" si="5"/>
        <v>162.43700000000001</v>
      </c>
      <c r="K57" s="1369">
        <f>' T.A5'!H58</f>
        <v>2979.518</v>
      </c>
      <c r="L57" s="1374">
        <f t="shared" si="6"/>
        <v>7.4447892983025968E-2</v>
      </c>
      <c r="M57" s="1369">
        <v>838.50400000000002</v>
      </c>
      <c r="N57" s="1369">
        <v>399.22199999999998</v>
      </c>
      <c r="O57" s="1380">
        <v>16625.400000000001</v>
      </c>
      <c r="P57" s="813"/>
    </row>
    <row r="58" spans="1:16">
      <c r="A58" s="826">
        <v>2015</v>
      </c>
      <c r="B58" s="976">
        <f t="shared" si="2"/>
        <v>7.4843881287771558E-2</v>
      </c>
      <c r="C58" s="1361">
        <f>' T.A6'!C59</f>
        <v>397.33</v>
      </c>
      <c r="D58" s="1361">
        <f>'Assets(BoP)'!CU107</f>
        <v>19.091999999999999</v>
      </c>
      <c r="E58" s="1361">
        <f t="shared" si="3"/>
        <v>416.42199999999997</v>
      </c>
      <c r="F58" s="1362">
        <f>' T.A5'!C59</f>
        <v>5563.875</v>
      </c>
      <c r="G58" s="976">
        <f t="shared" si="4"/>
        <v>3.9811059986118599E-2</v>
      </c>
      <c r="H58" s="1368">
        <f>' T.A6'!H59</f>
        <v>120.31800000000001</v>
      </c>
      <c r="I58" s="1382">
        <f>Liabilities!AH107</f>
        <v>10.919</v>
      </c>
      <c r="J58" s="1361">
        <f t="shared" si="5"/>
        <v>131.23700000000002</v>
      </c>
      <c r="K58" s="1369">
        <f>' T.A5'!H59</f>
        <v>3296.4960000000001</v>
      </c>
      <c r="L58" s="1374">
        <f t="shared" si="6"/>
        <v>7.2189236489631894E-2</v>
      </c>
      <c r="M58" s="1369">
        <v>898.63400000000001</v>
      </c>
      <c r="N58" s="1369">
        <v>326.43900000000002</v>
      </c>
      <c r="O58" s="1380">
        <v>16970.3</v>
      </c>
      <c r="P58" s="813"/>
    </row>
    <row r="59" spans="1:16">
      <c r="A59" s="826">
        <v>2016</v>
      </c>
      <c r="B59" s="976">
        <f t="shared" si="2"/>
        <v>7.1104895285065056E-2</v>
      </c>
      <c r="C59" s="1361">
        <f>' T.A6'!C60</f>
        <v>399.678</v>
      </c>
      <c r="D59" s="1361">
        <f>'Assets(BoP)'!CU108</f>
        <v>19.815000000000001</v>
      </c>
      <c r="E59" s="1361">
        <f t="shared" si="3"/>
        <v>419.49299999999999</v>
      </c>
      <c r="F59" s="1362">
        <f>' T.A5'!C60</f>
        <v>5899.6359999999995</v>
      </c>
      <c r="G59" s="976">
        <f t="shared" si="4"/>
        <v>3.815654605181365E-2</v>
      </c>
      <c r="H59" s="1368">
        <f>' T.A6'!H60</f>
        <v>126.90299999999999</v>
      </c>
      <c r="I59" s="1384">
        <f>Liabilities!AH108</f>
        <v>11.205</v>
      </c>
      <c r="J59" s="1361">
        <f t="shared" si="5"/>
        <v>138.108</v>
      </c>
      <c r="K59" s="1369">
        <f>' T.A5'!H60</f>
        <v>3619.5099999999998</v>
      </c>
      <c r="L59" s="1374">
        <f t="shared" si="6"/>
        <v>6.9569865838695372E-2</v>
      </c>
      <c r="M59" s="1369">
        <v>822.24599999999998</v>
      </c>
      <c r="N59" s="1369">
        <v>385.46600000000001</v>
      </c>
      <c r="O59" s="1380">
        <v>17359.7</v>
      </c>
    </row>
    <row r="60" spans="1:16" ht="16" thickBot="1">
      <c r="A60" s="819"/>
      <c r="B60" s="820"/>
      <c r="C60" s="821"/>
      <c r="D60" s="821"/>
      <c r="E60" s="821"/>
      <c r="F60" s="833"/>
      <c r="G60" s="820"/>
      <c r="H60" s="821"/>
      <c r="I60" s="821"/>
      <c r="J60" s="821"/>
      <c r="K60" s="821"/>
      <c r="L60" s="820"/>
      <c r="M60" s="821"/>
      <c r="N60" s="821"/>
      <c r="O60" s="823"/>
    </row>
    <row r="61" spans="1:16" ht="17" thickTop="1" thickBot="1">
      <c r="F61" s="824"/>
    </row>
    <row r="62" spans="1:16" s="825" customFormat="1" ht="28" customHeight="1" thickBot="1">
      <c r="A62" s="1745" t="s">
        <v>2502</v>
      </c>
      <c r="B62" s="1746"/>
      <c r="C62" s="1746"/>
      <c r="D62" s="1746"/>
      <c r="E62" s="1746"/>
      <c r="F62" s="1746"/>
      <c r="G62" s="1746"/>
      <c r="H62" s="1746"/>
      <c r="I62" s="1746"/>
      <c r="J62" s="1746"/>
      <c r="K62" s="1746"/>
      <c r="L62" s="1746"/>
      <c r="M62" s="1746"/>
      <c r="N62" s="1746"/>
      <c r="O62" s="1747"/>
      <c r="P62" s="805"/>
    </row>
    <row r="63" spans="1:16">
      <c r="A63" s="829"/>
      <c r="B63" s="1262"/>
      <c r="F63" s="824"/>
      <c r="G63" s="1262"/>
    </row>
    <row r="64" spans="1:16">
      <c r="A64" s="829" t="s">
        <v>2538</v>
      </c>
      <c r="F64" s="824"/>
      <c r="L64" s="1262">
        <f>AVERAGE(L9:L59)</f>
        <v>5.6073256323479689E-2</v>
      </c>
    </row>
    <row r="65" spans="1:16">
      <c r="A65" s="829"/>
      <c r="C65" s="855"/>
      <c r="D65" s="855"/>
      <c r="E65" s="855"/>
      <c r="F65" s="854"/>
    </row>
    <row r="66" spans="1:16">
      <c r="A66" s="829"/>
      <c r="C66" s="855"/>
      <c r="D66" s="855"/>
      <c r="E66" s="855"/>
      <c r="F66" s="854"/>
    </row>
    <row r="67" spans="1:16">
      <c r="A67" s="829"/>
      <c r="C67" s="855"/>
      <c r="D67" s="855"/>
      <c r="E67" s="855"/>
      <c r="F67" s="854"/>
    </row>
    <row r="68" spans="1:16">
      <c r="A68" s="829"/>
      <c r="C68" s="855"/>
      <c r="D68" s="855"/>
      <c r="E68" s="855"/>
      <c r="F68" s="854"/>
      <c r="G68" s="854"/>
    </row>
    <row r="69" spans="1:16" s="825" customFormat="1">
      <c r="B69" s="805"/>
      <c r="C69" s="805"/>
      <c r="D69" s="805"/>
      <c r="E69" s="805"/>
      <c r="F69" s="805"/>
      <c r="G69" s="805"/>
      <c r="H69" s="805"/>
      <c r="I69" s="805"/>
      <c r="J69" s="805"/>
      <c r="K69" s="805"/>
      <c r="L69" s="805"/>
      <c r="M69" s="805"/>
      <c r="N69" s="805"/>
      <c r="O69" s="805"/>
      <c r="P69" s="805"/>
    </row>
    <row r="70" spans="1:16" s="825" customFormat="1">
      <c r="A70" s="805"/>
      <c r="B70" s="805"/>
      <c r="C70" s="805"/>
      <c r="D70" s="805"/>
      <c r="E70" s="805"/>
      <c r="F70" s="805"/>
      <c r="G70" s="805"/>
      <c r="H70" s="805"/>
      <c r="I70" s="805"/>
      <c r="J70" s="805"/>
      <c r="K70" s="805"/>
      <c r="L70" s="805"/>
      <c r="M70" s="805"/>
      <c r="N70" s="805"/>
      <c r="O70" s="805"/>
      <c r="P70" s="805"/>
    </row>
    <row r="71" spans="1:16" s="825" customFormat="1">
      <c r="A71" s="805"/>
      <c r="B71" s="805"/>
      <c r="C71" s="805"/>
      <c r="D71" s="805"/>
      <c r="E71" s="805"/>
      <c r="F71" s="805"/>
      <c r="G71" s="805"/>
      <c r="H71" s="805"/>
      <c r="I71" s="805"/>
      <c r="J71" s="805"/>
      <c r="K71" s="805"/>
      <c r="L71" s="805"/>
      <c r="M71" s="805"/>
      <c r="N71" s="805"/>
      <c r="O71" s="805"/>
      <c r="P71" s="805"/>
    </row>
    <row r="76" spans="1:16">
      <c r="K76" s="829"/>
      <c r="L76" s="829"/>
      <c r="M76" s="829"/>
      <c r="N76" s="829"/>
      <c r="O76" s="829"/>
    </row>
  </sheetData>
  <mergeCells count="19">
    <mergeCell ref="A62:O62"/>
    <mergeCell ref="L7:L8"/>
    <mergeCell ref="M7:M8"/>
    <mergeCell ref="N7:N8"/>
    <mergeCell ref="O7:O8"/>
    <mergeCell ref="G7:G8"/>
    <mergeCell ref="H7:H8"/>
    <mergeCell ref="I7:I8"/>
    <mergeCell ref="J7:J8"/>
    <mergeCell ref="K7:K8"/>
    <mergeCell ref="A3:O3"/>
    <mergeCell ref="B6:F6"/>
    <mergeCell ref="G6:K6"/>
    <mergeCell ref="B7:B8"/>
    <mergeCell ref="C7:C8"/>
    <mergeCell ref="D7:D8"/>
    <mergeCell ref="E7:E8"/>
    <mergeCell ref="F7:F8"/>
    <mergeCell ref="L6:O6"/>
  </mergeCells>
  <pageMargins left="0.75" right="0.75" top="1" bottom="1" header="0.5" footer="0.5"/>
  <pageSetup scale="74"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V77"/>
  <sheetViews>
    <sheetView workbookViewId="0">
      <pane xSplit="1" ySplit="8" topLeftCell="C52" activePane="bottomRight" state="frozen"/>
      <selection activeCell="X67" sqref="X67"/>
      <selection pane="topRight" activeCell="X67" sqref="X67"/>
      <selection pane="bottomLeft" activeCell="X67" sqref="X67"/>
      <selection pane="bottomRight" activeCell="T57" sqref="T57"/>
    </sheetView>
  </sheetViews>
  <sheetFormatPr baseColWidth="10" defaultColWidth="9.28515625" defaultRowHeight="15" x14ac:dyDescent="0"/>
  <cols>
    <col min="1" max="1" width="16.28515625" style="805" customWidth="1"/>
    <col min="2" max="17" width="9.7109375" style="805" customWidth="1"/>
    <col min="18" max="18" width="10.28515625" style="805" customWidth="1"/>
    <col min="19" max="16384" width="9.28515625" style="805"/>
  </cols>
  <sheetData>
    <row r="1" spans="1:22">
      <c r="D1" s="829"/>
    </row>
    <row r="2" spans="1:22" ht="16" thickBot="1"/>
    <row r="3" spans="1:22" ht="32" customHeight="1" thickTop="1">
      <c r="A3" s="1734" t="s">
        <v>2598</v>
      </c>
      <c r="B3" s="1735"/>
      <c r="C3" s="1735"/>
      <c r="D3" s="1735"/>
      <c r="E3" s="1735"/>
      <c r="F3" s="1735"/>
      <c r="G3" s="1735"/>
      <c r="H3" s="1735"/>
      <c r="I3" s="1735"/>
      <c r="J3" s="1735"/>
      <c r="K3" s="1735"/>
      <c r="L3" s="1735"/>
      <c r="M3" s="1735"/>
      <c r="N3" s="1735"/>
      <c r="O3" s="1735"/>
      <c r="P3" s="1736"/>
      <c r="Q3" s="807"/>
    </row>
    <row r="4" spans="1:22" ht="12" customHeight="1">
      <c r="A4" s="806"/>
      <c r="B4" s="807"/>
      <c r="C4" s="807"/>
      <c r="D4" s="807"/>
      <c r="E4" s="807"/>
      <c r="F4" s="807"/>
      <c r="G4" s="807"/>
      <c r="H4" s="807"/>
      <c r="I4" s="807"/>
      <c r="J4" s="807"/>
      <c r="K4" s="807"/>
      <c r="L4" s="807"/>
      <c r="M4" s="807"/>
      <c r="N4" s="807"/>
      <c r="O4" s="807"/>
      <c r="P4" s="808"/>
      <c r="Q4" s="807"/>
    </row>
    <row r="5" spans="1:22">
      <c r="A5" s="809"/>
      <c r="B5" s="839" t="s">
        <v>2411</v>
      </c>
      <c r="C5" s="839" t="s">
        <v>2412</v>
      </c>
      <c r="D5" s="839" t="s">
        <v>2413</v>
      </c>
      <c r="E5" s="839" t="s">
        <v>2414</v>
      </c>
      <c r="F5" s="839" t="s">
        <v>2415</v>
      </c>
      <c r="G5" s="839" t="s">
        <v>2416</v>
      </c>
      <c r="H5" s="839" t="s">
        <v>2417</v>
      </c>
      <c r="I5" s="839" t="s">
        <v>2429</v>
      </c>
      <c r="J5" s="839" t="s">
        <v>2430</v>
      </c>
      <c r="K5" s="839" t="s">
        <v>2431</v>
      </c>
      <c r="L5" s="839" t="s">
        <v>2432</v>
      </c>
      <c r="M5" s="839" t="s">
        <v>2433</v>
      </c>
      <c r="N5" s="839" t="s">
        <v>2450</v>
      </c>
      <c r="O5" s="839" t="s">
        <v>2461</v>
      </c>
      <c r="P5" s="840" t="s">
        <v>2462</v>
      </c>
      <c r="Q5" s="839"/>
    </row>
    <row r="6" spans="1:22" ht="21" customHeight="1">
      <c r="A6" s="809"/>
      <c r="B6" s="1748" t="s">
        <v>2530</v>
      </c>
      <c r="C6" s="1749"/>
      <c r="D6" s="1749"/>
      <c r="E6" s="1749"/>
      <c r="F6" s="1828"/>
      <c r="G6" s="1748" t="s">
        <v>2557</v>
      </c>
      <c r="H6" s="1749"/>
      <c r="I6" s="1749"/>
      <c r="J6" s="1749"/>
      <c r="K6" s="1834" t="s">
        <v>2552</v>
      </c>
      <c r="L6" s="1749"/>
      <c r="M6" s="1835"/>
      <c r="N6" s="1834" t="s">
        <v>2556</v>
      </c>
      <c r="O6" s="1749"/>
      <c r="P6" s="1840"/>
      <c r="Q6" s="898"/>
    </row>
    <row r="7" spans="1:22" ht="85" customHeight="1">
      <c r="A7" s="809"/>
      <c r="B7" s="1826" t="s">
        <v>2478</v>
      </c>
      <c r="C7" s="933" t="s">
        <v>2529</v>
      </c>
      <c r="D7" s="933" t="s">
        <v>3205</v>
      </c>
      <c r="E7" s="1824" t="s">
        <v>2536</v>
      </c>
      <c r="F7" s="1831" t="s">
        <v>2537</v>
      </c>
      <c r="G7" s="1741" t="s">
        <v>2539</v>
      </c>
      <c r="H7" s="933" t="s">
        <v>2547</v>
      </c>
      <c r="I7" s="933" t="s">
        <v>2550</v>
      </c>
      <c r="J7" s="1774" t="s">
        <v>2553</v>
      </c>
      <c r="K7" s="1833" t="s">
        <v>2551</v>
      </c>
      <c r="L7" s="1836" t="s">
        <v>2554</v>
      </c>
      <c r="M7" s="1839" t="s">
        <v>2549</v>
      </c>
      <c r="N7" s="1807" t="s">
        <v>2548</v>
      </c>
      <c r="O7" s="1743" t="s">
        <v>3204</v>
      </c>
      <c r="P7" s="1777" t="s">
        <v>2555</v>
      </c>
      <c r="Q7" s="898"/>
      <c r="R7" s="1838" t="s">
        <v>2597</v>
      </c>
      <c r="S7" s="1829" t="s">
        <v>2420</v>
      </c>
      <c r="T7" s="1829" t="s">
        <v>3509</v>
      </c>
      <c r="U7" s="1829"/>
    </row>
    <row r="8" spans="1:22" ht="33" customHeight="1">
      <c r="A8" s="809"/>
      <c r="B8" s="1827"/>
      <c r="C8" s="1016"/>
      <c r="D8" s="1016"/>
      <c r="E8" s="1804"/>
      <c r="F8" s="1832"/>
      <c r="G8" s="1741"/>
      <c r="H8" s="1015"/>
      <c r="I8" s="1016"/>
      <c r="J8" s="1743"/>
      <c r="K8" s="1833"/>
      <c r="L8" s="1837"/>
      <c r="M8" s="1839"/>
      <c r="N8" s="1808"/>
      <c r="O8" s="1743"/>
      <c r="P8" s="1811"/>
      <c r="Q8" s="898"/>
      <c r="R8" s="1838"/>
      <c r="S8" s="1830"/>
      <c r="T8" s="1830"/>
      <c r="U8" s="1830"/>
    </row>
    <row r="9" spans="1:22" ht="14" customHeight="1">
      <c r="A9" s="921">
        <v>1966</v>
      </c>
      <c r="B9" s="1124">
        <f>' T.A7'!C9</f>
        <v>9.5220271571921436E-2</v>
      </c>
      <c r="C9" s="1114">
        <f>T.A2!H10*T.A1!B10/(T.A5b!K10*T.A17!B10)</f>
        <v>0.10043233741496894</v>
      </c>
      <c r="D9" s="1114">
        <f>(1-T.A2!H10)*T.A1!B10/((1-T.A5b!K10)*T.A17!B10)</f>
        <v>9.3350066401474363E-2</v>
      </c>
      <c r="E9" s="1114">
        <f>C9-D9</f>
        <v>7.0822710134945815E-3</v>
      </c>
      <c r="F9" s="1114">
        <f>D9-B9</f>
        <v>-1.8702051704470729E-3</v>
      </c>
      <c r="G9" s="1115">
        <f>D9</f>
        <v>9.3350066401474363E-2</v>
      </c>
      <c r="H9" s="1116">
        <f>G9/(1-O9)</f>
        <v>0.17215374663935623</v>
      </c>
      <c r="I9" s="1117">
        <f>H9*(1-P9)</f>
        <v>9.1768607835576166E-2</v>
      </c>
      <c r="J9" s="1118">
        <f t="shared" ref="J9:J40" si="0">I9-G9</f>
        <v>-1.5814585658981972E-3</v>
      </c>
      <c r="K9" s="1119">
        <f>I9</f>
        <v>9.1768607835576166E-2</v>
      </c>
      <c r="L9" s="1120">
        <f>IF(N9&gt;P9,K9/(1-P9)*(1-N9),K9)</f>
        <v>8.2633798386890986E-2</v>
      </c>
      <c r="M9" s="1121">
        <f>L9-K9</f>
        <v>-9.13480944868518E-3</v>
      </c>
      <c r="N9" s="1122">
        <f>'Assets(BoP)'!BF58+0.04</f>
        <v>0.52</v>
      </c>
      <c r="O9" s="1123">
        <f>T.A2!L10</f>
        <v>0.45775175839168453</v>
      </c>
      <c r="P9" s="1194">
        <f>T.A3!K10</f>
        <v>0.46693807351273259</v>
      </c>
      <c r="Q9" s="912"/>
      <c r="R9" s="1093">
        <f>P9-O9</f>
        <v>9.1863151210480609E-3</v>
      </c>
      <c r="S9" s="805">
        <f>' T.A6'!C10</f>
        <v>5.2309999999999999</v>
      </c>
      <c r="T9" s="971">
        <f>L9*' T.A5'!C10</f>
        <v>4.5395522636725056</v>
      </c>
      <c r="U9" s="972"/>
      <c r="V9" s="971"/>
    </row>
    <row r="10" spans="1:22" ht="14" customHeight="1">
      <c r="A10" s="826">
        <v>1967</v>
      </c>
      <c r="B10" s="1125">
        <f>' T.A7'!C10</f>
        <v>9.0454904765051719E-2</v>
      </c>
      <c r="C10" s="977">
        <f>T.A2!H11*T.A1!B11/(T.A5b!K11*T.A17!B11)</f>
        <v>0.10590969105376062</v>
      </c>
      <c r="D10" s="977">
        <f>(1-T.A2!H11)*T.A1!B11/((1-T.A5b!K11)*T.A17!B11)</f>
        <v>8.4900948538745039E-2</v>
      </c>
      <c r="E10" s="977">
        <f t="shared" ref="E10:E58" si="1">C10-D10</f>
        <v>2.1008742515015583E-2</v>
      </c>
      <c r="F10" s="977">
        <f t="shared" ref="F10:F59" si="2">D10-B10</f>
        <v>-5.5539562263066805E-3</v>
      </c>
      <c r="G10" s="976">
        <f t="shared" ref="G10:G59" si="3">D10</f>
        <v>8.4900948538745039E-2</v>
      </c>
      <c r="H10" s="979">
        <f t="shared" ref="H10:H59" si="4">G10/(1-O10)</f>
        <v>0.15438824354870653</v>
      </c>
      <c r="I10" s="980">
        <f t="shared" ref="I10:I59" si="5">H10*(1-P10)</f>
        <v>8.3367418028852239E-2</v>
      </c>
      <c r="J10" s="981">
        <f t="shared" si="0"/>
        <v>-1.5335305098927998E-3</v>
      </c>
      <c r="K10" s="1099">
        <f t="shared" ref="K10:K59" si="6">I10</f>
        <v>8.3367418028852239E-2</v>
      </c>
      <c r="L10" s="995">
        <f t="shared" ref="L10:L59" si="7">IF(N10&gt;P10,K10/(1-P10)*(1-N10),K10)</f>
        <v>7.4106356903379134E-2</v>
      </c>
      <c r="M10" s="1100">
        <f t="shared" ref="M10:M59" si="8">L10-K10</f>
        <v>-9.2610611254731051E-3</v>
      </c>
      <c r="N10" s="1052">
        <f>'Assets(BoP)'!BF59+0.04</f>
        <v>0.52</v>
      </c>
      <c r="O10" s="1109">
        <f>T.A2!L11</f>
        <v>0.45008151794951656</v>
      </c>
      <c r="P10" s="1195">
        <f>T.A3!K11</f>
        <v>0.46001446669382295</v>
      </c>
      <c r="Q10" s="912"/>
      <c r="R10" s="1093">
        <f t="shared" ref="R10:R59" si="9">P10-O10</f>
        <v>9.9329487443063913E-3</v>
      </c>
      <c r="S10" s="805">
        <f>' T.A6'!C11</f>
        <v>5.5220000000000002</v>
      </c>
      <c r="T10" s="971">
        <f>L10*' T.A5'!C11</f>
        <v>4.5239703019240212</v>
      </c>
      <c r="U10" s="972"/>
      <c r="V10" s="971"/>
    </row>
    <row r="11" spans="1:22" ht="14" customHeight="1">
      <c r="A11" s="826">
        <v>1968</v>
      </c>
      <c r="B11" s="1125">
        <f>' T.A7'!C11</f>
        <v>9.4623264219600017E-2</v>
      </c>
      <c r="C11" s="977">
        <f>T.A2!H12*T.A1!B12/(T.A5b!K12*T.A17!B12)</f>
        <v>0.11212701921753793</v>
      </c>
      <c r="D11" s="977">
        <f>(1-T.A2!H12)*T.A1!B12/((1-T.A5b!K12)*T.A17!B12)</f>
        <v>8.8326821939642322E-2</v>
      </c>
      <c r="E11" s="977">
        <f t="shared" si="1"/>
        <v>2.3800197277895604E-2</v>
      </c>
      <c r="F11" s="977">
        <f t="shared" si="2"/>
        <v>-6.2964422799576952E-3</v>
      </c>
      <c r="G11" s="976">
        <f t="shared" si="3"/>
        <v>8.8326821939642322E-2</v>
      </c>
      <c r="H11" s="979">
        <f t="shared" si="4"/>
        <v>0.15386239473023075</v>
      </c>
      <c r="I11" s="980">
        <f t="shared" si="5"/>
        <v>8.6910650772953416E-2</v>
      </c>
      <c r="J11" s="981">
        <f t="shared" si="0"/>
        <v>-1.4161711666889065E-3</v>
      </c>
      <c r="K11" s="1099">
        <f t="shared" si="6"/>
        <v>8.6910650772953416E-2</v>
      </c>
      <c r="L11" s="995">
        <f t="shared" si="7"/>
        <v>6.6468554523459678E-2</v>
      </c>
      <c r="M11" s="1100">
        <f t="shared" si="8"/>
        <v>-2.0442096249493738E-2</v>
      </c>
      <c r="N11" s="1052">
        <f>'Assets(BoP)'!BF60+0.04</f>
        <v>0.56800000000000006</v>
      </c>
      <c r="O11" s="1109">
        <f>T.A2!L12</f>
        <v>0.42593625885969688</v>
      </c>
      <c r="P11" s="1195">
        <f>T.A3!K12</f>
        <v>0.43514039980116531</v>
      </c>
      <c r="Q11" s="912"/>
      <c r="R11" s="1093">
        <f t="shared" si="9"/>
        <v>9.2041409414684305E-3</v>
      </c>
      <c r="S11" s="805">
        <f>' T.A6'!C12</f>
        <v>6.4859999999999998</v>
      </c>
      <c r="T11" s="971">
        <f>L11*' T.A5'!C12</f>
        <v>4.5561210363514322</v>
      </c>
      <c r="U11" s="972"/>
      <c r="V11" s="971"/>
    </row>
    <row r="12" spans="1:22" ht="14" customHeight="1">
      <c r="A12" s="856">
        <v>1969</v>
      </c>
      <c r="B12" s="1126">
        <f>' T.A7'!C12</f>
        <v>9.6836183897470632E-2</v>
      </c>
      <c r="C12" s="983">
        <f>T.A2!H13*T.A1!B13/(T.A5b!K13*T.A17!B13)</f>
        <v>0.10491662066210049</v>
      </c>
      <c r="D12" s="983">
        <f>(1-T.A2!H13)*T.A1!B13/((1-T.A5b!K13)*T.A17!B13)</f>
        <v>9.4053388113582007E-2</v>
      </c>
      <c r="E12" s="983">
        <f t="shared" si="1"/>
        <v>1.0863232548518481E-2</v>
      </c>
      <c r="F12" s="983">
        <f t="shared" si="2"/>
        <v>-2.7827957838886253E-3</v>
      </c>
      <c r="G12" s="982">
        <f t="shared" si="3"/>
        <v>9.4053388113582007E-2</v>
      </c>
      <c r="H12" s="985">
        <f t="shared" si="4"/>
        <v>0.15962048029454814</v>
      </c>
      <c r="I12" s="986">
        <f t="shared" si="5"/>
        <v>9.2700773972237763E-2</v>
      </c>
      <c r="J12" s="987">
        <f t="shared" si="0"/>
        <v>-1.3526141413442438E-3</v>
      </c>
      <c r="K12" s="1101">
        <f t="shared" si="6"/>
        <v>9.2700773972237763E-2</v>
      </c>
      <c r="L12" s="1107">
        <f t="shared" si="7"/>
        <v>6.8956047487244793E-2</v>
      </c>
      <c r="M12" s="1102">
        <f t="shared" si="8"/>
        <v>-2.374472648499297E-2</v>
      </c>
      <c r="N12" s="1053">
        <f>'Assets(BoP)'!BF61+0.04</f>
        <v>0.56800000000000006</v>
      </c>
      <c r="O12" s="1110">
        <f>T.A2!L13</f>
        <v>0.41076866865689793</v>
      </c>
      <c r="P12" s="1196">
        <f>T.A3!K13</f>
        <v>0.41924260720694012</v>
      </c>
      <c r="Q12" s="912"/>
      <c r="R12" s="1093">
        <f t="shared" si="9"/>
        <v>8.4739385500421927E-3</v>
      </c>
      <c r="S12" s="805">
        <f>' T.A6'!C13</f>
        <v>7.4850000000000003</v>
      </c>
      <c r="T12" s="971">
        <f>L12*' T.A5'!C13</f>
        <v>5.3299912766957842</v>
      </c>
      <c r="U12" s="972"/>
      <c r="V12" s="971"/>
    </row>
    <row r="13" spans="1:22" ht="14" customHeight="1">
      <c r="A13" s="826">
        <v>1970</v>
      </c>
      <c r="B13" s="1125">
        <f>' T.A7'!C13</f>
        <v>9.1391382470756663E-2</v>
      </c>
      <c r="C13" s="977">
        <f>T.A2!H14*T.A1!B14/(T.A5b!K14*T.A17!B14)</f>
        <v>0.11012694965417288</v>
      </c>
      <c r="D13" s="977">
        <f>(1-T.A2!H14)*T.A1!B14/((1-T.A5b!K14)*T.A17!B14)</f>
        <v>8.4815638406050817E-2</v>
      </c>
      <c r="E13" s="977">
        <f t="shared" si="1"/>
        <v>2.5311311248122068E-2</v>
      </c>
      <c r="F13" s="977">
        <f t="shared" si="2"/>
        <v>-6.5757440647058463E-3</v>
      </c>
      <c r="G13" s="976">
        <f t="shared" si="3"/>
        <v>8.4815638406050817E-2</v>
      </c>
      <c r="H13" s="979">
        <f t="shared" si="4"/>
        <v>0.1526537091076251</v>
      </c>
      <c r="I13" s="980">
        <f t="shared" si="5"/>
        <v>8.2997411458064094E-2</v>
      </c>
      <c r="J13" s="981">
        <f t="shared" si="0"/>
        <v>-1.818226947986723E-3</v>
      </c>
      <c r="K13" s="1099">
        <f t="shared" si="6"/>
        <v>8.2997411458064094E-2</v>
      </c>
      <c r="L13" s="995">
        <f t="shared" si="7"/>
        <v>7.144193586236855E-2</v>
      </c>
      <c r="M13" s="1100">
        <f t="shared" si="8"/>
        <v>-1.1555475595695544E-2</v>
      </c>
      <c r="N13" s="1052">
        <f>'Assets(BoP)'!BF62+0.04</f>
        <v>0.53200000000000003</v>
      </c>
      <c r="O13" s="1109">
        <f>T.A2!L14</f>
        <v>0.44439189259231543</v>
      </c>
      <c r="P13" s="1195">
        <f>T.A3!K14</f>
        <v>0.45630268702119375</v>
      </c>
      <c r="Q13" s="912"/>
      <c r="R13" s="1093">
        <f t="shared" si="9"/>
        <v>1.1910794428878324E-2</v>
      </c>
      <c r="S13" s="805">
        <f>' T.A6'!C14</f>
        <v>8.0229999999999997</v>
      </c>
      <c r="T13" s="971">
        <f>L13*' T.A5'!C14</f>
        <v>6.2716925373920027</v>
      </c>
      <c r="U13" s="972"/>
      <c r="V13" s="971"/>
    </row>
    <row r="14" spans="1:22" ht="14" customHeight="1">
      <c r="A14" s="826">
        <v>1971</v>
      </c>
      <c r="B14" s="1125">
        <f>' T.A7'!C14</f>
        <v>9.3115259397084649E-2</v>
      </c>
      <c r="C14" s="977">
        <f>T.A2!H15*T.A1!B15/(T.A5b!K15*T.A17!B15)</f>
        <v>0.10923902824194158</v>
      </c>
      <c r="D14" s="977">
        <f>(1-T.A2!H15)*T.A1!B15/((1-T.A5b!K15)*T.A17!B15)</f>
        <v>8.7405307330487264E-2</v>
      </c>
      <c r="E14" s="977">
        <f t="shared" si="1"/>
        <v>2.1833720911454316E-2</v>
      </c>
      <c r="F14" s="977">
        <f t="shared" si="2"/>
        <v>-5.7099520665973846E-3</v>
      </c>
      <c r="G14" s="976">
        <f t="shared" si="3"/>
        <v>8.7405307330487264E-2</v>
      </c>
      <c r="H14" s="979">
        <f t="shared" si="4"/>
        <v>0.15062749866612091</v>
      </c>
      <c r="I14" s="980">
        <f t="shared" si="5"/>
        <v>8.5704584763019787E-2</v>
      </c>
      <c r="J14" s="981">
        <f t="shared" si="0"/>
        <v>-1.7007225674674775E-3</v>
      </c>
      <c r="K14" s="1099">
        <f t="shared" si="6"/>
        <v>8.5704584763019787E-2</v>
      </c>
      <c r="L14" s="995">
        <f t="shared" si="7"/>
        <v>7.2301199359738028E-2</v>
      </c>
      <c r="M14" s="1100">
        <f t="shared" si="8"/>
        <v>-1.3403385403281759E-2</v>
      </c>
      <c r="N14" s="1052">
        <f>'Assets(BoP)'!BF63+0.04</f>
        <v>0.52</v>
      </c>
      <c r="O14" s="1109">
        <f>T.A2!L15</f>
        <v>0.41972542792980433</v>
      </c>
      <c r="P14" s="1195">
        <f>T.A3!K15</f>
        <v>0.43101634481103923</v>
      </c>
      <c r="Q14" s="912"/>
      <c r="R14" s="1093">
        <f t="shared" si="9"/>
        <v>1.1290916881234903E-2</v>
      </c>
      <c r="S14" s="805">
        <f>' T.A6'!C15</f>
        <v>9.0020000000000007</v>
      </c>
      <c r="T14" s="971">
        <f>L14*' T.A5'!C15</f>
        <v>6.9897823498598282</v>
      </c>
      <c r="U14" s="972"/>
      <c r="V14" s="971"/>
    </row>
    <row r="15" spans="1:22" ht="14" customHeight="1">
      <c r="A15" s="826">
        <v>1972</v>
      </c>
      <c r="B15" s="1125">
        <f>' T.A7'!C15</f>
        <v>9.2480715706586392E-2</v>
      </c>
      <c r="C15" s="977">
        <f>T.A2!H16*T.A1!B16/(T.A5b!K16*T.A17!B16)</f>
        <v>0.10249699786367016</v>
      </c>
      <c r="D15" s="977">
        <f>(1-T.A2!H16)*T.A1!B16/((1-T.A5b!K16)*T.A17!B16)</f>
        <v>8.8939606061670368E-2</v>
      </c>
      <c r="E15" s="977">
        <f t="shared" si="1"/>
        <v>1.3557391801999788E-2</v>
      </c>
      <c r="F15" s="977">
        <f t="shared" si="2"/>
        <v>-3.541109644916024E-3</v>
      </c>
      <c r="G15" s="976">
        <f t="shared" si="3"/>
        <v>8.8939606061670368E-2</v>
      </c>
      <c r="H15" s="979">
        <f t="shared" si="4"/>
        <v>0.14240894539662155</v>
      </c>
      <c r="I15" s="980">
        <f t="shared" si="5"/>
        <v>8.7731812621443084E-2</v>
      </c>
      <c r="J15" s="981">
        <f t="shared" si="0"/>
        <v>-1.2077934402272839E-3</v>
      </c>
      <c r="K15" s="1099">
        <f t="shared" si="6"/>
        <v>8.7731812621443084E-2</v>
      </c>
      <c r="L15" s="995">
        <f t="shared" si="7"/>
        <v>6.8356293790378345E-2</v>
      </c>
      <c r="M15" s="1100">
        <f t="shared" si="8"/>
        <v>-1.9375518831064739E-2</v>
      </c>
      <c r="N15" s="1052">
        <f>'Assets(BoP)'!BF64+0.04</f>
        <v>0.52</v>
      </c>
      <c r="O15" s="1109">
        <f>T.A2!L16</f>
        <v>0.37546334737634862</v>
      </c>
      <c r="P15" s="1195">
        <f>T.A3!K16</f>
        <v>0.38394451010712699</v>
      </c>
      <c r="Q15" s="912"/>
      <c r="R15" s="1093">
        <f t="shared" si="9"/>
        <v>8.4811627307783688E-3</v>
      </c>
      <c r="S15" s="805">
        <f>' T.A6'!C16</f>
        <v>10.8</v>
      </c>
      <c r="T15" s="971">
        <f>L15*' T.A5'!C16</f>
        <v>7.9827233958518002</v>
      </c>
      <c r="U15" s="972"/>
      <c r="V15" s="971"/>
    </row>
    <row r="16" spans="1:22" ht="14" customHeight="1">
      <c r="A16" s="826">
        <v>1973</v>
      </c>
      <c r="B16" s="1125">
        <f>' T.A7'!C16</f>
        <v>0.14032155477080294</v>
      </c>
      <c r="C16" s="977">
        <f>T.A2!H17*T.A1!B17/(T.A5b!K17*T.A17!B17)</f>
        <v>0.23133384178493058</v>
      </c>
      <c r="D16" s="977">
        <f>(1-T.A2!H17)*T.A1!B17/((1-T.A5b!K17)*T.A17!B17)</f>
        <v>0.11088348101514209</v>
      </c>
      <c r="E16" s="977">
        <f t="shared" si="1"/>
        <v>0.12045036076978849</v>
      </c>
      <c r="F16" s="977">
        <f t="shared" si="2"/>
        <v>-2.9438073755660848E-2</v>
      </c>
      <c r="G16" s="976">
        <f t="shared" si="3"/>
        <v>0.11088348101514209</v>
      </c>
      <c r="H16" s="979">
        <f t="shared" si="4"/>
        <v>0.17510171572606734</v>
      </c>
      <c r="I16" s="980">
        <f t="shared" si="5"/>
        <v>0.10958826364035142</v>
      </c>
      <c r="J16" s="981">
        <f t="shared" si="0"/>
        <v>-1.295217374790672E-3</v>
      </c>
      <c r="K16" s="1099">
        <f t="shared" si="6"/>
        <v>0.10958826364035142</v>
      </c>
      <c r="L16" s="995">
        <f t="shared" si="7"/>
        <v>8.4048823548512314E-2</v>
      </c>
      <c r="M16" s="1100">
        <f t="shared" si="8"/>
        <v>-2.5539440091839102E-2</v>
      </c>
      <c r="N16" s="1052">
        <f>'Assets(BoP)'!BF65+0.04</f>
        <v>0.52</v>
      </c>
      <c r="O16" s="1109">
        <f>T.A2!L17</f>
        <v>0.36674817516573943</v>
      </c>
      <c r="P16" s="1195">
        <f>T.A3!K17</f>
        <v>0.37414511796221628</v>
      </c>
      <c r="Q16" s="912"/>
      <c r="R16" s="1093">
        <f t="shared" si="9"/>
        <v>7.3969427964768464E-3</v>
      </c>
      <c r="S16" s="805">
        <f>' T.A6'!C17</f>
        <v>16.483000000000001</v>
      </c>
      <c r="T16" s="971">
        <f>L16*' T.A5'!C17</f>
        <v>9.8728720673952193</v>
      </c>
      <c r="U16" s="972"/>
      <c r="V16" s="971"/>
    </row>
    <row r="17" spans="1:22" ht="14" customHeight="1">
      <c r="A17" s="826">
        <v>1974</v>
      </c>
      <c r="B17" s="1125">
        <f>' T.A7'!C17</f>
        <v>0.1520553451116978</v>
      </c>
      <c r="C17" s="977">
        <f>T.A2!H18*T.A1!B18/(T.A5b!K18*T.A17!B18)</f>
        <v>0.37367882857778278</v>
      </c>
      <c r="D17" s="977">
        <f>(1-T.A2!H18)*T.A1!B18/((1-T.A5b!K18)*T.A17!B18)</f>
        <v>9.9107146959227635E-2</v>
      </c>
      <c r="E17" s="977">
        <f t="shared" si="1"/>
        <v>0.27457168161855516</v>
      </c>
      <c r="F17" s="977">
        <f t="shared" si="2"/>
        <v>-5.2948198152470163E-2</v>
      </c>
      <c r="G17" s="976">
        <f t="shared" si="3"/>
        <v>9.9107146959227635E-2</v>
      </c>
      <c r="H17" s="979">
        <f t="shared" si="4"/>
        <v>0.16610823722648327</v>
      </c>
      <c r="I17" s="980">
        <f t="shared" si="5"/>
        <v>9.6420797391763749E-2</v>
      </c>
      <c r="J17" s="981">
        <f t="shared" si="0"/>
        <v>-2.686349567463886E-3</v>
      </c>
      <c r="K17" s="1099">
        <f t="shared" si="6"/>
        <v>9.6420797391763749E-2</v>
      </c>
      <c r="L17" s="995">
        <f t="shared" si="7"/>
        <v>7.9731953868711972E-2</v>
      </c>
      <c r="M17" s="1100">
        <f t="shared" si="8"/>
        <v>-1.6688843523051777E-2</v>
      </c>
      <c r="N17" s="1052">
        <f>'Assets(BoP)'!BF66+0.04</f>
        <v>0.52</v>
      </c>
      <c r="O17" s="1109">
        <f>T.A2!L18</f>
        <v>0.40335802357532569</v>
      </c>
      <c r="P17" s="1195">
        <f>T.A3!K18</f>
        <v>0.41953030745671527</v>
      </c>
      <c r="Q17" s="912"/>
      <c r="R17" s="1093">
        <f t="shared" si="9"/>
        <v>1.6172283881389582E-2</v>
      </c>
      <c r="S17" s="805">
        <f>' T.A6'!C18</f>
        <v>19.141999999999999</v>
      </c>
      <c r="T17" s="971">
        <f>L17*' T.A5'!C18</f>
        <v>10.037325947560326</v>
      </c>
      <c r="U17" s="972"/>
      <c r="V17" s="971"/>
    </row>
    <row r="18" spans="1:22" ht="14" customHeight="1">
      <c r="A18" s="826">
        <v>1975</v>
      </c>
      <c r="B18" s="1125">
        <f>' T.A7'!C18</f>
        <v>0.11796603993172033</v>
      </c>
      <c r="C18" s="977">
        <f>T.A2!H19*T.A1!B19/(T.A5b!K19*T.A17!B19)</f>
        <v>0.17646567737057328</v>
      </c>
      <c r="D18" s="977">
        <f>(1-T.A2!H19)*T.A1!B19/((1-T.A5b!K19)*T.A17!B19)</f>
        <v>0.1026833910411121</v>
      </c>
      <c r="E18" s="977">
        <f t="shared" si="1"/>
        <v>7.3782286329461183E-2</v>
      </c>
      <c r="F18" s="977">
        <f t="shared" si="2"/>
        <v>-1.5282648890608236E-2</v>
      </c>
      <c r="G18" s="976">
        <f t="shared" si="3"/>
        <v>0.1026833910411121</v>
      </c>
      <c r="H18" s="979">
        <f t="shared" si="4"/>
        <v>0.16439530691375706</v>
      </c>
      <c r="I18" s="980">
        <f t="shared" si="5"/>
        <v>0.10028416065277868</v>
      </c>
      <c r="J18" s="981">
        <f t="shared" si="0"/>
        <v>-2.3992303883334232E-3</v>
      </c>
      <c r="K18" s="1099">
        <f t="shared" si="6"/>
        <v>0.10028416065277868</v>
      </c>
      <c r="L18" s="995">
        <f t="shared" si="7"/>
        <v>7.8909747318603382E-2</v>
      </c>
      <c r="M18" s="1100">
        <f t="shared" si="8"/>
        <v>-2.1374413334175293E-2</v>
      </c>
      <c r="N18" s="1052">
        <f>'Assets(BoP)'!BF67+0.04</f>
        <v>0.52</v>
      </c>
      <c r="O18" s="1109">
        <f>T.A2!L19</f>
        <v>0.37538733331979773</v>
      </c>
      <c r="P18" s="1195">
        <f>T.A3!K19</f>
        <v>0.3899816087487919</v>
      </c>
      <c r="Q18" s="912"/>
      <c r="R18" s="1093">
        <f t="shared" si="9"/>
        <v>1.4594275428994163E-2</v>
      </c>
      <c r="S18" s="805">
        <f>' T.A6'!C19</f>
        <v>16.414000000000001</v>
      </c>
      <c r="T18" s="971">
        <f>L18*' T.A5'!C19</f>
        <v>10.979639506736364</v>
      </c>
      <c r="U18" s="972"/>
      <c r="V18" s="971"/>
    </row>
    <row r="19" spans="1:22" ht="14" customHeight="1">
      <c r="A19" s="826">
        <v>1976</v>
      </c>
      <c r="B19" s="1125">
        <f>' T.A7'!C19</f>
        <v>9.2001021498925389E-2</v>
      </c>
      <c r="C19" s="977">
        <f>T.A2!H20*T.A1!B20/(T.A5b!K20*T.A17!B20)</f>
        <v>0.12224006588845956</v>
      </c>
      <c r="D19" s="977">
        <f>(1-T.A2!H20)*T.A1!B20/((1-T.A5b!K20)*T.A17!B20)</f>
        <v>8.3722695900640812E-2</v>
      </c>
      <c r="E19" s="977">
        <f t="shared" si="1"/>
        <v>3.8517369987818753E-2</v>
      </c>
      <c r="F19" s="977">
        <f t="shared" si="2"/>
        <v>-8.2783255982845777E-3</v>
      </c>
      <c r="G19" s="976">
        <f t="shared" si="3"/>
        <v>8.3722695900640812E-2</v>
      </c>
      <c r="H19" s="979">
        <f t="shared" si="4"/>
        <v>0.13829386475860533</v>
      </c>
      <c r="I19" s="980">
        <f t="shared" si="5"/>
        <v>8.0492100254974358E-2</v>
      </c>
      <c r="J19" s="981">
        <f t="shared" si="0"/>
        <v>-3.2305956456664536E-3</v>
      </c>
      <c r="K19" s="1099">
        <f t="shared" si="6"/>
        <v>8.0492100254974358E-2</v>
      </c>
      <c r="L19" s="995">
        <f t="shared" si="7"/>
        <v>6.6381055084130558E-2</v>
      </c>
      <c r="M19" s="1100">
        <f t="shared" si="8"/>
        <v>-1.41110451708438E-2</v>
      </c>
      <c r="N19" s="1052">
        <f>'Assets(BoP)'!BF68+0.04</f>
        <v>0.52</v>
      </c>
      <c r="O19" s="1109">
        <f>T.A2!L20</f>
        <v>0.39460296343022572</v>
      </c>
      <c r="P19" s="1195">
        <f>T.A3!K20</f>
        <v>0.41796333195637486</v>
      </c>
      <c r="Q19" s="912"/>
      <c r="R19" s="1093">
        <f t="shared" si="9"/>
        <v>2.3360368526149144E-2</v>
      </c>
      <c r="S19" s="805">
        <f>' T.A6'!C20</f>
        <v>19.027999999999999</v>
      </c>
      <c r="T19" s="971">
        <f>L19*' T.A5'!C20</f>
        <v>13.729181432573437</v>
      </c>
      <c r="U19" s="972"/>
      <c r="V19" s="971"/>
    </row>
    <row r="20" spans="1:22" ht="14" customHeight="1">
      <c r="A20" s="826">
        <v>1977</v>
      </c>
      <c r="B20" s="1125">
        <f>' T.A7'!C20</f>
        <v>7.9892286425624792E-2</v>
      </c>
      <c r="C20" s="977">
        <f>T.A2!H21*T.A1!B21/(T.A5b!K21*T.A17!B21)</f>
        <v>0.12577805752351504</v>
      </c>
      <c r="D20" s="977">
        <f>(1-T.A2!H21)*T.A1!B21/((1-T.A5b!K21)*T.A17!B21)</f>
        <v>6.9092237397730169E-2</v>
      </c>
      <c r="E20" s="977">
        <f t="shared" si="1"/>
        <v>5.6685820125784867E-2</v>
      </c>
      <c r="F20" s="977">
        <f t="shared" si="2"/>
        <v>-1.0800049027894623E-2</v>
      </c>
      <c r="G20" s="976">
        <f t="shared" si="3"/>
        <v>6.9092237397730169E-2</v>
      </c>
      <c r="H20" s="979">
        <f t="shared" si="4"/>
        <v>0.12121333644661585</v>
      </c>
      <c r="I20" s="980">
        <f t="shared" si="5"/>
        <v>6.5198102114484027E-2</v>
      </c>
      <c r="J20" s="981">
        <f t="shared" si="0"/>
        <v>-3.8941352832461418E-3</v>
      </c>
      <c r="K20" s="1099">
        <f t="shared" si="6"/>
        <v>6.5198102114484027E-2</v>
      </c>
      <c r="L20" s="995">
        <f t="shared" si="7"/>
        <v>5.8182401494375598E-2</v>
      </c>
      <c r="M20" s="1100">
        <f t="shared" si="8"/>
        <v>-7.0157006201084296E-3</v>
      </c>
      <c r="N20" s="1052">
        <f>'Assets(BoP)'!BF69+0.04</f>
        <v>0.52</v>
      </c>
      <c r="O20" s="1109">
        <f>T.A2!L21</f>
        <v>0.42999475616151017</v>
      </c>
      <c r="P20" s="1195">
        <f>T.A3!K21</f>
        <v>0.46212105016020039</v>
      </c>
      <c r="Q20" s="912"/>
      <c r="R20" s="1093">
        <f t="shared" si="9"/>
        <v>3.2126293998690214E-2</v>
      </c>
      <c r="S20" s="805">
        <f>' T.A6'!C21</f>
        <v>18.822143328158646</v>
      </c>
      <c r="T20" s="971">
        <f>L20*' T.A5'!C21</f>
        <v>13.707424697665925</v>
      </c>
      <c r="U20" s="972"/>
      <c r="V20" s="971"/>
    </row>
    <row r="21" spans="1:22" ht="14" customHeight="1">
      <c r="A21" s="826">
        <v>1978</v>
      </c>
      <c r="B21" s="1125">
        <f>' T.A7'!C21</f>
        <v>8.9554012710881079E-2</v>
      </c>
      <c r="C21" s="977">
        <f>T.A2!H22*T.A1!B22/(T.A5b!K22*T.A17!B22)</f>
        <v>0.12705813233822685</v>
      </c>
      <c r="D21" s="977">
        <f>(1-T.A2!H22)*T.A1!B22/((1-T.A5b!K22)*T.A17!B22)</f>
        <v>8.1071093623390322E-2</v>
      </c>
      <c r="E21" s="977">
        <f t="shared" si="1"/>
        <v>4.5987038714836531E-2</v>
      </c>
      <c r="F21" s="977">
        <f t="shared" si="2"/>
        <v>-8.4829190874907562E-3</v>
      </c>
      <c r="G21" s="976">
        <f t="shared" si="3"/>
        <v>8.1071093623390322E-2</v>
      </c>
      <c r="H21" s="979">
        <f t="shared" si="4"/>
        <v>0.133009990224497</v>
      </c>
      <c r="I21" s="980">
        <f t="shared" si="5"/>
        <v>7.6990465466024921E-2</v>
      </c>
      <c r="J21" s="981">
        <f t="shared" si="0"/>
        <v>-4.0806281573654013E-3</v>
      </c>
      <c r="K21" s="1099">
        <f t="shared" si="6"/>
        <v>7.6990465466024921E-2</v>
      </c>
      <c r="L21" s="995">
        <f t="shared" si="7"/>
        <v>6.3844795307758551E-2</v>
      </c>
      <c r="M21" s="1100">
        <f t="shared" si="8"/>
        <v>-1.314567015826637E-2</v>
      </c>
      <c r="N21" s="1052">
        <f>'Assets(BoP)'!BF70+0.04</f>
        <v>0.52</v>
      </c>
      <c r="O21" s="1109">
        <f>T.A2!L22</f>
        <v>0.39048868820637561</v>
      </c>
      <c r="P21" s="1195">
        <f>T.A3!K22</f>
        <v>0.42116779847830355</v>
      </c>
      <c r="Q21" s="912"/>
      <c r="R21" s="1093">
        <f t="shared" si="9"/>
        <v>3.0679110271927934E-2</v>
      </c>
      <c r="S21" s="805">
        <f>' T.A6'!C22</f>
        <v>24.609980017026388</v>
      </c>
      <c r="T21" s="971">
        <f>L21*' T.A5'!C22</f>
        <v>17.544932819343899</v>
      </c>
      <c r="U21" s="972"/>
      <c r="V21" s="971"/>
    </row>
    <row r="22" spans="1:22" ht="14" customHeight="1">
      <c r="A22" s="856">
        <v>1979</v>
      </c>
      <c r="B22" s="1126">
        <f>' T.A7'!C22</f>
        <v>0.11415644075231299</v>
      </c>
      <c r="C22" s="983">
        <f>T.A2!H23*T.A1!B23/(T.A5b!K23*T.A17!B23)</f>
        <v>0.21757959547595906</v>
      </c>
      <c r="D22" s="983">
        <f>(1-T.A2!H23)*T.A1!B23/((1-T.A5b!K23)*T.A17!B23)</f>
        <v>8.7898829529675787E-2</v>
      </c>
      <c r="E22" s="983">
        <f t="shared" si="1"/>
        <v>0.12968076594628328</v>
      </c>
      <c r="F22" s="983">
        <f t="shared" si="2"/>
        <v>-2.62576112226372E-2</v>
      </c>
      <c r="G22" s="982">
        <f t="shared" si="3"/>
        <v>8.7898829529675787E-2</v>
      </c>
      <c r="H22" s="985">
        <f t="shared" si="4"/>
        <v>0.14416736356333903</v>
      </c>
      <c r="I22" s="986">
        <f t="shared" si="5"/>
        <v>8.1990428444387711E-2</v>
      </c>
      <c r="J22" s="987">
        <f t="shared" si="0"/>
        <v>-5.9084010852880758E-3</v>
      </c>
      <c r="K22" s="1101">
        <f t="shared" si="6"/>
        <v>8.1990428444387711E-2</v>
      </c>
      <c r="L22" s="1107">
        <f t="shared" si="7"/>
        <v>7.2083681781669517E-2</v>
      </c>
      <c r="M22" s="1102">
        <f t="shared" si="8"/>
        <v>-9.9067466627181938E-3</v>
      </c>
      <c r="N22" s="1053">
        <f>'Assets(BoP)'!BF71+0.04</f>
        <v>0.5</v>
      </c>
      <c r="O22" s="1110">
        <f>T.A2!L23</f>
        <v>0.39030008347861639</v>
      </c>
      <c r="P22" s="1196">
        <f>T.A3!K23</f>
        <v>0.43128301428384147</v>
      </c>
      <c r="Q22" s="912"/>
      <c r="R22" s="1093">
        <f t="shared" si="9"/>
        <v>4.0982930805225082E-2</v>
      </c>
      <c r="S22" s="805">
        <f>' T.A6'!C23</f>
        <v>37.428814698783114</v>
      </c>
      <c r="T22" s="971">
        <f>L22*' T.A5'!C23</f>
        <v>23.634292996801328</v>
      </c>
      <c r="U22" s="972"/>
      <c r="V22" s="971"/>
    </row>
    <row r="23" spans="1:22" ht="14" customHeight="1">
      <c r="A23" s="863">
        <v>1980</v>
      </c>
      <c r="B23" s="1127">
        <f>' T.A7'!C23</f>
        <v>9.5366749939167703E-2</v>
      </c>
      <c r="C23" s="989">
        <f>T.A2!H24*T.A1!B24/(T.A5b!K24*T.A17!B24)</f>
        <v>0.15947762560669054</v>
      </c>
      <c r="D23" s="989">
        <f>(1-T.A2!H24)*T.A1!B24/((1-T.A5b!K24)*T.A17!B24)</f>
        <v>7.8032247315793654E-2</v>
      </c>
      <c r="E23" s="989">
        <f t="shared" si="1"/>
        <v>8.1445378290896889E-2</v>
      </c>
      <c r="F23" s="989">
        <f t="shared" si="2"/>
        <v>-1.7334502623374048E-2</v>
      </c>
      <c r="G23" s="988">
        <f t="shared" si="3"/>
        <v>7.8032247315793654E-2</v>
      </c>
      <c r="H23" s="991">
        <f t="shared" si="4"/>
        <v>0.12571864615200617</v>
      </c>
      <c r="I23" s="992">
        <f t="shared" si="5"/>
        <v>7.2808257808286841E-2</v>
      </c>
      <c r="J23" s="993">
        <f t="shared" si="0"/>
        <v>-5.2239895075068127E-3</v>
      </c>
      <c r="K23" s="1103">
        <f t="shared" si="6"/>
        <v>7.2808257808286841E-2</v>
      </c>
      <c r="L23" s="1108">
        <f t="shared" si="7"/>
        <v>6.2859323076003087E-2</v>
      </c>
      <c r="M23" s="1104">
        <f t="shared" si="8"/>
        <v>-9.948934732283754E-3</v>
      </c>
      <c r="N23" s="1054">
        <f>'Assets(BoP)'!BF72+0.04</f>
        <v>0.5</v>
      </c>
      <c r="O23" s="1111">
        <f>T.A2!L24</f>
        <v>0.37931047060875112</v>
      </c>
      <c r="P23" s="1197">
        <f>T.A3!K24</f>
        <v>0.42086349132129119</v>
      </c>
      <c r="Q23" s="912"/>
      <c r="R23" s="1093">
        <f t="shared" si="9"/>
        <v>4.1553020712540079E-2</v>
      </c>
      <c r="S23" s="805">
        <f>' T.A6'!C24</f>
        <v>36.559701889929393</v>
      </c>
      <c r="T23" s="971">
        <f>L23*' T.A5'!C24</f>
        <v>24.097687235093471</v>
      </c>
      <c r="U23" s="972"/>
      <c r="V23" s="971"/>
    </row>
    <row r="24" spans="1:22" ht="14" customHeight="1">
      <c r="A24" s="826">
        <v>1981</v>
      </c>
      <c r="B24" s="1125">
        <f>' T.A7'!C24</f>
        <v>7.8651511846060354E-2</v>
      </c>
      <c r="C24" s="977">
        <f>T.A2!H25*T.A1!B25/(T.A5b!K25*T.A17!B25)</f>
        <v>0.13676816013896648</v>
      </c>
      <c r="D24" s="977">
        <f>(1-T.A2!H25)*T.A1!B25/((1-T.A5b!K25)*T.A17!B25)</f>
        <v>6.1895624681486336E-2</v>
      </c>
      <c r="E24" s="977">
        <f t="shared" si="1"/>
        <v>7.4872535457480141E-2</v>
      </c>
      <c r="F24" s="977">
        <f t="shared" si="2"/>
        <v>-1.6755887164574018E-2</v>
      </c>
      <c r="G24" s="976">
        <f t="shared" si="3"/>
        <v>6.1895624681486336E-2</v>
      </c>
      <c r="H24" s="979">
        <f t="shared" si="4"/>
        <v>0.10242077908227146</v>
      </c>
      <c r="I24" s="980">
        <f t="shared" si="5"/>
        <v>5.6495073768515106E-2</v>
      </c>
      <c r="J24" s="981">
        <f t="shared" si="0"/>
        <v>-5.4005509129712304E-3</v>
      </c>
      <c r="K24" s="1099">
        <f t="shared" si="6"/>
        <v>5.6495073768515106E-2</v>
      </c>
      <c r="L24" s="995">
        <f t="shared" si="7"/>
        <v>5.1210389541135728E-2</v>
      </c>
      <c r="M24" s="1100">
        <f t="shared" si="8"/>
        <v>-5.284684227379377E-3</v>
      </c>
      <c r="N24" s="1052">
        <f>'Assets(BoP)'!BF73+0.04</f>
        <v>0.5</v>
      </c>
      <c r="O24" s="1109">
        <f>T.A2!L25</f>
        <v>0.39567317065839258</v>
      </c>
      <c r="P24" s="1195">
        <f>T.A3!K25</f>
        <v>0.44840222584975314</v>
      </c>
      <c r="Q24" s="912"/>
      <c r="R24" s="1093">
        <f t="shared" si="9"/>
        <v>5.2729055191360563E-2</v>
      </c>
      <c r="S24" s="805">
        <f>' T.A6'!C25</f>
        <v>32.172243617607293</v>
      </c>
      <c r="T24" s="971">
        <f>L24*' T.A5'!C25</f>
        <v>20.947507421022486</v>
      </c>
      <c r="U24" s="972"/>
      <c r="V24" s="971"/>
    </row>
    <row r="25" spans="1:22" ht="14" customHeight="1">
      <c r="A25" s="826">
        <v>1982</v>
      </c>
      <c r="B25" s="1125">
        <f>' T.A7'!C25</f>
        <v>6.5548256596066418E-2</v>
      </c>
      <c r="C25" s="977">
        <f>T.A2!H26*T.A1!B26/(T.A5b!K26*T.A17!B26)</f>
        <v>8.9874433831099054E-2</v>
      </c>
      <c r="D25" s="977">
        <f>(1-T.A2!H26)*T.A1!B26/((1-T.A5b!K26)*T.A17!B26)</f>
        <v>5.7375507269821331E-2</v>
      </c>
      <c r="E25" s="977">
        <f t="shared" si="1"/>
        <v>3.2498926561277723E-2</v>
      </c>
      <c r="F25" s="977">
        <f t="shared" si="2"/>
        <v>-8.1727493262450865E-3</v>
      </c>
      <c r="G25" s="976">
        <f t="shared" si="3"/>
        <v>5.7375507269821331E-2</v>
      </c>
      <c r="H25" s="979">
        <f t="shared" si="4"/>
        <v>9.780085979159131E-2</v>
      </c>
      <c r="I25" s="980">
        <f t="shared" si="5"/>
        <v>4.862635227995251E-2</v>
      </c>
      <c r="J25" s="981">
        <f t="shared" si="0"/>
        <v>-8.7491549898688209E-3</v>
      </c>
      <c r="K25" s="1099">
        <f t="shared" si="6"/>
        <v>4.862635227995251E-2</v>
      </c>
      <c r="L25" s="995">
        <f t="shared" si="7"/>
        <v>4.862635227995251E-2</v>
      </c>
      <c r="M25" s="1100">
        <f t="shared" si="8"/>
        <v>0</v>
      </c>
      <c r="N25" s="1055">
        <f>'Assets(BoP)'!BF74+0.04</f>
        <v>0.5</v>
      </c>
      <c r="O25" s="981">
        <f>T.A2!L26</f>
        <v>0.41334352896195753</v>
      </c>
      <c r="P25" s="966">
        <f>T.A3!K26</f>
        <v>0.502802404972995</v>
      </c>
      <c r="Q25" s="915"/>
      <c r="R25" s="1093">
        <f t="shared" si="9"/>
        <v>8.9458876011037469E-2</v>
      </c>
      <c r="S25" s="805">
        <f>' T.A6'!C26</f>
        <v>26.701999999999998</v>
      </c>
      <c r="T25" s="971">
        <f>L25*' T.A5'!C26</f>
        <v>19.808625370170574</v>
      </c>
      <c r="U25" s="972"/>
      <c r="V25" s="971"/>
    </row>
    <row r="26" spans="1:22" ht="14" customHeight="1">
      <c r="A26" s="826">
        <v>1983</v>
      </c>
      <c r="B26" s="1125">
        <f>' T.A7'!C26</f>
        <v>7.6172705254312689E-2</v>
      </c>
      <c r="C26" s="977">
        <f>T.A2!H27*T.A1!B27/(T.A5b!K27*T.A17!B27)</f>
        <v>9.9696348730956716E-2</v>
      </c>
      <c r="D26" s="977">
        <f>(1-T.A2!H27)*T.A1!B27/((1-T.A5b!K27)*T.A17!B27)</f>
        <v>6.7991218826676719E-2</v>
      </c>
      <c r="E26" s="977">
        <f t="shared" si="1"/>
        <v>3.1705129904279997E-2</v>
      </c>
      <c r="F26" s="977">
        <f t="shared" si="2"/>
        <v>-8.18148642763597E-3</v>
      </c>
      <c r="G26" s="976">
        <f t="shared" si="3"/>
        <v>6.7991218826676719E-2</v>
      </c>
      <c r="H26" s="979">
        <f t="shared" si="4"/>
        <v>0.10759421872426006</v>
      </c>
      <c r="I26" s="980">
        <f t="shared" si="5"/>
        <v>6.0007831886820462E-2</v>
      </c>
      <c r="J26" s="981">
        <f t="shared" si="0"/>
        <v>-7.9833869398562574E-3</v>
      </c>
      <c r="K26" s="1099">
        <f t="shared" si="6"/>
        <v>6.0007831886820462E-2</v>
      </c>
      <c r="L26" s="995">
        <f t="shared" si="7"/>
        <v>5.379710936213003E-2</v>
      </c>
      <c r="M26" s="1100">
        <f t="shared" si="8"/>
        <v>-6.2107225246904318E-3</v>
      </c>
      <c r="N26" s="1055">
        <f>'Assets(BoP)'!BF75+0.04</f>
        <v>0.5</v>
      </c>
      <c r="O26" s="981">
        <f>T.A2!L27</f>
        <v>0.368077396417339</v>
      </c>
      <c r="P26" s="966">
        <f>T.A3!K27</f>
        <v>0.44227642899097463</v>
      </c>
      <c r="Q26" s="915"/>
      <c r="R26" s="1093">
        <f t="shared" si="9"/>
        <v>7.4199032573635637E-2</v>
      </c>
      <c r="S26" s="805">
        <f>' T.A6'!C27</f>
        <v>30.821000000000002</v>
      </c>
      <c r="T26" s="971">
        <f>L26*' T.A5'!C27</f>
        <v>21.767386390105052</v>
      </c>
      <c r="U26" s="972"/>
      <c r="V26" s="971"/>
    </row>
    <row r="27" spans="1:22" ht="14" customHeight="1">
      <c r="A27" s="826">
        <v>1984</v>
      </c>
      <c r="B27" s="1125">
        <f>' T.A7'!C27</f>
        <v>8.5977409328456975E-2</v>
      </c>
      <c r="C27" s="977">
        <f>T.A2!H28*T.A1!B28/(T.A5b!K28*T.A17!B28)</f>
        <v>0.10115134433847221</v>
      </c>
      <c r="D27" s="977">
        <f>(1-T.A2!H28)*T.A1!B28/((1-T.A5b!K28)*T.A17!B28)</f>
        <v>8.0738409071320891E-2</v>
      </c>
      <c r="E27" s="977">
        <f t="shared" si="1"/>
        <v>2.0412935267151322E-2</v>
      </c>
      <c r="F27" s="977">
        <f t="shared" si="2"/>
        <v>-5.2390002571360839E-3</v>
      </c>
      <c r="G27" s="976">
        <f t="shared" si="3"/>
        <v>8.0738409071320891E-2</v>
      </c>
      <c r="H27" s="979">
        <f t="shared" si="4"/>
        <v>0.12536913002471731</v>
      </c>
      <c r="I27" s="980">
        <f t="shared" si="5"/>
        <v>7.2868278167708467E-2</v>
      </c>
      <c r="J27" s="981">
        <f t="shared" si="0"/>
        <v>-7.870130903612424E-3</v>
      </c>
      <c r="K27" s="1099">
        <f t="shared" si="6"/>
        <v>7.2868278167708467E-2</v>
      </c>
      <c r="L27" s="995">
        <f t="shared" si="7"/>
        <v>6.2684565012358653E-2</v>
      </c>
      <c r="M27" s="1100">
        <f t="shared" si="8"/>
        <v>-1.0183713155349813E-2</v>
      </c>
      <c r="N27" s="1055">
        <f>'Assets(BoP)'!BF76+0.04</f>
        <v>0.5</v>
      </c>
      <c r="O27" s="981">
        <f>T.A2!L28</f>
        <v>0.35599450155390872</v>
      </c>
      <c r="P27" s="966">
        <f>T.A3!K28</f>
        <v>0.41877016971129949</v>
      </c>
      <c r="Q27" s="915"/>
      <c r="R27" s="1093">
        <f t="shared" si="9"/>
        <v>6.2775668157390774E-2</v>
      </c>
      <c r="S27" s="805">
        <f>' T.A6'!C28</f>
        <v>35.074999999999996</v>
      </c>
      <c r="T27" s="971">
        <f>L27*' T.A5'!C28</f>
        <v>25.572544404181787</v>
      </c>
      <c r="U27" s="972"/>
      <c r="V27" s="971"/>
    </row>
    <row r="28" spans="1:22" ht="14" customHeight="1">
      <c r="A28" s="826">
        <v>1985</v>
      </c>
      <c r="B28" s="1125">
        <f>' T.A7'!C28</f>
        <v>7.7233402294526979E-2</v>
      </c>
      <c r="C28" s="977">
        <f>T.A2!H29*T.A1!B29/(T.A5b!K29*T.A17!B29)</f>
        <v>9.0327088093249144E-2</v>
      </c>
      <c r="D28" s="977">
        <f>(1-T.A2!H29)*T.A1!B29/((1-T.A5b!K29)*T.A17!B29)</f>
        <v>7.3070085925860978E-2</v>
      </c>
      <c r="E28" s="977">
        <f t="shared" si="1"/>
        <v>1.7257002167388166E-2</v>
      </c>
      <c r="F28" s="977">
        <f t="shared" si="2"/>
        <v>-4.1633163686660007E-3</v>
      </c>
      <c r="G28" s="976">
        <f t="shared" si="3"/>
        <v>7.3070085925860978E-2</v>
      </c>
      <c r="H28" s="979">
        <f t="shared" si="4"/>
        <v>0.11639038037966963</v>
      </c>
      <c r="I28" s="980">
        <f t="shared" si="5"/>
        <v>6.5184790017127903E-2</v>
      </c>
      <c r="J28" s="981">
        <f t="shared" si="0"/>
        <v>-7.8852959087330754E-3</v>
      </c>
      <c r="K28" s="1099">
        <f t="shared" si="6"/>
        <v>6.5184790017127903E-2</v>
      </c>
      <c r="L28" s="995">
        <f t="shared" si="7"/>
        <v>5.8195190189834815E-2</v>
      </c>
      <c r="M28" s="1100">
        <f t="shared" si="8"/>
        <v>-6.9895998272930873E-3</v>
      </c>
      <c r="N28" s="1055">
        <f>'Assets(BoP)'!BF77+0.04</f>
        <v>0.5</v>
      </c>
      <c r="O28" s="981">
        <f>T.A2!L29</f>
        <v>0.37219823762493337</v>
      </c>
      <c r="P28" s="966">
        <f>T.A3!K29</f>
        <v>0.43994692856494877</v>
      </c>
      <c r="Q28" s="915"/>
      <c r="R28" s="1093">
        <f t="shared" si="9"/>
        <v>6.7748690940015399E-2</v>
      </c>
      <c r="S28" s="805">
        <f>' T.A6'!C29</f>
        <v>32.851999999999997</v>
      </c>
      <c r="T28" s="971">
        <f>L28*' T.A5'!C29</f>
        <v>24.753906099148139</v>
      </c>
      <c r="U28" s="972"/>
      <c r="V28" s="971"/>
    </row>
    <row r="29" spans="1:22" ht="14" customHeight="1">
      <c r="A29" s="826">
        <v>1986</v>
      </c>
      <c r="B29" s="1125">
        <f>' T.A7'!C29</f>
        <v>7.6695721983894363E-2</v>
      </c>
      <c r="C29" s="1679">
        <f>T.A2!H30*T.A1!B30/(T.A5b!K30*T.A17!B30)</f>
        <v>6.2638899761973274E-2</v>
      </c>
      <c r="D29" s="1679">
        <f>(1-T.A2!H30)*T.A1!B30/((1-T.A5b!K30)*T.A17!B30)</f>
        <v>8.0697056449619747E-2</v>
      </c>
      <c r="E29" s="1679">
        <f t="shared" si="1"/>
        <v>-1.8058156687646473E-2</v>
      </c>
      <c r="F29" s="1679">
        <f t="shared" si="2"/>
        <v>4.0013344657253841E-3</v>
      </c>
      <c r="G29" s="976">
        <f t="shared" si="3"/>
        <v>8.0697056449619747E-2</v>
      </c>
      <c r="H29" s="979">
        <f t="shared" si="4"/>
        <v>0.12698700272926922</v>
      </c>
      <c r="I29" s="980">
        <f t="shared" si="5"/>
        <v>7.4132168167575688E-2</v>
      </c>
      <c r="J29" s="981">
        <f t="shared" si="0"/>
        <v>-6.5648882820440596E-3</v>
      </c>
      <c r="K29" s="1099">
        <f t="shared" si="6"/>
        <v>7.4132168167575688E-2</v>
      </c>
      <c r="L29" s="995">
        <f t="shared" si="7"/>
        <v>6.3493501364634608E-2</v>
      </c>
      <c r="M29" s="1100">
        <f t="shared" si="8"/>
        <v>-1.063866680294108E-2</v>
      </c>
      <c r="N29" s="1055">
        <f>'Assets(BoP)'!BF78+0.04</f>
        <v>0.5</v>
      </c>
      <c r="O29" s="981">
        <f>T.A2!L30</f>
        <v>0.36452507173775595</v>
      </c>
      <c r="P29" s="966">
        <f>T.A3!K30</f>
        <v>0.41622239619575674</v>
      </c>
      <c r="Q29" s="915"/>
      <c r="R29" s="1093">
        <f t="shared" si="9"/>
        <v>5.1697324458000793E-2</v>
      </c>
      <c r="S29" s="805">
        <f>' T.A6'!C30</f>
        <v>34.201000000000001</v>
      </c>
      <c r="T29" s="971">
        <f>L29*' T.A5'!C30</f>
        <v>28.313720557032877</v>
      </c>
      <c r="U29" s="972"/>
      <c r="V29" s="971"/>
    </row>
    <row r="30" spans="1:22" ht="14" customHeight="1">
      <c r="A30" s="826">
        <v>1987</v>
      </c>
      <c r="B30" s="1125">
        <f>' T.A7'!C30</f>
        <v>8.3303163147248865E-2</v>
      </c>
      <c r="C30" s="1679">
        <f>T.A2!H31*T.A1!B31/(T.A5b!K31*T.A17!B31)</f>
        <v>5.7822862492621821E-2</v>
      </c>
      <c r="D30" s="1679">
        <f>(1-T.A2!H31)*T.A1!B31/((1-T.A5b!K31)*T.A17!B31)</f>
        <v>8.9609484108819262E-2</v>
      </c>
      <c r="E30" s="1679">
        <f t="shared" si="1"/>
        <v>-3.1786621616197441E-2</v>
      </c>
      <c r="F30" s="1679">
        <f t="shared" si="2"/>
        <v>6.3063209615703969E-3</v>
      </c>
      <c r="G30" s="976">
        <f t="shared" si="3"/>
        <v>8.9609484108819262E-2</v>
      </c>
      <c r="H30" s="979">
        <f t="shared" si="4"/>
        <v>0.13504946097642903</v>
      </c>
      <c r="I30" s="980">
        <f t="shared" si="5"/>
        <v>8.2314673707934799E-2</v>
      </c>
      <c r="J30" s="981">
        <f t="shared" si="0"/>
        <v>-7.2948104008844633E-3</v>
      </c>
      <c r="K30" s="1099">
        <f t="shared" si="6"/>
        <v>8.2314673707934799E-2</v>
      </c>
      <c r="L30" s="995">
        <f t="shared" si="7"/>
        <v>7.562769814680026E-2</v>
      </c>
      <c r="M30" s="1100">
        <f t="shared" si="8"/>
        <v>-6.6869755611345394E-3</v>
      </c>
      <c r="N30" s="1055">
        <f>'Assets(BoP)'!BF79+0.04</f>
        <v>0.44</v>
      </c>
      <c r="O30" s="981">
        <f>T.A2!L31</f>
        <v>0.33646914648212228</v>
      </c>
      <c r="P30" s="966">
        <f>T.A3!K31</f>
        <v>0.39048498888639288</v>
      </c>
      <c r="Q30" s="915"/>
      <c r="R30" s="1093">
        <f t="shared" si="9"/>
        <v>5.4015842404270598E-2</v>
      </c>
      <c r="S30" s="805">
        <f>' T.A6'!C31</f>
        <v>42.336999999999996</v>
      </c>
      <c r="T30" s="971">
        <f>L30*' T.A5'!C31</f>
        <v>38.436113773752005</v>
      </c>
      <c r="U30" s="972"/>
      <c r="V30" s="971"/>
    </row>
    <row r="31" spans="1:22" ht="14" customHeight="1">
      <c r="A31" s="826">
        <v>1988</v>
      </c>
      <c r="B31" s="1125">
        <f>' T.A7'!C31</f>
        <v>0.10137454759620411</v>
      </c>
      <c r="C31" s="1679">
        <f>T.A2!H32*T.A1!B32/(T.A5b!K32*T.A17!B32)</f>
        <v>5.7286976935722357E-2</v>
      </c>
      <c r="D31" s="1679">
        <f>(1-T.A2!H32)*T.A1!B32/((1-T.A5b!K32)*T.A17!B32)</f>
        <v>0.11147479963339151</v>
      </c>
      <c r="E31" s="1679">
        <f t="shared" si="1"/>
        <v>-5.4187822697669148E-2</v>
      </c>
      <c r="F31" s="1679">
        <f t="shared" si="2"/>
        <v>1.0100252037187396E-2</v>
      </c>
      <c r="G31" s="976">
        <f t="shared" si="3"/>
        <v>0.11147479963339151</v>
      </c>
      <c r="H31" s="979">
        <f t="shared" si="4"/>
        <v>0.1704403023228469</v>
      </c>
      <c r="I31" s="980">
        <f t="shared" si="5"/>
        <v>0.10631897296174944</v>
      </c>
      <c r="J31" s="981">
        <f t="shared" si="0"/>
        <v>-5.1558266716420637E-3</v>
      </c>
      <c r="K31" s="1099">
        <f t="shared" si="6"/>
        <v>0.10631897296174944</v>
      </c>
      <c r="L31" s="995">
        <f t="shared" si="7"/>
        <v>0.10567298744016508</v>
      </c>
      <c r="M31" s="1100">
        <f t="shared" si="8"/>
        <v>-6.4598552158436073E-4</v>
      </c>
      <c r="N31" s="1055">
        <f>'Assets(BoP)'!BF80+0.04</f>
        <v>0.38</v>
      </c>
      <c r="O31" s="981">
        <f>T.A2!L32</f>
        <v>0.34595985741543289</v>
      </c>
      <c r="P31" s="966">
        <f>T.A3!K32</f>
        <v>0.37620990157386169</v>
      </c>
      <c r="Q31" s="915"/>
      <c r="R31" s="1093">
        <f t="shared" si="9"/>
        <v>3.0250044158428802E-2</v>
      </c>
      <c r="S31" s="805">
        <f>' T.A6'!C32</f>
        <v>53.359000000000002</v>
      </c>
      <c r="T31" s="971">
        <f>L31*' T.A5'!C32</f>
        <v>55.62150530406808</v>
      </c>
      <c r="U31" s="972"/>
      <c r="V31" s="971"/>
    </row>
    <row r="32" spans="1:22" ht="14" customHeight="1">
      <c r="A32" s="856">
        <v>1989</v>
      </c>
      <c r="B32" s="1126">
        <f>' T.A7'!C32</f>
        <v>9.9066915882337764E-2</v>
      </c>
      <c r="C32" s="1680">
        <f>T.A2!H33*T.A1!B33/(T.A5b!K33*T.A17!B33)</f>
        <v>7.152512059458134E-2</v>
      </c>
      <c r="D32" s="1680">
        <f>(1-T.A2!H33)*T.A1!B33/((1-T.A5b!K33)*T.A17!B33)</f>
        <v>0.10359816638824922</v>
      </c>
      <c r="E32" s="1680">
        <f t="shared" si="1"/>
        <v>-3.2073045793667876E-2</v>
      </c>
      <c r="F32" s="1680">
        <f t="shared" si="2"/>
        <v>4.5312505059114522E-3</v>
      </c>
      <c r="G32" s="982">
        <f t="shared" si="3"/>
        <v>0.10359816638824922</v>
      </c>
      <c r="H32" s="985">
        <f t="shared" si="4"/>
        <v>0.15918887894750325</v>
      </c>
      <c r="I32" s="986">
        <f t="shared" si="5"/>
        <v>9.5709973341952803E-2</v>
      </c>
      <c r="J32" s="987">
        <f t="shared" si="0"/>
        <v>-7.8881930462964128E-3</v>
      </c>
      <c r="K32" s="1101">
        <f t="shared" si="6"/>
        <v>9.5709973341952803E-2</v>
      </c>
      <c r="L32" s="1107">
        <f t="shared" si="7"/>
        <v>9.5709973341952803E-2</v>
      </c>
      <c r="M32" s="1102">
        <f t="shared" si="8"/>
        <v>0</v>
      </c>
      <c r="N32" s="1056">
        <f>'Assets(BoP)'!BF81+0.04</f>
        <v>0.38</v>
      </c>
      <c r="O32" s="987">
        <f>T.A2!L33</f>
        <v>0.34921228748389238</v>
      </c>
      <c r="P32" s="967">
        <f>T.A3!K33</f>
        <v>0.39876470030600758</v>
      </c>
      <c r="Q32" s="915"/>
      <c r="R32" s="1093">
        <f t="shared" si="9"/>
        <v>4.9552412822115199E-2</v>
      </c>
      <c r="S32" s="805">
        <f>' T.A6'!C33</f>
        <v>53.744</v>
      </c>
      <c r="T32" s="971">
        <f>L32*' T.A5'!C33</f>
        <v>51.922851957956077</v>
      </c>
      <c r="U32" s="972"/>
      <c r="V32" s="971"/>
    </row>
    <row r="33" spans="1:22" ht="14" customHeight="1">
      <c r="A33" s="826">
        <v>1990</v>
      </c>
      <c r="B33" s="1125">
        <f>' T.A7'!C33</f>
        <v>9.336275984841691E-2</v>
      </c>
      <c r="C33" s="977">
        <f>T.A2!H34*T.A1!B34/(T.A5b!K34*T.A17!B34)</f>
        <v>0.11864012551777023</v>
      </c>
      <c r="D33" s="977">
        <f>(1-T.A2!H34)*T.A1!B34/((1-T.A5b!K34)*T.A17!B34)</f>
        <v>8.9262543256164159E-2</v>
      </c>
      <c r="E33" s="977">
        <f t="shared" si="1"/>
        <v>2.9377582261606069E-2</v>
      </c>
      <c r="F33" s="977">
        <f t="shared" si="2"/>
        <v>-4.1002165922527506E-3</v>
      </c>
      <c r="G33" s="976">
        <f t="shared" si="3"/>
        <v>8.9262543256164159E-2</v>
      </c>
      <c r="H33" s="979">
        <f t="shared" si="4"/>
        <v>0.13833919336307485</v>
      </c>
      <c r="I33" s="980">
        <f t="shared" si="5"/>
        <v>8.0814938540479928E-2</v>
      </c>
      <c r="J33" s="981">
        <f t="shared" si="0"/>
        <v>-8.4476047156842315E-3</v>
      </c>
      <c r="K33" s="1099">
        <f t="shared" si="6"/>
        <v>8.0814938540479928E-2</v>
      </c>
      <c r="L33" s="995">
        <f t="shared" si="7"/>
        <v>8.0814938540479928E-2</v>
      </c>
      <c r="M33" s="1100">
        <f t="shared" si="8"/>
        <v>0</v>
      </c>
      <c r="N33" s="1055">
        <f>'Assets(BoP)'!BF82+0.04</f>
        <v>0.38</v>
      </c>
      <c r="O33" s="981">
        <f>T.A2!L34</f>
        <v>0.35475593657762422</v>
      </c>
      <c r="P33" s="966">
        <f>T.A3!K34</f>
        <v>0.41582037182782333</v>
      </c>
      <c r="Q33" s="915"/>
      <c r="R33" s="1093">
        <f t="shared" si="9"/>
        <v>6.1064435250199112E-2</v>
      </c>
      <c r="S33" s="805">
        <f>' T.A6'!C34</f>
        <v>56.220999999999997</v>
      </c>
      <c r="T33" s="971">
        <f>L33*' T.A5'!C34</f>
        <v>48.664978060429121</v>
      </c>
      <c r="U33" s="972"/>
      <c r="V33" s="971"/>
    </row>
    <row r="34" spans="1:22" ht="14" customHeight="1">
      <c r="A34" s="826">
        <v>1991</v>
      </c>
      <c r="B34" s="1125">
        <f>' T.A7'!C34</f>
        <v>8.0224292811645823E-2</v>
      </c>
      <c r="C34" s="977">
        <f>T.A2!H35*T.A1!B35/(T.A5b!K35*T.A17!B35)</f>
        <v>0.10552448417060878</v>
      </c>
      <c r="D34" s="977">
        <f>(1-T.A2!H35)*T.A1!B35/((1-T.A5b!K35)*T.A17!B35)</f>
        <v>7.575364432399169E-2</v>
      </c>
      <c r="E34" s="977">
        <f t="shared" si="1"/>
        <v>2.9770839846617089E-2</v>
      </c>
      <c r="F34" s="977">
        <f t="shared" si="2"/>
        <v>-4.470648487654133E-3</v>
      </c>
      <c r="G34" s="976">
        <f t="shared" si="3"/>
        <v>7.575364432399169E-2</v>
      </c>
      <c r="H34" s="979">
        <f t="shared" si="4"/>
        <v>0.118655088140698</v>
      </c>
      <c r="I34" s="980">
        <f t="shared" si="5"/>
        <v>6.8826785544985239E-2</v>
      </c>
      <c r="J34" s="981">
        <f t="shared" si="0"/>
        <v>-6.9268587790064506E-3</v>
      </c>
      <c r="K34" s="1099">
        <f t="shared" si="6"/>
        <v>6.8826785544985239E-2</v>
      </c>
      <c r="L34" s="995">
        <f t="shared" si="7"/>
        <v>6.8826785544985239E-2</v>
      </c>
      <c r="M34" s="1100">
        <f t="shared" si="8"/>
        <v>0</v>
      </c>
      <c r="N34" s="1055">
        <f>'Assets(BoP)'!BF83+0.04</f>
        <v>0.38</v>
      </c>
      <c r="O34" s="981">
        <f>T.A2!L35</f>
        <v>0.36156429942418428</v>
      </c>
      <c r="P34" s="966">
        <f>T.A3!K35</f>
        <v>0.41994240092449897</v>
      </c>
      <c r="Q34" s="915"/>
      <c r="R34" s="1093">
        <f t="shared" si="9"/>
        <v>5.8378101500314694E-2</v>
      </c>
      <c r="S34" s="805">
        <f>' T.A6'!C35</f>
        <v>50.833000000000006</v>
      </c>
      <c r="T34" s="971">
        <f>L34*' T.A5'!C35</f>
        <v>43.611129085582263</v>
      </c>
      <c r="U34" s="972"/>
      <c r="V34" s="971"/>
    </row>
    <row r="35" spans="1:22" ht="14" customHeight="1">
      <c r="A35" s="826">
        <v>1992</v>
      </c>
      <c r="B35" s="1125">
        <f>' T.A7'!C35</f>
        <v>7.7402001354299893E-2</v>
      </c>
      <c r="C35" s="977">
        <f>T.A2!H36*T.A1!B36/(T.A5b!K36*T.A17!B36)</f>
        <v>7.910980899833682E-2</v>
      </c>
      <c r="D35" s="977">
        <f>(1-T.A2!H36)*T.A1!B36/((1-T.A5b!K36)*T.A17!B36)</f>
        <v>7.7114090239056632E-2</v>
      </c>
      <c r="E35" s="977">
        <f t="shared" si="1"/>
        <v>1.9957187592801878E-3</v>
      </c>
      <c r="F35" s="977">
        <f t="shared" si="2"/>
        <v>-2.8791111524326118E-4</v>
      </c>
      <c r="G35" s="976">
        <f t="shared" si="3"/>
        <v>7.7114090239056632E-2</v>
      </c>
      <c r="H35" s="979">
        <f t="shared" si="4"/>
        <v>0.11722162439043783</v>
      </c>
      <c r="I35" s="980">
        <f t="shared" si="5"/>
        <v>7.0605528097617012E-2</v>
      </c>
      <c r="J35" s="981">
        <f t="shared" si="0"/>
        <v>-6.5085621414396194E-3</v>
      </c>
      <c r="K35" s="1099">
        <f t="shared" si="6"/>
        <v>7.0605528097617012E-2</v>
      </c>
      <c r="L35" s="995">
        <f t="shared" si="7"/>
        <v>7.0605528097617012E-2</v>
      </c>
      <c r="M35" s="1100">
        <f t="shared" si="8"/>
        <v>0</v>
      </c>
      <c r="N35" s="1055">
        <f>'Assets(BoP)'!BF84+0.04</f>
        <v>0.38</v>
      </c>
      <c r="O35" s="981">
        <f>T.A2!L36</f>
        <v>0.34215132540556142</v>
      </c>
      <c r="P35" s="966">
        <f>T.A3!K36</f>
        <v>0.39767488750670699</v>
      </c>
      <c r="Q35" s="915"/>
      <c r="R35" s="1093">
        <f t="shared" si="9"/>
        <v>5.5523562101145563E-2</v>
      </c>
      <c r="S35" s="805">
        <f>' T.A6'!C36</f>
        <v>49.379999999999995</v>
      </c>
      <c r="T35" s="971">
        <f>L35*' T.A5'!C36</f>
        <v>45.044067549380529</v>
      </c>
      <c r="U35" s="972"/>
      <c r="V35" s="971"/>
    </row>
    <row r="36" spans="1:22" ht="14" customHeight="1">
      <c r="A36" s="826">
        <v>1993</v>
      </c>
      <c r="B36" s="1128">
        <f>' T.A7'!C36</f>
        <v>8.6827302468225481E-2</v>
      </c>
      <c r="C36" s="994">
        <f>T.A2!H37*T.A1!B37/(T.A5b!K37*T.A17!B37)</f>
        <v>0.11606431259807697</v>
      </c>
      <c r="D36" s="994">
        <f>(1-T.A2!H37)*T.A1!B37/((1-T.A5b!K37)*T.A17!B37)</f>
        <v>8.2350609008828707E-2</v>
      </c>
      <c r="E36" s="994">
        <f t="shared" si="1"/>
        <v>3.3713703589248259E-2</v>
      </c>
      <c r="F36" s="994">
        <f t="shared" si="2"/>
        <v>-4.4766934593967744E-3</v>
      </c>
      <c r="G36" s="976">
        <f t="shared" si="3"/>
        <v>8.2350609008828707E-2</v>
      </c>
      <c r="H36" s="979">
        <f t="shared" si="4"/>
        <v>0.11649504559245979</v>
      </c>
      <c r="I36" s="980">
        <f t="shared" si="5"/>
        <v>7.6791784100598684E-2</v>
      </c>
      <c r="J36" s="981">
        <f t="shared" si="0"/>
        <v>-5.5588249082300228E-3</v>
      </c>
      <c r="K36" s="1099">
        <f t="shared" si="6"/>
        <v>7.6791784100598684E-2</v>
      </c>
      <c r="L36" s="995">
        <f t="shared" si="7"/>
        <v>7.1061977811400487E-2</v>
      </c>
      <c r="M36" s="1105">
        <f t="shared" si="8"/>
        <v>-5.7298062891981971E-3</v>
      </c>
      <c r="N36" s="1055">
        <f>'Assets(BoP)'!BF85+0.04</f>
        <v>0.38999999999999996</v>
      </c>
      <c r="O36" s="981">
        <f>T.A2!L37</f>
        <v>0.29309775716196734</v>
      </c>
      <c r="P36" s="966">
        <f>T.A3!K37</f>
        <v>0.34081502170278499</v>
      </c>
      <c r="Q36" s="915"/>
      <c r="R36" s="1093">
        <f t="shared" si="9"/>
        <v>4.771726454081765E-2</v>
      </c>
      <c r="S36" s="805">
        <f>' T.A6'!C37</f>
        <v>57.698999999999998</v>
      </c>
      <c r="T36" s="971">
        <f>L36*' T.A5'!C37</f>
        <v>47.222531867098716</v>
      </c>
      <c r="U36" s="972"/>
      <c r="V36" s="971"/>
    </row>
    <row r="37" spans="1:22" ht="14" customHeight="1">
      <c r="A37" s="826">
        <v>1994</v>
      </c>
      <c r="B37" s="1125">
        <f>' T.A7'!C37</f>
        <v>9.1843185759285753E-2</v>
      </c>
      <c r="C37" s="977">
        <f>T.A2!H38*T.A1!B38/(T.A5b!K38*T.A17!B38)</f>
        <v>0.1137133435350401</v>
      </c>
      <c r="D37" s="977">
        <f>(1-T.A2!H38)*T.A1!B38/((1-T.A5b!K38)*T.A17!B38)</f>
        <v>8.912468956446562E-2</v>
      </c>
      <c r="E37" s="977">
        <f t="shared" si="1"/>
        <v>2.4588653970574484E-2</v>
      </c>
      <c r="F37" s="977">
        <f t="shared" si="2"/>
        <v>-2.718496194820133E-3</v>
      </c>
      <c r="G37" s="976">
        <f t="shared" si="3"/>
        <v>8.912468956446562E-2</v>
      </c>
      <c r="H37" s="979">
        <f t="shared" si="4"/>
        <v>0.13102214876545762</v>
      </c>
      <c r="I37" s="980">
        <f t="shared" si="5"/>
        <v>8.3096650022050841E-2</v>
      </c>
      <c r="J37" s="981">
        <f t="shared" si="0"/>
        <v>-6.0280395424147787E-3</v>
      </c>
      <c r="K37" s="1099">
        <f t="shared" si="6"/>
        <v>8.3096650022050841E-2</v>
      </c>
      <c r="L37" s="995">
        <f t="shared" si="7"/>
        <v>7.9923510746929161E-2</v>
      </c>
      <c r="M37" s="1100">
        <f t="shared" si="8"/>
        <v>-3.1731392751216808E-3</v>
      </c>
      <c r="N37" s="1055">
        <f>'Assets(BoP)'!BF86+0.04</f>
        <v>0.38999999999999996</v>
      </c>
      <c r="O37" s="981">
        <f>T.A2!L38</f>
        <v>0.31977386721074558</v>
      </c>
      <c r="P37" s="966">
        <f>T.A3!K38</f>
        <v>0.3657816574905825</v>
      </c>
      <c r="Q37" s="915"/>
      <c r="R37" s="1093">
        <f t="shared" si="9"/>
        <v>4.6007790279836924E-2</v>
      </c>
      <c r="S37" s="805">
        <f>' T.A6'!C38</f>
        <v>66.680999999999997</v>
      </c>
      <c r="T37" s="971">
        <f>L37*' T.A5'!C38</f>
        <v>58.026946431103731</v>
      </c>
      <c r="U37" s="972"/>
      <c r="V37" s="971"/>
    </row>
    <row r="38" spans="1:22">
      <c r="A38" s="826">
        <v>1995</v>
      </c>
      <c r="B38" s="1125">
        <f>' T.A7'!C38</f>
        <v>0.10260020764917684</v>
      </c>
      <c r="C38" s="977">
        <f>T.A2!H39*T.A1!B39/(T.A5b!K39*T.A17!B39)</f>
        <v>0.11647954154702428</v>
      </c>
      <c r="D38" s="977">
        <f>(1-T.A2!H39)*T.A1!B39/((1-T.A5b!K39)*T.A17!B39)</f>
        <v>0.10101310586125119</v>
      </c>
      <c r="E38" s="977">
        <f t="shared" si="1"/>
        <v>1.5466435685773092E-2</v>
      </c>
      <c r="F38" s="977">
        <f t="shared" si="2"/>
        <v>-1.5871017879256488E-3</v>
      </c>
      <c r="G38" s="976">
        <f t="shared" si="3"/>
        <v>0.10101310586125119</v>
      </c>
      <c r="H38" s="979">
        <f t="shared" si="4"/>
        <v>0.14687145692879583</v>
      </c>
      <c r="I38" s="980">
        <f t="shared" si="5"/>
        <v>9.4020973179683415E-2</v>
      </c>
      <c r="J38" s="981">
        <f t="shared" si="0"/>
        <v>-6.9921326815677726E-3</v>
      </c>
      <c r="K38" s="1099">
        <f t="shared" si="6"/>
        <v>9.4020973179683415E-2</v>
      </c>
      <c r="L38" s="995">
        <f t="shared" si="7"/>
        <v>8.9591588726565474E-2</v>
      </c>
      <c r="M38" s="1100">
        <f t="shared" si="8"/>
        <v>-4.4293844531179405E-3</v>
      </c>
      <c r="N38" s="1055">
        <f>'Assets(BoP)'!BF87+0.04</f>
        <v>0.38999999999999996</v>
      </c>
      <c r="O38" s="981">
        <f>T.A2!L39</f>
        <v>0.31223460314536844</v>
      </c>
      <c r="P38" s="966">
        <f>T.A3!K39</f>
        <v>0.35984176132149798</v>
      </c>
      <c r="Q38" s="915"/>
      <c r="R38" s="1093">
        <f t="shared" si="9"/>
        <v>4.7607158176129538E-2</v>
      </c>
      <c r="S38" s="805">
        <f>' T.A6'!C39</f>
        <v>84.887</v>
      </c>
      <c r="T38" s="971">
        <f>L38*' T.A5'!C39</f>
        <v>74.124228074045035</v>
      </c>
      <c r="U38" s="972"/>
      <c r="V38" s="971"/>
    </row>
    <row r="39" spans="1:22">
      <c r="A39" s="826">
        <v>1996</v>
      </c>
      <c r="B39" s="1125">
        <f>' T.A7'!C39</f>
        <v>9.9136659436008676E-2</v>
      </c>
      <c r="C39" s="977">
        <f>T.A2!H40*T.A1!B40/(T.A5b!K40*T.A17!B40)</f>
        <v>0.14771401584347674</v>
      </c>
      <c r="D39" s="977">
        <f>(1-T.A2!H40)*T.A1!B40/((1-T.A5b!K40)*T.A17!B40)</f>
        <v>9.3882202422930022E-2</v>
      </c>
      <c r="E39" s="977">
        <f t="shared" si="1"/>
        <v>5.3831813420546715E-2</v>
      </c>
      <c r="F39" s="977">
        <f t="shared" si="2"/>
        <v>-5.2544570130786533E-3</v>
      </c>
      <c r="G39" s="976">
        <f t="shared" si="3"/>
        <v>9.3882202422930022E-2</v>
      </c>
      <c r="H39" s="979">
        <f t="shared" si="4"/>
        <v>0.13653644802382092</v>
      </c>
      <c r="I39" s="980">
        <f t="shared" si="5"/>
        <v>8.7655496151035447E-2</v>
      </c>
      <c r="J39" s="981">
        <f t="shared" si="0"/>
        <v>-6.2267062718945748E-3</v>
      </c>
      <c r="K39" s="1099">
        <f t="shared" si="6"/>
        <v>8.7655496151035447E-2</v>
      </c>
      <c r="L39" s="995">
        <f t="shared" si="7"/>
        <v>8.3287233294530777E-2</v>
      </c>
      <c r="M39" s="1100">
        <f t="shared" si="8"/>
        <v>-4.3682628565046705E-3</v>
      </c>
      <c r="N39" s="1055">
        <f>'Assets(BoP)'!BF88+0.04</f>
        <v>0.38999999999999996</v>
      </c>
      <c r="O39" s="981">
        <f>T.A2!L40</f>
        <v>0.31240189867433199</v>
      </c>
      <c r="P39" s="966">
        <f>T.A3!K40</f>
        <v>0.35800661713608822</v>
      </c>
      <c r="Q39" s="915"/>
      <c r="R39" s="1093">
        <f t="shared" si="9"/>
        <v>4.5604718461756233E-2</v>
      </c>
      <c r="S39" s="805">
        <f>' T.A6'!C40</f>
        <v>91.403999999999996</v>
      </c>
      <c r="T39" s="971">
        <f>L39*' T.A5'!C40</f>
        <v>76.790829097557378</v>
      </c>
      <c r="U39" s="972"/>
      <c r="V39" s="971"/>
    </row>
    <row r="40" spans="1:22">
      <c r="A40" s="826">
        <v>1997</v>
      </c>
      <c r="B40" s="1125">
        <f>' T.A7'!C40</f>
        <v>0.1032715722817527</v>
      </c>
      <c r="C40" s="977">
        <f>T.A2!H41*T.A1!B41/(T.A5b!K41*T.A17!B41)</f>
        <v>0.15414078703797948</v>
      </c>
      <c r="D40" s="977">
        <f>(1-T.A2!H41)*T.A1!B41/((1-T.A5b!K41)*T.A17!B41)</f>
        <v>9.782138557210171E-2</v>
      </c>
      <c r="E40" s="977">
        <f t="shared" si="1"/>
        <v>5.6319401465877772E-2</v>
      </c>
      <c r="F40" s="977">
        <f t="shared" si="2"/>
        <v>-5.4501867096509865E-3</v>
      </c>
      <c r="G40" s="976">
        <f t="shared" si="3"/>
        <v>9.782138557210171E-2</v>
      </c>
      <c r="H40" s="979">
        <f t="shared" si="4"/>
        <v>0.14126931030130366</v>
      </c>
      <c r="I40" s="980">
        <f t="shared" si="5"/>
        <v>8.9086295391105116E-2</v>
      </c>
      <c r="J40" s="981">
        <f t="shared" si="0"/>
        <v>-8.7350901809965936E-3</v>
      </c>
      <c r="K40" s="1099">
        <f t="shared" si="6"/>
        <v>8.9086295391105116E-2</v>
      </c>
      <c r="L40" s="995">
        <f t="shared" si="7"/>
        <v>8.6174279283795244E-2</v>
      </c>
      <c r="M40" s="1100">
        <f t="shared" si="8"/>
        <v>-2.9120161073098727E-3</v>
      </c>
      <c r="N40" s="1055">
        <f>'Assets(BoP)'!BF89+0.04</f>
        <v>0.38999999999999996</v>
      </c>
      <c r="O40" s="981">
        <f>T.A2!L41</f>
        <v>0.30755388156518099</v>
      </c>
      <c r="P40" s="966">
        <f>T.A3!K41</f>
        <v>0.36938677479843957</v>
      </c>
      <c r="Q40" s="915"/>
      <c r="R40" s="1093">
        <f t="shared" si="9"/>
        <v>6.1832893233258579E-2</v>
      </c>
      <c r="S40" s="805">
        <f>' T.A6'!C41</f>
        <v>102.679</v>
      </c>
      <c r="T40" s="971">
        <f>L40*' T.A5'!C41</f>
        <v>85.679811269264832</v>
      </c>
      <c r="U40" s="972"/>
      <c r="V40" s="971"/>
    </row>
    <row r="41" spans="1:22">
      <c r="A41" s="826">
        <v>1998</v>
      </c>
      <c r="B41" s="1125">
        <f>' T.A7'!C41</f>
        <v>7.9925964239158515E-2</v>
      </c>
      <c r="C41" s="977">
        <f>T.A2!H42*T.A1!B42/(T.A5b!K42*T.A17!B42)</f>
        <v>7.820592550759882E-2</v>
      </c>
      <c r="D41" s="977">
        <f>(1-T.A2!H42)*T.A1!B42/((1-T.A5b!K42)*T.A17!B42)</f>
        <v>8.0110047945392268E-2</v>
      </c>
      <c r="E41" s="977">
        <f t="shared" si="1"/>
        <v>-1.9041224377934485E-3</v>
      </c>
      <c r="F41" s="977">
        <f t="shared" si="2"/>
        <v>1.8408370623375359E-4</v>
      </c>
      <c r="G41" s="976">
        <f t="shared" si="3"/>
        <v>8.0110047945392268E-2</v>
      </c>
      <c r="H41" s="979">
        <f t="shared" si="4"/>
        <v>0.11792133893039328</v>
      </c>
      <c r="I41" s="980">
        <f t="shared" si="5"/>
        <v>7.2212807285477965E-2</v>
      </c>
      <c r="J41" s="981">
        <f t="shared" ref="J41:J59" si="10">I41-G41</f>
        <v>-7.8972406599143036E-3</v>
      </c>
      <c r="K41" s="1099">
        <f t="shared" si="6"/>
        <v>7.2212807285477965E-2</v>
      </c>
      <c r="L41" s="995">
        <f t="shared" si="7"/>
        <v>7.1932016747539906E-2</v>
      </c>
      <c r="M41" s="1100">
        <f t="shared" si="8"/>
        <v>-2.8079053793805819E-4</v>
      </c>
      <c r="N41" s="1055">
        <f>'Assets(BoP)'!BF90+0.04</f>
        <v>0.38999999999999996</v>
      </c>
      <c r="O41" s="981">
        <f>T.A2!L42</f>
        <v>0.32064841976837027</v>
      </c>
      <c r="P41" s="966">
        <f>T.A3!K42</f>
        <v>0.38761883183751994</v>
      </c>
      <c r="Q41" s="915"/>
      <c r="R41" s="1093">
        <f t="shared" si="9"/>
        <v>6.6970412069149665E-2</v>
      </c>
      <c r="S41" s="805">
        <f>' T.A6'!C42</f>
        <v>87.617000000000004</v>
      </c>
      <c r="T41" s="971">
        <f>L41*' T.A5'!C42</f>
        <v>78.853818923105422</v>
      </c>
      <c r="U41" s="972"/>
      <c r="V41" s="971"/>
    </row>
    <row r="42" spans="1:22">
      <c r="A42" s="856">
        <v>1999</v>
      </c>
      <c r="B42" s="1126">
        <f>' T.A7'!C42</f>
        <v>8.687504696664676E-2</v>
      </c>
      <c r="C42" s="983">
        <f>T.A2!H43*T.A1!B43/(T.A5b!K43*T.A17!B43)</f>
        <v>0.14067217932280912</v>
      </c>
      <c r="D42" s="983">
        <f>(1-T.A2!H43)*T.A1!B43/((1-T.A5b!K43)*T.A17!B43)</f>
        <v>8.2564139088258937E-2</v>
      </c>
      <c r="E42" s="983">
        <f t="shared" si="1"/>
        <v>5.8108040234550185E-2</v>
      </c>
      <c r="F42" s="983">
        <f t="shared" si="2"/>
        <v>-4.3109078783878235E-3</v>
      </c>
      <c r="G42" s="982">
        <f t="shared" si="3"/>
        <v>8.2564139088258937E-2</v>
      </c>
      <c r="H42" s="985">
        <f t="shared" si="4"/>
        <v>0.11935476362984523</v>
      </c>
      <c r="I42" s="986">
        <f t="shared" si="5"/>
        <v>7.5195795096964432E-2</v>
      </c>
      <c r="J42" s="987">
        <f t="shared" si="10"/>
        <v>-7.3683439912945042E-3</v>
      </c>
      <c r="K42" s="1101">
        <f t="shared" si="6"/>
        <v>7.5195795096964432E-2</v>
      </c>
      <c r="L42" s="1107">
        <f t="shared" si="7"/>
        <v>7.280640581420561E-2</v>
      </c>
      <c r="M42" s="1102">
        <f t="shared" si="8"/>
        <v>-2.389389282758822E-3</v>
      </c>
      <c r="N42" s="1056">
        <f>'Assets(BoP)'!BF91+0.04</f>
        <v>0.38999999999999996</v>
      </c>
      <c r="O42" s="987">
        <f>T.A2!L43</f>
        <v>0.30824596708753932</v>
      </c>
      <c r="P42" s="967">
        <f>T.A3!K43</f>
        <v>0.36998077990276912</v>
      </c>
      <c r="Q42" s="915"/>
      <c r="R42" s="1093">
        <f t="shared" si="9"/>
        <v>6.17348128152298E-2</v>
      </c>
      <c r="S42" s="805">
        <f>' T.A6'!C43</f>
        <v>109.827</v>
      </c>
      <c r="T42" s="971">
        <f>L42*' T.A5'!C43</f>
        <v>92.041494198289655</v>
      </c>
      <c r="U42" s="972"/>
      <c r="V42" s="971"/>
    </row>
    <row r="43" spans="1:22">
      <c r="A43" s="826">
        <v>2000</v>
      </c>
      <c r="B43" s="1125">
        <f>' T.A7'!C43</f>
        <v>9.1757922852811702E-2</v>
      </c>
      <c r="C43" s="977">
        <f>T.A2!H44*T.A1!B44/(T.A5b!K44*T.A17!B44)</f>
        <v>0.27109826566298872</v>
      </c>
      <c r="D43" s="977">
        <f>(1-T.A2!H44)*T.A1!B44/((1-T.A5b!K44)*T.A17!B44)</f>
        <v>7.812507323270465E-2</v>
      </c>
      <c r="E43" s="977">
        <f t="shared" si="1"/>
        <v>0.19297319243028407</v>
      </c>
      <c r="F43" s="977">
        <f t="shared" si="2"/>
        <v>-1.3632849620107051E-2</v>
      </c>
      <c r="G43" s="976">
        <f t="shared" si="3"/>
        <v>7.812507323270465E-2</v>
      </c>
      <c r="H43" s="979">
        <f t="shared" si="4"/>
        <v>0.11529869895838178</v>
      </c>
      <c r="I43" s="980">
        <f t="shared" si="5"/>
        <v>6.8646088480395023E-2</v>
      </c>
      <c r="J43" s="981">
        <f t="shared" si="10"/>
        <v>-9.4789847523096271E-3</v>
      </c>
      <c r="K43" s="1099">
        <f t="shared" si="6"/>
        <v>6.8646088480395023E-2</v>
      </c>
      <c r="L43" s="995">
        <f t="shared" si="7"/>
        <v>6.8646088480395023E-2</v>
      </c>
      <c r="M43" s="1100">
        <f t="shared" si="8"/>
        <v>0</v>
      </c>
      <c r="N43" s="1055">
        <f>'Assets(BoP)'!BF92+0.04</f>
        <v>0.38999999999999996</v>
      </c>
      <c r="O43" s="981">
        <f>T.A2!L44</f>
        <v>0.32241149346442599</v>
      </c>
      <c r="P43" s="966">
        <f>T.A3!K44</f>
        <v>0.40462391075918808</v>
      </c>
      <c r="Q43" s="915"/>
      <c r="R43" s="1093">
        <f t="shared" si="9"/>
        <v>8.2212417294762086E-2</v>
      </c>
      <c r="S43" s="805">
        <f>' T.A6'!C44</f>
        <v>128.68700000000001</v>
      </c>
      <c r="T43" s="971">
        <f>L43*' T.A5'!C44</f>
        <v>96.273530542391768</v>
      </c>
      <c r="U43" s="972"/>
      <c r="V43" s="971"/>
    </row>
    <row r="44" spans="1:22">
      <c r="A44" s="826">
        <v>2001</v>
      </c>
      <c r="B44" s="1128">
        <f>' T.A7'!C44</f>
        <v>6.6643723290156512E-2</v>
      </c>
      <c r="C44" s="994">
        <f>T.A2!H45*T.A1!B45/(T.A5b!K45*T.A17!B45)</f>
        <v>0.19034538604109769</v>
      </c>
      <c r="D44" s="994">
        <f>(1-T.A2!H45)*T.A1!B45/((1-T.A5b!K45)*T.A17!B45)</f>
        <v>5.5801157517757653E-2</v>
      </c>
      <c r="E44" s="994">
        <f t="shared" si="1"/>
        <v>0.13454422852334003</v>
      </c>
      <c r="F44" s="994">
        <f t="shared" si="2"/>
        <v>-1.0842565772398859E-2</v>
      </c>
      <c r="G44" s="976">
        <f t="shared" si="3"/>
        <v>5.5801157517757653E-2</v>
      </c>
      <c r="H44" s="979">
        <f t="shared" si="4"/>
        <v>8.1148800050107217E-2</v>
      </c>
      <c r="I44" s="980">
        <f t="shared" si="5"/>
        <v>4.9695690097237351E-2</v>
      </c>
      <c r="J44" s="981">
        <f t="shared" si="10"/>
        <v>-6.1054674205203024E-3</v>
      </c>
      <c r="K44" s="1099">
        <f t="shared" si="6"/>
        <v>4.9695690097237351E-2</v>
      </c>
      <c r="L44" s="995">
        <f t="shared" si="7"/>
        <v>4.9500768030565412E-2</v>
      </c>
      <c r="M44" s="1105">
        <f t="shared" si="8"/>
        <v>-1.9492206667193895E-4</v>
      </c>
      <c r="N44" s="1055">
        <f>'Assets(BoP)'!BF93+0.04</f>
        <v>0.38999999999999996</v>
      </c>
      <c r="O44" s="981">
        <f>T.A2!L45</f>
        <v>0.31236004126614397</v>
      </c>
      <c r="P44" s="966">
        <f>T.A3!K45</f>
        <v>0.38759796735686058</v>
      </c>
      <c r="Q44" s="915"/>
      <c r="R44" s="1093">
        <f t="shared" si="9"/>
        <v>7.5237926090716611E-2</v>
      </c>
      <c r="S44" s="805">
        <f>' T.A6'!C45</f>
        <v>104.76299999999999</v>
      </c>
      <c r="T44" s="971">
        <f>L44*' T.A5'!C45</f>
        <v>77.814514333296401</v>
      </c>
      <c r="U44" s="972"/>
      <c r="V44" s="971"/>
    </row>
    <row r="45" spans="1:22">
      <c r="A45" s="826">
        <v>2002</v>
      </c>
      <c r="B45" s="1125">
        <f>' T.A7'!C45</f>
        <v>6.8482582092210878E-2</v>
      </c>
      <c r="C45" s="977">
        <f>T.A2!H46*T.A1!B46/(T.A5b!K46*T.A17!B46)</f>
        <v>0.14549891778585863</v>
      </c>
      <c r="D45" s="977">
        <f>(1-T.A2!H46)*T.A1!B46/((1-T.A5b!K46)*T.A17!B46)</f>
        <v>6.1935283009387984E-2</v>
      </c>
      <c r="E45" s="977">
        <f t="shared" si="1"/>
        <v>8.3563634776470649E-2</v>
      </c>
      <c r="F45" s="977">
        <f t="shared" si="2"/>
        <v>-6.5472990828228939E-3</v>
      </c>
      <c r="G45" s="976">
        <f t="shared" si="3"/>
        <v>6.1935283009387984E-2</v>
      </c>
      <c r="H45" s="979">
        <f t="shared" si="4"/>
        <v>8.8771743551551624E-2</v>
      </c>
      <c r="I45" s="980">
        <f t="shared" si="5"/>
        <v>5.587541887368036E-2</v>
      </c>
      <c r="J45" s="981">
        <f t="shared" si="10"/>
        <v>-6.0598641357076238E-3</v>
      </c>
      <c r="K45" s="1099">
        <f t="shared" si="6"/>
        <v>5.587541887368036E-2</v>
      </c>
      <c r="L45" s="995">
        <f t="shared" si="7"/>
        <v>5.4150763566446498E-2</v>
      </c>
      <c r="M45" s="1100">
        <f t="shared" si="8"/>
        <v>-1.7246553072338619E-3</v>
      </c>
      <c r="N45" s="1055">
        <f>'Assets(BoP)'!BF94+0.04</f>
        <v>0.38999999999999996</v>
      </c>
      <c r="O45" s="981">
        <f>T.A2!L46</f>
        <v>0.30230858906786195</v>
      </c>
      <c r="P45" s="966">
        <f>T.A3!K46</f>
        <v>0.37057202395453315</v>
      </c>
      <c r="Q45" s="915"/>
      <c r="R45" s="1093">
        <f t="shared" si="9"/>
        <v>6.8263434886671193E-2</v>
      </c>
      <c r="S45" s="805">
        <f>' T.A6'!C46</f>
        <v>119.566</v>
      </c>
      <c r="T45" s="971">
        <f>L45*' T.A5'!C46</f>
        <v>94.54360508585664</v>
      </c>
      <c r="U45" s="972"/>
      <c r="V45" s="971"/>
    </row>
    <row r="46" spans="1:22">
      <c r="A46" s="826">
        <v>2003</v>
      </c>
      <c r="B46" s="1125">
        <f>' T.A7'!C46</f>
        <v>8.200685111012597E-2</v>
      </c>
      <c r="C46" s="977">
        <f>T.A2!H47*T.A1!B47/(T.A5b!K47*T.A17!B47)</f>
        <v>0.18668203494783803</v>
      </c>
      <c r="D46" s="977">
        <f>(1-T.A2!H47)*T.A1!B47/((1-T.A5b!K47)*T.A17!B47)</f>
        <v>7.3523723180230191E-2</v>
      </c>
      <c r="E46" s="977">
        <f t="shared" si="1"/>
        <v>0.11315831176760784</v>
      </c>
      <c r="F46" s="977">
        <f t="shared" si="2"/>
        <v>-8.4831279298957785E-3</v>
      </c>
      <c r="G46" s="976">
        <f t="shared" si="3"/>
        <v>7.3523723180230191E-2</v>
      </c>
      <c r="H46" s="979">
        <f t="shared" si="4"/>
        <v>9.7816365226950558E-2</v>
      </c>
      <c r="I46" s="980">
        <f t="shared" si="5"/>
        <v>6.7941721150657719E-2</v>
      </c>
      <c r="J46" s="981">
        <f t="shared" si="10"/>
        <v>-5.582002029572472E-3</v>
      </c>
      <c r="K46" s="1099">
        <f t="shared" si="6"/>
        <v>6.7941721150657719E-2</v>
      </c>
      <c r="L46" s="995">
        <f t="shared" si="7"/>
        <v>5.9667982788439849E-2</v>
      </c>
      <c r="M46" s="1100">
        <f t="shared" si="8"/>
        <v>-8.2737383622178695E-3</v>
      </c>
      <c r="N46" s="1055">
        <f>'Assets(BoP)'!BF95+0.04</f>
        <v>0.38999999999999996</v>
      </c>
      <c r="O46" s="981">
        <f>T.A2!L47</f>
        <v>0.24834946576022657</v>
      </c>
      <c r="P46" s="966">
        <f>T.A3!K47</f>
        <v>0.30541560205164642</v>
      </c>
      <c r="Q46" s="915"/>
      <c r="R46" s="1093">
        <f t="shared" si="9"/>
        <v>5.706613629141985E-2</v>
      </c>
      <c r="S46" s="805">
        <f>' T.A6'!C47</f>
        <v>159.27100000000002</v>
      </c>
      <c r="T46" s="971">
        <f>L46*' T.A5'!C47</f>
        <v>115.88518712827585</v>
      </c>
      <c r="U46" s="972"/>
      <c r="V46" s="971"/>
    </row>
    <row r="47" spans="1:22">
      <c r="A47" s="826">
        <v>2004</v>
      </c>
      <c r="B47" s="1125">
        <f>' T.A7'!C47</f>
        <v>9.1392688667125729E-2</v>
      </c>
      <c r="C47" s="977">
        <f>T.A2!H48*T.A1!B48/(T.A5b!K48*T.A17!B48)</f>
        <v>0.223444421895205</v>
      </c>
      <c r="D47" s="977">
        <f>(1-T.A2!H48)*T.A1!B48/((1-T.A5b!K48)*T.A17!B48)</f>
        <v>7.8965224448765678E-2</v>
      </c>
      <c r="E47" s="977">
        <f t="shared" si="1"/>
        <v>0.14447919744643933</v>
      </c>
      <c r="F47" s="977">
        <f t="shared" si="2"/>
        <v>-1.2427464218360051E-2</v>
      </c>
      <c r="G47" s="976">
        <f t="shared" si="3"/>
        <v>7.8965224448765678E-2</v>
      </c>
      <c r="H47" s="979">
        <f t="shared" si="4"/>
        <v>0.10552842993064646</v>
      </c>
      <c r="I47" s="980">
        <f t="shared" si="5"/>
        <v>7.0484598088925404E-2</v>
      </c>
      <c r="J47" s="981">
        <f t="shared" si="10"/>
        <v>-8.4806263598402737E-3</v>
      </c>
      <c r="K47" s="1099">
        <f t="shared" si="6"/>
        <v>7.0484598088925404E-2</v>
      </c>
      <c r="L47" s="995">
        <f t="shared" si="7"/>
        <v>6.4372342257694351E-2</v>
      </c>
      <c r="M47" s="1100">
        <f t="shared" si="8"/>
        <v>-6.1122558312310532E-3</v>
      </c>
      <c r="N47" s="1055">
        <f>'Assets(BoP)'!BF96+0.04</f>
        <v>0.38999999999999996</v>
      </c>
      <c r="O47" s="981">
        <f>T.A2!L48</f>
        <v>0.25171610626006835</v>
      </c>
      <c r="P47" s="966">
        <f>T.A3!K48</f>
        <v>0.33207953406254542</v>
      </c>
      <c r="Q47" s="915"/>
      <c r="R47" s="1093">
        <f t="shared" si="9"/>
        <v>8.0363427802477072E-2</v>
      </c>
      <c r="S47" s="805">
        <f>' T.A6'!C48</f>
        <v>222.315</v>
      </c>
      <c r="T47" s="971">
        <f>L47*' T.A5'!C48</f>
        <v>156.58733185039793</v>
      </c>
      <c r="U47" s="972"/>
      <c r="V47" s="971"/>
    </row>
    <row r="48" spans="1:22">
      <c r="A48" s="826">
        <v>2005</v>
      </c>
      <c r="B48" s="1125">
        <f>' T.A7'!C48</f>
        <v>0.10082663232597784</v>
      </c>
      <c r="C48" s="977">
        <f>T.A2!H49*T.A1!B49/(T.A5b!K49*T.A17!B49)</f>
        <v>0.25587546515179788</v>
      </c>
      <c r="D48" s="977">
        <f>(1-T.A2!H49)*T.A1!B49/((1-T.A5b!K49)*T.A17!B49)</f>
        <v>8.5415972921958086E-2</v>
      </c>
      <c r="E48" s="977">
        <f t="shared" si="1"/>
        <v>0.1704594922298398</v>
      </c>
      <c r="F48" s="977">
        <f t="shared" si="2"/>
        <v>-1.5410659404019755E-2</v>
      </c>
      <c r="G48" s="976">
        <f t="shared" si="3"/>
        <v>8.5415972921958086E-2</v>
      </c>
      <c r="H48" s="979">
        <f t="shared" si="4"/>
        <v>0.11796403468247788</v>
      </c>
      <c r="I48" s="980">
        <f t="shared" si="5"/>
        <v>7.8020155055843574E-2</v>
      </c>
      <c r="J48" s="981">
        <f t="shared" si="10"/>
        <v>-7.3958178661145124E-3</v>
      </c>
      <c r="K48" s="1099">
        <f t="shared" si="6"/>
        <v>7.8020155055843574E-2</v>
      </c>
      <c r="L48" s="995">
        <f t="shared" si="7"/>
        <v>7.1958061156311509E-2</v>
      </c>
      <c r="M48" s="1100">
        <f t="shared" si="8"/>
        <v>-6.0620938995320645E-3</v>
      </c>
      <c r="N48" s="1055">
        <f>'Assets(BoP)'!BF97+0.04</f>
        <v>0.38999999999999996</v>
      </c>
      <c r="O48" s="981">
        <f>T.A2!L49</f>
        <v>0.27591512826878928</v>
      </c>
      <c r="P48" s="966">
        <f>T.A3!K49</f>
        <v>0.33861065988587685</v>
      </c>
      <c r="Q48" s="915"/>
      <c r="R48" s="1093">
        <f t="shared" si="9"/>
        <v>6.2695531617087574E-2</v>
      </c>
      <c r="S48" s="805">
        <f>' T.A6'!C49</f>
        <v>266.04700000000003</v>
      </c>
      <c r="T48" s="971">
        <f>L48*' T.A5'!C49</f>
        <v>189.8727137345906</v>
      </c>
      <c r="U48" s="972"/>
      <c r="V48" s="971"/>
    </row>
    <row r="49" spans="1:22">
      <c r="A49" s="826">
        <v>2006</v>
      </c>
      <c r="B49" s="1125">
        <f>' T.A7'!C49</f>
        <v>0.10065118984439392</v>
      </c>
      <c r="C49" s="977">
        <f>T.A2!H50*T.A1!B50/(T.A5b!K50*T.A17!B50)</f>
        <v>0.27128892289021833</v>
      </c>
      <c r="D49" s="977">
        <f>(1-T.A2!H50)*T.A1!B50/((1-T.A5b!K50)*T.A17!B50)</f>
        <v>8.4494820334912929E-2</v>
      </c>
      <c r="E49" s="977">
        <f t="shared" si="1"/>
        <v>0.1867941025553054</v>
      </c>
      <c r="F49" s="977">
        <f t="shared" si="2"/>
        <v>-1.6156369509480989E-2</v>
      </c>
      <c r="G49" s="976">
        <f t="shared" si="3"/>
        <v>8.4494820334912929E-2</v>
      </c>
      <c r="H49" s="979">
        <f t="shared" si="4"/>
        <v>0.11674704334428192</v>
      </c>
      <c r="I49" s="980">
        <f t="shared" si="5"/>
        <v>7.537083162252152E-2</v>
      </c>
      <c r="J49" s="981">
        <f t="shared" si="10"/>
        <v>-9.1239887123914093E-3</v>
      </c>
      <c r="K49" s="1099">
        <f t="shared" si="6"/>
        <v>7.537083162252152E-2</v>
      </c>
      <c r="L49" s="995">
        <f t="shared" si="7"/>
        <v>7.1215696440011994E-2</v>
      </c>
      <c r="M49" s="1100">
        <f t="shared" si="8"/>
        <v>-4.1551351825095256E-3</v>
      </c>
      <c r="N49" s="1055">
        <f>'Assets(BoP)'!BF98+0.04</f>
        <v>0.38999999999999996</v>
      </c>
      <c r="O49" s="981">
        <f>T.A2!L50</f>
        <v>0.27625730027490802</v>
      </c>
      <c r="P49" s="966">
        <f>T.A3!K50</f>
        <v>0.35440907569490876</v>
      </c>
      <c r="Q49" s="915"/>
      <c r="R49" s="1093">
        <f t="shared" si="9"/>
        <v>7.8151775420000735E-2</v>
      </c>
      <c r="S49" s="805">
        <f>' T.A6'!C50</f>
        <v>298.32599999999996</v>
      </c>
      <c r="T49" s="971">
        <f>L49*' T.A5'!C50</f>
        <v>211.08040440464154</v>
      </c>
      <c r="U49" s="972"/>
      <c r="V49" s="971"/>
    </row>
    <row r="50" spans="1:22">
      <c r="A50" s="826">
        <v>2007</v>
      </c>
      <c r="B50" s="1125">
        <f>' T.A7'!C50</f>
        <v>9.6872423425403878E-2</v>
      </c>
      <c r="C50" s="977">
        <f>T.A2!H51*T.A1!B51/(T.A5b!K51*T.A17!B51)</f>
        <v>0.23658428709212329</v>
      </c>
      <c r="D50" s="977">
        <f>(1-T.A2!H51)*T.A1!B51/((1-T.A5b!K51)*T.A17!B51)</f>
        <v>8.3564712886916803E-2</v>
      </c>
      <c r="E50" s="977">
        <f t="shared" si="1"/>
        <v>0.15301957420520648</v>
      </c>
      <c r="F50" s="977">
        <f t="shared" si="2"/>
        <v>-1.3307710538487075E-2</v>
      </c>
      <c r="G50" s="976">
        <f t="shared" si="3"/>
        <v>8.3564712886916803E-2</v>
      </c>
      <c r="H50" s="979">
        <f t="shared" si="4"/>
        <v>0.11071055230205279</v>
      </c>
      <c r="I50" s="980">
        <f t="shared" si="5"/>
        <v>7.5053145386870052E-2</v>
      </c>
      <c r="J50" s="981">
        <f t="shared" si="10"/>
        <v>-8.5115675000467517E-3</v>
      </c>
      <c r="K50" s="1099">
        <f t="shared" si="6"/>
        <v>7.5053145386870052E-2</v>
      </c>
      <c r="L50" s="995">
        <f t="shared" si="7"/>
        <v>6.7533436904252217E-2</v>
      </c>
      <c r="M50" s="1100">
        <f t="shared" si="8"/>
        <v>-7.5197084826178345E-3</v>
      </c>
      <c r="N50" s="1055">
        <f>'Assets(BoP)'!BF99+0.04</f>
        <v>0.38999999999999996</v>
      </c>
      <c r="O50" s="981">
        <f>T.A2!L51</f>
        <v>0.24519649528144077</v>
      </c>
      <c r="P50" s="966">
        <f>T.A3!K51</f>
        <v>0.32207776199958121</v>
      </c>
      <c r="Q50" s="915"/>
      <c r="R50" s="1093">
        <f t="shared" si="9"/>
        <v>7.688126671814044E-2</v>
      </c>
      <c r="S50" s="805">
        <f>' T.A6'!C51</f>
        <v>342.84100000000001</v>
      </c>
      <c r="T50" s="971">
        <f>L50*' T.A5'!C51</f>
        <v>239.00745148096522</v>
      </c>
      <c r="U50" s="972"/>
      <c r="V50" s="971"/>
    </row>
    <row r="51" spans="1:22">
      <c r="A51" s="826">
        <v>2008</v>
      </c>
      <c r="B51" s="1125">
        <f>' T.A7'!C51</f>
        <v>0.10245875882902451</v>
      </c>
      <c r="C51" s="977">
        <f>T.A2!H52*T.A1!B52/(T.A5b!K52*T.A17!B52)</f>
        <v>0.29254409250167829</v>
      </c>
      <c r="D51" s="977">
        <f>(1-T.A2!H52)*T.A1!B52/((1-T.A5b!K52)*T.A17!B52)</f>
        <v>8.3634015270099379E-2</v>
      </c>
      <c r="E51" s="977">
        <f t="shared" si="1"/>
        <v>0.20891007723157889</v>
      </c>
      <c r="F51" s="977">
        <f t="shared" si="2"/>
        <v>-1.8824743558925133E-2</v>
      </c>
      <c r="G51" s="976">
        <f t="shared" si="3"/>
        <v>8.3634015270099379E-2</v>
      </c>
      <c r="H51" s="979">
        <f t="shared" si="4"/>
        <v>0.10691794457903438</v>
      </c>
      <c r="I51" s="980">
        <f t="shared" si="5"/>
        <v>7.7746943428753421E-2</v>
      </c>
      <c r="J51" s="981">
        <f t="shared" si="10"/>
        <v>-5.8870718413459588E-3</v>
      </c>
      <c r="K51" s="1099">
        <f t="shared" si="6"/>
        <v>7.7746943428753421E-2</v>
      </c>
      <c r="L51" s="995">
        <f t="shared" si="7"/>
        <v>6.5219946193210976E-2</v>
      </c>
      <c r="M51" s="1100">
        <f t="shared" si="8"/>
        <v>-1.2526997235542445E-2</v>
      </c>
      <c r="N51" s="1055">
        <f>'Assets(BoP)'!BF100+0.04</f>
        <v>0.38999999999999996</v>
      </c>
      <c r="O51" s="981">
        <f>T.A2!L52</f>
        <v>0.21777382085495831</v>
      </c>
      <c r="P51" s="966">
        <f>T.A3!K52</f>
        <v>0.27283540910868875</v>
      </c>
      <c r="Q51" s="915"/>
      <c r="R51" s="1093">
        <f t="shared" si="9"/>
        <v>5.5061588253730448E-2</v>
      </c>
      <c r="S51" s="805">
        <f>' T.A6'!C52</f>
        <v>384.75600000000003</v>
      </c>
      <c r="T51" s="971">
        <f>L51*' T.A5'!C52</f>
        <v>244.91576810323923</v>
      </c>
      <c r="U51" s="972"/>
      <c r="V51" s="971"/>
    </row>
    <row r="52" spans="1:22">
      <c r="A52" s="856">
        <v>2009</v>
      </c>
      <c r="B52" s="1126">
        <f>' T.A7'!C52</f>
        <v>8.3872969934011318E-2</v>
      </c>
      <c r="C52" s="983">
        <f>T.A2!H53*T.A1!B53/(T.A5b!K53*T.A17!B53)</f>
        <v>0.20536317108259319</v>
      </c>
      <c r="D52" s="983">
        <f>(1-T.A2!H53)*T.A1!B53/((1-T.A5b!K53)*T.A17!B53)</f>
        <v>7.5634628623288278E-2</v>
      </c>
      <c r="E52" s="983">
        <f t="shared" si="1"/>
        <v>0.12972854245930493</v>
      </c>
      <c r="F52" s="983">
        <f t="shared" si="2"/>
        <v>-8.2383413107230408E-3</v>
      </c>
      <c r="G52" s="982">
        <f t="shared" si="3"/>
        <v>7.5634628623288278E-2</v>
      </c>
      <c r="H52" s="985">
        <f t="shared" si="4"/>
        <v>9.6991139052548594E-2</v>
      </c>
      <c r="I52" s="986">
        <f t="shared" si="5"/>
        <v>6.7662303743354968E-2</v>
      </c>
      <c r="J52" s="987">
        <f t="shared" si="10"/>
        <v>-7.9723248799333096E-3</v>
      </c>
      <c r="K52" s="1101">
        <f t="shared" si="6"/>
        <v>6.7662303743354968E-2</v>
      </c>
      <c r="L52" s="1107">
        <f t="shared" si="7"/>
        <v>5.9164594822054641E-2</v>
      </c>
      <c r="M52" s="1102">
        <f t="shared" si="8"/>
        <v>-8.4977089213003273E-3</v>
      </c>
      <c r="N52" s="1056">
        <f>'Assets(BoP)'!BF101+0.04</f>
        <v>0.38999999999999996</v>
      </c>
      <c r="O52" s="987">
        <f>T.A2!L53</f>
        <v>0.22019032499133367</v>
      </c>
      <c r="P52" s="967">
        <f>T.A3!K53</f>
        <v>0.30238674992056358</v>
      </c>
      <c r="Q52" s="915"/>
      <c r="R52" s="1093">
        <f t="shared" si="9"/>
        <v>8.2196424929229905E-2</v>
      </c>
      <c r="S52" s="805">
        <f>' T.A6'!C53</f>
        <v>333.50299999999999</v>
      </c>
      <c r="T52" s="971">
        <f>L52*' T.A5'!C53</f>
        <v>235.25540925120313</v>
      </c>
      <c r="U52" s="972"/>
      <c r="V52" s="971"/>
    </row>
    <row r="53" spans="1:22">
      <c r="A53" s="826">
        <v>2010</v>
      </c>
      <c r="B53" s="1125">
        <f>' T.A7'!C53</f>
        <v>9.80715949029939E-2</v>
      </c>
      <c r="C53" s="977">
        <f>T.A2!H54*T.A1!B54/(T.A5b!K54*T.A17!B54)</f>
        <v>0.2657398762472975</v>
      </c>
      <c r="D53" s="977">
        <f>(1-T.A2!H54)*T.A1!B54/((1-T.A5b!K54)*T.A17!B54)</f>
        <v>8.6023681464373267E-2</v>
      </c>
      <c r="E53" s="977">
        <f t="shared" si="1"/>
        <v>0.17971619478292422</v>
      </c>
      <c r="F53" s="977">
        <f t="shared" si="2"/>
        <v>-1.2047913438620633E-2</v>
      </c>
      <c r="G53" s="976">
        <f t="shared" si="3"/>
        <v>8.6023681464373267E-2</v>
      </c>
      <c r="H53" s="979">
        <f t="shared" si="4"/>
        <v>0.11139215846600639</v>
      </c>
      <c r="I53" s="980">
        <f t="shared" si="5"/>
        <v>7.9730378802674848E-2</v>
      </c>
      <c r="J53" s="981">
        <f t="shared" si="10"/>
        <v>-6.2933026616984189E-3</v>
      </c>
      <c r="K53" s="1099">
        <f t="shared" si="6"/>
        <v>7.9730378802674848E-2</v>
      </c>
      <c r="L53" s="995">
        <f t="shared" si="7"/>
        <v>6.7949216664263914E-2</v>
      </c>
      <c r="M53" s="1100">
        <f t="shared" si="8"/>
        <v>-1.1781162138410933E-2</v>
      </c>
      <c r="N53" s="1055">
        <f>'Assets(BoP)'!BF102+0.04</f>
        <v>0.38999999999999996</v>
      </c>
      <c r="O53" s="981">
        <f>T.A2!L54</f>
        <v>0.22774024088396522</v>
      </c>
      <c r="P53" s="966">
        <f>T.A3!K54</f>
        <v>0.28423706030432833</v>
      </c>
      <c r="Q53" s="915"/>
      <c r="R53" s="1093">
        <f t="shared" si="9"/>
        <v>5.6496819420363109E-2</v>
      </c>
      <c r="S53" s="805">
        <f>' T.A6'!C54</f>
        <v>411.80400000000003</v>
      </c>
      <c r="T53" s="971">
        <f>L53*' T.A5'!C54</f>
        <v>285.31971206227746</v>
      </c>
      <c r="U53" s="972"/>
      <c r="V53" s="971"/>
    </row>
    <row r="54" spans="1:22">
      <c r="A54" s="826">
        <v>2011</v>
      </c>
      <c r="B54" s="1125">
        <f>' T.A7'!C54</f>
        <v>9.7181118258444971E-2</v>
      </c>
      <c r="C54" s="977">
        <f>T.A2!H55*T.A1!B55/(T.A5b!K55*T.A17!B55)</f>
        <v>0.2702106775932242</v>
      </c>
      <c r="D54" s="977">
        <f>(1-T.A2!H55)*T.A1!B55/((1-T.A5b!K55)*T.A17!B55)</f>
        <v>8.4716432193535571E-2</v>
      </c>
      <c r="E54" s="977">
        <f t="shared" si="1"/>
        <v>0.18549424539968862</v>
      </c>
      <c r="F54" s="977">
        <f t="shared" si="2"/>
        <v>-1.24646860649094E-2</v>
      </c>
      <c r="G54" s="976">
        <f t="shared" si="3"/>
        <v>8.4716432193535571E-2</v>
      </c>
      <c r="H54" s="979">
        <f t="shared" si="4"/>
        <v>0.10920904003915775</v>
      </c>
      <c r="I54" s="980">
        <f t="shared" si="5"/>
        <v>7.6837997343752448E-2</v>
      </c>
      <c r="J54" s="981">
        <f t="shared" si="10"/>
        <v>-7.8784348497831225E-3</v>
      </c>
      <c r="K54" s="1099">
        <f t="shared" si="6"/>
        <v>7.6837997343752448E-2</v>
      </c>
      <c r="L54" s="995">
        <f t="shared" si="7"/>
        <v>6.6617514423886234E-2</v>
      </c>
      <c r="M54" s="1100">
        <f t="shared" si="8"/>
        <v>-1.0220482919866214E-2</v>
      </c>
      <c r="N54" s="1055">
        <f>'Assets(BoP)'!BF103+0.04</f>
        <v>0.38999999999999996</v>
      </c>
      <c r="O54" s="981">
        <f>T.A2!L55</f>
        <v>0.22427271439104463</v>
      </c>
      <c r="P54" s="966">
        <f>T.A3!K55</f>
        <v>0.29641358154781339</v>
      </c>
      <c r="Q54" s="915"/>
      <c r="R54" s="1093">
        <f t="shared" si="9"/>
        <v>7.2140867156768762E-2</v>
      </c>
      <c r="S54" s="805">
        <f>' T.A6'!C55</f>
        <v>441.036</v>
      </c>
      <c r="T54" s="971">
        <f>L54*' T.A5'!C55</f>
        <v>302.32953291726426</v>
      </c>
      <c r="U54" s="972"/>
      <c r="V54" s="971"/>
    </row>
    <row r="55" spans="1:22">
      <c r="A55" s="826">
        <v>2012</v>
      </c>
      <c r="B55" s="1125">
        <f>' T.A7'!C55</f>
        <v>8.7757721855378321E-2</v>
      </c>
      <c r="C55" s="977">
        <f>T.A2!H56*T.A1!B56/(T.A5b!K56*T.A17!B56)</f>
        <v>0.19688800697535427</v>
      </c>
      <c r="D55" s="977">
        <f>(1-T.A2!H56)*T.A1!B56/((1-T.A5b!K56)*T.A17!B56)</f>
        <v>7.9179267629654757E-2</v>
      </c>
      <c r="E55" s="977">
        <f t="shared" si="1"/>
        <v>0.11770873934569952</v>
      </c>
      <c r="F55" s="977">
        <f t="shared" si="2"/>
        <v>-8.5784542257235641E-3</v>
      </c>
      <c r="G55" s="976">
        <f t="shared" si="3"/>
        <v>7.9179267629654757E-2</v>
      </c>
      <c r="H55" s="979">
        <f t="shared" si="4"/>
        <v>9.9687253048554261E-2</v>
      </c>
      <c r="I55" s="980">
        <f t="shared" si="5"/>
        <v>7.1402911058144405E-2</v>
      </c>
      <c r="J55" s="981">
        <f t="shared" si="10"/>
        <v>-7.7763565715103511E-3</v>
      </c>
      <c r="K55" s="1099">
        <f t="shared" si="6"/>
        <v>7.1402911058144405E-2</v>
      </c>
      <c r="L55" s="995">
        <f t="shared" si="7"/>
        <v>6.0809224359618108E-2</v>
      </c>
      <c r="M55" s="1100">
        <f t="shared" si="8"/>
        <v>-1.0593686698526297E-2</v>
      </c>
      <c r="N55" s="1055">
        <f>'Assets(BoP)'!BF104+0.04</f>
        <v>0.38999999999999996</v>
      </c>
      <c r="O55" s="981">
        <f>T.A2!L56</f>
        <v>0.20572324737357103</v>
      </c>
      <c r="P55" s="966">
        <f>T.A3!K56</f>
        <v>0.28373077926656792</v>
      </c>
      <c r="Q55" s="915"/>
      <c r="R55" s="1093">
        <f>P55-O55</f>
        <v>7.800753189299689E-2</v>
      </c>
      <c r="S55" s="805">
        <f>' T.A6'!C56</f>
        <v>428.702</v>
      </c>
      <c r="T55" s="971">
        <f>L55*' T.A5'!C56</f>
        <v>297.0568919778691</v>
      </c>
      <c r="U55" s="972"/>
      <c r="V55" s="971"/>
    </row>
    <row r="56" spans="1:22">
      <c r="A56" s="826">
        <v>2013</v>
      </c>
      <c r="B56" s="1125">
        <f>' T.A7'!C56</f>
        <v>8.6459926356465933E-2</v>
      </c>
      <c r="C56" s="977">
        <f>T.A2!H57*T.A1!B57/(T.A5b!K57*T.A17!B57)</f>
        <v>0.16353839490627459</v>
      </c>
      <c r="D56" s="977">
        <f>(1-T.A2!H57)*T.A1!B57/((1-T.A5b!K57)*T.A17!B57)</f>
        <v>7.8719606881717807E-2</v>
      </c>
      <c r="E56" s="977">
        <f t="shared" si="1"/>
        <v>8.4818788024556779E-2</v>
      </c>
      <c r="F56" s="977">
        <f t="shared" si="2"/>
        <v>-7.7403194747481252E-3</v>
      </c>
      <c r="G56" s="976">
        <f t="shared" si="3"/>
        <v>7.8719606881717807E-2</v>
      </c>
      <c r="H56" s="979">
        <f t="shared" si="4"/>
        <v>9.9560844583046523E-2</v>
      </c>
      <c r="I56" s="980">
        <f t="shared" si="5"/>
        <v>7.1390641499625498E-2</v>
      </c>
      <c r="J56" s="981">
        <f t="shared" si="10"/>
        <v>-7.328965382092309E-3</v>
      </c>
      <c r="K56" s="1099">
        <f t="shared" si="6"/>
        <v>7.1390641499625498E-2</v>
      </c>
      <c r="L56" s="995">
        <f t="shared" si="7"/>
        <v>6.0732115195658389E-2</v>
      </c>
      <c r="M56" s="1100">
        <f t="shared" si="8"/>
        <v>-1.065852630396711E-2</v>
      </c>
      <c r="N56" s="1055">
        <f>'Assets(BoP)'!BF105+0.04</f>
        <v>0.38999999999999996</v>
      </c>
      <c r="O56" s="981">
        <f>T.A2!L57</f>
        <v>0.20933166837435227</v>
      </c>
      <c r="P56" s="966">
        <f>T.A3!K57</f>
        <v>0.2829445973604961</v>
      </c>
      <c r="Q56" s="915"/>
      <c r="R56" s="1093">
        <f t="shared" si="9"/>
        <v>7.3612928986143827E-2</v>
      </c>
      <c r="S56" s="805">
        <f>' T.A6'!C57</f>
        <v>440.63799999999998</v>
      </c>
      <c r="T56" s="971">
        <f>L56*' T.A5'!C57</f>
        <v>309.51770263199165</v>
      </c>
      <c r="U56" s="972"/>
      <c r="V56" s="971"/>
    </row>
    <row r="57" spans="1:22">
      <c r="A57" s="826">
        <v>2014</v>
      </c>
      <c r="B57" s="1125">
        <f>' T.A7'!C57</f>
        <v>8.0941325238669593E-2</v>
      </c>
      <c r="C57" s="977">
        <f>T.A2!H58*T.A1!B58/(T.A5b!K58*T.A17!B58)</f>
        <v>0.12929305118515114</v>
      </c>
      <c r="D57" s="977">
        <f>(1-T.A2!H58)*T.A1!B58/((1-T.A5b!K58)*T.A17!B58)</f>
        <v>7.6769783758323107E-2</v>
      </c>
      <c r="E57" s="977">
        <f t="shared" si="1"/>
        <v>5.252326742682803E-2</v>
      </c>
      <c r="F57" s="977">
        <f t="shared" si="2"/>
        <v>-4.1715414803464856E-3</v>
      </c>
      <c r="G57" s="976">
        <f t="shared" si="3"/>
        <v>7.6769783758323107E-2</v>
      </c>
      <c r="H57" s="979">
        <f t="shared" si="4"/>
        <v>9.5897757721733021E-2</v>
      </c>
      <c r="I57" s="980">
        <f t="shared" si="5"/>
        <v>6.9122211302658984E-2</v>
      </c>
      <c r="J57" s="981">
        <f t="shared" si="10"/>
        <v>-7.6475724556641228E-3</v>
      </c>
      <c r="K57" s="1099">
        <f t="shared" si="6"/>
        <v>6.9122211302658984E-2</v>
      </c>
      <c r="L57" s="995">
        <f t="shared" si="7"/>
        <v>5.8497632210257153E-2</v>
      </c>
      <c r="M57" s="1100">
        <f t="shared" si="8"/>
        <v>-1.0624579092401831E-2</v>
      </c>
      <c r="N57" s="1055">
        <f>'Assets(BoP)'!BF106+0.04</f>
        <v>0.38999999999999996</v>
      </c>
      <c r="O57" s="981">
        <f>T.A2!L58</f>
        <v>0.19946216072031267</v>
      </c>
      <c r="P57" s="966">
        <f>T.A3!K58</f>
        <v>0.2792093064028543</v>
      </c>
      <c r="Q57" s="915"/>
      <c r="R57" s="1093">
        <f t="shared" si="9"/>
        <v>7.9747145682541626E-2</v>
      </c>
      <c r="S57" s="805">
        <f>' T.A6'!C58</f>
        <v>436.798</v>
      </c>
      <c r="T57" s="971">
        <f>L57*' T.A5'!C58</f>
        <v>315.68112677711196</v>
      </c>
      <c r="U57" s="972"/>
      <c r="V57" s="971"/>
    </row>
    <row r="58" spans="1:22">
      <c r="A58" s="826">
        <v>2015</v>
      </c>
      <c r="B58" s="1125">
        <f>' T.A7'!C58</f>
        <v>7.1412459841387513E-2</v>
      </c>
      <c r="C58" s="977" t="e">
        <f>T.A2!H59*T.A1!B59/(T.A5b!K59*T.A17!B59)</f>
        <v>#VALUE!</v>
      </c>
      <c r="D58" s="977" t="e">
        <f>(1-T.A2!H59)*T.A1!B59/((1-T.A5b!K59)*T.A17!B59)</f>
        <v>#VALUE!</v>
      </c>
      <c r="E58" s="977" t="e">
        <f t="shared" si="1"/>
        <v>#VALUE!</v>
      </c>
      <c r="F58" s="977" t="e">
        <f t="shared" si="2"/>
        <v>#VALUE!</v>
      </c>
      <c r="G58" s="976" t="e">
        <f t="shared" si="3"/>
        <v>#VALUE!</v>
      </c>
      <c r="H58" s="979" t="e">
        <f t="shared" si="4"/>
        <v>#VALUE!</v>
      </c>
      <c r="I58" s="980" t="e">
        <f t="shared" si="5"/>
        <v>#VALUE!</v>
      </c>
      <c r="J58" s="981" t="e">
        <f t="shared" si="10"/>
        <v>#VALUE!</v>
      </c>
      <c r="K58" s="1099" t="e">
        <f t="shared" si="6"/>
        <v>#VALUE!</v>
      </c>
      <c r="L58" s="995" t="e">
        <f t="shared" si="7"/>
        <v>#VALUE!</v>
      </c>
      <c r="M58" s="1100" t="e">
        <f t="shared" si="8"/>
        <v>#VALUE!</v>
      </c>
      <c r="N58" s="1055">
        <f>'Assets(BoP)'!BF107+0.04</f>
        <v>0.38999999999999996</v>
      </c>
      <c r="O58" s="981">
        <f>T.A2!L59</f>
        <v>0.17749581145984586</v>
      </c>
      <c r="P58" s="966">
        <f>T.A3!K59</f>
        <v>0.26749729493711272</v>
      </c>
      <c r="Q58" s="915"/>
      <c r="R58" s="1093">
        <f t="shared" si="9"/>
        <v>9.0001483477266858E-2</v>
      </c>
      <c r="S58" s="805">
        <f>' T.A6'!C59</f>
        <v>397.33</v>
      </c>
      <c r="T58" s="971" t="e">
        <f>L58*' T.A5'!C59</f>
        <v>#VALUE!</v>
      </c>
      <c r="U58" s="972"/>
      <c r="V58" s="971"/>
    </row>
    <row r="59" spans="1:22">
      <c r="A59" s="826">
        <v>2016</v>
      </c>
      <c r="B59" s="1125">
        <f>' T.A7'!C59</f>
        <v>6.7746213495205473E-2</v>
      </c>
      <c r="C59" s="977"/>
      <c r="D59" s="977">
        <f>(1-T.A2!H60)*T.A1!B60/((1-T.A5b!K60)*T.A17!B60)</f>
        <v>6.6355262003928078E-2</v>
      </c>
      <c r="E59" s="977"/>
      <c r="F59" s="977">
        <f t="shared" si="2"/>
        <v>-1.3909514912773951E-3</v>
      </c>
      <c r="G59" s="976">
        <f t="shared" si="3"/>
        <v>6.6355262003928078E-2</v>
      </c>
      <c r="H59" s="979">
        <f t="shared" si="4"/>
        <v>8.163040650714401E-2</v>
      </c>
      <c r="I59" s="1106">
        <f t="shared" si="5"/>
        <v>5.817751782619001E-2</v>
      </c>
      <c r="J59" s="981">
        <f t="shared" si="10"/>
        <v>-8.177744177738068E-3</v>
      </c>
      <c r="K59" s="1099">
        <f t="shared" si="6"/>
        <v>5.817751782619001E-2</v>
      </c>
      <c r="L59" s="995">
        <f t="shared" si="7"/>
        <v>4.9794547969357852E-2</v>
      </c>
      <c r="M59" s="1100">
        <f t="shared" si="8"/>
        <v>-8.3829698568321578E-3</v>
      </c>
      <c r="N59" s="1055">
        <f>'Assets(BoP)'!BF108+0.04</f>
        <v>0.38999999999999996</v>
      </c>
      <c r="O59" s="981">
        <f>T.A2!L60</f>
        <v>0.18712566991662732</v>
      </c>
      <c r="P59" s="966">
        <f>T.A3!K60</f>
        <v>0.28730579307970838</v>
      </c>
      <c r="Q59" s="915"/>
      <c r="R59" s="1093">
        <f t="shared" si="9"/>
        <v>0.10018012316308106</v>
      </c>
      <c r="S59" s="805">
        <f>' T.A6'!C60</f>
        <v>399.678</v>
      </c>
      <c r="T59" s="971">
        <f>L59*' T.A5'!C60</f>
        <v>293.76970780375046</v>
      </c>
      <c r="U59" s="972"/>
      <c r="V59" s="971"/>
    </row>
    <row r="60" spans="1:22" ht="16" thickBot="1">
      <c r="A60" s="819"/>
      <c r="B60" s="820"/>
      <c r="C60" s="821"/>
      <c r="D60" s="821"/>
      <c r="E60" s="821"/>
      <c r="F60" s="821"/>
      <c r="G60" s="820"/>
      <c r="H60" s="821"/>
      <c r="I60" s="821"/>
      <c r="J60" s="821"/>
      <c r="K60" s="954"/>
      <c r="L60" s="821"/>
      <c r="M60" s="941"/>
      <c r="N60" s="820"/>
      <c r="O60" s="821"/>
      <c r="P60" s="823"/>
      <c r="Q60" s="1112"/>
    </row>
    <row r="61" spans="1:22" ht="17" thickTop="1" thickBot="1"/>
    <row r="62" spans="1:22" s="825" customFormat="1" ht="28" customHeight="1" thickBot="1">
      <c r="A62" s="1745" t="s">
        <v>3243</v>
      </c>
      <c r="B62" s="1746"/>
      <c r="C62" s="1746"/>
      <c r="D62" s="1746"/>
      <c r="E62" s="1746"/>
      <c r="F62" s="1746"/>
      <c r="G62" s="1746"/>
      <c r="H62" s="1746"/>
      <c r="I62" s="1746"/>
      <c r="J62" s="1746"/>
      <c r="K62" s="1746"/>
      <c r="L62" s="1746"/>
      <c r="M62" s="1746"/>
      <c r="N62" s="1746"/>
      <c r="O62" s="1746"/>
      <c r="P62" s="1747"/>
      <c r="Q62" s="1113"/>
      <c r="R62" s="805"/>
    </row>
    <row r="63" spans="1:22" s="825" customFormat="1" ht="28" customHeight="1">
      <c r="A63" s="1677"/>
      <c r="B63" s="1113"/>
      <c r="C63" s="1113"/>
      <c r="D63" s="1113"/>
      <c r="E63" s="1113"/>
      <c r="F63" s="1113"/>
      <c r="G63" s="1113"/>
      <c r="H63" s="1113"/>
      <c r="I63" s="1113"/>
      <c r="J63" s="1113"/>
      <c r="K63" s="1113"/>
      <c r="L63" s="1113"/>
      <c r="M63" s="1113"/>
      <c r="N63" s="1113"/>
      <c r="O63" s="1113"/>
      <c r="P63" s="1113"/>
      <c r="Q63" s="1113"/>
      <c r="R63" s="805"/>
    </row>
    <row r="64" spans="1:22">
      <c r="A64" s="829" t="s">
        <v>2538</v>
      </c>
      <c r="E64" s="1075" t="e">
        <f>AVERAGE(F9:F59)</f>
        <v>#VALUE!</v>
      </c>
      <c r="F64" s="855" t="e">
        <f>E64/' T.A9'!K62</f>
        <v>#VALUE!</v>
      </c>
      <c r="G64" s="1075"/>
      <c r="I64" s="1075" t="e">
        <f>AVERAGE(I9:I59)</f>
        <v>#VALUE!</v>
      </c>
      <c r="J64" s="1075" t="e">
        <f>AVERAGE(J9:J59)</f>
        <v>#VALUE!</v>
      </c>
      <c r="K64" s="1075"/>
      <c r="L64" s="1075"/>
      <c r="M64" s="1075" t="e">
        <f>AVERAGE(M9:M59)</f>
        <v>#VALUE!</v>
      </c>
    </row>
    <row r="65" spans="1:18">
      <c r="A65" s="829" t="s">
        <v>2545</v>
      </c>
      <c r="E65" s="1075">
        <f>AVERAGE(F9:F32)</f>
        <v>-9.1135756320459282E-3</v>
      </c>
      <c r="F65" s="855">
        <f>E65/' T.A9'!K63</f>
        <v>-0.27634317641571898</v>
      </c>
      <c r="I65" s="1075">
        <f>AVERAGE(I9:I32)</f>
        <v>8.1525497896855662E-2</v>
      </c>
      <c r="J65" s="1075">
        <f>AVERAGE(J9:J32)</f>
        <v>-4.3383876002114708E-3</v>
      </c>
      <c r="K65" s="1075"/>
      <c r="L65" s="1075"/>
      <c r="M65" s="1075">
        <f>AVERAGE(M9:M32)</f>
        <v>-1.1303675627181098E-2</v>
      </c>
    </row>
    <row r="66" spans="1:18">
      <c r="A66" s="829" t="s">
        <v>2546</v>
      </c>
      <c r="E66" s="1075" t="e">
        <f>AVERAGE(F33:F59)</f>
        <v>#VALUE!</v>
      </c>
      <c r="F66" s="855" t="e">
        <f>E66/' T.A9'!K64</f>
        <v>#VALUE!</v>
      </c>
      <c r="I66" s="1075" t="e">
        <f>AVERAGE(I33:I59)</f>
        <v>#VALUE!</v>
      </c>
      <c r="J66" s="1075" t="e">
        <f>AVERAGE(J33:J59)</f>
        <v>#VALUE!</v>
      </c>
      <c r="K66" s="1075"/>
      <c r="L66" s="1075"/>
      <c r="M66" s="1075" t="e">
        <f>AVERAGE(M33:M59)</f>
        <v>#VALUE!</v>
      </c>
    </row>
    <row r="67" spans="1:18">
      <c r="A67" s="829"/>
      <c r="E67" s="1262"/>
      <c r="J67" s="1262"/>
    </row>
    <row r="68" spans="1:18" s="825" customFormat="1">
      <c r="B68" s="805"/>
      <c r="C68" s="805"/>
      <c r="D68" s="805"/>
      <c r="E68" s="805"/>
      <c r="F68" s="805"/>
      <c r="G68" s="805"/>
      <c r="H68" s="805"/>
      <c r="I68" s="805"/>
      <c r="J68" s="805"/>
      <c r="K68" s="805"/>
      <c r="L68" s="805"/>
      <c r="M68" s="805"/>
      <c r="N68" s="805"/>
      <c r="O68" s="805"/>
      <c r="P68" s="805"/>
      <c r="Q68" s="805"/>
      <c r="R68" s="805"/>
    </row>
    <row r="69" spans="1:18" s="825" customFormat="1">
      <c r="A69" s="805"/>
      <c r="B69" s="805"/>
      <c r="C69" s="805"/>
      <c r="D69" s="805"/>
      <c r="E69" s="805"/>
      <c r="F69" s="805"/>
      <c r="G69" s="805"/>
      <c r="H69" s="805"/>
      <c r="I69" s="805"/>
      <c r="J69" s="805"/>
      <c r="K69" s="805"/>
      <c r="L69" s="805"/>
      <c r="M69" s="805"/>
      <c r="N69" s="805"/>
      <c r="O69" s="805"/>
      <c r="P69" s="805"/>
      <c r="Q69" s="805"/>
      <c r="R69" s="805"/>
    </row>
    <row r="70" spans="1:18" s="825" customFormat="1">
      <c r="A70" s="805"/>
      <c r="B70" s="805"/>
      <c r="C70" s="805"/>
      <c r="D70" s="805"/>
      <c r="E70" s="805"/>
      <c r="F70" s="805"/>
      <c r="G70" s="805"/>
      <c r="H70" s="805"/>
      <c r="I70" s="805"/>
      <c r="J70" s="805"/>
      <c r="K70" s="805"/>
      <c r="L70" s="805"/>
      <c r="M70" s="805"/>
      <c r="N70" s="805"/>
      <c r="O70" s="805"/>
      <c r="P70" s="805"/>
      <c r="Q70" s="805"/>
      <c r="R70" s="805"/>
    </row>
    <row r="72" spans="1:18" s="825" customFormat="1">
      <c r="A72" s="805"/>
      <c r="B72" s="805"/>
      <c r="C72" s="805"/>
      <c r="D72" s="805"/>
      <c r="E72" s="805"/>
      <c r="F72" s="805"/>
      <c r="G72" s="805"/>
      <c r="H72" s="805"/>
      <c r="I72" s="805"/>
      <c r="J72" s="805"/>
      <c r="K72" s="805"/>
      <c r="L72" s="805"/>
      <c r="M72" s="805"/>
      <c r="N72" s="805"/>
      <c r="O72" s="805"/>
      <c r="P72" s="805"/>
      <c r="Q72" s="805"/>
      <c r="R72" s="805"/>
    </row>
    <row r="77" spans="1:18">
      <c r="J77" s="829"/>
      <c r="K77" s="829"/>
      <c r="L77" s="829"/>
      <c r="M77" s="829"/>
      <c r="N77" s="829"/>
      <c r="O77" s="829"/>
      <c r="P77" s="829"/>
      <c r="Q77" s="829"/>
    </row>
  </sheetData>
  <mergeCells count="21">
    <mergeCell ref="T7:T8"/>
    <mergeCell ref="U7:U8"/>
    <mergeCell ref="A62:P62"/>
    <mergeCell ref="F7:F8"/>
    <mergeCell ref="G6:J6"/>
    <mergeCell ref="K7:K8"/>
    <mergeCell ref="K6:M6"/>
    <mergeCell ref="L7:L8"/>
    <mergeCell ref="O7:O8"/>
    <mergeCell ref="R7:R8"/>
    <mergeCell ref="G7:G8"/>
    <mergeCell ref="M7:M8"/>
    <mergeCell ref="J7:J8"/>
    <mergeCell ref="S7:S8"/>
    <mergeCell ref="N6:P6"/>
    <mergeCell ref="N7:N8"/>
    <mergeCell ref="P7:P8"/>
    <mergeCell ref="A3:P3"/>
    <mergeCell ref="B7:B8"/>
    <mergeCell ref="E7:E8"/>
    <mergeCell ref="B6:F6"/>
  </mergeCells>
  <pageMargins left="0.75" right="0.75" top="1" bottom="1" header="0.5" footer="0.5"/>
  <pageSetup scale="74"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Y81"/>
  <sheetViews>
    <sheetView workbookViewId="0">
      <pane xSplit="1" ySplit="8" topLeftCell="B34" activePane="bottomRight" state="frozen"/>
      <selection activeCell="X67" sqref="X67"/>
      <selection pane="topRight" activeCell="X67" sqref="X67"/>
      <selection pane="bottomLeft" activeCell="X67" sqref="X67"/>
      <selection pane="bottomRight" activeCell="I71" sqref="I71"/>
    </sheetView>
  </sheetViews>
  <sheetFormatPr baseColWidth="10" defaultColWidth="9.28515625" defaultRowHeight="15" x14ac:dyDescent="0"/>
  <cols>
    <col min="1" max="1" width="16.28515625" style="805" customWidth="1"/>
    <col min="2" max="13" width="9.7109375" style="805" customWidth="1"/>
    <col min="14" max="14" width="9.28515625" style="805"/>
    <col min="15" max="15" width="10" style="805" customWidth="1"/>
    <col min="16" max="16384" width="9.28515625" style="805"/>
  </cols>
  <sheetData>
    <row r="1" spans="1:19">
      <c r="D1" s="829"/>
    </row>
    <row r="2" spans="1:19" ht="16" thickBot="1"/>
    <row r="3" spans="1:19" ht="32" customHeight="1" thickTop="1">
      <c r="A3" s="1734" t="s">
        <v>2599</v>
      </c>
      <c r="B3" s="1735"/>
      <c r="C3" s="1735"/>
      <c r="D3" s="1735"/>
      <c r="E3" s="1735"/>
      <c r="F3" s="1735"/>
      <c r="G3" s="1735"/>
      <c r="H3" s="1735"/>
      <c r="I3" s="1735"/>
      <c r="J3" s="1735"/>
      <c r="K3" s="1735"/>
      <c r="L3" s="1736"/>
      <c r="M3" s="807"/>
    </row>
    <row r="4" spans="1:19" ht="12" customHeight="1">
      <c r="A4" s="806"/>
      <c r="B4" s="807"/>
      <c r="C4" s="807"/>
      <c r="D4" s="807"/>
      <c r="E4" s="807"/>
      <c r="F4" s="807"/>
      <c r="G4" s="807"/>
      <c r="H4" s="807"/>
      <c r="I4" s="807"/>
      <c r="J4" s="807"/>
      <c r="K4" s="807"/>
      <c r="L4" s="808"/>
      <c r="M4" s="807"/>
    </row>
    <row r="5" spans="1:19">
      <c r="A5" s="809"/>
      <c r="B5" s="839" t="s">
        <v>2411</v>
      </c>
      <c r="C5" s="839" t="s">
        <v>2412</v>
      </c>
      <c r="D5" s="839" t="s">
        <v>2413</v>
      </c>
      <c r="E5" s="839" t="s">
        <v>2415</v>
      </c>
      <c r="F5" s="839" t="s">
        <v>2417</v>
      </c>
      <c r="G5" s="839" t="s">
        <v>2430</v>
      </c>
      <c r="H5" s="839" t="s">
        <v>2431</v>
      </c>
      <c r="I5" s="839" t="s">
        <v>2432</v>
      </c>
      <c r="J5" s="839" t="s">
        <v>2433</v>
      </c>
      <c r="K5" s="839" t="s">
        <v>2450</v>
      </c>
      <c r="L5" s="840" t="s">
        <v>2461</v>
      </c>
      <c r="M5" s="839"/>
    </row>
    <row r="6" spans="1:19" ht="21" customHeight="1">
      <c r="A6" s="809"/>
      <c r="B6" s="1748" t="s">
        <v>2558</v>
      </c>
      <c r="C6" s="1749"/>
      <c r="D6" s="1749"/>
      <c r="E6" s="1828"/>
      <c r="F6" s="1748" t="s">
        <v>2562</v>
      </c>
      <c r="G6" s="1749"/>
      <c r="H6" s="1749"/>
      <c r="I6" s="1749"/>
      <c r="J6" s="1835"/>
      <c r="K6" s="1843" t="s">
        <v>2564</v>
      </c>
      <c r="L6" s="1846" t="s">
        <v>2567</v>
      </c>
      <c r="M6" s="898"/>
    </row>
    <row r="7" spans="1:19" ht="85" customHeight="1">
      <c r="A7" s="809"/>
      <c r="B7" s="1826" t="s">
        <v>2487</v>
      </c>
      <c r="C7" s="933" t="s">
        <v>2559</v>
      </c>
      <c r="D7" s="970" t="s">
        <v>2560</v>
      </c>
      <c r="E7" s="1831" t="s">
        <v>2561</v>
      </c>
      <c r="F7" s="1741" t="s">
        <v>2566</v>
      </c>
      <c r="G7" s="970" t="s">
        <v>2560</v>
      </c>
      <c r="H7" s="970" t="s">
        <v>2563</v>
      </c>
      <c r="I7" s="1774" t="s">
        <v>2553</v>
      </c>
      <c r="J7" s="1841" t="s">
        <v>2565</v>
      </c>
      <c r="K7" s="1844"/>
      <c r="L7" s="1847"/>
      <c r="M7" s="898"/>
      <c r="N7" s="1327" t="s">
        <v>2437</v>
      </c>
      <c r="O7" s="1327" t="s">
        <v>3510</v>
      </c>
      <c r="P7" s="1327" t="s">
        <v>3512</v>
      </c>
      <c r="Q7" s="1327" t="s">
        <v>3513</v>
      </c>
      <c r="R7" s="1327" t="s">
        <v>3511</v>
      </c>
      <c r="S7" s="1710"/>
    </row>
    <row r="8" spans="1:19" ht="33" customHeight="1">
      <c r="A8" s="809"/>
      <c r="B8" s="1827"/>
      <c r="C8" s="1016"/>
      <c r="D8" s="1016"/>
      <c r="E8" s="1832"/>
      <c r="F8" s="1741"/>
      <c r="G8" s="1015"/>
      <c r="H8" s="1016"/>
      <c r="I8" s="1743"/>
      <c r="J8" s="1842"/>
      <c r="K8" s="1845"/>
      <c r="L8" s="1848"/>
      <c r="M8" s="898"/>
    </row>
    <row r="9" spans="1:19" ht="14" customHeight="1">
      <c r="A9" s="921">
        <v>1966</v>
      </c>
      <c r="B9" s="1124">
        <f>' T.A7'!H9</f>
        <v>9.5176976859056295E-2</v>
      </c>
      <c r="C9" s="1114"/>
      <c r="D9" s="1114"/>
      <c r="E9" s="1114">
        <f t="shared" ref="E9:E24" si="0">C9-D9</f>
        <v>0</v>
      </c>
      <c r="F9" s="1115"/>
      <c r="G9" s="1116"/>
      <c r="H9" s="1117"/>
      <c r="I9" s="1118">
        <f t="shared" ref="I9:I24" si="1">H9-F9</f>
        <v>0</v>
      </c>
      <c r="J9" s="1133">
        <f>B9</f>
        <v>9.5176976859056295E-2</v>
      </c>
      <c r="K9" s="1119">
        <f>' T.A8'!B9-' T.A9'!B9</f>
        <v>4.3294712865141194E-5</v>
      </c>
      <c r="L9" s="1129">
        <f>' T.A8'!L9-' T.A9'!J9</f>
        <v>-1.2543178472165309E-2</v>
      </c>
      <c r="M9" s="912"/>
      <c r="N9" s="805">
        <f>' T.A6'!H10</f>
        <v>0.71099999999999997</v>
      </c>
      <c r="O9" s="805">
        <f>J9*' T.A5'!H10</f>
        <v>0.71099999999999997</v>
      </c>
      <c r="P9" s="805">
        <f>'Assets(BoP)'!NO58</f>
        <v>5.0459999999999994</v>
      </c>
      <c r="Q9" s="805">
        <f>P9-(' T.A8'!S9-' T.A8'!T9)-(O9-N9)</f>
        <v>4.3545522636725051</v>
      </c>
      <c r="R9" s="1328">
        <f>Q9/'Assets(BoP)'!C58</f>
        <v>6.0505103010594762E-3</v>
      </c>
    </row>
    <row r="10" spans="1:19" ht="14" customHeight="1">
      <c r="A10" s="826">
        <v>1967</v>
      </c>
      <c r="B10" s="1125">
        <f>' T.A7'!H10</f>
        <v>0.10128686567858818</v>
      </c>
      <c r="C10" s="977"/>
      <c r="D10" s="977"/>
      <c r="E10" s="977">
        <f t="shared" si="0"/>
        <v>0</v>
      </c>
      <c r="F10" s="976"/>
      <c r="G10" s="979"/>
      <c r="H10" s="980"/>
      <c r="I10" s="981">
        <f t="shared" si="1"/>
        <v>0</v>
      </c>
      <c r="J10" s="1134">
        <f t="shared" ref="J10:J24" si="2">B10</f>
        <v>0.10128686567858818</v>
      </c>
      <c r="K10" s="1099">
        <f>' T.A8'!B10-' T.A9'!B10</f>
        <v>-1.0831960913536456E-2</v>
      </c>
      <c r="L10" s="1130">
        <f>' T.A8'!L10-' T.A9'!J10</f>
        <v>-2.7180508775209042E-2</v>
      </c>
      <c r="M10" s="912"/>
      <c r="N10" s="805">
        <f>' T.A6'!H11</f>
        <v>0.82099999999999995</v>
      </c>
      <c r="O10" s="805">
        <f>J10*' T.A5'!H11</f>
        <v>0.82099999999999995</v>
      </c>
      <c r="P10" s="805">
        <f>'Assets(BoP)'!NO59</f>
        <v>5.2740000000000009</v>
      </c>
      <c r="Q10" s="805">
        <f>P10-(' T.A8'!S10-' T.A8'!T10)-(O10-N10)</f>
        <v>4.2759703019240218</v>
      </c>
      <c r="R10" s="1328">
        <f>Q10/'Assets(BoP)'!C59</f>
        <v>5.6247965034517513E-3</v>
      </c>
    </row>
    <row r="11" spans="1:19" ht="14" customHeight="1">
      <c r="A11" s="826">
        <v>1968</v>
      </c>
      <c r="B11" s="1125">
        <f>' T.A7'!H11</f>
        <v>0.10022593924652393</v>
      </c>
      <c r="C11" s="977"/>
      <c r="D11" s="977"/>
      <c r="E11" s="977">
        <f t="shared" si="0"/>
        <v>0</v>
      </c>
      <c r="F11" s="976"/>
      <c r="G11" s="979"/>
      <c r="H11" s="980"/>
      <c r="I11" s="981">
        <f t="shared" si="1"/>
        <v>0</v>
      </c>
      <c r="J11" s="1134">
        <f t="shared" si="2"/>
        <v>0.10022593924652393</v>
      </c>
      <c r="K11" s="1099">
        <f>' T.A8'!B11-' T.A9'!B11</f>
        <v>-5.602675026923909E-3</v>
      </c>
      <c r="L11" s="1130">
        <f>' T.A8'!L11-' T.A9'!J11</f>
        <v>-3.3757384723064249E-2</v>
      </c>
      <c r="M11" s="912"/>
      <c r="N11" s="805">
        <f>' T.A6'!H12</f>
        <v>0.876</v>
      </c>
      <c r="O11" s="805">
        <f>J11*' T.A5'!H12</f>
        <v>0.87599999999999989</v>
      </c>
      <c r="P11" s="805">
        <f>'Assets(BoP)'!NO60</f>
        <v>5.99</v>
      </c>
      <c r="Q11" s="805">
        <f>P11-(' T.A8'!S11-' T.A8'!T11)-(O11-N11)</f>
        <v>4.0601210363514326</v>
      </c>
      <c r="R11" s="1328">
        <f>Q11/'Assets(BoP)'!C60</f>
        <v>4.8793667063471123E-3</v>
      </c>
    </row>
    <row r="12" spans="1:19" ht="14" customHeight="1">
      <c r="A12" s="856">
        <v>1969</v>
      </c>
      <c r="B12" s="1126">
        <f>' T.A7'!H12</f>
        <v>8.6924869349066472E-2</v>
      </c>
      <c r="C12" s="983"/>
      <c r="D12" s="983"/>
      <c r="E12" s="983">
        <f t="shared" si="0"/>
        <v>0</v>
      </c>
      <c r="F12" s="982"/>
      <c r="G12" s="985"/>
      <c r="H12" s="986"/>
      <c r="I12" s="987">
        <f t="shared" si="1"/>
        <v>0</v>
      </c>
      <c r="J12" s="1135">
        <f t="shared" si="2"/>
        <v>8.6924869349066472E-2</v>
      </c>
      <c r="K12" s="1101">
        <f>' T.A8'!B12-' T.A9'!B12</f>
        <v>9.9113145484041598E-3</v>
      </c>
      <c r="L12" s="1131">
        <f>' T.A8'!L12-' T.A9'!J12</f>
        <v>-1.7968821861821679E-2</v>
      </c>
      <c r="M12" s="912"/>
      <c r="N12" s="805">
        <f>' T.A6'!H13</f>
        <v>0.84799999999999998</v>
      </c>
      <c r="O12" s="805">
        <f>J12*' T.A5'!H13</f>
        <v>0.84800000000000009</v>
      </c>
      <c r="P12" s="805">
        <f>'Assets(BoP)'!NO61</f>
        <v>6.0440000000000005</v>
      </c>
      <c r="Q12" s="805">
        <f>P12-(' T.A8'!S12-' T.A8'!T12)-(O12-N12)</f>
        <v>3.8889912766957844</v>
      </c>
      <c r="R12" s="1328">
        <f>Q12/'Assets(BoP)'!C61</f>
        <v>4.3235033648646856E-3</v>
      </c>
    </row>
    <row r="13" spans="1:19" ht="14" customHeight="1">
      <c r="A13" s="826">
        <v>1970</v>
      </c>
      <c r="B13" s="1125">
        <f>' T.A7'!H13</f>
        <v>7.9247387699731636E-2</v>
      </c>
      <c r="C13" s="977"/>
      <c r="D13" s="977"/>
      <c r="E13" s="977">
        <f t="shared" si="0"/>
        <v>0</v>
      </c>
      <c r="F13" s="976"/>
      <c r="G13" s="979"/>
      <c r="H13" s="980"/>
      <c r="I13" s="981">
        <f t="shared" si="1"/>
        <v>0</v>
      </c>
      <c r="J13" s="1134">
        <f t="shared" si="2"/>
        <v>7.9247387699731636E-2</v>
      </c>
      <c r="K13" s="1099">
        <f>' T.A8'!B13-' T.A9'!B13</f>
        <v>1.2143994771025027E-2</v>
      </c>
      <c r="L13" s="1130">
        <f>' T.A8'!L13-' T.A9'!J13</f>
        <v>-7.8054518373630866E-3</v>
      </c>
      <c r="M13" s="912"/>
      <c r="N13" s="805">
        <f>' T.A6'!H14</f>
        <v>0.875</v>
      </c>
      <c r="O13" s="805">
        <f>J13*' T.A5'!H14</f>
        <v>0.87499999999999989</v>
      </c>
      <c r="P13" s="805">
        <f>'Assets(BoP)'!NO62</f>
        <v>6.2339999999999991</v>
      </c>
      <c r="Q13" s="805">
        <f>P13-(' T.A8'!S13-' T.A8'!T13)-(O13-N13)</f>
        <v>4.4826925373920021</v>
      </c>
      <c r="R13" s="1328">
        <f>Q13/'Assets(BoP)'!C62</f>
        <v>4.7683145807807699E-3</v>
      </c>
    </row>
    <row r="14" spans="1:19" ht="14" customHeight="1">
      <c r="A14" s="826">
        <v>1971</v>
      </c>
      <c r="B14" s="1125">
        <f>' T.A7'!H14</f>
        <v>0.10234151624906065</v>
      </c>
      <c r="C14" s="977"/>
      <c r="D14" s="977"/>
      <c r="E14" s="977">
        <f t="shared" si="0"/>
        <v>0</v>
      </c>
      <c r="F14" s="976"/>
      <c r="G14" s="979"/>
      <c r="H14" s="980"/>
      <c r="I14" s="981">
        <f t="shared" si="1"/>
        <v>0</v>
      </c>
      <c r="J14" s="1134">
        <f t="shared" si="2"/>
        <v>0.10234151624906065</v>
      </c>
      <c r="K14" s="1099">
        <f>' T.A8'!B14-' T.A9'!B14</f>
        <v>-9.2262568519760058E-3</v>
      </c>
      <c r="L14" s="1130">
        <f>' T.A8'!L14-' T.A9'!J14</f>
        <v>-3.0040316889322627E-2</v>
      </c>
      <c r="M14" s="912"/>
      <c r="N14" s="805">
        <f>' T.A6'!H15</f>
        <v>1.1639999999999999</v>
      </c>
      <c r="O14" s="805">
        <f>J14*' T.A5'!H15</f>
        <v>1.1639999999999999</v>
      </c>
      <c r="P14" s="805">
        <f>'Assets(BoP)'!NO63</f>
        <v>7.27</v>
      </c>
      <c r="Q14" s="805">
        <f>P14-(' T.A8'!S14-' T.A8'!T14)-(O14-N14)</f>
        <v>5.2577823498598271</v>
      </c>
      <c r="R14" s="1328">
        <f>Q14/'Assets(BoP)'!C63</f>
        <v>5.1698941493213638E-3</v>
      </c>
    </row>
    <row r="15" spans="1:19" ht="14" customHeight="1">
      <c r="A15" s="826">
        <v>1972</v>
      </c>
      <c r="B15" s="1125">
        <f>' T.A7'!H15</f>
        <v>0.1043507759590199</v>
      </c>
      <c r="C15" s="977"/>
      <c r="D15" s="977"/>
      <c r="E15" s="977">
        <f t="shared" si="0"/>
        <v>0</v>
      </c>
      <c r="F15" s="976"/>
      <c r="G15" s="979"/>
      <c r="H15" s="980"/>
      <c r="I15" s="981">
        <f t="shared" si="1"/>
        <v>0</v>
      </c>
      <c r="J15" s="1134">
        <f t="shared" si="2"/>
        <v>0.1043507759590199</v>
      </c>
      <c r="K15" s="1099">
        <f>' T.A8'!B15-' T.A9'!B15</f>
        <v>-1.1870060252433506E-2</v>
      </c>
      <c r="L15" s="1130">
        <f>' T.A8'!L15-' T.A9'!J15</f>
        <v>-3.5994482168641553E-2</v>
      </c>
      <c r="M15" s="912"/>
      <c r="N15" s="805">
        <f>' T.A6'!H16</f>
        <v>1.284</v>
      </c>
      <c r="O15" s="805">
        <f>J15*' T.A5'!H16</f>
        <v>1.284</v>
      </c>
      <c r="P15" s="805">
        <f>'Assets(BoP)'!NO64</f>
        <v>8.1920000000000002</v>
      </c>
      <c r="Q15" s="805">
        <f>P15-(' T.A8'!S15-' T.A8'!T15)-(O15-N15)</f>
        <v>5.3747233958517997</v>
      </c>
      <c r="R15" s="1328">
        <f>Q15/'Assets(BoP)'!C64</f>
        <v>4.7860404237326801E-3</v>
      </c>
    </row>
    <row r="16" spans="1:19" ht="14" customHeight="1">
      <c r="A16" s="826">
        <v>1973</v>
      </c>
      <c r="B16" s="1125">
        <f>' T.A7'!H16</f>
        <v>0.10805604466752046</v>
      </c>
      <c r="C16" s="977"/>
      <c r="D16" s="977"/>
      <c r="E16" s="977">
        <f t="shared" si="0"/>
        <v>0</v>
      </c>
      <c r="F16" s="976"/>
      <c r="G16" s="979"/>
      <c r="H16" s="980"/>
      <c r="I16" s="981">
        <f t="shared" si="1"/>
        <v>0</v>
      </c>
      <c r="J16" s="1134">
        <f t="shared" si="2"/>
        <v>0.10805604466752046</v>
      </c>
      <c r="K16" s="1099">
        <f>' T.A8'!B16-' T.A9'!B16</f>
        <v>3.2265510103282477E-2</v>
      </c>
      <c r="L16" s="1130">
        <f>' T.A8'!L16-' T.A9'!J16</f>
        <v>-2.4007221119008146E-2</v>
      </c>
      <c r="M16" s="912"/>
      <c r="N16" s="805">
        <f>' T.A6'!H17</f>
        <v>1.61</v>
      </c>
      <c r="O16" s="805">
        <f>J16*' T.A5'!H17</f>
        <v>1.61</v>
      </c>
      <c r="P16" s="805">
        <f>'Assets(BoP)'!NO65</f>
        <v>12.153</v>
      </c>
      <c r="Q16" s="805">
        <f>P16-(' T.A8'!S16-' T.A8'!T16)-(O16-N16)</f>
        <v>5.5428720673952192</v>
      </c>
      <c r="R16" s="1328">
        <f>Q16/'Assets(BoP)'!C65</f>
        <v>4.4096038722316782E-3</v>
      </c>
    </row>
    <row r="17" spans="1:24" ht="14" customHeight="1">
      <c r="A17" s="826">
        <v>1974</v>
      </c>
      <c r="B17" s="1125">
        <f>' T.A7'!H17</f>
        <v>7.0517040104488324E-2</v>
      </c>
      <c r="C17" s="977"/>
      <c r="D17" s="977"/>
      <c r="E17" s="977">
        <f t="shared" si="0"/>
        <v>0</v>
      </c>
      <c r="F17" s="976"/>
      <c r="G17" s="979"/>
      <c r="H17" s="980"/>
      <c r="I17" s="981">
        <f t="shared" si="1"/>
        <v>0</v>
      </c>
      <c r="J17" s="1134">
        <f t="shared" si="2"/>
        <v>7.0517040104488324E-2</v>
      </c>
      <c r="K17" s="1099">
        <f>' T.A8'!B17-' T.A9'!B17</f>
        <v>8.1538305007209474E-2</v>
      </c>
      <c r="L17" s="1130">
        <f>' T.A8'!L17-' T.A9'!J17</f>
        <v>9.2149137642236478E-3</v>
      </c>
      <c r="M17" s="912"/>
      <c r="N17" s="805">
        <f>' T.A6'!H18</f>
        <v>1.331</v>
      </c>
      <c r="O17" s="805">
        <f>J17*' T.A5'!H18</f>
        <v>1.331</v>
      </c>
      <c r="P17" s="805">
        <f>'Assets(BoP)'!NO66</f>
        <v>15.503</v>
      </c>
      <c r="Q17" s="805">
        <f>P17-(' T.A8'!S17-' T.A8'!T17)-(O17-N17)</f>
        <v>6.3983259475603269</v>
      </c>
      <c r="R17" s="1328">
        <f>Q17/'Assets(BoP)'!C66</f>
        <v>4.7366937722537212E-3</v>
      </c>
    </row>
    <row r="18" spans="1:24" ht="14" customHeight="1">
      <c r="A18" s="826">
        <v>1975</v>
      </c>
      <c r="B18" s="1125">
        <f>' T.A7'!H18</f>
        <v>0.10613711857278887</v>
      </c>
      <c r="C18" s="977"/>
      <c r="D18" s="977"/>
      <c r="E18" s="977">
        <f t="shared" si="0"/>
        <v>0</v>
      </c>
      <c r="F18" s="976"/>
      <c r="G18" s="979"/>
      <c r="H18" s="980"/>
      <c r="I18" s="981">
        <f t="shared" si="1"/>
        <v>0</v>
      </c>
      <c r="J18" s="1134">
        <f t="shared" si="2"/>
        <v>0.10613711857278887</v>
      </c>
      <c r="K18" s="1099">
        <f>' T.A8'!B18-' T.A9'!B18</f>
        <v>1.182892135893146E-2</v>
      </c>
      <c r="L18" s="1130">
        <f>' T.A8'!L18-' T.A9'!J18</f>
        <v>-2.7227371254185492E-2</v>
      </c>
      <c r="M18" s="912"/>
      <c r="N18" s="805">
        <f>' T.A6'!H19</f>
        <v>2.234</v>
      </c>
      <c r="O18" s="805">
        <f>J18*' T.A5'!H19</f>
        <v>2.234</v>
      </c>
      <c r="P18" s="805">
        <f>'Assets(BoP)'!NO67</f>
        <v>12.786</v>
      </c>
      <c r="Q18" s="805">
        <f>P18-(' T.A8'!S18-' T.A8'!T18)-(O18-N18)</f>
        <v>7.3516395067363618</v>
      </c>
      <c r="R18" s="1328">
        <f>Q18/'Assets(BoP)'!C67</f>
        <v>5.0662528473133222E-3</v>
      </c>
    </row>
    <row r="19" spans="1:24" ht="14" customHeight="1">
      <c r="A19" s="826">
        <v>1976</v>
      </c>
      <c r="B19" s="1125">
        <f>' T.A7'!H19</f>
        <v>7.8370134534044081E-2</v>
      </c>
      <c r="C19" s="977"/>
      <c r="D19" s="977"/>
      <c r="E19" s="977">
        <f t="shared" si="0"/>
        <v>0</v>
      </c>
      <c r="F19" s="976"/>
      <c r="G19" s="979"/>
      <c r="H19" s="980"/>
      <c r="I19" s="981">
        <f t="shared" si="1"/>
        <v>0</v>
      </c>
      <c r="J19" s="1134">
        <f t="shared" si="2"/>
        <v>7.8370134534044081E-2</v>
      </c>
      <c r="K19" s="1099">
        <f>' T.A8'!B19-' T.A9'!B19</f>
        <v>1.3630886964881309E-2</v>
      </c>
      <c r="L19" s="1130">
        <f>' T.A8'!L19-' T.A9'!J19</f>
        <v>-1.1989079449913523E-2</v>
      </c>
      <c r="M19" s="912"/>
      <c r="N19" s="805">
        <f>' T.A6'!H20</f>
        <v>3.11</v>
      </c>
      <c r="O19" s="805">
        <f>J19*' T.A5'!H20</f>
        <v>3.11</v>
      </c>
      <c r="P19" s="805">
        <f>'Assets(BoP)'!NO68</f>
        <v>16.061999999999998</v>
      </c>
      <c r="Q19" s="805">
        <f>P19-(' T.A8'!S19-' T.A8'!T19)-(O19-N19)</f>
        <v>10.763181432573436</v>
      </c>
      <c r="R19" s="1328">
        <f>Q19/'Assets(BoP)'!C68</f>
        <v>6.6653340553464429E-3</v>
      </c>
    </row>
    <row r="20" spans="1:24" ht="14" customHeight="1">
      <c r="A20" s="826">
        <v>1977</v>
      </c>
      <c r="B20" s="1125">
        <f>' T.A7'!H20</f>
        <v>6.1253079185719823E-2</v>
      </c>
      <c r="C20" s="977"/>
      <c r="D20" s="977"/>
      <c r="E20" s="977">
        <f t="shared" si="0"/>
        <v>0</v>
      </c>
      <c r="F20" s="976"/>
      <c r="G20" s="979"/>
      <c r="H20" s="980"/>
      <c r="I20" s="981">
        <f t="shared" si="1"/>
        <v>0</v>
      </c>
      <c r="J20" s="1134">
        <f t="shared" si="2"/>
        <v>6.1253079185719823E-2</v>
      </c>
      <c r="K20" s="1099">
        <f>' T.A8'!B20-' T.A9'!B20</f>
        <v>1.8639207239904969E-2</v>
      </c>
      <c r="L20" s="1130">
        <f>' T.A8'!L20-' T.A9'!J20</f>
        <v>-3.0706776913442257E-3</v>
      </c>
      <c r="M20" s="912"/>
      <c r="N20" s="805">
        <f>' T.A6'!H21</f>
        <v>2.8340000000000001</v>
      </c>
      <c r="O20" s="805">
        <f>J20*' T.A5'!H21</f>
        <v>2.8340000000000001</v>
      </c>
      <c r="P20" s="805">
        <f>'Assets(BoP)'!NO69</f>
        <v>18.136999999999997</v>
      </c>
      <c r="Q20" s="805">
        <f>P20-(' T.A8'!S20-' T.A8'!T20)-(O20-N20)</f>
        <v>13.022281369507276</v>
      </c>
      <c r="R20" s="1328">
        <f>Q20/'Assets(BoP)'!C69</f>
        <v>7.2398295266065914E-3</v>
      </c>
    </row>
    <row r="21" spans="1:24" ht="14" customHeight="1">
      <c r="A21" s="826">
        <v>1978</v>
      </c>
      <c r="B21" s="1125">
        <f>' T.A7'!H21</f>
        <v>7.3392796476549713E-2</v>
      </c>
      <c r="C21" s="977"/>
      <c r="D21" s="977"/>
      <c r="E21" s="977">
        <f t="shared" si="0"/>
        <v>0</v>
      </c>
      <c r="F21" s="976"/>
      <c r="G21" s="979"/>
      <c r="H21" s="980"/>
      <c r="I21" s="981">
        <f t="shared" si="1"/>
        <v>0</v>
      </c>
      <c r="J21" s="1134">
        <f t="shared" si="2"/>
        <v>7.3392796476549713E-2</v>
      </c>
      <c r="K21" s="1099">
        <f>' T.A8'!B21-' T.A9'!B21</f>
        <v>1.6161216234331366E-2</v>
      </c>
      <c r="L21" s="1130">
        <f>' T.A8'!L21-' T.A9'!J21</f>
        <v>-9.548001168791162E-3</v>
      </c>
      <c r="M21" s="912"/>
      <c r="N21" s="805">
        <f>' T.A6'!H22</f>
        <v>4.2268000000000008</v>
      </c>
      <c r="O21" s="805">
        <f>J21*' T.A5'!H22</f>
        <v>4.2268000000000008</v>
      </c>
      <c r="P21" s="805">
        <f>'Assets(BoP)'!NO70</f>
        <v>20.407000000000004</v>
      </c>
      <c r="Q21" s="805">
        <f>P21-(' T.A8'!S21-' T.A8'!T21)-(O21-N21)</f>
        <v>13.341952802317515</v>
      </c>
      <c r="R21" s="1328">
        <f>Q21/'Assets(BoP)'!C70</f>
        <v>6.5727143220441963E-3</v>
      </c>
    </row>
    <row r="22" spans="1:24" ht="14" customHeight="1">
      <c r="A22" s="856">
        <v>1979</v>
      </c>
      <c r="B22" s="1126">
        <f>' T.A7'!H22</f>
        <v>7.9945915980475665E-2</v>
      </c>
      <c r="C22" s="983"/>
      <c r="D22" s="983"/>
      <c r="E22" s="983">
        <f t="shared" si="0"/>
        <v>0</v>
      </c>
      <c r="F22" s="982"/>
      <c r="G22" s="985"/>
      <c r="H22" s="986"/>
      <c r="I22" s="987">
        <f t="shared" si="1"/>
        <v>0</v>
      </c>
      <c r="J22" s="1135">
        <f t="shared" si="2"/>
        <v>7.9945915980475665E-2</v>
      </c>
      <c r="K22" s="1101">
        <f>' T.A8'!B22-' T.A9'!B22</f>
        <v>3.4210524771837322E-2</v>
      </c>
      <c r="L22" s="1131">
        <f>' T.A8'!L22-' T.A9'!J22</f>
        <v>-7.8622341988061478E-3</v>
      </c>
      <c r="M22" s="912"/>
      <c r="N22" s="805">
        <f>' T.A6'!H23</f>
        <v>5.9127200000000002</v>
      </c>
      <c r="O22" s="805">
        <f>J22*' T.A5'!H23</f>
        <v>5.9127200000000002</v>
      </c>
      <c r="P22" s="805">
        <f>'Assets(BoP)'!NO71</f>
        <v>30.874000000000002</v>
      </c>
      <c r="Q22" s="805">
        <f>P22-(' T.A8'!S22-' T.A8'!T22)-(O22-N22)</f>
        <v>17.079478298018216</v>
      </c>
      <c r="R22" s="1328">
        <f>Q22/'Assets(BoP)'!C71</f>
        <v>7.5969568090108611E-3</v>
      </c>
    </row>
    <row r="23" spans="1:24" ht="14" customHeight="1">
      <c r="A23" s="863">
        <v>1980</v>
      </c>
      <c r="B23" s="1127">
        <f>' T.A7'!H23</f>
        <v>5.2696133804613202E-2</v>
      </c>
      <c r="C23" s="989"/>
      <c r="D23" s="989"/>
      <c r="E23" s="989">
        <f t="shared" si="0"/>
        <v>0</v>
      </c>
      <c r="F23" s="988"/>
      <c r="G23" s="991"/>
      <c r="H23" s="992"/>
      <c r="I23" s="993">
        <f t="shared" si="1"/>
        <v>0</v>
      </c>
      <c r="J23" s="1136">
        <f t="shared" si="2"/>
        <v>5.2696133804613202E-2</v>
      </c>
      <c r="K23" s="1103">
        <f>' T.A8'!B23-' T.A9'!B23</f>
        <v>4.2670616134554501E-2</v>
      </c>
      <c r="L23" s="1132">
        <f>' T.A8'!L23-' T.A9'!J23</f>
        <v>1.0163189271389886E-2</v>
      </c>
      <c r="M23" s="912"/>
      <c r="N23" s="805">
        <f>' T.A6'!H24</f>
        <v>5.7845600000000008</v>
      </c>
      <c r="O23" s="805">
        <f>J23*' T.A5'!H24</f>
        <v>5.7845600000000008</v>
      </c>
      <c r="P23" s="805">
        <f>'Assets(BoP)'!NO72</f>
        <v>30.072000000000003</v>
      </c>
      <c r="Q23" s="805">
        <f>P23-(' T.A8'!S23-' T.A8'!T23)-(O23-N23)</f>
        <v>17.60998534516408</v>
      </c>
      <c r="R23" s="1328">
        <f>Q23/'Assets(BoP)'!C72</f>
        <v>7.2564633860079447E-3</v>
      </c>
    </row>
    <row r="24" spans="1:24" ht="14" customHeight="1">
      <c r="A24" s="826">
        <v>1981</v>
      </c>
      <c r="B24" s="1125">
        <f>' T.A7'!H24</f>
        <v>3.9785747488110992E-2</v>
      </c>
      <c r="C24" s="977"/>
      <c r="D24" s="977"/>
      <c r="E24" s="977">
        <f t="shared" si="0"/>
        <v>0</v>
      </c>
      <c r="F24" s="976"/>
      <c r="G24" s="979"/>
      <c r="H24" s="980"/>
      <c r="I24" s="981">
        <f t="shared" si="1"/>
        <v>0</v>
      </c>
      <c r="J24" s="1134">
        <f t="shared" si="2"/>
        <v>3.9785747488110992E-2</v>
      </c>
      <c r="K24" s="1099">
        <f>' T.A8'!B24-' T.A9'!B24</f>
        <v>3.8865764357949362E-2</v>
      </c>
      <c r="L24" s="1130">
        <f>' T.A8'!L24-' T.A9'!J24</f>
        <v>1.1424642053024736E-2</v>
      </c>
      <c r="M24" s="912"/>
      <c r="N24" s="805">
        <f>' T.A6'!H25</f>
        <v>5.5634399999999999</v>
      </c>
      <c r="O24" s="805">
        <f>J24*' T.A5'!H25</f>
        <v>5.5634399999999999</v>
      </c>
      <c r="P24" s="805">
        <f>'Assets(BoP)'!NO73</f>
        <v>32.902999999999999</v>
      </c>
      <c r="Q24" s="805">
        <f>P24-(' T.A8'!S24-' T.A8'!T24)-(O24-N24)</f>
        <v>21.678263803415192</v>
      </c>
      <c r="R24" s="1328">
        <f>Q24/'Assets(BoP)'!C73</f>
        <v>7.9638014045829292E-3</v>
      </c>
    </row>
    <row r="25" spans="1:24" ht="14" customHeight="1">
      <c r="A25" s="826">
        <v>1982</v>
      </c>
      <c r="B25" s="1125">
        <f>' T.A7'!H25</f>
        <v>6.5687538247203867E-3</v>
      </c>
      <c r="C25" s="977">
        <f>' T.A6'!I26/' T.A5'!H26</f>
        <v>1.8234964780021613E-2</v>
      </c>
      <c r="D25" s="977">
        <f>C25*' T.A5'!L26/' T.A5'!M26</f>
        <v>1.7215837501347503E-2</v>
      </c>
      <c r="E25" s="977">
        <f>C25-D25</f>
        <v>1.0191272786741097E-3</v>
      </c>
      <c r="F25" s="976">
        <f>B25+E25</f>
        <v>7.5878811033944964E-3</v>
      </c>
      <c r="G25" s="979">
        <f>D25</f>
        <v>1.7215837501347503E-2</v>
      </c>
      <c r="H25" s="980">
        <f>G25*' T.A7'!E25/' T.A7'!I25</f>
        <v>1.7935864742975805E-2</v>
      </c>
      <c r="I25" s="977">
        <f>G25-H25</f>
        <v>-7.2002724162830226E-4</v>
      </c>
      <c r="J25" s="1044">
        <f>F25+I25</f>
        <v>6.8678538617661941E-3</v>
      </c>
      <c r="K25" s="1099">
        <f>' T.A8'!B25-' T.A9'!B25</f>
        <v>5.8979502771346032E-2</v>
      </c>
      <c r="L25" s="1130">
        <f>' T.A8'!L25-' T.A9'!J25</f>
        <v>4.1758498418186317E-2</v>
      </c>
      <c r="M25" s="915"/>
      <c r="N25" s="805">
        <f>' T.A6'!H26</f>
        <v>1.0089999999999999</v>
      </c>
      <c r="O25" s="805">
        <f>J25*' T.A5'!H26</f>
        <v>1.0549435602904582</v>
      </c>
      <c r="P25" s="805">
        <f>'Assets(BoP)'!NO74</f>
        <v>35.163000000000004</v>
      </c>
      <c r="Q25" s="805">
        <f>P25-(' T.A8'!S25-' T.A8'!T25)-(O25-N25)</f>
        <v>28.223681809880123</v>
      </c>
      <c r="R25" s="1328">
        <f>Q25/'Assets(BoP)'!C74</f>
        <v>9.9365166208562599E-3</v>
      </c>
    </row>
    <row r="26" spans="1:24" ht="14" customHeight="1">
      <c r="A26" s="826">
        <v>1983</v>
      </c>
      <c r="B26" s="1125">
        <f>' T.A7'!H26</f>
        <v>1.8253375430755805E-2</v>
      </c>
      <c r="C26" s="977">
        <f>' T.A6'!I27/' T.A5'!H27</f>
        <v>1.7701003684570626E-2</v>
      </c>
      <c r="D26" s="977">
        <f>C26*' T.A5'!L27/' T.A5'!M27</f>
        <v>1.4756300843982847E-2</v>
      </c>
      <c r="E26" s="977">
        <f t="shared" ref="E26:E59" si="3">C26-D26</f>
        <v>2.9447028405877786E-3</v>
      </c>
      <c r="F26" s="976">
        <f t="shared" ref="F26:F59" si="4">B26+E26</f>
        <v>2.1198078271343582E-2</v>
      </c>
      <c r="G26" s="979">
        <f t="shared" ref="G26:G59" si="5">D26</f>
        <v>1.4756300843982847E-2</v>
      </c>
      <c r="H26" s="980">
        <f>G26*' T.A7'!E26/' T.A7'!I26</f>
        <v>1.226840025062405E-2</v>
      </c>
      <c r="I26" s="981">
        <f t="shared" ref="I26:I59" si="6">G26-H26</f>
        <v>2.4879005933587973E-3</v>
      </c>
      <c r="J26" s="1044">
        <f t="shared" ref="J26:J59" si="7">F26+I26</f>
        <v>2.3685978864702379E-2</v>
      </c>
      <c r="K26" s="1099">
        <f>' T.A8'!B26-' T.A9'!B26</f>
        <v>5.7919329823556881E-2</v>
      </c>
      <c r="L26" s="1130">
        <f>' T.A8'!L26-' T.A9'!J26</f>
        <v>3.0111130497427651E-2</v>
      </c>
      <c r="M26" s="915"/>
      <c r="N26" s="805">
        <f>' T.A6'!H27</f>
        <v>2.9079999999999995</v>
      </c>
      <c r="O26" s="805">
        <f>J26*' T.A5'!H27</f>
        <v>3.7734843508723297</v>
      </c>
      <c r="P26" s="805">
        <f>'Assets(BoP)'!NO75</f>
        <v>36.388000000000005</v>
      </c>
      <c r="Q26" s="805">
        <f>P26-(' T.A8'!S26-' T.A8'!T26)-(O26-N26)</f>
        <v>26.468902039232727</v>
      </c>
      <c r="R26" s="1328">
        <f>Q26/'Assets(BoP)'!C75</f>
        <v>8.6485548241243999E-3</v>
      </c>
    </row>
    <row r="27" spans="1:24" ht="14" customHeight="1">
      <c r="A27" s="826">
        <v>1984</v>
      </c>
      <c r="B27" s="1125">
        <f>' T.A7'!H27</f>
        <v>3.5806851011143205E-2</v>
      </c>
      <c r="C27" s="977">
        <f>' T.A6'!I28/' T.A5'!H28</f>
        <v>1.9617553996423166E-2</v>
      </c>
      <c r="D27" s="977">
        <f>C27*' T.A5'!L28/' T.A5'!M28</f>
        <v>1.6277812962053405E-2</v>
      </c>
      <c r="E27" s="977">
        <f t="shared" si="3"/>
        <v>3.3397410343697607E-3</v>
      </c>
      <c r="F27" s="976">
        <f t="shared" si="4"/>
        <v>3.9146592045512962E-2</v>
      </c>
      <c r="G27" s="979">
        <f t="shared" si="5"/>
        <v>1.6277812962053405E-2</v>
      </c>
      <c r="H27" s="980">
        <f>G27*' T.A7'!E27/' T.A7'!I27</f>
        <v>1.2995450178106589E-2</v>
      </c>
      <c r="I27" s="981">
        <f t="shared" si="6"/>
        <v>3.2823627839468159E-3</v>
      </c>
      <c r="J27" s="1044">
        <f t="shared" si="7"/>
        <v>4.2428954829459777E-2</v>
      </c>
      <c r="K27" s="1099">
        <f>' T.A8'!B27-' T.A9'!B27</f>
        <v>5.017055831731377E-2</v>
      </c>
      <c r="L27" s="1130">
        <f>' T.A8'!L27-' T.A9'!J27</f>
        <v>2.0255610182898877E-2</v>
      </c>
      <c r="M27" s="915"/>
      <c r="N27" s="805">
        <f>' T.A6'!H28</f>
        <v>6.5069999999999997</v>
      </c>
      <c r="O27" s="805">
        <f>J27*' T.A5'!H28</f>
        <v>7.7104018163835786</v>
      </c>
      <c r="P27" s="805">
        <f>'Assets(BoP)'!NO76</f>
        <v>35.064999999999998</v>
      </c>
      <c r="Q27" s="805">
        <f>P27-(' T.A8'!S27-' T.A8'!T27)-(O27-N27)</f>
        <v>24.35914258779821</v>
      </c>
      <c r="R27" s="1328">
        <f>Q27/'Assets(BoP)'!C76</f>
        <v>7.0729217734605719E-3</v>
      </c>
    </row>
    <row r="28" spans="1:24" ht="14" customHeight="1">
      <c r="A28" s="826">
        <v>1985</v>
      </c>
      <c r="B28" s="1125">
        <f>' T.A7'!H28</f>
        <v>2.2569721911459166E-2</v>
      </c>
      <c r="C28" s="977">
        <f>' T.A6'!I29/' T.A5'!H29</f>
        <v>1.8744006712482018E-2</v>
      </c>
      <c r="D28" s="977">
        <f>C28*' T.A5'!L29/' T.A5'!M29</f>
        <v>1.3881159858283755E-2</v>
      </c>
      <c r="E28" s="977">
        <f t="shared" si="3"/>
        <v>4.862846854198263E-3</v>
      </c>
      <c r="F28" s="976">
        <f t="shared" si="4"/>
        <v>2.7432568765657431E-2</v>
      </c>
      <c r="G28" s="979">
        <f t="shared" si="5"/>
        <v>1.3881159858283755E-2</v>
      </c>
      <c r="H28" s="980">
        <f>G28*' T.A7'!E28/' T.A7'!I28</f>
        <v>1.0661615729800926E-2</v>
      </c>
      <c r="I28" s="981">
        <f t="shared" si="6"/>
        <v>3.2195441284828298E-3</v>
      </c>
      <c r="J28" s="1044">
        <f t="shared" si="7"/>
        <v>3.0652112894140261E-2</v>
      </c>
      <c r="K28" s="1099">
        <f>' T.A8'!B28-' T.A9'!B28</f>
        <v>5.4663680383067813E-2</v>
      </c>
      <c r="L28" s="1130">
        <f>' T.A8'!L28-' T.A9'!J28</f>
        <v>2.7543077295694555E-2</v>
      </c>
      <c r="M28" s="915"/>
      <c r="N28" s="805">
        <f>' T.A6'!H29</f>
        <v>4.5190000000000001</v>
      </c>
      <c r="O28" s="805">
        <f>J28*' T.A5'!H29</f>
        <v>6.1372886521163403</v>
      </c>
      <c r="P28" s="805">
        <f>'Assets(BoP)'!NO77</f>
        <v>25.722000000000008</v>
      </c>
      <c r="Q28" s="805">
        <f>P28-(' T.A8'!S28-' T.A8'!T28)-(O28-N28)</f>
        <v>16.00561744703181</v>
      </c>
      <c r="R28" s="1328">
        <f>Q28/'Assets(BoP)'!C77</f>
        <v>4.34439429103518E-3</v>
      </c>
    </row>
    <row r="29" spans="1:24" ht="14" customHeight="1">
      <c r="A29" s="826">
        <v>1986</v>
      </c>
      <c r="B29" s="1125">
        <f>' T.A7'!H29</f>
        <v>1.9054433667249692E-2</v>
      </c>
      <c r="C29" s="977">
        <f>' T.A6'!I30/' T.A5'!H30</f>
        <v>1.7698450557410643E-2</v>
      </c>
      <c r="D29" s="977">
        <f>C29*' T.A5'!L30/' T.A5'!M30</f>
        <v>1.2060957672618527E-2</v>
      </c>
      <c r="E29" s="977">
        <f t="shared" si="3"/>
        <v>5.6374928847921155E-3</v>
      </c>
      <c r="F29" s="976">
        <f t="shared" si="4"/>
        <v>2.4691926552041808E-2</v>
      </c>
      <c r="G29" s="979">
        <f t="shared" si="5"/>
        <v>1.2060957672618527E-2</v>
      </c>
      <c r="H29" s="980">
        <f>G29*' T.A7'!E29/' T.A7'!I29</f>
        <v>1.1389051010337423E-2</v>
      </c>
      <c r="I29" s="981">
        <f t="shared" si="6"/>
        <v>6.7190666228110485E-4</v>
      </c>
      <c r="J29" s="1044">
        <f t="shared" si="7"/>
        <v>2.5363833214322912E-2</v>
      </c>
      <c r="K29" s="1099">
        <f>' T.A8'!B29-' T.A9'!B29</f>
        <v>5.7641288316644668E-2</v>
      </c>
      <c r="L29" s="1130">
        <f>' T.A8'!L29-' T.A9'!J29</f>
        <v>3.8129668150311699E-2</v>
      </c>
      <c r="M29" s="915"/>
      <c r="N29" s="805">
        <f>' T.A6'!H30</f>
        <v>4.3140000000000001</v>
      </c>
      <c r="O29" s="805">
        <f>J29*' T.A5'!H30</f>
        <v>5.7424732950555653</v>
      </c>
      <c r="P29" s="805">
        <f>'Assets(BoP)'!NO78</f>
        <v>17.263999999999996</v>
      </c>
      <c r="Q29" s="805">
        <f>P29-(' T.A8'!S29-' T.A8'!T29)-(O29-N29)</f>
        <v>9.9482472619773077</v>
      </c>
      <c r="R29" s="1328">
        <f>Q29/'Assets(BoP)'!C78</f>
        <v>2.5851689782176884E-3</v>
      </c>
    </row>
    <row r="30" spans="1:24" ht="14" customHeight="1">
      <c r="A30" s="826">
        <v>1987</v>
      </c>
      <c r="B30" s="1125">
        <f>' T.A7'!H30</f>
        <v>2.0222349269136873E-2</v>
      </c>
      <c r="C30" s="977">
        <f>' T.A6'!I31/' T.A5'!H31</f>
        <v>1.8055255106770914E-2</v>
      </c>
      <c r="D30" s="977">
        <f>C30*' T.A5'!L31/' T.A5'!M31</f>
        <v>1.049750606700217E-2</v>
      </c>
      <c r="E30" s="977">
        <f t="shared" si="3"/>
        <v>7.5577490397687446E-3</v>
      </c>
      <c r="F30" s="976">
        <f t="shared" si="4"/>
        <v>2.7780098308905619E-2</v>
      </c>
      <c r="G30" s="979">
        <f t="shared" si="5"/>
        <v>1.049750606700217E-2</v>
      </c>
      <c r="H30" s="980">
        <f>G30*' T.A7'!E30/' T.A7'!I30</f>
        <v>1.1022250872633145E-2</v>
      </c>
      <c r="I30" s="981">
        <f t="shared" si="6"/>
        <v>-5.2474480563097572E-4</v>
      </c>
      <c r="J30" s="1044">
        <f t="shared" si="7"/>
        <v>2.7255353503274644E-2</v>
      </c>
      <c r="K30" s="1099">
        <f>' T.A8'!B30-' T.A9'!B30</f>
        <v>6.3080813878111985E-2</v>
      </c>
      <c r="L30" s="1130">
        <f>' T.A8'!L30-' T.A9'!J30</f>
        <v>4.8372344643525619E-2</v>
      </c>
      <c r="M30" s="915"/>
      <c r="N30" s="805">
        <f>' T.A6'!H31</f>
        <v>5.2350000000000012</v>
      </c>
      <c r="O30" s="805">
        <f>J30*' T.A5'!H31</f>
        <v>7.0556478720997138</v>
      </c>
      <c r="P30" s="805">
        <f>'Assets(BoP)'!NO79</f>
        <v>15.637999999999991</v>
      </c>
      <c r="Q30" s="805">
        <f>P30-(' T.A8'!S30-' T.A8'!T30)-(O30-N30)</f>
        <v>9.9164659016522876</v>
      </c>
      <c r="R30" s="1328">
        <f>Q30/'Assets(BoP)'!C79</f>
        <v>2.4073766512071005E-3</v>
      </c>
    </row>
    <row r="31" spans="1:24" ht="14" customHeight="1">
      <c r="A31" s="826">
        <v>1988</v>
      </c>
      <c r="B31" s="1125">
        <f>' T.A7'!H31</f>
        <v>2.4996502651625948E-2</v>
      </c>
      <c r="C31" s="977">
        <f>' T.A6'!I32/' T.A5'!H32</f>
        <v>1.9804530019966678E-2</v>
      </c>
      <c r="D31" s="977">
        <f>C31*' T.A5'!L32/' T.A5'!M32</f>
        <v>1.1608675237418304E-2</v>
      </c>
      <c r="E31" s="977">
        <f t="shared" si="3"/>
        <v>8.195854782548374E-3</v>
      </c>
      <c r="F31" s="976">
        <f t="shared" si="4"/>
        <v>3.319235743417432E-2</v>
      </c>
      <c r="G31" s="979">
        <f t="shared" si="5"/>
        <v>1.1608675237418304E-2</v>
      </c>
      <c r="H31" s="980">
        <f>G31*' T.A7'!E31/' T.A7'!I31</f>
        <v>9.1290665326089065E-3</v>
      </c>
      <c r="I31" s="981">
        <f t="shared" si="6"/>
        <v>2.4796087048093978E-3</v>
      </c>
      <c r="J31" s="1044">
        <f t="shared" si="7"/>
        <v>3.567196613898372E-2</v>
      </c>
      <c r="K31" s="1099">
        <f>' T.A8'!B31-' T.A9'!B31</f>
        <v>7.6378044944578158E-2</v>
      </c>
      <c r="L31" s="1130">
        <f>' T.A8'!L31-' T.A9'!J31</f>
        <v>7.0001021301181354E-2</v>
      </c>
      <c r="M31" s="915"/>
      <c r="N31" s="805">
        <f>' T.A6'!H32</f>
        <v>7.8619999999999992</v>
      </c>
      <c r="O31" s="805">
        <f>J31*' T.A5'!H32</f>
        <v>11.219689477897715</v>
      </c>
      <c r="P31" s="805">
        <f>'Assets(BoP)'!NO80</f>
        <v>19.536999999999992</v>
      </c>
      <c r="Q31" s="805">
        <f>P31-(' T.A8'!S31-' T.A8'!T31)-(O31-N31)</f>
        <v>18.441815826170355</v>
      </c>
      <c r="R31" s="1328">
        <f>Q31/'Assets(BoP)'!C80</f>
        <v>4.1042007891953433E-3</v>
      </c>
      <c r="T31" s="829" t="s">
        <v>3206</v>
      </c>
      <c r="X31" s="805">
        <v>142</v>
      </c>
    </row>
    <row r="32" spans="1:24" ht="14" customHeight="1">
      <c r="A32" s="856">
        <v>1989</v>
      </c>
      <c r="B32" s="1126">
        <f>' T.A7'!H32</f>
        <v>7.78046177181055E-4</v>
      </c>
      <c r="C32" s="983">
        <f>' T.A6'!I33/' T.A5'!H33</f>
        <v>2.5608111903825628E-2</v>
      </c>
      <c r="D32" s="983">
        <f>C32*' T.A5'!L33/' T.A5'!M33</f>
        <v>1.8161584770403989E-2</v>
      </c>
      <c r="E32" s="983">
        <f t="shared" si="3"/>
        <v>7.4465271334216397E-3</v>
      </c>
      <c r="F32" s="982">
        <f t="shared" si="4"/>
        <v>8.2245733106026953E-3</v>
      </c>
      <c r="G32" s="985">
        <f t="shared" si="5"/>
        <v>1.8161584770403989E-2</v>
      </c>
      <c r="H32" s="986">
        <f>G32*' T.A7'!E32/' T.A7'!I32</f>
        <v>1.6421822568013139E-2</v>
      </c>
      <c r="I32" s="987">
        <f t="shared" si="6"/>
        <v>1.7397622023908495E-3</v>
      </c>
      <c r="J32" s="1045">
        <f t="shared" si="7"/>
        <v>9.9643355129935447E-3</v>
      </c>
      <c r="K32" s="1101">
        <f>' T.A8'!B32-' T.A9'!B32</f>
        <v>9.8288869705156712E-2</v>
      </c>
      <c r="L32" s="1131">
        <f>' T.A8'!L32-' T.A9'!J32</f>
        <v>8.5745637828959262E-2</v>
      </c>
      <c r="M32" s="915"/>
      <c r="N32" s="805">
        <f>' T.A6'!H33</f>
        <v>0.27699999999999925</v>
      </c>
      <c r="O32" s="805">
        <f>J32*' T.A5'!H33</f>
        <v>3.547502729335962</v>
      </c>
      <c r="P32" s="805">
        <f>'Assets(BoP)'!NO81</f>
        <v>21.092999999999989</v>
      </c>
      <c r="Q32" s="805">
        <f>P32-(' T.A8'!S32-' T.A8'!T32)-(O32-N32)</f>
        <v>16.001349228620104</v>
      </c>
      <c r="R32" s="1328">
        <f>Q32/'Assets(BoP)'!C81</f>
        <v>3.3460225897327805E-3</v>
      </c>
      <c r="T32" s="829" t="s">
        <v>3207</v>
      </c>
    </row>
    <row r="33" spans="1:25" ht="14" customHeight="1">
      <c r="A33" s="826">
        <v>1990</v>
      </c>
      <c r="B33" s="1125">
        <f>' T.A7'!H33</f>
        <v>-1.3514455973405035E-2</v>
      </c>
      <c r="C33" s="977">
        <f>' T.A6'!I34/' T.A5'!H34</f>
        <v>2.6194590601357128E-2</v>
      </c>
      <c r="D33" s="977">
        <f>C33*' T.A5'!L34/' T.A5'!M34</f>
        <v>1.8045595059799531E-2</v>
      </c>
      <c r="E33" s="977">
        <f t="shared" si="3"/>
        <v>8.1489955415575965E-3</v>
      </c>
      <c r="F33" s="976">
        <f t="shared" si="4"/>
        <v>-5.3654604318474387E-3</v>
      </c>
      <c r="G33" s="979">
        <f t="shared" si="5"/>
        <v>1.8045595059799531E-2</v>
      </c>
      <c r="H33" s="980">
        <f>G33*' T.A7'!E33/' T.A7'!I33</f>
        <v>1.2203917608489276E-2</v>
      </c>
      <c r="I33" s="981">
        <f t="shared" si="6"/>
        <v>5.8416774513102548E-3</v>
      </c>
      <c r="J33" s="1044">
        <f t="shared" si="7"/>
        <v>4.7621701946281604E-4</v>
      </c>
      <c r="K33" s="1099">
        <f>' T.A8'!B33-' T.A9'!B33</f>
        <v>0.10687721582182194</v>
      </c>
      <c r="L33" s="1130">
        <f>' T.A8'!L33-' T.A9'!J33</f>
        <v>8.0338721521017106E-2</v>
      </c>
      <c r="M33" s="915"/>
      <c r="N33" s="805">
        <f>' T.A6'!H34</f>
        <v>-5.2319999999999993</v>
      </c>
      <c r="O33" s="805">
        <f>J33*' T.A5'!H34</f>
        <v>0.18436313313185407</v>
      </c>
      <c r="P33" s="805">
        <f>'Assets(BoP)'!NO82</f>
        <v>30.841000000000008</v>
      </c>
      <c r="Q33" s="805">
        <f>P33-(' T.A8'!S33-' T.A8'!T33)-(O33-N33)</f>
        <v>17.86861492729728</v>
      </c>
      <c r="R33" s="1328">
        <f>Q33/'Assets(BoP)'!C82</f>
        <v>3.5481056625756595E-3</v>
      </c>
      <c r="T33" s="829" t="s">
        <v>3208</v>
      </c>
      <c r="Y33" s="805">
        <f>T.A4!I59+X31</f>
        <v>188.603557</v>
      </c>
    </row>
    <row r="34" spans="1:25" ht="14" customHeight="1">
      <c r="A34" s="826">
        <v>1991</v>
      </c>
      <c r="B34" s="1125">
        <f>' T.A7'!H34</f>
        <v>-2.693992744192255E-2</v>
      </c>
      <c r="C34" s="977">
        <f>' T.A6'!I35/' T.A5'!H35</f>
        <v>2.6394073311308476E-2</v>
      </c>
      <c r="D34" s="977">
        <f>C34*' T.A5'!L35/' T.A5'!M35</f>
        <v>1.7864010258593275E-2</v>
      </c>
      <c r="E34" s="977">
        <f t="shared" si="3"/>
        <v>8.5300630527152012E-3</v>
      </c>
      <c r="F34" s="976">
        <f t="shared" si="4"/>
        <v>-1.8409864389207348E-2</v>
      </c>
      <c r="G34" s="979">
        <f t="shared" si="5"/>
        <v>1.7864010258593275E-2</v>
      </c>
      <c r="H34" s="980">
        <f>G34*' T.A7'!E34/' T.A7'!I34</f>
        <v>1.2623363104546544E-2</v>
      </c>
      <c r="I34" s="981">
        <f t="shared" si="6"/>
        <v>5.2406471540467313E-3</v>
      </c>
      <c r="J34" s="1044">
        <f t="shared" si="7"/>
        <v>-1.3169217235160617E-2</v>
      </c>
      <c r="K34" s="1099">
        <f>' T.A8'!B34-' T.A9'!B34</f>
        <v>0.10716422025356837</v>
      </c>
      <c r="L34" s="1130">
        <f>' T.A8'!L34-' T.A9'!J34</f>
        <v>8.1996002780145849E-2</v>
      </c>
      <c r="M34" s="915"/>
      <c r="N34" s="805">
        <f>' T.A6'!H35</f>
        <v>-11.302</v>
      </c>
      <c r="O34" s="805">
        <f>J34*' T.A5'!H35</f>
        <v>-5.524829029797993</v>
      </c>
      <c r="P34" s="805">
        <f>'Assets(BoP)'!NO83</f>
        <v>26.865000000000009</v>
      </c>
      <c r="Q34" s="805">
        <f>P34-(' T.A8'!S34-' T.A8'!T34)-(O34-N34)</f>
        <v>13.865958115380259</v>
      </c>
      <c r="R34" s="1328">
        <f>Q34/'Assets(BoP)'!C83</f>
        <v>2.6736773520333696E-3</v>
      </c>
      <c r="T34" s="829" t="s">
        <v>3209</v>
      </c>
      <c r="Y34" s="805">
        <f>Y33*(1-T.A4!K59)</f>
        <v>0.47170358248080974</v>
      </c>
    </row>
    <row r="35" spans="1:25" ht="14" customHeight="1">
      <c r="A35" s="826">
        <v>1992</v>
      </c>
      <c r="B35" s="1125">
        <f>' T.A7'!H35</f>
        <v>-1.2613829104022922E-2</v>
      </c>
      <c r="C35" s="977">
        <f>' T.A6'!I36/' T.A5'!H36</f>
        <v>2.1953049831917554E-2</v>
      </c>
      <c r="D35" s="977">
        <f>C35*' T.A5'!L36/' T.A5'!M36</f>
        <v>1.5599302113028124E-2</v>
      </c>
      <c r="E35" s="977">
        <f t="shared" si="3"/>
        <v>6.3537477188894305E-3</v>
      </c>
      <c r="F35" s="976">
        <f t="shared" si="4"/>
        <v>-6.2600813851334917E-3</v>
      </c>
      <c r="G35" s="979">
        <f t="shared" si="5"/>
        <v>1.5599302113028124E-2</v>
      </c>
      <c r="H35" s="980">
        <f>G35*' T.A7'!E35/' T.A7'!I35</f>
        <v>1.1525246926322187E-2</v>
      </c>
      <c r="I35" s="981">
        <f t="shared" si="6"/>
        <v>4.0740551867059372E-3</v>
      </c>
      <c r="J35" s="1044">
        <f t="shared" si="7"/>
        <v>-2.1860261984275545E-3</v>
      </c>
      <c r="K35" s="1099">
        <f>' T.A8'!B35-' T.A9'!B35</f>
        <v>9.0015830458322815E-2</v>
      </c>
      <c r="L35" s="1130">
        <f>' T.A8'!L35-' T.A9'!J35</f>
        <v>7.2791554296044572E-2</v>
      </c>
      <c r="M35" s="915"/>
      <c r="N35" s="805">
        <f>' T.A6'!H36</f>
        <v>-5.3620000000000001</v>
      </c>
      <c r="O35" s="805">
        <f>J35*' T.A5'!H36</f>
        <v>-0.92925569066337077</v>
      </c>
      <c r="P35" s="805">
        <f>'Assets(BoP)'!NO84</f>
        <v>27.192999999999998</v>
      </c>
      <c r="Q35" s="805">
        <f>P35-(' T.A8'!S35-' T.A8'!T35)-(O35-N35)</f>
        <v>18.424323240043901</v>
      </c>
      <c r="R35" s="1328">
        <f>Q35/'Assets(BoP)'!C84</f>
        <v>3.3500596832634327E-3</v>
      </c>
      <c r="T35" s="829" t="s">
        <v>3210</v>
      </c>
      <c r="Y35" s="1328">
        <f>Y34/' T.A5'!H59</f>
        <v>1.4309241767040205E-4</v>
      </c>
    </row>
    <row r="36" spans="1:25" ht="14" customHeight="1">
      <c r="A36" s="826">
        <v>1993</v>
      </c>
      <c r="B36" s="1128">
        <f>' T.A7'!H36</f>
        <v>2.0939868530559743E-3</v>
      </c>
      <c r="C36" s="994">
        <f>' T.A6'!I37/' T.A5'!H37</f>
        <v>2.0254482823077027E-2</v>
      </c>
      <c r="D36" s="994">
        <f>C36*' T.A5'!L37/' T.A5'!M37</f>
        <v>1.5943025467733518E-2</v>
      </c>
      <c r="E36" s="994">
        <f t="shared" si="3"/>
        <v>4.3114573553435093E-3</v>
      </c>
      <c r="F36" s="976">
        <f t="shared" si="4"/>
        <v>6.4054442083994832E-3</v>
      </c>
      <c r="G36" s="979">
        <f t="shared" si="5"/>
        <v>1.5943025467733518E-2</v>
      </c>
      <c r="H36" s="980">
        <f>G36*' T.A7'!E36/' T.A7'!I36</f>
        <v>1.7022728313208203E-2</v>
      </c>
      <c r="I36" s="981">
        <f t="shared" si="6"/>
        <v>-1.0797028454746851E-3</v>
      </c>
      <c r="J36" s="1044">
        <f t="shared" si="7"/>
        <v>5.325741362924798E-3</v>
      </c>
      <c r="K36" s="1099">
        <f>' T.A8'!B36-' T.A9'!B36</f>
        <v>8.4733315615169502E-2</v>
      </c>
      <c r="L36" s="1130">
        <f>' T.A8'!L36-' T.A9'!J36</f>
        <v>6.5736236448475691E-2</v>
      </c>
      <c r="M36" s="915"/>
      <c r="N36" s="805">
        <f>' T.A6'!H37</f>
        <v>0.94099999999999984</v>
      </c>
      <c r="O36" s="805">
        <f>J36*' T.A5'!H37</f>
        <v>2.3932923051538713</v>
      </c>
      <c r="P36" s="805">
        <f>'Assets(BoP)'!NO85</f>
        <v>28.631</v>
      </c>
      <c r="Q36" s="805">
        <f>P36-(' T.A8'!S36-' T.A8'!T36)-(O36-N36)</f>
        <v>16.702239561944847</v>
      </c>
      <c r="R36" s="1328">
        <f>Q36/'Assets(BoP)'!C85</f>
        <v>2.9023145134400583E-3</v>
      </c>
    </row>
    <row r="37" spans="1:25" ht="14" customHeight="1">
      <c r="A37" s="826">
        <v>1994</v>
      </c>
      <c r="B37" s="1125">
        <f>' T.A7'!H37</f>
        <v>2.8688194348312074E-2</v>
      </c>
      <c r="C37" s="977">
        <f>' T.A6'!I38/' T.A5'!H38</f>
        <v>1.7272834335750015E-2</v>
      </c>
      <c r="D37" s="977">
        <f>C37*' T.A5'!L38/' T.A5'!M38</f>
        <v>1.4694082719782045E-2</v>
      </c>
      <c r="E37" s="977">
        <f t="shared" si="3"/>
        <v>2.57875161596797E-3</v>
      </c>
      <c r="F37" s="976">
        <f t="shared" si="4"/>
        <v>3.1266945964280042E-2</v>
      </c>
      <c r="G37" s="979">
        <f t="shared" si="5"/>
        <v>1.4694082719782045E-2</v>
      </c>
      <c r="H37" s="980">
        <f>G37*' T.A7'!E37/' T.A7'!I37</f>
        <v>1.0517469437592138E-2</v>
      </c>
      <c r="I37" s="981">
        <f t="shared" si="6"/>
        <v>4.1766132821899078E-3</v>
      </c>
      <c r="J37" s="1044">
        <f t="shared" si="7"/>
        <v>3.5443559246469948E-2</v>
      </c>
      <c r="K37" s="1099">
        <f>' T.A8'!B37-' T.A9'!B37</f>
        <v>6.3154991410973679E-2</v>
      </c>
      <c r="L37" s="1130">
        <f>' T.A8'!L37-' T.A9'!J37</f>
        <v>4.4479951500459212E-2</v>
      </c>
      <c r="M37" s="915"/>
      <c r="N37" s="805">
        <f>' T.A6'!H38</f>
        <v>13.884999999999998</v>
      </c>
      <c r="O37" s="805">
        <f>J37*' T.A5'!H38</f>
        <v>17.154576344613712</v>
      </c>
      <c r="P37" s="805">
        <f>'Assets(BoP)'!NO86</f>
        <v>21.153999999999996</v>
      </c>
      <c r="Q37" s="805">
        <f>P37-(' T.A8'!S37-' T.A8'!T37)-(O37-N37)</f>
        <v>9.2303700864900158</v>
      </c>
      <c r="R37" s="1328">
        <f>Q37/'Assets(BoP)'!C86</f>
        <v>1.5032686372577467E-3</v>
      </c>
    </row>
    <row r="38" spans="1:25">
      <c r="A38" s="826">
        <v>1995</v>
      </c>
      <c r="B38" s="1125">
        <f>' T.A7'!H38</f>
        <v>4.1854871286401529E-2</v>
      </c>
      <c r="C38" s="977">
        <f>' T.A6'!I39/' T.A5'!H39</f>
        <v>1.775733538981308E-2</v>
      </c>
      <c r="D38" s="977">
        <f>C38*' T.A5'!L39/' T.A5'!M39</f>
        <v>1.50040053682937E-2</v>
      </c>
      <c r="E38" s="977">
        <f t="shared" si="3"/>
        <v>2.75333002151938E-3</v>
      </c>
      <c r="F38" s="976">
        <f t="shared" si="4"/>
        <v>4.4608201307920911E-2</v>
      </c>
      <c r="G38" s="979">
        <f t="shared" si="5"/>
        <v>1.50040053682937E-2</v>
      </c>
      <c r="H38" s="980">
        <f>G38*' T.A7'!E38/' T.A7'!I38</f>
        <v>1.0287345208246779E-2</v>
      </c>
      <c r="I38" s="981">
        <f t="shared" si="6"/>
        <v>4.7166601600469212E-3</v>
      </c>
      <c r="J38" s="1044">
        <f t="shared" si="7"/>
        <v>4.9324861467967829E-2</v>
      </c>
      <c r="K38" s="1099">
        <f>' T.A8'!B38-' T.A9'!B38</f>
        <v>6.0745336362775307E-2</v>
      </c>
      <c r="L38" s="1130">
        <f>' T.A8'!L38-' T.A9'!J38</f>
        <v>4.0266727258597645E-2</v>
      </c>
      <c r="M38" s="915"/>
      <c r="N38" s="805">
        <f>' T.A6'!H39</f>
        <v>22.795000000000002</v>
      </c>
      <c r="O38" s="805">
        <f>J38*' T.A5'!H39</f>
        <v>26.863306052684639</v>
      </c>
      <c r="P38" s="805">
        <f>'Assets(BoP)'!NO87</f>
        <v>24.97399999999999</v>
      </c>
      <c r="Q38" s="805">
        <f>P38-(' T.A8'!S38-' T.A8'!T38)-(O38-N38)</f>
        <v>10.142922021360388</v>
      </c>
      <c r="R38" s="1328">
        <f>Q38/'Assets(BoP)'!C87</f>
        <v>1.5653865300347847E-3</v>
      </c>
    </row>
    <row r="39" spans="1:25">
      <c r="A39" s="826">
        <v>1996</v>
      </c>
      <c r="B39" s="1125">
        <f>' T.A7'!H39</f>
        <v>3.5755339304023588E-2</v>
      </c>
      <c r="C39" s="977">
        <f>' T.A6'!I40/' T.A5'!H40</f>
        <v>1.7700629792032702E-2</v>
      </c>
      <c r="D39" s="977">
        <f>C39*' T.A5'!L40/' T.A5'!M40</f>
        <v>1.446145202391831E-2</v>
      </c>
      <c r="E39" s="977">
        <f t="shared" si="3"/>
        <v>3.2391777681143926E-3</v>
      </c>
      <c r="F39" s="976">
        <f t="shared" si="4"/>
        <v>3.8994517072137982E-2</v>
      </c>
      <c r="G39" s="979">
        <f t="shared" si="5"/>
        <v>1.446145202391831E-2</v>
      </c>
      <c r="H39" s="980">
        <f>G39*' T.A7'!E39/' T.A7'!I39</f>
        <v>8.222598527587565E-3</v>
      </c>
      <c r="I39" s="981">
        <f t="shared" si="6"/>
        <v>6.2388534963307447E-3</v>
      </c>
      <c r="J39" s="1044">
        <f t="shared" si="7"/>
        <v>4.5233370568468725E-2</v>
      </c>
      <c r="K39" s="1099">
        <f>' T.A8'!B39-' T.A9'!B39</f>
        <v>6.3381320131985081E-2</v>
      </c>
      <c r="L39" s="1130">
        <f>' T.A8'!L39-' T.A9'!J39</f>
        <v>3.8053862726062052E-2</v>
      </c>
      <c r="M39" s="915"/>
      <c r="N39" s="805">
        <f>' T.A6'!H40</f>
        <v>21.307000000000002</v>
      </c>
      <c r="O39" s="805">
        <f>J39*' T.A5'!H40</f>
        <v>26.955063088826769</v>
      </c>
      <c r="P39" s="805">
        <f>'Assets(BoP)'!NO88</f>
        <v>26.436999999999983</v>
      </c>
      <c r="Q39" s="805">
        <f>P39-(' T.A8'!S39-' T.A8'!T39)-(O39-N39)</f>
        <v>6.1757660087305979</v>
      </c>
      <c r="R39" s="1328">
        <f>Q39/'Assets(BoP)'!C88</f>
        <v>8.9511638819761115E-4</v>
      </c>
    </row>
    <row r="40" spans="1:25">
      <c r="A40" s="826">
        <v>1997</v>
      </c>
      <c r="B40" s="1125">
        <f>' T.A7'!H40</f>
        <v>4.7718988009369134E-2</v>
      </c>
      <c r="C40" s="977">
        <f>' T.A6'!I41/' T.A5'!H41</f>
        <v>1.7038174569935005E-2</v>
      </c>
      <c r="D40" s="977">
        <f>C40*' T.A5'!L41/' T.A5'!M41</f>
        <v>1.3513575947717819E-2</v>
      </c>
      <c r="E40" s="977">
        <f t="shared" si="3"/>
        <v>3.5245986222171861E-3</v>
      </c>
      <c r="F40" s="976">
        <f t="shared" si="4"/>
        <v>5.1243586631586319E-2</v>
      </c>
      <c r="G40" s="979">
        <f t="shared" si="5"/>
        <v>1.3513575947717819E-2</v>
      </c>
      <c r="H40" s="980">
        <f>G40*' T.A7'!E40/' T.A7'!I40</f>
        <v>9.7126154559552952E-3</v>
      </c>
      <c r="I40" s="981">
        <f t="shared" si="6"/>
        <v>3.8009604917625239E-3</v>
      </c>
      <c r="J40" s="1044">
        <f t="shared" si="7"/>
        <v>5.5044547123348844E-2</v>
      </c>
      <c r="K40" s="1099">
        <f>' T.A8'!B40-' T.A9'!B40</f>
        <v>5.5552584272383562E-2</v>
      </c>
      <c r="L40" s="1130">
        <f>' T.A8'!L40-' T.A9'!J40</f>
        <v>3.1129732160446399E-2</v>
      </c>
      <c r="M40" s="915"/>
      <c r="N40" s="805">
        <f>' T.A6'!H41</f>
        <v>30.762999999999998</v>
      </c>
      <c r="O40" s="805">
        <f>J40*' T.A5'!H41</f>
        <v>35.485568194009296</v>
      </c>
      <c r="P40" s="805">
        <f>'Assets(BoP)'!NO89</f>
        <v>17.002999999999986</v>
      </c>
      <c r="Q40" s="805">
        <f>P40-(' T.A8'!S40-' T.A8'!T40)-(O40-N40)</f>
        <v>-4.7187569247444827</v>
      </c>
      <c r="R40" s="1328">
        <f>Q40/'Assets(BoP)'!C89</f>
        <v>-6.3936330344486515E-4</v>
      </c>
    </row>
    <row r="41" spans="1:25">
      <c r="A41" s="826">
        <v>1998</v>
      </c>
      <c r="B41" s="1125">
        <f>' T.A7'!H41</f>
        <v>3.0976884348654751E-2</v>
      </c>
      <c r="C41" s="977">
        <f>' T.A6'!I42/' T.A5'!H42</f>
        <v>1.7130825647325383E-2</v>
      </c>
      <c r="D41" s="977">
        <f>C41*' T.A5'!L42/' T.A5'!M42</f>
        <v>1.4426308171058088E-2</v>
      </c>
      <c r="E41" s="977">
        <f t="shared" si="3"/>
        <v>2.7045174762672947E-3</v>
      </c>
      <c r="F41" s="976">
        <f t="shared" si="4"/>
        <v>3.3681401824922047E-2</v>
      </c>
      <c r="G41" s="979">
        <f t="shared" si="5"/>
        <v>1.4426308171058088E-2</v>
      </c>
      <c r="H41" s="980">
        <f>G41*' T.A7'!E41/' T.A7'!I41</f>
        <v>8.7925009727981267E-3</v>
      </c>
      <c r="I41" s="981">
        <f t="shared" si="6"/>
        <v>5.6338071982599616E-3</v>
      </c>
      <c r="J41" s="1044">
        <f t="shared" si="7"/>
        <v>3.9315209023182009E-2</v>
      </c>
      <c r="K41" s="1099">
        <f>' T.A8'!B41-' T.A9'!B41</f>
        <v>4.8949079890503761E-2</v>
      </c>
      <c r="L41" s="1130">
        <f>' T.A8'!L41-' T.A9'!J41</f>
        <v>3.2616807724357898E-2</v>
      </c>
      <c r="M41" s="915"/>
      <c r="N41" s="805">
        <f>' T.A6'!H42</f>
        <v>22.039000000000001</v>
      </c>
      <c r="O41" s="805">
        <f>J41*' T.A5'!H42</f>
        <v>27.97143450288721</v>
      </c>
      <c r="P41" s="805">
        <f>'Assets(BoP)'!NO90</f>
        <v>8.8230000000000075</v>
      </c>
      <c r="Q41" s="805">
        <f>P41-(' T.A8'!S41-' T.A8'!T41)-(O41-N41)</f>
        <v>-5.8726155797817832</v>
      </c>
      <c r="R41" s="1328">
        <f>Q41/'Assets(BoP)'!C90</f>
        <v>-7.4740885288607825E-4</v>
      </c>
    </row>
    <row r="42" spans="1:25">
      <c r="A42" s="856">
        <v>1999</v>
      </c>
      <c r="B42" s="1126">
        <f>' T.A7'!H42</f>
        <v>3.6464247181376593E-2</v>
      </c>
      <c r="C42" s="983">
        <f>' T.A6'!I43/' T.A5'!H43</f>
        <v>2.0020117880414041E-2</v>
      </c>
      <c r="D42" s="983">
        <f>C42*' T.A5'!L43/' T.A5'!M43</f>
        <v>1.8863000793835804E-2</v>
      </c>
      <c r="E42" s="983">
        <f t="shared" si="3"/>
        <v>1.1571170865782368E-3</v>
      </c>
      <c r="F42" s="982">
        <f t="shared" si="4"/>
        <v>3.7621364267954829E-2</v>
      </c>
      <c r="G42" s="985">
        <f t="shared" si="5"/>
        <v>1.8863000793835804E-2</v>
      </c>
      <c r="H42" s="986">
        <f>G42*' T.A7'!E42/' T.A7'!I42</f>
        <v>8.4536647333951099E-3</v>
      </c>
      <c r="I42" s="987">
        <f t="shared" si="6"/>
        <v>1.0409336060440694E-2</v>
      </c>
      <c r="J42" s="1045">
        <f t="shared" si="7"/>
        <v>4.8030700328395522E-2</v>
      </c>
      <c r="K42" s="1101">
        <f>' T.A8'!B42-' T.A9'!B42</f>
        <v>5.0410799785270168E-2</v>
      </c>
      <c r="L42" s="1131">
        <f>' T.A8'!L42-' T.A9'!J42</f>
        <v>2.4775705485810089E-2</v>
      </c>
      <c r="M42" s="915"/>
      <c r="N42" s="805">
        <f>' T.A6'!H43</f>
        <v>30.957999999999998</v>
      </c>
      <c r="O42" s="805">
        <f>J42*' T.A5'!H43</f>
        <v>40.777872456006484</v>
      </c>
      <c r="P42" s="805">
        <f>'Assets(BoP)'!NO91</f>
        <v>18.296999999999969</v>
      </c>
      <c r="Q42" s="805">
        <f>P42-(' T.A8'!S42-' T.A8'!T42)-(O42-N42)</f>
        <v>-9.3083782577168606</v>
      </c>
      <c r="R42" s="1328">
        <f>Q42/'Assets(BoP)'!C91</f>
        <v>-1.1182041057273631E-3</v>
      </c>
    </row>
    <row r="43" spans="1:25">
      <c r="A43" s="826">
        <v>2000</v>
      </c>
      <c r="B43" s="1125">
        <f>' T.A7'!H43</f>
        <v>2.4867873033652919E-2</v>
      </c>
      <c r="C43" s="977">
        <f>' T.A6'!I44/' T.A5'!H44</f>
        <v>1.9994399327919347E-2</v>
      </c>
      <c r="D43" s="977">
        <f>C43*' T.A5'!L44/' T.A5'!M44</f>
        <v>1.7382799738845194E-2</v>
      </c>
      <c r="E43" s="977">
        <f t="shared" si="3"/>
        <v>2.6115995890741532E-3</v>
      </c>
      <c r="F43" s="976">
        <f t="shared" si="4"/>
        <v>2.7479472622727073E-2</v>
      </c>
      <c r="G43" s="979">
        <f t="shared" si="5"/>
        <v>1.7382799738845194E-2</v>
      </c>
      <c r="H43" s="980">
        <f>G43*' T.A7'!E43/' T.A7'!I43</f>
        <v>9.0640720559041436E-3</v>
      </c>
      <c r="I43" s="981">
        <f t="shared" si="6"/>
        <v>8.3187276829410507E-3</v>
      </c>
      <c r="J43" s="1044">
        <f t="shared" si="7"/>
        <v>3.5798200305668125E-2</v>
      </c>
      <c r="K43" s="1099">
        <f>' T.A8'!B43-' T.A9'!B43</f>
        <v>6.6890049819158776E-2</v>
      </c>
      <c r="L43" s="1130">
        <f>' T.A8'!L43-' T.A9'!J43</f>
        <v>3.2847888174726898E-2</v>
      </c>
      <c r="M43" s="915"/>
      <c r="N43" s="805">
        <f>' T.A6'!H44</f>
        <v>27.972999999999999</v>
      </c>
      <c r="O43" s="805">
        <f>J43*' T.A5'!H44</f>
        <v>40.268142586835381</v>
      </c>
      <c r="P43" s="805">
        <f>'Assets(BoP)'!NO92</f>
        <v>24.628999999999962</v>
      </c>
      <c r="Q43" s="805">
        <f>P43-(' T.A8'!S43-' T.A8'!T43)-(O43-N43)</f>
        <v>-20.079612044443664</v>
      </c>
      <c r="R43" s="1328">
        <f>Q43/'Assets(BoP)'!C92</f>
        <v>-2.2543630902036225E-3</v>
      </c>
    </row>
    <row r="44" spans="1:25">
      <c r="A44" s="826">
        <v>2001</v>
      </c>
      <c r="B44" s="1128">
        <f>' T.A7'!H44</f>
        <v>-1.4724018087372469E-2</v>
      </c>
      <c r="C44" s="994">
        <f>' T.A6'!I45/' T.A5'!H45</f>
        <v>1.9764803005955511E-2</v>
      </c>
      <c r="D44" s="994">
        <f>C44*' T.A5'!L45/' T.A5'!M45</f>
        <v>1.5568762227274213E-2</v>
      </c>
      <c r="E44" s="994">
        <f t="shared" si="3"/>
        <v>4.1960407786812981E-3</v>
      </c>
      <c r="F44" s="976">
        <f t="shared" si="4"/>
        <v>-1.0527977308691171E-2</v>
      </c>
      <c r="G44" s="979">
        <f t="shared" si="5"/>
        <v>1.5568762227274213E-2</v>
      </c>
      <c r="H44" s="980">
        <f>G44*' T.A7'!E44/' T.A7'!I44</f>
        <v>7.5876947018660443E-3</v>
      </c>
      <c r="I44" s="981">
        <f t="shared" si="6"/>
        <v>7.9810675254081698E-3</v>
      </c>
      <c r="J44" s="1044">
        <f t="shared" si="7"/>
        <v>-2.5469097832830009E-3</v>
      </c>
      <c r="K44" s="1099">
        <f>' T.A8'!B44-' T.A9'!B44</f>
        <v>8.1367741377528974E-2</v>
      </c>
      <c r="L44" s="1130">
        <f>' T.A8'!L44-' T.A9'!J44</f>
        <v>5.2047677813848413E-2</v>
      </c>
      <c r="M44" s="915"/>
      <c r="N44" s="805">
        <f>' T.A6'!H45</f>
        <v>-17.335999999999999</v>
      </c>
      <c r="O44" s="805">
        <f>J44*' T.A5'!H45</f>
        <v>-2.9987213911982726</v>
      </c>
      <c r="P44" s="805">
        <f>'Assets(BoP)'!NO93</f>
        <v>34.730999999999995</v>
      </c>
      <c r="Q44" s="805">
        <f>P44-(' T.A8'!S44-' T.A8'!T44)-(O44-N44)</f>
        <v>-6.5547642755053204</v>
      </c>
      <c r="R44" s="1328">
        <f>Q44/'Assets(BoP)'!C93</f>
        <v>-7.1366899761615319E-4</v>
      </c>
    </row>
    <row r="45" spans="1:25">
      <c r="A45" s="826">
        <v>2002</v>
      </c>
      <c r="B45" s="1125">
        <f>' T.A7'!H45</f>
        <v>9.7317812098659719E-3</v>
      </c>
      <c r="C45" s="977">
        <f>' T.A6'!I46/' T.A5'!H46</f>
        <v>1.8213027299371031E-2</v>
      </c>
      <c r="D45" s="977">
        <f>C45*' T.A5'!L46/' T.A5'!M46</f>
        <v>1.5278580894738747E-2</v>
      </c>
      <c r="E45" s="977">
        <f t="shared" si="3"/>
        <v>2.9344464046322846E-3</v>
      </c>
      <c r="F45" s="976">
        <f t="shared" si="4"/>
        <v>1.2666227614498256E-2</v>
      </c>
      <c r="G45" s="979">
        <f t="shared" si="5"/>
        <v>1.5278580894738747E-2</v>
      </c>
      <c r="H45" s="980">
        <f>G45*' T.A7'!E45/' T.A7'!I45</f>
        <v>5.5626584433249504E-3</v>
      </c>
      <c r="I45" s="981">
        <f t="shared" si="6"/>
        <v>9.7159224514137971E-3</v>
      </c>
      <c r="J45" s="1044">
        <f t="shared" si="7"/>
        <v>2.2382150065912054E-2</v>
      </c>
      <c r="K45" s="1099">
        <f>' T.A8'!B45-' T.A9'!B45</f>
        <v>5.8750800882344904E-2</v>
      </c>
      <c r="L45" s="1130">
        <f>' T.A8'!L45-' T.A9'!J45</f>
        <v>3.1768613500534448E-2</v>
      </c>
      <c r="M45" s="915"/>
      <c r="N45" s="805">
        <f>' T.A6'!H46</f>
        <v>11.820999999999998</v>
      </c>
      <c r="O45" s="805">
        <f>J45*' T.A5'!H46</f>
        <v>27.187150042062051</v>
      </c>
      <c r="P45" s="805">
        <f>'Assets(BoP)'!NO94</f>
        <v>30.456999999999994</v>
      </c>
      <c r="Q45" s="805">
        <f>P45-(' T.A8'!S45-' T.A8'!T45)-(O45-N45)</f>
        <v>-9.9315449562054212</v>
      </c>
      <c r="R45" s="1328">
        <f>Q45/'Assets(BoP)'!C94</f>
        <v>-1.0524271952574414E-3</v>
      </c>
    </row>
    <row r="46" spans="1:25">
      <c r="A46" s="826">
        <v>2003</v>
      </c>
      <c r="B46" s="1125">
        <f>' T.A7'!H46</f>
        <v>3.3400027911718366E-2</v>
      </c>
      <c r="C46" s="977">
        <f>' T.A6'!I47/' T.A5'!H47</f>
        <v>1.3230453028085606E-2</v>
      </c>
      <c r="D46" s="977">
        <f>C46*' T.A5'!L47/' T.A5'!M47</f>
        <v>1.1707606903317718E-2</v>
      </c>
      <c r="E46" s="977">
        <f t="shared" si="3"/>
        <v>1.5228461247678883E-3</v>
      </c>
      <c r="F46" s="976">
        <f t="shared" si="4"/>
        <v>3.4922874036486251E-2</v>
      </c>
      <c r="G46" s="979">
        <f t="shared" si="5"/>
        <v>1.1707606903317718E-2</v>
      </c>
      <c r="H46" s="980">
        <f>G46*' T.A7'!E46/' T.A7'!I46</f>
        <v>3.7191414818920376E-3</v>
      </c>
      <c r="I46" s="981">
        <f t="shared" si="6"/>
        <v>7.988465421425681E-3</v>
      </c>
      <c r="J46" s="1044">
        <f t="shared" si="7"/>
        <v>4.291133945791193E-2</v>
      </c>
      <c r="K46" s="1099">
        <f>' T.A8'!B46-' T.A9'!B46</f>
        <v>4.8606823198407603E-2</v>
      </c>
      <c r="L46" s="1130">
        <f>' T.A8'!L46-' T.A9'!J46</f>
        <v>1.6756643330527919E-2</v>
      </c>
      <c r="M46" s="915"/>
      <c r="N46" s="805">
        <f>' T.A6'!H47</f>
        <v>44.753999999999998</v>
      </c>
      <c r="O46" s="805">
        <f>J46*' T.A5'!H47</f>
        <v>57.498577281895059</v>
      </c>
      <c r="P46" s="805">
        <f>'Assets(BoP)'!NO95</f>
        <v>42.952999999999975</v>
      </c>
      <c r="Q46" s="805">
        <f>P46-(' T.A8'!S46-' T.A8'!T46)-(O46-N46)</f>
        <v>-13.177390153619257</v>
      </c>
      <c r="R46" s="1328">
        <f>Q46/'Assets(BoP)'!C95</f>
        <v>-1.3358802694206581E-3</v>
      </c>
    </row>
    <row r="47" spans="1:25">
      <c r="A47" s="826">
        <v>2004</v>
      </c>
      <c r="B47" s="1125">
        <f>' T.A7'!H47</f>
        <v>4.8886954704367387E-2</v>
      </c>
      <c r="C47" s="977">
        <f>' T.A6'!I48/' T.A5'!H48</f>
        <v>1.0705843603544497E-2</v>
      </c>
      <c r="D47" s="977">
        <f>C47*' T.A5'!L48/' T.A5'!M48</f>
        <v>9.3948188490207817E-3</v>
      </c>
      <c r="E47" s="977">
        <f t="shared" si="3"/>
        <v>1.3110247545237153E-3</v>
      </c>
      <c r="F47" s="976">
        <f t="shared" si="4"/>
        <v>5.0197979458891102E-2</v>
      </c>
      <c r="G47" s="979">
        <f t="shared" si="5"/>
        <v>9.3948188490207817E-3</v>
      </c>
      <c r="H47" s="980">
        <f>G47*' T.A7'!E47/' T.A7'!I47</f>
        <v>4.1527369367769006E-3</v>
      </c>
      <c r="I47" s="981">
        <f t="shared" si="6"/>
        <v>5.2420819122438811E-3</v>
      </c>
      <c r="J47" s="1044">
        <f t="shared" si="7"/>
        <v>5.5440061371134983E-2</v>
      </c>
      <c r="K47" s="1099">
        <f>' T.A8'!B47-' T.A9'!B47</f>
        <v>4.2505733962758342E-2</v>
      </c>
      <c r="L47" s="1130">
        <f>' T.A8'!L47-' T.A9'!J47</f>
        <v>8.9322808865593684E-3</v>
      </c>
      <c r="M47" s="915"/>
      <c r="N47" s="805">
        <f>' T.A6'!H48</f>
        <v>73.915999999999997</v>
      </c>
      <c r="O47" s="805">
        <f>J47*' T.A5'!H48</f>
        <v>83.824153111805927</v>
      </c>
      <c r="P47" s="805">
        <f>'Assets(BoP)'!NO96</f>
        <v>63.144999999999982</v>
      </c>
      <c r="Q47" s="805">
        <f>P47-(' T.A8'!S47-' T.A8'!T47)-(O47-N47)</f>
        <v>-12.490821261408016</v>
      </c>
      <c r="R47" s="1328">
        <f>Q47/'Assets(BoP)'!C96</f>
        <v>-1.1849862214239786E-3</v>
      </c>
    </row>
    <row r="48" spans="1:25">
      <c r="A48" s="826">
        <v>2005</v>
      </c>
      <c r="B48" s="1125">
        <f>' T.A7'!H48</f>
        <v>5.6818283711235193E-2</v>
      </c>
      <c r="C48" s="977">
        <f>' T.A6'!I49/' T.A5'!H49</f>
        <v>1.1148458613514323E-2</v>
      </c>
      <c r="D48" s="977">
        <f>C48*' T.A5'!L49/' T.A5'!M49</f>
        <v>9.4366462281444703E-3</v>
      </c>
      <c r="E48" s="977">
        <f t="shared" si="3"/>
        <v>1.7118123853698524E-3</v>
      </c>
      <c r="F48" s="976">
        <f t="shared" si="4"/>
        <v>5.8530096096605047E-2</v>
      </c>
      <c r="G48" s="979">
        <f t="shared" si="5"/>
        <v>9.4366462281444703E-3</v>
      </c>
      <c r="H48" s="980">
        <f>G48*' T.A7'!E48/' T.A7'!I48</f>
        <v>5.3388814414163793E-3</v>
      </c>
      <c r="I48" s="981">
        <f t="shared" si="6"/>
        <v>4.0977647867280909E-3</v>
      </c>
      <c r="J48" s="1044">
        <f t="shared" si="7"/>
        <v>6.2627860883333136E-2</v>
      </c>
      <c r="K48" s="1099">
        <f>' T.A8'!B48-' T.A9'!B48</f>
        <v>4.4008348614742648E-2</v>
      </c>
      <c r="L48" s="1130">
        <f>' T.A8'!L48-' T.A9'!J48</f>
        <v>9.3302002729783728E-3</v>
      </c>
      <c r="M48" s="915"/>
      <c r="N48" s="805">
        <f>' T.A6'!H49</f>
        <v>95.05</v>
      </c>
      <c r="O48" s="805">
        <f>J48*' T.A5'!H49</f>
        <v>104.76870803092768</v>
      </c>
      <c r="P48" s="805">
        <f>'Assets(BoP)'!NO97</f>
        <v>65.009999999999991</v>
      </c>
      <c r="Q48" s="805">
        <f>P48-(' T.A8'!S48-' T.A8'!T48)-(O48-N48)</f>
        <v>-20.882994296337117</v>
      </c>
      <c r="R48" s="1328">
        <f>Q48/'Assets(BoP)'!C97</f>
        <v>-1.8579507016439009E-3</v>
      </c>
    </row>
    <row r="49" spans="1:18">
      <c r="A49" s="826">
        <v>2006</v>
      </c>
      <c r="B49" s="1125">
        <f>' T.A7'!H49</f>
        <v>6.7977161404258316E-2</v>
      </c>
      <c r="C49" s="977">
        <f>' T.A6'!I50/' T.A5'!H50</f>
        <v>1.2391622404466559E-2</v>
      </c>
      <c r="D49" s="977">
        <f>C49*' T.A5'!L50/' T.A5'!M50</f>
        <v>9.6497335379178029E-3</v>
      </c>
      <c r="E49" s="977">
        <f t="shared" si="3"/>
        <v>2.741888866548756E-3</v>
      </c>
      <c r="F49" s="976">
        <f t="shared" si="4"/>
        <v>7.0719050270807077E-2</v>
      </c>
      <c r="G49" s="979">
        <f t="shared" si="5"/>
        <v>9.6497335379178029E-3</v>
      </c>
      <c r="H49" s="980">
        <f>G49*' T.A7'!E49/' T.A7'!I49</f>
        <v>6.3750650815115337E-3</v>
      </c>
      <c r="I49" s="981">
        <f t="shared" si="6"/>
        <v>3.2746684564062692E-3</v>
      </c>
      <c r="J49" s="1044">
        <f t="shared" si="7"/>
        <v>7.3993718727213345E-2</v>
      </c>
      <c r="K49" s="1099">
        <f>' T.A8'!B49-' T.A9'!B49</f>
        <v>3.2674028440135602E-2</v>
      </c>
      <c r="L49" s="1130">
        <f>' T.A8'!L49-' T.A9'!J49</f>
        <v>-2.778022287201351E-3</v>
      </c>
      <c r="M49" s="915"/>
      <c r="N49" s="805">
        <f>' T.A6'!H50</f>
        <v>126.33099999999999</v>
      </c>
      <c r="O49" s="805">
        <f>J49*' T.A5'!H50</f>
        <v>137.51236867537128</v>
      </c>
      <c r="P49" s="805">
        <f>'Assets(BoP)'!NO98</f>
        <v>38.259000000000015</v>
      </c>
      <c r="Q49" s="805">
        <f>P49-(' T.A8'!S49-' T.A8'!T49)-(O49-N49)</f>
        <v>-60.167964270729698</v>
      </c>
      <c r="R49" s="1328">
        <f>Q49/'Assets(BoP)'!C98</f>
        <v>-5.0119922256705403E-3</v>
      </c>
    </row>
    <row r="50" spans="1:18">
      <c r="A50" s="826">
        <v>2007</v>
      </c>
      <c r="B50" s="1125">
        <f>' T.A7'!H50</f>
        <v>4.8052896647736147E-2</v>
      </c>
      <c r="C50" s="977">
        <f>' T.A6'!I51/' T.A5'!H51</f>
        <v>1.5208433052742403E-2</v>
      </c>
      <c r="D50" s="977">
        <f>C50*' T.A5'!L51/' T.A5'!M51</f>
        <v>1.0129318516932011E-2</v>
      </c>
      <c r="E50" s="977">
        <f t="shared" si="3"/>
        <v>5.0791145358103917E-3</v>
      </c>
      <c r="F50" s="976">
        <f t="shared" si="4"/>
        <v>5.3132011183546539E-2</v>
      </c>
      <c r="G50" s="979">
        <f t="shared" si="5"/>
        <v>1.0129318516932011E-2</v>
      </c>
      <c r="H50" s="980">
        <f>G50*' T.A7'!E50/' T.A7'!I50</f>
        <v>5.6690482051460827E-3</v>
      </c>
      <c r="I50" s="981">
        <f t="shared" si="6"/>
        <v>4.4602703117859284E-3</v>
      </c>
      <c r="J50" s="1044">
        <f t="shared" si="7"/>
        <v>5.7592281495332465E-2</v>
      </c>
      <c r="K50" s="1099">
        <f>' T.A8'!B50-' T.A9'!B50</f>
        <v>4.8819526777667731E-2</v>
      </c>
      <c r="L50" s="1130">
        <f>' T.A8'!L50-' T.A9'!J50</f>
        <v>9.9411554089197524E-3</v>
      </c>
      <c r="M50" s="915"/>
      <c r="N50" s="805">
        <f>' T.A6'!H51</f>
        <v>96.576999999999998</v>
      </c>
      <c r="O50" s="805">
        <f>J50*' T.A5'!H51</f>
        <v>115.74931290300816</v>
      </c>
      <c r="P50" s="805">
        <f>'Assets(BoP)'!NO99</f>
        <v>95.508000000000038</v>
      </c>
      <c r="Q50" s="805">
        <f>P50-(' T.A8'!S50-' T.A8'!T50)-(O50-N50)</f>
        <v>-27.497861422042917</v>
      </c>
      <c r="R50" s="1328">
        <f>Q50/'Assets(BoP)'!C99</f>
        <v>-2.2317156672166244E-3</v>
      </c>
    </row>
    <row r="51" spans="1:18">
      <c r="A51" s="826">
        <v>2008</v>
      </c>
      <c r="B51" s="1125">
        <f>' T.A7'!H51</f>
        <v>4.7863289933838211E-2</v>
      </c>
      <c r="C51" s="977">
        <f>' T.A6'!I52/' T.A5'!H52</f>
        <v>1.4288750129564272E-2</v>
      </c>
      <c r="D51" s="977">
        <f>C51*' T.A5'!L52/' T.A5'!M52</f>
        <v>8.8136062061738886E-3</v>
      </c>
      <c r="E51" s="977">
        <f t="shared" si="3"/>
        <v>5.4751439233903833E-3</v>
      </c>
      <c r="F51" s="976">
        <f t="shared" si="4"/>
        <v>5.3338433857228598E-2</v>
      </c>
      <c r="G51" s="979">
        <f t="shared" si="5"/>
        <v>8.8136062061738886E-3</v>
      </c>
      <c r="H51" s="980">
        <f>G51*' T.A7'!E51/' T.A7'!I51</f>
        <v>4.5227506737180309E-3</v>
      </c>
      <c r="I51" s="981">
        <f t="shared" si="6"/>
        <v>4.2908555324558577E-3</v>
      </c>
      <c r="J51" s="1044">
        <f t="shared" si="7"/>
        <v>5.7629289389684459E-2</v>
      </c>
      <c r="K51" s="1099">
        <f>' T.A8'!B51-' T.A9'!B51</f>
        <v>5.4595468895186301E-2</v>
      </c>
      <c r="L51" s="1130">
        <f>' T.A8'!L51-' T.A9'!J51</f>
        <v>7.5906568035265173E-3</v>
      </c>
      <c r="M51" s="915"/>
      <c r="N51" s="805">
        <f>' T.A6'!H52</f>
        <v>101.128</v>
      </c>
      <c r="O51" s="805">
        <f>J51*' T.A5'!H52</f>
        <v>121.76210171628421</v>
      </c>
      <c r="P51" s="805">
        <f>'Assets(BoP)'!NO100</f>
        <v>141.346</v>
      </c>
      <c r="Q51" s="805">
        <f>P51-(' T.A8'!S51-' T.A8'!T51)-(O51-N51)</f>
        <v>-19.128333613045001</v>
      </c>
      <c r="R51" s="1328">
        <f>Q51/'Assets(BoP)'!C100</f>
        <v>-1.5391568590615396E-3</v>
      </c>
    </row>
    <row r="52" spans="1:18">
      <c r="A52" s="856">
        <v>2009</v>
      </c>
      <c r="B52" s="1126">
        <f>' T.A7'!H52</f>
        <v>3.5637509025427047E-2</v>
      </c>
      <c r="C52" s="983">
        <f>' T.A6'!I53/' T.A5'!H53</f>
        <v>1.3636873096602975E-2</v>
      </c>
      <c r="D52" s="983">
        <f>C52*' T.A5'!L53/' T.A5'!M53</f>
        <v>8.921553850942893E-3</v>
      </c>
      <c r="E52" s="983">
        <f t="shared" si="3"/>
        <v>4.7153192456600816E-3</v>
      </c>
      <c r="F52" s="982">
        <f t="shared" si="4"/>
        <v>4.0352828271087132E-2</v>
      </c>
      <c r="G52" s="985">
        <f t="shared" si="5"/>
        <v>8.921553850942893E-3</v>
      </c>
      <c r="H52" s="986">
        <f>G52*' T.A7'!E52/' T.A7'!I52</f>
        <v>3.8387594664835325E-3</v>
      </c>
      <c r="I52" s="987">
        <f t="shared" si="6"/>
        <v>5.08279438445936E-3</v>
      </c>
      <c r="J52" s="1045">
        <f t="shared" si="7"/>
        <v>4.5435622655546494E-2</v>
      </c>
      <c r="K52" s="1101">
        <f>' T.A8'!B52-' T.A9'!B52</f>
        <v>4.8235460908584271E-2</v>
      </c>
      <c r="L52" s="1131">
        <f>' T.A8'!L52-' T.A9'!J52</f>
        <v>1.3728972166508147E-2</v>
      </c>
      <c r="M52" s="915"/>
      <c r="N52" s="805">
        <f>' T.A6'!H53</f>
        <v>74.084999999999994</v>
      </c>
      <c r="O52" s="805">
        <f>J52*' T.A5'!H53</f>
        <v>94.453798721860181</v>
      </c>
      <c r="P52" s="805">
        <f>'Assets(BoP)'!NO101</f>
        <v>123.83800000000002</v>
      </c>
      <c r="Q52" s="805">
        <f>P52-(' T.A8'!S52-' T.A8'!T52)-(O52-N52)</f>
        <v>5.221610529342982</v>
      </c>
      <c r="R52" s="1328">
        <f>Q52/'Assets(BoP)'!C101</f>
        <v>4.306092255006129E-4</v>
      </c>
    </row>
    <row r="53" spans="1:18">
      <c r="A53" s="826">
        <v>2010</v>
      </c>
      <c r="B53" s="1125">
        <f>' T.A7'!H53</f>
        <v>5.2864876537888496E-2</v>
      </c>
      <c r="C53" s="977">
        <f>' T.A6'!I54/' T.A5'!H54</f>
        <v>1.2159431004110904E-2</v>
      </c>
      <c r="D53" s="977">
        <f>C53*' T.A5'!L54/' T.A5'!M54</f>
        <v>8.1789605264389834E-3</v>
      </c>
      <c r="E53" s="977">
        <f t="shared" si="3"/>
        <v>3.980470477671921E-3</v>
      </c>
      <c r="F53" s="976">
        <f t="shared" si="4"/>
        <v>5.6845347015560418E-2</v>
      </c>
      <c r="G53" s="979">
        <f t="shared" si="5"/>
        <v>8.1789605264389834E-3</v>
      </c>
      <c r="H53" s="980">
        <f>G53*' T.A7'!E53/' T.A7'!I53</f>
        <v>3.4623667469172443E-3</v>
      </c>
      <c r="I53" s="981">
        <f t="shared" si="6"/>
        <v>4.7165937795217387E-3</v>
      </c>
      <c r="J53" s="1044">
        <f t="shared" si="7"/>
        <v>6.1561940795082155E-2</v>
      </c>
      <c r="K53" s="1099">
        <f>' T.A8'!B53-' T.A9'!B53</f>
        <v>4.5206718365105404E-2</v>
      </c>
      <c r="L53" s="1130">
        <f>' T.A8'!L53-' T.A9'!J53</f>
        <v>6.3872758691817591E-3</v>
      </c>
      <c r="M53" s="915"/>
      <c r="N53" s="805">
        <f>' T.A6'!H54</f>
        <v>121.42099999999999</v>
      </c>
      <c r="O53" s="805">
        <f>J53*' T.A5'!H54</f>
        <v>141.39657373307901</v>
      </c>
      <c r="P53" s="805">
        <f>'Assets(BoP)'!NO102</f>
        <v>176.25200000000007</v>
      </c>
      <c r="Q53" s="805">
        <f>P53-(' T.A8'!S53-' T.A8'!T53)-(O53-N53)</f>
        <v>29.79213832919848</v>
      </c>
      <c r="R53" s="1328">
        <f>Q53/'Assets(BoP)'!C102</f>
        <v>2.3385641767101127E-3</v>
      </c>
    </row>
    <row r="54" spans="1:18">
      <c r="A54" s="826">
        <v>2011</v>
      </c>
      <c r="B54" s="1125">
        <f>' T.A7'!H54</f>
        <v>5.7531851030427884E-2</v>
      </c>
      <c r="C54" s="977">
        <f>' T.A6'!I55/' T.A5'!H55</f>
        <v>1.1709537138736431E-2</v>
      </c>
      <c r="D54" s="977">
        <f>C54*' T.A5'!L55/' T.A5'!M55</f>
        <v>7.8418032711094193E-3</v>
      </c>
      <c r="E54" s="977">
        <f t="shared" si="3"/>
        <v>3.8677338676270118E-3</v>
      </c>
      <c r="F54" s="976">
        <f t="shared" si="4"/>
        <v>6.1399584898054894E-2</v>
      </c>
      <c r="G54" s="979">
        <f t="shared" si="5"/>
        <v>7.8418032711094193E-3</v>
      </c>
      <c r="H54" s="980">
        <f>G54*' T.A7'!E54/' T.A7'!I54</f>
        <v>3.4774280689339947E-3</v>
      </c>
      <c r="I54" s="981">
        <f t="shared" si="6"/>
        <v>4.3643752021754242E-3</v>
      </c>
      <c r="J54" s="1044">
        <f t="shared" si="7"/>
        <v>6.576396010023032E-2</v>
      </c>
      <c r="K54" s="1099">
        <f>' T.A8'!B54-' T.A9'!B54</f>
        <v>3.9649267228017086E-2</v>
      </c>
      <c r="L54" s="1130">
        <f>' T.A8'!L54-' T.A9'!J54</f>
        <v>8.5355432365591399E-4</v>
      </c>
      <c r="M54" s="915"/>
      <c r="N54" s="805">
        <f>' T.A6'!H55</f>
        <v>141.53099999999998</v>
      </c>
      <c r="O54" s="805">
        <f>J54*' T.A5'!H55</f>
        <v>161.78236698873118</v>
      </c>
      <c r="P54" s="805">
        <f>'Assets(BoP)'!NO103</f>
        <v>219.16200000000003</v>
      </c>
      <c r="Q54" s="805">
        <f>P54-(' T.A8'!S54-' T.A8'!T54)-(O54-N54)</f>
        <v>60.204165928533087</v>
      </c>
      <c r="R54" s="1328">
        <f>Q54/'Assets(BoP)'!C103</f>
        <v>4.5088985364718503E-3</v>
      </c>
    </row>
    <row r="55" spans="1:18">
      <c r="A55" s="826">
        <v>2012</v>
      </c>
      <c r="B55" s="1125">
        <f>' T.A7'!H55</f>
        <v>5.0433484159492073E-2</v>
      </c>
      <c r="C55" s="977">
        <f>' T.A6'!I56/' T.A5'!H56</f>
        <v>1.1235608513967404E-2</v>
      </c>
      <c r="D55" s="977">
        <f>C55*' T.A5'!L56/' T.A5'!M56</f>
        <v>7.6533197501117145E-3</v>
      </c>
      <c r="E55" s="977">
        <f t="shared" si="3"/>
        <v>3.58228876385569E-3</v>
      </c>
      <c r="F55" s="976">
        <f t="shared" si="4"/>
        <v>5.4015772923347763E-2</v>
      </c>
      <c r="G55" s="979">
        <f t="shared" si="5"/>
        <v>7.6533197501117145E-3</v>
      </c>
      <c r="H55" s="980">
        <f>G55*' T.A7'!E55/' T.A7'!I55</f>
        <v>2.3568736604174137E-3</v>
      </c>
      <c r="I55" s="981">
        <f t="shared" si="6"/>
        <v>5.2964460896943004E-3</v>
      </c>
      <c r="J55" s="1044">
        <f t="shared" si="7"/>
        <v>5.9312219013042067E-2</v>
      </c>
      <c r="K55" s="1099">
        <f>' T.A8'!B55-' T.A9'!B55</f>
        <v>3.7324237695886248E-2</v>
      </c>
      <c r="L55" s="1130">
        <f>' T.A8'!L55-' T.A9'!J55</f>
        <v>1.4970053465760413E-3</v>
      </c>
      <c r="M55" s="915"/>
      <c r="N55" s="805">
        <f>' T.A6'!H56</f>
        <v>134.08699999999999</v>
      </c>
      <c r="O55" s="805">
        <f>J55*' T.A5'!H56</f>
        <v>157.69280356778481</v>
      </c>
      <c r="P55" s="805">
        <f>'Assets(BoP)'!NO104</f>
        <v>216.11899999999991</v>
      </c>
      <c r="Q55" s="805">
        <f>P55-(' T.A8'!S55-' T.A8'!T55)-(O55-N55)</f>
        <v>60.868088410084198</v>
      </c>
      <c r="R55" s="1328">
        <f>Q55/'Assets(BoP)'!C104</f>
        <v>4.328582084219359E-3</v>
      </c>
    </row>
    <row r="56" spans="1:18">
      <c r="A56" s="826">
        <v>2013</v>
      </c>
      <c r="B56" s="1125">
        <f>' T.A7'!H56</f>
        <v>5.0344164545493619E-2</v>
      </c>
      <c r="C56" s="977">
        <f>' T.A6'!I57/' T.A5'!H57</f>
        <v>1.0677784490238344E-2</v>
      </c>
      <c r="D56" s="977">
        <f>C56*' T.A5'!L57/' T.A5'!M57</f>
        <v>7.4535423792159335E-3</v>
      </c>
      <c r="E56" s="977">
        <f t="shared" si="3"/>
        <v>3.2242421110224104E-3</v>
      </c>
      <c r="F56" s="976">
        <f t="shared" si="4"/>
        <v>5.3568406656516028E-2</v>
      </c>
      <c r="G56" s="979">
        <f t="shared" si="5"/>
        <v>7.4535423792159335E-3</v>
      </c>
      <c r="H56" s="980">
        <f>G56*' T.A7'!E56/' T.A7'!I56</f>
        <v>2.1061069317973142E-3</v>
      </c>
      <c r="I56" s="981">
        <f t="shared" si="6"/>
        <v>5.3474354474186189E-3</v>
      </c>
      <c r="J56" s="1044">
        <f t="shared" si="7"/>
        <v>5.8915842103934649E-2</v>
      </c>
      <c r="K56" s="1099">
        <f>' T.A8'!B56-' T.A9'!B56</f>
        <v>3.6115761810972313E-2</v>
      </c>
      <c r="L56" s="1130">
        <f>' T.A8'!L56-' T.A9'!J56</f>
        <v>1.8162730917237399E-3</v>
      </c>
      <c r="M56" s="915"/>
      <c r="N56" s="805">
        <f>' T.A6'!H57</f>
        <v>141.75200000000001</v>
      </c>
      <c r="O56" s="805">
        <f>J56*' T.A5'!H57</f>
        <v>165.8869210625225</v>
      </c>
      <c r="P56" s="805">
        <f>'Assets(BoP)'!NO105</f>
        <v>215.39</v>
      </c>
      <c r="Q56" s="805">
        <f>P56-(' T.A8'!S56-' T.A8'!T56)-(O56-N56)</f>
        <v>60.134781569469169</v>
      </c>
      <c r="R56" s="1328">
        <f>Q56/'Assets(BoP)'!C105</f>
        <v>4.1630747098934688E-3</v>
      </c>
    </row>
    <row r="57" spans="1:18">
      <c r="A57" s="826">
        <v>2014</v>
      </c>
      <c r="B57" s="1125">
        <f>' T.A7'!H57</f>
        <v>5.0962940985756759E-2</v>
      </c>
      <c r="C57" s="977">
        <f>' T.A6'!I58/' T.A5'!H58</f>
        <v>1.0069749536670025E-2</v>
      </c>
      <c r="D57" s="977">
        <f>C57*' T.A5'!L58/' T.A5'!M58</f>
        <v>7.1337641701103146E-3</v>
      </c>
      <c r="E57" s="977">
        <f t="shared" si="3"/>
        <v>2.9359853665597109E-3</v>
      </c>
      <c r="F57" s="976">
        <f t="shared" si="4"/>
        <v>5.3898926352316467E-2</v>
      </c>
      <c r="G57" s="979">
        <f t="shared" si="5"/>
        <v>7.1337641701103146E-3</v>
      </c>
      <c r="H57" s="980">
        <f>G57*' T.A7'!E57/' T.A7'!I57</f>
        <v>2.6622907379555828E-3</v>
      </c>
      <c r="I57" s="981">
        <f t="shared" si="6"/>
        <v>4.4714734321547323E-3</v>
      </c>
      <c r="J57" s="1044">
        <f t="shared" si="7"/>
        <v>5.83703997844712E-2</v>
      </c>
      <c r="K57" s="1099">
        <f>' T.A8'!B57-' T.A9'!B57</f>
        <v>2.9978384252912833E-2</v>
      </c>
      <c r="L57" s="1130">
        <f>' T.A8'!L57-' T.A9'!J57</f>
        <v>1.2723242578595306E-4</v>
      </c>
      <c r="M57" s="915"/>
      <c r="N57" s="805">
        <f>' T.A6'!H58</f>
        <v>151.845</v>
      </c>
      <c r="O57" s="805">
        <f>J57*' T.A5'!H58</f>
        <v>173.91565682502807</v>
      </c>
      <c r="P57" s="805">
        <f>'Assets(BoP)'!NO106</f>
        <v>221.33100000000002</v>
      </c>
      <c r="Q57" s="805">
        <f>P57-(' T.A8'!S57-' T.A8'!T57)-(O57-N57)</f>
        <v>78.143469952083905</v>
      </c>
      <c r="R57" s="1328">
        <f>Q57/'Assets(BoP)'!C106</f>
        <v>5.1600283909194336E-3</v>
      </c>
    </row>
    <row r="58" spans="1:18">
      <c r="A58" s="826">
        <v>2015</v>
      </c>
      <c r="B58" s="1125">
        <f>' T.A7'!H58</f>
        <v>3.6498755041717026E-2</v>
      </c>
      <c r="C58" s="977">
        <f>' T.A6'!I59/' T.A5'!H59</f>
        <v>9.9630031403041292E-3</v>
      </c>
      <c r="D58" s="977">
        <f>C58*' T.A5'!L59/' T.A5'!M59</f>
        <v>7.1924312994293407E-3</v>
      </c>
      <c r="E58" s="977">
        <f t="shared" si="3"/>
        <v>2.7705718408747885E-3</v>
      </c>
      <c r="F58" s="976">
        <f t="shared" si="4"/>
        <v>3.9269326882591812E-2</v>
      </c>
      <c r="G58" s="979">
        <f t="shared" si="5"/>
        <v>7.1924312994293407E-3</v>
      </c>
      <c r="H58" s="980">
        <f>G58*' T.A7'!E58/' T.A7'!I58</f>
        <v>2.6963249455389964E-3</v>
      </c>
      <c r="I58" s="981">
        <f t="shared" si="6"/>
        <v>4.4961063538903438E-3</v>
      </c>
      <c r="J58" s="1044">
        <f t="shared" si="7"/>
        <v>4.376543323648216E-2</v>
      </c>
      <c r="K58" s="1099">
        <f>' T.A8'!B58-' T.A9'!B58</f>
        <v>3.4913704799670486E-2</v>
      </c>
      <c r="L58" s="1130" t="e">
        <f>' T.A8'!L58-' T.A9'!J58</f>
        <v>#VALUE!</v>
      </c>
      <c r="M58" s="915"/>
      <c r="N58" s="805">
        <f>' T.A6'!H59</f>
        <v>120.31800000000001</v>
      </c>
      <c r="O58" s="805">
        <f>J58*' T.A5'!H59</f>
        <v>144.27257560233051</v>
      </c>
      <c r="P58" s="805">
        <f>'Assets(BoP)'!NO107</f>
        <v>192.69799999999998</v>
      </c>
      <c r="Q58" s="805" t="e">
        <f>P58-(' T.A8'!S58-' T.A8'!T58)-(O58-N58)</f>
        <v>#VALUE!</v>
      </c>
      <c r="R58" s="1328" t="e">
        <f>Q58/'Assets(BoP)'!C107</f>
        <v>#VALUE!</v>
      </c>
    </row>
    <row r="59" spans="1:18">
      <c r="A59" s="826">
        <v>2016</v>
      </c>
      <c r="B59" s="1125">
        <f>' T.A7'!H59</f>
        <v>3.50608231500949E-2</v>
      </c>
      <c r="C59" s="977">
        <f>' T.A6'!I60/' T.A5'!H60</f>
        <v>1.0973861102745952E-2</v>
      </c>
      <c r="D59" s="977">
        <f>C59*' T.A5'!L60/' T.A5'!M60</f>
        <v>7.3021334453833887E-3</v>
      </c>
      <c r="E59" s="977">
        <f t="shared" si="3"/>
        <v>3.6717276573625633E-3</v>
      </c>
      <c r="F59" s="976">
        <f t="shared" si="4"/>
        <v>3.8732550807457466E-2</v>
      </c>
      <c r="G59" s="979">
        <f t="shared" si="5"/>
        <v>7.3021334453833887E-3</v>
      </c>
      <c r="H59" s="1106">
        <f>G59*' T.A7'!E59/' T.A7'!I59</f>
        <v>3.6698079529214446E-3</v>
      </c>
      <c r="I59" s="981">
        <f t="shared" si="6"/>
        <v>3.6323254924619441E-3</v>
      </c>
      <c r="J59" s="1044">
        <f t="shared" si="7"/>
        <v>4.2364876299919411E-2</v>
      </c>
      <c r="K59" s="1099">
        <f>' T.A8'!B59-' T.A9'!B59</f>
        <v>3.2685390345110574E-2</v>
      </c>
      <c r="L59" s="1130">
        <f>' T.A8'!L59-' T.A9'!J59</f>
        <v>7.429671669438441E-3</v>
      </c>
      <c r="M59" s="915"/>
      <c r="N59" s="805">
        <f>' T.A6'!H60</f>
        <v>126.90299999999999</v>
      </c>
      <c r="O59" s="805">
        <f>J59*' T.A5'!H60</f>
        <v>153.34009341632131</v>
      </c>
      <c r="P59" s="805">
        <f>'Assets(BoP)'!NO108</f>
        <v>186.822</v>
      </c>
      <c r="Q59" s="805">
        <f>P59-(' T.A8'!S59-' T.A8'!T59)-(O59-N59)</f>
        <v>54.476614387429152</v>
      </c>
      <c r="R59" s="1328">
        <f>Q59/'Assets(BoP)'!C108</f>
        <v>3.3937586834929699E-3</v>
      </c>
    </row>
    <row r="60" spans="1:18" ht="16" thickBot="1">
      <c r="A60" s="819"/>
      <c r="B60" s="820"/>
      <c r="C60" s="821"/>
      <c r="D60" s="821"/>
      <c r="E60" s="821"/>
      <c r="F60" s="820"/>
      <c r="G60" s="821"/>
      <c r="H60" s="821"/>
      <c r="I60" s="821"/>
      <c r="J60" s="821"/>
      <c r="K60" s="954"/>
      <c r="L60" s="823"/>
      <c r="M60" s="1112"/>
    </row>
    <row r="61" spans="1:18" ht="16" thickTop="1"/>
    <row r="62" spans="1:18">
      <c r="A62" s="829" t="s">
        <v>2538</v>
      </c>
      <c r="E62" s="1075">
        <f>AVERAGE(E9:E59)</f>
        <v>2.7576089176659575E-3</v>
      </c>
      <c r="I62" s="1075">
        <f>AVERAGE(I9:I59)</f>
        <v>3.0287567632591114E-3</v>
      </c>
      <c r="J62" s="1075"/>
      <c r="K62" s="1075">
        <f>AVERAGE(K9:K59)</f>
        <v>4.5192408483863668E-2</v>
      </c>
      <c r="L62" s="1075" t="e">
        <f>AVERAGE(L9:L59)</f>
        <v>#VALUE!</v>
      </c>
      <c r="M62" s="854"/>
    </row>
    <row r="63" spans="1:18">
      <c r="A63" s="829" t="s">
        <v>2545</v>
      </c>
      <c r="E63" s="1075">
        <f>AVERAGE(E9:E32)</f>
        <v>1.7085017436816996E-3</v>
      </c>
      <c r="I63" s="1075">
        <f>AVERAGE(I9:I32)</f>
        <v>5.2651304283377152E-4</v>
      </c>
      <c r="J63" s="1075"/>
      <c r="K63" s="1075">
        <f>AVERAGE(K9:K32)</f>
        <v>3.2979195470836775E-2</v>
      </c>
      <c r="L63" s="1075">
        <f>AVERAGE(L9:L32)</f>
        <v>5.9885418248828053E-3</v>
      </c>
      <c r="M63" s="854"/>
    </row>
    <row r="64" spans="1:18">
      <c r="A64" s="829" t="s">
        <v>2546</v>
      </c>
      <c r="E64" s="1075">
        <f>AVERAGE(E33:E59)</f>
        <v>3.6901486278741896E-3</v>
      </c>
      <c r="I64" s="1075">
        <f>AVERAGE(I33:I59)</f>
        <v>5.2529734036371916E-3</v>
      </c>
      <c r="J64" s="1075"/>
      <c r="K64" s="1075">
        <f>AVERAGE(K33:K59)</f>
        <v>5.6048597828776463E-2</v>
      </c>
      <c r="L64" s="1075" t="e">
        <f>AVERAGE(L33:L59)</f>
        <v>#VALUE!</v>
      </c>
      <c r="M64" s="854"/>
    </row>
    <row r="65" spans="1:13">
      <c r="A65" s="829"/>
      <c r="K65" s="1262"/>
    </row>
    <row r="66" spans="1:13">
      <c r="A66" s="829"/>
    </row>
    <row r="67" spans="1:13">
      <c r="A67" s="829"/>
      <c r="B67" s="855"/>
      <c r="C67" s="855"/>
      <c r="D67" s="855"/>
      <c r="E67" s="855"/>
    </row>
    <row r="68" spans="1:13">
      <c r="A68" s="829"/>
      <c r="B68" s="855"/>
      <c r="C68" s="855"/>
      <c r="D68" s="855"/>
      <c r="E68" s="855"/>
    </row>
    <row r="69" spans="1:13">
      <c r="A69" s="829"/>
      <c r="B69" s="855"/>
      <c r="C69" s="855"/>
      <c r="D69" s="855"/>
      <c r="E69" s="855"/>
    </row>
    <row r="70" spans="1:13">
      <c r="A70" s="829"/>
      <c r="B70" s="855"/>
      <c r="C70" s="855"/>
      <c r="D70" s="855"/>
      <c r="E70" s="855"/>
      <c r="F70" s="854"/>
    </row>
    <row r="71" spans="1:13" s="825" customFormat="1" ht="16" thickBot="1">
      <c r="B71" s="805"/>
      <c r="C71" s="805"/>
      <c r="D71" s="805"/>
      <c r="E71" s="805"/>
      <c r="F71" s="805"/>
      <c r="G71" s="805"/>
      <c r="H71" s="805"/>
      <c r="I71" s="805"/>
      <c r="J71" s="805"/>
      <c r="K71" s="805"/>
      <c r="L71" s="805"/>
      <c r="M71" s="805"/>
    </row>
    <row r="72" spans="1:13" s="825" customFormat="1" ht="28" customHeight="1" thickBot="1">
      <c r="A72" s="1745" t="s">
        <v>2463</v>
      </c>
      <c r="B72" s="1746"/>
      <c r="C72" s="1746"/>
      <c r="D72" s="1746"/>
      <c r="E72" s="1746"/>
      <c r="F72" s="1746"/>
      <c r="G72" s="1746"/>
      <c r="H72" s="1746"/>
      <c r="I72" s="1746"/>
      <c r="J72" s="1746"/>
      <c r="K72" s="1746"/>
      <c r="L72" s="1746"/>
      <c r="M72" s="1113"/>
    </row>
    <row r="73" spans="1:13" s="825" customFormat="1">
      <c r="A73" s="805"/>
      <c r="B73" s="805"/>
      <c r="C73" s="805"/>
      <c r="D73" s="805"/>
      <c r="E73" s="805"/>
      <c r="F73" s="805"/>
      <c r="G73" s="805"/>
      <c r="H73" s="805"/>
      <c r="I73" s="805"/>
      <c r="J73" s="805"/>
      <c r="K73" s="805"/>
      <c r="L73" s="805"/>
      <c r="M73" s="805"/>
    </row>
    <row r="74" spans="1:13" s="825" customFormat="1">
      <c r="A74" s="805"/>
      <c r="B74" s="805"/>
      <c r="C74" s="805"/>
      <c r="D74" s="805"/>
      <c r="E74" s="805"/>
      <c r="F74" s="805"/>
      <c r="G74" s="805"/>
      <c r="H74" s="805"/>
      <c r="I74" s="805"/>
      <c r="J74" s="805"/>
      <c r="K74" s="805"/>
      <c r="L74" s="805"/>
      <c r="M74" s="805"/>
    </row>
    <row r="76" spans="1:13" s="825" customFormat="1">
      <c r="A76" s="805"/>
      <c r="B76" s="805"/>
      <c r="C76" s="805"/>
      <c r="D76" s="805"/>
      <c r="E76" s="805"/>
      <c r="F76" s="805"/>
      <c r="G76" s="805"/>
      <c r="H76" s="805"/>
      <c r="I76" s="805"/>
      <c r="J76" s="805"/>
      <c r="K76" s="805"/>
      <c r="L76" s="805"/>
      <c r="M76" s="805"/>
    </row>
    <row r="81" spans="9:13">
      <c r="I81" s="829"/>
      <c r="J81" s="829"/>
      <c r="K81" s="829"/>
      <c r="L81" s="829"/>
      <c r="M81" s="829"/>
    </row>
  </sheetData>
  <mergeCells count="11">
    <mergeCell ref="A72:L72"/>
    <mergeCell ref="J7:J8"/>
    <mergeCell ref="A3:L3"/>
    <mergeCell ref="B6:E6"/>
    <mergeCell ref="B7:B8"/>
    <mergeCell ref="E7:E8"/>
    <mergeCell ref="F7:F8"/>
    <mergeCell ref="I7:I8"/>
    <mergeCell ref="F6:J6"/>
    <mergeCell ref="K6:K8"/>
    <mergeCell ref="L6:L8"/>
  </mergeCells>
  <pageMargins left="0.75" right="0.75" top="1" bottom="1" header="0.5" footer="0.5"/>
  <pageSetup scale="74"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74"/>
  <sheetViews>
    <sheetView workbookViewId="0">
      <pane xSplit="1" ySplit="9" topLeftCell="B30" activePane="bottomRight" state="frozen"/>
      <selection activeCell="X67" sqref="X67"/>
      <selection pane="topRight" activeCell="X67" sqref="X67"/>
      <selection pane="bottomLeft" activeCell="X67" sqref="X67"/>
      <selection pane="bottomRight" activeCell="Q58" sqref="Q58:Q60"/>
    </sheetView>
  </sheetViews>
  <sheetFormatPr baseColWidth="10" defaultColWidth="9.28515625" defaultRowHeight="15" x14ac:dyDescent="0"/>
  <cols>
    <col min="1" max="1" width="16.28515625" style="805" customWidth="1"/>
    <col min="2" max="13" width="9.7109375" style="805" customWidth="1"/>
    <col min="14" max="16" width="9.28515625" style="805"/>
    <col min="17" max="17" width="9.28515625" style="1092"/>
    <col min="18" max="16384" width="9.28515625" style="805"/>
  </cols>
  <sheetData>
    <row r="1" spans="1:17">
      <c r="F1" s="829"/>
    </row>
    <row r="2" spans="1:17" ht="16" thickBot="1"/>
    <row r="3" spans="1:17" ht="32" customHeight="1" thickTop="1">
      <c r="A3" s="1793" t="s">
        <v>3211</v>
      </c>
      <c r="B3" s="1794"/>
      <c r="C3" s="1794"/>
      <c r="D3" s="1794"/>
      <c r="E3" s="1794"/>
      <c r="F3" s="1794"/>
      <c r="G3" s="1794"/>
      <c r="H3" s="1794"/>
      <c r="I3" s="1794"/>
      <c r="J3" s="1794"/>
      <c r="K3" s="1794"/>
      <c r="L3" s="1794"/>
      <c r="M3" s="1795"/>
    </row>
    <row r="4" spans="1:17" ht="12" customHeight="1">
      <c r="A4" s="806"/>
      <c r="B4" s="807"/>
      <c r="C4" s="807"/>
      <c r="D4" s="807"/>
      <c r="E4" s="807"/>
      <c r="F4" s="807"/>
      <c r="G4" s="807"/>
      <c r="H4" s="807"/>
      <c r="I4" s="807"/>
      <c r="J4" s="807"/>
      <c r="K4" s="807"/>
      <c r="L4" s="807"/>
      <c r="M4" s="808"/>
    </row>
    <row r="5" spans="1:17">
      <c r="A5" s="809"/>
      <c r="B5" s="1169" t="s">
        <v>2411</v>
      </c>
      <c r="C5" s="1169" t="s">
        <v>2412</v>
      </c>
      <c r="D5" s="1169" t="s">
        <v>2413</v>
      </c>
      <c r="E5" s="1169" t="s">
        <v>2414</v>
      </c>
      <c r="F5" s="1169" t="s">
        <v>2415</v>
      </c>
      <c r="G5" s="1169" t="s">
        <v>2416</v>
      </c>
      <c r="H5" s="1169" t="s">
        <v>2417</v>
      </c>
      <c r="I5" s="1169" t="s">
        <v>2429</v>
      </c>
      <c r="J5" s="1169" t="s">
        <v>2430</v>
      </c>
      <c r="K5" s="1169" t="s">
        <v>2431</v>
      </c>
      <c r="L5" s="1169" t="s">
        <v>2432</v>
      </c>
      <c r="M5" s="1170" t="s">
        <v>2433</v>
      </c>
    </row>
    <row r="6" spans="1:17" ht="21" customHeight="1">
      <c r="A6" s="809"/>
      <c r="B6" s="1748" t="s">
        <v>2587</v>
      </c>
      <c r="C6" s="1749"/>
      <c r="D6" s="1749"/>
      <c r="E6" s="1749"/>
      <c r="F6" s="1749"/>
      <c r="G6" s="1749"/>
      <c r="H6" s="1749"/>
      <c r="I6" s="1749"/>
      <c r="J6" s="1749"/>
      <c r="K6" s="1749"/>
      <c r="L6" s="1749"/>
      <c r="M6" s="1840"/>
    </row>
    <row r="7" spans="1:17" ht="21" customHeight="1">
      <c r="A7" s="809"/>
      <c r="B7" s="1763" t="s">
        <v>2582</v>
      </c>
      <c r="C7" s="1849"/>
      <c r="D7" s="1849"/>
      <c r="E7" s="1849"/>
      <c r="F7" s="1849" t="s">
        <v>2581</v>
      </c>
      <c r="G7" s="1850"/>
      <c r="H7" s="1851" t="s">
        <v>2577</v>
      </c>
      <c r="I7" s="1743" t="s">
        <v>2585</v>
      </c>
      <c r="J7" s="1851" t="s">
        <v>2214</v>
      </c>
      <c r="K7" s="1743" t="s">
        <v>2575</v>
      </c>
      <c r="L7" s="1743" t="s">
        <v>2583</v>
      </c>
      <c r="M7" s="1770" t="s">
        <v>2269</v>
      </c>
    </row>
    <row r="8" spans="1:17" ht="85" customHeight="1">
      <c r="A8" s="809"/>
      <c r="B8" s="1159" t="s">
        <v>2576</v>
      </c>
      <c r="C8" s="1179" t="s">
        <v>2589</v>
      </c>
      <c r="D8" s="1140" t="s">
        <v>2572</v>
      </c>
      <c r="E8" s="1138" t="s">
        <v>2443</v>
      </c>
      <c r="F8" s="1138" t="s">
        <v>2570</v>
      </c>
      <c r="G8" s="1147" t="s">
        <v>2571</v>
      </c>
      <c r="H8" s="1851"/>
      <c r="I8" s="1851"/>
      <c r="J8" s="1851"/>
      <c r="K8" s="1743"/>
      <c r="L8" s="1744"/>
      <c r="M8" s="1770"/>
      <c r="Q8" s="1092" t="s">
        <v>1146</v>
      </c>
    </row>
    <row r="9" spans="1:17" ht="33" customHeight="1">
      <c r="A9" s="809"/>
      <c r="B9" s="1160" t="s">
        <v>2573</v>
      </c>
      <c r="C9" s="1146" t="s">
        <v>2590</v>
      </c>
      <c r="D9" s="1146" t="s">
        <v>2591</v>
      </c>
      <c r="E9" s="1141"/>
      <c r="F9" s="1146" t="s">
        <v>2574</v>
      </c>
      <c r="G9" s="1148" t="s">
        <v>2263</v>
      </c>
      <c r="H9" s="1141" t="s">
        <v>2265</v>
      </c>
      <c r="I9" s="1141" t="s">
        <v>2264</v>
      </c>
      <c r="J9" s="1141" t="s">
        <v>2579</v>
      </c>
      <c r="K9" s="1146" t="s">
        <v>2266</v>
      </c>
      <c r="L9" s="1137" t="s">
        <v>2268</v>
      </c>
      <c r="M9" s="1149" t="s">
        <v>2267</v>
      </c>
    </row>
    <row r="10" spans="1:17" ht="14" customHeight="1">
      <c r="A10" s="921">
        <v>1966</v>
      </c>
      <c r="B10" s="1161"/>
      <c r="C10" s="1162">
        <f>'Assets(MOFA)'!B11</f>
        <v>14176</v>
      </c>
      <c r="D10" s="1162">
        <f>('Assets(MOFA)'!W11+'Assets(MOFA)'!BL11)</f>
        <v>10287.815472783477</v>
      </c>
      <c r="E10" s="1162">
        <f>'Assets(MOFA)'!BL11</f>
        <v>865</v>
      </c>
      <c r="F10" s="923"/>
      <c r="G10" s="926"/>
      <c r="H10" s="1152"/>
      <c r="I10" s="1152"/>
      <c r="J10" s="1152">
        <f t="shared" ref="J10:J57" si="0">D10/(D10+C10)</f>
        <v>0.42053192741863565</v>
      </c>
      <c r="K10" s="1152">
        <f t="shared" ref="K10:K57" si="1">J10/(1-J10)</f>
        <v>0.72572061743675764</v>
      </c>
      <c r="L10" s="1152">
        <f t="shared" ref="L10:L57" si="2">1-E10/D10</f>
        <v>0.91591995382417513</v>
      </c>
      <c r="M10" s="925">
        <f t="shared" ref="M10:M57" si="3">(D10-E10)/C10</f>
        <v>0.66470199441192701</v>
      </c>
      <c r="Q10" s="1180">
        <f t="shared" ref="Q10:Q57" si="4">M10-L10*K10</f>
        <v>0</v>
      </c>
    </row>
    <row r="11" spans="1:17" ht="14" customHeight="1">
      <c r="A11" s="826">
        <v>1967</v>
      </c>
      <c r="B11" s="1163"/>
      <c r="C11" s="1164">
        <f>'Assets(MOFA)'!B12</f>
        <v>15593.35346516927</v>
      </c>
      <c r="D11" s="1164">
        <f>('Assets(MOFA)'!W12+'Assets(MOFA)'!BL12)</f>
        <v>11187.818154990639</v>
      </c>
      <c r="E11" s="1164">
        <f>'Assets(MOFA)'!BL12</f>
        <v>942.82784078060718</v>
      </c>
      <c r="F11" s="828"/>
      <c r="G11" s="918"/>
      <c r="H11" s="1153"/>
      <c r="I11" s="1153"/>
      <c r="J11" s="1153">
        <f t="shared" si="0"/>
        <v>0.41774939176181708</v>
      </c>
      <c r="K11" s="1153">
        <f t="shared" si="1"/>
        <v>0.71747351716106267</v>
      </c>
      <c r="L11" s="1153">
        <f t="shared" si="2"/>
        <v>0.91572728232447786</v>
      </c>
      <c r="M11" s="890">
        <f t="shared" si="3"/>
        <v>0.65701007400968447</v>
      </c>
      <c r="Q11" s="1180">
        <f t="shared" si="4"/>
        <v>0</v>
      </c>
    </row>
    <row r="12" spans="1:17" ht="14" customHeight="1">
      <c r="A12" s="826">
        <v>1968</v>
      </c>
      <c r="B12" s="1163"/>
      <c r="C12" s="1164">
        <f>'Assets(MOFA)'!B13</f>
        <v>17686.078357203252</v>
      </c>
      <c r="D12" s="1164">
        <f>('Assets(MOFA)'!W13+'Assets(MOFA)'!BL13)</f>
        <v>12743.325642789454</v>
      </c>
      <c r="E12" s="1164">
        <f>'Assets(MOFA)'!BL13</f>
        <v>1060.4647189243367</v>
      </c>
      <c r="F12" s="828"/>
      <c r="G12" s="918"/>
      <c r="H12" s="1153"/>
      <c r="I12" s="1153"/>
      <c r="J12" s="1153">
        <f t="shared" si="0"/>
        <v>0.41878328089477235</v>
      </c>
      <c r="K12" s="1153">
        <f t="shared" si="1"/>
        <v>0.72052862061415135</v>
      </c>
      <c r="L12" s="1153">
        <f t="shared" si="2"/>
        <v>0.91678273406405664</v>
      </c>
      <c r="M12" s="890">
        <f t="shared" si="3"/>
        <v>0.66056819877804496</v>
      </c>
      <c r="Q12" s="1180">
        <f t="shared" si="4"/>
        <v>0</v>
      </c>
    </row>
    <row r="13" spans="1:17" ht="14" customHeight="1">
      <c r="A13" s="856">
        <v>1969</v>
      </c>
      <c r="B13" s="1165"/>
      <c r="C13" s="1166">
        <f>'Assets(MOFA)'!B14</f>
        <v>20163.214068466092</v>
      </c>
      <c r="D13" s="1166">
        <f>('Assets(MOFA)'!W14+'Assets(MOFA)'!BL14)</f>
        <v>14650.133794097579</v>
      </c>
      <c r="E13" s="1166">
        <f>'Assets(MOFA)'!BL14</f>
        <v>1215.9699619775643</v>
      </c>
      <c r="F13" s="858"/>
      <c r="G13" s="919"/>
      <c r="H13" s="1154"/>
      <c r="I13" s="1154"/>
      <c r="J13" s="1154">
        <f t="shared" si="0"/>
        <v>0.4208194469527452</v>
      </c>
      <c r="K13" s="1154">
        <f t="shared" si="1"/>
        <v>0.72657730778196716</v>
      </c>
      <c r="L13" s="1154">
        <f t="shared" si="2"/>
        <v>0.91699939542753739</v>
      </c>
      <c r="M13" s="892">
        <f t="shared" si="3"/>
        <v>0.66627095196743169</v>
      </c>
      <c r="Q13" s="1180">
        <f t="shared" si="4"/>
        <v>0</v>
      </c>
    </row>
    <row r="14" spans="1:17" ht="14" customHeight="1">
      <c r="A14" s="863">
        <v>1970</v>
      </c>
      <c r="B14" s="1167"/>
      <c r="C14" s="1168">
        <f>'Assets(MOFA)'!B15</f>
        <v>21825.396018636173</v>
      </c>
      <c r="D14" s="1168">
        <f>('Assets(MOFA)'!W15+'Assets(MOFA)'!BL15)</f>
        <v>15860.535779501799</v>
      </c>
      <c r="E14" s="1168">
        <f>'Assets(MOFA)'!BL15</f>
        <v>1352.3267966009234</v>
      </c>
      <c r="F14" s="865"/>
      <c r="G14" s="920"/>
      <c r="H14" s="1155"/>
      <c r="I14" s="1155"/>
      <c r="J14" s="1155">
        <f t="shared" si="0"/>
        <v>0.42086091606962611</v>
      </c>
      <c r="K14" s="1155">
        <f t="shared" si="1"/>
        <v>0.72670093894098764</v>
      </c>
      <c r="L14" s="1155">
        <f t="shared" si="2"/>
        <v>0.91473637363823013</v>
      </c>
      <c r="M14" s="894">
        <f t="shared" si="3"/>
        <v>0.66473978160637592</v>
      </c>
      <c r="Q14" s="1180">
        <f t="shared" si="4"/>
        <v>0</v>
      </c>
    </row>
    <row r="15" spans="1:17" ht="14" customHeight="1">
      <c r="A15" s="826">
        <v>1971</v>
      </c>
      <c r="B15" s="1163"/>
      <c r="C15" s="1164">
        <f>'Assets(MOFA)'!B16</f>
        <v>23726.05197494715</v>
      </c>
      <c r="D15" s="1164">
        <f>('Assets(MOFA)'!W16+'Assets(MOFA)'!BL16)</f>
        <v>20303.826490012441</v>
      </c>
      <c r="E15" s="1164">
        <f>'Assets(MOFA)'!BL16</f>
        <v>1715.5591246020563</v>
      </c>
      <c r="F15" s="828"/>
      <c r="G15" s="918"/>
      <c r="H15" s="1153"/>
      <c r="I15" s="1153"/>
      <c r="J15" s="1153">
        <f t="shared" si="0"/>
        <v>0.461137463874012</v>
      </c>
      <c r="K15" s="1153">
        <f t="shared" si="1"/>
        <v>0.8557608535736031</v>
      </c>
      <c r="L15" s="1153">
        <f t="shared" si="2"/>
        <v>0.915505625235423</v>
      </c>
      <c r="M15" s="890">
        <f t="shared" si="3"/>
        <v>0.78345387530290067</v>
      </c>
      <c r="Q15" s="1180">
        <f t="shared" si="4"/>
        <v>0</v>
      </c>
    </row>
    <row r="16" spans="1:17" ht="14" customHeight="1">
      <c r="A16" s="826">
        <v>1972</v>
      </c>
      <c r="B16" s="1163"/>
      <c r="C16" s="1164">
        <f>'Assets(MOFA)'!B17</f>
        <v>27009.549747800887</v>
      </c>
      <c r="D16" s="1164">
        <f>('Assets(MOFA)'!W17+'Assets(MOFA)'!BL17)</f>
        <v>24329.089077869743</v>
      </c>
      <c r="E16" s="1164">
        <f>'Assets(MOFA)'!BL17</f>
        <v>2031.2180540069833</v>
      </c>
      <c r="F16" s="828"/>
      <c r="G16" s="918"/>
      <c r="H16" s="1153"/>
      <c r="I16" s="1153"/>
      <c r="J16" s="1153">
        <f t="shared" si="0"/>
        <v>0.47389431497168133</v>
      </c>
      <c r="K16" s="1153">
        <f t="shared" si="1"/>
        <v>0.90075877995154729</v>
      </c>
      <c r="L16" s="1153">
        <f t="shared" si="2"/>
        <v>0.91651072313041826</v>
      </c>
      <c r="M16" s="890">
        <f t="shared" si="3"/>
        <v>0.82555508077946582</v>
      </c>
      <c r="Q16" s="1180">
        <f t="shared" si="4"/>
        <v>0</v>
      </c>
    </row>
    <row r="17" spans="1:17" ht="14" customHeight="1">
      <c r="A17" s="826">
        <v>1973</v>
      </c>
      <c r="B17" s="1163"/>
      <c r="C17" s="1164">
        <f>'Assets(MOFA)'!B18</f>
        <v>31099.481329730039</v>
      </c>
      <c r="D17" s="1164">
        <f>('Assets(MOFA)'!W18+'Assets(MOFA)'!BL18)</f>
        <v>36050.670609552224</v>
      </c>
      <c r="E17" s="1164">
        <f>'Assets(MOFA)'!BL18</f>
        <v>2089.3744432055864</v>
      </c>
      <c r="F17" s="828"/>
      <c r="G17" s="918"/>
      <c r="H17" s="1153"/>
      <c r="I17" s="1153"/>
      <c r="J17" s="1153">
        <f t="shared" si="0"/>
        <v>0.53686655306676812</v>
      </c>
      <c r="K17" s="1153">
        <f t="shared" si="1"/>
        <v>1.1592048827865504</v>
      </c>
      <c r="L17" s="1153">
        <f t="shared" si="2"/>
        <v>0.94204339592362607</v>
      </c>
      <c r="M17" s="890">
        <f t="shared" si="3"/>
        <v>1.092021304351491</v>
      </c>
      <c r="Q17" s="1180">
        <f t="shared" si="4"/>
        <v>0</v>
      </c>
    </row>
    <row r="18" spans="1:17" ht="14" customHeight="1">
      <c r="A18" s="826">
        <v>1974</v>
      </c>
      <c r="B18" s="1163"/>
      <c r="C18" s="1164">
        <f>'Assets(MOFA)'!B19</f>
        <v>36728.737040305939</v>
      </c>
      <c r="D18" s="1164">
        <f>('Assets(MOFA)'!W19+'Assets(MOFA)'!BL19)</f>
        <v>63498.50963797079</v>
      </c>
      <c r="E18" s="1164">
        <f>'Assets(MOFA)'!BL19</f>
        <v>2147.5308324041898</v>
      </c>
      <c r="F18" s="828"/>
      <c r="G18" s="918"/>
      <c r="H18" s="1153"/>
      <c r="I18" s="1153"/>
      <c r="J18" s="1153">
        <f t="shared" si="0"/>
        <v>0.6335453855357025</v>
      </c>
      <c r="K18" s="1153">
        <f t="shared" si="1"/>
        <v>1.7288508877473197</v>
      </c>
      <c r="L18" s="1153">
        <f t="shared" si="2"/>
        <v>0.96617982304390948</v>
      </c>
      <c r="M18" s="890">
        <f t="shared" si="3"/>
        <v>1.6703808447930113</v>
      </c>
      <c r="Q18" s="1180">
        <f t="shared" si="4"/>
        <v>0</v>
      </c>
    </row>
    <row r="19" spans="1:17" ht="14" customHeight="1">
      <c r="A19" s="826">
        <v>1975</v>
      </c>
      <c r="B19" s="1163"/>
      <c r="C19" s="1164">
        <f>'Assets(MOFA)'!B20</f>
        <v>41409.356411936038</v>
      </c>
      <c r="D19" s="1164">
        <f>('Assets(MOFA)'!W20+'Assets(MOFA)'!BL20)</f>
        <v>60856.079642623314</v>
      </c>
      <c r="E19" s="1164">
        <f>'Assets(MOFA)'!BL20</f>
        <v>2205.6872216027932</v>
      </c>
      <c r="F19" s="828"/>
      <c r="G19" s="918"/>
      <c r="H19" s="1153"/>
      <c r="I19" s="1153"/>
      <c r="J19" s="1153">
        <f t="shared" si="0"/>
        <v>0.59507964753757225</v>
      </c>
      <c r="K19" s="1153">
        <f t="shared" si="1"/>
        <v>1.4696214796780047</v>
      </c>
      <c r="L19" s="1153">
        <f t="shared" si="2"/>
        <v>0.96375568004781664</v>
      </c>
      <c r="M19" s="890">
        <f t="shared" si="3"/>
        <v>1.416356048559954</v>
      </c>
      <c r="Q19" s="1180">
        <f t="shared" si="4"/>
        <v>0</v>
      </c>
    </row>
    <row r="20" spans="1:17" ht="14" customHeight="1">
      <c r="A20" s="826">
        <v>1976</v>
      </c>
      <c r="B20" s="1163"/>
      <c r="C20" s="1164">
        <f>'Assets(MOFA)'!B21</f>
        <v>49597.385081179091</v>
      </c>
      <c r="D20" s="1164">
        <f>('Assets(MOFA)'!W21+'Assets(MOFA)'!BL21)</f>
        <v>78512.531633214414</v>
      </c>
      <c r="E20" s="1164">
        <f>'Assets(MOFA)'!BL21</f>
        <v>2263.8436108013966</v>
      </c>
      <c r="F20" s="828"/>
      <c r="G20" s="918"/>
      <c r="H20" s="1153"/>
      <c r="I20" s="1153"/>
      <c r="J20" s="1153">
        <f t="shared" si="0"/>
        <v>0.61285288170352326</v>
      </c>
      <c r="K20" s="1153">
        <f t="shared" si="1"/>
        <v>1.5829974000586551</v>
      </c>
      <c r="L20" s="1153">
        <f t="shared" si="2"/>
        <v>0.97116583093540587</v>
      </c>
      <c r="M20" s="890">
        <f t="shared" si="3"/>
        <v>1.5373529853965506</v>
      </c>
      <c r="Q20" s="1180">
        <f t="shared" si="4"/>
        <v>0</v>
      </c>
    </row>
    <row r="21" spans="1:17" ht="14" customHeight="1">
      <c r="A21" s="826">
        <v>1977</v>
      </c>
      <c r="B21" s="1163">
        <f>'Assets(MOFA)'!KE22</f>
        <v>104524</v>
      </c>
      <c r="C21" s="1164">
        <f>'Assets(MOFA)'!B22</f>
        <v>59534</v>
      </c>
      <c r="D21" s="1164">
        <f>('Assets(MOFA)'!W22+'Assets(MOFA)'!BL22)</f>
        <v>71020</v>
      </c>
      <c r="E21" s="1164">
        <f>'Assets(MOFA)'!BL22</f>
        <v>2322</v>
      </c>
      <c r="F21" s="828"/>
      <c r="G21" s="918"/>
      <c r="H21" s="1153">
        <f t="shared" ref="H21:H38" si="5">B21/C21</f>
        <v>1.7557026237108206</v>
      </c>
      <c r="I21" s="1153">
        <f t="shared" ref="I21:I38" si="6">D21/B21</f>
        <v>0.67946117638054415</v>
      </c>
      <c r="J21" s="1153">
        <f t="shared" si="0"/>
        <v>0.54398946029995254</v>
      </c>
      <c r="K21" s="1153">
        <f t="shared" si="1"/>
        <v>1.1929317700809623</v>
      </c>
      <c r="L21" s="1153">
        <f t="shared" si="2"/>
        <v>0.96730498451140523</v>
      </c>
      <c r="M21" s="890">
        <f t="shared" si="3"/>
        <v>1.1539288473813283</v>
      </c>
      <c r="Q21" s="1180">
        <f t="shared" si="4"/>
        <v>0</v>
      </c>
    </row>
    <row r="22" spans="1:17" ht="14" customHeight="1">
      <c r="A22" s="826">
        <v>1978</v>
      </c>
      <c r="B22" s="1163">
        <f>'Assets(MOFA)'!KE23</f>
        <v>116290.6</v>
      </c>
      <c r="C22" s="1164">
        <f>'Assets(MOFA)'!B23</f>
        <v>67013.13691312373</v>
      </c>
      <c r="D22" s="1164">
        <f>('Assets(MOFA)'!W23+'Assets(MOFA)'!BL23)</f>
        <v>74944.57984039039</v>
      </c>
      <c r="E22" s="1164">
        <f>'Assets(MOFA)'!BL23</f>
        <v>2050</v>
      </c>
      <c r="F22" s="828"/>
      <c r="G22" s="918"/>
      <c r="H22" s="1153">
        <f t="shared" ref="H22:H25" si="7">B22/C22</f>
        <v>1.7353403430548238</v>
      </c>
      <c r="I22" s="1153">
        <f t="shared" ref="I22:I25" si="8">D22/B22</f>
        <v>0.64445948202511971</v>
      </c>
      <c r="J22" s="1153">
        <f t="shared" si="0"/>
        <v>0.52793593440587061</v>
      </c>
      <c r="K22" s="1153">
        <f t="shared" si="1"/>
        <v>1.1183565386224052</v>
      </c>
      <c r="L22" s="1153">
        <f t="shared" si="2"/>
        <v>0.97264645416164996</v>
      </c>
      <c r="M22" s="890">
        <f t="shared" si="3"/>
        <v>1.0877655217795787</v>
      </c>
      <c r="Q22" s="1180">
        <f t="shared" si="4"/>
        <v>0</v>
      </c>
    </row>
    <row r="23" spans="1:17" ht="14" customHeight="1">
      <c r="A23" s="856">
        <v>1979</v>
      </c>
      <c r="B23" s="1165">
        <f>'Assets(MOFA)'!KE24</f>
        <v>128057.20000000001</v>
      </c>
      <c r="C23" s="1166">
        <f>'Assets(MOFA)'!B24</f>
        <v>74674.03790349394</v>
      </c>
      <c r="D23" s="1166">
        <f>('Assets(MOFA)'!W24+'Assets(MOFA)'!BL24)</f>
        <v>105048.88121791287</v>
      </c>
      <c r="E23" s="1166">
        <f>'Assets(MOFA)'!BL24</f>
        <v>1778</v>
      </c>
      <c r="F23" s="858"/>
      <c r="G23" s="919"/>
      <c r="H23" s="1154">
        <f t="shared" si="7"/>
        <v>1.7148824892192995</v>
      </c>
      <c r="I23" s="1154">
        <f t="shared" si="8"/>
        <v>0.82032780052908283</v>
      </c>
      <c r="J23" s="1154">
        <f t="shared" si="0"/>
        <v>0.584504645993147</v>
      </c>
      <c r="K23" s="1154">
        <f t="shared" si="1"/>
        <v>1.4067657805471068</v>
      </c>
      <c r="L23" s="1154">
        <f t="shared" si="2"/>
        <v>0.98307454606478173</v>
      </c>
      <c r="M23" s="892">
        <f t="shared" si="3"/>
        <v>1.3829556311308151</v>
      </c>
      <c r="Q23" s="1180">
        <f t="shared" si="4"/>
        <v>0</v>
      </c>
    </row>
    <row r="24" spans="1:17" ht="14" customHeight="1">
      <c r="A24" s="863">
        <v>1980</v>
      </c>
      <c r="B24" s="1167">
        <f>'Assets(MOFA)'!KE25</f>
        <v>139823.80000000002</v>
      </c>
      <c r="C24" s="1168">
        <f>'Assets(MOFA)'!B25</f>
        <v>80387.690389135954</v>
      </c>
      <c r="D24" s="1168">
        <f>('Assets(MOFA)'!W25+'Assets(MOFA)'!BL25)</f>
        <v>72684.701530015751</v>
      </c>
      <c r="E24" s="1168">
        <f>'Assets(MOFA)'!BL25</f>
        <v>1506</v>
      </c>
      <c r="F24" s="865"/>
      <c r="G24" s="920"/>
      <c r="H24" s="1155">
        <f t="shared" si="7"/>
        <v>1.7393682953590193</v>
      </c>
      <c r="I24" s="1155">
        <f t="shared" si="8"/>
        <v>0.51983068354611839</v>
      </c>
      <c r="J24" s="1155">
        <f t="shared" si="0"/>
        <v>0.47483873883936989</v>
      </c>
      <c r="K24" s="1155">
        <f t="shared" si="1"/>
        <v>0.90417700991492556</v>
      </c>
      <c r="L24" s="1155">
        <f t="shared" si="2"/>
        <v>0.97928037168346793</v>
      </c>
      <c r="M24" s="894">
        <f t="shared" si="3"/>
        <v>0.88544279833713502</v>
      </c>
      <c r="Q24" s="1180">
        <f t="shared" si="4"/>
        <v>0</v>
      </c>
    </row>
    <row r="25" spans="1:17" ht="14" customHeight="1">
      <c r="A25" s="826">
        <v>1981</v>
      </c>
      <c r="B25" s="1163">
        <f>'Assets(MOFA)'!KE26</f>
        <v>151590.40000000002</v>
      </c>
      <c r="C25" s="1164">
        <f>'Assets(MOFA)'!B26</f>
        <v>87330.589757288035</v>
      </c>
      <c r="D25" s="1164">
        <f>('Assets(MOFA)'!W26+'Assets(MOFA)'!BL26)</f>
        <v>65138.518863416866</v>
      </c>
      <c r="E25" s="1164">
        <f>'Assets(MOFA)'!BL26</f>
        <v>1234</v>
      </c>
      <c r="F25" s="828"/>
      <c r="G25" s="918"/>
      <c r="H25" s="1153">
        <f t="shared" si="7"/>
        <v>1.7358224697818361</v>
      </c>
      <c r="I25" s="1153">
        <f t="shared" si="8"/>
        <v>0.42970081788435716</v>
      </c>
      <c r="J25" s="1153">
        <f t="shared" si="0"/>
        <v>0.4272243699244086</v>
      </c>
      <c r="K25" s="1153">
        <f t="shared" si="1"/>
        <v>0.74588433496729978</v>
      </c>
      <c r="L25" s="1153">
        <f t="shared" si="2"/>
        <v>0.98105575592549987</v>
      </c>
      <c r="M25" s="890">
        <f t="shared" si="3"/>
        <v>0.73175412007433305</v>
      </c>
      <c r="Q25" s="1180">
        <f t="shared" si="4"/>
        <v>0</v>
      </c>
    </row>
    <row r="26" spans="1:17" ht="14" customHeight="1">
      <c r="A26" s="826">
        <v>1982</v>
      </c>
      <c r="B26" s="1163">
        <f>'Assets(MOFA)'!KE27</f>
        <v>163357</v>
      </c>
      <c r="C26" s="1164">
        <f>'Assets(MOFA)'!B27</f>
        <v>89445</v>
      </c>
      <c r="D26" s="1164">
        <f>('Assets(MOFA)'!W27+'Assets(MOFA)'!BL27)</f>
        <v>54537</v>
      </c>
      <c r="E26" s="1164">
        <f>'Assets(MOFA)'!BL27</f>
        <v>962</v>
      </c>
      <c r="F26" s="828"/>
      <c r="G26" s="918"/>
      <c r="H26" s="1153">
        <f t="shared" si="5"/>
        <v>1.8263402090670244</v>
      </c>
      <c r="I26" s="1153">
        <f t="shared" si="6"/>
        <v>0.33385162558078318</v>
      </c>
      <c r="J26" s="1153">
        <f t="shared" si="0"/>
        <v>0.378776513730883</v>
      </c>
      <c r="K26" s="1153">
        <f t="shared" si="1"/>
        <v>0.60972664766057338</v>
      </c>
      <c r="L26" s="1153">
        <f t="shared" si="2"/>
        <v>0.98236059922621344</v>
      </c>
      <c r="M26" s="890">
        <f t="shared" si="3"/>
        <v>0.59897143496003136</v>
      </c>
      <c r="Q26" s="1180">
        <f t="shared" si="4"/>
        <v>0</v>
      </c>
    </row>
    <row r="27" spans="1:17" ht="14" customHeight="1">
      <c r="A27" s="826">
        <v>1983</v>
      </c>
      <c r="B27" s="1163">
        <f>'Assets(MOFA)'!KE28</f>
        <v>159137</v>
      </c>
      <c r="C27" s="1164">
        <f>'Assets(MOFA)'!B28</f>
        <v>82049</v>
      </c>
      <c r="D27" s="1164">
        <f>('Assets(MOFA)'!W28+'Assets(MOFA)'!BL28)</f>
        <v>58506.28571428571</v>
      </c>
      <c r="E27" s="1164">
        <f>'Assets(MOFA)'!BL28</f>
        <v>472.28571428571377</v>
      </c>
      <c r="F27" s="828"/>
      <c r="G27" s="918"/>
      <c r="H27" s="1153">
        <f t="shared" si="5"/>
        <v>1.9395361308486392</v>
      </c>
      <c r="I27" s="1153">
        <f t="shared" si="6"/>
        <v>0.36764728324830626</v>
      </c>
      <c r="J27" s="1153">
        <f t="shared" si="0"/>
        <v>0.41625105322054257</v>
      </c>
      <c r="K27" s="1153">
        <f t="shared" si="1"/>
        <v>0.71306518926843354</v>
      </c>
      <c r="L27" s="1153">
        <f t="shared" si="2"/>
        <v>0.99192760729005924</v>
      </c>
      <c r="M27" s="890">
        <f t="shared" si="3"/>
        <v>0.70730904703287056</v>
      </c>
      <c r="Q27" s="1180">
        <f t="shared" si="4"/>
        <v>0</v>
      </c>
    </row>
    <row r="28" spans="1:17" ht="14" customHeight="1">
      <c r="A28" s="826">
        <v>1984</v>
      </c>
      <c r="B28" s="1163">
        <f>'Assets(MOFA)'!KE29</f>
        <v>156888</v>
      </c>
      <c r="C28" s="1164">
        <f>'Assets(MOFA)'!B29</f>
        <v>79689</v>
      </c>
      <c r="D28" s="1164">
        <f>('Assets(MOFA)'!W29+'Assets(MOFA)'!BL29)</f>
        <v>64442.571428571428</v>
      </c>
      <c r="E28" s="1164">
        <f>'Assets(MOFA)'!BL29</f>
        <v>-17.428571428572013</v>
      </c>
      <c r="F28" s="828"/>
      <c r="G28" s="918"/>
      <c r="H28" s="1153">
        <f t="shared" si="5"/>
        <v>1.96875352934533</v>
      </c>
      <c r="I28" s="1153">
        <f t="shared" si="6"/>
        <v>0.41075526126008</v>
      </c>
      <c r="J28" s="1153">
        <f t="shared" si="0"/>
        <v>0.44710933759927685</v>
      </c>
      <c r="K28" s="1153">
        <f t="shared" si="1"/>
        <v>0.80867587030294552</v>
      </c>
      <c r="L28" s="1153">
        <f t="shared" si="2"/>
        <v>1.0002704512101583</v>
      </c>
      <c r="M28" s="890">
        <f t="shared" si="3"/>
        <v>0.80889457767069484</v>
      </c>
      <c r="Q28" s="1180">
        <f t="shared" si="4"/>
        <v>0</v>
      </c>
    </row>
    <row r="29" spans="1:17" ht="14" customHeight="1">
      <c r="A29" s="826">
        <v>1985</v>
      </c>
      <c r="B29" s="1163">
        <f>'Assets(MOFA)'!KE30</f>
        <v>169657</v>
      </c>
      <c r="C29" s="1164">
        <f>'Assets(MOFA)'!B30</f>
        <v>80364</v>
      </c>
      <c r="D29" s="1164">
        <f>('Assets(MOFA)'!W30+'Assets(MOFA)'!BL30)</f>
        <v>62173.857142857145</v>
      </c>
      <c r="E29" s="1164">
        <f>'Assets(MOFA)'!BL30</f>
        <v>-507.14285714285779</v>
      </c>
      <c r="F29" s="828"/>
      <c r="G29" s="918"/>
      <c r="H29" s="1153">
        <f t="shared" si="5"/>
        <v>2.1111069633169079</v>
      </c>
      <c r="I29" s="1153">
        <f t="shared" si="6"/>
        <v>0.36646797445939244</v>
      </c>
      <c r="J29" s="1153">
        <f t="shared" si="0"/>
        <v>0.43619188887162808</v>
      </c>
      <c r="K29" s="1153">
        <f t="shared" si="1"/>
        <v>0.77365309271386618</v>
      </c>
      <c r="L29" s="1153">
        <f t="shared" si="2"/>
        <v>1.0081568504906748</v>
      </c>
      <c r="M29" s="890">
        <f t="shared" si="3"/>
        <v>0.77996366532278139</v>
      </c>
      <c r="Q29" s="1180">
        <f t="shared" si="4"/>
        <v>0</v>
      </c>
    </row>
    <row r="30" spans="1:17" ht="14" customHeight="1">
      <c r="A30" s="826">
        <v>1986</v>
      </c>
      <c r="B30" s="1163">
        <f>'Assets(MOFA)'!KE31</f>
        <v>183183</v>
      </c>
      <c r="C30" s="1164">
        <f>'Assets(MOFA)'!B31</f>
        <v>92025</v>
      </c>
      <c r="D30" s="1164">
        <f>('Assets(MOFA)'!W31+'Assets(MOFA)'!BL31)</f>
        <v>55363.142857142855</v>
      </c>
      <c r="E30" s="1164">
        <f>'Assets(MOFA)'!BL31</f>
        <v>-996.85714285714357</v>
      </c>
      <c r="F30" s="828"/>
      <c r="G30" s="918"/>
      <c r="H30" s="1153">
        <f t="shared" si="5"/>
        <v>1.9905786471067646</v>
      </c>
      <c r="I30" s="1153">
        <f t="shared" si="6"/>
        <v>0.30222860667825535</v>
      </c>
      <c r="J30" s="1153">
        <f t="shared" si="0"/>
        <v>0.37562820036889966</v>
      </c>
      <c r="K30" s="1153">
        <f t="shared" si="1"/>
        <v>0.60160981099856414</v>
      </c>
      <c r="L30" s="1153">
        <f t="shared" si="2"/>
        <v>1.0180057903401438</v>
      </c>
      <c r="M30" s="890">
        <f t="shared" si="3"/>
        <v>0.61244227112197769</v>
      </c>
      <c r="Q30" s="1180">
        <f t="shared" si="4"/>
        <v>0</v>
      </c>
    </row>
    <row r="31" spans="1:17" ht="14" customHeight="1">
      <c r="A31" s="826">
        <v>1987</v>
      </c>
      <c r="B31" s="1163">
        <f>'Assets(MOFA)'!KE32</f>
        <v>203204</v>
      </c>
      <c r="C31" s="1164">
        <f>'Assets(MOFA)'!B32</f>
        <v>105452</v>
      </c>
      <c r="D31" s="1164">
        <f>('Assets(MOFA)'!W32+'Assets(MOFA)'!BL32)</f>
        <v>69139.428571428565</v>
      </c>
      <c r="E31" s="1164">
        <f>'Assets(MOFA)'!BL32</f>
        <v>-1486.5714285714298</v>
      </c>
      <c r="F31" s="828"/>
      <c r="G31" s="918"/>
      <c r="H31" s="1153">
        <f t="shared" si="5"/>
        <v>1.9269809960930091</v>
      </c>
      <c r="I31" s="1153">
        <f t="shared" si="6"/>
        <v>0.34024639559963665</v>
      </c>
      <c r="J31" s="1153">
        <f t="shared" si="0"/>
        <v>0.39600700410754902</v>
      </c>
      <c r="K31" s="1153">
        <f t="shared" si="1"/>
        <v>0.65564833830964375</v>
      </c>
      <c r="L31" s="1153">
        <f t="shared" si="2"/>
        <v>1.0215010661685704</v>
      </c>
      <c r="M31" s="890">
        <f t="shared" si="3"/>
        <v>0.66974547661495276</v>
      </c>
      <c r="Q31" s="1180">
        <f t="shared" si="4"/>
        <v>0</v>
      </c>
    </row>
    <row r="32" spans="1:17" ht="14" customHeight="1">
      <c r="A32" s="826">
        <v>1988</v>
      </c>
      <c r="B32" s="1163">
        <f>'Assets(MOFA)'!KE33</f>
        <v>222274</v>
      </c>
      <c r="C32" s="1164">
        <f>'Assets(MOFA)'!B33</f>
        <v>117418</v>
      </c>
      <c r="D32" s="1164">
        <f>('Assets(MOFA)'!W33+'Assets(MOFA)'!BL33)</f>
        <v>78290.71428571429</v>
      </c>
      <c r="E32" s="1164">
        <f>'Assets(MOFA)'!BL33</f>
        <v>-1976.2857142857156</v>
      </c>
      <c r="F32" s="828"/>
      <c r="G32" s="918"/>
      <c r="H32" s="1153">
        <f t="shared" si="5"/>
        <v>1.8930146996201604</v>
      </c>
      <c r="I32" s="1153">
        <f t="shared" si="6"/>
        <v>0.35222614559379095</v>
      </c>
      <c r="J32" s="1153">
        <f t="shared" si="0"/>
        <v>0.40003693535801388</v>
      </c>
      <c r="K32" s="1153">
        <f t="shared" si="1"/>
        <v>0.66676927119959717</v>
      </c>
      <c r="L32" s="1153">
        <f t="shared" si="2"/>
        <v>1.02524291331758</v>
      </c>
      <c r="M32" s="890">
        <f t="shared" si="3"/>
        <v>0.68360047011531455</v>
      </c>
      <c r="Q32" s="1180">
        <f t="shared" si="4"/>
        <v>0</v>
      </c>
    </row>
    <row r="33" spans="1:17" ht="14" customHeight="1">
      <c r="A33" s="856">
        <v>1989</v>
      </c>
      <c r="B33" s="1165">
        <f>'Assets(MOFA)'!KE34</f>
        <v>248069</v>
      </c>
      <c r="C33" s="1166">
        <f>'Assets(MOFA)'!B34</f>
        <v>132565</v>
      </c>
      <c r="D33" s="1166">
        <f>('Assets(MOFA)'!W34+'Assets(MOFA)'!BL34)</f>
        <v>83128</v>
      </c>
      <c r="E33" s="1166">
        <f>'Assets(MOFA)'!BL34</f>
        <v>-2466</v>
      </c>
      <c r="F33" s="858"/>
      <c r="G33" s="919"/>
      <c r="H33" s="1154">
        <f t="shared" si="5"/>
        <v>1.8713008712706973</v>
      </c>
      <c r="I33" s="1154">
        <f t="shared" si="6"/>
        <v>0.3351003148317605</v>
      </c>
      <c r="J33" s="1154">
        <f t="shared" si="0"/>
        <v>0.3853996189027924</v>
      </c>
      <c r="K33" s="1154">
        <f t="shared" si="1"/>
        <v>0.62707351110775844</v>
      </c>
      <c r="L33" s="1154">
        <f t="shared" si="2"/>
        <v>1.0296650947935713</v>
      </c>
      <c r="M33" s="892">
        <f t="shared" si="3"/>
        <v>0.64567570625730775</v>
      </c>
      <c r="Q33" s="1180">
        <f t="shared" si="4"/>
        <v>0</v>
      </c>
    </row>
    <row r="34" spans="1:17" ht="14" customHeight="1">
      <c r="A34" s="863">
        <v>1990</v>
      </c>
      <c r="B34" s="1167">
        <f>'Assets(MOFA)'!KE35</f>
        <v>284718</v>
      </c>
      <c r="C34" s="1168">
        <f>'Assets(MOFA)'!B35</f>
        <v>151051</v>
      </c>
      <c r="D34" s="1168">
        <f>('Assets(MOFA)'!W35+'Assets(MOFA)'!BL35)</f>
        <v>81595.600000000006</v>
      </c>
      <c r="E34" s="1168">
        <f>'Assets(MOFA)'!BL35</f>
        <v>-2979.4</v>
      </c>
      <c r="F34" s="865"/>
      <c r="G34" s="920"/>
      <c r="H34" s="1155">
        <f t="shared" si="5"/>
        <v>1.884913042614746</v>
      </c>
      <c r="I34" s="1155">
        <f t="shared" si="6"/>
        <v>0.28658391812249318</v>
      </c>
      <c r="J34" s="1155">
        <f t="shared" si="0"/>
        <v>0.35072767020880596</v>
      </c>
      <c r="K34" s="1155">
        <f t="shared" si="1"/>
        <v>0.54018576507272376</v>
      </c>
      <c r="L34" s="1155">
        <f t="shared" si="2"/>
        <v>1.0365142238061855</v>
      </c>
      <c r="M34" s="894">
        <f t="shared" si="3"/>
        <v>0.5599102289955048</v>
      </c>
      <c r="Q34" s="1180">
        <f t="shared" si="4"/>
        <v>0</v>
      </c>
    </row>
    <row r="35" spans="1:17" ht="14" customHeight="1">
      <c r="A35" s="826">
        <v>1991</v>
      </c>
      <c r="B35" s="1163">
        <f>'Assets(MOFA)'!KE36</f>
        <v>305598</v>
      </c>
      <c r="C35" s="1164">
        <f>'Assets(MOFA)'!B36</f>
        <v>160082</v>
      </c>
      <c r="D35" s="1164">
        <f>('Assets(MOFA)'!W36+'Assets(MOFA)'!BL36)</f>
        <v>69808.2</v>
      </c>
      <c r="E35" s="1164">
        <f>'Assets(MOFA)'!BL36</f>
        <v>-3492.7999999999997</v>
      </c>
      <c r="F35" s="828"/>
      <c r="G35" s="918"/>
      <c r="H35" s="1153">
        <f t="shared" si="5"/>
        <v>1.9090091328194301</v>
      </c>
      <c r="I35" s="1153">
        <f t="shared" si="6"/>
        <v>0.22843146879233503</v>
      </c>
      <c r="J35" s="1153">
        <f t="shared" si="0"/>
        <v>0.30365887715091811</v>
      </c>
      <c r="K35" s="1153">
        <f t="shared" si="1"/>
        <v>0.43607776014792415</v>
      </c>
      <c r="L35" s="1153">
        <f t="shared" si="2"/>
        <v>1.0500342366656066</v>
      </c>
      <c r="M35" s="890">
        <f t="shared" si="3"/>
        <v>0.45789657800377309</v>
      </c>
      <c r="Q35" s="1180">
        <f t="shared" si="4"/>
        <v>0</v>
      </c>
    </row>
    <row r="36" spans="1:17" ht="14" customHeight="1">
      <c r="A36" s="826">
        <v>1992</v>
      </c>
      <c r="B36" s="1163">
        <f>'Assets(MOFA)'!KE37</f>
        <v>310848</v>
      </c>
      <c r="C36" s="1164">
        <f>'Assets(MOFA)'!B37</f>
        <v>169575</v>
      </c>
      <c r="D36" s="1164">
        <f>('Assets(MOFA)'!W37+'Assets(MOFA)'!BL37)</f>
        <v>65440.800000000003</v>
      </c>
      <c r="E36" s="1164">
        <f>'Assets(MOFA)'!BL37</f>
        <v>-4006.1999999999994</v>
      </c>
      <c r="F36" s="828"/>
      <c r="G36" s="918"/>
      <c r="H36" s="1153">
        <f t="shared" si="5"/>
        <v>1.8331003980539584</v>
      </c>
      <c r="I36" s="1153">
        <f t="shared" si="6"/>
        <v>0.21052347127856702</v>
      </c>
      <c r="J36" s="1153">
        <f t="shared" si="0"/>
        <v>0.27845276785645906</v>
      </c>
      <c r="K36" s="1153">
        <f t="shared" si="1"/>
        <v>0.38591065900044236</v>
      </c>
      <c r="L36" s="1153">
        <f t="shared" si="2"/>
        <v>1.0612186892580775</v>
      </c>
      <c r="M36" s="890">
        <f t="shared" si="3"/>
        <v>0.40953560371517028</v>
      </c>
      <c r="Q36" s="1180">
        <f t="shared" si="4"/>
        <v>0</v>
      </c>
    </row>
    <row r="37" spans="1:17" ht="14" customHeight="1">
      <c r="A37" s="826">
        <v>1993</v>
      </c>
      <c r="B37" s="1163">
        <f>'Assets(MOFA)'!KE38</f>
        <v>316671</v>
      </c>
      <c r="C37" s="1164">
        <f>'Assets(MOFA)'!B38</f>
        <v>166448</v>
      </c>
      <c r="D37" s="1164">
        <f>('Assets(MOFA)'!W38+'Assets(MOFA)'!BL38)</f>
        <v>69267.399999999994</v>
      </c>
      <c r="E37" s="1164">
        <f>'Assets(MOFA)'!BL38</f>
        <v>-4519.5999999999985</v>
      </c>
      <c r="F37" s="828"/>
      <c r="G37" s="918"/>
      <c r="H37" s="1153">
        <f t="shared" si="5"/>
        <v>1.9025221090070172</v>
      </c>
      <c r="I37" s="1153">
        <f t="shared" si="6"/>
        <v>0.21873616466300985</v>
      </c>
      <c r="J37" s="1153">
        <f t="shared" si="0"/>
        <v>0.29386030781187822</v>
      </c>
      <c r="K37" s="1153">
        <f t="shared" si="1"/>
        <v>0.41615038931077575</v>
      </c>
      <c r="L37" s="1153">
        <f t="shared" si="2"/>
        <v>1.0652485873585553</v>
      </c>
      <c r="M37" s="890">
        <f t="shared" si="3"/>
        <v>0.44330361434201671</v>
      </c>
      <c r="Q37" s="1180">
        <f t="shared" si="4"/>
        <v>0</v>
      </c>
    </row>
    <row r="38" spans="1:17" ht="14" customHeight="1">
      <c r="A38" s="826">
        <v>1994</v>
      </c>
      <c r="B38" s="1163">
        <f>'Assets(MOFA)'!KE39</f>
        <v>349638</v>
      </c>
      <c r="C38" s="1164">
        <f>'Assets(MOFA)'!B39</f>
        <v>183591</v>
      </c>
      <c r="D38" s="1164">
        <f>('Assets(MOFA)'!W39+'Assets(MOFA)'!BL39)</f>
        <v>79867</v>
      </c>
      <c r="E38" s="1164">
        <f>'Assets(MOFA)'!BL39</f>
        <v>-5033</v>
      </c>
      <c r="F38" s="828"/>
      <c r="G38" s="918"/>
      <c r="H38" s="1153">
        <f t="shared" si="5"/>
        <v>1.90443976011896</v>
      </c>
      <c r="I38" s="1153">
        <f t="shared" si="6"/>
        <v>0.22842768806594249</v>
      </c>
      <c r="J38" s="1153">
        <f t="shared" si="0"/>
        <v>0.30314888900697645</v>
      </c>
      <c r="K38" s="1153">
        <f t="shared" si="1"/>
        <v>0.43502677146483215</v>
      </c>
      <c r="L38" s="1153">
        <f t="shared" si="2"/>
        <v>1.0630172662050659</v>
      </c>
      <c r="M38" s="890">
        <f t="shared" si="3"/>
        <v>0.46244096932856188</v>
      </c>
      <c r="Q38" s="1180">
        <f t="shared" si="4"/>
        <v>0</v>
      </c>
    </row>
    <row r="39" spans="1:17">
      <c r="A39" s="826">
        <v>1995</v>
      </c>
      <c r="B39" s="1163">
        <f>'Assets(MOFA)'!KE40</f>
        <v>391512</v>
      </c>
      <c r="C39" s="1164">
        <f>'Assets(MOFA)'!B40</f>
        <v>199701</v>
      </c>
      <c r="D39" s="1164">
        <f>('Assets(MOFA)'!W40+'Assets(MOFA)'!BL40)</f>
        <v>106667</v>
      </c>
      <c r="E39" s="1164">
        <f>'Assets(MOFA)'!BL40</f>
        <v>-8213</v>
      </c>
      <c r="F39" s="828"/>
      <c r="G39" s="918"/>
      <c r="H39" s="1153">
        <f t="shared" ref="H39:H57" si="9">B39/C39</f>
        <v>1.9604909339462497</v>
      </c>
      <c r="I39" s="1153">
        <f t="shared" ref="I39:I57" si="10">D39/B39</f>
        <v>0.27244886491346371</v>
      </c>
      <c r="J39" s="1153">
        <f t="shared" si="0"/>
        <v>0.34816625757259245</v>
      </c>
      <c r="K39" s="1153">
        <f t="shared" si="1"/>
        <v>0.53413352962679206</v>
      </c>
      <c r="L39" s="1153">
        <f t="shared" si="2"/>
        <v>1.0769966343855175</v>
      </c>
      <c r="M39" s="890">
        <f t="shared" si="3"/>
        <v>0.57526001372051216</v>
      </c>
      <c r="Q39" s="1180">
        <f t="shared" si="4"/>
        <v>0</v>
      </c>
    </row>
    <row r="40" spans="1:17">
      <c r="A40" s="826">
        <v>1996</v>
      </c>
      <c r="B40" s="1163">
        <f>'Assets(MOFA)'!KE41</f>
        <v>424929</v>
      </c>
      <c r="C40" s="1164">
        <f>'Assets(MOFA)'!B41</f>
        <v>210744</v>
      </c>
      <c r="D40" s="1164">
        <f>('Assets(MOFA)'!W41+'Assets(MOFA)'!BL41)</f>
        <v>122689</v>
      </c>
      <c r="E40" s="1164">
        <f>'Assets(MOFA)'!BL41</f>
        <v>-7598</v>
      </c>
      <c r="F40" s="828"/>
      <c r="G40" s="918"/>
      <c r="H40" s="1153">
        <f t="shared" si="9"/>
        <v>2.0163278669855371</v>
      </c>
      <c r="I40" s="1153">
        <f t="shared" si="10"/>
        <v>0.28872823459919189</v>
      </c>
      <c r="J40" s="1153">
        <f t="shared" si="0"/>
        <v>0.36795698086272205</v>
      </c>
      <c r="K40" s="1153">
        <f t="shared" si="1"/>
        <v>0.58217078540788836</v>
      </c>
      <c r="L40" s="1153">
        <f t="shared" si="2"/>
        <v>1.0619289422849645</v>
      </c>
      <c r="M40" s="890">
        <f t="shared" si="3"/>
        <v>0.61822400637740571</v>
      </c>
      <c r="Q40" s="1180">
        <f t="shared" si="4"/>
        <v>0</v>
      </c>
    </row>
    <row r="41" spans="1:17">
      <c r="A41" s="826">
        <v>1997</v>
      </c>
      <c r="B41" s="1163">
        <f>'Assets(MOFA)'!KE42</f>
        <v>451690</v>
      </c>
      <c r="C41" s="1164">
        <f>'Assets(MOFA)'!B42</f>
        <v>219104</v>
      </c>
      <c r="D41" s="1164">
        <f>('Assets(MOFA)'!W42+'Assets(MOFA)'!BL42)</f>
        <v>135846</v>
      </c>
      <c r="E41" s="1164">
        <f>'Assets(MOFA)'!BL42</f>
        <v>-8431</v>
      </c>
      <c r="F41" s="828"/>
      <c r="G41" s="918"/>
      <c r="H41" s="1153">
        <f t="shared" si="9"/>
        <v>2.06153242295896</v>
      </c>
      <c r="I41" s="1153">
        <f t="shared" si="10"/>
        <v>0.30075051473355618</v>
      </c>
      <c r="J41" s="1153">
        <f t="shared" si="0"/>
        <v>0.38271869277363008</v>
      </c>
      <c r="K41" s="1153">
        <f t="shared" si="1"/>
        <v>0.6200069373448226</v>
      </c>
      <c r="L41" s="1153">
        <f t="shared" si="2"/>
        <v>1.0620629241935722</v>
      </c>
      <c r="M41" s="890">
        <f t="shared" si="3"/>
        <v>0.65848638089674305</v>
      </c>
      <c r="Q41" s="1180">
        <f t="shared" si="4"/>
        <v>0</v>
      </c>
    </row>
    <row r="42" spans="1:17">
      <c r="A42" s="826">
        <v>1998</v>
      </c>
      <c r="B42" s="1163">
        <f>'Assets(MOFA)'!KE43</f>
        <v>514257</v>
      </c>
      <c r="C42" s="1164">
        <f>'Assets(MOFA)'!B43</f>
        <v>224556</v>
      </c>
      <c r="D42" s="1164">
        <f>('Assets(MOFA)'!W43+'Assets(MOFA)'!BL43)</f>
        <v>114478</v>
      </c>
      <c r="E42" s="1164">
        <f>'Assets(MOFA)'!BL43</f>
        <v>-9698</v>
      </c>
      <c r="F42" s="828"/>
      <c r="G42" s="918"/>
      <c r="H42" s="1153">
        <f t="shared" si="9"/>
        <v>2.290105808796024</v>
      </c>
      <c r="I42" s="1153">
        <f t="shared" si="10"/>
        <v>0.22260854008793268</v>
      </c>
      <c r="J42" s="1153">
        <f t="shared" si="0"/>
        <v>0.33765934979972512</v>
      </c>
      <c r="K42" s="1153">
        <f t="shared" si="1"/>
        <v>0.50979711074297729</v>
      </c>
      <c r="L42" s="1153">
        <f t="shared" si="2"/>
        <v>1.0847149670679082</v>
      </c>
      <c r="M42" s="890">
        <f t="shared" si="3"/>
        <v>0.55298455619088338</v>
      </c>
      <c r="Q42" s="1180">
        <f t="shared" si="4"/>
        <v>0</v>
      </c>
    </row>
    <row r="43" spans="1:17">
      <c r="A43" s="856">
        <v>1999</v>
      </c>
      <c r="B43" s="1165">
        <f>'Assets(MOFA)'!KE44</f>
        <v>592891</v>
      </c>
      <c r="C43" s="1166">
        <f>'Assets(MOFA)'!B44</f>
        <v>254923</v>
      </c>
      <c r="D43" s="1166">
        <f>('Assets(MOFA)'!W44+'Assets(MOFA)'!BL44)</f>
        <v>137422</v>
      </c>
      <c r="E43" s="1166">
        <f>'Assets(MOFA)'!BL44</f>
        <v>-4534</v>
      </c>
      <c r="F43" s="858"/>
      <c r="G43" s="919"/>
      <c r="H43" s="1154">
        <f t="shared" si="9"/>
        <v>2.3257650349321168</v>
      </c>
      <c r="I43" s="1154">
        <f t="shared" si="10"/>
        <v>0.23178290781948116</v>
      </c>
      <c r="J43" s="1154">
        <f t="shared" si="0"/>
        <v>0.35025806369394286</v>
      </c>
      <c r="K43" s="1154">
        <f t="shared" si="1"/>
        <v>0.5390725827014432</v>
      </c>
      <c r="L43" s="1154">
        <f t="shared" si="2"/>
        <v>1.0329932616320532</v>
      </c>
      <c r="M43" s="892">
        <f t="shared" si="3"/>
        <v>0.55685834546117852</v>
      </c>
      <c r="Q43" s="1180">
        <f t="shared" si="4"/>
        <v>0</v>
      </c>
    </row>
    <row r="44" spans="1:17">
      <c r="A44" s="863">
        <v>2000</v>
      </c>
      <c r="B44" s="1167">
        <f>'Assets(MOFA)'!KE45</f>
        <v>613921</v>
      </c>
      <c r="C44" s="1168">
        <f>'Assets(MOFA)'!B45</f>
        <v>264241</v>
      </c>
      <c r="D44" s="1168">
        <f>('Assets(MOFA)'!W45+'Assets(MOFA)'!BL45)</f>
        <v>158785</v>
      </c>
      <c r="E44" s="1168">
        <f>'Assets(MOFA)'!BL45</f>
        <v>-13370</v>
      </c>
      <c r="F44" s="865"/>
      <c r="G44" s="920"/>
      <c r="H44" s="1155">
        <f t="shared" si="9"/>
        <v>2.3233374078965792</v>
      </c>
      <c r="I44" s="1155">
        <f t="shared" si="10"/>
        <v>0.25864076974073213</v>
      </c>
      <c r="J44" s="1155">
        <f t="shared" si="0"/>
        <v>0.37535517911428612</v>
      </c>
      <c r="K44" s="1155">
        <f t="shared" si="1"/>
        <v>0.6009097755458086</v>
      </c>
      <c r="L44" s="1155">
        <f t="shared" si="2"/>
        <v>1.0842019082407028</v>
      </c>
      <c r="M44" s="894">
        <f t="shared" si="3"/>
        <v>0.65150752532725809</v>
      </c>
      <c r="Q44" s="1180">
        <f t="shared" si="4"/>
        <v>0</v>
      </c>
    </row>
    <row r="45" spans="1:17">
      <c r="A45" s="826">
        <v>2001</v>
      </c>
      <c r="B45" s="1163">
        <f>'Assets(MOFA)'!KE46</f>
        <v>637352</v>
      </c>
      <c r="C45" s="1164">
        <f>'Assets(MOFA)'!B46</f>
        <v>264707</v>
      </c>
      <c r="D45" s="1164">
        <f>('Assets(MOFA)'!W46+'Assets(MOFA)'!BL46)</f>
        <v>130334</v>
      </c>
      <c r="E45" s="1164">
        <f>'Assets(MOFA)'!BL46</f>
        <v>-10864</v>
      </c>
      <c r="F45" s="828"/>
      <c r="G45" s="918"/>
      <c r="H45" s="1153">
        <f t="shared" si="9"/>
        <v>2.4077640561073186</v>
      </c>
      <c r="I45" s="1153">
        <f t="shared" si="10"/>
        <v>0.20449296464120298</v>
      </c>
      <c r="J45" s="1153">
        <f t="shared" si="0"/>
        <v>0.3299252482653699</v>
      </c>
      <c r="K45" s="1153">
        <f t="shared" si="1"/>
        <v>0.49237080998991328</v>
      </c>
      <c r="L45" s="1153">
        <f t="shared" si="2"/>
        <v>1.0833550723525711</v>
      </c>
      <c r="M45" s="890">
        <f t="shared" si="3"/>
        <v>0.53341241448091659</v>
      </c>
      <c r="Q45" s="1180">
        <f t="shared" si="4"/>
        <v>0</v>
      </c>
    </row>
    <row r="46" spans="1:17">
      <c r="A46" s="826">
        <v>2002</v>
      </c>
      <c r="B46" s="1163">
        <f>'Assets(MOFA)'!KE47</f>
        <v>660675</v>
      </c>
      <c r="C46" s="1164">
        <f>'Assets(MOFA)'!B47</f>
        <v>268919</v>
      </c>
      <c r="D46" s="1164">
        <f>('Assets(MOFA)'!W47+'Assets(MOFA)'!BL47)</f>
        <v>139485</v>
      </c>
      <c r="E46" s="1164">
        <f>'Assets(MOFA)'!BL47</f>
        <v>-13386</v>
      </c>
      <c r="F46" s="828"/>
      <c r="G46" s="918"/>
      <c r="H46" s="1153">
        <f t="shared" si="9"/>
        <v>2.4567806662972864</v>
      </c>
      <c r="I46" s="1153">
        <f t="shared" si="10"/>
        <v>0.21112498580996708</v>
      </c>
      <c r="J46" s="1153">
        <f t="shared" si="0"/>
        <v>0.34153681158852511</v>
      </c>
      <c r="K46" s="1153">
        <f t="shared" si="1"/>
        <v>0.51868778331021614</v>
      </c>
      <c r="L46" s="1153">
        <f t="shared" si="2"/>
        <v>1.0959673083127217</v>
      </c>
      <c r="M46" s="890">
        <f t="shared" si="3"/>
        <v>0.56846485372918987</v>
      </c>
      <c r="Q46" s="1180">
        <f t="shared" si="4"/>
        <v>0</v>
      </c>
    </row>
    <row r="47" spans="1:17">
      <c r="A47" s="826">
        <v>2003</v>
      </c>
      <c r="B47" s="1163">
        <f>'Assets(MOFA)'!KE48</f>
        <v>715690</v>
      </c>
      <c r="C47" s="1164">
        <f>'Assets(MOFA)'!B48</f>
        <v>293618</v>
      </c>
      <c r="D47" s="1164">
        <f>('Assets(MOFA)'!W48+'Assets(MOFA)'!BL48)</f>
        <v>196125</v>
      </c>
      <c r="E47" s="1164">
        <f>'Assets(MOFA)'!BL48</f>
        <v>-10950</v>
      </c>
      <c r="F47" s="828"/>
      <c r="G47" s="918"/>
      <c r="H47" s="1153">
        <f t="shared" si="9"/>
        <v>2.4374868025802234</v>
      </c>
      <c r="I47" s="1153">
        <f t="shared" si="10"/>
        <v>0.27403624474283561</v>
      </c>
      <c r="J47" s="1153">
        <f t="shared" si="0"/>
        <v>0.40046514192137511</v>
      </c>
      <c r="K47" s="1153">
        <f t="shared" si="1"/>
        <v>0.66795972998930597</v>
      </c>
      <c r="L47" s="1153">
        <f t="shared" si="2"/>
        <v>1.0558317399617592</v>
      </c>
      <c r="M47" s="890">
        <f t="shared" si="3"/>
        <v>0.70525308393899555</v>
      </c>
      <c r="Q47" s="1180">
        <f t="shared" si="4"/>
        <v>0</v>
      </c>
    </row>
    <row r="48" spans="1:17">
      <c r="A48" s="826">
        <v>2004</v>
      </c>
      <c r="B48" s="1163">
        <f>'Assets(MOFA)'!KE49</f>
        <v>766865</v>
      </c>
      <c r="C48" s="1164">
        <f>'Assets(MOFA)'!B49</f>
        <v>331593</v>
      </c>
      <c r="D48" s="1164">
        <f>('Assets(MOFA)'!W49+'Assets(MOFA)'!BL49)</f>
        <v>245139</v>
      </c>
      <c r="E48" s="1164">
        <f>'Assets(MOFA)'!BL49</f>
        <v>-13624</v>
      </c>
      <c r="F48" s="828"/>
      <c r="G48" s="918"/>
      <c r="H48" s="1153">
        <f t="shared" si="9"/>
        <v>2.3126694471837461</v>
      </c>
      <c r="I48" s="1153">
        <f t="shared" si="10"/>
        <v>0.31966382609716182</v>
      </c>
      <c r="J48" s="1153">
        <f t="shared" si="0"/>
        <v>0.42504837602213852</v>
      </c>
      <c r="K48" s="1153">
        <f t="shared" si="1"/>
        <v>0.73927676398476438</v>
      </c>
      <c r="L48" s="1153">
        <f t="shared" si="2"/>
        <v>1.0555766320332547</v>
      </c>
      <c r="M48" s="890">
        <f t="shared" si="3"/>
        <v>0.78036327666748095</v>
      </c>
      <c r="Q48" s="1180">
        <f t="shared" si="4"/>
        <v>0</v>
      </c>
    </row>
    <row r="49" spans="1:17">
      <c r="A49" s="826">
        <v>2005</v>
      </c>
      <c r="B49" s="1163">
        <f>'Assets(MOFA)'!KE50</f>
        <v>778400</v>
      </c>
      <c r="C49" s="1164">
        <f>'Assets(MOFA)'!B50</f>
        <v>360844</v>
      </c>
      <c r="D49" s="1164">
        <f>('Assets(MOFA)'!W50+'Assets(MOFA)'!BL50)</f>
        <v>298703</v>
      </c>
      <c r="E49" s="1164">
        <f>'Assets(MOFA)'!BL50</f>
        <v>-26159</v>
      </c>
      <c r="F49" s="828"/>
      <c r="G49" s="918"/>
      <c r="H49" s="1153">
        <f t="shared" si="9"/>
        <v>2.157164869029276</v>
      </c>
      <c r="I49" s="1153">
        <f t="shared" si="10"/>
        <v>0.3837397225077081</v>
      </c>
      <c r="J49" s="1153">
        <f t="shared" si="0"/>
        <v>0.45289115104761296</v>
      </c>
      <c r="K49" s="1153">
        <f t="shared" si="1"/>
        <v>0.82778984824467083</v>
      </c>
      <c r="L49" s="1153">
        <f t="shared" si="2"/>
        <v>1.0875752838103401</v>
      </c>
      <c r="M49" s="890">
        <f t="shared" si="3"/>
        <v>0.90028377914001623</v>
      </c>
      <c r="Q49" s="1180">
        <f t="shared" si="4"/>
        <v>0</v>
      </c>
    </row>
    <row r="50" spans="1:17">
      <c r="A50" s="826">
        <v>2006</v>
      </c>
      <c r="B50" s="1163">
        <f>'Assets(MOFA)'!KE51</f>
        <v>865718</v>
      </c>
      <c r="C50" s="1164">
        <f>'Assets(MOFA)'!B51</f>
        <v>390969</v>
      </c>
      <c r="D50" s="1164">
        <f>('Assets(MOFA)'!W51+'Assets(MOFA)'!BL51)</f>
        <v>343738</v>
      </c>
      <c r="E50" s="1164">
        <f>'Assets(MOFA)'!BL51</f>
        <v>-21463</v>
      </c>
      <c r="F50" s="828"/>
      <c r="G50" s="918"/>
      <c r="H50" s="1153">
        <f t="shared" si="9"/>
        <v>2.214288089337006</v>
      </c>
      <c r="I50" s="1153">
        <f t="shared" si="10"/>
        <v>0.39705539217158475</v>
      </c>
      <c r="J50" s="1153">
        <f t="shared" si="0"/>
        <v>0.46785725466070149</v>
      </c>
      <c r="K50" s="1153">
        <f t="shared" si="1"/>
        <v>0.87919502569257413</v>
      </c>
      <c r="L50" s="1153">
        <f t="shared" si="2"/>
        <v>1.0624399979053814</v>
      </c>
      <c r="M50" s="890">
        <f t="shared" si="3"/>
        <v>0.93409196125524019</v>
      </c>
      <c r="Q50" s="1180">
        <f t="shared" si="4"/>
        <v>0</v>
      </c>
    </row>
    <row r="51" spans="1:17">
      <c r="A51" s="826">
        <v>2007</v>
      </c>
      <c r="B51" s="1163">
        <f>'Assets(MOFA)'!KE52</f>
        <v>986600</v>
      </c>
      <c r="C51" s="1164">
        <f>'Assets(MOFA)'!B52</f>
        <v>426977</v>
      </c>
      <c r="D51" s="1164">
        <f>('Assets(MOFA)'!W52+'Assets(MOFA)'!BL52)</f>
        <v>404715</v>
      </c>
      <c r="E51" s="1164">
        <f>'Assets(MOFA)'!BL52</f>
        <v>-14835</v>
      </c>
      <c r="F51" s="828"/>
      <c r="G51" s="918"/>
      <c r="H51" s="1153">
        <f t="shared" si="9"/>
        <v>2.3106631036332166</v>
      </c>
      <c r="I51" s="1153">
        <f t="shared" si="10"/>
        <v>0.4102118386377458</v>
      </c>
      <c r="J51" s="1153">
        <f t="shared" si="0"/>
        <v>0.48661643973971136</v>
      </c>
      <c r="K51" s="1153">
        <f t="shared" si="1"/>
        <v>0.94786136021378209</v>
      </c>
      <c r="L51" s="1153">
        <f t="shared" si="2"/>
        <v>1.0366554241873911</v>
      </c>
      <c r="M51" s="890">
        <f t="shared" si="3"/>
        <v>0.98260562044325572</v>
      </c>
      <c r="Q51" s="1180">
        <f t="shared" si="4"/>
        <v>0</v>
      </c>
    </row>
    <row r="52" spans="1:17">
      <c r="A52" s="826">
        <v>2008</v>
      </c>
      <c r="B52" s="1163">
        <f>'Assets(MOFA)'!KE53</f>
        <v>979396</v>
      </c>
      <c r="C52" s="1164">
        <f>'Assets(MOFA)'!B53</f>
        <v>437372</v>
      </c>
      <c r="D52" s="1164">
        <f>('Assets(MOFA)'!W53+'Assets(MOFA)'!BL53)</f>
        <v>440945</v>
      </c>
      <c r="E52" s="1164">
        <f>'Assets(MOFA)'!BL53</f>
        <v>-8213</v>
      </c>
      <c r="F52" s="830"/>
      <c r="G52" s="918"/>
      <c r="H52" s="1153">
        <f t="shared" si="9"/>
        <v>2.23927457633319</v>
      </c>
      <c r="I52" s="1153">
        <f t="shared" si="10"/>
        <v>0.45022136092040399</v>
      </c>
      <c r="J52" s="1153">
        <f t="shared" si="0"/>
        <v>0.50203400366837936</v>
      </c>
      <c r="K52" s="1153">
        <f t="shared" si="1"/>
        <v>1.0081692472311896</v>
      </c>
      <c r="L52" s="1153">
        <f t="shared" si="2"/>
        <v>1.0186259057252038</v>
      </c>
      <c r="M52" s="890">
        <f t="shared" si="3"/>
        <v>1.0269473125851678</v>
      </c>
      <c r="Q52" s="1180">
        <f t="shared" si="4"/>
        <v>0</v>
      </c>
    </row>
    <row r="53" spans="1:17">
      <c r="A53" s="856">
        <v>2009</v>
      </c>
      <c r="B53" s="1165">
        <f>'Assets(MOFA)'!KE54</f>
        <v>1114490</v>
      </c>
      <c r="C53" s="1166">
        <f>'Assets(MOFA)'!B54</f>
        <v>482041</v>
      </c>
      <c r="D53" s="1166">
        <f>('Assets(MOFA)'!W54+'Assets(MOFA)'!BL54)</f>
        <v>355466</v>
      </c>
      <c r="E53" s="1166">
        <f>'Assets(MOFA)'!BL54</f>
        <v>-43213</v>
      </c>
      <c r="F53" s="884"/>
      <c r="G53" s="919"/>
      <c r="H53" s="1154">
        <f t="shared" si="9"/>
        <v>2.3120232511342396</v>
      </c>
      <c r="I53" s="1154">
        <f t="shared" si="10"/>
        <v>0.31894947464759665</v>
      </c>
      <c r="J53" s="1154">
        <f t="shared" si="0"/>
        <v>0.42443346742176485</v>
      </c>
      <c r="K53" s="1154">
        <f t="shared" si="1"/>
        <v>0.73741860132229431</v>
      </c>
      <c r="L53" s="1154">
        <f t="shared" si="2"/>
        <v>1.1215671822340252</v>
      </c>
      <c r="M53" s="892">
        <f t="shared" si="3"/>
        <v>0.8270645028120015</v>
      </c>
      <c r="Q53" s="1180">
        <f t="shared" si="4"/>
        <v>0</v>
      </c>
    </row>
    <row r="54" spans="1:17">
      <c r="A54" s="826">
        <v>2010</v>
      </c>
      <c r="B54" s="1163">
        <f>'Assets(MOFA)'!KE55</f>
        <v>1120553</v>
      </c>
      <c r="C54" s="1164">
        <f>'Assets(MOFA)'!B55</f>
        <v>493629</v>
      </c>
      <c r="D54" s="1164">
        <f>('Assets(MOFA)'!W55+'Assets(MOFA)'!BL55)</f>
        <v>419206</v>
      </c>
      <c r="E54" s="1164">
        <f>'Assets(MOFA)'!BL55</f>
        <v>-40967</v>
      </c>
      <c r="F54" s="830"/>
      <c r="G54" s="918"/>
      <c r="H54" s="1153">
        <f t="shared" si="9"/>
        <v>2.2700307315818153</v>
      </c>
      <c r="I54" s="1153">
        <f t="shared" si="10"/>
        <v>0.37410635641509149</v>
      </c>
      <c r="J54" s="1153">
        <f t="shared" si="0"/>
        <v>0.45923523966543789</v>
      </c>
      <c r="K54" s="1153">
        <f t="shared" si="1"/>
        <v>0.84923292594235755</v>
      </c>
      <c r="L54" s="1153">
        <f t="shared" si="2"/>
        <v>1.09772522339852</v>
      </c>
      <c r="M54" s="890">
        <f t="shared" si="3"/>
        <v>0.93222440334745327</v>
      </c>
      <c r="Q54" s="1180">
        <f t="shared" si="4"/>
        <v>0</v>
      </c>
    </row>
    <row r="55" spans="1:17">
      <c r="A55" s="826">
        <v>2011</v>
      </c>
      <c r="B55" s="1163">
        <f>'Assets(MOFA)'!KE56</f>
        <v>1203721</v>
      </c>
      <c r="C55" s="1164">
        <f>'Assets(MOFA)'!B56</f>
        <v>538721</v>
      </c>
      <c r="D55" s="1164">
        <f>('Assets(MOFA)'!W56+'Assets(MOFA)'!BL56)</f>
        <v>517987</v>
      </c>
      <c r="E55" s="1164">
        <f>'Assets(MOFA)'!BL56</f>
        <v>-43101</v>
      </c>
      <c r="F55" s="830"/>
      <c r="G55" s="918"/>
      <c r="H55" s="1153">
        <f t="shared" si="9"/>
        <v>2.2344051930405535</v>
      </c>
      <c r="I55" s="1153">
        <f t="shared" si="10"/>
        <v>0.43032147814983707</v>
      </c>
      <c r="J55" s="1153">
        <f t="shared" si="0"/>
        <v>0.49018934275126147</v>
      </c>
      <c r="K55" s="1153">
        <f t="shared" si="1"/>
        <v>0.96151254545488296</v>
      </c>
      <c r="L55" s="1153">
        <f t="shared" si="2"/>
        <v>1.0832086519545858</v>
      </c>
      <c r="M55" s="890">
        <f t="shared" si="3"/>
        <v>1.041518708199606</v>
      </c>
      <c r="Q55" s="1180">
        <f t="shared" si="4"/>
        <v>0</v>
      </c>
    </row>
    <row r="56" spans="1:17">
      <c r="A56" s="826">
        <v>2012</v>
      </c>
      <c r="B56" s="1163">
        <f>'Assets(MOFA)'!KE57</f>
        <v>1288446</v>
      </c>
      <c r="C56" s="1164">
        <f>'Assets(MOFA)'!B57</f>
        <v>555862</v>
      </c>
      <c r="D56" s="1164">
        <f>('Assets(MOFA)'!W57+'Assets(MOFA)'!BL57)</f>
        <v>504141</v>
      </c>
      <c r="E56" s="1164">
        <f>'Assets(MOFA)'!BL57</f>
        <v>-39239</v>
      </c>
      <c r="F56" s="830"/>
      <c r="G56" s="918"/>
      <c r="H56" s="1153">
        <f t="shared" si="9"/>
        <v>2.3179242329930809</v>
      </c>
      <c r="I56" s="1153">
        <f t="shared" si="10"/>
        <v>0.39127833064016654</v>
      </c>
      <c r="J56" s="1153">
        <f t="shared" si="0"/>
        <v>0.47560337093385585</v>
      </c>
      <c r="K56" s="1153">
        <f t="shared" si="1"/>
        <v>0.90695352443592114</v>
      </c>
      <c r="L56" s="1153">
        <f t="shared" si="2"/>
        <v>1.0778333839144207</v>
      </c>
      <c r="M56" s="890">
        <f t="shared" si="3"/>
        <v>0.97754478629587915</v>
      </c>
      <c r="Q56" s="1180">
        <f t="shared" si="4"/>
        <v>0</v>
      </c>
    </row>
    <row r="57" spans="1:17">
      <c r="A57" s="826">
        <v>2013</v>
      </c>
      <c r="B57" s="1163">
        <f>'Assets(MOFA)'!KE58</f>
        <v>1366495</v>
      </c>
      <c r="C57" s="1164">
        <f>'Assets(MOFA)'!B58</f>
        <v>563542</v>
      </c>
      <c r="D57" s="1164">
        <f>('Assets(MOFA)'!W58+'Assets(MOFA)'!BL58)</f>
        <v>477764</v>
      </c>
      <c r="E57" s="1164">
        <f>'Assets(MOFA)'!BL58</f>
        <v>-33962</v>
      </c>
      <c r="F57" s="830"/>
      <c r="G57" s="1158"/>
      <c r="H57" s="1153">
        <f t="shared" si="9"/>
        <v>2.4248325768088272</v>
      </c>
      <c r="I57" s="1153">
        <f t="shared" si="10"/>
        <v>0.3496273312379482</v>
      </c>
      <c r="J57" s="1153">
        <f t="shared" si="0"/>
        <v>0.45881229917046479</v>
      </c>
      <c r="K57" s="1153">
        <f t="shared" si="1"/>
        <v>0.8477877425285073</v>
      </c>
      <c r="L57" s="1153">
        <f t="shared" si="2"/>
        <v>1.0710853057157927</v>
      </c>
      <c r="M57" s="890">
        <f t="shared" si="3"/>
        <v>0.90805299338824785</v>
      </c>
      <c r="Q57" s="1180">
        <f t="shared" si="4"/>
        <v>0</v>
      </c>
    </row>
    <row r="58" spans="1:17">
      <c r="A58" s="826">
        <v>2014</v>
      </c>
      <c r="B58" s="1163">
        <f>'Assets(MOFA)'!KE59</f>
        <v>1456249</v>
      </c>
      <c r="C58" s="1164">
        <f>'Assets(MOFA)'!B59</f>
        <v>632546</v>
      </c>
      <c r="D58" s="1164">
        <f>('Assets(MOFA)'!W59+'Assets(MOFA)'!BL59)</f>
        <v>507452</v>
      </c>
      <c r="E58" s="1164">
        <f>'Assets(MOFA)'!BL59</f>
        <v>-46774</v>
      </c>
      <c r="F58" s="830">
        <f>'Assets(MOFA)'!MM59</f>
        <v>14052.4</v>
      </c>
      <c r="G58" s="1158">
        <f>'Assets(MOFA)'!B59/F58</f>
        <v>45.013378497623179</v>
      </c>
      <c r="H58" s="1153">
        <f>B58/C58</f>
        <v>2.302202527563213</v>
      </c>
      <c r="I58" s="1153">
        <f>D58/B58</f>
        <v>0.34846513199322371</v>
      </c>
      <c r="J58" s="1153">
        <f>D58/(D58+C58)</f>
        <v>0.44513411427037591</v>
      </c>
      <c r="K58" s="1153">
        <f>J58/(1-J58)</f>
        <v>0.80223730764244827</v>
      </c>
      <c r="L58" s="1153">
        <f>1-E58/D58</f>
        <v>1.0921742351986001</v>
      </c>
      <c r="M58" s="890">
        <f>(D58-E58)/C58</f>
        <v>0.87618291792217484</v>
      </c>
      <c r="Q58" s="1180">
        <f>M58-L58*K58</f>
        <v>0</v>
      </c>
    </row>
    <row r="59" spans="1:17">
      <c r="A59" s="826">
        <v>2015</v>
      </c>
      <c r="B59" s="1163">
        <f>'Assets(MOFA)'!KE60</f>
        <v>1384982</v>
      </c>
      <c r="C59" s="1164">
        <f>'Assets(MOFA)'!B60</f>
        <v>611564</v>
      </c>
      <c r="D59" s="1164">
        <f>('Assets(MOFA)'!W60+'Assets(MOFA)'!BL60)</f>
        <v>429220</v>
      </c>
      <c r="E59" s="1164">
        <f>'Assets(MOFA)'!BL60</f>
        <v>-48968</v>
      </c>
      <c r="F59" s="830"/>
      <c r="G59" s="1158"/>
      <c r="H59" s="1153">
        <f>B59/C59</f>
        <v>2.2646558659437117</v>
      </c>
      <c r="I59" s="1153">
        <f>D59/B59</f>
        <v>0.30991016489744994</v>
      </c>
      <c r="J59" s="1153">
        <f>D59/(D59+C59)</f>
        <v>0.41240065181632307</v>
      </c>
      <c r="K59" s="1153">
        <f>J59/(1-J59)</f>
        <v>0.70183987285059279</v>
      </c>
      <c r="L59" s="1153">
        <f>1-E59/D59</f>
        <v>1.1140860164950375</v>
      </c>
      <c r="M59" s="890">
        <f>(D59-E59)/C59</f>
        <v>0.7819099881615007</v>
      </c>
      <c r="Q59" s="1180">
        <f>M59-L59*K59</f>
        <v>0</v>
      </c>
    </row>
    <row r="60" spans="1:17">
      <c r="A60" s="826">
        <v>2016</v>
      </c>
      <c r="B60" s="1163">
        <f>'Assets(MOFA)'!KE61</f>
        <v>1367094</v>
      </c>
      <c r="C60" s="1164">
        <f>'Assets(MOFA)'!B61</f>
        <v>599410</v>
      </c>
      <c r="D60" s="1164">
        <f>('Assets(MOFA)'!W61+'Assets(MOFA)'!BL61)</f>
        <v>388167</v>
      </c>
      <c r="E60" s="1164">
        <f>'Assets(MOFA)'!BL61</f>
        <v>-46540</v>
      </c>
      <c r="F60" s="830"/>
      <c r="G60" s="1158"/>
      <c r="H60" s="1153">
        <f>B60/C60</f>
        <v>2.2807327205085</v>
      </c>
      <c r="I60" s="1153">
        <f>D60/B60</f>
        <v>0.2839358522530272</v>
      </c>
      <c r="J60" s="1153">
        <f>D60/(D60+C60)</f>
        <v>0.39304985839078876</v>
      </c>
      <c r="K60" s="1153">
        <f>J60/(1-J60)</f>
        <v>0.64758178875894623</v>
      </c>
      <c r="L60" s="1153">
        <f>1-E60/D60</f>
        <v>1.1198968485213838</v>
      </c>
      <c r="M60" s="890">
        <f>(D60-E60)/C60</f>
        <v>0.72522480439098447</v>
      </c>
      <c r="Q60" s="1180">
        <f>M60-L60*K60</f>
        <v>0</v>
      </c>
    </row>
    <row r="61" spans="1:17" ht="16" thickBot="1">
      <c r="A61" s="819"/>
      <c r="B61" s="820"/>
      <c r="C61" s="821"/>
      <c r="D61" s="821"/>
      <c r="E61" s="821"/>
      <c r="F61" s="821"/>
      <c r="G61" s="822"/>
      <c r="H61" s="1157"/>
      <c r="I61" s="1157"/>
      <c r="J61" s="1151"/>
      <c r="K61" s="821"/>
      <c r="L61" s="821"/>
      <c r="M61" s="1150"/>
    </row>
    <row r="62" spans="1:17" ht="16" thickTop="1"/>
    <row r="63" spans="1:17">
      <c r="A63" s="829" t="s">
        <v>2457</v>
      </c>
    </row>
    <row r="64" spans="1:17">
      <c r="A64" s="829" t="s">
        <v>2455</v>
      </c>
      <c r="D64" s="824"/>
    </row>
    <row r="65" spans="1:17">
      <c r="A65" s="829" t="s">
        <v>1201</v>
      </c>
    </row>
    <row r="66" spans="1:17">
      <c r="A66" s="829" t="s">
        <v>722</v>
      </c>
      <c r="B66" s="855"/>
      <c r="C66" s="855"/>
      <c r="D66" s="855"/>
      <c r="E66" s="855"/>
    </row>
    <row r="67" spans="1:17">
      <c r="A67" s="829" t="s">
        <v>723</v>
      </c>
      <c r="B67" s="855"/>
      <c r="C67" s="855"/>
      <c r="D67" s="855"/>
      <c r="E67" s="855"/>
    </row>
    <row r="68" spans="1:17">
      <c r="A68" s="829" t="s">
        <v>2456</v>
      </c>
      <c r="B68" s="855"/>
      <c r="C68" s="855"/>
      <c r="D68" s="855"/>
      <c r="E68" s="855"/>
    </row>
    <row r="69" spans="1:17" s="825" customFormat="1" ht="16" thickBot="1">
      <c r="B69" s="805"/>
      <c r="C69" s="805"/>
      <c r="D69" s="805"/>
      <c r="E69" s="805"/>
      <c r="F69" s="805"/>
      <c r="G69" s="805"/>
      <c r="H69" s="805"/>
      <c r="I69" s="805"/>
      <c r="J69" s="805"/>
      <c r="K69" s="805"/>
      <c r="L69" s="805"/>
      <c r="M69" s="805"/>
      <c r="Q69" s="1181"/>
    </row>
    <row r="70" spans="1:17" s="825" customFormat="1" ht="28" customHeight="1" thickBot="1">
      <c r="A70" s="1753" t="s">
        <v>2463</v>
      </c>
      <c r="B70" s="1754"/>
      <c r="C70" s="1754"/>
      <c r="D70" s="1754"/>
      <c r="E70" s="1754"/>
      <c r="F70" s="1754"/>
      <c r="G70" s="1754"/>
      <c r="H70" s="1754"/>
      <c r="I70" s="1754"/>
      <c r="J70" s="1754"/>
      <c r="K70" s="1754"/>
      <c r="L70" s="1754"/>
      <c r="M70" s="1755"/>
      <c r="Q70" s="1181"/>
    </row>
    <row r="71" spans="1:17" s="825" customFormat="1">
      <c r="A71" s="805"/>
      <c r="B71" s="805"/>
      <c r="C71" s="805"/>
      <c r="D71" s="805"/>
      <c r="E71" s="805"/>
      <c r="F71" s="805"/>
      <c r="G71" s="805"/>
      <c r="H71" s="805"/>
      <c r="I71" s="805"/>
      <c r="J71" s="805"/>
      <c r="K71" s="805"/>
      <c r="L71" s="805"/>
      <c r="M71" s="805"/>
      <c r="Q71" s="1181"/>
    </row>
    <row r="72" spans="1:17" s="825" customFormat="1">
      <c r="A72" s="805"/>
      <c r="B72" s="805"/>
      <c r="C72" s="805"/>
      <c r="D72" s="805"/>
      <c r="E72" s="805"/>
      <c r="F72" s="805"/>
      <c r="G72" s="805"/>
      <c r="H72" s="805"/>
      <c r="I72" s="805"/>
      <c r="J72" s="805"/>
      <c r="K72" s="805"/>
      <c r="L72" s="805"/>
      <c r="M72" s="805"/>
      <c r="Q72" s="1181"/>
    </row>
    <row r="74" spans="1:17" s="825" customFormat="1">
      <c r="A74" s="805"/>
      <c r="B74" s="805"/>
      <c r="C74" s="805"/>
      <c r="D74" s="805"/>
      <c r="E74" s="805"/>
      <c r="F74" s="805"/>
      <c r="G74" s="805"/>
      <c r="H74" s="805"/>
      <c r="I74" s="805"/>
      <c r="J74" s="805"/>
      <c r="K74" s="805"/>
      <c r="L74" s="805"/>
      <c r="M74" s="805"/>
      <c r="Q74" s="1181"/>
    </row>
  </sheetData>
  <mergeCells count="11">
    <mergeCell ref="A70:M70"/>
    <mergeCell ref="A3:M3"/>
    <mergeCell ref="B6:M6"/>
    <mergeCell ref="B7:E7"/>
    <mergeCell ref="F7:G7"/>
    <mergeCell ref="H7:H8"/>
    <mergeCell ref="I7:I8"/>
    <mergeCell ref="J7:J8"/>
    <mergeCell ref="K7:K8"/>
    <mergeCell ref="L7:L8"/>
    <mergeCell ref="M7:M8"/>
  </mergeCells>
  <pageMargins left="0.75" right="0.75" top="1" bottom="1" header="0.5" footer="0.5"/>
  <pageSetup scale="48"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74"/>
  <sheetViews>
    <sheetView workbookViewId="0">
      <pane xSplit="1" ySplit="9" topLeftCell="B33" activePane="bottomRight" state="frozen"/>
      <selection activeCell="X67" sqref="X67"/>
      <selection pane="topRight" activeCell="X67" sqref="X67"/>
      <selection pane="bottomLeft" activeCell="X67" sqref="X67"/>
      <selection pane="bottomRight" activeCell="B59" sqref="B59:M60"/>
    </sheetView>
  </sheetViews>
  <sheetFormatPr baseColWidth="10" defaultColWidth="9.28515625" defaultRowHeight="15" x14ac:dyDescent="0"/>
  <cols>
    <col min="1" max="1" width="16.28515625" style="805" customWidth="1"/>
    <col min="2" max="13" width="9.7109375" style="805" customWidth="1"/>
    <col min="14" max="16" width="9.28515625" style="805"/>
    <col min="17" max="17" width="9.28515625" style="1092"/>
    <col min="18" max="16384" width="9.28515625" style="805"/>
  </cols>
  <sheetData>
    <row r="1" spans="1:17">
      <c r="F1" s="829"/>
    </row>
    <row r="2" spans="1:17" ht="16" thickBot="1"/>
    <row r="3" spans="1:17" ht="32" customHeight="1" thickTop="1">
      <c r="A3" s="1793" t="s">
        <v>3212</v>
      </c>
      <c r="B3" s="1794"/>
      <c r="C3" s="1794"/>
      <c r="D3" s="1794"/>
      <c r="E3" s="1794"/>
      <c r="F3" s="1794"/>
      <c r="G3" s="1794"/>
      <c r="H3" s="1794"/>
      <c r="I3" s="1794"/>
      <c r="J3" s="1794"/>
      <c r="K3" s="1794"/>
      <c r="L3" s="1794"/>
      <c r="M3" s="1795"/>
    </row>
    <row r="4" spans="1:17" ht="12" customHeight="1">
      <c r="A4" s="806"/>
      <c r="B4" s="807"/>
      <c r="C4" s="807"/>
      <c r="D4" s="807"/>
      <c r="E4" s="807"/>
      <c r="F4" s="807"/>
      <c r="G4" s="807"/>
      <c r="H4" s="807"/>
      <c r="I4" s="807"/>
      <c r="J4" s="807"/>
      <c r="K4" s="807"/>
      <c r="L4" s="807"/>
      <c r="M4" s="808"/>
    </row>
    <row r="5" spans="1:17">
      <c r="A5" s="809"/>
      <c r="B5" s="1169" t="s">
        <v>2411</v>
      </c>
      <c r="C5" s="1169" t="s">
        <v>2412</v>
      </c>
      <c r="D5" s="1169" t="s">
        <v>2413</v>
      </c>
      <c r="E5" s="1169" t="s">
        <v>2414</v>
      </c>
      <c r="F5" s="1169" t="s">
        <v>2415</v>
      </c>
      <c r="G5" s="1169" t="s">
        <v>2416</v>
      </c>
      <c r="H5" s="1169" t="s">
        <v>2417</v>
      </c>
      <c r="I5" s="1169" t="s">
        <v>2429</v>
      </c>
      <c r="J5" s="1169" t="s">
        <v>2430</v>
      </c>
      <c r="K5" s="1169" t="s">
        <v>2431</v>
      </c>
      <c r="L5" s="1169" t="s">
        <v>2432</v>
      </c>
      <c r="M5" s="1170" t="s">
        <v>2433</v>
      </c>
    </row>
    <row r="6" spans="1:17" ht="21" customHeight="1">
      <c r="A6" s="809"/>
      <c r="B6" s="1748" t="s">
        <v>2580</v>
      </c>
      <c r="C6" s="1749"/>
      <c r="D6" s="1749"/>
      <c r="E6" s="1749"/>
      <c r="F6" s="1749"/>
      <c r="G6" s="1749"/>
      <c r="H6" s="1749"/>
      <c r="I6" s="1749"/>
      <c r="J6" s="1749"/>
      <c r="K6" s="1749"/>
      <c r="L6" s="1749"/>
      <c r="M6" s="1840"/>
    </row>
    <row r="7" spans="1:17" ht="21" customHeight="1">
      <c r="A7" s="809"/>
      <c r="B7" s="1763" t="s">
        <v>2582</v>
      </c>
      <c r="C7" s="1849"/>
      <c r="D7" s="1849"/>
      <c r="E7" s="1849"/>
      <c r="F7" s="1849" t="s">
        <v>2581</v>
      </c>
      <c r="G7" s="1850"/>
      <c r="H7" s="1851" t="s">
        <v>2577</v>
      </c>
      <c r="I7" s="1743" t="s">
        <v>2585</v>
      </c>
      <c r="J7" s="1851" t="s">
        <v>2214</v>
      </c>
      <c r="K7" s="1743" t="s">
        <v>2575</v>
      </c>
      <c r="L7" s="1743" t="s">
        <v>2583</v>
      </c>
      <c r="M7" s="1770" t="s">
        <v>2269</v>
      </c>
    </row>
    <row r="8" spans="1:17" ht="85" customHeight="1">
      <c r="A8" s="809"/>
      <c r="B8" s="1159" t="s">
        <v>2576</v>
      </c>
      <c r="C8" s="1179" t="s">
        <v>2589</v>
      </c>
      <c r="D8" s="1140" t="s">
        <v>2572</v>
      </c>
      <c r="E8" s="1138" t="s">
        <v>2443</v>
      </c>
      <c r="F8" s="1138" t="s">
        <v>2570</v>
      </c>
      <c r="G8" s="1147" t="s">
        <v>2571</v>
      </c>
      <c r="H8" s="1851"/>
      <c r="I8" s="1851"/>
      <c r="J8" s="1851"/>
      <c r="K8" s="1743"/>
      <c r="L8" s="1744"/>
      <c r="M8" s="1770"/>
      <c r="Q8" s="1092" t="s">
        <v>1146</v>
      </c>
    </row>
    <row r="9" spans="1:17" ht="33" customHeight="1">
      <c r="A9" s="809"/>
      <c r="B9" s="1160" t="s">
        <v>2573</v>
      </c>
      <c r="C9" s="1146" t="s">
        <v>2590</v>
      </c>
      <c r="D9" s="1141"/>
      <c r="E9" s="1141"/>
      <c r="F9" s="1146" t="s">
        <v>2574</v>
      </c>
      <c r="G9" s="1148" t="s">
        <v>2263</v>
      </c>
      <c r="H9" s="1141" t="s">
        <v>2265</v>
      </c>
      <c r="I9" s="1141" t="s">
        <v>2264</v>
      </c>
      <c r="J9" s="1141" t="s">
        <v>2579</v>
      </c>
      <c r="K9" s="1146" t="s">
        <v>2266</v>
      </c>
      <c r="L9" s="1137" t="s">
        <v>2268</v>
      </c>
      <c r="M9" s="1149" t="s">
        <v>2267</v>
      </c>
    </row>
    <row r="10" spans="1:17" ht="14" customHeight="1">
      <c r="A10" s="921">
        <v>1966</v>
      </c>
      <c r="B10" s="1161"/>
      <c r="C10" s="1162">
        <f>'Assets(MOFA)'!I11</f>
        <v>560.85999142996423</v>
      </c>
      <c r="D10" s="1162">
        <f>('Assets(MOFA)'!AP11+'Assets(MOFA)'!BS11)</f>
        <v>326.3360093355999</v>
      </c>
      <c r="E10" s="1162">
        <f>'Assets(MOFA)'!BS11</f>
        <v>15</v>
      </c>
      <c r="F10" s="923"/>
      <c r="G10" s="926"/>
      <c r="H10" s="1152"/>
      <c r="I10" s="1152"/>
      <c r="J10" s="1152">
        <f t="shared" ref="J10:J57" si="0">D10/(D10+C10)</f>
        <v>0.36782853963949741</v>
      </c>
      <c r="K10" s="1152">
        <f t="shared" ref="K10:K57" si="1">J10/(1-J10)</f>
        <v>0.5818493283922358</v>
      </c>
      <c r="L10" s="1152">
        <f t="shared" ref="L10:L57" si="2">1-E10/D10</f>
        <v>0.95403510623746646</v>
      </c>
      <c r="M10" s="925">
        <f t="shared" ref="M10:M57" si="3">(D10-E10)/C10</f>
        <v>0.55510468582688532</v>
      </c>
      <c r="Q10" s="1180">
        <f t="shared" ref="Q10:Q57" si="4">M10-L10*K10</f>
        <v>0</v>
      </c>
    </row>
    <row r="11" spans="1:17" ht="14" customHeight="1">
      <c r="A11" s="826">
        <v>1967</v>
      </c>
      <c r="B11" s="1163"/>
      <c r="C11" s="1164">
        <f>'Assets(MOFA)'!I12</f>
        <v>616.93623665626694</v>
      </c>
      <c r="D11" s="1164">
        <f>('Assets(MOFA)'!AP12+'Assets(MOFA)'!BS12)</f>
        <v>392.54522127122937</v>
      </c>
      <c r="E11" s="1164">
        <f>'Assets(MOFA)'!BS12</f>
        <v>21.681335652392143</v>
      </c>
      <c r="F11" s="828"/>
      <c r="G11" s="918"/>
      <c r="H11" s="1153"/>
      <c r="I11" s="1153"/>
      <c r="J11" s="1153">
        <f t="shared" si="0"/>
        <v>0.38885827786984772</v>
      </c>
      <c r="K11" s="1153">
        <f t="shared" si="1"/>
        <v>0.63628167377359035</v>
      </c>
      <c r="L11" s="1153">
        <f t="shared" si="2"/>
        <v>0.94476729182391084</v>
      </c>
      <c r="M11" s="890">
        <f t="shared" si="3"/>
        <v>0.6011381137682601</v>
      </c>
      <c r="Q11" s="1180">
        <f t="shared" si="4"/>
        <v>0</v>
      </c>
    </row>
    <row r="12" spans="1:17" ht="14" customHeight="1">
      <c r="A12" s="826">
        <v>1968</v>
      </c>
      <c r="B12" s="1163"/>
      <c r="C12" s="1164">
        <f>'Assets(MOFA)'!I13</f>
        <v>699.73291167118316</v>
      </c>
      <c r="D12" s="1164">
        <f>('Assets(MOFA)'!AP13+'Assets(MOFA)'!BS13)</f>
        <v>425.02539695705809</v>
      </c>
      <c r="E12" s="1164">
        <f>'Assets(MOFA)'!BS13</f>
        <v>9.3602873609694885</v>
      </c>
      <c r="F12" s="828"/>
      <c r="G12" s="918"/>
      <c r="H12" s="1153"/>
      <c r="I12" s="1153"/>
      <c r="J12" s="1153">
        <f t="shared" si="0"/>
        <v>0.37788153570114136</v>
      </c>
      <c r="K12" s="1153">
        <f t="shared" si="1"/>
        <v>0.60741089902712064</v>
      </c>
      <c r="L12" s="1153">
        <f t="shared" si="2"/>
        <v>0.97797711047861169</v>
      </c>
      <c r="M12" s="890">
        <f t="shared" si="3"/>
        <v>0.59403395590375918</v>
      </c>
      <c r="Q12" s="1180">
        <f t="shared" si="4"/>
        <v>0</v>
      </c>
    </row>
    <row r="13" spans="1:17" ht="14" customHeight="1">
      <c r="A13" s="856">
        <v>1969</v>
      </c>
      <c r="B13" s="1165"/>
      <c r="C13" s="1166">
        <f>'Assets(MOFA)'!I14</f>
        <v>797.73843606380001</v>
      </c>
      <c r="D13" s="1166">
        <f>('Assets(MOFA)'!AP14+'Assets(MOFA)'!BS14)</f>
        <v>508.62577445884375</v>
      </c>
      <c r="E13" s="1166">
        <f>'Assets(MOFA)'!BS14</f>
        <v>9.293598210564733</v>
      </c>
      <c r="F13" s="858"/>
      <c r="G13" s="919"/>
      <c r="H13" s="1154"/>
      <c r="I13" s="1154"/>
      <c r="J13" s="1154">
        <f t="shared" si="0"/>
        <v>0.38934454140882752</v>
      </c>
      <c r="K13" s="1154">
        <f t="shared" si="1"/>
        <v>0.63758464111182145</v>
      </c>
      <c r="L13" s="1154">
        <f t="shared" si="2"/>
        <v>0.98172802347570232</v>
      </c>
      <c r="M13" s="892">
        <f t="shared" si="3"/>
        <v>0.62593470951717367</v>
      </c>
      <c r="Q13" s="1180">
        <f t="shared" si="4"/>
        <v>0</v>
      </c>
    </row>
    <row r="14" spans="1:17" ht="14" customHeight="1">
      <c r="A14" s="863">
        <v>1970</v>
      </c>
      <c r="B14" s="1167"/>
      <c r="C14" s="1168">
        <f>'Assets(MOFA)'!I15</f>
        <v>863.50108803385012</v>
      </c>
      <c r="D14" s="1168">
        <f>('Assets(MOFA)'!AP15+'Assets(MOFA)'!BS15)</f>
        <v>758.21133966985485</v>
      </c>
      <c r="E14" s="1168">
        <f>'Assets(MOFA)'!BS15</f>
        <v>63.665225700690335</v>
      </c>
      <c r="F14" s="865"/>
      <c r="G14" s="920"/>
      <c r="H14" s="1155"/>
      <c r="I14" s="1155"/>
      <c r="J14" s="1155">
        <f t="shared" si="0"/>
        <v>0.46753747872763041</v>
      </c>
      <c r="K14" s="1155">
        <f t="shared" si="1"/>
        <v>0.87806645547635043</v>
      </c>
      <c r="L14" s="1155">
        <f t="shared" si="2"/>
        <v>0.9160323482785</v>
      </c>
      <c r="M14" s="894">
        <f t="shared" si="3"/>
        <v>0.80433727715458025</v>
      </c>
      <c r="Q14" s="1180">
        <f t="shared" si="4"/>
        <v>0</v>
      </c>
    </row>
    <row r="15" spans="1:17" ht="14" customHeight="1">
      <c r="A15" s="826">
        <v>1971</v>
      </c>
      <c r="B15" s="1163"/>
      <c r="C15" s="1164">
        <f>'Assets(MOFA)'!I16</f>
        <v>938.69873781995955</v>
      </c>
      <c r="D15" s="1164">
        <f>('Assets(MOFA)'!AP16+'Assets(MOFA)'!BS16)</f>
        <v>957.79206316755494</v>
      </c>
      <c r="E15" s="1164">
        <f>'Assets(MOFA)'!BS16</f>
        <v>64.787336821198252</v>
      </c>
      <c r="F15" s="828"/>
      <c r="G15" s="918"/>
      <c r="H15" s="1153"/>
      <c r="I15" s="1153"/>
      <c r="J15" s="1153">
        <f t="shared" si="0"/>
        <v>0.50503385656752287</v>
      </c>
      <c r="K15" s="1153">
        <f t="shared" si="1"/>
        <v>1.0203402056254363</v>
      </c>
      <c r="L15" s="1153">
        <f t="shared" si="2"/>
        <v>0.93235761778299009</v>
      </c>
      <c r="M15" s="890">
        <f t="shared" si="3"/>
        <v>0.95132196344513797</v>
      </c>
      <c r="Q15" s="1180">
        <f t="shared" si="4"/>
        <v>0</v>
      </c>
    </row>
    <row r="16" spans="1:17" ht="14" customHeight="1">
      <c r="A16" s="826">
        <v>1972</v>
      </c>
      <c r="B16" s="1163"/>
      <c r="C16" s="1164">
        <f>'Assets(MOFA)'!I17</f>
        <v>1068.607212195175</v>
      </c>
      <c r="D16" s="1164">
        <f>('Assets(MOFA)'!AP17+'Assets(MOFA)'!BS17)</f>
        <v>1068.9885399117786</v>
      </c>
      <c r="E16" s="1164">
        <f>'Assets(MOFA)'!BS17</f>
        <v>46.464129671623184</v>
      </c>
      <c r="F16" s="828"/>
      <c r="G16" s="918"/>
      <c r="H16" s="1153"/>
      <c r="I16" s="1153"/>
      <c r="J16" s="1153">
        <f t="shared" si="0"/>
        <v>0.50008919547024455</v>
      </c>
      <c r="K16" s="1153">
        <f t="shared" si="1"/>
        <v>1.0003568455389895</v>
      </c>
      <c r="L16" s="1153">
        <f t="shared" si="2"/>
        <v>0.9565344922449236</v>
      </c>
      <c r="M16" s="890">
        <f t="shared" si="3"/>
        <v>0.95687582731137066</v>
      </c>
      <c r="Q16" s="1180">
        <f t="shared" si="4"/>
        <v>0</v>
      </c>
    </row>
    <row r="17" spans="1:17" ht="14" customHeight="1">
      <c r="A17" s="826">
        <v>1973</v>
      </c>
      <c r="B17" s="1163"/>
      <c r="C17" s="1164">
        <f>'Assets(MOFA)'!I18</f>
        <v>1355.4372496229787</v>
      </c>
      <c r="D17" s="1164">
        <f>('Assets(MOFA)'!AP18+'Assets(MOFA)'!BS18)</f>
        <v>1953.2394116231903</v>
      </c>
      <c r="E17" s="1164">
        <f>'Assets(MOFA)'!BS18</f>
        <v>-49.028696262701473</v>
      </c>
      <c r="F17" s="828"/>
      <c r="G17" s="918"/>
      <c r="H17" s="1153"/>
      <c r="I17" s="1153"/>
      <c r="J17" s="1153">
        <f t="shared" si="0"/>
        <v>0.59033855876612884</v>
      </c>
      <c r="K17" s="1153">
        <f t="shared" si="1"/>
        <v>1.4410400866336628</v>
      </c>
      <c r="L17" s="1153">
        <f t="shared" si="2"/>
        <v>1.0251012220882627</v>
      </c>
      <c r="M17" s="890">
        <f t="shared" si="3"/>
        <v>1.4772119538863435</v>
      </c>
      <c r="Q17" s="1180">
        <f t="shared" si="4"/>
        <v>0</v>
      </c>
    </row>
    <row r="18" spans="1:17" ht="14" customHeight="1">
      <c r="A18" s="826">
        <v>1974</v>
      </c>
      <c r="B18" s="1163"/>
      <c r="C18" s="1164">
        <f>'Assets(MOFA)'!I19</f>
        <v>1748.426902852505</v>
      </c>
      <c r="D18" s="1164">
        <f>('Assets(MOFA)'!AP19+'Assets(MOFA)'!BS19)</f>
        <v>3039.5376342314266</v>
      </c>
      <c r="E18" s="1164">
        <f>'Assets(MOFA)'!BS19</f>
        <v>-144.52152219702612</v>
      </c>
      <c r="F18" s="828"/>
      <c r="G18" s="918"/>
      <c r="H18" s="1153"/>
      <c r="I18" s="1153"/>
      <c r="J18" s="1153">
        <f t="shared" si="0"/>
        <v>0.63482876923784204</v>
      </c>
      <c r="K18" s="1153">
        <f t="shared" si="1"/>
        <v>1.7384413550675257</v>
      </c>
      <c r="L18" s="1153">
        <f t="shared" si="2"/>
        <v>1.0475472060518078</v>
      </c>
      <c r="M18" s="890">
        <f t="shared" si="3"/>
        <v>1.8210993843859058</v>
      </c>
      <c r="Q18" s="1180">
        <f t="shared" si="4"/>
        <v>0</v>
      </c>
    </row>
    <row r="19" spans="1:17" ht="14" customHeight="1">
      <c r="A19" s="826">
        <v>1975</v>
      </c>
      <c r="B19" s="1163"/>
      <c r="C19" s="1164">
        <f>'Assets(MOFA)'!I20</f>
        <v>2137.7022009248085</v>
      </c>
      <c r="D19" s="1164">
        <f>('Assets(MOFA)'!AP20+'Assets(MOFA)'!BS20)</f>
        <v>2800.2546350033645</v>
      </c>
      <c r="E19" s="1164">
        <f>'Assets(MOFA)'!BS20</f>
        <v>-240.01434813135077</v>
      </c>
      <c r="F19" s="828"/>
      <c r="G19" s="918"/>
      <c r="H19" s="1153"/>
      <c r="I19" s="1153"/>
      <c r="J19" s="1153">
        <f t="shared" si="0"/>
        <v>0.56708771016970805</v>
      </c>
      <c r="K19" s="1153">
        <f t="shared" si="1"/>
        <v>1.3099367319694593</v>
      </c>
      <c r="L19" s="1153">
        <f t="shared" si="2"/>
        <v>1.085711615340675</v>
      </c>
      <c r="M19" s="890">
        <f t="shared" si="3"/>
        <v>1.4222135252606467</v>
      </c>
      <c r="Q19" s="1180">
        <f t="shared" si="4"/>
        <v>0</v>
      </c>
    </row>
    <row r="20" spans="1:17" ht="14" customHeight="1">
      <c r="A20" s="826">
        <v>1976</v>
      </c>
      <c r="B20" s="1163"/>
      <c r="C20" s="1164">
        <f>'Assets(MOFA)'!I21</f>
        <v>2759.7730274864234</v>
      </c>
      <c r="D20" s="1164">
        <f>('Assets(MOFA)'!AP21+'Assets(MOFA)'!BS21)</f>
        <v>3078.5993467121712</v>
      </c>
      <c r="E20" s="1164">
        <f>'Assets(MOFA)'!BS21</f>
        <v>-335.50717406567537</v>
      </c>
      <c r="F20" s="828"/>
      <c r="G20" s="918"/>
      <c r="H20" s="1153"/>
      <c r="I20" s="1153"/>
      <c r="J20" s="1153">
        <f t="shared" si="0"/>
        <v>0.52730438372128607</v>
      </c>
      <c r="K20" s="1153">
        <f t="shared" si="1"/>
        <v>1.1155262827958476</v>
      </c>
      <c r="L20" s="1153">
        <f t="shared" si="2"/>
        <v>1.1089804603590214</v>
      </c>
      <c r="M20" s="890">
        <f t="shared" si="3"/>
        <v>1.2370968506375266</v>
      </c>
      <c r="Q20" s="1180">
        <f t="shared" si="4"/>
        <v>0</v>
      </c>
    </row>
    <row r="21" spans="1:17" ht="14" customHeight="1">
      <c r="A21" s="826">
        <v>1977</v>
      </c>
      <c r="B21" s="1163">
        <f>'Assets(MOFA)'!KL22</f>
        <v>6765</v>
      </c>
      <c r="C21" s="1164">
        <f>'Assets(MOFA)'!I22</f>
        <v>3552</v>
      </c>
      <c r="D21" s="1164">
        <f>('Assets(MOFA)'!AP22+'Assets(MOFA)'!BS22)</f>
        <v>3438</v>
      </c>
      <c r="E21" s="1164">
        <f>'Assets(MOFA)'!BS22</f>
        <v>-431</v>
      </c>
      <c r="F21" s="828"/>
      <c r="G21" s="918"/>
      <c r="H21" s="1153">
        <f t="shared" ref="H21:H38" si="5">B21/C21</f>
        <v>1.9045608108108107</v>
      </c>
      <c r="I21" s="1153">
        <f t="shared" ref="I21:I38" si="6">D21/B21</f>
        <v>0.50820399113082038</v>
      </c>
      <c r="J21" s="1153">
        <f t="shared" si="0"/>
        <v>0.49184549356223178</v>
      </c>
      <c r="K21" s="1153">
        <f t="shared" si="1"/>
        <v>0.96790540540540559</v>
      </c>
      <c r="L21" s="1153">
        <f t="shared" si="2"/>
        <v>1.1253635834787667</v>
      </c>
      <c r="M21" s="890">
        <f t="shared" si="3"/>
        <v>1.0892454954954955</v>
      </c>
      <c r="Q21" s="1180">
        <f t="shared" si="4"/>
        <v>0</v>
      </c>
    </row>
    <row r="22" spans="1:17" ht="14" customHeight="1">
      <c r="A22" s="826">
        <v>1978</v>
      </c>
      <c r="B22" s="1163">
        <f>'Assets(MOFA)'!KL23</f>
        <v>7481.4</v>
      </c>
      <c r="C22" s="1164">
        <f>'Assets(MOFA)'!I23</f>
        <v>4016.1230470865212</v>
      </c>
      <c r="D22" s="1164">
        <f>('Assets(MOFA)'!AP23+'Assets(MOFA)'!BS23)</f>
        <v>4624.4537251474248</v>
      </c>
      <c r="E22" s="1164">
        <f>'Assets(MOFA)'!BS23</f>
        <v>-991.6</v>
      </c>
      <c r="F22" s="828"/>
      <c r="G22" s="918"/>
      <c r="H22" s="1153">
        <f t="shared" si="5"/>
        <v>1.8628413303788958</v>
      </c>
      <c r="I22" s="1153">
        <f t="shared" si="6"/>
        <v>0.61812678444508051</v>
      </c>
      <c r="J22" s="1153">
        <f t="shared" si="0"/>
        <v>0.53520197170261496</v>
      </c>
      <c r="K22" s="1153">
        <f t="shared" si="1"/>
        <v>1.1514721214785024</v>
      </c>
      <c r="L22" s="1153">
        <f t="shared" si="2"/>
        <v>1.2144253265218667</v>
      </c>
      <c r="M22" s="890">
        <f t="shared" si="3"/>
        <v>1.3983769071073573</v>
      </c>
      <c r="Q22" s="1180">
        <f t="shared" si="4"/>
        <v>0</v>
      </c>
    </row>
    <row r="23" spans="1:17" ht="14" customHeight="1">
      <c r="A23" s="856">
        <v>1979</v>
      </c>
      <c r="B23" s="1165">
        <f>'Assets(MOFA)'!KL24</f>
        <v>8197.7999999999993</v>
      </c>
      <c r="C23" s="1166">
        <f>'Assets(MOFA)'!I24</f>
        <v>4495.1816548935203</v>
      </c>
      <c r="D23" s="1166">
        <f>('Assets(MOFA)'!AP24+'Assets(MOFA)'!BS24)</f>
        <v>7724.5077524356975</v>
      </c>
      <c r="E23" s="1166">
        <f>'Assets(MOFA)'!BS24</f>
        <v>-1552.1999999999998</v>
      </c>
      <c r="F23" s="858"/>
      <c r="G23" s="919"/>
      <c r="H23" s="1154">
        <f t="shared" si="5"/>
        <v>1.8236860330384546</v>
      </c>
      <c r="I23" s="1154">
        <f t="shared" si="6"/>
        <v>0.94226594359897753</v>
      </c>
      <c r="J23" s="1154">
        <f t="shared" si="0"/>
        <v>0.63213617752040685</v>
      </c>
      <c r="K23" s="1154">
        <f t="shared" si="1"/>
        <v>1.7183972407492556</v>
      </c>
      <c r="L23" s="1154">
        <f t="shared" si="2"/>
        <v>1.200944843315169</v>
      </c>
      <c r="M23" s="892">
        <f t="shared" si="3"/>
        <v>2.0637003050448337</v>
      </c>
      <c r="Q23" s="1180">
        <f t="shared" si="4"/>
        <v>0</v>
      </c>
    </row>
    <row r="24" spans="1:17" ht="14" customHeight="1">
      <c r="A24" s="863">
        <v>1980</v>
      </c>
      <c r="B24" s="1167">
        <f>'Assets(MOFA)'!KL25</f>
        <v>8914.1999999999989</v>
      </c>
      <c r="C24" s="1168">
        <f>'Assets(MOFA)'!I25</f>
        <v>4860.5919865530577</v>
      </c>
      <c r="D24" s="1168">
        <f>('Assets(MOFA)'!AP25+'Assets(MOFA)'!BS25)</f>
        <v>7047.4606447309434</v>
      </c>
      <c r="E24" s="1168">
        <f>'Assets(MOFA)'!BS25</f>
        <v>-2112.7999999999997</v>
      </c>
      <c r="F24" s="865"/>
      <c r="G24" s="920"/>
      <c r="H24" s="1155">
        <f t="shared" si="5"/>
        <v>1.8339741382657386</v>
      </c>
      <c r="I24" s="1155">
        <f t="shared" si="6"/>
        <v>0.79058812285240898</v>
      </c>
      <c r="J24" s="1155">
        <f t="shared" si="0"/>
        <v>0.5918231018072887</v>
      </c>
      <c r="K24" s="1155">
        <f t="shared" si="1"/>
        <v>1.4499181713313747</v>
      </c>
      <c r="L24" s="1155">
        <f t="shared" si="2"/>
        <v>1.2997959274280788</v>
      </c>
      <c r="M24" s="894">
        <f t="shared" si="3"/>
        <v>1.8845977342004883</v>
      </c>
      <c r="Q24" s="1180">
        <f t="shared" si="4"/>
        <v>0</v>
      </c>
    </row>
    <row r="25" spans="1:17" ht="14" customHeight="1">
      <c r="A25" s="826">
        <v>1981</v>
      </c>
      <c r="B25" s="1163">
        <f>'Assets(MOFA)'!KL26</f>
        <v>9630.5999999999985</v>
      </c>
      <c r="C25" s="1164">
        <f>'Assets(MOFA)'!I26</f>
        <v>5303.7072530740425</v>
      </c>
      <c r="D25" s="1164">
        <f>('Assets(MOFA)'!AP26+'Assets(MOFA)'!BS26)</f>
        <v>5377.729650661352</v>
      </c>
      <c r="E25" s="1164">
        <f>'Assets(MOFA)'!BS26</f>
        <v>-2673.3999999999996</v>
      </c>
      <c r="F25" s="828"/>
      <c r="G25" s="918"/>
      <c r="H25" s="1153">
        <f t="shared" si="5"/>
        <v>1.8158242037997248</v>
      </c>
      <c r="I25" s="1153">
        <f t="shared" si="6"/>
        <v>0.55840027107982393</v>
      </c>
      <c r="J25" s="1153">
        <f t="shared" si="0"/>
        <v>0.50346500186512477</v>
      </c>
      <c r="K25" s="1153">
        <f t="shared" si="1"/>
        <v>1.0139567276350723</v>
      </c>
      <c r="L25" s="1153">
        <f t="shared" si="2"/>
        <v>1.4971242836038114</v>
      </c>
      <c r="M25" s="890">
        <f t="shared" si="3"/>
        <v>1.518019239465922</v>
      </c>
      <c r="Q25" s="1180">
        <f t="shared" si="4"/>
        <v>0</v>
      </c>
    </row>
    <row r="26" spans="1:17" ht="14" customHeight="1">
      <c r="A26" s="826">
        <v>1982</v>
      </c>
      <c r="B26" s="1163">
        <f>'Assets(MOFA)'!KL27</f>
        <v>10347</v>
      </c>
      <c r="C26" s="1164">
        <f>'Assets(MOFA)'!I27</f>
        <v>5456</v>
      </c>
      <c r="D26" s="1164">
        <f>('Assets(MOFA)'!AP27+'Assets(MOFA)'!BS27)</f>
        <v>4792</v>
      </c>
      <c r="E26" s="1164">
        <f>'Assets(MOFA)'!BS27</f>
        <v>-3234</v>
      </c>
      <c r="F26" s="828"/>
      <c r="G26" s="918"/>
      <c r="H26" s="1153">
        <f t="shared" si="5"/>
        <v>1.8964442815249267</v>
      </c>
      <c r="I26" s="1153">
        <f t="shared" si="6"/>
        <v>0.4631294094906736</v>
      </c>
      <c r="J26" s="1153">
        <f t="shared" si="0"/>
        <v>0.46760343481654959</v>
      </c>
      <c r="K26" s="1153">
        <f t="shared" si="1"/>
        <v>0.87829912023460421</v>
      </c>
      <c r="L26" s="1153">
        <f t="shared" si="2"/>
        <v>1.6748747913188646</v>
      </c>
      <c r="M26" s="890">
        <f t="shared" si="3"/>
        <v>1.471041055718475</v>
      </c>
      <c r="Q26" s="1180">
        <f t="shared" si="4"/>
        <v>0</v>
      </c>
    </row>
    <row r="27" spans="1:17" ht="14" customHeight="1">
      <c r="A27" s="826">
        <v>1983</v>
      </c>
      <c r="B27" s="1163">
        <f>'Assets(MOFA)'!KL28</f>
        <v>10556</v>
      </c>
      <c r="C27" s="1164">
        <f>'Assets(MOFA)'!I28</f>
        <v>5276</v>
      </c>
      <c r="D27" s="1164">
        <f>('Assets(MOFA)'!AP28+'Assets(MOFA)'!BS28)</f>
        <v>4809</v>
      </c>
      <c r="E27" s="1164">
        <f>'Assets(MOFA)'!BS28</f>
        <v>-3316.0000000000005</v>
      </c>
      <c r="F27" s="828"/>
      <c r="G27" s="918"/>
      <c r="H27" s="1153">
        <f t="shared" si="5"/>
        <v>2.0007581501137226</v>
      </c>
      <c r="I27" s="1153">
        <f t="shared" si="6"/>
        <v>0.45557029177718833</v>
      </c>
      <c r="J27" s="1153">
        <f t="shared" si="0"/>
        <v>0.47684680218145759</v>
      </c>
      <c r="K27" s="1153">
        <f t="shared" si="1"/>
        <v>0.91148597422289601</v>
      </c>
      <c r="L27" s="1153">
        <f t="shared" si="2"/>
        <v>1.6895404449989604</v>
      </c>
      <c r="M27" s="890">
        <f t="shared" si="3"/>
        <v>1.5399924184988627</v>
      </c>
      <c r="Q27" s="1180">
        <f t="shared" si="4"/>
        <v>0</v>
      </c>
    </row>
    <row r="28" spans="1:17" ht="14" customHeight="1">
      <c r="A28" s="826">
        <v>1984</v>
      </c>
      <c r="B28" s="1163">
        <f>'Assets(MOFA)'!KL29</f>
        <v>10408</v>
      </c>
      <c r="C28" s="1164">
        <f>'Assets(MOFA)'!I29</f>
        <v>5104</v>
      </c>
      <c r="D28" s="1164">
        <f>('Assets(MOFA)'!AP29+'Assets(MOFA)'!BS29)</f>
        <v>5191</v>
      </c>
      <c r="E28" s="1164">
        <f>'Assets(MOFA)'!BS29</f>
        <v>-3398.0000000000005</v>
      </c>
      <c r="F28" s="828"/>
      <c r="G28" s="918"/>
      <c r="H28" s="1153">
        <f t="shared" si="5"/>
        <v>2.0391849529780566</v>
      </c>
      <c r="I28" s="1153">
        <f t="shared" si="6"/>
        <v>0.49875096079938508</v>
      </c>
      <c r="J28" s="1153">
        <f t="shared" si="0"/>
        <v>0.50422535211267605</v>
      </c>
      <c r="K28" s="1153">
        <f t="shared" si="1"/>
        <v>1.0170454545454546</v>
      </c>
      <c r="L28" s="1153">
        <f t="shared" si="2"/>
        <v>1.6545944904642651</v>
      </c>
      <c r="M28" s="890">
        <f t="shared" si="3"/>
        <v>1.6827978056426331</v>
      </c>
      <c r="Q28" s="1180">
        <f t="shared" si="4"/>
        <v>0</v>
      </c>
    </row>
    <row r="29" spans="1:17" ht="14" customHeight="1">
      <c r="A29" s="826">
        <v>1985</v>
      </c>
      <c r="B29" s="1163">
        <f>'Assets(MOFA)'!KL30</f>
        <v>11272</v>
      </c>
      <c r="C29" s="1164">
        <f>'Assets(MOFA)'!I30</f>
        <v>4883</v>
      </c>
      <c r="D29" s="1164">
        <f>('Assets(MOFA)'!AP30+'Assets(MOFA)'!BS30)</f>
        <v>5321</v>
      </c>
      <c r="E29" s="1164">
        <f>'Assets(MOFA)'!BS30</f>
        <v>-3480.0000000000005</v>
      </c>
      <c r="F29" s="828"/>
      <c r="G29" s="918"/>
      <c r="H29" s="1153">
        <f t="shared" si="5"/>
        <v>2.3084169567888595</v>
      </c>
      <c r="I29" s="1153">
        <f t="shared" si="6"/>
        <v>0.47205464868701208</v>
      </c>
      <c r="J29" s="1153">
        <f t="shared" si="0"/>
        <v>0.52146217169737363</v>
      </c>
      <c r="K29" s="1153">
        <f t="shared" si="1"/>
        <v>1.0896989555601067</v>
      </c>
      <c r="L29" s="1153">
        <f t="shared" si="2"/>
        <v>1.6540124036835182</v>
      </c>
      <c r="M29" s="890">
        <f t="shared" si="3"/>
        <v>1.8023755887773909</v>
      </c>
      <c r="Q29" s="1180">
        <f t="shared" si="4"/>
        <v>0</v>
      </c>
    </row>
    <row r="30" spans="1:17" ht="14" customHeight="1">
      <c r="A30" s="826">
        <v>1986</v>
      </c>
      <c r="B30" s="1163">
        <f>'Assets(MOFA)'!KL31</f>
        <v>13167</v>
      </c>
      <c r="C30" s="1164">
        <f>'Assets(MOFA)'!I31</f>
        <v>5898</v>
      </c>
      <c r="D30" s="1164">
        <f>('Assets(MOFA)'!AP31+'Assets(MOFA)'!BS31)</f>
        <v>4718</v>
      </c>
      <c r="E30" s="1164">
        <f>'Assets(MOFA)'!BS31</f>
        <v>-3562.0000000000005</v>
      </c>
      <c r="F30" s="828"/>
      <c r="G30" s="918"/>
      <c r="H30" s="1153">
        <f t="shared" si="5"/>
        <v>2.2324516785350967</v>
      </c>
      <c r="I30" s="1153">
        <f t="shared" si="6"/>
        <v>0.35832004253056887</v>
      </c>
      <c r="J30" s="1153">
        <f t="shared" si="0"/>
        <v>0.44442351168048227</v>
      </c>
      <c r="K30" s="1153">
        <f t="shared" si="1"/>
        <v>0.79993218040013547</v>
      </c>
      <c r="L30" s="1153">
        <f t="shared" si="2"/>
        <v>1.7549809241203902</v>
      </c>
      <c r="M30" s="890">
        <f t="shared" si="3"/>
        <v>1.4038657171922686</v>
      </c>
      <c r="Q30" s="1180">
        <f t="shared" si="4"/>
        <v>0</v>
      </c>
    </row>
    <row r="31" spans="1:17" ht="14" customHeight="1">
      <c r="A31" s="826">
        <v>1987</v>
      </c>
      <c r="B31" s="1163">
        <f>'Assets(MOFA)'!KL32</f>
        <v>14780</v>
      </c>
      <c r="C31" s="1164">
        <f>'Assets(MOFA)'!I32</f>
        <v>7154</v>
      </c>
      <c r="D31" s="1164">
        <f>('Assets(MOFA)'!AP32+'Assets(MOFA)'!BS32)</f>
        <v>8440</v>
      </c>
      <c r="E31" s="1164">
        <f>'Assets(MOFA)'!BS32</f>
        <v>-3644.0000000000009</v>
      </c>
      <c r="F31" s="828"/>
      <c r="G31" s="918"/>
      <c r="H31" s="1153">
        <f t="shared" si="5"/>
        <v>2.0659770757618117</v>
      </c>
      <c r="I31" s="1153">
        <f t="shared" si="6"/>
        <v>0.57104194857916102</v>
      </c>
      <c r="J31" s="1153">
        <f t="shared" si="0"/>
        <v>0.54123380787482367</v>
      </c>
      <c r="K31" s="1153">
        <f t="shared" si="1"/>
        <v>1.179759575062902</v>
      </c>
      <c r="L31" s="1153">
        <f t="shared" si="2"/>
        <v>1.4317535545023699</v>
      </c>
      <c r="M31" s="890">
        <f t="shared" si="3"/>
        <v>1.689124965054515</v>
      </c>
      <c r="Q31" s="1180">
        <f t="shared" si="4"/>
        <v>0</v>
      </c>
    </row>
    <row r="32" spans="1:17" ht="14" customHeight="1">
      <c r="A32" s="826">
        <v>1988</v>
      </c>
      <c r="B32" s="1163">
        <f>'Assets(MOFA)'!KL33</f>
        <v>15080</v>
      </c>
      <c r="C32" s="1164">
        <f>'Assets(MOFA)'!I33</f>
        <v>7874.5</v>
      </c>
      <c r="D32" s="1164">
        <f>('Assets(MOFA)'!AP33+'Assets(MOFA)'!BS33)</f>
        <v>7496.9999999999991</v>
      </c>
      <c r="E32" s="1164">
        <f>'Assets(MOFA)'!BS33</f>
        <v>-3726.0000000000009</v>
      </c>
      <c r="F32" s="828"/>
      <c r="G32" s="918"/>
      <c r="H32" s="1153">
        <f t="shared" si="5"/>
        <v>1.9150422249031684</v>
      </c>
      <c r="I32" s="1153">
        <f t="shared" si="6"/>
        <v>0.49714854111405832</v>
      </c>
      <c r="J32" s="1153">
        <f t="shared" si="0"/>
        <v>0.48772078196662649</v>
      </c>
      <c r="K32" s="1153">
        <f t="shared" si="1"/>
        <v>0.95206044828243042</v>
      </c>
      <c r="L32" s="1153">
        <f t="shared" si="2"/>
        <v>1.4969987995198082</v>
      </c>
      <c r="M32" s="890">
        <f t="shared" si="3"/>
        <v>1.4252333481490889</v>
      </c>
      <c r="Q32" s="1180">
        <f t="shared" si="4"/>
        <v>0</v>
      </c>
    </row>
    <row r="33" spans="1:17" ht="14" customHeight="1">
      <c r="A33" s="856">
        <v>1989</v>
      </c>
      <c r="B33" s="1165">
        <f>'Assets(MOFA)'!KL34</f>
        <v>16959</v>
      </c>
      <c r="C33" s="1166">
        <f>'Assets(MOFA)'!I34</f>
        <v>9127</v>
      </c>
      <c r="D33" s="1166">
        <f>('Assets(MOFA)'!AP34+'Assets(MOFA)'!BS34)</f>
        <v>10566</v>
      </c>
      <c r="E33" s="1166">
        <f>'Assets(MOFA)'!BS34</f>
        <v>-3808</v>
      </c>
      <c r="F33" s="858"/>
      <c r="G33" s="919"/>
      <c r="H33" s="1154">
        <f t="shared" si="5"/>
        <v>1.8581132902377562</v>
      </c>
      <c r="I33" s="1154">
        <f t="shared" si="6"/>
        <v>0.62303201839731115</v>
      </c>
      <c r="J33" s="1154">
        <f t="shared" si="0"/>
        <v>0.53653582491240537</v>
      </c>
      <c r="K33" s="1154">
        <f t="shared" si="1"/>
        <v>1.1576640736276977</v>
      </c>
      <c r="L33" s="1154">
        <f t="shared" si="2"/>
        <v>1.3604012871474542</v>
      </c>
      <c r="M33" s="892">
        <f t="shared" si="3"/>
        <v>1.5748876958474856</v>
      </c>
      <c r="Q33" s="1180">
        <f t="shared" si="4"/>
        <v>0</v>
      </c>
    </row>
    <row r="34" spans="1:17" ht="14" customHeight="1">
      <c r="A34" s="863">
        <v>1990</v>
      </c>
      <c r="B34" s="1167">
        <f>'Assets(MOFA)'!KL35</f>
        <v>20394</v>
      </c>
      <c r="C34" s="1168">
        <f>'Assets(MOFA)'!I35</f>
        <v>10473</v>
      </c>
      <c r="D34" s="1168">
        <f>('Assets(MOFA)'!AP35+'Assets(MOFA)'!BS35)</f>
        <v>12864.6</v>
      </c>
      <c r="E34" s="1168">
        <f>'Assets(MOFA)'!BS35</f>
        <v>-3676.4</v>
      </c>
      <c r="F34" s="865"/>
      <c r="G34" s="920"/>
      <c r="H34" s="1155">
        <f t="shared" si="5"/>
        <v>1.9472930392437697</v>
      </c>
      <c r="I34" s="1155">
        <f t="shared" si="6"/>
        <v>0.63080317740511915</v>
      </c>
      <c r="J34" s="1155">
        <f t="shared" si="0"/>
        <v>0.55123920197449616</v>
      </c>
      <c r="K34" s="1155">
        <f t="shared" si="1"/>
        <v>1.2283586364938417</v>
      </c>
      <c r="L34" s="1155">
        <f t="shared" si="2"/>
        <v>1.2857764718685385</v>
      </c>
      <c r="M34" s="894">
        <f t="shared" si="3"/>
        <v>1.5793946338202998</v>
      </c>
      <c r="Q34" s="1180">
        <f t="shared" si="4"/>
        <v>0</v>
      </c>
    </row>
    <row r="35" spans="1:17" ht="14" customHeight="1">
      <c r="A35" s="826">
        <v>1991</v>
      </c>
      <c r="B35" s="1163">
        <f>'Assets(MOFA)'!KL36</f>
        <v>21998</v>
      </c>
      <c r="C35" s="1164">
        <f>'Assets(MOFA)'!I36</f>
        <v>11524</v>
      </c>
      <c r="D35" s="1164">
        <f>('Assets(MOFA)'!AP36+'Assets(MOFA)'!BS36)</f>
        <v>11722.2</v>
      </c>
      <c r="E35" s="1164">
        <f>'Assets(MOFA)'!BS36</f>
        <v>-3544.7999999999997</v>
      </c>
      <c r="F35" s="828"/>
      <c r="G35" s="918"/>
      <c r="H35" s="1153">
        <f t="shared" si="5"/>
        <v>1.9088858035404372</v>
      </c>
      <c r="I35" s="1153">
        <f t="shared" si="6"/>
        <v>0.53287571597417949</v>
      </c>
      <c r="J35" s="1153">
        <f t="shared" si="0"/>
        <v>0.50426306234997553</v>
      </c>
      <c r="K35" s="1153">
        <f t="shared" si="1"/>
        <v>1.0171988892745576</v>
      </c>
      <c r="L35" s="1153">
        <f t="shared" si="2"/>
        <v>1.3024005732712289</v>
      </c>
      <c r="M35" s="890">
        <f t="shared" si="3"/>
        <v>1.3248004165220411</v>
      </c>
      <c r="Q35" s="1180">
        <f t="shared" si="4"/>
        <v>0</v>
      </c>
    </row>
    <row r="36" spans="1:17" ht="14" customHeight="1">
      <c r="A36" s="826">
        <v>1992</v>
      </c>
      <c r="B36" s="1163">
        <f>'Assets(MOFA)'!KL37</f>
        <v>23976</v>
      </c>
      <c r="C36" s="1164">
        <f>'Assets(MOFA)'!I37</f>
        <v>11875</v>
      </c>
      <c r="D36" s="1164">
        <f>('Assets(MOFA)'!AP37+'Assets(MOFA)'!BS37)</f>
        <v>10074.800000000001</v>
      </c>
      <c r="E36" s="1164">
        <f>'Assets(MOFA)'!BS37</f>
        <v>-3413.1999999999994</v>
      </c>
      <c r="F36" s="828"/>
      <c r="G36" s="918"/>
      <c r="H36" s="1153">
        <f t="shared" si="5"/>
        <v>2.0190315789473683</v>
      </c>
      <c r="I36" s="1153">
        <f t="shared" si="6"/>
        <v>0.42020353687020356</v>
      </c>
      <c r="J36" s="1153">
        <f t="shared" si="0"/>
        <v>0.45899279264503545</v>
      </c>
      <c r="K36" s="1153">
        <f t="shared" si="1"/>
        <v>0.84840421052631565</v>
      </c>
      <c r="L36" s="1153">
        <f t="shared" si="2"/>
        <v>1.33878588160559</v>
      </c>
      <c r="M36" s="890">
        <f t="shared" si="3"/>
        <v>1.1358315789473685</v>
      </c>
      <c r="Q36" s="1180">
        <f t="shared" si="4"/>
        <v>0</v>
      </c>
    </row>
    <row r="37" spans="1:17" ht="14" customHeight="1">
      <c r="A37" s="826">
        <v>1993</v>
      </c>
      <c r="B37" s="1163">
        <f>'Assets(MOFA)'!KL38</f>
        <v>25461</v>
      </c>
      <c r="C37" s="1164">
        <f>'Assets(MOFA)'!I38</f>
        <v>12555</v>
      </c>
      <c r="D37" s="1164">
        <f>('Assets(MOFA)'!AP38+'Assets(MOFA)'!BS38)</f>
        <v>10916.400000000001</v>
      </c>
      <c r="E37" s="1164">
        <f>'Assets(MOFA)'!BS38</f>
        <v>-3281.599999999999</v>
      </c>
      <c r="F37" s="828"/>
      <c r="G37" s="918"/>
      <c r="H37" s="1153">
        <f t="shared" si="5"/>
        <v>2.0279569892473117</v>
      </c>
      <c r="I37" s="1153">
        <f t="shared" si="6"/>
        <v>0.42874985271591853</v>
      </c>
      <c r="J37" s="1153">
        <f t="shared" si="0"/>
        <v>0.46509368848896959</v>
      </c>
      <c r="K37" s="1153">
        <f t="shared" si="1"/>
        <v>0.86948626045400257</v>
      </c>
      <c r="L37" s="1153">
        <f t="shared" si="2"/>
        <v>1.3006119233446922</v>
      </c>
      <c r="M37" s="890">
        <f t="shared" si="3"/>
        <v>1.1308641975308642</v>
      </c>
      <c r="Q37" s="1180">
        <f t="shared" si="4"/>
        <v>0</v>
      </c>
    </row>
    <row r="38" spans="1:17" ht="14" customHeight="1">
      <c r="A38" s="826">
        <v>1994</v>
      </c>
      <c r="B38" s="1163">
        <f>'Assets(MOFA)'!KL39</f>
        <v>27591</v>
      </c>
      <c r="C38" s="1164">
        <f>'Assets(MOFA)'!I39</f>
        <v>14467</v>
      </c>
      <c r="D38" s="1164">
        <f>('Assets(MOFA)'!AP39+'Assets(MOFA)'!BS39)</f>
        <v>12921</v>
      </c>
      <c r="E38" s="1164">
        <f>'Assets(MOFA)'!BS39</f>
        <v>-3150</v>
      </c>
      <c r="F38" s="828"/>
      <c r="G38" s="918"/>
      <c r="H38" s="1153">
        <f t="shared" si="5"/>
        <v>1.9071680376028202</v>
      </c>
      <c r="I38" s="1153">
        <f t="shared" si="6"/>
        <v>0.46830488202674786</v>
      </c>
      <c r="J38" s="1153">
        <f t="shared" si="0"/>
        <v>0.4717759602745728</v>
      </c>
      <c r="K38" s="1153">
        <f t="shared" si="1"/>
        <v>0.89313610285477296</v>
      </c>
      <c r="L38" s="1153">
        <f t="shared" si="2"/>
        <v>1.2437891804039936</v>
      </c>
      <c r="M38" s="890">
        <f t="shared" si="3"/>
        <v>1.1108730213589548</v>
      </c>
      <c r="Q38" s="1180">
        <f t="shared" si="4"/>
        <v>0</v>
      </c>
    </row>
    <row r="39" spans="1:17">
      <c r="A39" s="826">
        <v>1995</v>
      </c>
      <c r="B39" s="1163">
        <f>'Assets(MOFA)'!KL40</f>
        <v>32221</v>
      </c>
      <c r="C39" s="1164">
        <f>'Assets(MOFA)'!I40</f>
        <v>16251</v>
      </c>
      <c r="D39" s="1164">
        <f>('Assets(MOFA)'!AP40+'Assets(MOFA)'!BS40)</f>
        <v>19069</v>
      </c>
      <c r="E39" s="1164">
        <f>'Assets(MOFA)'!BS40</f>
        <v>-4882</v>
      </c>
      <c r="F39" s="828"/>
      <c r="G39" s="918"/>
      <c r="H39" s="1153">
        <f t="shared" ref="H39:H56" si="7">B39/C39</f>
        <v>1.9827087563842225</v>
      </c>
      <c r="I39" s="1153">
        <f t="shared" ref="I39:I56" si="8">D39/B39</f>
        <v>0.59181900003103571</v>
      </c>
      <c r="J39" s="1153">
        <f t="shared" si="0"/>
        <v>0.53989241223103057</v>
      </c>
      <c r="K39" s="1153">
        <f t="shared" si="1"/>
        <v>1.1734047135560888</v>
      </c>
      <c r="L39" s="1153">
        <f t="shared" si="2"/>
        <v>1.2560176202213016</v>
      </c>
      <c r="M39" s="890">
        <f t="shared" si="3"/>
        <v>1.4738169958771767</v>
      </c>
      <c r="Q39" s="1180">
        <f t="shared" si="4"/>
        <v>0</v>
      </c>
    </row>
    <row r="40" spans="1:17">
      <c r="A40" s="826">
        <v>1996</v>
      </c>
      <c r="B40" s="1163">
        <f>'Assets(MOFA)'!KL41</f>
        <v>33824</v>
      </c>
      <c r="C40" s="1164">
        <f>'Assets(MOFA)'!I41</f>
        <v>17317</v>
      </c>
      <c r="D40" s="1164">
        <f>('Assets(MOFA)'!AP41+'Assets(MOFA)'!BS41)</f>
        <v>20568.126927374302</v>
      </c>
      <c r="E40" s="1164">
        <f>'Assets(MOFA)'!BS41</f>
        <v>-5136.8730726256981</v>
      </c>
      <c r="F40" s="828"/>
      <c r="G40" s="918"/>
      <c r="H40" s="1153">
        <f t="shared" si="7"/>
        <v>1.9532251544724837</v>
      </c>
      <c r="I40" s="1153">
        <f t="shared" si="8"/>
        <v>0.60809268351981738</v>
      </c>
      <c r="J40" s="1153">
        <f t="shared" si="0"/>
        <v>0.54290769480074208</v>
      </c>
      <c r="K40" s="1153">
        <f t="shared" si="1"/>
        <v>1.1877419257015824</v>
      </c>
      <c r="L40" s="1153">
        <f t="shared" si="2"/>
        <v>1.2497491915896819</v>
      </c>
      <c r="M40" s="890">
        <f t="shared" si="3"/>
        <v>1.4843795114627245</v>
      </c>
      <c r="Q40" s="1180">
        <f t="shared" si="4"/>
        <v>0</v>
      </c>
    </row>
    <row r="41" spans="1:17">
      <c r="A41" s="826">
        <v>1997</v>
      </c>
      <c r="B41" s="1163">
        <f>'Assets(MOFA)'!KL42</f>
        <v>35518</v>
      </c>
      <c r="C41" s="1164">
        <f>'Assets(MOFA)'!I42</f>
        <v>17446</v>
      </c>
      <c r="D41" s="1164">
        <f>('Assets(MOFA)'!AP42+'Assets(MOFA)'!BS42)</f>
        <v>26043.281452513966</v>
      </c>
      <c r="E41" s="1164">
        <f>'Assets(MOFA)'!BS42</f>
        <v>-6385.7185474860335</v>
      </c>
      <c r="F41" s="828"/>
      <c r="G41" s="918"/>
      <c r="H41" s="1153">
        <f t="shared" si="7"/>
        <v>2.0358821506362488</v>
      </c>
      <c r="I41" s="1153">
        <f t="shared" si="8"/>
        <v>0.73324177747941788</v>
      </c>
      <c r="J41" s="1153">
        <f t="shared" si="0"/>
        <v>0.59884368245887609</v>
      </c>
      <c r="K41" s="1153">
        <f t="shared" si="1"/>
        <v>1.4927938468711428</v>
      </c>
      <c r="L41" s="1153">
        <f t="shared" si="2"/>
        <v>1.2451963881406203</v>
      </c>
      <c r="M41" s="890">
        <f t="shared" si="3"/>
        <v>1.85882150636249</v>
      </c>
      <c r="Q41" s="1180">
        <f t="shared" si="4"/>
        <v>0</v>
      </c>
    </row>
    <row r="42" spans="1:17">
      <c r="A42" s="826">
        <v>1998</v>
      </c>
      <c r="B42" s="1163">
        <f>'Assets(MOFA)'!KL43</f>
        <v>39948</v>
      </c>
      <c r="C42" s="1164">
        <f>'Assets(MOFA)'!I43</f>
        <v>17759</v>
      </c>
      <c r="D42" s="1164">
        <f>('Assets(MOFA)'!AP43+'Assets(MOFA)'!BS43)</f>
        <v>26277.140726256985</v>
      </c>
      <c r="E42" s="1164">
        <f>'Assets(MOFA)'!BS43</f>
        <v>-6427.8592737430172</v>
      </c>
      <c r="F42" s="828"/>
      <c r="G42" s="918"/>
      <c r="H42" s="1153">
        <f t="shared" si="7"/>
        <v>2.2494509826003717</v>
      </c>
      <c r="I42" s="1153">
        <f t="shared" si="8"/>
        <v>0.65778363688437436</v>
      </c>
      <c r="J42" s="1153">
        <f t="shared" si="0"/>
        <v>0.59671761178174676</v>
      </c>
      <c r="K42" s="1153">
        <f t="shared" si="1"/>
        <v>1.4796520483280016</v>
      </c>
      <c r="L42" s="1153">
        <f t="shared" si="2"/>
        <v>1.2446179110849793</v>
      </c>
      <c r="M42" s="890">
        <f t="shared" si="3"/>
        <v>1.8416014415226083</v>
      </c>
      <c r="Q42" s="1180">
        <f t="shared" si="4"/>
        <v>0</v>
      </c>
    </row>
    <row r="43" spans="1:17">
      <c r="A43" s="856">
        <v>1999</v>
      </c>
      <c r="B43" s="1165">
        <f>'Assets(MOFA)'!KL44</f>
        <v>50807</v>
      </c>
      <c r="C43" s="1166">
        <f>'Assets(MOFA)'!I44</f>
        <v>19858</v>
      </c>
      <c r="D43" s="1166">
        <f>('Assets(MOFA)'!AP44+'Assets(MOFA)'!BS44)</f>
        <v>28279</v>
      </c>
      <c r="E43" s="1166">
        <f>'Assets(MOFA)'!BS44</f>
        <v>-5886</v>
      </c>
      <c r="F43" s="858"/>
      <c r="G43" s="919"/>
      <c r="H43" s="1154">
        <f t="shared" si="7"/>
        <v>2.5585154597643269</v>
      </c>
      <c r="I43" s="1154">
        <f t="shared" si="8"/>
        <v>0.55659653197394054</v>
      </c>
      <c r="J43" s="1154">
        <f t="shared" si="0"/>
        <v>0.58746909861437147</v>
      </c>
      <c r="K43" s="1154">
        <f t="shared" si="1"/>
        <v>1.4240608319065362</v>
      </c>
      <c r="L43" s="1154">
        <f t="shared" si="2"/>
        <v>1.2081403161356483</v>
      </c>
      <c r="M43" s="892">
        <f t="shared" si="3"/>
        <v>1.7204653036559574</v>
      </c>
      <c r="Q43" s="1180">
        <f t="shared" si="4"/>
        <v>0</v>
      </c>
    </row>
    <row r="44" spans="1:17">
      <c r="A44" s="863">
        <v>2000</v>
      </c>
      <c r="B44" s="1167">
        <f>'Assets(MOFA)'!KL45</f>
        <v>55713</v>
      </c>
      <c r="C44" s="1168">
        <f>'Assets(MOFA)'!I45</f>
        <v>20106</v>
      </c>
      <c r="D44" s="1168">
        <f>('Assets(MOFA)'!AP45+'Assets(MOFA)'!BS45)</f>
        <v>37274</v>
      </c>
      <c r="E44" s="1168">
        <f>'Assets(MOFA)'!BS45</f>
        <v>-4355</v>
      </c>
      <c r="F44" s="865"/>
      <c r="G44" s="920"/>
      <c r="H44" s="1155">
        <f t="shared" si="7"/>
        <v>2.7709638913757089</v>
      </c>
      <c r="I44" s="1155">
        <f t="shared" si="8"/>
        <v>0.6690359521117154</v>
      </c>
      <c r="J44" s="1155">
        <f t="shared" si="0"/>
        <v>0.64959916347159286</v>
      </c>
      <c r="K44" s="1155">
        <f t="shared" si="1"/>
        <v>1.8538744653337309</v>
      </c>
      <c r="L44" s="1155">
        <f t="shared" si="2"/>
        <v>1.1168374738423565</v>
      </c>
      <c r="M44" s="894">
        <f t="shared" si="3"/>
        <v>2.070476474684174</v>
      </c>
      <c r="Q44" s="1180">
        <f t="shared" si="4"/>
        <v>0</v>
      </c>
    </row>
    <row r="45" spans="1:17">
      <c r="A45" s="826">
        <v>2001</v>
      </c>
      <c r="B45" s="1163">
        <f>'Assets(MOFA)'!KL46</f>
        <v>62593</v>
      </c>
      <c r="C45" s="1164">
        <f>'Assets(MOFA)'!I46</f>
        <v>20311</v>
      </c>
      <c r="D45" s="1164">
        <f>('Assets(MOFA)'!AP46+'Assets(MOFA)'!BS46)</f>
        <v>33286</v>
      </c>
      <c r="E45" s="1164">
        <f>'Assets(MOFA)'!BS46</f>
        <v>-4818</v>
      </c>
      <c r="F45" s="828"/>
      <c r="G45" s="918"/>
      <c r="H45" s="1153">
        <f t="shared" si="7"/>
        <v>3.0817291123036776</v>
      </c>
      <c r="I45" s="1153">
        <f t="shared" si="8"/>
        <v>0.53178470435991243</v>
      </c>
      <c r="J45" s="1153">
        <f t="shared" si="0"/>
        <v>0.621042222512454</v>
      </c>
      <c r="K45" s="1153">
        <f t="shared" si="1"/>
        <v>1.6388164049037464</v>
      </c>
      <c r="L45" s="1153">
        <f t="shared" si="2"/>
        <v>1.1447455386649041</v>
      </c>
      <c r="M45" s="890">
        <f t="shared" si="3"/>
        <v>1.8760277682044213</v>
      </c>
      <c r="Q45" s="1180">
        <f t="shared" si="4"/>
        <v>0</v>
      </c>
    </row>
    <row r="46" spans="1:17">
      <c r="A46" s="826">
        <v>2002</v>
      </c>
      <c r="B46" s="1163">
        <f>'Assets(MOFA)'!KL47</f>
        <v>68285</v>
      </c>
      <c r="C46" s="1164">
        <f>'Assets(MOFA)'!I47</f>
        <v>21234</v>
      </c>
      <c r="D46" s="1164">
        <f>('Assets(MOFA)'!AP47+'Assets(MOFA)'!BS47)</f>
        <v>37697</v>
      </c>
      <c r="E46" s="1164">
        <f>'Assets(MOFA)'!BS47</f>
        <v>-4140</v>
      </c>
      <c r="F46" s="828"/>
      <c r="G46" s="918"/>
      <c r="H46" s="1153">
        <f t="shared" si="7"/>
        <v>3.2158330978619194</v>
      </c>
      <c r="I46" s="1153">
        <f t="shared" si="8"/>
        <v>0.55205389177711062</v>
      </c>
      <c r="J46" s="1153">
        <f t="shared" si="0"/>
        <v>0.63968030408443777</v>
      </c>
      <c r="K46" s="1153">
        <f t="shared" si="1"/>
        <v>1.7753131769803148</v>
      </c>
      <c r="L46" s="1153">
        <f t="shared" si="2"/>
        <v>1.1098230628431971</v>
      </c>
      <c r="M46" s="890">
        <f t="shared" si="3"/>
        <v>1.9702835075821796</v>
      </c>
      <c r="Q46" s="1180">
        <f t="shared" si="4"/>
        <v>0</v>
      </c>
    </row>
    <row r="47" spans="1:17">
      <c r="A47" s="826">
        <v>2003</v>
      </c>
      <c r="B47" s="1163">
        <f>'Assets(MOFA)'!KL48</f>
        <v>68250</v>
      </c>
      <c r="C47" s="1164">
        <f>'Assets(MOFA)'!I48</f>
        <v>22968</v>
      </c>
      <c r="D47" s="1164">
        <f>('Assets(MOFA)'!AP48+'Assets(MOFA)'!BS48)</f>
        <v>49701</v>
      </c>
      <c r="E47" s="1164">
        <f>'Assets(MOFA)'!BS48</f>
        <v>-3639</v>
      </c>
      <c r="F47" s="828"/>
      <c r="G47" s="918"/>
      <c r="H47" s="1153">
        <f t="shared" si="7"/>
        <v>2.9715256008359456</v>
      </c>
      <c r="I47" s="1153">
        <f t="shared" si="8"/>
        <v>0.72821978021978018</v>
      </c>
      <c r="J47" s="1153">
        <f t="shared" si="0"/>
        <v>0.68393675432440237</v>
      </c>
      <c r="K47" s="1153">
        <f t="shared" si="1"/>
        <v>2.163923719958202</v>
      </c>
      <c r="L47" s="1153">
        <f t="shared" si="2"/>
        <v>1.073217842699342</v>
      </c>
      <c r="M47" s="890">
        <f t="shared" si="3"/>
        <v>2.3223615464994776</v>
      </c>
      <c r="Q47" s="1180">
        <f t="shared" si="4"/>
        <v>0</v>
      </c>
    </row>
    <row r="48" spans="1:17">
      <c r="A48" s="826">
        <v>2004</v>
      </c>
      <c r="B48" s="1163">
        <f>'Assets(MOFA)'!KL49</f>
        <v>67487</v>
      </c>
      <c r="C48" s="1164">
        <f>'Assets(MOFA)'!I49</f>
        <v>26630</v>
      </c>
      <c r="D48" s="1164">
        <f>('Assets(MOFA)'!AP49+'Assets(MOFA)'!BS49)</f>
        <v>63997</v>
      </c>
      <c r="E48" s="1164">
        <f>'Assets(MOFA)'!BS49</f>
        <v>-7376</v>
      </c>
      <c r="F48" s="828"/>
      <c r="G48" s="918"/>
      <c r="H48" s="1153">
        <f t="shared" si="7"/>
        <v>2.534247089748404</v>
      </c>
      <c r="I48" s="1153">
        <f t="shared" si="8"/>
        <v>0.94828633662779493</v>
      </c>
      <c r="J48" s="1153">
        <f t="shared" si="0"/>
        <v>0.70615820892228587</v>
      </c>
      <c r="K48" s="1153">
        <f t="shared" si="1"/>
        <v>2.4031918888471648</v>
      </c>
      <c r="L48" s="1153">
        <f t="shared" si="2"/>
        <v>1.1152554025969967</v>
      </c>
      <c r="M48" s="890">
        <f t="shared" si="3"/>
        <v>2.680172737514082</v>
      </c>
      <c r="Q48" s="1180">
        <f t="shared" si="4"/>
        <v>0</v>
      </c>
    </row>
    <row r="49" spans="1:17">
      <c r="A49" s="826">
        <v>2005</v>
      </c>
      <c r="B49" s="1163">
        <f>'Assets(MOFA)'!KL50</f>
        <v>74870</v>
      </c>
      <c r="C49" s="1164">
        <f>'Assets(MOFA)'!I50</f>
        <v>29144</v>
      </c>
      <c r="D49" s="1164">
        <f>('Assets(MOFA)'!AP50+'Assets(MOFA)'!BS50)</f>
        <v>65308</v>
      </c>
      <c r="E49" s="1164">
        <f>'Assets(MOFA)'!BS50</f>
        <v>-12155</v>
      </c>
      <c r="F49" s="828"/>
      <c r="G49" s="918"/>
      <c r="H49" s="1153">
        <f t="shared" si="7"/>
        <v>2.5689678836124075</v>
      </c>
      <c r="I49" s="1153">
        <f t="shared" si="8"/>
        <v>0.87228529451048487</v>
      </c>
      <c r="J49" s="1153">
        <f t="shared" si="0"/>
        <v>0.69144115529581163</v>
      </c>
      <c r="K49" s="1153">
        <f t="shared" si="1"/>
        <v>2.2408729069448259</v>
      </c>
      <c r="L49" s="1153">
        <f t="shared" si="2"/>
        <v>1.1861180866050101</v>
      </c>
      <c r="M49" s="890">
        <f t="shared" si="3"/>
        <v>2.6579398847104034</v>
      </c>
      <c r="Q49" s="1180">
        <f t="shared" si="4"/>
        <v>0</v>
      </c>
    </row>
    <row r="50" spans="1:17">
      <c r="A50" s="826">
        <v>2006</v>
      </c>
      <c r="B50" s="1163">
        <f>'Assets(MOFA)'!KL51</f>
        <v>85720</v>
      </c>
      <c r="C50" s="1164">
        <f>'Assets(MOFA)'!I51</f>
        <v>32573</v>
      </c>
      <c r="D50" s="1164">
        <f>('Assets(MOFA)'!AP51+'Assets(MOFA)'!BS51)</f>
        <v>85568</v>
      </c>
      <c r="E50" s="1164">
        <f>'Assets(MOFA)'!BS51</f>
        <v>-8417</v>
      </c>
      <c r="F50" s="828"/>
      <c r="G50" s="918"/>
      <c r="H50" s="1153">
        <f t="shared" si="7"/>
        <v>2.6316274214840512</v>
      </c>
      <c r="I50" s="1153">
        <f t="shared" si="8"/>
        <v>0.99822678488100791</v>
      </c>
      <c r="J50" s="1153">
        <f t="shared" si="0"/>
        <v>0.72428708069171588</v>
      </c>
      <c r="K50" s="1153">
        <f t="shared" si="1"/>
        <v>2.626960979952722</v>
      </c>
      <c r="L50" s="1153">
        <f t="shared" si="2"/>
        <v>1.0983662116679132</v>
      </c>
      <c r="M50" s="890">
        <f t="shared" si="3"/>
        <v>2.8853651797500999</v>
      </c>
      <c r="Q50" s="1180">
        <f t="shared" si="4"/>
        <v>0</v>
      </c>
    </row>
    <row r="51" spans="1:17">
      <c r="A51" s="826">
        <v>2007</v>
      </c>
      <c r="B51" s="1163">
        <f>'Assets(MOFA)'!KL52</f>
        <v>94689</v>
      </c>
      <c r="C51" s="1164">
        <f>'Assets(MOFA)'!I52</f>
        <v>35854</v>
      </c>
      <c r="D51" s="1164">
        <f>('Assets(MOFA)'!AP52+'Assets(MOFA)'!BS52)</f>
        <v>97223</v>
      </c>
      <c r="E51" s="1164">
        <f>'Assets(MOFA)'!BS52</f>
        <v>-12485</v>
      </c>
      <c r="F51" s="828"/>
      <c r="G51" s="918"/>
      <c r="H51" s="1153">
        <f t="shared" si="7"/>
        <v>2.6409605622803594</v>
      </c>
      <c r="I51" s="1153">
        <f t="shared" si="8"/>
        <v>1.0267612922303542</v>
      </c>
      <c r="J51" s="1153">
        <f t="shared" si="0"/>
        <v>0.73057703434853505</v>
      </c>
      <c r="K51" s="1153">
        <f t="shared" si="1"/>
        <v>2.7116360796563841</v>
      </c>
      <c r="L51" s="1153">
        <f t="shared" si="2"/>
        <v>1.1284161155282186</v>
      </c>
      <c r="M51" s="890">
        <f t="shared" si="3"/>
        <v>3.0598538517320244</v>
      </c>
      <c r="Q51" s="1180">
        <f t="shared" si="4"/>
        <v>0</v>
      </c>
    </row>
    <row r="52" spans="1:17">
      <c r="A52" s="826">
        <v>2008</v>
      </c>
      <c r="B52" s="1163">
        <f>'Assets(MOFA)'!KL53</f>
        <v>110603</v>
      </c>
      <c r="C52" s="1164">
        <f>'Assets(MOFA)'!I53</f>
        <v>40250</v>
      </c>
      <c r="D52" s="1164">
        <f>('Assets(MOFA)'!AP53+'Assets(MOFA)'!BS53)</f>
        <v>93569</v>
      </c>
      <c r="E52" s="1164">
        <f>'Assets(MOFA)'!BS53</f>
        <v>-11616</v>
      </c>
      <c r="F52" s="830"/>
      <c r="G52" s="918"/>
      <c r="H52" s="1153">
        <f t="shared" si="7"/>
        <v>2.7479006211180126</v>
      </c>
      <c r="I52" s="1153">
        <f t="shared" si="8"/>
        <v>0.845989710948166</v>
      </c>
      <c r="J52" s="1153">
        <f t="shared" si="0"/>
        <v>0.69922058900455097</v>
      </c>
      <c r="K52" s="1153">
        <f t="shared" si="1"/>
        <v>2.3246956521739137</v>
      </c>
      <c r="L52" s="1153">
        <f t="shared" si="2"/>
        <v>1.1241436800649789</v>
      </c>
      <c r="M52" s="890">
        <f t="shared" si="3"/>
        <v>2.6132919254658384</v>
      </c>
      <c r="Q52" s="1180">
        <f t="shared" si="4"/>
        <v>0</v>
      </c>
    </row>
    <row r="53" spans="1:17">
      <c r="A53" s="856">
        <v>2009</v>
      </c>
      <c r="B53" s="1165">
        <f>'Assets(MOFA)'!KL54</f>
        <v>124507</v>
      </c>
      <c r="C53" s="1166">
        <f>'Assets(MOFA)'!I54</f>
        <v>43225</v>
      </c>
      <c r="D53" s="1166">
        <f>('Assets(MOFA)'!AP54+'Assets(MOFA)'!BS54)</f>
        <v>97384.592330104977</v>
      </c>
      <c r="E53" s="1166">
        <f>'Assets(MOFA)'!BS54</f>
        <v>-23234.407669895027</v>
      </c>
      <c r="F53" s="884"/>
      <c r="G53" s="919"/>
      <c r="H53" s="1154">
        <f t="shared" si="7"/>
        <v>2.8804395604395605</v>
      </c>
      <c r="I53" s="1154">
        <f t="shared" si="8"/>
        <v>0.78216158392785129</v>
      </c>
      <c r="J53" s="1154">
        <f t="shared" si="0"/>
        <v>0.69258854048504792</v>
      </c>
      <c r="K53" s="1154">
        <f t="shared" si="1"/>
        <v>2.2529691690018514</v>
      </c>
      <c r="L53" s="1154">
        <f t="shared" si="2"/>
        <v>1.2385840214963086</v>
      </c>
      <c r="M53" s="892">
        <f t="shared" si="3"/>
        <v>2.7904916136495084</v>
      </c>
      <c r="Q53" s="1180">
        <f t="shared" si="4"/>
        <v>0</v>
      </c>
    </row>
    <row r="54" spans="1:17">
      <c r="A54" s="826">
        <v>2010</v>
      </c>
      <c r="B54" s="1163">
        <f>'Assets(MOFA)'!KL55</f>
        <v>126991</v>
      </c>
      <c r="C54" s="1164">
        <f>'Assets(MOFA)'!I55</f>
        <v>44131</v>
      </c>
      <c r="D54" s="1164">
        <f>('Assets(MOFA)'!AP55+'Assets(MOFA)'!BS55)</f>
        <v>105550</v>
      </c>
      <c r="E54" s="1164">
        <f>'Assets(MOFA)'!BS55</f>
        <v>-16537</v>
      </c>
      <c r="F54" s="830"/>
      <c r="G54" s="918"/>
      <c r="H54" s="1153">
        <f t="shared" si="7"/>
        <v>2.8775917155740864</v>
      </c>
      <c r="I54" s="1153">
        <f t="shared" si="8"/>
        <v>0.83116126339661867</v>
      </c>
      <c r="J54" s="1153">
        <f t="shared" si="0"/>
        <v>0.70516632037466342</v>
      </c>
      <c r="K54" s="1153">
        <f t="shared" si="1"/>
        <v>2.3917427658562005</v>
      </c>
      <c r="L54" s="1153">
        <f t="shared" si="2"/>
        <v>1.156674561819043</v>
      </c>
      <c r="M54" s="890">
        <f t="shared" si="3"/>
        <v>2.7664680156805872</v>
      </c>
      <c r="Q54" s="1180">
        <f t="shared" si="4"/>
        <v>0</v>
      </c>
    </row>
    <row r="55" spans="1:17">
      <c r="A55" s="826">
        <v>2011</v>
      </c>
      <c r="B55" s="1163">
        <f>'Assets(MOFA)'!KL56</f>
        <v>138824</v>
      </c>
      <c r="C55" s="1164">
        <f>'Assets(MOFA)'!I56</f>
        <v>48171</v>
      </c>
      <c r="D55" s="1164">
        <f>('Assets(MOFA)'!AP56+'Assets(MOFA)'!BS56)</f>
        <v>130445</v>
      </c>
      <c r="E55" s="1164">
        <f>'Assets(MOFA)'!BS56</f>
        <v>-24189</v>
      </c>
      <c r="F55" s="830"/>
      <c r="G55" s="918"/>
      <c r="H55" s="1153">
        <f t="shared" si="7"/>
        <v>2.8818998982790474</v>
      </c>
      <c r="I55" s="1153">
        <f t="shared" si="8"/>
        <v>0.93964300121016542</v>
      </c>
      <c r="J55" s="1153">
        <f t="shared" si="0"/>
        <v>0.73030971469521211</v>
      </c>
      <c r="K55" s="1153">
        <f t="shared" si="1"/>
        <v>2.707957069606195</v>
      </c>
      <c r="L55" s="1153">
        <f t="shared" si="2"/>
        <v>1.1854344742995133</v>
      </c>
      <c r="M55" s="890">
        <f t="shared" si="3"/>
        <v>3.2101056652342694</v>
      </c>
      <c r="Q55" s="1180">
        <f t="shared" si="4"/>
        <v>0</v>
      </c>
    </row>
    <row r="56" spans="1:17">
      <c r="A56" s="826">
        <v>2012</v>
      </c>
      <c r="B56" s="1163">
        <f>'Assets(MOFA)'!KL57</f>
        <v>147888</v>
      </c>
      <c r="C56" s="1164">
        <f>'Assets(MOFA)'!I57</f>
        <v>50336</v>
      </c>
      <c r="D56" s="1164">
        <f>('Assets(MOFA)'!AP57+'Assets(MOFA)'!BS57)</f>
        <v>138622</v>
      </c>
      <c r="E56" s="1164">
        <f>'Assets(MOFA)'!BS57</f>
        <v>-25154</v>
      </c>
      <c r="F56" s="830"/>
      <c r="G56" s="918"/>
      <c r="H56" s="1153">
        <f t="shared" si="7"/>
        <v>2.9380165289256199</v>
      </c>
      <c r="I56" s="1153">
        <f t="shared" si="8"/>
        <v>0.93734447690143896</v>
      </c>
      <c r="J56" s="1153">
        <f t="shared" si="0"/>
        <v>0.73361276050762603</v>
      </c>
      <c r="K56" s="1153">
        <f t="shared" si="1"/>
        <v>2.7539335664335662</v>
      </c>
      <c r="L56" s="1153">
        <f t="shared" si="2"/>
        <v>1.1814574887103058</v>
      </c>
      <c r="M56" s="890">
        <f t="shared" si="3"/>
        <v>3.2536554354736174</v>
      </c>
      <c r="Q56" s="1180">
        <f t="shared" si="4"/>
        <v>0</v>
      </c>
    </row>
    <row r="57" spans="1:17">
      <c r="A57" s="826">
        <v>2013</v>
      </c>
      <c r="B57" s="1163">
        <f>'Assets(MOFA)'!KL58</f>
        <v>157607</v>
      </c>
      <c r="C57" s="1164">
        <f>'Assets(MOFA)'!I58</f>
        <v>52921</v>
      </c>
      <c r="D57" s="1164">
        <f>('Assets(MOFA)'!AP58+'Assets(MOFA)'!BS58)</f>
        <v>131372</v>
      </c>
      <c r="E57" s="1164">
        <f>'Assets(MOFA)'!BS58</f>
        <v>-21621</v>
      </c>
      <c r="F57" s="830"/>
      <c r="G57" s="1158"/>
      <c r="H57" s="1153">
        <f t="shared" ref="H57:H58" si="9">B57/C57</f>
        <v>2.9781561194988755</v>
      </c>
      <c r="I57" s="1153">
        <f>D57/B57</f>
        <v>0.83354165741369357</v>
      </c>
      <c r="J57" s="1153">
        <f t="shared" si="0"/>
        <v>0.71284313565897783</v>
      </c>
      <c r="K57" s="1153">
        <f t="shared" si="1"/>
        <v>2.482417187883827</v>
      </c>
      <c r="L57" s="1153">
        <f t="shared" si="2"/>
        <v>1.164578448984563</v>
      </c>
      <c r="M57" s="890">
        <f t="shared" si="3"/>
        <v>2.8909695583983672</v>
      </c>
      <c r="Q57" s="1180">
        <f t="shared" si="4"/>
        <v>0</v>
      </c>
    </row>
    <row r="58" spans="1:17">
      <c r="A58" s="826">
        <v>2014</v>
      </c>
      <c r="B58" s="1163">
        <f>'Assets(MOFA)'!KL59</f>
        <v>182807</v>
      </c>
      <c r="C58" s="1164">
        <f>'Assets(MOFA)'!I59</f>
        <v>61124</v>
      </c>
      <c r="D58" s="1164">
        <f>('Assets(MOFA)'!AP59+'Assets(MOFA)'!BS59)</f>
        <v>154945</v>
      </c>
      <c r="E58" s="1164">
        <f>'Assets(MOFA)'!BS59</f>
        <v>-32196</v>
      </c>
      <c r="F58" s="830">
        <f>'Assets(MOFA)'!MT59</f>
        <v>771.3</v>
      </c>
      <c r="G58" s="1158">
        <f>'Assets(MOFA)'!I59/F58</f>
        <v>79.248022818617926</v>
      </c>
      <c r="H58" s="1153">
        <f t="shared" si="9"/>
        <v>2.990756494993783</v>
      </c>
      <c r="I58" s="1153">
        <f>D58/B58</f>
        <v>0.84758789324260009</v>
      </c>
      <c r="J58" s="1153">
        <f>D58/(D58+C58)</f>
        <v>0.71710888651310456</v>
      </c>
      <c r="K58" s="1153">
        <f>J58/(1-J58)</f>
        <v>2.5349289967934028</v>
      </c>
      <c r="L58" s="1153">
        <f>1-E58/D58</f>
        <v>1.2077898609183904</v>
      </c>
      <c r="M58" s="890">
        <f>(D58-E58)/C58</f>
        <v>3.0616615404750998</v>
      </c>
      <c r="Q58" s="1180">
        <f>M58-L58*K58</f>
        <v>0</v>
      </c>
    </row>
    <row r="59" spans="1:17">
      <c r="A59" s="826">
        <v>2015</v>
      </c>
      <c r="B59" s="1163">
        <f>'Assets(MOFA)'!KL60</f>
        <v>190359</v>
      </c>
      <c r="C59" s="1164">
        <f>'Assets(MOFA)'!I60</f>
        <v>59464</v>
      </c>
      <c r="D59" s="1164">
        <f>('Assets(MOFA)'!AP60+'Assets(MOFA)'!BS60)</f>
        <v>173445</v>
      </c>
      <c r="E59" s="1164">
        <f>'Assets(MOFA)'!BS60</f>
        <v>-32156</v>
      </c>
      <c r="F59" s="830"/>
      <c r="G59" s="1158"/>
      <c r="H59" s="1153">
        <f>B59/C59</f>
        <v>3.2012478138033096</v>
      </c>
      <c r="I59" s="1153">
        <f>D59/B59</f>
        <v>0.91114683308905808</v>
      </c>
      <c r="J59" s="1153">
        <f>D59/(D59+C59)</f>
        <v>0.74468998621779325</v>
      </c>
      <c r="K59" s="1153">
        <f>J59/(1-J59)</f>
        <v>2.9168068074801567</v>
      </c>
      <c r="L59" s="1153">
        <f>1-E59/D59</f>
        <v>1.1853959468419384</v>
      </c>
      <c r="M59" s="890">
        <f>(D59-E59)/C59</f>
        <v>3.4575709673079511</v>
      </c>
    </row>
    <row r="60" spans="1:17">
      <c r="A60" s="826">
        <v>2016</v>
      </c>
      <c r="B60" s="1163">
        <f>'Assets(MOFA)'!KL61</f>
        <v>196135</v>
      </c>
      <c r="C60" s="1164">
        <f>'Assets(MOFA)'!I61</f>
        <v>59745</v>
      </c>
      <c r="D60" s="1164">
        <f>('Assets(MOFA)'!AP61+'Assets(MOFA)'!BS61)</f>
        <v>178810</v>
      </c>
      <c r="E60" s="1164">
        <f>'Assets(MOFA)'!BS61</f>
        <v>-29854</v>
      </c>
      <c r="F60" s="830"/>
      <c r="G60" s="1158"/>
      <c r="H60" s="1153">
        <f>B60/C60</f>
        <v>3.2828688593187714</v>
      </c>
      <c r="I60" s="1153">
        <f>D60/B60</f>
        <v>0.91166798378667757</v>
      </c>
      <c r="J60" s="1153">
        <f>D60/(D60+C60)</f>
        <v>0.74955461004799728</v>
      </c>
      <c r="K60" s="1153">
        <f>J60/(1-J60)</f>
        <v>2.9928864340112136</v>
      </c>
      <c r="L60" s="1153">
        <f>1-E60/D60</f>
        <v>1.1669593423186622</v>
      </c>
      <c r="M60" s="890">
        <f>(D60-E60)/C60</f>
        <v>3.4925767846681732</v>
      </c>
    </row>
    <row r="61" spans="1:17" ht="16" thickBot="1">
      <c r="A61" s="819"/>
      <c r="B61" s="820"/>
      <c r="C61" s="821"/>
      <c r="D61" s="821"/>
      <c r="E61" s="821"/>
      <c r="F61" s="821"/>
      <c r="G61" s="822"/>
      <c r="H61" s="1157"/>
      <c r="I61" s="1157"/>
      <c r="J61" s="1151"/>
      <c r="K61" s="821"/>
      <c r="L61" s="821"/>
      <c r="M61" s="1150"/>
    </row>
    <row r="62" spans="1:17" ht="16" thickTop="1"/>
    <row r="63" spans="1:17">
      <c r="A63" s="829" t="s">
        <v>2457</v>
      </c>
    </row>
    <row r="64" spans="1:17">
      <c r="A64" s="829" t="s">
        <v>2455</v>
      </c>
    </row>
    <row r="65" spans="1:17">
      <c r="A65" s="829" t="s">
        <v>1201</v>
      </c>
    </row>
    <row r="66" spans="1:17">
      <c r="A66" s="829" t="s">
        <v>722</v>
      </c>
      <c r="B66" s="855"/>
      <c r="C66" s="855"/>
      <c r="D66" s="855"/>
      <c r="E66" s="855"/>
    </row>
    <row r="67" spans="1:17">
      <c r="A67" s="829" t="s">
        <v>723</v>
      </c>
      <c r="B67" s="855"/>
      <c r="C67" s="855"/>
      <c r="D67" s="855"/>
      <c r="E67" s="855"/>
    </row>
    <row r="68" spans="1:17">
      <c r="A68" s="829" t="s">
        <v>2456</v>
      </c>
      <c r="B68" s="855"/>
      <c r="C68" s="855"/>
      <c r="D68" s="855"/>
      <c r="E68" s="855"/>
    </row>
    <row r="69" spans="1:17" s="825" customFormat="1" ht="16" thickBot="1">
      <c r="B69" s="805"/>
      <c r="C69" s="805"/>
      <c r="D69" s="805"/>
      <c r="E69" s="805"/>
      <c r="F69" s="805"/>
      <c r="G69" s="805"/>
      <c r="H69" s="805"/>
      <c r="I69" s="805"/>
      <c r="J69" s="805"/>
      <c r="K69" s="805"/>
      <c r="L69" s="805"/>
      <c r="M69" s="805"/>
      <c r="Q69" s="1181"/>
    </row>
    <row r="70" spans="1:17" s="825" customFormat="1" ht="28" customHeight="1" thickBot="1">
      <c r="A70" s="1753" t="s">
        <v>2494</v>
      </c>
      <c r="B70" s="1754"/>
      <c r="C70" s="1754"/>
      <c r="D70" s="1754"/>
      <c r="E70" s="1754"/>
      <c r="F70" s="1754"/>
      <c r="G70" s="1754"/>
      <c r="H70" s="1754"/>
      <c r="I70" s="1754"/>
      <c r="J70" s="1754"/>
      <c r="K70" s="1754"/>
      <c r="L70" s="1754"/>
      <c r="M70" s="1755"/>
      <c r="Q70" s="1181"/>
    </row>
    <row r="71" spans="1:17" s="825" customFormat="1">
      <c r="A71" s="805"/>
      <c r="B71" s="805"/>
      <c r="C71" s="805"/>
      <c r="D71" s="805"/>
      <c r="E71" s="805"/>
      <c r="F71" s="805"/>
      <c r="G71" s="805"/>
      <c r="H71" s="805"/>
      <c r="I71" s="805"/>
      <c r="J71" s="805"/>
      <c r="K71" s="805"/>
      <c r="L71" s="805"/>
      <c r="M71" s="805"/>
      <c r="Q71" s="1181"/>
    </row>
    <row r="72" spans="1:17" s="825" customFormat="1">
      <c r="A72" s="805"/>
      <c r="B72" s="805"/>
      <c r="C72" s="805"/>
      <c r="D72" s="805"/>
      <c r="E72" s="805"/>
      <c r="F72" s="805"/>
      <c r="G72" s="805"/>
      <c r="H72" s="805"/>
      <c r="I72" s="805"/>
      <c r="J72" s="805"/>
      <c r="K72" s="805"/>
      <c r="L72" s="805"/>
      <c r="M72" s="805"/>
      <c r="Q72" s="1181"/>
    </row>
    <row r="74" spans="1:17" s="825" customFormat="1">
      <c r="A74" s="805"/>
      <c r="B74" s="805"/>
      <c r="C74" s="805"/>
      <c r="D74" s="805"/>
      <c r="E74" s="805"/>
      <c r="F74" s="805"/>
      <c r="G74" s="805"/>
      <c r="H74" s="805"/>
      <c r="I74" s="805"/>
      <c r="J74" s="805"/>
      <c r="K74" s="805"/>
      <c r="L74" s="805"/>
      <c r="M74" s="805"/>
      <c r="Q74" s="1181"/>
    </row>
  </sheetData>
  <mergeCells count="11">
    <mergeCell ref="A3:M3"/>
    <mergeCell ref="B6:M6"/>
    <mergeCell ref="A70:M70"/>
    <mergeCell ref="H7:H8"/>
    <mergeCell ref="I7:I8"/>
    <mergeCell ref="K7:K8"/>
    <mergeCell ref="M7:M8"/>
    <mergeCell ref="L7:L8"/>
    <mergeCell ref="J7:J8"/>
    <mergeCell ref="B7:E7"/>
    <mergeCell ref="F7:G7"/>
  </mergeCells>
  <pageMargins left="0.75" right="0.75" top="1" bottom="1" header="0.5" footer="0.5"/>
  <pageSetup scale="48" orientation="portrait" horizontalDpi="4294967292" verticalDpi="429496729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74"/>
  <sheetViews>
    <sheetView zoomScale="90" zoomScaleNormal="90" zoomScalePageLayoutView="90" workbookViewId="0">
      <pane xSplit="1" ySplit="9" topLeftCell="B30" activePane="bottomRight" state="frozen"/>
      <selection activeCell="X67" sqref="X67"/>
      <selection pane="topRight" activeCell="X67" sqref="X67"/>
      <selection pane="bottomLeft" activeCell="X67" sqref="X67"/>
      <selection pane="bottomRight" activeCell="B58" sqref="B58:M60"/>
    </sheetView>
  </sheetViews>
  <sheetFormatPr baseColWidth="10" defaultColWidth="9.28515625" defaultRowHeight="15" x14ac:dyDescent="0"/>
  <cols>
    <col min="1" max="1" width="16.28515625" style="805" customWidth="1"/>
    <col min="2" max="13" width="9.7109375" style="805" customWidth="1"/>
    <col min="14" max="16" width="9.28515625" style="805"/>
    <col min="17" max="17" width="9.28515625" style="1092"/>
    <col min="18" max="16384" width="9.28515625" style="805"/>
  </cols>
  <sheetData>
    <row r="1" spans="1:17">
      <c r="F1" s="829"/>
    </row>
    <row r="2" spans="1:17" ht="16" thickBot="1"/>
    <row r="3" spans="1:17" ht="32" customHeight="1" thickTop="1">
      <c r="A3" s="1793" t="s">
        <v>3213</v>
      </c>
      <c r="B3" s="1794"/>
      <c r="C3" s="1794"/>
      <c r="D3" s="1794"/>
      <c r="E3" s="1794"/>
      <c r="F3" s="1794"/>
      <c r="G3" s="1794"/>
      <c r="H3" s="1794"/>
      <c r="I3" s="1794"/>
      <c r="J3" s="1794"/>
      <c r="K3" s="1794"/>
      <c r="L3" s="1794"/>
      <c r="M3" s="1795"/>
    </row>
    <row r="4" spans="1:17" ht="12" customHeight="1">
      <c r="A4" s="806"/>
      <c r="B4" s="807"/>
      <c r="C4" s="807"/>
      <c r="D4" s="807"/>
      <c r="E4" s="807"/>
      <c r="F4" s="807"/>
      <c r="G4" s="807"/>
      <c r="H4" s="807"/>
      <c r="I4" s="807"/>
      <c r="J4" s="807"/>
      <c r="K4" s="807"/>
      <c r="L4" s="807"/>
      <c r="M4" s="808"/>
    </row>
    <row r="5" spans="1:17">
      <c r="A5" s="809"/>
      <c r="B5" s="1169" t="s">
        <v>2411</v>
      </c>
      <c r="C5" s="1169" t="s">
        <v>2412</v>
      </c>
      <c r="D5" s="1169" t="s">
        <v>2413</v>
      </c>
      <c r="E5" s="1169" t="s">
        <v>2414</v>
      </c>
      <c r="F5" s="1169" t="s">
        <v>2415</v>
      </c>
      <c r="G5" s="1169" t="s">
        <v>2416</v>
      </c>
      <c r="H5" s="1169" t="s">
        <v>2417</v>
      </c>
      <c r="I5" s="1169" t="s">
        <v>2429</v>
      </c>
      <c r="J5" s="1169" t="s">
        <v>2430</v>
      </c>
      <c r="K5" s="1169" t="s">
        <v>2431</v>
      </c>
      <c r="L5" s="1169" t="s">
        <v>2432</v>
      </c>
      <c r="M5" s="1170" t="s">
        <v>2433</v>
      </c>
    </row>
    <row r="6" spans="1:17" ht="21" customHeight="1">
      <c r="A6" s="809"/>
      <c r="B6" s="1748" t="s">
        <v>2592</v>
      </c>
      <c r="C6" s="1749"/>
      <c r="D6" s="1749"/>
      <c r="E6" s="1749"/>
      <c r="F6" s="1749"/>
      <c r="G6" s="1749"/>
      <c r="H6" s="1749"/>
      <c r="I6" s="1749"/>
      <c r="J6" s="1749"/>
      <c r="K6" s="1749"/>
      <c r="L6" s="1749"/>
      <c r="M6" s="1840"/>
    </row>
    <row r="7" spans="1:17" ht="21" customHeight="1">
      <c r="A7" s="809"/>
      <c r="B7" s="1763" t="s">
        <v>2582</v>
      </c>
      <c r="C7" s="1849"/>
      <c r="D7" s="1849"/>
      <c r="E7" s="1849"/>
      <c r="F7" s="1849" t="s">
        <v>2581</v>
      </c>
      <c r="G7" s="1850"/>
      <c r="H7" s="1851" t="s">
        <v>2577</v>
      </c>
      <c r="I7" s="1743" t="s">
        <v>2585</v>
      </c>
      <c r="J7" s="1851" t="s">
        <v>2214</v>
      </c>
      <c r="K7" s="1743" t="s">
        <v>2575</v>
      </c>
      <c r="L7" s="1743" t="s">
        <v>2583</v>
      </c>
      <c r="M7" s="1770" t="s">
        <v>2269</v>
      </c>
    </row>
    <row r="8" spans="1:17" ht="85" customHeight="1">
      <c r="A8" s="809"/>
      <c r="B8" s="1159" t="s">
        <v>2576</v>
      </c>
      <c r="C8" s="1179" t="s">
        <v>2589</v>
      </c>
      <c r="D8" s="1140" t="s">
        <v>2572</v>
      </c>
      <c r="E8" s="1138" t="s">
        <v>2443</v>
      </c>
      <c r="F8" s="1138" t="s">
        <v>2570</v>
      </c>
      <c r="G8" s="1147" t="s">
        <v>2571</v>
      </c>
      <c r="H8" s="1851"/>
      <c r="I8" s="1851"/>
      <c r="J8" s="1851"/>
      <c r="K8" s="1743"/>
      <c r="L8" s="1744"/>
      <c r="M8" s="1770"/>
      <c r="Q8" s="1092" t="s">
        <v>1146</v>
      </c>
    </row>
    <row r="9" spans="1:17" ht="33" customHeight="1">
      <c r="A9" s="809"/>
      <c r="B9" s="1160" t="s">
        <v>2573</v>
      </c>
      <c r="C9" s="1146" t="s">
        <v>2590</v>
      </c>
      <c r="D9" s="1141"/>
      <c r="E9" s="1141"/>
      <c r="F9" s="1146" t="s">
        <v>2574</v>
      </c>
      <c r="G9" s="1148" t="s">
        <v>2263</v>
      </c>
      <c r="H9" s="1141" t="s">
        <v>2265</v>
      </c>
      <c r="I9" s="1141" t="s">
        <v>2264</v>
      </c>
      <c r="J9" s="1141" t="s">
        <v>2579</v>
      </c>
      <c r="K9" s="1146" t="s">
        <v>2266</v>
      </c>
      <c r="L9" s="1137" t="s">
        <v>2268</v>
      </c>
      <c r="M9" s="1149" t="s">
        <v>2267</v>
      </c>
    </row>
    <row r="10" spans="1:17" ht="14" customHeight="1">
      <c r="A10" s="921">
        <v>1966</v>
      </c>
      <c r="B10" s="1161"/>
      <c r="C10" s="1162">
        <f>'Assets(MOFA)'!I11-'Assets(MOFA)'!AQ11/'Assets(MOFA)'!EG11</f>
        <v>540.48885802161897</v>
      </c>
      <c r="D10" s="1162">
        <f>('Assets(MOFA)'!AR11+'Assets(MOFA)'!BS11)</f>
        <v>282.58580328001131</v>
      </c>
      <c r="E10" s="1162">
        <f>'Assets(MOFA)'!BS11</f>
        <v>15</v>
      </c>
      <c r="F10" s="923"/>
      <c r="G10" s="926"/>
      <c r="H10" s="1152"/>
      <c r="I10" s="1152"/>
      <c r="J10" s="1152">
        <f t="shared" ref="J10:J57" si="0">D10/(D10+C10)</f>
        <v>0.34332948949384889</v>
      </c>
      <c r="K10" s="1152">
        <f t="shared" ref="K10:K57" si="1">J10/(1-J10)</f>
        <v>0.52283372559126495</v>
      </c>
      <c r="L10" s="1152">
        <f t="shared" ref="L10:L57" si="2">1-E10/D10</f>
        <v>0.94691877714346229</v>
      </c>
      <c r="M10" s="925">
        <f t="shared" ref="M10:M57" si="3">(D10-E10)/C10</f>
        <v>0.49508107208624114</v>
      </c>
      <c r="Q10" s="1180">
        <f t="shared" ref="Q10:Q57" si="4">M10-L10*K10</f>
        <v>0</v>
      </c>
    </row>
    <row r="11" spans="1:17" ht="14" customHeight="1">
      <c r="A11" s="826">
        <v>1967</v>
      </c>
      <c r="B11" s="1163"/>
      <c r="C11" s="1164">
        <f>'Assets(MOFA)'!I12-'Assets(MOFA)'!AQ12/'Assets(MOFA)'!EG12</f>
        <v>595.03817250340694</v>
      </c>
      <c r="D11" s="1164">
        <f>('Assets(MOFA)'!AR12+'Assets(MOFA)'!BS12)</f>
        <v>337.56256218804998</v>
      </c>
      <c r="E11" s="1164">
        <f>'Assets(MOFA)'!BS12</f>
        <v>21.681335652392143</v>
      </c>
      <c r="F11" s="828"/>
      <c r="G11" s="918"/>
      <c r="H11" s="1153"/>
      <c r="I11" s="1153"/>
      <c r="J11" s="1153">
        <f t="shared" si="0"/>
        <v>0.36195828464549701</v>
      </c>
      <c r="K11" s="1153">
        <f t="shared" si="1"/>
        <v>0.56729564217347295</v>
      </c>
      <c r="L11" s="1153">
        <f t="shared" si="2"/>
        <v>0.93577091158493497</v>
      </c>
      <c r="M11" s="890">
        <f t="shared" si="3"/>
        <v>0.5308587602148318</v>
      </c>
      <c r="Q11" s="1180">
        <f t="shared" si="4"/>
        <v>0</v>
      </c>
    </row>
    <row r="12" spans="1:17" ht="14" customHeight="1">
      <c r="A12" s="826">
        <v>1968</v>
      </c>
      <c r="B12" s="1163"/>
      <c r="C12" s="1164">
        <f>'Assets(MOFA)'!I13-'Assets(MOFA)'!AQ13/'Assets(MOFA)'!EG13</f>
        <v>678.92134816846658</v>
      </c>
      <c r="D12" s="1164">
        <f>('Assets(MOFA)'!AR13+'Assets(MOFA)'!BS13)</f>
        <v>366.39707446596498</v>
      </c>
      <c r="E12" s="1164">
        <f>'Assets(MOFA)'!BS13</f>
        <v>9.3602873609694885</v>
      </c>
      <c r="F12" s="828"/>
      <c r="G12" s="918"/>
      <c r="H12" s="1153"/>
      <c r="I12" s="1153"/>
      <c r="J12" s="1153">
        <f t="shared" si="0"/>
        <v>0.35051240515073295</v>
      </c>
      <c r="K12" s="1153">
        <f t="shared" si="1"/>
        <v>0.53967528853584923</v>
      </c>
      <c r="L12" s="1153">
        <f t="shared" si="2"/>
        <v>0.97445316020982864</v>
      </c>
      <c r="M12" s="890">
        <f t="shared" si="3"/>
        <v>0.52588829040090945</v>
      </c>
      <c r="Q12" s="1180">
        <f t="shared" si="4"/>
        <v>0</v>
      </c>
    </row>
    <row r="13" spans="1:17" ht="14" customHeight="1">
      <c r="A13" s="856">
        <v>1969</v>
      </c>
      <c r="B13" s="1165"/>
      <c r="C13" s="1166">
        <f>'Assets(MOFA)'!I14-'Assets(MOFA)'!AQ14/'Assets(MOFA)'!EG14</f>
        <v>773.89213483858146</v>
      </c>
      <c r="D13" s="1166">
        <f>('Assets(MOFA)'!AR14+'Assets(MOFA)'!BS14)</f>
        <v>437.50612456944327</v>
      </c>
      <c r="E13" s="1166">
        <f>'Assets(MOFA)'!BS14</f>
        <v>9.293598210564733</v>
      </c>
      <c r="F13" s="858"/>
      <c r="G13" s="919"/>
      <c r="H13" s="1154"/>
      <c r="I13" s="1154"/>
      <c r="J13" s="1154">
        <f t="shared" si="0"/>
        <v>0.36115796037484799</v>
      </c>
      <c r="K13" s="1154">
        <f t="shared" si="1"/>
        <v>0.56533217598948504</v>
      </c>
      <c r="L13" s="1154">
        <f t="shared" si="2"/>
        <v>0.97875778717449791</v>
      </c>
      <c r="M13" s="892">
        <f t="shared" si="3"/>
        <v>0.55332326959001232</v>
      </c>
      <c r="Q13" s="1180">
        <f t="shared" si="4"/>
        <v>0</v>
      </c>
    </row>
    <row r="14" spans="1:17" ht="14" customHeight="1">
      <c r="A14" s="863">
        <v>1970</v>
      </c>
      <c r="B14" s="1167"/>
      <c r="C14" s="1168">
        <f>'Assets(MOFA)'!I15-'Assets(MOFA)'!AQ15/'Assets(MOFA)'!EG15</f>
        <v>829.1263221406723</v>
      </c>
      <c r="D14" s="1168">
        <f>('Assets(MOFA)'!AR15+'Assets(MOFA)'!BS15)</f>
        <v>645.47739371724617</v>
      </c>
      <c r="E14" s="1168">
        <f>'Assets(MOFA)'!BS15</f>
        <v>63.665225700690335</v>
      </c>
      <c r="F14" s="865"/>
      <c r="G14" s="920"/>
      <c r="H14" s="1155"/>
      <c r="I14" s="1155"/>
      <c r="J14" s="1155">
        <f t="shared" si="0"/>
        <v>0.43772939588837945</v>
      </c>
      <c r="K14" s="1155">
        <f t="shared" si="1"/>
        <v>0.7785030778551647</v>
      </c>
      <c r="L14" s="1155">
        <f t="shared" si="2"/>
        <v>0.9013672263035456</v>
      </c>
      <c r="M14" s="894">
        <f t="shared" si="3"/>
        <v>0.70171715995508299</v>
      </c>
      <c r="Q14" s="1180">
        <f t="shared" si="4"/>
        <v>0</v>
      </c>
    </row>
    <row r="15" spans="1:17" ht="14" customHeight="1">
      <c r="A15" s="826">
        <v>1971</v>
      </c>
      <c r="B15" s="1163"/>
      <c r="C15" s="1164">
        <f>'Assets(MOFA)'!I16-'Assets(MOFA)'!AQ16/'Assets(MOFA)'!EG16</f>
        <v>903.80955078373142</v>
      </c>
      <c r="D15" s="1164">
        <f>('Assets(MOFA)'!AR16+'Assets(MOFA)'!BS16)</f>
        <v>813.90916934851828</v>
      </c>
      <c r="E15" s="1164">
        <f>'Assets(MOFA)'!BS16</f>
        <v>64.787336821198252</v>
      </c>
      <c r="F15" s="828"/>
      <c r="G15" s="918"/>
      <c r="H15" s="1153"/>
      <c r="I15" s="1153"/>
      <c r="J15" s="1153">
        <f t="shared" si="0"/>
        <v>0.47383146018566663</v>
      </c>
      <c r="K15" s="1153">
        <f t="shared" si="1"/>
        <v>0.9005317200318842</v>
      </c>
      <c r="L15" s="1153">
        <f t="shared" si="2"/>
        <v>0.92039979488982004</v>
      </c>
      <c r="M15" s="890">
        <f t="shared" si="3"/>
        <v>0.82884921040912318</v>
      </c>
      <c r="Q15" s="1180">
        <f t="shared" si="4"/>
        <v>0</v>
      </c>
    </row>
    <row r="16" spans="1:17" ht="14" customHeight="1">
      <c r="A16" s="826">
        <v>1972</v>
      </c>
      <c r="B16" s="1163"/>
      <c r="C16" s="1164">
        <f>'Assets(MOFA)'!I17-'Assets(MOFA)'!AQ17/'Assets(MOFA)'!EG17</f>
        <v>1032.3946022751168</v>
      </c>
      <c r="D16" s="1164">
        <f>('Assets(MOFA)'!AR17+'Assets(MOFA)'!BS17)</f>
        <v>901.84902019052004</v>
      </c>
      <c r="E16" s="1164">
        <f>'Assets(MOFA)'!BS17</f>
        <v>46.464129671623184</v>
      </c>
      <c r="F16" s="828"/>
      <c r="G16" s="918"/>
      <c r="H16" s="1153"/>
      <c r="I16" s="1153"/>
      <c r="J16" s="1153">
        <f t="shared" si="0"/>
        <v>0.46625410042242083</v>
      </c>
      <c r="K16" s="1153">
        <f t="shared" si="1"/>
        <v>0.8735506929260286</v>
      </c>
      <c r="L16" s="1153">
        <f t="shared" si="2"/>
        <v>0.94847903736502659</v>
      </c>
      <c r="M16" s="890">
        <f t="shared" si="3"/>
        <v>0.82854452031603165</v>
      </c>
      <c r="Q16" s="1180">
        <f t="shared" si="4"/>
        <v>0</v>
      </c>
    </row>
    <row r="17" spans="1:17" ht="14" customHeight="1">
      <c r="A17" s="826">
        <v>1973</v>
      </c>
      <c r="B17" s="1163"/>
      <c r="C17" s="1164">
        <f>'Assets(MOFA)'!I18-'Assets(MOFA)'!AQ18/'Assets(MOFA)'!EG18</f>
        <v>1229.5740522503863</v>
      </c>
      <c r="D17" s="1164">
        <f>('Assets(MOFA)'!AR18+'Assets(MOFA)'!BS18)</f>
        <v>1029.8562657267744</v>
      </c>
      <c r="E17" s="1164">
        <f>'Assets(MOFA)'!BS18</f>
        <v>-49.028696262701473</v>
      </c>
      <c r="F17" s="828"/>
      <c r="G17" s="918"/>
      <c r="H17" s="1153"/>
      <c r="I17" s="1153"/>
      <c r="J17" s="1153">
        <f t="shared" si="0"/>
        <v>0.4558035083147825</v>
      </c>
      <c r="K17" s="1153">
        <f t="shared" si="1"/>
        <v>0.83757156703324598</v>
      </c>
      <c r="L17" s="1153">
        <f t="shared" si="2"/>
        <v>1.0476073194817159</v>
      </c>
      <c r="M17" s="890">
        <f t="shared" si="3"/>
        <v>0.87744610421379921</v>
      </c>
      <c r="Q17" s="1180">
        <f t="shared" si="4"/>
        <v>0</v>
      </c>
    </row>
    <row r="18" spans="1:17" ht="14" customHeight="1">
      <c r="A18" s="826">
        <v>1974</v>
      </c>
      <c r="B18" s="1163"/>
      <c r="C18" s="1164">
        <f>'Assets(MOFA)'!I19-'Assets(MOFA)'!AQ19/'Assets(MOFA)'!EG19</f>
        <v>1631.0136628936107</v>
      </c>
      <c r="D18" s="1164">
        <f>('Assets(MOFA)'!AR19+'Assets(MOFA)'!BS19)</f>
        <v>1289.3172042065053</v>
      </c>
      <c r="E18" s="1164">
        <f>'Assets(MOFA)'!BS19</f>
        <v>-144.52152219702612</v>
      </c>
      <c r="F18" s="828"/>
      <c r="G18" s="918"/>
      <c r="H18" s="1153"/>
      <c r="I18" s="1153"/>
      <c r="J18" s="1153">
        <f t="shared" si="0"/>
        <v>0.44149696143396083</v>
      </c>
      <c r="K18" s="1153">
        <f t="shared" si="1"/>
        <v>0.79050055406593245</v>
      </c>
      <c r="L18" s="1153">
        <f t="shared" si="2"/>
        <v>1.1120915176851069</v>
      </c>
      <c r="M18" s="890">
        <f t="shared" si="3"/>
        <v>0.87910896090210078</v>
      </c>
      <c r="Q18" s="1180">
        <f t="shared" si="4"/>
        <v>0</v>
      </c>
    </row>
    <row r="19" spans="1:17" ht="14" customHeight="1">
      <c r="A19" s="826">
        <v>1975</v>
      </c>
      <c r="B19" s="1163"/>
      <c r="C19" s="1164">
        <f>'Assets(MOFA)'!I20-'Assets(MOFA)'!AQ20/'Assets(MOFA)'!EG20</f>
        <v>2028.136408976447</v>
      </c>
      <c r="D19" s="1164">
        <f>('Assets(MOFA)'!AR20+'Assets(MOFA)'!BS20)</f>
        <v>1481.6217312852104</v>
      </c>
      <c r="E19" s="1164">
        <f>'Assets(MOFA)'!BS20</f>
        <v>-240.01434813135077</v>
      </c>
      <c r="F19" s="828"/>
      <c r="G19" s="918"/>
      <c r="H19" s="1153"/>
      <c r="I19" s="1153"/>
      <c r="J19" s="1153">
        <f t="shared" si="0"/>
        <v>0.42214354154179795</v>
      </c>
      <c r="K19" s="1153">
        <f t="shared" si="1"/>
        <v>0.73053356999441199</v>
      </c>
      <c r="L19" s="1153">
        <f t="shared" si="2"/>
        <v>1.1619943492075766</v>
      </c>
      <c r="M19" s="890">
        <f t="shared" si="3"/>
        <v>0.84887588023994431</v>
      </c>
      <c r="Q19" s="1180">
        <f t="shared" si="4"/>
        <v>0</v>
      </c>
    </row>
    <row r="20" spans="1:17" ht="14" customHeight="1">
      <c r="A20" s="826">
        <v>1976</v>
      </c>
      <c r="B20" s="1163"/>
      <c r="C20" s="1164">
        <f>'Assets(MOFA)'!I21-'Assets(MOFA)'!AQ21/'Assets(MOFA)'!EG21</f>
        <v>2685.4390633257913</v>
      </c>
      <c r="D20" s="1164">
        <f>('Assets(MOFA)'!AR21+'Assets(MOFA)'!BS21)</f>
        <v>2088.6269741537953</v>
      </c>
      <c r="E20" s="1164">
        <f>'Assets(MOFA)'!BS21</f>
        <v>-335.50717406567537</v>
      </c>
      <c r="F20" s="828"/>
      <c r="G20" s="918"/>
      <c r="H20" s="1153"/>
      <c r="I20" s="1153"/>
      <c r="J20" s="1153">
        <f t="shared" si="0"/>
        <v>0.43749436177813372</v>
      </c>
      <c r="K20" s="1153">
        <f t="shared" si="1"/>
        <v>0.77775995839098599</v>
      </c>
      <c r="L20" s="1153">
        <f t="shared" si="2"/>
        <v>1.1606352777290956</v>
      </c>
      <c r="M20" s="890">
        <f t="shared" si="3"/>
        <v>0.90269564531369162</v>
      </c>
      <c r="Q20" s="1180">
        <f t="shared" si="4"/>
        <v>0</v>
      </c>
    </row>
    <row r="21" spans="1:17" ht="14" customHeight="1">
      <c r="A21" s="826">
        <v>1977</v>
      </c>
      <c r="B21" s="1163">
        <f>T.A11!B21-'Assets(MOFA)'!AQ22*T.A13!B21/(T.A13!D21-T.A13!E21)</f>
        <v>6012.2086643817602</v>
      </c>
      <c r="C21" s="1164">
        <f>'Assets(MOFA)'!I22-'Assets(MOFA)'!AQ22/'Assets(MOFA)'!EG22</f>
        <v>3460.5957828458954</v>
      </c>
      <c r="D21" s="1164">
        <f>('Assets(MOFA)'!AR22+'Assets(MOFA)'!BS22)</f>
        <v>2572.7342380231407</v>
      </c>
      <c r="E21" s="1164">
        <f>'Assets(MOFA)'!BS22</f>
        <v>-431</v>
      </c>
      <c r="F21" s="828"/>
      <c r="G21" s="918"/>
      <c r="H21" s="1153">
        <f t="shared" ref="H21:H38" si="5">B21/C21</f>
        <v>1.7373334077860694</v>
      </c>
      <c r="I21" s="1153">
        <f t="shared" ref="I21:I38" si="6">D21/B21</f>
        <v>0.42791832114291678</v>
      </c>
      <c r="J21" s="1153">
        <f t="shared" si="0"/>
        <v>0.42642027356769158</v>
      </c>
      <c r="K21" s="1153">
        <f t="shared" si="1"/>
        <v>0.74343679512531724</v>
      </c>
      <c r="L21" s="1153">
        <f t="shared" si="2"/>
        <v>1.1675260482136607</v>
      </c>
      <c r="M21" s="890">
        <f t="shared" si="3"/>
        <v>0.86798182350929043</v>
      </c>
      <c r="Q21" s="1180">
        <f t="shared" si="4"/>
        <v>0</v>
      </c>
    </row>
    <row r="22" spans="1:17" ht="14" customHeight="1">
      <c r="A22" s="826">
        <v>1978</v>
      </c>
      <c r="B22" s="1163">
        <f>T.A11!B22-'Assets(MOFA)'!AQ23*T.A13!B22/(T.A13!D22-T.A13!E22)</f>
        <v>5888.9456208443453</v>
      </c>
      <c r="C22" s="1164">
        <f>'Assets(MOFA)'!I23-'Assets(MOFA)'!AQ23/'Assets(MOFA)'!EG23</f>
        <v>3827.1332933109488</v>
      </c>
      <c r="D22" s="1164">
        <f>('Assets(MOFA)'!AR23+'Assets(MOFA)'!BS23)</f>
        <v>3120.1246999051377</v>
      </c>
      <c r="E22" s="1164">
        <f>'Assets(MOFA)'!BS23</f>
        <v>-991.6</v>
      </c>
      <c r="F22" s="828"/>
      <c r="G22" s="918"/>
      <c r="H22" s="1153">
        <f t="shared" si="5"/>
        <v>1.5387354370795043</v>
      </c>
      <c r="I22" s="1153">
        <f t="shared" si="6"/>
        <v>0.52982739199717388</v>
      </c>
      <c r="J22" s="1153">
        <f t="shared" si="0"/>
        <v>0.44911599698066518</v>
      </c>
      <c r="K22" s="1153">
        <f t="shared" si="1"/>
        <v>0.81526418360146535</v>
      </c>
      <c r="L22" s="1153">
        <f t="shared" si="2"/>
        <v>1.3178078107038953</v>
      </c>
      <c r="M22" s="890">
        <f t="shared" si="3"/>
        <v>1.0743615089371454</v>
      </c>
      <c r="Q22" s="1180">
        <f t="shared" si="4"/>
        <v>0</v>
      </c>
    </row>
    <row r="23" spans="1:17" ht="14" customHeight="1">
      <c r="A23" s="856">
        <v>1979</v>
      </c>
      <c r="B23" s="1165">
        <f>T.A11!B23-'Assets(MOFA)'!AQ24*T.A13!B23/(T.A13!D23-T.A13!E23)</f>
        <v>5394.0822554164051</v>
      </c>
      <c r="C23" s="1166">
        <f>'Assets(MOFA)'!I24-'Assets(MOFA)'!AQ24/'Assets(MOFA)'!EG24</f>
        <v>4122.6666469567517</v>
      </c>
      <c r="D23" s="1166">
        <f>('Assets(MOFA)'!AR24+'Assets(MOFA)'!BS24)</f>
        <v>4143.4902163027709</v>
      </c>
      <c r="E23" s="1166">
        <f>'Assets(MOFA)'!BS24</f>
        <v>-1552.1999999999998</v>
      </c>
      <c r="F23" s="858"/>
      <c r="G23" s="919"/>
      <c r="H23" s="1154">
        <f t="shared" si="5"/>
        <v>1.3083964136169439</v>
      </c>
      <c r="I23" s="1154">
        <f t="shared" si="6"/>
        <v>0.76815480745443454</v>
      </c>
      <c r="J23" s="1154">
        <f t="shared" si="0"/>
        <v>0.50125956775866265</v>
      </c>
      <c r="K23" s="1154">
        <f t="shared" si="1"/>
        <v>1.0050509951759963</v>
      </c>
      <c r="L23" s="1154">
        <f t="shared" si="2"/>
        <v>1.3746117207886219</v>
      </c>
      <c r="M23" s="892">
        <f t="shared" si="3"/>
        <v>1.3815548779591931</v>
      </c>
      <c r="Q23" s="1180">
        <f t="shared" si="4"/>
        <v>0</v>
      </c>
    </row>
    <row r="24" spans="1:17" ht="14" customHeight="1">
      <c r="A24" s="863">
        <v>1980</v>
      </c>
      <c r="B24" s="1167">
        <f>T.A11!B24-'Assets(MOFA)'!AQ25*T.A13!B24/(T.A13!D24-T.A13!E24)</f>
        <v>3863.6502171394486</v>
      </c>
      <c r="C24" s="1168">
        <f>'Assets(MOFA)'!I25-'Assets(MOFA)'!AQ25/'Assets(MOFA)'!EG25</f>
        <v>4135.5434887282236</v>
      </c>
      <c r="D24" s="1168">
        <f>('Assets(MOFA)'!AR25+'Assets(MOFA)'!BS25)</f>
        <v>4050.4434047906529</v>
      </c>
      <c r="E24" s="1168">
        <f>'Assets(MOFA)'!BS25</f>
        <v>-2112.7999999999997</v>
      </c>
      <c r="F24" s="865"/>
      <c r="G24" s="920"/>
      <c r="H24" s="1155">
        <f t="shared" si="5"/>
        <v>0.93425452486962279</v>
      </c>
      <c r="I24" s="1155">
        <f t="shared" si="6"/>
        <v>1.0483462987468626</v>
      </c>
      <c r="J24" s="1155">
        <f t="shared" si="0"/>
        <v>0.49480208769910516</v>
      </c>
      <c r="K24" s="1155">
        <f t="shared" si="1"/>
        <v>0.97942227323457753</v>
      </c>
      <c r="L24" s="1155">
        <f t="shared" si="2"/>
        <v>1.5216219037898642</v>
      </c>
      <c r="M24" s="894">
        <f t="shared" si="3"/>
        <v>1.4903103840133947</v>
      </c>
      <c r="Q24" s="1180">
        <f t="shared" si="4"/>
        <v>0</v>
      </c>
    </row>
    <row r="25" spans="1:17" ht="14" customHeight="1">
      <c r="A25" s="826">
        <v>1981</v>
      </c>
      <c r="B25" s="1163">
        <f>T.A11!B25-'Assets(MOFA)'!AQ26*T.A13!B25/(T.A13!D25-T.A13!E25)</f>
        <v>5489.2784567905546</v>
      </c>
      <c r="C25" s="1164">
        <f>'Assets(MOFA)'!I26-'Assets(MOFA)'!AQ26/'Assets(MOFA)'!EG26</f>
        <v>4655.9130813948559</v>
      </c>
      <c r="D25" s="1164">
        <f>('Assets(MOFA)'!AR26+'Assets(MOFA)'!BS26)</f>
        <v>3275.8784671586491</v>
      </c>
      <c r="E25" s="1164">
        <f>'Assets(MOFA)'!BS26</f>
        <v>-2673.3999999999996</v>
      </c>
      <c r="F25" s="828"/>
      <c r="G25" s="918"/>
      <c r="H25" s="1153">
        <f t="shared" si="5"/>
        <v>1.1789907502195107</v>
      </c>
      <c r="I25" s="1153">
        <f t="shared" si="6"/>
        <v>0.59677760801261559</v>
      </c>
      <c r="J25" s="1153">
        <f t="shared" si="0"/>
        <v>0.41300612189639052</v>
      </c>
      <c r="K25" s="1153">
        <f t="shared" si="1"/>
        <v>0.7035952797849987</v>
      </c>
      <c r="L25" s="1153">
        <f t="shared" si="2"/>
        <v>1.8160864411794824</v>
      </c>
      <c r="M25" s="890">
        <f t="shared" si="3"/>
        <v>1.2777898476954204</v>
      </c>
      <c r="Q25" s="1180">
        <f t="shared" si="4"/>
        <v>0</v>
      </c>
    </row>
    <row r="26" spans="1:17" ht="14" customHeight="1">
      <c r="A26" s="826">
        <v>1982</v>
      </c>
      <c r="B26" s="1163">
        <f>T.A11!B26-'Assets(MOFA)'!AQ27*T.A13!B26/(T.A13!D26-T.A13!E26)</f>
        <v>6492.3068927789936</v>
      </c>
      <c r="C26" s="1164">
        <f>'Assets(MOFA)'!I27-'Assets(MOFA)'!AQ27/'Assets(MOFA)'!EG27</f>
        <v>4891.704157549234</v>
      </c>
      <c r="D26" s="1164">
        <f>('Assets(MOFA)'!AR27+'Assets(MOFA)'!BS27)</f>
        <v>3295</v>
      </c>
      <c r="E26" s="1164">
        <f>'Assets(MOFA)'!BS27</f>
        <v>-3234</v>
      </c>
      <c r="F26" s="828"/>
      <c r="G26" s="918"/>
      <c r="H26" s="1153">
        <f t="shared" si="5"/>
        <v>1.3272075913993271</v>
      </c>
      <c r="I26" s="1153">
        <f t="shared" si="6"/>
        <v>0.50752375918409409</v>
      </c>
      <c r="J26" s="1153">
        <f t="shared" si="0"/>
        <v>0.40248187018723158</v>
      </c>
      <c r="K26" s="1153">
        <f t="shared" si="1"/>
        <v>0.67358938600465357</v>
      </c>
      <c r="L26" s="1153">
        <f t="shared" si="2"/>
        <v>1.9814871016691957</v>
      </c>
      <c r="M26" s="890">
        <f t="shared" si="3"/>
        <v>1.3347086801894943</v>
      </c>
      <c r="Q26" s="1180">
        <f t="shared" si="4"/>
        <v>0</v>
      </c>
    </row>
    <row r="27" spans="1:17" ht="14" customHeight="1">
      <c r="A27" s="826">
        <v>1983</v>
      </c>
      <c r="B27" s="1163">
        <f>T.A11!B27-'Assets(MOFA)'!AQ28*T.A13!B27/(T.A13!D27-T.A13!E27)</f>
        <v>7635.1989388760758</v>
      </c>
      <c r="C27" s="1164">
        <f>'Assets(MOFA)'!I28-'Assets(MOFA)'!AQ28/'Assets(MOFA)'!EG28</f>
        <v>4865.8567498769662</v>
      </c>
      <c r="D27" s="1164">
        <f>('Assets(MOFA)'!AR28+'Assets(MOFA)'!BS28)</f>
        <v>3600.488224299635</v>
      </c>
      <c r="E27" s="1164">
        <f>'Assets(MOFA)'!BS28</f>
        <v>-3316.0000000000005</v>
      </c>
      <c r="F27" s="828"/>
      <c r="G27" s="918"/>
      <c r="H27" s="1153">
        <f t="shared" si="5"/>
        <v>1.5691376321485693</v>
      </c>
      <c r="I27" s="1153">
        <f t="shared" si="6"/>
        <v>0.47156442852681424</v>
      </c>
      <c r="J27" s="1153">
        <f t="shared" si="0"/>
        <v>0.42527067291512088</v>
      </c>
      <c r="K27" s="1153">
        <f t="shared" si="1"/>
        <v>0.73994949078405847</v>
      </c>
      <c r="L27" s="1153">
        <f t="shared" si="2"/>
        <v>1.9209862089314365</v>
      </c>
      <c r="M27" s="890">
        <f t="shared" si="3"/>
        <v>1.4214327671020155</v>
      </c>
      <c r="Q27" s="1180">
        <f t="shared" si="4"/>
        <v>0</v>
      </c>
    </row>
    <row r="28" spans="1:17" ht="14" customHeight="1">
      <c r="A28" s="826">
        <v>1984</v>
      </c>
      <c r="B28" s="1163">
        <f>T.A11!B28-'Assets(MOFA)'!AQ29*T.A13!B28/(T.A13!D28-T.A13!E28)</f>
        <v>7647.3346826249326</v>
      </c>
      <c r="C28" s="1164">
        <f>'Assets(MOFA)'!I29-'Assets(MOFA)'!AQ29/'Assets(MOFA)'!EG29</f>
        <v>4736.5917507875056</v>
      </c>
      <c r="D28" s="1164">
        <f>('Assets(MOFA)'!AR29+'Assets(MOFA)'!BS29)</f>
        <v>3950.3217025176505</v>
      </c>
      <c r="E28" s="1164">
        <f>'Assets(MOFA)'!BS29</f>
        <v>-3398.0000000000005</v>
      </c>
      <c r="F28" s="828"/>
      <c r="G28" s="918"/>
      <c r="H28" s="1153">
        <f t="shared" si="5"/>
        <v>1.6145226536260988</v>
      </c>
      <c r="I28" s="1153">
        <f t="shared" si="6"/>
        <v>0.51656189593649515</v>
      </c>
      <c r="J28" s="1153">
        <f t="shared" si="0"/>
        <v>0.45474399206943295</v>
      </c>
      <c r="K28" s="1153">
        <f t="shared" si="1"/>
        <v>0.83400088298951869</v>
      </c>
      <c r="L28" s="1153">
        <f t="shared" si="2"/>
        <v>1.8601831080831619</v>
      </c>
      <c r="M28" s="890">
        <f t="shared" si="3"/>
        <v>1.5513943546635445</v>
      </c>
      <c r="Q28" s="1180">
        <f t="shared" si="4"/>
        <v>0</v>
      </c>
    </row>
    <row r="29" spans="1:17" ht="14" customHeight="1">
      <c r="A29" s="826">
        <v>1985</v>
      </c>
      <c r="B29" s="1163">
        <f>T.A11!B29-'Assets(MOFA)'!AQ30*T.A13!B29/(T.A13!D29-T.A13!E29)</f>
        <v>8364.4194609882306</v>
      </c>
      <c r="C29" s="1164">
        <f>'Assets(MOFA)'!I30-'Assets(MOFA)'!AQ30/'Assets(MOFA)'!EG30</f>
        <v>4529.2281549428071</v>
      </c>
      <c r="D29" s="1164">
        <f>('Assets(MOFA)'!AR30+'Assets(MOFA)'!BS30)</f>
        <v>4121.1272897901581</v>
      </c>
      <c r="E29" s="1164">
        <f>'Assets(MOFA)'!BS30</f>
        <v>-3480.0000000000005</v>
      </c>
      <c r="F29" s="828"/>
      <c r="G29" s="918"/>
      <c r="H29" s="1153">
        <f t="shared" si="5"/>
        <v>1.8467648735822744</v>
      </c>
      <c r="I29" s="1153">
        <f t="shared" si="6"/>
        <v>0.49269734845450464</v>
      </c>
      <c r="J29" s="1153">
        <f t="shared" si="0"/>
        <v>0.4764113239184215</v>
      </c>
      <c r="K29" s="1153">
        <f t="shared" si="1"/>
        <v>0.909896156432905</v>
      </c>
      <c r="L29" s="1153">
        <f t="shared" si="2"/>
        <v>1.8444291465156848</v>
      </c>
      <c r="M29" s="890">
        <f t="shared" si="3"/>
        <v>1.6782389912274449</v>
      </c>
      <c r="Q29" s="1180">
        <f t="shared" si="4"/>
        <v>0</v>
      </c>
    </row>
    <row r="30" spans="1:17" ht="14" customHeight="1">
      <c r="A30" s="826">
        <v>1986</v>
      </c>
      <c r="B30" s="1163">
        <f>T.A11!B30-'Assets(MOFA)'!AQ31*T.A13!B30/(T.A13!D30-T.A13!E30)</f>
        <v>9588.0870554393932</v>
      </c>
      <c r="C30" s="1164">
        <f>'Assets(MOFA)'!I31-'Assets(MOFA)'!AQ31/'Assets(MOFA)'!EG31</f>
        <v>5453.0976678506941</v>
      </c>
      <c r="D30" s="1164">
        <f>('Assets(MOFA)'!AR31+'Assets(MOFA)'!BS31)</f>
        <v>3919.8575774321721</v>
      </c>
      <c r="E30" s="1164">
        <f>'Assets(MOFA)'!BS31</f>
        <v>-3562.0000000000005</v>
      </c>
      <c r="F30" s="828"/>
      <c r="G30" s="918"/>
      <c r="H30" s="1153">
        <f t="shared" si="5"/>
        <v>1.7582826568405259</v>
      </c>
      <c r="I30" s="1153">
        <f t="shared" si="6"/>
        <v>0.4088258225824522</v>
      </c>
      <c r="J30" s="1153">
        <f t="shared" si="0"/>
        <v>0.41820935605180887</v>
      </c>
      <c r="K30" s="1153">
        <f t="shared" si="1"/>
        <v>0.71883135351528737</v>
      </c>
      <c r="L30" s="1153">
        <f t="shared" si="2"/>
        <v>1.9087064847732051</v>
      </c>
      <c r="M30" s="890">
        <f t="shared" si="3"/>
        <v>1.3720380659129294</v>
      </c>
      <c r="Q30" s="1180">
        <f t="shared" si="4"/>
        <v>0</v>
      </c>
    </row>
    <row r="31" spans="1:17" ht="14" customHeight="1">
      <c r="A31" s="826">
        <v>1987</v>
      </c>
      <c r="B31" s="1163">
        <f>T.A11!B31-'Assets(MOFA)'!AQ32*T.A13!B31/(T.A13!D31-T.A13!E31)</f>
        <v>10324.299932341677</v>
      </c>
      <c r="C31" s="1164">
        <f>'Assets(MOFA)'!I32-'Assets(MOFA)'!AQ32/'Assets(MOFA)'!EG32</f>
        <v>6636.3118603825069</v>
      </c>
      <c r="D31" s="1164">
        <f>('Assets(MOFA)'!AR32+'Assets(MOFA)'!BS32)</f>
        <v>7514.6530809387632</v>
      </c>
      <c r="E31" s="1164">
        <f>'Assets(MOFA)'!BS32</f>
        <v>-3644.0000000000009</v>
      </c>
      <c r="F31" s="828"/>
      <c r="G31" s="918"/>
      <c r="H31" s="1153">
        <f t="shared" si="5"/>
        <v>1.5557285657378073</v>
      </c>
      <c r="I31" s="1153">
        <f t="shared" si="6"/>
        <v>0.72786078767418649</v>
      </c>
      <c r="J31" s="1153">
        <f t="shared" si="0"/>
        <v>0.5310346758754052</v>
      </c>
      <c r="K31" s="1153">
        <f t="shared" si="1"/>
        <v>1.1323538192651528</v>
      </c>
      <c r="L31" s="1153">
        <f t="shared" si="2"/>
        <v>1.4849192585141637</v>
      </c>
      <c r="M31" s="890">
        <f t="shared" si="3"/>
        <v>1.6814539936788921</v>
      </c>
      <c r="Q31" s="1180">
        <f t="shared" si="4"/>
        <v>0</v>
      </c>
    </row>
    <row r="32" spans="1:17" ht="14" customHeight="1">
      <c r="A32" s="826">
        <v>1988</v>
      </c>
      <c r="B32" s="1163">
        <f>T.A11!B32-'Assets(MOFA)'!AQ33*T.A13!B32/(T.A13!D32-T.A13!E32)</f>
        <v>8786.8281482314851</v>
      </c>
      <c r="C32" s="1164">
        <f>'Assets(MOFA)'!I33-'Assets(MOFA)'!AQ33/'Assets(MOFA)'!EG33</f>
        <v>7185.5788240014999</v>
      </c>
      <c r="D32" s="1164">
        <f>('Assets(MOFA)'!AR33+'Assets(MOFA)'!BS33)</f>
        <v>6513.9806959994339</v>
      </c>
      <c r="E32" s="1164">
        <f>'Assets(MOFA)'!BS33</f>
        <v>-3726.0000000000009</v>
      </c>
      <c r="F32" s="828"/>
      <c r="G32" s="918"/>
      <c r="H32" s="1153">
        <f t="shared" si="5"/>
        <v>1.2228420790377306</v>
      </c>
      <c r="I32" s="1153">
        <f t="shared" si="6"/>
        <v>0.74133470987599726</v>
      </c>
      <c r="J32" s="1153">
        <f t="shared" si="0"/>
        <v>0.47548833132110729</v>
      </c>
      <c r="K32" s="1153">
        <f t="shared" si="1"/>
        <v>0.90653527788759725</v>
      </c>
      <c r="L32" s="1153">
        <f t="shared" si="2"/>
        <v>1.5720004669784062</v>
      </c>
      <c r="M32" s="890">
        <f t="shared" si="3"/>
        <v>1.4250738801717022</v>
      </c>
      <c r="Q32" s="1180">
        <f t="shared" si="4"/>
        <v>0</v>
      </c>
    </row>
    <row r="33" spans="1:17" ht="14" customHeight="1">
      <c r="A33" s="856">
        <v>1989</v>
      </c>
      <c r="B33" s="1165">
        <f>T.A11!B33-'Assets(MOFA)'!AQ34*T.A13!B33/(T.A13!D33-T.A13!E33)</f>
        <v>11424.37172156359</v>
      </c>
      <c r="C33" s="1166">
        <f>'Assets(MOFA)'!I34-'Assets(MOFA)'!AQ34/'Assets(MOFA)'!EG34</f>
        <v>8510.6904748643065</v>
      </c>
      <c r="D33" s="1166">
        <f>('Assets(MOFA)'!AR34+'Assets(MOFA)'!BS34)</f>
        <v>9674.2545266900488</v>
      </c>
      <c r="E33" s="1166">
        <f>'Assets(MOFA)'!BS34</f>
        <v>-3808</v>
      </c>
      <c r="F33" s="858"/>
      <c r="G33" s="919"/>
      <c r="H33" s="1154">
        <f t="shared" si="5"/>
        <v>1.3423554475755668</v>
      </c>
      <c r="I33" s="1154">
        <f t="shared" si="6"/>
        <v>0.84680845148182804</v>
      </c>
      <c r="J33" s="1154">
        <f t="shared" si="0"/>
        <v>0.5319925095106498</v>
      </c>
      <c r="K33" s="1154">
        <f t="shared" si="1"/>
        <v>1.1367179378996619</v>
      </c>
      <c r="L33" s="1154">
        <f t="shared" si="2"/>
        <v>1.3936220604382703</v>
      </c>
      <c r="M33" s="892">
        <f t="shared" si="3"/>
        <v>1.5841551947528685</v>
      </c>
      <c r="Q33" s="1180">
        <f t="shared" si="4"/>
        <v>0</v>
      </c>
    </row>
    <row r="34" spans="1:17" ht="14" customHeight="1">
      <c r="A34" s="863">
        <v>1990</v>
      </c>
      <c r="B34" s="1167">
        <f>T.A11!B34-'Assets(MOFA)'!AQ35*T.A13!B34/(T.A13!D34-T.A13!E34)</f>
        <v>14839.391759521845</v>
      </c>
      <c r="C34" s="1168">
        <f>'Assets(MOFA)'!I35-'Assets(MOFA)'!AQ35/'Assets(MOFA)'!EG35</f>
        <v>9976.2100951743996</v>
      </c>
      <c r="D34" s="1168">
        <f>('Assets(MOFA)'!AR35+'Assets(MOFA)'!BS35)</f>
        <v>11785.191003498627</v>
      </c>
      <c r="E34" s="1168">
        <f>'Assets(MOFA)'!BS35</f>
        <v>-3676.4</v>
      </c>
      <c r="F34" s="865"/>
      <c r="G34" s="920"/>
      <c r="H34" s="1155">
        <f t="shared" si="5"/>
        <v>1.4874778716518628</v>
      </c>
      <c r="I34" s="1155">
        <f t="shared" si="6"/>
        <v>0.79418288798370329</v>
      </c>
      <c r="J34" s="1155">
        <f t="shared" si="0"/>
        <v>0.54156398064907996</v>
      </c>
      <c r="K34" s="1155">
        <f t="shared" si="1"/>
        <v>1.1813294719203287</v>
      </c>
      <c r="L34" s="1155">
        <f t="shared" si="2"/>
        <v>1.3119508202207839</v>
      </c>
      <c r="M34" s="894">
        <f t="shared" si="3"/>
        <v>1.5498461696368608</v>
      </c>
      <c r="Q34" s="1180">
        <f t="shared" si="4"/>
        <v>0</v>
      </c>
    </row>
    <row r="35" spans="1:17" ht="14" customHeight="1">
      <c r="A35" s="826">
        <v>1991</v>
      </c>
      <c r="B35" s="1163">
        <f>T.A11!B35-'Assets(MOFA)'!AQ36*T.A13!B35/(T.A13!D35-T.A13!E35)</f>
        <v>15179.877623874498</v>
      </c>
      <c r="C35" s="1164">
        <f>'Assets(MOFA)'!I36-'Assets(MOFA)'!AQ36/'Assets(MOFA)'!EG36</f>
        <v>10924.907683381816</v>
      </c>
      <c r="D35" s="1164">
        <f>('Assets(MOFA)'!AR36+'Assets(MOFA)'!BS36)</f>
        <v>10625.746640410722</v>
      </c>
      <c r="E35" s="1164">
        <f>'Assets(MOFA)'!BS36</f>
        <v>-3544.7999999999997</v>
      </c>
      <c r="F35" s="828"/>
      <c r="G35" s="918"/>
      <c r="H35" s="1153">
        <f t="shared" si="5"/>
        <v>1.389474223838526</v>
      </c>
      <c r="I35" s="1153">
        <f t="shared" si="6"/>
        <v>0.69998895272375827</v>
      </c>
      <c r="J35" s="1153">
        <f t="shared" si="0"/>
        <v>0.49305911926208174</v>
      </c>
      <c r="K35" s="1153">
        <f t="shared" si="1"/>
        <v>0.97261660678138662</v>
      </c>
      <c r="L35" s="1153">
        <f t="shared" si="2"/>
        <v>1.3336047922052638</v>
      </c>
      <c r="M35" s="890">
        <f t="shared" si="3"/>
        <v>1.29708616778208</v>
      </c>
      <c r="Q35" s="1180">
        <f t="shared" si="4"/>
        <v>0</v>
      </c>
    </row>
    <row r="36" spans="1:17" ht="14" customHeight="1">
      <c r="A36" s="826">
        <v>1992</v>
      </c>
      <c r="B36" s="1163">
        <f>T.A11!B36-'Assets(MOFA)'!AQ37*T.A13!B36/(T.A13!D36-T.A13!E36)</f>
        <v>19350.427602129927</v>
      </c>
      <c r="C36" s="1164">
        <f>'Assets(MOFA)'!I37-'Assets(MOFA)'!AQ37/'Assets(MOFA)'!EG37</f>
        <v>11452.552208995665</v>
      </c>
      <c r="D36" s="1164">
        <f>('Assets(MOFA)'!AR37+'Assets(MOFA)'!BS37)</f>
        <v>9378.0864102749729</v>
      </c>
      <c r="E36" s="1164">
        <f>'Assets(MOFA)'!BS37</f>
        <v>-3413.1999999999994</v>
      </c>
      <c r="F36" s="828"/>
      <c r="G36" s="918"/>
      <c r="H36" s="1153">
        <f t="shared" si="5"/>
        <v>1.689617060809441</v>
      </c>
      <c r="I36" s="1153">
        <f t="shared" si="6"/>
        <v>0.48464491860855391</v>
      </c>
      <c r="J36" s="1153">
        <f t="shared" si="0"/>
        <v>0.45020638021146453</v>
      </c>
      <c r="K36" s="1153">
        <f t="shared" si="1"/>
        <v>0.81886432291561562</v>
      </c>
      <c r="L36" s="1153">
        <f t="shared" si="2"/>
        <v>1.3639548465090248</v>
      </c>
      <c r="M36" s="890">
        <f t="shared" si="3"/>
        <v>1.116893961874085</v>
      </c>
      <c r="Q36" s="1180">
        <f t="shared" si="4"/>
        <v>0</v>
      </c>
    </row>
    <row r="37" spans="1:17" ht="14" customHeight="1">
      <c r="A37" s="826">
        <v>1993</v>
      </c>
      <c r="B37" s="1163">
        <f>T.A11!B37-'Assets(MOFA)'!AQ38*T.A13!B37/(T.A13!D37-T.A13!E37)</f>
        <v>21213.134282626423</v>
      </c>
      <c r="C37" s="1164">
        <f>'Assets(MOFA)'!I38-'Assets(MOFA)'!AQ38/'Assets(MOFA)'!EG38</f>
        <v>12204.577219434337</v>
      </c>
      <c r="D37" s="1164">
        <f>('Assets(MOFA)'!AR38+'Assets(MOFA)'!BS38)</f>
        <v>10203.516344350748</v>
      </c>
      <c r="E37" s="1164">
        <f>'Assets(MOFA)'!BS38</f>
        <v>-3281.599999999999</v>
      </c>
      <c r="F37" s="828"/>
      <c r="G37" s="918"/>
      <c r="H37" s="1153">
        <f t="shared" si="5"/>
        <v>1.7381293838550205</v>
      </c>
      <c r="I37" s="1153">
        <f t="shared" si="6"/>
        <v>0.48099994128201212</v>
      </c>
      <c r="J37" s="1153">
        <f t="shared" si="0"/>
        <v>0.4553495956854266</v>
      </c>
      <c r="K37" s="1153">
        <f t="shared" si="1"/>
        <v>0.83604013157480472</v>
      </c>
      <c r="L37" s="1153">
        <f t="shared" si="2"/>
        <v>1.3216146168881164</v>
      </c>
      <c r="M37" s="890">
        <f t="shared" si="3"/>
        <v>1.104922858194326</v>
      </c>
      <c r="Q37" s="1180">
        <f t="shared" si="4"/>
        <v>0</v>
      </c>
    </row>
    <row r="38" spans="1:17" ht="14" customHeight="1">
      <c r="A38" s="826">
        <v>1994</v>
      </c>
      <c r="B38" s="1163">
        <f>T.A11!B38-'Assets(MOFA)'!AQ39*T.A13!B38/(T.A13!D38-T.A13!E38)</f>
        <v>22583.545175254854</v>
      </c>
      <c r="C38" s="1164">
        <f>'Assets(MOFA)'!I39-'Assets(MOFA)'!AQ39/'Assets(MOFA)'!EG39</f>
        <v>14061.362100265325</v>
      </c>
      <c r="D38" s="1164">
        <f>('Assets(MOFA)'!AR39+'Assets(MOFA)'!BS39)</f>
        <v>12212</v>
      </c>
      <c r="E38" s="1164">
        <f>'Assets(MOFA)'!BS39</f>
        <v>-3150</v>
      </c>
      <c r="F38" s="828"/>
      <c r="G38" s="918"/>
      <c r="H38" s="1153">
        <f t="shared" si="5"/>
        <v>1.6060709491883949</v>
      </c>
      <c r="I38" s="1153">
        <f t="shared" si="6"/>
        <v>0.54074769506874765</v>
      </c>
      <c r="J38" s="1153">
        <f t="shared" si="0"/>
        <v>0.4648053779107576</v>
      </c>
      <c r="K38" s="1153">
        <f t="shared" si="1"/>
        <v>0.86847916389050039</v>
      </c>
      <c r="L38" s="1153">
        <f t="shared" si="2"/>
        <v>1.2579430068784803</v>
      </c>
      <c r="M38" s="890">
        <f t="shared" si="3"/>
        <v>1.0924972908357244</v>
      </c>
      <c r="Q38" s="1180">
        <f t="shared" si="4"/>
        <v>0</v>
      </c>
    </row>
    <row r="39" spans="1:17">
      <c r="A39" s="826">
        <v>1995</v>
      </c>
      <c r="B39" s="1163">
        <f>T.A11!B39-'Assets(MOFA)'!AQ40*T.A13!B39/(T.A13!D39-T.A13!E39)</f>
        <v>27479.046424666816</v>
      </c>
      <c r="C39" s="1164">
        <f>'Assets(MOFA)'!I40-'Assets(MOFA)'!AQ40/'Assets(MOFA)'!EG40</f>
        <v>15867.509347162346</v>
      </c>
      <c r="D39" s="1164">
        <f>('Assets(MOFA)'!AR40+'Assets(MOFA)'!BS40)</f>
        <v>18290.902365651567</v>
      </c>
      <c r="E39" s="1164">
        <f>'Assets(MOFA)'!BS40</f>
        <v>-4882</v>
      </c>
      <c r="F39" s="828"/>
      <c r="G39" s="918"/>
      <c r="H39" s="1153">
        <f t="shared" ref="H39:H57" si="7">B39/C39</f>
        <v>1.7317806987509992</v>
      </c>
      <c r="I39" s="1153">
        <f t="shared" ref="I39:I57" si="8">D39/B39</f>
        <v>0.66563089864838154</v>
      </c>
      <c r="J39" s="1153">
        <f t="shared" si="0"/>
        <v>0.53547285861625893</v>
      </c>
      <c r="K39" s="1153">
        <f t="shared" si="1"/>
        <v>1.1527267427715495</v>
      </c>
      <c r="L39" s="1153">
        <f t="shared" si="2"/>
        <v>1.2669086468455428</v>
      </c>
      <c r="M39" s="890">
        <f t="shared" si="3"/>
        <v>1.4603994778673741</v>
      </c>
      <c r="Q39" s="1180">
        <f t="shared" si="4"/>
        <v>0</v>
      </c>
    </row>
    <row r="40" spans="1:17">
      <c r="A40" s="826">
        <v>1996</v>
      </c>
      <c r="B40" s="1163">
        <f>T.A11!B40-'Assets(MOFA)'!AQ41*T.A13!B40/(T.A13!D40-T.A13!E40)</f>
        <v>28166.134277275909</v>
      </c>
      <c r="C40" s="1164">
        <f>'Assets(MOFA)'!I41-'Assets(MOFA)'!AQ41/'Assets(MOFA)'!EG41</f>
        <v>16868.9841154735</v>
      </c>
      <c r="D40" s="1164">
        <f>('Assets(MOFA)'!AR41+'Assets(MOFA)'!BS41)</f>
        <v>19325.6869464189</v>
      </c>
      <c r="E40" s="1164">
        <f>'Assets(MOFA)'!BS41</f>
        <v>-5136.8730726256981</v>
      </c>
      <c r="F40" s="828"/>
      <c r="G40" s="918"/>
      <c r="H40" s="1153">
        <f t="shared" si="7"/>
        <v>1.6696994960970895</v>
      </c>
      <c r="I40" s="1153">
        <f t="shared" si="8"/>
        <v>0.68613203204142315</v>
      </c>
      <c r="J40" s="1153">
        <f t="shared" si="0"/>
        <v>0.53393735540163456</v>
      </c>
      <c r="K40" s="1153">
        <f t="shared" si="1"/>
        <v>1.1456343081556362</v>
      </c>
      <c r="L40" s="1153">
        <f t="shared" si="2"/>
        <v>1.2658054581380651</v>
      </c>
      <c r="M40" s="890">
        <f t="shared" si="3"/>
        <v>1.4501501602936302</v>
      </c>
      <c r="Q40" s="1180">
        <f t="shared" si="4"/>
        <v>0</v>
      </c>
    </row>
    <row r="41" spans="1:17">
      <c r="A41" s="826">
        <v>1997</v>
      </c>
      <c r="B41" s="1163">
        <f>T.A11!B41-'Assets(MOFA)'!AQ42*T.A13!B41/(T.A13!D41-T.A13!E41)</f>
        <v>29647.755613678353</v>
      </c>
      <c r="C41" s="1164">
        <f>'Assets(MOFA)'!I42-'Assets(MOFA)'!AQ42/'Assets(MOFA)'!EG42</f>
        <v>16995.268165953519</v>
      </c>
      <c r="D41" s="1164">
        <f>('Assets(MOFA)'!AR42+'Assets(MOFA)'!BS42)</f>
        <v>24828.035127041538</v>
      </c>
      <c r="E41" s="1164">
        <f>'Assets(MOFA)'!BS42</f>
        <v>-6385.7185474860335</v>
      </c>
      <c r="F41" s="828"/>
      <c r="G41" s="918"/>
      <c r="H41" s="1153">
        <f t="shared" si="7"/>
        <v>1.7444711859899602</v>
      </c>
      <c r="I41" s="1153">
        <f t="shared" si="8"/>
        <v>0.83743388371654082</v>
      </c>
      <c r="J41" s="1153">
        <f t="shared" si="0"/>
        <v>0.59364118020778045</v>
      </c>
      <c r="K41" s="1153">
        <f t="shared" si="1"/>
        <v>1.4608792803151722</v>
      </c>
      <c r="L41" s="1153">
        <f t="shared" si="2"/>
        <v>1.2571979020817079</v>
      </c>
      <c r="M41" s="890">
        <f t="shared" si="3"/>
        <v>1.8366143664068701</v>
      </c>
      <c r="Q41" s="1180">
        <f t="shared" si="4"/>
        <v>0</v>
      </c>
    </row>
    <row r="42" spans="1:17">
      <c r="A42" s="826">
        <v>1998</v>
      </c>
      <c r="B42" s="1163">
        <f>T.A11!B42-'Assets(MOFA)'!AQ43*T.A13!B42/(T.A13!D42-T.A13!E42)</f>
        <v>30893.610950359012</v>
      </c>
      <c r="C42" s="1164">
        <f>'Assets(MOFA)'!I43-'Assets(MOFA)'!AQ43/'Assets(MOFA)'!EG43</f>
        <v>17161.408531671455</v>
      </c>
      <c r="D42" s="1164">
        <f>('Assets(MOFA)'!AR43+'Assets(MOFA)'!BS43)</f>
        <v>25401.936160825957</v>
      </c>
      <c r="E42" s="1164">
        <f>'Assets(MOFA)'!BS43</f>
        <v>-6427.8592737430172</v>
      </c>
      <c r="F42" s="828"/>
      <c r="G42" s="918"/>
      <c r="H42" s="1153">
        <f t="shared" si="7"/>
        <v>1.8001792156712964</v>
      </c>
      <c r="I42" s="1153">
        <f t="shared" si="8"/>
        <v>0.82223914199096759</v>
      </c>
      <c r="J42" s="1153">
        <f t="shared" si="0"/>
        <v>0.59680310239583978</v>
      </c>
      <c r="K42" s="1153">
        <f t="shared" si="1"/>
        <v>1.4801778137235397</v>
      </c>
      <c r="L42" s="1153">
        <f t="shared" si="2"/>
        <v>1.2530460368472169</v>
      </c>
      <c r="M42" s="890">
        <f t="shared" si="3"/>
        <v>1.8547309433154595</v>
      </c>
      <c r="Q42" s="1180">
        <f t="shared" si="4"/>
        <v>0</v>
      </c>
    </row>
    <row r="43" spans="1:17">
      <c r="A43" s="856">
        <v>1999</v>
      </c>
      <c r="B43" s="1165">
        <f>T.A11!B43-'Assets(MOFA)'!AQ44*T.A13!B43/(T.A13!D43-T.A13!E43)</f>
        <v>42264.15563573478</v>
      </c>
      <c r="C43" s="1166">
        <f>'Assets(MOFA)'!I44-'Assets(MOFA)'!AQ44/'Assets(MOFA)'!EG44</f>
        <v>19435.701023177175</v>
      </c>
      <c r="D43" s="1166">
        <f>('Assets(MOFA)'!AR44+'Assets(MOFA)'!BS44)</f>
        <v>27043.77549279324</v>
      </c>
      <c r="E43" s="1166">
        <f>'Assets(MOFA)'!BS44</f>
        <v>-5886</v>
      </c>
      <c r="F43" s="858"/>
      <c r="G43" s="919"/>
      <c r="H43" s="1154">
        <f t="shared" si="7"/>
        <v>2.1745629645843261</v>
      </c>
      <c r="I43" s="1154">
        <f t="shared" si="8"/>
        <v>0.63987497410045147</v>
      </c>
      <c r="J43" s="1154">
        <f t="shared" si="0"/>
        <v>0.58184337518304363</v>
      </c>
      <c r="K43" s="1154">
        <f t="shared" si="1"/>
        <v>1.3914484206431965</v>
      </c>
      <c r="L43" s="1154">
        <f t="shared" si="2"/>
        <v>1.2176471255490391</v>
      </c>
      <c r="M43" s="892">
        <f t="shared" si="3"/>
        <v>1.6942931697459387</v>
      </c>
      <c r="Q43" s="1180">
        <f t="shared" si="4"/>
        <v>0</v>
      </c>
    </row>
    <row r="44" spans="1:17">
      <c r="A44" s="863">
        <v>2000</v>
      </c>
      <c r="B44" s="1167">
        <f>T.A11!B44-'Assets(MOFA)'!AQ45*T.A13!B44/(T.A13!D44-T.A13!E44)</f>
        <v>49110.167175493953</v>
      </c>
      <c r="C44" s="1168">
        <f>'Assets(MOFA)'!I45-'Assets(MOFA)'!AQ45/'Assets(MOFA)'!EG45</f>
        <v>19758.471800509949</v>
      </c>
      <c r="D44" s="1168">
        <f>('Assets(MOFA)'!AR45+'Assets(MOFA)'!BS45)</f>
        <v>35196.137572037143</v>
      </c>
      <c r="E44" s="1168">
        <f>'Assets(MOFA)'!BS45</f>
        <v>-4355</v>
      </c>
      <c r="F44" s="865"/>
      <c r="G44" s="920"/>
      <c r="H44" s="1155">
        <f t="shared" si="7"/>
        <v>2.4855245725140778</v>
      </c>
      <c r="I44" s="1155">
        <f t="shared" si="8"/>
        <v>0.71667720955346426</v>
      </c>
      <c r="J44" s="1155">
        <f t="shared" si="0"/>
        <v>0.64045833413965791</v>
      </c>
      <c r="K44" s="1155">
        <f t="shared" si="1"/>
        <v>1.7813188149059564</v>
      </c>
      <c r="L44" s="1155">
        <f t="shared" si="2"/>
        <v>1.1237351681299255</v>
      </c>
      <c r="M44" s="894">
        <f t="shared" si="3"/>
        <v>2.0017305979613447</v>
      </c>
      <c r="Q44" s="1180">
        <f t="shared" si="4"/>
        <v>0</v>
      </c>
    </row>
    <row r="45" spans="1:17">
      <c r="A45" s="826">
        <v>2001</v>
      </c>
      <c r="B45" s="1163">
        <f>T.A11!B45-'Assets(MOFA)'!AQ46*T.A13!B45/(T.A13!D45-T.A13!E45)</f>
        <v>54796.875476862726</v>
      </c>
      <c r="C45" s="1164">
        <f>'Assets(MOFA)'!I46-'Assets(MOFA)'!AQ46/'Assets(MOFA)'!EG46</f>
        <v>19967.958990191713</v>
      </c>
      <c r="D45" s="1164">
        <f>('Assets(MOFA)'!AR46+'Assets(MOFA)'!BS46)</f>
        <v>31463.977903137442</v>
      </c>
      <c r="E45" s="1164">
        <f>'Assets(MOFA)'!BS46</f>
        <v>-4818</v>
      </c>
      <c r="F45" s="828"/>
      <c r="G45" s="918"/>
      <c r="H45" s="1153">
        <f t="shared" si="7"/>
        <v>2.7442401851776146</v>
      </c>
      <c r="I45" s="1153">
        <f t="shared" si="8"/>
        <v>0.57419291938319916</v>
      </c>
      <c r="J45" s="1153">
        <f t="shared" si="0"/>
        <v>0.61175953704396446</v>
      </c>
      <c r="K45" s="1153">
        <f t="shared" si="1"/>
        <v>1.5757232834158255</v>
      </c>
      <c r="L45" s="1153">
        <f t="shared" si="2"/>
        <v>1.1531274912165372</v>
      </c>
      <c r="M45" s="890">
        <f t="shared" si="3"/>
        <v>1.8170098366567757</v>
      </c>
      <c r="Q45" s="1180">
        <f t="shared" si="4"/>
        <v>0</v>
      </c>
    </row>
    <row r="46" spans="1:17">
      <c r="A46" s="826">
        <v>2002</v>
      </c>
      <c r="B46" s="1163">
        <f>T.A11!B46-'Assets(MOFA)'!AQ47*T.A13!B46/(T.A13!D46-T.A13!E46)</f>
        <v>59881.319418821309</v>
      </c>
      <c r="C46" s="1164">
        <f>'Assets(MOFA)'!I47-'Assets(MOFA)'!AQ47/'Assets(MOFA)'!EG47</f>
        <v>20873.590609746276</v>
      </c>
      <c r="D46" s="1164">
        <f>('Assets(MOFA)'!AR47+'Assets(MOFA)'!BS47)</f>
        <v>36063.484139446758</v>
      </c>
      <c r="E46" s="1164">
        <f>'Assets(MOFA)'!BS47</f>
        <v>-4140</v>
      </c>
      <c r="F46" s="828"/>
      <c r="G46" s="918"/>
      <c r="H46" s="1153">
        <f t="shared" si="7"/>
        <v>2.8687598860380823</v>
      </c>
      <c r="I46" s="1153">
        <f t="shared" si="8"/>
        <v>0.60224932398720055</v>
      </c>
      <c r="J46" s="1153">
        <f t="shared" si="0"/>
        <v>0.63339193835134433</v>
      </c>
      <c r="K46" s="1153">
        <f t="shared" si="1"/>
        <v>1.7277087020480335</v>
      </c>
      <c r="L46" s="1153">
        <f t="shared" si="2"/>
        <v>1.1147975604351441</v>
      </c>
      <c r="M46" s="890">
        <f t="shared" si="3"/>
        <v>1.926045446185717</v>
      </c>
      <c r="Q46" s="1180">
        <f t="shared" si="4"/>
        <v>0</v>
      </c>
    </row>
    <row r="47" spans="1:17">
      <c r="A47" s="826">
        <v>2003</v>
      </c>
      <c r="B47" s="1163">
        <f>T.A11!B47-'Assets(MOFA)'!AQ48*T.A13!B47/(T.A13!D47-T.A13!E47)</f>
        <v>59405.307143528997</v>
      </c>
      <c r="C47" s="1164">
        <f>'Assets(MOFA)'!I48-'Assets(MOFA)'!AQ48/'Assets(MOFA)'!EG48</f>
        <v>22596.861989909303</v>
      </c>
      <c r="D47" s="1164">
        <f>('Assets(MOFA)'!AR48+'Assets(MOFA)'!BS48)</f>
        <v>47537.578990390539</v>
      </c>
      <c r="E47" s="1164">
        <f>'Assets(MOFA)'!BS48</f>
        <v>-3639</v>
      </c>
      <c r="F47" s="828"/>
      <c r="G47" s="918"/>
      <c r="H47" s="1153">
        <f t="shared" si="7"/>
        <v>2.6289184387662594</v>
      </c>
      <c r="I47" s="1153">
        <f t="shared" si="8"/>
        <v>0.80022444586533537</v>
      </c>
      <c r="J47" s="1153">
        <f t="shared" si="0"/>
        <v>0.67780648602793359</v>
      </c>
      <c r="K47" s="1153">
        <f t="shared" si="1"/>
        <v>2.1037248008868925</v>
      </c>
      <c r="L47" s="1153">
        <f t="shared" si="2"/>
        <v>1.0765499648338339</v>
      </c>
      <c r="M47" s="890">
        <f t="shared" si="3"/>
        <v>2.2647648604148487</v>
      </c>
      <c r="Q47" s="1180">
        <f t="shared" si="4"/>
        <v>0</v>
      </c>
    </row>
    <row r="48" spans="1:17">
      <c r="A48" s="826">
        <v>2004</v>
      </c>
      <c r="B48" s="1163">
        <f>T.A11!B48-'Assets(MOFA)'!AQ49*T.A13!B48/(T.A13!D48-T.A13!E48)</f>
        <v>58125.821460821127</v>
      </c>
      <c r="C48" s="1164">
        <f>'Assets(MOFA)'!I49-'Assets(MOFA)'!AQ49/'Assets(MOFA)'!EG49</f>
        <v>26256.870176336321</v>
      </c>
      <c r="D48" s="1164">
        <f>('Assets(MOFA)'!AR49+'Assets(MOFA)'!BS49)</f>
        <v>60980.351450955088</v>
      </c>
      <c r="E48" s="1164">
        <f>'Assets(MOFA)'!BS49</f>
        <v>-7376</v>
      </c>
      <c r="F48" s="828"/>
      <c r="G48" s="918"/>
      <c r="H48" s="1153">
        <f t="shared" si="7"/>
        <v>2.2137376263986828</v>
      </c>
      <c r="I48" s="1153">
        <f t="shared" si="8"/>
        <v>1.049109499330827</v>
      </c>
      <c r="J48" s="1153">
        <f t="shared" si="0"/>
        <v>0.6990175788894899</v>
      </c>
      <c r="K48" s="1153">
        <f t="shared" si="1"/>
        <v>2.3224531728809352</v>
      </c>
      <c r="L48" s="1153">
        <f t="shared" si="2"/>
        <v>1.1209569939250403</v>
      </c>
      <c r="M48" s="890">
        <f t="shared" si="3"/>
        <v>2.6033701272042853</v>
      </c>
      <c r="Q48" s="1180">
        <f t="shared" si="4"/>
        <v>0</v>
      </c>
    </row>
    <row r="49" spans="1:17">
      <c r="A49" s="826">
        <v>2005</v>
      </c>
      <c r="B49" s="1163">
        <f>T.A11!B49-'Assets(MOFA)'!AQ50*T.A13!B49/(T.A13!D49-T.A13!E49)</f>
        <v>65059.257562341765</v>
      </c>
      <c r="C49" s="1164">
        <f>'Assets(MOFA)'!I50-'Assets(MOFA)'!AQ50/'Assets(MOFA)'!EG50</f>
        <v>28776.603167660385</v>
      </c>
      <c r="D49" s="1164">
        <f>('Assets(MOFA)'!AR50+'Assets(MOFA)'!BS50)</f>
        <v>61259.128469328949</v>
      </c>
      <c r="E49" s="1164">
        <f>'Assets(MOFA)'!BS50</f>
        <v>-12155</v>
      </c>
      <c r="F49" s="828"/>
      <c r="G49" s="918"/>
      <c r="H49" s="1153">
        <f t="shared" si="7"/>
        <v>2.2608386814555104</v>
      </c>
      <c r="I49" s="1153">
        <f t="shared" si="8"/>
        <v>0.94158972549953535</v>
      </c>
      <c r="J49" s="1153">
        <f t="shared" si="0"/>
        <v>0.68038685703490065</v>
      </c>
      <c r="K49" s="1153">
        <f t="shared" si="1"/>
        <v>2.1287824734704248</v>
      </c>
      <c r="L49" s="1153">
        <f t="shared" si="2"/>
        <v>1.1984194079105408</v>
      </c>
      <c r="M49" s="890">
        <f t="shared" si="3"/>
        <v>2.5511742314267636</v>
      </c>
      <c r="Q49" s="1180">
        <f t="shared" si="4"/>
        <v>0</v>
      </c>
    </row>
    <row r="50" spans="1:17">
      <c r="A50" s="826">
        <v>2006</v>
      </c>
      <c r="B50" s="1163">
        <f>T.A11!B50-'Assets(MOFA)'!AQ51*T.A13!B50/(T.A13!D50-T.A13!E50)</f>
        <v>74716.794254765773</v>
      </c>
      <c r="C50" s="1164">
        <f>'Assets(MOFA)'!I51-'Assets(MOFA)'!AQ51/'Assets(MOFA)'!EG51</f>
        <v>32188.911442197226</v>
      </c>
      <c r="D50" s="1164">
        <f>('Assets(MOFA)'!AR51+'Assets(MOFA)'!BS51)</f>
        <v>80931.466746337173</v>
      </c>
      <c r="E50" s="1164">
        <f>'Assets(MOFA)'!BS51</f>
        <v>-8417</v>
      </c>
      <c r="F50" s="828"/>
      <c r="G50" s="918"/>
      <c r="H50" s="1153">
        <f t="shared" si="7"/>
        <v>2.3211966763441931</v>
      </c>
      <c r="I50" s="1153">
        <f t="shared" si="8"/>
        <v>1.0831763802710928</v>
      </c>
      <c r="J50" s="1153">
        <f t="shared" si="0"/>
        <v>0.71544551072355045</v>
      </c>
      <c r="K50" s="1153">
        <f t="shared" si="1"/>
        <v>2.5142654137797944</v>
      </c>
      <c r="L50" s="1153">
        <f t="shared" si="2"/>
        <v>1.1040015748927587</v>
      </c>
      <c r="M50" s="890">
        <f t="shared" si="3"/>
        <v>2.7757529765112872</v>
      </c>
      <c r="Q50" s="1180">
        <f t="shared" si="4"/>
        <v>0</v>
      </c>
    </row>
    <row r="51" spans="1:17">
      <c r="A51" s="826">
        <v>2007</v>
      </c>
      <c r="B51" s="1163">
        <f>T.A11!B51-'Assets(MOFA)'!AQ52*T.A13!B51/(T.A13!D51-T.A13!E51)</f>
        <v>82514.892367169319</v>
      </c>
      <c r="C51" s="1164">
        <f>'Assets(MOFA)'!I52-'Assets(MOFA)'!AQ52/'Assets(MOFA)'!EG52</f>
        <v>35414.383516267371</v>
      </c>
      <c r="D51" s="1164">
        <f>('Assets(MOFA)'!AR52+'Assets(MOFA)'!BS52)</f>
        <v>92077.436613288199</v>
      </c>
      <c r="E51" s="1164">
        <f>'Assets(MOFA)'!BS52</f>
        <v>-12485</v>
      </c>
      <c r="F51" s="828"/>
      <c r="G51" s="918"/>
      <c r="H51" s="1153">
        <f t="shared" si="7"/>
        <v>2.3299824583778688</v>
      </c>
      <c r="I51" s="1153">
        <f t="shared" si="8"/>
        <v>1.1158887077446347</v>
      </c>
      <c r="J51" s="1153">
        <f t="shared" si="0"/>
        <v>0.72222230822118849</v>
      </c>
      <c r="K51" s="1153">
        <f t="shared" si="1"/>
        <v>2.6000011145469477</v>
      </c>
      <c r="L51" s="1153">
        <f t="shared" si="2"/>
        <v>1.1355923933073331</v>
      </c>
      <c r="M51" s="890">
        <f t="shared" si="3"/>
        <v>2.9525414882701009</v>
      </c>
      <c r="Q51" s="1180">
        <f t="shared" si="4"/>
        <v>0</v>
      </c>
    </row>
    <row r="52" spans="1:17">
      <c r="A52" s="826">
        <v>2008</v>
      </c>
      <c r="B52" s="1163">
        <f>T.A11!B52-'Assets(MOFA)'!AQ53*T.A13!B52/(T.A13!D52-T.A13!E52)</f>
        <v>99040.655199040877</v>
      </c>
      <c r="C52" s="1164">
        <f>'Assets(MOFA)'!I53-'Assets(MOFA)'!AQ53/'Assets(MOFA)'!EG53</f>
        <v>39804.870066778836</v>
      </c>
      <c r="D52" s="1164">
        <f>('Assets(MOFA)'!AR53+'Assets(MOFA)'!BS53)</f>
        <v>86913.699764876539</v>
      </c>
      <c r="E52" s="1164">
        <f>'Assets(MOFA)'!BS53</f>
        <v>-11616</v>
      </c>
      <c r="F52" s="830"/>
      <c r="G52" s="918"/>
      <c r="H52" s="1153">
        <f t="shared" si="7"/>
        <v>2.488154214117138</v>
      </c>
      <c r="I52" s="1153">
        <f t="shared" si="8"/>
        <v>0.87755578343264251</v>
      </c>
      <c r="J52" s="1153">
        <f t="shared" si="0"/>
        <v>0.6858797402806921</v>
      </c>
      <c r="K52" s="1153">
        <f t="shared" si="1"/>
        <v>2.1834941206707956</v>
      </c>
      <c r="L52" s="1153">
        <f t="shared" si="2"/>
        <v>1.1336498162133726</v>
      </c>
      <c r="M52" s="890">
        <f t="shared" si="3"/>
        <v>2.4753177086014273</v>
      </c>
      <c r="Q52" s="1180">
        <f t="shared" si="4"/>
        <v>0</v>
      </c>
    </row>
    <row r="53" spans="1:17">
      <c r="A53" s="856">
        <v>2009</v>
      </c>
      <c r="B53" s="1165">
        <f>T.A11!B53-'Assets(MOFA)'!AQ54*T.A13!B53/(T.A13!D53-T.A13!E53)</f>
        <v>110184.99269124634</v>
      </c>
      <c r="C53" s="1166">
        <f>'Assets(MOFA)'!I54-'Assets(MOFA)'!AQ54/'Assets(MOFA)'!EG54</f>
        <v>42669.137782359961</v>
      </c>
      <c r="D53" s="1166">
        <f>('Assets(MOFA)'!AR54+'Assets(MOFA)'!BS54)</f>
        <v>93318.78789976846</v>
      </c>
      <c r="E53" s="1166">
        <f>'Assets(MOFA)'!BS54</f>
        <v>-23234.407669895027</v>
      </c>
      <c r="F53" s="884"/>
      <c r="G53" s="919"/>
      <c r="H53" s="1154">
        <f t="shared" si="7"/>
        <v>2.5823112070663496</v>
      </c>
      <c r="I53" s="1154">
        <f t="shared" si="8"/>
        <v>0.84692829413948112</v>
      </c>
      <c r="J53" s="1154">
        <f t="shared" si="0"/>
        <v>0.68622848265147451</v>
      </c>
      <c r="K53" s="1154">
        <f t="shared" si="1"/>
        <v>2.1870324255379687</v>
      </c>
      <c r="L53" s="1154">
        <f t="shared" si="2"/>
        <v>1.2489788840254823</v>
      </c>
      <c r="M53" s="892">
        <f t="shared" si="3"/>
        <v>2.7315573181759549</v>
      </c>
      <c r="Q53" s="1180">
        <f t="shared" si="4"/>
        <v>0</v>
      </c>
    </row>
    <row r="54" spans="1:17">
      <c r="A54" s="826">
        <v>2010</v>
      </c>
      <c r="B54" s="1163">
        <f>T.A11!B54-'Assets(MOFA)'!AQ55*T.A13!B54/(T.A13!D54-T.A13!E54)</f>
        <v>112578.38125099066</v>
      </c>
      <c r="C54" s="1164">
        <f>'Assets(MOFA)'!I55-'Assets(MOFA)'!AQ55/'Assets(MOFA)'!EG55</f>
        <v>43561.179875097623</v>
      </c>
      <c r="D54" s="1164">
        <f>('Assets(MOFA)'!AR55+'Assets(MOFA)'!BS55)</f>
        <v>100422.87398628591</v>
      </c>
      <c r="E54" s="1164">
        <f>'Assets(MOFA)'!BS55</f>
        <v>-16537</v>
      </c>
      <c r="F54" s="830"/>
      <c r="G54" s="918"/>
      <c r="H54" s="1153">
        <f t="shared" si="7"/>
        <v>2.5843740131416348</v>
      </c>
      <c r="I54" s="1153">
        <f t="shared" si="8"/>
        <v>0.89202627423106795</v>
      </c>
      <c r="J54" s="1153">
        <f t="shared" si="0"/>
        <v>0.69745830384082064</v>
      </c>
      <c r="K54" s="1153">
        <f t="shared" si="1"/>
        <v>2.3053295221623262</v>
      </c>
      <c r="L54" s="1153">
        <f t="shared" si="2"/>
        <v>1.1646736380225322</v>
      </c>
      <c r="M54" s="890">
        <f t="shared" si="3"/>
        <v>2.6849565214175408</v>
      </c>
      <c r="Q54" s="1180">
        <f t="shared" si="4"/>
        <v>0</v>
      </c>
    </row>
    <row r="55" spans="1:17">
      <c r="A55" s="826">
        <v>2011</v>
      </c>
      <c r="B55" s="1163">
        <f>T.A11!B55-'Assets(MOFA)'!AQ56*T.A13!B55/(T.A13!D55-T.A13!E55)</f>
        <v>123740.54040926491</v>
      </c>
      <c r="C55" s="1164">
        <f>'Assets(MOFA)'!I56-'Assets(MOFA)'!AQ56/'Assets(MOFA)'!EG56</f>
        <v>47571.0728507042</v>
      </c>
      <c r="D55" s="1164">
        <f>('Assets(MOFA)'!AR56+'Assets(MOFA)'!BS56)</f>
        <v>123852.54364782869</v>
      </c>
      <c r="E55" s="1164">
        <f>'Assets(MOFA)'!BS56</f>
        <v>-24189</v>
      </c>
      <c r="F55" s="830"/>
      <c r="G55" s="918"/>
      <c r="H55" s="1153">
        <f t="shared" si="7"/>
        <v>2.6011719516524034</v>
      </c>
      <c r="I55" s="1153">
        <f t="shared" si="8"/>
        <v>1.0009051458656422</v>
      </c>
      <c r="J55" s="1153">
        <f t="shared" si="0"/>
        <v>0.72249405407269929</v>
      </c>
      <c r="K55" s="1153">
        <f t="shared" si="1"/>
        <v>2.603526391690266</v>
      </c>
      <c r="L55" s="1153">
        <f t="shared" si="2"/>
        <v>1.1953048301436646</v>
      </c>
      <c r="M55" s="890">
        <f t="shared" si="3"/>
        <v>3.1120076713938816</v>
      </c>
      <c r="Q55" s="1180">
        <f t="shared" si="4"/>
        <v>0</v>
      </c>
    </row>
    <row r="56" spans="1:17">
      <c r="A56" s="826">
        <v>2012</v>
      </c>
      <c r="B56" s="1163">
        <f>T.A11!B56-'Assets(MOFA)'!AQ57*T.A13!B56/(T.A13!D56-T.A13!E56)</f>
        <v>130895.4113799927</v>
      </c>
      <c r="C56" s="1164">
        <f>'Assets(MOFA)'!I57-'Assets(MOFA)'!AQ57/'Assets(MOFA)'!EG57</f>
        <v>49777.958679377538</v>
      </c>
      <c r="D56" s="1164">
        <f>('Assets(MOFA)'!AR57+'Assets(MOFA)'!BS57)</f>
        <v>132604.04151826483</v>
      </c>
      <c r="E56" s="1164">
        <f>'Assets(MOFA)'!BS57</f>
        <v>-25154</v>
      </c>
      <c r="F56" s="830"/>
      <c r="G56" s="918"/>
      <c r="H56" s="1153">
        <f t="shared" si="7"/>
        <v>2.6295857615033387</v>
      </c>
      <c r="I56" s="1153">
        <f t="shared" si="8"/>
        <v>1.0130533998117928</v>
      </c>
      <c r="J56" s="1153">
        <f t="shared" si="0"/>
        <v>0.72706759096054141</v>
      </c>
      <c r="K56" s="1153">
        <f t="shared" si="1"/>
        <v>2.6639107957876385</v>
      </c>
      <c r="L56" s="1153">
        <f t="shared" si="2"/>
        <v>1.1896925592312004</v>
      </c>
      <c r="M56" s="890">
        <f t="shared" si="3"/>
        <v>3.1692348522042195</v>
      </c>
      <c r="Q56" s="1180">
        <f t="shared" si="4"/>
        <v>0</v>
      </c>
    </row>
    <row r="57" spans="1:17">
      <c r="A57" s="826">
        <v>2013</v>
      </c>
      <c r="B57" s="1163">
        <f>T.A11!B57-'Assets(MOFA)'!AQ58*T.A13!B57/(T.A13!D57-T.A13!E57)</f>
        <v>138411.71003197489</v>
      </c>
      <c r="C57" s="1164">
        <f>'Assets(MOFA)'!I58-'Assets(MOFA)'!AQ58/'Assets(MOFA)'!EG58</f>
        <v>52348.480729123643</v>
      </c>
      <c r="D57" s="1164">
        <f>('Assets(MOFA)'!AR58+'Assets(MOFA)'!BS58)</f>
        <v>125808.77873146269</v>
      </c>
      <c r="E57" s="1164">
        <f>'Assets(MOFA)'!BS58</f>
        <v>-21621</v>
      </c>
      <c r="F57" s="830"/>
      <c r="G57" s="1158"/>
      <c r="H57" s="1153">
        <f t="shared" si="7"/>
        <v>2.6440444517995472</v>
      </c>
      <c r="I57" s="1153">
        <f t="shared" si="8"/>
        <v>0.9089460617342221</v>
      </c>
      <c r="J57" s="1153">
        <f t="shared" si="0"/>
        <v>0.70616700724056281</v>
      </c>
      <c r="K57" s="1153">
        <f t="shared" si="1"/>
        <v>2.4032937915134189</v>
      </c>
      <c r="L57" s="1153">
        <f t="shared" si="2"/>
        <v>1.1718560518431689</v>
      </c>
      <c r="M57" s="890">
        <f t="shared" si="3"/>
        <v>2.8163143739421144</v>
      </c>
      <c r="Q57" s="1180">
        <f t="shared" si="4"/>
        <v>0</v>
      </c>
    </row>
    <row r="58" spans="1:17">
      <c r="A58" s="826">
        <v>2014</v>
      </c>
      <c r="B58" s="1163">
        <f>T.A11!B58-'Assets(MOFA)'!AQ59*T.A13!B58/(T.A13!D58-T.A13!E58)</f>
        <v>162034.82068727011</v>
      </c>
      <c r="C58" s="1164">
        <f>'Assets(MOFA)'!I59-'Assets(MOFA)'!AQ59/'Assets(MOFA)'!EG59</f>
        <v>60500.340647788282</v>
      </c>
      <c r="D58" s="1164">
        <f>('Assets(MOFA)'!AR59+'Assets(MOFA)'!BS59)</f>
        <v>150220.122522739</v>
      </c>
      <c r="E58" s="1164">
        <f>'Assets(MOFA)'!BS59</f>
        <v>-32196</v>
      </c>
      <c r="F58" s="830"/>
      <c r="G58" s="1158"/>
      <c r="H58" s="1153">
        <f t="shared" ref="H58" si="9">B58/C58</f>
        <v>2.678246418984314</v>
      </c>
      <c r="I58" s="1153">
        <f>D58/B58</f>
        <v>0.92708543685598488</v>
      </c>
      <c r="J58" s="1153">
        <f>D58/(D58+C58)</f>
        <v>0.71288815648232573</v>
      </c>
      <c r="K58" s="1153">
        <f>J58/(1-J58)</f>
        <v>2.482963251352051</v>
      </c>
      <c r="L58" s="1153">
        <f>1-E58/D58</f>
        <v>1.2143254808963855</v>
      </c>
      <c r="M58" s="890">
        <f>(D58-E58)/C58</f>
        <v>3.0151255442461316</v>
      </c>
      <c r="Q58" s="1180">
        <f>M58-L58*K58</f>
        <v>0</v>
      </c>
    </row>
    <row r="59" spans="1:17">
      <c r="A59" s="826">
        <v>2015</v>
      </c>
      <c r="B59" s="1163">
        <f>T.A11!B59-'Assets(MOFA)'!AQ60*T.A13!B59/(T.A13!D59-T.A13!E59)</f>
        <v>162626.57010074781</v>
      </c>
      <c r="C59" s="1164">
        <f>'Assets(MOFA)'!I60-'Assets(MOFA)'!AQ60/'Assets(MOFA)'!EG60</f>
        <v>58576.141511744572</v>
      </c>
      <c r="D59" s="1164">
        <f>('Assets(MOFA)'!AR60+'Assets(MOFA)'!BS60)</f>
        <v>171192.49335263402</v>
      </c>
      <c r="E59" s="1164">
        <f>'Assets(MOFA)'!BS60</f>
        <v>-32156</v>
      </c>
      <c r="F59" s="830"/>
      <c r="G59" s="1158"/>
      <c r="H59" s="1153">
        <f>B59/C59</f>
        <v>2.7763278000846303</v>
      </c>
      <c r="I59" s="1153">
        <f>D59/B59</f>
        <v>1.0526723477386235</v>
      </c>
      <c r="J59" s="1171">
        <f>D59/(D59+C59)</f>
        <v>0.74506467540132593</v>
      </c>
      <c r="K59" s="1153">
        <f>J59/(1-J59)</f>
        <v>2.9225635034070954</v>
      </c>
      <c r="L59" s="1153">
        <f>1-E59/D59</f>
        <v>1.1878353388647882</v>
      </c>
      <c r="M59" s="890">
        <f>(D59-E59)/C59</f>
        <v>3.4715242094234298</v>
      </c>
    </row>
    <row r="60" spans="1:17">
      <c r="A60" s="826">
        <v>2016</v>
      </c>
      <c r="B60" s="1163">
        <f>T.A11!B60-'Assets(MOFA)'!AQ61*T.A13!B60/(T.A13!D60-T.A13!E60)</f>
        <v>171917.71141310182</v>
      </c>
      <c r="C60" s="1164">
        <f>'Assets(MOFA)'!I61-'Assets(MOFA)'!AQ61/'Assets(MOFA)'!EG61</f>
        <v>59042.415177157272</v>
      </c>
      <c r="D60" s="1164">
        <f>('Assets(MOFA)'!AR61+'Assets(MOFA)'!BS61)</f>
        <v>177747.89784666046</v>
      </c>
      <c r="E60" s="1164">
        <f>'Assets(MOFA)'!BS61</f>
        <v>-29854</v>
      </c>
      <c r="F60" s="830"/>
      <c r="G60" s="1158"/>
      <c r="H60" s="1153">
        <f t="shared" ref="H60" si="10">B60/C60</f>
        <v>2.9117662429164062</v>
      </c>
      <c r="I60" s="1153">
        <f>D60/B60</f>
        <v>1.0339126573151574</v>
      </c>
      <c r="J60" s="1153">
        <f>D60/(D60+C60)</f>
        <v>0.75065527629410056</v>
      </c>
      <c r="K60" s="1153">
        <f>J60/(1-J60)</f>
        <v>3.0105119736942734</v>
      </c>
      <c r="L60" s="1153">
        <f>1-E60/D60</f>
        <v>1.167956979304219</v>
      </c>
      <c r="M60" s="890">
        <f>(D60-E60)/C60</f>
        <v>3.5161484709551463</v>
      </c>
    </row>
    <row r="61" spans="1:17" ht="16" thickBot="1">
      <c r="A61" s="819"/>
      <c r="B61" s="820"/>
      <c r="C61" s="821"/>
      <c r="D61" s="821"/>
      <c r="E61" s="821"/>
      <c r="F61" s="821"/>
      <c r="G61" s="822"/>
      <c r="H61" s="1157"/>
      <c r="I61" s="1157"/>
      <c r="J61" s="1151"/>
      <c r="K61" s="821"/>
      <c r="L61" s="821"/>
      <c r="M61" s="1150"/>
    </row>
    <row r="62" spans="1:17" ht="16" thickTop="1"/>
    <row r="63" spans="1:17">
      <c r="A63" s="829" t="s">
        <v>2457</v>
      </c>
    </row>
    <row r="64" spans="1:17">
      <c r="A64" s="829" t="s">
        <v>2455</v>
      </c>
    </row>
    <row r="65" spans="1:17">
      <c r="A65" s="829" t="s">
        <v>1201</v>
      </c>
    </row>
    <row r="66" spans="1:17">
      <c r="A66" s="829" t="s">
        <v>722</v>
      </c>
      <c r="B66" s="855"/>
      <c r="C66" s="855"/>
      <c r="D66" s="855"/>
      <c r="E66" s="855"/>
    </row>
    <row r="67" spans="1:17">
      <c r="A67" s="829" t="s">
        <v>723</v>
      </c>
      <c r="B67" s="855"/>
      <c r="C67" s="855"/>
      <c r="D67" s="855"/>
      <c r="E67" s="855"/>
    </row>
    <row r="68" spans="1:17">
      <c r="A68" s="829" t="s">
        <v>2456</v>
      </c>
      <c r="B68" s="855"/>
      <c r="C68" s="855"/>
      <c r="D68" s="855"/>
      <c r="E68" s="855"/>
    </row>
    <row r="69" spans="1:17" s="825" customFormat="1" ht="16" thickBot="1">
      <c r="B69" s="805"/>
      <c r="C69" s="805"/>
      <c r="D69" s="805"/>
      <c r="E69" s="805"/>
      <c r="F69" s="805"/>
      <c r="G69" s="805"/>
      <c r="H69" s="805"/>
      <c r="I69" s="805"/>
      <c r="J69" s="805"/>
      <c r="K69" s="805"/>
      <c r="L69" s="805"/>
      <c r="M69" s="805"/>
      <c r="Q69" s="1181"/>
    </row>
    <row r="70" spans="1:17" s="825" customFormat="1" ht="28" customHeight="1" thickBot="1">
      <c r="A70" s="1753" t="s">
        <v>2494</v>
      </c>
      <c r="B70" s="1754"/>
      <c r="C70" s="1754"/>
      <c r="D70" s="1754"/>
      <c r="E70" s="1754"/>
      <c r="F70" s="1754"/>
      <c r="G70" s="1754"/>
      <c r="H70" s="1754"/>
      <c r="I70" s="1754"/>
      <c r="J70" s="1754"/>
      <c r="K70" s="1754"/>
      <c r="L70" s="1754"/>
      <c r="M70" s="1755"/>
      <c r="Q70" s="1181"/>
    </row>
    <row r="71" spans="1:17" s="825" customFormat="1">
      <c r="A71" s="805"/>
      <c r="B71" s="805"/>
      <c r="C71" s="805"/>
      <c r="D71" s="805"/>
      <c r="E71" s="805"/>
      <c r="F71" s="805"/>
      <c r="G71" s="805"/>
      <c r="H71" s="805"/>
      <c r="I71" s="805"/>
      <c r="J71" s="805"/>
      <c r="K71" s="805"/>
      <c r="L71" s="805"/>
      <c r="M71" s="805"/>
      <c r="Q71" s="1181"/>
    </row>
    <row r="72" spans="1:17" s="825" customFormat="1">
      <c r="A72" s="805"/>
      <c r="B72" s="805"/>
      <c r="C72" s="805"/>
      <c r="D72" s="805"/>
      <c r="E72" s="805"/>
      <c r="F72" s="805"/>
      <c r="G72" s="805"/>
      <c r="H72" s="805"/>
      <c r="I72" s="805"/>
      <c r="J72" s="805"/>
      <c r="K72" s="805"/>
      <c r="L72" s="805"/>
      <c r="M72" s="805"/>
      <c r="Q72" s="1181"/>
    </row>
    <row r="74" spans="1:17" s="825" customFormat="1">
      <c r="A74" s="805"/>
      <c r="B74" s="805"/>
      <c r="C74" s="805"/>
      <c r="D74" s="805"/>
      <c r="E74" s="805"/>
      <c r="F74" s="805"/>
      <c r="G74" s="805"/>
      <c r="H74" s="805"/>
      <c r="I74" s="805"/>
      <c r="J74" s="805"/>
      <c r="K74" s="805"/>
      <c r="L74" s="805"/>
      <c r="M74" s="805"/>
      <c r="Q74" s="1181"/>
    </row>
  </sheetData>
  <mergeCells count="11">
    <mergeCell ref="A70:M70"/>
    <mergeCell ref="A3:M3"/>
    <mergeCell ref="B6:M6"/>
    <mergeCell ref="B7:E7"/>
    <mergeCell ref="F7:G7"/>
    <mergeCell ref="H7:H8"/>
    <mergeCell ref="I7:I8"/>
    <mergeCell ref="J7:J8"/>
    <mergeCell ref="K7:K8"/>
    <mergeCell ref="L7:L8"/>
    <mergeCell ref="M7:M8"/>
  </mergeCells>
  <pageMargins left="0.75" right="0.75" top="1" bottom="1" header="0.5" footer="0.5"/>
  <pageSetup scale="48"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4:H41"/>
  <sheetViews>
    <sheetView workbookViewId="0">
      <selection activeCell="B65" sqref="B65"/>
    </sheetView>
  </sheetViews>
  <sheetFormatPr baseColWidth="10" defaultColWidth="7.5703125" defaultRowHeight="12" x14ac:dyDescent="0"/>
  <cols>
    <col min="1" max="1" width="7.5703125" style="1405"/>
    <col min="2" max="2" width="32.140625" style="1405" customWidth="1"/>
    <col min="3" max="8" width="7.85546875" style="1405" customWidth="1"/>
    <col min="9" max="16384" width="7.5703125" style="1405"/>
  </cols>
  <sheetData>
    <row r="4" spans="2:8" ht="18">
      <c r="B4" s="1404" t="s">
        <v>3469</v>
      </c>
    </row>
    <row r="6" spans="2:8" ht="12.75" customHeight="1">
      <c r="B6" s="1731"/>
      <c r="C6" s="1730" t="s">
        <v>3268</v>
      </c>
      <c r="D6" s="1727" t="s">
        <v>3267</v>
      </c>
      <c r="E6" s="1727" t="s">
        <v>3266</v>
      </c>
      <c r="F6" s="1727" t="s">
        <v>3265</v>
      </c>
      <c r="G6" s="1727" t="s">
        <v>3264</v>
      </c>
      <c r="H6" s="1727" t="s">
        <v>3272</v>
      </c>
    </row>
    <row r="7" spans="2:8" ht="12.75" customHeight="1">
      <c r="B7" s="1732"/>
      <c r="C7" s="1728"/>
      <c r="D7" s="1728"/>
      <c r="E7" s="1728"/>
      <c r="F7" s="1728"/>
      <c r="G7" s="1728"/>
      <c r="H7" s="1728"/>
    </row>
    <row r="8" spans="2:8" ht="12.75" customHeight="1">
      <c r="B8" s="1732"/>
      <c r="C8" s="1728"/>
      <c r="D8" s="1728"/>
      <c r="E8" s="1728"/>
      <c r="F8" s="1728"/>
      <c r="G8" s="1728"/>
      <c r="H8" s="1728"/>
    </row>
    <row r="9" spans="2:8" ht="12.75" customHeight="1">
      <c r="B9" s="1732"/>
      <c r="C9" s="1728"/>
      <c r="D9" s="1728"/>
      <c r="E9" s="1728"/>
      <c r="F9" s="1728"/>
      <c r="G9" s="1728"/>
      <c r="H9" s="1728"/>
    </row>
    <row r="10" spans="2:8" ht="12.75" customHeight="1">
      <c r="B10" s="1732"/>
      <c r="C10" s="1728"/>
      <c r="D10" s="1728"/>
      <c r="E10" s="1728"/>
      <c r="F10" s="1728"/>
      <c r="G10" s="1728"/>
      <c r="H10" s="1728"/>
    </row>
    <row r="11" spans="2:8" ht="12.75" customHeight="1">
      <c r="B11" s="1732"/>
      <c r="C11" s="1728"/>
      <c r="D11" s="1728"/>
      <c r="E11" s="1728"/>
      <c r="F11" s="1728"/>
      <c r="G11" s="1728"/>
      <c r="H11" s="1728"/>
    </row>
    <row r="12" spans="2:8" ht="12.75" customHeight="1">
      <c r="B12" s="1733"/>
      <c r="C12" s="1729"/>
      <c r="D12" s="1729"/>
      <c r="E12" s="1729"/>
      <c r="F12" s="1729"/>
      <c r="G12" s="1729"/>
      <c r="H12" s="1729"/>
    </row>
    <row r="13" spans="2:8" ht="12.75" customHeight="1">
      <c r="B13" s="1726" t="s">
        <v>3269</v>
      </c>
      <c r="C13" s="1726"/>
      <c r="D13" s="1725"/>
      <c r="E13" s="1726"/>
      <c r="F13" s="1725" t="s">
        <v>3263</v>
      </c>
      <c r="G13" s="1725" t="s">
        <v>3263</v>
      </c>
      <c r="H13" s="1726"/>
    </row>
    <row r="14" spans="2:8" ht="12.75" customHeight="1">
      <c r="B14" s="1726"/>
      <c r="C14" s="1726"/>
      <c r="D14" s="1726"/>
      <c r="E14" s="1726"/>
      <c r="F14" s="1726"/>
      <c r="G14" s="1726"/>
      <c r="H14" s="1726"/>
    </row>
    <row r="15" spans="2:8" ht="12.75" customHeight="1">
      <c r="B15" s="1726"/>
      <c r="C15" s="1726"/>
      <c r="D15" s="1726"/>
      <c r="E15" s="1726"/>
      <c r="F15" s="1726"/>
      <c r="G15" s="1726"/>
      <c r="H15" s="1726"/>
    </row>
    <row r="16" spans="2:8">
      <c r="B16" s="1726"/>
      <c r="C16" s="1726"/>
      <c r="D16" s="1726"/>
      <c r="E16" s="1726"/>
      <c r="F16" s="1726"/>
      <c r="G16" s="1726"/>
      <c r="H16" s="1726"/>
    </row>
    <row r="17" spans="2:8" ht="12" customHeight="1">
      <c r="B17" s="1726" t="s">
        <v>3270</v>
      </c>
      <c r="C17" s="1726"/>
      <c r="D17" s="1725" t="s">
        <v>3263</v>
      </c>
      <c r="E17" s="1725" t="s">
        <v>3263</v>
      </c>
      <c r="F17" s="1725"/>
      <c r="G17" s="1725" t="s">
        <v>3263</v>
      </c>
      <c r="H17" s="1725"/>
    </row>
    <row r="18" spans="2:8">
      <c r="B18" s="1726"/>
      <c r="C18" s="1726"/>
      <c r="D18" s="1726"/>
      <c r="E18" s="1726"/>
      <c r="F18" s="1726"/>
      <c r="G18" s="1726"/>
      <c r="H18" s="1726"/>
    </row>
    <row r="19" spans="2:8">
      <c r="B19" s="1726"/>
      <c r="C19" s="1726"/>
      <c r="D19" s="1726"/>
      <c r="E19" s="1726"/>
      <c r="F19" s="1726"/>
      <c r="G19" s="1726"/>
      <c r="H19" s="1726"/>
    </row>
    <row r="20" spans="2:8">
      <c r="B20" s="1726"/>
      <c r="C20" s="1726"/>
      <c r="D20" s="1726"/>
      <c r="E20" s="1726"/>
      <c r="F20" s="1726"/>
      <c r="G20" s="1726"/>
      <c r="H20" s="1726"/>
    </row>
    <row r="21" spans="2:8">
      <c r="B21" s="1726" t="s">
        <v>3273</v>
      </c>
      <c r="C21" s="1725" t="s">
        <v>3263</v>
      </c>
      <c r="D21" s="1726"/>
      <c r="E21" s="1725" t="s">
        <v>3263</v>
      </c>
      <c r="F21" s="1726"/>
      <c r="G21" s="1726"/>
      <c r="H21" s="1725" t="s">
        <v>3263</v>
      </c>
    </row>
    <row r="22" spans="2:8">
      <c r="B22" s="1726"/>
      <c r="C22" s="1726"/>
      <c r="D22" s="1726"/>
      <c r="E22" s="1726"/>
      <c r="F22" s="1726"/>
      <c r="G22" s="1726"/>
      <c r="H22" s="1726"/>
    </row>
    <row r="23" spans="2:8">
      <c r="B23" s="1726"/>
      <c r="C23" s="1726"/>
      <c r="D23" s="1726"/>
      <c r="E23" s="1726"/>
      <c r="F23" s="1726"/>
      <c r="G23" s="1726"/>
      <c r="H23" s="1726"/>
    </row>
    <row r="24" spans="2:8">
      <c r="B24" s="1726"/>
      <c r="C24" s="1726"/>
      <c r="D24" s="1726"/>
      <c r="E24" s="1726"/>
      <c r="F24" s="1726"/>
      <c r="G24" s="1726"/>
      <c r="H24" s="1726"/>
    </row>
    <row r="26" spans="2:8">
      <c r="B26" s="1403" t="s">
        <v>3262</v>
      </c>
    </row>
    <row r="27" spans="2:8" ht="5" customHeight="1"/>
    <row r="28" spans="2:8" ht="12.75" customHeight="1">
      <c r="B28" s="1402" t="s">
        <v>3466</v>
      </c>
    </row>
    <row r="29" spans="2:8">
      <c r="B29" s="1406" t="s">
        <v>3271</v>
      </c>
    </row>
    <row r="30" spans="2:8">
      <c r="B30" s="1406" t="s">
        <v>3261</v>
      </c>
    </row>
    <row r="31" spans="2:8" ht="5" customHeight="1"/>
    <row r="32" spans="2:8" ht="15">
      <c r="B32" s="1402" t="s">
        <v>3467</v>
      </c>
    </row>
    <row r="33" spans="2:2">
      <c r="B33" s="1405" t="s">
        <v>3260</v>
      </c>
    </row>
    <row r="34" spans="2:2">
      <c r="B34" s="1405" t="s">
        <v>3259</v>
      </c>
    </row>
    <row r="35" spans="2:2">
      <c r="B35" s="1405" t="s">
        <v>3258</v>
      </c>
    </row>
    <row r="36" spans="2:2">
      <c r="B36" s="1406" t="s">
        <v>3257</v>
      </c>
    </row>
    <row r="37" spans="2:2" ht="5" customHeight="1"/>
    <row r="38" spans="2:2" ht="15">
      <c r="B38" s="1402" t="s">
        <v>3468</v>
      </c>
    </row>
    <row r="39" spans="2:2">
      <c r="B39" s="1406" t="s">
        <v>3256</v>
      </c>
    </row>
    <row r="40" spans="2:2">
      <c r="B40" s="1406" t="s">
        <v>3255</v>
      </c>
    </row>
    <row r="41" spans="2:2">
      <c r="B41" s="1407" t="s">
        <v>3254</v>
      </c>
    </row>
  </sheetData>
  <mergeCells count="28">
    <mergeCell ref="B21:B24"/>
    <mergeCell ref="C21:C24"/>
    <mergeCell ref="D21:D24"/>
    <mergeCell ref="C6:C12"/>
    <mergeCell ref="D6:D12"/>
    <mergeCell ref="B13:B16"/>
    <mergeCell ref="B6:B12"/>
    <mergeCell ref="D13:D16"/>
    <mergeCell ref="B17:B20"/>
    <mergeCell ref="C13:C16"/>
    <mergeCell ref="C17:C20"/>
    <mergeCell ref="D17:D20"/>
    <mergeCell ref="E21:E24"/>
    <mergeCell ref="F21:F24"/>
    <mergeCell ref="E6:E12"/>
    <mergeCell ref="H6:H12"/>
    <mergeCell ref="H13:H16"/>
    <mergeCell ref="H17:H20"/>
    <mergeCell ref="H21:H24"/>
    <mergeCell ref="G6:G12"/>
    <mergeCell ref="G13:G16"/>
    <mergeCell ref="G17:G20"/>
    <mergeCell ref="G21:G24"/>
    <mergeCell ref="E17:E20"/>
    <mergeCell ref="E13:E16"/>
    <mergeCell ref="F6:F12"/>
    <mergeCell ref="F13:F16"/>
    <mergeCell ref="F17:F20"/>
  </mergeCells>
  <pageMargins left="0.75" right="0.75" top="0.5" bottom="0.5" header="0.5" footer="0.5"/>
  <pageSetup scale="95" orientation="portrai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72"/>
  <sheetViews>
    <sheetView workbookViewId="0">
      <pane xSplit="1" ySplit="9" topLeftCell="B34" activePane="bottomRight" state="frozen"/>
      <selection activeCell="X67" sqref="X67"/>
      <selection pane="topRight" activeCell="X67" sqref="X67"/>
      <selection pane="bottomLeft" activeCell="X67" sqref="X67"/>
      <selection pane="bottomRight" activeCell="B59" sqref="B59:M60"/>
    </sheetView>
  </sheetViews>
  <sheetFormatPr baseColWidth="10" defaultColWidth="9.28515625" defaultRowHeight="15" x14ac:dyDescent="0"/>
  <cols>
    <col min="1" max="1" width="16.28515625" style="805" customWidth="1"/>
    <col min="2" max="13" width="9.7109375" style="805" customWidth="1"/>
    <col min="14" max="16" width="9.28515625" style="805"/>
    <col min="17" max="17" width="9.28515625" style="1092"/>
    <col min="18" max="16384" width="9.28515625" style="805"/>
  </cols>
  <sheetData>
    <row r="1" spans="1:17">
      <c r="F1" s="829"/>
    </row>
    <row r="2" spans="1:17" ht="16" thickBot="1"/>
    <row r="3" spans="1:17" ht="32" customHeight="1" thickTop="1">
      <c r="A3" s="1793" t="s">
        <v>3214</v>
      </c>
      <c r="B3" s="1794"/>
      <c r="C3" s="1794"/>
      <c r="D3" s="1794"/>
      <c r="E3" s="1794"/>
      <c r="F3" s="1794"/>
      <c r="G3" s="1794"/>
      <c r="H3" s="1794"/>
      <c r="I3" s="1794"/>
      <c r="J3" s="1794"/>
      <c r="K3" s="1794"/>
      <c r="L3" s="1794"/>
      <c r="M3" s="1795"/>
    </row>
    <row r="4" spans="1:17" ht="12" customHeight="1">
      <c r="A4" s="806"/>
      <c r="B4" s="807"/>
      <c r="C4" s="807"/>
      <c r="D4" s="807"/>
      <c r="E4" s="807"/>
      <c r="F4" s="807"/>
      <c r="G4" s="807"/>
      <c r="H4" s="807"/>
      <c r="I4" s="807"/>
      <c r="J4" s="807"/>
      <c r="K4" s="807"/>
      <c r="L4" s="807"/>
      <c r="M4" s="808"/>
    </row>
    <row r="5" spans="1:17">
      <c r="A5" s="809"/>
      <c r="B5" s="1169" t="s">
        <v>2411</v>
      </c>
      <c r="C5" s="1169" t="s">
        <v>2412</v>
      </c>
      <c r="D5" s="1169" t="s">
        <v>2413</v>
      </c>
      <c r="E5" s="1169" t="s">
        <v>2414</v>
      </c>
      <c r="F5" s="1169" t="s">
        <v>2415</v>
      </c>
      <c r="G5" s="1169" t="s">
        <v>2416</v>
      </c>
      <c r="H5" s="1169" t="s">
        <v>2417</v>
      </c>
      <c r="I5" s="1169" t="s">
        <v>2429</v>
      </c>
      <c r="J5" s="1169" t="s">
        <v>2430</v>
      </c>
      <c r="K5" s="1169" t="s">
        <v>2431</v>
      </c>
      <c r="L5" s="1169" t="s">
        <v>2432</v>
      </c>
      <c r="M5" s="1170" t="s">
        <v>2433</v>
      </c>
    </row>
    <row r="6" spans="1:17" ht="21" customHeight="1">
      <c r="A6" s="809"/>
      <c r="B6" s="1748" t="s">
        <v>2584</v>
      </c>
      <c r="C6" s="1749"/>
      <c r="D6" s="1749"/>
      <c r="E6" s="1749"/>
      <c r="F6" s="1749"/>
      <c r="G6" s="1749"/>
      <c r="H6" s="1749"/>
      <c r="I6" s="1749"/>
      <c r="J6" s="1749"/>
      <c r="K6" s="1749"/>
      <c r="L6" s="1749"/>
      <c r="M6" s="1840"/>
    </row>
    <row r="7" spans="1:17" ht="21" customHeight="1">
      <c r="A7" s="809"/>
      <c r="B7" s="1763" t="s">
        <v>2582</v>
      </c>
      <c r="C7" s="1849"/>
      <c r="D7" s="1849"/>
      <c r="E7" s="1849"/>
      <c r="F7" s="1849" t="s">
        <v>2581</v>
      </c>
      <c r="G7" s="1850"/>
      <c r="H7" s="1851" t="s">
        <v>2577</v>
      </c>
      <c r="I7" s="1851" t="s">
        <v>2578</v>
      </c>
      <c r="J7" s="1851" t="s">
        <v>2214</v>
      </c>
      <c r="K7" s="1743" t="s">
        <v>2575</v>
      </c>
      <c r="L7" s="1743" t="s">
        <v>2583</v>
      </c>
      <c r="M7" s="1770" t="s">
        <v>2269</v>
      </c>
    </row>
    <row r="8" spans="1:17" ht="85" customHeight="1">
      <c r="A8" s="809"/>
      <c r="B8" s="1159" t="s">
        <v>2576</v>
      </c>
      <c r="C8" s="1179" t="s">
        <v>2589</v>
      </c>
      <c r="D8" s="1140" t="s">
        <v>2572</v>
      </c>
      <c r="E8" s="1138" t="s">
        <v>2443</v>
      </c>
      <c r="F8" s="1138" t="s">
        <v>2570</v>
      </c>
      <c r="G8" s="1147" t="s">
        <v>2571</v>
      </c>
      <c r="H8" s="1851"/>
      <c r="I8" s="1851"/>
      <c r="J8" s="1851"/>
      <c r="K8" s="1743"/>
      <c r="L8" s="1744"/>
      <c r="M8" s="1770"/>
      <c r="Q8" s="1092" t="s">
        <v>1146</v>
      </c>
    </row>
    <row r="9" spans="1:17" ht="33" customHeight="1">
      <c r="A9" s="809"/>
      <c r="B9" s="1160" t="s">
        <v>2573</v>
      </c>
      <c r="C9" s="1141"/>
      <c r="D9" s="1141"/>
      <c r="E9" s="1141"/>
      <c r="F9" s="1146" t="s">
        <v>2574</v>
      </c>
      <c r="G9" s="1148" t="s">
        <v>2263</v>
      </c>
      <c r="H9" s="1141" t="s">
        <v>2265</v>
      </c>
      <c r="I9" s="1141" t="s">
        <v>2264</v>
      </c>
      <c r="J9" s="1141" t="s">
        <v>2579</v>
      </c>
      <c r="K9" s="1146" t="s">
        <v>2266</v>
      </c>
      <c r="L9" s="1137" t="s">
        <v>2268</v>
      </c>
      <c r="M9" s="1149" t="s">
        <v>2267</v>
      </c>
    </row>
    <row r="10" spans="1:17" ht="14" customHeight="1">
      <c r="A10" s="921">
        <v>1966</v>
      </c>
      <c r="B10" s="1161"/>
      <c r="C10" s="1162">
        <f>'Assets(MOFA)'!J11</f>
        <v>13615.140008570035</v>
      </c>
      <c r="D10" s="1162">
        <f>('Assets(MOFA)'!AS11+'Assets(MOFA)'!BT11)</f>
        <v>9961.4794634478767</v>
      </c>
      <c r="E10" s="1162">
        <f>'Assets(MOFA)'!BT11</f>
        <v>850</v>
      </c>
      <c r="F10" s="923"/>
      <c r="G10" s="926"/>
      <c r="H10" s="1152"/>
      <c r="I10" s="1152"/>
      <c r="J10" s="1152">
        <f t="shared" ref="J10:J57" si="0">D10/(D10+C10)</f>
        <v>0.42251517335938399</v>
      </c>
      <c r="K10" s="1152">
        <f t="shared" ref="K10:K57" si="1">J10/(1-J10)</f>
        <v>0.73164722927400172</v>
      </c>
      <c r="L10" s="1152">
        <f t="shared" ref="L10:L57" si="2">1-E10/D10</f>
        <v>0.91467130930511431</v>
      </c>
      <c r="M10" s="925">
        <f t="shared" ref="M10:M57" si="3">(D10-E10)/C10</f>
        <v>0.66921672914951047</v>
      </c>
      <c r="Q10" s="1180">
        <f t="shared" ref="Q10:Q57" si="4">M10-L10*K10</f>
        <v>0</v>
      </c>
    </row>
    <row r="11" spans="1:17" ht="14" customHeight="1">
      <c r="A11" s="826">
        <v>1967</v>
      </c>
      <c r="B11" s="1163"/>
      <c r="C11" s="1164">
        <f>'Assets(MOFA)'!J12</f>
        <v>14976.417228513003</v>
      </c>
      <c r="D11" s="1164">
        <f>('Assets(MOFA)'!AS12+'Assets(MOFA)'!BT12)</f>
        <v>10795.272933719411</v>
      </c>
      <c r="E11" s="1164">
        <f>'Assets(MOFA)'!BT12</f>
        <v>921.14650512821504</v>
      </c>
      <c r="F11" s="828"/>
      <c r="G11" s="918"/>
      <c r="H11" s="1153"/>
      <c r="I11" s="1153"/>
      <c r="J11" s="1153">
        <f t="shared" si="0"/>
        <v>0.41888106157428262</v>
      </c>
      <c r="K11" s="1153">
        <f t="shared" si="1"/>
        <v>0.72081812151752278</v>
      </c>
      <c r="L11" s="1153">
        <f t="shared" si="2"/>
        <v>0.91467130930511431</v>
      </c>
      <c r="M11" s="890">
        <f t="shared" si="3"/>
        <v>0.65931165497928568</v>
      </c>
      <c r="Q11" s="1180">
        <f t="shared" si="4"/>
        <v>0</v>
      </c>
    </row>
    <row r="12" spans="1:17" ht="14" customHeight="1">
      <c r="A12" s="826">
        <v>1968</v>
      </c>
      <c r="B12" s="1163"/>
      <c r="C12" s="1164">
        <f>'Assets(MOFA)'!J13</f>
        <v>16986.345445532068</v>
      </c>
      <c r="D12" s="1164">
        <f>('Assets(MOFA)'!AS13+'Assets(MOFA)'!BT13)</f>
        <v>12318.300245832397</v>
      </c>
      <c r="E12" s="1164">
        <f>'Assets(MOFA)'!BT13</f>
        <v>1051.1044315633671</v>
      </c>
      <c r="F12" s="828"/>
      <c r="G12" s="918"/>
      <c r="H12" s="1153"/>
      <c r="I12" s="1153"/>
      <c r="J12" s="1153">
        <f t="shared" si="0"/>
        <v>0.4203531540892293</v>
      </c>
      <c r="K12" s="1153">
        <f t="shared" si="1"/>
        <v>0.72518837470554853</v>
      </c>
      <c r="L12" s="1153">
        <f t="shared" si="2"/>
        <v>0.91467130930511431</v>
      </c>
      <c r="M12" s="890">
        <f t="shared" si="3"/>
        <v>0.66330900018477201</v>
      </c>
      <c r="Q12" s="1180">
        <f t="shared" si="4"/>
        <v>0</v>
      </c>
    </row>
    <row r="13" spans="1:17" ht="14" customHeight="1">
      <c r="A13" s="856">
        <v>1969</v>
      </c>
      <c r="B13" s="1165"/>
      <c r="C13" s="1166">
        <f>'Assets(MOFA)'!J14</f>
        <v>19365.475632402293</v>
      </c>
      <c r="D13" s="1166">
        <f>('Assets(MOFA)'!AS14+'Assets(MOFA)'!BT14)</f>
        <v>14141.508019638735</v>
      </c>
      <c r="E13" s="1166">
        <f>'Assets(MOFA)'!BT14</f>
        <v>1206.6763637669994</v>
      </c>
      <c r="F13" s="858"/>
      <c r="G13" s="919"/>
      <c r="H13" s="1154"/>
      <c r="I13" s="1154"/>
      <c r="J13" s="1154">
        <f t="shared" si="0"/>
        <v>0.42204658486999697</v>
      </c>
      <c r="K13" s="1154">
        <f t="shared" si="1"/>
        <v>0.73024325805750823</v>
      </c>
      <c r="L13" s="1154">
        <f t="shared" si="2"/>
        <v>0.91467130930511431</v>
      </c>
      <c r="M13" s="892">
        <f t="shared" si="3"/>
        <v>0.66793255695869358</v>
      </c>
      <c r="Q13" s="1180">
        <f t="shared" si="4"/>
        <v>0</v>
      </c>
    </row>
    <row r="14" spans="1:17" ht="14" customHeight="1">
      <c r="A14" s="863">
        <v>1970</v>
      </c>
      <c r="B14" s="1167"/>
      <c r="C14" s="1168">
        <f>'Assets(MOFA)'!J15</f>
        <v>20961.894930602324</v>
      </c>
      <c r="D14" s="1168">
        <f>('Assets(MOFA)'!AS15+'Assets(MOFA)'!BT15)</f>
        <v>15102.324439831944</v>
      </c>
      <c r="E14" s="1168">
        <f>'Assets(MOFA)'!BT15</f>
        <v>1288.6615709002331</v>
      </c>
      <c r="F14" s="865"/>
      <c r="G14" s="920"/>
      <c r="H14" s="1155"/>
      <c r="I14" s="1155"/>
      <c r="J14" s="1155">
        <f t="shared" si="0"/>
        <v>0.41876199467145409</v>
      </c>
      <c r="K14" s="1155">
        <f t="shared" si="1"/>
        <v>0.7204656110447355</v>
      </c>
      <c r="L14" s="1155">
        <f t="shared" si="2"/>
        <v>0.91467130930511431</v>
      </c>
      <c r="M14" s="894">
        <f t="shared" si="3"/>
        <v>0.65898922376359736</v>
      </c>
      <c r="Q14" s="1180">
        <f t="shared" si="4"/>
        <v>0</v>
      </c>
    </row>
    <row r="15" spans="1:17" ht="14" customHeight="1">
      <c r="A15" s="826">
        <v>1971</v>
      </c>
      <c r="B15" s="1163"/>
      <c r="C15" s="1164">
        <f>'Assets(MOFA)'!J16</f>
        <v>22787.35323712719</v>
      </c>
      <c r="D15" s="1164">
        <f>('Assets(MOFA)'!AS16+'Assets(MOFA)'!BT16)</f>
        <v>19346.034426844886</v>
      </c>
      <c r="E15" s="1164">
        <f>'Assets(MOFA)'!BT16</f>
        <v>1650.7717877808579</v>
      </c>
      <c r="F15" s="828"/>
      <c r="G15" s="918"/>
      <c r="H15" s="1153"/>
      <c r="I15" s="1153"/>
      <c r="J15" s="1153">
        <f t="shared" si="0"/>
        <v>0.45916161741220551</v>
      </c>
      <c r="K15" s="1153">
        <f t="shared" si="1"/>
        <v>0.84898119696168128</v>
      </c>
      <c r="L15" s="1153">
        <f t="shared" si="2"/>
        <v>0.91467130930511431</v>
      </c>
      <c r="M15" s="890">
        <f t="shared" si="3"/>
        <v>0.77653874300036418</v>
      </c>
      <c r="Q15" s="1180">
        <f t="shared" si="4"/>
        <v>0</v>
      </c>
    </row>
    <row r="16" spans="1:17" ht="14" customHeight="1">
      <c r="A16" s="826">
        <v>1972</v>
      </c>
      <c r="B16" s="1163"/>
      <c r="C16" s="1164">
        <f>'Assets(MOFA)'!J17</f>
        <v>25940.942535605711</v>
      </c>
      <c r="D16" s="1164">
        <f>('Assets(MOFA)'!AS17+'Assets(MOFA)'!BT17)</f>
        <v>23260.100537957966</v>
      </c>
      <c r="E16" s="1164">
        <f>'Assets(MOFA)'!BT17</f>
        <v>1984.7539243353601</v>
      </c>
      <c r="F16" s="828"/>
      <c r="G16" s="918"/>
      <c r="H16" s="1153"/>
      <c r="I16" s="1153"/>
      <c r="J16" s="1153">
        <f t="shared" si="0"/>
        <v>0.47275624834173285</v>
      </c>
      <c r="K16" s="1153">
        <f t="shared" si="1"/>
        <v>0.89665595249794383</v>
      </c>
      <c r="L16" s="1153">
        <f t="shared" si="2"/>
        <v>0.91467130930511431</v>
      </c>
      <c r="M16" s="890">
        <f t="shared" si="3"/>
        <v>0.8201454740675187</v>
      </c>
      <c r="Q16" s="1180">
        <f t="shared" si="4"/>
        <v>0</v>
      </c>
    </row>
    <row r="17" spans="1:17" ht="14" customHeight="1">
      <c r="A17" s="826">
        <v>1973</v>
      </c>
      <c r="B17" s="1163"/>
      <c r="C17" s="1164">
        <f>'Assets(MOFA)'!J18</f>
        <v>29744.044080107062</v>
      </c>
      <c r="D17" s="1164">
        <f>('Assets(MOFA)'!AS18+'Assets(MOFA)'!BT18)</f>
        <v>34097.431197929036</v>
      </c>
      <c r="E17" s="1164">
        <f>'Assets(MOFA)'!BT18</f>
        <v>2138.4031394682879</v>
      </c>
      <c r="F17" s="828"/>
      <c r="G17" s="918"/>
      <c r="H17" s="1153"/>
      <c r="I17" s="1153"/>
      <c r="J17" s="1153">
        <f t="shared" si="0"/>
        <v>0.53409528914285365</v>
      </c>
      <c r="K17" s="1153">
        <f t="shared" si="1"/>
        <v>1.1463616415473756</v>
      </c>
      <c r="L17" s="1153">
        <f t="shared" si="2"/>
        <v>0.93728550614105599</v>
      </c>
      <c r="M17" s="890">
        <f t="shared" si="3"/>
        <v>1.0744681514184238</v>
      </c>
      <c r="Q17" s="1180">
        <f t="shared" si="4"/>
        <v>0</v>
      </c>
    </row>
    <row r="18" spans="1:17" ht="14" customHeight="1">
      <c r="A18" s="826">
        <v>1974</v>
      </c>
      <c r="B18" s="1163"/>
      <c r="C18" s="1164">
        <f>'Assets(MOFA)'!J19</f>
        <v>34980.310137453431</v>
      </c>
      <c r="D18" s="1164">
        <f>('Assets(MOFA)'!AS19+'Assets(MOFA)'!BT19)</f>
        <v>60458.972003739364</v>
      </c>
      <c r="E18" s="1164">
        <f>'Assets(MOFA)'!BT19</f>
        <v>2292.0523546012159</v>
      </c>
      <c r="F18" s="828"/>
      <c r="G18" s="918"/>
      <c r="H18" s="1153"/>
      <c r="I18" s="1153"/>
      <c r="J18" s="1153">
        <f t="shared" si="0"/>
        <v>0.63348100119085571</v>
      </c>
      <c r="K18" s="1153">
        <f t="shared" si="1"/>
        <v>1.7283715257574555</v>
      </c>
      <c r="L18" s="1153">
        <f t="shared" si="2"/>
        <v>0.96208912790545875</v>
      </c>
      <c r="M18" s="890">
        <f t="shared" si="3"/>
        <v>1.662847453912617</v>
      </c>
      <c r="Q18" s="1180">
        <f t="shared" si="4"/>
        <v>0</v>
      </c>
    </row>
    <row r="19" spans="1:17" ht="14" customHeight="1">
      <c r="A19" s="826">
        <v>1975</v>
      </c>
      <c r="B19" s="1163"/>
      <c r="C19" s="1164">
        <f>'Assets(MOFA)'!J20</f>
        <v>39271.654211011228</v>
      </c>
      <c r="D19" s="1164">
        <f>('Assets(MOFA)'!AS20+'Assets(MOFA)'!BT20)</f>
        <v>58055.825007619947</v>
      </c>
      <c r="E19" s="1164">
        <f>'Assets(MOFA)'!BT20</f>
        <v>2445.701569734144</v>
      </c>
      <c r="F19" s="828"/>
      <c r="G19" s="918"/>
      <c r="H19" s="1153"/>
      <c r="I19" s="1153"/>
      <c r="J19" s="1153">
        <f t="shared" si="0"/>
        <v>0.59649983204852652</v>
      </c>
      <c r="K19" s="1153">
        <f t="shared" si="1"/>
        <v>1.4783137144078313</v>
      </c>
      <c r="L19" s="1153">
        <f t="shared" si="2"/>
        <v>0.95787327853125603</v>
      </c>
      <c r="M19" s="890">
        <f t="shared" si="3"/>
        <v>1.4160372043175482</v>
      </c>
      <c r="Q19" s="1180">
        <f t="shared" si="4"/>
        <v>0</v>
      </c>
    </row>
    <row r="20" spans="1:17" ht="14" customHeight="1">
      <c r="A20" s="826">
        <v>1976</v>
      </c>
      <c r="B20" s="1163"/>
      <c r="C20" s="1164">
        <f>'Assets(MOFA)'!J21</f>
        <v>46837.612053692668</v>
      </c>
      <c r="D20" s="1164">
        <f>('Assets(MOFA)'!AS21+'Assets(MOFA)'!BT21)</f>
        <v>75433.93228650224</v>
      </c>
      <c r="E20" s="1164">
        <f>'Assets(MOFA)'!BT21</f>
        <v>2599.350784867072</v>
      </c>
      <c r="F20" s="828"/>
      <c r="G20" s="918"/>
      <c r="H20" s="1153"/>
      <c r="I20" s="1153"/>
      <c r="J20" s="1153">
        <f t="shared" si="0"/>
        <v>0.61693775680646645</v>
      </c>
      <c r="K20" s="1153">
        <f t="shared" si="1"/>
        <v>1.610541805590515</v>
      </c>
      <c r="L20" s="1153">
        <f t="shared" si="2"/>
        <v>0.96554135909295313</v>
      </c>
      <c r="M20" s="890">
        <f t="shared" si="3"/>
        <v>1.5550447238458842</v>
      </c>
      <c r="Q20" s="1180">
        <f t="shared" si="4"/>
        <v>0</v>
      </c>
    </row>
    <row r="21" spans="1:17" ht="14" customHeight="1">
      <c r="A21" s="826">
        <v>1977</v>
      </c>
      <c r="B21" s="1163">
        <f>'Assets(MOFA)'!KM22</f>
        <v>97759</v>
      </c>
      <c r="C21" s="1164">
        <f>'Assets(MOFA)'!J22</f>
        <v>55982</v>
      </c>
      <c r="D21" s="1164">
        <f>('Assets(MOFA)'!AS22+'Assets(MOFA)'!BT22)</f>
        <v>67582</v>
      </c>
      <c r="E21" s="1164">
        <f>'Assets(MOFA)'!BT22</f>
        <v>2753</v>
      </c>
      <c r="F21" s="828"/>
      <c r="G21" s="918"/>
      <c r="H21" s="1153">
        <f t="shared" ref="H21:H38" si="5">B21/C21</f>
        <v>1.7462577256975456</v>
      </c>
      <c r="I21" s="1153">
        <f t="shared" ref="I21:I38" si="6">D21/B21</f>
        <v>0.69131230884112971</v>
      </c>
      <c r="J21" s="1153">
        <f t="shared" si="0"/>
        <v>0.5469392379657505</v>
      </c>
      <c r="K21" s="1153">
        <f t="shared" si="1"/>
        <v>1.2072094601836303</v>
      </c>
      <c r="L21" s="1153">
        <f t="shared" si="2"/>
        <v>0.95926430114527539</v>
      </c>
      <c r="M21" s="890">
        <f t="shared" si="3"/>
        <v>1.1580329391590154</v>
      </c>
      <c r="Q21" s="1180">
        <f t="shared" si="4"/>
        <v>0</v>
      </c>
    </row>
    <row r="22" spans="1:17" ht="14" customHeight="1">
      <c r="A22" s="826">
        <v>1978</v>
      </c>
      <c r="B22" s="1163">
        <f>'Assets(MOFA)'!KM23</f>
        <v>108809.2</v>
      </c>
      <c r="C22" s="1164">
        <f>'Assets(MOFA)'!J23</f>
        <v>62997.01386603721</v>
      </c>
      <c r="D22" s="1164">
        <f>('Assets(MOFA)'!AS23+'Assets(MOFA)'!BT23)</f>
        <v>70320.126115242965</v>
      </c>
      <c r="E22" s="1164">
        <f>'Assets(MOFA)'!BT23</f>
        <v>3041.6</v>
      </c>
      <c r="F22" s="828"/>
      <c r="G22" s="918"/>
      <c r="H22" s="1153">
        <f t="shared" si="5"/>
        <v>1.7272120267697473</v>
      </c>
      <c r="I22" s="1153">
        <f t="shared" si="6"/>
        <v>0.64627004072489247</v>
      </c>
      <c r="J22" s="1153">
        <f t="shared" si="0"/>
        <v>0.52746500656342477</v>
      </c>
      <c r="K22" s="1153">
        <f t="shared" si="1"/>
        <v>1.1162453868810085</v>
      </c>
      <c r="L22" s="1153">
        <f t="shared" si="2"/>
        <v>0.95674638018971514</v>
      </c>
      <c r="M22" s="890">
        <f t="shared" si="3"/>
        <v>1.067963733301873</v>
      </c>
      <c r="Q22" s="1180">
        <f t="shared" si="4"/>
        <v>0</v>
      </c>
    </row>
    <row r="23" spans="1:17" ht="14" customHeight="1">
      <c r="A23" s="856">
        <v>1979</v>
      </c>
      <c r="B23" s="1165">
        <f>'Assets(MOFA)'!KM24</f>
        <v>119859.4</v>
      </c>
      <c r="C23" s="1166">
        <f>'Assets(MOFA)'!J24</f>
        <v>70178.856248600423</v>
      </c>
      <c r="D23" s="1166">
        <f>('Assets(MOFA)'!AS24+'Assets(MOFA)'!BT24)</f>
        <v>97324.373465477169</v>
      </c>
      <c r="E23" s="1166">
        <f>'Assets(MOFA)'!BT24</f>
        <v>3330.2</v>
      </c>
      <c r="F23" s="858"/>
      <c r="G23" s="919"/>
      <c r="H23" s="1154">
        <f t="shared" si="5"/>
        <v>1.7079132719891021</v>
      </c>
      <c r="I23" s="1154">
        <f t="shared" si="6"/>
        <v>0.81198782461348196</v>
      </c>
      <c r="J23" s="1154">
        <f t="shared" si="0"/>
        <v>0.5810298322701396</v>
      </c>
      <c r="K23" s="1154">
        <f t="shared" si="1"/>
        <v>1.3868047823509251</v>
      </c>
      <c r="L23" s="1154">
        <f t="shared" si="2"/>
        <v>0.96578246659680489</v>
      </c>
      <c r="M23" s="892">
        <f t="shared" si="3"/>
        <v>1.3393517433871216</v>
      </c>
      <c r="Q23" s="1180">
        <f t="shared" si="4"/>
        <v>0</v>
      </c>
    </row>
    <row r="24" spans="1:17" ht="14" customHeight="1">
      <c r="A24" s="863">
        <v>1980</v>
      </c>
      <c r="B24" s="1167">
        <f>'Assets(MOFA)'!KM25</f>
        <v>130909.59999999999</v>
      </c>
      <c r="C24" s="1168">
        <f>'Assets(MOFA)'!J25</f>
        <v>75527.098402582895</v>
      </c>
      <c r="D24" s="1168">
        <f>('Assets(MOFA)'!AS25+'Assets(MOFA)'!BT25)</f>
        <v>65637.240885284817</v>
      </c>
      <c r="E24" s="1168">
        <f>'Assets(MOFA)'!BT25</f>
        <v>3618.7999999999997</v>
      </c>
      <c r="F24" s="865"/>
      <c r="G24" s="920"/>
      <c r="H24" s="1155">
        <f t="shared" si="5"/>
        <v>1.7332798792588477</v>
      </c>
      <c r="I24" s="1155">
        <f t="shared" si="6"/>
        <v>0.50139364023176924</v>
      </c>
      <c r="J24" s="1155">
        <f t="shared" si="0"/>
        <v>0.46497041119878618</v>
      </c>
      <c r="K24" s="1155">
        <f t="shared" si="1"/>
        <v>0.86905550820207522</v>
      </c>
      <c r="L24" s="1155">
        <f t="shared" si="2"/>
        <v>0.9448666648507571</v>
      </c>
      <c r="M24" s="894">
        <f t="shared" si="3"/>
        <v>0.8211415796050745</v>
      </c>
      <c r="Q24" s="1180">
        <f t="shared" si="4"/>
        <v>0</v>
      </c>
    </row>
    <row r="25" spans="1:17" ht="14" customHeight="1">
      <c r="A25" s="826">
        <v>1981</v>
      </c>
      <c r="B25" s="1163">
        <f>'Assets(MOFA)'!KM26</f>
        <v>141959.79999999999</v>
      </c>
      <c r="C25" s="1164">
        <f>'Assets(MOFA)'!J26</f>
        <v>82026.882504213994</v>
      </c>
      <c r="D25" s="1164">
        <f>('Assets(MOFA)'!AS26+'Assets(MOFA)'!BT26)</f>
        <v>59760.789212755517</v>
      </c>
      <c r="E25" s="1164">
        <f>'Assets(MOFA)'!BT26</f>
        <v>3907.3999999999996</v>
      </c>
      <c r="F25" s="828"/>
      <c r="G25" s="918"/>
      <c r="H25" s="1153">
        <f t="shared" si="5"/>
        <v>1.7306497049026219</v>
      </c>
      <c r="I25" s="1153">
        <f t="shared" si="6"/>
        <v>0.42096980421750047</v>
      </c>
      <c r="J25" s="1153">
        <f t="shared" si="0"/>
        <v>0.42148085576895178</v>
      </c>
      <c r="K25" s="1153">
        <f t="shared" si="1"/>
        <v>0.72855126744193155</v>
      </c>
      <c r="L25" s="1153">
        <f t="shared" si="2"/>
        <v>0.93461599066087986</v>
      </c>
      <c r="M25" s="890">
        <f t="shared" si="3"/>
        <v>0.68091566456748054</v>
      </c>
      <c r="Q25" s="1180">
        <f t="shared" si="4"/>
        <v>0</v>
      </c>
    </row>
    <row r="26" spans="1:17" ht="14" customHeight="1">
      <c r="A26" s="826">
        <v>1982</v>
      </c>
      <c r="B26" s="1163">
        <f>'Assets(MOFA)'!KM27</f>
        <v>153010</v>
      </c>
      <c r="C26" s="1164">
        <f>'Assets(MOFA)'!J27</f>
        <v>83989</v>
      </c>
      <c r="D26" s="1164">
        <f>('Assets(MOFA)'!AS27+'Assets(MOFA)'!BT27)</f>
        <v>49745</v>
      </c>
      <c r="E26" s="1164">
        <f>'Assets(MOFA)'!BT27</f>
        <v>4196</v>
      </c>
      <c r="F26" s="828"/>
      <c r="G26" s="918"/>
      <c r="H26" s="1153">
        <f t="shared" si="5"/>
        <v>1.8217861862862994</v>
      </c>
      <c r="I26" s="1153">
        <f t="shared" si="6"/>
        <v>0.32510946996928303</v>
      </c>
      <c r="J26" s="1153">
        <f t="shared" si="0"/>
        <v>0.3719697309584698</v>
      </c>
      <c r="K26" s="1153">
        <f t="shared" si="1"/>
        <v>0.59227994142090035</v>
      </c>
      <c r="L26" s="1153">
        <f t="shared" si="2"/>
        <v>0.91564981405166346</v>
      </c>
      <c r="M26" s="890">
        <f t="shared" si="3"/>
        <v>0.54232101822857759</v>
      </c>
      <c r="Q26" s="1180">
        <f t="shared" si="4"/>
        <v>0</v>
      </c>
    </row>
    <row r="27" spans="1:17" ht="14" customHeight="1">
      <c r="A27" s="826">
        <v>1983</v>
      </c>
      <c r="B27" s="1163">
        <f>'Assets(MOFA)'!KM28</f>
        <v>148581</v>
      </c>
      <c r="C27" s="1164">
        <f>'Assets(MOFA)'!J28</f>
        <v>76773</v>
      </c>
      <c r="D27" s="1164">
        <f>('Assets(MOFA)'!AS28+'Assets(MOFA)'!BT28)</f>
        <v>53697.285714285717</v>
      </c>
      <c r="E27" s="1164">
        <f>'Assets(MOFA)'!BT28</f>
        <v>3788.2857142857142</v>
      </c>
      <c r="F27" s="828"/>
      <c r="G27" s="918"/>
      <c r="H27" s="1153">
        <f t="shared" si="5"/>
        <v>1.9353288265405806</v>
      </c>
      <c r="I27" s="1153">
        <f t="shared" si="6"/>
        <v>0.36140075591284027</v>
      </c>
      <c r="J27" s="1153">
        <f t="shared" si="0"/>
        <v>0.41156716581334341</v>
      </c>
      <c r="K27" s="1153">
        <f t="shared" si="1"/>
        <v>0.69942930085167598</v>
      </c>
      <c r="L27" s="1153">
        <f t="shared" si="2"/>
        <v>0.9294510762714796</v>
      </c>
      <c r="M27" s="890">
        <f t="shared" si="3"/>
        <v>0.65008531645239864</v>
      </c>
      <c r="Q27" s="1180">
        <f t="shared" si="4"/>
        <v>0</v>
      </c>
    </row>
    <row r="28" spans="1:17" ht="14" customHeight="1">
      <c r="A28" s="826">
        <v>1984</v>
      </c>
      <c r="B28" s="1163">
        <f>'Assets(MOFA)'!KM29</f>
        <v>146480</v>
      </c>
      <c r="C28" s="1164">
        <f>'Assets(MOFA)'!J29</f>
        <v>74585</v>
      </c>
      <c r="D28" s="1164">
        <f>('Assets(MOFA)'!AS29+'Assets(MOFA)'!BT29)</f>
        <v>59251.571428571428</v>
      </c>
      <c r="E28" s="1164">
        <f>'Assets(MOFA)'!BT29</f>
        <v>3380.5714285714284</v>
      </c>
      <c r="F28" s="828"/>
      <c r="G28" s="918"/>
      <c r="H28" s="1153">
        <f t="shared" si="5"/>
        <v>1.9639337668431991</v>
      </c>
      <c r="I28" s="1153">
        <f t="shared" si="6"/>
        <v>0.40450280876960287</v>
      </c>
      <c r="J28" s="1153">
        <f t="shared" si="0"/>
        <v>0.44271584960762383</v>
      </c>
      <c r="K28" s="1153">
        <f t="shared" si="1"/>
        <v>0.79441672492554039</v>
      </c>
      <c r="L28" s="1153">
        <f t="shared" si="2"/>
        <v>0.9429454553345179</v>
      </c>
      <c r="M28" s="890">
        <f t="shared" si="3"/>
        <v>0.74909164041027021</v>
      </c>
      <c r="Q28" s="1180">
        <f t="shared" si="4"/>
        <v>0</v>
      </c>
    </row>
    <row r="29" spans="1:17" ht="14" customHeight="1">
      <c r="A29" s="826">
        <v>1985</v>
      </c>
      <c r="B29" s="1163">
        <f>'Assets(MOFA)'!KM30</f>
        <v>158385</v>
      </c>
      <c r="C29" s="1164">
        <f>'Assets(MOFA)'!J30</f>
        <v>75481</v>
      </c>
      <c r="D29" s="1164">
        <f>('Assets(MOFA)'!AS30+'Assets(MOFA)'!BT30)</f>
        <v>56852.857142857145</v>
      </c>
      <c r="E29" s="1164">
        <f>'Assets(MOFA)'!BT30</f>
        <v>2972.8571428571427</v>
      </c>
      <c r="F29" s="828"/>
      <c r="G29" s="918"/>
      <c r="H29" s="1153">
        <f t="shared" si="5"/>
        <v>2.0983426292709422</v>
      </c>
      <c r="I29" s="1153">
        <f t="shared" si="6"/>
        <v>0.35895354448247718</v>
      </c>
      <c r="J29" s="1153">
        <f t="shared" si="0"/>
        <v>0.42961686729559539</v>
      </c>
      <c r="K29" s="1153">
        <f t="shared" si="1"/>
        <v>0.75320752431548499</v>
      </c>
      <c r="L29" s="1153">
        <f t="shared" si="2"/>
        <v>0.94770962635374523</v>
      </c>
      <c r="M29" s="890">
        <f t="shared" si="3"/>
        <v>0.71382202143585805</v>
      </c>
      <c r="Q29" s="1180">
        <f t="shared" si="4"/>
        <v>0</v>
      </c>
    </row>
    <row r="30" spans="1:17" ht="14" customHeight="1">
      <c r="A30" s="826">
        <v>1986</v>
      </c>
      <c r="B30" s="1163">
        <f>'Assets(MOFA)'!KM31</f>
        <v>170016</v>
      </c>
      <c r="C30" s="1164">
        <f>'Assets(MOFA)'!J31</f>
        <v>86127</v>
      </c>
      <c r="D30" s="1164">
        <f>('Assets(MOFA)'!AS31+'Assets(MOFA)'!BT31)</f>
        <v>50645.142857142855</v>
      </c>
      <c r="E30" s="1164">
        <f>'Assets(MOFA)'!BT31</f>
        <v>2565.1428571428569</v>
      </c>
      <c r="F30" s="828"/>
      <c r="G30" s="918"/>
      <c r="H30" s="1153">
        <f t="shared" si="5"/>
        <v>1.9740151172106308</v>
      </c>
      <c r="I30" s="1153">
        <f t="shared" si="6"/>
        <v>0.29788456884730175</v>
      </c>
      <c r="J30" s="1153">
        <f t="shared" si="0"/>
        <v>0.37028843592836891</v>
      </c>
      <c r="K30" s="1153">
        <f t="shared" si="1"/>
        <v>0.58802864208834471</v>
      </c>
      <c r="L30" s="1153">
        <f t="shared" si="2"/>
        <v>0.94935066400388135</v>
      </c>
      <c r="M30" s="890">
        <f t="shared" si="3"/>
        <v>0.5582453818198706</v>
      </c>
      <c r="Q30" s="1180">
        <f t="shared" si="4"/>
        <v>0</v>
      </c>
    </row>
    <row r="31" spans="1:17" ht="14" customHeight="1">
      <c r="A31" s="826">
        <v>1987</v>
      </c>
      <c r="B31" s="1163">
        <f>'Assets(MOFA)'!KM32</f>
        <v>188424</v>
      </c>
      <c r="C31" s="1164">
        <f>'Assets(MOFA)'!J32</f>
        <v>98298</v>
      </c>
      <c r="D31" s="1164">
        <f>('Assets(MOFA)'!AS32+'Assets(MOFA)'!BT32)</f>
        <v>60699.428571428572</v>
      </c>
      <c r="E31" s="1164">
        <f>'Assets(MOFA)'!BT32</f>
        <v>2157.4285714285711</v>
      </c>
      <c r="F31" s="828"/>
      <c r="G31" s="918"/>
      <c r="H31" s="1153">
        <f t="shared" si="5"/>
        <v>1.9168650430324117</v>
      </c>
      <c r="I31" s="1153">
        <f t="shared" si="6"/>
        <v>0.32214276616263626</v>
      </c>
      <c r="J31" s="1153">
        <f t="shared" si="0"/>
        <v>0.38176358647309661</v>
      </c>
      <c r="K31" s="1153">
        <f t="shared" si="1"/>
        <v>0.61750420732292188</v>
      </c>
      <c r="L31" s="1153">
        <f t="shared" si="2"/>
        <v>0.9644571848169905</v>
      </c>
      <c r="M31" s="890">
        <f t="shared" si="3"/>
        <v>0.59555636940731249</v>
      </c>
      <c r="Q31" s="1180">
        <f t="shared" si="4"/>
        <v>0</v>
      </c>
    </row>
    <row r="32" spans="1:17" ht="14" customHeight="1">
      <c r="A32" s="826">
        <v>1988</v>
      </c>
      <c r="B32" s="1163">
        <f>'Assets(MOFA)'!KM33</f>
        <v>207194</v>
      </c>
      <c r="C32" s="1164">
        <f>'Assets(MOFA)'!J33</f>
        <v>109543.5</v>
      </c>
      <c r="D32" s="1164">
        <f>('Assets(MOFA)'!AS33+'Assets(MOFA)'!BT33)</f>
        <v>70793.71428571429</v>
      </c>
      <c r="E32" s="1164">
        <f>'Assets(MOFA)'!BT33</f>
        <v>1749.7142857142853</v>
      </c>
      <c r="F32" s="828"/>
      <c r="G32" s="918"/>
      <c r="H32" s="1153">
        <f t="shared" si="5"/>
        <v>1.891431257902112</v>
      </c>
      <c r="I32" s="1153">
        <f t="shared" si="6"/>
        <v>0.34167839940207867</v>
      </c>
      <c r="J32" s="1153">
        <f t="shared" si="0"/>
        <v>0.39256298022632996</v>
      </c>
      <c r="K32" s="1153">
        <f t="shared" si="1"/>
        <v>0.64626120477905391</v>
      </c>
      <c r="L32" s="1153">
        <f t="shared" si="2"/>
        <v>0.97528432709925816</v>
      </c>
      <c r="M32" s="890">
        <f t="shared" si="3"/>
        <v>0.63028842423329545</v>
      </c>
      <c r="Q32" s="1180">
        <f t="shared" si="4"/>
        <v>0</v>
      </c>
    </row>
    <row r="33" spans="1:17" ht="14" customHeight="1">
      <c r="A33" s="856">
        <v>1989</v>
      </c>
      <c r="B33" s="1165">
        <f>'Assets(MOFA)'!KM34</f>
        <v>231110</v>
      </c>
      <c r="C33" s="1166">
        <f>'Assets(MOFA)'!J34</f>
        <v>123438</v>
      </c>
      <c r="D33" s="1166">
        <f>('Assets(MOFA)'!AS34+'Assets(MOFA)'!BT34)</f>
        <v>72562</v>
      </c>
      <c r="E33" s="1166">
        <f>'Assets(MOFA)'!BT34</f>
        <v>1342</v>
      </c>
      <c r="F33" s="858"/>
      <c r="G33" s="919"/>
      <c r="H33" s="1154">
        <f t="shared" si="5"/>
        <v>1.8722759604011732</v>
      </c>
      <c r="I33" s="1154">
        <f t="shared" si="6"/>
        <v>0.31397170178702782</v>
      </c>
      <c r="J33" s="1154">
        <f t="shared" si="0"/>
        <v>0.37021428571428572</v>
      </c>
      <c r="K33" s="1154">
        <f t="shared" si="1"/>
        <v>0.58784166950209826</v>
      </c>
      <c r="L33" s="1154">
        <f t="shared" si="2"/>
        <v>0.98150547118326392</v>
      </c>
      <c r="M33" s="892">
        <f t="shared" si="3"/>
        <v>0.57696981480581344</v>
      </c>
      <c r="Q33" s="1180">
        <f t="shared" si="4"/>
        <v>0</v>
      </c>
    </row>
    <row r="34" spans="1:17" ht="14" customHeight="1">
      <c r="A34" s="863">
        <v>1990</v>
      </c>
      <c r="B34" s="1167">
        <f>'Assets(MOFA)'!KM35</f>
        <v>264324</v>
      </c>
      <c r="C34" s="1168">
        <f>'Assets(MOFA)'!J35</f>
        <v>140578</v>
      </c>
      <c r="D34" s="1168">
        <f>('Assets(MOFA)'!AS35+'Assets(MOFA)'!BT35)</f>
        <v>68731</v>
      </c>
      <c r="E34" s="1168">
        <f>'Assets(MOFA)'!BT35</f>
        <v>697</v>
      </c>
      <c r="F34" s="865"/>
      <c r="G34" s="920"/>
      <c r="H34" s="1155">
        <f t="shared" si="5"/>
        <v>1.8802657599339869</v>
      </c>
      <c r="I34" s="1155">
        <f t="shared" si="6"/>
        <v>0.26002557467350673</v>
      </c>
      <c r="J34" s="1155">
        <f t="shared" si="0"/>
        <v>0.32837097305897023</v>
      </c>
      <c r="K34" s="1155">
        <f t="shared" si="1"/>
        <v>0.4889171847657528</v>
      </c>
      <c r="L34" s="1155">
        <f t="shared" si="2"/>
        <v>0.98985901558248823</v>
      </c>
      <c r="M34" s="894">
        <f t="shared" si="3"/>
        <v>0.4839590832135896</v>
      </c>
      <c r="Q34" s="1180">
        <f t="shared" si="4"/>
        <v>0</v>
      </c>
    </row>
    <row r="35" spans="1:17" ht="14" customHeight="1">
      <c r="A35" s="826">
        <v>1991</v>
      </c>
      <c r="B35" s="1163">
        <f>'Assets(MOFA)'!KM36</f>
        <v>283600</v>
      </c>
      <c r="C35" s="1164">
        <f>'Assets(MOFA)'!J36</f>
        <v>148558</v>
      </c>
      <c r="D35" s="1164">
        <f>('Assets(MOFA)'!AS36+'Assets(MOFA)'!BT36)</f>
        <v>58086</v>
      </c>
      <c r="E35" s="1164">
        <f>'Assets(MOFA)'!BT36</f>
        <v>52</v>
      </c>
      <c r="F35" s="828"/>
      <c r="G35" s="918"/>
      <c r="H35" s="1153">
        <f t="shared" si="5"/>
        <v>1.9090186997670944</v>
      </c>
      <c r="I35" s="1153">
        <f t="shared" si="6"/>
        <v>0.20481664315937942</v>
      </c>
      <c r="J35" s="1153">
        <f t="shared" si="0"/>
        <v>0.28109211978087917</v>
      </c>
      <c r="K35" s="1153">
        <f t="shared" si="1"/>
        <v>0.39099880181477936</v>
      </c>
      <c r="L35" s="1153">
        <f t="shared" si="2"/>
        <v>0.99910477567744382</v>
      </c>
      <c r="M35" s="890">
        <f t="shared" si="3"/>
        <v>0.39064877017730448</v>
      </c>
      <c r="Q35" s="1180">
        <f t="shared" si="4"/>
        <v>0</v>
      </c>
    </row>
    <row r="36" spans="1:17" ht="14" customHeight="1">
      <c r="A36" s="826">
        <v>1992</v>
      </c>
      <c r="B36" s="1163">
        <f>'Assets(MOFA)'!KM37</f>
        <v>286872</v>
      </c>
      <c r="C36" s="1164">
        <f>'Assets(MOFA)'!J37</f>
        <v>157700</v>
      </c>
      <c r="D36" s="1164">
        <f>('Assets(MOFA)'!AS37+'Assets(MOFA)'!BT37)</f>
        <v>55366</v>
      </c>
      <c r="E36" s="1164">
        <f>'Assets(MOFA)'!BT37</f>
        <v>-593</v>
      </c>
      <c r="F36" s="828"/>
      <c r="G36" s="918"/>
      <c r="H36" s="1153">
        <f t="shared" si="5"/>
        <v>1.8190995561192136</v>
      </c>
      <c r="I36" s="1153">
        <f t="shared" si="6"/>
        <v>0.19299896818093087</v>
      </c>
      <c r="J36" s="1153">
        <f t="shared" si="0"/>
        <v>0.25985375423577672</v>
      </c>
      <c r="K36" s="1153">
        <f t="shared" si="1"/>
        <v>0.35108433734939765</v>
      </c>
      <c r="L36" s="1153">
        <f t="shared" si="2"/>
        <v>1.0107105443774158</v>
      </c>
      <c r="M36" s="890">
        <f t="shared" si="3"/>
        <v>0.35484464172479391</v>
      </c>
      <c r="Q36" s="1180">
        <f t="shared" si="4"/>
        <v>0</v>
      </c>
    </row>
    <row r="37" spans="1:17" ht="14" customHeight="1">
      <c r="A37" s="826">
        <v>1993</v>
      </c>
      <c r="B37" s="1163">
        <f>'Assets(MOFA)'!KM38</f>
        <v>291210</v>
      </c>
      <c r="C37" s="1164">
        <f>'Assets(MOFA)'!J38</f>
        <v>153893</v>
      </c>
      <c r="D37" s="1164">
        <f>('Assets(MOFA)'!AS38+'Assets(MOFA)'!BT38)</f>
        <v>58351</v>
      </c>
      <c r="E37" s="1164">
        <f>'Assets(MOFA)'!BT38</f>
        <v>-1238</v>
      </c>
      <c r="F37" s="828"/>
      <c r="G37" s="918"/>
      <c r="H37" s="1153">
        <f t="shared" si="5"/>
        <v>1.8922887980609904</v>
      </c>
      <c r="I37" s="1153">
        <f t="shared" si="6"/>
        <v>0.20037430033309295</v>
      </c>
      <c r="J37" s="1153">
        <f t="shared" si="0"/>
        <v>0.2749241439098396</v>
      </c>
      <c r="K37" s="1153">
        <f t="shared" si="1"/>
        <v>0.37916604393962033</v>
      </c>
      <c r="L37" s="1153">
        <f t="shared" si="2"/>
        <v>1.0212164315950027</v>
      </c>
      <c r="M37" s="890">
        <f t="shared" si="3"/>
        <v>0.38721059437401312</v>
      </c>
      <c r="Q37" s="1180">
        <f t="shared" si="4"/>
        <v>0</v>
      </c>
    </row>
    <row r="38" spans="1:17" ht="14" customHeight="1">
      <c r="A38" s="826">
        <v>1994</v>
      </c>
      <c r="B38" s="1163">
        <f>'Assets(MOFA)'!KM39</f>
        <v>322047</v>
      </c>
      <c r="C38" s="1164">
        <f>'Assets(MOFA)'!J39</f>
        <v>169124</v>
      </c>
      <c r="D38" s="1164">
        <f>('Assets(MOFA)'!AS39+'Assets(MOFA)'!BT39)</f>
        <v>66946</v>
      </c>
      <c r="E38" s="1164">
        <f>'Assets(MOFA)'!BT39</f>
        <v>-1883</v>
      </c>
      <c r="F38" s="828"/>
      <c r="G38" s="918"/>
      <c r="H38" s="1153">
        <f t="shared" si="5"/>
        <v>1.9042063811168137</v>
      </c>
      <c r="I38" s="1153">
        <f t="shared" si="6"/>
        <v>0.20787649007753525</v>
      </c>
      <c r="J38" s="1153">
        <f t="shared" si="0"/>
        <v>0.28358537721862159</v>
      </c>
      <c r="K38" s="1153">
        <f t="shared" si="1"/>
        <v>0.39583973888980867</v>
      </c>
      <c r="L38" s="1153">
        <f t="shared" si="2"/>
        <v>1.0281271472530098</v>
      </c>
      <c r="M38" s="890">
        <f t="shared" si="3"/>
        <v>0.4069735815141553</v>
      </c>
      <c r="Q38" s="1180">
        <f t="shared" si="4"/>
        <v>0</v>
      </c>
    </row>
    <row r="39" spans="1:17">
      <c r="A39" s="826">
        <v>1995</v>
      </c>
      <c r="B39" s="1163">
        <f>'Assets(MOFA)'!KM40</f>
        <v>359291</v>
      </c>
      <c r="C39" s="1164">
        <f>'Assets(MOFA)'!J40</f>
        <v>183450</v>
      </c>
      <c r="D39" s="1164">
        <f>('Assets(MOFA)'!AS40+'Assets(MOFA)'!BT40)</f>
        <v>87598</v>
      </c>
      <c r="E39" s="1164">
        <f>'Assets(MOFA)'!BT40</f>
        <v>-3331</v>
      </c>
      <c r="F39" s="828"/>
      <c r="G39" s="918"/>
      <c r="H39" s="1153">
        <f t="shared" ref="H39:H57" si="7">B39/C39</f>
        <v>1.9585227582447533</v>
      </c>
      <c r="I39" s="1153">
        <f t="shared" ref="I39:I57" si="8">D39/B39</f>
        <v>0.24380794397855776</v>
      </c>
      <c r="J39" s="1153">
        <f t="shared" si="0"/>
        <v>0.3231826097222632</v>
      </c>
      <c r="K39" s="1153">
        <f t="shared" si="1"/>
        <v>0.47750340692286725</v>
      </c>
      <c r="L39" s="1153">
        <f t="shared" si="2"/>
        <v>1.0380259823283637</v>
      </c>
      <c r="M39" s="890">
        <f t="shared" si="3"/>
        <v>0.49566094303624963</v>
      </c>
      <c r="Q39" s="1180">
        <f t="shared" si="4"/>
        <v>0</v>
      </c>
    </row>
    <row r="40" spans="1:17">
      <c r="A40" s="826">
        <v>1996</v>
      </c>
      <c r="B40" s="1163">
        <f>'Assets(MOFA)'!KM41</f>
        <v>391105</v>
      </c>
      <c r="C40" s="1164">
        <f>'Assets(MOFA)'!J41</f>
        <v>193427</v>
      </c>
      <c r="D40" s="1164">
        <f>('Assets(MOFA)'!AS41+'Assets(MOFA)'!BT41)</f>
        <v>102120.87307262569</v>
      </c>
      <c r="E40" s="1164">
        <f>'Assets(MOFA)'!BT41</f>
        <v>-2461.1269273743019</v>
      </c>
      <c r="F40" s="828"/>
      <c r="G40" s="918"/>
      <c r="H40" s="1153">
        <f t="shared" si="7"/>
        <v>2.0219772834195848</v>
      </c>
      <c r="I40" s="1153">
        <f t="shared" si="8"/>
        <v>0.26110858483687421</v>
      </c>
      <c r="J40" s="1153">
        <f t="shared" si="0"/>
        <v>0.34553073250346578</v>
      </c>
      <c r="K40" s="1153">
        <f t="shared" si="1"/>
        <v>0.52795562704599508</v>
      </c>
      <c r="L40" s="1153">
        <f t="shared" si="2"/>
        <v>1.0241001359792921</v>
      </c>
      <c r="M40" s="890">
        <f t="shared" si="3"/>
        <v>0.54067942944883596</v>
      </c>
      <c r="Q40" s="1180">
        <f t="shared" si="4"/>
        <v>0</v>
      </c>
    </row>
    <row r="41" spans="1:17">
      <c r="A41" s="826">
        <v>1997</v>
      </c>
      <c r="B41" s="1163">
        <f>'Assets(MOFA)'!KM42</f>
        <v>416172</v>
      </c>
      <c r="C41" s="1164">
        <f>'Assets(MOFA)'!J42</f>
        <v>201658</v>
      </c>
      <c r="D41" s="1164">
        <f>('Assets(MOFA)'!AS42+'Assets(MOFA)'!BT42)</f>
        <v>109802.71854748603</v>
      </c>
      <c r="E41" s="1164">
        <f>'Assets(MOFA)'!BT42</f>
        <v>-2045.2814525139665</v>
      </c>
      <c r="F41" s="828"/>
      <c r="G41" s="918"/>
      <c r="H41" s="1153">
        <f t="shared" si="7"/>
        <v>2.0637515000644657</v>
      </c>
      <c r="I41" s="1153">
        <f t="shared" si="8"/>
        <v>0.26383975507118701</v>
      </c>
      <c r="J41" s="1153">
        <f t="shared" si="0"/>
        <v>0.3525411456685677</v>
      </c>
      <c r="K41" s="1153">
        <f t="shared" si="1"/>
        <v>0.54449969030480339</v>
      </c>
      <c r="L41" s="1153">
        <f t="shared" si="2"/>
        <v>1.0186268744487363</v>
      </c>
      <c r="M41" s="890">
        <f t="shared" si="3"/>
        <v>0.55464201767348675</v>
      </c>
      <c r="Q41" s="1180">
        <f t="shared" si="4"/>
        <v>0</v>
      </c>
    </row>
    <row r="42" spans="1:17">
      <c r="A42" s="826">
        <v>1998</v>
      </c>
      <c r="B42" s="1163">
        <f>'Assets(MOFA)'!KM43</f>
        <v>474309</v>
      </c>
      <c r="C42" s="1164">
        <f>'Assets(MOFA)'!J43</f>
        <v>206797</v>
      </c>
      <c r="D42" s="1164">
        <f>('Assets(MOFA)'!AS43+'Assets(MOFA)'!BT43)</f>
        <v>88200.859273743015</v>
      </c>
      <c r="E42" s="1164">
        <f>'Assets(MOFA)'!BT43</f>
        <v>-3270.1407262569828</v>
      </c>
      <c r="F42" s="828"/>
      <c r="G42" s="918"/>
      <c r="H42" s="1153">
        <f t="shared" si="7"/>
        <v>2.2935971024724728</v>
      </c>
      <c r="I42" s="1153">
        <f t="shared" si="8"/>
        <v>0.18595653734958226</v>
      </c>
      <c r="J42" s="1153">
        <f t="shared" si="0"/>
        <v>0.29898813330674751</v>
      </c>
      <c r="K42" s="1153">
        <f t="shared" si="1"/>
        <v>0.42650937525081606</v>
      </c>
      <c r="L42" s="1153">
        <f t="shared" si="2"/>
        <v>1.0370760642604135</v>
      </c>
      <c r="M42" s="890">
        <f t="shared" si="3"/>
        <v>0.44232266425528416</v>
      </c>
      <c r="Q42" s="1180">
        <f t="shared" si="4"/>
        <v>0</v>
      </c>
    </row>
    <row r="43" spans="1:17">
      <c r="A43" s="856">
        <v>1999</v>
      </c>
      <c r="B43" s="1165">
        <f>'Assets(MOFA)'!KM44</f>
        <v>542084</v>
      </c>
      <c r="C43" s="1166">
        <f>'Assets(MOFA)'!J44</f>
        <v>235065</v>
      </c>
      <c r="D43" s="1166">
        <f>('Assets(MOFA)'!AS44+'Assets(MOFA)'!BT44)</f>
        <v>109143</v>
      </c>
      <c r="E43" s="1166">
        <f>'Assets(MOFA)'!BT44</f>
        <v>1352</v>
      </c>
      <c r="F43" s="858"/>
      <c r="G43" s="919"/>
      <c r="H43" s="1154">
        <f t="shared" si="7"/>
        <v>2.3061025673749813</v>
      </c>
      <c r="I43" s="1154">
        <f t="shared" si="8"/>
        <v>0.20133964477830005</v>
      </c>
      <c r="J43" s="1154">
        <f t="shared" si="0"/>
        <v>0.31708443731697111</v>
      </c>
      <c r="K43" s="1154">
        <f t="shared" si="1"/>
        <v>0.46430987173760446</v>
      </c>
      <c r="L43" s="1154">
        <f t="shared" si="2"/>
        <v>0.98761258165892452</v>
      </c>
      <c r="M43" s="892">
        <f t="shared" si="3"/>
        <v>0.45855827111649972</v>
      </c>
      <c r="Q43" s="1180">
        <f t="shared" si="4"/>
        <v>0</v>
      </c>
    </row>
    <row r="44" spans="1:17">
      <c r="A44" s="863">
        <v>2000</v>
      </c>
      <c r="B44" s="1167">
        <f>'Assets(MOFA)'!KM45</f>
        <v>558208</v>
      </c>
      <c r="C44" s="1168">
        <f>'Assets(MOFA)'!J45</f>
        <v>244135</v>
      </c>
      <c r="D44" s="1168">
        <f>('Assets(MOFA)'!AS45+'Assets(MOFA)'!BT45)</f>
        <v>121511</v>
      </c>
      <c r="E44" s="1168">
        <f>'Assets(MOFA)'!BT45</f>
        <v>-9015</v>
      </c>
      <c r="F44" s="865"/>
      <c r="G44" s="920"/>
      <c r="H44" s="1155">
        <f t="shared" si="7"/>
        <v>2.2864726483298177</v>
      </c>
      <c r="I44" s="1155">
        <f t="shared" si="8"/>
        <v>0.21768050619124055</v>
      </c>
      <c r="J44" s="1155">
        <f t="shared" si="0"/>
        <v>0.33231869075553949</v>
      </c>
      <c r="K44" s="1155">
        <f t="shared" si="1"/>
        <v>0.49772052348086099</v>
      </c>
      <c r="L44" s="1155">
        <f t="shared" si="2"/>
        <v>1.0741908140003786</v>
      </c>
      <c r="M44" s="894">
        <f t="shared" si="3"/>
        <v>0.53464681426260063</v>
      </c>
      <c r="Q44" s="1180">
        <f t="shared" si="4"/>
        <v>0</v>
      </c>
    </row>
    <row r="45" spans="1:17">
      <c r="A45" s="826">
        <v>2001</v>
      </c>
      <c r="B45" s="1163">
        <f>'Assets(MOFA)'!KM46</f>
        <v>574759</v>
      </c>
      <c r="C45" s="1164">
        <f>'Assets(MOFA)'!J46</f>
        <v>244396</v>
      </c>
      <c r="D45" s="1164">
        <f>('Assets(MOFA)'!AS46+'Assets(MOFA)'!BT46)</f>
        <v>97048</v>
      </c>
      <c r="E45" s="1164">
        <f>'Assets(MOFA)'!BT46</f>
        <v>-6046</v>
      </c>
      <c r="F45" s="828"/>
      <c r="G45" s="918"/>
      <c r="H45" s="1153">
        <f t="shared" si="7"/>
        <v>2.3517528928460369</v>
      </c>
      <c r="I45" s="1153">
        <f t="shared" si="8"/>
        <v>0.16884990056702026</v>
      </c>
      <c r="J45" s="1153">
        <f t="shared" si="0"/>
        <v>0.28422816040111992</v>
      </c>
      <c r="K45" s="1153">
        <f t="shared" si="1"/>
        <v>0.39709324211525548</v>
      </c>
      <c r="L45" s="1153">
        <f t="shared" si="2"/>
        <v>1.0622990685021845</v>
      </c>
      <c r="M45" s="890">
        <f t="shared" si="3"/>
        <v>0.42183178120754838</v>
      </c>
      <c r="Q45" s="1180">
        <f t="shared" si="4"/>
        <v>0</v>
      </c>
    </row>
    <row r="46" spans="1:17">
      <c r="A46" s="826">
        <v>2002</v>
      </c>
      <c r="B46" s="1163">
        <f>'Assets(MOFA)'!KM47</f>
        <v>592390</v>
      </c>
      <c r="C46" s="1164">
        <f>'Assets(MOFA)'!J47</f>
        <v>247685</v>
      </c>
      <c r="D46" s="1164">
        <f>('Assets(MOFA)'!AS47+'Assets(MOFA)'!BT47)</f>
        <v>101788</v>
      </c>
      <c r="E46" s="1164">
        <f>'Assets(MOFA)'!BT47</f>
        <v>-9246</v>
      </c>
      <c r="F46" s="828"/>
      <c r="G46" s="918"/>
      <c r="H46" s="1153">
        <f t="shared" si="7"/>
        <v>2.3917072087530533</v>
      </c>
      <c r="I46" s="1153">
        <f t="shared" si="8"/>
        <v>0.17182599301136076</v>
      </c>
      <c r="J46" s="1153">
        <f t="shared" si="0"/>
        <v>0.29126141361421343</v>
      </c>
      <c r="K46" s="1153">
        <f t="shared" si="1"/>
        <v>0.41095746613642331</v>
      </c>
      <c r="L46" s="1153">
        <f t="shared" si="2"/>
        <v>1.0908358549141353</v>
      </c>
      <c r="M46" s="890">
        <f t="shared" si="3"/>
        <v>0.44828713890627209</v>
      </c>
      <c r="Q46" s="1180">
        <f t="shared" si="4"/>
        <v>0</v>
      </c>
    </row>
    <row r="47" spans="1:17">
      <c r="A47" s="826">
        <v>2003</v>
      </c>
      <c r="B47" s="1163">
        <f>'Assets(MOFA)'!KM48</f>
        <v>647440</v>
      </c>
      <c r="C47" s="1164">
        <f>'Assets(MOFA)'!J48</f>
        <v>270650</v>
      </c>
      <c r="D47" s="1164">
        <f>('Assets(MOFA)'!AS48+'Assets(MOFA)'!BT48)</f>
        <v>146424</v>
      </c>
      <c r="E47" s="1164">
        <f>'Assets(MOFA)'!BT48</f>
        <v>-7311</v>
      </c>
      <c r="F47" s="828"/>
      <c r="G47" s="918"/>
      <c r="H47" s="1153">
        <f t="shared" si="7"/>
        <v>2.3921670053574728</v>
      </c>
      <c r="I47" s="1153">
        <f t="shared" si="8"/>
        <v>0.22615840850117386</v>
      </c>
      <c r="J47" s="1153">
        <f t="shared" si="0"/>
        <v>0.35107438967665211</v>
      </c>
      <c r="K47" s="1153">
        <f t="shared" si="1"/>
        <v>0.54100868280066516</v>
      </c>
      <c r="L47" s="1153">
        <f t="shared" si="2"/>
        <v>1.0499303392886412</v>
      </c>
      <c r="M47" s="890">
        <f t="shared" si="3"/>
        <v>0.56802142989100313</v>
      </c>
      <c r="Q47" s="1180">
        <f t="shared" si="4"/>
        <v>0</v>
      </c>
    </row>
    <row r="48" spans="1:17">
      <c r="A48" s="826">
        <v>2004</v>
      </c>
      <c r="B48" s="1163">
        <f>'Assets(MOFA)'!KM49</f>
        <v>699378</v>
      </c>
      <c r="C48" s="1164">
        <f>'Assets(MOFA)'!J49</f>
        <v>304963</v>
      </c>
      <c r="D48" s="1164">
        <f>('Assets(MOFA)'!AS49+'Assets(MOFA)'!BT49)</f>
        <v>181142</v>
      </c>
      <c r="E48" s="1164">
        <f>'Assets(MOFA)'!BT49</f>
        <v>-6248</v>
      </c>
      <c r="F48" s="828"/>
      <c r="G48" s="918"/>
      <c r="H48" s="1153">
        <f t="shared" si="7"/>
        <v>2.293320829084184</v>
      </c>
      <c r="I48" s="1153">
        <f t="shared" si="8"/>
        <v>0.25900442965034642</v>
      </c>
      <c r="J48" s="1153">
        <f t="shared" si="0"/>
        <v>0.37263965604139021</v>
      </c>
      <c r="K48" s="1153">
        <f t="shared" si="1"/>
        <v>0.59398025334220872</v>
      </c>
      <c r="L48" s="1153">
        <f t="shared" si="2"/>
        <v>1.034492276777335</v>
      </c>
      <c r="M48" s="890">
        <f t="shared" si="3"/>
        <v>0.61446798464075969</v>
      </c>
      <c r="Q48" s="1180">
        <f t="shared" si="4"/>
        <v>0</v>
      </c>
    </row>
    <row r="49" spans="1:17">
      <c r="A49" s="826">
        <v>2005</v>
      </c>
      <c r="B49" s="1163">
        <f>'Assets(MOFA)'!KM50</f>
        <v>703530</v>
      </c>
      <c r="C49" s="1164">
        <f>'Assets(MOFA)'!J50</f>
        <v>331700</v>
      </c>
      <c r="D49" s="1164">
        <f>('Assets(MOFA)'!AS50+'Assets(MOFA)'!BT50)</f>
        <v>233395</v>
      </c>
      <c r="E49" s="1164">
        <f>'Assets(MOFA)'!BT50</f>
        <v>-14004</v>
      </c>
      <c r="F49" s="828"/>
      <c r="G49" s="918"/>
      <c r="H49" s="1153">
        <f t="shared" si="7"/>
        <v>2.1209828157974071</v>
      </c>
      <c r="I49" s="1153">
        <f t="shared" si="8"/>
        <v>0.33174846843773542</v>
      </c>
      <c r="J49" s="1153">
        <f t="shared" si="0"/>
        <v>0.41301904989426558</v>
      </c>
      <c r="K49" s="1153">
        <f t="shared" si="1"/>
        <v>0.7036328007235455</v>
      </c>
      <c r="L49" s="1153">
        <f t="shared" si="2"/>
        <v>1.0600012853745795</v>
      </c>
      <c r="M49" s="890">
        <f t="shared" si="3"/>
        <v>0.74585167319867351</v>
      </c>
      <c r="Q49" s="1180">
        <f t="shared" si="4"/>
        <v>0</v>
      </c>
    </row>
    <row r="50" spans="1:17">
      <c r="A50" s="826">
        <v>2006</v>
      </c>
      <c r="B50" s="1163">
        <f>'Assets(MOFA)'!KM51</f>
        <v>779998</v>
      </c>
      <c r="C50" s="1164">
        <f>'Assets(MOFA)'!J51</f>
        <v>358396</v>
      </c>
      <c r="D50" s="1164">
        <f>('Assets(MOFA)'!AS51+'Assets(MOFA)'!BT51)</f>
        <v>258170</v>
      </c>
      <c r="E50" s="1164">
        <f>'Assets(MOFA)'!BT51</f>
        <v>-13046</v>
      </c>
      <c r="F50" s="828"/>
      <c r="G50" s="918"/>
      <c r="H50" s="1153">
        <f t="shared" si="7"/>
        <v>2.1763579950669092</v>
      </c>
      <c r="I50" s="1153">
        <f t="shared" si="8"/>
        <v>0.33098802817443124</v>
      </c>
      <c r="J50" s="1153">
        <f t="shared" si="0"/>
        <v>0.41872240765789875</v>
      </c>
      <c r="K50" s="1153">
        <f t="shared" si="1"/>
        <v>0.7203484413888549</v>
      </c>
      <c r="L50" s="1153">
        <f t="shared" si="2"/>
        <v>1.0505325948018747</v>
      </c>
      <c r="M50" s="890">
        <f t="shared" si="3"/>
        <v>0.75674951729371975</v>
      </c>
      <c r="Q50" s="1180">
        <f t="shared" si="4"/>
        <v>0</v>
      </c>
    </row>
    <row r="51" spans="1:17">
      <c r="A51" s="826">
        <v>2007</v>
      </c>
      <c r="B51" s="1163">
        <f>'Assets(MOFA)'!KM52</f>
        <v>891911</v>
      </c>
      <c r="C51" s="1164">
        <f>'Assets(MOFA)'!J52</f>
        <v>391123</v>
      </c>
      <c r="D51" s="1164">
        <f>('Assets(MOFA)'!AS52+'Assets(MOFA)'!BT52)</f>
        <v>307492</v>
      </c>
      <c r="E51" s="1164">
        <f>'Assets(MOFA)'!BT52</f>
        <v>-2350</v>
      </c>
      <c r="F51" s="828"/>
      <c r="G51" s="918"/>
      <c r="H51" s="1153">
        <f t="shared" si="7"/>
        <v>2.280384942844067</v>
      </c>
      <c r="I51" s="1153">
        <f t="shared" si="8"/>
        <v>0.3447563714316787</v>
      </c>
      <c r="J51" s="1153">
        <f t="shared" si="0"/>
        <v>0.44014514432126423</v>
      </c>
      <c r="K51" s="1153">
        <f t="shared" si="1"/>
        <v>0.78617723836235676</v>
      </c>
      <c r="L51" s="1153">
        <f t="shared" si="2"/>
        <v>1.0076424752513886</v>
      </c>
      <c r="M51" s="890">
        <f t="shared" si="3"/>
        <v>0.79218557844974602</v>
      </c>
      <c r="Q51" s="1180">
        <f t="shared" si="4"/>
        <v>0</v>
      </c>
    </row>
    <row r="52" spans="1:17">
      <c r="A52" s="826">
        <v>2008</v>
      </c>
      <c r="B52" s="1163">
        <f>'Assets(MOFA)'!KM53</f>
        <v>868793</v>
      </c>
      <c r="C52" s="1164">
        <f>'Assets(MOFA)'!J53</f>
        <v>397122</v>
      </c>
      <c r="D52" s="1164">
        <f>('Assets(MOFA)'!AS53+'Assets(MOFA)'!BT53)</f>
        <v>347376</v>
      </c>
      <c r="E52" s="1164">
        <f>'Assets(MOFA)'!BT53</f>
        <v>3403</v>
      </c>
      <c r="F52" s="830"/>
      <c r="G52" s="918"/>
      <c r="H52" s="1153">
        <f t="shared" si="7"/>
        <v>2.1877231681951641</v>
      </c>
      <c r="I52" s="1153">
        <f t="shared" si="8"/>
        <v>0.399837475670269</v>
      </c>
      <c r="J52" s="1153">
        <f t="shared" si="0"/>
        <v>0.46659091092252764</v>
      </c>
      <c r="K52" s="1153">
        <f t="shared" si="1"/>
        <v>0.8747337090365177</v>
      </c>
      <c r="L52" s="1153">
        <f t="shared" si="2"/>
        <v>0.99020369858597024</v>
      </c>
      <c r="M52" s="890">
        <f t="shared" si="3"/>
        <v>0.86616455396578385</v>
      </c>
      <c r="Q52" s="1180">
        <f t="shared" si="4"/>
        <v>0</v>
      </c>
    </row>
    <row r="53" spans="1:17">
      <c r="A53" s="856">
        <v>2009</v>
      </c>
      <c r="B53" s="1165">
        <f>'Assets(MOFA)'!KM54</f>
        <v>989983</v>
      </c>
      <c r="C53" s="1166">
        <f>'Assets(MOFA)'!J54</f>
        <v>438816</v>
      </c>
      <c r="D53" s="1166">
        <f>('Assets(MOFA)'!AS54+'Assets(MOFA)'!BT54)</f>
        <v>258081.40766989504</v>
      </c>
      <c r="E53" s="1166">
        <f>'Assets(MOFA)'!BT54</f>
        <v>-19978.592330104973</v>
      </c>
      <c r="F53" s="884"/>
      <c r="G53" s="919"/>
      <c r="H53" s="1154">
        <f t="shared" si="7"/>
        <v>2.2560321410340554</v>
      </c>
      <c r="I53" s="1154">
        <f t="shared" si="8"/>
        <v>0.26069276711811723</v>
      </c>
      <c r="J53" s="1154">
        <f t="shared" si="0"/>
        <v>0.37032912567834159</v>
      </c>
      <c r="K53" s="1154">
        <f t="shared" si="1"/>
        <v>0.58813126155357831</v>
      </c>
      <c r="L53" s="1154">
        <f t="shared" si="2"/>
        <v>1.0774119782997271</v>
      </c>
      <c r="M53" s="892">
        <f t="shared" si="3"/>
        <v>0.63365966601035517</v>
      </c>
      <c r="Q53" s="1180">
        <f t="shared" si="4"/>
        <v>0</v>
      </c>
    </row>
    <row r="54" spans="1:17">
      <c r="A54" s="826">
        <v>2010</v>
      </c>
      <c r="B54" s="1163">
        <f>'Assets(MOFA)'!KM55</f>
        <v>993562</v>
      </c>
      <c r="C54" s="1164">
        <f>'Assets(MOFA)'!J55</f>
        <v>449498</v>
      </c>
      <c r="D54" s="1164">
        <f>('Assets(MOFA)'!AS55+'Assets(MOFA)'!BT55)</f>
        <v>313656</v>
      </c>
      <c r="E54" s="1164">
        <f>'Assets(MOFA)'!BT55</f>
        <v>-24430</v>
      </c>
      <c r="F54" s="830"/>
      <c r="G54" s="918"/>
      <c r="H54" s="1153">
        <f t="shared" si="7"/>
        <v>2.210381358760217</v>
      </c>
      <c r="I54" s="1153">
        <f t="shared" si="8"/>
        <v>0.31568840193163589</v>
      </c>
      <c r="J54" s="1153">
        <f t="shared" si="0"/>
        <v>0.41099961475665464</v>
      </c>
      <c r="K54" s="1153">
        <f t="shared" si="1"/>
        <v>0.6977917588064908</v>
      </c>
      <c r="L54" s="1153">
        <f t="shared" si="2"/>
        <v>1.077887877164792</v>
      </c>
      <c r="M54" s="890">
        <f t="shared" si="3"/>
        <v>0.75214127760301497</v>
      </c>
      <c r="Q54" s="1180">
        <f t="shared" si="4"/>
        <v>0</v>
      </c>
    </row>
    <row r="55" spans="1:17">
      <c r="A55" s="826">
        <v>2011</v>
      </c>
      <c r="B55" s="1163">
        <f>'Assets(MOFA)'!KM56</f>
        <v>1064897</v>
      </c>
      <c r="C55" s="1164">
        <f>'Assets(MOFA)'!J56</f>
        <v>490550</v>
      </c>
      <c r="D55" s="1164">
        <f>('Assets(MOFA)'!AS56+'Assets(MOFA)'!BT56)</f>
        <v>387542</v>
      </c>
      <c r="E55" s="1164">
        <f>'Assets(MOFA)'!BT56</f>
        <v>-18912</v>
      </c>
      <c r="F55" s="830"/>
      <c r="G55" s="918"/>
      <c r="H55" s="1153">
        <f t="shared" si="7"/>
        <v>2.1708225461217001</v>
      </c>
      <c r="I55" s="1153">
        <f t="shared" si="8"/>
        <v>0.36392439832209122</v>
      </c>
      <c r="J55" s="1153">
        <f t="shared" si="0"/>
        <v>0.44134555376885337</v>
      </c>
      <c r="K55" s="1153">
        <f t="shared" si="1"/>
        <v>0.79001528896136974</v>
      </c>
      <c r="L55" s="1153">
        <f t="shared" si="2"/>
        <v>1.048799872013872</v>
      </c>
      <c r="M55" s="890">
        <f t="shared" si="3"/>
        <v>0.82856793395168693</v>
      </c>
      <c r="Q55" s="1180">
        <f t="shared" si="4"/>
        <v>0</v>
      </c>
    </row>
    <row r="56" spans="1:17">
      <c r="A56" s="826">
        <v>2012</v>
      </c>
      <c r="B56" s="1163">
        <f>'Assets(MOFA)'!KM57</f>
        <v>1140558</v>
      </c>
      <c r="C56" s="1164">
        <f>'Assets(MOFA)'!J57</f>
        <v>505526</v>
      </c>
      <c r="D56" s="1164">
        <f>('Assets(MOFA)'!AS57+'Assets(MOFA)'!BT57)</f>
        <v>365519</v>
      </c>
      <c r="E56" s="1164">
        <f>'Assets(MOFA)'!BT57</f>
        <v>-14085</v>
      </c>
      <c r="F56" s="830"/>
      <c r="G56" s="918"/>
      <c r="H56" s="1153">
        <f t="shared" si="7"/>
        <v>2.2561806910030344</v>
      </c>
      <c r="I56" s="1153">
        <f t="shared" si="8"/>
        <v>0.32047383824408754</v>
      </c>
      <c r="J56" s="1153">
        <f t="shared" si="0"/>
        <v>0.419632739984731</v>
      </c>
      <c r="K56" s="1153">
        <f t="shared" si="1"/>
        <v>0.72304688581794019</v>
      </c>
      <c r="L56" s="1153">
        <f t="shared" si="2"/>
        <v>1.0385342485616342</v>
      </c>
      <c r="M56" s="890">
        <f t="shared" si="3"/>
        <v>0.75090895423776427</v>
      </c>
      <c r="Q56" s="1180">
        <f t="shared" si="4"/>
        <v>0</v>
      </c>
    </row>
    <row r="57" spans="1:17">
      <c r="A57" s="826">
        <v>2013</v>
      </c>
      <c r="B57" s="1163">
        <f>'Assets(MOFA)'!KM58</f>
        <v>1208888</v>
      </c>
      <c r="C57" s="1164">
        <f>'Assets(MOFA)'!J58</f>
        <v>510621</v>
      </c>
      <c r="D57" s="1164">
        <f>('Assets(MOFA)'!AS58+'Assets(MOFA)'!BT58)</f>
        <v>346392</v>
      </c>
      <c r="E57" s="1164">
        <f>'Assets(MOFA)'!BT58</f>
        <v>-12341</v>
      </c>
      <c r="F57" s="830"/>
      <c r="G57" s="1158"/>
      <c r="H57" s="1153">
        <f t="shared" si="7"/>
        <v>2.3674858652503521</v>
      </c>
      <c r="I57" s="1153">
        <f t="shared" si="8"/>
        <v>0.28653771068949313</v>
      </c>
      <c r="J57" s="1153">
        <f t="shared" si="0"/>
        <v>0.40418523406296053</v>
      </c>
      <c r="K57" s="1153">
        <f t="shared" si="1"/>
        <v>0.67837397991856974</v>
      </c>
      <c r="L57" s="1153">
        <f t="shared" si="2"/>
        <v>1.0356272662186194</v>
      </c>
      <c r="M57" s="890">
        <f t="shared" si="3"/>
        <v>0.70254259029691302</v>
      </c>
      <c r="Q57" s="1180">
        <f t="shared" si="4"/>
        <v>0</v>
      </c>
    </row>
    <row r="58" spans="1:17">
      <c r="A58" s="826">
        <v>2014</v>
      </c>
      <c r="B58" s="1163">
        <f>'Assets(MOFA)'!KM59</f>
        <v>1273442</v>
      </c>
      <c r="C58" s="1164">
        <f>'Assets(MOFA)'!J59</f>
        <v>571422</v>
      </c>
      <c r="D58" s="1164">
        <f>('Assets(MOFA)'!AS59+'Assets(MOFA)'!BT59)</f>
        <v>352507</v>
      </c>
      <c r="E58" s="1164">
        <f>'Assets(MOFA)'!BT59</f>
        <v>-14578</v>
      </c>
      <c r="F58" s="830">
        <f>'Assets(MOFA)'!MU59</f>
        <v>13281.1</v>
      </c>
      <c r="G58" s="1158">
        <f>'Assets(MOFA)'!J59/F58</f>
        <v>43.025201225802078</v>
      </c>
      <c r="H58" s="1153">
        <f>B58/C58</f>
        <v>2.2285491283149756</v>
      </c>
      <c r="I58" s="1153">
        <f>D58/B58</f>
        <v>0.27681433469290317</v>
      </c>
      <c r="J58" s="1153">
        <f>D58/(D58+C58)</f>
        <v>0.3815303989808741</v>
      </c>
      <c r="K58" s="1153">
        <f>J58/(1-J58)</f>
        <v>0.61689434428495926</v>
      </c>
      <c r="L58" s="1153">
        <f>1-E58/D58</f>
        <v>1.0413552071306384</v>
      </c>
      <c r="M58" s="890">
        <f>(D58-E58)/C58</f>
        <v>0.64240613767058319</v>
      </c>
      <c r="Q58" s="1180">
        <f>M58-L58*K58</f>
        <v>0</v>
      </c>
    </row>
    <row r="59" spans="1:17">
      <c r="A59" s="826">
        <v>2015</v>
      </c>
      <c r="B59" s="1163">
        <f>'Assets(MOFA)'!KM60</f>
        <v>1194623</v>
      </c>
      <c r="C59" s="1164">
        <f>'Assets(MOFA)'!J60</f>
        <v>552100</v>
      </c>
      <c r="D59" s="1164">
        <f>('Assets(MOFA)'!AS60+'Assets(MOFA)'!BT60)</f>
        <v>255775</v>
      </c>
      <c r="E59" s="1164">
        <f>'Assets(MOFA)'!BT60</f>
        <v>-16812</v>
      </c>
      <c r="F59" s="830"/>
      <c r="G59" s="1158"/>
      <c r="H59" s="1153">
        <f>B59/C59</f>
        <v>2.1637801122984968</v>
      </c>
      <c r="I59" s="1153">
        <f>D59/B59</f>
        <v>0.21410520306406289</v>
      </c>
      <c r="J59" s="1153">
        <f>D59/(D59+C59)</f>
        <v>0.31660219712207954</v>
      </c>
      <c r="K59" s="1153">
        <f>J59/(1-J59)</f>
        <v>0.46327658032965047</v>
      </c>
      <c r="L59" s="1153">
        <f>1-E59/D59</f>
        <v>1.065729645195973</v>
      </c>
      <c r="M59" s="890">
        <f>(D59-E59)/C59</f>
        <v>0.49372758558232205</v>
      </c>
      <c r="Q59" s="1180">
        <f>M59-L59*K59</f>
        <v>0</v>
      </c>
    </row>
    <row r="60" spans="1:17">
      <c r="A60" s="826">
        <v>2016</v>
      </c>
      <c r="B60" s="1163">
        <f>'Assets(MOFA)'!KM61</f>
        <v>1170959</v>
      </c>
      <c r="C60" s="1164">
        <f>'Assets(MOFA)'!J61</f>
        <v>539665</v>
      </c>
      <c r="D60" s="1164">
        <f>('Assets(MOFA)'!AS61+'Assets(MOFA)'!BT61)</f>
        <v>209357</v>
      </c>
      <c r="E60" s="1164">
        <f>'Assets(MOFA)'!BT61</f>
        <v>-16686</v>
      </c>
      <c r="F60" s="830"/>
      <c r="G60" s="1158"/>
      <c r="H60" s="1153">
        <f>B60/C60</f>
        <v>2.1697886651904423</v>
      </c>
      <c r="I60" s="1153">
        <f>D60/B60</f>
        <v>0.17879105929413414</v>
      </c>
      <c r="J60" s="1153">
        <f>D60/(D60+C60)</f>
        <v>0.27950714398241971</v>
      </c>
      <c r="K60" s="1153">
        <f>J60/(1-J60)</f>
        <v>0.38793881389380441</v>
      </c>
      <c r="L60" s="1153">
        <f>1-E60/D60</f>
        <v>1.0797011802805734</v>
      </c>
      <c r="M60" s="890">
        <f>(D60-E60)/C60</f>
        <v>0.41885799523778638</v>
      </c>
    </row>
    <row r="61" spans="1:17" ht="16" thickBot="1">
      <c r="A61" s="819"/>
      <c r="B61" s="820"/>
      <c r="C61" s="821"/>
      <c r="D61" s="821"/>
      <c r="E61" s="821"/>
      <c r="F61" s="821"/>
      <c r="G61" s="822"/>
      <c r="H61" s="1157"/>
      <c r="I61" s="1157"/>
      <c r="J61" s="1151"/>
      <c r="K61" s="821"/>
      <c r="L61" s="821"/>
      <c r="M61" s="1150"/>
    </row>
    <row r="62" spans="1:17" ht="16" thickTop="1"/>
    <row r="63" spans="1:17">
      <c r="A63" s="829" t="s">
        <v>2457</v>
      </c>
    </row>
    <row r="64" spans="1:17">
      <c r="A64" s="829" t="s">
        <v>2455</v>
      </c>
    </row>
    <row r="65" spans="1:17">
      <c r="A65" s="829" t="s">
        <v>1201</v>
      </c>
    </row>
    <row r="66" spans="1:17">
      <c r="A66" s="829" t="s">
        <v>722</v>
      </c>
      <c r="B66" s="855"/>
      <c r="C66" s="855"/>
      <c r="D66" s="855"/>
      <c r="E66" s="855"/>
    </row>
    <row r="67" spans="1:17">
      <c r="A67" s="829" t="s">
        <v>723</v>
      </c>
      <c r="B67" s="855"/>
      <c r="C67" s="855"/>
      <c r="D67" s="855"/>
      <c r="E67" s="855"/>
    </row>
    <row r="68" spans="1:17">
      <c r="A68" s="829" t="s">
        <v>2456</v>
      </c>
      <c r="B68" s="855"/>
      <c r="C68" s="855"/>
      <c r="D68" s="855"/>
      <c r="E68" s="855"/>
    </row>
    <row r="69" spans="1:17" s="825" customFormat="1">
      <c r="B69" s="805"/>
      <c r="C69" s="805"/>
      <c r="D69" s="805"/>
      <c r="E69" s="805"/>
      <c r="F69" s="805"/>
      <c r="G69" s="805"/>
      <c r="H69" s="805"/>
      <c r="I69" s="805"/>
      <c r="J69" s="805"/>
      <c r="K69" s="805"/>
      <c r="L69" s="805"/>
      <c r="M69" s="805"/>
      <c r="Q69" s="1181"/>
    </row>
    <row r="70" spans="1:17" s="825" customFormat="1">
      <c r="A70" s="805"/>
      <c r="B70" s="805"/>
      <c r="C70" s="805"/>
      <c r="D70" s="805"/>
      <c r="E70" s="805"/>
      <c r="F70" s="805"/>
      <c r="G70" s="805"/>
      <c r="H70" s="805"/>
      <c r="I70" s="805"/>
      <c r="J70" s="805"/>
      <c r="K70" s="805"/>
      <c r="L70" s="805"/>
      <c r="M70" s="805"/>
      <c r="Q70" s="1181"/>
    </row>
    <row r="72" spans="1:17" s="825" customFormat="1">
      <c r="A72" s="805"/>
      <c r="B72" s="805"/>
      <c r="C72" s="805"/>
      <c r="D72" s="805"/>
      <c r="E72" s="805"/>
      <c r="F72" s="805"/>
      <c r="G72" s="805"/>
      <c r="H72" s="805"/>
      <c r="I72" s="805"/>
      <c r="J72" s="805"/>
      <c r="K72" s="805"/>
      <c r="L72" s="805"/>
      <c r="M72" s="805"/>
      <c r="Q72" s="1181"/>
    </row>
  </sheetData>
  <mergeCells count="10">
    <mergeCell ref="A3:M3"/>
    <mergeCell ref="B6:M6"/>
    <mergeCell ref="B7:E7"/>
    <mergeCell ref="F7:G7"/>
    <mergeCell ref="H7:H8"/>
    <mergeCell ref="I7:I8"/>
    <mergeCell ref="J7:J8"/>
    <mergeCell ref="K7:K8"/>
    <mergeCell ref="L7:L8"/>
    <mergeCell ref="M7:M8"/>
  </mergeCells>
  <pageMargins left="0.75" right="0.75" top="1" bottom="1" header="0.5" footer="0.5"/>
  <pageSetup scale="48" orientation="portrait" horizontalDpi="4294967292" verticalDpi="429496729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72"/>
  <sheetViews>
    <sheetView workbookViewId="0">
      <pane xSplit="1" ySplit="9" topLeftCell="B44" activePane="bottomRight" state="frozen"/>
      <selection activeCell="X67" sqref="X67"/>
      <selection pane="topRight" activeCell="X67" sqref="X67"/>
      <selection pane="bottomLeft" activeCell="X67" sqref="X67"/>
      <selection pane="bottomRight" activeCell="B59" sqref="B59:M60"/>
    </sheetView>
  </sheetViews>
  <sheetFormatPr baseColWidth="10" defaultColWidth="9.28515625" defaultRowHeight="15" x14ac:dyDescent="0"/>
  <cols>
    <col min="1" max="1" width="16.28515625" style="805" customWidth="1"/>
    <col min="2" max="13" width="9.7109375" style="805" customWidth="1"/>
    <col min="14" max="16" width="9.28515625" style="805"/>
    <col min="17" max="17" width="9.28515625" style="1092"/>
    <col min="18" max="16384" width="9.28515625" style="805"/>
  </cols>
  <sheetData>
    <row r="1" spans="1:17">
      <c r="F1" s="829"/>
    </row>
    <row r="2" spans="1:17" ht="16" thickBot="1"/>
    <row r="3" spans="1:17" ht="32" customHeight="1" thickTop="1">
      <c r="A3" s="1793" t="s">
        <v>3215</v>
      </c>
      <c r="B3" s="1794"/>
      <c r="C3" s="1794"/>
      <c r="D3" s="1794"/>
      <c r="E3" s="1794"/>
      <c r="F3" s="1794"/>
      <c r="G3" s="1794"/>
      <c r="H3" s="1794"/>
      <c r="I3" s="1794"/>
      <c r="J3" s="1794"/>
      <c r="K3" s="1794"/>
      <c r="L3" s="1794"/>
      <c r="M3" s="1795"/>
    </row>
    <row r="4" spans="1:17" ht="12" customHeight="1">
      <c r="A4" s="806"/>
      <c r="B4" s="807"/>
      <c r="C4" s="807"/>
      <c r="D4" s="807"/>
      <c r="E4" s="807"/>
      <c r="F4" s="807"/>
      <c r="G4" s="807"/>
      <c r="H4" s="807"/>
      <c r="I4" s="807"/>
      <c r="J4" s="807"/>
      <c r="K4" s="807"/>
      <c r="L4" s="807"/>
      <c r="M4" s="808"/>
    </row>
    <row r="5" spans="1:17">
      <c r="A5" s="809"/>
      <c r="B5" s="1169" t="s">
        <v>2411</v>
      </c>
      <c r="C5" s="1169" t="s">
        <v>2412</v>
      </c>
      <c r="D5" s="1169" t="s">
        <v>2413</v>
      </c>
      <c r="E5" s="1169" t="s">
        <v>2414</v>
      </c>
      <c r="F5" s="1169" t="s">
        <v>2415</v>
      </c>
      <c r="G5" s="1169" t="s">
        <v>2416</v>
      </c>
      <c r="H5" s="1169" t="s">
        <v>2417</v>
      </c>
      <c r="I5" s="1169" t="s">
        <v>2429</v>
      </c>
      <c r="J5" s="1169" t="s">
        <v>2430</v>
      </c>
      <c r="K5" s="1169" t="s">
        <v>2431</v>
      </c>
      <c r="L5" s="1169" t="s">
        <v>2432</v>
      </c>
      <c r="M5" s="1170" t="s">
        <v>2433</v>
      </c>
    </row>
    <row r="6" spans="1:17" ht="21" customHeight="1">
      <c r="A6" s="809"/>
      <c r="B6" s="1748" t="s">
        <v>2593</v>
      </c>
      <c r="C6" s="1749"/>
      <c r="D6" s="1749"/>
      <c r="E6" s="1749"/>
      <c r="F6" s="1749"/>
      <c r="G6" s="1749"/>
      <c r="H6" s="1749"/>
      <c r="I6" s="1749"/>
      <c r="J6" s="1749"/>
      <c r="K6" s="1749"/>
      <c r="L6" s="1749"/>
      <c r="M6" s="1840"/>
    </row>
    <row r="7" spans="1:17" ht="21" customHeight="1">
      <c r="A7" s="809"/>
      <c r="B7" s="1763" t="s">
        <v>2582</v>
      </c>
      <c r="C7" s="1849"/>
      <c r="D7" s="1849"/>
      <c r="E7" s="1849"/>
      <c r="F7" s="1849" t="s">
        <v>2581</v>
      </c>
      <c r="G7" s="1850"/>
      <c r="H7" s="1851" t="s">
        <v>2577</v>
      </c>
      <c r="I7" s="1851" t="s">
        <v>2578</v>
      </c>
      <c r="J7" s="1851" t="s">
        <v>2214</v>
      </c>
      <c r="K7" s="1743" t="s">
        <v>2575</v>
      </c>
      <c r="L7" s="1743" t="s">
        <v>2583</v>
      </c>
      <c r="M7" s="1770" t="s">
        <v>2269</v>
      </c>
    </row>
    <row r="8" spans="1:17" ht="85" customHeight="1">
      <c r="A8" s="809"/>
      <c r="B8" s="1159" t="s">
        <v>2576</v>
      </c>
      <c r="C8" s="1179" t="s">
        <v>2589</v>
      </c>
      <c r="D8" s="1140" t="s">
        <v>2572</v>
      </c>
      <c r="E8" s="1138" t="s">
        <v>2443</v>
      </c>
      <c r="F8" s="1138" t="s">
        <v>2570</v>
      </c>
      <c r="G8" s="1147" t="s">
        <v>2571</v>
      </c>
      <c r="H8" s="1851"/>
      <c r="I8" s="1851"/>
      <c r="J8" s="1851"/>
      <c r="K8" s="1743"/>
      <c r="L8" s="1744"/>
      <c r="M8" s="1770"/>
      <c r="Q8" s="1092" t="s">
        <v>1146</v>
      </c>
    </row>
    <row r="9" spans="1:17" ht="33" customHeight="1">
      <c r="A9" s="809"/>
      <c r="B9" s="1160" t="s">
        <v>2573</v>
      </c>
      <c r="C9" s="1146" t="s">
        <v>2590</v>
      </c>
      <c r="D9" s="1141"/>
      <c r="E9" s="1141"/>
      <c r="F9" s="1146" t="s">
        <v>2574</v>
      </c>
      <c r="G9" s="1148" t="s">
        <v>2263</v>
      </c>
      <c r="H9" s="1141" t="s">
        <v>2265</v>
      </c>
      <c r="I9" s="1141" t="s">
        <v>2264</v>
      </c>
      <c r="J9" s="1141" t="s">
        <v>2579</v>
      </c>
      <c r="K9" s="1146" t="s">
        <v>2266</v>
      </c>
      <c r="L9" s="1137" t="s">
        <v>2268</v>
      </c>
      <c r="M9" s="1149" t="s">
        <v>2267</v>
      </c>
    </row>
    <row r="10" spans="1:17" ht="14" customHeight="1">
      <c r="A10" s="921">
        <v>1966</v>
      </c>
      <c r="B10" s="1161"/>
      <c r="C10" s="1162">
        <f>'Assets(MOFA)'!J11-('Assets(MOFA)'!AU11-'Assets(MOFA)'!AQ11)/'Assets(MOFA)'!EG11</f>
        <v>12010.511141978381</v>
      </c>
      <c r="D10" s="1162">
        <f>('Assets(MOFA)'!AT11+'Assets(MOFA)'!BU11)</f>
        <v>6176.5369347122451</v>
      </c>
      <c r="E10" s="1162">
        <f>'Assets(MOFA)'!BU11</f>
        <v>555</v>
      </c>
      <c r="F10" s="923"/>
      <c r="G10" s="926"/>
      <c r="H10" s="1152">
        <f t="shared" ref="H10:H57" si="0">B10/C10</f>
        <v>0</v>
      </c>
      <c r="I10" s="1152"/>
      <c r="J10" s="1152">
        <f t="shared" ref="J10:J57" si="1">D10/(D10+C10)</f>
        <v>0.3396118440258804</v>
      </c>
      <c r="K10" s="1152">
        <f t="shared" ref="K10:K57" si="2">J10/(1-J10)</f>
        <v>0.51426095539967509</v>
      </c>
      <c r="L10" s="1152">
        <f t="shared" ref="L10:L57" si="3">1-E10/D10</f>
        <v>0.91014382236089442</v>
      </c>
      <c r="M10" s="925">
        <f t="shared" ref="M10:M57" si="4">(D10-E10)/C10</f>
        <v>0.46805143163842577</v>
      </c>
      <c r="Q10" s="1180">
        <f t="shared" ref="Q10:Q57" si="5">M10-L10*K10</f>
        <v>0</v>
      </c>
    </row>
    <row r="11" spans="1:17" ht="14" customHeight="1">
      <c r="A11" s="826">
        <v>1967</v>
      </c>
      <c r="B11" s="1163"/>
      <c r="C11" s="1164">
        <f>'Assets(MOFA)'!J12-('Assets(MOFA)'!AU12-'Assets(MOFA)'!AQ12)/'Assets(MOFA)'!EG12</f>
        <v>13341.741937426472</v>
      </c>
      <c r="D11" s="1164">
        <f>('Assets(MOFA)'!AT12+'Assets(MOFA)'!BU12)</f>
        <v>6284.284622480217</v>
      </c>
      <c r="E11" s="1164">
        <f>'Assets(MOFA)'!BU12</f>
        <v>569.55819388902194</v>
      </c>
      <c r="F11" s="828"/>
      <c r="G11" s="918"/>
      <c r="H11" s="1153">
        <f t="shared" si="0"/>
        <v>0</v>
      </c>
      <c r="I11" s="1153"/>
      <c r="J11" s="1153">
        <f t="shared" si="1"/>
        <v>0.3202015753569884</v>
      </c>
      <c r="K11" s="1153">
        <f t="shared" si="2"/>
        <v>0.47102429742337021</v>
      </c>
      <c r="L11" s="1153">
        <f t="shared" si="3"/>
        <v>0.9093678551968204</v>
      </c>
      <c r="M11" s="890">
        <f t="shared" si="4"/>
        <v>0.42833435509347934</v>
      </c>
      <c r="Q11" s="1180">
        <f t="shared" si="5"/>
        <v>0</v>
      </c>
    </row>
    <row r="12" spans="1:17" ht="14" customHeight="1">
      <c r="A12" s="826">
        <v>1968</v>
      </c>
      <c r="B12" s="1163"/>
      <c r="C12" s="1164">
        <f>'Assets(MOFA)'!J13-('Assets(MOFA)'!AU13-'Assets(MOFA)'!AQ13)/'Assets(MOFA)'!EG13</f>
        <v>15276.726980468717</v>
      </c>
      <c r="D12" s="1164">
        <f>('Assets(MOFA)'!AT13+'Assets(MOFA)'!BU13)</f>
        <v>7031.4401651407543</v>
      </c>
      <c r="E12" s="1164">
        <f>'Assets(MOFA)'!BU13</f>
        <v>639.04435087172442</v>
      </c>
      <c r="F12" s="828"/>
      <c r="G12" s="918"/>
      <c r="H12" s="1153">
        <f t="shared" si="0"/>
        <v>0</v>
      </c>
      <c r="I12" s="1153"/>
      <c r="J12" s="1153">
        <f t="shared" si="1"/>
        <v>0.31519578095525569</v>
      </c>
      <c r="K12" s="1153">
        <f t="shared" si="2"/>
        <v>0.46027137711699928</v>
      </c>
      <c r="L12" s="1153">
        <f t="shared" si="3"/>
        <v>0.90911615033860815</v>
      </c>
      <c r="M12" s="890">
        <f t="shared" si="4"/>
        <v>0.41844014247565614</v>
      </c>
      <c r="Q12" s="1180">
        <f t="shared" si="5"/>
        <v>0</v>
      </c>
    </row>
    <row r="13" spans="1:17" ht="14" customHeight="1">
      <c r="A13" s="856">
        <v>1969</v>
      </c>
      <c r="B13" s="1165"/>
      <c r="C13" s="1166">
        <f>'Assets(MOFA)'!J14-('Assets(MOFA)'!AU14-'Assets(MOFA)'!AQ14)/'Assets(MOFA)'!EG14</f>
        <v>17585.785641480426</v>
      </c>
      <c r="D13" s="1166">
        <f>('Assets(MOFA)'!AT14+'Assets(MOFA)'!BU14)</f>
        <v>8307.9370653365531</v>
      </c>
      <c r="E13" s="1166">
        <f>'Assets(MOFA)'!BU14</f>
        <v>752.00540946481726</v>
      </c>
      <c r="F13" s="858"/>
      <c r="G13" s="919"/>
      <c r="H13" s="1154">
        <f t="shared" si="0"/>
        <v>0</v>
      </c>
      <c r="I13" s="1154"/>
      <c r="J13" s="1154">
        <f t="shared" si="1"/>
        <v>0.32084753356647872</v>
      </c>
      <c r="K13" s="1154">
        <f t="shared" si="2"/>
        <v>0.47242342393508013</v>
      </c>
      <c r="L13" s="1154">
        <f t="shared" si="3"/>
        <v>0.90948349710032939</v>
      </c>
      <c r="M13" s="892">
        <f t="shared" si="4"/>
        <v>0.42966130771258815</v>
      </c>
      <c r="Q13" s="1180">
        <f t="shared" si="5"/>
        <v>0</v>
      </c>
    </row>
    <row r="14" spans="1:17" ht="14" customHeight="1">
      <c r="A14" s="863">
        <v>1970</v>
      </c>
      <c r="B14" s="1167"/>
      <c r="C14" s="1168">
        <f>'Assets(MOFA)'!J15-('Assets(MOFA)'!AU15-'Assets(MOFA)'!AQ15)/'Assets(MOFA)'!EG15</f>
        <v>19227.269696495503</v>
      </c>
      <c r="D14" s="1168">
        <f>('Assets(MOFA)'!AT15+'Assets(MOFA)'!BU15)</f>
        <v>8810.3955354664377</v>
      </c>
      <c r="E14" s="1168">
        <f>'Assets(MOFA)'!BU15</f>
        <v>798.26600671504434</v>
      </c>
      <c r="F14" s="865"/>
      <c r="G14" s="920"/>
      <c r="H14" s="1155">
        <f t="shared" si="0"/>
        <v>0</v>
      </c>
      <c r="I14" s="1155"/>
      <c r="J14" s="1155">
        <f t="shared" si="1"/>
        <v>0.31423427958697864</v>
      </c>
      <c r="K14" s="1155">
        <f t="shared" si="2"/>
        <v>0.45822395350663248</v>
      </c>
      <c r="L14" s="1155">
        <f t="shared" si="3"/>
        <v>0.90939498646779171</v>
      </c>
      <c r="M14" s="894">
        <f t="shared" si="4"/>
        <v>0.41670656599838196</v>
      </c>
      <c r="Q14" s="1180">
        <f t="shared" si="5"/>
        <v>0</v>
      </c>
    </row>
    <row r="15" spans="1:17" ht="14" customHeight="1">
      <c r="A15" s="826">
        <v>1971</v>
      </c>
      <c r="B15" s="1163"/>
      <c r="C15" s="1164">
        <f>'Assets(MOFA)'!J16-('Assets(MOFA)'!AU16-'Assets(MOFA)'!AQ16)/'Assets(MOFA)'!EG16</f>
        <v>20896.30734502109</v>
      </c>
      <c r="D15" s="1164">
        <f>('Assets(MOFA)'!AT16+'Assets(MOFA)'!BU16)</f>
        <v>10732.111694856412</v>
      </c>
      <c r="E15" s="1164">
        <f>'Assets(MOFA)'!BU16</f>
        <v>979.39905579238507</v>
      </c>
      <c r="F15" s="828"/>
      <c r="G15" s="918"/>
      <c r="H15" s="1153">
        <f t="shared" si="0"/>
        <v>0</v>
      </c>
      <c r="I15" s="1153"/>
      <c r="J15" s="1153">
        <f t="shared" si="1"/>
        <v>0.33931862611676017</v>
      </c>
      <c r="K15" s="1153">
        <f t="shared" si="2"/>
        <v>0.513588909162629</v>
      </c>
      <c r="L15" s="1153">
        <f t="shared" si="3"/>
        <v>0.90874125394522476</v>
      </c>
      <c r="M15" s="890">
        <f t="shared" si="4"/>
        <v>0.46671942932480753</v>
      </c>
      <c r="Q15" s="1180">
        <f t="shared" si="5"/>
        <v>0</v>
      </c>
    </row>
    <row r="16" spans="1:17" ht="14" customHeight="1">
      <c r="A16" s="826">
        <v>1972</v>
      </c>
      <c r="B16" s="1163"/>
      <c r="C16" s="1164">
        <f>'Assets(MOFA)'!J17-('Assets(MOFA)'!AU17-'Assets(MOFA)'!AQ17)/'Assets(MOFA)'!EG17</f>
        <v>23781.404578293819</v>
      </c>
      <c r="D16" s="1164">
        <f>('Assets(MOFA)'!AT17+'Assets(MOFA)'!BU17)</f>
        <v>12268.945313585795</v>
      </c>
      <c r="E16" s="1164">
        <f>'Assets(MOFA)'!BU17</f>
        <v>1128.0986999631903</v>
      </c>
      <c r="F16" s="828"/>
      <c r="G16" s="918"/>
      <c r="H16" s="1153">
        <f t="shared" si="0"/>
        <v>0</v>
      </c>
      <c r="I16" s="1153"/>
      <c r="J16" s="1153">
        <f t="shared" si="1"/>
        <v>0.34032805091718099</v>
      </c>
      <c r="K16" s="1153">
        <f t="shared" si="2"/>
        <v>0.51590499094339126</v>
      </c>
      <c r="L16" s="1153">
        <f t="shared" si="3"/>
        <v>0.90805251216549066</v>
      </c>
      <c r="M16" s="890">
        <f t="shared" si="4"/>
        <v>0.4684688230648611</v>
      </c>
      <c r="Q16" s="1180">
        <f t="shared" si="5"/>
        <v>0</v>
      </c>
    </row>
    <row r="17" spans="1:17" ht="14" customHeight="1">
      <c r="A17" s="826">
        <v>1973</v>
      </c>
      <c r="B17" s="1163"/>
      <c r="C17" s="1164">
        <f>'Assets(MOFA)'!J18-('Assets(MOFA)'!AU18-'Assets(MOFA)'!AQ18)/'Assets(MOFA)'!EG18</f>
        <v>27337.886131786661</v>
      </c>
      <c r="D17" s="1164">
        <f>('Assets(MOFA)'!AT18+'Assets(MOFA)'!BU18)</f>
        <v>14666.57934622227</v>
      </c>
      <c r="E17" s="1164">
        <f>'Assets(MOFA)'!BU18</f>
        <v>1283.4789599705521</v>
      </c>
      <c r="F17" s="828"/>
      <c r="G17" s="918"/>
      <c r="H17" s="1153">
        <f t="shared" si="0"/>
        <v>0</v>
      </c>
      <c r="I17" s="1153"/>
      <c r="J17" s="1153">
        <f t="shared" si="1"/>
        <v>0.34916714638115864</v>
      </c>
      <c r="K17" s="1153">
        <f t="shared" si="2"/>
        <v>0.53649280985075709</v>
      </c>
      <c r="L17" s="1153">
        <f t="shared" si="3"/>
        <v>0.91248954990304931</v>
      </c>
      <c r="M17" s="890">
        <f t="shared" si="4"/>
        <v>0.48954408258693949</v>
      </c>
      <c r="Q17" s="1180">
        <f t="shared" si="5"/>
        <v>0</v>
      </c>
    </row>
    <row r="18" spans="1:17" ht="14" customHeight="1">
      <c r="A18" s="826">
        <v>1974</v>
      </c>
      <c r="B18" s="1163"/>
      <c r="C18" s="1164">
        <f>'Assets(MOFA)'!J19-('Assets(MOFA)'!AU19-'Assets(MOFA)'!AQ19)/'Assets(MOFA)'!EG19</f>
        <v>32102.924005749526</v>
      </c>
      <c r="D18" s="1164">
        <f>('Assets(MOFA)'!AT19+'Assets(MOFA)'!BU19)</f>
        <v>14963.80283689797</v>
      </c>
      <c r="E18" s="1164">
        <f>'Assets(MOFA)'!BU19</f>
        <v>1438.8592199779141</v>
      </c>
      <c r="F18" s="828"/>
      <c r="G18" s="918"/>
      <c r="H18" s="1153">
        <f t="shared" si="0"/>
        <v>0</v>
      </c>
      <c r="I18" s="1153"/>
      <c r="J18" s="1153">
        <f t="shared" si="1"/>
        <v>0.31792741583506845</v>
      </c>
      <c r="K18" s="1153">
        <f t="shared" si="2"/>
        <v>0.46611962306667148</v>
      </c>
      <c r="L18" s="1153">
        <f t="shared" si="3"/>
        <v>0.90384401374028045</v>
      </c>
      <c r="M18" s="890">
        <f t="shared" si="4"/>
        <v>0.42129943099568701</v>
      </c>
      <c r="Q18" s="1180">
        <f t="shared" si="5"/>
        <v>0</v>
      </c>
    </row>
    <row r="19" spans="1:17" ht="14" customHeight="1">
      <c r="A19" s="826">
        <v>1975</v>
      </c>
      <c r="B19" s="1163"/>
      <c r="C19" s="1164">
        <f>'Assets(MOFA)'!J20-('Assets(MOFA)'!AU20-'Assets(MOFA)'!AQ20)/'Assets(MOFA)'!EG20</f>
        <v>35999.740095378467</v>
      </c>
      <c r="D19" s="1164">
        <f>('Assets(MOFA)'!AT20+'Assets(MOFA)'!BU20)</f>
        <v>16507.986885652994</v>
      </c>
      <c r="E19" s="1164">
        <f>'Assets(MOFA)'!BU20</f>
        <v>1594.2394799852761</v>
      </c>
      <c r="F19" s="828"/>
      <c r="G19" s="918"/>
      <c r="H19" s="1153">
        <f t="shared" si="0"/>
        <v>0</v>
      </c>
      <c r="I19" s="1153"/>
      <c r="J19" s="1153">
        <f t="shared" si="1"/>
        <v>0.31439157310345089</v>
      </c>
      <c r="K19" s="1153">
        <f t="shared" si="2"/>
        <v>0.45855850186463532</v>
      </c>
      <c r="L19" s="1153">
        <f t="shared" si="3"/>
        <v>0.90342617237170075</v>
      </c>
      <c r="M19" s="890">
        <f t="shared" si="4"/>
        <v>0.41427375214806894</v>
      </c>
      <c r="Q19" s="1180">
        <f t="shared" si="5"/>
        <v>0</v>
      </c>
    </row>
    <row r="20" spans="1:17" ht="14" customHeight="1">
      <c r="A20" s="826">
        <v>1976</v>
      </c>
      <c r="B20" s="1163"/>
      <c r="C20" s="1164">
        <f>'Assets(MOFA)'!J21-('Assets(MOFA)'!AU21-'Assets(MOFA)'!AQ21)/'Assets(MOFA)'!EG21</f>
        <v>42855.807842077091</v>
      </c>
      <c r="D20" s="1164">
        <f>('Assets(MOFA)'!AT21+'Assets(MOFA)'!BU21)</f>
        <v>20564.954741864167</v>
      </c>
      <c r="E20" s="1164">
        <f>'Assets(MOFA)'!BU21</f>
        <v>1749.6197399926382</v>
      </c>
      <c r="F20" s="828"/>
      <c r="G20" s="918"/>
      <c r="H20" s="1153">
        <f t="shared" si="0"/>
        <v>0</v>
      </c>
      <c r="I20" s="1153"/>
      <c r="J20" s="1153">
        <f t="shared" si="1"/>
        <v>0.32426218014400554</v>
      </c>
      <c r="K20" s="1153">
        <f t="shared" si="2"/>
        <v>0.47986389190575213</v>
      </c>
      <c r="L20" s="1153">
        <f t="shared" si="3"/>
        <v>0.91492226645016972</v>
      </c>
      <c r="M20" s="890">
        <f t="shared" si="4"/>
        <v>0.43903815957001002</v>
      </c>
      <c r="Q20" s="1180">
        <f t="shared" si="5"/>
        <v>0</v>
      </c>
    </row>
    <row r="21" spans="1:17" ht="14" customHeight="1">
      <c r="A21" s="826">
        <v>1977</v>
      </c>
      <c r="B21" s="1163">
        <f>T.A12!B21-('Assets(MOFA)'!AU22-'Assets(MOFA)'!AQ22)*T.A13!B21/(T.A13!D21-T.A13!E21)</f>
        <v>58353.79133561824</v>
      </c>
      <c r="C21" s="1164">
        <f>'Assets(MOFA)'!J22-('Assets(MOFA)'!AU22-'Assets(MOFA)'!AQ22)/'Assets(MOFA)'!EG22</f>
        <v>51197.404217154108</v>
      </c>
      <c r="D21" s="1164">
        <f>('Assets(MOFA)'!AT22+'Assets(MOFA)'!BU22)</f>
        <v>20576</v>
      </c>
      <c r="E21" s="1164">
        <f>'Assets(MOFA)'!BU22</f>
        <v>1905</v>
      </c>
      <c r="F21" s="828"/>
      <c r="G21" s="918"/>
      <c r="H21" s="1153">
        <f t="shared" si="0"/>
        <v>1.1397802726112884</v>
      </c>
      <c r="I21" s="1153">
        <f t="shared" ref="I21:I57" si="6">D21/B21</f>
        <v>0.35260776599173138</v>
      </c>
      <c r="J21" s="1153">
        <f t="shared" si="1"/>
        <v>0.28668000667414711</v>
      </c>
      <c r="K21" s="1153">
        <f t="shared" si="2"/>
        <v>0.40189537564691297</v>
      </c>
      <c r="L21" s="1153">
        <f t="shared" si="3"/>
        <v>0.90741640746500773</v>
      </c>
      <c r="M21" s="890">
        <f t="shared" si="4"/>
        <v>0.3646864579463216</v>
      </c>
      <c r="Q21" s="1180">
        <f t="shared" si="5"/>
        <v>0</v>
      </c>
    </row>
    <row r="22" spans="1:17" ht="14" customHeight="1">
      <c r="A22" s="826">
        <v>1978</v>
      </c>
      <c r="B22" s="1163">
        <f>T.A12!B22-('Assets(MOFA)'!AU23-'Assets(MOFA)'!AQ23)*T.A13!B22/(T.A13!D22-T.A13!E22)</f>
        <v>64154.254379155653</v>
      </c>
      <c r="C22" s="1164">
        <f>'Assets(MOFA)'!J23-('Assets(MOFA)'!AU23-'Assets(MOFA)'!AQ23)/'Assets(MOFA)'!EG23</f>
        <v>57697.441527757968</v>
      </c>
      <c r="D22" s="1164">
        <f>('Assets(MOFA)'!AT23+'Assets(MOFA)'!BU23)</f>
        <v>25674.826115242962</v>
      </c>
      <c r="E22" s="1164">
        <f>'Assets(MOFA)'!BU23</f>
        <v>2084.3999999999996</v>
      </c>
      <c r="F22" s="828"/>
      <c r="G22" s="918"/>
      <c r="H22" s="1153">
        <f t="shared" si="0"/>
        <v>1.111908131113428</v>
      </c>
      <c r="I22" s="1153">
        <f t="shared" si="6"/>
        <v>0.40020457510897306</v>
      </c>
      <c r="J22" s="1153">
        <f t="shared" si="1"/>
        <v>0.30795403365040119</v>
      </c>
      <c r="K22" s="1153">
        <f t="shared" si="2"/>
        <v>0.4449907211724618</v>
      </c>
      <c r="L22" s="1153">
        <f t="shared" si="3"/>
        <v>0.91881541901611918</v>
      </c>
      <c r="M22" s="890">
        <f t="shared" si="4"/>
        <v>0.40886433593236049</v>
      </c>
      <c r="Q22" s="1180">
        <f t="shared" si="5"/>
        <v>0</v>
      </c>
    </row>
    <row r="23" spans="1:17" ht="14" customHeight="1">
      <c r="A23" s="856">
        <v>1979</v>
      </c>
      <c r="B23" s="1165">
        <f>T.A12!B23-('Assets(MOFA)'!AU24-'Assets(MOFA)'!AQ24)*T.A13!B23/(T.A13!D23-T.A13!E23)</f>
        <v>70326.31774458359</v>
      </c>
      <c r="C23" s="1166">
        <f>'Assets(MOFA)'!J24-('Assets(MOFA)'!AU24-'Assets(MOFA)'!AQ24)/'Assets(MOFA)'!EG24</f>
        <v>63597.660061803275</v>
      </c>
      <c r="D23" s="1166">
        <f>('Assets(MOFA)'!AT24+'Assets(MOFA)'!BU24)</f>
        <v>29411.373465477165</v>
      </c>
      <c r="E23" s="1166">
        <f>'Assets(MOFA)'!BU24</f>
        <v>2263.7999999999997</v>
      </c>
      <c r="F23" s="858"/>
      <c r="G23" s="919"/>
      <c r="H23" s="1154">
        <f t="shared" si="0"/>
        <v>1.1058003969995358</v>
      </c>
      <c r="I23" s="1154">
        <f t="shared" si="6"/>
        <v>0.41821290249114995</v>
      </c>
      <c r="J23" s="1154">
        <f t="shared" si="1"/>
        <v>0.31622061159092174</v>
      </c>
      <c r="K23" s="1154">
        <f t="shared" si="2"/>
        <v>0.46245999360504181</v>
      </c>
      <c r="L23" s="1154">
        <f t="shared" si="3"/>
        <v>0.92302977612870651</v>
      </c>
      <c r="M23" s="892">
        <f t="shared" si="4"/>
        <v>0.42686434436574477</v>
      </c>
      <c r="Q23" s="1180">
        <f t="shared" si="5"/>
        <v>0</v>
      </c>
    </row>
    <row r="24" spans="1:17" ht="14" customHeight="1">
      <c r="A24" s="863">
        <v>1980</v>
      </c>
      <c r="B24" s="1167">
        <f>T.A12!B24-('Assets(MOFA)'!AU25-'Assets(MOFA)'!AQ25)*T.A13!B24/(T.A13!D24-T.A13!E24)</f>
        <v>77533.949782860538</v>
      </c>
      <c r="C24" s="1168">
        <f>'Assets(MOFA)'!J25-('Assets(MOFA)'!AU25-'Assets(MOFA)'!AQ25)/'Assets(MOFA)'!EG25</f>
        <v>67864.579137513545</v>
      </c>
      <c r="D24" s="1168">
        <f>('Assets(MOFA)'!AT25+'Assets(MOFA)'!BU25)</f>
        <v>29791.290885284816</v>
      </c>
      <c r="E24" s="1168">
        <f>'Assets(MOFA)'!BU25</f>
        <v>2443.1999999999998</v>
      </c>
      <c r="F24" s="865"/>
      <c r="G24" s="920"/>
      <c r="H24" s="1155">
        <f t="shared" si="0"/>
        <v>1.142480374419681</v>
      </c>
      <c r="I24" s="1155">
        <f t="shared" si="6"/>
        <v>0.38423543452535941</v>
      </c>
      <c r="J24" s="1155">
        <f t="shared" si="1"/>
        <v>0.30506400565915653</v>
      </c>
      <c r="K24" s="1155">
        <f t="shared" si="2"/>
        <v>0.43898144310184134</v>
      </c>
      <c r="L24" s="1155">
        <f t="shared" si="3"/>
        <v>0.9179894550589347</v>
      </c>
      <c r="M24" s="894">
        <f t="shared" si="4"/>
        <v>0.40298033573404413</v>
      </c>
      <c r="Q24" s="1180">
        <f t="shared" si="5"/>
        <v>0</v>
      </c>
    </row>
    <row r="25" spans="1:17" ht="14" customHeight="1">
      <c r="A25" s="826">
        <v>1981</v>
      </c>
      <c r="B25" s="1163">
        <f>T.A12!B25-('Assets(MOFA)'!AU26-'Assets(MOFA)'!AQ26)*T.A13!B25/(T.A13!D25-T.A13!E25)</f>
        <v>81585.521543209426</v>
      </c>
      <c r="C25" s="1164">
        <f>'Assets(MOFA)'!J26-('Assets(MOFA)'!AU26-'Assets(MOFA)'!AQ26)/'Assets(MOFA)'!EG26</f>
        <v>72583.011678058436</v>
      </c>
      <c r="D25" s="1164">
        <f>('Assets(MOFA)'!AT26+'Assets(MOFA)'!BU26)</f>
        <v>25732.289212755517</v>
      </c>
      <c r="E25" s="1164">
        <f>'Assets(MOFA)'!BU26</f>
        <v>2622.5999999999995</v>
      </c>
      <c r="F25" s="828"/>
      <c r="G25" s="918"/>
      <c r="H25" s="1153">
        <f t="shared" si="0"/>
        <v>1.1240305363062306</v>
      </c>
      <c r="I25" s="1153">
        <f t="shared" si="6"/>
        <v>0.31540264407241853</v>
      </c>
      <c r="J25" s="1153">
        <f t="shared" si="1"/>
        <v>0.26173229374879325</v>
      </c>
      <c r="K25" s="1153">
        <f t="shared" si="2"/>
        <v>0.3545222031691237</v>
      </c>
      <c r="L25" s="1153">
        <f t="shared" si="3"/>
        <v>0.89808135691635338</v>
      </c>
      <c r="M25" s="890">
        <f t="shared" si="4"/>
        <v>0.31838978127910184</v>
      </c>
      <c r="Q25" s="1180">
        <f t="shared" si="5"/>
        <v>0</v>
      </c>
    </row>
    <row r="26" spans="1:17" ht="14" customHeight="1">
      <c r="A26" s="826">
        <v>1982</v>
      </c>
      <c r="B26" s="1163">
        <f>T.A12!B26-('Assets(MOFA)'!AU27-'Assets(MOFA)'!AQ27)*T.A13!B26/(T.A13!D26-T.A13!E26)</f>
        <v>86259.693107221014</v>
      </c>
      <c r="C26" s="1164">
        <f>'Assets(MOFA)'!J27-('Assets(MOFA)'!AU27-'Assets(MOFA)'!AQ27)/'Assets(MOFA)'!EG27</f>
        <v>74217.295842450767</v>
      </c>
      <c r="D26" s="1164">
        <f>('Assets(MOFA)'!AT27+'Assets(MOFA)'!BU27)</f>
        <v>20931</v>
      </c>
      <c r="E26" s="1164">
        <f>'Assets(MOFA)'!BU27</f>
        <v>2802</v>
      </c>
      <c r="F26" s="828"/>
      <c r="G26" s="918"/>
      <c r="H26" s="1153">
        <f t="shared" si="0"/>
        <v>1.1622586369939154</v>
      </c>
      <c r="I26" s="1153">
        <f t="shared" si="6"/>
        <v>0.24265099081656499</v>
      </c>
      <c r="J26" s="1153">
        <f t="shared" si="1"/>
        <v>0.21998292049978635</v>
      </c>
      <c r="K26" s="1153">
        <f t="shared" si="2"/>
        <v>0.28202320985168389</v>
      </c>
      <c r="L26" s="1153">
        <f t="shared" si="3"/>
        <v>0.86613157517557693</v>
      </c>
      <c r="M26" s="890">
        <f t="shared" si="4"/>
        <v>0.24426920698491125</v>
      </c>
      <c r="Q26" s="1180">
        <f t="shared" si="5"/>
        <v>0</v>
      </c>
    </row>
    <row r="27" spans="1:17" ht="14" customHeight="1">
      <c r="A27" s="826">
        <v>1983</v>
      </c>
      <c r="B27" s="1163">
        <f>T.A12!B27-('Assets(MOFA)'!AU28-'Assets(MOFA)'!AQ28)*T.A13!B27/(T.A13!D27-T.A13!E27)</f>
        <v>81939.801061123915</v>
      </c>
      <c r="C27" s="1164">
        <f>'Assets(MOFA)'!J28-('Assets(MOFA)'!AU28-'Assets(MOFA)'!AQ28)/'Assets(MOFA)'!EG28</f>
        <v>67415.14325012303</v>
      </c>
      <c r="D27" s="1164">
        <f>('Assets(MOFA)'!AT28+'Assets(MOFA)'!BU28)</f>
        <v>23404.857142857145</v>
      </c>
      <c r="E27" s="1164">
        <f>'Assets(MOFA)'!BU28</f>
        <v>2277.8571428571431</v>
      </c>
      <c r="F27" s="828"/>
      <c r="G27" s="918"/>
      <c r="H27" s="1153">
        <f t="shared" si="0"/>
        <v>1.2154509671085565</v>
      </c>
      <c r="I27" s="1153">
        <f t="shared" si="6"/>
        <v>0.28563478114131652</v>
      </c>
      <c r="J27" s="1153">
        <f t="shared" si="1"/>
        <v>0.25770597931715267</v>
      </c>
      <c r="K27" s="1153">
        <f t="shared" si="2"/>
        <v>0.34717507097805406</v>
      </c>
      <c r="L27" s="1153">
        <f t="shared" si="3"/>
        <v>0.90267587924362469</v>
      </c>
      <c r="M27" s="890">
        <f t="shared" si="4"/>
        <v>0.31338656244658269</v>
      </c>
      <c r="Q27" s="1180">
        <f t="shared" si="5"/>
        <v>0</v>
      </c>
    </row>
    <row r="28" spans="1:17" ht="14" customHeight="1">
      <c r="A28" s="826">
        <v>1984</v>
      </c>
      <c r="B28" s="1163">
        <f>T.A12!B28-('Assets(MOFA)'!AU29-'Assets(MOFA)'!AQ29)*T.A13!B28/(T.A13!D28-T.A13!E28)</f>
        <v>80270.665317375067</v>
      </c>
      <c r="C28" s="1164">
        <f>'Assets(MOFA)'!J29-('Assets(MOFA)'!AU29-'Assets(MOFA)'!AQ29)/'Assets(MOFA)'!EG29</f>
        <v>65773.408249212487</v>
      </c>
      <c r="D28" s="1164">
        <f>('Assets(MOFA)'!AT29+'Assets(MOFA)'!BU29)</f>
        <v>26628.714285714286</v>
      </c>
      <c r="E28" s="1164">
        <f>'Assets(MOFA)'!BU29</f>
        <v>1753.7142857142858</v>
      </c>
      <c r="F28" s="828"/>
      <c r="G28" s="918"/>
      <c r="H28" s="1153">
        <f t="shared" si="0"/>
        <v>1.2204121308908475</v>
      </c>
      <c r="I28" s="1153">
        <f t="shared" si="6"/>
        <v>0.33173655880924086</v>
      </c>
      <c r="J28" s="1153">
        <f t="shared" si="1"/>
        <v>0.28818292865133033</v>
      </c>
      <c r="K28" s="1153">
        <f t="shared" si="2"/>
        <v>0.40485532063078261</v>
      </c>
      <c r="L28" s="1153">
        <f t="shared" si="3"/>
        <v>0.93414198421682282</v>
      </c>
      <c r="M28" s="890">
        <f t="shared" si="4"/>
        <v>0.37819235253477734</v>
      </c>
      <c r="Q28" s="1180">
        <f t="shared" si="5"/>
        <v>0</v>
      </c>
    </row>
    <row r="29" spans="1:17" ht="14" customHeight="1">
      <c r="A29" s="826">
        <v>1985</v>
      </c>
      <c r="B29" s="1163">
        <f>T.A12!B29-('Assets(MOFA)'!AU30-'Assets(MOFA)'!AQ30)*T.A13!B29/(T.A13!D29-T.A13!E29)</f>
        <v>91350.580539011775</v>
      </c>
      <c r="C29" s="1164">
        <f>'Assets(MOFA)'!J30-('Assets(MOFA)'!AU30-'Assets(MOFA)'!AQ30)/'Assets(MOFA)'!EG30</f>
        <v>67324.771845057199</v>
      </c>
      <c r="D29" s="1164">
        <f>('Assets(MOFA)'!AT30+'Assets(MOFA)'!BU30)</f>
        <v>26246.571428571428</v>
      </c>
      <c r="E29" s="1164">
        <f>'Assets(MOFA)'!BU30</f>
        <v>1229.5714285714287</v>
      </c>
      <c r="F29" s="828"/>
      <c r="G29" s="918"/>
      <c r="H29" s="1153">
        <f t="shared" si="0"/>
        <v>1.3568643165883745</v>
      </c>
      <c r="I29" s="1153">
        <f t="shared" si="6"/>
        <v>0.28731696365479237</v>
      </c>
      <c r="J29" s="1153">
        <f t="shared" si="1"/>
        <v>0.280497965619871</v>
      </c>
      <c r="K29" s="1153">
        <f t="shared" si="2"/>
        <v>0.38985013553370668</v>
      </c>
      <c r="L29" s="1153">
        <f t="shared" si="3"/>
        <v>0.95315306489010809</v>
      </c>
      <c r="M29" s="890">
        <f t="shared" si="4"/>
        <v>0.37158685153177656</v>
      </c>
      <c r="Q29" s="1180">
        <f t="shared" si="5"/>
        <v>0</v>
      </c>
    </row>
    <row r="30" spans="1:17" ht="14" customHeight="1">
      <c r="A30" s="826">
        <v>1986</v>
      </c>
      <c r="B30" s="1163">
        <f>T.A12!B30-('Assets(MOFA)'!AU31-'Assets(MOFA)'!AQ31)*T.A13!B30/(T.A13!D30-T.A13!E30)</f>
        <v>105266.91294456061</v>
      </c>
      <c r="C30" s="1164">
        <f>'Assets(MOFA)'!J31-('Assets(MOFA)'!AU31-'Assets(MOFA)'!AQ31)/'Assets(MOFA)'!EG31</f>
        <v>78077.9023321493</v>
      </c>
      <c r="D30" s="1164">
        <f>('Assets(MOFA)'!AT31+'Assets(MOFA)'!BU31)</f>
        <v>33547.428571428572</v>
      </c>
      <c r="E30" s="1164">
        <f>'Assets(MOFA)'!BU31</f>
        <v>705.42857142857156</v>
      </c>
      <c r="F30" s="828"/>
      <c r="G30" s="918"/>
      <c r="H30" s="1153">
        <f t="shared" si="0"/>
        <v>1.3482292659035229</v>
      </c>
      <c r="I30" s="1153">
        <f t="shared" si="6"/>
        <v>0.31868920283713942</v>
      </c>
      <c r="J30" s="1153">
        <f t="shared" si="1"/>
        <v>0.30053598318473868</v>
      </c>
      <c r="K30" s="1153">
        <f t="shared" si="2"/>
        <v>0.42966610999249538</v>
      </c>
      <c r="L30" s="1153">
        <f t="shared" si="3"/>
        <v>0.97897220140355656</v>
      </c>
      <c r="M30" s="890">
        <f t="shared" si="4"/>
        <v>0.42063117756785584</v>
      </c>
      <c r="Q30" s="1180">
        <f t="shared" si="5"/>
        <v>0</v>
      </c>
    </row>
    <row r="31" spans="1:17" ht="14" customHeight="1">
      <c r="A31" s="826">
        <v>1987</v>
      </c>
      <c r="B31" s="1163">
        <f>T.A12!B31-('Assets(MOFA)'!AU32-'Assets(MOFA)'!AQ32)*T.A13!B31/(T.A13!D31-T.A13!E31)</f>
        <v>119987.70006765833</v>
      </c>
      <c r="C31" s="1164">
        <f>'Assets(MOFA)'!J32-('Assets(MOFA)'!AU32-'Assets(MOFA)'!AQ32)/'Assets(MOFA)'!EG32</f>
        <v>90346.688139617501</v>
      </c>
      <c r="D31" s="1164">
        <f>('Assets(MOFA)'!AT32+'Assets(MOFA)'!BU32)</f>
        <v>43585.285714285717</v>
      </c>
      <c r="E31" s="1164">
        <f>'Assets(MOFA)'!BU32</f>
        <v>181.28571428571445</v>
      </c>
      <c r="F31" s="828"/>
      <c r="G31" s="918"/>
      <c r="H31" s="1153">
        <f t="shared" si="0"/>
        <v>1.3280807801414369</v>
      </c>
      <c r="I31" s="1153">
        <f t="shared" si="6"/>
        <v>0.36324794699547513</v>
      </c>
      <c r="J31" s="1153">
        <f t="shared" si="1"/>
        <v>0.32542853256108795</v>
      </c>
      <c r="K31" s="1153">
        <f t="shared" si="2"/>
        <v>0.48242261683052606</v>
      </c>
      <c r="L31" s="1153">
        <f t="shared" si="3"/>
        <v>0.99584066706653951</v>
      </c>
      <c r="M31" s="890">
        <f t="shared" si="4"/>
        <v>0.48041606055249653</v>
      </c>
      <c r="Q31" s="1180">
        <f t="shared" si="5"/>
        <v>0</v>
      </c>
    </row>
    <row r="32" spans="1:17" ht="14" customHeight="1">
      <c r="A32" s="826">
        <v>1988</v>
      </c>
      <c r="B32" s="1163">
        <f>T.A12!B32-('Assets(MOFA)'!AU33-'Assets(MOFA)'!AQ33)*T.A13!B32/(T.A13!D32-T.A13!E32)</f>
        <v>132452.17185176851</v>
      </c>
      <c r="C32" s="1164">
        <f>'Assets(MOFA)'!J33-('Assets(MOFA)'!AU33-'Assets(MOFA)'!AQ33)/'Assets(MOFA)'!EG33</f>
        <v>101361.4211759985</v>
      </c>
      <c r="D32" s="1164">
        <f>('Assets(MOFA)'!AT33+'Assets(MOFA)'!BU33)</f>
        <v>56043.142857142855</v>
      </c>
      <c r="E32" s="1164">
        <f>'Assets(MOFA)'!BU33</f>
        <v>-342.85714285714266</v>
      </c>
      <c r="F32" s="828"/>
      <c r="G32" s="918"/>
      <c r="H32" s="1153">
        <f t="shared" si="0"/>
        <v>1.3067315978313456</v>
      </c>
      <c r="I32" s="1153">
        <f t="shared" si="6"/>
        <v>0.423119848271439</v>
      </c>
      <c r="J32" s="1153">
        <f t="shared" si="1"/>
        <v>0.35604522144188294</v>
      </c>
      <c r="K32" s="1153">
        <f t="shared" si="2"/>
        <v>0.55290407540589404</v>
      </c>
      <c r="L32" s="1153">
        <f t="shared" si="3"/>
        <v>1.0061177358259707</v>
      </c>
      <c r="M32" s="890">
        <f t="shared" si="4"/>
        <v>0.55628659647632994</v>
      </c>
      <c r="Q32" s="1180">
        <f t="shared" si="5"/>
        <v>0</v>
      </c>
    </row>
    <row r="33" spans="1:17" ht="14" customHeight="1">
      <c r="A33" s="856">
        <v>1989</v>
      </c>
      <c r="B33" s="1165">
        <f>T.A12!B33-('Assets(MOFA)'!AU34-'Assets(MOFA)'!AQ34)*T.A13!B33/(T.A13!D33-T.A13!E33)</f>
        <v>153334.6282784364</v>
      </c>
      <c r="C33" s="1166">
        <f>'Assets(MOFA)'!J34-('Assets(MOFA)'!AU34-'Assets(MOFA)'!AQ34)/'Assets(MOFA)'!EG34</f>
        <v>114777.3095251357</v>
      </c>
      <c r="D33" s="1166">
        <f>('Assets(MOFA)'!AT34+'Assets(MOFA)'!BU34)</f>
        <v>56930</v>
      </c>
      <c r="E33" s="1166">
        <f>'Assets(MOFA)'!BU34</f>
        <v>-867</v>
      </c>
      <c r="F33" s="858"/>
      <c r="G33" s="919"/>
      <c r="H33" s="1154">
        <f t="shared" si="0"/>
        <v>1.3359315435500501</v>
      </c>
      <c r="I33" s="1154">
        <f t="shared" si="6"/>
        <v>0.37127947313128956</v>
      </c>
      <c r="J33" s="1154">
        <f t="shared" si="1"/>
        <v>0.33155257139281069</v>
      </c>
      <c r="K33" s="1154">
        <f t="shared" si="2"/>
        <v>0.49600395962873295</v>
      </c>
      <c r="L33" s="1154">
        <f t="shared" si="3"/>
        <v>1.0152292288775688</v>
      </c>
      <c r="M33" s="892">
        <f t="shared" si="4"/>
        <v>0.5035577174540995</v>
      </c>
      <c r="Q33" s="1180">
        <f t="shared" si="5"/>
        <v>0</v>
      </c>
    </row>
    <row r="34" spans="1:17" ht="14" customHeight="1">
      <c r="A34" s="863">
        <v>1990</v>
      </c>
      <c r="B34" s="1167">
        <f>T.A12!B34-('Assets(MOFA)'!AU35-'Assets(MOFA)'!AQ35)*T.A13!B34/(T.A13!D34-T.A13!E34)</f>
        <v>181604.60824047815</v>
      </c>
      <c r="C34" s="1168">
        <f>'Assets(MOFA)'!J35-('Assets(MOFA)'!AU35-'Assets(MOFA)'!AQ35)/'Assets(MOFA)'!EG35</f>
        <v>133179.78990482559</v>
      </c>
      <c r="D34" s="1168">
        <f>('Assets(MOFA)'!AT35+'Assets(MOFA)'!BU35)</f>
        <v>49502</v>
      </c>
      <c r="E34" s="1168">
        <f>'Assets(MOFA)'!BU35</f>
        <v>-1378</v>
      </c>
      <c r="F34" s="865"/>
      <c r="G34" s="920"/>
      <c r="H34" s="1155">
        <f t="shared" si="0"/>
        <v>1.3636048560390315</v>
      </c>
      <c r="I34" s="1155">
        <f t="shared" si="6"/>
        <v>0.27258118876834986</v>
      </c>
      <c r="J34" s="1155">
        <f t="shared" si="1"/>
        <v>0.27097391604160315</v>
      </c>
      <c r="K34" s="1155">
        <f t="shared" si="2"/>
        <v>0.37169303266941373</v>
      </c>
      <c r="L34" s="1155">
        <f t="shared" si="3"/>
        <v>1.0278372591006424</v>
      </c>
      <c r="M34" s="894">
        <f t="shared" si="4"/>
        <v>0.38203994792573576</v>
      </c>
      <c r="Q34" s="1180">
        <f t="shared" si="5"/>
        <v>0</v>
      </c>
    </row>
    <row r="35" spans="1:17" ht="14" customHeight="1">
      <c r="A35" s="826">
        <v>1991</v>
      </c>
      <c r="B35" s="1163">
        <f>T.A12!B35-('Assets(MOFA)'!AU36-'Assets(MOFA)'!AQ36)*T.A13!B35/(T.A13!D35-T.A13!E35)</f>
        <v>197460.12237612548</v>
      </c>
      <c r="C35" s="1164">
        <f>'Assets(MOFA)'!J36-('Assets(MOFA)'!AU36-'Assets(MOFA)'!AQ36)/'Assets(MOFA)'!EG36</f>
        <v>140989.09231661819</v>
      </c>
      <c r="D35" s="1164">
        <f>('Assets(MOFA)'!AT36+'Assets(MOFA)'!BU36)</f>
        <v>41196</v>
      </c>
      <c r="E35" s="1164">
        <f>'Assets(MOFA)'!BU36</f>
        <v>-1889</v>
      </c>
      <c r="F35" s="828"/>
      <c r="G35" s="918"/>
      <c r="H35" s="1153">
        <f t="shared" si="0"/>
        <v>1.4005347444374683</v>
      </c>
      <c r="I35" s="1153">
        <f t="shared" si="6"/>
        <v>0.20862946656909864</v>
      </c>
      <c r="J35" s="1153">
        <f t="shared" si="1"/>
        <v>0.22612168468979757</v>
      </c>
      <c r="K35" s="1153">
        <f t="shared" si="2"/>
        <v>0.2921928166434779</v>
      </c>
      <c r="L35" s="1153">
        <f t="shared" si="3"/>
        <v>1.0458539664045052</v>
      </c>
      <c r="M35" s="890">
        <f t="shared" si="4"/>
        <v>0.30559101624148571</v>
      </c>
      <c r="Q35" s="1180">
        <f t="shared" si="5"/>
        <v>0</v>
      </c>
    </row>
    <row r="36" spans="1:17" ht="14" customHeight="1">
      <c r="A36" s="826">
        <v>1992</v>
      </c>
      <c r="B36" s="1163">
        <f>T.A12!B36-('Assets(MOFA)'!AU37-'Assets(MOFA)'!AQ37)*T.A13!B36/(T.A13!D36-T.A13!E36)</f>
        <v>198350.57239787007</v>
      </c>
      <c r="C36" s="1164">
        <f>'Assets(MOFA)'!J37-('Assets(MOFA)'!AU37-'Assets(MOFA)'!AQ37)/'Assets(MOFA)'!EG37</f>
        <v>149615.44779100432</v>
      </c>
      <c r="D36" s="1164">
        <f>('Assets(MOFA)'!AT37+'Assets(MOFA)'!BU37)</f>
        <v>39529</v>
      </c>
      <c r="E36" s="1164">
        <f>'Assets(MOFA)'!BU37</f>
        <v>-2400</v>
      </c>
      <c r="F36" s="828"/>
      <c r="G36" s="918"/>
      <c r="H36" s="1153">
        <f t="shared" si="0"/>
        <v>1.3257359138138138</v>
      </c>
      <c r="I36" s="1153">
        <f t="shared" si="6"/>
        <v>0.19928856026041128</v>
      </c>
      <c r="J36" s="1153">
        <f t="shared" si="1"/>
        <v>0.20898842372406129</v>
      </c>
      <c r="K36" s="1153">
        <f t="shared" si="2"/>
        <v>0.26420400154947565</v>
      </c>
      <c r="L36" s="1153">
        <f t="shared" si="3"/>
        <v>1.06071491816135</v>
      </c>
      <c r="M36" s="890">
        <f t="shared" si="4"/>
        <v>0.28024512588145323</v>
      </c>
      <c r="Q36" s="1180">
        <f t="shared" si="5"/>
        <v>0</v>
      </c>
    </row>
    <row r="37" spans="1:17" ht="14" customHeight="1">
      <c r="A37" s="826">
        <v>1993</v>
      </c>
      <c r="B37" s="1163">
        <f>T.A12!B37-('Assets(MOFA)'!AU38-'Assets(MOFA)'!AQ38)*T.A13!B37/(T.A13!D37-T.A13!E37)</f>
        <v>198771.86571737358</v>
      </c>
      <c r="C37" s="1164">
        <f>'Assets(MOFA)'!J38-('Assets(MOFA)'!AU38-'Assets(MOFA)'!AQ38)/'Assets(MOFA)'!EG38</f>
        <v>146267.42278056566</v>
      </c>
      <c r="D37" s="1164">
        <f>('Assets(MOFA)'!AT38+'Assets(MOFA)'!BU38)</f>
        <v>40452</v>
      </c>
      <c r="E37" s="1164">
        <f>'Assets(MOFA)'!BU38</f>
        <v>-2911</v>
      </c>
      <c r="F37" s="828"/>
      <c r="G37" s="918"/>
      <c r="H37" s="1153">
        <f t="shared" si="0"/>
        <v>1.3589619748450517</v>
      </c>
      <c r="I37" s="1153">
        <f t="shared" si="6"/>
        <v>0.20350968611180223</v>
      </c>
      <c r="J37" s="1153">
        <f t="shared" si="1"/>
        <v>0.21664591394725741</v>
      </c>
      <c r="K37" s="1153">
        <f t="shared" si="2"/>
        <v>0.27656192493859133</v>
      </c>
      <c r="L37" s="1153">
        <f t="shared" si="3"/>
        <v>1.0719618313062396</v>
      </c>
      <c r="M37" s="890">
        <f t="shared" si="4"/>
        <v>0.2964638275267511</v>
      </c>
      <c r="Q37" s="1180">
        <f t="shared" si="5"/>
        <v>0</v>
      </c>
    </row>
    <row r="38" spans="1:17" ht="14" customHeight="1">
      <c r="A38" s="826">
        <v>1994</v>
      </c>
      <c r="B38" s="1163">
        <f>T.A12!B38-('Assets(MOFA)'!AU39-'Assets(MOFA)'!AQ39)*T.A13!B38/(T.A13!D38-T.A13!E38)</f>
        <v>225902.45482474513</v>
      </c>
      <c r="C38" s="1164">
        <f>'Assets(MOFA)'!J39-('Assets(MOFA)'!AU39-'Assets(MOFA)'!AQ39)/'Assets(MOFA)'!EG39</f>
        <v>161335.63789973466</v>
      </c>
      <c r="D38" s="1164">
        <f>('Assets(MOFA)'!AT39+'Assets(MOFA)'!BU39)</f>
        <v>51085</v>
      </c>
      <c r="E38" s="1164">
        <f>'Assets(MOFA)'!BU39</f>
        <v>-3422</v>
      </c>
      <c r="F38" s="828"/>
      <c r="G38" s="918"/>
      <c r="H38" s="1153">
        <f t="shared" si="0"/>
        <v>1.4002018262396361</v>
      </c>
      <c r="I38" s="1153">
        <f t="shared" si="6"/>
        <v>0.2261374274999875</v>
      </c>
      <c r="J38" s="1153">
        <f t="shared" si="1"/>
        <v>0.24048981542044326</v>
      </c>
      <c r="K38" s="1153">
        <f t="shared" si="2"/>
        <v>0.3166380389666158</v>
      </c>
      <c r="L38" s="1153">
        <f t="shared" si="3"/>
        <v>1.0669863952236469</v>
      </c>
      <c r="M38" s="890">
        <f t="shared" si="4"/>
        <v>0.33784847978767402</v>
      </c>
      <c r="Q38" s="1180">
        <f t="shared" si="5"/>
        <v>0</v>
      </c>
    </row>
    <row r="39" spans="1:17">
      <c r="A39" s="826">
        <v>1995</v>
      </c>
      <c r="B39" s="1163">
        <f>T.A12!B39-('Assets(MOFA)'!AU40-'Assets(MOFA)'!AQ40)*T.A13!B39/(T.A13!D39-T.A13!E39)</f>
        <v>259521.95357533317</v>
      </c>
      <c r="C39" s="1164">
        <f>'Assets(MOFA)'!J40-('Assets(MOFA)'!AU40-'Assets(MOFA)'!AQ40)/'Assets(MOFA)'!EG40</f>
        <v>175381.49065283765</v>
      </c>
      <c r="D39" s="1164">
        <f>('Assets(MOFA)'!AT40+'Assets(MOFA)'!BU40)</f>
        <v>69409</v>
      </c>
      <c r="E39" s="1164">
        <f>'Assets(MOFA)'!BU40</f>
        <v>-4371</v>
      </c>
      <c r="F39" s="828"/>
      <c r="G39" s="918"/>
      <c r="H39" s="1153">
        <f t="shared" si="0"/>
        <v>1.4797568010700115</v>
      </c>
      <c r="I39" s="1153">
        <f t="shared" si="6"/>
        <v>0.26744943556326994</v>
      </c>
      <c r="J39" s="1153">
        <f t="shared" si="1"/>
        <v>0.28354451112415141</v>
      </c>
      <c r="K39" s="1153">
        <f t="shared" si="2"/>
        <v>0.39576012121708459</v>
      </c>
      <c r="L39" s="1153">
        <f t="shared" si="3"/>
        <v>1.0629745422063421</v>
      </c>
      <c r="M39" s="890">
        <f t="shared" si="4"/>
        <v>0.42068293367425685</v>
      </c>
      <c r="Q39" s="1180">
        <f t="shared" si="5"/>
        <v>0</v>
      </c>
    </row>
    <row r="40" spans="1:17">
      <c r="A40" s="826">
        <v>1996</v>
      </c>
      <c r="B40" s="1163">
        <f>T.A12!B40-('Assets(MOFA)'!AU41-'Assets(MOFA)'!AQ41)*T.A13!B40/(T.A13!D40-T.A13!E40)</f>
        <v>285061.86572272412</v>
      </c>
      <c r="C40" s="1164">
        <f>'Assets(MOFA)'!J41-('Assets(MOFA)'!AU41-'Assets(MOFA)'!AQ41)/'Assets(MOFA)'!EG41</f>
        <v>185030.01588452651</v>
      </c>
      <c r="D40" s="1164">
        <f>('Assets(MOFA)'!AT41+'Assets(MOFA)'!BU41)</f>
        <v>76545.873072625691</v>
      </c>
      <c r="E40" s="1164">
        <f>'Assets(MOFA)'!BU41</f>
        <v>-3507.1269273743019</v>
      </c>
      <c r="F40" s="828"/>
      <c r="G40" s="918"/>
      <c r="H40" s="1153">
        <f t="shared" si="0"/>
        <v>1.5406249864920589</v>
      </c>
      <c r="I40" s="1153">
        <f t="shared" si="6"/>
        <v>0.26852372160884136</v>
      </c>
      <c r="J40" s="1153">
        <f t="shared" si="1"/>
        <v>0.29263351977048768</v>
      </c>
      <c r="K40" s="1153">
        <f t="shared" si="2"/>
        <v>0.41369435497641865</v>
      </c>
      <c r="L40" s="1153">
        <f t="shared" si="3"/>
        <v>1.0458173221702858</v>
      </c>
      <c r="M40" s="890">
        <f t="shared" si="4"/>
        <v>0.43264872251840186</v>
      </c>
      <c r="Q40" s="1180">
        <f t="shared" si="5"/>
        <v>0</v>
      </c>
    </row>
    <row r="41" spans="1:17">
      <c r="A41" s="826">
        <v>1997</v>
      </c>
      <c r="B41" s="1163">
        <f>T.A12!B41-('Assets(MOFA)'!AU42-'Assets(MOFA)'!AQ42)*T.A13!B41/(T.A13!D41-T.A13!E41)</f>
        <v>302236.24438632163</v>
      </c>
      <c r="C41" s="1164">
        <f>'Assets(MOFA)'!J42-('Assets(MOFA)'!AU42-'Assets(MOFA)'!AQ42)/'Assets(MOFA)'!EG42</f>
        <v>192909.73183404648</v>
      </c>
      <c r="D41" s="1164">
        <f>('Assets(MOFA)'!AT42+'Assets(MOFA)'!BU42)</f>
        <v>84036.718547486031</v>
      </c>
      <c r="E41" s="1164">
        <f>'Assets(MOFA)'!BU42</f>
        <v>-3009.2814525139665</v>
      </c>
      <c r="F41" s="828"/>
      <c r="G41" s="918"/>
      <c r="H41" s="1153">
        <f t="shared" si="0"/>
        <v>1.5667236769906712</v>
      </c>
      <c r="I41" s="1153">
        <f t="shared" si="6"/>
        <v>0.27804977102636769</v>
      </c>
      <c r="J41" s="1153">
        <f t="shared" si="1"/>
        <v>0.30344031646447778</v>
      </c>
      <c r="K41" s="1153">
        <f t="shared" si="2"/>
        <v>0.43562715964884485</v>
      </c>
      <c r="L41" s="1153">
        <f t="shared" si="3"/>
        <v>1.0358091261120999</v>
      </c>
      <c r="M41" s="890">
        <f t="shared" si="4"/>
        <v>0.4512265875465663</v>
      </c>
      <c r="Q41" s="1180">
        <f t="shared" si="5"/>
        <v>0</v>
      </c>
    </row>
    <row r="42" spans="1:17">
      <c r="A42" s="826">
        <v>1998</v>
      </c>
      <c r="B42" s="1163">
        <f>T.A12!B42-('Assets(MOFA)'!AU43-'Assets(MOFA)'!AQ43)*T.A13!B42/(T.A13!D42-T.A13!E42)</f>
        <v>351924.38904964097</v>
      </c>
      <c r="C42" s="1164">
        <f>'Assets(MOFA)'!J43-('Assets(MOFA)'!AU43-'Assets(MOFA)'!AQ43)/'Assets(MOFA)'!EG43</f>
        <v>198719.59146832855</v>
      </c>
      <c r="D42" s="1164">
        <f>('Assets(MOFA)'!AT43+'Assets(MOFA)'!BU43)</f>
        <v>74550.859273743015</v>
      </c>
      <c r="E42" s="1164">
        <f>'Assets(MOFA)'!BU43</f>
        <v>-4215.1407262569828</v>
      </c>
      <c r="F42" s="828"/>
      <c r="G42" s="918"/>
      <c r="H42" s="1153">
        <f t="shared" si="0"/>
        <v>1.7709597048247245</v>
      </c>
      <c r="I42" s="1153">
        <f t="shared" si="6"/>
        <v>0.21183771740022025</v>
      </c>
      <c r="J42" s="1153">
        <f t="shared" si="1"/>
        <v>0.27280980827344714</v>
      </c>
      <c r="K42" s="1153">
        <f t="shared" si="2"/>
        <v>0.37515606147783753</v>
      </c>
      <c r="L42" s="1153">
        <f t="shared" si="3"/>
        <v>1.0565404713952313</v>
      </c>
      <c r="M42" s="890">
        <f t="shared" si="4"/>
        <v>0.39636756204057283</v>
      </c>
      <c r="Q42" s="1180">
        <f t="shared" si="5"/>
        <v>0</v>
      </c>
    </row>
    <row r="43" spans="1:17">
      <c r="A43" s="856">
        <v>1999</v>
      </c>
      <c r="B43" s="1165">
        <f>T.A12!B43-('Assets(MOFA)'!AU44-'Assets(MOFA)'!AQ44)*T.A13!B43/(T.A13!D43-T.A13!E43)</f>
        <v>421158.84436426521</v>
      </c>
      <c r="C43" s="1166">
        <f>'Assets(MOFA)'!J44-('Assets(MOFA)'!AU44-'Assets(MOFA)'!AQ44)/'Assets(MOFA)'!EG44</f>
        <v>229087.29897682281</v>
      </c>
      <c r="D43" s="1166">
        <f>('Assets(MOFA)'!AT44+'Assets(MOFA)'!BU44)</f>
        <v>88276</v>
      </c>
      <c r="E43" s="1166">
        <f>'Assets(MOFA)'!BU44</f>
        <v>-795</v>
      </c>
      <c r="F43" s="858"/>
      <c r="G43" s="919"/>
      <c r="H43" s="1154">
        <f t="shared" si="0"/>
        <v>1.8384207515881299</v>
      </c>
      <c r="I43" s="1154">
        <f t="shared" si="6"/>
        <v>0.20960262661289158</v>
      </c>
      <c r="J43" s="1154">
        <f t="shared" si="1"/>
        <v>0.27815440627382321</v>
      </c>
      <c r="K43" s="1154">
        <f t="shared" si="2"/>
        <v>0.38533781835251829</v>
      </c>
      <c r="L43" s="1154">
        <f t="shared" si="3"/>
        <v>1.0090058453033668</v>
      </c>
      <c r="M43" s="892">
        <f t="shared" si="4"/>
        <v>0.38880811113413788</v>
      </c>
      <c r="Q43" s="1180">
        <f t="shared" si="5"/>
        <v>0</v>
      </c>
    </row>
    <row r="44" spans="1:17">
      <c r="A44" s="863">
        <v>2000</v>
      </c>
      <c r="B44" s="1167">
        <f>T.A12!B44-('Assets(MOFA)'!AU45-'Assets(MOFA)'!AQ45)*T.A13!B44/(T.A13!D44-T.A13!E44)</f>
        <v>434683.83282450604</v>
      </c>
      <c r="C44" s="1168">
        <f>'Assets(MOFA)'!J45-('Assets(MOFA)'!AU45-'Assets(MOFA)'!AQ45)/'Assets(MOFA)'!EG45</f>
        <v>237633.52819949004</v>
      </c>
      <c r="D44" s="1168">
        <f>('Assets(MOFA)'!AT45+'Assets(MOFA)'!BU45)</f>
        <v>78280</v>
      </c>
      <c r="E44" s="1168">
        <f>'Assets(MOFA)'!BU45</f>
        <v>-11296</v>
      </c>
      <c r="F44" s="865"/>
      <c r="G44" s="920"/>
      <c r="H44" s="1155">
        <f t="shared" si="0"/>
        <v>1.8292192861757917</v>
      </c>
      <c r="I44" s="1155">
        <f t="shared" si="6"/>
        <v>0.180084912501459</v>
      </c>
      <c r="J44" s="1155">
        <f t="shared" si="1"/>
        <v>0.24778932528197556</v>
      </c>
      <c r="K44" s="1155">
        <f t="shared" si="2"/>
        <v>0.32941479509694871</v>
      </c>
      <c r="L44" s="1155">
        <f t="shared" si="3"/>
        <v>1.1443025038323964</v>
      </c>
      <c r="M44" s="894">
        <f t="shared" si="4"/>
        <v>0.37695017482887427</v>
      </c>
      <c r="Q44" s="1180">
        <f t="shared" si="5"/>
        <v>0</v>
      </c>
    </row>
    <row r="45" spans="1:17">
      <c r="A45" s="826">
        <v>2001</v>
      </c>
      <c r="B45" s="1163">
        <f>T.A12!B45-('Assets(MOFA)'!AU46-'Assets(MOFA)'!AQ46)*T.A13!B45/(T.A13!D45-T.A13!E45)</f>
        <v>433810.12452313723</v>
      </c>
      <c r="C45" s="1164">
        <f>'Assets(MOFA)'!J46-('Assets(MOFA)'!AU46-'Assets(MOFA)'!AQ46)/'Assets(MOFA)'!EG46</f>
        <v>238194.04100980828</v>
      </c>
      <c r="D45" s="1164">
        <f>('Assets(MOFA)'!AT46+'Assets(MOFA)'!BU46)</f>
        <v>60708</v>
      </c>
      <c r="E45" s="1164">
        <f>'Assets(MOFA)'!BU46</f>
        <v>-7623</v>
      </c>
      <c r="F45" s="828"/>
      <c r="G45" s="918"/>
      <c r="H45" s="1153">
        <f t="shared" si="0"/>
        <v>1.8212467561490084</v>
      </c>
      <c r="I45" s="1153">
        <f t="shared" si="6"/>
        <v>0.13994140885193226</v>
      </c>
      <c r="J45" s="1153">
        <f t="shared" si="1"/>
        <v>0.20310333042526096</v>
      </c>
      <c r="K45" s="1153">
        <f t="shared" si="2"/>
        <v>0.25486783692250375</v>
      </c>
      <c r="L45" s="1153">
        <f t="shared" si="3"/>
        <v>1.1255682941292746</v>
      </c>
      <c r="M45" s="890">
        <f t="shared" si="4"/>
        <v>0.28687115643328076</v>
      </c>
      <c r="Q45" s="1180">
        <f t="shared" si="5"/>
        <v>0</v>
      </c>
    </row>
    <row r="46" spans="1:17">
      <c r="A46" s="826">
        <v>2002</v>
      </c>
      <c r="B46" s="1163">
        <f>T.A12!B46-('Assets(MOFA)'!AU47-'Assets(MOFA)'!AQ47)*T.A13!B46/(T.A13!D46-T.A13!E46)</f>
        <v>440978.68058117869</v>
      </c>
      <c r="C46" s="1164">
        <f>'Assets(MOFA)'!J47-('Assets(MOFA)'!AU47-'Assets(MOFA)'!AQ47)/'Assets(MOFA)'!EG47</f>
        <v>241191.40939025371</v>
      </c>
      <c r="D46" s="1164">
        <f>('Assets(MOFA)'!AT47+'Assets(MOFA)'!BU47)</f>
        <v>68448</v>
      </c>
      <c r="E46" s="1164">
        <f>'Assets(MOFA)'!BU47</f>
        <v>-11521</v>
      </c>
      <c r="F46" s="828"/>
      <c r="G46" s="918"/>
      <c r="H46" s="1153">
        <f t="shared" si="0"/>
        <v>1.8283349381970075</v>
      </c>
      <c r="I46" s="1153">
        <f t="shared" si="6"/>
        <v>0.15521838813112321</v>
      </c>
      <c r="J46" s="1153">
        <f t="shared" si="1"/>
        <v>0.22105713266534374</v>
      </c>
      <c r="K46" s="1153">
        <f t="shared" si="2"/>
        <v>0.28379120207075631</v>
      </c>
      <c r="L46" s="1153">
        <f t="shared" si="3"/>
        <v>1.1683175549322113</v>
      </c>
      <c r="M46" s="890">
        <f t="shared" si="4"/>
        <v>0.33155824331457912</v>
      </c>
      <c r="Q46" s="1180">
        <f t="shared" si="5"/>
        <v>0</v>
      </c>
    </row>
    <row r="47" spans="1:17">
      <c r="A47" s="826">
        <v>2003</v>
      </c>
      <c r="B47" s="1163">
        <f>T.A12!B47-('Assets(MOFA)'!AU48-'Assets(MOFA)'!AQ48)*T.A13!B47/(T.A13!D47-T.A13!E47)</f>
        <v>476620.692856471</v>
      </c>
      <c r="C47" s="1164">
        <f>'Assets(MOFA)'!J48-('Assets(MOFA)'!AU48-'Assets(MOFA)'!AQ48)/'Assets(MOFA)'!EG48</f>
        <v>263482.13801009068</v>
      </c>
      <c r="D47" s="1164">
        <f>('Assets(MOFA)'!AT48+'Assets(MOFA)'!BU48)</f>
        <v>100169</v>
      </c>
      <c r="E47" s="1164">
        <f>'Assets(MOFA)'!BU48</f>
        <v>-9620</v>
      </c>
      <c r="F47" s="828"/>
      <c r="G47" s="918"/>
      <c r="H47" s="1153">
        <f t="shared" si="0"/>
        <v>1.8089298062330801</v>
      </c>
      <c r="I47" s="1153">
        <f t="shared" si="6"/>
        <v>0.21016502535731232</v>
      </c>
      <c r="J47" s="1153">
        <f t="shared" si="1"/>
        <v>0.2754535584520032</v>
      </c>
      <c r="K47" s="1153">
        <f t="shared" si="2"/>
        <v>0.38017377859657336</v>
      </c>
      <c r="L47" s="1153">
        <f t="shared" si="3"/>
        <v>1.0960376962932643</v>
      </c>
      <c r="M47" s="890">
        <f t="shared" si="4"/>
        <v>0.41668479248409379</v>
      </c>
      <c r="Q47" s="1180">
        <f t="shared" si="5"/>
        <v>0</v>
      </c>
    </row>
    <row r="48" spans="1:17">
      <c r="A48" s="826">
        <v>2004</v>
      </c>
      <c r="B48" s="1163">
        <f>T.A12!B48-('Assets(MOFA)'!AU49-'Assets(MOFA)'!AQ49)*T.A13!B48/(T.A13!D48-T.A13!E48)</f>
        <v>510617.17853917886</v>
      </c>
      <c r="C48" s="1164">
        <f>'Assets(MOFA)'!J49-('Assets(MOFA)'!AU49-'Assets(MOFA)'!AQ49)/'Assets(MOFA)'!EG49</f>
        <v>297439.12982366368</v>
      </c>
      <c r="D48" s="1164">
        <f>('Assets(MOFA)'!AT49+'Assets(MOFA)'!BU49)</f>
        <v>115328</v>
      </c>
      <c r="E48" s="1164">
        <f>'Assets(MOFA)'!BU49</f>
        <v>-8217</v>
      </c>
      <c r="F48" s="828"/>
      <c r="G48" s="918"/>
      <c r="H48" s="1153">
        <f t="shared" si="0"/>
        <v>1.716711512845998</v>
      </c>
      <c r="I48" s="1153">
        <f t="shared" si="6"/>
        <v>0.22586000794164637</v>
      </c>
      <c r="J48" s="1153">
        <f t="shared" si="1"/>
        <v>0.27940209301372604</v>
      </c>
      <c r="K48" s="1153">
        <f t="shared" si="2"/>
        <v>0.38773647592491289</v>
      </c>
      <c r="L48" s="1153">
        <f t="shared" si="3"/>
        <v>1.0712489594894561</v>
      </c>
      <c r="M48" s="890">
        <f t="shared" si="4"/>
        <v>0.41536229639067146</v>
      </c>
      <c r="Q48" s="1180">
        <f t="shared" si="5"/>
        <v>0</v>
      </c>
    </row>
    <row r="49" spans="1:18">
      <c r="A49" s="826">
        <v>2005</v>
      </c>
      <c r="B49" s="1163">
        <f>T.A12!B49-('Assets(MOFA)'!AU50-'Assets(MOFA)'!AQ50)*T.A13!B49/(T.A13!D49-T.A13!E49)</f>
        <v>505641.74243765825</v>
      </c>
      <c r="C49" s="1164">
        <f>'Assets(MOFA)'!J50-('Assets(MOFA)'!AU50-'Assets(MOFA)'!AQ50)/'Assets(MOFA)'!EG50</f>
        <v>324289.39683233964</v>
      </c>
      <c r="D49" s="1164">
        <f>('Assets(MOFA)'!AT50+'Assets(MOFA)'!BU50)</f>
        <v>145798.08577127662</v>
      </c>
      <c r="E49" s="1164">
        <f>'Assets(MOFA)'!BU50</f>
        <v>-15884</v>
      </c>
      <c r="F49" s="828"/>
      <c r="G49" s="918"/>
      <c r="H49" s="1153">
        <f t="shared" si="0"/>
        <v>1.5592299574909607</v>
      </c>
      <c r="I49" s="1153">
        <f t="shared" si="6"/>
        <v>0.28834266148280352</v>
      </c>
      <c r="J49" s="1153">
        <f t="shared" si="1"/>
        <v>0.31015096373926515</v>
      </c>
      <c r="K49" s="1153">
        <f t="shared" si="2"/>
        <v>0.44959251580666226</v>
      </c>
      <c r="L49" s="1153">
        <f t="shared" si="3"/>
        <v>1.1089451889301092</v>
      </c>
      <c r="M49" s="890">
        <f t="shared" si="4"/>
        <v>0.49857345738278214</v>
      </c>
      <c r="Q49" s="1180">
        <f t="shared" si="5"/>
        <v>0</v>
      </c>
    </row>
    <row r="50" spans="1:18">
      <c r="A50" s="826">
        <v>2006</v>
      </c>
      <c r="B50" s="1163">
        <f>T.A12!B50-('Assets(MOFA)'!AU51-'Assets(MOFA)'!AQ51)*T.A13!B50/(T.A13!D50-T.A13!E50)</f>
        <v>555919.20574523427</v>
      </c>
      <c r="C50" s="1164">
        <f>'Assets(MOFA)'!J51-('Assets(MOFA)'!AU51-'Assets(MOFA)'!AQ51)/'Assets(MOFA)'!EG51</f>
        <v>350574.08855780278</v>
      </c>
      <c r="D50" s="1164">
        <f>('Assets(MOFA)'!AT51+'Assets(MOFA)'!BU51)</f>
        <v>157297.09520676214</v>
      </c>
      <c r="E50" s="1164">
        <f>'Assets(MOFA)'!BU51</f>
        <v>-14860</v>
      </c>
      <c r="F50" s="828"/>
      <c r="G50" s="918"/>
      <c r="H50" s="1153">
        <f t="shared" si="0"/>
        <v>1.5857395737151696</v>
      </c>
      <c r="I50" s="1153">
        <f t="shared" si="6"/>
        <v>0.28294956098143514</v>
      </c>
      <c r="J50" s="1153">
        <f t="shared" si="1"/>
        <v>0.30971848814261677</v>
      </c>
      <c r="K50" s="1153">
        <f t="shared" si="2"/>
        <v>0.44868431621359528</v>
      </c>
      <c r="L50" s="1153">
        <f t="shared" si="3"/>
        <v>1.0944709117512119</v>
      </c>
      <c r="M50" s="890">
        <f t="shared" si="4"/>
        <v>0.49107193265476268</v>
      </c>
      <c r="Q50" s="1180">
        <f t="shared" si="5"/>
        <v>0</v>
      </c>
    </row>
    <row r="51" spans="1:18">
      <c r="A51" s="826">
        <v>2007</v>
      </c>
      <c r="B51" s="1163">
        <f>T.A12!B51-('Assets(MOFA)'!AU52-'Assets(MOFA)'!AQ52)*T.A13!B51/(T.A13!D51-T.A13!E51)</f>
        <v>638181.10763283074</v>
      </c>
      <c r="C51" s="1164">
        <f>'Assets(MOFA)'!J52-('Assets(MOFA)'!AU52-'Assets(MOFA)'!AQ52)/'Assets(MOFA)'!EG52</f>
        <v>381960.61648373265</v>
      </c>
      <c r="D51" s="1164">
        <f>('Assets(MOFA)'!AT52+'Assets(MOFA)'!BU52)</f>
        <v>193295.81286992755</v>
      </c>
      <c r="E51" s="1164">
        <f>'Assets(MOFA)'!BU52</f>
        <v>-4158</v>
      </c>
      <c r="F51" s="828"/>
      <c r="G51" s="918"/>
      <c r="H51" s="1153">
        <f t="shared" si="0"/>
        <v>1.6708034286566564</v>
      </c>
      <c r="I51" s="1153">
        <f t="shared" si="6"/>
        <v>0.30288551409318404</v>
      </c>
      <c r="J51" s="1153">
        <f t="shared" si="1"/>
        <v>0.33601677965965293</v>
      </c>
      <c r="K51" s="1153">
        <f t="shared" si="2"/>
        <v>0.50606215543732591</v>
      </c>
      <c r="L51" s="1153">
        <f t="shared" si="3"/>
        <v>1.0215110712346263</v>
      </c>
      <c r="M51" s="890">
        <f t="shared" si="4"/>
        <v>0.51694809451208679</v>
      </c>
      <c r="Q51" s="1180">
        <f t="shared" si="5"/>
        <v>0</v>
      </c>
      <c r="R51" s="1180">
        <f>B51+T.A11b!B51-(T.A10!B51-T.A13!B51)</f>
        <v>0</v>
      </c>
    </row>
    <row r="52" spans="1:18">
      <c r="A52" s="826">
        <v>2008</v>
      </c>
      <c r="B52" s="1163">
        <f>T.A12!B52-('Assets(MOFA)'!AU53-'Assets(MOFA)'!AQ53)*T.A13!B52/(T.A13!D52-T.A13!E52)</f>
        <v>608940.34480095911</v>
      </c>
      <c r="C52" s="1164">
        <f>'Assets(MOFA)'!J53-('Assets(MOFA)'!AU53-'Assets(MOFA)'!AQ53)/'Assets(MOFA)'!EG53</f>
        <v>387118.12993322115</v>
      </c>
      <c r="D52" s="1164">
        <f>('Assets(MOFA)'!AT53+'Assets(MOFA)'!BU53)</f>
        <v>189421.18403735937</v>
      </c>
      <c r="E52" s="1164">
        <f>'Assets(MOFA)'!BU53</f>
        <v>1675</v>
      </c>
      <c r="F52" s="830"/>
      <c r="G52" s="918"/>
      <c r="H52" s="1153">
        <f t="shared" si="0"/>
        <v>1.573009109405449</v>
      </c>
      <c r="I52" s="1153">
        <f t="shared" si="6"/>
        <v>0.31106689785725139</v>
      </c>
      <c r="J52" s="1153">
        <f t="shared" si="1"/>
        <v>0.32854859928428942</v>
      </c>
      <c r="K52" s="1153">
        <f t="shared" si="2"/>
        <v>0.48931106396395074</v>
      </c>
      <c r="L52" s="1153">
        <f t="shared" si="3"/>
        <v>0.99115727204160209</v>
      </c>
      <c r="M52" s="890">
        <f t="shared" si="4"/>
        <v>0.48498421933828328</v>
      </c>
      <c r="Q52" s="1180">
        <f t="shared" si="5"/>
        <v>0</v>
      </c>
      <c r="R52" s="1180">
        <f>B52+T.A11b!B52-(T.A10!B52-T.A13!B52)</f>
        <v>0</v>
      </c>
    </row>
    <row r="53" spans="1:18">
      <c r="A53" s="856">
        <v>2009</v>
      </c>
      <c r="B53" s="1165">
        <f>T.A12!B53-('Assets(MOFA)'!AU54-'Assets(MOFA)'!AQ54)*T.A13!B53/(T.A13!D53-T.A13!E53)</f>
        <v>703391.00730875367</v>
      </c>
      <c r="C53" s="1166">
        <f>'Assets(MOFA)'!J54-('Assets(MOFA)'!AU54-'Assets(MOFA)'!AQ54)/'Assets(MOFA)'!EG54</f>
        <v>427692.86221764004</v>
      </c>
      <c r="D53" s="1166">
        <f>('Assets(MOFA)'!AT54+'Assets(MOFA)'!BU54)</f>
        <v>170691.90766989504</v>
      </c>
      <c r="E53" s="1166">
        <f>'Assets(MOFA)'!BU54</f>
        <v>-21943.092330104973</v>
      </c>
      <c r="F53" s="884"/>
      <c r="G53" s="919"/>
      <c r="H53" s="1154">
        <f t="shared" si="0"/>
        <v>1.6446171293614416</v>
      </c>
      <c r="I53" s="1154">
        <f t="shared" si="6"/>
        <v>0.24267001695540555</v>
      </c>
      <c r="J53" s="1154">
        <f t="shared" si="1"/>
        <v>0.28525443203037426</v>
      </c>
      <c r="K53" s="1154">
        <f t="shared" si="2"/>
        <v>0.39909926666729134</v>
      </c>
      <c r="L53" s="1154">
        <f t="shared" si="3"/>
        <v>1.1285537939650965</v>
      </c>
      <c r="M53" s="892">
        <f t="shared" si="4"/>
        <v>0.45040499156605945</v>
      </c>
      <c r="Q53" s="1180">
        <f t="shared" si="5"/>
        <v>0</v>
      </c>
      <c r="R53" s="1180">
        <f>B53+T.A11b!B53-(T.A10!B53-T.A13!B53)</f>
        <v>0</v>
      </c>
    </row>
    <row r="54" spans="1:18">
      <c r="A54" s="826">
        <v>2010</v>
      </c>
      <c r="B54" s="1163">
        <f>T.A12!B54-('Assets(MOFA)'!AU55-'Assets(MOFA)'!AQ55)*T.A13!B54/(T.A13!D54-T.A13!E54)</f>
        <v>697929.61874900933</v>
      </c>
      <c r="C54" s="1164">
        <f>'Assets(MOFA)'!J55-('Assets(MOFA)'!AU55-'Assets(MOFA)'!AQ55)/'Assets(MOFA)'!EG55</f>
        <v>437809.82012490236</v>
      </c>
      <c r="D54" s="1164">
        <f>('Assets(MOFA)'!AT55+'Assets(MOFA)'!BU55)</f>
        <v>201160</v>
      </c>
      <c r="E54" s="1164">
        <f>'Assets(MOFA)'!BU55</f>
        <v>-26631</v>
      </c>
      <c r="F54" s="830"/>
      <c r="G54" s="918"/>
      <c r="H54" s="1153">
        <f t="shared" si="0"/>
        <v>1.5941387942141125</v>
      </c>
      <c r="I54" s="1153">
        <f t="shared" si="6"/>
        <v>0.28822390481230103</v>
      </c>
      <c r="J54" s="1153">
        <f t="shared" si="1"/>
        <v>0.31481925071309058</v>
      </c>
      <c r="K54" s="1153">
        <f t="shared" si="2"/>
        <v>0.45946890808116475</v>
      </c>
      <c r="L54" s="1153">
        <f t="shared" si="3"/>
        <v>1.1323871545038775</v>
      </c>
      <c r="M54" s="890">
        <f t="shared" si="4"/>
        <v>0.52029668940503371</v>
      </c>
      <c r="Q54" s="1180">
        <f t="shared" si="5"/>
        <v>0</v>
      </c>
      <c r="R54" s="1180">
        <f>B54+T.A11b!B54-(T.A10!B54-T.A13!B54)</f>
        <v>0</v>
      </c>
    </row>
    <row r="55" spans="1:18">
      <c r="A55" s="826">
        <v>2011</v>
      </c>
      <c r="B55" s="1163">
        <f>T.A12!B55-('Assets(MOFA)'!AU56-'Assets(MOFA)'!AQ56)*T.A13!B55/(T.A13!D55-T.A13!E55)</f>
        <v>748883.45959073515</v>
      </c>
      <c r="C55" s="1164">
        <f>'Assets(MOFA)'!J56-('Assets(MOFA)'!AU56-'Assets(MOFA)'!AQ56)/'Assets(MOFA)'!EG56</f>
        <v>477980.92714929581</v>
      </c>
      <c r="D55" s="1164">
        <f>('Assets(MOFA)'!AT56+'Assets(MOFA)'!BU56)</f>
        <v>240145</v>
      </c>
      <c r="E55" s="1164">
        <f>'Assets(MOFA)'!BU56</f>
        <v>-21598</v>
      </c>
      <c r="F55" s="830"/>
      <c r="G55" s="918"/>
      <c r="H55" s="1153">
        <f t="shared" si="0"/>
        <v>1.5667643143359646</v>
      </c>
      <c r="I55" s="1153">
        <f t="shared" si="6"/>
        <v>0.32067072242620936</v>
      </c>
      <c r="J55" s="1153">
        <f t="shared" si="1"/>
        <v>0.33440513832064261</v>
      </c>
      <c r="K55" s="1153">
        <f t="shared" si="2"/>
        <v>0.50241544454971832</v>
      </c>
      <c r="L55" s="1153">
        <f t="shared" si="3"/>
        <v>1.0899373295300756</v>
      </c>
      <c r="M55" s="890">
        <f t="shared" si="4"/>
        <v>0.54760134794718585</v>
      </c>
      <c r="Q55" s="1180">
        <f t="shared" si="5"/>
        <v>0</v>
      </c>
      <c r="R55" s="1180">
        <f>B55+T.A11b!B55-(T.A10!B55-T.A13!B55)</f>
        <v>0</v>
      </c>
    </row>
    <row r="56" spans="1:18">
      <c r="A56" s="826">
        <v>2012</v>
      </c>
      <c r="B56" s="1163">
        <f>T.A12!B56-('Assets(MOFA)'!AU57-'Assets(MOFA)'!AQ57)*T.A13!B56/(T.A13!D56-T.A13!E56)</f>
        <v>785111.58862000727</v>
      </c>
      <c r="C56" s="1164">
        <f>'Assets(MOFA)'!J57-('Assets(MOFA)'!AU57-'Assets(MOFA)'!AQ57)/'Assets(MOFA)'!EG57</f>
        <v>493853.04132062249</v>
      </c>
      <c r="D56" s="1164">
        <f>('Assets(MOFA)'!AT57+'Assets(MOFA)'!BU57)</f>
        <v>230448</v>
      </c>
      <c r="E56" s="1164">
        <f>'Assets(MOFA)'!BU57</f>
        <v>-17256</v>
      </c>
      <c r="F56" s="830"/>
      <c r="G56" s="918"/>
      <c r="H56" s="1153">
        <f t="shared" si="0"/>
        <v>1.5897676493406305</v>
      </c>
      <c r="I56" s="1153">
        <f t="shared" si="6"/>
        <v>0.29352260664634827</v>
      </c>
      <c r="J56" s="1153">
        <f t="shared" si="1"/>
        <v>0.31816604816668881</v>
      </c>
      <c r="K56" s="1153">
        <f t="shared" si="2"/>
        <v>0.46663274439649971</v>
      </c>
      <c r="L56" s="1153">
        <f t="shared" si="3"/>
        <v>1.0748802332847323</v>
      </c>
      <c r="M56" s="890">
        <f t="shared" si="4"/>
        <v>0.5015743131552044</v>
      </c>
      <c r="Q56" s="1180">
        <f t="shared" si="5"/>
        <v>0</v>
      </c>
      <c r="R56" s="1180">
        <f>B56+T.A11b!B56-(T.A10!B56-T.A13!B56)</f>
        <v>0</v>
      </c>
    </row>
    <row r="57" spans="1:18">
      <c r="A57" s="826">
        <v>2013</v>
      </c>
      <c r="B57" s="1163">
        <f>T.A12!B57-('Assets(MOFA)'!AU58-'Assets(MOFA)'!AQ58)*T.A13!B57/(T.A13!D57-T.A13!E57)</f>
        <v>809623.28996802517</v>
      </c>
      <c r="C57" s="1164">
        <f>'Assets(MOFA)'!J58-('Assets(MOFA)'!AU58-'Assets(MOFA)'!AQ58)/'Assets(MOFA)'!EG58</f>
        <v>498712.51927087636</v>
      </c>
      <c r="D57" s="1164">
        <f>('Assets(MOFA)'!AT58+'Assets(MOFA)'!BU58)</f>
        <v>222309</v>
      </c>
      <c r="E57" s="1164">
        <f>'Assets(MOFA)'!BU58</f>
        <v>-15145</v>
      </c>
      <c r="F57" s="830"/>
      <c r="G57" s="1158"/>
      <c r="H57" s="1153">
        <f t="shared" si="0"/>
        <v>1.6234268414831536</v>
      </c>
      <c r="I57" s="1153">
        <f t="shared" si="6"/>
        <v>0.27458325712045628</v>
      </c>
      <c r="J57" s="1153">
        <f t="shared" si="1"/>
        <v>0.30832505557505008</v>
      </c>
      <c r="K57" s="1153">
        <f t="shared" si="2"/>
        <v>0.44576582983121898</v>
      </c>
      <c r="L57" s="1153">
        <f t="shared" si="3"/>
        <v>1.0681258968372851</v>
      </c>
      <c r="M57" s="890">
        <f t="shared" si="4"/>
        <v>0.47613402676788741</v>
      </c>
      <c r="Q57" s="1180">
        <f t="shared" si="5"/>
        <v>0</v>
      </c>
      <c r="R57" s="1180">
        <f>B57+T.A11b!B57-(T.A10!B57-T.A13!B57)</f>
        <v>0</v>
      </c>
    </row>
    <row r="58" spans="1:18">
      <c r="A58" s="826">
        <v>2014</v>
      </c>
      <c r="B58" s="1163">
        <f>T.A12!B58-('Assets(MOFA)'!AU59-'Assets(MOFA)'!AQ59)*T.A13!B58/(T.A13!D58-T.A13!E58)</f>
        <v>876645.17931272974</v>
      </c>
      <c r="C58" s="1164">
        <f>'Assets(MOFA)'!J59-('Assets(MOFA)'!AU59-'Assets(MOFA)'!AQ59)/'Assets(MOFA)'!EG59</f>
        <v>559508.65935221175</v>
      </c>
      <c r="D58" s="1164">
        <f>('Assets(MOFA)'!AT59+'Assets(MOFA)'!BU59)</f>
        <v>255384</v>
      </c>
      <c r="E58" s="1164">
        <f>'Assets(MOFA)'!BU59</f>
        <v>-16720</v>
      </c>
      <c r="F58" s="830"/>
      <c r="G58" s="1158"/>
      <c r="H58" s="1153">
        <f>B58/C58</f>
        <v>1.5668125321379163</v>
      </c>
      <c r="I58" s="1153">
        <f>D58/B58</f>
        <v>0.29131968785845075</v>
      </c>
      <c r="J58" s="1153">
        <f>D58/(D58+C58)</f>
        <v>0.31339587744355701</v>
      </c>
      <c r="K58" s="1153">
        <f>J58/(1-J58)</f>
        <v>0.45644333779512658</v>
      </c>
      <c r="L58" s="1153">
        <f>1-E58/D58</f>
        <v>1.0654700372771984</v>
      </c>
      <c r="M58" s="890">
        <f>(D58-E58)/C58</f>
        <v>0.48632670013550233</v>
      </c>
      <c r="Q58" s="1180">
        <f>M58-L58*K58</f>
        <v>0</v>
      </c>
      <c r="R58" s="1180">
        <f>B58+T.A11b!B58-(T.A10!B58-T.A13!B58)</f>
        <v>0</v>
      </c>
    </row>
    <row r="59" spans="1:18">
      <c r="A59" s="826">
        <v>2015</v>
      </c>
      <c r="B59" s="1163">
        <f>T.A12!B59-('Assets(MOFA)'!AU60-'Assets(MOFA)'!AQ60)*T.A13!B59/(T.A13!D59-T.A13!E59)</f>
        <v>846377.42989925225</v>
      </c>
      <c r="C59" s="1164">
        <f>'Assets(MOFA)'!J60-('Assets(MOFA)'!AU60-'Assets(MOFA)'!AQ60)/'Assets(MOFA)'!EG60</f>
        <v>540950.85848825541</v>
      </c>
      <c r="D59" s="1164">
        <f>('Assets(MOFA)'!AT60+'Assets(MOFA)'!BU60)</f>
        <v>222936</v>
      </c>
      <c r="E59" s="1164">
        <f>'Assets(MOFA)'!BU60</f>
        <v>-19113</v>
      </c>
      <c r="F59" s="830"/>
      <c r="G59" s="1158"/>
      <c r="H59" s="1153">
        <f>B59/C59</f>
        <v>1.5646105678888167</v>
      </c>
      <c r="I59" s="1153">
        <f>D59/B59</f>
        <v>0.26340021853670764</v>
      </c>
      <c r="J59" s="1153">
        <f>D59/(D59+C59)</f>
        <v>0.29184426662502611</v>
      </c>
      <c r="K59" s="1153">
        <f>J59/(1-J59)</f>
        <v>0.41211876550675658</v>
      </c>
      <c r="L59" s="1153">
        <f>1-E59/D59</f>
        <v>1.0857331252018516</v>
      </c>
      <c r="M59" s="890">
        <f>(D59-E59)/C59</f>
        <v>0.44745099522797988</v>
      </c>
      <c r="Q59" s="1180">
        <f>M59-L59*K59</f>
        <v>0</v>
      </c>
      <c r="R59" s="1180">
        <f>B59+T.A11b!B59-(T.A10!B59-T.A13!B59)</f>
        <v>0</v>
      </c>
    </row>
    <row r="60" spans="1:18">
      <c r="A60" s="826">
        <v>2016</v>
      </c>
      <c r="B60" s="1163">
        <f>T.A12!B60-('Assets(MOFA)'!AU61-'Assets(MOFA)'!AQ61)*T.A13!B60/(T.A13!D60-T.A13!E60)</f>
        <v>838906.28858689824</v>
      </c>
      <c r="C60" s="1164">
        <f>'Assets(MOFA)'!J61-('Assets(MOFA)'!AU61-'Assets(MOFA)'!AQ61)/'Assets(MOFA)'!EG61</f>
        <v>530031.58482284273</v>
      </c>
      <c r="D60" s="1164">
        <f>('Assets(MOFA)'!AT61+'Assets(MOFA)'!BU61)</f>
        <v>190466</v>
      </c>
      <c r="E60" s="1164">
        <f>'Assets(MOFA)'!BU61</f>
        <v>-19952</v>
      </c>
      <c r="F60" s="830"/>
      <c r="G60" s="1158"/>
      <c r="H60" s="1153">
        <f>B60/C60</f>
        <v>1.5827477316607339</v>
      </c>
      <c r="I60" s="1153">
        <f>D60/B60</f>
        <v>0.22704085377740085</v>
      </c>
      <c r="J60" s="1153">
        <f>D60/(D60+C60)</f>
        <v>0.26435341909831955</v>
      </c>
      <c r="K60" s="1153">
        <f>J60/(1-J60)</f>
        <v>0.35934839631049753</v>
      </c>
      <c r="L60" s="1153">
        <f>1-E60/D60</f>
        <v>1.104753604317831</v>
      </c>
      <c r="M60" s="890">
        <f>(D60-E60)/C60</f>
        <v>0.39699143602985454</v>
      </c>
    </row>
    <row r="61" spans="1:18" ht="16" thickBot="1">
      <c r="A61" s="819"/>
      <c r="B61" s="820"/>
      <c r="C61" s="821"/>
      <c r="D61" s="821"/>
      <c r="E61" s="821"/>
      <c r="F61" s="821"/>
      <c r="G61" s="822"/>
      <c r="H61" s="1157"/>
      <c r="I61" s="1157"/>
      <c r="J61" s="1151"/>
      <c r="K61" s="821"/>
      <c r="L61" s="821"/>
      <c r="M61" s="1150"/>
    </row>
    <row r="62" spans="1:18" ht="16" thickTop="1"/>
    <row r="63" spans="1:18">
      <c r="A63" s="829" t="s">
        <v>2457</v>
      </c>
    </row>
    <row r="64" spans="1:18">
      <c r="A64" s="829" t="s">
        <v>2455</v>
      </c>
    </row>
    <row r="65" spans="1:17">
      <c r="A65" s="829" t="s">
        <v>1201</v>
      </c>
    </row>
    <row r="66" spans="1:17">
      <c r="A66" s="829" t="s">
        <v>722</v>
      </c>
      <c r="B66" s="855"/>
      <c r="C66" s="855"/>
      <c r="D66" s="855"/>
      <c r="E66" s="855"/>
    </row>
    <row r="67" spans="1:17">
      <c r="A67" s="829" t="s">
        <v>723</v>
      </c>
      <c r="B67" s="855"/>
      <c r="C67" s="855"/>
      <c r="D67" s="855"/>
      <c r="E67" s="855"/>
    </row>
    <row r="68" spans="1:17">
      <c r="A68" s="829" t="s">
        <v>2456</v>
      </c>
      <c r="B68" s="855"/>
      <c r="C68" s="855"/>
      <c r="D68" s="855"/>
      <c r="E68" s="855"/>
    </row>
    <row r="69" spans="1:17" s="825" customFormat="1">
      <c r="B69" s="805"/>
      <c r="C69" s="805"/>
      <c r="D69" s="805"/>
      <c r="E69" s="805"/>
      <c r="F69" s="805"/>
      <c r="G69" s="805"/>
      <c r="H69" s="805"/>
      <c r="I69" s="805"/>
      <c r="J69" s="805"/>
      <c r="K69" s="805"/>
      <c r="L69" s="805"/>
      <c r="M69" s="805"/>
      <c r="Q69" s="1181"/>
    </row>
    <row r="70" spans="1:17" s="825" customFormat="1">
      <c r="A70" s="805"/>
      <c r="B70" s="805"/>
      <c r="C70" s="805"/>
      <c r="D70" s="805"/>
      <c r="E70" s="805"/>
      <c r="F70" s="805"/>
      <c r="G70" s="805"/>
      <c r="H70" s="805"/>
      <c r="I70" s="805"/>
      <c r="J70" s="805"/>
      <c r="K70" s="805"/>
      <c r="L70" s="805"/>
      <c r="M70" s="805"/>
      <c r="Q70" s="1181"/>
    </row>
    <row r="72" spans="1:17" s="825" customFormat="1">
      <c r="A72" s="805"/>
      <c r="B72" s="805"/>
      <c r="C72" s="805"/>
      <c r="D72" s="805"/>
      <c r="E72" s="805"/>
      <c r="F72" s="805"/>
      <c r="G72" s="805"/>
      <c r="H72" s="805"/>
      <c r="I72" s="805"/>
      <c r="J72" s="805"/>
      <c r="K72" s="805"/>
      <c r="L72" s="805"/>
      <c r="M72" s="805"/>
      <c r="Q72" s="1181"/>
    </row>
  </sheetData>
  <mergeCells count="10">
    <mergeCell ref="A3:M3"/>
    <mergeCell ref="B6:M6"/>
    <mergeCell ref="B7:E7"/>
    <mergeCell ref="F7:G7"/>
    <mergeCell ref="H7:H8"/>
    <mergeCell ref="I7:I8"/>
    <mergeCell ref="J7:J8"/>
    <mergeCell ref="K7:K8"/>
    <mergeCell ref="L7:L8"/>
    <mergeCell ref="M7:M8"/>
  </mergeCells>
  <pageMargins left="0.75" right="0.75" top="1" bottom="1" header="0.5" footer="0.5"/>
  <pageSetup scale="48" orientation="portrait" horizontalDpi="4294967292" verticalDpi="429496729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72"/>
  <sheetViews>
    <sheetView workbookViewId="0">
      <pane xSplit="1" ySplit="9" topLeftCell="B52" activePane="bottomRight" state="frozen"/>
      <selection activeCell="X67" sqref="X67"/>
      <selection pane="topRight" activeCell="X67" sqref="X67"/>
      <selection pane="bottomLeft" activeCell="X67" sqref="X67"/>
      <selection pane="bottomRight" activeCell="H59" sqref="H59:M60"/>
    </sheetView>
  </sheetViews>
  <sheetFormatPr baseColWidth="10" defaultColWidth="9.28515625" defaultRowHeight="15" x14ac:dyDescent="0"/>
  <cols>
    <col min="1" max="1" width="16.28515625" style="805" customWidth="1"/>
    <col min="2" max="12" width="9.7109375" style="805" customWidth="1"/>
    <col min="13" max="13" width="9.7109375" style="825" customWidth="1"/>
    <col min="14" max="15" width="9.28515625" style="805"/>
    <col min="16" max="16" width="16.140625" style="805" customWidth="1"/>
    <col min="17" max="17" width="9.28515625" style="1092"/>
    <col min="18" max="16384" width="9.28515625" style="805"/>
  </cols>
  <sheetData>
    <row r="1" spans="1:18">
      <c r="F1" s="829"/>
    </row>
    <row r="2" spans="1:18" ht="16" thickBot="1"/>
    <row r="3" spans="1:18" ht="32" customHeight="1" thickTop="1">
      <c r="A3" s="1793" t="s">
        <v>3216</v>
      </c>
      <c r="B3" s="1794"/>
      <c r="C3" s="1794"/>
      <c r="D3" s="1794"/>
      <c r="E3" s="1794"/>
      <c r="F3" s="1794"/>
      <c r="G3" s="1794"/>
      <c r="H3" s="1794"/>
      <c r="I3" s="1794"/>
      <c r="J3" s="1794"/>
      <c r="K3" s="1794"/>
      <c r="L3" s="1794"/>
      <c r="M3" s="1795"/>
    </row>
    <row r="4" spans="1:18" ht="12" customHeight="1">
      <c r="A4" s="806"/>
      <c r="B4" s="807"/>
      <c r="C4" s="807"/>
      <c r="D4" s="807"/>
      <c r="E4" s="807"/>
      <c r="F4" s="807"/>
      <c r="G4" s="807"/>
      <c r="H4" s="807"/>
      <c r="I4" s="807"/>
      <c r="J4" s="807"/>
      <c r="K4" s="807"/>
      <c r="L4" s="807"/>
      <c r="M4" s="808"/>
    </row>
    <row r="5" spans="1:18">
      <c r="A5" s="809"/>
      <c r="B5" s="1169" t="s">
        <v>2411</v>
      </c>
      <c r="C5" s="1169" t="s">
        <v>2412</v>
      </c>
      <c r="D5" s="1169" t="s">
        <v>2413</v>
      </c>
      <c r="E5" s="1169" t="s">
        <v>2414</v>
      </c>
      <c r="F5" s="1169" t="s">
        <v>2415</v>
      </c>
      <c r="G5" s="1169" t="s">
        <v>2416</v>
      </c>
      <c r="H5" s="1169" t="s">
        <v>2417</v>
      </c>
      <c r="I5" s="1169" t="s">
        <v>2429</v>
      </c>
      <c r="J5" s="1169" t="s">
        <v>2430</v>
      </c>
      <c r="K5" s="1169" t="s">
        <v>2431</v>
      </c>
      <c r="L5" s="1169" t="s">
        <v>2432</v>
      </c>
      <c r="M5" s="1170" t="s">
        <v>2433</v>
      </c>
    </row>
    <row r="6" spans="1:18" ht="21" customHeight="1">
      <c r="A6" s="809"/>
      <c r="B6" s="1748" t="s">
        <v>2586</v>
      </c>
      <c r="C6" s="1749"/>
      <c r="D6" s="1749"/>
      <c r="E6" s="1749"/>
      <c r="F6" s="1749"/>
      <c r="G6" s="1749"/>
      <c r="H6" s="1749"/>
      <c r="I6" s="1749"/>
      <c r="J6" s="1749"/>
      <c r="K6" s="1749"/>
      <c r="L6" s="1749"/>
      <c r="M6" s="1840"/>
    </row>
    <row r="7" spans="1:18" ht="21" customHeight="1">
      <c r="A7" s="809"/>
      <c r="B7" s="1763" t="s">
        <v>2582</v>
      </c>
      <c r="C7" s="1849"/>
      <c r="D7" s="1849"/>
      <c r="E7" s="1849"/>
      <c r="F7" s="1849" t="s">
        <v>2581</v>
      </c>
      <c r="G7" s="1850"/>
      <c r="H7" s="1851" t="s">
        <v>2577</v>
      </c>
      <c r="I7" s="1851" t="s">
        <v>2578</v>
      </c>
      <c r="J7" s="1851" t="s">
        <v>2214</v>
      </c>
      <c r="K7" s="1743" t="s">
        <v>2575</v>
      </c>
      <c r="L7" s="1743" t="s">
        <v>2583</v>
      </c>
      <c r="M7" s="1770" t="s">
        <v>2269</v>
      </c>
    </row>
    <row r="8" spans="1:18" ht="85" customHeight="1">
      <c r="A8" s="809"/>
      <c r="B8" s="1159" t="s">
        <v>2576</v>
      </c>
      <c r="C8" s="1179" t="s">
        <v>2589</v>
      </c>
      <c r="D8" s="1140" t="s">
        <v>2572</v>
      </c>
      <c r="E8" s="1138" t="s">
        <v>2443</v>
      </c>
      <c r="F8" s="1138" t="s">
        <v>2570</v>
      </c>
      <c r="G8" s="1147" t="s">
        <v>2571</v>
      </c>
      <c r="H8" s="1851"/>
      <c r="I8" s="1851"/>
      <c r="J8" s="1851"/>
      <c r="K8" s="1743"/>
      <c r="L8" s="1744"/>
      <c r="M8" s="1770"/>
      <c r="O8" s="1354" t="s">
        <v>3461</v>
      </c>
      <c r="Q8" s="1092" t="s">
        <v>1146</v>
      </c>
    </row>
    <row r="9" spans="1:18" ht="33" customHeight="1">
      <c r="A9" s="809"/>
      <c r="B9" s="1160" t="s">
        <v>2573</v>
      </c>
      <c r="C9" s="1146" t="s">
        <v>2590</v>
      </c>
      <c r="D9" s="1141"/>
      <c r="E9" s="1141"/>
      <c r="F9" s="1146" t="s">
        <v>2574</v>
      </c>
      <c r="G9" s="1148" t="s">
        <v>2263</v>
      </c>
      <c r="H9" s="1141" t="s">
        <v>2265</v>
      </c>
      <c r="I9" s="1141" t="s">
        <v>2264</v>
      </c>
      <c r="J9" s="1141" t="s">
        <v>2579</v>
      </c>
      <c r="K9" s="1146" t="s">
        <v>2266</v>
      </c>
      <c r="L9" s="1137" t="s">
        <v>2268</v>
      </c>
      <c r="M9" s="1149" t="s">
        <v>2267</v>
      </c>
      <c r="O9" s="1172" t="s">
        <v>2267</v>
      </c>
    </row>
    <row r="10" spans="1:18" ht="14" customHeight="1">
      <c r="A10" s="921">
        <v>1966</v>
      </c>
      <c r="B10" s="1161"/>
      <c r="C10" s="1162">
        <f>'Assets(MOFA)'!L11</f>
        <v>1625</v>
      </c>
      <c r="D10" s="1162">
        <f>('Assets(MOFA)'!AU11+'Assets(MOFA)'!BV11)</f>
        <v>3784.9425287356321</v>
      </c>
      <c r="E10" s="1162">
        <f>'Assets(MOFA)'!BV11</f>
        <v>295</v>
      </c>
      <c r="F10" s="923"/>
      <c r="G10" s="926"/>
      <c r="H10" s="1152"/>
      <c r="I10" s="1152"/>
      <c r="J10" s="1152">
        <f t="shared" ref="J10:J57" si="0">D10/(D10+C10)</f>
        <v>0.69962712332550758</v>
      </c>
      <c r="K10" s="1152">
        <f t="shared" ref="K10:K57" si="1">J10/(1-J10)</f>
        <v>2.329195402298851</v>
      </c>
      <c r="L10" s="1152">
        <f t="shared" ref="L10:L57" si="2">1-E10/D10</f>
        <v>0.92205958273861943</v>
      </c>
      <c r="M10" s="925">
        <f t="shared" ref="M10:M57" si="3">(D10-E10)/C10</f>
        <v>2.1476569407603892</v>
      </c>
      <c r="Q10" s="1180">
        <f t="shared" ref="Q10:Q57" si="4">M10-L10*K10</f>
        <v>0</v>
      </c>
      <c r="R10" s="805" t="e">
        <f>(D10-E10)/B10</f>
        <v>#DIV/0!</v>
      </c>
    </row>
    <row r="11" spans="1:18" ht="14" customHeight="1">
      <c r="A11" s="826">
        <v>1967</v>
      </c>
      <c r="B11" s="1163"/>
      <c r="C11" s="1164">
        <f>'Assets(MOFA)'!L12</f>
        <v>1656.5733552393915</v>
      </c>
      <c r="D11" s="1164">
        <f>('Assets(MOFA)'!AU12+'Assets(MOFA)'!BV12)</f>
        <v>4510.9883112391926</v>
      </c>
      <c r="E11" s="1164">
        <f>'Assets(MOFA)'!BV12</f>
        <v>351.5883112391931</v>
      </c>
      <c r="F11" s="828"/>
      <c r="G11" s="918"/>
      <c r="H11" s="1153"/>
      <c r="I11" s="1153"/>
      <c r="J11" s="1153">
        <f t="shared" si="0"/>
        <v>0.73140546543003204</v>
      </c>
      <c r="K11" s="1153">
        <f t="shared" si="1"/>
        <v>2.7230839473373702</v>
      </c>
      <c r="L11" s="1153">
        <f t="shared" si="2"/>
        <v>0.92205958273861943</v>
      </c>
      <c r="M11" s="890">
        <f t="shared" si="3"/>
        <v>2.5108456482441279</v>
      </c>
      <c r="Q11" s="1180">
        <f t="shared" si="4"/>
        <v>0</v>
      </c>
      <c r="R11" s="805" t="e">
        <f t="shared" ref="R11:R59" si="5">(D11-E11)/B11</f>
        <v>#DIV/0!</v>
      </c>
    </row>
    <row r="12" spans="1:18" ht="14" customHeight="1">
      <c r="A12" s="826">
        <v>1968</v>
      </c>
      <c r="B12" s="1163"/>
      <c r="C12" s="1164">
        <f>'Assets(MOFA)'!L13</f>
        <v>1730.4300285660681</v>
      </c>
      <c r="D12" s="1164">
        <f>('Assets(MOFA)'!AU13+'Assets(MOFA)'!BV13)</f>
        <v>5286.860080691642</v>
      </c>
      <c r="E12" s="1164">
        <f>'Assets(MOFA)'!BV13</f>
        <v>412.06008069164267</v>
      </c>
      <c r="F12" s="828"/>
      <c r="G12" s="918"/>
      <c r="H12" s="1153"/>
      <c r="I12" s="1153"/>
      <c r="J12" s="1153">
        <f t="shared" si="0"/>
        <v>0.75340480418742251</v>
      </c>
      <c r="K12" s="1153">
        <f t="shared" si="1"/>
        <v>3.0552290433104834</v>
      </c>
      <c r="L12" s="1153">
        <f t="shared" si="2"/>
        <v>0.92205958273861943</v>
      </c>
      <c r="M12" s="890">
        <f t="shared" si="3"/>
        <v>2.8171032168457764</v>
      </c>
      <c r="Q12" s="1180">
        <f t="shared" si="4"/>
        <v>0</v>
      </c>
      <c r="R12" s="805" t="e">
        <f t="shared" si="5"/>
        <v>#DIV/0!</v>
      </c>
    </row>
    <row r="13" spans="1:18" ht="14" customHeight="1">
      <c r="A13" s="856">
        <v>1969</v>
      </c>
      <c r="B13" s="1165"/>
      <c r="C13" s="1166">
        <f>'Assets(MOFA)'!L14</f>
        <v>1803.536292147086</v>
      </c>
      <c r="D13" s="1166">
        <f>('Assets(MOFA)'!AU14+'Assets(MOFA)'!BV14)</f>
        <v>5833.5709543021831</v>
      </c>
      <c r="E13" s="1166">
        <f>'Assets(MOFA)'!BV14</f>
        <v>454.67095430218217</v>
      </c>
      <c r="F13" s="858"/>
      <c r="G13" s="919"/>
      <c r="H13" s="1154"/>
      <c r="I13" s="1154"/>
      <c r="J13" s="1154">
        <f t="shared" si="0"/>
        <v>0.76384562453465521</v>
      </c>
      <c r="K13" s="1154">
        <f t="shared" si="1"/>
        <v>3.2345181961142537</v>
      </c>
      <c r="L13" s="1154">
        <f t="shared" si="2"/>
        <v>0.92205958273861943</v>
      </c>
      <c r="M13" s="892">
        <f t="shared" si="3"/>
        <v>2.9824184982695812</v>
      </c>
      <c r="Q13" s="1180">
        <f t="shared" si="4"/>
        <v>0</v>
      </c>
      <c r="R13" s="805" t="e">
        <f t="shared" si="5"/>
        <v>#DIV/0!</v>
      </c>
    </row>
    <row r="14" spans="1:18" ht="14" customHeight="1">
      <c r="A14" s="863">
        <v>1970</v>
      </c>
      <c r="B14" s="1167"/>
      <c r="C14" s="1168">
        <f>'Assets(MOFA)'!L15</f>
        <v>1769</v>
      </c>
      <c r="D14" s="1168">
        <f>('Assets(MOFA)'!AU15+'Assets(MOFA)'!BV15)</f>
        <v>6291.9289043655072</v>
      </c>
      <c r="E14" s="1168">
        <f>'Assets(MOFA)'!BV15</f>
        <v>490.39556418518868</v>
      </c>
      <c r="F14" s="865"/>
      <c r="G14" s="920"/>
      <c r="H14" s="1155"/>
      <c r="I14" s="1155"/>
      <c r="J14" s="1155">
        <f t="shared" si="0"/>
        <v>0.78054638355115946</v>
      </c>
      <c r="K14" s="1155">
        <f t="shared" si="1"/>
        <v>3.5567715683241974</v>
      </c>
      <c r="L14" s="1155">
        <f t="shared" si="2"/>
        <v>0.92205958273861943</v>
      </c>
      <c r="M14" s="894">
        <f t="shared" si="3"/>
        <v>3.2795553081855955</v>
      </c>
      <c r="Q14" s="1180">
        <f t="shared" si="4"/>
        <v>0</v>
      </c>
      <c r="R14" s="805" t="e">
        <f t="shared" si="5"/>
        <v>#DIV/0!</v>
      </c>
    </row>
    <row r="15" spans="1:18" ht="14" customHeight="1">
      <c r="A15" s="826">
        <v>1971</v>
      </c>
      <c r="B15" s="1163"/>
      <c r="C15" s="1164">
        <f>'Assets(MOFA)'!L16</f>
        <v>1925.9350791423271</v>
      </c>
      <c r="D15" s="1164">
        <f>('Assets(MOFA)'!AU16+'Assets(MOFA)'!BV16)</f>
        <v>8613.922731988474</v>
      </c>
      <c r="E15" s="1164">
        <f>'Assets(MOFA)'!BV16</f>
        <v>671.37273198847288</v>
      </c>
      <c r="F15" s="828"/>
      <c r="G15" s="918"/>
      <c r="H15" s="1153"/>
      <c r="I15" s="1153"/>
      <c r="J15" s="1153">
        <f t="shared" si="0"/>
        <v>0.81727124657142813</v>
      </c>
      <c r="K15" s="1153">
        <f t="shared" si="1"/>
        <v>4.4725924696405102</v>
      </c>
      <c r="L15" s="1153">
        <f t="shared" si="2"/>
        <v>0.92205958273861943</v>
      </c>
      <c r="M15" s="890">
        <f t="shared" si="3"/>
        <v>4.1239967463166209</v>
      </c>
      <c r="Q15" s="1180">
        <f t="shared" si="4"/>
        <v>0</v>
      </c>
      <c r="R15" s="805" t="e">
        <f t="shared" si="5"/>
        <v>#DIV/0!</v>
      </c>
    </row>
    <row r="16" spans="1:18" ht="14" customHeight="1">
      <c r="A16" s="826">
        <v>1972</v>
      </c>
      <c r="B16" s="1163"/>
      <c r="C16" s="1164">
        <f>'Assets(MOFA)'!L17</f>
        <v>2195.7505672319517</v>
      </c>
      <c r="D16" s="1164">
        <f>('Assets(MOFA)'!AU17+'Assets(MOFA)'!BV17)</f>
        <v>10991.155224372171</v>
      </c>
      <c r="E16" s="1164">
        <f>'Assets(MOFA)'!BV17</f>
        <v>856.65522437216987</v>
      </c>
      <c r="F16" s="828"/>
      <c r="G16" s="918"/>
      <c r="H16" s="1153"/>
      <c r="I16" s="1153"/>
      <c r="J16" s="1153">
        <f t="shared" si="0"/>
        <v>0.83349008463911611</v>
      </c>
      <c r="K16" s="1153">
        <f t="shared" si="1"/>
        <v>5.005648359334387</v>
      </c>
      <c r="L16" s="1153">
        <f t="shared" si="2"/>
        <v>0.92205958273861943</v>
      </c>
      <c r="M16" s="890">
        <f t="shared" si="3"/>
        <v>4.6155060375441206</v>
      </c>
      <c r="Q16" s="1180">
        <f t="shared" si="4"/>
        <v>0</v>
      </c>
      <c r="R16" s="805" t="e">
        <f t="shared" si="5"/>
        <v>#DIV/0!</v>
      </c>
    </row>
    <row r="17" spans="1:18" ht="14" customHeight="1">
      <c r="A17" s="826">
        <v>1973</v>
      </c>
      <c r="B17" s="1163"/>
      <c r="C17" s="1164">
        <f>'Assets(MOFA)'!L18</f>
        <v>2532.0211456929933</v>
      </c>
      <c r="D17" s="1164">
        <f>('Assets(MOFA)'!AU18+'Assets(MOFA)'!BV18)</f>
        <v>19430.851851706764</v>
      </c>
      <c r="E17" s="1164">
        <f>'Assets(MOFA)'!BV18</f>
        <v>854.92417949773585</v>
      </c>
      <c r="F17" s="828"/>
      <c r="G17" s="918"/>
      <c r="H17" s="1153"/>
      <c r="I17" s="1153"/>
      <c r="J17" s="1153">
        <f t="shared" si="0"/>
        <v>0.88471357340213341</v>
      </c>
      <c r="K17" s="1153">
        <f t="shared" si="1"/>
        <v>7.6740480168417795</v>
      </c>
      <c r="L17" s="1153">
        <f t="shared" si="2"/>
        <v>0.95600171387119903</v>
      </c>
      <c r="M17" s="890">
        <f t="shared" si="3"/>
        <v>7.3364030564306173</v>
      </c>
      <c r="Q17" s="1180">
        <f t="shared" si="4"/>
        <v>0</v>
      </c>
      <c r="R17" s="805" t="e">
        <f t="shared" si="5"/>
        <v>#DIV/0!</v>
      </c>
    </row>
    <row r="18" spans="1:18" ht="14" customHeight="1">
      <c r="A18" s="826">
        <v>1974</v>
      </c>
      <c r="B18" s="1163"/>
      <c r="C18" s="1164">
        <f>'Assets(MOFA)'!L19</f>
        <v>2994.7993716627984</v>
      </c>
      <c r="D18" s="1164">
        <f>('Assets(MOFA)'!AU19+'Assets(MOFA)'!BV19)</f>
        <v>45495.169166841391</v>
      </c>
      <c r="E18" s="1164">
        <f>'Assets(MOFA)'!BV19</f>
        <v>853.19313462330183</v>
      </c>
      <c r="F18" s="828"/>
      <c r="G18" s="918"/>
      <c r="H18" s="1153"/>
      <c r="I18" s="1153"/>
      <c r="J18" s="1153">
        <f t="shared" si="0"/>
        <v>0.93823878501210556</v>
      </c>
      <c r="K18" s="1153">
        <f t="shared" si="1"/>
        <v>15.191391315666406</v>
      </c>
      <c r="L18" s="1153">
        <f t="shared" si="2"/>
        <v>0.98124651143741337</v>
      </c>
      <c r="M18" s="890">
        <f t="shared" si="3"/>
        <v>14.906499732378261</v>
      </c>
      <c r="Q18" s="1180">
        <f t="shared" si="4"/>
        <v>-1.7763568394002505E-14</v>
      </c>
      <c r="R18" s="805" t="e">
        <f t="shared" si="5"/>
        <v>#DIV/0!</v>
      </c>
    </row>
    <row r="19" spans="1:18" ht="14" customHeight="1">
      <c r="A19" s="826">
        <v>1975</v>
      </c>
      <c r="B19" s="1163"/>
      <c r="C19" s="1164">
        <f>'Assets(MOFA)'!L20</f>
        <v>3381.4799075811247</v>
      </c>
      <c r="D19" s="1164">
        <f>('Assets(MOFA)'!AU20+'Assets(MOFA)'!BV20)</f>
        <v>41547.838121966961</v>
      </c>
      <c r="E19" s="1164">
        <f>'Assets(MOFA)'!BV20</f>
        <v>851.46208974886781</v>
      </c>
      <c r="F19" s="828"/>
      <c r="G19" s="918"/>
      <c r="H19" s="1153"/>
      <c r="I19" s="1153"/>
      <c r="J19" s="1153">
        <f t="shared" si="0"/>
        <v>0.92473778690882269</v>
      </c>
      <c r="K19" s="1153">
        <f t="shared" si="1"/>
        <v>12.28688008135687</v>
      </c>
      <c r="L19" s="1153">
        <f t="shared" si="2"/>
        <v>0.97950646463844082</v>
      </c>
      <c r="M19" s="890">
        <f t="shared" si="3"/>
        <v>12.035078469926336</v>
      </c>
      <c r="Q19" s="1180">
        <f t="shared" si="4"/>
        <v>0</v>
      </c>
      <c r="R19" s="805" t="e">
        <f t="shared" si="5"/>
        <v>#DIV/0!</v>
      </c>
    </row>
    <row r="20" spans="1:18" ht="14" customHeight="1">
      <c r="A20" s="826">
        <v>1976</v>
      </c>
      <c r="B20" s="1163"/>
      <c r="C20" s="1164">
        <f>'Assets(MOFA)'!L21</f>
        <v>4056.1381757762092</v>
      </c>
      <c r="D20" s="1164">
        <f>('Assets(MOFA)'!AU21+'Assets(MOFA)'!BV21)</f>
        <v>54868.977544638074</v>
      </c>
      <c r="E20" s="1164">
        <f>'Assets(MOFA)'!BV21</f>
        <v>849.73104487443379</v>
      </c>
      <c r="F20" s="828"/>
      <c r="G20" s="918"/>
      <c r="H20" s="1153"/>
      <c r="I20" s="1153"/>
      <c r="J20" s="1153">
        <f t="shared" si="0"/>
        <v>0.9311645276180428</v>
      </c>
      <c r="K20" s="1153">
        <f t="shared" si="1"/>
        <v>13.527393586422383</v>
      </c>
      <c r="L20" s="1153">
        <f t="shared" si="2"/>
        <v>0.9845134521746256</v>
      </c>
      <c r="M20" s="890">
        <f t="shared" si="3"/>
        <v>13.317900958693588</v>
      </c>
      <c r="Q20" s="1180">
        <f t="shared" si="4"/>
        <v>0</v>
      </c>
      <c r="R20" s="805" t="e">
        <f t="shared" si="5"/>
        <v>#DIV/0!</v>
      </c>
    </row>
    <row r="21" spans="1:18" ht="14" customHeight="1">
      <c r="A21" s="826">
        <v>1977</v>
      </c>
      <c r="B21" s="1163">
        <f>'Assets(MOFA)'!KO22</f>
        <v>40158</v>
      </c>
      <c r="C21" s="1164">
        <f>'Assets(MOFA)'!L22</f>
        <v>4876</v>
      </c>
      <c r="D21" s="1164">
        <f>('Assets(MOFA)'!AU22+'Assets(MOFA)'!BV22)</f>
        <v>47006</v>
      </c>
      <c r="E21" s="1164">
        <f>'Assets(MOFA)'!BV22</f>
        <v>848</v>
      </c>
      <c r="F21" s="828"/>
      <c r="G21" s="918"/>
      <c r="H21" s="1153">
        <f t="shared" ref="H21:H57" si="6">B21/C21</f>
        <v>8.2358490566037741</v>
      </c>
      <c r="I21" s="1153">
        <f t="shared" ref="I21:I57" si="7">D21/B21</f>
        <v>1.170526420638478</v>
      </c>
      <c r="J21" s="1153">
        <f t="shared" si="0"/>
        <v>0.90601750125284297</v>
      </c>
      <c r="K21" s="1153">
        <f t="shared" si="1"/>
        <v>9.6402789171451992</v>
      </c>
      <c r="L21" s="1153">
        <f t="shared" si="2"/>
        <v>0.981959749819172</v>
      </c>
      <c r="M21" s="890">
        <f t="shared" si="3"/>
        <v>9.4663658736669394</v>
      </c>
      <c r="Q21" s="1180">
        <f t="shared" si="4"/>
        <v>0</v>
      </c>
      <c r="R21" s="805">
        <f t="shared" si="5"/>
        <v>1.1494098311668908</v>
      </c>
    </row>
    <row r="22" spans="1:18" ht="14" customHeight="1">
      <c r="A22" s="826">
        <v>1978</v>
      </c>
      <c r="B22" s="1163">
        <f>'Assets(MOFA)'!KO23</f>
        <v>46247.4</v>
      </c>
      <c r="C22" s="1164">
        <f>'Assets(MOFA)'!L23</f>
        <v>5488.5620920548145</v>
      </c>
      <c r="D22" s="1164">
        <f>('Assets(MOFA)'!AU23+'Assets(MOFA)'!BV23)</f>
        <v>44645.299999999996</v>
      </c>
      <c r="E22" s="1164">
        <f>'Assets(MOFA)'!BV23</f>
        <v>957.2</v>
      </c>
      <c r="F22" s="828"/>
      <c r="G22" s="918"/>
      <c r="H22" s="1153">
        <f t="shared" si="6"/>
        <v>8.4261413507459917</v>
      </c>
      <c r="I22" s="1153">
        <f t="shared" si="7"/>
        <v>0.96535805256079243</v>
      </c>
      <c r="J22" s="1153">
        <f t="shared" si="0"/>
        <v>0.89052185762236258</v>
      </c>
      <c r="K22" s="1153">
        <f t="shared" si="1"/>
        <v>8.1342434049581129</v>
      </c>
      <c r="L22" s="1153">
        <f t="shared" si="2"/>
        <v>0.97855989320264392</v>
      </c>
      <c r="M22" s="890">
        <f t="shared" si="3"/>
        <v>7.9598443576401259</v>
      </c>
      <c r="Q22" s="1180">
        <f t="shared" si="4"/>
        <v>0</v>
      </c>
      <c r="R22" s="805">
        <f t="shared" si="5"/>
        <v>0.94466067281620147</v>
      </c>
    </row>
    <row r="23" spans="1:18" ht="14" customHeight="1">
      <c r="A23" s="856">
        <v>1979</v>
      </c>
      <c r="B23" s="1165">
        <f>'Assets(MOFA)'!KO24</f>
        <v>52336.800000000003</v>
      </c>
      <c r="C23" s="1166">
        <f>'Assets(MOFA)'!L24</f>
        <v>6953.7111947339135</v>
      </c>
      <c r="D23" s="1166">
        <f>('Assets(MOFA)'!AU24+'Assets(MOFA)'!BV24)</f>
        <v>67913</v>
      </c>
      <c r="E23" s="1166">
        <f>'Assets(MOFA)'!BV24</f>
        <v>1066.4000000000001</v>
      </c>
      <c r="F23" s="858"/>
      <c r="G23" s="919"/>
      <c r="H23" s="1154">
        <f t="shared" si="6"/>
        <v>7.5264558067402874</v>
      </c>
      <c r="I23" s="1154">
        <f t="shared" si="7"/>
        <v>1.2976146803014321</v>
      </c>
      <c r="J23" s="1154">
        <f t="shared" si="0"/>
        <v>0.90711878371888421</v>
      </c>
      <c r="K23" s="1154">
        <f t="shared" si="1"/>
        <v>9.7664395454661559</v>
      </c>
      <c r="L23" s="1154">
        <f t="shared" si="2"/>
        <v>0.98429755716873057</v>
      </c>
      <c r="M23" s="892">
        <f t="shared" si="3"/>
        <v>9.6130825868384253</v>
      </c>
      <c r="Q23" s="1180">
        <f t="shared" si="4"/>
        <v>0</v>
      </c>
      <c r="R23" s="805">
        <f t="shared" si="5"/>
        <v>1.2772389599669831</v>
      </c>
    </row>
    <row r="24" spans="1:18" ht="14" customHeight="1">
      <c r="A24" s="863">
        <v>1980</v>
      </c>
      <c r="B24" s="1167">
        <f>'Assets(MOFA)'!KO25</f>
        <v>58426.200000000004</v>
      </c>
      <c r="C24" s="1168">
        <f>'Assets(MOFA)'!L25</f>
        <v>8387.5677628941776</v>
      </c>
      <c r="D24" s="1168">
        <f>('Assets(MOFA)'!AU25+'Assets(MOFA)'!BV25)</f>
        <v>35845.949999999997</v>
      </c>
      <c r="E24" s="1168">
        <f>'Assets(MOFA)'!BV25</f>
        <v>1175.6000000000001</v>
      </c>
      <c r="F24" s="865"/>
      <c r="G24" s="920"/>
      <c r="H24" s="1155">
        <f t="shared" si="6"/>
        <v>6.965809594823436</v>
      </c>
      <c r="I24" s="1155">
        <f t="shared" si="7"/>
        <v>0.6135252677737042</v>
      </c>
      <c r="J24" s="1155">
        <f t="shared" si="0"/>
        <v>0.81037981632267575</v>
      </c>
      <c r="K24" s="1155">
        <f t="shared" si="1"/>
        <v>4.2737001969246862</v>
      </c>
      <c r="L24" s="1155">
        <f t="shared" si="2"/>
        <v>0.96720410534523427</v>
      </c>
      <c r="M24" s="894">
        <f t="shared" si="3"/>
        <v>4.1335403754802931</v>
      </c>
      <c r="Q24" s="1180">
        <f t="shared" si="4"/>
        <v>0</v>
      </c>
      <c r="R24" s="805">
        <f t="shared" si="5"/>
        <v>0.59340415772376087</v>
      </c>
    </row>
    <row r="25" spans="1:18" ht="14" customHeight="1">
      <c r="A25" s="826">
        <v>1981</v>
      </c>
      <c r="B25" s="1163">
        <f>'Assets(MOFA)'!KO26</f>
        <v>64515.600000000006</v>
      </c>
      <c r="C25" s="1164">
        <f>'Assets(MOFA)'!L26</f>
        <v>10091.664997834749</v>
      </c>
      <c r="D25" s="1164">
        <f>('Assets(MOFA)'!AU26+'Assets(MOFA)'!BV26)</f>
        <v>34028.5</v>
      </c>
      <c r="E25" s="1164">
        <f>'Assets(MOFA)'!BV26</f>
        <v>1284.8000000000002</v>
      </c>
      <c r="F25" s="828"/>
      <c r="G25" s="918"/>
      <c r="H25" s="1153">
        <f t="shared" si="6"/>
        <v>6.3929589432311094</v>
      </c>
      <c r="I25" s="1153">
        <f t="shared" si="7"/>
        <v>0.52744607505781538</v>
      </c>
      <c r="J25" s="1153">
        <f t="shared" si="0"/>
        <v>0.77126864783189253</v>
      </c>
      <c r="K25" s="1153">
        <f t="shared" si="1"/>
        <v>3.3719411026130079</v>
      </c>
      <c r="L25" s="1153">
        <f t="shared" si="2"/>
        <v>0.96224341360918053</v>
      </c>
      <c r="M25" s="890">
        <f t="shared" si="3"/>
        <v>3.2446281170674447</v>
      </c>
      <c r="Q25" s="1180">
        <f t="shared" si="4"/>
        <v>0</v>
      </c>
      <c r="R25" s="805">
        <f t="shared" si="5"/>
        <v>0.50753151175839639</v>
      </c>
    </row>
    <row r="26" spans="1:18" ht="14" customHeight="1">
      <c r="A26" s="826">
        <v>1982</v>
      </c>
      <c r="B26" s="1163">
        <f>'Assets(MOFA)'!KO27</f>
        <v>70605</v>
      </c>
      <c r="C26" s="1164">
        <f>'Assets(MOFA)'!L27</f>
        <v>10336</v>
      </c>
      <c r="D26" s="1164">
        <f>('Assets(MOFA)'!AU27+'Assets(MOFA)'!BV27)</f>
        <v>28814</v>
      </c>
      <c r="E26" s="1164">
        <f>'Assets(MOFA)'!BV27</f>
        <v>1394</v>
      </c>
      <c r="F26" s="828"/>
      <c r="G26" s="918"/>
      <c r="H26" s="1153">
        <f t="shared" si="6"/>
        <v>6.8309791021671824</v>
      </c>
      <c r="I26" s="1153">
        <f t="shared" si="7"/>
        <v>0.4081014092486368</v>
      </c>
      <c r="J26" s="1153">
        <f t="shared" si="0"/>
        <v>0.73598978288633465</v>
      </c>
      <c r="K26" s="1153">
        <f t="shared" si="1"/>
        <v>2.7877321981424155</v>
      </c>
      <c r="L26" s="1153">
        <f t="shared" si="2"/>
        <v>0.95162073991809537</v>
      </c>
      <c r="M26" s="890">
        <f t="shared" si="3"/>
        <v>2.6528637770897832</v>
      </c>
      <c r="Q26" s="1180">
        <f t="shared" si="4"/>
        <v>0</v>
      </c>
      <c r="R26" s="805">
        <f t="shared" si="5"/>
        <v>0.38835776503080516</v>
      </c>
    </row>
    <row r="27" spans="1:18" ht="14" customHeight="1">
      <c r="A27" s="826">
        <v>1983</v>
      </c>
      <c r="B27" s="1163">
        <f>'Assets(MOFA)'!KO28</f>
        <v>69562</v>
      </c>
      <c r="C27" s="1164">
        <f>'Assets(MOFA)'!L28</f>
        <v>9768</v>
      </c>
      <c r="D27" s="1164">
        <f>('Assets(MOFA)'!AU28+'Assets(MOFA)'!BV28)</f>
        <v>30292.428571428572</v>
      </c>
      <c r="E27" s="1164">
        <f>'Assets(MOFA)'!BV28</f>
        <v>1510.4285714285713</v>
      </c>
      <c r="F27" s="828"/>
      <c r="G27" s="918"/>
      <c r="H27" s="1153">
        <f t="shared" si="6"/>
        <v>7.1214168714168711</v>
      </c>
      <c r="I27" s="1153">
        <f t="shared" si="7"/>
        <v>0.43547380137759945</v>
      </c>
      <c r="J27" s="1153">
        <f t="shared" si="0"/>
        <v>0.75616835994194487</v>
      </c>
      <c r="K27" s="1153">
        <f t="shared" si="1"/>
        <v>3.1011904761904767</v>
      </c>
      <c r="L27" s="1153">
        <f t="shared" si="2"/>
        <v>0.95013841271038968</v>
      </c>
      <c r="M27" s="890">
        <f t="shared" si="3"/>
        <v>2.9465601965601964</v>
      </c>
      <c r="Q27" s="1180">
        <f t="shared" si="4"/>
        <v>0</v>
      </c>
      <c r="R27" s="805">
        <f t="shared" si="5"/>
        <v>0.41376038641787183</v>
      </c>
    </row>
    <row r="28" spans="1:18" ht="14" customHeight="1">
      <c r="A28" s="826">
        <v>1984</v>
      </c>
      <c r="B28" s="1163">
        <f>'Assets(MOFA)'!KO29</f>
        <v>68970</v>
      </c>
      <c r="C28" s="1164">
        <f>'Assets(MOFA)'!L29</f>
        <v>9179</v>
      </c>
      <c r="D28" s="1164">
        <f>('Assets(MOFA)'!AU29+'Assets(MOFA)'!BV29)</f>
        <v>32622.857142857141</v>
      </c>
      <c r="E28" s="1164">
        <f>'Assets(MOFA)'!BV29</f>
        <v>1626.8571428571427</v>
      </c>
      <c r="F28" s="828"/>
      <c r="G28" s="918"/>
      <c r="H28" s="1153">
        <f t="shared" si="6"/>
        <v>7.5138904020045754</v>
      </c>
      <c r="I28" s="1153">
        <f t="shared" si="7"/>
        <v>0.47300068352699931</v>
      </c>
      <c r="J28" s="1153">
        <f t="shared" si="0"/>
        <v>0.78041645449792041</v>
      </c>
      <c r="K28" s="1153">
        <f t="shared" si="1"/>
        <v>3.5540752960951227</v>
      </c>
      <c r="L28" s="1153">
        <f t="shared" si="2"/>
        <v>0.95013137151865479</v>
      </c>
      <c r="M28" s="890">
        <f t="shared" si="3"/>
        <v>3.3768384355594292</v>
      </c>
      <c r="Q28" s="1180">
        <f t="shared" si="4"/>
        <v>0</v>
      </c>
      <c r="R28" s="805">
        <f t="shared" si="5"/>
        <v>0.44941278816876901</v>
      </c>
    </row>
    <row r="29" spans="1:18" ht="14" customHeight="1">
      <c r="A29" s="826">
        <v>1985</v>
      </c>
      <c r="B29" s="1163">
        <f>'Assets(MOFA)'!KO30</f>
        <v>69942</v>
      </c>
      <c r="C29" s="1164">
        <f>'Assets(MOFA)'!L30</f>
        <v>8510</v>
      </c>
      <c r="D29" s="1164">
        <f>('Assets(MOFA)'!AU30+'Assets(MOFA)'!BV30)</f>
        <v>30606.285714285714</v>
      </c>
      <c r="E29" s="1164">
        <f>'Assets(MOFA)'!BV30</f>
        <v>1743.285714285714</v>
      </c>
      <c r="F29" s="828"/>
      <c r="G29" s="918"/>
      <c r="H29" s="1153">
        <f t="shared" si="6"/>
        <v>8.2188014101057583</v>
      </c>
      <c r="I29" s="1153">
        <f t="shared" si="7"/>
        <v>0.437595231967712</v>
      </c>
      <c r="J29" s="1153">
        <f t="shared" si="0"/>
        <v>0.78244355657490128</v>
      </c>
      <c r="K29" s="1153">
        <f t="shared" si="1"/>
        <v>3.5965083095517891</v>
      </c>
      <c r="L29" s="1153">
        <f t="shared" si="2"/>
        <v>0.94304157876066541</v>
      </c>
      <c r="M29" s="890">
        <f t="shared" si="3"/>
        <v>3.3916568742655699</v>
      </c>
      <c r="Q29" s="1180">
        <f t="shared" si="4"/>
        <v>0</v>
      </c>
      <c r="R29" s="805">
        <f t="shared" si="5"/>
        <v>0.41267049841297077</v>
      </c>
    </row>
    <row r="30" spans="1:18" ht="14" customHeight="1">
      <c r="A30" s="826">
        <v>1986</v>
      </c>
      <c r="B30" s="1163">
        <f>'Assets(MOFA)'!KO31</f>
        <v>68328</v>
      </c>
      <c r="C30" s="1164">
        <f>'Assets(MOFA)'!L31</f>
        <v>8494</v>
      </c>
      <c r="D30" s="1164">
        <f>('Assets(MOFA)'!AU31+'Assets(MOFA)'!BV31)</f>
        <v>17097.714285714286</v>
      </c>
      <c r="E30" s="1164">
        <f>'Assets(MOFA)'!BV31</f>
        <v>1859.7142857142853</v>
      </c>
      <c r="F30" s="828"/>
      <c r="G30" s="918"/>
      <c r="H30" s="1153">
        <f t="shared" si="6"/>
        <v>8.0442665410878273</v>
      </c>
      <c r="I30" s="1153">
        <f t="shared" si="7"/>
        <v>0.25022998310669542</v>
      </c>
      <c r="J30" s="1153">
        <f t="shared" si="0"/>
        <v>0.66809570061738732</v>
      </c>
      <c r="K30" s="1153">
        <f t="shared" si="1"/>
        <v>2.0129166806821623</v>
      </c>
      <c r="L30" s="1153">
        <f t="shared" si="2"/>
        <v>0.89123023963102843</v>
      </c>
      <c r="M30" s="890">
        <f t="shared" si="3"/>
        <v>1.7939722156816575</v>
      </c>
      <c r="Q30" s="1180">
        <f t="shared" si="4"/>
        <v>0</v>
      </c>
      <c r="R30" s="805">
        <f t="shared" si="5"/>
        <v>0.22301252780704836</v>
      </c>
    </row>
    <row r="31" spans="1:18" ht="14" customHeight="1">
      <c r="A31" s="826">
        <v>1987</v>
      </c>
      <c r="B31" s="1163">
        <f>'Assets(MOFA)'!KO32</f>
        <v>72892</v>
      </c>
      <c r="C31" s="1164">
        <f>'Assets(MOFA)'!L32</f>
        <v>8469</v>
      </c>
      <c r="D31" s="1164">
        <f>('Assets(MOFA)'!AU32+'Assets(MOFA)'!BV32)</f>
        <v>17114.142857142855</v>
      </c>
      <c r="E31" s="1164">
        <f>'Assets(MOFA)'!BV32</f>
        <v>1976.1428571428567</v>
      </c>
      <c r="F31" s="828"/>
      <c r="G31" s="918"/>
      <c r="H31" s="1153">
        <f t="shared" si="6"/>
        <v>8.6069193529342307</v>
      </c>
      <c r="I31" s="1153">
        <f t="shared" si="7"/>
        <v>0.23478767021268254</v>
      </c>
      <c r="J31" s="1153">
        <f t="shared" si="0"/>
        <v>0.66896170469393901</v>
      </c>
      <c r="K31" s="1153">
        <f t="shared" si="1"/>
        <v>2.0207985425838766</v>
      </c>
      <c r="L31" s="1153">
        <f t="shared" si="2"/>
        <v>0.88453159041394336</v>
      </c>
      <c r="M31" s="890">
        <f t="shared" si="3"/>
        <v>1.7874601487778956</v>
      </c>
      <c r="Q31" s="1180">
        <f t="shared" si="4"/>
        <v>0</v>
      </c>
      <c r="R31" s="805">
        <f t="shared" si="5"/>
        <v>0.2076771113428085</v>
      </c>
    </row>
    <row r="32" spans="1:18" ht="14" customHeight="1">
      <c r="A32" s="826">
        <v>1988</v>
      </c>
      <c r="B32" s="1163">
        <f>'Assets(MOFA)'!KO33</f>
        <v>81035</v>
      </c>
      <c r="C32" s="1164">
        <f>'Assets(MOFA)'!L33</f>
        <v>8871</v>
      </c>
      <c r="D32" s="1164">
        <f>('Assets(MOFA)'!AU33+'Assets(MOFA)'!BV33)</f>
        <v>14750.571428571428</v>
      </c>
      <c r="E32" s="1164">
        <f>'Assets(MOFA)'!BV33</f>
        <v>2092.571428571428</v>
      </c>
      <c r="F32" s="828"/>
      <c r="G32" s="918"/>
      <c r="H32" s="1153">
        <f t="shared" si="6"/>
        <v>9.1348213279224435</v>
      </c>
      <c r="I32" s="1153">
        <f t="shared" si="7"/>
        <v>0.18202716639194702</v>
      </c>
      <c r="J32" s="1153">
        <f t="shared" si="0"/>
        <v>0.62445343541919918</v>
      </c>
      <c r="K32" s="1153">
        <f t="shared" si="1"/>
        <v>1.6627856418184455</v>
      </c>
      <c r="L32" s="1153">
        <f t="shared" si="2"/>
        <v>0.8581362465376644</v>
      </c>
      <c r="M32" s="890">
        <f t="shared" si="3"/>
        <v>1.426896629466802</v>
      </c>
      <c r="Q32" s="1180">
        <f t="shared" si="4"/>
        <v>0</v>
      </c>
      <c r="R32" s="805">
        <f t="shared" si="5"/>
        <v>0.15620410933547232</v>
      </c>
    </row>
    <row r="33" spans="1:18" ht="14" customHeight="1">
      <c r="A33" s="856">
        <v>1989</v>
      </c>
      <c r="B33" s="1165">
        <f>'Assets(MOFA)'!KO34</f>
        <v>83310</v>
      </c>
      <c r="C33" s="1166">
        <f>'Assets(MOFA)'!L34</f>
        <v>9277</v>
      </c>
      <c r="D33" s="1166">
        <f>('Assets(MOFA)'!AU34+'Assets(MOFA)'!BV34)</f>
        <v>15632</v>
      </c>
      <c r="E33" s="1166">
        <f>'Assets(MOFA)'!BV34</f>
        <v>2209</v>
      </c>
      <c r="F33" s="858"/>
      <c r="G33" s="919"/>
      <c r="H33" s="1154">
        <f t="shared" si="6"/>
        <v>8.9802737954079976</v>
      </c>
      <c r="I33" s="1154">
        <f t="shared" si="7"/>
        <v>0.18763653823070459</v>
      </c>
      <c r="J33" s="1154">
        <f t="shared" si="0"/>
        <v>0.62756433417640212</v>
      </c>
      <c r="K33" s="1154">
        <f t="shared" si="1"/>
        <v>1.6850274873342677</v>
      </c>
      <c r="L33" s="1154">
        <f t="shared" si="2"/>
        <v>0.85868730808597749</v>
      </c>
      <c r="M33" s="892">
        <f t="shared" si="3"/>
        <v>1.4469117171499408</v>
      </c>
      <c r="Q33" s="1180">
        <f t="shared" si="4"/>
        <v>0</v>
      </c>
      <c r="R33" s="805">
        <f t="shared" si="5"/>
        <v>0.16112111391189532</v>
      </c>
    </row>
    <row r="34" spans="1:18" ht="14" customHeight="1">
      <c r="A34" s="863">
        <v>1990</v>
      </c>
      <c r="B34" s="1167">
        <f>'Assets(MOFA)'!KO35</f>
        <v>88274</v>
      </c>
      <c r="C34" s="1168">
        <f>'Assets(MOFA)'!L35</f>
        <v>7895</v>
      </c>
      <c r="D34" s="1168">
        <f>('Assets(MOFA)'!AU35+'Assets(MOFA)'!BV35)</f>
        <v>19229</v>
      </c>
      <c r="E34" s="1168">
        <f>'Assets(MOFA)'!BV35</f>
        <v>2075</v>
      </c>
      <c r="F34" s="865"/>
      <c r="G34" s="920"/>
      <c r="H34" s="1155">
        <f t="shared" si="6"/>
        <v>11.181000633312223</v>
      </c>
      <c r="I34" s="1155">
        <f t="shared" si="7"/>
        <v>0.2178331105421755</v>
      </c>
      <c r="J34" s="1155">
        <f t="shared" si="0"/>
        <v>0.7089293614511134</v>
      </c>
      <c r="K34" s="1155">
        <f t="shared" si="1"/>
        <v>2.4355921469284358</v>
      </c>
      <c r="L34" s="1155">
        <f t="shared" si="2"/>
        <v>0.89209007228665038</v>
      </c>
      <c r="M34" s="894">
        <f t="shared" si="3"/>
        <v>2.1727675744141863</v>
      </c>
      <c r="Q34" s="1180">
        <f t="shared" si="4"/>
        <v>0</v>
      </c>
      <c r="R34" s="805">
        <f t="shared" si="5"/>
        <v>0.19432675532999524</v>
      </c>
    </row>
    <row r="35" spans="1:18" ht="14" customHeight="1">
      <c r="A35" s="826">
        <v>1991</v>
      </c>
      <c r="B35" s="1163">
        <f>'Assets(MOFA)'!KO36</f>
        <v>92958</v>
      </c>
      <c r="C35" s="1164">
        <f>'Assets(MOFA)'!L36</f>
        <v>8168</v>
      </c>
      <c r="D35" s="1164">
        <f>('Assets(MOFA)'!AU36+'Assets(MOFA)'!BV36)</f>
        <v>16890</v>
      </c>
      <c r="E35" s="1164">
        <f>'Assets(MOFA)'!BV36</f>
        <v>1941</v>
      </c>
      <c r="F35" s="828"/>
      <c r="G35" s="918"/>
      <c r="H35" s="1153">
        <f t="shared" si="6"/>
        <v>11.380754162585701</v>
      </c>
      <c r="I35" s="1153">
        <f t="shared" si="7"/>
        <v>0.18169495901374813</v>
      </c>
      <c r="J35" s="1153">
        <f t="shared" si="0"/>
        <v>0.67403623593263629</v>
      </c>
      <c r="K35" s="1153">
        <f t="shared" si="1"/>
        <v>2.0678256611165522</v>
      </c>
      <c r="L35" s="1153">
        <f t="shared" si="2"/>
        <v>0.88507992895204257</v>
      </c>
      <c r="M35" s="890">
        <f t="shared" si="3"/>
        <v>1.8301909892262487</v>
      </c>
      <c r="Q35" s="1180">
        <f t="shared" si="4"/>
        <v>0</v>
      </c>
      <c r="R35" s="805">
        <f t="shared" si="5"/>
        <v>0.1608145614148325</v>
      </c>
    </row>
    <row r="36" spans="1:18" ht="14" customHeight="1">
      <c r="A36" s="826">
        <v>1992</v>
      </c>
      <c r="B36" s="1163">
        <f>'Assets(MOFA)'!KO37</f>
        <v>93147</v>
      </c>
      <c r="C36" s="1164">
        <f>'Assets(MOFA)'!L37</f>
        <v>8507</v>
      </c>
      <c r="D36" s="1164">
        <f>('Assets(MOFA)'!AU37+'Assets(MOFA)'!BV37)</f>
        <v>15837</v>
      </c>
      <c r="E36" s="1164">
        <f>'Assets(MOFA)'!BV37</f>
        <v>1807</v>
      </c>
      <c r="F36" s="828"/>
      <c r="G36" s="918"/>
      <c r="H36" s="1153">
        <f t="shared" si="6"/>
        <v>10.949453391324791</v>
      </c>
      <c r="I36" s="1153">
        <f t="shared" si="7"/>
        <v>0.1700215787948082</v>
      </c>
      <c r="J36" s="1153">
        <f t="shared" si="0"/>
        <v>0.65055044364114356</v>
      </c>
      <c r="K36" s="1153">
        <f t="shared" si="1"/>
        <v>1.8616433525332075</v>
      </c>
      <c r="L36" s="1153">
        <f t="shared" si="2"/>
        <v>0.8859001073435625</v>
      </c>
      <c r="M36" s="890">
        <f t="shared" si="3"/>
        <v>1.6492300458445985</v>
      </c>
      <c r="Q36" s="1180">
        <f t="shared" si="4"/>
        <v>0</v>
      </c>
      <c r="R36" s="805">
        <f t="shared" si="5"/>
        <v>0.15062213490504256</v>
      </c>
    </row>
    <row r="37" spans="1:18" ht="14" customHeight="1">
      <c r="A37" s="826">
        <v>1993</v>
      </c>
      <c r="B37" s="1163">
        <f>'Assets(MOFA)'!KO38</f>
        <v>96686</v>
      </c>
      <c r="C37" s="1164">
        <f>'Assets(MOFA)'!L38</f>
        <v>7976</v>
      </c>
      <c r="D37" s="1164">
        <f>('Assets(MOFA)'!AU38+'Assets(MOFA)'!BV38)</f>
        <v>17899</v>
      </c>
      <c r="E37" s="1164">
        <f>'Assets(MOFA)'!BV38</f>
        <v>1673</v>
      </c>
      <c r="F37" s="828"/>
      <c r="G37" s="918"/>
      <c r="H37" s="1153">
        <f t="shared" si="6"/>
        <v>12.122116349047142</v>
      </c>
      <c r="I37" s="1153">
        <f t="shared" si="7"/>
        <v>0.18512504395672591</v>
      </c>
      <c r="J37" s="1153">
        <f t="shared" si="0"/>
        <v>0.69174879227053143</v>
      </c>
      <c r="K37" s="1153">
        <f t="shared" si="1"/>
        <v>2.244107321965898</v>
      </c>
      <c r="L37" s="1153">
        <f t="shared" si="2"/>
        <v>0.90653109112240904</v>
      </c>
      <c r="M37" s="890">
        <f t="shared" si="3"/>
        <v>2.0343530591775325</v>
      </c>
      <c r="Q37" s="1180">
        <f t="shared" si="4"/>
        <v>0</v>
      </c>
      <c r="R37" s="805">
        <f t="shared" si="5"/>
        <v>0.16782160809217467</v>
      </c>
    </row>
    <row r="38" spans="1:18" ht="14" customHeight="1">
      <c r="A38" s="826">
        <v>1994</v>
      </c>
      <c r="B38" s="1163">
        <f>'Assets(MOFA)'!KO39</f>
        <v>101152</v>
      </c>
      <c r="C38" s="1164">
        <f>'Assets(MOFA)'!L39</f>
        <v>8194</v>
      </c>
      <c r="D38" s="1164">
        <f>('Assets(MOFA)'!AU39+'Assets(MOFA)'!BV39)</f>
        <v>15861</v>
      </c>
      <c r="E38" s="1164">
        <f>'Assets(MOFA)'!BV39</f>
        <v>1539</v>
      </c>
      <c r="F38" s="828"/>
      <c r="G38" s="918"/>
      <c r="H38" s="1153">
        <f t="shared" si="6"/>
        <v>12.344642421283867</v>
      </c>
      <c r="I38" s="1153">
        <f t="shared" si="7"/>
        <v>0.1568036222714331</v>
      </c>
      <c r="J38" s="1153">
        <f t="shared" si="0"/>
        <v>0.65936395759717314</v>
      </c>
      <c r="K38" s="1153">
        <f t="shared" si="1"/>
        <v>1.9356846473029046</v>
      </c>
      <c r="L38" s="1153">
        <f t="shared" si="2"/>
        <v>0.90296954794779649</v>
      </c>
      <c r="M38" s="890">
        <f t="shared" si="3"/>
        <v>1.7478642909445936</v>
      </c>
      <c r="Q38" s="1180">
        <f t="shared" si="4"/>
        <v>0</v>
      </c>
      <c r="R38" s="805">
        <f t="shared" si="5"/>
        <v>0.14158889591901297</v>
      </c>
    </row>
    <row r="39" spans="1:18">
      <c r="A39" s="826">
        <v>1995</v>
      </c>
      <c r="B39" s="1163">
        <f>'Assets(MOFA)'!KO40</f>
        <v>104511</v>
      </c>
      <c r="C39" s="1164">
        <f>'Assets(MOFA)'!L40</f>
        <v>8452</v>
      </c>
      <c r="D39" s="1164">
        <f>('Assets(MOFA)'!AU40+'Assets(MOFA)'!BV40)</f>
        <v>18189</v>
      </c>
      <c r="E39" s="1164">
        <f>'Assets(MOFA)'!BV40</f>
        <v>1040</v>
      </c>
      <c r="F39" s="828"/>
      <c r="G39" s="918"/>
      <c r="H39" s="1153">
        <f t="shared" si="6"/>
        <v>12.365238996687175</v>
      </c>
      <c r="I39" s="1153">
        <f t="shared" si="7"/>
        <v>0.17403909636306225</v>
      </c>
      <c r="J39" s="1153">
        <f t="shared" si="0"/>
        <v>0.68274464171765326</v>
      </c>
      <c r="K39" s="1153">
        <f t="shared" si="1"/>
        <v>2.1520350212967347</v>
      </c>
      <c r="L39" s="1153">
        <f t="shared" si="2"/>
        <v>0.94282258507889383</v>
      </c>
      <c r="M39" s="890">
        <f t="shared" si="3"/>
        <v>2.0289872219592997</v>
      </c>
      <c r="Q39" s="1180">
        <f t="shared" si="4"/>
        <v>0</v>
      </c>
      <c r="R39" s="805">
        <f t="shared" si="5"/>
        <v>0.16408799073781707</v>
      </c>
    </row>
    <row r="40" spans="1:18">
      <c r="A40" s="826">
        <v>1996</v>
      </c>
      <c r="B40" s="1163">
        <f>'Assets(MOFA)'!KO41</f>
        <v>111701</v>
      </c>
      <c r="C40" s="1164">
        <f>'Assets(MOFA)'!L41</f>
        <v>8845</v>
      </c>
      <c r="D40" s="1164">
        <f>('Assets(MOFA)'!AU41+'Assets(MOFA)'!BV41)</f>
        <v>25575</v>
      </c>
      <c r="E40" s="1164">
        <f>'Assets(MOFA)'!BV41</f>
        <v>1046</v>
      </c>
      <c r="F40" s="828"/>
      <c r="G40" s="918"/>
      <c r="H40" s="1153">
        <f t="shared" si="6"/>
        <v>12.628716789146411</v>
      </c>
      <c r="I40" s="1153">
        <f t="shared" si="7"/>
        <v>0.22895945425734773</v>
      </c>
      <c r="J40" s="1153">
        <f t="shared" si="0"/>
        <v>0.74302730970366071</v>
      </c>
      <c r="K40" s="1153">
        <f t="shared" si="1"/>
        <v>2.8914641040135676</v>
      </c>
      <c r="L40" s="1153">
        <f t="shared" si="2"/>
        <v>0.95910068426197459</v>
      </c>
      <c r="M40" s="890">
        <f t="shared" si="3"/>
        <v>2.7732052006783494</v>
      </c>
      <c r="Q40" s="1180">
        <f t="shared" si="4"/>
        <v>0</v>
      </c>
      <c r="R40" s="805">
        <f t="shared" si="5"/>
        <v>0.21959516924647049</v>
      </c>
    </row>
    <row r="41" spans="1:18">
      <c r="A41" s="826">
        <v>1997</v>
      </c>
      <c r="B41" s="1163">
        <f>'Assets(MOFA)'!KO42</f>
        <v>119806</v>
      </c>
      <c r="C41" s="1164">
        <f>'Assets(MOFA)'!L42</f>
        <v>9199</v>
      </c>
      <c r="D41" s="1164">
        <f>('Assets(MOFA)'!AU42+'Assets(MOFA)'!BV42)</f>
        <v>25766</v>
      </c>
      <c r="E41" s="1164">
        <f>'Assets(MOFA)'!BV42</f>
        <v>964</v>
      </c>
      <c r="F41" s="828"/>
      <c r="G41" s="918"/>
      <c r="H41" s="1153">
        <f t="shared" si="6"/>
        <v>13.023806935536472</v>
      </c>
      <c r="I41" s="1153">
        <f t="shared" si="7"/>
        <v>0.21506435403902976</v>
      </c>
      <c r="J41" s="1153">
        <f t="shared" si="0"/>
        <v>0.7369083369083369</v>
      </c>
      <c r="K41" s="1153">
        <f t="shared" si="1"/>
        <v>2.800956625720187</v>
      </c>
      <c r="L41" s="1153">
        <f t="shared" si="2"/>
        <v>0.96258635411006754</v>
      </c>
      <c r="M41" s="890">
        <f t="shared" si="3"/>
        <v>2.6961626263724319</v>
      </c>
      <c r="O41" s="854">
        <f>Liabilities!IY89/Liabilities!IW89</f>
        <v>0.84108729743857813</v>
      </c>
      <c r="P41" s="1263"/>
      <c r="Q41" s="1180">
        <f t="shared" si="4"/>
        <v>0</v>
      </c>
      <c r="R41" s="805">
        <f t="shared" si="5"/>
        <v>0.20701801245346643</v>
      </c>
    </row>
    <row r="42" spans="1:18">
      <c r="A42" s="826">
        <v>1998</v>
      </c>
      <c r="B42" s="1163">
        <f>'Assets(MOFA)'!KO43</f>
        <v>131439</v>
      </c>
      <c r="C42" s="1164">
        <f>'Assets(MOFA)'!L43</f>
        <v>8675</v>
      </c>
      <c r="D42" s="1164">
        <f>('Assets(MOFA)'!AU43+'Assets(MOFA)'!BV43)</f>
        <v>13650</v>
      </c>
      <c r="E42" s="1164">
        <f>'Assets(MOFA)'!BV43</f>
        <v>945</v>
      </c>
      <c r="F42" s="828"/>
      <c r="G42" s="918"/>
      <c r="H42" s="1153">
        <f t="shared" si="6"/>
        <v>15.151469740634006</v>
      </c>
      <c r="I42" s="1153">
        <f t="shared" si="7"/>
        <v>0.1038504553443042</v>
      </c>
      <c r="J42" s="1153">
        <f t="shared" si="0"/>
        <v>0.6114221724524076</v>
      </c>
      <c r="K42" s="1153">
        <f t="shared" si="1"/>
        <v>1.573487031700288</v>
      </c>
      <c r="L42" s="1153">
        <f t="shared" si="2"/>
        <v>0.93076923076923079</v>
      </c>
      <c r="M42" s="890">
        <f t="shared" si="3"/>
        <v>1.4645533141210374</v>
      </c>
      <c r="O42" s="854">
        <f>Liabilities!IY90/Liabilities!IW90</f>
        <v>0.14939907009386788</v>
      </c>
      <c r="P42" s="1263"/>
      <c r="Q42" s="1180">
        <f t="shared" si="4"/>
        <v>0</v>
      </c>
      <c r="R42" s="805">
        <f t="shared" si="5"/>
        <v>9.6660808435852369E-2</v>
      </c>
    </row>
    <row r="43" spans="1:18">
      <c r="A43" s="856">
        <v>1999</v>
      </c>
      <c r="B43" s="1165">
        <f>'Assets(MOFA)'!KO44</f>
        <v>129468</v>
      </c>
      <c r="C43" s="1166">
        <f>'Assets(MOFA)'!L44</f>
        <v>6400</v>
      </c>
      <c r="D43" s="1166">
        <f>('Assets(MOFA)'!AU44+'Assets(MOFA)'!BV44)</f>
        <v>20867</v>
      </c>
      <c r="E43" s="1166">
        <f>'Assets(MOFA)'!BV44</f>
        <v>2147</v>
      </c>
      <c r="F43" s="858"/>
      <c r="G43" s="919"/>
      <c r="H43" s="1154">
        <f t="shared" si="6"/>
        <v>20.229375000000001</v>
      </c>
      <c r="I43" s="1154">
        <f t="shared" si="7"/>
        <v>0.16117496215280996</v>
      </c>
      <c r="J43" s="1154">
        <f t="shared" si="0"/>
        <v>0.76528404298235964</v>
      </c>
      <c r="K43" s="1154">
        <f t="shared" si="1"/>
        <v>3.2604687500000002</v>
      </c>
      <c r="L43" s="1154">
        <f t="shared" si="2"/>
        <v>0.89711026980399677</v>
      </c>
      <c r="M43" s="892">
        <f t="shared" si="3"/>
        <v>2.9249999999999998</v>
      </c>
      <c r="O43" s="854">
        <f>Liabilities!IY91/Liabilities!IW91</f>
        <v>0.45820995319514757</v>
      </c>
      <c r="P43" s="1263"/>
      <c r="Q43" s="1180">
        <f t="shared" si="4"/>
        <v>0</v>
      </c>
      <c r="R43" s="805">
        <f t="shared" si="5"/>
        <v>0.14459171378255631</v>
      </c>
    </row>
    <row r="44" spans="1:18">
      <c r="A44" s="863">
        <v>2000</v>
      </c>
      <c r="B44" s="1167">
        <f>'Assets(MOFA)'!KO45</f>
        <v>130127</v>
      </c>
      <c r="C44" s="1168">
        <f>'Assets(MOFA)'!L45</f>
        <v>6849</v>
      </c>
      <c r="D44" s="1168">
        <f>('Assets(MOFA)'!AU45+'Assets(MOFA)'!BV45)</f>
        <v>43231</v>
      </c>
      <c r="E44" s="1168">
        <f>'Assets(MOFA)'!BV45</f>
        <v>2281</v>
      </c>
      <c r="F44" s="865"/>
      <c r="G44" s="920"/>
      <c r="H44" s="1155">
        <f t="shared" si="6"/>
        <v>18.999415973134763</v>
      </c>
      <c r="I44" s="1155">
        <f t="shared" si="7"/>
        <v>0.33222159889953662</v>
      </c>
      <c r="J44" s="1155">
        <f t="shared" si="0"/>
        <v>0.8632388178913738</v>
      </c>
      <c r="K44" s="1155">
        <f t="shared" si="1"/>
        <v>6.3120163527522264</v>
      </c>
      <c r="L44" s="1155">
        <f t="shared" si="2"/>
        <v>0.94723693645763452</v>
      </c>
      <c r="M44" s="894">
        <f t="shared" si="3"/>
        <v>5.978975032851511</v>
      </c>
      <c r="O44" s="854">
        <f>Liabilities!IY92/Liabilities!IW92</f>
        <v>1.3923926598966685</v>
      </c>
      <c r="P44" s="1263"/>
      <c r="Q44" s="1180">
        <f t="shared" si="4"/>
        <v>0</v>
      </c>
      <c r="R44" s="805">
        <f t="shared" si="5"/>
        <v>0.31469256956665409</v>
      </c>
    </row>
    <row r="45" spans="1:18">
      <c r="A45" s="826">
        <v>2001</v>
      </c>
      <c r="B45" s="1163">
        <f>'Assets(MOFA)'!KO46</f>
        <v>148745</v>
      </c>
      <c r="C45" s="1164">
        <f>'Assets(MOFA)'!L46</f>
        <v>6545</v>
      </c>
      <c r="D45" s="1164">
        <f>('Assets(MOFA)'!AU46+'Assets(MOFA)'!BV46)</f>
        <v>36340</v>
      </c>
      <c r="E45" s="1164">
        <f>'Assets(MOFA)'!BV46</f>
        <v>1577</v>
      </c>
      <c r="F45" s="828"/>
      <c r="G45" s="918"/>
      <c r="H45" s="1153">
        <f t="shared" si="6"/>
        <v>22.726508785332314</v>
      </c>
      <c r="I45" s="1153">
        <f t="shared" si="7"/>
        <v>0.24431073313388685</v>
      </c>
      <c r="J45" s="1153">
        <f t="shared" si="0"/>
        <v>0.84738253468578761</v>
      </c>
      <c r="K45" s="1153">
        <f t="shared" si="1"/>
        <v>5.5523300229182597</v>
      </c>
      <c r="L45" s="1153">
        <f t="shared" si="2"/>
        <v>0.95660429279031367</v>
      </c>
      <c r="M45" s="890">
        <f t="shared" si="3"/>
        <v>5.3113827349121463</v>
      </c>
      <c r="O45" s="854">
        <f>Liabilities!IY93/Liabilities!IW93</f>
        <v>0.91569746442245181</v>
      </c>
      <c r="P45" s="1263"/>
      <c r="Q45" s="1180">
        <f t="shared" si="4"/>
        <v>0</v>
      </c>
      <c r="R45" s="805">
        <f t="shared" si="5"/>
        <v>0.23370869609062489</v>
      </c>
    </row>
    <row r="46" spans="1:18">
      <c r="A46" s="826">
        <v>2002</v>
      </c>
      <c r="B46" s="1163">
        <f>'Assets(MOFA)'!KO47</f>
        <v>159815</v>
      </c>
      <c r="C46" s="1164">
        <f>'Assets(MOFA)'!L47</f>
        <v>6854</v>
      </c>
      <c r="D46" s="1164">
        <f>('Assets(MOFA)'!AU47+'Assets(MOFA)'!BV47)</f>
        <v>33340</v>
      </c>
      <c r="E46" s="1164">
        <f>'Assets(MOFA)'!BV47</f>
        <v>2275</v>
      </c>
      <c r="F46" s="828"/>
      <c r="G46" s="918"/>
      <c r="H46" s="1153">
        <f t="shared" si="6"/>
        <v>23.317041143857601</v>
      </c>
      <c r="I46" s="1153">
        <f t="shared" si="7"/>
        <v>0.20861621249569814</v>
      </c>
      <c r="J46" s="1153">
        <f t="shared" si="0"/>
        <v>0.82947703637358805</v>
      </c>
      <c r="K46" s="1153">
        <f t="shared" si="1"/>
        <v>4.8643128100379327</v>
      </c>
      <c r="L46" s="1153">
        <f t="shared" si="2"/>
        <v>0.93176364727054595</v>
      </c>
      <c r="M46" s="890">
        <f t="shared" si="3"/>
        <v>4.5323898453457838</v>
      </c>
      <c r="O46" s="13">
        <f>O47</f>
        <v>0.60271101173840136</v>
      </c>
      <c r="P46" s="1263"/>
      <c r="Q46" s="1180">
        <f t="shared" si="4"/>
        <v>0</v>
      </c>
      <c r="R46" s="805">
        <f t="shared" si="5"/>
        <v>0.19438100303475894</v>
      </c>
    </row>
    <row r="47" spans="1:18">
      <c r="A47" s="826">
        <v>2003</v>
      </c>
      <c r="B47" s="1163">
        <f>'Assets(MOFA)'!KO48</f>
        <v>179664</v>
      </c>
      <c r="C47" s="1164">
        <f>'Assets(MOFA)'!L48</f>
        <v>7539</v>
      </c>
      <c r="D47" s="1164">
        <f>('Assets(MOFA)'!AU48+'Assets(MOFA)'!BV48)</f>
        <v>46255</v>
      </c>
      <c r="E47" s="1164">
        <f>'Assets(MOFA)'!BV48</f>
        <v>2309</v>
      </c>
      <c r="F47" s="828"/>
      <c r="G47" s="918"/>
      <c r="H47" s="1153">
        <f t="shared" si="6"/>
        <v>23.831277357739754</v>
      </c>
      <c r="I47" s="1153">
        <f t="shared" si="7"/>
        <v>0.2574528007836851</v>
      </c>
      <c r="J47" s="1153">
        <f t="shared" si="0"/>
        <v>0.8598542588392758</v>
      </c>
      <c r="K47" s="1153">
        <f t="shared" si="1"/>
        <v>6.1354291020029201</v>
      </c>
      <c r="L47" s="1153">
        <f t="shared" si="2"/>
        <v>0.95008107231650629</v>
      </c>
      <c r="M47" s="890">
        <f t="shared" si="3"/>
        <v>5.8291550603528322</v>
      </c>
      <c r="O47" s="854">
        <f>Liabilities!IL95/Liabilities!IN95</f>
        <v>0.60271101173840136</v>
      </c>
      <c r="P47" s="1263"/>
      <c r="Q47" s="1180">
        <f t="shared" si="4"/>
        <v>0</v>
      </c>
      <c r="R47" s="805">
        <f t="shared" si="5"/>
        <v>0.24460103303945141</v>
      </c>
    </row>
    <row r="48" spans="1:18">
      <c r="A48" s="826">
        <v>2004</v>
      </c>
      <c r="B48" s="1163">
        <f>'Assets(MOFA)'!KO49</f>
        <v>198122</v>
      </c>
      <c r="C48" s="1164">
        <f>'Assets(MOFA)'!L49</f>
        <v>7897</v>
      </c>
      <c r="D48" s="1164">
        <f>('Assets(MOFA)'!AU49+'Assets(MOFA)'!BV49)</f>
        <v>65814</v>
      </c>
      <c r="E48" s="1164">
        <f>'Assets(MOFA)'!BV49</f>
        <v>1969</v>
      </c>
      <c r="F48" s="828"/>
      <c r="G48" s="918"/>
      <c r="H48" s="1153">
        <f t="shared" si="6"/>
        <v>25.088261365075343</v>
      </c>
      <c r="I48" s="1153">
        <f t="shared" si="7"/>
        <v>0.33218925712439812</v>
      </c>
      <c r="J48" s="1153">
        <f t="shared" si="0"/>
        <v>0.89286537965839563</v>
      </c>
      <c r="K48" s="1153">
        <f t="shared" si="1"/>
        <v>8.3340509054071177</v>
      </c>
      <c r="L48" s="1153">
        <f t="shared" si="2"/>
        <v>0.97008235329869019</v>
      </c>
      <c r="M48" s="890">
        <f t="shared" si="3"/>
        <v>8.0847157148284161</v>
      </c>
      <c r="O48" s="854">
        <f>Liabilities!IL96/Liabilities!IN96</f>
        <v>0.94664245254464474</v>
      </c>
      <c r="P48" s="1263"/>
      <c r="Q48" s="1180">
        <f t="shared" si="4"/>
        <v>0</v>
      </c>
      <c r="R48" s="805">
        <f t="shared" si="5"/>
        <v>0.32225093629177981</v>
      </c>
    </row>
    <row r="49" spans="1:18">
      <c r="A49" s="826">
        <v>2005</v>
      </c>
      <c r="B49" s="1163">
        <f>'Assets(MOFA)'!KO50</f>
        <v>207699</v>
      </c>
      <c r="C49" s="1164">
        <f>'Assets(MOFA)'!L50</f>
        <v>7778</v>
      </c>
      <c r="D49" s="1164">
        <f>('Assets(MOFA)'!AU50+'Assets(MOFA)'!BV50)</f>
        <v>87596.914228723399</v>
      </c>
      <c r="E49" s="1164">
        <f>'Assets(MOFA)'!BV50</f>
        <v>1880</v>
      </c>
      <c r="F49" s="828"/>
      <c r="G49" s="918"/>
      <c r="H49" s="1153">
        <f t="shared" si="6"/>
        <v>26.703394188737466</v>
      </c>
      <c r="I49" s="1153">
        <f t="shared" si="7"/>
        <v>0.42174933065986547</v>
      </c>
      <c r="J49" s="1153">
        <f t="shared" si="0"/>
        <v>0.91844815732838103</v>
      </c>
      <c r="K49" s="1153">
        <f t="shared" si="1"/>
        <v>11.262138625446561</v>
      </c>
      <c r="L49" s="1153">
        <f t="shared" si="2"/>
        <v>0.9785380567734252</v>
      </c>
      <c r="M49" s="890">
        <f t="shared" si="3"/>
        <v>11.020431245657418</v>
      </c>
      <c r="O49" s="854">
        <f>Liabilities!IL97/Liabilities!IN97</f>
        <v>1.2445332042281931</v>
      </c>
      <c r="P49" s="1263"/>
      <c r="Q49" s="1180">
        <f t="shared" si="4"/>
        <v>0</v>
      </c>
      <c r="R49" s="805">
        <f t="shared" si="5"/>
        <v>0.41269777046939754</v>
      </c>
    </row>
    <row r="50" spans="1:18">
      <c r="A50" s="826">
        <v>2006</v>
      </c>
      <c r="B50" s="1163">
        <f>'Assets(MOFA)'!KO51</f>
        <v>235082</v>
      </c>
      <c r="C50" s="1164">
        <f>'Assets(MOFA)'!L51</f>
        <v>8206</v>
      </c>
      <c r="D50" s="1164">
        <f>('Assets(MOFA)'!AU51+'Assets(MOFA)'!BV51)</f>
        <v>100872.90479323785</v>
      </c>
      <c r="E50" s="1164">
        <f>'Assets(MOFA)'!BV51</f>
        <v>1814</v>
      </c>
      <c r="F50" s="828"/>
      <c r="G50" s="918"/>
      <c r="H50" s="1153">
        <f t="shared" si="6"/>
        <v>28.647574945162077</v>
      </c>
      <c r="I50" s="1153">
        <f t="shared" si="7"/>
        <v>0.42909667602469709</v>
      </c>
      <c r="J50" s="1153">
        <f t="shared" si="0"/>
        <v>0.92477005507568388</v>
      </c>
      <c r="K50" s="1153">
        <f t="shared" si="1"/>
        <v>12.292579185137434</v>
      </c>
      <c r="L50" s="1153">
        <f t="shared" si="2"/>
        <v>0.98201697468990101</v>
      </c>
      <c r="M50" s="890">
        <f t="shared" si="3"/>
        <v>12.07152142252472</v>
      </c>
      <c r="O50" s="854">
        <f>Liabilities!IL98/Liabilities!IN98</f>
        <v>1.5050482132728304</v>
      </c>
      <c r="P50" s="1263"/>
      <c r="Q50" s="1180">
        <f t="shared" si="4"/>
        <v>0</v>
      </c>
      <c r="R50" s="805">
        <f t="shared" si="5"/>
        <v>0.42138021963926564</v>
      </c>
    </row>
    <row r="51" spans="1:18">
      <c r="A51" s="826">
        <v>2007</v>
      </c>
      <c r="B51" s="1163">
        <f>'Assets(MOFA)'!KO52</f>
        <v>265904</v>
      </c>
      <c r="C51" s="1164">
        <f>'Assets(MOFA)'!L52</f>
        <v>9602</v>
      </c>
      <c r="D51" s="1164">
        <f>('Assets(MOFA)'!AU52+'Assets(MOFA)'!BV52)</f>
        <v>114196.18713007245</v>
      </c>
      <c r="E51" s="1164">
        <f>'Assets(MOFA)'!BV52</f>
        <v>1808</v>
      </c>
      <c r="F51" s="828"/>
      <c r="G51" s="918"/>
      <c r="H51" s="1153">
        <f t="shared" si="6"/>
        <v>27.692564049156427</v>
      </c>
      <c r="I51" s="1153">
        <f t="shared" si="7"/>
        <v>0.42946396868821995</v>
      </c>
      <c r="J51" s="1153">
        <f t="shared" si="0"/>
        <v>0.92243828263889394</v>
      </c>
      <c r="K51" s="1153">
        <f t="shared" si="1"/>
        <v>11.892958459703445</v>
      </c>
      <c r="L51" s="1153">
        <f t="shared" si="2"/>
        <v>0.9841675974878159</v>
      </c>
      <c r="M51" s="890">
        <f t="shared" si="3"/>
        <v>11.704664354308733</v>
      </c>
      <c r="O51" s="854">
        <f>Liabilities!IL99/Liabilities!IN99</f>
        <v>1.2788206840953587</v>
      </c>
      <c r="P51" s="1263"/>
      <c r="Q51" s="1180">
        <f t="shared" si="4"/>
        <v>0</v>
      </c>
      <c r="R51" s="805">
        <f t="shared" si="5"/>
        <v>0.42266452227146806</v>
      </c>
    </row>
    <row r="52" spans="1:18">
      <c r="A52" s="826">
        <v>2008</v>
      </c>
      <c r="B52" s="1163">
        <f>'Assets(MOFA)'!KO53</f>
        <v>271415</v>
      </c>
      <c r="C52" s="1164">
        <f>'Assets(MOFA)'!L53</f>
        <v>10449</v>
      </c>
      <c r="D52" s="1164">
        <f>('Assets(MOFA)'!AU53+'Assets(MOFA)'!BV53)</f>
        <v>157954.81596264063</v>
      </c>
      <c r="E52" s="1164">
        <f>'Assets(MOFA)'!BV53</f>
        <v>1728</v>
      </c>
      <c r="F52" s="830"/>
      <c r="G52" s="918"/>
      <c r="H52" s="1153">
        <f t="shared" si="6"/>
        <v>25.975212939037227</v>
      </c>
      <c r="I52" s="1153">
        <f t="shared" si="7"/>
        <v>0.58196789404653626</v>
      </c>
      <c r="J52" s="1153">
        <f t="shared" si="0"/>
        <v>0.93795271241170664</v>
      </c>
      <c r="K52" s="1153">
        <f t="shared" si="1"/>
        <v>15.116739971541847</v>
      </c>
      <c r="L52" s="1153">
        <f t="shared" si="2"/>
        <v>0.98906016262012098</v>
      </c>
      <c r="M52" s="890">
        <f t="shared" si="3"/>
        <v>14.951365294539251</v>
      </c>
      <c r="O52" s="854">
        <f>Liabilities!IL100/Liabilities!IN100</f>
        <v>1.1794871794871795</v>
      </c>
      <c r="P52" s="1263"/>
      <c r="Q52" s="1180">
        <f t="shared" si="4"/>
        <v>0</v>
      </c>
      <c r="R52" s="805">
        <f t="shared" si="5"/>
        <v>0.57560125992535649</v>
      </c>
    </row>
    <row r="53" spans="1:18">
      <c r="A53" s="856">
        <v>2009</v>
      </c>
      <c r="B53" s="1165">
        <f>'Assets(MOFA)'!KO54</f>
        <v>300914</v>
      </c>
      <c r="C53" s="1166">
        <f>'Assets(MOFA)'!L54</f>
        <v>11679</v>
      </c>
      <c r="D53" s="1166">
        <f>('Assets(MOFA)'!AU54+'Assets(MOFA)'!BV54)</f>
        <v>87389.5</v>
      </c>
      <c r="E53" s="1166">
        <f>'Assets(MOFA)'!BV54</f>
        <v>1964.5</v>
      </c>
      <c r="F53" s="884"/>
      <c r="G53" s="919"/>
      <c r="H53" s="1154">
        <f t="shared" si="6"/>
        <v>25.765390872506206</v>
      </c>
      <c r="I53" s="1154">
        <f t="shared" si="7"/>
        <v>0.29041354008121922</v>
      </c>
      <c r="J53" s="1154">
        <f t="shared" si="0"/>
        <v>0.88211187208850439</v>
      </c>
      <c r="K53" s="1154">
        <f t="shared" si="1"/>
        <v>7.4826183748608592</v>
      </c>
      <c r="L53" s="1154">
        <f t="shared" si="2"/>
        <v>0.97752018263063645</v>
      </c>
      <c r="M53" s="892">
        <f t="shared" si="3"/>
        <v>7.3144104803493448</v>
      </c>
      <c r="O53" s="854">
        <f>Liabilities!IL101/Liabilities!IN101</f>
        <v>0.27073791348600507</v>
      </c>
      <c r="P53" s="1263"/>
      <c r="Q53" s="1180">
        <f t="shared" si="4"/>
        <v>0</v>
      </c>
      <c r="R53" s="805">
        <f t="shared" si="5"/>
        <v>0.28388509673860307</v>
      </c>
    </row>
    <row r="54" spans="1:18">
      <c r="A54" s="826">
        <v>2010</v>
      </c>
      <c r="B54" s="1163">
        <f>'Assets(MOFA)'!KO55</f>
        <v>310045</v>
      </c>
      <c r="C54" s="1164">
        <f>'Assets(MOFA)'!L55</f>
        <v>12258</v>
      </c>
      <c r="D54" s="1164">
        <f>('Assets(MOFA)'!AU55+'Assets(MOFA)'!BV55)</f>
        <v>112496</v>
      </c>
      <c r="E54" s="1164">
        <f>'Assets(MOFA)'!BV55</f>
        <v>2201</v>
      </c>
      <c r="F54" s="830"/>
      <c r="G54" s="918"/>
      <c r="H54" s="1153">
        <f t="shared" si="6"/>
        <v>25.293277859357154</v>
      </c>
      <c r="I54" s="1153">
        <f t="shared" si="7"/>
        <v>0.36283765259881628</v>
      </c>
      <c r="J54" s="1153">
        <f t="shared" si="0"/>
        <v>0.90174262949484585</v>
      </c>
      <c r="K54" s="1153">
        <f t="shared" si="1"/>
        <v>9.1773535650187625</v>
      </c>
      <c r="L54" s="1153">
        <f t="shared" si="2"/>
        <v>0.98043485990613</v>
      </c>
      <c r="M54" s="890">
        <f t="shared" si="3"/>
        <v>8.9977973568281939</v>
      </c>
      <c r="O54" s="854">
        <f>Liabilities!IL102/Liabilities!IN102</f>
        <v>0.90918482806119938</v>
      </c>
      <c r="P54" s="1263"/>
      <c r="Q54" s="1180">
        <f t="shared" si="4"/>
        <v>0</v>
      </c>
      <c r="R54" s="805">
        <f t="shared" si="5"/>
        <v>0.35573868309438955</v>
      </c>
    </row>
    <row r="55" spans="1:18">
      <c r="A55" s="826">
        <v>2011</v>
      </c>
      <c r="B55" s="1163">
        <f>'Assets(MOFA)'!KO56</f>
        <v>331097</v>
      </c>
      <c r="C55" s="1164">
        <f>'Assets(MOFA)'!L56</f>
        <v>13169</v>
      </c>
      <c r="D55" s="1164">
        <f>('Assets(MOFA)'!AU56+'Assets(MOFA)'!BV56)</f>
        <v>147397</v>
      </c>
      <c r="E55" s="1164">
        <f>'Assets(MOFA)'!BV56</f>
        <v>2686</v>
      </c>
      <c r="F55" s="830"/>
      <c r="G55" s="918"/>
      <c r="H55" s="1153">
        <f t="shared" si="6"/>
        <v>25.142152023692002</v>
      </c>
      <c r="I55" s="1153">
        <f t="shared" si="7"/>
        <v>0.44517769717031563</v>
      </c>
      <c r="J55" s="1153">
        <f t="shared" si="0"/>
        <v>0.91798388201736358</v>
      </c>
      <c r="K55" s="1153">
        <f t="shared" si="1"/>
        <v>11.192725339813199</v>
      </c>
      <c r="L55" s="1153">
        <f t="shared" si="2"/>
        <v>0.98177710536849461</v>
      </c>
      <c r="M55" s="890">
        <f t="shared" si="3"/>
        <v>10.988761485306402</v>
      </c>
      <c r="O55" s="854">
        <f>Liabilities!IL103/Liabilities!IN103</f>
        <v>25.998111390905052</v>
      </c>
      <c r="P55" s="1263"/>
      <c r="Q55" s="1180">
        <f t="shared" si="4"/>
        <v>0</v>
      </c>
      <c r="R55" s="805">
        <f t="shared" si="5"/>
        <v>0.43706527090248476</v>
      </c>
    </row>
    <row r="56" spans="1:18">
      <c r="A56" s="826">
        <v>2012</v>
      </c>
      <c r="B56" s="1163">
        <f>'Assets(MOFA)'!KO57</f>
        <v>372439</v>
      </c>
      <c r="C56" s="1164">
        <f>'Assets(MOFA)'!L57</f>
        <v>12231</v>
      </c>
      <c r="D56" s="1164">
        <f>('Assets(MOFA)'!AU57+'Assets(MOFA)'!BV57)</f>
        <v>135071</v>
      </c>
      <c r="E56" s="1164">
        <f>'Assets(MOFA)'!BV57</f>
        <v>3171</v>
      </c>
      <c r="F56" s="830"/>
      <c r="G56" s="918"/>
      <c r="H56" s="1153">
        <f t="shared" si="6"/>
        <v>30.450412885291474</v>
      </c>
      <c r="I56" s="1153">
        <f t="shared" si="7"/>
        <v>0.36266610102593982</v>
      </c>
      <c r="J56" s="1153">
        <f t="shared" si="0"/>
        <v>0.91696650418867365</v>
      </c>
      <c r="K56" s="1153">
        <f t="shared" si="1"/>
        <v>11.043332515738703</v>
      </c>
      <c r="L56" s="1153">
        <f t="shared" si="2"/>
        <v>0.97652345803318252</v>
      </c>
      <c r="M56" s="890">
        <f t="shared" si="3"/>
        <v>10.784073256479438</v>
      </c>
      <c r="O56" s="854">
        <f>Liabilities!IL104/Liabilities!IN104</f>
        <v>28.748941058223849</v>
      </c>
      <c r="P56" s="1263"/>
      <c r="Q56" s="1180">
        <f t="shared" si="4"/>
        <v>0</v>
      </c>
      <c r="R56" s="805">
        <f t="shared" si="5"/>
        <v>0.35415195508526226</v>
      </c>
    </row>
    <row r="57" spans="1:18">
      <c r="A57" s="826">
        <v>2013</v>
      </c>
      <c r="B57" s="1163">
        <f>'Assets(MOFA)'!KO58</f>
        <v>418460</v>
      </c>
      <c r="C57" s="1164">
        <f>'Assets(MOFA)'!L58</f>
        <v>12481</v>
      </c>
      <c r="D57" s="1164">
        <f>('Assets(MOFA)'!AU58+'Assets(MOFA)'!BV58)</f>
        <v>124083</v>
      </c>
      <c r="E57" s="1164">
        <f>'Assets(MOFA)'!BV58</f>
        <v>2804</v>
      </c>
      <c r="F57" s="830"/>
      <c r="G57" s="1158"/>
      <c r="H57" s="1153">
        <f t="shared" si="6"/>
        <v>33.527762198541787</v>
      </c>
      <c r="I57" s="1153">
        <f t="shared" si="7"/>
        <v>0.29652296515796012</v>
      </c>
      <c r="J57" s="1153">
        <f t="shared" si="0"/>
        <v>0.90860695351630005</v>
      </c>
      <c r="K57" s="1153">
        <f t="shared" si="1"/>
        <v>9.9417514622225784</v>
      </c>
      <c r="L57" s="1153">
        <f t="shared" si="2"/>
        <v>0.97740222270576949</v>
      </c>
      <c r="M57" s="890">
        <f t="shared" si="3"/>
        <v>9.717089976764683</v>
      </c>
      <c r="O57" s="854">
        <f>Liabilities!IL105/Liabilities!IN105</f>
        <v>0.434389297102454</v>
      </c>
      <c r="P57" s="1263"/>
      <c r="Q57" s="1180">
        <f t="shared" si="4"/>
        <v>0</v>
      </c>
      <c r="R57" s="805">
        <f t="shared" si="5"/>
        <v>0.28982220522869567</v>
      </c>
    </row>
    <row r="58" spans="1:18">
      <c r="A58" s="826">
        <v>2014</v>
      </c>
      <c r="B58" s="1163">
        <f>'Assets(MOFA)'!KO59</f>
        <v>417569</v>
      </c>
      <c r="C58" s="1164">
        <f>'Assets(MOFA)'!L59</f>
        <v>12537</v>
      </c>
      <c r="D58" s="1164">
        <f>('Assets(MOFA)'!AU59+'Assets(MOFA)'!BV59)</f>
        <v>97123</v>
      </c>
      <c r="E58" s="1164">
        <f>'Assets(MOFA)'!BV59</f>
        <v>2142</v>
      </c>
      <c r="F58" s="830">
        <f>'Assets(MOFA)'!MW59</f>
        <v>93.8</v>
      </c>
      <c r="G58" s="1158">
        <f>'Assets(MOFA)'!L59/F58</f>
        <v>133.65671641791045</v>
      </c>
      <c r="H58" s="1153">
        <f>B58/C58</f>
        <v>33.306931482810882</v>
      </c>
      <c r="I58" s="1153">
        <f>D58/B58</f>
        <v>0.23259149984792932</v>
      </c>
      <c r="J58" s="1153">
        <f>D58/(D58+C58)</f>
        <v>0.88567390114900602</v>
      </c>
      <c r="K58" s="1153">
        <f>J58/(1-J58)</f>
        <v>7.7469091489191992</v>
      </c>
      <c r="L58" s="1153">
        <f>1-E58/D58</f>
        <v>0.97794549179905887</v>
      </c>
      <c r="M58" s="890">
        <f>(D58-E58)/C58</f>
        <v>7.5760548775624157</v>
      </c>
      <c r="O58" s="854">
        <f>Liabilities!IL106/Liabilities!IN106</f>
        <v>2.1952535805715074</v>
      </c>
      <c r="P58" s="1263"/>
      <c r="Q58" s="1180">
        <f>M58-L58*K58</f>
        <v>0</v>
      </c>
      <c r="R58" s="805">
        <f t="shared" si="5"/>
        <v>0.22746180870706398</v>
      </c>
    </row>
    <row r="59" spans="1:18">
      <c r="A59" s="826">
        <v>2015</v>
      </c>
      <c r="B59" s="1163">
        <f>'Assets(MOFA)'!KO60</f>
        <v>375978</v>
      </c>
      <c r="C59" s="1164">
        <f>'Assets(MOFA)'!L60</f>
        <v>12037</v>
      </c>
      <c r="D59" s="1164">
        <f>('Assets(MOFA)'!AU60+'Assets(MOFA)'!BV60)</f>
        <v>32839</v>
      </c>
      <c r="E59" s="1164">
        <f>'Assets(MOFA)'!BV60</f>
        <v>2301</v>
      </c>
      <c r="F59" s="830"/>
      <c r="G59" s="1158"/>
      <c r="H59" s="1153">
        <f>B59/C59</f>
        <v>31.235191492896902</v>
      </c>
      <c r="I59" s="1153">
        <f>D59/B59</f>
        <v>8.7342876444898368E-2</v>
      </c>
      <c r="J59" s="1153">
        <f>D59/(D59+C59)</f>
        <v>0.73177199393885373</v>
      </c>
      <c r="K59" s="1153">
        <f>J59/(1-J59)</f>
        <v>2.7281714712968346</v>
      </c>
      <c r="L59" s="1153">
        <f>1-E59/D59</f>
        <v>0.92993087487438719</v>
      </c>
      <c r="M59" s="890">
        <f>(D59-E59)/C59</f>
        <v>2.5370108831104097</v>
      </c>
      <c r="O59" s="854">
        <f>Liabilities!IL107/Liabilities!IN107</f>
        <v>0.18355280838484278</v>
      </c>
      <c r="P59" s="1263"/>
      <c r="Q59" s="1180">
        <f>M59-L59*K59</f>
        <v>0</v>
      </c>
      <c r="R59" s="805">
        <f t="shared" si="5"/>
        <v>8.1222837506449846E-2</v>
      </c>
    </row>
    <row r="60" spans="1:18">
      <c r="A60" s="826">
        <v>2016</v>
      </c>
      <c r="B60" s="1163">
        <f>'Assets(MOFA)'!KO61</f>
        <v>356270</v>
      </c>
      <c r="C60" s="1164">
        <f>'Assets(MOFA)'!L61</f>
        <v>10336</v>
      </c>
      <c r="D60" s="1164">
        <f>('Assets(MOFA)'!AU61+'Assets(MOFA)'!BV61)</f>
        <v>18891</v>
      </c>
      <c r="E60" s="1164">
        <f>'Assets(MOFA)'!BV61</f>
        <v>3266</v>
      </c>
      <c r="F60" s="817"/>
      <c r="G60" s="818"/>
      <c r="H60" s="1153">
        <f>B60/C60</f>
        <v>34.468846749226003</v>
      </c>
      <c r="I60" s="1153">
        <f>D60/B60</f>
        <v>5.302439161310242E-2</v>
      </c>
      <c r="J60" s="1153">
        <f>D60/(D60+C60)</f>
        <v>0.64635439833031105</v>
      </c>
      <c r="K60" s="1153">
        <f>J60/(1-J60)</f>
        <v>1.8276896284829725</v>
      </c>
      <c r="L60" s="1153">
        <f>1-E60/D60</f>
        <v>0.82711344026255884</v>
      </c>
      <c r="M60" s="890">
        <f>(D60-E60)/C60</f>
        <v>1.5117066563467492</v>
      </c>
    </row>
    <row r="61" spans="1:18" ht="16" thickBot="1">
      <c r="A61" s="819"/>
      <c r="B61" s="820"/>
      <c r="C61" s="821"/>
      <c r="D61" s="821"/>
      <c r="E61" s="821"/>
      <c r="F61" s="821"/>
      <c r="G61" s="822"/>
      <c r="H61" s="1157"/>
      <c r="I61" s="1157"/>
      <c r="J61" s="1151"/>
      <c r="K61" s="821"/>
      <c r="L61" s="821"/>
      <c r="M61" s="1150"/>
    </row>
    <row r="62" spans="1:18" ht="16" thickTop="1"/>
    <row r="63" spans="1:18">
      <c r="A63" s="829" t="s">
        <v>2457</v>
      </c>
    </row>
    <row r="64" spans="1:18">
      <c r="A64" s="829" t="s">
        <v>2455</v>
      </c>
    </row>
    <row r="65" spans="1:17">
      <c r="A65" s="829" t="s">
        <v>1201</v>
      </c>
    </row>
    <row r="66" spans="1:17">
      <c r="A66" s="829" t="s">
        <v>722</v>
      </c>
      <c r="B66" s="855"/>
      <c r="C66" s="855"/>
      <c r="D66" s="855"/>
      <c r="E66" s="855"/>
    </row>
    <row r="67" spans="1:17">
      <c r="A67" s="829" t="s">
        <v>723</v>
      </c>
      <c r="B67" s="855"/>
      <c r="C67" s="855"/>
      <c r="D67" s="855"/>
      <c r="E67" s="855"/>
    </row>
    <row r="68" spans="1:17">
      <c r="A68" s="829" t="s">
        <v>2456</v>
      </c>
      <c r="B68" s="855"/>
      <c r="C68" s="855"/>
      <c r="D68" s="855"/>
      <c r="E68" s="855"/>
    </row>
    <row r="69" spans="1:17" s="825" customFormat="1">
      <c r="B69" s="805"/>
      <c r="C69" s="805"/>
      <c r="D69" s="805"/>
      <c r="E69" s="805"/>
      <c r="F69" s="805"/>
      <c r="G69" s="805"/>
      <c r="H69" s="805"/>
      <c r="I69" s="805"/>
      <c r="J69" s="805"/>
      <c r="K69" s="805"/>
      <c r="L69" s="805"/>
      <c r="Q69" s="1181"/>
    </row>
    <row r="70" spans="1:17" s="825" customFormat="1">
      <c r="A70" s="805"/>
      <c r="B70" s="805"/>
      <c r="C70" s="805"/>
      <c r="D70" s="805"/>
      <c r="E70" s="805"/>
      <c r="F70" s="805"/>
      <c r="G70" s="805"/>
      <c r="H70" s="805"/>
      <c r="I70" s="805"/>
      <c r="J70" s="805"/>
      <c r="K70" s="805"/>
      <c r="L70" s="805"/>
      <c r="Q70" s="1181"/>
    </row>
    <row r="72" spans="1:17" s="825" customFormat="1">
      <c r="A72" s="805"/>
      <c r="B72" s="805"/>
      <c r="C72" s="805"/>
      <c r="D72" s="805"/>
      <c r="E72" s="805"/>
      <c r="F72" s="805"/>
      <c r="G72" s="805"/>
      <c r="H72" s="805"/>
      <c r="I72" s="805"/>
      <c r="J72" s="805"/>
      <c r="K72" s="805"/>
      <c r="L72" s="805"/>
      <c r="Q72" s="1181"/>
    </row>
  </sheetData>
  <mergeCells count="10">
    <mergeCell ref="A3:M3"/>
    <mergeCell ref="B6:M6"/>
    <mergeCell ref="B7:E7"/>
    <mergeCell ref="F7:G7"/>
    <mergeCell ref="H7:H8"/>
    <mergeCell ref="I7:I8"/>
    <mergeCell ref="J7:J8"/>
    <mergeCell ref="K7:K8"/>
    <mergeCell ref="L7:L8"/>
    <mergeCell ref="M7:M8"/>
  </mergeCells>
  <pageMargins left="0.75" right="0.75" top="1" bottom="1" header="0.5" footer="0.5"/>
  <pageSetup scale="48" orientation="portrait" horizontalDpi="4294967292" verticalDpi="429496729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72"/>
  <sheetViews>
    <sheetView workbookViewId="0">
      <pane xSplit="1" ySplit="9" topLeftCell="B33" activePane="bottomRight" state="frozen"/>
      <selection activeCell="X67" sqref="X67"/>
      <selection pane="topRight" activeCell="X67" sqref="X67"/>
      <selection pane="bottomLeft" activeCell="X67" sqref="X67"/>
      <selection pane="bottomRight" activeCell="K60" sqref="K60"/>
    </sheetView>
  </sheetViews>
  <sheetFormatPr baseColWidth="10" defaultColWidth="9.28515625" defaultRowHeight="15" x14ac:dyDescent="0"/>
  <cols>
    <col min="1" max="1" width="16.28515625" style="805" customWidth="1"/>
    <col min="2" max="12" width="9.7109375" style="805" customWidth="1"/>
    <col min="13" max="13" width="9.7109375" style="825" customWidth="1"/>
    <col min="14" max="16" width="9.28515625" style="805"/>
    <col min="17" max="17" width="9.28515625" style="1182"/>
    <col min="18" max="16384" width="9.28515625" style="805"/>
  </cols>
  <sheetData>
    <row r="1" spans="1:17">
      <c r="F1" s="829"/>
    </row>
    <row r="2" spans="1:17" ht="16" thickBot="1"/>
    <row r="3" spans="1:17" ht="32" customHeight="1" thickTop="1">
      <c r="A3" s="1793" t="s">
        <v>3217</v>
      </c>
      <c r="B3" s="1794"/>
      <c r="C3" s="1794"/>
      <c r="D3" s="1794"/>
      <c r="E3" s="1794"/>
      <c r="F3" s="1794"/>
      <c r="G3" s="1794"/>
      <c r="H3" s="1794"/>
      <c r="I3" s="1794"/>
      <c r="J3" s="1794"/>
      <c r="K3" s="1794"/>
      <c r="L3" s="1794"/>
      <c r="M3" s="1795"/>
    </row>
    <row r="4" spans="1:17" ht="12" customHeight="1">
      <c r="A4" s="806"/>
      <c r="B4" s="807"/>
      <c r="C4" s="807"/>
      <c r="D4" s="807"/>
      <c r="E4" s="807"/>
      <c r="F4" s="807"/>
      <c r="G4" s="807"/>
      <c r="H4" s="807"/>
      <c r="I4" s="807"/>
      <c r="J4" s="807"/>
      <c r="K4" s="807"/>
      <c r="L4" s="807"/>
      <c r="M4" s="808"/>
    </row>
    <row r="5" spans="1:17">
      <c r="A5" s="809"/>
      <c r="B5" s="1169" t="s">
        <v>2411</v>
      </c>
      <c r="C5" s="1169" t="s">
        <v>2412</v>
      </c>
      <c r="D5" s="1169" t="s">
        <v>2413</v>
      </c>
      <c r="E5" s="1169" t="s">
        <v>2414</v>
      </c>
      <c r="F5" s="1169" t="s">
        <v>2415</v>
      </c>
      <c r="G5" s="1169" t="s">
        <v>2416</v>
      </c>
      <c r="H5" s="1169" t="s">
        <v>2417</v>
      </c>
      <c r="I5" s="1169" t="s">
        <v>2429</v>
      </c>
      <c r="J5" s="1169" t="s">
        <v>2430</v>
      </c>
      <c r="K5" s="1169" t="s">
        <v>2431</v>
      </c>
      <c r="L5" s="1169" t="s">
        <v>2432</v>
      </c>
      <c r="M5" s="1170" t="s">
        <v>2433</v>
      </c>
    </row>
    <row r="6" spans="1:17" ht="21" customHeight="1">
      <c r="A6" s="809"/>
      <c r="B6" s="1748" t="s">
        <v>2588</v>
      </c>
      <c r="C6" s="1749"/>
      <c r="D6" s="1749"/>
      <c r="E6" s="1749"/>
      <c r="F6" s="1749"/>
      <c r="G6" s="1749"/>
      <c r="H6" s="1749"/>
      <c r="I6" s="1749"/>
      <c r="J6" s="1749"/>
      <c r="K6" s="1749"/>
      <c r="L6" s="1749"/>
      <c r="M6" s="1840"/>
    </row>
    <row r="7" spans="1:17" ht="21" customHeight="1">
      <c r="A7" s="809"/>
      <c r="B7" s="1763" t="s">
        <v>2582</v>
      </c>
      <c r="C7" s="1849"/>
      <c r="D7" s="1849"/>
      <c r="E7" s="1849"/>
      <c r="F7" s="1849" t="s">
        <v>2581</v>
      </c>
      <c r="G7" s="1850"/>
      <c r="H7" s="1851" t="s">
        <v>2577</v>
      </c>
      <c r="I7" s="1851" t="s">
        <v>2578</v>
      </c>
      <c r="J7" s="1851" t="s">
        <v>2214</v>
      </c>
      <c r="K7" s="1743" t="s">
        <v>2575</v>
      </c>
      <c r="L7" s="1743" t="s">
        <v>2583</v>
      </c>
      <c r="M7" s="1770" t="s">
        <v>2269</v>
      </c>
    </row>
    <row r="8" spans="1:17" ht="85" customHeight="1">
      <c r="A8" s="809"/>
      <c r="B8" s="1159" t="s">
        <v>2576</v>
      </c>
      <c r="C8" s="1179" t="s">
        <v>2589</v>
      </c>
      <c r="D8" s="1140" t="s">
        <v>2572</v>
      </c>
      <c r="E8" s="1138" t="s">
        <v>2443</v>
      </c>
      <c r="F8" s="1138" t="s">
        <v>2570</v>
      </c>
      <c r="G8" s="1147" t="s">
        <v>2571</v>
      </c>
      <c r="H8" s="1851"/>
      <c r="I8" s="1851"/>
      <c r="J8" s="1851"/>
      <c r="K8" s="1743"/>
      <c r="L8" s="1744"/>
      <c r="M8" s="1770"/>
      <c r="Q8" s="1182" t="s">
        <v>1146</v>
      </c>
    </row>
    <row r="9" spans="1:17" ht="33" customHeight="1">
      <c r="A9" s="809"/>
      <c r="B9" s="1160" t="s">
        <v>2573</v>
      </c>
      <c r="C9" s="1146" t="s">
        <v>2590</v>
      </c>
      <c r="D9" s="1141"/>
      <c r="E9" s="1141"/>
      <c r="F9" s="1146" t="s">
        <v>2574</v>
      </c>
      <c r="G9" s="1148" t="s">
        <v>2263</v>
      </c>
      <c r="H9" s="1141" t="s">
        <v>2265</v>
      </c>
      <c r="I9" s="1141" t="s">
        <v>2264</v>
      </c>
      <c r="J9" s="1141" t="s">
        <v>2579</v>
      </c>
      <c r="K9" s="1146" t="s">
        <v>2266</v>
      </c>
      <c r="L9" s="1137" t="s">
        <v>2268</v>
      </c>
      <c r="M9" s="1149" t="s">
        <v>2267</v>
      </c>
    </row>
    <row r="10" spans="1:17" ht="14" customHeight="1">
      <c r="A10" s="921">
        <v>1966</v>
      </c>
      <c r="B10" s="1161"/>
      <c r="C10" s="1162">
        <f>T.A10!C10-T.A13!C10</f>
        <v>12551</v>
      </c>
      <c r="D10" s="1162">
        <f>T.A10!D10-T.A13!D10</f>
        <v>6502.8729440478455</v>
      </c>
      <c r="E10" s="1162">
        <f>T.A10!E10-T.A13!E10</f>
        <v>570</v>
      </c>
      <c r="F10" s="923"/>
      <c r="G10" s="926"/>
      <c r="H10" s="1152"/>
      <c r="I10" s="1152"/>
      <c r="J10" s="1152">
        <f t="shared" ref="J10:J57" si="0">D10/(D10+C10)</f>
        <v>0.34128877436853328</v>
      </c>
      <c r="K10" s="1152">
        <f t="shared" ref="K10:K57" si="1">J10/(1-J10)</f>
        <v>0.51811592255978378</v>
      </c>
      <c r="L10" s="1152">
        <f t="shared" ref="L10:L57" si="2">1-E10/D10</f>
        <v>0.91234643442915064</v>
      </c>
      <c r="M10" s="925">
        <f t="shared" ref="M10:M57" si="3">(D10-E10)/C10</f>
        <v>0.47270121456838859</v>
      </c>
      <c r="Q10" s="1183">
        <f t="shared" ref="Q10:Q57" si="4">M10-L10*K10</f>
        <v>0</v>
      </c>
    </row>
    <row r="11" spans="1:17" ht="14" customHeight="1">
      <c r="A11" s="826">
        <v>1967</v>
      </c>
      <c r="B11" s="1163"/>
      <c r="C11" s="1164">
        <f>T.A10!C11-T.A13!C11</f>
        <v>13936.780109929878</v>
      </c>
      <c r="D11" s="1164">
        <f>T.A10!D11-T.A13!D11</f>
        <v>6676.8298437514459</v>
      </c>
      <c r="E11" s="1164">
        <f>T.A10!E11-T.A13!E11</f>
        <v>591.23952954141407</v>
      </c>
      <c r="F11" s="828"/>
      <c r="G11" s="918"/>
      <c r="H11" s="1153"/>
      <c r="I11" s="1153"/>
      <c r="J11" s="1153">
        <f t="shared" si="0"/>
        <v>0.32390395756756085</v>
      </c>
      <c r="K11" s="1153">
        <f t="shared" si="1"/>
        <v>0.47907980115107374</v>
      </c>
      <c r="L11" s="1153">
        <f t="shared" si="2"/>
        <v>0.91144906439472484</v>
      </c>
      <c r="M11" s="890">
        <f t="shared" si="3"/>
        <v>0.43665683652955695</v>
      </c>
      <c r="Q11" s="1183">
        <f t="shared" si="4"/>
        <v>0</v>
      </c>
    </row>
    <row r="12" spans="1:17" ht="14" customHeight="1">
      <c r="A12" s="826">
        <v>1968</v>
      </c>
      <c r="B12" s="1163"/>
      <c r="C12" s="1164">
        <f>T.A10!C12-T.A13!C12</f>
        <v>15955.648328637184</v>
      </c>
      <c r="D12" s="1164">
        <f>T.A10!D12-T.A13!D12</f>
        <v>7456.4655620978119</v>
      </c>
      <c r="E12" s="1164">
        <f>T.A10!E12-T.A13!E12</f>
        <v>648.40463823269397</v>
      </c>
      <c r="F12" s="828"/>
      <c r="G12" s="918"/>
      <c r="H12" s="1153"/>
      <c r="I12" s="1153"/>
      <c r="J12" s="1153">
        <f t="shared" si="0"/>
        <v>0.31848749740827975</v>
      </c>
      <c r="K12" s="1153">
        <f t="shared" si="1"/>
        <v>0.46732451157844551</v>
      </c>
      <c r="L12" s="1153">
        <f t="shared" si="2"/>
        <v>0.91304128841838694</v>
      </c>
      <c r="M12" s="890">
        <f t="shared" si="3"/>
        <v>0.42668657416107725</v>
      </c>
      <c r="Q12" s="1183">
        <f t="shared" si="4"/>
        <v>0</v>
      </c>
    </row>
    <row r="13" spans="1:17" ht="14" customHeight="1">
      <c r="A13" s="856">
        <v>1969</v>
      </c>
      <c r="B13" s="1165"/>
      <c r="C13" s="1166">
        <f>T.A10!C13-T.A13!C13</f>
        <v>18359.677776319004</v>
      </c>
      <c r="D13" s="1166">
        <f>T.A10!D13-T.A13!D13</f>
        <v>8816.5628397953951</v>
      </c>
      <c r="E13" s="1166">
        <f>T.A10!E13-T.A13!E13</f>
        <v>761.29900767538209</v>
      </c>
      <c r="F13" s="858"/>
      <c r="G13" s="919"/>
      <c r="H13" s="1154"/>
      <c r="I13" s="1154"/>
      <c r="J13" s="1154">
        <f t="shared" si="0"/>
        <v>0.32442172426776106</v>
      </c>
      <c r="K13" s="1154">
        <f t="shared" si="1"/>
        <v>0.4802133755946047</v>
      </c>
      <c r="L13" s="1154">
        <f t="shared" si="2"/>
        <v>0.91365126960371679</v>
      </c>
      <c r="M13" s="892">
        <f t="shared" si="3"/>
        <v>0.43874756029269707</v>
      </c>
      <c r="Q13" s="1183">
        <f t="shared" si="4"/>
        <v>0</v>
      </c>
    </row>
    <row r="14" spans="1:17" ht="14" customHeight="1">
      <c r="A14" s="863">
        <v>1970</v>
      </c>
      <c r="B14" s="1167"/>
      <c r="C14" s="1168">
        <f>T.A10!C14-T.A13!C14</f>
        <v>20056.396018636173</v>
      </c>
      <c r="D14" s="1168">
        <f>T.A10!D14-T.A13!D14</f>
        <v>9568.6068751362909</v>
      </c>
      <c r="E14" s="1168">
        <f>T.A10!E14-T.A13!E14</f>
        <v>861.93123241573471</v>
      </c>
      <c r="F14" s="865"/>
      <c r="G14" s="920"/>
      <c r="H14" s="1155"/>
      <c r="I14" s="1155"/>
      <c r="J14" s="1155">
        <f t="shared" si="0"/>
        <v>0.32299091782190942</v>
      </c>
      <c r="K14" s="1155">
        <f t="shared" si="1"/>
        <v>0.4770850588632799</v>
      </c>
      <c r="L14" s="1155">
        <f t="shared" si="2"/>
        <v>0.90992092750142817</v>
      </c>
      <c r="M14" s="894">
        <f t="shared" si="3"/>
        <v>0.43410967925794913</v>
      </c>
      <c r="Q14" s="1183">
        <f t="shared" si="4"/>
        <v>0</v>
      </c>
    </row>
    <row r="15" spans="1:17" ht="14" customHeight="1">
      <c r="A15" s="826">
        <v>1971</v>
      </c>
      <c r="B15" s="1163"/>
      <c r="C15" s="1164">
        <f>T.A10!C15-T.A13!C15</f>
        <v>21800.116895804822</v>
      </c>
      <c r="D15" s="1164">
        <f>T.A10!D15-T.A13!D15</f>
        <v>11689.903758023967</v>
      </c>
      <c r="E15" s="1164">
        <f>T.A10!E15-T.A13!E15</f>
        <v>1044.1863926135834</v>
      </c>
      <c r="F15" s="828"/>
      <c r="G15" s="918"/>
      <c r="H15" s="1153"/>
      <c r="I15" s="1153"/>
      <c r="J15" s="1153">
        <f t="shared" si="0"/>
        <v>0.34905633170123185</v>
      </c>
      <c r="K15" s="1153">
        <f t="shared" si="1"/>
        <v>0.53623124196520033</v>
      </c>
      <c r="L15" s="1153">
        <f t="shared" si="2"/>
        <v>0.91067621990498837</v>
      </c>
      <c r="M15" s="890">
        <f t="shared" si="3"/>
        <v>0.48833304042782583</v>
      </c>
      <c r="Q15" s="1183">
        <f t="shared" si="4"/>
        <v>0</v>
      </c>
    </row>
    <row r="16" spans="1:17" ht="14" customHeight="1">
      <c r="A16" s="826">
        <v>1972</v>
      </c>
      <c r="B16" s="1163"/>
      <c r="C16" s="1164">
        <f>T.A10!C16-T.A13!C16</f>
        <v>24813.799180568934</v>
      </c>
      <c r="D16" s="1164">
        <f>T.A10!D16-T.A13!D16</f>
        <v>13337.933853497572</v>
      </c>
      <c r="E16" s="1164">
        <f>T.A10!E16-T.A13!E16</f>
        <v>1174.5628296348134</v>
      </c>
      <c r="F16" s="828"/>
      <c r="G16" s="918"/>
      <c r="H16" s="1153"/>
      <c r="I16" s="1153"/>
      <c r="J16" s="1153">
        <f t="shared" si="0"/>
        <v>0.3496023061806352</v>
      </c>
      <c r="K16" s="1153">
        <f t="shared" si="1"/>
        <v>0.53752082687693292</v>
      </c>
      <c r="L16" s="1153">
        <f t="shared" si="2"/>
        <v>0.91193817254335752</v>
      </c>
      <c r="M16" s="890">
        <f t="shared" si="3"/>
        <v>0.4901857605661446</v>
      </c>
      <c r="Q16" s="1183">
        <f t="shared" si="4"/>
        <v>0</v>
      </c>
    </row>
    <row r="17" spans="1:17" ht="14" customHeight="1">
      <c r="A17" s="826">
        <v>1973</v>
      </c>
      <c r="B17" s="1163"/>
      <c r="C17" s="1164">
        <f>T.A10!C17-T.A13!C17</f>
        <v>28567.460184037045</v>
      </c>
      <c r="D17" s="1164">
        <f>T.A10!D17-T.A13!D17</f>
        <v>16619.81875784546</v>
      </c>
      <c r="E17" s="1164">
        <f>T.A10!E17-T.A13!E17</f>
        <v>1234.4502637078506</v>
      </c>
      <c r="F17" s="828"/>
      <c r="G17" s="918"/>
      <c r="H17" s="1153"/>
      <c r="I17" s="1153"/>
      <c r="J17" s="1153">
        <f t="shared" si="0"/>
        <v>0.36779861826203331</v>
      </c>
      <c r="K17" s="1153">
        <f t="shared" si="1"/>
        <v>0.58177446124987686</v>
      </c>
      <c r="L17" s="1153">
        <f t="shared" si="2"/>
        <v>0.92572420423507185</v>
      </c>
      <c r="M17" s="890">
        <f t="shared" si="3"/>
        <v>0.53856270018482988</v>
      </c>
      <c r="Q17" s="1183">
        <f t="shared" si="4"/>
        <v>0</v>
      </c>
    </row>
    <row r="18" spans="1:17" ht="14" customHeight="1">
      <c r="A18" s="826">
        <v>1974</v>
      </c>
      <c r="B18" s="1163"/>
      <c r="C18" s="1164">
        <f>T.A10!C18-T.A13!C18</f>
        <v>33733.937668643142</v>
      </c>
      <c r="D18" s="1164">
        <f>T.A10!D18-T.A13!D18</f>
        <v>18003.340471129399</v>
      </c>
      <c r="E18" s="1164">
        <f>T.A10!E18-T.A13!E18</f>
        <v>1294.337697780888</v>
      </c>
      <c r="F18" s="828"/>
      <c r="G18" s="918"/>
      <c r="H18" s="1153"/>
      <c r="I18" s="1153"/>
      <c r="J18" s="1153">
        <f t="shared" si="0"/>
        <v>0.34797618116847745</v>
      </c>
      <c r="K18" s="1153">
        <f t="shared" si="1"/>
        <v>0.53368630273672801</v>
      </c>
      <c r="L18" s="1153">
        <f t="shared" si="2"/>
        <v>0.92810569239322449</v>
      </c>
      <c r="M18" s="890">
        <f t="shared" si="3"/>
        <v>0.49531729552225101</v>
      </c>
      <c r="Q18" s="1183">
        <f t="shared" si="4"/>
        <v>0</v>
      </c>
    </row>
    <row r="19" spans="1:17" ht="14" customHeight="1">
      <c r="A19" s="826">
        <v>1975</v>
      </c>
      <c r="B19" s="1163"/>
      <c r="C19" s="1164">
        <f>T.A10!C19-T.A13!C19</f>
        <v>38027.876504354914</v>
      </c>
      <c r="D19" s="1164">
        <f>T.A10!D19-T.A13!D19</f>
        <v>19308.241520656353</v>
      </c>
      <c r="E19" s="1164">
        <f>T.A10!E19-T.A13!E19</f>
        <v>1354.2251318539254</v>
      </c>
      <c r="F19" s="828"/>
      <c r="G19" s="918"/>
      <c r="H19" s="1153"/>
      <c r="I19" s="1153"/>
      <c r="J19" s="1153">
        <f t="shared" si="0"/>
        <v>0.33675529815662925</v>
      </c>
      <c r="K19" s="1153">
        <f t="shared" si="1"/>
        <v>0.50773914547779697</v>
      </c>
      <c r="L19" s="1153">
        <f t="shared" si="2"/>
        <v>0.92986284481654391</v>
      </c>
      <c r="M19" s="890">
        <f t="shared" si="3"/>
        <v>0.47212776623870528</v>
      </c>
      <c r="Q19" s="1183">
        <f t="shared" si="4"/>
        <v>0</v>
      </c>
    </row>
    <row r="20" spans="1:17" ht="14" customHeight="1">
      <c r="A20" s="826">
        <v>1976</v>
      </c>
      <c r="B20" s="1163"/>
      <c r="C20" s="1164">
        <f>T.A10!C20-T.A13!C20</f>
        <v>45541.246905402884</v>
      </c>
      <c r="D20" s="1164">
        <f>T.A10!D20-T.A13!D20</f>
        <v>23643.55408857634</v>
      </c>
      <c r="E20" s="1164">
        <f>T.A10!E20-T.A13!E20</f>
        <v>1414.1125659269628</v>
      </c>
      <c r="F20" s="828"/>
      <c r="G20" s="918"/>
      <c r="H20" s="1153"/>
      <c r="I20" s="1153"/>
      <c r="J20" s="1153">
        <f t="shared" si="0"/>
        <v>0.34174491722009737</v>
      </c>
      <c r="K20" s="1153">
        <f t="shared" si="1"/>
        <v>0.51916791250112515</v>
      </c>
      <c r="L20" s="1153">
        <f t="shared" si="2"/>
        <v>0.9401903554504013</v>
      </c>
      <c r="M20" s="890">
        <f t="shared" si="3"/>
        <v>0.48811666419287564</v>
      </c>
      <c r="Q20" s="1183">
        <f t="shared" si="4"/>
        <v>0</v>
      </c>
    </row>
    <row r="21" spans="1:17" ht="14" customHeight="1">
      <c r="A21" s="826">
        <v>1977</v>
      </c>
      <c r="B21" s="1163">
        <f>T.A10!B21-T.A13!B21</f>
        <v>64366</v>
      </c>
      <c r="C21" s="1164">
        <f>T.A10!C21-T.A13!C21</f>
        <v>54658</v>
      </c>
      <c r="D21" s="1164">
        <f>T.A10!D21-T.A13!D21</f>
        <v>24014</v>
      </c>
      <c r="E21" s="1164">
        <f>T.A10!E21-T.A13!E21</f>
        <v>1474</v>
      </c>
      <c r="F21" s="828"/>
      <c r="G21" s="918"/>
      <c r="H21" s="1153">
        <f t="shared" ref="H21:H57" si="5">B21/C21</f>
        <v>1.1776135240952834</v>
      </c>
      <c r="I21" s="1153">
        <f t="shared" ref="I21:I57" si="6">D21/B21</f>
        <v>0.3730851691887021</v>
      </c>
      <c r="J21" s="1153">
        <f t="shared" si="0"/>
        <v>0.30524201749033963</v>
      </c>
      <c r="K21" s="1153">
        <f t="shared" si="1"/>
        <v>0.4393501408759925</v>
      </c>
      <c r="L21" s="1153">
        <f t="shared" si="2"/>
        <v>0.93861913883567916</v>
      </c>
      <c r="M21" s="890">
        <f t="shared" si="3"/>
        <v>0.41238245087635844</v>
      </c>
      <c r="Q21" s="1183">
        <f t="shared" si="4"/>
        <v>0</v>
      </c>
    </row>
    <row r="22" spans="1:17" ht="14" customHeight="1">
      <c r="A22" s="826">
        <v>1978</v>
      </c>
      <c r="B22" s="1163">
        <f>T.A10!B22-T.A13!B22</f>
        <v>70043.200000000012</v>
      </c>
      <c r="C22" s="1164">
        <f>T.A10!C22-T.A13!C22</f>
        <v>61524.574821068913</v>
      </c>
      <c r="D22" s="1164">
        <f>T.A10!D22-T.A13!D22</f>
        <v>30299.279840390394</v>
      </c>
      <c r="E22" s="1164">
        <f>T.A10!E22-T.A13!E22</f>
        <v>1092.8</v>
      </c>
      <c r="F22" s="828"/>
      <c r="G22" s="918"/>
      <c r="H22" s="1153">
        <f t="shared" si="5"/>
        <v>1.1384589036772006</v>
      </c>
      <c r="I22" s="1153">
        <f t="shared" si="6"/>
        <v>0.43257989127267726</v>
      </c>
      <c r="J22" s="1153">
        <f t="shared" si="0"/>
        <v>0.32997176988593285</v>
      </c>
      <c r="K22" s="1153">
        <f t="shared" si="1"/>
        <v>0.49247442877109471</v>
      </c>
      <c r="L22" s="1153">
        <f t="shared" si="2"/>
        <v>0.96393313617496457</v>
      </c>
      <c r="M22" s="890">
        <f t="shared" si="3"/>
        <v>0.47471242061129565</v>
      </c>
      <c r="Q22" s="1183">
        <f t="shared" si="4"/>
        <v>0</v>
      </c>
    </row>
    <row r="23" spans="1:17" ht="14" customHeight="1">
      <c r="A23" s="856">
        <v>1979</v>
      </c>
      <c r="B23" s="1165">
        <f>T.A10!B23-T.A13!B23</f>
        <v>75720.400000000009</v>
      </c>
      <c r="C23" s="1166">
        <f>T.A10!C23-T.A13!C23</f>
        <v>67720.326708760025</v>
      </c>
      <c r="D23" s="1166">
        <f>T.A10!D23-T.A13!D23</f>
        <v>37135.881217912873</v>
      </c>
      <c r="E23" s="1166">
        <f>T.A10!E23-T.A13!E23</f>
        <v>711.59999999999991</v>
      </c>
      <c r="F23" s="858"/>
      <c r="G23" s="919"/>
      <c r="H23" s="1154">
        <f t="shared" si="5"/>
        <v>1.118134003187039</v>
      </c>
      <c r="I23" s="1154">
        <f t="shared" si="6"/>
        <v>0.49043429799516203</v>
      </c>
      <c r="J23" s="1154">
        <f t="shared" si="0"/>
        <v>0.35416006312074916</v>
      </c>
      <c r="K23" s="1154">
        <f t="shared" si="1"/>
        <v>0.54837126491755572</v>
      </c>
      <c r="L23" s="1154">
        <f t="shared" si="2"/>
        <v>0.98083793957051024</v>
      </c>
      <c r="M23" s="892">
        <f t="shared" si="3"/>
        <v>0.53786334160140992</v>
      </c>
      <c r="Q23" s="1183">
        <f t="shared" si="4"/>
        <v>0</v>
      </c>
    </row>
    <row r="24" spans="1:17" ht="14" customHeight="1">
      <c r="A24" s="863">
        <v>1980</v>
      </c>
      <c r="B24" s="1167">
        <f>T.A10!B24-T.A13!B24</f>
        <v>81397.600000000006</v>
      </c>
      <c r="C24" s="1168">
        <f>T.A10!C24-T.A13!C24</f>
        <v>72000.122626241777</v>
      </c>
      <c r="D24" s="1168">
        <f>T.A10!D24-T.A13!D24</f>
        <v>36838.751530015754</v>
      </c>
      <c r="E24" s="1168">
        <f>T.A10!E24-T.A13!E24</f>
        <v>330.39999999999986</v>
      </c>
      <c r="F24" s="865"/>
      <c r="G24" s="920"/>
      <c r="H24" s="1155">
        <f t="shared" si="5"/>
        <v>1.1305202967853438</v>
      </c>
      <c r="I24" s="1155">
        <f t="shared" si="6"/>
        <v>0.4525778589296951</v>
      </c>
      <c r="J24" s="1155">
        <f t="shared" si="0"/>
        <v>0.33847053100831587</v>
      </c>
      <c r="K24" s="1155">
        <f t="shared" si="1"/>
        <v>0.51164845539567438</v>
      </c>
      <c r="L24" s="1155">
        <f t="shared" si="2"/>
        <v>0.99103118356954101</v>
      </c>
      <c r="M24" s="894">
        <f t="shared" si="3"/>
        <v>0.50705957432230275</v>
      </c>
      <c r="Q24" s="1183">
        <f t="shared" si="4"/>
        <v>0</v>
      </c>
    </row>
    <row r="25" spans="1:17" ht="14" customHeight="1">
      <c r="A25" s="826">
        <v>1981</v>
      </c>
      <c r="B25" s="1163">
        <f>T.A10!B25-T.A13!B25</f>
        <v>87074.800000000017</v>
      </c>
      <c r="C25" s="1164">
        <f>T.A10!C25-T.A13!C25</f>
        <v>77238.924759453279</v>
      </c>
      <c r="D25" s="1164">
        <f>T.A10!D25-T.A13!D25</f>
        <v>31110.018863416866</v>
      </c>
      <c r="E25" s="1164">
        <f>T.A10!E25-T.A13!E25</f>
        <v>-50.800000000000182</v>
      </c>
      <c r="F25" s="828"/>
      <c r="G25" s="918"/>
      <c r="H25" s="1153">
        <f t="shared" si="5"/>
        <v>1.1273435029187524</v>
      </c>
      <c r="I25" s="1153">
        <f t="shared" si="6"/>
        <v>0.3572792456992937</v>
      </c>
      <c r="J25" s="1153">
        <f t="shared" si="0"/>
        <v>0.28712803118507019</v>
      </c>
      <c r="K25" s="1153">
        <f t="shared" si="1"/>
        <v>0.40277643636681143</v>
      </c>
      <c r="L25" s="1153">
        <f t="shared" si="2"/>
        <v>1.0016329144711558</v>
      </c>
      <c r="M25" s="890">
        <f t="shared" si="3"/>
        <v>0.40343413583839527</v>
      </c>
      <c r="Q25" s="1183">
        <f t="shared" si="4"/>
        <v>0</v>
      </c>
    </row>
    <row r="26" spans="1:17" ht="14" customHeight="1">
      <c r="A26" s="826">
        <v>1982</v>
      </c>
      <c r="B26" s="1163">
        <f>T.A10!B26-T.A13!B26</f>
        <v>92752</v>
      </c>
      <c r="C26" s="1164">
        <f>T.A10!C26-T.A13!C26</f>
        <v>79109</v>
      </c>
      <c r="D26" s="1164">
        <f>T.A10!D26-T.A13!D26</f>
        <v>25723</v>
      </c>
      <c r="E26" s="1164">
        <f>T.A10!E26-T.A13!E26</f>
        <v>-432</v>
      </c>
      <c r="F26" s="828"/>
      <c r="G26" s="918"/>
      <c r="H26" s="1153">
        <f t="shared" si="5"/>
        <v>1.1724582538017165</v>
      </c>
      <c r="I26" s="1153">
        <f t="shared" si="6"/>
        <v>0.27733094704157324</v>
      </c>
      <c r="J26" s="1153">
        <f t="shared" si="0"/>
        <v>0.24537355006105005</v>
      </c>
      <c r="K26" s="1153">
        <f t="shared" si="1"/>
        <v>0.32515895789353932</v>
      </c>
      <c r="L26" s="1153">
        <f t="shared" si="2"/>
        <v>1.0167943085954205</v>
      </c>
      <c r="M26" s="890">
        <f t="shared" si="3"/>
        <v>0.3306197777749687</v>
      </c>
      <c r="Q26" s="1183">
        <f t="shared" si="4"/>
        <v>0</v>
      </c>
    </row>
    <row r="27" spans="1:17" ht="14" customHeight="1">
      <c r="A27" s="826">
        <v>1983</v>
      </c>
      <c r="B27" s="1163">
        <f>T.A10!B27-T.A13!B27</f>
        <v>89575</v>
      </c>
      <c r="C27" s="1164">
        <f>T.A10!C27-T.A13!C27</f>
        <v>72281</v>
      </c>
      <c r="D27" s="1164">
        <f>T.A10!D27-T.A13!D27</f>
        <v>28213.857142857138</v>
      </c>
      <c r="E27" s="1164">
        <f>T.A10!E27-T.A13!E27</f>
        <v>-1038.1428571428576</v>
      </c>
      <c r="F27" s="828"/>
      <c r="G27" s="918"/>
      <c r="H27" s="1153">
        <f t="shared" si="5"/>
        <v>1.2392606632448362</v>
      </c>
      <c r="I27" s="1153">
        <f t="shared" si="6"/>
        <v>0.314974682030222</v>
      </c>
      <c r="J27" s="1153">
        <f t="shared" si="0"/>
        <v>0.28074926364391067</v>
      </c>
      <c r="K27" s="1153">
        <f t="shared" si="1"/>
        <v>0.39033573335810429</v>
      </c>
      <c r="L27" s="1153">
        <f t="shared" si="2"/>
        <v>1.0367954956277816</v>
      </c>
      <c r="M27" s="890">
        <f t="shared" si="3"/>
        <v>0.40469833012824941</v>
      </c>
      <c r="Q27" s="1183">
        <f t="shared" si="4"/>
        <v>0</v>
      </c>
    </row>
    <row r="28" spans="1:17" ht="14" customHeight="1">
      <c r="A28" s="826">
        <v>1984</v>
      </c>
      <c r="B28" s="1163">
        <f>T.A10!B28-T.A13!B28</f>
        <v>87918</v>
      </c>
      <c r="C28" s="1164">
        <f>T.A10!C28-T.A13!C28</f>
        <v>70510</v>
      </c>
      <c r="D28" s="1164">
        <f>T.A10!D28-T.A13!D28</f>
        <v>31819.714285714286</v>
      </c>
      <c r="E28" s="1164">
        <f>T.A10!E28-T.A13!E28</f>
        <v>-1644.2857142857147</v>
      </c>
      <c r="F28" s="828"/>
      <c r="G28" s="918"/>
      <c r="H28" s="1153">
        <f t="shared" si="5"/>
        <v>1.2468869663877464</v>
      </c>
      <c r="I28" s="1153">
        <f t="shared" si="6"/>
        <v>0.36192491054976555</v>
      </c>
      <c r="J28" s="1153">
        <f t="shared" si="0"/>
        <v>0.31095283034672233</v>
      </c>
      <c r="K28" s="1153">
        <f t="shared" si="1"/>
        <v>0.45127945377555362</v>
      </c>
      <c r="L28" s="1153">
        <f t="shared" si="2"/>
        <v>1.0516750621806787</v>
      </c>
      <c r="M28" s="890">
        <f t="shared" si="3"/>
        <v>0.47459934761026806</v>
      </c>
      <c r="Q28" s="1183">
        <f t="shared" si="4"/>
        <v>0</v>
      </c>
    </row>
    <row r="29" spans="1:17" ht="14" customHeight="1">
      <c r="A29" s="826">
        <v>1985</v>
      </c>
      <c r="B29" s="1163">
        <f>T.A10!B29-T.A13!B29</f>
        <v>99715</v>
      </c>
      <c r="C29" s="1164">
        <f>T.A10!C29-T.A13!C29</f>
        <v>71854</v>
      </c>
      <c r="D29" s="1164">
        <f>T.A10!D29-T.A13!D29</f>
        <v>31567.571428571431</v>
      </c>
      <c r="E29" s="1164">
        <f>T.A10!E29-T.A13!E29</f>
        <v>-2250.4285714285716</v>
      </c>
      <c r="F29" s="828"/>
      <c r="G29" s="918"/>
      <c r="H29" s="1153">
        <f t="shared" si="5"/>
        <v>1.3877445932028836</v>
      </c>
      <c r="I29" s="1153">
        <f t="shared" si="6"/>
        <v>0.31657796147592071</v>
      </c>
      <c r="J29" s="1153">
        <f t="shared" si="0"/>
        <v>0.30523198393261425</v>
      </c>
      <c r="K29" s="1153">
        <f t="shared" si="1"/>
        <v>0.43932935436539977</v>
      </c>
      <c r="L29" s="1153">
        <f t="shared" si="2"/>
        <v>1.0712892525331148</v>
      </c>
      <c r="M29" s="890">
        <f t="shared" si="3"/>
        <v>0.47064881565396499</v>
      </c>
      <c r="Q29" s="1183">
        <f t="shared" si="4"/>
        <v>0</v>
      </c>
    </row>
    <row r="30" spans="1:17" ht="14" customHeight="1">
      <c r="A30" s="826">
        <v>1986</v>
      </c>
      <c r="B30" s="1163">
        <f>T.A10!B30-T.A13!B30</f>
        <v>114855</v>
      </c>
      <c r="C30" s="1164">
        <f>T.A10!C30-T.A13!C30</f>
        <v>83531</v>
      </c>
      <c r="D30" s="1164">
        <f>T.A10!D30-T.A13!D30</f>
        <v>38265.428571428565</v>
      </c>
      <c r="E30" s="1164">
        <f>T.A10!E30-T.A13!E30</f>
        <v>-2856.5714285714289</v>
      </c>
      <c r="F30" s="828"/>
      <c r="G30" s="918"/>
      <c r="H30" s="1153">
        <f t="shared" si="5"/>
        <v>1.3749985035495804</v>
      </c>
      <c r="I30" s="1153">
        <f t="shared" si="6"/>
        <v>0.33316293214425635</v>
      </c>
      <c r="J30" s="1153">
        <f t="shared" si="0"/>
        <v>0.3141752924962613</v>
      </c>
      <c r="K30" s="1153">
        <f t="shared" si="1"/>
        <v>0.45809853313654292</v>
      </c>
      <c r="L30" s="1153">
        <f t="shared" si="2"/>
        <v>1.074651494448551</v>
      </c>
      <c r="M30" s="890">
        <f t="shared" si="3"/>
        <v>0.4922962732398749</v>
      </c>
      <c r="Q30" s="1183">
        <f t="shared" si="4"/>
        <v>0</v>
      </c>
    </row>
    <row r="31" spans="1:17" ht="14" customHeight="1">
      <c r="A31" s="826">
        <v>1987</v>
      </c>
      <c r="B31" s="1163">
        <f>T.A10!B31-T.A13!B31</f>
        <v>130312</v>
      </c>
      <c r="C31" s="1164">
        <f>T.A10!C31-T.A13!C31</f>
        <v>96983</v>
      </c>
      <c r="D31" s="1164">
        <f>T.A10!D31-T.A13!D31</f>
        <v>52025.28571428571</v>
      </c>
      <c r="E31" s="1164">
        <f>T.A10!E31-T.A13!E31</f>
        <v>-3462.7142857142862</v>
      </c>
      <c r="F31" s="828"/>
      <c r="G31" s="918"/>
      <c r="H31" s="1153">
        <f t="shared" si="5"/>
        <v>1.343658166895229</v>
      </c>
      <c r="I31" s="1153">
        <f t="shared" si="6"/>
        <v>0.39923633828262717</v>
      </c>
      <c r="J31" s="1153">
        <f t="shared" si="0"/>
        <v>0.34914357590853046</v>
      </c>
      <c r="K31" s="1153">
        <f t="shared" si="1"/>
        <v>0.53643716645479833</v>
      </c>
      <c r="L31" s="1153">
        <f t="shared" si="2"/>
        <v>1.0665582944557179</v>
      </c>
      <c r="M31" s="890">
        <f t="shared" si="3"/>
        <v>0.57214150933668784</v>
      </c>
      <c r="Q31" s="1183">
        <f t="shared" si="4"/>
        <v>0</v>
      </c>
    </row>
    <row r="32" spans="1:17" ht="14" customHeight="1">
      <c r="A32" s="826">
        <v>1988</v>
      </c>
      <c r="B32" s="1163">
        <f>T.A10!B32-T.A13!B32</f>
        <v>141239</v>
      </c>
      <c r="C32" s="1164">
        <f>T.A10!C32-T.A13!C32</f>
        <v>108547</v>
      </c>
      <c r="D32" s="1164">
        <f>T.A10!D32-T.A13!D32</f>
        <v>63540.142857142862</v>
      </c>
      <c r="E32" s="1164">
        <f>T.A10!E32-T.A13!E32</f>
        <v>-4068.8571428571436</v>
      </c>
      <c r="F32" s="828"/>
      <c r="G32" s="918"/>
      <c r="H32" s="1153">
        <f t="shared" si="5"/>
        <v>1.3011782914313614</v>
      </c>
      <c r="I32" s="1153">
        <f t="shared" si="6"/>
        <v>0.44987675399247279</v>
      </c>
      <c r="J32" s="1153">
        <f t="shared" si="0"/>
        <v>0.36923236566191547</v>
      </c>
      <c r="K32" s="1153">
        <f t="shared" si="1"/>
        <v>0.58536986611461261</v>
      </c>
      <c r="L32" s="1153">
        <f t="shared" si="2"/>
        <v>1.0640360087323875</v>
      </c>
      <c r="M32" s="890">
        <f t="shared" si="3"/>
        <v>0.62285461597280445</v>
      </c>
      <c r="Q32" s="1183">
        <f t="shared" si="4"/>
        <v>0</v>
      </c>
    </row>
    <row r="33" spans="1:17" ht="14" customHeight="1">
      <c r="A33" s="856">
        <v>1989</v>
      </c>
      <c r="B33" s="1165">
        <f>T.A10!B33-T.A13!B33</f>
        <v>164759</v>
      </c>
      <c r="C33" s="1166">
        <f>T.A10!C33-T.A13!C33</f>
        <v>123288</v>
      </c>
      <c r="D33" s="1166">
        <f>T.A10!D33-T.A13!D33</f>
        <v>67496</v>
      </c>
      <c r="E33" s="1166">
        <f>T.A10!E33-T.A13!E33</f>
        <v>-4675</v>
      </c>
      <c r="F33" s="858"/>
      <c r="G33" s="919"/>
      <c r="H33" s="1154">
        <f t="shared" si="5"/>
        <v>1.3363749918889105</v>
      </c>
      <c r="I33" s="1154">
        <f t="shared" si="6"/>
        <v>0.40966502588629455</v>
      </c>
      <c r="J33" s="1154">
        <f t="shared" si="0"/>
        <v>0.35378228782287824</v>
      </c>
      <c r="K33" s="1154">
        <f t="shared" si="1"/>
        <v>0.54746609564596715</v>
      </c>
      <c r="L33" s="1154">
        <f t="shared" si="2"/>
        <v>1.0692633637548892</v>
      </c>
      <c r="M33" s="892">
        <f t="shared" si="3"/>
        <v>0.58538543897216277</v>
      </c>
      <c r="Q33" s="1183">
        <f t="shared" si="4"/>
        <v>0</v>
      </c>
    </row>
    <row r="34" spans="1:17" ht="14" customHeight="1">
      <c r="A34" s="863">
        <v>1990</v>
      </c>
      <c r="B34" s="1167">
        <f>T.A10!B34-T.A13!B34</f>
        <v>196444</v>
      </c>
      <c r="C34" s="1168">
        <f>T.A10!C34-T.A13!C34</f>
        <v>143156</v>
      </c>
      <c r="D34" s="1168">
        <f>T.A10!D34-T.A13!D34</f>
        <v>62366.600000000006</v>
      </c>
      <c r="E34" s="1168">
        <f>T.A10!E34-T.A13!E34</f>
        <v>-5054.3999999999996</v>
      </c>
      <c r="F34" s="865"/>
      <c r="G34" s="920"/>
      <c r="H34" s="1155">
        <f t="shared" si="5"/>
        <v>1.3722372796110536</v>
      </c>
      <c r="I34" s="1155">
        <f t="shared" si="6"/>
        <v>0.31747775447455767</v>
      </c>
      <c r="J34" s="1155">
        <f t="shared" si="0"/>
        <v>0.30345373209564303</v>
      </c>
      <c r="K34" s="1155">
        <f t="shared" si="1"/>
        <v>0.43565481013719298</v>
      </c>
      <c r="L34" s="1155">
        <f t="shared" si="2"/>
        <v>1.0810433789881122</v>
      </c>
      <c r="M34" s="894">
        <f t="shared" si="3"/>
        <v>0.47096174802313562</v>
      </c>
      <c r="Q34" s="1183">
        <f t="shared" si="4"/>
        <v>0</v>
      </c>
    </row>
    <row r="35" spans="1:17" ht="14" customHeight="1">
      <c r="A35" s="826">
        <v>1991</v>
      </c>
      <c r="B35" s="1163">
        <f>T.A10!B35-T.A13!B35</f>
        <v>212640</v>
      </c>
      <c r="C35" s="1164">
        <f>T.A10!C35-T.A13!C35</f>
        <v>151914</v>
      </c>
      <c r="D35" s="1164">
        <f>T.A10!D35-T.A13!D35</f>
        <v>52918.2</v>
      </c>
      <c r="E35" s="1164">
        <f>T.A10!E35-T.A13!E35</f>
        <v>-5433.7999999999993</v>
      </c>
      <c r="F35" s="828"/>
      <c r="G35" s="918"/>
      <c r="H35" s="1153">
        <f t="shared" si="5"/>
        <v>1.3997393261977171</v>
      </c>
      <c r="I35" s="1153">
        <f t="shared" si="6"/>
        <v>0.24886286681715575</v>
      </c>
      <c r="J35" s="1153">
        <f t="shared" si="0"/>
        <v>0.25834902910772817</v>
      </c>
      <c r="K35" s="1153">
        <f t="shared" si="1"/>
        <v>0.34834314151427781</v>
      </c>
      <c r="L35" s="1153">
        <f t="shared" si="2"/>
        <v>1.1026830088702941</v>
      </c>
      <c r="M35" s="890">
        <f t="shared" si="3"/>
        <v>0.38411206340429455</v>
      </c>
      <c r="Q35" s="1183">
        <f t="shared" si="4"/>
        <v>0</v>
      </c>
    </row>
    <row r="36" spans="1:17" ht="14" customHeight="1">
      <c r="A36" s="826">
        <v>1992</v>
      </c>
      <c r="B36" s="1163">
        <f>T.A10!B36-T.A13!B36</f>
        <v>217701</v>
      </c>
      <c r="C36" s="1164">
        <f>T.A10!C36-T.A13!C36</f>
        <v>161068</v>
      </c>
      <c r="D36" s="1164">
        <f>T.A10!D36-T.A13!D36</f>
        <v>49603.8</v>
      </c>
      <c r="E36" s="1164">
        <f>T.A10!E36-T.A13!E36</f>
        <v>-5813.1999999999989</v>
      </c>
      <c r="F36" s="828"/>
      <c r="G36" s="918"/>
      <c r="H36" s="1153">
        <f t="shared" si="5"/>
        <v>1.3516092582015049</v>
      </c>
      <c r="I36" s="1153">
        <f t="shared" si="6"/>
        <v>0.22785288078603222</v>
      </c>
      <c r="J36" s="1153">
        <f t="shared" si="0"/>
        <v>0.23545533858826861</v>
      </c>
      <c r="K36" s="1153">
        <f t="shared" si="1"/>
        <v>0.30796806317828501</v>
      </c>
      <c r="L36" s="1153">
        <f t="shared" si="2"/>
        <v>1.117192634435265</v>
      </c>
      <c r="M36" s="890">
        <f t="shared" si="3"/>
        <v>0.34405965182407433</v>
      </c>
      <c r="Q36" s="1183">
        <f t="shared" si="4"/>
        <v>0</v>
      </c>
    </row>
    <row r="37" spans="1:17" ht="14" customHeight="1">
      <c r="A37" s="826">
        <v>1993</v>
      </c>
      <c r="B37" s="1163">
        <f>T.A10!B37-T.A13!B37</f>
        <v>219985</v>
      </c>
      <c r="C37" s="1164">
        <f>T.A10!C37-T.A13!C37</f>
        <v>158472</v>
      </c>
      <c r="D37" s="1164">
        <f>T.A10!D37-T.A13!D37</f>
        <v>51368.399999999994</v>
      </c>
      <c r="E37" s="1164">
        <f>T.A10!E37-T.A13!E37</f>
        <v>-6192.5999999999985</v>
      </c>
      <c r="F37" s="828"/>
      <c r="G37" s="918"/>
      <c r="H37" s="1153">
        <f t="shared" si="5"/>
        <v>1.3881632086425362</v>
      </c>
      <c r="I37" s="1153">
        <f t="shared" si="6"/>
        <v>0.23350864831693066</v>
      </c>
      <c r="J37" s="1153">
        <f t="shared" si="0"/>
        <v>0.2447974746521642</v>
      </c>
      <c r="K37" s="1153">
        <f t="shared" si="1"/>
        <v>0.32414811449341202</v>
      </c>
      <c r="L37" s="1153">
        <f t="shared" si="2"/>
        <v>1.120552713341276</v>
      </c>
      <c r="M37" s="890">
        <f t="shared" si="3"/>
        <v>0.36322504922005144</v>
      </c>
      <c r="Q37" s="1183">
        <f t="shared" si="4"/>
        <v>0</v>
      </c>
    </row>
    <row r="38" spans="1:17" ht="14" customHeight="1">
      <c r="A38" s="826">
        <v>1994</v>
      </c>
      <c r="B38" s="1163">
        <f>T.A10!B38-T.A13!B38</f>
        <v>248486</v>
      </c>
      <c r="C38" s="1164">
        <f>T.A10!C38-T.A13!C38</f>
        <v>175397</v>
      </c>
      <c r="D38" s="1164">
        <f>T.A10!D38-T.A13!D38</f>
        <v>64006</v>
      </c>
      <c r="E38" s="1164">
        <f>T.A10!E38-T.A13!E38</f>
        <v>-6572</v>
      </c>
      <c r="F38" s="828"/>
      <c r="G38" s="918"/>
      <c r="H38" s="1153">
        <f t="shared" si="5"/>
        <v>1.4167061010165509</v>
      </c>
      <c r="I38" s="1153">
        <f t="shared" si="6"/>
        <v>0.25758392826960069</v>
      </c>
      <c r="J38" s="1153">
        <f t="shared" si="0"/>
        <v>0.26735671649895781</v>
      </c>
      <c r="K38" s="1153">
        <f t="shared" si="1"/>
        <v>0.36492072270335296</v>
      </c>
      <c r="L38" s="1153">
        <f t="shared" si="2"/>
        <v>1.1026778739493173</v>
      </c>
      <c r="M38" s="890">
        <f t="shared" si="3"/>
        <v>0.40239000667058161</v>
      </c>
      <c r="Q38" s="1183">
        <f t="shared" si="4"/>
        <v>0</v>
      </c>
    </row>
    <row r="39" spans="1:17">
      <c r="A39" s="826">
        <v>1995</v>
      </c>
      <c r="B39" s="1163">
        <f>T.A10!B39-T.A13!B39</f>
        <v>287001</v>
      </c>
      <c r="C39" s="1164">
        <f>T.A10!C39-T.A13!C39</f>
        <v>191249</v>
      </c>
      <c r="D39" s="1164">
        <f>T.A10!D39-T.A13!D39</f>
        <v>88478</v>
      </c>
      <c r="E39" s="1164">
        <f>T.A10!E39-T.A13!E39</f>
        <v>-9253</v>
      </c>
      <c r="F39" s="828"/>
      <c r="G39" s="918"/>
      <c r="H39" s="1153">
        <f t="shared" si="5"/>
        <v>1.5006666701525238</v>
      </c>
      <c r="I39" s="1153">
        <f t="shared" si="6"/>
        <v>0.30828464012320517</v>
      </c>
      <c r="J39" s="1153">
        <f t="shared" si="0"/>
        <v>0.31630125086244804</v>
      </c>
      <c r="K39" s="1153">
        <f t="shared" si="1"/>
        <v>0.46263248435285942</v>
      </c>
      <c r="L39" s="1153">
        <f t="shared" si="2"/>
        <v>1.1045796695223671</v>
      </c>
      <c r="M39" s="890">
        <f t="shared" si="3"/>
        <v>0.51101443667679303</v>
      </c>
      <c r="Q39" s="1183">
        <f t="shared" si="4"/>
        <v>0</v>
      </c>
    </row>
    <row r="40" spans="1:17">
      <c r="A40" s="826">
        <v>1996</v>
      </c>
      <c r="B40" s="1163">
        <f>T.A10!B40-T.A13!B40</f>
        <v>313228</v>
      </c>
      <c r="C40" s="1164">
        <f>T.A10!C40-T.A13!C40</f>
        <v>201899</v>
      </c>
      <c r="D40" s="1164">
        <f>T.A10!D40-T.A13!D40</f>
        <v>97114</v>
      </c>
      <c r="E40" s="1164">
        <f>T.A10!E40-T.A13!E40</f>
        <v>-8644</v>
      </c>
      <c r="F40" s="828"/>
      <c r="G40" s="918"/>
      <c r="H40" s="1153">
        <f t="shared" si="5"/>
        <v>1.5514093680503618</v>
      </c>
      <c r="I40" s="1153">
        <f t="shared" si="6"/>
        <v>0.31004252493391393</v>
      </c>
      <c r="J40" s="1153">
        <f t="shared" si="0"/>
        <v>0.32478186567139222</v>
      </c>
      <c r="K40" s="1153">
        <f t="shared" si="1"/>
        <v>0.48100287767646199</v>
      </c>
      <c r="L40" s="1153">
        <f t="shared" si="2"/>
        <v>1.0890087937887432</v>
      </c>
      <c r="M40" s="890">
        <f t="shared" si="3"/>
        <v>0.52381636362735828</v>
      </c>
      <c r="Q40" s="1183">
        <f t="shared" si="4"/>
        <v>0</v>
      </c>
    </row>
    <row r="41" spans="1:17">
      <c r="A41" s="826">
        <v>1997</v>
      </c>
      <c r="B41" s="1163">
        <f>T.A10!B41-T.A13!B41</f>
        <v>331884</v>
      </c>
      <c r="C41" s="1164">
        <f>T.A10!C41-T.A13!C41</f>
        <v>209905</v>
      </c>
      <c r="D41" s="1164">
        <f>T.A10!D41-T.A13!D41</f>
        <v>110080</v>
      </c>
      <c r="E41" s="1164">
        <f>T.A10!E41-T.A13!E41</f>
        <v>-9395</v>
      </c>
      <c r="F41" s="828"/>
      <c r="G41" s="918"/>
      <c r="H41" s="1153">
        <f t="shared" si="5"/>
        <v>1.5811152664300516</v>
      </c>
      <c r="I41" s="1153">
        <f t="shared" si="6"/>
        <v>0.3316821540056164</v>
      </c>
      <c r="J41" s="1153">
        <f t="shared" si="0"/>
        <v>0.3440161257558948</v>
      </c>
      <c r="K41" s="1153">
        <f t="shared" si="1"/>
        <v>0.5244277173006836</v>
      </c>
      <c r="L41" s="1153">
        <f t="shared" si="2"/>
        <v>1.0853470203488371</v>
      </c>
      <c r="M41" s="890">
        <f t="shared" si="3"/>
        <v>0.56918606036063935</v>
      </c>
      <c r="Q41" s="1183">
        <f t="shared" si="4"/>
        <v>0</v>
      </c>
    </row>
    <row r="42" spans="1:17">
      <c r="A42" s="826">
        <v>1998</v>
      </c>
      <c r="B42" s="1163">
        <f>T.A10!B42-T.A13!B42</f>
        <v>382818</v>
      </c>
      <c r="C42" s="1164">
        <f>T.A10!C42-T.A13!C42</f>
        <v>215881</v>
      </c>
      <c r="D42" s="1164">
        <f>T.A10!D42-T.A13!D42</f>
        <v>100828</v>
      </c>
      <c r="E42" s="1164">
        <f>T.A10!E42-T.A13!E42</f>
        <v>-10643</v>
      </c>
      <c r="F42" s="828"/>
      <c r="G42" s="918"/>
      <c r="H42" s="1153">
        <f t="shared" si="5"/>
        <v>1.7732825028603723</v>
      </c>
      <c r="I42" s="1153">
        <f t="shared" si="6"/>
        <v>0.26338364444723078</v>
      </c>
      <c r="J42" s="1153">
        <f t="shared" si="0"/>
        <v>0.3183616506003934</v>
      </c>
      <c r="K42" s="1153">
        <f t="shared" si="1"/>
        <v>0.46705360823787179</v>
      </c>
      <c r="L42" s="1153">
        <f t="shared" si="2"/>
        <v>1.1055559963502202</v>
      </c>
      <c r="M42" s="890">
        <f t="shared" si="3"/>
        <v>0.51635391720438573</v>
      </c>
      <c r="Q42" s="1183">
        <f t="shared" si="4"/>
        <v>0</v>
      </c>
    </row>
    <row r="43" spans="1:17">
      <c r="A43" s="856">
        <v>1999</v>
      </c>
      <c r="B43" s="1165">
        <f>T.A10!B43-T.A13!B43</f>
        <v>463423</v>
      </c>
      <c r="C43" s="1166">
        <f>T.A10!C43-T.A13!C43</f>
        <v>248523</v>
      </c>
      <c r="D43" s="1166">
        <f>T.A10!D43-T.A13!D43</f>
        <v>116555</v>
      </c>
      <c r="E43" s="1166">
        <f>T.A10!E43-T.A13!E43</f>
        <v>-6681</v>
      </c>
      <c r="F43" s="858"/>
      <c r="G43" s="919"/>
      <c r="H43" s="1154">
        <f t="shared" si="5"/>
        <v>1.8647086989936545</v>
      </c>
      <c r="I43" s="1154">
        <f t="shared" si="6"/>
        <v>0.25150888065547028</v>
      </c>
      <c r="J43" s="1154">
        <f t="shared" si="0"/>
        <v>0.31926054158289463</v>
      </c>
      <c r="K43" s="1154">
        <f t="shared" si="1"/>
        <v>0.4689907976324123</v>
      </c>
      <c r="L43" s="1154">
        <f t="shared" si="2"/>
        <v>1.0573205782677706</v>
      </c>
      <c r="M43" s="892">
        <f t="shared" si="3"/>
        <v>0.49587362135496516</v>
      </c>
      <c r="Q43" s="1183">
        <f t="shared" si="4"/>
        <v>0</v>
      </c>
    </row>
    <row r="44" spans="1:17">
      <c r="A44" s="863">
        <v>2000</v>
      </c>
      <c r="B44" s="1167">
        <f>T.A10!B44-T.A13!B44</f>
        <v>483794</v>
      </c>
      <c r="C44" s="1168">
        <f>T.A10!C44-T.A13!C44</f>
        <v>257392</v>
      </c>
      <c r="D44" s="1168">
        <f>T.A10!D44-T.A13!D44</f>
        <v>115554</v>
      </c>
      <c r="E44" s="1168">
        <f>T.A10!E44-T.A13!E44</f>
        <v>-15651</v>
      </c>
      <c r="F44" s="865"/>
      <c r="G44" s="920"/>
      <c r="H44" s="1155">
        <f t="shared" si="5"/>
        <v>1.8795999875676013</v>
      </c>
      <c r="I44" s="1155">
        <f t="shared" si="6"/>
        <v>0.23884959300859457</v>
      </c>
      <c r="J44" s="1155">
        <f t="shared" si="0"/>
        <v>0.30984110300150691</v>
      </c>
      <c r="K44" s="1155">
        <f t="shared" si="1"/>
        <v>0.44894169204948092</v>
      </c>
      <c r="L44" s="1155">
        <f t="shared" si="2"/>
        <v>1.1354431694272806</v>
      </c>
      <c r="M44" s="894">
        <f t="shared" si="3"/>
        <v>0.50974777770870894</v>
      </c>
      <c r="Q44" s="1183">
        <f t="shared" si="4"/>
        <v>0</v>
      </c>
    </row>
    <row r="45" spans="1:17">
      <c r="A45" s="826">
        <v>2001</v>
      </c>
      <c r="B45" s="1163">
        <f>T.A10!B45-T.A13!B45</f>
        <v>488607</v>
      </c>
      <c r="C45" s="1164">
        <f>T.A10!C45-T.A13!C45</f>
        <v>258162</v>
      </c>
      <c r="D45" s="1164">
        <f>T.A10!D45-T.A13!D45</f>
        <v>93994</v>
      </c>
      <c r="E45" s="1164">
        <f>T.A10!E45-T.A13!E45</f>
        <v>-12441</v>
      </c>
      <c r="F45" s="828"/>
      <c r="G45" s="918"/>
      <c r="H45" s="1153">
        <f t="shared" si="5"/>
        <v>1.8926371813047622</v>
      </c>
      <c r="I45" s="1153">
        <f t="shared" si="6"/>
        <v>0.19237137413094776</v>
      </c>
      <c r="J45" s="1153">
        <f t="shared" si="0"/>
        <v>0.26691011937891163</v>
      </c>
      <c r="K45" s="1153">
        <f t="shared" si="1"/>
        <v>0.36408921529892085</v>
      </c>
      <c r="L45" s="1153">
        <f t="shared" si="2"/>
        <v>1.1323595123092964</v>
      </c>
      <c r="M45" s="890">
        <f t="shared" si="3"/>
        <v>0.41227988627296042</v>
      </c>
      <c r="P45" s="1251"/>
      <c r="Q45" s="1183">
        <f t="shared" si="4"/>
        <v>0</v>
      </c>
    </row>
    <row r="46" spans="1:17">
      <c r="A46" s="826">
        <v>2002</v>
      </c>
      <c r="B46" s="1163">
        <f>T.A10!B46-T.A13!B46</f>
        <v>500860</v>
      </c>
      <c r="C46" s="1164">
        <f>T.A10!C46-T.A13!C46</f>
        <v>262065</v>
      </c>
      <c r="D46" s="1164">
        <f>T.A10!D46-T.A13!D46</f>
        <v>106145</v>
      </c>
      <c r="E46" s="1164">
        <f>T.A10!E46-T.A13!E46</f>
        <v>-15661</v>
      </c>
      <c r="F46" s="828"/>
      <c r="G46" s="918"/>
      <c r="H46" s="1153">
        <f t="shared" si="5"/>
        <v>1.911205235342377</v>
      </c>
      <c r="I46" s="1153">
        <f t="shared" si="6"/>
        <v>0.21192548816036416</v>
      </c>
      <c r="J46" s="1153">
        <f t="shared" si="0"/>
        <v>0.2882729963879308</v>
      </c>
      <c r="K46" s="1153">
        <f t="shared" si="1"/>
        <v>0.40503310247457691</v>
      </c>
      <c r="L46" s="1153">
        <f t="shared" si="2"/>
        <v>1.1475434547081822</v>
      </c>
      <c r="M46" s="890">
        <f t="shared" si="3"/>
        <v>0.46479308568484917</v>
      </c>
      <c r="P46" s="1251"/>
      <c r="Q46" s="1183">
        <f t="shared" si="4"/>
        <v>0</v>
      </c>
    </row>
    <row r="47" spans="1:17">
      <c r="A47" s="826">
        <v>2003</v>
      </c>
      <c r="B47" s="1163">
        <f>T.A10!B47-T.A13!B47</f>
        <v>536026</v>
      </c>
      <c r="C47" s="1164">
        <f>T.A10!C47-T.A13!C47</f>
        <v>286079</v>
      </c>
      <c r="D47" s="1164">
        <f>T.A10!D47-T.A13!D47</f>
        <v>149870</v>
      </c>
      <c r="E47" s="1164">
        <f>T.A10!E47-T.A13!E47</f>
        <v>-13259</v>
      </c>
      <c r="F47" s="828"/>
      <c r="G47" s="918"/>
      <c r="H47" s="1153">
        <f t="shared" si="5"/>
        <v>1.8736992229419147</v>
      </c>
      <c r="I47" s="1153">
        <f t="shared" si="6"/>
        <v>0.27959464652834004</v>
      </c>
      <c r="J47" s="1153">
        <f t="shared" si="0"/>
        <v>0.3437787447614285</v>
      </c>
      <c r="K47" s="1153">
        <f t="shared" si="1"/>
        <v>0.52387627193886999</v>
      </c>
      <c r="L47" s="1153">
        <f t="shared" si="2"/>
        <v>1.0884700073396945</v>
      </c>
      <c r="M47" s="890">
        <f t="shared" si="3"/>
        <v>0.5702236095623936</v>
      </c>
      <c r="P47" s="1251"/>
      <c r="Q47" s="1183">
        <f t="shared" si="4"/>
        <v>0</v>
      </c>
    </row>
    <row r="48" spans="1:17">
      <c r="A48" s="826">
        <v>2004</v>
      </c>
      <c r="B48" s="1163">
        <f>T.A10!B48-T.A13!B48</f>
        <v>568743</v>
      </c>
      <c r="C48" s="1164">
        <f>T.A10!C48-T.A13!C48</f>
        <v>323696</v>
      </c>
      <c r="D48" s="1164">
        <f>T.A10!D48-T.A13!D48</f>
        <v>179325</v>
      </c>
      <c r="E48" s="1164">
        <f>T.A10!E48-T.A13!E48</f>
        <v>-15593</v>
      </c>
      <c r="F48" s="828"/>
      <c r="G48" s="918"/>
      <c r="H48" s="1153">
        <f t="shared" si="5"/>
        <v>1.7570281992981069</v>
      </c>
      <c r="I48" s="1153">
        <f t="shared" si="6"/>
        <v>0.31530058391927462</v>
      </c>
      <c r="J48" s="1153">
        <f t="shared" si="0"/>
        <v>0.35649605086069963</v>
      </c>
      <c r="K48" s="1153">
        <f t="shared" si="1"/>
        <v>0.55399201720132463</v>
      </c>
      <c r="L48" s="1153">
        <f t="shared" si="2"/>
        <v>1.0869538547330266</v>
      </c>
      <c r="M48" s="890">
        <f t="shared" si="3"/>
        <v>0.60216375858830506</v>
      </c>
      <c r="P48" s="1251"/>
      <c r="Q48" s="1183">
        <f t="shared" si="4"/>
        <v>0</v>
      </c>
    </row>
    <row r="49" spans="1:17">
      <c r="A49" s="826">
        <v>2005</v>
      </c>
      <c r="B49" s="1163">
        <f>T.A10!B49-T.A13!B49</f>
        <v>570701</v>
      </c>
      <c r="C49" s="1164">
        <f>T.A10!C49-T.A13!C49</f>
        <v>353066</v>
      </c>
      <c r="D49" s="1164">
        <f>T.A10!D49-T.A13!D49</f>
        <v>211106.08577127662</v>
      </c>
      <c r="E49" s="1164">
        <f>T.A10!E49-T.A13!E49</f>
        <v>-28039</v>
      </c>
      <c r="F49" s="828"/>
      <c r="G49" s="918"/>
      <c r="H49" s="1153">
        <f t="shared" si="5"/>
        <v>1.6164144947403603</v>
      </c>
      <c r="I49" s="1153">
        <f t="shared" si="6"/>
        <v>0.36990663372111948</v>
      </c>
      <c r="J49" s="1153">
        <f t="shared" si="0"/>
        <v>0.37418739972339227</v>
      </c>
      <c r="K49" s="1153">
        <f t="shared" si="1"/>
        <v>0.59792244444743081</v>
      </c>
      <c r="L49" s="1153">
        <f t="shared" si="2"/>
        <v>1.1328194774563671</v>
      </c>
      <c r="M49" s="890">
        <f t="shared" si="3"/>
        <v>0.67733819107837234</v>
      </c>
      <c r="P49" s="1251"/>
      <c r="Q49" s="1183">
        <f t="shared" si="4"/>
        <v>0</v>
      </c>
    </row>
    <row r="50" spans="1:17">
      <c r="A50" s="826">
        <v>2006</v>
      </c>
      <c r="B50" s="1163">
        <f>T.A10!B50-T.A13!B50</f>
        <v>630636</v>
      </c>
      <c r="C50" s="1164">
        <f>T.A10!C50-T.A13!C50</f>
        <v>382763</v>
      </c>
      <c r="D50" s="1164">
        <f>T.A10!D50-T.A13!D50</f>
        <v>242865.09520676214</v>
      </c>
      <c r="E50" s="1164">
        <f>T.A10!E50-T.A13!E50</f>
        <v>-23277</v>
      </c>
      <c r="F50" s="828"/>
      <c r="G50" s="918"/>
      <c r="H50" s="1153">
        <f t="shared" si="5"/>
        <v>1.647588716777745</v>
      </c>
      <c r="I50" s="1153">
        <f t="shared" si="6"/>
        <v>0.38511137202246959</v>
      </c>
      <c r="J50" s="1153">
        <f t="shared" si="0"/>
        <v>0.38819403582970213</v>
      </c>
      <c r="K50" s="1153">
        <f t="shared" si="1"/>
        <v>0.63450515124701734</v>
      </c>
      <c r="L50" s="1153">
        <f t="shared" si="2"/>
        <v>1.0958433322012915</v>
      </c>
      <c r="M50" s="890">
        <f t="shared" si="3"/>
        <v>0.69531823924141611</v>
      </c>
      <c r="P50" s="1251"/>
      <c r="Q50" s="1183">
        <f t="shared" si="4"/>
        <v>0</v>
      </c>
    </row>
    <row r="51" spans="1:17">
      <c r="A51" s="826">
        <v>2007</v>
      </c>
      <c r="B51" s="1163">
        <f>T.A10!B51-T.A13!B51</f>
        <v>720696</v>
      </c>
      <c r="C51" s="1164">
        <f>T.A10!C51-T.A13!C51</f>
        <v>417375</v>
      </c>
      <c r="D51" s="1164">
        <f>T.A10!D51-T.A13!D51</f>
        <v>290518.81286992755</v>
      </c>
      <c r="E51" s="1164">
        <f>T.A10!E51-T.A13!E51</f>
        <v>-16643</v>
      </c>
      <c r="F51" s="828"/>
      <c r="G51" s="918"/>
      <c r="H51" s="1153">
        <f t="shared" si="5"/>
        <v>1.7267349505840073</v>
      </c>
      <c r="I51" s="1153">
        <f t="shared" si="6"/>
        <v>0.40310867948473084</v>
      </c>
      <c r="J51" s="1153">
        <f t="shared" si="0"/>
        <v>0.41039885868208476</v>
      </c>
      <c r="K51" s="1153">
        <f t="shared" si="1"/>
        <v>0.69606184575005103</v>
      </c>
      <c r="L51" s="1153">
        <f t="shared" si="2"/>
        <v>1.0572871678621771</v>
      </c>
      <c r="M51" s="890">
        <f t="shared" si="3"/>
        <v>0.73593725754999118</v>
      </c>
      <c r="P51" s="1251"/>
      <c r="Q51" s="1183">
        <f t="shared" si="4"/>
        <v>0</v>
      </c>
    </row>
    <row r="52" spans="1:17">
      <c r="A52" s="826">
        <v>2008</v>
      </c>
      <c r="B52" s="1163">
        <f>T.A10!B52-T.A13!B52</f>
        <v>707981</v>
      </c>
      <c r="C52" s="1164">
        <f>T.A10!C52-T.A13!C52</f>
        <v>426923</v>
      </c>
      <c r="D52" s="1164">
        <f>T.A10!D52-T.A13!D52</f>
        <v>282990.18403735937</v>
      </c>
      <c r="E52" s="1164">
        <f>T.A10!E52-T.A13!E52</f>
        <v>-9941</v>
      </c>
      <c r="F52" s="830"/>
      <c r="G52" s="918"/>
      <c r="H52" s="1153">
        <f t="shared" si="5"/>
        <v>1.658334172672824</v>
      </c>
      <c r="I52" s="1153">
        <f t="shared" si="6"/>
        <v>0.39971437656852282</v>
      </c>
      <c r="J52" s="1153">
        <f t="shared" si="0"/>
        <v>0.39862646644757471</v>
      </c>
      <c r="K52" s="1153">
        <f t="shared" si="1"/>
        <v>0.66286000997219485</v>
      </c>
      <c r="L52" s="1153">
        <f t="shared" si="2"/>
        <v>1.0351284269234144</v>
      </c>
      <c r="M52" s="890">
        <f t="shared" si="3"/>
        <v>0.68614523939295702</v>
      </c>
      <c r="P52" s="1251"/>
      <c r="Q52" s="1183">
        <f t="shared" si="4"/>
        <v>0</v>
      </c>
    </row>
    <row r="53" spans="1:17">
      <c r="A53" s="856">
        <v>2009</v>
      </c>
      <c r="B53" s="1165">
        <f>T.A10!B53-T.A13!B53</f>
        <v>813576</v>
      </c>
      <c r="C53" s="1166">
        <f>T.A10!C53-T.A13!C53</f>
        <v>470362</v>
      </c>
      <c r="D53" s="1166">
        <f>T.A10!D53-T.A13!D53</f>
        <v>268076.5</v>
      </c>
      <c r="E53" s="1166">
        <f>T.A10!E53-T.A13!E53</f>
        <v>-45177.5</v>
      </c>
      <c r="F53" s="884"/>
      <c r="G53" s="919"/>
      <c r="H53" s="1154">
        <f t="shared" si="5"/>
        <v>1.7296805439214902</v>
      </c>
      <c r="I53" s="1154">
        <f t="shared" si="6"/>
        <v>0.32950394308583342</v>
      </c>
      <c r="J53" s="1154">
        <f t="shared" si="0"/>
        <v>0.36303158624584175</v>
      </c>
      <c r="K53" s="1154">
        <f t="shared" si="1"/>
        <v>0.5699365595009801</v>
      </c>
      <c r="L53" s="1154">
        <f t="shared" si="2"/>
        <v>1.1685246562082092</v>
      </c>
      <c r="M53" s="892">
        <f t="shared" si="3"/>
        <v>0.6659849222513724</v>
      </c>
      <c r="P53" s="1251"/>
      <c r="Q53" s="1183">
        <f t="shared" si="4"/>
        <v>0</v>
      </c>
    </row>
    <row r="54" spans="1:17">
      <c r="A54" s="826">
        <v>2010</v>
      </c>
      <c r="B54" s="1163">
        <f>T.A10!B54-T.A13!B54</f>
        <v>810508</v>
      </c>
      <c r="C54" s="1164">
        <f>T.A10!C54-T.A13!C54</f>
        <v>481371</v>
      </c>
      <c r="D54" s="1164">
        <f>T.A10!D54-T.A13!D54</f>
        <v>306710</v>
      </c>
      <c r="E54" s="1164">
        <f>T.A10!E54-T.A13!E54</f>
        <v>-43168</v>
      </c>
      <c r="F54" s="830"/>
      <c r="G54" s="918"/>
      <c r="H54" s="1153">
        <f t="shared" si="5"/>
        <v>1.6837491248953509</v>
      </c>
      <c r="I54" s="1153">
        <f t="shared" si="6"/>
        <v>0.37841699279957752</v>
      </c>
      <c r="J54" s="1153">
        <f t="shared" si="0"/>
        <v>0.38918588317698305</v>
      </c>
      <c r="K54" s="1153">
        <f t="shared" si="1"/>
        <v>0.63715928047181891</v>
      </c>
      <c r="L54" s="1153">
        <f t="shared" si="2"/>
        <v>1.1407453294643148</v>
      </c>
      <c r="M54" s="890">
        <f t="shared" si="3"/>
        <v>0.726836473323071</v>
      </c>
      <c r="P54" s="1251"/>
      <c r="Q54" s="1183">
        <f t="shared" si="4"/>
        <v>0</v>
      </c>
    </row>
    <row r="55" spans="1:17">
      <c r="A55" s="826">
        <v>2011</v>
      </c>
      <c r="B55" s="1163">
        <f>T.A10!B55-T.A13!B55</f>
        <v>872624</v>
      </c>
      <c r="C55" s="1164">
        <f>T.A10!C55-T.A13!C55</f>
        <v>525552</v>
      </c>
      <c r="D55" s="1164">
        <f>T.A10!D55-T.A13!D55</f>
        <v>370590</v>
      </c>
      <c r="E55" s="1164">
        <f>T.A10!E55-T.A13!E55</f>
        <v>-45787</v>
      </c>
      <c r="F55" s="830"/>
      <c r="G55" s="918"/>
      <c r="H55" s="1153">
        <f t="shared" si="5"/>
        <v>1.6603951654641216</v>
      </c>
      <c r="I55" s="1153">
        <f t="shared" si="6"/>
        <v>0.42468462934780615</v>
      </c>
      <c r="J55" s="1153">
        <f t="shared" si="0"/>
        <v>0.41353937210843816</v>
      </c>
      <c r="K55" s="1153">
        <f t="shared" si="1"/>
        <v>0.70514430541601969</v>
      </c>
      <c r="L55" s="1153">
        <f t="shared" si="2"/>
        <v>1.1235516338811085</v>
      </c>
      <c r="M55" s="890">
        <f t="shared" si="3"/>
        <v>0.79226603647212834</v>
      </c>
      <c r="P55" s="1251"/>
      <c r="Q55" s="1183">
        <f t="shared" si="4"/>
        <v>0</v>
      </c>
    </row>
    <row r="56" spans="1:17">
      <c r="A56" s="826">
        <v>2012</v>
      </c>
      <c r="B56" s="1163">
        <f>T.A10!B56-T.A13!B56</f>
        <v>916007</v>
      </c>
      <c r="C56" s="1164">
        <f>T.A10!C56-T.A13!C56</f>
        <v>543631</v>
      </c>
      <c r="D56" s="1164">
        <f>T.A10!D56-T.A13!D56</f>
        <v>369070</v>
      </c>
      <c r="E56" s="1164">
        <f>T.A10!E56-T.A13!E56</f>
        <v>-42410</v>
      </c>
      <c r="F56" s="830"/>
      <c r="G56" s="918"/>
      <c r="H56" s="1153">
        <f t="shared" si="5"/>
        <v>1.6849793334081389</v>
      </c>
      <c r="I56" s="1153">
        <f t="shared" si="6"/>
        <v>0.40291176814150986</v>
      </c>
      <c r="J56" s="1153">
        <f t="shared" si="0"/>
        <v>0.40437120152163741</v>
      </c>
      <c r="K56" s="1153">
        <f t="shared" si="1"/>
        <v>0.67889800250537591</v>
      </c>
      <c r="L56" s="1153">
        <f t="shared" si="2"/>
        <v>1.1149104505920286</v>
      </c>
      <c r="M56" s="890">
        <f t="shared" si="3"/>
        <v>0.75691047787929677</v>
      </c>
      <c r="P56" s="1251"/>
      <c r="Q56" s="1183">
        <f t="shared" si="4"/>
        <v>0</v>
      </c>
    </row>
    <row r="57" spans="1:17">
      <c r="A57" s="826">
        <v>2013</v>
      </c>
      <c r="B57" s="1163">
        <f>T.A10!B57-T.A13!B57</f>
        <v>948035</v>
      </c>
      <c r="C57" s="1164">
        <f>T.A10!C57-T.A13!C57</f>
        <v>551061</v>
      </c>
      <c r="D57" s="1164">
        <f>T.A10!D57-T.A13!D57</f>
        <v>353681</v>
      </c>
      <c r="E57" s="1164">
        <f>T.A10!E57-T.A13!E57</f>
        <v>-36766</v>
      </c>
      <c r="F57" s="830"/>
      <c r="G57" s="1158"/>
      <c r="H57" s="1153">
        <f t="shared" si="5"/>
        <v>1.7203812282124846</v>
      </c>
      <c r="I57" s="1153">
        <f t="shared" si="6"/>
        <v>0.3730674500414014</v>
      </c>
      <c r="J57" s="1153">
        <f t="shared" si="0"/>
        <v>0.39091917916931013</v>
      </c>
      <c r="K57" s="1153">
        <f t="shared" si="1"/>
        <v>0.64181823790832582</v>
      </c>
      <c r="L57" s="1153">
        <f t="shared" si="2"/>
        <v>1.1039524317110616</v>
      </c>
      <c r="M57" s="890">
        <f t="shared" si="3"/>
        <v>0.70853680445540512</v>
      </c>
      <c r="P57" s="1251"/>
      <c r="Q57" s="1183">
        <f t="shared" si="4"/>
        <v>0</v>
      </c>
    </row>
    <row r="58" spans="1:17">
      <c r="A58" s="826">
        <v>2014</v>
      </c>
      <c r="B58" s="1163">
        <f>T.A10!B58-T.A13!B58</f>
        <v>1038680</v>
      </c>
      <c r="C58" s="1164">
        <f>T.A10!C58-T.A13!C58</f>
        <v>620009</v>
      </c>
      <c r="D58" s="1164">
        <f>T.A10!D58-T.A13!D58</f>
        <v>410329</v>
      </c>
      <c r="E58" s="1164">
        <f>T.A10!E58-T.A13!E58</f>
        <v>-48916</v>
      </c>
      <c r="F58" s="830">
        <f>T.A10!F58-T.A13!F58</f>
        <v>13958.6</v>
      </c>
      <c r="G58" s="1158">
        <f>(T.A10!G58*T.A10!F58-T.A13!F58*T.A13!G58)/(T.A10!F58-T.A13!F58)</f>
        <v>44.417706646798386</v>
      </c>
      <c r="H58" s="1153">
        <f>B58/C58</f>
        <v>1.6752660042031648</v>
      </c>
      <c r="I58" s="1153">
        <f>D58/B58</f>
        <v>0.39504852312550542</v>
      </c>
      <c r="J58" s="1153">
        <f>D58/(D58+C58)</f>
        <v>0.39824698302887013</v>
      </c>
      <c r="K58" s="1153">
        <f>J58/(1-J58)</f>
        <v>0.6618113608028271</v>
      </c>
      <c r="L58" s="1153">
        <f>1-E58/D58</f>
        <v>1.1192116569874417</v>
      </c>
      <c r="M58" s="890">
        <f>(D58-E58)/C58</f>
        <v>0.7407069897372458</v>
      </c>
      <c r="P58" s="1251"/>
      <c r="Q58" s="1183">
        <f>M58-L58*K58</f>
        <v>0</v>
      </c>
    </row>
    <row r="59" spans="1:17">
      <c r="A59" s="826">
        <v>2015</v>
      </c>
      <c r="B59" s="1163">
        <f>T.A10!B59-T.A13!B59</f>
        <v>1009004</v>
      </c>
      <c r="C59" s="1164">
        <f>T.A10!C59-T.A13!C59</f>
        <v>599527</v>
      </c>
      <c r="D59" s="1164">
        <f>T.A10!D59-T.A13!D59</f>
        <v>396381</v>
      </c>
      <c r="E59" s="1164">
        <f>T.A10!E59-T.A13!E59</f>
        <v>-51269</v>
      </c>
      <c r="F59" s="830"/>
      <c r="G59" s="1158"/>
      <c r="H59" s="1153">
        <f>B59/C59</f>
        <v>1.6830000984109139</v>
      </c>
      <c r="I59" s="1153">
        <f>D59/B59</f>
        <v>0.3928438341176051</v>
      </c>
      <c r="J59" s="1153">
        <f>D59/(D59+C59)</f>
        <v>0.39800965551034834</v>
      </c>
      <c r="K59" s="1153">
        <f>J59/(1-J59)</f>
        <v>0.66115621148004999</v>
      </c>
      <c r="L59" s="1153">
        <f>1-E59/D59</f>
        <v>1.1293427283346074</v>
      </c>
      <c r="M59" s="890">
        <f>(D59-E59)/C59</f>
        <v>0.7466719597282524</v>
      </c>
      <c r="P59" s="1251"/>
      <c r="Q59" s="1183">
        <f>M59-L59*K59</f>
        <v>0</v>
      </c>
    </row>
    <row r="60" spans="1:17">
      <c r="A60" s="826">
        <v>2016</v>
      </c>
      <c r="B60" s="1163">
        <f>T.A10!B60-T.A13!B60</f>
        <v>1010824</v>
      </c>
      <c r="C60" s="1164">
        <f>T.A10!C60-T.A13!C60</f>
        <v>589074</v>
      </c>
      <c r="D60" s="1164">
        <f>T.A10!D60-T.A13!D60</f>
        <v>369276</v>
      </c>
      <c r="E60" s="1164">
        <f>T.A10!E60-T.A13!E60</f>
        <v>-49806</v>
      </c>
      <c r="F60" s="830"/>
      <c r="G60" s="1158"/>
      <c r="H60" s="1153">
        <f>B60/C60</f>
        <v>1.7159541925123158</v>
      </c>
      <c r="I60" s="1153">
        <f>D60/B60</f>
        <v>0.36532175729899569</v>
      </c>
      <c r="J60" s="1153">
        <f>D60/(D60+C60)</f>
        <v>0.38532477696040068</v>
      </c>
      <c r="K60" s="1153">
        <f>J60/(1-J60)</f>
        <v>0.6268754010531784</v>
      </c>
      <c r="L60" s="1153">
        <f>1-E60/D60</f>
        <v>1.1348747278458389</v>
      </c>
      <c r="M60" s="890">
        <f>(D60-E60)/C60</f>
        <v>0.7114250501634769</v>
      </c>
    </row>
    <row r="61" spans="1:17" ht="16" thickBot="1">
      <c r="A61" s="819"/>
      <c r="B61" s="820"/>
      <c r="C61" s="821"/>
      <c r="D61" s="821"/>
      <c r="E61" s="821"/>
      <c r="F61" s="821"/>
      <c r="G61" s="822"/>
      <c r="H61" s="1157"/>
      <c r="I61" s="1157"/>
      <c r="J61" s="1151"/>
      <c r="K61" s="821"/>
      <c r="L61" s="821"/>
      <c r="M61" s="1150"/>
    </row>
    <row r="62" spans="1:17" ht="16" thickTop="1"/>
    <row r="63" spans="1:17">
      <c r="A63" s="829" t="s">
        <v>2457</v>
      </c>
    </row>
    <row r="64" spans="1:17">
      <c r="A64" s="829" t="s">
        <v>2455</v>
      </c>
    </row>
    <row r="65" spans="1:17">
      <c r="A65" s="829" t="s">
        <v>1201</v>
      </c>
    </row>
    <row r="66" spans="1:17">
      <c r="A66" s="829" t="s">
        <v>722</v>
      </c>
      <c r="B66" s="855"/>
      <c r="C66" s="855"/>
      <c r="D66" s="855"/>
      <c r="E66" s="855"/>
    </row>
    <row r="67" spans="1:17">
      <c r="A67" s="829" t="s">
        <v>723</v>
      </c>
      <c r="B67" s="855"/>
      <c r="C67" s="855"/>
      <c r="D67" s="855"/>
      <c r="E67" s="855"/>
    </row>
    <row r="68" spans="1:17">
      <c r="A68" s="829" t="s">
        <v>2456</v>
      </c>
      <c r="B68" s="855"/>
      <c r="C68" s="855"/>
      <c r="D68" s="855"/>
      <c r="E68" s="855"/>
    </row>
    <row r="69" spans="1:17" s="825" customFormat="1">
      <c r="B69" s="805"/>
      <c r="C69" s="805"/>
      <c r="D69" s="805"/>
      <c r="E69" s="805"/>
      <c r="F69" s="805"/>
      <c r="G69" s="805"/>
      <c r="H69" s="805"/>
      <c r="I69" s="805"/>
      <c r="J69" s="805"/>
      <c r="K69" s="805"/>
      <c r="L69" s="805"/>
      <c r="Q69" s="1184"/>
    </row>
    <row r="70" spans="1:17" s="825" customFormat="1">
      <c r="A70" s="805"/>
      <c r="B70" s="805"/>
      <c r="C70" s="805"/>
      <c r="D70" s="805"/>
      <c r="E70" s="805"/>
      <c r="F70" s="805"/>
      <c r="G70" s="805"/>
      <c r="H70" s="805"/>
      <c r="I70" s="805"/>
      <c r="J70" s="805"/>
      <c r="K70" s="805"/>
      <c r="L70" s="805"/>
      <c r="Q70" s="1184"/>
    </row>
    <row r="72" spans="1:17" s="825" customFormat="1">
      <c r="A72" s="805"/>
      <c r="B72" s="805"/>
      <c r="C72" s="805"/>
      <c r="D72" s="805"/>
      <c r="E72" s="805"/>
      <c r="F72" s="805"/>
      <c r="G72" s="805"/>
      <c r="H72" s="805"/>
      <c r="I72" s="805"/>
      <c r="J72" s="805"/>
      <c r="K72" s="805"/>
      <c r="L72" s="805"/>
      <c r="Q72" s="1184"/>
    </row>
  </sheetData>
  <mergeCells count="10">
    <mergeCell ref="A3:M3"/>
    <mergeCell ref="B6:M6"/>
    <mergeCell ref="B7:E7"/>
    <mergeCell ref="F7:G7"/>
    <mergeCell ref="H7:H8"/>
    <mergeCell ref="I7:I8"/>
    <mergeCell ref="J7:J8"/>
    <mergeCell ref="K7:K8"/>
    <mergeCell ref="L7:L8"/>
    <mergeCell ref="M7:M8"/>
  </mergeCells>
  <pageMargins left="0.75" right="0.75" top="1" bottom="1" header="0.5" footer="0.5"/>
  <pageSetup scale="48" orientation="portrait" horizontalDpi="4294967292" verticalDpi="429496729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P65"/>
  <sheetViews>
    <sheetView workbookViewId="0">
      <pane xSplit="1" ySplit="9" topLeftCell="B32" activePane="bottomRight" state="frozen"/>
      <selection activeCell="X67" sqref="X67"/>
      <selection pane="topRight" activeCell="X67" sqref="X67"/>
      <selection pane="bottomLeft" activeCell="X67" sqref="X67"/>
      <selection pane="bottomRight" activeCell="R58" sqref="R58"/>
    </sheetView>
  </sheetViews>
  <sheetFormatPr baseColWidth="10" defaultColWidth="9.28515625" defaultRowHeight="15" x14ac:dyDescent="0"/>
  <cols>
    <col min="1" max="1" width="16.28515625" style="805" customWidth="1"/>
    <col min="2" max="6" width="9.7109375" style="805" customWidth="1"/>
    <col min="7" max="7" width="9.7109375" style="825" customWidth="1"/>
    <col min="8" max="8" width="9.28515625" style="805" customWidth="1"/>
    <col min="9" max="12" width="9.28515625" style="805"/>
    <col min="13" max="13" width="9.28515625" style="825" customWidth="1"/>
    <col min="14" max="16384" width="9.28515625" style="805"/>
  </cols>
  <sheetData>
    <row r="2" spans="1:13" ht="16" thickBot="1"/>
    <row r="3" spans="1:13" ht="32" customHeight="1" thickTop="1">
      <c r="A3" s="1793" t="s">
        <v>3219</v>
      </c>
      <c r="B3" s="1794"/>
      <c r="C3" s="1794"/>
      <c r="D3" s="1794"/>
      <c r="E3" s="1794"/>
      <c r="F3" s="1794"/>
      <c r="G3" s="1794"/>
      <c r="H3" s="1794"/>
      <c r="I3" s="1794"/>
      <c r="J3" s="1794"/>
      <c r="K3" s="1794"/>
      <c r="L3" s="1794"/>
      <c r="M3" s="1795"/>
    </row>
    <row r="4" spans="1:13" ht="12" customHeight="1">
      <c r="A4" s="806"/>
      <c r="B4" s="807"/>
      <c r="C4" s="807"/>
      <c r="D4" s="807"/>
      <c r="E4" s="807"/>
      <c r="F4" s="807"/>
      <c r="G4" s="807"/>
      <c r="H4" s="887"/>
      <c r="I4" s="887"/>
      <c r="J4" s="887"/>
      <c r="K4" s="887"/>
      <c r="L4" s="887"/>
      <c r="M4" s="1185"/>
    </row>
    <row r="5" spans="1:13">
      <c r="A5" s="809"/>
      <c r="B5" s="1169" t="s">
        <v>2411</v>
      </c>
      <c r="C5" s="1169" t="s">
        <v>2412</v>
      </c>
      <c r="D5" s="1169" t="s">
        <v>2413</v>
      </c>
      <c r="E5" s="1169" t="s">
        <v>2414</v>
      </c>
      <c r="F5" s="1169" t="s">
        <v>2415</v>
      </c>
      <c r="G5" s="1169" t="s">
        <v>2416</v>
      </c>
      <c r="H5" s="1169" t="s">
        <v>2417</v>
      </c>
      <c r="I5" s="1169" t="s">
        <v>2429</v>
      </c>
      <c r="J5" s="1169" t="s">
        <v>2430</v>
      </c>
      <c r="K5" s="1169" t="s">
        <v>2431</v>
      </c>
      <c r="L5" s="1169" t="s">
        <v>2432</v>
      </c>
      <c r="M5" s="1170" t="s">
        <v>2433</v>
      </c>
    </row>
    <row r="6" spans="1:13" ht="21" customHeight="1">
      <c r="A6" s="809"/>
      <c r="B6" s="1748" t="s">
        <v>2595</v>
      </c>
      <c r="C6" s="1749"/>
      <c r="D6" s="1749"/>
      <c r="E6" s="1749"/>
      <c r="F6" s="1749"/>
      <c r="G6" s="1749"/>
      <c r="H6" s="1748" t="s">
        <v>2594</v>
      </c>
      <c r="I6" s="1749"/>
      <c r="J6" s="1749"/>
      <c r="K6" s="1749"/>
      <c r="L6" s="1749"/>
      <c r="M6" s="1840"/>
    </row>
    <row r="7" spans="1:13" ht="21" customHeight="1">
      <c r="A7" s="809"/>
      <c r="B7" s="1852" t="s">
        <v>2577</v>
      </c>
      <c r="C7" s="1851" t="s">
        <v>2578</v>
      </c>
      <c r="D7" s="1851" t="s">
        <v>2214</v>
      </c>
      <c r="E7" s="1743" t="s">
        <v>2575</v>
      </c>
      <c r="F7" s="1743" t="s">
        <v>2583</v>
      </c>
      <c r="G7" s="1757" t="s">
        <v>2269</v>
      </c>
      <c r="H7" s="1853" t="s">
        <v>2577</v>
      </c>
      <c r="I7" s="1854" t="s">
        <v>2578</v>
      </c>
      <c r="J7" s="1854" t="s">
        <v>2214</v>
      </c>
      <c r="K7" s="1774" t="s">
        <v>2575</v>
      </c>
      <c r="L7" s="1774" t="s">
        <v>2583</v>
      </c>
      <c r="M7" s="1769" t="s">
        <v>2269</v>
      </c>
    </row>
    <row r="8" spans="1:13" ht="85" customHeight="1">
      <c r="A8" s="809"/>
      <c r="B8" s="1852"/>
      <c r="C8" s="1851"/>
      <c r="D8" s="1851"/>
      <c r="E8" s="1743"/>
      <c r="F8" s="1744"/>
      <c r="G8" s="1757"/>
      <c r="H8" s="1852"/>
      <c r="I8" s="1851"/>
      <c r="J8" s="1851"/>
      <c r="K8" s="1743"/>
      <c r="L8" s="1744"/>
      <c r="M8" s="1770"/>
    </row>
    <row r="9" spans="1:13" ht="33" customHeight="1">
      <c r="A9" s="809"/>
      <c r="B9" s="1160" t="s">
        <v>2265</v>
      </c>
      <c r="C9" s="1141" t="s">
        <v>2264</v>
      </c>
      <c r="D9" s="1141" t="s">
        <v>2579</v>
      </c>
      <c r="E9" s="1146" t="s">
        <v>2266</v>
      </c>
      <c r="F9" s="1137" t="s">
        <v>2268</v>
      </c>
      <c r="G9" s="1172" t="s">
        <v>2267</v>
      </c>
      <c r="H9" s="1160" t="s">
        <v>2265</v>
      </c>
      <c r="I9" s="1141" t="s">
        <v>2264</v>
      </c>
      <c r="J9" s="1141" t="s">
        <v>2579</v>
      </c>
      <c r="K9" s="1146" t="s">
        <v>2266</v>
      </c>
      <c r="L9" s="1188" t="s">
        <v>2268</v>
      </c>
      <c r="M9" s="1238" t="s">
        <v>2267</v>
      </c>
    </row>
    <row r="10" spans="1:13" ht="14" customHeight="1">
      <c r="A10" s="921">
        <v>1966</v>
      </c>
      <c r="B10" s="1248">
        <f t="shared" ref="B10:B19" si="0">AVERAGE(B11:B15)</f>
        <v>1.0755128012839048</v>
      </c>
      <c r="C10" s="1252">
        <f t="shared" ref="C10:C25" si="1">G10/(F10*B10)</f>
        <v>0.73942345259071973</v>
      </c>
      <c r="D10" s="1152">
        <f>T.A11!J10/T.A12!J10</f>
        <v>0.87056882884210385</v>
      </c>
      <c r="E10" s="1152">
        <f>T.A11!K10/T.A12!K10</f>
        <v>0.79525938883086145</v>
      </c>
      <c r="F10" s="1152">
        <f>T.A11!L10/T.A12!L10</f>
        <v>1.0430360026950636</v>
      </c>
      <c r="G10" s="1142">
        <f>T.A11!M10/T.A12!M10</f>
        <v>0.82948417403186103</v>
      </c>
      <c r="H10" s="1248">
        <f t="shared" ref="H10:H24" si="2">H$26</f>
        <v>1.1419210399090156</v>
      </c>
      <c r="I10" s="1252">
        <f t="shared" ref="I10:I24" si="3">M10/(L10*H10)</f>
        <v>0.89031556681806312</v>
      </c>
      <c r="J10" s="1152">
        <f>T.A11b!J10/T.A12b!J10</f>
        <v>1.0109467485700681</v>
      </c>
      <c r="K10" s="1152">
        <f>T.A11b!K10/T.A12b!K10</f>
        <v>1.0166700779080675</v>
      </c>
      <c r="L10" s="1152">
        <f>T.A11b!L10/T.A12b!L10</f>
        <v>1.0404056522486462</v>
      </c>
      <c r="M10" s="925">
        <f>T.A11b!M10/T.A12b!M10</f>
        <v>1.0577492955276249</v>
      </c>
    </row>
    <row r="11" spans="1:13" ht="14" customHeight="1">
      <c r="A11" s="826">
        <v>1967</v>
      </c>
      <c r="B11" s="1247">
        <f t="shared" si="0"/>
        <v>1.0757712510324493</v>
      </c>
      <c r="C11" s="1253">
        <f t="shared" si="1"/>
        <v>0.82054760930230752</v>
      </c>
      <c r="D11" s="1153">
        <f>T.A11!J11/T.A12!J11</f>
        <v>0.92832623276975057</v>
      </c>
      <c r="E11" s="1153">
        <f>T.A11!K11/T.A12!K11</f>
        <v>0.88272152819082894</v>
      </c>
      <c r="F11" s="1153">
        <f>T.A11!L11/T.A12!L11</f>
        <v>1.0329036039642052</v>
      </c>
      <c r="G11" s="1143">
        <f>T.A11!M11/T.A12!M11</f>
        <v>0.91176624776509785</v>
      </c>
      <c r="H11" s="1247">
        <f t="shared" si="2"/>
        <v>1.1419210399090156</v>
      </c>
      <c r="I11" s="1253">
        <f t="shared" si="3"/>
        <v>1.0547027103995628</v>
      </c>
      <c r="J11" s="1153">
        <f>T.A11b!J11/T.A12b!J11</f>
        <v>1.1304075698002254</v>
      </c>
      <c r="K11" s="1153">
        <f>T.A11b!K11/T.A12b!K11</f>
        <v>1.2043872158543263</v>
      </c>
      <c r="L11" s="1153">
        <f>T.A11b!L11/T.A12b!L11</f>
        <v>1.029034516930885</v>
      </c>
      <c r="M11" s="890">
        <f>T.A11b!M11/T.A12b!M11</f>
        <v>1.23935601686439</v>
      </c>
    </row>
    <row r="12" spans="1:13" ht="14" customHeight="1">
      <c r="A12" s="826">
        <v>1968</v>
      </c>
      <c r="B12" s="1247">
        <f t="shared" si="0"/>
        <v>1.0760272227169689</v>
      </c>
      <c r="C12" s="1253">
        <f t="shared" si="1"/>
        <v>0.77841014625496252</v>
      </c>
      <c r="D12" s="1153">
        <f>T.A11!J12/T.A12!J12</f>
        <v>0.89896205613084945</v>
      </c>
      <c r="E12" s="1153">
        <f>T.A11!K12/T.A12!K12</f>
        <v>0.837590507809437</v>
      </c>
      <c r="F12" s="1153">
        <f>T.A11!L12/T.A12!L12</f>
        <v>1.0692115304475784</v>
      </c>
      <c r="G12" s="1143">
        <f>T.A11!M12/T.A12!M12</f>
        <v>0.89556142874329236</v>
      </c>
      <c r="H12" s="1247">
        <f t="shared" si="2"/>
        <v>1.1419210399090156</v>
      </c>
      <c r="I12" s="1253">
        <f t="shared" si="3"/>
        <v>1.0267920304824631</v>
      </c>
      <c r="J12" s="1153">
        <f>T.A11b!J12/T.A12b!J12</f>
        <v>1.1120466273007972</v>
      </c>
      <c r="K12" s="1153">
        <f>T.A11b!K12/T.A12b!K12</f>
        <v>1.1725154232188237</v>
      </c>
      <c r="L12" s="1153">
        <f>T.A11b!L12/T.A12b!L12</f>
        <v>1.0718687153966906</v>
      </c>
      <c r="M12" s="890">
        <f>T.A11b!M12/T.A12b!M12</f>
        <v>1.2567826004683678</v>
      </c>
    </row>
    <row r="13" spans="1:13" ht="14" customHeight="1">
      <c r="A13" s="856">
        <v>1969</v>
      </c>
      <c r="B13" s="1249">
        <f t="shared" si="0"/>
        <v>1.0759760604500295</v>
      </c>
      <c r="C13" s="1254">
        <f t="shared" si="1"/>
        <v>0.81146105618061914</v>
      </c>
      <c r="D13" s="1154">
        <f>T.A11!J13/T.A12!J13</f>
        <v>0.92251555957681153</v>
      </c>
      <c r="E13" s="1154">
        <f>T.A11!K13/T.A12!K13</f>
        <v>0.87311267043784235</v>
      </c>
      <c r="F13" s="1154">
        <f>T.A11!L13/T.A12!L13</f>
        <v>1.0733123620347638</v>
      </c>
      <c r="G13" s="1144">
        <f>T.A11!M13/T.A12!M13</f>
        <v>0.93712262263012114</v>
      </c>
      <c r="H13" s="1249">
        <f t="shared" si="2"/>
        <v>1.1419210399090156</v>
      </c>
      <c r="I13" s="1254">
        <f t="shared" si="3"/>
        <v>1.0479394898425263</v>
      </c>
      <c r="J13" s="1154">
        <f>T.A11b!J13/T.A12b!J13</f>
        <v>1.1256373279865561</v>
      </c>
      <c r="K13" s="1154">
        <f>T.A11b!K13/T.A12b!K13</f>
        <v>1.1966641520027006</v>
      </c>
      <c r="L13" s="1154">
        <f>T.A11b!L13/T.A12b!L13</f>
        <v>1.0761688258171072</v>
      </c>
      <c r="M13" s="892">
        <f>T.A11b!M13/T.A12b!M13</f>
        <v>1.287812655358171</v>
      </c>
    </row>
    <row r="14" spans="1:13" ht="14" customHeight="1">
      <c r="A14" s="863">
        <v>1970</v>
      </c>
      <c r="B14" s="1250">
        <f t="shared" si="0"/>
        <v>1.075443824788507</v>
      </c>
      <c r="C14" s="1255">
        <f t="shared" si="1"/>
        <v>1.133251754145381</v>
      </c>
      <c r="D14" s="1155">
        <f>T.A11!J14/T.A12!J14</f>
        <v>1.1164754315740708</v>
      </c>
      <c r="E14" s="1155">
        <f>T.A11!K14/T.A12!K14</f>
        <v>1.2187486009263933</v>
      </c>
      <c r="F14" s="1155">
        <f>T.A11!L14/T.A12!L14</f>
        <v>1.0014880088175278</v>
      </c>
      <c r="G14" s="1145">
        <f>T.A11!M14/T.A12!M14</f>
        <v>1.2205621095909216</v>
      </c>
      <c r="H14" s="1250">
        <f t="shared" si="2"/>
        <v>1.1419210399090156</v>
      </c>
      <c r="I14" s="1255">
        <f t="shared" si="3"/>
        <v>1.487806565821296</v>
      </c>
      <c r="J14" s="1155">
        <f>T.A11b!J14/T.A12b!J14</f>
        <v>1.3930033237103208</v>
      </c>
      <c r="K14" s="1155">
        <f>T.A11b!K14/T.A12b!K14</f>
        <v>1.6989576208261152</v>
      </c>
      <c r="L14" s="1155">
        <f>T.A11b!L14/T.A12b!L14</f>
        <v>0.99117241651460275</v>
      </c>
      <c r="M14" s="894">
        <f>T.A11b!M14/T.A12b!M14</f>
        <v>1.6839599305901212</v>
      </c>
    </row>
    <row r="15" spans="1:13" ht="14" customHeight="1">
      <c r="A15" s="826">
        <v>1971</v>
      </c>
      <c r="B15" s="1247">
        <f t="shared" si="0"/>
        <v>1.0743456474315702</v>
      </c>
      <c r="C15" s="1253">
        <f t="shared" si="1"/>
        <v>1.1186723390886331</v>
      </c>
      <c r="D15" s="1153">
        <f>T.A11!J15/T.A12!J15</f>
        <v>1.0999043417737076</v>
      </c>
      <c r="E15" s="1153">
        <f>T.A11!K15/T.A12!K15</f>
        <v>1.2018407584019664</v>
      </c>
      <c r="F15" s="1153">
        <f>T.A11!L15/T.A12!L15</f>
        <v>1.0193362449417072</v>
      </c>
      <c r="G15" s="1143">
        <f>T.A11!M15/T.A12!M15</f>
        <v>1.225079845687354</v>
      </c>
      <c r="H15" s="1247">
        <f t="shared" si="2"/>
        <v>1.1419210399090156</v>
      </c>
      <c r="I15" s="1253">
        <f t="shared" si="3"/>
        <v>1.5354910991422088</v>
      </c>
      <c r="J15" s="1153">
        <f>T.A11b!J15/T.A12b!J15</f>
        <v>1.3964204252749166</v>
      </c>
      <c r="K15" s="1153">
        <f>T.A11b!K15/T.A12b!K15</f>
        <v>1.7534095927035078</v>
      </c>
      <c r="L15" s="1153">
        <f>T.A11b!L15/T.A12b!L15</f>
        <v>1.0128293294642239</v>
      </c>
      <c r="M15" s="890">
        <f>T.A11b!M15/T.A12b!M15</f>
        <v>1.7759046620540324</v>
      </c>
    </row>
    <row r="16" spans="1:13" ht="14" customHeight="1">
      <c r="A16" s="826">
        <v>1972</v>
      </c>
      <c r="B16" s="1247">
        <f t="shared" si="0"/>
        <v>1.0770634997751705</v>
      </c>
      <c r="C16" s="1253">
        <f t="shared" si="1"/>
        <v>1.0358283757031248</v>
      </c>
      <c r="D16" s="1153">
        <f>T.A11!J16/T.A12!J16</f>
        <v>1.0578161520326517</v>
      </c>
      <c r="E16" s="1153">
        <f>T.A11!K16/T.A12!K16</f>
        <v>1.1156529355012379</v>
      </c>
      <c r="F16" s="1153">
        <f>T.A11!L16/T.A12!L16</f>
        <v>1.0457685537022181</v>
      </c>
      <c r="G16" s="1143">
        <f>T.A11!M16/T.A12!M16</f>
        <v>1.1667147567927634</v>
      </c>
      <c r="H16" s="1247">
        <f t="shared" si="2"/>
        <v>1.1419210399090156</v>
      </c>
      <c r="I16" s="1253">
        <f t="shared" si="3"/>
        <v>1.4827990814038137</v>
      </c>
      <c r="J16" s="1153">
        <f>T.A11b!J16/T.A12b!J16</f>
        <v>1.3700137240109074</v>
      </c>
      <c r="K16" s="1153">
        <f>T.A11b!K16/T.A12b!K16</f>
        <v>1.6932394690127757</v>
      </c>
      <c r="L16" s="1153">
        <f>T.A11b!L16/T.A12b!L16</f>
        <v>1.0445200301281345</v>
      </c>
      <c r="M16" s="890">
        <f>T.A11b!M16/T.A12b!M16</f>
        <v>1.7686225411873713</v>
      </c>
    </row>
    <row r="17" spans="1:13" ht="14" customHeight="1">
      <c r="A17" s="826">
        <v>1973</v>
      </c>
      <c r="B17" s="1247">
        <f t="shared" si="0"/>
        <v>1.0773070811395677</v>
      </c>
      <c r="C17" s="1253">
        <f t="shared" si="1"/>
        <v>1.1668496545211944</v>
      </c>
      <c r="D17" s="1153">
        <f>T.A11!J17/T.A12!J17</f>
        <v>1.1053056837732786</v>
      </c>
      <c r="E17" s="1153">
        <f>T.A11!K17/T.A12!K17</f>
        <v>1.2570553954409411</v>
      </c>
      <c r="F17" s="1153">
        <f>T.A11!L17/T.A12!L17</f>
        <v>1.0936915330193862</v>
      </c>
      <c r="G17" s="1143">
        <f>T.A11!M17/T.A12!M17</f>
        <v>1.3748308425300935</v>
      </c>
      <c r="H17" s="1247">
        <f t="shared" si="2"/>
        <v>1.1419210399090156</v>
      </c>
      <c r="I17" s="1253">
        <f t="shared" si="3"/>
        <v>1.3671681903709452</v>
      </c>
      <c r="J17" s="1153">
        <f>T.A11b!J17/T.A12b!J17</f>
        <v>1.3054020489580003</v>
      </c>
      <c r="K17" s="1153">
        <f>T.A11b!K17/T.A12b!K17</f>
        <v>1.5611981216789164</v>
      </c>
      <c r="L17" s="1153">
        <f>T.A11b!L17/T.A12b!L17</f>
        <v>1.1480759638211995</v>
      </c>
      <c r="M17" s="890">
        <f>T.A11b!M17/T.A12b!M17</f>
        <v>1.7923740382623685</v>
      </c>
    </row>
    <row r="18" spans="1:13" ht="14" customHeight="1">
      <c r="A18" s="826">
        <v>1974</v>
      </c>
      <c r="B18" s="1247">
        <f t="shared" si="0"/>
        <v>1.0757202491153326</v>
      </c>
      <c r="C18" s="1253">
        <f t="shared" si="1"/>
        <v>0.93502580777230959</v>
      </c>
      <c r="D18" s="1153">
        <f>T.A11!J18/T.A12!J18</f>
        <v>1.0021275587499114</v>
      </c>
      <c r="E18" s="1153">
        <f>T.A11!K18/T.A12!K18</f>
        <v>1.0058261948660936</v>
      </c>
      <c r="F18" s="1153">
        <f>T.A11!L18/T.A12!L18</f>
        <v>1.0888255315101605</v>
      </c>
      <c r="G18" s="1143">
        <f>T.A11!M18/T.A12!M18</f>
        <v>1.0951692412319169</v>
      </c>
      <c r="H18" s="1247">
        <f t="shared" si="2"/>
        <v>1.1419210399090156</v>
      </c>
      <c r="I18" s="1253">
        <f t="shared" si="3"/>
        <v>1.4851445203263267</v>
      </c>
      <c r="J18" s="1153">
        <f>T.A11b!J18/T.A12b!J18</f>
        <v>1.3886721919665987</v>
      </c>
      <c r="K18" s="1153">
        <f>T.A11b!K18/T.A12b!K18</f>
        <v>1.6959177750662153</v>
      </c>
      <c r="L18" s="1153">
        <f>T.A11b!L18/T.A12b!L18</f>
        <v>1.2304020392667738</v>
      </c>
      <c r="M18" s="890">
        <f>T.A11b!M18/T.A12b!M18</f>
        <v>2.086660688870241</v>
      </c>
    </row>
    <row r="19" spans="1:13" ht="14" customHeight="1">
      <c r="A19" s="826">
        <v>1975</v>
      </c>
      <c r="B19" s="1247">
        <f t="shared" si="0"/>
        <v>1.0727826464808938</v>
      </c>
      <c r="C19" s="1253">
        <f t="shared" si="1"/>
        <v>0.82598464672704697</v>
      </c>
      <c r="D19" s="1153">
        <f>T.A11!J19/T.A12!J19</f>
        <v>0.95069215396455342</v>
      </c>
      <c r="E19" s="1153">
        <f>T.A11!K19/T.A12!K19</f>
        <v>0.88610199526842726</v>
      </c>
      <c r="F19" s="1153">
        <f>T.A11!L19/T.A12!L19</f>
        <v>1.1334605940834244</v>
      </c>
      <c r="G19" s="1143">
        <f>T.A11!M19/T.A12!M19</f>
        <v>1.0043616939754596</v>
      </c>
      <c r="H19" s="1247">
        <f t="shared" si="2"/>
        <v>1.1419210399090156</v>
      </c>
      <c r="I19" s="1253">
        <f t="shared" si="3"/>
        <v>1.3951128951952028</v>
      </c>
      <c r="J19" s="1153">
        <f>T.A11b!J19/T.A12b!J19</f>
        <v>1.3427317321984682</v>
      </c>
      <c r="K19" s="1153">
        <f>T.A11b!K19/T.A12b!K19</f>
        <v>1.5931087680717839</v>
      </c>
      <c r="L19" s="1153">
        <f>T.A11b!L19/T.A12b!L19</f>
        <v>1.2862084193964352</v>
      </c>
      <c r="M19" s="890">
        <f>T.A11b!M19/T.A12b!M19</f>
        <v>2.0490699105082109</v>
      </c>
    </row>
    <row r="20" spans="1:13" ht="14" customHeight="1">
      <c r="A20" s="826">
        <v>1976</v>
      </c>
      <c r="B20" s="1247">
        <f>AVERAGE(B21:B25)</f>
        <v>1.0688547606468872</v>
      </c>
      <c r="C20" s="1253">
        <f t="shared" si="1"/>
        <v>0.64802104282777073</v>
      </c>
      <c r="D20" s="1153">
        <f>T.A11!J20/T.A12!J20</f>
        <v>0.85471245340995006</v>
      </c>
      <c r="E20" s="1153">
        <f>T.A11!K20/T.A12!K20</f>
        <v>0.69264037662582323</v>
      </c>
      <c r="F20" s="1153">
        <f>T.A11!L20/T.A12!L20</f>
        <v>1.1485582154666243</v>
      </c>
      <c r="G20" s="1143">
        <f>T.A11!M20/T.A12!M20</f>
        <v>0.795537794937486</v>
      </c>
      <c r="H20" s="1247">
        <f t="shared" si="2"/>
        <v>1.1419210399090156</v>
      </c>
      <c r="I20" s="1253">
        <f t="shared" si="3"/>
        <v>1.419356312421219</v>
      </c>
      <c r="J20" s="1153">
        <f>T.A11b!J20/T.A12b!J20</f>
        <v>1.3491994705760675</v>
      </c>
      <c r="K20" s="1153">
        <f>T.A11b!K20/T.A12b!K20</f>
        <v>1.6207928362814643</v>
      </c>
      <c r="L20" s="1153">
        <f>T.A11b!L20/T.A12b!L20</f>
        <v>1.2685616257130499</v>
      </c>
      <c r="M20" s="890">
        <f>T.A11b!M20/T.A12b!M20</f>
        <v>2.0560755953372789</v>
      </c>
    </row>
    <row r="21" spans="1:13" ht="14" customHeight="1">
      <c r="A21" s="826">
        <v>1977</v>
      </c>
      <c r="B21" s="1264">
        <f>T.A11!H21/T.A12!H21</f>
        <v>1.09065276149317</v>
      </c>
      <c r="C21" s="1259">
        <f>T.A11!I21/T.A12!I21</f>
        <v>0.73512938310434539</v>
      </c>
      <c r="D21" s="1153">
        <f>T.A11!J21/T.A12!J21</f>
        <v>0.89926898532928312</v>
      </c>
      <c r="E21" s="1153">
        <f>T.A11!K21/T.A12!K21</f>
        <v>0.80177089173752514</v>
      </c>
      <c r="F21" s="1153">
        <f>T.A11!L21/T.A12!L21</f>
        <v>1.1731527819133722</v>
      </c>
      <c r="G21" s="1143">
        <f>T.A11!M21/T.A12!M21</f>
        <v>0.94059975209904256</v>
      </c>
      <c r="H21" s="1173">
        <f>T.A11b!H21/T.A12b!H21</f>
        <v>1.5242704664520641</v>
      </c>
      <c r="I21" s="1153">
        <f>T.A11b!I21/T.A12b!I21</f>
        <v>1.2135816689668468</v>
      </c>
      <c r="J21" s="1153">
        <f>T.A11b!J21/T.A12b!J21</f>
        <v>1.4874433641700702</v>
      </c>
      <c r="K21" s="1153">
        <f>T.A11b!K21/T.A12b!K21</f>
        <v>1.8498266966337704</v>
      </c>
      <c r="L21" s="1153">
        <f>T.A11b!L21/T.A12b!L21</f>
        <v>1.2866485977207587</v>
      </c>
      <c r="M21" s="890">
        <f>T.A11b!M21/T.A12b!M21</f>
        <v>2.3800769252502629</v>
      </c>
    </row>
    <row r="22" spans="1:13" ht="14" customHeight="1">
      <c r="A22" s="826">
        <v>1978</v>
      </c>
      <c r="B22" s="1264">
        <f>T.A11!H22/T.A12!H22</f>
        <v>1.0785249879615557</v>
      </c>
      <c r="C22" s="1253">
        <f t="shared" si="1"/>
        <v>0.95645279139313821</v>
      </c>
      <c r="D22" s="1153">
        <f>T.A11!J22/T.A12!J22</f>
        <v>1.0146682055547127</v>
      </c>
      <c r="E22" s="1153">
        <f>T.A11!K22/T.A12!K22</f>
        <v>1.0315582353230806</v>
      </c>
      <c r="F22" s="1153">
        <f>T.A11!L22/T.A12!L22</f>
        <v>1.2693283733992868</v>
      </c>
      <c r="G22" s="1143">
        <f>T.A11!M22/T.A12!M22</f>
        <v>1.309386136909285</v>
      </c>
      <c r="H22" s="1247">
        <f t="shared" si="2"/>
        <v>1.1419210399090156</v>
      </c>
      <c r="I22" s="1253">
        <f t="shared" si="3"/>
        <v>1.6043951224728867</v>
      </c>
      <c r="J22" s="1153">
        <f>T.A11b!J22/T.A12b!J22</f>
        <v>1.4583864729971856</v>
      </c>
      <c r="K22" s="1153">
        <f>T.A11b!K22/T.A12b!K22</f>
        <v>1.8320925466791911</v>
      </c>
      <c r="L22" s="1153">
        <f>T.A11b!L22/T.A12b!L22</f>
        <v>1.4342465128796194</v>
      </c>
      <c r="M22" s="890">
        <f>T.A11b!M22/T.A12b!M22</f>
        <v>2.6276723463473712</v>
      </c>
    </row>
    <row r="23" spans="1:13" ht="14" customHeight="1">
      <c r="A23" s="856">
        <v>1979</v>
      </c>
      <c r="B23" s="1265">
        <f>T.A11!H23/T.A12!H23</f>
        <v>1.0677860889941555</v>
      </c>
      <c r="C23" s="1254">
        <f t="shared" si="1"/>
        <v>1.1604434389733738</v>
      </c>
      <c r="D23" s="1154">
        <f>T.A11!J23/T.A12!J23</f>
        <v>1.0879582121465086</v>
      </c>
      <c r="E23" s="1154">
        <f>T.A11!K23/T.A12!K23</f>
        <v>1.2391053612003067</v>
      </c>
      <c r="F23" s="1154">
        <f>T.A11!L23/T.A12!L23</f>
        <v>1.2434941457852535</v>
      </c>
      <c r="G23" s="1144">
        <f>T.A11!M23/T.A12!M23</f>
        <v>1.5408202626637033</v>
      </c>
      <c r="H23" s="1249">
        <f t="shared" si="2"/>
        <v>1.1419210399090156</v>
      </c>
      <c r="I23" s="1254">
        <f t="shared" si="3"/>
        <v>1.9031711874123389</v>
      </c>
      <c r="J23" s="1154">
        <f>T.A11b!J23/T.A12b!J23</f>
        <v>1.5851577961246759</v>
      </c>
      <c r="K23" s="1154">
        <f>T.A11b!K23/T.A12b!K23</f>
        <v>2.1732712214547742</v>
      </c>
      <c r="L23" s="1154">
        <f>T.A11b!L23/T.A12b!L23</f>
        <v>1.4892387616723506</v>
      </c>
      <c r="M23" s="892">
        <f>T.A11b!M23/T.A12b!M23</f>
        <v>3.2365197426174648</v>
      </c>
    </row>
    <row r="24" spans="1:13" ht="14" customHeight="1">
      <c r="A24" s="863">
        <v>1980</v>
      </c>
      <c r="B24" s="1266">
        <f>T.A11!H24/T.A12!H24</f>
        <v>1.0580946333087002</v>
      </c>
      <c r="C24" s="1255">
        <f t="shared" si="1"/>
        <v>1.5767813139531635</v>
      </c>
      <c r="D24" s="1155">
        <f>T.A11!J24/T.A12!J24</f>
        <v>1.272818845142105</v>
      </c>
      <c r="E24" s="1155">
        <f>T.A11!K24/T.A12!K24</f>
        <v>1.6683838461952831</v>
      </c>
      <c r="F24" s="1155">
        <f>T.A11!L24/T.A12!L24</f>
        <v>1.3756395222529978</v>
      </c>
      <c r="G24" s="1145">
        <f>T.A11!M24/T.A12!M24</f>
        <v>2.2950947571146982</v>
      </c>
      <c r="H24" s="1250">
        <f t="shared" si="2"/>
        <v>1.1419210399090156</v>
      </c>
      <c r="I24" s="1255">
        <f t="shared" si="3"/>
        <v>1.9538343446600612</v>
      </c>
      <c r="J24" s="1155">
        <f>T.A11b!J24/T.A12b!J24</f>
        <v>1.6219615507571226</v>
      </c>
      <c r="K24" s="1155">
        <f>T.A11b!K24/T.A12b!K24</f>
        <v>2.2311245466641667</v>
      </c>
      <c r="L24" s="1155">
        <f>T.A11b!L24/T.A12b!L24</f>
        <v>1.6575592403642332</v>
      </c>
      <c r="M24" s="894">
        <f>T.A11b!M24/T.A12b!M24</f>
        <v>3.698221108726651</v>
      </c>
    </row>
    <row r="25" spans="1:13" ht="14" customHeight="1">
      <c r="A25" s="826">
        <v>1981</v>
      </c>
      <c r="B25" s="1264">
        <f>T.A11!H25/T.A12!H25</f>
        <v>1.0492153314768544</v>
      </c>
      <c r="C25" s="1253">
        <f t="shared" si="1"/>
        <v>1.3264615786820615</v>
      </c>
      <c r="D25" s="1153">
        <f>T.A11!J25/T.A12!J25</f>
        <v>1.1945145193999398</v>
      </c>
      <c r="E25" s="1153">
        <f>T.A11!K25/T.A12!K25</f>
        <v>1.3917438249682115</v>
      </c>
      <c r="F25" s="1153">
        <f>T.A11!L25/T.A12!L25</f>
        <v>1.6018603346869491</v>
      </c>
      <c r="G25" s="1143">
        <f>T.A11!M25/T.A12!M25</f>
        <v>2.2293792292620731</v>
      </c>
      <c r="H25" s="1247">
        <f>H$26</f>
        <v>1.1419210399090156</v>
      </c>
      <c r="I25" s="1253">
        <f t="shared" ref="I25" si="4">M25/(L25*H25)</f>
        <v>1.7379745107900524</v>
      </c>
      <c r="J25" s="1153">
        <f>T.A11b!J25/T.A12b!J25</f>
        <v>1.5779715830282206</v>
      </c>
      <c r="K25" s="1153">
        <f>T.A11b!K25/T.A12b!K25</f>
        <v>1.98462966069674</v>
      </c>
      <c r="L25" s="1153">
        <f>T.A11b!L25/T.A12b!L25</f>
        <v>2.0221847688890744</v>
      </c>
      <c r="M25" s="890">
        <f>T.A11b!M25/T.A12b!M25</f>
        <v>4.0132878717464378</v>
      </c>
    </row>
    <row r="26" spans="1:13" ht="14" customHeight="1">
      <c r="A26" s="826">
        <v>1982</v>
      </c>
      <c r="B26" s="1258">
        <f>T.A11!H26/T.A12!H26</f>
        <v>1.040980712116836</v>
      </c>
      <c r="C26" s="1259">
        <f>T.A11!I26/T.A12!I26</f>
        <v>1.4245337410024721</v>
      </c>
      <c r="D26" s="1153">
        <f>T.A11!J26/T.A12!J26</f>
        <v>1.2571007689568086</v>
      </c>
      <c r="E26" s="1153">
        <f>T.A11!K26/T.A12!K26</f>
        <v>1.4829121481432139</v>
      </c>
      <c r="F26" s="1153">
        <f>T.A11!L26/T.A12!L26</f>
        <v>1.8291652175493847</v>
      </c>
      <c r="G26" s="1143">
        <f>T.A11!M26/T.A12!M26</f>
        <v>2.7124913220650066</v>
      </c>
      <c r="H26" s="1173">
        <f>T.A11b!H26/T.A12b!H26</f>
        <v>1.1419210399090156</v>
      </c>
      <c r="I26" s="1153">
        <f>T.A11b!I26/T.A12b!I26</f>
        <v>2.0915791749960868</v>
      </c>
      <c r="J26" s="1153">
        <f>T.A11b!J26/T.A12b!J26</f>
        <v>1.829605086034952</v>
      </c>
      <c r="K26" s="1153">
        <f>T.A11b!K26/T.A12b!K26</f>
        <v>2.3884182665635727</v>
      </c>
      <c r="L26" s="1153">
        <f>T.A11b!L26/T.A12b!L26</f>
        <v>2.2877437544838619</v>
      </c>
      <c r="M26" s="890">
        <f>T.A11b!M26/T.A12b!M26</f>
        <v>5.4640889724259862</v>
      </c>
    </row>
    <row r="27" spans="1:13" ht="14" customHeight="1">
      <c r="A27" s="826">
        <v>1983</v>
      </c>
      <c r="B27" s="1258">
        <f>T.A11!H27/T.A12!H27</f>
        <v>1.0338078587348372</v>
      </c>
      <c r="C27" s="1259">
        <f>T.A11!I27/T.A12!I27</f>
        <v>1.2605681762521248</v>
      </c>
      <c r="D27" s="1153">
        <f>T.A11!J27/T.A12!J27</f>
        <v>1.1586123524676899</v>
      </c>
      <c r="E27" s="1153">
        <f>T.A11!K27/T.A12!K27</f>
        <v>1.3031852870804874</v>
      </c>
      <c r="F27" s="1153">
        <f>T.A11!L27/T.A12!L27</f>
        <v>1.8177830852341381</v>
      </c>
      <c r="G27" s="1143">
        <f>T.A11!M27/T.A12!M27</f>
        <v>2.3689081717809048</v>
      </c>
      <c r="H27" s="1173">
        <f>T.A11b!H27/T.A12b!H27</f>
        <v>1.2909921293504749</v>
      </c>
      <c r="I27" s="1153">
        <f>T.A11b!I27/T.A12b!I27</f>
        <v>1.6509348989033301</v>
      </c>
      <c r="J27" s="1153">
        <f>T.A11b!J27/T.A12b!J27</f>
        <v>1.6502165531508692</v>
      </c>
      <c r="K27" s="1153">
        <f>T.A11b!K27/T.A12b!K27</f>
        <v>2.1313439605542208</v>
      </c>
      <c r="L27" s="1153">
        <f>T.A11b!L27/T.A12b!L27</f>
        <v>2.1281018504018077</v>
      </c>
      <c r="M27" s="890">
        <f>T.A11b!M27/T.A12b!M27</f>
        <v>4.5357170262981565</v>
      </c>
    </row>
    <row r="28" spans="1:13" ht="14" customHeight="1">
      <c r="A28" s="826">
        <v>1984</v>
      </c>
      <c r="B28" s="1258">
        <f>T.A11!H28/T.A12!H28</f>
        <v>1.0383165600619084</v>
      </c>
      <c r="C28" s="1259">
        <f>T.A11!I28/T.A12!I28</f>
        <v>1.2329975218626088</v>
      </c>
      <c r="D28" s="1153">
        <f>T.A11!J28/T.A12!J28</f>
        <v>1.1389367526813592</v>
      </c>
      <c r="E28" s="1153">
        <f>T.A11!K28/T.A12!K28</f>
        <v>1.2802417454652417</v>
      </c>
      <c r="F28" s="1153">
        <f>T.A11!L28/T.A12!L28</f>
        <v>1.7547085900926089</v>
      </c>
      <c r="G28" s="1143">
        <f>T.A11!M28/T.A12!M28</f>
        <v>2.2464511881630145</v>
      </c>
      <c r="H28" s="1173">
        <f>T.A11b!H28/T.A12b!H28</f>
        <v>1.322932321598252</v>
      </c>
      <c r="I28" s="1153">
        <f>T.A11b!I28/T.A12b!I28</f>
        <v>1.5571449158051187</v>
      </c>
      <c r="J28" s="1153">
        <f>T.A11b!J28/T.A12b!J28</f>
        <v>1.5779699172244279</v>
      </c>
      <c r="K28" s="1153">
        <f>T.A11b!K28/T.A12b!K28</f>
        <v>2.0599973385309798</v>
      </c>
      <c r="L28" s="1153">
        <f>T.A11b!L28/T.A12b!L28</f>
        <v>1.9913280202716983</v>
      </c>
      <c r="M28" s="890">
        <f>T.A11b!M28/T.A12b!M28</f>
        <v>4.1021304219018635</v>
      </c>
    </row>
    <row r="29" spans="1:13" ht="14" customHeight="1">
      <c r="A29" s="826">
        <v>1985</v>
      </c>
      <c r="B29" s="1258">
        <f>T.A11!H29/T.A12!H29</f>
        <v>1.1001144067644026</v>
      </c>
      <c r="C29" s="1259">
        <f>T.A11!I29/T.A12!I29</f>
        <v>1.3150856313944439</v>
      </c>
      <c r="D29" s="1153">
        <f>T.A11!J29/T.A12!J29</f>
        <v>1.2137842142463755</v>
      </c>
      <c r="E29" s="1153">
        <f>T.A11!K29/T.A12!K29</f>
        <v>1.4467446492258891</v>
      </c>
      <c r="F29" s="1153">
        <f>T.A11!L29/T.A12!L29</f>
        <v>1.7452734019883598</v>
      </c>
      <c r="G29" s="1143">
        <f>T.A11!M29/T.A12!M29</f>
        <v>2.5249649557629219</v>
      </c>
      <c r="H29" s="1173">
        <f>T.A11b!H29/T.A12b!H29</f>
        <v>1.3610534605447353</v>
      </c>
      <c r="I29" s="1153">
        <f>T.A11b!I29/T.A12b!I29</f>
        <v>1.7148216457085845</v>
      </c>
      <c r="J29" s="1153">
        <f>T.A11b!J29/T.A12b!J29</f>
        <v>1.6984484107241298</v>
      </c>
      <c r="K29" s="1153">
        <f>T.A11b!K29/T.A12b!K29</f>
        <v>2.3339639351086872</v>
      </c>
      <c r="L29" s="1153">
        <f>T.A11b!L29/T.A12b!L29</f>
        <v>1.9350817979359218</v>
      </c>
      <c r="M29" s="890">
        <f>T.A11b!M29/T.A12b!M29</f>
        <v>4.516411127867717</v>
      </c>
    </row>
    <row r="30" spans="1:13" ht="14" customHeight="1">
      <c r="A30" s="826">
        <v>1986</v>
      </c>
      <c r="B30" s="1258">
        <f>T.A11!H30/T.A12!H30</f>
        <v>1.130919241231368</v>
      </c>
      <c r="C30" s="1259">
        <f>T.A11!I30/T.A12!I30</f>
        <v>1.2028821899607929</v>
      </c>
      <c r="D30" s="1153">
        <f>T.A11!J30/T.A12!J30</f>
        <v>1.200208995363967</v>
      </c>
      <c r="E30" s="1153">
        <f>T.A11!K30/T.A12!K30</f>
        <v>1.3603626135611855</v>
      </c>
      <c r="F30" s="1153">
        <f>T.A11!L30/T.A12!L30</f>
        <v>1.8486118888027818</v>
      </c>
      <c r="G30" s="1143">
        <f>T.A11!M30/T.A12!M30</f>
        <v>2.5147825005120326</v>
      </c>
      <c r="H30" s="1173">
        <f>T.A11b!H30/T.A12b!H30</f>
        <v>1.3041421821252364</v>
      </c>
      <c r="I30" s="1153">
        <f>T.A11b!I30/T.A12b!I30</f>
        <v>1.2828354991096937</v>
      </c>
      <c r="J30" s="1153">
        <f>T.A11b!J30/T.A12b!J30</f>
        <v>1.3915450377026457</v>
      </c>
      <c r="K30" s="1153">
        <f>T.A11b!K30/T.A12b!K30</f>
        <v>1.6729998871166325</v>
      </c>
      <c r="L30" s="1153">
        <f>T.A11b!L30/T.A12b!L30</f>
        <v>1.9497044778561481</v>
      </c>
      <c r="M30" s="890">
        <f>T.A11b!M30/T.A12b!M30</f>
        <v>3.2618553713641294</v>
      </c>
    </row>
    <row r="31" spans="1:13" ht="14" customHeight="1">
      <c r="A31" s="826">
        <v>1987</v>
      </c>
      <c r="B31" s="1258">
        <f>T.A11!H31/T.A12!H31</f>
        <v>1.0777895310217094</v>
      </c>
      <c r="C31" s="1259">
        <f>T.A11!I31/T.A12!I31</f>
        <v>1.7726362611875819</v>
      </c>
      <c r="D31" s="1153">
        <f>T.A11!J31/T.A12!J31</f>
        <v>1.4177198325146319</v>
      </c>
      <c r="E31" s="1153">
        <f>T.A11!K31/T.A12!K31</f>
        <v>1.9105288046174402</v>
      </c>
      <c r="F31" s="1153">
        <f>T.A11!L31/T.A12!L31</f>
        <v>1.4845174851116389</v>
      </c>
      <c r="G31" s="1143">
        <f>T.A11!M31/T.A12!M31</f>
        <v>2.8362134162640276</v>
      </c>
      <c r="H31" s="1173">
        <f>T.A11b!H31/T.A12b!H31</f>
        <v>1.171411098632213</v>
      </c>
      <c r="I31" s="1153">
        <f>T.A11b!I31/T.A12b!I31</f>
        <v>2.0037574711557924</v>
      </c>
      <c r="J31" s="1153">
        <f>T.A11b!J31/T.A12b!J31</f>
        <v>1.6318012182159283</v>
      </c>
      <c r="K31" s="1153">
        <f>T.A11b!K31/T.A12b!K31</f>
        <v>2.347223740679111</v>
      </c>
      <c r="L31" s="1153">
        <f>T.A11b!L31/T.A12b!L31</f>
        <v>1.4911213285638447</v>
      </c>
      <c r="M31" s="890">
        <f>T.A11b!M31/T.A12b!M31</f>
        <v>3.4999953826380343</v>
      </c>
    </row>
    <row r="32" spans="1:13" ht="14" customHeight="1">
      <c r="A32" s="826">
        <v>1988</v>
      </c>
      <c r="B32" s="1258">
        <f>T.A11!H32/T.A12!H32</f>
        <v>1.0124831219228367</v>
      </c>
      <c r="C32" s="1259">
        <f>T.A11!I32/T.A12!I32</f>
        <v>1.4550189358883827</v>
      </c>
      <c r="D32" s="1153">
        <f>T.A11!J32/T.A12!J32</f>
        <v>1.2424013636880225</v>
      </c>
      <c r="E32" s="1153">
        <f>T.A11!K32/T.A12!K32</f>
        <v>1.4731821146651132</v>
      </c>
      <c r="F32" s="1153">
        <f>T.A11!L32/T.A12!L32</f>
        <v>1.5349357699331236</v>
      </c>
      <c r="G32" s="1143">
        <f>T.A11!M32/T.A12!M32</f>
        <v>2.2612399234252032</v>
      </c>
      <c r="H32" s="1173">
        <f>T.A11b!H32/T.A12b!H32</f>
        <v>0.93580202779756894</v>
      </c>
      <c r="I32" s="1153">
        <f>T.A11b!I32/T.A12b!I32</f>
        <v>1.7520679138654296</v>
      </c>
      <c r="J32" s="1153">
        <f>T.A11b!J32/T.A12b!J32</f>
        <v>1.3354717397849447</v>
      </c>
      <c r="K32" s="1153">
        <f>T.A11b!K32/T.A12b!K32</f>
        <v>1.6395887066343253</v>
      </c>
      <c r="L32" s="1153">
        <f>T.A11b!L32/T.A12b!L32</f>
        <v>1.5624418604328398</v>
      </c>
      <c r="M32" s="890">
        <f>T.A11b!M32/T.A12b!M32</f>
        <v>2.5617620291384089</v>
      </c>
    </row>
    <row r="33" spans="1:13" ht="14" customHeight="1">
      <c r="A33" s="856">
        <v>1989</v>
      </c>
      <c r="B33" s="1260">
        <f>T.A11!H33/T.A12!H33</f>
        <v>0.99243558617268024</v>
      </c>
      <c r="C33" s="1261">
        <f>T.A11!I33/T.A12!I33</f>
        <v>1.9843572361815078</v>
      </c>
      <c r="D33" s="1154">
        <f>T.A11!J33/T.A12!J33</f>
        <v>1.4492574857753568</v>
      </c>
      <c r="E33" s="1154">
        <f>T.A11!K33/T.A12!K33</f>
        <v>1.969346736865794</v>
      </c>
      <c r="F33" s="1154">
        <f>T.A11!L33/T.A12!L33</f>
        <v>1.3860353580173206</v>
      </c>
      <c r="G33" s="1144">
        <f>T.A11!M33/T.A12!M33</f>
        <v>2.7295842094920237</v>
      </c>
      <c r="H33" s="1174">
        <f>T.A11b!H33/T.A12b!H33</f>
        <v>1.0048085577861618</v>
      </c>
      <c r="I33" s="1154">
        <f>T.A11b!I33/T.A12b!I33</f>
        <v>2.2807844568945099</v>
      </c>
      <c r="J33" s="1154">
        <f>T.A11b!J33/T.A12b!J33</f>
        <v>1.6045494905251863</v>
      </c>
      <c r="K33" s="1154">
        <f>T.A11b!K33/T.A12b!K33</f>
        <v>2.2917517407532668</v>
      </c>
      <c r="L33" s="1154">
        <f>T.A11b!L33/T.A12b!L33</f>
        <v>1.3727166444755046</v>
      </c>
      <c r="M33" s="892">
        <f>T.A11b!M33/T.A12b!M33</f>
        <v>3.1459257595377199</v>
      </c>
    </row>
    <row r="34" spans="1:13" ht="14" customHeight="1">
      <c r="A34" s="826">
        <v>1990</v>
      </c>
      <c r="B34" s="1258">
        <f>T.A11!H34/T.A12!H34</f>
        <v>1.0356477689154622</v>
      </c>
      <c r="C34" s="1259">
        <f>T.A11!I34/T.A12!I34</f>
        <v>2.4259274427031579</v>
      </c>
      <c r="D34" s="1153">
        <f>T.A11!J34/T.A12!J34</f>
        <v>1.6787086776866307</v>
      </c>
      <c r="E34" s="1153">
        <f>T.A11!K34/T.A12!K34</f>
        <v>2.5124063435863189</v>
      </c>
      <c r="F34" s="1153">
        <f>T.A11!L34/T.A12!L34</f>
        <v>1.2989490943939284</v>
      </c>
      <c r="G34" s="1143">
        <f>T.A11!M34/T.A12!M34</f>
        <v>3.2634879447510086</v>
      </c>
      <c r="H34" s="1173">
        <f>T.A11b!H34/T.A12b!H34</f>
        <v>1.090842310412897</v>
      </c>
      <c r="I34" s="1153">
        <f>T.A11b!I34/T.A12b!I34</f>
        <v>2.913564547767201</v>
      </c>
      <c r="J34" s="1153">
        <f>T.A11b!J34/T.A12b!J34</f>
        <v>1.9985834376986034</v>
      </c>
      <c r="K34" s="1153">
        <f>T.A11b!K34/T.A12b!K34</f>
        <v>3.1782394828234808</v>
      </c>
      <c r="L34" s="1153">
        <f>T.A11b!L34/T.A12b!L34</f>
        <v>1.2764188188398045</v>
      </c>
      <c r="M34" s="890">
        <f>T.A11b!M34/T.A12b!M34</f>
        <v>4.056764686655578</v>
      </c>
    </row>
    <row r="35" spans="1:13" ht="14" customHeight="1">
      <c r="A35" s="826">
        <v>1991</v>
      </c>
      <c r="B35" s="1258">
        <f>T.A11!H35/T.A12!H35</f>
        <v>0.99993038505768783</v>
      </c>
      <c r="C35" s="1259">
        <f>T.A11!I35/T.A12!I35</f>
        <v>2.6017207769561908</v>
      </c>
      <c r="D35" s="1153">
        <f>T.A11!J35/T.A12!J35</f>
        <v>1.793942365737843</v>
      </c>
      <c r="E35" s="1153">
        <f>T.A11!K35/T.A12!K35</f>
        <v>2.6015396583143917</v>
      </c>
      <c r="F35" s="1153">
        <f>T.A11!L35/T.A12!L35</f>
        <v>1.3035675586558328</v>
      </c>
      <c r="G35" s="1143">
        <f>T.A11!M35/T.A12!M35</f>
        <v>3.3912827011352205</v>
      </c>
      <c r="H35" s="1173">
        <f>T.A11b!H35/T.A12b!H35</f>
        <v>0.99210264461994135</v>
      </c>
      <c r="I35" s="1153">
        <f>T.A11b!I35/T.A12b!I35</f>
        <v>3.3551777907265081</v>
      </c>
      <c r="J35" s="1153">
        <f>T.A11b!J35/T.A12b!J35</f>
        <v>2.1805034751022627</v>
      </c>
      <c r="K35" s="1153">
        <f>T.A11b!K35/T.A12b!K35</f>
        <v>3.3286807593498606</v>
      </c>
      <c r="L35" s="1153">
        <f>T.A11b!L35/T.A12b!L35</f>
        <v>1.275134803752769</v>
      </c>
      <c r="M35" s="890">
        <f>T.A11b!M35/T.A12b!M35</f>
        <v>4.2445166868292024</v>
      </c>
    </row>
    <row r="36" spans="1:13" ht="14" customHeight="1">
      <c r="A36" s="826">
        <v>1992</v>
      </c>
      <c r="B36" s="1258">
        <f>T.A11!H36/T.A12!H36</f>
        <v>1.109907136283778</v>
      </c>
      <c r="C36" s="1259">
        <f>T.A11!I36/T.A12!I36</f>
        <v>2.1772320382369874</v>
      </c>
      <c r="D36" s="1153">
        <f>T.A11!J36/T.A12!J36</f>
        <v>1.7663504381336401</v>
      </c>
      <c r="E36" s="1153">
        <f>T.A11!K36/T.A12!K36</f>
        <v>2.4165253765849068</v>
      </c>
      <c r="F36" s="1153">
        <f>T.A11!L36/T.A12!L36</f>
        <v>1.3245987083574597</v>
      </c>
      <c r="G36" s="1143">
        <f>T.A11!M36/T.A12!M36</f>
        <v>3.2009263925373936</v>
      </c>
      <c r="H36" s="1173">
        <f>T.A11b!H36/T.A12b!H36</f>
        <v>1.2744748356019346</v>
      </c>
      <c r="I36" s="1153">
        <f>T.A11b!I36/T.A12b!I36</f>
        <v>2.4318752565388908</v>
      </c>
      <c r="J36" s="1153">
        <f>T.A11b!J36/T.A12b!J36</f>
        <v>2.1542168326313438</v>
      </c>
      <c r="K36" s="1153">
        <f>T.A11b!K36/T.A12b!K36</f>
        <v>3.0993638177818159</v>
      </c>
      <c r="L36" s="1153">
        <f>T.A11b!L36/T.A12b!L36</f>
        <v>1.2858825902753521</v>
      </c>
      <c r="M36" s="890">
        <f>T.A11b!M36/T.A12b!M36</f>
        <v>3.9854179742149856</v>
      </c>
    </row>
    <row r="37" spans="1:13" ht="14" customHeight="1">
      <c r="A37" s="826">
        <v>1993</v>
      </c>
      <c r="B37" s="1258">
        <f>T.A11!H37/T.A12!H37</f>
        <v>1.0716952884387094</v>
      </c>
      <c r="C37" s="1259">
        <f>T.A11!I37/T.A12!I37</f>
        <v>2.1397447277579245</v>
      </c>
      <c r="D37" s="1153">
        <f>T.A11!J37/T.A12!J37</f>
        <v>1.6917164199354402</v>
      </c>
      <c r="E37" s="1153">
        <f>T.A11!K37/T.A12!K37</f>
        <v>2.2931543431997365</v>
      </c>
      <c r="F37" s="1153">
        <f>T.A11!L37/T.A12!L37</f>
        <v>1.2735908697760683</v>
      </c>
      <c r="G37" s="1143">
        <f>T.A11!M37/T.A12!M37</f>
        <v>2.9205404344865209</v>
      </c>
      <c r="H37" s="1173">
        <f>T.A11b!H37/T.A12b!H37</f>
        <v>1.2790125228141143</v>
      </c>
      <c r="I37" s="1153">
        <f>T.A11b!I37/T.A12b!I37</f>
        <v>2.3635235770437233</v>
      </c>
      <c r="J37" s="1153">
        <f>T.A11b!J37/T.A12b!J37</f>
        <v>2.1018148341181351</v>
      </c>
      <c r="K37" s="1153">
        <f>T.A11b!K37/T.A12b!K37</f>
        <v>3.0229762530053321</v>
      </c>
      <c r="L37" s="1153">
        <f>T.A11b!L37/T.A12b!L37</f>
        <v>1.2328933533740305</v>
      </c>
      <c r="M37" s="890">
        <f>T.A11b!M37/T.A12b!M37</f>
        <v>3.7270073297378059</v>
      </c>
    </row>
    <row r="38" spans="1:13" ht="14" customHeight="1">
      <c r="A38" s="826">
        <v>1994</v>
      </c>
      <c r="B38" s="1258">
        <f>T.A11!H38/T.A12!H38</f>
        <v>1.0015553232650494</v>
      </c>
      <c r="C38" s="1259">
        <f>T.A11!I38/T.A12!I38</f>
        <v>2.252803488514147</v>
      </c>
      <c r="D38" s="1153">
        <f>T.A11!J38/T.A12!J38</f>
        <v>1.6636117309774805</v>
      </c>
      <c r="E38" s="1153">
        <f>T.A11!K38/T.A12!K38</f>
        <v>2.2563073261914171</v>
      </c>
      <c r="F38" s="1153">
        <f>T.A11!L38/T.A12!L38</f>
        <v>1.2097620257642239</v>
      </c>
      <c r="G38" s="1143">
        <f>T.A11!M38/T.A12!M38</f>
        <v>2.7295949216799875</v>
      </c>
      <c r="H38" s="1173">
        <f>T.A11b!H38/T.A12b!H38</f>
        <v>1.1470281777175211</v>
      </c>
      <c r="I38" s="1153">
        <f>T.A11b!I38/T.A12b!I38</f>
        <v>2.391234839127979</v>
      </c>
      <c r="J38" s="1153">
        <f>T.A11b!J38/T.A12b!J38</f>
        <v>1.9327445409617376</v>
      </c>
      <c r="K38" s="1153">
        <f>T.A11b!K38/T.A12b!K38</f>
        <v>2.7428137400196162</v>
      </c>
      <c r="L38" s="1153">
        <f>T.A11b!L38/T.A12b!L38</f>
        <v>1.1789681785162853</v>
      </c>
      <c r="M38" s="890">
        <f>T.A11b!M38/T.A12b!M38</f>
        <v>3.2336901190803666</v>
      </c>
    </row>
    <row r="39" spans="1:13">
      <c r="A39" s="826">
        <v>1995</v>
      </c>
      <c r="B39" s="1258">
        <f>T.A11!H39/T.A12!H39</f>
        <v>1.0123491024230655</v>
      </c>
      <c r="C39" s="1259">
        <f>T.A11!I39/T.A12!I39</f>
        <v>2.4273983463109987</v>
      </c>
      <c r="D39" s="1153">
        <f>T.A11!J39/T.A12!J39</f>
        <v>1.67054908274614</v>
      </c>
      <c r="E39" s="1153">
        <f>T.A11!K39/T.A12!K39</f>
        <v>2.4573745371111726</v>
      </c>
      <c r="F39" s="1153">
        <f>T.A11!L39/T.A12!L39</f>
        <v>1.2100059551534226</v>
      </c>
      <c r="G39" s="1143">
        <f>T.A11!M39/T.A12!M39</f>
        <v>2.9734378239469046</v>
      </c>
      <c r="H39" s="1173">
        <f>T.A11b!H39/T.A12b!H39</f>
        <v>1.1703144040282494</v>
      </c>
      <c r="I39" s="1153">
        <f>T.A11b!I39/T.A12b!I39</f>
        <v>2.4888102577091238</v>
      </c>
      <c r="J39" s="1153">
        <f>T.A11b!J39/T.A12b!J39</f>
        <v>1.888496647292881</v>
      </c>
      <c r="K39" s="1153">
        <f>T.A11b!K39/T.A12b!K39</f>
        <v>2.9126904934902456</v>
      </c>
      <c r="L39" s="1153">
        <f>T.A11b!L39/T.A12b!L39</f>
        <v>1.191852294238307</v>
      </c>
      <c r="M39" s="890">
        <f>T.A11b!M39/T.A12b!M39</f>
        <v>3.4714968470724568</v>
      </c>
    </row>
    <row r="40" spans="1:13">
      <c r="A40" s="826">
        <v>1996</v>
      </c>
      <c r="B40" s="1173">
        <f>T.A11!H40/T.A12!H40</f>
        <v>0.9659975759812558</v>
      </c>
      <c r="C40" s="1153">
        <f>T.A11!I40/T.A12!I40</f>
        <v>2.3288881286676926</v>
      </c>
      <c r="D40" s="1153">
        <f>T.A11!J40/T.A12!J40</f>
        <v>1.5712283850042097</v>
      </c>
      <c r="E40" s="1153">
        <f>T.A11!K40/T.A12!K40</f>
        <v>2.2497002870245142</v>
      </c>
      <c r="F40" s="1153">
        <f>T.A11!L40/T.A12!L40</f>
        <v>1.2203388591435091</v>
      </c>
      <c r="G40" s="1143">
        <f>T.A11!M40/T.A12!M40</f>
        <v>2.7453966816823203</v>
      </c>
      <c r="H40" s="1173">
        <f>T.A11b!H40/T.A12b!H40</f>
        <v>1.0837806154883467</v>
      </c>
      <c r="I40" s="1153">
        <f>T.A11b!I40/T.A12b!I40</f>
        <v>2.5552008140305458</v>
      </c>
      <c r="J40" s="1153">
        <f>T.A11b!J40/T.A12b!J40</f>
        <v>1.8245939693456901</v>
      </c>
      <c r="K40" s="1153">
        <f>T.A11b!K40/T.A12b!K40</f>
        <v>2.7692771109263492</v>
      </c>
      <c r="L40" s="1153">
        <f>T.A11b!L40/T.A12b!L40</f>
        <v>1.2103504419980908</v>
      </c>
      <c r="M40" s="890">
        <f>T.A11b!M40/T.A12b!M40</f>
        <v>3.3517957752249017</v>
      </c>
    </row>
    <row r="41" spans="1:13">
      <c r="A41" s="826">
        <v>1997</v>
      </c>
      <c r="B41" s="1173">
        <f>T.A11!H41/T.A12!H41</f>
        <v>0.9864957823520194</v>
      </c>
      <c r="C41" s="1153">
        <f>T.A11!I41/T.A12!I41</f>
        <v>2.7791178675161397</v>
      </c>
      <c r="D41" s="1153">
        <f>T.A11!J41/T.A12!J41</f>
        <v>1.6986490508028906</v>
      </c>
      <c r="E41" s="1153">
        <f>T.A11!K41/T.A12!K41</f>
        <v>2.7415880549638101</v>
      </c>
      <c r="F41" s="1153">
        <f>T.A11!L41/T.A12!L41</f>
        <v>1.2224264049723796</v>
      </c>
      <c r="G41" s="1143">
        <f>T.A11!M41/T.A12!M41</f>
        <v>3.3513896299446304</v>
      </c>
      <c r="H41" s="1173">
        <f>T.A11b!H41/T.A12b!H41</f>
        <v>1.1134517283486152</v>
      </c>
      <c r="I41" s="1153">
        <f>T.A11b!I41/T.A12b!I41</f>
        <v>3.0118128874025443</v>
      </c>
      <c r="J41" s="1153">
        <f>T.A11b!J41/T.A12b!J41</f>
        <v>1.9563688409126578</v>
      </c>
      <c r="K41" s="1153">
        <f>T.A11b!K41/T.A12b!K41</f>
        <v>3.3535082649409964</v>
      </c>
      <c r="L41" s="1153">
        <f>T.A11b!L41/T.A12b!L41</f>
        <v>1.2137351085142383</v>
      </c>
      <c r="M41" s="890">
        <f>T.A11b!M41/T.A12b!M41</f>
        <v>4.0702707178515558</v>
      </c>
    </row>
    <row r="42" spans="1:13">
      <c r="A42" s="826">
        <v>1998</v>
      </c>
      <c r="B42" s="1173">
        <f>T.A11!H42/T.A12!H42</f>
        <v>0.98075245219637219</v>
      </c>
      <c r="C42" s="1153">
        <f>T.A11!I42/T.A12!I42</f>
        <v>3.5372977269833639</v>
      </c>
      <c r="D42" s="1153">
        <f>T.A11!J42/T.A12!J42</f>
        <v>1.9957902849928264</v>
      </c>
      <c r="E42" s="1153">
        <f>T.A11!K42/T.A12!K42</f>
        <v>3.4692134198875868</v>
      </c>
      <c r="F42" s="1153">
        <f>T.A11!L42/T.A12!L42</f>
        <v>1.2001221067353178</v>
      </c>
      <c r="G42" s="1143">
        <f>T.A11!M42/T.A12!M42</f>
        <v>4.1634797181899277</v>
      </c>
      <c r="H42" s="1173">
        <f>T.A11b!H42/T.A12b!H42</f>
        <v>1.016499252222943</v>
      </c>
      <c r="I42" s="1153">
        <f>T.A11b!I42/T.A12b!I42</f>
        <v>3.8814577124503735</v>
      </c>
      <c r="J42" s="1153">
        <f>T.A11b!J42/T.A12b!J42</f>
        <v>2.1876160031520655</v>
      </c>
      <c r="K42" s="1153">
        <f>T.A11b!K42/T.A12b!K42</f>
        <v>3.9454988622407789</v>
      </c>
      <c r="L42" s="1153">
        <f>T.A11b!L42/T.A12b!L42</f>
        <v>1.1859896244130497</v>
      </c>
      <c r="M42" s="890">
        <f>T.A11b!M42/T.A12b!M42</f>
        <v>4.6793207137510571</v>
      </c>
    </row>
    <row r="43" spans="1:13">
      <c r="A43" s="856">
        <v>1999</v>
      </c>
      <c r="B43" s="1174">
        <f>T.A11!H43/T.A12!H43</f>
        <v>1.1094543217462636</v>
      </c>
      <c r="C43" s="1154">
        <f>T.A11!I43/T.A12!I43</f>
        <v>2.7644656500056035</v>
      </c>
      <c r="D43" s="1154">
        <f>T.A11!J43/T.A12!J43</f>
        <v>1.8527213242796661</v>
      </c>
      <c r="E43" s="1154">
        <f>T.A11!K43/T.A12!K43</f>
        <v>3.0670483627178102</v>
      </c>
      <c r="F43" s="1154">
        <f>T.A11!L43/T.A12!L43</f>
        <v>1.2232937677913098</v>
      </c>
      <c r="G43" s="1144">
        <f>T.A11!M43/T.A12!M43</f>
        <v>3.7519011476272381</v>
      </c>
      <c r="H43" s="1174">
        <f>T.A11b!H43/T.A12b!H43</f>
        <v>1.1828429170557491</v>
      </c>
      <c r="I43" s="1154">
        <f>T.A11b!I43/T.A12b!I43</f>
        <v>3.0528003605709397</v>
      </c>
      <c r="J43" s="1154">
        <f>T.A11b!J43/T.A12b!J43</f>
        <v>2.0917999573598709</v>
      </c>
      <c r="K43" s="1154">
        <f>T.A11b!K43/T.A12b!K43</f>
        <v>3.6109832836865725</v>
      </c>
      <c r="L43" s="1154">
        <f>T.A11b!L43/T.A12b!L43</f>
        <v>1.2067790600191641</v>
      </c>
      <c r="M43" s="892">
        <f>T.A11b!M43/T.A12b!M43</f>
        <v>4.3576590128321975</v>
      </c>
    </row>
    <row r="44" spans="1:13">
      <c r="A44" s="863">
        <v>2000</v>
      </c>
      <c r="B44" s="1175">
        <f>T.A11!H44/T.A12!H44</f>
        <v>1.2118946156647856</v>
      </c>
      <c r="C44" s="1155">
        <f>T.A11!I44/T.A12!I44</f>
        <v>3.0734766461997385</v>
      </c>
      <c r="D44" s="1155">
        <f>T.A11!J44/T.A12!J44</f>
        <v>1.9547476008487632</v>
      </c>
      <c r="E44" s="1155">
        <f>T.A11!K44/T.A12!K44</f>
        <v>3.7247297989009258</v>
      </c>
      <c r="F44" s="1155">
        <f>T.A11!L44/T.A12!L44</f>
        <v>1.0397011958081805</v>
      </c>
      <c r="G44" s="1145">
        <f>T.A11!M44/T.A12!M44</f>
        <v>3.8726060259796578</v>
      </c>
      <c r="H44" s="1175">
        <f>T.A11b!H44/T.A12b!H44</f>
        <v>1.3587898352582828</v>
      </c>
      <c r="I44" s="1155">
        <f>T.A11b!I44/T.A12b!I44</f>
        <v>3.9796627024357631</v>
      </c>
      <c r="J44" s="1155">
        <f>T.A11b!J44/T.A12b!J44</f>
        <v>2.5846889627341243</v>
      </c>
      <c r="K44" s="1155">
        <f>T.A11b!K44/T.A12b!K44</f>
        <v>5.4075252278262242</v>
      </c>
      <c r="L44" s="1155">
        <f>T.A11b!L44/T.A12b!L44</f>
        <v>0.98202631241862304</v>
      </c>
      <c r="M44" s="894">
        <f>T.A11b!M44/T.A12b!M44</f>
        <v>5.3103320587928602</v>
      </c>
    </row>
    <row r="45" spans="1:13">
      <c r="A45" s="826">
        <v>2001</v>
      </c>
      <c r="B45" s="1173">
        <f>T.A11!H45/T.A12!H45</f>
        <v>1.3103966499534057</v>
      </c>
      <c r="C45" s="1153">
        <f>T.A11!I45/T.A12!I45</f>
        <v>3.1494522802448159</v>
      </c>
      <c r="D45" s="1153">
        <f>T.A11!J45/T.A12!J45</f>
        <v>2.185012989691105</v>
      </c>
      <c r="E45" s="1153">
        <f>T.A11!K45/T.A12!K45</f>
        <v>4.1270317172209223</v>
      </c>
      <c r="F45" s="1153">
        <f>T.A11!L45/T.A12!L45</f>
        <v>1.0776113550386213</v>
      </c>
      <c r="G45" s="1143">
        <f>T.A11!M45/T.A12!M45</f>
        <v>4.4473362410818069</v>
      </c>
      <c r="H45" s="1173">
        <f>T.A11b!H45/T.A12b!H45</f>
        <v>1.5067920785101401</v>
      </c>
      <c r="I45" s="1153">
        <f>T.A11b!I45/T.A12b!I45</f>
        <v>4.1030951745722035</v>
      </c>
      <c r="J45" s="1153">
        <f>T.A11b!J45/T.A12b!J45</f>
        <v>3.0120605888788368</v>
      </c>
      <c r="K45" s="1153">
        <f>T.A11b!K45/T.A12b!K45</f>
        <v>6.1825113064185766</v>
      </c>
      <c r="L45" s="1153">
        <f>T.A11b!L45/T.A12b!L45</f>
        <v>1.0244846956253171</v>
      </c>
      <c r="M45" s="890">
        <f>T.A11b!M45/T.A12b!M45</f>
        <v>6.3338882139563166</v>
      </c>
    </row>
    <row r="46" spans="1:13">
      <c r="A46" s="826">
        <v>2002</v>
      </c>
      <c r="B46" s="1173">
        <f>T.A11!H46/T.A12!H46</f>
        <v>1.3445764122350639</v>
      </c>
      <c r="C46" s="1153">
        <f>T.A11!I46/T.A12!I46</f>
        <v>3.2128660053232458</v>
      </c>
      <c r="D46" s="1153">
        <f>T.A11!J46/T.A12!J46</f>
        <v>2.1962411572022309</v>
      </c>
      <c r="E46" s="1153">
        <f>T.A11!K46/T.A12!K46</f>
        <v>4.3199438464295321</v>
      </c>
      <c r="F46" s="1153">
        <f>T.A11!L46/T.A12!L46</f>
        <v>1.0174061091258835</v>
      </c>
      <c r="G46" s="1143">
        <f>T.A11!M46/T.A12!M46</f>
        <v>4.3951372604381733</v>
      </c>
      <c r="H46" s="1173">
        <f>T.A11b!H46/T.A12b!H46</f>
        <v>1.5690559897450072</v>
      </c>
      <c r="I46" s="1153">
        <f>T.A11b!I46/T.A12b!I46</f>
        <v>3.8800127435831948</v>
      </c>
      <c r="J46" s="1153">
        <f>T.A11b!J46/T.A12b!J46</f>
        <v>2.8652861398968303</v>
      </c>
      <c r="K46" s="1153">
        <f>T.A11b!K46/T.A12b!K46</f>
        <v>6.0879572356061695</v>
      </c>
      <c r="L46" s="1153">
        <f>T.A11b!L46/T.A12b!L46</f>
        <v>0.9541905415431573</v>
      </c>
      <c r="M46" s="890">
        <f>T.A11b!M46/T.A12b!M46</f>
        <v>5.8090712115346337</v>
      </c>
    </row>
    <row r="47" spans="1:13">
      <c r="A47" s="826">
        <v>2003</v>
      </c>
      <c r="B47" s="1173">
        <f>T.A11!H47/T.A12!H47</f>
        <v>1.2421898614022129</v>
      </c>
      <c r="C47" s="1153">
        <f>T.A11!I47/T.A12!I47</f>
        <v>3.2199544781285478</v>
      </c>
      <c r="D47" s="1153">
        <f>T.A11!J47/T.A12!J47</f>
        <v>1.9481248830321245</v>
      </c>
      <c r="E47" s="1153">
        <f>T.A11!K47/T.A12!K47</f>
        <v>3.9997948069079334</v>
      </c>
      <c r="F47" s="1153">
        <f>T.A11!L47/T.A12!L47</f>
        <v>1.0221800461795196</v>
      </c>
      <c r="G47" s="1143">
        <f>T.A11!M47/T.A12!M47</f>
        <v>4.0885104404337573</v>
      </c>
      <c r="H47" s="1173">
        <f>T.A11b!H47/T.A12b!H47</f>
        <v>1.4533004153658817</v>
      </c>
      <c r="I47" s="1153">
        <f>T.A11b!I47/T.A12b!I47</f>
        <v>3.807600453523762</v>
      </c>
      <c r="J47" s="1153">
        <f>T.A11b!J47/T.A12b!J47</f>
        <v>2.4606924297405253</v>
      </c>
      <c r="K47" s="1153">
        <f>T.A11b!K47/T.A12b!K47</f>
        <v>5.5335873206534032</v>
      </c>
      <c r="L47" s="1153">
        <f>T.A11b!L47/T.A12b!L47</f>
        <v>0.98221983465957718</v>
      </c>
      <c r="M47" s="890">
        <f>T.A11b!M47/T.A12b!M47</f>
        <v>5.4351992231665189</v>
      </c>
    </row>
    <row r="48" spans="1:13">
      <c r="A48" s="826">
        <v>2004</v>
      </c>
      <c r="B48" s="1173">
        <f>T.A11!H48/T.A12!H48</f>
        <v>1.1050556283310922</v>
      </c>
      <c r="C48" s="1153">
        <f>T.A11!I48/T.A12!I48</f>
        <v>3.6612745886546136</v>
      </c>
      <c r="D48" s="1153">
        <f>T.A11!J48/T.A12!J48</f>
        <v>1.8950162643018615</v>
      </c>
      <c r="E48" s="1153">
        <f>T.A11!K48/T.A12!K48</f>
        <v>4.0459120910583852</v>
      </c>
      <c r="F48" s="1153">
        <f>T.A11!L48/T.A12!L48</f>
        <v>1.0780703033098094</v>
      </c>
      <c r="G48" s="1143">
        <f>T.A11!M48/T.A12!M48</f>
        <v>4.3617776751721387</v>
      </c>
      <c r="H48" s="1173">
        <f>T.A11b!H48/T.A12b!H48</f>
        <v>1.289522211410294</v>
      </c>
      <c r="I48" s="1153">
        <f>T.A11b!I48/T.A12b!I48</f>
        <v>4.6449546729931797</v>
      </c>
      <c r="J48" s="1153">
        <f>T.A11b!J48/T.A12b!J48</f>
        <v>2.5018337241129744</v>
      </c>
      <c r="K48" s="1153">
        <f>T.A11b!K48/T.A12b!K48</f>
        <v>5.9897722218187432</v>
      </c>
      <c r="L48" s="1153">
        <f>T.A11b!L48/T.A12b!L48</f>
        <v>1.0464019441935088</v>
      </c>
      <c r="M48" s="890">
        <f>T.A11b!M48/T.A12b!M48</f>
        <v>6.2677092981874072</v>
      </c>
    </row>
    <row r="49" spans="1:16">
      <c r="A49" s="826">
        <v>2005</v>
      </c>
      <c r="B49" s="1173">
        <f>T.A11!H49/T.A12!H49</f>
        <v>1.2112157932060261</v>
      </c>
      <c r="C49" s="1153">
        <f>T.A11!I49/T.A12!I49</f>
        <v>2.6293574123137233</v>
      </c>
      <c r="D49" s="1153">
        <f>T.A11!J49/T.A12!J49</f>
        <v>1.6741144396918815</v>
      </c>
      <c r="E49" s="1153">
        <f>T.A11!K49/T.A12!K49</f>
        <v>3.18471922377771</v>
      </c>
      <c r="F49" s="1153">
        <f>T.A11!L49/T.A12!L49</f>
        <v>1.1189779700935587</v>
      </c>
      <c r="G49" s="1143">
        <f>T.A11!M49/T.A12!M49</f>
        <v>3.563630652340716</v>
      </c>
      <c r="H49" s="1173">
        <f>T.A11b!H49/T.A12b!H49</f>
        <v>1.4499712955063699</v>
      </c>
      <c r="I49" s="1153">
        <f>T.A11b!I49/T.A12b!I49</f>
        <v>3.2655234596830232</v>
      </c>
      <c r="J49" s="1153">
        <f>T.A11b!J49/T.A12b!J49</f>
        <v>2.1937280117784255</v>
      </c>
      <c r="K49" s="1153">
        <f>T.A11b!K49/T.A12b!K49</f>
        <v>4.7349152813430342</v>
      </c>
      <c r="L49" s="1153">
        <f>T.A11b!L49/T.A12b!L49</f>
        <v>1.0806840769711574</v>
      </c>
      <c r="M49" s="890">
        <f>T.A11b!M49/T.A12b!M49</f>
        <v>5.1169475503548263</v>
      </c>
    </row>
    <row r="50" spans="1:16">
      <c r="A50" s="826">
        <v>2006</v>
      </c>
      <c r="B50" s="1173">
        <f>T.A11!H50/T.A12!H50</f>
        <v>1.209188666317347</v>
      </c>
      <c r="C50" s="1153">
        <f>T.A11!I50/T.A12!I50</f>
        <v>3.0158999719317361</v>
      </c>
      <c r="D50" s="1153">
        <f>T.A11!J50/T.A12!J50</f>
        <v>1.7297547669898459</v>
      </c>
      <c r="E50" s="1153">
        <f>T.A11!K50/T.A12!K50</f>
        <v>3.646792064806661</v>
      </c>
      <c r="F50" s="1153">
        <f>T.A11!L50/T.A12!L50</f>
        <v>1.0455327298769437</v>
      </c>
      <c r="G50" s="1143">
        <f>T.A11!M50/T.A12!M50</f>
        <v>3.8128404628108843</v>
      </c>
      <c r="H50" s="1173">
        <f>T.A11b!H50/T.A12b!H50</f>
        <v>1.4637943801238111</v>
      </c>
      <c r="I50" s="1153">
        <f>T.A11b!I50/T.A12b!I50</f>
        <v>3.8281606676257116</v>
      </c>
      <c r="J50" s="1153">
        <f>T.A11b!J50/T.A12b!J50</f>
        <v>2.3099864493530258</v>
      </c>
      <c r="K50" s="1153">
        <f>T.A11b!K50/T.A12b!K50</f>
        <v>5.603640071481534</v>
      </c>
      <c r="L50" s="1153">
        <f>T.A11b!L50/T.A12b!L50</f>
        <v>1.0087080095406988</v>
      </c>
      <c r="M50" s="890">
        <f>T.A11b!M50/T.A12b!M50</f>
        <v>5.6524366226866389</v>
      </c>
    </row>
    <row r="51" spans="1:16">
      <c r="A51" s="826">
        <v>2007</v>
      </c>
      <c r="B51" s="1173">
        <f>T.A11!H51/T.A12!H51</f>
        <v>1.1581205052979289</v>
      </c>
      <c r="C51" s="1153">
        <f>T.A11!I51/T.A12!I51</f>
        <v>2.9782228185268802</v>
      </c>
      <c r="D51" s="1153">
        <f>T.A11!J51/T.A12!J51</f>
        <v>1.6598548087475504</v>
      </c>
      <c r="E51" s="1153">
        <f>T.A11!K51/T.A12!K51</f>
        <v>3.4491409154821708</v>
      </c>
      <c r="F51" s="1153">
        <f>T.A11!L51/T.A12!L51</f>
        <v>1.1198576312959605</v>
      </c>
      <c r="G51" s="1143">
        <f>T.A11!M51/T.A12!M51</f>
        <v>3.8625467756178455</v>
      </c>
      <c r="H51" s="1173">
        <f>T.A11b!H51/T.A12b!H51</f>
        <v>1.3945281763344233</v>
      </c>
      <c r="I51" s="1153">
        <f>T.A11b!I51/T.A12b!I51</f>
        <v>3.6841930558664044</v>
      </c>
      <c r="J51" s="1153">
        <f>T.A11b!J51/T.A12b!J51</f>
        <v>2.1493638173448306</v>
      </c>
      <c r="K51" s="1153">
        <f>T.A11b!K51/T.A12b!K51</f>
        <v>5.1377110234613248</v>
      </c>
      <c r="L51" s="1153">
        <f>T.A11b!L51/T.A12b!L51</f>
        <v>1.1116789874189275</v>
      </c>
      <c r="M51" s="890">
        <f>T.A11b!M51/T.A12b!M51</f>
        <v>5.7114853882125436</v>
      </c>
    </row>
    <row r="52" spans="1:16">
      <c r="A52" s="826">
        <v>2008</v>
      </c>
      <c r="B52" s="1173">
        <f>T.A11!H52/T.A12!H52</f>
        <v>1.2560549986701406</v>
      </c>
      <c r="C52" s="1153">
        <f>T.A11!I52/T.A12!I52</f>
        <v>2.1158339636123102</v>
      </c>
      <c r="D52" s="1153">
        <f>T.A11!J52/T.A12!J52</f>
        <v>1.4985731025537465</v>
      </c>
      <c r="E52" s="1153">
        <f>T.A11!K52/T.A12!K52</f>
        <v>2.6576038263512993</v>
      </c>
      <c r="F52" s="1153">
        <f>T.A11!L52/T.A12!L52</f>
        <v>1.1352650789633258</v>
      </c>
      <c r="G52" s="1143">
        <f>T.A11!M52/T.A12!M52</f>
        <v>3.0170848177759435</v>
      </c>
      <c r="H52" s="1173">
        <f>T.A11b!H52/T.A12b!H52</f>
        <v>1.5817799142037943</v>
      </c>
      <c r="I52" s="1153">
        <f>T.A11b!I52/T.A12b!I52</f>
        <v>2.8211159383321878</v>
      </c>
      <c r="J52" s="1153">
        <f>T.A11b!J52/T.A12b!J52</f>
        <v>2.08760512683607</v>
      </c>
      <c r="K52" s="1153">
        <f>T.A11b!K52/T.A12b!K52</f>
        <v>4.4623845268940441</v>
      </c>
      <c r="L52" s="1153">
        <f>T.A11b!L52/T.A12b!L52</f>
        <v>1.1437638084198909</v>
      </c>
      <c r="M52" s="890">
        <f>T.A11b!M52/T.A12b!M52</f>
        <v>5.1039139211143247</v>
      </c>
    </row>
    <row r="53" spans="1:16">
      <c r="A53" s="856">
        <v>2009</v>
      </c>
      <c r="B53" s="1174">
        <f>T.A11!H53/T.A12!H53</f>
        <v>1.2767723952369345</v>
      </c>
      <c r="C53" s="1154">
        <f>T.A11!I53/T.A12!I53</f>
        <v>3.0003194663757657</v>
      </c>
      <c r="D53" s="1154">
        <f>T.A11!J53/T.A12!J53</f>
        <v>1.8701973257340083</v>
      </c>
      <c r="E53" s="1154">
        <f>T.A11!K53/T.A12!K53</f>
        <v>3.8307250715605901</v>
      </c>
      <c r="F53" s="1154">
        <f>T.A11!L53/T.A12!L53</f>
        <v>1.1495918427145468</v>
      </c>
      <c r="G53" s="1144">
        <f>T.A11!M53/T.A12!M53</f>
        <v>4.40377029394815</v>
      </c>
      <c r="H53" s="1174">
        <f>T.A11b!H53/T.A12b!H53</f>
        <v>1.5701594985022369</v>
      </c>
      <c r="I53" s="1154">
        <f>T.A11b!I53/T.A12b!I53</f>
        <v>3.4900409402250858</v>
      </c>
      <c r="J53" s="1154">
        <f>T.A11b!J53/T.A12b!J53</f>
        <v>2.4056715885781714</v>
      </c>
      <c r="K53" s="1154">
        <f>T.A11b!K53/T.A12b!K53</f>
        <v>5.4799209324560998</v>
      </c>
      <c r="L53" s="1154">
        <f>T.A11b!L53/T.A12b!L53</f>
        <v>1.1067074433707591</v>
      </c>
      <c r="M53" s="892">
        <f>T.A11b!M53/T.A12b!M53</f>
        <v>6.0646692850323936</v>
      </c>
    </row>
    <row r="54" spans="1:16">
      <c r="A54" s="826">
        <v>2010</v>
      </c>
      <c r="B54" s="1173">
        <f>T.A11!H54/T.A12!H54</f>
        <v>1.3018530509088719</v>
      </c>
      <c r="C54" s="1153">
        <f>T.A11!I54/T.A12!I54</f>
        <v>2.6328533399101919</v>
      </c>
      <c r="D54" s="1153">
        <f>T.A11!J54/T.A12!J54</f>
        <v>1.7157347478103586</v>
      </c>
      <c r="E54" s="1153">
        <f>T.A11!K54/T.A12!K54</f>
        <v>3.4275881531576964</v>
      </c>
      <c r="F54" s="1153">
        <f>T.A11!L54/T.A12!L54</f>
        <v>1.0730935808105446</v>
      </c>
      <c r="G54" s="1143">
        <f>T.A11!M54/T.A12!M54</f>
        <v>3.6781228448157939</v>
      </c>
      <c r="H54" s="1173">
        <f>T.A11b!H54/T.A12b!H54</f>
        <v>1.6211725243257091</v>
      </c>
      <c r="I54" s="1153">
        <f>T.A11b!I54/T.A12b!I54</f>
        <v>3.0949073249561962</v>
      </c>
      <c r="J54" s="1153">
        <f>T.A11b!J54/T.A12b!J54</f>
        <v>2.2154245722300088</v>
      </c>
      <c r="K54" s="1153">
        <f>T.A11b!K54/T.A12b!K54</f>
        <v>5.0173787205533653</v>
      </c>
      <c r="L54" s="1153">
        <f>T.A11b!L54/T.A12b!L54</f>
        <v>1.0285118772234749</v>
      </c>
      <c r="M54" s="890">
        <f>T.A11b!M54/T.A12b!M54</f>
        <v>5.160433606617457</v>
      </c>
      <c r="P54" s="829" t="s">
        <v>2622</v>
      </c>
    </row>
    <row r="55" spans="1:16">
      <c r="A55" s="826">
        <v>2011</v>
      </c>
      <c r="B55" s="1173">
        <f>T.A11!H55/T.A12!H55</f>
        <v>1.3275612524974592</v>
      </c>
      <c r="C55" s="1153">
        <f>T.A11!I55/T.A12!I55</f>
        <v>2.581973084361699</v>
      </c>
      <c r="D55" s="1153">
        <f>T.A11!J55/T.A12!J55</f>
        <v>1.6547345010247876</v>
      </c>
      <c r="E55" s="1153">
        <f>T.A11!K55/T.A12!K55</f>
        <v>3.427727421789946</v>
      </c>
      <c r="F55" s="1153">
        <f>T.A11!L55/T.A12!L55</f>
        <v>1.1302770966431184</v>
      </c>
      <c r="G55" s="1143">
        <f>T.A11!M55/T.A12!M55</f>
        <v>3.8742817983847391</v>
      </c>
      <c r="H55" s="1173">
        <f>T.A11b!H55/T.A12b!H55</f>
        <v>1.6602190437014437</v>
      </c>
      <c r="I55" s="1153">
        <f>T.A11b!I55/T.A12b!I55</f>
        <v>3.1212863409941138</v>
      </c>
      <c r="J55" s="1153">
        <f>T.A11b!J55/T.A12b!J55</f>
        <v>2.1605351451864943</v>
      </c>
      <c r="K55" s="1153">
        <f>T.A11b!K55/T.A12b!K55</f>
        <v>5.182019024163627</v>
      </c>
      <c r="L55" s="1153">
        <f>T.A11b!L55/T.A12b!L55</f>
        <v>1.0966729900507382</v>
      </c>
      <c r="M55" s="890">
        <f>T.A11b!M55/T.A12b!M55</f>
        <v>5.6829802977293316</v>
      </c>
      <c r="P55" s="829" t="s">
        <v>2621</v>
      </c>
    </row>
    <row r="56" spans="1:16">
      <c r="A56" s="826">
        <v>2012</v>
      </c>
      <c r="B56" s="1173">
        <f>T.A11!H56/T.A12!H56</f>
        <v>1.302207992755873</v>
      </c>
      <c r="C56" s="1153">
        <f>T.A11!I56/T.A12!I56</f>
        <v>2.9248705043670822</v>
      </c>
      <c r="D56" s="1153">
        <f>T.A11!J56/T.A12!J56</f>
        <v>1.7482257474341008</v>
      </c>
      <c r="E56" s="1153">
        <f>T.A11!K56/T.A12!K56</f>
        <v>3.8087897485627145</v>
      </c>
      <c r="F56" s="1153">
        <f>T.A11!L56/T.A12!L56</f>
        <v>1.1376201510413544</v>
      </c>
      <c r="G56" s="1143">
        <f>T.A11!M56/T.A12!M56</f>
        <v>4.3329559690446775</v>
      </c>
      <c r="H56" s="1173">
        <f>T.A11b!H56/T.A12b!H56</f>
        <v>1.6540692362144753</v>
      </c>
      <c r="I56" s="1153">
        <f>T.A11b!I56/T.A12b!I56</f>
        <v>3.4513641432476567</v>
      </c>
      <c r="J56" s="1153">
        <f>T.A11b!J56/T.A12b!J56</f>
        <v>2.2851828318891743</v>
      </c>
      <c r="K56" s="1153">
        <f>T.A11b!K56/T.A12b!K56</f>
        <v>5.7087952523196757</v>
      </c>
      <c r="L56" s="1153">
        <f>T.A11b!L56/T.A12b!L56</f>
        <v>1.1068140639219055</v>
      </c>
      <c r="M56" s="890">
        <f>T.A11b!M56/T.A12b!M56</f>
        <v>6.3185748733180223</v>
      </c>
      <c r="P56" s="829" t="s">
        <v>3503</v>
      </c>
    </row>
    <row r="57" spans="1:16">
      <c r="A57" s="826">
        <v>2013</v>
      </c>
      <c r="B57" s="1173">
        <f>T.A11!H57/T.A12!H57</f>
        <v>1.2579404013396074</v>
      </c>
      <c r="C57" s="1153">
        <f>T.A11!I57/T.A12!I57</f>
        <v>2.9090120647922739</v>
      </c>
      <c r="D57" s="1153">
        <f>T.A11!J57/T.A12!J57</f>
        <v>1.7636545711809384</v>
      </c>
      <c r="E57" s="1153">
        <f>T.A11!K57/T.A12!K57</f>
        <v>3.6593638042865528</v>
      </c>
      <c r="F57" s="1153">
        <f>T.A11!L57/T.A12!L57</f>
        <v>1.1245150518649265</v>
      </c>
      <c r="G57" s="1143">
        <f>T.A11!M57/T.A12!M57</f>
        <v>4.115009678169927</v>
      </c>
      <c r="H57" s="1173">
        <f>T.A11b!H57/T.A12b!H57</f>
        <v>1.6286810001145251</v>
      </c>
      <c r="I57" s="1153">
        <f>T.A11b!I57/T.A12b!I57</f>
        <v>3.310274891726114</v>
      </c>
      <c r="J57" s="1153">
        <f>T.A11b!J57/T.A12b!J57</f>
        <v>2.290332862905049</v>
      </c>
      <c r="K57" s="1153">
        <f>T.A11b!K57/T.A12b!K57</f>
        <v>5.3913818213104889</v>
      </c>
      <c r="L57" s="1153">
        <f>T.A11b!L57/T.A12b!L57</f>
        <v>1.0971141653928889</v>
      </c>
      <c r="M57" s="890">
        <f>T.A11b!M57/T.A12b!M57</f>
        <v>5.9149613672014487</v>
      </c>
    </row>
    <row r="58" spans="1:16">
      <c r="A58" s="826">
        <v>2014</v>
      </c>
      <c r="B58" s="1176">
        <f>T.A11!H58/T.A12!H58</f>
        <v>1.3420195485010997</v>
      </c>
      <c r="C58" s="1153">
        <f>T.A11!I58/T.A12!I58</f>
        <v>3.0619364209693511</v>
      </c>
      <c r="D58" s="1153">
        <f>T.A11!J58/T.A12!J58</f>
        <v>1.8795589772888657</v>
      </c>
      <c r="E58" s="1153">
        <f>T.A11!K58/T.A12!K58</f>
        <v>4.109178533208361</v>
      </c>
      <c r="F58" s="1153">
        <f>T.A11!L58/T.A12!L58</f>
        <v>1.1598250555123719</v>
      </c>
      <c r="G58" s="1143">
        <f>T.A11!M58/T.A12!M58</f>
        <v>4.7659282203886359</v>
      </c>
      <c r="H58" s="1173">
        <f>T.A11b!H58/T.A12b!H58</f>
        <v>1.709359839833452</v>
      </c>
      <c r="I58" s="1153">
        <f>T.A11b!I58/T.A12b!I58</f>
        <v>3.1823645139508945</v>
      </c>
      <c r="J58" s="1153">
        <f>T.A11b!J58/T.A12b!J58</f>
        <v>2.2747209130430179</v>
      </c>
      <c r="K58" s="1153">
        <f>T.A11b!K58/T.A12b!K58</f>
        <v>5.4398060958587653</v>
      </c>
      <c r="L58" s="1153">
        <f>T.A11b!L58/T.A12b!L58</f>
        <v>1.1397087092186902</v>
      </c>
      <c r="M58" s="890">
        <f>T.A11b!M58/T.A12b!M58</f>
        <v>6.1997943839111551</v>
      </c>
    </row>
    <row r="59" spans="1:16">
      <c r="A59" s="826">
        <v>2015</v>
      </c>
      <c r="B59" s="1176">
        <f>T.A11!H59/T.A12!H59</f>
        <v>1.4794700235980782</v>
      </c>
      <c r="C59" s="1153">
        <f>T.A11!I59/T.A12!I59</f>
        <v>4.2556034138807544</v>
      </c>
      <c r="D59" s="1153">
        <f>T.A11!J59/T.A12!J59</f>
        <v>2.3521314538782123</v>
      </c>
      <c r="E59" s="1153">
        <f>T.A11!K59/T.A12!K59</f>
        <v>6.2960376831582225</v>
      </c>
      <c r="F59" s="1153">
        <f>T.A11!L59/T.A12!L59</f>
        <v>1.1122857961072861</v>
      </c>
      <c r="G59" s="1143">
        <f>T.A11!M59/T.A12!M59</f>
        <v>7.0029932867331155</v>
      </c>
      <c r="H59" s="1173">
        <f>T.A11b!H59/T.A12b!H59</f>
        <v>1.7744529259001656</v>
      </c>
      <c r="I59" s="1153">
        <f>T.A11b!I59/T.A12b!I59</f>
        <v>3.9964748457181796</v>
      </c>
      <c r="J59" s="1153">
        <f>T.A11b!J59/T.A12b!J59</f>
        <v>2.5529529293738591</v>
      </c>
      <c r="K59" s="1153">
        <f>T.A11b!K59/T.A12b!K59</f>
        <v>7.0915564832710363</v>
      </c>
      <c r="L59" s="1153">
        <f>T.A11b!L59/T.A12b!L59</f>
        <v>1.0940398807892635</v>
      </c>
      <c r="M59" s="890">
        <f>T.A11b!M59/T.A12b!M59</f>
        <v>7.7584456095681729</v>
      </c>
    </row>
    <row r="60" spans="1:16">
      <c r="A60" s="826">
        <v>2016</v>
      </c>
      <c r="B60" s="1176">
        <f>T.A11!H60/T.A12!H60</f>
        <v>1.5129901413834854</v>
      </c>
      <c r="C60" s="1153">
        <f>T.A11!I60/T.A12!I60</f>
        <v>5.0990692005849532</v>
      </c>
      <c r="D60" s="1153">
        <f>T.A11!J60/T.A12!J60</f>
        <v>2.6817010805818344</v>
      </c>
      <c r="E60" s="1153">
        <f>T.A11!K60/T.A12!K60</f>
        <v>7.7148414307172049</v>
      </c>
      <c r="F60" s="1153">
        <f>T.A11!L60/T.A12!L60</f>
        <v>1.0808169553129632</v>
      </c>
      <c r="G60" s="1143">
        <f>T.A11!M60/T.A12!M60</f>
        <v>8.3383314258700771</v>
      </c>
      <c r="H60" s="1173">
        <f>T.A11b!H60/T.A12b!H60</f>
        <v>1.8396906750649198</v>
      </c>
      <c r="I60" s="1153">
        <f>T.A11b!I60/T.A12b!I60</f>
        <v>4.553861739477262</v>
      </c>
      <c r="J60" s="1153">
        <f>T.A11b!J60/T.A12b!J60</f>
        <v>2.8395898144782965</v>
      </c>
      <c r="K60" s="1153">
        <f>T.A11b!K60/T.A12b!K60</f>
        <v>8.3776969776512349</v>
      </c>
      <c r="L60" s="1153">
        <f>T.A11b!L60/T.A12b!L60</f>
        <v>1.0572103813369456</v>
      </c>
      <c r="M60" s="890">
        <f>T.A11b!M60/T.A12b!M60</f>
        <v>8.8569882164680376</v>
      </c>
    </row>
    <row r="61" spans="1:16" ht="16" thickBot="1">
      <c r="A61" s="819"/>
      <c r="B61" s="1178"/>
      <c r="C61" s="1157"/>
      <c r="D61" s="1151"/>
      <c r="E61" s="821"/>
      <c r="F61" s="821"/>
      <c r="G61" s="1151"/>
      <c r="H61" s="1178"/>
      <c r="I61" s="1157"/>
      <c r="J61" s="1151"/>
      <c r="K61" s="821"/>
      <c r="L61" s="821"/>
      <c r="M61" s="1150"/>
    </row>
    <row r="62" spans="1:16" ht="16" thickTop="1"/>
    <row r="63" spans="1:16" s="825" customFormat="1">
      <c r="A63" s="805"/>
      <c r="B63" s="805"/>
      <c r="C63" s="805"/>
      <c r="D63" s="805"/>
      <c r="E63" s="805"/>
      <c r="F63" s="805"/>
    </row>
    <row r="65" spans="1:6" s="825" customFormat="1">
      <c r="A65" s="805"/>
      <c r="B65" s="805"/>
      <c r="C65" s="805"/>
      <c r="D65" s="805"/>
      <c r="E65" s="805"/>
      <c r="F65" s="805"/>
    </row>
  </sheetData>
  <mergeCells count="15">
    <mergeCell ref="A3:M3"/>
    <mergeCell ref="B6:G6"/>
    <mergeCell ref="B7:B8"/>
    <mergeCell ref="C7:C8"/>
    <mergeCell ref="D7:D8"/>
    <mergeCell ref="E7:E8"/>
    <mergeCell ref="F7:F8"/>
    <mergeCell ref="G7:G8"/>
    <mergeCell ref="H6:M6"/>
    <mergeCell ref="H7:H8"/>
    <mergeCell ref="I7:I8"/>
    <mergeCell ref="J7:J8"/>
    <mergeCell ref="K7:K8"/>
    <mergeCell ref="L7:L8"/>
    <mergeCell ref="M7:M8"/>
  </mergeCells>
  <pageMargins left="0.75" right="0.75" top="1" bottom="1" header="0.5" footer="0.5"/>
  <pageSetup scale="48" orientation="portrait" horizontalDpi="4294967292" verticalDpi="4294967292"/>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P65"/>
  <sheetViews>
    <sheetView workbookViewId="0">
      <pane xSplit="1" ySplit="9" topLeftCell="B47" activePane="bottomRight" state="frozen"/>
      <selection activeCell="X67" sqref="X67"/>
      <selection pane="topRight" activeCell="X67" sqref="X67"/>
      <selection pane="bottomLeft" activeCell="X67" sqref="X67"/>
      <selection pane="bottomRight" activeCell="X67" sqref="X67"/>
    </sheetView>
  </sheetViews>
  <sheetFormatPr baseColWidth="10" defaultColWidth="9.28515625" defaultRowHeight="15" x14ac:dyDescent="0"/>
  <cols>
    <col min="1" max="1" width="16.28515625" style="805" customWidth="1"/>
    <col min="2" max="6" width="9.7109375" style="805" customWidth="1"/>
    <col min="7" max="7" width="9.7109375" style="825" customWidth="1"/>
    <col min="8" max="8" width="9.28515625" style="805" customWidth="1"/>
    <col min="9" max="12" width="9.28515625" style="805"/>
    <col min="13" max="13" width="9.28515625" style="825" customWidth="1"/>
    <col min="14" max="16384" width="9.28515625" style="805"/>
  </cols>
  <sheetData>
    <row r="1" spans="1:16">
      <c r="P1" s="829" t="s">
        <v>2615</v>
      </c>
    </row>
    <row r="2" spans="1:16" ht="16" thickBot="1">
      <c r="P2" s="829" t="s">
        <v>2616</v>
      </c>
    </row>
    <row r="3" spans="1:16" ht="32" customHeight="1" thickTop="1">
      <c r="A3" s="1793" t="s">
        <v>2617</v>
      </c>
      <c r="B3" s="1794"/>
      <c r="C3" s="1794"/>
      <c r="D3" s="1794"/>
      <c r="E3" s="1794"/>
      <c r="F3" s="1794"/>
      <c r="G3" s="1794"/>
      <c r="H3" s="1794"/>
      <c r="I3" s="1794"/>
      <c r="J3" s="1794"/>
      <c r="K3" s="1794"/>
      <c r="L3" s="1794"/>
      <c r="M3" s="1795"/>
      <c r="P3" s="829" t="s">
        <v>3504</v>
      </c>
    </row>
    <row r="4" spans="1:16" ht="12" customHeight="1">
      <c r="A4" s="806"/>
      <c r="B4" s="807"/>
      <c r="C4" s="807"/>
      <c r="D4" s="807"/>
      <c r="E4" s="807"/>
      <c r="F4" s="807"/>
      <c r="G4" s="807"/>
      <c r="H4" s="887"/>
      <c r="I4" s="887"/>
      <c r="J4" s="887"/>
      <c r="K4" s="887"/>
      <c r="L4" s="887"/>
      <c r="M4" s="1185"/>
      <c r="P4" s="829" t="s">
        <v>2619</v>
      </c>
    </row>
    <row r="5" spans="1:16">
      <c r="A5" s="809"/>
      <c r="B5" s="1169" t="s">
        <v>2411</v>
      </c>
      <c r="C5" s="1169" t="s">
        <v>2412</v>
      </c>
      <c r="D5" s="1169" t="s">
        <v>2413</v>
      </c>
      <c r="E5" s="1169" t="s">
        <v>2414</v>
      </c>
      <c r="F5" s="1169" t="s">
        <v>2415</v>
      </c>
      <c r="G5" s="1169" t="s">
        <v>2416</v>
      </c>
      <c r="H5" s="1169" t="s">
        <v>2417</v>
      </c>
      <c r="I5" s="1169" t="s">
        <v>2429</v>
      </c>
      <c r="J5" s="1169" t="s">
        <v>2430</v>
      </c>
      <c r="K5" s="1169" t="s">
        <v>2431</v>
      </c>
      <c r="L5" s="1169" t="s">
        <v>2432</v>
      </c>
      <c r="M5" s="1170" t="s">
        <v>2433</v>
      </c>
      <c r="P5" s="829" t="s">
        <v>2618</v>
      </c>
    </row>
    <row r="6" spans="1:16" ht="21" customHeight="1">
      <c r="A6" s="809"/>
      <c r="B6" s="1748" t="s">
        <v>2601</v>
      </c>
      <c r="C6" s="1749"/>
      <c r="D6" s="1749"/>
      <c r="E6" s="1749"/>
      <c r="F6" s="1749"/>
      <c r="G6" s="1749"/>
      <c r="H6" s="1748" t="s">
        <v>2602</v>
      </c>
      <c r="I6" s="1749"/>
      <c r="J6" s="1749"/>
      <c r="K6" s="1749"/>
      <c r="L6" s="1749"/>
      <c r="M6" s="1840"/>
      <c r="P6" s="829" t="s">
        <v>3505</v>
      </c>
    </row>
    <row r="7" spans="1:16" ht="21" customHeight="1">
      <c r="A7" s="809"/>
      <c r="B7" s="1741" t="s">
        <v>1854</v>
      </c>
      <c r="C7" s="1743" t="s">
        <v>1855</v>
      </c>
      <c r="D7" s="1743" t="s">
        <v>2244</v>
      </c>
      <c r="E7" s="1757" t="s">
        <v>2604</v>
      </c>
      <c r="F7" s="1743" t="s">
        <v>2605</v>
      </c>
      <c r="G7" s="1855" t="s">
        <v>2603</v>
      </c>
      <c r="H7" s="1741" t="s">
        <v>1854</v>
      </c>
      <c r="I7" s="1743" t="s">
        <v>1855</v>
      </c>
      <c r="J7" s="1855" t="s">
        <v>2244</v>
      </c>
      <c r="K7" s="1743" t="s">
        <v>2604</v>
      </c>
      <c r="L7" s="1757" t="s">
        <v>2605</v>
      </c>
      <c r="M7" s="1856" t="s">
        <v>2603</v>
      </c>
      <c r="P7" s="829" t="s">
        <v>2620</v>
      </c>
    </row>
    <row r="8" spans="1:16" ht="85" customHeight="1">
      <c r="A8" s="809"/>
      <c r="B8" s="1741"/>
      <c r="C8" s="1851"/>
      <c r="D8" s="1851"/>
      <c r="E8" s="1757"/>
      <c r="F8" s="1744"/>
      <c r="G8" s="1855"/>
      <c r="H8" s="1741"/>
      <c r="I8" s="1851"/>
      <c r="J8" s="1855"/>
      <c r="K8" s="1743"/>
      <c r="L8" s="1757"/>
      <c r="M8" s="1857"/>
    </row>
    <row r="9" spans="1:16" ht="33" customHeight="1">
      <c r="A9" s="809"/>
      <c r="B9" s="1189"/>
      <c r="C9" s="1141"/>
      <c r="D9" s="1141"/>
      <c r="E9" s="1236"/>
      <c r="F9" s="1188"/>
      <c r="G9" s="1225"/>
      <c r="H9" s="1189"/>
      <c r="I9" s="1141"/>
      <c r="J9" s="1237"/>
      <c r="K9" s="1146"/>
      <c r="L9" s="1236"/>
      <c r="M9" s="1230"/>
    </row>
    <row r="10" spans="1:16" ht="14" customHeight="1">
      <c r="A10" s="921">
        <v>1966</v>
      </c>
      <c r="B10" s="924"/>
      <c r="C10" s="1152"/>
      <c r="D10" s="1152"/>
      <c r="E10" s="1142"/>
      <c r="F10" s="1152"/>
      <c r="G10" s="1226"/>
      <c r="H10" s="924"/>
      <c r="I10" s="1152"/>
      <c r="J10" s="1226"/>
      <c r="K10" s="1152"/>
      <c r="L10" s="1142"/>
      <c r="M10" s="1231"/>
    </row>
    <row r="11" spans="1:16" ht="14" customHeight="1">
      <c r="A11" s="826">
        <v>1967</v>
      </c>
      <c r="B11" s="889"/>
      <c r="C11" s="1153"/>
      <c r="D11" s="1153"/>
      <c r="E11" s="1143"/>
      <c r="F11" s="1153"/>
      <c r="G11" s="1227"/>
      <c r="H11" s="889"/>
      <c r="I11" s="1153"/>
      <c r="J11" s="1227"/>
      <c r="K11" s="1153"/>
      <c r="L11" s="1143"/>
      <c r="M11" s="1232"/>
    </row>
    <row r="12" spans="1:16" ht="14" customHeight="1">
      <c r="A12" s="826">
        <v>1968</v>
      </c>
      <c r="B12" s="889"/>
      <c r="C12" s="1153"/>
      <c r="D12" s="1153"/>
      <c r="E12" s="1143"/>
      <c r="F12" s="1153"/>
      <c r="G12" s="1227"/>
      <c r="H12" s="889"/>
      <c r="I12" s="1153"/>
      <c r="J12" s="1227"/>
      <c r="K12" s="1153"/>
      <c r="L12" s="1143"/>
      <c r="M12" s="1232"/>
    </row>
    <row r="13" spans="1:16" ht="14" customHeight="1">
      <c r="A13" s="856">
        <v>1969</v>
      </c>
      <c r="B13" s="891"/>
      <c r="C13" s="1154"/>
      <c r="D13" s="1154"/>
      <c r="E13" s="1144"/>
      <c r="F13" s="1154"/>
      <c r="G13" s="1228"/>
      <c r="H13" s="891"/>
      <c r="I13" s="1154"/>
      <c r="J13" s="1228"/>
      <c r="K13" s="1154"/>
      <c r="L13" s="1144"/>
      <c r="M13" s="1233"/>
    </row>
    <row r="14" spans="1:16" ht="14" customHeight="1">
      <c r="A14" s="863">
        <v>1970</v>
      </c>
      <c r="B14" s="893"/>
      <c r="C14" s="1155"/>
      <c r="D14" s="1155"/>
      <c r="E14" s="1145"/>
      <c r="F14" s="1155"/>
      <c r="G14" s="1229"/>
      <c r="H14" s="893"/>
      <c r="I14" s="1155"/>
      <c r="J14" s="1229"/>
      <c r="K14" s="1155"/>
      <c r="L14" s="1145"/>
      <c r="M14" s="1234"/>
    </row>
    <row r="15" spans="1:16" ht="14" customHeight="1">
      <c r="A15" s="826">
        <v>1971</v>
      </c>
      <c r="B15" s="889"/>
      <c r="C15" s="1153"/>
      <c r="D15" s="1153"/>
      <c r="E15" s="1143"/>
      <c r="F15" s="1153"/>
      <c r="G15" s="1227"/>
      <c r="H15" s="889"/>
      <c r="I15" s="1153"/>
      <c r="J15" s="1227"/>
      <c r="K15" s="1153"/>
      <c r="L15" s="1143"/>
      <c r="M15" s="1232"/>
    </row>
    <row r="16" spans="1:16" ht="14" customHeight="1">
      <c r="A16" s="826">
        <v>1972</v>
      </c>
      <c r="B16" s="889"/>
      <c r="C16" s="1153"/>
      <c r="D16" s="1153"/>
      <c r="E16" s="1143"/>
      <c r="F16" s="1153"/>
      <c r="G16" s="1227"/>
      <c r="H16" s="889"/>
      <c r="I16" s="1153"/>
      <c r="J16" s="1227"/>
      <c r="K16" s="1153"/>
      <c r="L16" s="1143"/>
      <c r="M16" s="1232"/>
    </row>
    <row r="17" spans="1:13" ht="14" customHeight="1">
      <c r="A17" s="826">
        <v>1973</v>
      </c>
      <c r="B17" s="889"/>
      <c r="C17" s="1153"/>
      <c r="D17" s="1153"/>
      <c r="E17" s="1143"/>
      <c r="F17" s="1153"/>
      <c r="G17" s="1227"/>
      <c r="H17" s="889"/>
      <c r="I17" s="1153"/>
      <c r="J17" s="1227"/>
      <c r="K17" s="1153"/>
      <c r="L17" s="1143"/>
      <c r="M17" s="1232"/>
    </row>
    <row r="18" spans="1:13" ht="14" customHeight="1">
      <c r="A18" s="826">
        <v>1974</v>
      </c>
      <c r="B18" s="889"/>
      <c r="C18" s="1153"/>
      <c r="D18" s="1153"/>
      <c r="E18" s="1143"/>
      <c r="F18" s="1153"/>
      <c r="G18" s="1227"/>
      <c r="H18" s="889"/>
      <c r="I18" s="1153"/>
      <c r="J18" s="1227"/>
      <c r="K18" s="1153"/>
      <c r="L18" s="1143"/>
      <c r="M18" s="1232"/>
    </row>
    <row r="19" spans="1:13" ht="14" customHeight="1">
      <c r="A19" s="826">
        <v>1975</v>
      </c>
      <c r="B19" s="889"/>
      <c r="C19" s="1153"/>
      <c r="D19" s="1153"/>
      <c r="E19" s="1143"/>
      <c r="F19" s="1153"/>
      <c r="G19" s="1227"/>
      <c r="H19" s="889"/>
      <c r="I19" s="1153"/>
      <c r="J19" s="1227"/>
      <c r="K19" s="1153"/>
      <c r="L19" s="1143"/>
      <c r="M19" s="1232"/>
    </row>
    <row r="20" spans="1:13" ht="14" customHeight="1">
      <c r="A20" s="826">
        <v>1976</v>
      </c>
      <c r="B20" s="889"/>
      <c r="C20" s="1153"/>
      <c r="D20" s="1153"/>
      <c r="E20" s="1143"/>
      <c r="F20" s="1153"/>
      <c r="G20" s="1227"/>
      <c r="H20" s="889"/>
      <c r="I20" s="1153"/>
      <c r="J20" s="1227"/>
      <c r="K20" s="1153"/>
      <c r="L20" s="1143"/>
      <c r="M20" s="1232"/>
    </row>
    <row r="21" spans="1:13" ht="14" customHeight="1">
      <c r="A21" s="826">
        <v>1977</v>
      </c>
      <c r="B21" s="889">
        <f>T.A10!D21/T.A5b!E21*0.001</f>
        <v>0.60800109580597383</v>
      </c>
      <c r="C21" s="1153">
        <f>T.A13!D21/T.A5b!H21*0.001</f>
        <v>2.1121545720062911</v>
      </c>
      <c r="D21" s="1153">
        <f>(T.A10!D21-T.A13!D21)/(T.A5b!E21-T.A5b!H21)*0.001</f>
        <v>0.2539712756731603</v>
      </c>
      <c r="E21" s="1143">
        <f>T.A11b!D21/T.A5d!C21*0.001</f>
        <v>0.12950647015386274</v>
      </c>
      <c r="F21" s="1153">
        <f>T.A12b!D21/T.A5d!F21*0.001</f>
        <v>0.27610929499021691</v>
      </c>
      <c r="G21" s="1227">
        <f>T.A11!D21/T.A5c!E21*0.001</f>
        <v>0.16947648624667261</v>
      </c>
      <c r="H21" s="889">
        <f>B21*(1-T.A1!L21)</f>
        <v>0.16490850415081532</v>
      </c>
      <c r="I21" s="1153">
        <f>C21*(1-T.A2!K21)</f>
        <v>0.2576686581163653</v>
      </c>
      <c r="J21" s="1227">
        <f>D21*(1-T.A2!L21)</f>
        <v>0.14476495891805205</v>
      </c>
      <c r="K21" s="1153">
        <f>E21*(1-T.A3!E21)</f>
        <v>0.10135612311997673</v>
      </c>
      <c r="L21" s="1143">
        <f>F21*(1-T.A3!K21)</f>
        <v>0.14851337763034531</v>
      </c>
      <c r="M21" s="1232">
        <f>G21*(1-T.A3!E21)</f>
        <v>0.13263800322525002</v>
      </c>
    </row>
    <row r="22" spans="1:13" ht="14" customHeight="1">
      <c r="A22" s="826">
        <v>1978</v>
      </c>
      <c r="B22" s="889"/>
      <c r="C22" s="1153"/>
      <c r="D22" s="1153"/>
      <c r="E22" s="1143"/>
      <c r="F22" s="1153"/>
      <c r="G22" s="1227"/>
      <c r="H22" s="889"/>
      <c r="I22" s="1153"/>
      <c r="J22" s="1227"/>
      <c r="K22" s="1153"/>
      <c r="L22" s="1143"/>
      <c r="M22" s="1232"/>
    </row>
    <row r="23" spans="1:13" ht="14" customHeight="1">
      <c r="A23" s="856">
        <v>1979</v>
      </c>
      <c r="B23" s="891"/>
      <c r="C23" s="1154"/>
      <c r="D23" s="1154"/>
      <c r="E23" s="1144"/>
      <c r="F23" s="1154"/>
      <c r="G23" s="1228"/>
      <c r="H23" s="891"/>
      <c r="I23" s="1154"/>
      <c r="J23" s="1228"/>
      <c r="K23" s="1154"/>
      <c r="L23" s="1144"/>
      <c r="M23" s="1233"/>
    </row>
    <row r="24" spans="1:13" ht="14" customHeight="1">
      <c r="A24" s="863">
        <v>1980</v>
      </c>
      <c r="B24" s="893"/>
      <c r="C24" s="1155"/>
      <c r="D24" s="1155"/>
      <c r="E24" s="1145"/>
      <c r="F24" s="1155"/>
      <c r="G24" s="1229"/>
      <c r="H24" s="893"/>
      <c r="I24" s="1155"/>
      <c r="J24" s="1229"/>
      <c r="K24" s="1155"/>
      <c r="L24" s="1145"/>
      <c r="M24" s="1234"/>
    </row>
    <row r="25" spans="1:13" ht="14" customHeight="1">
      <c r="A25" s="826">
        <v>1981</v>
      </c>
      <c r="B25" s="889"/>
      <c r="C25" s="1153"/>
      <c r="D25" s="1153"/>
      <c r="E25" s="1143"/>
      <c r="F25" s="1153"/>
      <c r="G25" s="1227"/>
      <c r="H25" s="889"/>
      <c r="I25" s="1153"/>
      <c r="J25" s="1227"/>
      <c r="K25" s="1153"/>
      <c r="L25" s="1143"/>
      <c r="M25" s="1232"/>
    </row>
    <row r="26" spans="1:13" ht="14" customHeight="1">
      <c r="A26" s="826">
        <v>1982</v>
      </c>
      <c r="B26" s="889">
        <f>T.A10!D26/T.A5b!E26*0.001</f>
        <v>0.29195396145610281</v>
      </c>
      <c r="C26" s="1153">
        <f>T.A13!D26/T.A5b!H26*0.001</f>
        <v>0.61337704359673029</v>
      </c>
      <c r="D26" s="1153">
        <f>(T.A10!D26-T.A13!D26)/(T.A5b!E26-T.A5b!H26)*0.001</f>
        <v>0.18396698706945872</v>
      </c>
      <c r="E26" s="1143">
        <f>T.A11b!D26/T.A5d!C26*0.001</f>
        <v>7.8849752648936247E-2</v>
      </c>
      <c r="F26" s="1153">
        <f>T.A12b!D26/T.A5d!F26*0.001</f>
        <v>0.21350393583157751</v>
      </c>
      <c r="G26" s="1227">
        <f>T.A11!D26/T.A5c!E26*0.001</f>
        <v>0.10804229702613129</v>
      </c>
      <c r="H26" s="889">
        <f>B26*(1-T.A1!L26)</f>
        <v>0.12762052866711099</v>
      </c>
      <c r="I26" s="1153">
        <f>C26*(1-T.A2!K26)</f>
        <v>0.18063528909714063</v>
      </c>
      <c r="J26" s="1227">
        <f>D26*(1-T.A2!L26)</f>
        <v>0.10792542342166983</v>
      </c>
      <c r="K26" s="1153">
        <f>E26*(1-T.A3!E26)</f>
        <v>6.7461283243522421E-2</v>
      </c>
      <c r="L26" s="1143">
        <f>F26*(1-T.A3!K26)</f>
        <v>0.10615364342426034</v>
      </c>
      <c r="M26" s="1232">
        <f>G26*(1-T.A3!E26)</f>
        <v>9.2437474527181707E-2</v>
      </c>
    </row>
    <row r="27" spans="1:13" ht="14" customHeight="1">
      <c r="A27" s="826">
        <v>1983</v>
      </c>
      <c r="B27" s="889">
        <f>T.A10!D27/T.A5b!E27*0.001</f>
        <v>0.3173106722699493</v>
      </c>
      <c r="C27" s="1153">
        <f>T.A13!D27/T.A5b!H27*0.001</f>
        <v>0.63666879843390178</v>
      </c>
      <c r="D27" s="1153">
        <f>(T.A10!D27-T.A13!D27)/(T.A5b!E27-T.A5b!H27)*0.001</f>
        <v>0.20623841522950245</v>
      </c>
      <c r="E27" s="1143">
        <f>T.A11b!D27/T.A5d!C27*0.001</f>
        <v>7.9351738671153998E-2</v>
      </c>
      <c r="F27" s="1153">
        <f>T.A12b!D27/T.A5d!F27*0.001</f>
        <v>0.25599120514156626</v>
      </c>
      <c r="G27" s="1227">
        <f>T.A11!D27/T.A5c!E27*0.001</f>
        <v>0.10151658167496481</v>
      </c>
      <c r="H27" s="889">
        <f>B27*(1-T.A1!L27)</f>
        <v>0.15261356247025581</v>
      </c>
      <c r="I27" s="1153">
        <f>C27*(1-T.A2!K27)</f>
        <v>0.20852882922786434</v>
      </c>
      <c r="J27" s="1227">
        <f>D27*(1-T.A2!L27)</f>
        <v>0.13032671631058912</v>
      </c>
      <c r="K27" s="1153">
        <f>E27*(1-T.A3!E27)</f>
        <v>6.9157783690100921E-2</v>
      </c>
      <c r="L27" s="1143">
        <f>F27*(1-T.A3!K27)</f>
        <v>0.1427723290784583</v>
      </c>
      <c r="M27" s="1232">
        <f>G27*(1-T.A3!E27)</f>
        <v>8.8475210675980256E-2</v>
      </c>
    </row>
    <row r="28" spans="1:13" ht="14" customHeight="1">
      <c r="A28" s="826">
        <v>1984</v>
      </c>
      <c r="B28" s="889">
        <f>T.A10!D28/T.A5b!E28*0.001</f>
        <v>0.34647954179394397</v>
      </c>
      <c r="C28" s="1153">
        <f>T.A13!D28/T.A5b!H28*0.001</f>
        <v>0.68341383706523495</v>
      </c>
      <c r="D28" s="1153">
        <f>(T.A10!D28-T.A13!D28)/(T.A5b!E28-T.A5b!H28)*0.001</f>
        <v>0.23014855326663225</v>
      </c>
      <c r="E28" s="1143">
        <f>T.A11b!D28/T.A5d!C28*0.001</f>
        <v>8.584773233319376E-2</v>
      </c>
      <c r="F28" s="1153">
        <f>T.A12b!D28/T.A5d!F28*0.001</f>
        <v>0.28868368633560787</v>
      </c>
      <c r="G28" s="1227">
        <f>T.A11!D28/T.A5c!E28*0.001</f>
        <v>0.10831249273435616</v>
      </c>
      <c r="H28" s="889">
        <f>B28*(1-T.A1!L28)</f>
        <v>0.16594574765442807</v>
      </c>
      <c r="I28" s="1153">
        <f>C28*(1-T.A2!K28)</f>
        <v>0.20553567522009678</v>
      </c>
      <c r="J28" s="1227">
        <f>D28*(1-T.A2!L28)</f>
        <v>0.14821693376312428</v>
      </c>
      <c r="K28" s="1153">
        <f>E28*(1-T.A3!E28)</f>
        <v>7.4439257829793645E-2</v>
      </c>
      <c r="L28" s="1143">
        <f>F28*(1-T.A3!K28)</f>
        <v>0.16779157001596179</v>
      </c>
      <c r="M28" s="1232">
        <f>G28*(1-T.A3!E28)</f>
        <v>9.3918631904536351E-2</v>
      </c>
    </row>
    <row r="29" spans="1:13" ht="14" customHeight="1">
      <c r="A29" s="826">
        <v>1985</v>
      </c>
      <c r="B29" s="889">
        <f>T.A10!D29/T.A5b!E29*0.001</f>
        <v>0.31563835581467703</v>
      </c>
      <c r="C29" s="1153">
        <f>T.A13!D29/T.A5b!H29*0.001</f>
        <v>0.64404843500114228</v>
      </c>
      <c r="D29" s="1153">
        <f>(T.A10!D29-T.A13!D29)/(T.A5b!E29-T.A5b!H29)*0.001</f>
        <v>0.21121588231639418</v>
      </c>
      <c r="E29" s="1143">
        <f>T.A11b!D29/T.A5d!C29*0.001</f>
        <v>8.894933798612259E-2</v>
      </c>
      <c r="F29" s="1153">
        <f>T.A12b!D29/T.A5d!F29*0.001</f>
        <v>0.2545115804658315</v>
      </c>
      <c r="G29" s="1227">
        <f>T.A11!D29/T.A5c!E29*0.001</f>
        <v>0.11015031923985723</v>
      </c>
      <c r="H29" s="889">
        <f>B29*(1-T.A1!L29)</f>
        <v>0.14893380787758473</v>
      </c>
      <c r="I29" s="1153">
        <f>C29*(1-T.A2!K29)</f>
        <v>0.18621017184923713</v>
      </c>
      <c r="J29" s="1227">
        <f>D29*(1-T.A2!L29)</f>
        <v>0.13260170315983694</v>
      </c>
      <c r="K29" s="1153">
        <f>E29*(1-T.A3!E29)</f>
        <v>7.6627382660582485E-2</v>
      </c>
      <c r="L29" s="1143">
        <f>F29*(1-T.A3!K29)</f>
        <v>0.14253999235567813</v>
      </c>
      <c r="M29" s="1232">
        <f>G29*(1-T.A3!E29)</f>
        <v>9.4891438808625064E-2</v>
      </c>
    </row>
    <row r="30" spans="1:13" ht="14" customHeight="1">
      <c r="A30" s="826">
        <v>1986</v>
      </c>
      <c r="B30" s="889">
        <f>T.A10!D30/T.A5b!E30*0.001</f>
        <v>0.25599576183018119</v>
      </c>
      <c r="C30" s="1153">
        <f>T.A13!D30/T.A5b!H30*0.001</f>
        <v>0.35679491536539848</v>
      </c>
      <c r="D30" s="1153">
        <f>(T.A10!D30-T.A13!D30)/(T.A5b!E30-T.A5b!H30)*0.001</f>
        <v>0.2273028523810291</v>
      </c>
      <c r="E30" s="1143">
        <f>T.A11b!D30/T.A5d!C30*0.001</f>
        <v>7.9648757414011034E-2</v>
      </c>
      <c r="F30" s="1153">
        <f>T.A12b!D30/T.A5d!F30*0.001</f>
        <v>0.28160051709138606</v>
      </c>
      <c r="G30" s="1227">
        <f>T.A11!D30/T.A5c!E30*0.001</f>
        <v>9.1214406054077948E-2</v>
      </c>
      <c r="H30" s="889">
        <f>B30*(1-T.A1!L30)</f>
        <v>0.14492194423267851</v>
      </c>
      <c r="I30" s="1153">
        <f>C30*(1-T.A2!K30)</f>
        <v>0.13519712831866457</v>
      </c>
      <c r="J30" s="1227">
        <f>D30*(1-T.A2!L30)</f>
        <v>0.14444526381063791</v>
      </c>
      <c r="K30" s="1153">
        <f>E30*(1-T.A3!E30)</f>
        <v>6.912858385022258E-2</v>
      </c>
      <c r="L30" s="1143">
        <f>F30*(1-T.A3!K30)</f>
        <v>0.1643920750976452</v>
      </c>
      <c r="M30" s="1232">
        <f>G30*(1-T.A3!E30)</f>
        <v>7.9166617559163224E-2</v>
      </c>
    </row>
    <row r="31" spans="1:13" ht="14" customHeight="1">
      <c r="A31" s="826">
        <v>1987</v>
      </c>
      <c r="B31" s="889">
        <f>T.A10!D31/T.A5b!E31*0.001</f>
        <v>0.25856222656623551</v>
      </c>
      <c r="C31" s="1153">
        <f>T.A13!D31/T.A5b!H31*0.001</f>
        <v>0.32259880007324504</v>
      </c>
      <c r="D31" s="1153">
        <f>(T.A10!D31-T.A13!D31)/(T.A5b!E31-T.A5b!H31)*0.001</f>
        <v>0.24271330895383417</v>
      </c>
      <c r="E31" s="1143">
        <f>T.A11b!D31/T.A5d!C31*0.001</f>
        <v>0.13007882520554861</v>
      </c>
      <c r="F31" s="1153">
        <f>T.A12b!D31/T.A5d!F31*0.001</f>
        <v>0.27836021338928019</v>
      </c>
      <c r="G31" s="1227">
        <f>T.A11!D31/T.A5c!E31*0.001</f>
        <v>0.13833149921562199</v>
      </c>
      <c r="H31" s="889">
        <f>B31*(1-T.A1!L31)</f>
        <v>0.15631764435087819</v>
      </c>
      <c r="I31" s="1153">
        <f>C31*(1-T.A2!K31)</f>
        <v>0.12530591520879117</v>
      </c>
      <c r="J31" s="1227">
        <f>D31*(1-T.A2!L31)</f>
        <v>0.16104776905028592</v>
      </c>
      <c r="K31" s="1153">
        <f>E31*(1-T.A3!E31)</f>
        <v>0.11422436541599877</v>
      </c>
      <c r="L31" s="1143">
        <f>F31*(1-T.A3!K31)</f>
        <v>0.16966472855755318</v>
      </c>
      <c r="M31" s="1232">
        <f>G31*(1-T.A3!E31)</f>
        <v>0.12147117480481487</v>
      </c>
    </row>
    <row r="32" spans="1:13" ht="14" customHeight="1">
      <c r="A32" s="826">
        <v>1988</v>
      </c>
      <c r="B32" s="889">
        <f>T.A10!D32/T.A5b!E32*0.001</f>
        <v>0.28670010938898588</v>
      </c>
      <c r="C32" s="1153">
        <f>T.A13!D32/T.A5b!H32*0.001</f>
        <v>0.28979836989469432</v>
      </c>
      <c r="D32" s="1153">
        <f>(T.A10!D32-T.A13!D32)/(T.A5b!E32-T.A5b!H32)*0.001</f>
        <v>0.28599031269309838</v>
      </c>
      <c r="E32" s="1143">
        <f>T.A11b!D32/T.A5d!C32*0.001</f>
        <v>0.12336247545252962</v>
      </c>
      <c r="F32" s="1153">
        <f>T.A12b!D32/T.A5d!F32*0.001</f>
        <v>0.3308873491768386</v>
      </c>
      <c r="G32" s="1227">
        <f>T.A11!D32/T.A5c!E32*0.001</f>
        <v>0.13209076379013077</v>
      </c>
      <c r="H32" s="889">
        <f>B32*(1-T.A1!L32)</f>
        <v>0.17653771670238863</v>
      </c>
      <c r="I32" s="1153">
        <f>C32*(1-T.A2!K32)</f>
        <v>0.11918868017631372</v>
      </c>
      <c r="J32" s="1227">
        <f>D32*(1-T.A2!L32)</f>
        <v>0.18704914489159899</v>
      </c>
      <c r="K32" s="1153">
        <f>E32*(1-T.A3!E32)</f>
        <v>0.10159080197495905</v>
      </c>
      <c r="L32" s="1143">
        <f>F32*(1-T.A3!K32)</f>
        <v>0.20640425211098415</v>
      </c>
      <c r="M32" s="1232">
        <f>G32*(1-T.A3!E32)</f>
        <v>0.1087786750200877</v>
      </c>
    </row>
    <row r="33" spans="1:13" ht="14" customHeight="1">
      <c r="A33" s="856">
        <v>1989</v>
      </c>
      <c r="B33" s="891">
        <f>T.A10!D33/T.A5b!E33*0.001</f>
        <v>0.27484782659009227</v>
      </c>
      <c r="C33" s="1154">
        <f>T.A13!D33/T.A5b!H33*0.001</f>
        <v>0.36583196817224434</v>
      </c>
      <c r="D33" s="1154">
        <f>(T.A10!D33-T.A13!D33)/(T.A5b!E33-T.A5b!H33)*0.001</f>
        <v>0.25987887001821186</v>
      </c>
      <c r="E33" s="1144">
        <f>T.A11b!D33/T.A5d!C33*0.001</f>
        <v>0.15424692692315056</v>
      </c>
      <c r="F33" s="1154">
        <f>T.A12b!D33/T.A5d!F33*0.001</f>
        <v>0.2889822325776355</v>
      </c>
      <c r="G33" s="1228">
        <f>T.A11!D33/T.A5c!E33*0.001</f>
        <v>0.16117026144787824</v>
      </c>
      <c r="H33" s="891">
        <f>B33*(1-T.A1!L33)</f>
        <v>0.16794828929763297</v>
      </c>
      <c r="I33" s="1154">
        <f>C33*(1-T.A2!K33)</f>
        <v>0.14540069658041596</v>
      </c>
      <c r="J33" s="1228">
        <f>D33*(1-T.A2!L33)</f>
        <v>0.16912597535042298</v>
      </c>
      <c r="K33" s="1154">
        <f>E33*(1-T.A3!E33)</f>
        <v>0.13365360049454517</v>
      </c>
      <c r="L33" s="1144">
        <f>F33*(1-T.A3!K33)</f>
        <v>0.17374631921005371</v>
      </c>
      <c r="M33" s="1233">
        <f>G33*(1-T.A3!E33)</f>
        <v>0.13965260874136143</v>
      </c>
    </row>
    <row r="34" spans="1:13" ht="14" customHeight="1">
      <c r="A34" s="826">
        <v>1990</v>
      </c>
      <c r="B34" s="889">
        <f>T.A10!D34/T.A5b!E34*0.001</f>
        <v>0.23911359094132614</v>
      </c>
      <c r="C34" s="1153">
        <f>T.A13!D34/T.A5b!H34*0.001</f>
        <v>0.40374157515694881</v>
      </c>
      <c r="D34" s="1153">
        <f>(T.A10!D34-T.A13!D34)/(T.A5b!E34-T.A5b!H34)*0.001</f>
        <v>0.21240944774619833</v>
      </c>
      <c r="E34" s="1143">
        <f>T.A11b!D34/T.A5d!C34*0.001</f>
        <v>0.16573302914593838</v>
      </c>
      <c r="F34" s="1153">
        <f>T.A12b!D34/T.A5d!F34*0.001</f>
        <v>0.22247538842873577</v>
      </c>
      <c r="G34" s="1227">
        <f>T.A11!D34/T.A5c!E34*0.001</f>
        <v>0.17359634255610851</v>
      </c>
      <c r="H34" s="889">
        <f>B34*(1-T.A1!L34)</f>
        <v>0.14950996058124988</v>
      </c>
      <c r="I34" s="1153">
        <f>C34*(1-T.A2!K34)</f>
        <v>0.22074689479987308</v>
      </c>
      <c r="J34" s="1227">
        <f>D34*(1-T.A2!L34)</f>
        <v>0.13705593517305981</v>
      </c>
      <c r="K34" s="1153">
        <f>E34*(1-T.A3!E34)</f>
        <v>0.14094831603740779</v>
      </c>
      <c r="L34" s="1143">
        <f>F34*(1-T.A3!K34)</f>
        <v>0.12996558968975944</v>
      </c>
      <c r="M34" s="1232">
        <f>G34*(1-T.A3!E34)</f>
        <v>0.14763570230765993</v>
      </c>
    </row>
    <row r="35" spans="1:13" ht="14" customHeight="1">
      <c r="A35" s="826">
        <v>1991</v>
      </c>
      <c r="B35" s="889">
        <f>T.A10!D35/T.A5b!E35*0.001</f>
        <v>0.19196482341585749</v>
      </c>
      <c r="C35" s="1153">
        <f>T.A13!D35/T.A5b!H35*0.001</f>
        <v>0.30928967752568265</v>
      </c>
      <c r="D35" s="1153">
        <f>(T.A10!D35-T.A13!D35)/(T.A5b!E35-T.A5b!H35)*0.001</f>
        <v>0.17123303628632999</v>
      </c>
      <c r="E35" s="1143">
        <f>T.A11b!D35/T.A5d!C35*0.001</f>
        <v>0.14026937654589286</v>
      </c>
      <c r="F35" s="1153">
        <f>T.A12b!D35/T.A5d!F35*0.001</f>
        <v>0.17658740870910905</v>
      </c>
      <c r="G35" s="1227">
        <f>T.A11!D35/T.A5c!E35*0.001</f>
        <v>0.14697245911998577</v>
      </c>
      <c r="H35" s="889">
        <f>B35*(1-T.A1!L35)</f>
        <v>0.12157780879193693</v>
      </c>
      <c r="I35" s="1153">
        <f>C35*(1-T.A2!K35)</f>
        <v>0.18972415164295336</v>
      </c>
      <c r="J35" s="1227">
        <f>D35*(1-T.A2!L35)</f>
        <v>0.10932128348318715</v>
      </c>
      <c r="K35" s="1153">
        <f>E35*(1-T.A3!E35)</f>
        <v>0.11508388377371534</v>
      </c>
      <c r="L35" s="1143">
        <f>F35*(1-T.A3!K35)</f>
        <v>0.10243086832277001</v>
      </c>
      <c r="M35" s="1232">
        <f>G35*(1-T.A3!E35)</f>
        <v>0.12058342184024504</v>
      </c>
    </row>
    <row r="36" spans="1:13" ht="14" customHeight="1">
      <c r="A36" s="826">
        <v>1992</v>
      </c>
      <c r="B36" s="889">
        <f>T.A10!D36/T.A5b!E36*0.001</f>
        <v>0.17352134784983589</v>
      </c>
      <c r="C36" s="1153">
        <f>T.A13!D36/T.A5b!H36*0.001</f>
        <v>0.29108386788464718</v>
      </c>
      <c r="D36" s="1153">
        <f>(T.A10!D36-T.A13!D36)/(T.A5b!E36-T.A5b!H36)*0.001</f>
        <v>0.15370204538201018</v>
      </c>
      <c r="E36" s="1143">
        <f>T.A11b!D36/T.A5d!C36*0.001</f>
        <v>0.11860124489672579</v>
      </c>
      <c r="F36" s="1153">
        <f>T.A12b!D36/T.A5d!F36*0.001</f>
        <v>0.16223375969021475</v>
      </c>
      <c r="G36" s="1227">
        <f>T.A11!D36/T.A5c!E36*0.001</f>
        <v>0.12320267272562739</v>
      </c>
      <c r="H36" s="889">
        <f>B36*(1-T.A1!L36)</f>
        <v>0.10684329568457719</v>
      </c>
      <c r="I36" s="1153">
        <f>C36*(1-T.A2!K36)</f>
        <v>0.13081138895315045</v>
      </c>
      <c r="J36" s="1227">
        <f>D36*(1-T.A2!L36)</f>
        <v>0.10111268683700964</v>
      </c>
      <c r="K36" s="1153">
        <f>E36*(1-T.A3!E36)</f>
        <v>9.9966086729292372E-2</v>
      </c>
      <c r="L36" s="1143">
        <f>F36*(1-T.A3!K36)</f>
        <v>9.771746755561847E-2</v>
      </c>
      <c r="M36" s="1232">
        <f>G36*(1-T.A3!E36)</f>
        <v>0.10384451763297385</v>
      </c>
    </row>
    <row r="37" spans="1:13" ht="14" customHeight="1">
      <c r="A37" s="826">
        <v>1993</v>
      </c>
      <c r="B37" s="889">
        <f>T.A10!D37/T.A5b!E37*0.001</f>
        <v>0.17004143795598933</v>
      </c>
      <c r="C37" s="1153">
        <f>T.A13!D37/T.A5b!H37*0.001</f>
        <v>0.33090532620953578</v>
      </c>
      <c r="D37" s="1153">
        <f>(T.A10!D37-T.A13!D37)/(T.A5b!E37-T.A5b!H37)*0.001</f>
        <v>0.14541038597087169</v>
      </c>
      <c r="E37" s="1143">
        <f>T.A11b!D37/T.A5d!C37*0.001</f>
        <v>0.11493794708546735</v>
      </c>
      <c r="F37" s="1153">
        <f>T.A12b!D37/T.A5d!F37*0.001</f>
        <v>0.15294289786600676</v>
      </c>
      <c r="G37" s="1227">
        <f>T.A11!D37/T.A5c!E37*0.001</f>
        <v>0.11976223963418782</v>
      </c>
      <c r="H37" s="889">
        <f>B37*(1-T.A1!L37)</f>
        <v>0.11400544780409487</v>
      </c>
      <c r="I37" s="1153">
        <f>C37*(1-T.A2!K37)</f>
        <v>0.17907553737494966</v>
      </c>
      <c r="J37" s="1227">
        <f>D37*(1-T.A2!L37)</f>
        <v>0.1027909279747532</v>
      </c>
      <c r="K37" s="1153">
        <f>E37*(1-T.A3!E37)</f>
        <v>9.9175971554599784E-2</v>
      </c>
      <c r="L37" s="1143">
        <f>F37*(1-T.A3!K37)</f>
        <v>0.10081766081051684</v>
      </c>
      <c r="M37" s="1232">
        <f>G37*(1-T.A3!E37)</f>
        <v>0.10333868641696976</v>
      </c>
    </row>
    <row r="38" spans="1:13" ht="14" customHeight="1">
      <c r="A38" s="826">
        <v>1994</v>
      </c>
      <c r="B38" s="889">
        <f>T.A10!D38/T.A5b!E38*0.001</f>
        <v>0.16599016948800283</v>
      </c>
      <c r="C38" s="1153">
        <f>T.A13!D38/T.A5b!H38*0.001</f>
        <v>0.29816151590345136</v>
      </c>
      <c r="D38" s="1153">
        <f>(T.A10!D38-T.A13!D38)/(T.A5b!E38-T.A5b!H38)*0.001</f>
        <v>0.14956105608247522</v>
      </c>
      <c r="E38" s="1143">
        <f>T.A11b!D38/T.A5d!C38*0.001</f>
        <v>0.10984822687197782</v>
      </c>
      <c r="F38" s="1153">
        <f>T.A12b!D38/T.A5d!F38*0.001</f>
        <v>0.16125955575437698</v>
      </c>
      <c r="G38" s="1227">
        <f>T.A11!D38/T.A5c!E38*0.001</f>
        <v>0.11353631211282457</v>
      </c>
      <c r="H38" s="889">
        <f>B38*(1-T.A1!L38)</f>
        <v>0.10874995521120356</v>
      </c>
      <c r="I38" s="1153">
        <f>C38*(1-T.A2!K38)</f>
        <v>0.15851150552219509</v>
      </c>
      <c r="J38" s="1227">
        <f>D38*(1-T.A2!L38)</f>
        <v>0.10173533879485892</v>
      </c>
      <c r="K38" s="1153">
        <f>E38*(1-T.A3!E38)</f>
        <v>9.2886894093672165E-2</v>
      </c>
      <c r="L38" s="1143">
        <f>F38*(1-T.A3!K38)</f>
        <v>0.10227376816434595</v>
      </c>
      <c r="M38" s="1232">
        <f>G38*(1-T.A3!E38)</f>
        <v>9.6005513236921705E-2</v>
      </c>
    </row>
    <row r="39" spans="1:13">
      <c r="A39" s="826">
        <v>1995</v>
      </c>
      <c r="B39" s="889">
        <f>T.A10!D39/T.A5b!E39*0.001</f>
        <v>0.19263185458748319</v>
      </c>
      <c r="C39" s="1153">
        <f>T.A13!D39/T.A5b!H39*0.001</f>
        <v>0.3201048889514625</v>
      </c>
      <c r="D39" s="1153">
        <f>(T.A10!D39-T.A13!D39)/(T.A5b!E39-T.A5b!H39)*0.001</f>
        <v>0.17805531350558346</v>
      </c>
      <c r="E39" s="1143">
        <f>T.A11b!D39/T.A5d!C39*0.001</f>
        <v>0.13874104877771862</v>
      </c>
      <c r="F39" s="1153">
        <f>T.A12b!D39/T.A5d!F39*0.001</f>
        <v>0.19012092590136526</v>
      </c>
      <c r="G39" s="1227">
        <f>T.A11!D39/T.A5c!E39*0.001</f>
        <v>0.14186871805554521</v>
      </c>
      <c r="H39" s="889">
        <f>B39*(1-T.A1!L39)</f>
        <v>0.12756997619395136</v>
      </c>
      <c r="I39" s="1153">
        <f>C39*(1-T.A2!K39)</f>
        <v>0.16543761331720874</v>
      </c>
      <c r="J39" s="1227">
        <f>D39*(1-T.A2!L39)</f>
        <v>0.12246028335524345</v>
      </c>
      <c r="K39" s="1153">
        <f>E39*(1-T.A3!E39)</f>
        <v>0.1166728917144477</v>
      </c>
      <c r="L39" s="1143">
        <f>F39*(1-T.A3!K39)</f>
        <v>0.12170747706094399</v>
      </c>
      <c r="M39" s="1232">
        <f>G39*(1-T.A3!E39)</f>
        <v>0.11930307378518516</v>
      </c>
    </row>
    <row r="40" spans="1:13">
      <c r="A40" s="826">
        <v>1996</v>
      </c>
      <c r="B40" s="889">
        <f>T.A10!D40/T.A5b!E40*0.001</f>
        <v>0.19387906676864536</v>
      </c>
      <c r="C40" s="1153">
        <f>T.A13!D40/T.A5b!H40*0.001</f>
        <v>0.41404934593964515</v>
      </c>
      <c r="D40" s="1153">
        <f>(T.A10!D40-T.A13!D40)/(T.A5b!E40-T.A5b!H40)*0.001</f>
        <v>0.1700639530403962</v>
      </c>
      <c r="E40" s="1143">
        <f>T.A11b!D40/T.A5d!C40*0.001</f>
        <v>0.14280380668956968</v>
      </c>
      <c r="F40" s="1153">
        <f>T.A12b!D40/T.A5d!F40*0.001</f>
        <v>0.17567930307731541</v>
      </c>
      <c r="G40" s="1227">
        <f>T.A11!D40/T.A5c!E40*0.001</f>
        <v>0.14855030678666103</v>
      </c>
      <c r="H40" s="889">
        <f>B40*(1-T.A1!L40)</f>
        <v>0.12662920465340269</v>
      </c>
      <c r="I40" s="1153">
        <f>C40*(1-T.A2!K40)</f>
        <v>0.20890679217860689</v>
      </c>
      <c r="J40" s="1227">
        <f>D40*(1-T.A2!L40)</f>
        <v>0.11693565121451399</v>
      </c>
      <c r="K40" s="1153">
        <f>E40*(1-T.A3!E40)</f>
        <v>0.11983444622272101</v>
      </c>
      <c r="L40" s="1143">
        <f>F40*(1-T.A3!K40)</f>
        <v>0.11278495008178013</v>
      </c>
      <c r="M40" s="1232">
        <f>G40*(1-T.A3!E40)</f>
        <v>0.12465664720473484</v>
      </c>
    </row>
    <row r="41" spans="1:13">
      <c r="A41" s="826">
        <v>1997</v>
      </c>
      <c r="B41" s="889">
        <f>T.A10!D41/T.A5b!E41*0.001</f>
        <v>0.1942835894538876</v>
      </c>
      <c r="C41" s="1153">
        <f>T.A13!D41/T.A5b!H41*0.001</f>
        <v>0.38078770413064367</v>
      </c>
      <c r="D41" s="1153">
        <f>(T.A10!D41-T.A13!D41)/(T.A5b!E41-T.A5b!H41)*0.001</f>
        <v>0.1743013221439316</v>
      </c>
      <c r="E41" s="1143">
        <f>T.A11b!D41/T.A5d!C41*0.001</f>
        <v>0.15497708523546991</v>
      </c>
      <c r="F41" s="1153">
        <f>T.A12b!D41/T.A5d!F41*0.001</f>
        <v>0.17829114424135895</v>
      </c>
      <c r="G41" s="1227">
        <f>T.A11!D41/T.A5c!E41*0.001</f>
        <v>0.15926664293367152</v>
      </c>
      <c r="H41" s="889">
        <f>B41*(1-T.A1!L41)</f>
        <v>0.13021230167956477</v>
      </c>
      <c r="I41" s="1153">
        <f>C41*(1-T.A2!K41)</f>
        <v>0.21443681411147084</v>
      </c>
      <c r="J41" s="1227">
        <f>D41*(1-T.A2!L41)</f>
        <v>0.1206942739566224</v>
      </c>
      <c r="K41" s="1153">
        <f>E41*(1-T.A3!E41)</f>
        <v>0.13440965109874795</v>
      </c>
      <c r="L41" s="1143">
        <f>F41*(1-T.A3!K41)</f>
        <v>0.11243275349491998</v>
      </c>
      <c r="M41" s="1232">
        <f>G41*(1-T.A3!E41)</f>
        <v>0.1381299298270981</v>
      </c>
    </row>
    <row r="42" spans="1:13">
      <c r="A42" s="826">
        <v>1998</v>
      </c>
      <c r="B42" s="889">
        <f>T.A10!D42/T.A5b!E42*0.001</f>
        <v>0.14767848665607133</v>
      </c>
      <c r="C42" s="1153">
        <f>T.A13!D42/T.A5b!H42*0.001</f>
        <v>0.18214085559499343</v>
      </c>
      <c r="D42" s="1153">
        <f>(T.A10!D42-T.A13!D42)/(T.A5b!E42-T.A5b!H42)*0.001</f>
        <v>0.14399022052376179</v>
      </c>
      <c r="E42" s="1143">
        <f>T.A11b!D42/T.A5d!C42*0.001</f>
        <v>0.14494809579921422</v>
      </c>
      <c r="F42" s="1153">
        <f>T.A12b!D42/T.A5d!F42*0.001</f>
        <v>0.14200339446504043</v>
      </c>
      <c r="G42" s="1227">
        <f>T.A11!D42/T.A5c!E42*0.001</f>
        <v>0.1456515441201312</v>
      </c>
      <c r="H42" s="889">
        <f>B42*(1-T.A1!L42)</f>
        <v>9.9470337455819208E-2</v>
      </c>
      <c r="I42" s="1153">
        <f>C42*(1-T.A2!K42)</f>
        <v>0.11342766229575663</v>
      </c>
      <c r="J42" s="1227">
        <f>D42*(1-T.A2!L42)</f>
        <v>9.7819983850718398E-2</v>
      </c>
      <c r="K42" s="1153">
        <f>E42*(1-T.A3!E42)</f>
        <v>0.12275914877733865</v>
      </c>
      <c r="L42" s="1143">
        <f>F42*(1-T.A3!K42)</f>
        <v>8.6960204585538908E-2</v>
      </c>
      <c r="M42" s="1232">
        <f>G42*(1-T.A3!E42)</f>
        <v>0.12335491180967428</v>
      </c>
    </row>
    <row r="43" spans="1:13">
      <c r="A43" s="856">
        <v>1999</v>
      </c>
      <c r="B43" s="891">
        <f>T.A10!D43/T.A5b!E43*0.001</f>
        <v>0.14995787883946379</v>
      </c>
      <c r="C43" s="1154">
        <f>T.A13!D43/T.A5b!H43*0.001</f>
        <v>0.30693083870208582</v>
      </c>
      <c r="D43" s="1154">
        <f>(T.A10!D43-T.A13!D43)/(T.A5b!E43-T.A5b!H43)*0.001</f>
        <v>0.13737921637683309</v>
      </c>
      <c r="E43" s="1144">
        <f>T.A11b!D43/T.A5d!C43*0.001</f>
        <v>0.11984248866357973</v>
      </c>
      <c r="F43" s="1154">
        <f>T.A12b!D43/T.A5d!F43*0.001</f>
        <v>0.14175031287653092</v>
      </c>
      <c r="G43" s="1228">
        <f>T.A11!D43/T.A5c!E43*0.001</f>
        <v>0.12287364162904579</v>
      </c>
      <c r="H43" s="891">
        <f>B43*(1-T.A1!L43)</f>
        <v>0.10234945310517321</v>
      </c>
      <c r="I43" s="1154">
        <f>C43*(1-T.A2!K43)</f>
        <v>0.1908316256225201</v>
      </c>
      <c r="J43" s="1228">
        <f>D43*(1-T.A2!L43)</f>
        <v>9.5032626967027869E-2</v>
      </c>
      <c r="K43" s="1154">
        <f>E43*(1-T.A3!E43)</f>
        <v>0.10319095598543704</v>
      </c>
      <c r="L43" s="1144">
        <f>F43*(1-T.A3!K43)</f>
        <v>8.9305421567010476E-2</v>
      </c>
      <c r="M43" s="1233">
        <f>G43*(1-T.A3!E43)</f>
        <v>0.10580094494454977</v>
      </c>
    </row>
    <row r="44" spans="1:13">
      <c r="A44" s="863">
        <v>2000</v>
      </c>
      <c r="B44" s="893">
        <f>T.A10!D44/T.A5b!E44*0.001</f>
        <v>0.15274897163680018</v>
      </c>
      <c r="C44" s="1155">
        <f>T.A13!D44/T.A5b!H44*0.001</f>
        <v>0.58867343881914003</v>
      </c>
      <c r="D44" s="1155">
        <f>(T.A10!D44-T.A13!D44)/(T.A5b!E44-T.A5b!H44)*0.001</f>
        <v>0.1196114599442281</v>
      </c>
      <c r="E44" s="1145">
        <f>T.A11b!D44/T.A5d!C44*0.001</f>
        <v>0.13352422436927569</v>
      </c>
      <c r="F44" s="1155">
        <f>T.A12b!D44/T.A5d!F44*0.001</f>
        <v>0.11143308733139377</v>
      </c>
      <c r="G44" s="1229">
        <f>T.A11!D44/T.A5c!E44*0.001</f>
        <v>0.13943588208888225</v>
      </c>
      <c r="H44" s="893">
        <f>B44*(1-T.A1!L44)</f>
        <v>9.9688989336824643E-2</v>
      </c>
      <c r="I44" s="1155">
        <f>C44*(1-T.A2!K44)</f>
        <v>0.33711796858968635</v>
      </c>
      <c r="J44" s="1229">
        <f>D44*(1-T.A2!L44)</f>
        <v>8.1047350508149152E-2</v>
      </c>
      <c r="K44" s="1155">
        <f>E44*(1-T.A3!E44)</f>
        <v>0.11591284944199325</v>
      </c>
      <c r="L44" s="1145">
        <f>F44*(1-T.A3!K44)</f>
        <v>6.6344595747395096E-2</v>
      </c>
      <c r="M44" s="1234">
        <f>G44*(1-T.A3!E44)</f>
        <v>0.12104478032900783</v>
      </c>
    </row>
    <row r="45" spans="1:13">
      <c r="A45" s="826">
        <v>2001</v>
      </c>
      <c r="B45" s="889">
        <f>T.A10!D45/T.A5b!E45*0.001</f>
        <v>0.11964635045307793</v>
      </c>
      <c r="C45" s="1153">
        <f>T.A13!D45/T.A5b!H45*0.001</f>
        <v>0.41396122388535761</v>
      </c>
      <c r="D45" s="1153">
        <f>(T.A10!D45-T.A13!D45)/(T.A5b!E45-T.A5b!H45)*0.001</f>
        <v>9.3849378108335088E-2</v>
      </c>
      <c r="E45" s="1143">
        <f>T.A11b!D45/T.A5d!C45*0.001</f>
        <v>0.10368447879021993</v>
      </c>
      <c r="F45" s="1153">
        <f>T.A12b!D45/T.A5d!F45*0.001</f>
        <v>8.696398320308496E-2</v>
      </c>
      <c r="G45" s="1227">
        <f>T.A11!D45/T.A5c!E45*0.001</f>
        <v>0.10805037979614358</v>
      </c>
      <c r="H45" s="889">
        <f>B45*(1-T.A1!L45)</f>
        <v>7.285989743025717E-2</v>
      </c>
      <c r="I45" s="1153">
        <f>C45*(1-T.A2!K45)</f>
        <v>0.23567317498245582</v>
      </c>
      <c r="J45" s="1227">
        <f>D45*(1-T.A2!L45)</f>
        <v>6.4534582489613593E-2</v>
      </c>
      <c r="K45" s="1153">
        <f>E45*(1-T.A3!E45)</f>
        <v>8.6921770565087944E-2</v>
      </c>
      <c r="L45" s="1143">
        <f>F45*(1-T.A3!K45)</f>
        <v>5.3256920080313061E-2</v>
      </c>
      <c r="M45" s="1232">
        <f>G45*(1-T.A3!E45)</f>
        <v>9.0581834732595526E-2</v>
      </c>
    </row>
    <row r="46" spans="1:13">
      <c r="A46" s="826">
        <v>2002</v>
      </c>
      <c r="B46" s="889">
        <f>T.A10!D46/T.A5b!E46*0.001</f>
        <v>0.11196276175615019</v>
      </c>
      <c r="C46" s="1153">
        <f>T.A13!D46/T.A5b!H46*0.001</f>
        <v>0.34155986517912934</v>
      </c>
      <c r="D46" s="1153">
        <f>(T.A10!D46-T.A13!D46)/(T.A5b!E46-T.A5b!H46)*0.001</f>
        <v>9.2444293484177487E-2</v>
      </c>
      <c r="E46" s="1143">
        <f>T.A11b!D46/T.A5d!C46*0.001</f>
        <v>9.0709716922119654E-2</v>
      </c>
      <c r="F46" s="1153">
        <f>T.A12b!D46/T.A5d!F46*0.001</f>
        <v>9.1186824619612167E-2</v>
      </c>
      <c r="G46" s="1227">
        <f>T.A11!D46/T.A5c!E46*0.001</f>
        <v>9.3609930891997317E-2</v>
      </c>
      <c r="H46" s="889">
        <f>B46*(1-T.A1!L46)</f>
        <v>7.4671869581858508E-2</v>
      </c>
      <c r="I46" s="1153">
        <f>C46*(1-T.A2!K46)</f>
        <v>0.18660724390214659</v>
      </c>
      <c r="J46" s="1227">
        <f>D46*(1-T.A2!L46)</f>
        <v>6.4497589553600451E-2</v>
      </c>
      <c r="K46" s="1153">
        <f>E46*(1-T.A3!E46)</f>
        <v>7.5855842815143876E-2</v>
      </c>
      <c r="L46" s="1143">
        <f>F46*(1-T.A3!K46)</f>
        <v>5.7395538462335437E-2</v>
      </c>
      <c r="M46" s="1232">
        <f>G46*(1-T.A3!E46)</f>
        <v>7.8281141697050957E-2</v>
      </c>
    </row>
    <row r="47" spans="1:13">
      <c r="A47" s="826">
        <v>2003</v>
      </c>
      <c r="B47" s="889">
        <f>T.A10!D47/T.A5b!E47*0.001</f>
        <v>0.13545301912606991</v>
      </c>
      <c r="C47" s="1153">
        <f>T.A13!D47/T.A5b!H47*0.001</f>
        <v>0.42613269950067245</v>
      </c>
      <c r="D47" s="1153">
        <f>(T.A10!D47-T.A13!D47)/(T.A5b!E47-T.A5b!H47)*0.001</f>
        <v>0.11189564072144206</v>
      </c>
      <c r="E47" s="1143">
        <f>T.A11b!D47/T.A5d!C47*0.001</f>
        <v>0.10046757829667105</v>
      </c>
      <c r="F47" s="1153">
        <f>T.A12b!D47/T.A5d!F47*0.001</f>
        <v>0.11564059987310706</v>
      </c>
      <c r="G47" s="1227">
        <f>T.A11!D47/T.A5c!E47*0.001</f>
        <v>0.10386681908519622</v>
      </c>
      <c r="H47" s="889">
        <f>B47*(1-T.A1!L47)</f>
        <v>9.6710479385401713E-2</v>
      </c>
      <c r="I47" s="1153">
        <f>C47*(1-T.A2!K47)</f>
        <v>0.24465831113415248</v>
      </c>
      <c r="J47" s="1227">
        <f>D47*(1-T.A2!L47)</f>
        <v>8.4106418127373683E-2</v>
      </c>
      <c r="K47" s="1153">
        <f>E47*(1-T.A3!E47)</f>
        <v>8.8058504438051133E-2</v>
      </c>
      <c r="L47" s="1143">
        <f>F47*(1-T.A3!K47)</f>
        <v>8.0322156441248516E-2</v>
      </c>
      <c r="M47" s="1232">
        <f>G47*(1-T.A3!E47)</f>
        <v>9.1037894059431773E-2</v>
      </c>
    </row>
    <row r="48" spans="1:13">
      <c r="A48" s="826">
        <v>2004</v>
      </c>
      <c r="B48" s="889">
        <f>T.A10!D48/T.A5b!E48*0.001</f>
        <v>0.15433096742755908</v>
      </c>
      <c r="C48" s="1153">
        <f>T.A13!D48/T.A5b!H48*0.001</f>
        <v>0.48170566579080265</v>
      </c>
      <c r="D48" s="1153">
        <f>(T.A10!D48-T.A13!D48)/(T.A5b!E48-T.A5b!H48)*0.001</f>
        <v>0.12352154713105579</v>
      </c>
      <c r="E48" s="1143">
        <f>T.A11b!D48/T.A5d!C48*0.001</f>
        <v>0.12177890318886327</v>
      </c>
      <c r="F48" s="1153">
        <f>T.A12b!D48/T.A5d!F48*0.001</f>
        <v>0.1212671092483024</v>
      </c>
      <c r="G48" s="1227">
        <f>T.A11!D48/T.A5c!E48*0.001</f>
        <v>0.12617655293157362</v>
      </c>
      <c r="H48" s="889">
        <f>B48*(1-T.A1!L48)</f>
        <v>0.11015546283291283</v>
      </c>
      <c r="I48" s="1153">
        <f>C48*(1-T.A2!K48)</f>
        <v>0.29305238883202389</v>
      </c>
      <c r="J48" s="1227">
        <f>D48*(1-T.A2!L48)</f>
        <v>9.2429184248006904E-2</v>
      </c>
      <c r="K48" s="1153">
        <f>E48*(1-T.A3!E48)</f>
        <v>0.1092450068887527</v>
      </c>
      <c r="L48" s="1143">
        <f>F48*(1-T.A3!K48)</f>
        <v>8.0996784112014344E-2</v>
      </c>
      <c r="M48" s="1232">
        <f>G48*(1-T.A3!E48)</f>
        <v>0.11319003565692647</v>
      </c>
    </row>
    <row r="49" spans="1:13">
      <c r="A49" s="826">
        <v>2005</v>
      </c>
      <c r="B49" s="889">
        <f>T.A10!D49/T.A5b!E49*0.001</f>
        <v>0.1684131770288313</v>
      </c>
      <c r="C49" s="1153">
        <f>T.A13!D49/T.A5b!H49*0.001</f>
        <v>0.54629252768181336</v>
      </c>
      <c r="D49" s="1153">
        <f>(T.A10!D49-T.A13!D49)/(T.A5b!E49-T.A5b!H49)*0.001</f>
        <v>0.13085488095789499</v>
      </c>
      <c r="E49" s="1143">
        <f>T.A11b!D49/T.A5d!C49*0.001</f>
        <v>0.12962044627054434</v>
      </c>
      <c r="F49" s="1153">
        <f>T.A12b!D49/T.A5d!F49*0.001</f>
        <v>0.12781680491561107</v>
      </c>
      <c r="G49" s="1227">
        <f>T.A11!D49/T.A5c!E49*0.001</f>
        <v>0.13600789707150271</v>
      </c>
      <c r="H49" s="889">
        <f>B49*(1-T.A1!L49)</f>
        <v>0.11649759198903516</v>
      </c>
      <c r="I49" s="1153">
        <f>C49*(1-T.A2!K49)</f>
        <v>0.32858818280924967</v>
      </c>
      <c r="J49" s="1227">
        <f>D49*(1-T.A2!L49)</f>
        <v>9.4750039693800248E-2</v>
      </c>
      <c r="K49" s="1153">
        <f>E49*(1-T.A3!E49)</f>
        <v>0.11220189600500731</v>
      </c>
      <c r="L49" s="1143">
        <f>F49*(1-T.A3!K49)</f>
        <v>8.4536672258631609E-2</v>
      </c>
      <c r="M49" s="1232">
        <f>G49*(1-T.A3!E49)</f>
        <v>0.11773099354422088</v>
      </c>
    </row>
    <row r="50" spans="1:13">
      <c r="A50" s="826">
        <v>2006</v>
      </c>
      <c r="B50" s="889">
        <f>T.A10!D50/T.A5b!E50*0.001</f>
        <v>0.1726393166308067</v>
      </c>
      <c r="C50" s="1153">
        <f>T.A13!D50/T.A5b!H50*0.001</f>
        <v>0.5857416051728539</v>
      </c>
      <c r="D50" s="1153">
        <f>(T.A10!D50-T.A13!D50)/(T.A5b!E50-T.A5b!H50)*0.001</f>
        <v>0.13352585034310585</v>
      </c>
      <c r="E50" s="1143">
        <f>T.A11b!D50/T.A5d!C50*0.001</f>
        <v>0.14508049155407293</v>
      </c>
      <c r="F50" s="1153">
        <f>T.A12b!D50/T.A5d!F50*0.001</f>
        <v>0.12473762824786909</v>
      </c>
      <c r="G50" s="1227">
        <f>T.A11!D50/T.A5c!E50*0.001</f>
        <v>0.15120719421663581</v>
      </c>
      <c r="H50" s="889">
        <f>B50*(1-T.A1!L50)</f>
        <v>0.1187360048724572</v>
      </c>
      <c r="I50" s="1153">
        <f>C50*(1-T.A2!K50)</f>
        <v>0.34624299641446799</v>
      </c>
      <c r="J50" s="1227">
        <f>D50*(1-T.A2!L50)</f>
        <v>9.6638359410408034E-2</v>
      </c>
      <c r="K50" s="1153">
        <f>E50*(1-T.A3!E50)</f>
        <v>0.12743601369165033</v>
      </c>
      <c r="L50" s="1143">
        <f>F50*(1-T.A3!K50)</f>
        <v>8.0529480716166668E-2</v>
      </c>
      <c r="M50" s="1232">
        <f>G50*(1-T.A3!E50)</f>
        <v>0.13281759570883034</v>
      </c>
    </row>
    <row r="51" spans="1:13">
      <c r="A51" s="826">
        <v>2007</v>
      </c>
      <c r="B51" s="889">
        <f>T.A10!D51/T.A5b!E51*0.001</f>
        <v>0.16614741536833313</v>
      </c>
      <c r="C51" s="1153">
        <f>T.A13!D51/T.A5b!H51*0.001</f>
        <v>0.5390630145583617</v>
      </c>
      <c r="D51" s="1153">
        <f>(T.A10!D51-T.A13!D51)/(T.A5b!E51-T.A5b!H51)*0.001</f>
        <v>0.13062678942388437</v>
      </c>
      <c r="E51" s="1143">
        <f>T.A11b!D51/T.A5d!C51*0.001</f>
        <v>0.12958868940773846</v>
      </c>
      <c r="F51" s="1153">
        <f>T.A12b!D51/T.A5d!F51*0.001</f>
        <v>0.12771436580242043</v>
      </c>
      <c r="G51" s="1227">
        <f>T.A11!D51/T.A5c!E51*0.001</f>
        <v>0.13498788589835262</v>
      </c>
      <c r="H51" s="889">
        <f>B51*(1-T.A1!L51)</f>
        <v>0.11657406391267039</v>
      </c>
      <c r="I51" s="1153">
        <f>C51*(1-T.A2!K51)</f>
        <v>0.29988381814640575</v>
      </c>
      <c r="J51" s="1227">
        <f>D51*(1-T.A2!L51)</f>
        <v>9.8597558467281146E-2</v>
      </c>
      <c r="K51" s="1153">
        <f>E51*(1-T.A3!E51)</f>
        <v>0.11711811819305165</v>
      </c>
      <c r="L51" s="1143">
        <f>F51*(1-T.A3!K51)</f>
        <v>8.6580408689581015E-2</v>
      </c>
      <c r="M51" s="1232">
        <f>G51*(1-T.A3!E51)</f>
        <v>0.12199773952131163</v>
      </c>
    </row>
    <row r="52" spans="1:13">
      <c r="A52" s="826">
        <v>2008</v>
      </c>
      <c r="B52" s="889">
        <f>T.A10!D52/T.A5b!E52*0.001</f>
        <v>0.18202131607506489</v>
      </c>
      <c r="C52" s="1153">
        <f>T.A13!D52/T.A5b!H52*0.001</f>
        <v>0.72360410264667774</v>
      </c>
      <c r="D52" s="1153">
        <f>(T.A10!D52-T.A13!D52)/(T.A5b!E52-T.A5b!H52)*0.001</f>
        <v>0.1283866832701174</v>
      </c>
      <c r="E52" s="1143">
        <f>T.A11b!D52/T.A5d!C52*0.001</f>
        <v>0.11780119154529349</v>
      </c>
      <c r="F52" s="1153">
        <f>T.A12b!D52/T.A5d!F52*0.001</f>
        <v>0.12917410287991093</v>
      </c>
      <c r="G52" s="1227">
        <f>T.A11!D52/T.A5c!E52*0.001</f>
        <v>0.12524310700456037</v>
      </c>
      <c r="H52" s="889">
        <f>B52*(1-T.A1!L52)</f>
        <v>0.12502532362238358</v>
      </c>
      <c r="I52" s="1153">
        <f>C52*(1-T.A2!K52)</f>
        <v>0.36764802446178546</v>
      </c>
      <c r="J52" s="1227">
        <f>D52*(1-T.A2!L52)</f>
        <v>0.10042742470748858</v>
      </c>
      <c r="K52" s="1153">
        <f>E52*(1-T.A3!E52)</f>
        <v>0.10494484382646498</v>
      </c>
      <c r="L52" s="1143">
        <f>F52*(1-T.A3!K52)</f>
        <v>9.3930833674422579E-2</v>
      </c>
      <c r="M52" s="1232">
        <f>G52*(1-T.A3!E52)</f>
        <v>0.11157457859737546</v>
      </c>
    </row>
    <row r="53" spans="1:13">
      <c r="A53" s="856">
        <v>2009</v>
      </c>
      <c r="B53" s="891">
        <f>T.A10!D53/T.A5b!E53*0.001</f>
        <v>0.11085680390627509</v>
      </c>
      <c r="C53" s="1154">
        <f>T.A13!D53/T.A5b!H53*0.001</f>
        <v>0.42916006143200852</v>
      </c>
      <c r="D53" s="1154">
        <f>(T.A10!D53-T.A13!D53)/(T.A5b!E53-T.A5b!H53)*0.001</f>
        <v>8.9272422194659418E-2</v>
      </c>
      <c r="E53" s="1144">
        <f>T.A11b!D53/T.A5d!C53*0.001</f>
        <v>9.0685439906818738E-2</v>
      </c>
      <c r="F53" s="1154">
        <f>T.A12b!D53/T.A5d!F53*0.001</f>
        <v>8.6475953284039744E-2</v>
      </c>
      <c r="G53" s="1228">
        <f>T.A11!D53/T.A5c!E53*0.001</f>
        <v>9.3753518556415019E-2</v>
      </c>
      <c r="H53" s="891">
        <f>B53*(1-T.A1!L53)</f>
        <v>8.0430333210200683E-2</v>
      </c>
      <c r="I53" s="1154">
        <f>C53*(1-T.A2!K53)</f>
        <v>0.22595396582758467</v>
      </c>
      <c r="J53" s="1228">
        <f>D53*(1-T.A2!L53)</f>
        <v>6.9615498538853807E-2</v>
      </c>
      <c r="K53" s="1154">
        <f>E53*(1-T.A3!E53)</f>
        <v>8.3297145968986699E-2</v>
      </c>
      <c r="L53" s="1144">
        <f>F53*(1-T.A3!K53)</f>
        <v>6.0326770824196477E-2</v>
      </c>
      <c r="M53" s="1233">
        <f>G53*(1-T.A3!E53)</f>
        <v>8.6115263137325399E-2</v>
      </c>
    </row>
    <row r="54" spans="1:13">
      <c r="A54" s="826">
        <v>2010</v>
      </c>
      <c r="B54" s="889">
        <f>T.A10!D54/T.A5b!E54*0.001</f>
        <v>0.12231266837081098</v>
      </c>
      <c r="C54" s="1153">
        <f>T.A13!D54/T.A5b!H54*0.001</f>
        <v>0.48961690849085115</v>
      </c>
      <c r="D54" s="1153">
        <f>(T.A10!D54-T.A13!D54)/(T.A5b!E54-T.A5b!H54)*0.001</f>
        <v>9.5919783234012804E-2</v>
      </c>
      <c r="E54" s="1143">
        <f>T.A11b!D54/T.A5d!C54*0.001</f>
        <v>9.1323299712977479E-2</v>
      </c>
      <c r="F54" s="1153">
        <f>T.A12b!D54/T.A5d!F54*0.001</f>
        <v>9.5885157233279589E-2</v>
      </c>
      <c r="G54" s="1227">
        <f>T.A11!D54/T.A5c!E54*0.001</f>
        <v>9.5062513397014589E-2</v>
      </c>
      <c r="H54" s="889">
        <f>B54*(1-T.A1!L54)</f>
        <v>8.7759039869778913E-2</v>
      </c>
      <c r="I54" s="1153">
        <f>C54*(1-T.A2!K54)</f>
        <v>0.26624425938365143</v>
      </c>
      <c r="J54" s="1227">
        <f>D54*(1-T.A2!L54)</f>
        <v>7.4074988694760993E-2</v>
      </c>
      <c r="K54" s="1153">
        <f>E54*(1-T.A3!E54)</f>
        <v>8.0800076619528816E-2</v>
      </c>
      <c r="L54" s="1143">
        <f>F54*(1-T.A3!K54)</f>
        <v>6.8631042014473898E-2</v>
      </c>
      <c r="M54" s="1232">
        <f>G54*(1-T.A3!E54)</f>
        <v>8.4108419102953719E-2</v>
      </c>
    </row>
    <row r="55" spans="1:13">
      <c r="A55" s="826">
        <v>2011</v>
      </c>
      <c r="B55" s="889">
        <f>T.A10!D55/T.A5b!E55*0.001</f>
        <v>0.13922263440562535</v>
      </c>
      <c r="C55" s="1153">
        <f>T.A13!D55/T.A5b!H55*0.001</f>
        <v>0.58956097376469141</v>
      </c>
      <c r="D55" s="1153">
        <f>(T.A10!D55-T.A13!D55)/(T.A5b!E55-T.A5b!H55)*0.001</f>
        <v>0.10678120622026732</v>
      </c>
      <c r="E55" s="1143">
        <f>T.A11b!D55/T.A5d!C55*0.001</f>
        <v>9.936506841446989E-2</v>
      </c>
      <c r="F55" s="1153">
        <f>T.A12b!D55/T.A5d!F55*0.001</f>
        <v>0.1079732805863466</v>
      </c>
      <c r="G55" s="1227">
        <f>T.A11!D55/T.A5c!E55*0.001</f>
        <v>0.10370646566425164</v>
      </c>
      <c r="H55" s="889">
        <f>B55*(1-T.A1!L55)</f>
        <v>9.8559624537075202E-2</v>
      </c>
      <c r="I55" s="1153">
        <f>C55*(1-T.A2!K55)</f>
        <v>0.30235619730322211</v>
      </c>
      <c r="J55" s="1227">
        <f>D55*(1-T.A2!L55)</f>
        <v>8.2833095255298084E-2</v>
      </c>
      <c r="K55" s="1153">
        <f>E55*(1-T.A3!E55)</f>
        <v>9.007319817563432E-2</v>
      </c>
      <c r="L55" s="1143">
        <f>F55*(1-T.A3!K55)</f>
        <v>7.5968533776280614E-2</v>
      </c>
      <c r="M55" s="1232">
        <f>G55*(1-T.A3!E55)</f>
        <v>9.4008620765066164E-2</v>
      </c>
    </row>
    <row r="56" spans="1:13">
      <c r="A56" s="826">
        <v>2012</v>
      </c>
      <c r="B56" s="889">
        <f>T.A10!D56/T.A5b!E56*0.001</f>
        <v>0.12372678654827884</v>
      </c>
      <c r="C56" s="1153">
        <f>T.A13!D56/T.A5b!H56*0.001</f>
        <v>0.4548555523143647</v>
      </c>
      <c r="D56" s="1153">
        <f>(T.A10!D56-T.A13!D56)/(T.A5b!E56-T.A5b!H56)*0.001</f>
        <v>9.7697596238532719E-2</v>
      </c>
      <c r="E56" s="1143">
        <f>T.A11b!D56/T.A5d!C56*0.001</f>
        <v>9.4731352163382035E-2</v>
      </c>
      <c r="F56" s="1153">
        <f>T.A12b!D56/T.A5d!F56*0.001</f>
        <v>9.6912933882500538E-2</v>
      </c>
      <c r="G56" s="1227">
        <f>T.A11!D56/T.A5c!E56*0.001</f>
        <v>9.8081210523448384E-2</v>
      </c>
      <c r="H56" s="889">
        <f>B56*(1-T.A1!L56)</f>
        <v>8.8964746499020336E-2</v>
      </c>
      <c r="I56" s="1153">
        <f>C56*(1-T.A2!K56)</f>
        <v>0.22030320649058133</v>
      </c>
      <c r="J56" s="1227">
        <f>D56*(1-T.A2!L56)</f>
        <v>7.7598929479749792E-2</v>
      </c>
      <c r="K56" s="1153">
        <f>E56*(1-T.A3!E56)</f>
        <v>8.7127846089693484E-2</v>
      </c>
      <c r="L56" s="1143">
        <f>F56*(1-T.A3!K56)</f>
        <v>6.9415751631009284E-2</v>
      </c>
      <c r="M56" s="1232">
        <f>G56*(1-T.A3!E56)</f>
        <v>9.0208831813561929E-2</v>
      </c>
    </row>
    <row r="57" spans="1:13">
      <c r="A57" s="826">
        <v>2013</v>
      </c>
      <c r="B57" s="889">
        <f>T.A10!D57/T.A5b!E57*0.001</f>
        <v>0.1171869385340325</v>
      </c>
      <c r="C57" s="1153">
        <f>T.A13!D57/T.A5b!H57*0.001</f>
        <v>0.33351183346385443</v>
      </c>
      <c r="D57" s="1153">
        <f>(T.A10!D57-T.A13!D57)/(T.A5b!E57-T.A5b!H57)*0.001</f>
        <v>9.5463312875641027E-2</v>
      </c>
      <c r="E57" s="1143">
        <f>T.A11b!D57/T.A5d!C57*0.001</f>
        <v>9.0973971234684911E-2</v>
      </c>
      <c r="F57" s="1153">
        <f>T.A12b!D57/T.A5d!F57*0.001</f>
        <v>9.5741150116200921E-2</v>
      </c>
      <c r="G57" s="1227">
        <f>T.A11!D57/T.A5c!E57*0.001</f>
        <v>9.3838751521454683E-2</v>
      </c>
      <c r="H57" s="889">
        <f>B57*(1-T.A1!L57)</f>
        <v>8.5445479258196122E-2</v>
      </c>
      <c r="I57" s="1153">
        <f>C57*(1-T.A2!K57)</f>
        <v>0.17711065884631969</v>
      </c>
      <c r="J57" s="1227">
        <f>D57*(1-T.A2!L57)</f>
        <v>7.5479818322840314E-2</v>
      </c>
      <c r="K57" s="1153">
        <f>E57*(1-T.A3!E57)</f>
        <v>8.2969069154359365E-2</v>
      </c>
      <c r="L57" s="1143">
        <f>F57*(1-T.A3!K57)</f>
        <v>6.8651708945741644E-2</v>
      </c>
      <c r="M57" s="1232">
        <f>G57*(1-T.A3!E57)</f>
        <v>8.5581774200639962E-2</v>
      </c>
    </row>
    <row r="58" spans="1:13">
      <c r="A58" s="826">
        <v>2014</v>
      </c>
      <c r="B58" s="1235">
        <f>T.A10!D58/T.A5b!E58*0.001</f>
        <v>0.10564440124353661</v>
      </c>
      <c r="C58" s="1153">
        <f>T.A13!D58/T.A5b!H58*0.001</f>
        <v>0.25458263377482404</v>
      </c>
      <c r="D58" s="1153">
        <f>(T.A10!D58-T.A13!D58)/(T.A5b!E58-T.A5b!H58)*0.001</f>
        <v>9.2794766554147257E-2</v>
      </c>
      <c r="E58" s="1143">
        <f>T.A11b!D58/T.A5d!C58*0.001</f>
        <v>8.4772606336112971E-2</v>
      </c>
      <c r="F58" s="1153">
        <f>T.A12b!D58/T.A5d!F58*0.001</f>
        <v>9.637634198098935E-2</v>
      </c>
      <c r="G58" s="1227">
        <f>T.A11!D58/T.A5c!E58*0.001</f>
        <v>8.6512444905511618E-2</v>
      </c>
      <c r="H58" s="889">
        <f>B58*(1-T.A1!L58)</f>
        <v>8.0261198277247939E-2</v>
      </c>
      <c r="I58" s="1153">
        <f>C58*(1-T.A2!K58)</f>
        <v>0.14318179123843006</v>
      </c>
      <c r="J58" s="1227">
        <f>D58*(1-T.A2!L58)</f>
        <v>7.4285721913720043E-2</v>
      </c>
      <c r="K58" s="1153">
        <f>E58*(1-T.A3!E58)</f>
        <v>7.8123005695936262E-2</v>
      </c>
      <c r="L58" s="1143">
        <f>F58*(1-T.A3!K58)</f>
        <v>6.9467170382833024E-2</v>
      </c>
      <c r="M58" s="1232">
        <f>G58*(1-T.A3!E58)</f>
        <v>7.9726370560385854E-2</v>
      </c>
    </row>
    <row r="59" spans="1:13">
      <c r="A59" s="826">
        <v>2015</v>
      </c>
      <c r="B59" s="1235">
        <f>T.A10!D59/T.A5b!E59*0.001</f>
        <v>8.7331428896973248E-2</v>
      </c>
      <c r="C59" s="1153" t="e">
        <f>T.A13!D59/T.A5b!H59*0.001</f>
        <v>#VALUE!</v>
      </c>
      <c r="D59" s="1153" t="e">
        <f>(T.A10!D59-T.A13!D59)/(T.A5b!E59-T.A5b!H59)*0.001</f>
        <v>#VALUE!</v>
      </c>
      <c r="E59" s="1143" t="e">
        <f>T.A11b!D59/T.A5d!C59*0.001</f>
        <v>#VALUE!</v>
      </c>
      <c r="F59" s="1153" t="e">
        <f>T.A12b!D59/T.A5d!F59*0.001</f>
        <v>#VALUE!</v>
      </c>
      <c r="G59" s="1227">
        <f>T.A11!D59/T.A5c!E59*0.001</f>
        <v>9.1250918059627067E-2</v>
      </c>
      <c r="H59" s="889">
        <f>B59*(1-T.A1!L59)</f>
        <v>7.0635037744081322E-2</v>
      </c>
      <c r="I59" s="1153" t="e">
        <f>C59*(1-T.A2!K59)</f>
        <v>#VALUE!</v>
      </c>
      <c r="J59" s="1227" t="e">
        <f>D59*(1-T.A2!L59)</f>
        <v>#VALUE!</v>
      </c>
      <c r="K59" s="1153" t="e">
        <f>E59*(1-T.A3!E59)</f>
        <v>#VALUE!</v>
      </c>
      <c r="L59" s="1143" t="e">
        <f>F59*(1-T.A3!K59)</f>
        <v>#VALUE!</v>
      </c>
      <c r="M59" s="1232">
        <f>G59*(1-T.A3!E59)</f>
        <v>8.4920966247533952E-2</v>
      </c>
    </row>
    <row r="60" spans="1:13">
      <c r="A60" s="826">
        <v>2016</v>
      </c>
      <c r="B60" s="1177"/>
      <c r="C60" s="1156"/>
      <c r="D60" s="875"/>
      <c r="E60" s="832"/>
      <c r="F60" s="832"/>
      <c r="G60" s="875"/>
      <c r="H60" s="1177"/>
      <c r="I60" s="1156"/>
      <c r="J60" s="875"/>
      <c r="K60" s="832"/>
      <c r="L60" s="832"/>
      <c r="M60" s="1049"/>
    </row>
    <row r="61" spans="1:13" ht="16" thickBot="1">
      <c r="A61" s="819"/>
      <c r="B61" s="1178"/>
      <c r="C61" s="1157"/>
      <c r="D61" s="1151"/>
      <c r="E61" s="821"/>
      <c r="F61" s="821"/>
      <c r="G61" s="1151"/>
      <c r="H61" s="1178"/>
      <c r="I61" s="1157"/>
      <c r="J61" s="1151"/>
      <c r="K61" s="821"/>
      <c r="L61" s="821"/>
      <c r="M61" s="1150"/>
    </row>
    <row r="62" spans="1:13" ht="16" thickTop="1"/>
    <row r="63" spans="1:13" s="825" customFormat="1">
      <c r="A63" s="805"/>
      <c r="B63" s="805"/>
      <c r="C63" s="805"/>
      <c r="D63" s="805"/>
      <c r="E63" s="805"/>
      <c r="F63" s="805"/>
    </row>
    <row r="65" spans="1:6" s="825" customFormat="1">
      <c r="A65" s="805"/>
      <c r="B65" s="805"/>
      <c r="C65" s="805"/>
      <c r="D65" s="805"/>
      <c r="E65" s="805"/>
      <c r="F65" s="805"/>
    </row>
  </sheetData>
  <mergeCells count="15">
    <mergeCell ref="A3:M3"/>
    <mergeCell ref="B6:G6"/>
    <mergeCell ref="H6:M6"/>
    <mergeCell ref="B7:B8"/>
    <mergeCell ref="C7:C8"/>
    <mergeCell ref="D7:D8"/>
    <mergeCell ref="E7:E8"/>
    <mergeCell ref="F7:F8"/>
    <mergeCell ref="G7:G8"/>
    <mergeCell ref="H7:H8"/>
    <mergeCell ref="I7:I8"/>
    <mergeCell ref="J7:J8"/>
    <mergeCell ref="K7:K8"/>
    <mergeCell ref="L7:L8"/>
    <mergeCell ref="M7:M8"/>
  </mergeCells>
  <pageMargins left="0.75" right="0.75" top="1" bottom="1" header="0.5" footer="0.5"/>
  <pageSetup scale="48" orientation="portrait" horizontalDpi="4294967292" verticalDpi="4294967292"/>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O78"/>
  <sheetViews>
    <sheetView workbookViewId="0">
      <pane xSplit="1" ySplit="9" topLeftCell="B10" activePane="bottomRight" state="frozen"/>
      <selection activeCell="X67" sqref="X67"/>
      <selection pane="topRight" activeCell="X67" sqref="X67"/>
      <selection pane="bottomLeft" activeCell="X67" sqref="X67"/>
      <selection pane="bottomRight" activeCell="X67" sqref="X67"/>
    </sheetView>
  </sheetViews>
  <sheetFormatPr baseColWidth="10" defaultColWidth="9.28515625" defaultRowHeight="15" x14ac:dyDescent="0"/>
  <cols>
    <col min="1" max="1" width="16.28515625" style="805" customWidth="1"/>
    <col min="2" max="11" width="9.7109375" style="805" customWidth="1"/>
    <col min="12" max="12" width="11.140625" style="805" bestFit="1" customWidth="1"/>
    <col min="13" max="16384" width="9.28515625" style="805"/>
  </cols>
  <sheetData>
    <row r="1" spans="1:15">
      <c r="B1" s="829"/>
      <c r="H1" s="829"/>
    </row>
    <row r="2" spans="1:15" ht="16" thickBot="1"/>
    <row r="3" spans="1:15" ht="32" customHeight="1" thickTop="1">
      <c r="A3" s="1734" t="s">
        <v>2612</v>
      </c>
      <c r="B3" s="1735"/>
      <c r="C3" s="1735"/>
      <c r="D3" s="1735"/>
      <c r="E3" s="1735"/>
      <c r="F3" s="1735"/>
      <c r="G3" s="1735"/>
      <c r="H3" s="1735"/>
      <c r="I3" s="1735"/>
      <c r="J3" s="1735"/>
      <c r="K3" s="1736"/>
    </row>
    <row r="4" spans="1:15" ht="12" customHeight="1">
      <c r="A4" s="806"/>
      <c r="B4" s="807"/>
      <c r="C4" s="807"/>
      <c r="D4" s="807"/>
      <c r="E4" s="807"/>
      <c r="F4" s="807"/>
      <c r="G4" s="807"/>
      <c r="H4" s="807"/>
      <c r="I4" s="807"/>
      <c r="J4" s="807"/>
      <c r="K4" s="808"/>
    </row>
    <row r="5" spans="1:15" ht="16" thickBot="1">
      <c r="A5" s="809"/>
      <c r="B5" s="839" t="s">
        <v>2411</v>
      </c>
      <c r="C5" s="839" t="s">
        <v>2412</v>
      </c>
      <c r="D5" s="839" t="s">
        <v>2413</v>
      </c>
      <c r="E5" s="839" t="s">
        <v>2414</v>
      </c>
      <c r="F5" s="839" t="s">
        <v>2415</v>
      </c>
      <c r="G5" s="839" t="s">
        <v>2416</v>
      </c>
      <c r="H5" s="839" t="s">
        <v>2417</v>
      </c>
      <c r="I5" s="839" t="s">
        <v>2429</v>
      </c>
      <c r="J5" s="839" t="s">
        <v>2430</v>
      </c>
      <c r="K5" s="840" t="s">
        <v>2431</v>
      </c>
    </row>
    <row r="6" spans="1:15" ht="21" customHeight="1">
      <c r="A6" s="809"/>
      <c r="B6" s="1737" t="s">
        <v>2418</v>
      </c>
      <c r="C6" s="1738"/>
      <c r="D6" s="1738"/>
      <c r="E6" s="1738"/>
      <c r="F6" s="1738"/>
      <c r="G6" s="1738"/>
      <c r="H6" s="1738"/>
      <c r="I6" s="1803"/>
      <c r="J6" s="1803"/>
      <c r="K6" s="1817"/>
    </row>
    <row r="7" spans="1:15" ht="21" customHeight="1">
      <c r="A7" s="809"/>
      <c r="B7" s="1748" t="s">
        <v>3202</v>
      </c>
      <c r="C7" s="1749"/>
      <c r="D7" s="1749"/>
      <c r="E7" s="1749"/>
      <c r="F7" s="1749"/>
      <c r="G7" s="1749"/>
      <c r="H7" s="1749"/>
      <c r="I7" s="1800" t="s">
        <v>3203</v>
      </c>
      <c r="J7" s="1801"/>
      <c r="K7" s="1818"/>
    </row>
    <row r="8" spans="1:15" ht="85" customHeight="1">
      <c r="A8" s="809"/>
      <c r="B8" s="1741" t="s">
        <v>2531</v>
      </c>
      <c r="C8" s="1192" t="s">
        <v>1855</v>
      </c>
      <c r="D8" s="1192" t="s">
        <v>2238</v>
      </c>
      <c r="E8" s="1824" t="s">
        <v>2532</v>
      </c>
      <c r="F8" s="1192" t="s">
        <v>1855</v>
      </c>
      <c r="G8" s="1192" t="s">
        <v>2238</v>
      </c>
      <c r="H8" s="1809" t="s">
        <v>2533</v>
      </c>
      <c r="I8" s="1741" t="s">
        <v>2568</v>
      </c>
      <c r="J8" s="1824" t="s">
        <v>2568</v>
      </c>
      <c r="K8" s="1777" t="s">
        <v>2569</v>
      </c>
      <c r="L8" s="813"/>
      <c r="N8" s="829" t="s">
        <v>2986</v>
      </c>
      <c r="O8" s="829"/>
    </row>
    <row r="9" spans="1:15" ht="33" customHeight="1">
      <c r="A9" s="809"/>
      <c r="B9" s="1741"/>
      <c r="C9" s="1015"/>
      <c r="D9" s="1016"/>
      <c r="E9" s="1804"/>
      <c r="F9" s="1190"/>
      <c r="G9" s="1190"/>
      <c r="H9" s="1810"/>
      <c r="I9" s="1741"/>
      <c r="J9" s="1804"/>
      <c r="K9" s="1811"/>
      <c r="L9" s="813"/>
    </row>
    <row r="10" spans="1:15" ht="14" customHeight="1">
      <c r="A10" s="921">
        <v>1966</v>
      </c>
      <c r="B10" s="1060">
        <f>' T.A5'!C10</f>
        <v>54.935781148754018</v>
      </c>
      <c r="C10" s="923">
        <f>B10/T.A5b!B10*T.A5b!C10</f>
        <v>16.005249135351153</v>
      </c>
      <c r="D10" s="1061">
        <f>B10-C10</f>
        <v>38.930532013402868</v>
      </c>
      <c r="E10" s="1064">
        <f>'Assets(BoP)'!KU58</f>
        <v>47.685781148754018</v>
      </c>
      <c r="F10" s="1207">
        <f>'Assets(BoP)'!KV58</f>
        <v>13.893000000000001</v>
      </c>
      <c r="G10" s="1061">
        <f>E10-F10</f>
        <v>33.792781148754017</v>
      </c>
      <c r="H10" s="1208"/>
      <c r="I10" s="1060">
        <f>' T.A5'!H10</f>
        <v>7.4702940087379623</v>
      </c>
      <c r="J10" s="1064"/>
      <c r="K10" s="1209"/>
      <c r="L10" s="813"/>
      <c r="N10" s="805">
        <f>B10/E10</f>
        <v>1.1520369348125785</v>
      </c>
    </row>
    <row r="11" spans="1:15" ht="14" customHeight="1">
      <c r="A11" s="826">
        <v>1967</v>
      </c>
      <c r="B11" s="816">
        <f>' T.A5'!C11</f>
        <v>61.046993685338421</v>
      </c>
      <c r="C11" s="828">
        <f>B11/T.A5b!B11*T.A5b!C11</f>
        <v>17.805619914000932</v>
      </c>
      <c r="D11" s="832">
        <f t="shared" ref="D11:D60" si="0">B11-C11</f>
        <v>43.241373771337493</v>
      </c>
      <c r="E11" s="934">
        <f>'Assets(BoP)'!KU59</f>
        <v>51.996993685338424</v>
      </c>
      <c r="F11" s="874">
        <f>'Assets(BoP)'!KV59</f>
        <v>15.166</v>
      </c>
      <c r="G11" s="1011">
        <f t="shared" ref="G11:G60" si="1">E11-F11</f>
        <v>36.830993685338427</v>
      </c>
      <c r="H11" s="1011"/>
      <c r="I11" s="816">
        <f>' T.A5'!H11</f>
        <v>8.1056906490251635</v>
      </c>
      <c r="J11" s="934"/>
      <c r="K11" s="1201"/>
      <c r="L11" s="813"/>
      <c r="N11" s="805">
        <f t="shared" ref="N11:N60" si="2">B11/E11</f>
        <v>1.1740485239351794</v>
      </c>
    </row>
    <row r="12" spans="1:15" ht="14" customHeight="1">
      <c r="A12" s="826">
        <v>1968</v>
      </c>
      <c r="B12" s="816">
        <f>' T.A5'!C12</f>
        <v>68.545511016692515</v>
      </c>
      <c r="C12" s="828">
        <f>B12/T.A5b!B12*T.A5b!C12</f>
        <v>20.007098526484089</v>
      </c>
      <c r="D12" s="832">
        <f t="shared" si="0"/>
        <v>48.53841249020843</v>
      </c>
      <c r="E12" s="934">
        <f>'Assets(BoP)'!KU60</f>
        <v>56.783511016692515</v>
      </c>
      <c r="F12" s="874">
        <f>'Assets(BoP)'!KV60</f>
        <v>16.574000000000002</v>
      </c>
      <c r="G12" s="1011">
        <f t="shared" si="1"/>
        <v>40.209511016692517</v>
      </c>
      <c r="H12" s="1011"/>
      <c r="I12" s="816">
        <f>' T.A5'!H12</f>
        <v>8.7402523397193477</v>
      </c>
      <c r="J12" s="934"/>
      <c r="K12" s="1201"/>
      <c r="L12" s="813"/>
      <c r="N12" s="805">
        <f t="shared" si="2"/>
        <v>1.2071375966262874</v>
      </c>
    </row>
    <row r="13" spans="1:15" ht="14" customHeight="1">
      <c r="A13" s="856">
        <v>1969</v>
      </c>
      <c r="B13" s="872">
        <f>' T.A5'!C13</f>
        <v>77.295487066333152</v>
      </c>
      <c r="C13" s="858">
        <f>B13/T.A5b!B13*T.A5b!C13</f>
        <v>21.845743045595743</v>
      </c>
      <c r="D13" s="876">
        <f t="shared" si="0"/>
        <v>55.449744020737413</v>
      </c>
      <c r="E13" s="935">
        <f>'Assets(BoP)'!KU61</f>
        <v>62.315487066333169</v>
      </c>
      <c r="F13" s="877">
        <f>'Assets(BoP)'!KV61</f>
        <v>17.611999999999998</v>
      </c>
      <c r="G13" s="1012">
        <f t="shared" si="1"/>
        <v>44.703487066333167</v>
      </c>
      <c r="H13" s="1012"/>
      <c r="I13" s="872">
        <f>' T.A5'!H13</f>
        <v>9.7555510448300389</v>
      </c>
      <c r="J13" s="935"/>
      <c r="K13" s="1202"/>
      <c r="L13" s="813"/>
      <c r="N13" s="805">
        <f t="shared" si="2"/>
        <v>1.2403896800815208</v>
      </c>
    </row>
    <row r="14" spans="1:15" ht="14" customHeight="1">
      <c r="A14" s="826">
        <v>1970</v>
      </c>
      <c r="B14" s="816">
        <f>' T.A5'!C14</f>
        <v>87.787270343209798</v>
      </c>
      <c r="C14" s="828">
        <f>B14/T.A5b!B14*T.A5b!C14</f>
        <v>25.162409470286779</v>
      </c>
      <c r="D14" s="832">
        <f t="shared" si="0"/>
        <v>62.624860872923023</v>
      </c>
      <c r="E14" s="934">
        <f>'Assets(BoP)'!KU62</f>
        <v>68.918270343209798</v>
      </c>
      <c r="F14" s="874">
        <f>'Assets(BoP)'!KV62</f>
        <v>19.754000000000001</v>
      </c>
      <c r="G14" s="1011">
        <f t="shared" si="1"/>
        <v>49.164270343209793</v>
      </c>
      <c r="H14" s="1011"/>
      <c r="I14" s="816">
        <f>' T.A5'!H14</f>
        <v>11.041373418078777</v>
      </c>
      <c r="J14" s="934"/>
      <c r="K14" s="1201"/>
      <c r="L14" s="813"/>
      <c r="N14" s="805">
        <f t="shared" si="2"/>
        <v>1.2737880667351815</v>
      </c>
    </row>
    <row r="15" spans="1:15" ht="14" customHeight="1">
      <c r="A15" s="826">
        <v>1971</v>
      </c>
      <c r="B15" s="816">
        <f>' T.A5'!C15</f>
        <v>96.675883827069541</v>
      </c>
      <c r="C15" s="828">
        <f>B15/T.A5b!B15*T.A5b!C15</f>
        <v>27.89415961915719</v>
      </c>
      <c r="D15" s="832">
        <f t="shared" si="0"/>
        <v>68.781724207912347</v>
      </c>
      <c r="E15" s="934">
        <f>'Assets(BoP)'!KU63</f>
        <v>75.533883827069545</v>
      </c>
      <c r="F15" s="874">
        <f>'Assets(BoP)'!KV63</f>
        <v>21.794</v>
      </c>
      <c r="G15" s="1011">
        <f t="shared" si="1"/>
        <v>53.739883827069548</v>
      </c>
      <c r="H15" s="1011"/>
      <c r="I15" s="816">
        <f>' T.A5'!H15</f>
        <v>11.373683356100205</v>
      </c>
      <c r="J15" s="934"/>
      <c r="K15" s="1201"/>
      <c r="L15" s="813"/>
      <c r="N15" s="805">
        <f t="shared" si="2"/>
        <v>1.2799008726785899</v>
      </c>
    </row>
    <row r="16" spans="1:15" ht="14" customHeight="1">
      <c r="A16" s="826">
        <v>1972</v>
      </c>
      <c r="B16" s="816">
        <f>' T.A5'!C16</f>
        <v>116.78110314657562</v>
      </c>
      <c r="C16" s="828">
        <f>B16/T.A5b!B16*T.A5b!C16</f>
        <v>33.653188897848132</v>
      </c>
      <c r="D16" s="832">
        <f t="shared" si="0"/>
        <v>83.127914248727478</v>
      </c>
      <c r="E16" s="934">
        <f>'Assets(BoP)'!KU64</f>
        <v>81.149103146575612</v>
      </c>
      <c r="F16" s="874">
        <f>'Assets(BoP)'!KV64</f>
        <v>23.385000000000002</v>
      </c>
      <c r="G16" s="1011">
        <f t="shared" si="1"/>
        <v>57.764103146575607</v>
      </c>
      <c r="H16" s="1011"/>
      <c r="I16" s="816">
        <f>' T.A5'!H16</f>
        <v>12.304652152316011</v>
      </c>
      <c r="J16" s="934"/>
      <c r="K16" s="1201"/>
      <c r="L16" s="813"/>
      <c r="N16" s="805">
        <f t="shared" si="2"/>
        <v>1.4390929612079593</v>
      </c>
    </row>
    <row r="17" spans="1:14" ht="14" customHeight="1">
      <c r="A17" s="826">
        <v>1973</v>
      </c>
      <c r="B17" s="816">
        <f>' T.A5'!C17</f>
        <v>117.46591624446326</v>
      </c>
      <c r="C17" s="828">
        <f>B17/T.A5b!B17*T.A5b!C17</f>
        <v>31.674048491808705</v>
      </c>
      <c r="D17" s="832">
        <f t="shared" si="0"/>
        <v>85.791867752654554</v>
      </c>
      <c r="E17" s="934">
        <f>'Assets(BoP)'!KU65</f>
        <v>92.532916244463266</v>
      </c>
      <c r="F17" s="874">
        <f>'Assets(BoP)'!KV65</f>
        <v>24.951000000000001</v>
      </c>
      <c r="G17" s="1011">
        <f t="shared" si="1"/>
        <v>67.581916244463258</v>
      </c>
      <c r="H17" s="1011"/>
      <c r="I17" s="816">
        <f>' T.A5'!H17</f>
        <v>14.89967548741801</v>
      </c>
      <c r="J17" s="934"/>
      <c r="K17" s="1201"/>
      <c r="L17" s="813"/>
      <c r="N17" s="805">
        <f t="shared" si="2"/>
        <v>1.2694500617934634</v>
      </c>
    </row>
    <row r="18" spans="1:14" ht="14" customHeight="1">
      <c r="A18" s="826">
        <v>1974</v>
      </c>
      <c r="B18" s="816">
        <f>' T.A5'!C18</f>
        <v>125.8883729864185</v>
      </c>
      <c r="C18" s="828">
        <f>B18/T.A5b!B18*T.A5b!C18</f>
        <v>26.783756334145529</v>
      </c>
      <c r="D18" s="832">
        <f t="shared" si="0"/>
        <v>99.104616652272966</v>
      </c>
      <c r="E18" s="934">
        <f>'Assets(BoP)'!KU66</f>
        <v>100.6683729864185</v>
      </c>
      <c r="F18" s="874">
        <f>'Assets(BoP)'!KV66</f>
        <v>21.417999999999999</v>
      </c>
      <c r="G18" s="1011">
        <f t="shared" si="1"/>
        <v>79.250372986418512</v>
      </c>
      <c r="H18" s="1011"/>
      <c r="I18" s="816">
        <f>' T.A5'!H18</f>
        <v>18.87487049977986</v>
      </c>
      <c r="J18" s="934"/>
      <c r="K18" s="1201"/>
      <c r="L18" s="813"/>
      <c r="N18" s="805">
        <f t="shared" si="2"/>
        <v>1.2505255548671925</v>
      </c>
    </row>
    <row r="19" spans="1:14" ht="14" customHeight="1">
      <c r="A19" s="826">
        <v>1975</v>
      </c>
      <c r="B19" s="816">
        <f>' T.A5'!C19</f>
        <v>139.1417395167334</v>
      </c>
      <c r="C19" s="1037">
        <f>B19/T.A5b!B19*T.A5b!C19</f>
        <v>31.797602652635366</v>
      </c>
      <c r="D19" s="882">
        <f t="shared" si="0"/>
        <v>107.34413686409803</v>
      </c>
      <c r="E19" s="1039">
        <f>'Assets(BoP)'!KU67</f>
        <v>113.64973951673339</v>
      </c>
      <c r="F19" s="874">
        <f>'Assets(BoP)'!KV67</f>
        <v>25.972000000000001</v>
      </c>
      <c r="G19" s="1011">
        <f t="shared" si="1"/>
        <v>87.677739516733396</v>
      </c>
      <c r="H19" s="1038"/>
      <c r="I19" s="816">
        <f>' T.A5'!H19</f>
        <v>21.048244290407432</v>
      </c>
      <c r="J19" s="1039"/>
      <c r="K19" s="1203"/>
      <c r="L19" s="813"/>
      <c r="N19" s="805">
        <f t="shared" si="2"/>
        <v>1.224303197775888</v>
      </c>
    </row>
    <row r="20" spans="1:14" ht="14" customHeight="1">
      <c r="A20" s="826">
        <v>1976</v>
      </c>
      <c r="B20" s="816">
        <f>' T.A5'!C20</f>
        <v>206.82379054043713</v>
      </c>
      <c r="C20" s="1037">
        <f>B20/T.A5b!B20*T.A5b!C20</f>
        <v>49.042973591437068</v>
      </c>
      <c r="D20" s="882">
        <f t="shared" si="0"/>
        <v>157.78081694900007</v>
      </c>
      <c r="E20" s="1039">
        <f>'Assets(BoP)'!KU68</f>
        <v>121.34979054043714</v>
      </c>
      <c r="F20" s="874">
        <f>'Assets(BoP)'!KV68</f>
        <v>28.774999999999999</v>
      </c>
      <c r="G20" s="1011">
        <f t="shared" si="1"/>
        <v>92.574790540437135</v>
      </c>
      <c r="H20" s="1038"/>
      <c r="I20" s="816">
        <f>' T.A5'!H20</f>
        <v>39.683484256990937</v>
      </c>
      <c r="J20" s="1039"/>
      <c r="K20" s="1203"/>
      <c r="L20" s="813"/>
      <c r="N20" s="805">
        <f t="shared" si="2"/>
        <v>1.7043605070873005</v>
      </c>
    </row>
    <row r="21" spans="1:14" ht="14" customHeight="1">
      <c r="A21" s="826">
        <v>1977</v>
      </c>
      <c r="B21" s="816">
        <f>' T.A5'!C21</f>
        <v>235.59399999999999</v>
      </c>
      <c r="C21" s="832">
        <f>B21/T.A5b!B21*T.A5b!C21</f>
        <v>49.545708969501447</v>
      </c>
      <c r="D21" s="832">
        <f t="shared" si="0"/>
        <v>186.04829103049855</v>
      </c>
      <c r="E21" s="934">
        <f>'Assets(BoP)'!KU69</f>
        <v>133.285</v>
      </c>
      <c r="F21" s="874">
        <f>'Assets(BoP)'!KV69</f>
        <v>28.03</v>
      </c>
      <c r="G21" s="1011">
        <f t="shared" si="1"/>
        <v>105.255</v>
      </c>
      <c r="H21" s="1011"/>
      <c r="I21" s="816">
        <f>' T.A5'!H21</f>
        <v>46.267061797943079</v>
      </c>
      <c r="J21" s="934"/>
      <c r="K21" s="1201"/>
      <c r="L21" s="813"/>
      <c r="N21" s="805">
        <f t="shared" si="2"/>
        <v>1.7675957534606295</v>
      </c>
    </row>
    <row r="22" spans="1:14" ht="14" customHeight="1">
      <c r="A22" s="826">
        <v>1978</v>
      </c>
      <c r="B22" s="816">
        <f>' T.A5'!C22</f>
        <v>274.80600000000004</v>
      </c>
      <c r="C22" s="832">
        <f>B22/T.A5b!B22*T.A5b!C22</f>
        <v>55.927642559091346</v>
      </c>
      <c r="D22" s="832">
        <f t="shared" si="0"/>
        <v>218.8783574409087</v>
      </c>
      <c r="E22" s="934">
        <f>'Assets(BoP)'!KU70</f>
        <v>150.02199999999999</v>
      </c>
      <c r="F22" s="874">
        <f>'Assets(BoP)'!KV70</f>
        <v>30.532</v>
      </c>
      <c r="G22" s="832">
        <f t="shared" si="1"/>
        <v>119.49</v>
      </c>
      <c r="H22" s="1011"/>
      <c r="I22" s="816">
        <f>' T.A5'!H22</f>
        <v>57.591483128055181</v>
      </c>
      <c r="J22" s="934"/>
      <c r="K22" s="1201"/>
      <c r="L22" s="813"/>
      <c r="N22" s="805">
        <f t="shared" si="2"/>
        <v>1.8317713402034372</v>
      </c>
    </row>
    <row r="23" spans="1:14" ht="14" customHeight="1">
      <c r="A23" s="856">
        <v>1979</v>
      </c>
      <c r="B23" s="872">
        <f>' T.A5'!C23</f>
        <v>327.87299999999999</v>
      </c>
      <c r="C23" s="876">
        <f>B23/T.A5b!B23*T.A5b!C23</f>
        <v>73.244618955998476</v>
      </c>
      <c r="D23" s="876">
        <f t="shared" si="0"/>
        <v>254.62838104400151</v>
      </c>
      <c r="E23" s="935">
        <f>'Assets(BoP)'!KU71</f>
        <v>175.15299999999999</v>
      </c>
      <c r="F23" s="877">
        <f>'Assets(BoP)'!KV71</f>
        <v>39.128</v>
      </c>
      <c r="G23" s="876">
        <f t="shared" si="1"/>
        <v>136.02499999999998</v>
      </c>
      <c r="H23" s="1012"/>
      <c r="I23" s="872">
        <f>' T.A5'!H23</f>
        <v>73.959000000000003</v>
      </c>
      <c r="J23" s="935"/>
      <c r="K23" s="1202"/>
      <c r="L23" s="813"/>
      <c r="N23" s="805">
        <f t="shared" si="2"/>
        <v>1.87192340410955</v>
      </c>
    </row>
    <row r="24" spans="1:14" ht="14" customHeight="1">
      <c r="A24" s="863">
        <v>1980</v>
      </c>
      <c r="B24" s="873">
        <f>' T.A5'!C24</f>
        <v>383.35900000000004</v>
      </c>
      <c r="C24" s="879">
        <f>B24/T.A5b!B24*T.A5b!C24</f>
        <v>90.020418261212825</v>
      </c>
      <c r="D24" s="879">
        <f t="shared" si="0"/>
        <v>293.33858173878718</v>
      </c>
      <c r="E24" s="936">
        <f>'Assets(BoP)'!KU72</f>
        <v>202.67</v>
      </c>
      <c r="F24" s="880">
        <f>'Assets(BoP)'!KV72</f>
        <v>47.591000000000001</v>
      </c>
      <c r="G24" s="879">
        <f t="shared" si="1"/>
        <v>155.07899999999998</v>
      </c>
      <c r="H24" s="1013"/>
      <c r="I24" s="873">
        <f>' T.A5'!H24</f>
        <v>109.77200000000001</v>
      </c>
      <c r="J24" s="936"/>
      <c r="K24" s="1204"/>
      <c r="L24" s="813"/>
      <c r="N24" s="805">
        <f t="shared" si="2"/>
        <v>1.8915429022548975</v>
      </c>
    </row>
    <row r="25" spans="1:14" ht="14" customHeight="1">
      <c r="A25" s="826">
        <v>1981</v>
      </c>
      <c r="B25" s="816">
        <f>' T.A5'!C25</f>
        <v>409.048</v>
      </c>
      <c r="C25" s="832">
        <f>B25/T.A5b!B25*T.A5b!C25</f>
        <v>100.99725802367803</v>
      </c>
      <c r="D25" s="832">
        <f t="shared" si="0"/>
        <v>308.050741976322</v>
      </c>
      <c r="E25" s="934">
        <f>'Assets(BoP)'!KU73</f>
        <v>215.643</v>
      </c>
      <c r="F25" s="874">
        <f>'Assets(BoP)'!KV73</f>
        <v>53.244</v>
      </c>
      <c r="G25" s="832">
        <f t="shared" si="1"/>
        <v>162.399</v>
      </c>
      <c r="H25" s="1011"/>
      <c r="I25" s="816">
        <f>' T.A5'!H25</f>
        <v>139.83499999999998</v>
      </c>
      <c r="J25" s="934"/>
      <c r="K25" s="1201"/>
      <c r="L25" s="813"/>
      <c r="N25" s="805">
        <f t="shared" si="2"/>
        <v>1.8968758550010898</v>
      </c>
    </row>
    <row r="26" spans="1:14" ht="14" customHeight="1">
      <c r="A26" s="826">
        <v>1982</v>
      </c>
      <c r="B26" s="816">
        <f>' T.A5'!C26</f>
        <v>407.36399999999998</v>
      </c>
      <c r="C26" s="832">
        <f>B26/T.A5b!B26*T.A5b!C26</f>
        <v>112.9711505878177</v>
      </c>
      <c r="D26" s="832">
        <f t="shared" si="0"/>
        <v>294.39284941218227</v>
      </c>
      <c r="E26" s="934">
        <f>'Assets(BoP)'!KU74</f>
        <v>208.483</v>
      </c>
      <c r="F26" s="874">
        <f>'Assets(BoP)'!KV74</f>
        <v>57.817</v>
      </c>
      <c r="G26" s="832">
        <f t="shared" si="1"/>
        <v>150.666</v>
      </c>
      <c r="H26" s="1011">
        <f>'Assets(BoP)'!MP74</f>
        <v>227.369</v>
      </c>
      <c r="I26" s="816">
        <f>' T.A5'!H26</f>
        <v>153.60600000000002</v>
      </c>
      <c r="J26" s="934"/>
      <c r="K26" s="1205">
        <f>'Assets(BoP)'!MV74</f>
        <v>99.191999999999993</v>
      </c>
      <c r="L26" s="813"/>
      <c r="N26" s="805">
        <f t="shared" si="2"/>
        <v>1.9539434869989398</v>
      </c>
    </row>
    <row r="27" spans="1:14" ht="14" customHeight="1">
      <c r="A27" s="826">
        <v>1983</v>
      </c>
      <c r="B27" s="816">
        <f>' T.A5'!C27</f>
        <v>404.62</v>
      </c>
      <c r="C27" s="832">
        <f>B27/T.A5b!B27*T.A5b!C27</f>
        <v>105.8999981217046</v>
      </c>
      <c r="D27" s="832">
        <f t="shared" si="0"/>
        <v>298.72000187829542</v>
      </c>
      <c r="E27" s="934">
        <f>'Assets(BoP)'!KU75</f>
        <v>223.607</v>
      </c>
      <c r="F27" s="874">
        <f>'Assets(BoP)'!KV75</f>
        <v>58.524000000000001</v>
      </c>
      <c r="G27" s="832">
        <f t="shared" si="1"/>
        <v>165.083</v>
      </c>
      <c r="H27" s="832">
        <f>'Assets(BoP)'!MP75</f>
        <v>285.79899999999998</v>
      </c>
      <c r="I27" s="816">
        <f>' T.A5'!H27</f>
        <v>159.31299999999999</v>
      </c>
      <c r="J27" s="934"/>
      <c r="K27" s="1205">
        <f>'Assets(BoP)'!MV75</f>
        <v>118.923</v>
      </c>
      <c r="L27" s="813"/>
      <c r="N27" s="805">
        <f t="shared" si="2"/>
        <v>1.80951401342534</v>
      </c>
    </row>
    <row r="28" spans="1:14" ht="14" customHeight="1">
      <c r="A28" s="826">
        <v>1984</v>
      </c>
      <c r="B28" s="816">
        <f>' T.A5'!C28</f>
        <v>407.95600000000002</v>
      </c>
      <c r="C28" s="832">
        <f>B28/T.A5b!B28*T.A5b!C28</f>
        <v>101.96053867555158</v>
      </c>
      <c r="D28" s="832">
        <f t="shared" si="0"/>
        <v>305.99546132444846</v>
      </c>
      <c r="E28" s="934">
        <f>'Assets(BoP)'!KU76</f>
        <v>236.506</v>
      </c>
      <c r="F28" s="874">
        <f>'Assets(BoP)'!KV76</f>
        <v>59.11</v>
      </c>
      <c r="G28" s="832">
        <f t="shared" si="1"/>
        <v>177.39600000000002</v>
      </c>
      <c r="H28" s="832">
        <f>'Assets(BoP)'!MP76</f>
        <v>288.98700000000002</v>
      </c>
      <c r="I28" s="816">
        <f>' T.A5'!H28</f>
        <v>181.72500000000002</v>
      </c>
      <c r="J28" s="934"/>
      <c r="K28" s="1205">
        <f>'Assets(BoP)'!MV76</f>
        <v>130.56399999999999</v>
      </c>
      <c r="L28" s="813"/>
      <c r="N28" s="805">
        <f t="shared" si="2"/>
        <v>1.7249287544502043</v>
      </c>
    </row>
    <row r="29" spans="1:14" ht="14" customHeight="1">
      <c r="A29" s="826">
        <v>1985</v>
      </c>
      <c r="B29" s="816">
        <f>' T.A5'!C29</f>
        <v>425.36</v>
      </c>
      <c r="C29" s="832">
        <f>B29/T.A5b!B29*T.A5b!C29</f>
        <v>97.606385895261695</v>
      </c>
      <c r="D29" s="832">
        <f t="shared" si="0"/>
        <v>327.75361410473829</v>
      </c>
      <c r="E29" s="934">
        <f>'Assets(BoP)'!KU77</f>
        <v>255.91399999999999</v>
      </c>
      <c r="F29" s="874">
        <f>'Assets(BoP)'!KV77</f>
        <v>58.723999999999997</v>
      </c>
      <c r="G29" s="832">
        <f t="shared" si="1"/>
        <v>197.19</v>
      </c>
      <c r="H29" s="832">
        <f>'Assets(BoP)'!MP77</f>
        <v>403.89699999999999</v>
      </c>
      <c r="I29" s="816">
        <f>' T.A5'!H29</f>
        <v>200.22400000000002</v>
      </c>
      <c r="J29" s="934"/>
      <c r="K29" s="1205">
        <f>'Assets(BoP)'!MV77</f>
        <v>172.99700000000001</v>
      </c>
      <c r="L29" s="813"/>
      <c r="N29" s="805">
        <f t="shared" si="2"/>
        <v>1.662120868729339</v>
      </c>
    </row>
    <row r="30" spans="1:14" ht="14" customHeight="1">
      <c r="A30" s="826">
        <v>1986</v>
      </c>
      <c r="B30" s="816">
        <f>' T.A5'!C30</f>
        <v>445.93100000000004</v>
      </c>
      <c r="C30" s="832">
        <f>B30/T.A5b!B30*T.A5b!C30</f>
        <v>95.330180147072014</v>
      </c>
      <c r="D30" s="832">
        <f t="shared" si="0"/>
        <v>350.600819852928</v>
      </c>
      <c r="E30" s="934">
        <f>'Assets(BoP)'!KU78</f>
        <v>278.911</v>
      </c>
      <c r="F30" s="874">
        <f>'Assets(BoP)'!KV78</f>
        <v>59.625</v>
      </c>
      <c r="G30" s="832">
        <f t="shared" si="1"/>
        <v>219.286</v>
      </c>
      <c r="H30" s="832">
        <f>'Assets(BoP)'!MP78</f>
        <v>538.51300000000003</v>
      </c>
      <c r="I30" s="816">
        <f>' T.A5'!H30</f>
        <v>226.40400000000002</v>
      </c>
      <c r="J30" s="934"/>
      <c r="K30" s="1205">
        <f>'Assets(BoP)'!MV78</f>
        <v>214.66900000000001</v>
      </c>
      <c r="L30" s="813"/>
      <c r="N30" s="805">
        <f t="shared" si="2"/>
        <v>1.598829017141669</v>
      </c>
    </row>
    <row r="31" spans="1:14" ht="14" customHeight="1">
      <c r="A31" s="826">
        <v>1987</v>
      </c>
      <c r="B31" s="816">
        <f>' T.A5'!C31</f>
        <v>508.22800000000001</v>
      </c>
      <c r="C31" s="832">
        <f>B31/T.A5b!B31*T.A5b!C31</f>
        <v>94.260058488914382</v>
      </c>
      <c r="D31" s="832">
        <f t="shared" si="0"/>
        <v>413.96794151108566</v>
      </c>
      <c r="E31" s="934">
        <f>'Assets(BoP)'!KU79</f>
        <v>327.85700000000003</v>
      </c>
      <c r="F31" s="874">
        <f>'Assets(BoP)'!KV79</f>
        <v>60.807000000000002</v>
      </c>
      <c r="G31" s="832">
        <f t="shared" si="1"/>
        <v>267.05</v>
      </c>
      <c r="H31" s="832">
        <f>'Assets(BoP)'!MP79</f>
        <v>591.85</v>
      </c>
      <c r="I31" s="816">
        <f>' T.A5'!H31</f>
        <v>258.87200000000001</v>
      </c>
      <c r="J31" s="934"/>
      <c r="K31" s="1205">
        <f>'Assets(BoP)'!MV79</f>
        <v>240.52</v>
      </c>
      <c r="L31" s="813"/>
      <c r="N31" s="805">
        <f t="shared" si="2"/>
        <v>1.5501514379744827</v>
      </c>
    </row>
    <row r="32" spans="1:14" ht="14" customHeight="1">
      <c r="A32" s="826">
        <v>1988</v>
      </c>
      <c r="B32" s="816">
        <f>' T.A5'!C32</f>
        <v>526.3549999999999</v>
      </c>
      <c r="C32" s="832">
        <f>B32/T.A5b!B32*T.A5b!C32</f>
        <v>91.116753511406515</v>
      </c>
      <c r="D32" s="832">
        <f t="shared" si="0"/>
        <v>435.2382464885934</v>
      </c>
      <c r="E32" s="934">
        <f>'Assets(BoP)'!KU80</f>
        <v>337.61399999999998</v>
      </c>
      <c r="F32" s="874">
        <f>'Assets(BoP)'!KV80</f>
        <v>58.444000000000003</v>
      </c>
      <c r="G32" s="832">
        <f t="shared" si="1"/>
        <v>279.16999999999996</v>
      </c>
      <c r="H32" s="832">
        <f>'Assets(BoP)'!MP80</f>
        <v>682.89599999999996</v>
      </c>
      <c r="I32" s="816">
        <f>' T.A5'!H32</f>
        <v>314.524</v>
      </c>
      <c r="J32" s="934"/>
      <c r="K32" s="1205">
        <f>'Assets(BoP)'!MV80</f>
        <v>304.28800000000001</v>
      </c>
      <c r="L32" s="813"/>
      <c r="N32" s="805">
        <f t="shared" si="2"/>
        <v>1.5590437600336478</v>
      </c>
    </row>
    <row r="33" spans="1:14" ht="14" customHeight="1">
      <c r="A33" s="856">
        <v>1989</v>
      </c>
      <c r="B33" s="872">
        <f>' T.A5'!C33</f>
        <v>542.50199999999995</v>
      </c>
      <c r="C33" s="876">
        <f>B33/T.A5b!B33*T.A5b!C33</f>
        <v>74.1355581288812</v>
      </c>
      <c r="D33" s="876">
        <f t="shared" si="0"/>
        <v>468.36644187111875</v>
      </c>
      <c r="E33" s="935">
        <f>'Assets(BoP)'!KU81</f>
        <v>353.62799999999999</v>
      </c>
      <c r="F33" s="877">
        <f>'Assets(BoP)'!KV81</f>
        <v>48.325000000000003</v>
      </c>
      <c r="G33" s="876">
        <f t="shared" si="1"/>
        <v>305.303</v>
      </c>
      <c r="H33" s="876">
        <f>'Assets(BoP)'!MP81</f>
        <v>804.30700000000002</v>
      </c>
      <c r="I33" s="872">
        <f>' T.A5'!H33</f>
        <v>356.02000000000004</v>
      </c>
      <c r="J33" s="935"/>
      <c r="K33" s="1206">
        <f>'Assets(BoP)'!MV81</f>
        <v>422.86799999999999</v>
      </c>
      <c r="L33" s="813"/>
      <c r="N33" s="805">
        <f t="shared" si="2"/>
        <v>1.5341036343275984</v>
      </c>
    </row>
    <row r="34" spans="1:14" ht="14" customHeight="1">
      <c r="A34" s="826">
        <v>1990</v>
      </c>
      <c r="B34" s="816">
        <f>' T.A5'!C34</f>
        <v>602.178</v>
      </c>
      <c r="C34" s="832">
        <f>B34/T.A5b!B34*T.A5b!C34</f>
        <v>76.012875357599384</v>
      </c>
      <c r="D34" s="832">
        <f t="shared" si="0"/>
        <v>526.16512464240066</v>
      </c>
      <c r="E34" s="934">
        <f>'Assets(BoP)'!KU82</f>
        <v>402.89499999999998</v>
      </c>
      <c r="F34" s="874">
        <f>'Assets(BoP)'!KV82</f>
        <v>50.857400000000005</v>
      </c>
      <c r="G34" s="832">
        <f t="shared" si="1"/>
        <v>352.0376</v>
      </c>
      <c r="H34" s="832">
        <f>'Assets(BoP)'!MP82</f>
        <v>704.13599999999997</v>
      </c>
      <c r="I34" s="816">
        <f>' T.A5'!H34</f>
        <v>387.14100000000002</v>
      </c>
      <c r="J34" s="934"/>
      <c r="K34" s="1205">
        <f>'Assets(BoP)'!MV82</f>
        <v>421.39600000000002</v>
      </c>
      <c r="L34" s="813"/>
      <c r="N34" s="805">
        <f t="shared" si="2"/>
        <v>1.494627632509711</v>
      </c>
    </row>
    <row r="35" spans="1:14" ht="14" customHeight="1">
      <c r="A35" s="826">
        <v>1991</v>
      </c>
      <c r="B35" s="816">
        <f>' T.A5'!C35</f>
        <v>633.63599999999997</v>
      </c>
      <c r="C35" s="832">
        <f>B35/T.A5b!B35*T.A5b!C35</f>
        <v>76.233708787798903</v>
      </c>
      <c r="D35" s="832">
        <f t="shared" si="0"/>
        <v>557.40229121220102</v>
      </c>
      <c r="E35" s="934">
        <f>'Assets(BoP)'!KU83</f>
        <v>443.76299999999998</v>
      </c>
      <c r="F35" s="874">
        <f>'Assets(BoP)'!KV83</f>
        <v>53.389800000000008</v>
      </c>
      <c r="G35" s="832">
        <f t="shared" si="1"/>
        <v>390.3732</v>
      </c>
      <c r="H35" s="832">
        <f>'Assets(BoP)'!MP83</f>
        <v>803.45600000000002</v>
      </c>
      <c r="I35" s="816">
        <f>' T.A5'!H35</f>
        <v>419.52600000000001</v>
      </c>
      <c r="J35" s="934"/>
      <c r="K35" s="1205">
        <f>'Assets(BoP)'!MV83</f>
        <v>555.25900000000001</v>
      </c>
      <c r="L35" s="813"/>
      <c r="N35" s="805">
        <f t="shared" si="2"/>
        <v>1.4278702821100453</v>
      </c>
    </row>
    <row r="36" spans="1:14" ht="14" customHeight="1">
      <c r="A36" s="826">
        <v>1992</v>
      </c>
      <c r="B36" s="816">
        <f>' T.A5'!C36</f>
        <v>637.96799999999996</v>
      </c>
      <c r="C36" s="832">
        <f>B36/T.A5b!B36*T.A5b!C36</f>
        <v>76.617539304835248</v>
      </c>
      <c r="D36" s="832">
        <f t="shared" si="0"/>
        <v>561.35046069516466</v>
      </c>
      <c r="E36" s="934">
        <f>'Assets(BoP)'!KU84</f>
        <v>465.64499999999998</v>
      </c>
      <c r="F36" s="874">
        <f>'Assets(BoP)'!KV84</f>
        <v>55.922200000000011</v>
      </c>
      <c r="G36" s="832">
        <f t="shared" si="1"/>
        <v>409.72279999999995</v>
      </c>
      <c r="H36" s="832">
        <f>'Assets(BoP)'!MP84</f>
        <v>762.21199999999999</v>
      </c>
      <c r="I36" s="816">
        <f>' T.A5'!H36</f>
        <v>425.089</v>
      </c>
      <c r="J36" s="934"/>
      <c r="K36" s="1205">
        <f>'Assets(BoP)'!MV84</f>
        <v>580.99699999999996</v>
      </c>
      <c r="L36" s="813"/>
      <c r="N36" s="805">
        <f t="shared" si="2"/>
        <v>1.3700737686434945</v>
      </c>
    </row>
    <row r="37" spans="1:14" ht="14" customHeight="1">
      <c r="A37" s="826">
        <v>1993</v>
      </c>
      <c r="B37" s="816">
        <f>' T.A5'!C37</f>
        <v>664.52599999999995</v>
      </c>
      <c r="C37" s="882">
        <f>B37/T.A5b!B37*T.A5b!C37</f>
        <v>76.876769340806376</v>
      </c>
      <c r="D37" s="882">
        <f t="shared" si="0"/>
        <v>587.64923065919356</v>
      </c>
      <c r="E37" s="934">
        <f>'Assets(BoP)'!KU85</f>
        <v>505.28399999999999</v>
      </c>
      <c r="F37" s="874">
        <f>'Assets(BoP)'!KV85</f>
        <v>58.454600000000013</v>
      </c>
      <c r="G37" s="882">
        <f t="shared" si="1"/>
        <v>446.82939999999996</v>
      </c>
      <c r="H37" s="832">
        <f>'Assets(BoP)'!MP85</f>
        <v>1002.299</v>
      </c>
      <c r="I37" s="816">
        <f>' T.A5'!H37</f>
        <v>449.38199999999995</v>
      </c>
      <c r="J37" s="934"/>
      <c r="K37" s="1205">
        <f>'Assets(BoP)'!MV85</f>
        <v>624.46699999999998</v>
      </c>
      <c r="L37" s="813"/>
      <c r="N37" s="805">
        <f t="shared" si="2"/>
        <v>1.3151534582531803</v>
      </c>
    </row>
    <row r="38" spans="1:14" ht="14" customHeight="1">
      <c r="A38" s="826">
        <v>1994</v>
      </c>
      <c r="B38" s="816">
        <f>' T.A5'!C38</f>
        <v>726.03100000000006</v>
      </c>
      <c r="C38" s="832">
        <f>B38/T.A5b!B38*T.A5b!C38</f>
        <v>80.162453398967003</v>
      </c>
      <c r="D38" s="832">
        <f t="shared" si="0"/>
        <v>645.86854660103302</v>
      </c>
      <c r="E38" s="934">
        <f>'Assets(BoP)'!KU86</f>
        <v>552.35900000000004</v>
      </c>
      <c r="F38" s="874">
        <f>'Assets(BoP)'!KV86</f>
        <v>60.987000000000016</v>
      </c>
      <c r="G38" s="832">
        <f t="shared" si="1"/>
        <v>491.37200000000001</v>
      </c>
      <c r="H38" s="832">
        <f>'Assets(BoP)'!MP86</f>
        <v>1054.048</v>
      </c>
      <c r="I38" s="816">
        <f>' T.A5'!H38</f>
        <v>483.99699999999996</v>
      </c>
      <c r="J38" s="934"/>
      <c r="K38" s="1205">
        <f>'Assets(BoP)'!MV86</f>
        <v>623.86800000000005</v>
      </c>
      <c r="L38" s="813"/>
      <c r="N38" s="805">
        <f t="shared" si="2"/>
        <v>1.3144187023294633</v>
      </c>
    </row>
    <row r="39" spans="1:14">
      <c r="A39" s="826">
        <v>1995</v>
      </c>
      <c r="B39" s="816">
        <f>' T.A5'!C39</f>
        <v>827.35699999999997</v>
      </c>
      <c r="C39" s="832">
        <f>B39/T.A5b!B39*T.A5b!C39</f>
        <v>82.003445690362753</v>
      </c>
      <c r="D39" s="832">
        <f t="shared" si="0"/>
        <v>745.35355430963727</v>
      </c>
      <c r="E39" s="934">
        <f>'Assets(BoP)'!KU87</f>
        <v>640.86599999999999</v>
      </c>
      <c r="F39" s="874">
        <f>'Assets(BoP)'!KV87</f>
        <v>63.519400000000019</v>
      </c>
      <c r="G39" s="832">
        <f t="shared" si="1"/>
        <v>577.34659999999997</v>
      </c>
      <c r="H39" s="832">
        <f>'Assets(BoP)'!MP87</f>
        <v>1305.643</v>
      </c>
      <c r="I39" s="816">
        <f>' T.A5'!H39</f>
        <v>544.62</v>
      </c>
      <c r="J39" s="934"/>
      <c r="K39" s="1205">
        <f>'Assets(BoP)'!MV87</f>
        <v>870.28</v>
      </c>
      <c r="L39" s="813"/>
      <c r="N39" s="805">
        <f t="shared" si="2"/>
        <v>1.2909984302490691</v>
      </c>
    </row>
    <row r="40" spans="1:14">
      <c r="A40" s="826">
        <v>1996</v>
      </c>
      <c r="B40" s="816">
        <f>' T.A5'!C40</f>
        <v>922</v>
      </c>
      <c r="C40" s="832">
        <f>B40/T.A5b!B40*T.A5b!C40</f>
        <v>83.724359622977701</v>
      </c>
      <c r="D40" s="832">
        <f t="shared" si="0"/>
        <v>838.27564037702234</v>
      </c>
      <c r="E40" s="934">
        <f>'Assets(BoP)'!KU88</f>
        <v>727.38400000000001</v>
      </c>
      <c r="F40" s="874">
        <f>'Assets(BoP)'!KV88</f>
        <v>66.051800000000014</v>
      </c>
      <c r="G40" s="832">
        <f t="shared" si="1"/>
        <v>661.33220000000006</v>
      </c>
      <c r="H40" s="832">
        <f>'Assets(BoP)'!MP88</f>
        <v>1540.53</v>
      </c>
      <c r="I40" s="816">
        <f>' T.A5'!H40</f>
        <v>595.91100000000006</v>
      </c>
      <c r="J40" s="934"/>
      <c r="K40" s="1205">
        <f>'Assets(BoP)'!MV88</f>
        <v>1079.4100000000001</v>
      </c>
      <c r="L40" s="813"/>
      <c r="N40" s="805">
        <f t="shared" si="2"/>
        <v>1.2675560639222199</v>
      </c>
    </row>
    <row r="41" spans="1:14">
      <c r="A41" s="826">
        <v>1997</v>
      </c>
      <c r="B41" s="816">
        <f>' T.A5'!C41</f>
        <v>994.26200000000006</v>
      </c>
      <c r="C41" s="832">
        <f>B41/T.A5b!B41*T.A5b!C41</f>
        <v>85.504033609942923</v>
      </c>
      <c r="D41" s="832">
        <f t="shared" si="0"/>
        <v>908.75796639005716</v>
      </c>
      <c r="E41" s="934">
        <f>'Assets(BoP)'!KU89</f>
        <v>797.51400000000001</v>
      </c>
      <c r="F41" s="874">
        <f>'Assets(BoP)'!KV89</f>
        <v>68.58420000000001</v>
      </c>
      <c r="G41" s="832">
        <f t="shared" si="1"/>
        <v>728.9298</v>
      </c>
      <c r="H41" s="832">
        <f>'Assets(BoP)'!MP89</f>
        <v>1805.4839999999999</v>
      </c>
      <c r="I41" s="816">
        <f>' T.A5'!H41</f>
        <v>644.66999999999996</v>
      </c>
      <c r="J41" s="934"/>
      <c r="K41" s="1205">
        <f>'Assets(BoP)'!MV89</f>
        <v>1457.942</v>
      </c>
      <c r="L41" s="813"/>
      <c r="N41" s="805">
        <f t="shared" si="2"/>
        <v>1.2467016253006218</v>
      </c>
    </row>
    <row r="42" spans="1:14">
      <c r="A42" s="826">
        <v>1998</v>
      </c>
      <c r="B42" s="816">
        <f>' T.A5'!C42</f>
        <v>1096.2269999999999</v>
      </c>
      <c r="C42" s="832">
        <f>B42/T.A5b!B42*T.A5b!C42</f>
        <v>86.534752198279733</v>
      </c>
      <c r="D42" s="832">
        <f t="shared" si="0"/>
        <v>1009.6922478017201</v>
      </c>
      <c r="E42" s="934">
        <f>'Assets(BoP)'!KU90</f>
        <v>900.90899999999999</v>
      </c>
      <c r="F42" s="874">
        <f>'Assets(BoP)'!KV90</f>
        <v>71.116600000000005</v>
      </c>
      <c r="G42" s="832">
        <f t="shared" si="1"/>
        <v>829.79240000000004</v>
      </c>
      <c r="H42" s="832">
        <f>'Assets(BoP)'!MP90</f>
        <v>2179.8069999999998</v>
      </c>
      <c r="I42" s="816">
        <f>' T.A5'!H42</f>
        <v>711.46600000000001</v>
      </c>
      <c r="J42" s="934"/>
      <c r="K42" s="1205">
        <f>'Assets(BoP)'!MV90</f>
        <v>1970.4570000000001</v>
      </c>
      <c r="L42" s="813"/>
      <c r="N42" s="805">
        <f t="shared" si="2"/>
        <v>1.2168010309587316</v>
      </c>
    </row>
    <row r="43" spans="1:14">
      <c r="A43" s="856">
        <v>1999</v>
      </c>
      <c r="B43" s="872">
        <f>' T.A5'!C43</f>
        <v>1264.1949999999999</v>
      </c>
      <c r="C43" s="876">
        <f>B43/T.A5b!B43*T.A5b!C43</f>
        <v>88.242924066312966</v>
      </c>
      <c r="D43" s="876">
        <f t="shared" si="0"/>
        <v>1175.952075933687</v>
      </c>
      <c r="E43" s="935">
        <f>'Assets(BoP)'!KU91</f>
        <v>1055.1179999999999</v>
      </c>
      <c r="F43" s="877">
        <f>'Assets(BoP)'!KV91</f>
        <v>73.649000000000001</v>
      </c>
      <c r="G43" s="876">
        <f t="shared" si="1"/>
        <v>981.46899999999994</v>
      </c>
      <c r="H43" s="876">
        <f>'Assets(BoP)'!MP91</f>
        <v>2678.797</v>
      </c>
      <c r="I43" s="872">
        <f>' T.A5'!H43</f>
        <v>848.99599999999998</v>
      </c>
      <c r="J43" s="935"/>
      <c r="K43" s="1206">
        <f>'Assets(BoP)'!MV91</f>
        <v>2525.8609999999999</v>
      </c>
      <c r="L43" s="813"/>
      <c r="N43" s="805">
        <f t="shared" si="2"/>
        <v>1.1981550878669496</v>
      </c>
    </row>
    <row r="44" spans="1:14">
      <c r="A44" s="826">
        <v>2000</v>
      </c>
      <c r="B44" s="816">
        <f>' T.A5'!C44</f>
        <v>1402.462</v>
      </c>
      <c r="C44" s="832">
        <f>B44/T.A5b!B44*T.A5b!C44</f>
        <v>88.217400438075217</v>
      </c>
      <c r="D44" s="832">
        <f t="shared" si="0"/>
        <v>1314.2445995619248</v>
      </c>
      <c r="E44" s="934">
        <f>'Assets(BoP)'!KU92</f>
        <v>1167.836</v>
      </c>
      <c r="F44" s="874">
        <f>'Assets(BoP)'!KV92</f>
        <v>73.459000000000003</v>
      </c>
      <c r="G44" s="832">
        <f t="shared" si="1"/>
        <v>1094.377</v>
      </c>
      <c r="H44" s="832">
        <f>'Assets(BoP)'!MP92</f>
        <v>2545.6030000000001</v>
      </c>
      <c r="I44" s="816">
        <f>' T.A5'!H44</f>
        <v>1124.8650000000002</v>
      </c>
      <c r="J44" s="934"/>
      <c r="K44" s="1205">
        <f>'Assets(BoP)'!MV92</f>
        <v>2449.0079999999998</v>
      </c>
      <c r="L44" s="813"/>
      <c r="N44" s="805">
        <f t="shared" si="2"/>
        <v>1.2009066341506855</v>
      </c>
    </row>
    <row r="45" spans="1:14">
      <c r="A45" s="826">
        <v>2001</v>
      </c>
      <c r="B45" s="816">
        <f>' T.A5'!C45</f>
        <v>1571.9860000000001</v>
      </c>
      <c r="C45" s="882">
        <f>B45/T.A5b!B45*T.A5b!C45</f>
        <v>89.672196465768991</v>
      </c>
      <c r="D45" s="882">
        <f t="shared" si="0"/>
        <v>1482.3138035342311</v>
      </c>
      <c r="E45" s="934">
        <f>'Assets(BoP)'!KU93</f>
        <v>1304.329</v>
      </c>
      <c r="F45" s="874">
        <f>'Assets(BoP)'!KV93</f>
        <v>74.403999999999996</v>
      </c>
      <c r="G45" s="882">
        <f t="shared" si="1"/>
        <v>1229.925</v>
      </c>
      <c r="H45" s="832">
        <f>'Assets(BoP)'!MP93</f>
        <v>2158.9110000000001</v>
      </c>
      <c r="I45" s="816">
        <f>' T.A5'!H45</f>
        <v>1177.3960000000002</v>
      </c>
      <c r="J45" s="934"/>
      <c r="K45" s="1205">
        <f>'Assets(BoP)'!MV93</f>
        <v>2166.0970000000002</v>
      </c>
      <c r="L45" s="813"/>
      <c r="N45" s="805">
        <f t="shared" si="2"/>
        <v>1.2052066618161523</v>
      </c>
    </row>
    <row r="46" spans="1:14">
      <c r="A46" s="826">
        <v>2002</v>
      </c>
      <c r="B46" s="816">
        <f>' T.A5'!C46</f>
        <v>1745.933</v>
      </c>
      <c r="C46" s="832">
        <f>B46/T.A5b!B46*T.A5b!C46</f>
        <v>91.051927175103032</v>
      </c>
      <c r="D46" s="832">
        <f t="shared" si="0"/>
        <v>1654.881072824897</v>
      </c>
      <c r="E46" s="934">
        <f>'Assets(BoP)'!KU94</f>
        <v>1434.07</v>
      </c>
      <c r="F46" s="874">
        <f>'Assets(BoP)'!KV94</f>
        <v>74.787999999999997</v>
      </c>
      <c r="G46" s="832">
        <f t="shared" si="1"/>
        <v>1359.2819999999999</v>
      </c>
      <c r="H46" s="832">
        <f>'Assets(BoP)'!MP94</f>
        <v>1840.11</v>
      </c>
      <c r="I46" s="816">
        <f>' T.A5'!H46</f>
        <v>1214.6799999999998</v>
      </c>
      <c r="J46" s="934"/>
      <c r="K46" s="1205">
        <f>'Assets(BoP)'!MV94</f>
        <v>1658.5519999999999</v>
      </c>
      <c r="L46" s="813"/>
      <c r="N46" s="805">
        <f t="shared" si="2"/>
        <v>1.217467069250455</v>
      </c>
    </row>
    <row r="47" spans="1:14">
      <c r="A47" s="826">
        <v>2003</v>
      </c>
      <c r="B47" s="816">
        <f>' T.A5'!C47</f>
        <v>1942.1669999999999</v>
      </c>
      <c r="C47" s="832">
        <f>B47/T.A5b!B47*T.A5b!C47</f>
        <v>93.685798023942027</v>
      </c>
      <c r="D47" s="832">
        <f t="shared" si="0"/>
        <v>1848.4812019760579</v>
      </c>
      <c r="E47" s="934">
        <f>'Assets(BoP)'!KU95</f>
        <v>1588.921</v>
      </c>
      <c r="F47" s="874">
        <f>'Assets(BoP)'!KV95</f>
        <v>76.646000000000001</v>
      </c>
      <c r="G47" s="832">
        <f t="shared" si="1"/>
        <v>1512.2750000000001</v>
      </c>
      <c r="H47" s="832">
        <f>'Assets(BoP)'!MP95</f>
        <v>2548.4349999999999</v>
      </c>
      <c r="I47" s="816">
        <f>' T.A5'!H47</f>
        <v>1339.9390000000001</v>
      </c>
      <c r="J47" s="934"/>
      <c r="K47" s="1205">
        <f>'Assets(BoP)'!MV95</f>
        <v>2136.5410000000002</v>
      </c>
      <c r="L47" s="813"/>
      <c r="N47" s="805">
        <f t="shared" si="2"/>
        <v>1.222318164339196</v>
      </c>
    </row>
    <row r="48" spans="1:14">
      <c r="A48" s="826">
        <v>2004</v>
      </c>
      <c r="B48" s="816">
        <f>' T.A5'!C48</f>
        <v>2432.5249999999996</v>
      </c>
      <c r="C48" s="832">
        <f>B48/T.A5b!B48*T.A5b!C48</f>
        <v>109.06236712597922</v>
      </c>
      <c r="D48" s="832">
        <f t="shared" si="0"/>
        <v>2323.4626328740205</v>
      </c>
      <c r="E48" s="934">
        <f>'Assets(BoP)'!KU96</f>
        <v>1968.5940000000001</v>
      </c>
      <c r="F48" s="874">
        <f>'Assets(BoP)'!KV96</f>
        <v>88.262</v>
      </c>
      <c r="G48" s="832">
        <f t="shared" si="1"/>
        <v>1880.3320000000001</v>
      </c>
      <c r="H48" s="832">
        <f>'Assets(BoP)'!MP96</f>
        <v>3170.5450000000001</v>
      </c>
      <c r="I48" s="816">
        <f>' T.A5'!H48</f>
        <v>1511.9780000000001</v>
      </c>
      <c r="J48" s="934"/>
      <c r="K48" s="1205">
        <f>'Assets(BoP)'!MV96</f>
        <v>2398.7170000000001</v>
      </c>
      <c r="L48" s="813"/>
      <c r="N48" s="805">
        <f t="shared" si="2"/>
        <v>1.235666165801582</v>
      </c>
    </row>
    <row r="49" spans="1:14">
      <c r="A49" s="826">
        <v>2005</v>
      </c>
      <c r="B49" s="816">
        <f>' T.A5'!C49</f>
        <v>2638.6579999999999</v>
      </c>
      <c r="C49" s="832">
        <f>B49/T.A5b!B49*T.A5b!C49</f>
        <v>124.86880030706851</v>
      </c>
      <c r="D49" s="832">
        <f t="shared" si="0"/>
        <v>2513.7891996929316</v>
      </c>
      <c r="E49" s="934">
        <f>'Assets(BoP)'!KU97</f>
        <v>2052.962</v>
      </c>
      <c r="F49" s="874">
        <f>'Assets(BoP)'!KV97</f>
        <v>97.152000000000001</v>
      </c>
      <c r="G49" s="832">
        <f t="shared" si="1"/>
        <v>1955.81</v>
      </c>
      <c r="H49" s="832">
        <f>'Assets(BoP)'!MP97</f>
        <v>3449.3020000000001</v>
      </c>
      <c r="I49" s="816">
        <f>' T.A5'!H49</f>
        <v>1672.877</v>
      </c>
      <c r="J49" s="934"/>
      <c r="K49" s="1205">
        <f>'Assets(BoP)'!MV97</f>
        <v>2483.6959999999999</v>
      </c>
      <c r="L49" s="813"/>
      <c r="N49" s="805">
        <f t="shared" si="2"/>
        <v>1.2852931520408073</v>
      </c>
    </row>
    <row r="50" spans="1:14">
      <c r="A50" s="826">
        <v>2006</v>
      </c>
      <c r="B50" s="816">
        <f>' T.A5'!C50</f>
        <v>2963.9590000000003</v>
      </c>
      <c r="C50" s="832">
        <f>B50/T.A5b!B50*T.A5b!C50</f>
        <v>135.61388888748866</v>
      </c>
      <c r="D50" s="832">
        <f t="shared" si="0"/>
        <v>2828.3451111125114</v>
      </c>
      <c r="E50" s="934">
        <f>'Assets(BoP)'!KU98</f>
        <v>2301.2260000000001</v>
      </c>
      <c r="F50" s="874">
        <f>'Assets(BoP)'!KV98</f>
        <v>105.291</v>
      </c>
      <c r="G50" s="832">
        <f t="shared" si="1"/>
        <v>2195.9349999999999</v>
      </c>
      <c r="H50" s="832">
        <f>'Assets(BoP)'!MP98</f>
        <v>4294.3010000000004</v>
      </c>
      <c r="I50" s="816">
        <f>' T.A5'!H50</f>
        <v>1858.433</v>
      </c>
      <c r="J50" s="934"/>
      <c r="K50" s="1205">
        <f>'Assets(BoP)'!MV98</f>
        <v>2895.5309999999999</v>
      </c>
      <c r="L50" s="813"/>
      <c r="N50" s="805">
        <f t="shared" si="2"/>
        <v>1.2879912707400316</v>
      </c>
    </row>
    <row r="51" spans="1:14">
      <c r="A51" s="826">
        <v>2007</v>
      </c>
      <c r="B51" s="816">
        <f>' T.A5'!C51</f>
        <v>3539.098</v>
      </c>
      <c r="C51" s="832">
        <f>B51/T.A5b!B51*T.A5b!C51</f>
        <v>144.46542021675066</v>
      </c>
      <c r="D51" s="832">
        <f t="shared" si="0"/>
        <v>3394.6325797832492</v>
      </c>
      <c r="E51" s="934">
        <f>'Assets(BoP)'!KU99</f>
        <v>2809.9569999999999</v>
      </c>
      <c r="F51" s="874">
        <f>'Assets(BoP)'!KV99</f>
        <v>114.702</v>
      </c>
      <c r="G51" s="832">
        <f t="shared" si="1"/>
        <v>2695.2550000000001</v>
      </c>
      <c r="H51" s="832">
        <f>'Assets(BoP)'!MP99</f>
        <v>5090.9679999999998</v>
      </c>
      <c r="I51" s="816">
        <f>' T.A5'!H51</f>
        <v>2009.806</v>
      </c>
      <c r="J51" s="934"/>
      <c r="K51" s="1205">
        <f>'Assets(BoP)'!MV99</f>
        <v>3097.5129999999999</v>
      </c>
      <c r="L51" s="813"/>
      <c r="N51" s="805">
        <f t="shared" si="2"/>
        <v>1.2594847536812841</v>
      </c>
    </row>
    <row r="52" spans="1:14">
      <c r="A52" s="826">
        <v>2008</v>
      </c>
      <c r="B52" s="816">
        <f>' T.A5'!C52</f>
        <v>3755.2279999999996</v>
      </c>
      <c r="C52" s="832">
        <f>B52/T.A5b!B52*T.A5b!C52</f>
        <v>149.79054930086826</v>
      </c>
      <c r="D52" s="832">
        <f t="shared" si="0"/>
        <v>3605.4374506991312</v>
      </c>
      <c r="E52" s="934">
        <f>'Assets(BoP)'!KU100</f>
        <v>3058.2220000000002</v>
      </c>
      <c r="F52" s="874">
        <f>'Assets(BoP)'!KV100</f>
        <v>121.988</v>
      </c>
      <c r="G52" s="832">
        <f t="shared" si="1"/>
        <v>2936.2340000000004</v>
      </c>
      <c r="H52" s="832">
        <f>'Assets(BoP)'!MP100</f>
        <v>2928.1469999999999</v>
      </c>
      <c r="I52" s="816">
        <f>' T.A5'!H52</f>
        <v>2112.8510000000001</v>
      </c>
      <c r="J52" s="934"/>
      <c r="K52" s="1205">
        <f>'Assets(BoP)'!MV100</f>
        <v>2000.508</v>
      </c>
      <c r="L52" s="813"/>
      <c r="N52" s="805">
        <f t="shared" si="2"/>
        <v>1.2279121659578669</v>
      </c>
    </row>
    <row r="53" spans="1:14">
      <c r="A53" s="856">
        <v>2009</v>
      </c>
      <c r="B53" s="872">
        <f>' T.A5'!C53</f>
        <v>3976.2869999999994</v>
      </c>
      <c r="C53" s="876">
        <f>B53/T.A5b!B53*T.A5b!C53</f>
        <v>138.45374055358602</v>
      </c>
      <c r="D53" s="876">
        <f t="shared" si="0"/>
        <v>3837.8332594464132</v>
      </c>
      <c r="E53" s="935">
        <f>'Assets(BoP)'!KU101</f>
        <v>3340.0770000000002</v>
      </c>
      <c r="F53" s="877">
        <f>'Assets(BoP)'!KV101</f>
        <v>116.301</v>
      </c>
      <c r="G53" s="876">
        <f t="shared" si="1"/>
        <v>3223.7760000000003</v>
      </c>
      <c r="H53" s="876">
        <f>'Assets(BoP)'!MP101</f>
        <v>4097.1790000000001</v>
      </c>
      <c r="I53" s="872">
        <f>' T.A5'!H53</f>
        <v>2078.8490000000002</v>
      </c>
      <c r="J53" s="935"/>
      <c r="K53" s="1206">
        <f>'Assets(BoP)'!MV101</f>
        <v>2513.9009999999998</v>
      </c>
      <c r="L53" s="813"/>
      <c r="N53" s="805">
        <f t="shared" si="2"/>
        <v>1.1904776446770535</v>
      </c>
    </row>
    <row r="54" spans="1:14">
      <c r="A54" s="826">
        <v>2010</v>
      </c>
      <c r="B54" s="816">
        <f>' T.A5'!C54</f>
        <v>4199.0140000000001</v>
      </c>
      <c r="C54" s="832">
        <f>B54/T.A5b!B54*T.A5b!C54</f>
        <v>138.66821685625303</v>
      </c>
      <c r="D54" s="832">
        <f t="shared" si="0"/>
        <v>4060.3457831437472</v>
      </c>
      <c r="E54" s="934">
        <f>'Assets(BoP)'!KU102</f>
        <v>3553.174</v>
      </c>
      <c r="F54" s="874">
        <f>'Assets(BoP)'!KV102</f>
        <v>117.34</v>
      </c>
      <c r="G54" s="832">
        <f t="shared" si="1"/>
        <v>3435.8339999999998</v>
      </c>
      <c r="H54" s="832">
        <f>'Assets(BoP)'!MP102</f>
        <v>4620.8500000000004</v>
      </c>
      <c r="I54" s="816">
        <f>' T.A5'!H54</f>
        <v>2296.8180000000002</v>
      </c>
      <c r="J54" s="934"/>
      <c r="K54" s="1205">
        <f>'Assets(BoP)'!MV102</f>
        <v>2927.7530000000002</v>
      </c>
      <c r="L54" s="813"/>
      <c r="N54" s="805">
        <f t="shared" si="2"/>
        <v>1.1817642479653403</v>
      </c>
    </row>
    <row r="55" spans="1:14">
      <c r="A55" s="826">
        <v>2011</v>
      </c>
      <c r="B55" s="816">
        <f>' T.A5'!C55</f>
        <v>4538.2890000000007</v>
      </c>
      <c r="C55" s="832">
        <f>B55/T.A5b!B55*T.A5b!C55</f>
        <v>145.38057673433792</v>
      </c>
      <c r="D55" s="832">
        <f t="shared" si="0"/>
        <v>4392.9084232656623</v>
      </c>
      <c r="E55" s="934">
        <f>'Assets(BoP)'!KU103</f>
        <v>3855.7510000000002</v>
      </c>
      <c r="F55" s="874">
        <f>'Assets(BoP)'!KV103</f>
        <v>123.51600000000001</v>
      </c>
      <c r="G55" s="832">
        <f t="shared" si="1"/>
        <v>3732.2350000000001</v>
      </c>
      <c r="H55" s="832">
        <f>'Assets(BoP)'!MP103</f>
        <v>4320.0519999999997</v>
      </c>
      <c r="I55" s="816">
        <f>' T.A5'!H55</f>
        <v>2460.0459999999998</v>
      </c>
      <c r="J55" s="934"/>
      <c r="K55" s="1205">
        <f>'Assets(BoP)'!MV103</f>
        <v>2968.3620000000001</v>
      </c>
      <c r="L55" s="813"/>
      <c r="N55" s="805">
        <f t="shared" si="2"/>
        <v>1.1770181736320631</v>
      </c>
    </row>
    <row r="56" spans="1:14">
      <c r="A56" s="826">
        <v>2012</v>
      </c>
      <c r="B56" s="816">
        <f>' T.A5'!C56</f>
        <v>4885.0630000000001</v>
      </c>
      <c r="C56" s="832">
        <f>B56/T.A5b!B56*T.A5b!C56</f>
        <v>158.19573712598023</v>
      </c>
      <c r="D56" s="832">
        <f t="shared" si="0"/>
        <v>4726.8672628740196</v>
      </c>
      <c r="E56" s="934">
        <f>'Assets(BoP)'!KU104</f>
        <v>4171.0360000000001</v>
      </c>
      <c r="F56" s="874">
        <f>'Assets(BoP)'!KV104</f>
        <v>135.07300000000001</v>
      </c>
      <c r="G56" s="832">
        <f t="shared" si="1"/>
        <v>4035.9630000000002</v>
      </c>
      <c r="H56" s="832">
        <f>'Assets(BoP)'!MP104</f>
        <v>4983.8950000000004</v>
      </c>
      <c r="I56" s="816">
        <f>' T.A5'!H56</f>
        <v>2658.69</v>
      </c>
      <c r="J56" s="934"/>
      <c r="K56" s="1205">
        <f>'Assets(BoP)'!MV104</f>
        <v>3415.8429999999998</v>
      </c>
      <c r="L56" s="813"/>
      <c r="N56" s="805">
        <f t="shared" si="2"/>
        <v>1.1711869664994501</v>
      </c>
    </row>
    <row r="57" spans="1:14">
      <c r="A57" s="826">
        <v>2013</v>
      </c>
      <c r="B57" s="816">
        <f>' T.A5'!C57</f>
        <v>5096.442</v>
      </c>
      <c r="C57" s="832">
        <f>B57/T.A5b!B57*T.A5b!C57</f>
        <v>180.22923564461959</v>
      </c>
      <c r="D57" s="832">
        <f t="shared" si="0"/>
        <v>4916.2127643553804</v>
      </c>
      <c r="E57" s="934">
        <f>'Assets(BoP)'!KU105</f>
        <v>4379.7690000000002</v>
      </c>
      <c r="F57" s="874">
        <f>'Assets(BoP)'!KV105</f>
        <v>154.88499999999999</v>
      </c>
      <c r="G57" s="832">
        <f t="shared" si="1"/>
        <v>4224.884</v>
      </c>
      <c r="H57" s="832">
        <f>'Assets(BoP)'!MP105</f>
        <v>6054.2269999999999</v>
      </c>
      <c r="I57" s="816">
        <f>' T.A5'!H57</f>
        <v>2815.6589999999997</v>
      </c>
      <c r="J57" s="934"/>
      <c r="K57" s="1205">
        <f>'Assets(BoP)'!MV105</f>
        <v>4443.2160000000003</v>
      </c>
      <c r="L57" s="813"/>
      <c r="N57" s="805">
        <f t="shared" si="2"/>
        <v>1.1636326025413668</v>
      </c>
    </row>
    <row r="58" spans="1:14">
      <c r="A58" s="826">
        <v>2014</v>
      </c>
      <c r="B58" s="816">
        <f>' T.A5'!C58</f>
        <v>5396.4770000000008</v>
      </c>
      <c r="C58" s="832">
        <f>B58/T.A5b!B58*T.A5b!C58</f>
        <v>188.9767109958872</v>
      </c>
      <c r="D58" s="832">
        <f t="shared" si="0"/>
        <v>5207.5002890041133</v>
      </c>
      <c r="E58" s="934">
        <f>'Assets(BoP)'!KU106</f>
        <v>4673.4110000000001</v>
      </c>
      <c r="F58" s="874">
        <f>'Assets(BoP)'!KV106</f>
        <v>163.65600000000001</v>
      </c>
      <c r="G58" s="832">
        <f t="shared" si="1"/>
        <v>4509.7550000000001</v>
      </c>
      <c r="H58" s="832">
        <f>'Assets(BoP)'!MP106</f>
        <v>6040.1289999999999</v>
      </c>
      <c r="I58" s="816">
        <f>' T.A5'!H58</f>
        <v>2979.518</v>
      </c>
      <c r="J58" s="934"/>
      <c r="K58" s="1205">
        <f>'Assets(BoP)'!MV106</f>
        <v>4895.7520000000004</v>
      </c>
      <c r="L58" s="813"/>
      <c r="N58" s="805">
        <f t="shared" si="2"/>
        <v>1.1547191120147577</v>
      </c>
    </row>
    <row r="59" spans="1:14">
      <c r="A59" s="826">
        <v>2015</v>
      </c>
      <c r="B59" s="816">
        <f>' T.A5'!C59</f>
        <v>5563.875</v>
      </c>
      <c r="C59" s="832">
        <f>B59/T.A5b!B59*T.A5b!C59</f>
        <v>166.21644948178803</v>
      </c>
      <c r="D59" s="832">
        <f t="shared" si="0"/>
        <v>5397.658550518212</v>
      </c>
      <c r="E59" s="934">
        <f>'Assets(BoP)'!KU107</f>
        <v>4828.9120000000003</v>
      </c>
      <c r="F59" s="874">
        <f>'Assets(BoP)'!KV107</f>
        <v>144.26</v>
      </c>
      <c r="G59" s="832">
        <f t="shared" si="1"/>
        <v>4684.652</v>
      </c>
      <c r="H59" s="832">
        <f>'Assets(BoP)'!MP107</f>
        <v>5787.9120000000003</v>
      </c>
      <c r="I59" s="816">
        <f>' T.A5'!H59</f>
        <v>3296.4960000000001</v>
      </c>
      <c r="J59" s="934"/>
      <c r="K59" s="1205">
        <f>'Assets(BoP)'!MV107</f>
        <v>5076.42</v>
      </c>
      <c r="L59" s="813"/>
      <c r="N59" s="805">
        <f t="shared" si="2"/>
        <v>1.1522005370982118</v>
      </c>
    </row>
    <row r="60" spans="1:14">
      <c r="A60" s="826">
        <v>2016</v>
      </c>
      <c r="B60" s="816">
        <f>' T.A5'!C60</f>
        <v>5899.6359999999995</v>
      </c>
      <c r="C60" s="832">
        <f>B60/T.A5b!B60*T.A5b!C60</f>
        <v>164.05428229602927</v>
      </c>
      <c r="D60" s="832">
        <f t="shared" si="0"/>
        <v>5735.5817177039698</v>
      </c>
      <c r="E60" s="934">
        <f>'Assets(BoP)'!KU108</f>
        <v>5143.1400000000003</v>
      </c>
      <c r="F60" s="874">
        <f>'Assets(BoP)'!KV108</f>
        <v>143.018</v>
      </c>
      <c r="G60" s="817">
        <f t="shared" si="1"/>
        <v>5000.1220000000003</v>
      </c>
      <c r="H60" s="832">
        <f>'Assets(BoP)'!MP108</f>
        <v>6172.3339999999998</v>
      </c>
      <c r="I60" s="816">
        <f>' T.A5'!H60</f>
        <v>3619.5099999999998</v>
      </c>
      <c r="J60" s="934"/>
      <c r="K60" s="1205">
        <f>'Assets(BoP)'!MV108</f>
        <v>5783.5</v>
      </c>
      <c r="L60" s="813"/>
      <c r="N60" s="805">
        <f t="shared" si="2"/>
        <v>1.1470883545849422</v>
      </c>
    </row>
    <row r="61" spans="1:14" ht="16" thickBot="1">
      <c r="A61" s="819"/>
      <c r="B61" s="820"/>
      <c r="C61" s="821"/>
      <c r="D61" s="821"/>
      <c r="E61" s="821"/>
      <c r="F61" s="821"/>
      <c r="G61" s="821"/>
      <c r="H61" s="833"/>
      <c r="I61" s="820"/>
      <c r="J61" s="821"/>
      <c r="K61" s="823"/>
    </row>
    <row r="62" spans="1:14" ht="16" thickTop="1">
      <c r="H62" s="824"/>
    </row>
    <row r="63" spans="1:14">
      <c r="A63" s="829"/>
      <c r="H63" s="824"/>
    </row>
    <row r="64" spans="1:14">
      <c r="A64" s="829"/>
      <c r="H64" s="824"/>
    </row>
    <row r="65" spans="1:12">
      <c r="A65" s="829"/>
      <c r="C65" s="855"/>
      <c r="D65" s="855"/>
      <c r="E65" s="855"/>
      <c r="F65" s="855"/>
      <c r="G65" s="855"/>
      <c r="H65" s="854"/>
    </row>
    <row r="66" spans="1:12">
      <c r="A66" s="829"/>
      <c r="C66" s="855"/>
      <c r="D66" s="855"/>
      <c r="E66" s="855"/>
      <c r="F66" s="855"/>
      <c r="G66" s="855"/>
      <c r="H66" s="854"/>
    </row>
    <row r="67" spans="1:12">
      <c r="A67" s="829"/>
      <c r="C67" s="855"/>
      <c r="D67" s="855"/>
      <c r="E67" s="855"/>
      <c r="F67" s="855"/>
      <c r="G67" s="855"/>
      <c r="H67" s="854"/>
    </row>
    <row r="68" spans="1:12">
      <c r="A68" s="829"/>
      <c r="C68" s="855"/>
      <c r="D68" s="855"/>
      <c r="E68" s="855"/>
      <c r="F68" s="855"/>
      <c r="G68" s="855"/>
      <c r="H68" s="854"/>
      <c r="I68" s="854"/>
    </row>
    <row r="69" spans="1:12" s="825" customFormat="1">
      <c r="B69" s="805"/>
      <c r="C69" s="805"/>
      <c r="D69" s="805"/>
      <c r="E69" s="805"/>
      <c r="F69" s="805"/>
      <c r="G69" s="805"/>
      <c r="H69" s="805"/>
      <c r="I69" s="805"/>
      <c r="J69" s="805"/>
      <c r="K69" s="805"/>
      <c r="L69" s="805"/>
    </row>
    <row r="70" spans="1:12" s="825" customFormat="1">
      <c r="A70" s="805"/>
      <c r="B70" s="805"/>
      <c r="C70" s="805"/>
      <c r="D70" s="805"/>
      <c r="E70" s="805"/>
      <c r="F70" s="805"/>
      <c r="G70" s="805"/>
      <c r="H70" s="805"/>
      <c r="I70" s="805"/>
      <c r="J70" s="805"/>
      <c r="K70" s="805"/>
      <c r="L70" s="805"/>
    </row>
    <row r="71" spans="1:12" s="825" customFormat="1">
      <c r="A71" s="805"/>
      <c r="B71" s="805"/>
      <c r="C71" s="805"/>
      <c r="D71" s="805"/>
      <c r="E71" s="805"/>
      <c r="F71" s="805"/>
      <c r="G71" s="805"/>
      <c r="H71" s="805"/>
      <c r="I71" s="805"/>
      <c r="J71" s="805"/>
      <c r="K71" s="805"/>
      <c r="L71" s="805"/>
    </row>
    <row r="73" spans="1:12" s="825" customFormat="1">
      <c r="A73" s="805"/>
      <c r="B73" s="805"/>
      <c r="C73" s="805"/>
      <c r="D73" s="805"/>
      <c r="E73" s="805"/>
      <c r="F73" s="805"/>
      <c r="G73" s="805"/>
      <c r="H73" s="805"/>
      <c r="I73" s="805"/>
      <c r="J73" s="805"/>
      <c r="K73" s="805"/>
      <c r="L73" s="805"/>
    </row>
    <row r="78" spans="1:12">
      <c r="K78" s="829"/>
    </row>
  </sheetData>
  <mergeCells count="10">
    <mergeCell ref="E8:E9"/>
    <mergeCell ref="A3:K3"/>
    <mergeCell ref="B6:K6"/>
    <mergeCell ref="B7:H7"/>
    <mergeCell ref="I7:K7"/>
    <mergeCell ref="B8:B9"/>
    <mergeCell ref="H8:H9"/>
    <mergeCell ref="I8:I9"/>
    <mergeCell ref="K8:K9"/>
    <mergeCell ref="J8:J9"/>
  </mergeCells>
  <phoneticPr fontId="104" type="noConversion"/>
  <pageMargins left="0.75" right="0.75" top="1" bottom="1" header="0.5" footer="0.5"/>
  <pageSetup scale="63" orientation="portrait" horizontalDpi="4294967292" verticalDpi="429496729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74"/>
  <sheetViews>
    <sheetView workbookViewId="0">
      <pane xSplit="1" ySplit="9" topLeftCell="B10" activePane="bottomRight" state="frozen"/>
      <selection activeCell="X67" sqref="X67"/>
      <selection pane="topRight" activeCell="X67" sqref="X67"/>
      <selection pane="bottomLeft" activeCell="X67" sqref="X67"/>
      <selection pane="bottomRight" activeCell="X67" sqref="X67"/>
    </sheetView>
  </sheetViews>
  <sheetFormatPr baseColWidth="10" defaultColWidth="9.28515625" defaultRowHeight="15" x14ac:dyDescent="0"/>
  <cols>
    <col min="1" max="1" width="16.28515625" style="805" customWidth="1"/>
    <col min="2" max="13" width="9.7109375" style="805" customWidth="1"/>
    <col min="14" max="16" width="9.28515625" style="805"/>
    <col min="17" max="17" width="9.28515625" style="1092"/>
    <col min="18" max="16384" width="9.28515625" style="805"/>
  </cols>
  <sheetData>
    <row r="1" spans="1:17">
      <c r="C1" s="825" t="s">
        <v>3506</v>
      </c>
      <c r="F1" s="829"/>
    </row>
    <row r="2" spans="1:17" ht="16" thickBot="1"/>
    <row r="3" spans="1:17" ht="32" customHeight="1" thickTop="1">
      <c r="A3" s="1793" t="s">
        <v>3218</v>
      </c>
      <c r="B3" s="1794"/>
      <c r="C3" s="1794"/>
      <c r="D3" s="1794"/>
      <c r="E3" s="1794"/>
      <c r="F3" s="1794"/>
      <c r="G3" s="1794"/>
      <c r="H3" s="1794"/>
      <c r="I3" s="1794"/>
      <c r="J3" s="1794"/>
      <c r="K3" s="1794"/>
      <c r="L3" s="1794"/>
      <c r="M3" s="1795"/>
    </row>
    <row r="4" spans="1:17" ht="12" customHeight="1">
      <c r="A4" s="806"/>
      <c r="B4" s="807"/>
      <c r="C4" s="807"/>
      <c r="D4" s="807"/>
      <c r="E4" s="807"/>
      <c r="F4" s="807"/>
      <c r="G4" s="807"/>
      <c r="H4" s="807"/>
      <c r="I4" s="807"/>
      <c r="J4" s="807"/>
      <c r="K4" s="807"/>
      <c r="L4" s="807"/>
      <c r="M4" s="808"/>
    </row>
    <row r="5" spans="1:17">
      <c r="A5" s="809"/>
      <c r="B5" s="1169" t="s">
        <v>2411</v>
      </c>
      <c r="C5" s="1169" t="s">
        <v>2412</v>
      </c>
      <c r="D5" s="1169" t="s">
        <v>2413</v>
      </c>
      <c r="E5" s="1169" t="s">
        <v>2414</v>
      </c>
      <c r="F5" s="1169" t="s">
        <v>2415</v>
      </c>
      <c r="G5" s="1169" t="s">
        <v>2416</v>
      </c>
      <c r="H5" s="1169" t="s">
        <v>2417</v>
      </c>
      <c r="I5" s="1169" t="s">
        <v>2429</v>
      </c>
      <c r="J5" s="1169" t="s">
        <v>2430</v>
      </c>
      <c r="K5" s="1169" t="s">
        <v>2431</v>
      </c>
      <c r="L5" s="1169" t="s">
        <v>2432</v>
      </c>
      <c r="M5" s="1170" t="s">
        <v>2433</v>
      </c>
    </row>
    <row r="6" spans="1:17" ht="21" customHeight="1">
      <c r="A6" s="809"/>
      <c r="B6" s="1748" t="s">
        <v>2587</v>
      </c>
      <c r="C6" s="1749"/>
      <c r="D6" s="1749"/>
      <c r="E6" s="1749"/>
      <c r="F6" s="1749"/>
      <c r="G6" s="1749"/>
      <c r="H6" s="1749"/>
      <c r="I6" s="1749"/>
      <c r="J6" s="1749"/>
      <c r="K6" s="1749"/>
      <c r="L6" s="1749"/>
      <c r="M6" s="1840"/>
    </row>
    <row r="7" spans="1:17" ht="21" customHeight="1">
      <c r="A7" s="809"/>
      <c r="B7" s="1763" t="s">
        <v>2582</v>
      </c>
      <c r="C7" s="1849"/>
      <c r="D7" s="1849"/>
      <c r="E7" s="1849"/>
      <c r="F7" s="1849" t="s">
        <v>2581</v>
      </c>
      <c r="G7" s="1850"/>
      <c r="H7" s="1851" t="s">
        <v>2577</v>
      </c>
      <c r="I7" s="1743" t="s">
        <v>2585</v>
      </c>
      <c r="J7" s="1851" t="s">
        <v>2214</v>
      </c>
      <c r="K7" s="1743" t="s">
        <v>2575</v>
      </c>
      <c r="L7" s="1743" t="s">
        <v>2583</v>
      </c>
      <c r="M7" s="1770" t="s">
        <v>2269</v>
      </c>
    </row>
    <row r="8" spans="1:17" ht="85" customHeight="1">
      <c r="A8" s="809"/>
      <c r="B8" s="1241" t="s">
        <v>2576</v>
      </c>
      <c r="C8" s="1179" t="s">
        <v>2589</v>
      </c>
      <c r="D8" s="1240" t="s">
        <v>2442</v>
      </c>
      <c r="E8" s="1240" t="s">
        <v>2443</v>
      </c>
      <c r="F8" s="1240" t="s">
        <v>2570</v>
      </c>
      <c r="G8" s="1147" t="s">
        <v>2571</v>
      </c>
      <c r="H8" s="1851"/>
      <c r="I8" s="1851"/>
      <c r="J8" s="1851"/>
      <c r="K8" s="1743"/>
      <c r="L8" s="1744"/>
      <c r="M8" s="1770"/>
      <c r="Q8" s="1092" t="s">
        <v>1146</v>
      </c>
    </row>
    <row r="9" spans="1:17" ht="33" customHeight="1">
      <c r="A9" s="809"/>
      <c r="B9" s="1160" t="s">
        <v>2573</v>
      </c>
      <c r="C9" s="1146" t="s">
        <v>2590</v>
      </c>
      <c r="D9" s="1146"/>
      <c r="E9" s="1141"/>
      <c r="F9" s="1146" t="s">
        <v>2574</v>
      </c>
      <c r="G9" s="1148" t="s">
        <v>2263</v>
      </c>
      <c r="H9" s="1141" t="s">
        <v>2265</v>
      </c>
      <c r="I9" s="1141" t="s">
        <v>2264</v>
      </c>
      <c r="J9" s="1141" t="s">
        <v>2579</v>
      </c>
      <c r="K9" s="1146" t="s">
        <v>2266</v>
      </c>
      <c r="L9" s="1239" t="s">
        <v>2268</v>
      </c>
      <c r="M9" s="1149" t="s">
        <v>2267</v>
      </c>
    </row>
    <row r="10" spans="1:17" ht="14" customHeight="1">
      <c r="A10" s="921">
        <v>1966</v>
      </c>
      <c r="B10" s="1161"/>
      <c r="C10" s="1162"/>
      <c r="D10" s="1162"/>
      <c r="E10" s="1162"/>
      <c r="F10" s="923"/>
      <c r="G10" s="926"/>
      <c r="H10" s="1152" t="e">
        <f t="shared" ref="H10:H57" si="0">B10/C10</f>
        <v>#DIV/0!</v>
      </c>
      <c r="I10" s="1152" t="e">
        <f t="shared" ref="I10:I57" si="1">D10/B10</f>
        <v>#DIV/0!</v>
      </c>
      <c r="J10" s="1152" t="e">
        <f t="shared" ref="J10:J57" si="2">D10/(D10+C10)</f>
        <v>#DIV/0!</v>
      </c>
      <c r="K10" s="1152" t="e">
        <f t="shared" ref="K10:K57" si="3">J10/(1-J10)</f>
        <v>#DIV/0!</v>
      </c>
      <c r="L10" s="1152" t="e">
        <f t="shared" ref="L10:L57" si="4">1-E10/D10</f>
        <v>#DIV/0!</v>
      </c>
      <c r="M10" s="925" t="e">
        <f t="shared" ref="M10:M58" si="5">D10/C10</f>
        <v>#DIV/0!</v>
      </c>
      <c r="Q10" s="1180" t="e">
        <f t="shared" ref="Q10:Q57" si="6">M10-L10*K10</f>
        <v>#DIV/0!</v>
      </c>
    </row>
    <row r="11" spans="1:17" ht="14" customHeight="1">
      <c r="A11" s="826">
        <v>1967</v>
      </c>
      <c r="B11" s="1163"/>
      <c r="C11" s="1164"/>
      <c r="D11" s="1164"/>
      <c r="E11" s="1164"/>
      <c r="F11" s="828"/>
      <c r="G11" s="918"/>
      <c r="H11" s="1153" t="e">
        <f t="shared" si="0"/>
        <v>#DIV/0!</v>
      </c>
      <c r="I11" s="1153" t="e">
        <f t="shared" si="1"/>
        <v>#DIV/0!</v>
      </c>
      <c r="J11" s="1153" t="e">
        <f t="shared" si="2"/>
        <v>#DIV/0!</v>
      </c>
      <c r="K11" s="1153" t="e">
        <f t="shared" si="3"/>
        <v>#DIV/0!</v>
      </c>
      <c r="L11" s="1153" t="e">
        <f t="shared" si="4"/>
        <v>#DIV/0!</v>
      </c>
      <c r="M11" s="890" t="e">
        <f t="shared" si="5"/>
        <v>#DIV/0!</v>
      </c>
      <c r="Q11" s="1180" t="e">
        <f t="shared" si="6"/>
        <v>#DIV/0!</v>
      </c>
    </row>
    <row r="12" spans="1:17" ht="14" customHeight="1">
      <c r="A12" s="826">
        <v>1968</v>
      </c>
      <c r="B12" s="1163"/>
      <c r="C12" s="1164"/>
      <c r="D12" s="1164"/>
      <c r="E12" s="1164"/>
      <c r="F12" s="828"/>
      <c r="G12" s="918"/>
      <c r="H12" s="1153" t="e">
        <f t="shared" si="0"/>
        <v>#DIV/0!</v>
      </c>
      <c r="I12" s="1153" t="e">
        <f t="shared" si="1"/>
        <v>#DIV/0!</v>
      </c>
      <c r="J12" s="1153" t="e">
        <f t="shared" si="2"/>
        <v>#DIV/0!</v>
      </c>
      <c r="K12" s="1153" t="e">
        <f t="shared" si="3"/>
        <v>#DIV/0!</v>
      </c>
      <c r="L12" s="1153" t="e">
        <f t="shared" si="4"/>
        <v>#DIV/0!</v>
      </c>
      <c r="M12" s="890" t="e">
        <f t="shared" si="5"/>
        <v>#DIV/0!</v>
      </c>
      <c r="Q12" s="1180" t="e">
        <f t="shared" si="6"/>
        <v>#DIV/0!</v>
      </c>
    </row>
    <row r="13" spans="1:17" ht="14" customHeight="1">
      <c r="A13" s="856">
        <v>1969</v>
      </c>
      <c r="B13" s="1165"/>
      <c r="C13" s="1166"/>
      <c r="D13" s="1166"/>
      <c r="E13" s="1166"/>
      <c r="F13" s="858"/>
      <c r="G13" s="919"/>
      <c r="H13" s="1154" t="e">
        <f t="shared" si="0"/>
        <v>#DIV/0!</v>
      </c>
      <c r="I13" s="1154" t="e">
        <f t="shared" si="1"/>
        <v>#DIV/0!</v>
      </c>
      <c r="J13" s="1154" t="e">
        <f t="shared" si="2"/>
        <v>#DIV/0!</v>
      </c>
      <c r="K13" s="1154" t="e">
        <f t="shared" si="3"/>
        <v>#DIV/0!</v>
      </c>
      <c r="L13" s="1154" t="e">
        <f t="shared" si="4"/>
        <v>#DIV/0!</v>
      </c>
      <c r="M13" s="892" t="e">
        <f t="shared" si="5"/>
        <v>#DIV/0!</v>
      </c>
      <c r="Q13" s="1180" t="e">
        <f t="shared" si="6"/>
        <v>#DIV/0!</v>
      </c>
    </row>
    <row r="14" spans="1:17" ht="14" customHeight="1">
      <c r="A14" s="863">
        <v>1970</v>
      </c>
      <c r="B14" s="1167"/>
      <c r="C14" s="1168"/>
      <c r="D14" s="1168"/>
      <c r="E14" s="1168"/>
      <c r="F14" s="865"/>
      <c r="G14" s="920"/>
      <c r="H14" s="1155" t="e">
        <f t="shared" si="0"/>
        <v>#DIV/0!</v>
      </c>
      <c r="I14" s="1155" t="e">
        <f t="shared" si="1"/>
        <v>#DIV/0!</v>
      </c>
      <c r="J14" s="1155" t="e">
        <f t="shared" si="2"/>
        <v>#DIV/0!</v>
      </c>
      <c r="K14" s="1155" t="e">
        <f t="shared" si="3"/>
        <v>#DIV/0!</v>
      </c>
      <c r="L14" s="1155" t="e">
        <f t="shared" si="4"/>
        <v>#DIV/0!</v>
      </c>
      <c r="M14" s="894" t="e">
        <f t="shared" si="5"/>
        <v>#DIV/0!</v>
      </c>
      <c r="Q14" s="1180" t="e">
        <f t="shared" si="6"/>
        <v>#DIV/0!</v>
      </c>
    </row>
    <row r="15" spans="1:17" ht="14" customHeight="1">
      <c r="A15" s="826">
        <v>1971</v>
      </c>
      <c r="B15" s="1163"/>
      <c r="C15" s="1164"/>
      <c r="D15" s="1164"/>
      <c r="E15" s="1164"/>
      <c r="F15" s="828"/>
      <c r="G15" s="918"/>
      <c r="H15" s="1153" t="e">
        <f t="shared" si="0"/>
        <v>#DIV/0!</v>
      </c>
      <c r="I15" s="1153" t="e">
        <f t="shared" si="1"/>
        <v>#DIV/0!</v>
      </c>
      <c r="J15" s="1153" t="e">
        <f t="shared" si="2"/>
        <v>#DIV/0!</v>
      </c>
      <c r="K15" s="1153" t="e">
        <f t="shared" si="3"/>
        <v>#DIV/0!</v>
      </c>
      <c r="L15" s="1153" t="e">
        <f t="shared" si="4"/>
        <v>#DIV/0!</v>
      </c>
      <c r="M15" s="890" t="e">
        <f t="shared" si="5"/>
        <v>#DIV/0!</v>
      </c>
      <c r="Q15" s="1180" t="e">
        <f t="shared" si="6"/>
        <v>#DIV/0!</v>
      </c>
    </row>
    <row r="16" spans="1:17" ht="14" customHeight="1">
      <c r="A16" s="826">
        <v>1972</v>
      </c>
      <c r="B16" s="1163"/>
      <c r="C16" s="1164"/>
      <c r="D16" s="1164"/>
      <c r="E16" s="1164"/>
      <c r="F16" s="828"/>
      <c r="G16" s="918"/>
      <c r="H16" s="1153" t="e">
        <f t="shared" si="0"/>
        <v>#DIV/0!</v>
      </c>
      <c r="I16" s="1153" t="e">
        <f t="shared" si="1"/>
        <v>#DIV/0!</v>
      </c>
      <c r="J16" s="1153" t="e">
        <f t="shared" si="2"/>
        <v>#DIV/0!</v>
      </c>
      <c r="K16" s="1153" t="e">
        <f t="shared" si="3"/>
        <v>#DIV/0!</v>
      </c>
      <c r="L16" s="1153" t="e">
        <f t="shared" si="4"/>
        <v>#DIV/0!</v>
      </c>
      <c r="M16" s="890" t="e">
        <f t="shared" si="5"/>
        <v>#DIV/0!</v>
      </c>
      <c r="Q16" s="1180" t="e">
        <f t="shared" si="6"/>
        <v>#DIV/0!</v>
      </c>
    </row>
    <row r="17" spans="1:17" ht="14" customHeight="1">
      <c r="A17" s="826">
        <v>1973</v>
      </c>
      <c r="B17" s="1163"/>
      <c r="C17" s="1164"/>
      <c r="D17" s="1164"/>
      <c r="E17" s="1164"/>
      <c r="F17" s="828"/>
      <c r="G17" s="918"/>
      <c r="H17" s="1153" t="e">
        <f t="shared" si="0"/>
        <v>#DIV/0!</v>
      </c>
      <c r="I17" s="1153" t="e">
        <f t="shared" si="1"/>
        <v>#DIV/0!</v>
      </c>
      <c r="J17" s="1153" t="e">
        <f t="shared" si="2"/>
        <v>#DIV/0!</v>
      </c>
      <c r="K17" s="1153" t="e">
        <f t="shared" si="3"/>
        <v>#DIV/0!</v>
      </c>
      <c r="L17" s="1153" t="e">
        <f t="shared" si="4"/>
        <v>#DIV/0!</v>
      </c>
      <c r="M17" s="890" t="e">
        <f t="shared" si="5"/>
        <v>#DIV/0!</v>
      </c>
      <c r="Q17" s="1180" t="e">
        <f t="shared" si="6"/>
        <v>#DIV/0!</v>
      </c>
    </row>
    <row r="18" spans="1:17" ht="14" customHeight="1">
      <c r="A18" s="826">
        <v>1974</v>
      </c>
      <c r="B18" s="1163"/>
      <c r="C18" s="1164"/>
      <c r="D18" s="1164"/>
      <c r="E18" s="1164"/>
      <c r="F18" s="828"/>
      <c r="G18" s="918"/>
      <c r="H18" s="1153" t="e">
        <f t="shared" si="0"/>
        <v>#DIV/0!</v>
      </c>
      <c r="I18" s="1153" t="e">
        <f t="shared" si="1"/>
        <v>#DIV/0!</v>
      </c>
      <c r="J18" s="1153" t="e">
        <f t="shared" si="2"/>
        <v>#DIV/0!</v>
      </c>
      <c r="K18" s="1153" t="e">
        <f t="shared" si="3"/>
        <v>#DIV/0!</v>
      </c>
      <c r="L18" s="1153" t="e">
        <f t="shared" si="4"/>
        <v>#DIV/0!</v>
      </c>
      <c r="M18" s="890" t="e">
        <f t="shared" si="5"/>
        <v>#DIV/0!</v>
      </c>
      <c r="Q18" s="1180" t="e">
        <f t="shared" si="6"/>
        <v>#DIV/0!</v>
      </c>
    </row>
    <row r="19" spans="1:17" ht="14" customHeight="1">
      <c r="A19" s="826">
        <v>1975</v>
      </c>
      <c r="B19" s="1163"/>
      <c r="C19" s="1164">
        <f>Liabilities!IV67</f>
        <v>0</v>
      </c>
      <c r="D19" s="1164">
        <f>Liabilities!IX67</f>
        <v>0</v>
      </c>
      <c r="E19" s="1164"/>
      <c r="F19" s="828"/>
      <c r="G19" s="918"/>
      <c r="H19" s="1153" t="e">
        <f t="shared" si="0"/>
        <v>#DIV/0!</v>
      </c>
      <c r="I19" s="1153" t="e">
        <f t="shared" si="1"/>
        <v>#DIV/0!</v>
      </c>
      <c r="J19" s="1153" t="e">
        <f t="shared" si="2"/>
        <v>#DIV/0!</v>
      </c>
      <c r="K19" s="1153" t="e">
        <f t="shared" si="3"/>
        <v>#DIV/0!</v>
      </c>
      <c r="L19" s="1153" t="e">
        <f t="shared" si="4"/>
        <v>#DIV/0!</v>
      </c>
      <c r="M19" s="890" t="e">
        <f t="shared" si="5"/>
        <v>#DIV/0!</v>
      </c>
      <c r="Q19" s="1180" t="e">
        <f t="shared" si="6"/>
        <v>#DIV/0!</v>
      </c>
    </row>
    <row r="20" spans="1:17" ht="14" customHeight="1">
      <c r="A20" s="826">
        <v>1976</v>
      </c>
      <c r="B20" s="1163"/>
      <c r="C20" s="1164">
        <f>Liabilities!IV68</f>
        <v>0</v>
      </c>
      <c r="D20" s="1164">
        <f>Liabilities!IX68</f>
        <v>0</v>
      </c>
      <c r="E20" s="1164"/>
      <c r="F20" s="828"/>
      <c r="G20" s="918"/>
      <c r="H20" s="1153" t="e">
        <f t="shared" si="0"/>
        <v>#DIV/0!</v>
      </c>
      <c r="I20" s="1153" t="e">
        <f t="shared" si="1"/>
        <v>#DIV/0!</v>
      </c>
      <c r="J20" s="1153" t="e">
        <f t="shared" si="2"/>
        <v>#DIV/0!</v>
      </c>
      <c r="K20" s="1153" t="e">
        <f t="shared" si="3"/>
        <v>#DIV/0!</v>
      </c>
      <c r="L20" s="1153" t="e">
        <f t="shared" si="4"/>
        <v>#DIV/0!</v>
      </c>
      <c r="M20" s="890" t="e">
        <f t="shared" si="5"/>
        <v>#DIV/0!</v>
      </c>
      <c r="Q20" s="1180" t="e">
        <f t="shared" si="6"/>
        <v>#DIV/0!</v>
      </c>
    </row>
    <row r="21" spans="1:17" ht="14" customHeight="1">
      <c r="A21" s="826">
        <v>1977</v>
      </c>
      <c r="B21" s="1163"/>
      <c r="C21" s="1164">
        <f>Liabilities!IV69</f>
        <v>18781</v>
      </c>
      <c r="D21" s="1164">
        <f>Liabilities!IX69</f>
        <v>6674</v>
      </c>
      <c r="E21" s="1164"/>
      <c r="F21" s="828"/>
      <c r="G21" s="918"/>
      <c r="H21" s="1153">
        <f t="shared" si="0"/>
        <v>0</v>
      </c>
      <c r="I21" s="1153" t="e">
        <f t="shared" si="1"/>
        <v>#DIV/0!</v>
      </c>
      <c r="J21" s="1153">
        <f t="shared" si="2"/>
        <v>0.26218817521115695</v>
      </c>
      <c r="K21" s="1153">
        <f t="shared" si="3"/>
        <v>0.35535913955593423</v>
      </c>
      <c r="L21" s="1153">
        <f t="shared" si="4"/>
        <v>1</v>
      </c>
      <c r="M21" s="890">
        <f t="shared" si="5"/>
        <v>0.35535913955593418</v>
      </c>
      <c r="Q21" s="1180">
        <f t="shared" si="6"/>
        <v>0</v>
      </c>
    </row>
    <row r="22" spans="1:17" ht="14" customHeight="1">
      <c r="A22" s="826">
        <v>1978</v>
      </c>
      <c r="B22" s="1163"/>
      <c r="C22" s="1164">
        <f>Liabilities!IV70</f>
        <v>24225</v>
      </c>
      <c r="D22" s="1164">
        <f>Liabilities!IX70</f>
        <v>7645</v>
      </c>
      <c r="E22" s="1164"/>
      <c r="F22" s="828"/>
      <c r="G22" s="918"/>
      <c r="H22" s="1153">
        <f t="shared" si="0"/>
        <v>0</v>
      </c>
      <c r="I22" s="1153" t="e">
        <f t="shared" si="1"/>
        <v>#DIV/0!</v>
      </c>
      <c r="J22" s="1153">
        <f t="shared" si="2"/>
        <v>0.23988076561029181</v>
      </c>
      <c r="K22" s="1153">
        <f t="shared" si="3"/>
        <v>0.31558307533539731</v>
      </c>
      <c r="L22" s="1153">
        <f t="shared" si="4"/>
        <v>1</v>
      </c>
      <c r="M22" s="890">
        <f t="shared" si="5"/>
        <v>0.31558307533539731</v>
      </c>
      <c r="Q22" s="1180">
        <f t="shared" si="6"/>
        <v>0</v>
      </c>
    </row>
    <row r="23" spans="1:17" ht="14" customHeight="1">
      <c r="A23" s="856">
        <v>1979</v>
      </c>
      <c r="B23" s="1165"/>
      <c r="C23" s="1166">
        <f>Liabilities!IV71</f>
        <v>31686</v>
      </c>
      <c r="D23" s="1166">
        <f>Liabilities!IX71</f>
        <v>11011</v>
      </c>
      <c r="E23" s="1166"/>
      <c r="F23" s="858"/>
      <c r="G23" s="919"/>
      <c r="H23" s="1154">
        <f t="shared" si="0"/>
        <v>0</v>
      </c>
      <c r="I23" s="1154" t="e">
        <f t="shared" si="1"/>
        <v>#DIV/0!</v>
      </c>
      <c r="J23" s="1154">
        <f t="shared" si="2"/>
        <v>0.25788697098156776</v>
      </c>
      <c r="K23" s="1154">
        <f t="shared" si="3"/>
        <v>0.34750362936312562</v>
      </c>
      <c r="L23" s="1154">
        <f t="shared" si="4"/>
        <v>1</v>
      </c>
      <c r="M23" s="892">
        <f t="shared" si="5"/>
        <v>0.34750362936312568</v>
      </c>
      <c r="Q23" s="1180">
        <f t="shared" si="6"/>
        <v>0</v>
      </c>
    </row>
    <row r="24" spans="1:17" ht="14" customHeight="1">
      <c r="A24" s="863">
        <v>1980</v>
      </c>
      <c r="B24" s="1167"/>
      <c r="C24" s="1168">
        <f>Liabilities!IV72</f>
        <v>40047</v>
      </c>
      <c r="D24" s="1168">
        <f>Liabilities!IX72</f>
        <v>13535</v>
      </c>
      <c r="E24" s="1168"/>
      <c r="F24" s="865"/>
      <c r="G24" s="920"/>
      <c r="H24" s="1155">
        <f t="shared" si="0"/>
        <v>0</v>
      </c>
      <c r="I24" s="1155" t="e">
        <f t="shared" si="1"/>
        <v>#DIV/0!</v>
      </c>
      <c r="J24" s="1155">
        <f t="shared" si="2"/>
        <v>0.25260348624538093</v>
      </c>
      <c r="K24" s="1155">
        <f t="shared" si="3"/>
        <v>0.33797787599570511</v>
      </c>
      <c r="L24" s="1155">
        <f t="shared" si="4"/>
        <v>1</v>
      </c>
      <c r="M24" s="894">
        <f t="shared" si="5"/>
        <v>0.33797787599570506</v>
      </c>
      <c r="Q24" s="1180">
        <f t="shared" si="6"/>
        <v>0</v>
      </c>
    </row>
    <row r="25" spans="1:17" ht="14" customHeight="1">
      <c r="A25" s="826">
        <v>1981</v>
      </c>
      <c r="B25" s="1163"/>
      <c r="C25" s="1164">
        <f>Liabilities!IV73</f>
        <v>54798</v>
      </c>
      <c r="D25" s="1164">
        <f>Liabilities!IX73</f>
        <v>14958</v>
      </c>
      <c r="E25" s="1164"/>
      <c r="F25" s="828"/>
      <c r="G25" s="918"/>
      <c r="H25" s="1153">
        <f t="shared" si="0"/>
        <v>0</v>
      </c>
      <c r="I25" s="1153" t="e">
        <f t="shared" si="1"/>
        <v>#DIV/0!</v>
      </c>
      <c r="J25" s="1153">
        <f t="shared" si="2"/>
        <v>0.21443316703939447</v>
      </c>
      <c r="K25" s="1153">
        <f t="shared" si="3"/>
        <v>0.27296616664841783</v>
      </c>
      <c r="L25" s="1153">
        <f t="shared" si="4"/>
        <v>1</v>
      </c>
      <c r="M25" s="890">
        <f t="shared" si="5"/>
        <v>0.27296616664841783</v>
      </c>
      <c r="Q25" s="1180">
        <f t="shared" si="6"/>
        <v>0</v>
      </c>
    </row>
    <row r="26" spans="1:17" ht="14" customHeight="1">
      <c r="A26" s="826">
        <v>1982</v>
      </c>
      <c r="B26" s="1163"/>
      <c r="C26" s="1164">
        <f>Liabilities!IV74</f>
        <v>61487</v>
      </c>
      <c r="D26" s="1164">
        <f>Liabilities!IX74</f>
        <v>6679</v>
      </c>
      <c r="E26" s="1164"/>
      <c r="F26" s="828"/>
      <c r="G26" s="918"/>
      <c r="H26" s="1153">
        <f t="shared" si="0"/>
        <v>0</v>
      </c>
      <c r="I26" s="1153" t="e">
        <f t="shared" si="1"/>
        <v>#DIV/0!</v>
      </c>
      <c r="J26" s="1153">
        <f t="shared" si="2"/>
        <v>9.7981398351084117E-2</v>
      </c>
      <c r="K26" s="1153">
        <f t="shared" si="3"/>
        <v>0.10862458731113894</v>
      </c>
      <c r="L26" s="1153">
        <f t="shared" si="4"/>
        <v>1</v>
      </c>
      <c r="M26" s="890">
        <f t="shared" si="5"/>
        <v>0.10862458731113894</v>
      </c>
      <c r="Q26" s="1180">
        <f t="shared" si="6"/>
        <v>0</v>
      </c>
    </row>
    <row r="27" spans="1:17" ht="14" customHeight="1">
      <c r="A27" s="826">
        <v>1983</v>
      </c>
      <c r="B27" s="1163"/>
      <c r="C27" s="1164">
        <f>Liabilities!IV75</f>
        <v>66807</v>
      </c>
      <c r="D27" s="1164">
        <f>Liabilities!IX75</f>
        <v>9738</v>
      </c>
      <c r="E27" s="1164"/>
      <c r="F27" s="828"/>
      <c r="G27" s="918"/>
      <c r="H27" s="1153">
        <f t="shared" si="0"/>
        <v>0</v>
      </c>
      <c r="I27" s="1153" t="e">
        <f t="shared" si="1"/>
        <v>#DIV/0!</v>
      </c>
      <c r="J27" s="1153">
        <f t="shared" si="2"/>
        <v>0.12721928277483832</v>
      </c>
      <c r="K27" s="1153">
        <f t="shared" si="3"/>
        <v>0.14576316853024382</v>
      </c>
      <c r="L27" s="1153">
        <f t="shared" si="4"/>
        <v>1</v>
      </c>
      <c r="M27" s="890">
        <f t="shared" si="5"/>
        <v>0.14576316853024385</v>
      </c>
      <c r="Q27" s="1180">
        <f t="shared" si="6"/>
        <v>0</v>
      </c>
    </row>
    <row r="28" spans="1:17" ht="14" customHeight="1">
      <c r="A28" s="826">
        <v>1984</v>
      </c>
      <c r="B28" s="1163"/>
      <c r="C28" s="1164">
        <f>Liabilities!IV76</f>
        <v>73155</v>
      </c>
      <c r="D28" s="1164">
        <f>Liabilities!IX76</f>
        <v>15779</v>
      </c>
      <c r="E28" s="1164"/>
      <c r="F28" s="828"/>
      <c r="G28" s="918"/>
      <c r="H28" s="1153">
        <f t="shared" si="0"/>
        <v>0</v>
      </c>
      <c r="I28" s="1153" t="e">
        <f t="shared" si="1"/>
        <v>#DIV/0!</v>
      </c>
      <c r="J28" s="1153">
        <f t="shared" si="2"/>
        <v>0.17742370746845976</v>
      </c>
      <c r="K28" s="1153">
        <f t="shared" si="3"/>
        <v>0.21569270726539538</v>
      </c>
      <c r="L28" s="1153">
        <f t="shared" si="4"/>
        <v>1</v>
      </c>
      <c r="M28" s="890">
        <f t="shared" si="5"/>
        <v>0.21569270726539538</v>
      </c>
      <c r="Q28" s="1180">
        <f t="shared" si="6"/>
        <v>0</v>
      </c>
    </row>
    <row r="29" spans="1:17" ht="14" customHeight="1">
      <c r="A29" s="826">
        <v>1985</v>
      </c>
      <c r="B29" s="1163"/>
      <c r="C29" s="1164">
        <f>Liabilities!IV77</f>
        <v>79933</v>
      </c>
      <c r="D29" s="1164">
        <f>Liabilities!IX77</f>
        <v>12915</v>
      </c>
      <c r="E29" s="1164"/>
      <c r="F29" s="828"/>
      <c r="G29" s="918"/>
      <c r="H29" s="1153">
        <f t="shared" si="0"/>
        <v>0</v>
      </c>
      <c r="I29" s="1153" t="e">
        <f t="shared" si="1"/>
        <v>#DIV/0!</v>
      </c>
      <c r="J29" s="1153">
        <f t="shared" si="2"/>
        <v>0.13909831121833535</v>
      </c>
      <c r="K29" s="1153">
        <f t="shared" si="3"/>
        <v>0.16157281723443384</v>
      </c>
      <c r="L29" s="1153">
        <f t="shared" si="4"/>
        <v>1</v>
      </c>
      <c r="M29" s="890">
        <f t="shared" si="5"/>
        <v>0.16157281723443384</v>
      </c>
      <c r="Q29" s="1180">
        <f t="shared" si="6"/>
        <v>0</v>
      </c>
    </row>
    <row r="30" spans="1:17" ht="14" customHeight="1">
      <c r="A30" s="826">
        <v>1986</v>
      </c>
      <c r="B30" s="1163"/>
      <c r="C30" s="1164">
        <f>Liabilities!IV78</f>
        <v>86492</v>
      </c>
      <c r="D30" s="1164">
        <f>Liabilities!IX78</f>
        <v>10685</v>
      </c>
      <c r="E30" s="1164"/>
      <c r="F30" s="828"/>
      <c r="G30" s="918"/>
      <c r="H30" s="1153">
        <f t="shared" si="0"/>
        <v>0</v>
      </c>
      <c r="I30" s="1153" t="e">
        <f t="shared" si="1"/>
        <v>#DIV/0!</v>
      </c>
      <c r="J30" s="1153">
        <f t="shared" si="2"/>
        <v>0.10995400146125112</v>
      </c>
      <c r="K30" s="1153">
        <f t="shared" si="3"/>
        <v>0.12353743698839198</v>
      </c>
      <c r="L30" s="1153">
        <f t="shared" si="4"/>
        <v>1</v>
      </c>
      <c r="M30" s="890">
        <f t="shared" si="5"/>
        <v>0.12353743698839199</v>
      </c>
      <c r="Q30" s="1180">
        <f t="shared" si="6"/>
        <v>0</v>
      </c>
    </row>
    <row r="31" spans="1:17" ht="14" customHeight="1">
      <c r="A31" s="826">
        <v>1987</v>
      </c>
      <c r="B31" s="1163"/>
      <c r="C31" s="1164">
        <f>Liabilities!IV79</f>
        <v>96009</v>
      </c>
      <c r="D31" s="1164">
        <f>Liabilities!IX79</f>
        <v>13897</v>
      </c>
      <c r="E31" s="1164"/>
      <c r="F31" s="828"/>
      <c r="G31" s="918"/>
      <c r="H31" s="1153">
        <f t="shared" si="0"/>
        <v>0</v>
      </c>
      <c r="I31" s="1153" t="e">
        <f t="shared" si="1"/>
        <v>#DIV/0!</v>
      </c>
      <c r="J31" s="1153">
        <f t="shared" si="2"/>
        <v>0.12644441613742652</v>
      </c>
      <c r="K31" s="1153">
        <f t="shared" si="3"/>
        <v>0.14474684664979323</v>
      </c>
      <c r="L31" s="1153">
        <f t="shared" si="4"/>
        <v>1</v>
      </c>
      <c r="M31" s="890">
        <f t="shared" si="5"/>
        <v>0.14474684664979326</v>
      </c>
      <c r="Q31" s="1180">
        <f t="shared" si="6"/>
        <v>0</v>
      </c>
    </row>
    <row r="32" spans="1:17" ht="14" customHeight="1">
      <c r="A32" s="826">
        <v>1988</v>
      </c>
      <c r="B32" s="1163"/>
      <c r="C32" s="1164">
        <f>Liabilities!IV80</f>
        <v>99217</v>
      </c>
      <c r="D32" s="1164">
        <f>Liabilities!IX80</f>
        <v>14938</v>
      </c>
      <c r="E32" s="1164"/>
      <c r="F32" s="828"/>
      <c r="G32" s="918"/>
      <c r="H32" s="1153">
        <f t="shared" si="0"/>
        <v>0</v>
      </c>
      <c r="I32" s="1153" t="e">
        <f t="shared" si="1"/>
        <v>#DIV/0!</v>
      </c>
      <c r="J32" s="1153">
        <f t="shared" si="2"/>
        <v>0.13085716788576934</v>
      </c>
      <c r="K32" s="1153">
        <f t="shared" si="3"/>
        <v>0.15055887599907272</v>
      </c>
      <c r="L32" s="1153">
        <f t="shared" si="4"/>
        <v>1</v>
      </c>
      <c r="M32" s="890">
        <f t="shared" si="5"/>
        <v>0.15055887599907275</v>
      </c>
      <c r="Q32" s="1180">
        <f t="shared" si="6"/>
        <v>0</v>
      </c>
    </row>
    <row r="33" spans="1:17" ht="14" customHeight="1">
      <c r="A33" s="856">
        <v>1989</v>
      </c>
      <c r="B33" s="1165"/>
      <c r="C33" s="1166">
        <f>Liabilities!IV81</f>
        <v>118658</v>
      </c>
      <c r="D33" s="1166">
        <f>Liabilities!IX81</f>
        <v>10311</v>
      </c>
      <c r="E33" s="1166"/>
      <c r="F33" s="858"/>
      <c r="G33" s="919"/>
      <c r="H33" s="1154">
        <f t="shared" si="0"/>
        <v>0</v>
      </c>
      <c r="I33" s="1154" t="e">
        <f t="shared" si="1"/>
        <v>#DIV/0!</v>
      </c>
      <c r="J33" s="1154">
        <f t="shared" si="2"/>
        <v>7.9949445215516904E-2</v>
      </c>
      <c r="K33" s="1154">
        <f t="shared" si="3"/>
        <v>8.6896795833403567E-2</v>
      </c>
      <c r="L33" s="1154">
        <f t="shared" si="4"/>
        <v>1</v>
      </c>
      <c r="M33" s="892">
        <f t="shared" si="5"/>
        <v>8.6896795833403567E-2</v>
      </c>
      <c r="Q33" s="1180">
        <f t="shared" si="6"/>
        <v>0</v>
      </c>
    </row>
    <row r="34" spans="1:17" ht="14" customHeight="1">
      <c r="A34" s="863">
        <v>1990</v>
      </c>
      <c r="B34" s="1167"/>
      <c r="C34" s="1168">
        <f>Liabilities!IV82</f>
        <v>163592</v>
      </c>
      <c r="D34" s="1168">
        <f>Liabilities!IX82</f>
        <v>-249</v>
      </c>
      <c r="E34" s="1168"/>
      <c r="F34" s="865"/>
      <c r="G34" s="920"/>
      <c r="H34" s="1155">
        <f t="shared" si="0"/>
        <v>0</v>
      </c>
      <c r="I34" s="1155" t="e">
        <f t="shared" si="1"/>
        <v>#DIV/0!</v>
      </c>
      <c r="J34" s="1155">
        <f t="shared" si="2"/>
        <v>-1.5243995763516037E-3</v>
      </c>
      <c r="K34" s="1155">
        <f t="shared" si="3"/>
        <v>-1.5220793192821163E-3</v>
      </c>
      <c r="L34" s="1155">
        <f t="shared" si="4"/>
        <v>1</v>
      </c>
      <c r="M34" s="894">
        <f t="shared" si="5"/>
        <v>-1.5220793192821166E-3</v>
      </c>
      <c r="Q34" s="1180">
        <f t="shared" si="6"/>
        <v>0</v>
      </c>
    </row>
    <row r="35" spans="1:17" ht="14" customHeight="1">
      <c r="A35" s="826">
        <v>1991</v>
      </c>
      <c r="B35" s="1163"/>
      <c r="C35" s="1164">
        <f>Liabilities!IV83</f>
        <v>175969</v>
      </c>
      <c r="D35" s="1164">
        <f>Liabilities!IX83</f>
        <v>-5452</v>
      </c>
      <c r="E35" s="1164"/>
      <c r="F35" s="828"/>
      <c r="G35" s="918"/>
      <c r="H35" s="1153">
        <f t="shared" si="0"/>
        <v>0</v>
      </c>
      <c r="I35" s="1153" t="e">
        <f t="shared" si="1"/>
        <v>#DIV/0!</v>
      </c>
      <c r="J35" s="1153">
        <f t="shared" si="2"/>
        <v>-3.1973351630629206E-2</v>
      </c>
      <c r="K35" s="1153">
        <f t="shared" si="3"/>
        <v>-3.0982729912655067E-2</v>
      </c>
      <c r="L35" s="1153">
        <f t="shared" si="4"/>
        <v>1</v>
      </c>
      <c r="M35" s="890">
        <f t="shared" si="5"/>
        <v>-3.098272991265507E-2</v>
      </c>
      <c r="Q35" s="1180">
        <f t="shared" si="6"/>
        <v>0</v>
      </c>
    </row>
    <row r="36" spans="1:17" ht="14" customHeight="1">
      <c r="A36" s="826">
        <v>1992</v>
      </c>
      <c r="B36" s="1163"/>
      <c r="C36" s="1164">
        <f>Liabilities!IV84</f>
        <v>182079</v>
      </c>
      <c r="D36" s="1164">
        <f>Liabilities!IX84</f>
        <v>2914</v>
      </c>
      <c r="E36" s="1164">
        <f>Liabilities!IO84</f>
        <v>0</v>
      </c>
      <c r="F36" s="828"/>
      <c r="G36" s="918"/>
      <c r="H36" s="1153">
        <f t="shared" si="0"/>
        <v>0</v>
      </c>
      <c r="I36" s="1153" t="e">
        <f t="shared" si="1"/>
        <v>#DIV/0!</v>
      </c>
      <c r="J36" s="1153">
        <f t="shared" si="2"/>
        <v>1.5751947370981605E-2</v>
      </c>
      <c r="K36" s="1153">
        <f t="shared" si="3"/>
        <v>1.6004042201462003E-2</v>
      </c>
      <c r="L36" s="1153">
        <f t="shared" si="4"/>
        <v>1</v>
      </c>
      <c r="M36" s="890">
        <f t="shared" si="5"/>
        <v>1.6004042201462003E-2</v>
      </c>
      <c r="Q36" s="1180">
        <f t="shared" si="6"/>
        <v>0</v>
      </c>
    </row>
    <row r="37" spans="1:17" ht="14" customHeight="1">
      <c r="A37" s="826">
        <v>1993</v>
      </c>
      <c r="B37" s="1163"/>
      <c r="C37" s="1164">
        <f>Liabilities!IV85</f>
        <v>193000</v>
      </c>
      <c r="D37" s="1164">
        <f>Liabilities!IX85</f>
        <v>8798</v>
      </c>
      <c r="E37" s="1164">
        <f>Liabilities!IO85</f>
        <v>0</v>
      </c>
      <c r="F37" s="828"/>
      <c r="G37" s="918"/>
      <c r="H37" s="1153">
        <f t="shared" si="0"/>
        <v>0</v>
      </c>
      <c r="I37" s="1153" t="e">
        <f t="shared" si="1"/>
        <v>#DIV/0!</v>
      </c>
      <c r="J37" s="1153">
        <f t="shared" si="2"/>
        <v>4.3598053499043596E-2</v>
      </c>
      <c r="K37" s="1153">
        <f t="shared" si="3"/>
        <v>4.5585492227979273E-2</v>
      </c>
      <c r="L37" s="1153">
        <f t="shared" si="4"/>
        <v>1</v>
      </c>
      <c r="M37" s="890">
        <f t="shared" si="5"/>
        <v>4.5585492227979273E-2</v>
      </c>
      <c r="Q37" s="1180">
        <f t="shared" si="6"/>
        <v>0</v>
      </c>
    </row>
    <row r="38" spans="1:17" ht="14" customHeight="1">
      <c r="A38" s="826">
        <v>1994</v>
      </c>
      <c r="B38" s="1163"/>
      <c r="C38" s="1164">
        <f>Liabilities!IV86</f>
        <v>200615</v>
      </c>
      <c r="D38" s="1164">
        <f>Liabilities!IX86</f>
        <v>22615</v>
      </c>
      <c r="E38" s="1164">
        <f>Liabilities!IO86</f>
        <v>0</v>
      </c>
      <c r="F38" s="828"/>
      <c r="G38" s="918"/>
      <c r="H38" s="1153">
        <f t="shared" si="0"/>
        <v>0</v>
      </c>
      <c r="I38" s="1153" t="e">
        <f t="shared" si="1"/>
        <v>#DIV/0!</v>
      </c>
      <c r="J38" s="1153">
        <f t="shared" si="2"/>
        <v>0.10130806791201899</v>
      </c>
      <c r="K38" s="1153">
        <f t="shared" si="3"/>
        <v>0.11272836029210177</v>
      </c>
      <c r="L38" s="1153">
        <f t="shared" si="4"/>
        <v>1</v>
      </c>
      <c r="M38" s="890">
        <f t="shared" si="5"/>
        <v>0.11272836029210179</v>
      </c>
      <c r="Q38" s="1180">
        <f t="shared" si="6"/>
        <v>0</v>
      </c>
    </row>
    <row r="39" spans="1:17">
      <c r="A39" s="826">
        <v>1995</v>
      </c>
      <c r="B39" s="1163"/>
      <c r="C39" s="1164">
        <f>Liabilities!IV87</f>
        <v>206354</v>
      </c>
      <c r="D39" s="1164">
        <f>Liabilities!IX87</f>
        <v>27847</v>
      </c>
      <c r="E39" s="1164">
        <f>Liabilities!IO87</f>
        <v>0</v>
      </c>
      <c r="F39" s="828"/>
      <c r="G39" s="918"/>
      <c r="H39" s="1153">
        <f t="shared" si="0"/>
        <v>0</v>
      </c>
      <c r="I39" s="1153" t="e">
        <f t="shared" si="1"/>
        <v>#DIV/0!</v>
      </c>
      <c r="J39" s="1153">
        <f t="shared" si="2"/>
        <v>0.11890213961511693</v>
      </c>
      <c r="K39" s="1153">
        <f t="shared" si="3"/>
        <v>0.13494771121470872</v>
      </c>
      <c r="L39" s="1153">
        <f t="shared" si="4"/>
        <v>1</v>
      </c>
      <c r="M39" s="890">
        <f t="shared" si="5"/>
        <v>0.13494771121470869</v>
      </c>
      <c r="Q39" s="1180">
        <f t="shared" si="6"/>
        <v>0</v>
      </c>
    </row>
    <row r="40" spans="1:17">
      <c r="A40" s="826">
        <v>1996</v>
      </c>
      <c r="B40" s="1163"/>
      <c r="C40" s="1242">
        <f>Liabilities!IV88</f>
        <v>220637</v>
      </c>
      <c r="D40" s="1242">
        <f>Liabilities!IX88</f>
        <v>43007</v>
      </c>
      <c r="E40" s="1164">
        <f>Liabilities!IO88</f>
        <v>0</v>
      </c>
      <c r="F40" s="828"/>
      <c r="G40" s="918"/>
      <c r="H40" s="1153">
        <f t="shared" si="0"/>
        <v>0</v>
      </c>
      <c r="I40" s="1153" t="e">
        <f t="shared" si="1"/>
        <v>#DIV/0!</v>
      </c>
      <c r="J40" s="1153">
        <f t="shared" si="2"/>
        <v>0.16312527499203472</v>
      </c>
      <c r="K40" s="1153">
        <f t="shared" si="3"/>
        <v>0.194921975915191</v>
      </c>
      <c r="L40" s="1153">
        <f t="shared" si="4"/>
        <v>1</v>
      </c>
      <c r="M40" s="890">
        <f t="shared" si="5"/>
        <v>0.194921975915191</v>
      </c>
      <c r="Q40" s="1180">
        <f t="shared" si="6"/>
        <v>0</v>
      </c>
    </row>
    <row r="41" spans="1:17">
      <c r="A41" s="826">
        <v>1997</v>
      </c>
      <c r="B41" s="1163"/>
      <c r="C41" s="1164">
        <f>Liabilities!IM89</f>
        <v>195432</v>
      </c>
      <c r="D41" s="1164">
        <f>Liabilities!IK89</f>
        <v>39754</v>
      </c>
      <c r="E41" s="1164">
        <f>Liabilities!IO89</f>
        <v>0</v>
      </c>
      <c r="F41" s="828"/>
      <c r="G41" s="918"/>
      <c r="H41" s="1153">
        <f t="shared" si="0"/>
        <v>0</v>
      </c>
      <c r="I41" s="1153" t="e">
        <f t="shared" si="1"/>
        <v>#DIV/0!</v>
      </c>
      <c r="J41" s="1153">
        <f t="shared" si="2"/>
        <v>0.16903217028224468</v>
      </c>
      <c r="K41" s="1153">
        <f t="shared" si="3"/>
        <v>0.20341602194113553</v>
      </c>
      <c r="L41" s="1153">
        <f t="shared" si="4"/>
        <v>1</v>
      </c>
      <c r="M41" s="890">
        <f t="shared" si="5"/>
        <v>0.20341602194113553</v>
      </c>
      <c r="Q41" s="1180">
        <f t="shared" si="6"/>
        <v>0</v>
      </c>
    </row>
    <row r="42" spans="1:17">
      <c r="A42" s="826">
        <v>1998</v>
      </c>
      <c r="B42" s="1163"/>
      <c r="C42" s="1164">
        <f>Liabilities!IM90</f>
        <v>224642</v>
      </c>
      <c r="D42" s="1164">
        <f>Liabilities!IK90</f>
        <v>39447</v>
      </c>
      <c r="E42" s="1164">
        <f>Liabilities!IO90</f>
        <v>0</v>
      </c>
      <c r="F42" s="828"/>
      <c r="G42" s="918"/>
      <c r="H42" s="1153">
        <f t="shared" si="0"/>
        <v>0</v>
      </c>
      <c r="I42" s="1153" t="e">
        <f t="shared" si="1"/>
        <v>#DIV/0!</v>
      </c>
      <c r="J42" s="1153">
        <f t="shared" si="2"/>
        <v>0.1493700987167205</v>
      </c>
      <c r="K42" s="1153">
        <f t="shared" si="3"/>
        <v>0.17559939815350645</v>
      </c>
      <c r="L42" s="1153">
        <f t="shared" si="4"/>
        <v>1</v>
      </c>
      <c r="M42" s="890">
        <f t="shared" si="5"/>
        <v>0.17559939815350648</v>
      </c>
      <c r="Q42" s="1180">
        <f t="shared" si="6"/>
        <v>0</v>
      </c>
    </row>
    <row r="43" spans="1:17">
      <c r="A43" s="856">
        <v>1999</v>
      </c>
      <c r="B43" s="1165"/>
      <c r="C43" s="1166">
        <f>Liabilities!IM91</f>
        <v>254524</v>
      </c>
      <c r="D43" s="1166">
        <f>Liabilities!IK91</f>
        <v>38594</v>
      </c>
      <c r="E43" s="1166">
        <f>Liabilities!IO91</f>
        <v>0</v>
      </c>
      <c r="F43" s="858"/>
      <c r="G43" s="919"/>
      <c r="H43" s="1154">
        <f t="shared" si="0"/>
        <v>0</v>
      </c>
      <c r="I43" s="1154" t="e">
        <f t="shared" si="1"/>
        <v>#DIV/0!</v>
      </c>
      <c r="J43" s="1154">
        <f t="shared" si="2"/>
        <v>0.1316671101740596</v>
      </c>
      <c r="K43" s="1154">
        <f t="shared" si="3"/>
        <v>0.15163206613128824</v>
      </c>
      <c r="L43" s="1154">
        <f t="shared" si="4"/>
        <v>1</v>
      </c>
      <c r="M43" s="892">
        <f t="shared" si="5"/>
        <v>0.15163206613128821</v>
      </c>
      <c r="Q43" s="1180">
        <f t="shared" si="6"/>
        <v>0</v>
      </c>
    </row>
    <row r="44" spans="1:17">
      <c r="A44" s="863">
        <v>2000</v>
      </c>
      <c r="B44" s="1167"/>
      <c r="C44" s="1168">
        <f>Liabilities!IM92</f>
        <v>292726</v>
      </c>
      <c r="D44" s="1168">
        <f>Liabilities!IK92</f>
        <v>36114</v>
      </c>
      <c r="E44" s="1168">
        <f>Liabilities!IO92</f>
        <v>0</v>
      </c>
      <c r="F44" s="865"/>
      <c r="G44" s="920"/>
      <c r="H44" s="1155">
        <f t="shared" si="0"/>
        <v>0</v>
      </c>
      <c r="I44" s="1155" t="e">
        <f t="shared" si="1"/>
        <v>#DIV/0!</v>
      </c>
      <c r="J44" s="1155">
        <f t="shared" si="2"/>
        <v>0.10982240603332928</v>
      </c>
      <c r="K44" s="1155">
        <f t="shared" si="3"/>
        <v>0.12337134385056332</v>
      </c>
      <c r="L44" s="1155">
        <f t="shared" si="4"/>
        <v>1</v>
      </c>
      <c r="M44" s="894">
        <f t="shared" si="5"/>
        <v>0.12337134385056332</v>
      </c>
      <c r="Q44" s="1180">
        <f t="shared" si="6"/>
        <v>0</v>
      </c>
    </row>
    <row r="45" spans="1:17">
      <c r="A45" s="826">
        <v>2001</v>
      </c>
      <c r="B45" s="1163"/>
      <c r="C45" s="1164">
        <f>Liabilities!IM93</f>
        <v>310015</v>
      </c>
      <c r="D45" s="1164">
        <f>Liabilities!IK93</f>
        <v>-9836</v>
      </c>
      <c r="E45" s="1164">
        <f>Liabilities!IO93</f>
        <v>0</v>
      </c>
      <c r="F45" s="828"/>
      <c r="G45" s="918"/>
      <c r="H45" s="1153">
        <f t="shared" si="0"/>
        <v>0</v>
      </c>
      <c r="I45" s="1153" t="e">
        <f t="shared" si="1"/>
        <v>#DIV/0!</v>
      </c>
      <c r="J45" s="1153">
        <f t="shared" si="2"/>
        <v>-3.2767115621012796E-2</v>
      </c>
      <c r="K45" s="1153">
        <f t="shared" si="3"/>
        <v>-3.1727497056594035E-2</v>
      </c>
      <c r="L45" s="1153">
        <f t="shared" si="4"/>
        <v>1</v>
      </c>
      <c r="M45" s="890">
        <f t="shared" si="5"/>
        <v>-3.1727497056594035E-2</v>
      </c>
      <c r="Q45" s="1180">
        <f t="shared" si="6"/>
        <v>0</v>
      </c>
    </row>
    <row r="46" spans="1:17">
      <c r="A46" s="826">
        <v>2002</v>
      </c>
      <c r="B46" s="1163"/>
      <c r="C46" s="1164">
        <f>Liabilities!IM94</f>
        <v>315779</v>
      </c>
      <c r="D46" s="1164">
        <f>Liabilities!IK94</f>
        <v>22029</v>
      </c>
      <c r="E46" s="1164">
        <f>Liabilities!IO94</f>
        <v>7867</v>
      </c>
      <c r="F46" s="828"/>
      <c r="G46" s="918"/>
      <c r="H46" s="1153">
        <f t="shared" si="0"/>
        <v>0</v>
      </c>
      <c r="I46" s="1153" t="e">
        <f t="shared" si="1"/>
        <v>#DIV/0!</v>
      </c>
      <c r="J46" s="1153">
        <f t="shared" si="2"/>
        <v>6.5211599488466818E-2</v>
      </c>
      <c r="K46" s="1153">
        <f t="shared" si="3"/>
        <v>6.9760813733655488E-2</v>
      </c>
      <c r="L46" s="1153">
        <f t="shared" si="4"/>
        <v>0.64287984021063149</v>
      </c>
      <c r="M46" s="890">
        <f t="shared" si="5"/>
        <v>6.9760813733655502E-2</v>
      </c>
      <c r="Q46" s="1180">
        <f t="shared" si="6"/>
        <v>2.4912992947599438E-2</v>
      </c>
    </row>
    <row r="47" spans="1:17">
      <c r="A47" s="826">
        <v>2003</v>
      </c>
      <c r="B47" s="1163"/>
      <c r="C47" s="1164">
        <f>Liabilities!IM95</f>
        <v>316369</v>
      </c>
      <c r="D47" s="1164">
        <f>Liabilities!IK95</f>
        <v>44552</v>
      </c>
      <c r="E47" s="1164">
        <f>Liabilities!IO95</f>
        <v>-4829</v>
      </c>
      <c r="F47" s="828"/>
      <c r="G47" s="918"/>
      <c r="H47" s="1153">
        <f t="shared" si="0"/>
        <v>0</v>
      </c>
      <c r="I47" s="1153" t="e">
        <f t="shared" si="1"/>
        <v>#DIV/0!</v>
      </c>
      <c r="J47" s="1153">
        <f t="shared" si="2"/>
        <v>0.12343975551436463</v>
      </c>
      <c r="K47" s="1153">
        <f t="shared" si="3"/>
        <v>0.14082289984164059</v>
      </c>
      <c r="L47" s="1153">
        <f t="shared" si="4"/>
        <v>1.1083901957263422</v>
      </c>
      <c r="M47" s="890">
        <f t="shared" si="5"/>
        <v>0.14082289984164062</v>
      </c>
      <c r="Q47" s="1180">
        <f t="shared" si="6"/>
        <v>-1.5263821676586492E-2</v>
      </c>
    </row>
    <row r="48" spans="1:17">
      <c r="A48" s="826">
        <v>2004</v>
      </c>
      <c r="B48" s="1163"/>
      <c r="C48" s="1164">
        <f>Liabilities!IM96</f>
        <v>323793</v>
      </c>
      <c r="D48" s="1164">
        <f>Liabilities!IK96</f>
        <v>74093</v>
      </c>
      <c r="E48" s="1164">
        <f>Liabilities!IO96</f>
        <v>-5774</v>
      </c>
      <c r="F48" s="828"/>
      <c r="G48" s="918"/>
      <c r="H48" s="1153">
        <f t="shared" si="0"/>
        <v>0</v>
      </c>
      <c r="I48" s="1153" t="e">
        <f t="shared" si="1"/>
        <v>#DIV/0!</v>
      </c>
      <c r="J48" s="1153">
        <f t="shared" si="2"/>
        <v>0.18621665502179016</v>
      </c>
      <c r="K48" s="1153">
        <f t="shared" si="3"/>
        <v>0.22882829462032842</v>
      </c>
      <c r="L48" s="1153">
        <f t="shared" si="4"/>
        <v>1.0779290891177304</v>
      </c>
      <c r="M48" s="890">
        <f t="shared" si="5"/>
        <v>0.22882829462032842</v>
      </c>
      <c r="Q48" s="1180">
        <f t="shared" si="6"/>
        <v>-1.7832380564125838E-2</v>
      </c>
    </row>
    <row r="49" spans="1:17">
      <c r="A49" s="826">
        <v>2005</v>
      </c>
      <c r="B49" s="1163"/>
      <c r="C49" s="1164">
        <f>Liabilities!IM97</f>
        <v>336125</v>
      </c>
      <c r="D49" s="1164">
        <f>Liabilities!IK97</f>
        <v>93972</v>
      </c>
      <c r="E49" s="1164">
        <f>Liabilities!IO97</f>
        <v>-1325</v>
      </c>
      <c r="F49" s="828"/>
      <c r="G49" s="918"/>
      <c r="H49" s="1153">
        <f t="shared" si="0"/>
        <v>0</v>
      </c>
      <c r="I49" s="1153" t="e">
        <f t="shared" si="1"/>
        <v>#DIV/0!</v>
      </c>
      <c r="J49" s="1153">
        <f t="shared" si="2"/>
        <v>0.21849024754880875</v>
      </c>
      <c r="K49" s="1153">
        <f t="shared" si="3"/>
        <v>0.27957456303458533</v>
      </c>
      <c r="L49" s="1153">
        <f t="shared" si="4"/>
        <v>1.0140999446643681</v>
      </c>
      <c r="M49" s="890">
        <f t="shared" si="5"/>
        <v>0.27957456303458533</v>
      </c>
      <c r="Q49" s="1180">
        <f t="shared" si="6"/>
        <v>-3.9419858683525377E-3</v>
      </c>
    </row>
    <row r="50" spans="1:17">
      <c r="A50" s="826">
        <v>2006</v>
      </c>
      <c r="B50" s="1163"/>
      <c r="C50" s="1164">
        <f>Liabilities!IM98</f>
        <v>364098</v>
      </c>
      <c r="D50" s="1164">
        <f>Liabilities!IK98</f>
        <v>118318</v>
      </c>
      <c r="E50" s="1164">
        <f>Liabilities!IO98</f>
        <v>6722</v>
      </c>
      <c r="F50" s="828"/>
      <c r="G50" s="918"/>
      <c r="H50" s="1153">
        <f t="shared" si="0"/>
        <v>0</v>
      </c>
      <c r="I50" s="1153" t="e">
        <f t="shared" si="1"/>
        <v>#DIV/0!</v>
      </c>
      <c r="J50" s="1153">
        <f t="shared" si="2"/>
        <v>0.24526135119896522</v>
      </c>
      <c r="K50" s="1153">
        <f t="shared" si="3"/>
        <v>0.32496196079077611</v>
      </c>
      <c r="L50" s="1153">
        <f t="shared" si="4"/>
        <v>0.94318700451326087</v>
      </c>
      <c r="M50" s="890">
        <f t="shared" si="5"/>
        <v>0.32496196079077611</v>
      </c>
      <c r="Q50" s="1180">
        <f t="shared" si="6"/>
        <v>1.8462062411768287E-2</v>
      </c>
    </row>
    <row r="51" spans="1:17">
      <c r="A51" s="826">
        <v>2007</v>
      </c>
      <c r="B51" s="1163"/>
      <c r="C51" s="1164">
        <f>Liabilities!IM99</f>
        <v>408273</v>
      </c>
      <c r="D51" s="1164">
        <f>Liabilities!IK99</f>
        <v>125491</v>
      </c>
      <c r="E51" s="1164">
        <f>Liabilities!IO99</f>
        <v>10164</v>
      </c>
      <c r="F51" s="828"/>
      <c r="G51" s="918"/>
      <c r="H51" s="1153">
        <f t="shared" si="0"/>
        <v>0</v>
      </c>
      <c r="I51" s="1153" t="e">
        <f t="shared" si="1"/>
        <v>#DIV/0!</v>
      </c>
      <c r="J51" s="1153">
        <f t="shared" si="2"/>
        <v>0.23510577708500385</v>
      </c>
      <c r="K51" s="1153">
        <f t="shared" si="3"/>
        <v>0.30737031349121785</v>
      </c>
      <c r="L51" s="1153">
        <f t="shared" si="4"/>
        <v>0.91900614386689083</v>
      </c>
      <c r="M51" s="890">
        <f t="shared" si="5"/>
        <v>0.30737031349121791</v>
      </c>
      <c r="Q51" s="1180">
        <f t="shared" si="6"/>
        <v>2.4895106950496404E-2</v>
      </c>
    </row>
    <row r="52" spans="1:17">
      <c r="A52" s="826">
        <v>2008</v>
      </c>
      <c r="B52" s="1163"/>
      <c r="C52" s="1164">
        <f>Liabilities!IM100</f>
        <v>413491</v>
      </c>
      <c r="D52" s="1164">
        <f>Liabilities!IK100</f>
        <v>91937</v>
      </c>
      <c r="E52" s="1164">
        <f>Liabilities!IO100</f>
        <v>-2150</v>
      </c>
      <c r="F52" s="830"/>
      <c r="G52" s="918"/>
      <c r="H52" s="1153">
        <f t="shared" si="0"/>
        <v>0</v>
      </c>
      <c r="I52" s="1153" t="e">
        <f t="shared" si="1"/>
        <v>#DIV/0!</v>
      </c>
      <c r="J52" s="1153">
        <f t="shared" si="2"/>
        <v>0.1818993011863213</v>
      </c>
      <c r="K52" s="1153">
        <f t="shared" si="3"/>
        <v>0.22234341255311482</v>
      </c>
      <c r="L52" s="1153">
        <f t="shared" si="4"/>
        <v>1.0233855792553597</v>
      </c>
      <c r="M52" s="890">
        <f t="shared" si="5"/>
        <v>0.22234341255311482</v>
      </c>
      <c r="Q52" s="1180">
        <f t="shared" si="6"/>
        <v>-5.1996294961680067E-3</v>
      </c>
    </row>
    <row r="53" spans="1:17">
      <c r="A53" s="856">
        <v>2009</v>
      </c>
      <c r="B53" s="1165"/>
      <c r="C53" s="1166">
        <f>Liabilities!IM101</f>
        <v>409579</v>
      </c>
      <c r="D53" s="1166">
        <f>Liabilities!IK101</f>
        <v>45877</v>
      </c>
      <c r="E53" s="1166">
        <f>Liabilities!IO101</f>
        <v>-8288</v>
      </c>
      <c r="F53" s="884"/>
      <c r="G53" s="919"/>
      <c r="H53" s="1154">
        <f t="shared" si="0"/>
        <v>0</v>
      </c>
      <c r="I53" s="1154" t="e">
        <f t="shared" si="1"/>
        <v>#DIV/0!</v>
      </c>
      <c r="J53" s="1154">
        <f t="shared" si="2"/>
        <v>0.10072762242675473</v>
      </c>
      <c r="K53" s="1154">
        <f t="shared" si="3"/>
        <v>0.11201013723848147</v>
      </c>
      <c r="L53" s="1154">
        <f t="shared" si="4"/>
        <v>1.1806569740828738</v>
      </c>
      <c r="M53" s="892">
        <f t="shared" si="5"/>
        <v>0.11201013723848147</v>
      </c>
      <c r="Q53" s="1180">
        <f t="shared" si="6"/>
        <v>-2.0235412460111485E-2</v>
      </c>
    </row>
    <row r="54" spans="1:17">
      <c r="A54" s="826">
        <v>2010</v>
      </c>
      <c r="B54" s="1163"/>
      <c r="C54" s="1164">
        <f>Liabilities!IM102</f>
        <v>415550</v>
      </c>
      <c r="D54" s="1164">
        <f>Liabilities!IK102</f>
        <v>110161</v>
      </c>
      <c r="E54" s="1164">
        <f>Liabilities!IO102</f>
        <v>-9059</v>
      </c>
      <c r="F54" s="830"/>
      <c r="G54" s="918"/>
      <c r="H54" s="1153">
        <f t="shared" si="0"/>
        <v>0</v>
      </c>
      <c r="I54" s="1153" t="e">
        <f t="shared" si="1"/>
        <v>#DIV/0!</v>
      </c>
      <c r="J54" s="1153">
        <f t="shared" si="2"/>
        <v>0.20954669010159574</v>
      </c>
      <c r="K54" s="1153">
        <f t="shared" si="3"/>
        <v>0.26509685958368429</v>
      </c>
      <c r="L54" s="1153">
        <f t="shared" si="4"/>
        <v>1.08223418451176</v>
      </c>
      <c r="M54" s="890">
        <f t="shared" si="5"/>
        <v>0.26509685958368429</v>
      </c>
      <c r="Q54" s="1180">
        <f t="shared" si="6"/>
        <v>-2.1800024064492829E-2</v>
      </c>
    </row>
    <row r="55" spans="1:17">
      <c r="A55" s="826">
        <v>2011</v>
      </c>
      <c r="B55" s="1163"/>
      <c r="C55" s="1164">
        <f>Liabilities!IM103</f>
        <v>439168</v>
      </c>
      <c r="D55" s="1164">
        <f>Liabilities!IK103</f>
        <v>143555</v>
      </c>
      <c r="E55" s="1164">
        <f>Liabilities!IO103</f>
        <v>7736</v>
      </c>
      <c r="F55" s="830"/>
      <c r="G55" s="918"/>
      <c r="H55" s="1153">
        <f t="shared" si="0"/>
        <v>0</v>
      </c>
      <c r="I55" s="1153" t="e">
        <f t="shared" si="1"/>
        <v>#DIV/0!</v>
      </c>
      <c r="J55" s="1153">
        <f t="shared" si="2"/>
        <v>0.24635204033477312</v>
      </c>
      <c r="K55" s="1153">
        <f t="shared" si="3"/>
        <v>0.32687946298455256</v>
      </c>
      <c r="L55" s="1153">
        <f t="shared" si="4"/>
        <v>0.94611124656055168</v>
      </c>
      <c r="M55" s="890">
        <f t="shared" si="5"/>
        <v>0.32687946298455262</v>
      </c>
      <c r="Q55" s="1180">
        <f t="shared" si="6"/>
        <v>1.7615126785193891E-2</v>
      </c>
    </row>
    <row r="56" spans="1:17">
      <c r="A56" s="826">
        <v>2012</v>
      </c>
      <c r="B56" s="1163"/>
      <c r="C56" s="1164">
        <f>Liabilities!IM104</f>
        <v>467538</v>
      </c>
      <c r="D56" s="1164">
        <f>Liabilities!IK104</f>
        <v>151498</v>
      </c>
      <c r="E56" s="1164">
        <f>Liabilities!IO104</f>
        <v>12049</v>
      </c>
      <c r="F56" s="830"/>
      <c r="G56" s="918"/>
      <c r="H56" s="1153">
        <f t="shared" si="0"/>
        <v>0</v>
      </c>
      <c r="I56" s="1153" t="e">
        <f t="shared" si="1"/>
        <v>#DIV/0!</v>
      </c>
      <c r="J56" s="1153">
        <f t="shared" si="2"/>
        <v>0.24473213189539866</v>
      </c>
      <c r="K56" s="1153">
        <f t="shared" si="3"/>
        <v>0.32403355449182741</v>
      </c>
      <c r="L56" s="1153">
        <f t="shared" si="4"/>
        <v>0.92046759693197266</v>
      </c>
      <c r="M56" s="890">
        <f t="shared" si="5"/>
        <v>0.32403355449182741</v>
      </c>
      <c r="Q56" s="1180">
        <f t="shared" si="6"/>
        <v>2.5771167263409611E-2</v>
      </c>
    </row>
    <row r="57" spans="1:17">
      <c r="A57" s="826">
        <v>2013</v>
      </c>
      <c r="B57" s="1163"/>
      <c r="C57" s="1164">
        <f>Liabilities!IM105</f>
        <v>491096</v>
      </c>
      <c r="D57" s="1164">
        <f>Liabilities!IK105</f>
        <v>160970</v>
      </c>
      <c r="E57" s="1164">
        <f>Liabilities!IO105</f>
        <v>14764</v>
      </c>
      <c r="F57" s="830"/>
      <c r="G57" s="1158"/>
      <c r="H57" s="1153">
        <f t="shared" si="0"/>
        <v>0</v>
      </c>
      <c r="I57" s="1153" t="e">
        <f t="shared" si="1"/>
        <v>#DIV/0!</v>
      </c>
      <c r="J57" s="1153">
        <f t="shared" si="2"/>
        <v>0.24686151401851961</v>
      </c>
      <c r="K57" s="1153">
        <f t="shared" si="3"/>
        <v>0.32777705377360028</v>
      </c>
      <c r="L57" s="1153">
        <f t="shared" si="4"/>
        <v>0.90828104615766914</v>
      </c>
      <c r="M57" s="890">
        <f t="shared" si="5"/>
        <v>0.32777705377360028</v>
      </c>
      <c r="Q57" s="1180">
        <f t="shared" si="6"/>
        <v>3.0063368465636064E-2</v>
      </c>
    </row>
    <row r="58" spans="1:17">
      <c r="A58" s="826">
        <v>2014</v>
      </c>
      <c r="B58" s="1163"/>
      <c r="C58" s="1164">
        <f>Liabilities!IM106</f>
        <v>521059</v>
      </c>
      <c r="D58" s="1164">
        <f>Liabilities!IK106</f>
        <v>164965</v>
      </c>
      <c r="E58" s="1164">
        <f>Liabilities!IO106</f>
        <v>17422</v>
      </c>
      <c r="F58" s="830"/>
      <c r="G58" s="1158"/>
      <c r="H58" s="1153">
        <f>B58/C58</f>
        <v>0</v>
      </c>
      <c r="I58" s="1153" t="e">
        <f>D58/B58</f>
        <v>#DIV/0!</v>
      </c>
      <c r="J58" s="1153">
        <f>D58/(D58+C58)</f>
        <v>0.24046534815108508</v>
      </c>
      <c r="K58" s="1153">
        <f>J58/(1-J58)</f>
        <v>0.31659562544740616</v>
      </c>
      <c r="L58" s="1153">
        <f>1-E58/D58</f>
        <v>0.8943897190313097</v>
      </c>
      <c r="M58" s="890">
        <f t="shared" si="5"/>
        <v>0.31659562544740616</v>
      </c>
      <c r="Q58" s="1180">
        <f>M58-L58*K58</f>
        <v>3.3435752956958775E-2</v>
      </c>
    </row>
    <row r="59" spans="1:17">
      <c r="A59" s="826">
        <v>2015</v>
      </c>
      <c r="B59" s="1163"/>
      <c r="C59" s="1164">
        <f>Liabilities!IM107</f>
        <v>539105</v>
      </c>
      <c r="D59" s="1164">
        <f>Liabilities!IK107</f>
        <v>152800</v>
      </c>
      <c r="E59" s="1164">
        <f>Liabilities!IO107</f>
        <v>16595</v>
      </c>
      <c r="F59" s="830"/>
      <c r="G59" s="1158"/>
      <c r="H59" s="1153">
        <f>B59/C59</f>
        <v>0</v>
      </c>
      <c r="I59" s="1153" t="e">
        <f>D59/B59</f>
        <v>#DIV/0!</v>
      </c>
      <c r="J59" s="1153">
        <f>D59/(D59+C59)</f>
        <v>0.22083956612540739</v>
      </c>
      <c r="K59" s="1153">
        <f>J59/(1-J59)</f>
        <v>0.28343272646330497</v>
      </c>
      <c r="L59" s="1153">
        <f>1-E59/D59</f>
        <v>0.89139397905759166</v>
      </c>
      <c r="M59" s="890">
        <f>D59/C59</f>
        <v>0.28343272646330492</v>
      </c>
    </row>
    <row r="60" spans="1:17">
      <c r="A60" s="826">
        <v>2016</v>
      </c>
      <c r="B60" s="896"/>
      <c r="C60" s="1139"/>
      <c r="D60" s="1139"/>
      <c r="E60" s="1139"/>
      <c r="F60" s="817"/>
      <c r="G60" s="818"/>
      <c r="H60" s="1156"/>
      <c r="I60" s="1156"/>
      <c r="J60" s="875"/>
      <c r="K60" s="832"/>
      <c r="L60" s="832"/>
      <c r="M60" s="1049"/>
    </row>
    <row r="61" spans="1:17" ht="16" thickBot="1">
      <c r="A61" s="819"/>
      <c r="B61" s="820"/>
      <c r="C61" s="821"/>
      <c r="D61" s="821"/>
      <c r="E61" s="821"/>
      <c r="F61" s="821"/>
      <c r="G61" s="822"/>
      <c r="H61" s="1157"/>
      <c r="I61" s="1157"/>
      <c r="J61" s="1151"/>
      <c r="K61" s="821"/>
      <c r="L61" s="821"/>
      <c r="M61" s="1150"/>
    </row>
    <row r="62" spans="1:17" ht="16" thickTop="1"/>
    <row r="63" spans="1:17">
      <c r="A63" s="829" t="s">
        <v>2457</v>
      </c>
    </row>
    <row r="64" spans="1:17">
      <c r="A64" s="829" t="s">
        <v>2455</v>
      </c>
      <c r="D64" s="824"/>
    </row>
    <row r="65" spans="1:17">
      <c r="A65" s="829" t="s">
        <v>1201</v>
      </c>
    </row>
    <row r="66" spans="1:17">
      <c r="A66" s="829" t="s">
        <v>722</v>
      </c>
      <c r="B66" s="855"/>
      <c r="C66" s="855"/>
      <c r="D66" s="855"/>
      <c r="E66" s="855"/>
    </row>
    <row r="67" spans="1:17">
      <c r="A67" s="829" t="s">
        <v>723</v>
      </c>
      <c r="B67" s="855"/>
      <c r="C67" s="855"/>
      <c r="D67" s="855"/>
      <c r="E67" s="855"/>
    </row>
    <row r="68" spans="1:17">
      <c r="A68" s="829" t="s">
        <v>2456</v>
      </c>
      <c r="B68" s="855"/>
      <c r="C68" s="855"/>
      <c r="D68" s="855"/>
      <c r="E68" s="855"/>
    </row>
    <row r="69" spans="1:17" s="825" customFormat="1" ht="16" thickBot="1">
      <c r="B69" s="805"/>
      <c r="C69" s="805"/>
      <c r="D69" s="805"/>
      <c r="E69" s="805"/>
      <c r="F69" s="805"/>
      <c r="G69" s="805"/>
      <c r="H69" s="805"/>
      <c r="I69" s="805"/>
      <c r="J69" s="805"/>
      <c r="K69" s="805"/>
      <c r="L69" s="805"/>
      <c r="M69" s="805"/>
      <c r="Q69" s="1181"/>
    </row>
    <row r="70" spans="1:17" s="825" customFormat="1" ht="28" customHeight="1" thickBot="1">
      <c r="A70" s="1753" t="s">
        <v>2463</v>
      </c>
      <c r="B70" s="1754"/>
      <c r="C70" s="1754"/>
      <c r="D70" s="1754"/>
      <c r="E70" s="1754"/>
      <c r="F70" s="1754"/>
      <c r="G70" s="1754"/>
      <c r="H70" s="1754"/>
      <c r="I70" s="1754"/>
      <c r="J70" s="1754"/>
      <c r="K70" s="1754"/>
      <c r="L70" s="1754"/>
      <c r="M70" s="1755"/>
      <c r="Q70" s="1181"/>
    </row>
    <row r="71" spans="1:17" s="825" customFormat="1">
      <c r="A71" s="805"/>
      <c r="B71" s="805"/>
      <c r="C71" s="805"/>
      <c r="D71" s="805"/>
      <c r="E71" s="805"/>
      <c r="F71" s="805"/>
      <c r="G71" s="805"/>
      <c r="H71" s="805"/>
      <c r="I71" s="805"/>
      <c r="J71" s="805"/>
      <c r="K71" s="805"/>
      <c r="L71" s="805"/>
      <c r="M71" s="805"/>
      <c r="Q71" s="1181"/>
    </row>
    <row r="72" spans="1:17" s="825" customFormat="1">
      <c r="A72" s="805"/>
      <c r="B72" s="805"/>
      <c r="C72" s="805"/>
      <c r="D72" s="805"/>
      <c r="E72" s="805"/>
      <c r="F72" s="805"/>
      <c r="G72" s="805"/>
      <c r="H72" s="805"/>
      <c r="I72" s="805"/>
      <c r="J72" s="805"/>
      <c r="K72" s="805"/>
      <c r="L72" s="805"/>
      <c r="M72" s="805"/>
      <c r="Q72" s="1181"/>
    </row>
    <row r="74" spans="1:17" s="825" customFormat="1">
      <c r="A74" s="805"/>
      <c r="B74" s="805"/>
      <c r="C74" s="805"/>
      <c r="D74" s="805"/>
      <c r="E74" s="805"/>
      <c r="F74" s="805"/>
      <c r="G74" s="805"/>
      <c r="H74" s="805"/>
      <c r="I74" s="805"/>
      <c r="J74" s="805"/>
      <c r="K74" s="805"/>
      <c r="L74" s="805"/>
      <c r="M74" s="805"/>
      <c r="Q74" s="1181"/>
    </row>
  </sheetData>
  <mergeCells count="11">
    <mergeCell ref="A70:M70"/>
    <mergeCell ref="A3:M3"/>
    <mergeCell ref="B6:M6"/>
    <mergeCell ref="B7:E7"/>
    <mergeCell ref="F7:G7"/>
    <mergeCell ref="H7:H8"/>
    <mergeCell ref="I7:I8"/>
    <mergeCell ref="J7:J8"/>
    <mergeCell ref="K7:K8"/>
    <mergeCell ref="L7:L8"/>
    <mergeCell ref="M7:M8"/>
  </mergeCells>
  <pageMargins left="0.75" right="0.75" top="1" bottom="1" header="0.5" footer="0.5"/>
  <pageSetup scale="48" orientation="portrait" horizontalDpi="4294967292" verticalDpi="429496729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P31"/>
  <sheetViews>
    <sheetView workbookViewId="0">
      <selection activeCell="X67" sqref="X67"/>
    </sheetView>
  </sheetViews>
  <sheetFormatPr baseColWidth="10" defaultRowHeight="14" x14ac:dyDescent="0"/>
  <cols>
    <col min="1" max="1" width="15.42578125" style="1681" customWidth="1"/>
    <col min="2" max="2" width="8.85546875" style="1681" customWidth="1"/>
    <col min="3" max="3" width="2.140625" style="1681" customWidth="1"/>
    <col min="4" max="5" width="10.28515625" style="1681" customWidth="1"/>
    <col min="6" max="6" width="12.7109375" style="1681" customWidth="1"/>
    <col min="7" max="7" width="2.140625" style="1681" customWidth="1"/>
    <col min="8" max="9" width="10.28515625" style="1681" customWidth="1"/>
    <col min="10" max="10" width="12.5703125" style="1681" customWidth="1"/>
    <col min="11" max="11" width="2.140625" style="1681" customWidth="1"/>
    <col min="12" max="13" width="10.28515625" style="1681" customWidth="1"/>
    <col min="14" max="14" width="13.28515625" style="1681" customWidth="1"/>
    <col min="15" max="16384" width="10.7109375" style="1681"/>
  </cols>
  <sheetData>
    <row r="2" spans="1:16" ht="30" customHeight="1">
      <c r="A2" s="1860" t="s">
        <v>3502</v>
      </c>
      <c r="B2" s="1860"/>
      <c r="C2" s="1860"/>
      <c r="D2" s="1860"/>
      <c r="E2" s="1860"/>
      <c r="F2" s="1860"/>
      <c r="G2" s="1860"/>
      <c r="H2" s="1860"/>
      <c r="I2" s="1860"/>
      <c r="J2" s="1860"/>
      <c r="K2" s="1860"/>
      <c r="L2" s="1860"/>
      <c r="M2" s="1860"/>
      <c r="N2" s="1860"/>
    </row>
    <row r="3" spans="1:16" ht="15" thickBot="1"/>
    <row r="4" spans="1:16" ht="56" customHeight="1" thickTop="1">
      <c r="A4" s="1708"/>
      <c r="B4" s="1706" t="s">
        <v>3501</v>
      </c>
      <c r="C4" s="1707"/>
      <c r="D4" s="1862" t="s">
        <v>3500</v>
      </c>
      <c r="E4" s="1862"/>
      <c r="F4" s="1862"/>
      <c r="G4" s="1706"/>
      <c r="H4" s="1863" t="s">
        <v>3499</v>
      </c>
      <c r="I4" s="1863"/>
      <c r="J4" s="1863"/>
      <c r="K4" s="1706"/>
      <c r="L4" s="1863" t="s">
        <v>3498</v>
      </c>
      <c r="M4" s="1863"/>
      <c r="N4" s="1863"/>
      <c r="P4" s="1681" t="s">
        <v>3497</v>
      </c>
    </row>
    <row r="5" spans="1:16" s="1702" customFormat="1" ht="50" customHeight="1">
      <c r="A5" s="1705"/>
      <c r="B5" s="1703"/>
      <c r="C5" s="1704"/>
      <c r="D5" s="1703" t="s">
        <v>3496</v>
      </c>
      <c r="E5" s="1703" t="s">
        <v>3495</v>
      </c>
      <c r="F5" s="1703" t="s">
        <v>3494</v>
      </c>
      <c r="G5" s="1704"/>
      <c r="H5" s="1703" t="s">
        <v>3496</v>
      </c>
      <c r="I5" s="1703" t="s">
        <v>3495</v>
      </c>
      <c r="J5" s="1703" t="s">
        <v>3494</v>
      </c>
      <c r="K5" s="1704"/>
      <c r="L5" s="1703" t="s">
        <v>3496</v>
      </c>
      <c r="M5" s="1703" t="s">
        <v>3495</v>
      </c>
      <c r="N5" s="1703" t="s">
        <v>3494</v>
      </c>
    </row>
    <row r="6" spans="1:16" ht="40" customHeight="1">
      <c r="A6" s="1701" t="s">
        <v>3493</v>
      </c>
      <c r="B6" s="1699">
        <v>0.28000000000000003</v>
      </c>
      <c r="C6" s="1699"/>
      <c r="D6" s="1698">
        <f>D8-D7</f>
        <v>100</v>
      </c>
      <c r="E6" s="1698">
        <f>D6*($B$10-B6)</f>
        <v>6.9999999999999947</v>
      </c>
      <c r="F6" s="1698">
        <f>D6*$B6+E6</f>
        <v>35</v>
      </c>
      <c r="G6" s="1698"/>
      <c r="H6" s="1698">
        <f>H8-H7</f>
        <v>50</v>
      </c>
      <c r="I6" s="1698">
        <f>H6*(B$10-B6)</f>
        <v>3.4999999999999973</v>
      </c>
      <c r="J6" s="1698">
        <f>H6*$B6+I6</f>
        <v>17.5</v>
      </c>
      <c r="K6" s="1698"/>
      <c r="L6" s="1698">
        <f>L8-L7</f>
        <v>50</v>
      </c>
      <c r="M6" s="1698">
        <f>L6*(B10-B6)</f>
        <v>3.4999999999999973</v>
      </c>
      <c r="N6" s="1698">
        <f>L6*$B6+M6</f>
        <v>17.5</v>
      </c>
    </row>
    <row r="7" spans="1:16" ht="40" customHeight="1">
      <c r="A7" s="1700" t="s">
        <v>3492</v>
      </c>
      <c r="B7" s="1699">
        <v>0.08</v>
      </c>
      <c r="C7" s="1699"/>
      <c r="D7" s="1698">
        <v>0</v>
      </c>
      <c r="E7" s="1698">
        <v>0</v>
      </c>
      <c r="F7" s="1698">
        <f>D7*B7+E7</f>
        <v>0</v>
      </c>
      <c r="G7" s="1698"/>
      <c r="H7" s="1698">
        <v>50</v>
      </c>
      <c r="I7" s="1697">
        <f>H7*(B$10-B7)</f>
        <v>13.499999999999998</v>
      </c>
      <c r="J7" s="1698">
        <f>H7*$B7+I7</f>
        <v>17.5</v>
      </c>
      <c r="K7" s="1698"/>
      <c r="L7" s="1698">
        <v>50</v>
      </c>
      <c r="M7" s="1697">
        <f>(L7*M$9*(M$10-0.443*B7)+L7*(1-M$9)*(M$11-0.229*B7))*I$29</f>
        <v>3.8138471051189122</v>
      </c>
      <c r="N7" s="1697">
        <f>L7*$B7+M7</f>
        <v>7.8138471051189118</v>
      </c>
    </row>
    <row r="8" spans="1:16" ht="40" customHeight="1" thickBot="1">
      <c r="A8" s="1696" t="s">
        <v>1</v>
      </c>
      <c r="B8" s="1695"/>
      <c r="C8" s="1695"/>
      <c r="D8" s="1694">
        <v>100</v>
      </c>
      <c r="E8" s="1693">
        <f>E6+E7</f>
        <v>6.9999999999999947</v>
      </c>
      <c r="F8" s="1692">
        <f>F6+F7</f>
        <v>35</v>
      </c>
      <c r="G8" s="1694"/>
      <c r="H8" s="1694">
        <v>100</v>
      </c>
      <c r="I8" s="1693">
        <f>I6+I7</f>
        <v>16.999999999999996</v>
      </c>
      <c r="J8" s="1692">
        <f>J6+J7</f>
        <v>35</v>
      </c>
      <c r="K8" s="1694"/>
      <c r="L8" s="1694">
        <v>100</v>
      </c>
      <c r="M8" s="1693">
        <f>M6+M7</f>
        <v>7.31384710511891</v>
      </c>
      <c r="N8" s="1692">
        <f>N6+N7</f>
        <v>25.31384710511891</v>
      </c>
    </row>
    <row r="9" spans="1:16" ht="15" thickTop="1">
      <c r="I9" s="1681" t="s">
        <v>3491</v>
      </c>
      <c r="M9" s="1684">
        <v>0.5</v>
      </c>
    </row>
    <row r="10" spans="1:16">
      <c r="A10" s="1681" t="s">
        <v>3490</v>
      </c>
      <c r="B10" s="1684">
        <v>0.35</v>
      </c>
      <c r="G10" s="1691"/>
      <c r="I10" s="1689" t="s">
        <v>3489</v>
      </c>
      <c r="J10" s="1689"/>
      <c r="M10" s="1690">
        <v>0.155</v>
      </c>
    </row>
    <row r="11" spans="1:16" ht="15">
      <c r="I11" s="1689" t="s">
        <v>3488</v>
      </c>
      <c r="J11" s="1689"/>
      <c r="L11" s="1688"/>
      <c r="M11" s="1687">
        <v>0.08</v>
      </c>
      <c r="O11" s="1681" t="s">
        <v>3487</v>
      </c>
    </row>
    <row r="12" spans="1:16" ht="15">
      <c r="I12" s="1689" t="s">
        <v>3486</v>
      </c>
      <c r="J12" s="1689"/>
      <c r="L12" s="1688"/>
      <c r="M12" s="1687">
        <f>M7/L7</f>
        <v>7.6276942102378245E-2</v>
      </c>
      <c r="O12" s="1686">
        <f>E29/3100</f>
        <v>0.10925806451612903</v>
      </c>
      <c r="P12" s="1685" t="s">
        <v>3485</v>
      </c>
    </row>
    <row r="13" spans="1:16" ht="65" customHeight="1">
      <c r="A13" s="1861" t="s">
        <v>3484</v>
      </c>
      <c r="B13" s="1861"/>
      <c r="C13" s="1861"/>
      <c r="D13" s="1861"/>
      <c r="E13" s="1861"/>
      <c r="F13" s="1861"/>
      <c r="G13" s="1861"/>
      <c r="H13" s="1861"/>
      <c r="I13" s="1861"/>
      <c r="J13" s="1861"/>
      <c r="K13" s="1861"/>
      <c r="L13" s="1861"/>
      <c r="M13" s="1861"/>
    </row>
    <row r="16" spans="1:16">
      <c r="D16" s="1859" t="s">
        <v>3483</v>
      </c>
      <c r="E16" s="1859"/>
      <c r="F16" s="1859"/>
      <c r="G16" s="1859"/>
      <c r="H16" s="1859"/>
      <c r="I16" s="1859"/>
      <c r="J16" s="1859"/>
    </row>
    <row r="17" spans="4:13">
      <c r="E17" s="1858" t="s">
        <v>3482</v>
      </c>
      <c r="F17" s="1858"/>
      <c r="H17" s="1681" t="s">
        <v>3481</v>
      </c>
      <c r="I17" s="1681" t="s">
        <v>3480</v>
      </c>
      <c r="J17" s="1684">
        <v>0.04</v>
      </c>
    </row>
    <row r="18" spans="4:13">
      <c r="E18" s="1681" t="s">
        <v>3479</v>
      </c>
      <c r="F18" s="1681" t="s">
        <v>3478</v>
      </c>
    </row>
    <row r="19" spans="4:13" ht="15">
      <c r="D19" s="1681">
        <v>2018</v>
      </c>
      <c r="E19" s="1681">
        <v>78.599999999999994</v>
      </c>
      <c r="F19" s="1682">
        <f t="shared" ref="F19:F29" si="0">E19/E$29</f>
        <v>0.2320637732506643</v>
      </c>
      <c r="H19" s="1683">
        <v>0.08</v>
      </c>
      <c r="I19" s="1682">
        <f t="shared" ref="I19:I26" si="1">H19/(1+J$17)^J19</f>
        <v>0.08</v>
      </c>
      <c r="J19" s="1681">
        <v>0</v>
      </c>
    </row>
    <row r="20" spans="4:13" ht="15">
      <c r="D20" s="1681">
        <v>2019</v>
      </c>
      <c r="E20" s="1681">
        <v>49.6</v>
      </c>
      <c r="F20" s="1682">
        <f t="shared" si="0"/>
        <v>0.14644227930321821</v>
      </c>
      <c r="H20" s="1683">
        <v>0.08</v>
      </c>
      <c r="I20" s="1682">
        <f t="shared" si="1"/>
        <v>7.6923076923076927E-2</v>
      </c>
      <c r="J20" s="1681">
        <v>1</v>
      </c>
      <c r="L20" s="1682"/>
      <c r="M20" s="1682"/>
    </row>
    <row r="21" spans="4:13" ht="15">
      <c r="D21" s="1681">
        <v>2020</v>
      </c>
      <c r="E21" s="1681">
        <v>16.5</v>
      </c>
      <c r="F21" s="1682">
        <f t="shared" si="0"/>
        <v>4.8715677590788313E-2</v>
      </c>
      <c r="H21" s="1683">
        <v>0.08</v>
      </c>
      <c r="I21" s="1682">
        <f t="shared" si="1"/>
        <v>7.3964497041420108E-2</v>
      </c>
      <c r="J21" s="1681">
        <v>2</v>
      </c>
      <c r="L21" s="1682"/>
      <c r="M21" s="1682"/>
    </row>
    <row r="22" spans="4:13" ht="15">
      <c r="D22" s="1681">
        <v>2021</v>
      </c>
      <c r="E22" s="1681">
        <v>15.6</v>
      </c>
      <c r="F22" s="1682">
        <f t="shared" si="0"/>
        <v>4.6058458813108945E-2</v>
      </c>
      <c r="H22" s="1683">
        <v>0.08</v>
      </c>
      <c r="I22" s="1682">
        <f t="shared" si="1"/>
        <v>7.1119708693673192E-2</v>
      </c>
      <c r="J22" s="1681">
        <v>3</v>
      </c>
      <c r="L22" s="1682"/>
      <c r="M22" s="1682"/>
    </row>
    <row r="23" spans="4:13" ht="15">
      <c r="D23" s="1681">
        <v>2022</v>
      </c>
      <c r="E23" s="1681">
        <v>15.7</v>
      </c>
      <c r="F23" s="1682">
        <f t="shared" si="0"/>
        <v>4.6353705343962208E-2</v>
      </c>
      <c r="H23" s="1683">
        <v>0.08</v>
      </c>
      <c r="I23" s="1682">
        <f t="shared" si="1"/>
        <v>6.8384335282378056E-2</v>
      </c>
      <c r="J23" s="1681">
        <v>4</v>
      </c>
      <c r="L23" s="1682"/>
      <c r="M23" s="1682"/>
    </row>
    <row r="24" spans="4:13" ht="15">
      <c r="D24" s="1681">
        <v>2023</v>
      </c>
      <c r="E24" s="1681">
        <v>27.2</v>
      </c>
      <c r="F24" s="1682">
        <f t="shared" si="0"/>
        <v>8.0307056392087392E-2</v>
      </c>
      <c r="H24" s="1683">
        <v>0.15</v>
      </c>
      <c r="I24" s="1682">
        <f t="shared" si="1"/>
        <v>0.12328906601390273</v>
      </c>
      <c r="J24" s="1681">
        <v>5</v>
      </c>
      <c r="L24" s="1682"/>
      <c r="M24" s="1682"/>
    </row>
    <row r="25" spans="4:13" ht="15">
      <c r="D25" s="1681">
        <v>2024</v>
      </c>
      <c r="E25" s="1681">
        <v>47.5</v>
      </c>
      <c r="F25" s="1682">
        <f t="shared" si="0"/>
        <v>0.14024210215529967</v>
      </c>
      <c r="H25" s="1683">
        <v>0.2</v>
      </c>
      <c r="I25" s="1682">
        <f t="shared" si="1"/>
        <v>0.15806290514602916</v>
      </c>
      <c r="J25" s="1681">
        <v>6</v>
      </c>
      <c r="L25" s="1682"/>
      <c r="M25" s="1682"/>
    </row>
    <row r="26" spans="4:13" ht="15">
      <c r="D26" s="1681">
        <v>2025</v>
      </c>
      <c r="E26" s="1681">
        <v>64.400000000000006</v>
      </c>
      <c r="F26" s="1682">
        <f t="shared" si="0"/>
        <v>0.19013876586950107</v>
      </c>
      <c r="H26" s="1682">
        <v>0.25</v>
      </c>
      <c r="I26" s="1682">
        <f t="shared" si="1"/>
        <v>0.18997945330051583</v>
      </c>
      <c r="J26" s="1681">
        <v>7</v>
      </c>
      <c r="L26" s="1682"/>
      <c r="M26" s="1682"/>
    </row>
    <row r="27" spans="4:13" ht="15">
      <c r="D27" s="1681">
        <v>2026</v>
      </c>
      <c r="E27" s="1681">
        <v>33</v>
      </c>
      <c r="F27" s="1682">
        <f t="shared" si="0"/>
        <v>9.7431355181576626E-2</v>
      </c>
      <c r="I27" s="1682"/>
    </row>
    <row r="28" spans="4:13" ht="15">
      <c r="D28" s="1681">
        <v>2027</v>
      </c>
      <c r="E28" s="1681">
        <v>-9.4</v>
      </c>
      <c r="F28" s="1682">
        <f t="shared" si="0"/>
        <v>-2.7753173900206676E-2</v>
      </c>
      <c r="I28" s="1682"/>
    </row>
    <row r="29" spans="4:13" ht="15">
      <c r="D29" s="1681" t="s">
        <v>1</v>
      </c>
      <c r="E29" s="1681">
        <f>SUM(E19:E28)</f>
        <v>338.7</v>
      </c>
      <c r="F29" s="1682">
        <f t="shared" si="0"/>
        <v>1</v>
      </c>
      <c r="H29" s="1682">
        <f>SUM(H19:H26)</f>
        <v>1</v>
      </c>
      <c r="I29" s="1682">
        <f>SUM(I19:I26)</f>
        <v>0.84172304240099594</v>
      </c>
    </row>
    <row r="31" spans="4:13">
      <c r="D31" s="1681" t="s">
        <v>3477</v>
      </c>
      <c r="E31" s="1681">
        <f>E21*3+SUM(E22:E26)</f>
        <v>219.9</v>
      </c>
    </row>
  </sheetData>
  <mergeCells count="7">
    <mergeCell ref="E17:F17"/>
    <mergeCell ref="D16:J16"/>
    <mergeCell ref="A2:N2"/>
    <mergeCell ref="A13:M13"/>
    <mergeCell ref="D4:F4"/>
    <mergeCell ref="H4:J4"/>
    <mergeCell ref="L4:N4"/>
  </mergeCells>
  <pageMargins left="0.75" right="0.75" top="1" bottom="1" header="0.5" footer="0.5"/>
  <pageSetup scale="12" orientation="portrait" horizontalDpi="4294967292" verticalDpi="429496729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P31"/>
  <sheetViews>
    <sheetView workbookViewId="0">
      <selection activeCell="A2" sqref="A2:N8"/>
    </sheetView>
  </sheetViews>
  <sheetFormatPr baseColWidth="10" defaultRowHeight="14" x14ac:dyDescent="0"/>
  <cols>
    <col min="1" max="1" width="16.42578125" style="1681" customWidth="1"/>
    <col min="2" max="2" width="8.85546875" style="1681" customWidth="1"/>
    <col min="3" max="3" width="2.140625" style="1681" customWidth="1"/>
    <col min="4" max="5" width="10.28515625" style="1681" customWidth="1"/>
    <col min="6" max="6" width="12.7109375" style="1681" customWidth="1"/>
    <col min="7" max="7" width="2.140625" style="1681" customWidth="1"/>
    <col min="8" max="9" width="10.28515625" style="1681" hidden="1" customWidth="1"/>
    <col min="10" max="10" width="12.5703125" style="1681" hidden="1" customWidth="1"/>
    <col min="11" max="11" width="2.140625" style="1681" hidden="1" customWidth="1"/>
    <col min="12" max="13" width="10.28515625" style="1681" customWidth="1"/>
    <col min="14" max="14" width="13.28515625" style="1681" customWidth="1"/>
    <col min="15" max="16384" width="10.7109375" style="1681"/>
  </cols>
  <sheetData>
    <row r="2" spans="1:16" ht="30" customHeight="1">
      <c r="A2" s="1860" t="s">
        <v>3514</v>
      </c>
      <c r="B2" s="1860"/>
      <c r="C2" s="1860"/>
      <c r="D2" s="1860"/>
      <c r="E2" s="1860"/>
      <c r="F2" s="1860"/>
      <c r="G2" s="1860"/>
      <c r="H2" s="1860"/>
      <c r="I2" s="1860"/>
      <c r="J2" s="1860"/>
      <c r="K2" s="1860"/>
      <c r="L2" s="1860"/>
      <c r="M2" s="1860"/>
      <c r="N2" s="1860"/>
    </row>
    <row r="3" spans="1:16" ht="15" thickBot="1"/>
    <row r="4" spans="1:16" ht="56" customHeight="1" thickTop="1">
      <c r="A4" s="1708"/>
      <c r="B4" s="1706" t="s">
        <v>3501</v>
      </c>
      <c r="C4" s="1707"/>
      <c r="D4" s="1862" t="s">
        <v>3500</v>
      </c>
      <c r="E4" s="1862"/>
      <c r="F4" s="1862"/>
      <c r="G4" s="1706"/>
      <c r="H4" s="1863" t="s">
        <v>3499</v>
      </c>
      <c r="I4" s="1863"/>
      <c r="J4" s="1863"/>
      <c r="K4" s="1706"/>
      <c r="L4" s="1863" t="s">
        <v>3498</v>
      </c>
      <c r="M4" s="1863"/>
      <c r="N4" s="1863"/>
      <c r="P4" s="1681" t="s">
        <v>3497</v>
      </c>
    </row>
    <row r="5" spans="1:16" s="1702" customFormat="1" ht="50" customHeight="1">
      <c r="A5" s="1705"/>
      <c r="B5" s="1703"/>
      <c r="C5" s="1704"/>
      <c r="D5" s="1703" t="s">
        <v>3496</v>
      </c>
      <c r="E5" s="1703" t="s">
        <v>3495</v>
      </c>
      <c r="F5" s="1703" t="s">
        <v>3494</v>
      </c>
      <c r="G5" s="1704"/>
      <c r="H5" s="1703" t="s">
        <v>3496</v>
      </c>
      <c r="I5" s="1703" t="s">
        <v>3495</v>
      </c>
      <c r="J5" s="1703" t="s">
        <v>3494</v>
      </c>
      <c r="K5" s="1704"/>
      <c r="L5" s="1703" t="s">
        <v>3496</v>
      </c>
      <c r="M5" s="1703" t="s">
        <v>3495</v>
      </c>
      <c r="N5" s="1703" t="s">
        <v>3494</v>
      </c>
    </row>
    <row r="6" spans="1:16" ht="40" customHeight="1">
      <c r="A6" s="1701" t="s">
        <v>3493</v>
      </c>
      <c r="B6" s="1699">
        <v>0.28000000000000003</v>
      </c>
      <c r="C6" s="1699"/>
      <c r="D6" s="1698">
        <f>D8-D7</f>
        <v>100</v>
      </c>
      <c r="E6" s="1698">
        <f>D6*($B$10-B6)</f>
        <v>6.9999999999999947</v>
      </c>
      <c r="F6" s="1698">
        <f>D6*$B6+E6</f>
        <v>35</v>
      </c>
      <c r="G6" s="1698"/>
      <c r="H6" s="1698">
        <f>H8-H7</f>
        <v>50</v>
      </c>
      <c r="I6" s="1698">
        <f>H6*(B$10-B6)</f>
        <v>3.4999999999999973</v>
      </c>
      <c r="J6" s="1698">
        <f>H6*$B6+I6</f>
        <v>17.5</v>
      </c>
      <c r="K6" s="1698"/>
      <c r="L6" s="1698">
        <f>L8-L7</f>
        <v>50</v>
      </c>
      <c r="M6" s="1698">
        <f>L6*(B10-B6)</f>
        <v>3.4999999999999973</v>
      </c>
      <c r="N6" s="1698">
        <f>L6*$B6+M6</f>
        <v>17.5</v>
      </c>
    </row>
    <row r="7" spans="1:16" ht="40" customHeight="1">
      <c r="A7" s="1700" t="s">
        <v>3492</v>
      </c>
      <c r="B7" s="1699">
        <v>0.08</v>
      </c>
      <c r="C7" s="1699"/>
      <c r="D7" s="1698">
        <v>0</v>
      </c>
      <c r="E7" s="1698">
        <v>0</v>
      </c>
      <c r="F7" s="1698">
        <f>D7*B7+E7</f>
        <v>0</v>
      </c>
      <c r="G7" s="1698"/>
      <c r="H7" s="1698">
        <v>50</v>
      </c>
      <c r="I7" s="1697">
        <f>H7*(B$10-B7)</f>
        <v>13.499999999999998</v>
      </c>
      <c r="J7" s="1698">
        <f>H7*$B7+I7</f>
        <v>17.5</v>
      </c>
      <c r="K7" s="1698"/>
      <c r="L7" s="1698">
        <v>50</v>
      </c>
      <c r="M7" s="1697">
        <f>(L7*M$9*(M$10-0.443*B7)+L7*(1-M$9)*(M$11-0.229*B7))*I$29</f>
        <v>3.8138471051189122</v>
      </c>
      <c r="N7" s="1697">
        <f>L7*$B7+M7</f>
        <v>7.8138471051189118</v>
      </c>
    </row>
    <row r="8" spans="1:16" ht="40" customHeight="1" thickBot="1">
      <c r="A8" s="1696" t="s">
        <v>1</v>
      </c>
      <c r="B8" s="1695"/>
      <c r="C8" s="1695"/>
      <c r="D8" s="1694">
        <v>100</v>
      </c>
      <c r="E8" s="1711">
        <f>E6+E7</f>
        <v>6.9999999999999947</v>
      </c>
      <c r="F8" s="1692">
        <f>F6+F7</f>
        <v>35</v>
      </c>
      <c r="G8" s="1694"/>
      <c r="H8" s="1694">
        <v>100</v>
      </c>
      <c r="I8" s="1693">
        <f>I6+I7</f>
        <v>16.999999999999996</v>
      </c>
      <c r="J8" s="1692">
        <f>J6+J7</f>
        <v>35</v>
      </c>
      <c r="K8" s="1694"/>
      <c r="L8" s="1694">
        <v>100</v>
      </c>
      <c r="M8" s="1711">
        <f>M6+M7</f>
        <v>7.31384710511891</v>
      </c>
      <c r="N8" s="1692">
        <f>N6+N7</f>
        <v>25.31384710511891</v>
      </c>
    </row>
    <row r="9" spans="1:16" ht="15" thickTop="1">
      <c r="I9" s="1681" t="s">
        <v>3491</v>
      </c>
      <c r="M9" s="1684">
        <v>0.5</v>
      </c>
    </row>
    <row r="10" spans="1:16">
      <c r="A10" s="1681" t="s">
        <v>3490</v>
      </c>
      <c r="B10" s="1684">
        <v>0.35</v>
      </c>
      <c r="G10" s="1691"/>
      <c r="I10" s="1689" t="s">
        <v>3489</v>
      </c>
      <c r="J10" s="1689"/>
      <c r="M10" s="1690">
        <v>0.155</v>
      </c>
    </row>
    <row r="11" spans="1:16" ht="15">
      <c r="I11" s="1689" t="s">
        <v>3488</v>
      </c>
      <c r="J11" s="1689"/>
      <c r="L11" s="1688"/>
      <c r="M11" s="1687">
        <v>0.08</v>
      </c>
      <c r="O11" s="1681" t="s">
        <v>3487</v>
      </c>
    </row>
    <row r="12" spans="1:16" ht="15">
      <c r="I12" s="1689" t="s">
        <v>3486</v>
      </c>
      <c r="J12" s="1689"/>
      <c r="L12" s="1688"/>
      <c r="M12" s="1687">
        <f>M7/L7</f>
        <v>7.6276942102378245E-2</v>
      </c>
      <c r="O12" s="1686">
        <f>E29/3100</f>
        <v>0.10925806451612903</v>
      </c>
      <c r="P12" s="1685" t="s">
        <v>3485</v>
      </c>
    </row>
    <row r="13" spans="1:16" ht="65" customHeight="1">
      <c r="A13" s="1861" t="s">
        <v>3484</v>
      </c>
      <c r="B13" s="1861"/>
      <c r="C13" s="1861"/>
      <c r="D13" s="1861"/>
      <c r="E13" s="1861"/>
      <c r="F13" s="1861"/>
      <c r="G13" s="1861"/>
      <c r="H13" s="1861"/>
      <c r="I13" s="1861"/>
      <c r="J13" s="1861"/>
      <c r="K13" s="1861"/>
      <c r="L13" s="1861"/>
      <c r="M13" s="1861"/>
    </row>
    <row r="16" spans="1:16">
      <c r="D16" s="1859" t="s">
        <v>3483</v>
      </c>
      <c r="E16" s="1859"/>
      <c r="F16" s="1859"/>
      <c r="G16" s="1859"/>
      <c r="H16" s="1859"/>
      <c r="I16" s="1859"/>
      <c r="J16" s="1859"/>
    </row>
    <row r="17" spans="4:13">
      <c r="E17" s="1858" t="s">
        <v>3482</v>
      </c>
      <c r="F17" s="1858"/>
      <c r="H17" s="1681" t="s">
        <v>3481</v>
      </c>
      <c r="I17" s="1681" t="s">
        <v>3480</v>
      </c>
      <c r="J17" s="1684">
        <v>0.04</v>
      </c>
    </row>
    <row r="18" spans="4:13">
      <c r="E18" s="1681" t="s">
        <v>3479</v>
      </c>
      <c r="F18" s="1681" t="s">
        <v>3478</v>
      </c>
    </row>
    <row r="19" spans="4:13" ht="15">
      <c r="D19" s="1681">
        <v>2018</v>
      </c>
      <c r="E19" s="1681">
        <v>78.599999999999994</v>
      </c>
      <c r="F19" s="1682">
        <f t="shared" ref="F19:F29" si="0">E19/E$29</f>
        <v>0.2320637732506643</v>
      </c>
      <c r="H19" s="1683">
        <v>0.08</v>
      </c>
      <c r="I19" s="1682">
        <f t="shared" ref="I19:I26" si="1">H19/(1+J$17)^J19</f>
        <v>0.08</v>
      </c>
      <c r="J19" s="1681">
        <v>0</v>
      </c>
    </row>
    <row r="20" spans="4:13" ht="15">
      <c r="D20" s="1681">
        <v>2019</v>
      </c>
      <c r="E20" s="1681">
        <v>49.6</v>
      </c>
      <c r="F20" s="1682">
        <f t="shared" si="0"/>
        <v>0.14644227930321821</v>
      </c>
      <c r="H20" s="1683">
        <v>0.08</v>
      </c>
      <c r="I20" s="1682">
        <f t="shared" si="1"/>
        <v>7.6923076923076927E-2</v>
      </c>
      <c r="J20" s="1681">
        <v>1</v>
      </c>
      <c r="L20" s="1682"/>
      <c r="M20" s="1682"/>
    </row>
    <row r="21" spans="4:13" ht="15">
      <c r="D21" s="1681">
        <v>2020</v>
      </c>
      <c r="E21" s="1681">
        <v>16.5</v>
      </c>
      <c r="F21" s="1682">
        <f t="shared" si="0"/>
        <v>4.8715677590788313E-2</v>
      </c>
      <c r="H21" s="1683">
        <v>0.08</v>
      </c>
      <c r="I21" s="1682">
        <f t="shared" si="1"/>
        <v>7.3964497041420108E-2</v>
      </c>
      <c r="J21" s="1681">
        <v>2</v>
      </c>
      <c r="L21" s="1682"/>
      <c r="M21" s="1682"/>
    </row>
    <row r="22" spans="4:13" ht="15">
      <c r="D22" s="1681">
        <v>2021</v>
      </c>
      <c r="E22" s="1681">
        <v>15.6</v>
      </c>
      <c r="F22" s="1682">
        <f t="shared" si="0"/>
        <v>4.6058458813108945E-2</v>
      </c>
      <c r="H22" s="1683">
        <v>0.08</v>
      </c>
      <c r="I22" s="1682">
        <f t="shared" si="1"/>
        <v>7.1119708693673192E-2</v>
      </c>
      <c r="J22" s="1681">
        <v>3</v>
      </c>
      <c r="L22" s="1682"/>
      <c r="M22" s="1682"/>
    </row>
    <row r="23" spans="4:13" ht="15">
      <c r="D23" s="1681">
        <v>2022</v>
      </c>
      <c r="E23" s="1681">
        <v>15.7</v>
      </c>
      <c r="F23" s="1682">
        <f t="shared" si="0"/>
        <v>4.6353705343962208E-2</v>
      </c>
      <c r="H23" s="1683">
        <v>0.08</v>
      </c>
      <c r="I23" s="1682">
        <f t="shared" si="1"/>
        <v>6.8384335282378056E-2</v>
      </c>
      <c r="J23" s="1681">
        <v>4</v>
      </c>
      <c r="L23" s="1682"/>
      <c r="M23" s="1682"/>
    </row>
    <row r="24" spans="4:13" ht="15">
      <c r="D24" s="1681">
        <v>2023</v>
      </c>
      <c r="E24" s="1681">
        <v>27.2</v>
      </c>
      <c r="F24" s="1682">
        <f t="shared" si="0"/>
        <v>8.0307056392087392E-2</v>
      </c>
      <c r="H24" s="1683">
        <v>0.15</v>
      </c>
      <c r="I24" s="1682">
        <f t="shared" si="1"/>
        <v>0.12328906601390273</v>
      </c>
      <c r="J24" s="1681">
        <v>5</v>
      </c>
      <c r="L24" s="1682"/>
      <c r="M24" s="1682"/>
    </row>
    <row r="25" spans="4:13" ht="15">
      <c r="D25" s="1681">
        <v>2024</v>
      </c>
      <c r="E25" s="1681">
        <v>47.5</v>
      </c>
      <c r="F25" s="1682">
        <f t="shared" si="0"/>
        <v>0.14024210215529967</v>
      </c>
      <c r="H25" s="1683">
        <v>0.2</v>
      </c>
      <c r="I25" s="1682">
        <f t="shared" si="1"/>
        <v>0.15806290514602916</v>
      </c>
      <c r="J25" s="1681">
        <v>6</v>
      </c>
      <c r="L25" s="1682"/>
      <c r="M25" s="1682"/>
    </row>
    <row r="26" spans="4:13" ht="15">
      <c r="D26" s="1681">
        <v>2025</v>
      </c>
      <c r="E26" s="1681">
        <v>64.400000000000006</v>
      </c>
      <c r="F26" s="1682">
        <f t="shared" si="0"/>
        <v>0.19013876586950107</v>
      </c>
      <c r="H26" s="1682">
        <v>0.25</v>
      </c>
      <c r="I26" s="1682">
        <f t="shared" si="1"/>
        <v>0.18997945330051583</v>
      </c>
      <c r="J26" s="1681">
        <v>7</v>
      </c>
      <c r="L26" s="1682"/>
      <c r="M26" s="1682"/>
    </row>
    <row r="27" spans="4:13" ht="15">
      <c r="D27" s="1681">
        <v>2026</v>
      </c>
      <c r="E27" s="1681">
        <v>33</v>
      </c>
      <c r="F27" s="1682">
        <f t="shared" si="0"/>
        <v>9.7431355181576626E-2</v>
      </c>
      <c r="I27" s="1682"/>
    </row>
    <row r="28" spans="4:13" ht="15">
      <c r="D28" s="1681">
        <v>2027</v>
      </c>
      <c r="E28" s="1681">
        <v>-9.4</v>
      </c>
      <c r="F28" s="1682">
        <f t="shared" si="0"/>
        <v>-2.7753173900206676E-2</v>
      </c>
      <c r="I28" s="1682"/>
    </row>
    <row r="29" spans="4:13" ht="15">
      <c r="D29" s="1681" t="s">
        <v>1</v>
      </c>
      <c r="E29" s="1681">
        <f>SUM(E19:E28)</f>
        <v>338.7</v>
      </c>
      <c r="F29" s="1682">
        <f t="shared" si="0"/>
        <v>1</v>
      </c>
      <c r="H29" s="1682">
        <f>SUM(H19:H26)</f>
        <v>1</v>
      </c>
      <c r="I29" s="1682">
        <f>SUM(I19:I26)</f>
        <v>0.84172304240099594</v>
      </c>
    </row>
    <row r="31" spans="4:13">
      <c r="D31" s="1681" t="s">
        <v>3477</v>
      </c>
      <c r="E31" s="1681">
        <f>E21*3+SUM(E22:E26)</f>
        <v>219.9</v>
      </c>
    </row>
  </sheetData>
  <mergeCells count="7">
    <mergeCell ref="E17:F17"/>
    <mergeCell ref="A2:N2"/>
    <mergeCell ref="D4:F4"/>
    <mergeCell ref="H4:J4"/>
    <mergeCell ref="L4:N4"/>
    <mergeCell ref="A13:M13"/>
    <mergeCell ref="D16:J16"/>
  </mergeCells>
  <phoneticPr fontId="104" type="noConversion"/>
  <pageMargins left="0.75" right="0.75" top="1" bottom="1" header="0.5" footer="0.5"/>
  <pageSetup scale="74"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N75"/>
  <sheetViews>
    <sheetView tabSelected="1" zoomScale="90" zoomScaleNormal="90" zoomScalePageLayoutView="90" workbookViewId="0">
      <pane xSplit="1" ySplit="9" topLeftCell="B10" activePane="bottomRight" state="frozen"/>
      <selection activeCell="X67" sqref="X67"/>
      <selection pane="topRight" activeCell="X67" sqref="X67"/>
      <selection pane="bottomLeft" activeCell="X67" sqref="X67"/>
      <selection pane="bottomRight" activeCell="A3" sqref="A3:M3"/>
    </sheetView>
  </sheetViews>
  <sheetFormatPr baseColWidth="10" defaultColWidth="9.28515625" defaultRowHeight="15" x14ac:dyDescent="0"/>
  <cols>
    <col min="1" max="1" width="16.28515625" style="805" customWidth="1"/>
    <col min="2" max="13" width="9.7109375" style="805" customWidth="1"/>
    <col min="14" max="14" width="11.140625" style="805" bestFit="1" customWidth="1"/>
    <col min="15" max="16384" width="9.28515625" style="805"/>
  </cols>
  <sheetData>
    <row r="1" spans="1:14">
      <c r="B1" s="829"/>
      <c r="G1" s="829"/>
    </row>
    <row r="2" spans="1:14" ht="16" thickBot="1"/>
    <row r="3" spans="1:14" ht="32" customHeight="1" thickTop="1">
      <c r="A3" s="1734" t="s">
        <v>2419</v>
      </c>
      <c r="B3" s="1735"/>
      <c r="C3" s="1735"/>
      <c r="D3" s="1735"/>
      <c r="E3" s="1735"/>
      <c r="F3" s="1735"/>
      <c r="G3" s="1735"/>
      <c r="H3" s="1735"/>
      <c r="I3" s="1735"/>
      <c r="J3" s="1735"/>
      <c r="K3" s="1735"/>
      <c r="L3" s="1735"/>
      <c r="M3" s="1736"/>
    </row>
    <row r="4" spans="1:14" ht="12" customHeight="1">
      <c r="A4" s="806"/>
      <c r="B4" s="807"/>
      <c r="C4" s="807"/>
      <c r="D4" s="807"/>
      <c r="E4" s="807"/>
      <c r="F4" s="807"/>
      <c r="G4" s="807"/>
      <c r="H4" s="807"/>
      <c r="I4" s="807"/>
      <c r="J4" s="807"/>
      <c r="K4" s="807"/>
      <c r="L4" s="807"/>
      <c r="M4" s="808"/>
    </row>
    <row r="5" spans="1:14" ht="16" thickBot="1">
      <c r="A5" s="809"/>
      <c r="B5" s="839" t="s">
        <v>2411</v>
      </c>
      <c r="C5" s="839" t="s">
        <v>2412</v>
      </c>
      <c r="D5" s="839" t="s">
        <v>2413</v>
      </c>
      <c r="E5" s="839" t="s">
        <v>2414</v>
      </c>
      <c r="F5" s="839" t="s">
        <v>2415</v>
      </c>
      <c r="G5" s="839" t="s">
        <v>2416</v>
      </c>
      <c r="H5" s="839" t="s">
        <v>2417</v>
      </c>
      <c r="I5" s="839" t="s">
        <v>2429</v>
      </c>
      <c r="J5" s="839" t="s">
        <v>2430</v>
      </c>
      <c r="K5" s="839" t="s">
        <v>2431</v>
      </c>
      <c r="L5" s="839" t="s">
        <v>2432</v>
      </c>
      <c r="M5" s="840" t="s">
        <v>2433</v>
      </c>
    </row>
    <row r="6" spans="1:14" ht="21" customHeight="1">
      <c r="A6" s="809"/>
      <c r="B6" s="1737" t="s">
        <v>2418</v>
      </c>
      <c r="C6" s="1738"/>
      <c r="D6" s="1738"/>
      <c r="E6" s="1738"/>
      <c r="F6" s="1738"/>
      <c r="G6" s="1738"/>
      <c r="H6" s="1738"/>
      <c r="I6" s="1738"/>
      <c r="J6" s="1738"/>
      <c r="K6" s="1738"/>
      <c r="L6" s="1751" t="s">
        <v>2424</v>
      </c>
      <c r="M6" s="1739" t="s">
        <v>2428</v>
      </c>
    </row>
    <row r="7" spans="1:14" ht="21" customHeight="1">
      <c r="A7" s="809"/>
      <c r="B7" s="1748" t="s">
        <v>2421</v>
      </c>
      <c r="C7" s="1749"/>
      <c r="D7" s="1749"/>
      <c r="E7" s="1748" t="s">
        <v>2422</v>
      </c>
      <c r="F7" s="1749"/>
      <c r="G7" s="1749"/>
      <c r="H7" s="1749"/>
      <c r="I7" s="1749"/>
      <c r="J7" s="1749"/>
      <c r="K7" s="1749"/>
      <c r="L7" s="1752"/>
      <c r="M7" s="1740"/>
    </row>
    <row r="8" spans="1:14" ht="85" customHeight="1">
      <c r="A8" s="809"/>
      <c r="B8" s="1741" t="s">
        <v>2420</v>
      </c>
      <c r="C8" s="1742" t="s">
        <v>2434</v>
      </c>
      <c r="D8" s="1743" t="s">
        <v>2435</v>
      </c>
      <c r="E8" s="1741" t="s">
        <v>2423</v>
      </c>
      <c r="F8" s="812" t="s">
        <v>2425</v>
      </c>
      <c r="G8" s="812" t="s">
        <v>2436</v>
      </c>
      <c r="H8" s="812" t="s">
        <v>2426</v>
      </c>
      <c r="I8" s="812" t="s">
        <v>2427</v>
      </c>
      <c r="J8" s="1744" t="s">
        <v>780</v>
      </c>
      <c r="K8" s="1750" t="s">
        <v>2271</v>
      </c>
      <c r="L8" s="1752"/>
      <c r="M8" s="1740"/>
      <c r="N8" s="813"/>
    </row>
    <row r="9" spans="1:14" ht="33" customHeight="1">
      <c r="A9" s="809"/>
      <c r="B9" s="1741"/>
      <c r="C9" s="1742"/>
      <c r="D9" s="1744"/>
      <c r="E9" s="1741"/>
      <c r="F9" s="812"/>
      <c r="G9" s="812"/>
      <c r="H9" s="812"/>
      <c r="I9" s="812"/>
      <c r="J9" s="1744"/>
      <c r="K9" s="1744"/>
      <c r="L9" s="1752"/>
      <c r="M9" s="1740"/>
      <c r="N9" s="813"/>
    </row>
    <row r="10" spans="1:14" ht="14" customHeight="1">
      <c r="A10" s="921">
        <v>1966</v>
      </c>
      <c r="B10" s="922">
        <f>'Assets(BoP)'!ER58</f>
        <v>5.2309999999999999</v>
      </c>
      <c r="C10" s="923">
        <f>L10/(1-L10)*B10</f>
        <v>5.8231352383452748</v>
      </c>
      <c r="D10" s="923">
        <f>C10+B10</f>
        <v>11.054135238345275</v>
      </c>
      <c r="E10" s="922">
        <f>'Assets(MOFA)'!BW11/1000</f>
        <v>4.4590324503311258</v>
      </c>
      <c r="F10" s="929">
        <f>'Assets(MOFA)'!EO11/1000</f>
        <v>5.8310000000000004</v>
      </c>
      <c r="G10" s="930">
        <f>'Assets(MOFA)'!HP11/1000</f>
        <v>2.2866125827814572</v>
      </c>
      <c r="H10" s="930"/>
      <c r="I10" s="930">
        <f>E10-(F10-G10-H10)</f>
        <v>0.91464503311258261</v>
      </c>
      <c r="J10" s="923">
        <f>'Assets(MOFA)'!FJ11/1000</f>
        <v>4.9637830224523514</v>
      </c>
      <c r="K10" s="923">
        <f>E10+J10</f>
        <v>9.4228154727834763</v>
      </c>
      <c r="L10" s="931">
        <f>J10/K10</f>
        <v>0.52678342654481192</v>
      </c>
      <c r="M10" s="932">
        <f t="shared" ref="M10:M41" si="0">B10/E10</f>
        <v>1.1731244520572053</v>
      </c>
      <c r="N10" s="813"/>
    </row>
    <row r="11" spans="1:14" ht="14" customHeight="1">
      <c r="A11" s="826">
        <v>1967</v>
      </c>
      <c r="B11" s="814">
        <f>'Assets(BoP)'!ER59</f>
        <v>5.5220000000000002</v>
      </c>
      <c r="C11" s="828">
        <f t="shared" ref="C11:C59" si="1">L11/(1-L11)*B11</f>
        <v>6.1501347760195211</v>
      </c>
      <c r="D11" s="828">
        <f t="shared" ref="D11:D59" si="2">C11+B11</f>
        <v>11.672134776019522</v>
      </c>
      <c r="E11" s="814">
        <f>'Assets(MOFA)'!BW12/1000</f>
        <v>4.8468285879715056</v>
      </c>
      <c r="F11" s="827"/>
      <c r="G11" s="834"/>
      <c r="H11" s="834"/>
      <c r="I11" s="834"/>
      <c r="J11" s="828">
        <f>'Assets(MOFA)'!FJ12/1000</f>
        <v>5.3981617262385262</v>
      </c>
      <c r="K11" s="828">
        <f t="shared" ref="K11:K59" si="3">E11+J11</f>
        <v>10.244990314210032</v>
      </c>
      <c r="L11" s="836">
        <f t="shared" ref="L11:L60" si="4">J11/K11</f>
        <v>0.52690745043957288</v>
      </c>
      <c r="M11" s="837">
        <f t="shared" si="0"/>
        <v>1.1393016897077988</v>
      </c>
      <c r="N11" s="813"/>
    </row>
    <row r="12" spans="1:14" ht="14" customHeight="1">
      <c r="A12" s="826">
        <v>1968</v>
      </c>
      <c r="B12" s="814">
        <f>'Assets(BoP)'!ER60</f>
        <v>6.4859999999999998</v>
      </c>
      <c r="C12" s="828">
        <f t="shared" si="1"/>
        <v>6.8243031911807428</v>
      </c>
      <c r="D12" s="828">
        <f t="shared" si="2"/>
        <v>13.310303191180743</v>
      </c>
      <c r="E12" s="814">
        <f>'Assets(MOFA)'!BW13/1000</f>
        <v>5.692960923865118</v>
      </c>
      <c r="F12" s="827"/>
      <c r="G12" s="834"/>
      <c r="H12" s="834"/>
      <c r="I12" s="834"/>
      <c r="J12" s="828">
        <f>'Assets(MOFA)'!FJ13/1000</f>
        <v>5.9898999999999996</v>
      </c>
      <c r="K12" s="828">
        <f t="shared" si="3"/>
        <v>11.682860923865118</v>
      </c>
      <c r="L12" s="836">
        <f t="shared" si="4"/>
        <v>0.51270832025092028</v>
      </c>
      <c r="M12" s="837">
        <f t="shared" si="0"/>
        <v>1.1393016897077988</v>
      </c>
      <c r="N12" s="813"/>
    </row>
    <row r="13" spans="1:14" ht="14" customHeight="1">
      <c r="A13" s="856">
        <v>1969</v>
      </c>
      <c r="B13" s="857">
        <f>'Assets(BoP)'!ER61</f>
        <v>7.4850000000000003</v>
      </c>
      <c r="C13" s="858">
        <f t="shared" si="1"/>
        <v>7.8205655537457304</v>
      </c>
      <c r="D13" s="858">
        <f t="shared" si="2"/>
        <v>15.30556555374573</v>
      </c>
      <c r="E13" s="857">
        <f>'Assets(MOFA)'!BW14/1000</f>
        <v>6.5698138321200146</v>
      </c>
      <c r="F13" s="859"/>
      <c r="G13" s="860"/>
      <c r="H13" s="860"/>
      <c r="I13" s="860"/>
      <c r="J13" s="858">
        <f>'Assets(MOFA)'!FJ14/1000</f>
        <v>6.86435</v>
      </c>
      <c r="K13" s="858">
        <f t="shared" si="3"/>
        <v>13.434163832120014</v>
      </c>
      <c r="L13" s="861">
        <f t="shared" si="4"/>
        <v>0.51096220693601246</v>
      </c>
      <c r="M13" s="862">
        <f t="shared" si="0"/>
        <v>1.1393016897077985</v>
      </c>
      <c r="N13" s="813"/>
    </row>
    <row r="14" spans="1:14" ht="14" customHeight="1">
      <c r="A14" s="863">
        <v>1970</v>
      </c>
      <c r="B14" s="864">
        <f>'Assets(BoP)'!ER62</f>
        <v>8.0229999999999997</v>
      </c>
      <c r="C14" s="865">
        <f t="shared" si="1"/>
        <v>8.5062270088528305</v>
      </c>
      <c r="D14" s="865">
        <f t="shared" si="2"/>
        <v>16.529227008852828</v>
      </c>
      <c r="E14" s="864">
        <f>'Assets(MOFA)'!BW15/1000</f>
        <v>7.0420329158448727</v>
      </c>
      <c r="F14" s="883">
        <f>'Assets(MOFA)'!EO15/1000</f>
        <v>9.95279582257686</v>
      </c>
      <c r="G14" s="866">
        <f>'Assets(MOFA)'!HP15/1000</f>
        <v>4.430211448157749</v>
      </c>
      <c r="H14" s="866"/>
      <c r="I14" s="866">
        <f t="shared" ref="I14:I59" si="5">E14-(F14-G14-H14)</f>
        <v>1.5194485414257617</v>
      </c>
      <c r="J14" s="865">
        <f>'Assets(MOFA)'!FJ15/1000</f>
        <v>7.4661760670560033</v>
      </c>
      <c r="K14" s="865">
        <f t="shared" si="3"/>
        <v>14.508208982900875</v>
      </c>
      <c r="L14" s="867">
        <f t="shared" si="4"/>
        <v>0.51461735048450907</v>
      </c>
      <c r="M14" s="868">
        <f t="shared" si="0"/>
        <v>1.1393016897077985</v>
      </c>
      <c r="N14" s="813"/>
    </row>
    <row r="15" spans="1:14" ht="14" customHeight="1">
      <c r="A15" s="826">
        <v>1971</v>
      </c>
      <c r="B15" s="814">
        <f>'Assets(BoP)'!ER63</f>
        <v>9.0020000000000007</v>
      </c>
      <c r="C15" s="828">
        <f t="shared" si="1"/>
        <v>9.7749566132071095</v>
      </c>
      <c r="D15" s="828">
        <f t="shared" si="2"/>
        <v>18.776956613207112</v>
      </c>
      <c r="E15" s="814">
        <f>'Assets(MOFA)'!BW16/1000</f>
        <v>8.9115390885937611</v>
      </c>
      <c r="F15" s="827"/>
      <c r="G15" s="834"/>
      <c r="H15" s="834"/>
      <c r="I15" s="834"/>
      <c r="J15" s="828">
        <f>'Assets(MOFA)'!FJ16/1000</f>
        <v>9.6767282768166236</v>
      </c>
      <c r="K15" s="828">
        <f t="shared" si="3"/>
        <v>18.588267365410385</v>
      </c>
      <c r="L15" s="836">
        <f t="shared" si="4"/>
        <v>0.52058258505703303</v>
      </c>
      <c r="M15" s="838">
        <f t="shared" si="0"/>
        <v>1.0101509863231173</v>
      </c>
      <c r="N15" s="813"/>
    </row>
    <row r="16" spans="1:14" ht="14" customHeight="1">
      <c r="A16" s="826">
        <v>1972</v>
      </c>
      <c r="B16" s="814">
        <f>'Assets(BoP)'!ER64</f>
        <v>10.8</v>
      </c>
      <c r="C16" s="828">
        <f t="shared" si="1"/>
        <v>11.724216407660627</v>
      </c>
      <c r="D16" s="828">
        <f t="shared" si="2"/>
        <v>22.524216407660628</v>
      </c>
      <c r="E16" s="814">
        <f>'Assets(MOFA)'!BW17/1000</f>
        <v>10.691471023862764</v>
      </c>
      <c r="F16" s="827"/>
      <c r="G16" s="834"/>
      <c r="H16" s="834"/>
      <c r="I16" s="834"/>
      <c r="J16" s="828">
        <f>'Assets(MOFA)'!FJ17/1000</f>
        <v>11.606399999999997</v>
      </c>
      <c r="K16" s="828">
        <f t="shared" si="3"/>
        <v>22.297871023862761</v>
      </c>
      <c r="L16" s="836">
        <f t="shared" si="4"/>
        <v>0.52051606126786931</v>
      </c>
      <c r="M16" s="838">
        <f t="shared" si="0"/>
        <v>1.0101509863231173</v>
      </c>
      <c r="N16" s="813"/>
    </row>
    <row r="17" spans="1:14" ht="14" customHeight="1">
      <c r="A17" s="826">
        <v>1973</v>
      </c>
      <c r="B17" s="814">
        <f>'Assets(BoP)'!ER65</f>
        <v>16.483000000000001</v>
      </c>
      <c r="C17" s="828">
        <f t="shared" si="1"/>
        <v>17.82303681924655</v>
      </c>
      <c r="D17" s="828">
        <f t="shared" si="2"/>
        <v>34.30603681924655</v>
      </c>
      <c r="E17" s="814">
        <f>'Assets(MOFA)'!BW18/1000</f>
        <v>16.317362674660181</v>
      </c>
      <c r="F17" s="827"/>
      <c r="G17" s="834"/>
      <c r="H17" s="834"/>
      <c r="I17" s="834"/>
      <c r="J17" s="828">
        <f>'Assets(MOFA)'!FJ18/1000</f>
        <v>17.643933491686457</v>
      </c>
      <c r="K17" s="828">
        <f t="shared" si="3"/>
        <v>33.961296166346642</v>
      </c>
      <c r="L17" s="836">
        <f t="shared" si="4"/>
        <v>0.51953062701918917</v>
      </c>
      <c r="M17" s="838">
        <f t="shared" si="0"/>
        <v>1.0101509863231173</v>
      </c>
      <c r="N17" s="813"/>
    </row>
    <row r="18" spans="1:14" ht="14" customHeight="1">
      <c r="A18" s="826">
        <v>1974</v>
      </c>
      <c r="B18" s="814">
        <f>'Assets(BoP)'!ER66</f>
        <v>19.141999999999999</v>
      </c>
      <c r="C18" s="828">
        <f t="shared" si="1"/>
        <v>42.83175175233179</v>
      </c>
      <c r="D18" s="828">
        <f t="shared" si="2"/>
        <v>61.973751752331793</v>
      </c>
      <c r="E18" s="814">
        <f>'Assets(MOFA)'!BW19/1000</f>
        <v>18.949642438776021</v>
      </c>
      <c r="F18" s="827"/>
      <c r="G18" s="834"/>
      <c r="H18" s="834"/>
      <c r="I18" s="834"/>
      <c r="J18" s="828">
        <f>'Assets(MOFA)'!FJ19/1000</f>
        <v>42.401336366790581</v>
      </c>
      <c r="K18" s="828">
        <f t="shared" si="3"/>
        <v>61.350978805566598</v>
      </c>
      <c r="L18" s="836">
        <f t="shared" si="4"/>
        <v>0.69112730053042537</v>
      </c>
      <c r="M18" s="838">
        <f t="shared" si="0"/>
        <v>1.0101509863231173</v>
      </c>
      <c r="N18" s="813"/>
    </row>
    <row r="19" spans="1:14" ht="14" customHeight="1">
      <c r="A19" s="826">
        <v>1975</v>
      </c>
      <c r="B19" s="814">
        <f>'Assets(BoP)'!ER67</f>
        <v>16.414000000000001</v>
      </c>
      <c r="C19" s="828">
        <f t="shared" si="1"/>
        <v>42.831751752331776</v>
      </c>
      <c r="D19" s="828">
        <f t="shared" si="2"/>
        <v>59.245751752331778</v>
      </c>
      <c r="E19" s="814">
        <f>'Assets(MOFA)'!BW20/1000</f>
        <v>16.249056054229946</v>
      </c>
      <c r="F19" s="827"/>
      <c r="G19" s="834"/>
      <c r="H19" s="834"/>
      <c r="I19" s="834"/>
      <c r="J19" s="828">
        <f>'Assets(MOFA)'!FJ20/1000</f>
        <v>42.401336366790581</v>
      </c>
      <c r="K19" s="828">
        <f t="shared" si="3"/>
        <v>58.650392421020527</v>
      </c>
      <c r="L19" s="836">
        <f t="shared" si="4"/>
        <v>0.72295059958701624</v>
      </c>
      <c r="M19" s="838">
        <f t="shared" si="0"/>
        <v>1.0101509863231173</v>
      </c>
      <c r="N19" s="813"/>
    </row>
    <row r="20" spans="1:14" ht="14" customHeight="1">
      <c r="A20" s="826">
        <v>1976</v>
      </c>
      <c r="B20" s="814">
        <f>'Assets(BoP)'!ER68</f>
        <v>19.027999999999999</v>
      </c>
      <c r="C20" s="828">
        <f t="shared" si="1"/>
        <v>57.994687411684183</v>
      </c>
      <c r="D20" s="828">
        <f t="shared" si="2"/>
        <v>77.022687411684188</v>
      </c>
      <c r="E20" s="814">
        <f>'Assets(MOFA)'!BW21/1000</f>
        <v>18.836788022413025</v>
      </c>
      <c r="F20" s="827"/>
      <c r="G20" s="834"/>
      <c r="H20" s="834"/>
      <c r="I20" s="834"/>
      <c r="J20" s="828">
        <f>'Assets(MOFA)'!FJ21/1000</f>
        <v>57.411899999999996</v>
      </c>
      <c r="K20" s="828">
        <f t="shared" si="3"/>
        <v>76.24868802241302</v>
      </c>
      <c r="L20" s="836">
        <f t="shared" si="4"/>
        <v>0.75295590637735277</v>
      </c>
      <c r="M20" s="838">
        <f t="shared" si="0"/>
        <v>1.0101509863231173</v>
      </c>
      <c r="N20" s="813"/>
    </row>
    <row r="21" spans="1:14" ht="14" customHeight="1">
      <c r="A21" s="826">
        <v>1977</v>
      </c>
      <c r="B21" s="814">
        <f>'Assets(BoP)'!ER69</f>
        <v>18.822143328158646</v>
      </c>
      <c r="C21" s="828">
        <f t="shared" si="1"/>
        <v>50.573209130266868</v>
      </c>
      <c r="D21" s="828">
        <f t="shared" si="2"/>
        <v>69.395352458425521</v>
      </c>
      <c r="E21" s="814">
        <f>'Assets(MOFA)'!BW22/1000</f>
        <v>18.632999999999999</v>
      </c>
      <c r="F21" s="827">
        <f>'Assets(MOFA)'!EO22/1000</f>
        <v>20.099</v>
      </c>
      <c r="G21" s="834">
        <f>'Assets(MOFA)'!HP22/1000</f>
        <v>2.472</v>
      </c>
      <c r="H21" s="834">
        <f>'Assets(MOFA)'!IM22/1000</f>
        <v>-1.006</v>
      </c>
      <c r="I21" s="834">
        <f t="shared" si="5"/>
        <v>0</v>
      </c>
      <c r="J21" s="828">
        <f>'Assets(MOFA)'!FJ22/1000</f>
        <v>50.064999999999998</v>
      </c>
      <c r="K21" s="828">
        <f t="shared" si="3"/>
        <v>68.697999999999993</v>
      </c>
      <c r="L21" s="836">
        <f t="shared" si="4"/>
        <v>0.72876939648898076</v>
      </c>
      <c r="M21" s="838">
        <f t="shared" si="0"/>
        <v>1.0101509863231175</v>
      </c>
      <c r="N21" s="813"/>
    </row>
    <row r="22" spans="1:14" ht="14" customHeight="1">
      <c r="A22" s="826">
        <v>1978</v>
      </c>
      <c r="B22" s="814">
        <f>'Assets(BoP)'!ER70</f>
        <v>24.609980017026388</v>
      </c>
      <c r="C22" s="828">
        <f t="shared" si="1"/>
        <v>49.789521193416547</v>
      </c>
      <c r="D22" s="828">
        <f t="shared" si="2"/>
        <v>74.399501210442935</v>
      </c>
      <c r="E22" s="814">
        <f>'Assets(MOFA)'!BW23/1000</f>
        <v>24.112179840390386</v>
      </c>
      <c r="F22" s="827"/>
      <c r="G22" s="834"/>
      <c r="H22" s="834"/>
      <c r="I22" s="834"/>
      <c r="J22" s="828">
        <f>'Assets(MOFA)'!FJ23/1000</f>
        <v>48.782399999999996</v>
      </c>
      <c r="K22" s="828">
        <f t="shared" si="3"/>
        <v>72.894579840390378</v>
      </c>
      <c r="L22" s="836">
        <f t="shared" si="4"/>
        <v>0.66921848108341808</v>
      </c>
      <c r="M22" s="837">
        <f t="shared" si="0"/>
        <v>1.0206451751741721</v>
      </c>
      <c r="N22" s="813"/>
    </row>
    <row r="23" spans="1:14" ht="14" customHeight="1">
      <c r="A23" s="856">
        <v>1979</v>
      </c>
      <c r="B23" s="857">
        <f>'Assets(BoP)'!ER71</f>
        <v>37.428814698783114</v>
      </c>
      <c r="C23" s="858">
        <f t="shared" si="1"/>
        <v>69.45248282611405</v>
      </c>
      <c r="D23" s="858">
        <f t="shared" si="2"/>
        <v>106.88129752489716</v>
      </c>
      <c r="E23" s="857">
        <f>'Assets(MOFA)'!BW24/1000</f>
        <v>36.164481217912879</v>
      </c>
      <c r="F23" s="859"/>
      <c r="G23" s="860"/>
      <c r="H23" s="860"/>
      <c r="I23" s="860"/>
      <c r="J23" s="858">
        <f>'Assets(MOFA)'!FJ24/1000</f>
        <v>67.106399999999994</v>
      </c>
      <c r="K23" s="858">
        <f t="shared" si="3"/>
        <v>103.27088121791287</v>
      </c>
      <c r="L23" s="861">
        <f t="shared" si="4"/>
        <v>0.64980950301371143</v>
      </c>
      <c r="M23" s="862">
        <f t="shared" si="0"/>
        <v>1.0349606419970983</v>
      </c>
      <c r="N23" s="813"/>
    </row>
    <row r="24" spans="1:14" ht="14" customHeight="1">
      <c r="A24" s="863">
        <v>1980</v>
      </c>
      <c r="B24" s="864">
        <f>'Assets(BoP)'!ER72</f>
        <v>36.559701889929393</v>
      </c>
      <c r="C24" s="865">
        <f t="shared" si="1"/>
        <v>37.405672621726978</v>
      </c>
      <c r="D24" s="865">
        <f t="shared" si="2"/>
        <v>73.965374511656364</v>
      </c>
      <c r="E24" s="864">
        <f>'Assets(MOFA)'!BW25/1000</f>
        <v>35.182301530015764</v>
      </c>
      <c r="F24" s="883"/>
      <c r="G24" s="866"/>
      <c r="H24" s="866"/>
      <c r="I24" s="866"/>
      <c r="J24" s="865">
        <f>'Assets(MOFA)'!FJ25/1000</f>
        <v>35.996399999999994</v>
      </c>
      <c r="K24" s="865">
        <f t="shared" si="3"/>
        <v>71.178701530015758</v>
      </c>
      <c r="L24" s="867">
        <f t="shared" si="4"/>
        <v>0.50571869430380745</v>
      </c>
      <c r="M24" s="868">
        <f t="shared" si="0"/>
        <v>1.039150376752314</v>
      </c>
      <c r="N24" s="813"/>
    </row>
    <row r="25" spans="1:14" ht="14" customHeight="1">
      <c r="A25" s="826">
        <v>1981</v>
      </c>
      <c r="B25" s="814">
        <f>'Assets(BoP)'!ER73</f>
        <v>32.172243617607293</v>
      </c>
      <c r="C25" s="828">
        <f t="shared" si="1"/>
        <v>34.518118521457346</v>
      </c>
      <c r="D25" s="828">
        <f t="shared" si="2"/>
        <v>66.690362139064632</v>
      </c>
      <c r="E25" s="814">
        <f>'Assets(MOFA)'!BW26/1000</f>
        <v>30.828318863416868</v>
      </c>
      <c r="F25" s="827"/>
      <c r="G25" s="834"/>
      <c r="H25" s="834"/>
      <c r="I25" s="834"/>
      <c r="J25" s="828">
        <f>'Assets(MOFA)'!FJ26/1000</f>
        <v>33.0762</v>
      </c>
      <c r="K25" s="828">
        <f t="shared" si="3"/>
        <v>63.904518863416868</v>
      </c>
      <c r="L25" s="836">
        <f t="shared" si="4"/>
        <v>0.51758781050669933</v>
      </c>
      <c r="M25" s="837">
        <f t="shared" si="0"/>
        <v>1.0435938385140171</v>
      </c>
      <c r="N25" s="813"/>
    </row>
    <row r="26" spans="1:14" ht="14" customHeight="1">
      <c r="A26" s="826">
        <v>1982</v>
      </c>
      <c r="B26" s="814">
        <f>'Assets(BoP)'!ER74</f>
        <v>26.701999999999998</v>
      </c>
      <c r="C26" s="828">
        <f t="shared" si="1"/>
        <v>34.383428498227929</v>
      </c>
      <c r="D26" s="828">
        <f t="shared" si="2"/>
        <v>61.085428498227927</v>
      </c>
      <c r="E26" s="814">
        <f>'Assets(MOFA)'!BW27/1000</f>
        <v>23.419</v>
      </c>
      <c r="F26" s="827">
        <f>'Assets(MOFA)'!EO27/1000</f>
        <v>26.138999999999999</v>
      </c>
      <c r="G26" s="834">
        <f>'Assets(MOFA)'!HP27/1000</f>
        <v>3.1030000000000002</v>
      </c>
      <c r="H26" s="834">
        <f>'Assets(MOFA)'!IM27/1000</f>
        <v>-0.38300000000000001</v>
      </c>
      <c r="I26" s="834">
        <f t="shared" si="5"/>
        <v>0</v>
      </c>
      <c r="J26" s="828">
        <f>'Assets(MOFA)'!FJ27/1000</f>
        <v>30.155999999999999</v>
      </c>
      <c r="K26" s="828">
        <f t="shared" si="3"/>
        <v>53.575000000000003</v>
      </c>
      <c r="L26" s="836">
        <f t="shared" si="4"/>
        <v>0.56287447503499766</v>
      </c>
      <c r="M26" s="837">
        <f t="shared" si="0"/>
        <v>1.1401853196122804</v>
      </c>
      <c r="N26" s="813"/>
    </row>
    <row r="27" spans="1:14" ht="14" customHeight="1">
      <c r="A27" s="826">
        <v>1983</v>
      </c>
      <c r="B27" s="814">
        <f>'Assets(BoP)'!ER75</f>
        <v>30.821000000000002</v>
      </c>
      <c r="C27" s="828">
        <f t="shared" si="1"/>
        <v>33.261327099455428</v>
      </c>
      <c r="D27" s="828">
        <f t="shared" si="2"/>
        <v>64.082327099455426</v>
      </c>
      <c r="E27" s="814">
        <f>'Assets(MOFA)'!BW28/1000</f>
        <v>27.911999999999999</v>
      </c>
      <c r="F27" s="827">
        <f>'Assets(MOFA)'!EO28/1000</f>
        <v>30.6</v>
      </c>
      <c r="G27" s="834">
        <f>'Assets(MOFA)'!HP28/1000</f>
        <v>3.8180000000000001</v>
      </c>
      <c r="H27" s="834">
        <f>'Assets(MOFA)'!IM28/1000</f>
        <v>-1.1299999999999999</v>
      </c>
      <c r="I27" s="834">
        <f t="shared" si="5"/>
        <v>0</v>
      </c>
      <c r="J27" s="828">
        <f>'Assets(MOFA)'!FJ28/1000</f>
        <v>30.122</v>
      </c>
      <c r="K27" s="828">
        <f t="shared" si="3"/>
        <v>58.033999999999999</v>
      </c>
      <c r="L27" s="836">
        <f t="shared" si="4"/>
        <v>0.51904056242892094</v>
      </c>
      <c r="M27" s="837">
        <f t="shared" si="0"/>
        <v>1.1042204069934078</v>
      </c>
      <c r="N27" s="813"/>
    </row>
    <row r="28" spans="1:14" ht="14" customHeight="1">
      <c r="A28" s="826">
        <v>1984</v>
      </c>
      <c r="B28" s="814">
        <f>'Assets(BoP)'!ER76</f>
        <v>35.074999999999996</v>
      </c>
      <c r="C28" s="828">
        <f t="shared" si="1"/>
        <v>38.158391636705197</v>
      </c>
      <c r="D28" s="828">
        <f t="shared" si="2"/>
        <v>73.233391636705193</v>
      </c>
      <c r="E28" s="814">
        <f>'Assets(MOFA)'!BW29/1000</f>
        <v>30.873000000000001</v>
      </c>
      <c r="F28" s="827">
        <f>'Assets(MOFA)'!EO29/1000</f>
        <v>36.747</v>
      </c>
      <c r="G28" s="834">
        <f>'Assets(MOFA)'!HP29/1000</f>
        <v>5.6040000000000001</v>
      </c>
      <c r="H28" s="834">
        <f>'Assets(MOFA)'!IM29/1000</f>
        <v>0.27</v>
      </c>
      <c r="I28" s="834">
        <f t="shared" si="5"/>
        <v>0</v>
      </c>
      <c r="J28" s="828">
        <f>'Assets(MOFA)'!FJ29/1000</f>
        <v>33.587000000000003</v>
      </c>
      <c r="K28" s="828">
        <f t="shared" si="3"/>
        <v>64.460000000000008</v>
      </c>
      <c r="L28" s="836">
        <f t="shared" si="4"/>
        <v>0.5210518150791188</v>
      </c>
      <c r="M28" s="837">
        <f t="shared" si="0"/>
        <v>1.1361059825737698</v>
      </c>
      <c r="N28" s="813"/>
    </row>
    <row r="29" spans="1:14" ht="14" customHeight="1">
      <c r="A29" s="826">
        <v>1985</v>
      </c>
      <c r="B29" s="814">
        <f>'Assets(BoP)'!ER77</f>
        <v>32.851999999999997</v>
      </c>
      <c r="C29" s="828">
        <f t="shared" si="1"/>
        <v>36.771891398431151</v>
      </c>
      <c r="D29" s="828">
        <f t="shared" si="2"/>
        <v>69.623891398431141</v>
      </c>
      <c r="E29" s="814">
        <f>'Assets(MOFA)'!BW30/1000</f>
        <v>29.576000000000001</v>
      </c>
      <c r="F29" s="827">
        <f>'Assets(MOFA)'!EO30/1000</f>
        <v>36.634</v>
      </c>
      <c r="G29" s="834">
        <f>'Assets(MOFA)'!HP30/1000</f>
        <v>6.7439999999999998</v>
      </c>
      <c r="H29" s="834">
        <f>'Assets(MOFA)'!IM30/1000</f>
        <v>0.314</v>
      </c>
      <c r="I29" s="834">
        <f t="shared" si="5"/>
        <v>0</v>
      </c>
      <c r="J29" s="828">
        <f>'Assets(MOFA)'!FJ30/1000</f>
        <v>33.104999999999997</v>
      </c>
      <c r="K29" s="828">
        <f t="shared" si="3"/>
        <v>62.680999999999997</v>
      </c>
      <c r="L29" s="836">
        <f t="shared" si="4"/>
        <v>0.52815047622086431</v>
      </c>
      <c r="M29" s="837">
        <f t="shared" si="0"/>
        <v>1.1107654855288069</v>
      </c>
      <c r="N29" s="813"/>
    </row>
    <row r="30" spans="1:14" ht="14" customHeight="1">
      <c r="A30" s="826">
        <v>1986</v>
      </c>
      <c r="B30" s="814">
        <f>'Assets(BoP)'!ER78</f>
        <v>34.201000000000001</v>
      </c>
      <c r="C30" s="828">
        <f t="shared" si="1"/>
        <v>26.212977308343262</v>
      </c>
      <c r="D30" s="828">
        <f t="shared" si="2"/>
        <v>60.413977308343263</v>
      </c>
      <c r="E30" s="814">
        <f>'Assets(MOFA)'!BW31/1000</f>
        <v>31.905999999999999</v>
      </c>
      <c r="F30" s="827">
        <f>'Assets(MOFA)'!EO31/1000</f>
        <v>40.779000000000003</v>
      </c>
      <c r="G30" s="834">
        <f>'Assets(MOFA)'!HP31/1000</f>
        <v>8.1039999999999992</v>
      </c>
      <c r="H30" s="834">
        <f>'Assets(MOFA)'!IM31/1000</f>
        <v>0.76900000000000002</v>
      </c>
      <c r="I30" s="834">
        <f t="shared" si="5"/>
        <v>0</v>
      </c>
      <c r="J30" s="828">
        <f>'Assets(MOFA)'!FJ31/1000</f>
        <v>24.454000000000001</v>
      </c>
      <c r="K30" s="828">
        <f t="shared" si="3"/>
        <v>56.36</v>
      </c>
      <c r="L30" s="836">
        <f t="shared" si="4"/>
        <v>0.43388928317955999</v>
      </c>
      <c r="M30" s="837">
        <f t="shared" si="0"/>
        <v>1.0719300445057356</v>
      </c>
      <c r="N30" s="813"/>
    </row>
    <row r="31" spans="1:14" ht="14" customHeight="1">
      <c r="A31" s="826">
        <v>1987</v>
      </c>
      <c r="B31" s="814">
        <f>'Assets(BoP)'!ER79</f>
        <v>42.336999999999996</v>
      </c>
      <c r="C31" s="828">
        <f t="shared" si="1"/>
        <v>27.691876340812211</v>
      </c>
      <c r="D31" s="828">
        <f t="shared" si="2"/>
        <v>70.028876340812204</v>
      </c>
      <c r="E31" s="814">
        <f>'Assets(MOFA)'!BW32/1000</f>
        <v>42.698</v>
      </c>
      <c r="F31" s="827">
        <f>'Assets(MOFA)'!EO32/1000</f>
        <v>54.246000000000002</v>
      </c>
      <c r="G31" s="834">
        <f>'Assets(MOFA)'!HP32/1000</f>
        <v>10.398</v>
      </c>
      <c r="H31" s="834">
        <f>'Assets(MOFA)'!IM32/1000</f>
        <v>1.1499999999999999</v>
      </c>
      <c r="I31" s="834">
        <f t="shared" si="5"/>
        <v>0</v>
      </c>
      <c r="J31" s="828">
        <f>'Assets(MOFA)'!FJ32/1000</f>
        <v>27.928000000000001</v>
      </c>
      <c r="K31" s="828">
        <f t="shared" si="3"/>
        <v>70.626000000000005</v>
      </c>
      <c r="L31" s="836">
        <f t="shared" si="4"/>
        <v>0.39543510888341404</v>
      </c>
      <c r="M31" s="837">
        <f t="shared" si="0"/>
        <v>0.99154527144128524</v>
      </c>
      <c r="N31" s="813"/>
    </row>
    <row r="32" spans="1:14" ht="14" customHeight="1">
      <c r="A32" s="826">
        <v>1988</v>
      </c>
      <c r="B32" s="814">
        <f>'Assets(BoP)'!ER80</f>
        <v>53.359000000000002</v>
      </c>
      <c r="C32" s="828">
        <f t="shared" si="1"/>
        <v>33.296879676277186</v>
      </c>
      <c r="D32" s="828">
        <f t="shared" si="2"/>
        <v>86.655879676277181</v>
      </c>
      <c r="E32" s="814">
        <f>'Assets(MOFA)'!BW33/1000</f>
        <v>49.424999999999997</v>
      </c>
      <c r="F32" s="827">
        <f>'Assets(MOFA)'!EO33/1000</f>
        <v>66.399000000000001</v>
      </c>
      <c r="G32" s="834">
        <f>'Assets(MOFA)'!HP33/1000</f>
        <v>15.856</v>
      </c>
      <c r="H32" s="834">
        <f>'Assets(MOFA)'!IM33/1000</f>
        <v>1.1180000000000001</v>
      </c>
      <c r="I32" s="834">
        <f t="shared" si="5"/>
        <v>0</v>
      </c>
      <c r="J32" s="828">
        <f>'Assets(MOFA)'!FJ33/1000</f>
        <v>30.841999999999999</v>
      </c>
      <c r="K32" s="828">
        <f t="shared" si="3"/>
        <v>80.266999999999996</v>
      </c>
      <c r="L32" s="836">
        <f t="shared" si="4"/>
        <v>0.38424259035469122</v>
      </c>
      <c r="M32" s="837">
        <f t="shared" si="0"/>
        <v>1.0795953464845727</v>
      </c>
      <c r="N32" s="813"/>
    </row>
    <row r="33" spans="1:14" ht="14" customHeight="1">
      <c r="A33" s="856">
        <v>1989</v>
      </c>
      <c r="B33" s="857">
        <f>'Assets(BoP)'!ER81</f>
        <v>53.744</v>
      </c>
      <c r="C33" s="858">
        <f t="shared" si="1"/>
        <v>34.208200370915627</v>
      </c>
      <c r="D33" s="858">
        <f t="shared" si="2"/>
        <v>87.952200370915619</v>
      </c>
      <c r="E33" s="857">
        <f>'Assets(MOFA)'!BW34/1000</f>
        <v>52.302999999999997</v>
      </c>
      <c r="F33" s="859">
        <f>'Assets(MOFA)'!EO34/1000</f>
        <v>72.141999999999996</v>
      </c>
      <c r="G33" s="860">
        <f>'Assets(MOFA)'!HP34/1000</f>
        <v>17.71</v>
      </c>
      <c r="H33" s="860">
        <f>'Assets(MOFA)'!IM34/1000</f>
        <v>2.129</v>
      </c>
      <c r="I33" s="860">
        <f t="shared" si="5"/>
        <v>0</v>
      </c>
      <c r="J33" s="858">
        <f>'Assets(MOFA)'!FJ34/1000</f>
        <v>33.290999999999997</v>
      </c>
      <c r="K33" s="858">
        <f t="shared" si="3"/>
        <v>85.593999999999994</v>
      </c>
      <c r="L33" s="861">
        <f t="shared" si="4"/>
        <v>0.38894081360843047</v>
      </c>
      <c r="M33" s="862">
        <f t="shared" si="0"/>
        <v>1.0275510008986102</v>
      </c>
      <c r="N33" s="813"/>
    </row>
    <row r="34" spans="1:14" ht="14" customHeight="1">
      <c r="A34" s="863">
        <v>1990</v>
      </c>
      <c r="B34" s="864">
        <f>'Assets(BoP)'!ER82</f>
        <v>56.220999999999997</v>
      </c>
      <c r="C34" s="865">
        <f t="shared" si="1"/>
        <v>33.694114311107754</v>
      </c>
      <c r="D34" s="865">
        <f t="shared" si="2"/>
        <v>89.915114311107743</v>
      </c>
      <c r="E34" s="864">
        <f>'Assets(MOFA)'!BW35/1000</f>
        <v>52.881999999999998</v>
      </c>
      <c r="F34" s="883">
        <f>'Assets(MOFA)'!EO35/1000</f>
        <v>73.254000000000005</v>
      </c>
      <c r="G34" s="866">
        <f>'Assets(MOFA)'!HP35/1000</f>
        <v>19.814</v>
      </c>
      <c r="H34" s="866">
        <f>'Assets(MOFA)'!IM35/1000</f>
        <v>0.55800000000000005</v>
      </c>
      <c r="I34" s="866">
        <f t="shared" si="5"/>
        <v>0</v>
      </c>
      <c r="J34" s="865">
        <f>'Assets(MOFA)'!FJ35/1000</f>
        <v>31.693000000000001</v>
      </c>
      <c r="K34" s="865">
        <f t="shared" si="3"/>
        <v>84.575000000000003</v>
      </c>
      <c r="L34" s="867">
        <f t="shared" si="4"/>
        <v>0.37473248595920783</v>
      </c>
      <c r="M34" s="868">
        <f t="shared" si="0"/>
        <v>1.0631405771339963</v>
      </c>
      <c r="N34" s="813"/>
    </row>
    <row r="35" spans="1:14" ht="14" customHeight="1">
      <c r="A35" s="826">
        <v>1991</v>
      </c>
      <c r="B35" s="814">
        <f>'Assets(BoP)'!ER83</f>
        <v>50.833000000000006</v>
      </c>
      <c r="C35" s="828">
        <f t="shared" si="1"/>
        <v>29.429573948819577</v>
      </c>
      <c r="D35" s="828">
        <f t="shared" si="2"/>
        <v>80.262573948819579</v>
      </c>
      <c r="E35" s="814">
        <f>'Assets(MOFA)'!BW36/1000</f>
        <v>46.423999999999999</v>
      </c>
      <c r="F35" s="827">
        <f>'Assets(MOFA)'!EO36/1000</f>
        <v>65.989999999999995</v>
      </c>
      <c r="G35" s="834">
        <f>'Assets(MOFA)'!HP36/1000</f>
        <v>17.981999999999999</v>
      </c>
      <c r="H35" s="834">
        <f>'Assets(MOFA)'!IM36/1000</f>
        <v>1.5840000000000001</v>
      </c>
      <c r="I35" s="834">
        <f t="shared" si="5"/>
        <v>0</v>
      </c>
      <c r="J35" s="828">
        <f>'Assets(MOFA)'!FJ36/1000</f>
        <v>26.876999999999999</v>
      </c>
      <c r="K35" s="828">
        <f t="shared" si="3"/>
        <v>73.301000000000002</v>
      </c>
      <c r="L35" s="836">
        <f t="shared" si="4"/>
        <v>0.36666621192071047</v>
      </c>
      <c r="M35" s="837">
        <f t="shared" si="0"/>
        <v>1.0949724280544548</v>
      </c>
      <c r="N35" s="813"/>
    </row>
    <row r="36" spans="1:14" ht="14" customHeight="1">
      <c r="A36" s="826">
        <v>1992</v>
      </c>
      <c r="B36" s="814">
        <f>'Assets(BoP)'!ER84</f>
        <v>49.379999999999995</v>
      </c>
      <c r="C36" s="828">
        <f t="shared" si="1"/>
        <v>30.816741423259511</v>
      </c>
      <c r="D36" s="828">
        <f t="shared" si="2"/>
        <v>80.19674142325951</v>
      </c>
      <c r="E36" s="814">
        <f>'Assets(MOFA)'!BW37/1000</f>
        <v>42.761000000000003</v>
      </c>
      <c r="F36" s="827">
        <f>'Assets(MOFA)'!EO37/1000</f>
        <v>62.948</v>
      </c>
      <c r="G36" s="834">
        <f>'Assets(MOFA)'!HP37/1000</f>
        <v>19.965</v>
      </c>
      <c r="H36" s="834">
        <f>'Assets(MOFA)'!IM37/1000</f>
        <v>0.222</v>
      </c>
      <c r="I36" s="834">
        <f t="shared" si="5"/>
        <v>0</v>
      </c>
      <c r="J36" s="828">
        <f>'Assets(MOFA)'!FJ37/1000</f>
        <v>26.686</v>
      </c>
      <c r="K36" s="828">
        <f t="shared" si="3"/>
        <v>69.447000000000003</v>
      </c>
      <c r="L36" s="836">
        <f t="shared" si="4"/>
        <v>0.38426425907526601</v>
      </c>
      <c r="M36" s="837">
        <f t="shared" si="0"/>
        <v>1.1547905802015854</v>
      </c>
      <c r="N36" s="813"/>
    </row>
    <row r="37" spans="1:14" ht="14" customHeight="1">
      <c r="A37" s="826">
        <v>1993</v>
      </c>
      <c r="B37" s="814">
        <f>'Assets(BoP)'!ER85</f>
        <v>57.698999999999998</v>
      </c>
      <c r="C37" s="828">
        <f t="shared" si="1"/>
        <v>28.360228901780847</v>
      </c>
      <c r="D37" s="828">
        <f t="shared" si="2"/>
        <v>86.059228901780841</v>
      </c>
      <c r="E37" s="814">
        <f>'Assets(MOFA)'!BW38/1000</f>
        <v>49.470999999999997</v>
      </c>
      <c r="F37" s="827">
        <f>'Assets(MOFA)'!EO38/1000</f>
        <v>66.569999999999993</v>
      </c>
      <c r="G37" s="834">
        <f>'Assets(MOFA)'!HP38/1000</f>
        <v>20.282</v>
      </c>
      <c r="H37" s="834">
        <f>'Assets(MOFA)'!IM38/1000</f>
        <v>-3.1829999999999998</v>
      </c>
      <c r="I37" s="834">
        <f t="shared" si="5"/>
        <v>0</v>
      </c>
      <c r="J37" s="828">
        <f>'Assets(MOFA)'!FJ38/1000</f>
        <v>24.315999999999999</v>
      </c>
      <c r="K37" s="828">
        <f t="shared" si="3"/>
        <v>73.786999999999992</v>
      </c>
      <c r="L37" s="836">
        <f t="shared" si="4"/>
        <v>0.32954314445634059</v>
      </c>
      <c r="M37" s="837">
        <f t="shared" si="0"/>
        <v>1.1663196620242162</v>
      </c>
      <c r="N37" s="813"/>
    </row>
    <row r="38" spans="1:14" ht="14" customHeight="1">
      <c r="A38" s="826">
        <v>1994</v>
      </c>
      <c r="B38" s="814">
        <f>'Assets(BoP)'!ER86</f>
        <v>66.680999999999997</v>
      </c>
      <c r="C38" s="828">
        <f t="shared" si="1"/>
        <v>35.097345288819369</v>
      </c>
      <c r="D38" s="828">
        <f t="shared" si="2"/>
        <v>101.77834528881937</v>
      </c>
      <c r="E38" s="814">
        <f>'Assets(MOFA)'!BW39/1000</f>
        <v>55.622999999999998</v>
      </c>
      <c r="F38" s="827">
        <f>'Assets(MOFA)'!EO39/1000</f>
        <v>81.094999999999999</v>
      </c>
      <c r="G38" s="834">
        <f>'Assets(MOFA)'!HP39/1000</f>
        <v>27.097000000000001</v>
      </c>
      <c r="H38" s="834">
        <f>'Assets(MOFA)'!IM39/1000</f>
        <v>0.09</v>
      </c>
      <c r="I38" s="834">
        <f t="shared" si="5"/>
        <v>1.7150000000000034</v>
      </c>
      <c r="J38" s="828">
        <f>'Assets(MOFA)'!FJ39/1000</f>
        <v>29.277000000000001</v>
      </c>
      <c r="K38" s="828">
        <f t="shared" si="3"/>
        <v>84.9</v>
      </c>
      <c r="L38" s="836">
        <f t="shared" si="4"/>
        <v>0.34484098939929325</v>
      </c>
      <c r="M38" s="837">
        <f t="shared" si="0"/>
        <v>1.1988026535785556</v>
      </c>
      <c r="N38" s="813"/>
    </row>
    <row r="39" spans="1:14">
      <c r="A39" s="826">
        <v>1995</v>
      </c>
      <c r="B39" s="814">
        <f>'Assets(BoP)'!ER87</f>
        <v>84.887</v>
      </c>
      <c r="C39" s="828">
        <f t="shared" si="1"/>
        <v>43.29316219981861</v>
      </c>
      <c r="D39" s="828">
        <f t="shared" si="2"/>
        <v>128.1801621998186</v>
      </c>
      <c r="E39" s="814">
        <f>'Assets(MOFA)'!BW40/1000</f>
        <v>76.078999999999994</v>
      </c>
      <c r="F39" s="827">
        <f>'Assets(MOFA)'!EO40/1000</f>
        <v>108.66200000000001</v>
      </c>
      <c r="G39" s="834">
        <f>'Assets(MOFA)'!HP40/1000</f>
        <v>33.058</v>
      </c>
      <c r="H39" s="834">
        <f>'Assets(MOFA)'!IM40/1000</f>
        <v>1.2390000000000001</v>
      </c>
      <c r="I39" s="834">
        <f t="shared" si="5"/>
        <v>1.7139999999999844</v>
      </c>
      <c r="J39" s="828">
        <f>'Assets(MOFA)'!FJ40/1000</f>
        <v>38.801000000000002</v>
      </c>
      <c r="K39" s="828">
        <f t="shared" si="3"/>
        <v>114.88</v>
      </c>
      <c r="L39" s="836">
        <f t="shared" si="4"/>
        <v>0.33775243732590532</v>
      </c>
      <c r="M39" s="837">
        <f t="shared" si="0"/>
        <v>1.115774392407892</v>
      </c>
      <c r="N39" s="813"/>
    </row>
    <row r="40" spans="1:14">
      <c r="A40" s="826">
        <v>1996</v>
      </c>
      <c r="B40" s="814">
        <f>'Assets(BoP)'!ER88</f>
        <v>91.403999999999996</v>
      </c>
      <c r="C40" s="828">
        <f t="shared" si="1"/>
        <v>48.542564992067689</v>
      </c>
      <c r="D40" s="828">
        <f t="shared" si="2"/>
        <v>139.94656499206769</v>
      </c>
      <c r="E40" s="814">
        <f>'Assets(MOFA)'!BW41/1000</f>
        <v>85.094999999999999</v>
      </c>
      <c r="F40" s="827">
        <f>'Assets(MOFA)'!EO41/1000</f>
        <v>118.91800000000001</v>
      </c>
      <c r="G40" s="834">
        <f>'Assets(MOFA)'!HP41/1000</f>
        <v>36.612000000000002</v>
      </c>
      <c r="H40" s="834">
        <f>'Assets(MOFA)'!IM41/1000</f>
        <v>1.347</v>
      </c>
      <c r="I40" s="834">
        <f t="shared" si="5"/>
        <v>4.1359999999999815</v>
      </c>
      <c r="J40" s="828">
        <f>'Assets(MOFA)'!FJ41/1000</f>
        <v>45.192</v>
      </c>
      <c r="K40" s="828">
        <f t="shared" si="3"/>
        <v>130.28700000000001</v>
      </c>
      <c r="L40" s="836">
        <f t="shared" si="4"/>
        <v>0.34686499804278248</v>
      </c>
      <c r="M40" s="837">
        <f t="shared" si="0"/>
        <v>1.0741406663141195</v>
      </c>
      <c r="N40" s="813"/>
    </row>
    <row r="41" spans="1:14">
      <c r="A41" s="826">
        <v>1997</v>
      </c>
      <c r="B41" s="814">
        <f>'Assets(BoP)'!ER89</f>
        <v>102.679</v>
      </c>
      <c r="C41" s="828">
        <f t="shared" si="1"/>
        <v>50.523458018345977</v>
      </c>
      <c r="D41" s="828">
        <f t="shared" si="2"/>
        <v>153.20245801834596</v>
      </c>
      <c r="E41" s="814">
        <f>'Assets(MOFA)'!BW42/1000</f>
        <v>96.697000000000003</v>
      </c>
      <c r="F41" s="827">
        <f>'Assets(MOFA)'!EO42/1000</f>
        <v>140.512</v>
      </c>
      <c r="G41" s="834">
        <f>'Assets(MOFA)'!HP42/1000</f>
        <v>41.780999999999999</v>
      </c>
      <c r="H41" s="834">
        <f>'Assets(MOFA)'!IM42/1000</f>
        <v>3.4460000000000002</v>
      </c>
      <c r="I41" s="834">
        <f t="shared" si="5"/>
        <v>1.4120000000000061</v>
      </c>
      <c r="J41" s="828">
        <f>'Assets(MOFA)'!FJ42/1000</f>
        <v>47.58</v>
      </c>
      <c r="K41" s="828">
        <f t="shared" si="3"/>
        <v>144.27699999999999</v>
      </c>
      <c r="L41" s="836">
        <f t="shared" si="4"/>
        <v>0.32978229378209972</v>
      </c>
      <c r="M41" s="837">
        <f t="shared" si="0"/>
        <v>1.0618633463292553</v>
      </c>
      <c r="N41" s="813"/>
    </row>
    <row r="42" spans="1:14">
      <c r="A42" s="826">
        <v>1998</v>
      </c>
      <c r="B42" s="814">
        <f>'Assets(BoP)'!ER90</f>
        <v>87.617000000000004</v>
      </c>
      <c r="C42" s="828">
        <f t="shared" si="1"/>
        <v>42.463447058823533</v>
      </c>
      <c r="D42" s="828">
        <f t="shared" si="2"/>
        <v>130.08044705882355</v>
      </c>
      <c r="E42" s="814">
        <f>'Assets(MOFA)'!BW43/1000</f>
        <v>83.64</v>
      </c>
      <c r="F42" s="827">
        <f>'Assets(MOFA)'!EO43/1000</f>
        <v>134.53100000000001</v>
      </c>
      <c r="G42" s="834">
        <f>'Assets(MOFA)'!HP43/1000</f>
        <v>50.151000000000003</v>
      </c>
      <c r="H42" s="834">
        <f>'Assets(MOFA)'!IM43/1000</f>
        <v>2.843</v>
      </c>
      <c r="I42" s="834">
        <f t="shared" si="5"/>
        <v>2.1030000000000086</v>
      </c>
      <c r="J42" s="828">
        <f>'Assets(MOFA)'!FJ43/1000</f>
        <v>40.536000000000001</v>
      </c>
      <c r="K42" s="828">
        <f t="shared" si="3"/>
        <v>124.176</v>
      </c>
      <c r="L42" s="836">
        <f t="shared" si="4"/>
        <v>0.32643989176652494</v>
      </c>
      <c r="M42" s="837">
        <f t="shared" ref="M42:M60" si="6">B42/E42</f>
        <v>1.0475490196078432</v>
      </c>
      <c r="N42" s="813"/>
    </row>
    <row r="43" spans="1:14">
      <c r="A43" s="856">
        <v>1999</v>
      </c>
      <c r="B43" s="857">
        <f>'Assets(BoP)'!ER91</f>
        <v>109.827</v>
      </c>
      <c r="C43" s="858">
        <f t="shared" si="1"/>
        <v>51.08664887292543</v>
      </c>
      <c r="D43" s="858">
        <f t="shared" si="2"/>
        <v>160.91364887292542</v>
      </c>
      <c r="E43" s="857">
        <f>'Assets(MOFA)'!BW44/1000</f>
        <v>96.888000000000005</v>
      </c>
      <c r="F43" s="859">
        <f>'Assets(MOFA)'!EO44/1000</f>
        <v>162.75899999999999</v>
      </c>
      <c r="G43" s="860">
        <f>'Assets(MOFA)'!HP44/1000</f>
        <v>65.515000000000001</v>
      </c>
      <c r="H43" s="860">
        <f>'Assets(MOFA)'!IM44/1000</f>
        <v>4.0830000000000002</v>
      </c>
      <c r="I43" s="860">
        <f t="shared" si="5"/>
        <v>3.7270000000000181</v>
      </c>
      <c r="J43" s="858">
        <f>'Assets(MOFA)'!FJ44/1000</f>
        <v>45.067999999999998</v>
      </c>
      <c r="K43" s="858">
        <f t="shared" si="3"/>
        <v>141.95600000000002</v>
      </c>
      <c r="L43" s="861">
        <f t="shared" si="4"/>
        <v>0.31747865535799819</v>
      </c>
      <c r="M43" s="862">
        <f t="shared" si="6"/>
        <v>1.1335459499628435</v>
      </c>
      <c r="N43" s="813"/>
    </row>
    <row r="44" spans="1:14">
      <c r="A44" s="863">
        <v>2000</v>
      </c>
      <c r="B44" s="864">
        <f>'Assets(BoP)'!ER92</f>
        <v>128.68700000000001</v>
      </c>
      <c r="C44" s="865">
        <f t="shared" si="1"/>
        <v>68.494324073909254</v>
      </c>
      <c r="D44" s="865">
        <f t="shared" si="2"/>
        <v>197.18132407390925</v>
      </c>
      <c r="E44" s="864">
        <f>'Assets(MOFA)'!BW45/1000</f>
        <v>112.354</v>
      </c>
      <c r="F44" s="883">
        <f>'Assets(MOFA)'!EO45/1000</f>
        <v>199.864</v>
      </c>
      <c r="G44" s="866">
        <f>'Assets(MOFA)'!HP45/1000</f>
        <v>81.302000000000007</v>
      </c>
      <c r="H44" s="866">
        <f>'Assets(MOFA)'!IM45/1000</f>
        <v>9.3689999999999998</v>
      </c>
      <c r="I44" s="866">
        <f t="shared" si="5"/>
        <v>3.1610000000000014</v>
      </c>
      <c r="J44" s="865">
        <f>'Assets(MOFA)'!FJ45/1000</f>
        <v>59.801000000000002</v>
      </c>
      <c r="K44" s="865">
        <f t="shared" si="3"/>
        <v>172.155</v>
      </c>
      <c r="L44" s="867">
        <f t="shared" si="4"/>
        <v>0.34736719816444483</v>
      </c>
      <c r="M44" s="868">
        <f t="shared" si="6"/>
        <v>1.1453708813215373</v>
      </c>
      <c r="N44" s="813"/>
    </row>
    <row r="45" spans="1:14">
      <c r="A45" s="826">
        <v>2001</v>
      </c>
      <c r="B45" s="814">
        <f>'Assets(BoP)'!ER93</f>
        <v>104.76299999999999</v>
      </c>
      <c r="C45" s="828">
        <f t="shared" si="1"/>
        <v>67.272798218273181</v>
      </c>
      <c r="D45" s="828">
        <f t="shared" si="2"/>
        <v>172.03579821827316</v>
      </c>
      <c r="E45" s="814">
        <f>'Assets(MOFA)'!BW46/1000</f>
        <v>85.983999999999995</v>
      </c>
      <c r="F45" s="827">
        <f>'Assets(MOFA)'!EO46/1000</f>
        <v>177.31700000000001</v>
      </c>
      <c r="G45" s="834">
        <f>'Assets(MOFA)'!HP46/1000</f>
        <v>102.404</v>
      </c>
      <c r="H45" s="834">
        <f>'Assets(MOFA)'!IM46/1000</f>
        <v>-7.49</v>
      </c>
      <c r="I45" s="834">
        <f t="shared" si="5"/>
        <v>3.5809999999999889</v>
      </c>
      <c r="J45" s="828">
        <f>'Assets(MOFA)'!FJ46/1000</f>
        <v>55.213999999999999</v>
      </c>
      <c r="K45" s="828">
        <f t="shared" si="3"/>
        <v>141.19799999999998</v>
      </c>
      <c r="L45" s="836">
        <f t="shared" si="4"/>
        <v>0.39103953313786322</v>
      </c>
      <c r="M45" s="837">
        <f t="shared" si="6"/>
        <v>1.218401097878675</v>
      </c>
      <c r="N45" s="813"/>
    </row>
    <row r="46" spans="1:14">
      <c r="A46" s="826">
        <v>2002</v>
      </c>
      <c r="B46" s="814">
        <f>'Assets(BoP)'!ER94</f>
        <v>119.566</v>
      </c>
      <c r="C46" s="828">
        <f t="shared" si="1"/>
        <v>59.710876916286608</v>
      </c>
      <c r="D46" s="828">
        <f t="shared" si="2"/>
        <v>179.2768769162866</v>
      </c>
      <c r="E46" s="814">
        <f>'Assets(MOFA)'!BW47/1000</f>
        <v>101.955</v>
      </c>
      <c r="F46" s="827">
        <f>'Assets(MOFA)'!EO47/1000</f>
        <v>212.56399999999999</v>
      </c>
      <c r="G46" s="834">
        <f>'Assets(MOFA)'!HP47/1000</f>
        <v>133.065</v>
      </c>
      <c r="H46" s="834">
        <f>'Assets(MOFA)'!IM47/1000</f>
        <v>-18.364000000000001</v>
      </c>
      <c r="I46" s="834">
        <f t="shared" si="5"/>
        <v>4.0919999999999987</v>
      </c>
      <c r="J46" s="828">
        <f>'Assets(MOFA)'!FJ47/1000</f>
        <v>50.915999999999997</v>
      </c>
      <c r="K46" s="828">
        <f t="shared" si="3"/>
        <v>152.87099999999998</v>
      </c>
      <c r="L46" s="836">
        <f t="shared" si="4"/>
        <v>0.33306513334772458</v>
      </c>
      <c r="M46" s="837">
        <f t="shared" si="6"/>
        <v>1.1727330685106174</v>
      </c>
      <c r="N46" s="813"/>
    </row>
    <row r="47" spans="1:14">
      <c r="A47" s="826">
        <v>2003</v>
      </c>
      <c r="B47" s="814">
        <f>'Assets(BoP)'!ER95</f>
        <v>159.27100000000002</v>
      </c>
      <c r="C47" s="828">
        <f t="shared" si="1"/>
        <v>63.804492400927991</v>
      </c>
      <c r="D47" s="828">
        <f t="shared" si="2"/>
        <v>223.075492400928</v>
      </c>
      <c r="E47" s="814">
        <f>'Assets(MOFA)'!BW48/1000</f>
        <v>147.84700000000001</v>
      </c>
      <c r="F47" s="827">
        <f>'Assets(MOFA)'!EO48/1000</f>
        <v>325.68400000000003</v>
      </c>
      <c r="G47" s="834">
        <f>'Assets(MOFA)'!HP48/1000</f>
        <v>184.84399999999999</v>
      </c>
      <c r="H47" s="834">
        <f>'Assets(MOFA)'!IM48/1000</f>
        <v>-2.8119999999999998</v>
      </c>
      <c r="I47" s="834">
        <f t="shared" si="5"/>
        <v>4.1949999999999648</v>
      </c>
      <c r="J47" s="828">
        <f>'Assets(MOFA)'!FJ48/1000</f>
        <v>59.228000000000002</v>
      </c>
      <c r="K47" s="828">
        <f t="shared" si="3"/>
        <v>207.07500000000002</v>
      </c>
      <c r="L47" s="836">
        <f t="shared" si="4"/>
        <v>0.2860219727151998</v>
      </c>
      <c r="M47" s="837">
        <f t="shared" si="6"/>
        <v>1.0772690686993986</v>
      </c>
      <c r="N47" s="813"/>
    </row>
    <row r="48" spans="1:14">
      <c r="A48" s="826">
        <v>2004</v>
      </c>
      <c r="B48" s="814">
        <f>'Assets(BoP)'!ER96</f>
        <v>222.315</v>
      </c>
      <c r="C48" s="828">
        <f t="shared" si="1"/>
        <v>89.154700560383361</v>
      </c>
      <c r="D48" s="828">
        <f t="shared" si="2"/>
        <v>311.46970056038333</v>
      </c>
      <c r="E48" s="814">
        <f>'Assets(MOFA)'!BW49/1000</f>
        <v>184.69499999999999</v>
      </c>
      <c r="F48" s="827">
        <f>'Assets(MOFA)'!EO49/1000</f>
        <v>450.76</v>
      </c>
      <c r="G48" s="834">
        <f>'Assets(MOFA)'!HP49/1000</f>
        <v>266.32100000000003</v>
      </c>
      <c r="H48" s="834">
        <f>'Assets(MOFA)'!IM49/1000</f>
        <v>7.0789999999999997</v>
      </c>
      <c r="I48" s="834">
        <f t="shared" si="5"/>
        <v>7.3350000000000364</v>
      </c>
      <c r="J48" s="828">
        <f>'Assets(MOFA)'!FJ49/1000</f>
        <v>74.067999999999998</v>
      </c>
      <c r="K48" s="828">
        <f t="shared" si="3"/>
        <v>258.76299999999998</v>
      </c>
      <c r="L48" s="836">
        <f t="shared" si="4"/>
        <v>0.28623875901887058</v>
      </c>
      <c r="M48" s="837">
        <f t="shared" si="6"/>
        <v>1.2036871599122878</v>
      </c>
      <c r="N48" s="813"/>
    </row>
    <row r="49" spans="1:14">
      <c r="A49" s="826">
        <v>2005</v>
      </c>
      <c r="B49" s="814">
        <f>'Assets(BoP)'!ER97</f>
        <v>266.04700000000003</v>
      </c>
      <c r="C49" s="828">
        <f t="shared" si="1"/>
        <v>118.56026736057034</v>
      </c>
      <c r="D49" s="828">
        <f t="shared" si="2"/>
        <v>384.60726736057035</v>
      </c>
      <c r="E49" s="814">
        <f>'Assets(MOFA)'!BW50/1000</f>
        <v>224.71899999999999</v>
      </c>
      <c r="F49" s="827">
        <f>'Assets(MOFA)'!EO50/1000</f>
        <v>597.26099999999997</v>
      </c>
      <c r="G49" s="834">
        <f>'Assets(MOFA)'!HP50/1000</f>
        <v>360.517</v>
      </c>
      <c r="H49" s="834">
        <f>'Assets(MOFA)'!IM50/1000</f>
        <v>16.815000000000001</v>
      </c>
      <c r="I49" s="834">
        <f t="shared" si="5"/>
        <v>4.7900000000000205</v>
      </c>
      <c r="J49" s="828">
        <f>'Assets(MOFA)'!FJ50/1000</f>
        <v>100.143</v>
      </c>
      <c r="K49" s="828">
        <f t="shared" si="3"/>
        <v>324.86199999999997</v>
      </c>
      <c r="L49" s="836">
        <f t="shared" si="4"/>
        <v>0.30826320098995885</v>
      </c>
      <c r="M49" s="837">
        <f t="shared" si="6"/>
        <v>1.1839096827593574</v>
      </c>
      <c r="N49" s="813"/>
    </row>
    <row r="50" spans="1:14">
      <c r="A50" s="826">
        <v>2006</v>
      </c>
      <c r="B50" s="814">
        <f>'Assets(BoP)'!ER98</f>
        <v>298.32599999999996</v>
      </c>
      <c r="C50" s="828">
        <f t="shared" si="1"/>
        <v>135.43288239228582</v>
      </c>
      <c r="D50" s="828">
        <f t="shared" si="2"/>
        <v>433.75888239228578</v>
      </c>
      <c r="E50" s="814">
        <f>'Assets(MOFA)'!BW51/1000</f>
        <v>251.17400000000001</v>
      </c>
      <c r="F50" s="827">
        <f>'Assets(MOFA)'!EO51/1000</f>
        <v>667.34900000000005</v>
      </c>
      <c r="G50" s="834">
        <f>'Assets(MOFA)'!HP51/1000</f>
        <v>403.87099999999998</v>
      </c>
      <c r="H50" s="834">
        <f>'Assets(MOFA)'!IM51/1000</f>
        <v>17.373999999999999</v>
      </c>
      <c r="I50" s="834">
        <f t="shared" si="5"/>
        <v>5.0699999999999363</v>
      </c>
      <c r="J50" s="828">
        <f>'Assets(MOFA)'!FJ51/1000</f>
        <v>114.027</v>
      </c>
      <c r="K50" s="828">
        <f t="shared" si="3"/>
        <v>365.20100000000002</v>
      </c>
      <c r="L50" s="836">
        <f t="shared" si="4"/>
        <v>0.31223079892990435</v>
      </c>
      <c r="M50" s="837">
        <f t="shared" si="6"/>
        <v>1.1877264366534752</v>
      </c>
      <c r="N50" s="813"/>
    </row>
    <row r="51" spans="1:14">
      <c r="A51" s="826">
        <v>2007</v>
      </c>
      <c r="B51" s="814">
        <f>'Assets(BoP)'!ER99</f>
        <v>342.84100000000001</v>
      </c>
      <c r="C51" s="828">
        <f t="shared" si="1"/>
        <v>145.79381395799149</v>
      </c>
      <c r="D51" s="828">
        <f t="shared" si="2"/>
        <v>488.63481395799147</v>
      </c>
      <c r="E51" s="814">
        <f>'Assets(MOFA)'!BW52/1000</f>
        <v>294.36900000000003</v>
      </c>
      <c r="F51" s="827">
        <f>'Assets(MOFA)'!EO52/1000</f>
        <v>766.00599999999997</v>
      </c>
      <c r="G51" s="834">
        <f>'Assets(MOFA)'!HP52/1000</f>
        <v>469.666</v>
      </c>
      <c r="H51" s="834">
        <f>'Assets(MOFA)'!IM52/1000</f>
        <v>6.6369999999999996</v>
      </c>
      <c r="I51" s="834">
        <f t="shared" si="5"/>
        <v>4.6660000000000537</v>
      </c>
      <c r="J51" s="828">
        <f>'Assets(MOFA)'!FJ52/1000</f>
        <v>125.181</v>
      </c>
      <c r="K51" s="828">
        <f t="shared" si="3"/>
        <v>419.55</v>
      </c>
      <c r="L51" s="836">
        <f t="shared" si="4"/>
        <v>0.29836968180193063</v>
      </c>
      <c r="M51" s="837">
        <f t="shared" si="6"/>
        <v>1.1646640780788737</v>
      </c>
      <c r="N51" s="813"/>
    </row>
    <row r="52" spans="1:14">
      <c r="A52" s="826">
        <v>2008</v>
      </c>
      <c r="B52" s="816">
        <f>'Assets(BoP)'!ER100</f>
        <v>384.75600000000003</v>
      </c>
      <c r="C52" s="828">
        <f t="shared" si="1"/>
        <v>175.40086629456039</v>
      </c>
      <c r="D52" s="828">
        <f t="shared" si="2"/>
        <v>560.15686629456036</v>
      </c>
      <c r="E52" s="814">
        <f>'Assets(MOFA)'!BW53/1000</f>
        <v>308.51400000000001</v>
      </c>
      <c r="F52" s="827">
        <f>'Assets(MOFA)'!EO53/1000</f>
        <v>854.673</v>
      </c>
      <c r="G52" s="834">
        <f>'Assets(MOFA)'!HP53/1000</f>
        <v>602.82799999999997</v>
      </c>
      <c r="H52" s="834">
        <f>'Assets(MOFA)'!IM53/1000</f>
        <v>-51.976999999999997</v>
      </c>
      <c r="I52" s="834">
        <f t="shared" si="5"/>
        <v>4.6920000000000073</v>
      </c>
      <c r="J52" s="830">
        <f>'Assets(MOFA)'!FJ53/1000</f>
        <v>140.64400000000001</v>
      </c>
      <c r="K52" s="828">
        <f t="shared" si="3"/>
        <v>449.15800000000002</v>
      </c>
      <c r="L52" s="836">
        <f t="shared" si="4"/>
        <v>0.31312811972624333</v>
      </c>
      <c r="M52" s="837">
        <f t="shared" si="6"/>
        <v>1.2471265485520917</v>
      </c>
      <c r="N52" s="813"/>
    </row>
    <row r="53" spans="1:14">
      <c r="A53" s="856">
        <v>2009</v>
      </c>
      <c r="B53" s="872">
        <f>'Assets(BoP)'!ER101</f>
        <v>333.50299999999999</v>
      </c>
      <c r="C53" s="858">
        <f t="shared" si="1"/>
        <v>126.16283995782271</v>
      </c>
      <c r="D53" s="858">
        <f t="shared" si="2"/>
        <v>459.6658399578227</v>
      </c>
      <c r="E53" s="857">
        <f>'Assets(MOFA)'!BW54/1000</f>
        <v>289.255</v>
      </c>
      <c r="F53" s="859">
        <f>'Assets(MOFA)'!EO54/1000</f>
        <v>778.78700000000003</v>
      </c>
      <c r="G53" s="860">
        <f>'Assets(MOFA)'!HP54/1000</f>
        <v>526.35299999999995</v>
      </c>
      <c r="H53" s="860">
        <f>'Assets(MOFA)'!IM54/1000</f>
        <v>11.676</v>
      </c>
      <c r="I53" s="860">
        <f t="shared" si="5"/>
        <v>48.4969999999999</v>
      </c>
      <c r="J53" s="884">
        <f>'Assets(MOFA)'!FJ54/1000</f>
        <v>109.42400000000001</v>
      </c>
      <c r="K53" s="858">
        <f t="shared" si="3"/>
        <v>398.67899999999997</v>
      </c>
      <c r="L53" s="861">
        <f t="shared" si="4"/>
        <v>0.27446642536978377</v>
      </c>
      <c r="M53" s="862">
        <f t="shared" si="6"/>
        <v>1.1529722908852051</v>
      </c>
      <c r="N53" s="813"/>
    </row>
    <row r="54" spans="1:14">
      <c r="A54" s="826">
        <v>2010</v>
      </c>
      <c r="B54" s="816">
        <f>'Assets(BoP)'!ER102</f>
        <v>411.80400000000003</v>
      </c>
      <c r="C54" s="828">
        <f t="shared" si="1"/>
        <v>162.14081708679998</v>
      </c>
      <c r="D54" s="828">
        <f t="shared" si="2"/>
        <v>573.94481708679996</v>
      </c>
      <c r="E54" s="814">
        <f>'Assets(MOFA)'!BW55/1000</f>
        <v>330.173</v>
      </c>
      <c r="F54" s="827">
        <f>'Assets(MOFA)'!EO55/1000</f>
        <v>1026.365</v>
      </c>
      <c r="G54" s="834">
        <f>'Assets(MOFA)'!HP55/1000</f>
        <v>668.55</v>
      </c>
      <c r="H54" s="834">
        <f>'Assets(MOFA)'!IM55/1000</f>
        <v>36.110999999999997</v>
      </c>
      <c r="I54" s="834">
        <f t="shared" si="5"/>
        <v>8.4689999999999372</v>
      </c>
      <c r="J54" s="830">
        <f>'Assets(MOFA)'!FJ55/1000</f>
        <v>130</v>
      </c>
      <c r="K54" s="828">
        <f t="shared" si="3"/>
        <v>460.173</v>
      </c>
      <c r="L54" s="836">
        <f t="shared" si="4"/>
        <v>0.28250245016548126</v>
      </c>
      <c r="M54" s="837">
        <f t="shared" si="6"/>
        <v>1.2472370545138458</v>
      </c>
      <c r="N54" s="813"/>
    </row>
    <row r="55" spans="1:14">
      <c r="A55" s="826">
        <v>2011</v>
      </c>
      <c r="B55" s="816">
        <f>'Assets(BoP)'!ER103</f>
        <v>441.036</v>
      </c>
      <c r="C55" s="828">
        <f t="shared" si="1"/>
        <v>181.95941091110492</v>
      </c>
      <c r="D55" s="828">
        <f t="shared" si="2"/>
        <v>622.99541091110495</v>
      </c>
      <c r="E55" s="814">
        <f>'Assets(MOFA)'!BW56/1000</f>
        <v>397.21</v>
      </c>
      <c r="F55" s="827">
        <f>'Assets(MOFA)'!EO56/1000</f>
        <v>1098.52</v>
      </c>
      <c r="G55" s="834">
        <f>'Assets(MOFA)'!HP56/1000</f>
        <v>697.12800000000004</v>
      </c>
      <c r="H55" s="834">
        <f>'Assets(MOFA)'!IM56/1000</f>
        <v>12.327999999999999</v>
      </c>
      <c r="I55" s="834">
        <f t="shared" si="5"/>
        <v>8.146000000000015</v>
      </c>
      <c r="J55" s="830">
        <f>'Assets(MOFA)'!FJ56/1000</f>
        <v>163.87799999999999</v>
      </c>
      <c r="K55" s="828">
        <f t="shared" si="3"/>
        <v>561.08799999999997</v>
      </c>
      <c r="L55" s="836">
        <f t="shared" si="4"/>
        <v>0.29207183186951063</v>
      </c>
      <c r="M55" s="837">
        <f t="shared" si="6"/>
        <v>1.1103345837214573</v>
      </c>
      <c r="N55" s="813"/>
    </row>
    <row r="56" spans="1:14">
      <c r="A56" s="826">
        <v>2012</v>
      </c>
      <c r="B56" s="816">
        <f>'Assets(BoP)'!ER104</f>
        <v>428.702</v>
      </c>
      <c r="C56" s="828">
        <f t="shared" si="1"/>
        <v>167.51080264542003</v>
      </c>
      <c r="D56" s="828">
        <f t="shared" si="2"/>
        <v>596.21280264541997</v>
      </c>
      <c r="E56" s="814">
        <f>'Assets(MOFA)'!BW57/1000</f>
        <v>390.71300000000002</v>
      </c>
      <c r="F56" s="827">
        <f>'Assets(MOFA)'!EO57/1000</f>
        <v>1066.376</v>
      </c>
      <c r="G56" s="834">
        <f>'Assets(MOFA)'!HP57/1000</f>
        <v>681.44899999999996</v>
      </c>
      <c r="H56" s="834">
        <f>'Assets(MOFA)'!IM57/1000</f>
        <v>3.2189999999999999</v>
      </c>
      <c r="I56" s="834">
        <f t="shared" si="5"/>
        <v>9.0049999999999955</v>
      </c>
      <c r="J56" s="830">
        <f>'Assets(MOFA)'!FJ57/1000</f>
        <v>152.667</v>
      </c>
      <c r="K56" s="828">
        <f t="shared" si="3"/>
        <v>543.38</v>
      </c>
      <c r="L56" s="836">
        <f t="shared" si="4"/>
        <v>0.28095807722036142</v>
      </c>
      <c r="M56" s="837">
        <f t="shared" si="6"/>
        <v>1.0972299360400088</v>
      </c>
      <c r="N56" s="813"/>
    </row>
    <row r="57" spans="1:14">
      <c r="A57" s="826">
        <v>2013</v>
      </c>
      <c r="B57" s="816">
        <f>'Assets(BoP)'!ER105</f>
        <v>440.63799999999998</v>
      </c>
      <c r="C57" s="828">
        <f t="shared" si="1"/>
        <v>163.68909454088376</v>
      </c>
      <c r="D57" s="828">
        <f t="shared" si="2"/>
        <v>604.32709454088376</v>
      </c>
      <c r="E57" s="814">
        <f>'Assets(MOFA)'!BW58/1000</f>
        <v>373.11900000000003</v>
      </c>
      <c r="F57" s="827">
        <f>'Assets(MOFA)'!EO58/1000</f>
        <v>1044.636</v>
      </c>
      <c r="G57" s="834">
        <f>'Assets(MOFA)'!HP58/1000</f>
        <v>671.81100000000004</v>
      </c>
      <c r="H57" s="834">
        <f>'Assets(MOFA)'!IM58/1000</f>
        <v>9.1859999999999999</v>
      </c>
      <c r="I57" s="834">
        <f t="shared" si="5"/>
        <v>9.480000000000075</v>
      </c>
      <c r="J57" s="830">
        <f>'Assets(MOFA)'!FJ58/1000</f>
        <v>138.607</v>
      </c>
      <c r="K57" s="828">
        <f t="shared" si="3"/>
        <v>511.726</v>
      </c>
      <c r="L57" s="836">
        <f t="shared" si="4"/>
        <v>0.27086175023352344</v>
      </c>
      <c r="M57" s="837">
        <f t="shared" si="6"/>
        <v>1.1809583537691728</v>
      </c>
      <c r="N57" s="813"/>
    </row>
    <row r="58" spans="1:14">
      <c r="A58" s="826">
        <v>2014</v>
      </c>
      <c r="B58" s="816">
        <f>'Assets(BoP)'!ER106</f>
        <v>436.798</v>
      </c>
      <c r="C58" s="828">
        <f t="shared" si="1"/>
        <v>138.1406274420394</v>
      </c>
      <c r="D58" s="828">
        <f t="shared" si="2"/>
        <v>574.93862744203943</v>
      </c>
      <c r="E58" s="814">
        <f>'Assets(MOFA)'!BW59/1000</f>
        <v>421.06200000000001</v>
      </c>
      <c r="F58" s="827">
        <f>'Assets(MOFA)'!EO59/1000</f>
        <v>1166.223</v>
      </c>
      <c r="G58" s="834">
        <f>'Assets(MOFA)'!HP59/1000</f>
        <v>746.91399999999999</v>
      </c>
      <c r="H58" s="834">
        <f>'Assets(MOFA)'!IM59/1000</f>
        <v>10.250999999999999</v>
      </c>
      <c r="I58" s="834">
        <f t="shared" si="5"/>
        <v>12.004000000000019</v>
      </c>
      <c r="J58" s="830">
        <f>'Assets(MOFA)'!FJ59/1000</f>
        <v>133.16399999999999</v>
      </c>
      <c r="K58" s="828">
        <f t="shared" si="3"/>
        <v>554.226</v>
      </c>
      <c r="L58" s="836">
        <f t="shared" si="4"/>
        <v>0.2402702146777668</v>
      </c>
      <c r="M58" s="837">
        <f t="shared" si="6"/>
        <v>1.0373721684692516</v>
      </c>
      <c r="N58" s="813"/>
    </row>
    <row r="59" spans="1:14">
      <c r="A59" s="826">
        <v>2015</v>
      </c>
      <c r="B59" s="816">
        <f>'Assets(BoP)'!ER107</f>
        <v>397.33</v>
      </c>
      <c r="C59" s="828">
        <f t="shared" si="1"/>
        <v>93.919070600828391</v>
      </c>
      <c r="D59" s="828">
        <f t="shared" si="2"/>
        <v>491.24907060082836</v>
      </c>
      <c r="E59" s="814">
        <f>'Assets(MOFA)'!BW60/1000</f>
        <v>386.76600000000002</v>
      </c>
      <c r="F59" s="827">
        <f>'Assets(MOFA)'!EO60/1000</f>
        <v>1065.8499999999999</v>
      </c>
      <c r="G59" s="834">
        <f>'Assets(MOFA)'!HP60/1000</f>
        <v>727.89700000000005</v>
      </c>
      <c r="H59" s="834">
        <f>'Assets(MOFA)'!IM60/1000</f>
        <v>-40.225999999999999</v>
      </c>
      <c r="I59" s="834">
        <f t="shared" si="5"/>
        <v>8.5870000000001596</v>
      </c>
      <c r="J59" s="830">
        <f>'Assets(MOFA)'!FJ60/1000</f>
        <v>91.421999999999997</v>
      </c>
      <c r="K59" s="828">
        <f t="shared" si="3"/>
        <v>478.18799999999999</v>
      </c>
      <c r="L59" s="836">
        <f t="shared" si="4"/>
        <v>0.19118422043213129</v>
      </c>
      <c r="M59" s="837">
        <f t="shared" si="6"/>
        <v>1.027313672866798</v>
      </c>
      <c r="N59" s="813"/>
    </row>
    <row r="60" spans="1:14">
      <c r="A60" s="826">
        <v>2016</v>
      </c>
      <c r="B60" s="816">
        <f>'Assets(BoP)'!ER108</f>
        <v>399.678</v>
      </c>
      <c r="C60" s="828">
        <f t="shared" ref="C60" si="7">L60/(1-L60)*B60</f>
        <v>99.867213500784942</v>
      </c>
      <c r="D60" s="828">
        <f t="shared" ref="D60" si="8">C60+B60</f>
        <v>499.54521350078494</v>
      </c>
      <c r="E60" s="814">
        <f>'Assets(MOFA)'!BW61/1000</f>
        <v>347.80200000000002</v>
      </c>
      <c r="F60" s="827">
        <f>'Assets(MOFA)'!EO61/1000</f>
        <v>1015.559</v>
      </c>
      <c r="G60" s="834">
        <f>'Assets(MOFA)'!HP61/1000</f>
        <v>681.428</v>
      </c>
      <c r="H60" s="834">
        <f>'Assets(MOFA)'!IM61/1000</f>
        <v>-5.7560000000000002</v>
      </c>
      <c r="I60" s="834">
        <f t="shared" ref="I60" si="9">E60-(F60-G60-H60)</f>
        <v>7.9150000000000773</v>
      </c>
      <c r="J60" s="830">
        <f>'Assets(MOFA)'!FJ61/1000</f>
        <v>86.905000000000001</v>
      </c>
      <c r="K60" s="828">
        <f t="shared" ref="K60" si="10">E60+J60</f>
        <v>434.70699999999999</v>
      </c>
      <c r="L60" s="836">
        <f t="shared" si="4"/>
        <v>0.19991626543855978</v>
      </c>
      <c r="M60" s="837">
        <f t="shared" si="6"/>
        <v>1.1491538289026515</v>
      </c>
    </row>
    <row r="61" spans="1:14" ht="16" thickBot="1">
      <c r="A61" s="819"/>
      <c r="B61" s="820"/>
      <c r="C61" s="821"/>
      <c r="D61" s="833"/>
      <c r="E61" s="820"/>
      <c r="F61" s="821"/>
      <c r="G61" s="821"/>
      <c r="H61" s="821"/>
      <c r="I61" s="821"/>
      <c r="J61" s="821"/>
      <c r="K61" s="821"/>
      <c r="L61" s="835"/>
      <c r="M61" s="823"/>
    </row>
    <row r="62" spans="1:14" ht="17" thickTop="1" thickBot="1">
      <c r="D62" s="824"/>
      <c r="N62" s="829"/>
    </row>
    <row r="63" spans="1:14" s="825" customFormat="1" ht="28" customHeight="1" thickBot="1">
      <c r="A63" s="1745" t="s">
        <v>3465</v>
      </c>
      <c r="B63" s="1746"/>
      <c r="C63" s="1746"/>
      <c r="D63" s="1746"/>
      <c r="E63" s="1746"/>
      <c r="F63" s="1746"/>
      <c r="G63" s="1746"/>
      <c r="H63" s="1746"/>
      <c r="I63" s="1746"/>
      <c r="J63" s="1746"/>
      <c r="K63" s="1746"/>
      <c r="L63" s="1746"/>
      <c r="M63" s="1747"/>
      <c r="N63" s="805"/>
    </row>
    <row r="64" spans="1:14" s="825" customFormat="1" ht="28" customHeight="1">
      <c r="A64" s="1677"/>
      <c r="B64" s="1113"/>
      <c r="C64" s="1113"/>
      <c r="D64" s="1113"/>
      <c r="E64" s="1113"/>
      <c r="F64" s="1113"/>
      <c r="G64" s="1113"/>
      <c r="H64" s="1113"/>
      <c r="I64" s="1113"/>
      <c r="J64" s="1113"/>
      <c r="K64" s="1113"/>
      <c r="L64" s="1113"/>
      <c r="M64" s="1113"/>
      <c r="N64" s="805"/>
    </row>
    <row r="65" spans="1:14">
      <c r="A65" s="829" t="s">
        <v>2457</v>
      </c>
      <c r="D65" s="824"/>
      <c r="L65" s="855">
        <f>SUM(J10:J13)/SUM(K10:K13)</f>
        <v>0.51839416309526942</v>
      </c>
    </row>
    <row r="66" spans="1:14">
      <c r="A66" s="829" t="s">
        <v>2455</v>
      </c>
      <c r="D66" s="824"/>
      <c r="L66" s="855">
        <f>SUM(J14:J23)/SUM(K14:K23)</f>
        <v>0.6683924999497054</v>
      </c>
    </row>
    <row r="67" spans="1:14">
      <c r="A67" s="829" t="s">
        <v>1201</v>
      </c>
      <c r="D67" s="824"/>
      <c r="L67" s="855">
        <f>SUM(J24:J33)/SUM(K24:K33)</f>
        <v>0.46882686847308624</v>
      </c>
      <c r="M67" s="855"/>
    </row>
    <row r="68" spans="1:14">
      <c r="A68" s="829" t="s">
        <v>722</v>
      </c>
      <c r="D68" s="824"/>
      <c r="E68" s="855"/>
      <c r="L68" s="855">
        <f>SUM(J34:J43)/SUM(K34:K43)</f>
        <v>0.34181142987712965</v>
      </c>
      <c r="M68" s="855"/>
    </row>
    <row r="69" spans="1:14">
      <c r="A69" s="829" t="s">
        <v>723</v>
      </c>
      <c r="D69" s="824"/>
      <c r="E69" s="855"/>
      <c r="L69" s="855">
        <f>SUM(J44:J53)/SUM(K44:K53)</f>
        <v>0.30754189634789542</v>
      </c>
      <c r="M69" s="855"/>
    </row>
    <row r="70" spans="1:14">
      <c r="A70" s="829" t="s">
        <v>2456</v>
      </c>
      <c r="D70" s="824"/>
      <c r="E70" s="855"/>
      <c r="L70" s="855">
        <f>SUM(J54:J59)/SUM(K54:K59)</f>
        <v>0.26046800980834606</v>
      </c>
      <c r="M70" s="855"/>
    </row>
    <row r="71" spans="1:14" s="825" customFormat="1">
      <c r="B71" s="805"/>
      <c r="C71" s="805"/>
      <c r="D71" s="805"/>
      <c r="E71" s="805"/>
      <c r="F71" s="805"/>
      <c r="G71" s="805"/>
      <c r="H71" s="805"/>
      <c r="I71" s="805"/>
      <c r="J71" s="805"/>
      <c r="K71" s="805"/>
      <c r="L71" s="805"/>
      <c r="M71" s="805"/>
      <c r="N71" s="805"/>
    </row>
    <row r="72" spans="1:14" s="825" customFormat="1">
      <c r="A72" s="805"/>
      <c r="B72" s="805"/>
      <c r="C72" s="805"/>
      <c r="D72" s="805"/>
      <c r="E72" s="805"/>
      <c r="F72" s="805"/>
      <c r="G72" s="805"/>
      <c r="H72" s="805"/>
      <c r="I72" s="805"/>
      <c r="J72" s="805"/>
      <c r="K72" s="805"/>
      <c r="L72" s="805"/>
      <c r="M72" s="805"/>
      <c r="N72" s="805"/>
    </row>
    <row r="73" spans="1:14" s="825" customFormat="1">
      <c r="A73" s="805"/>
      <c r="B73" s="805"/>
      <c r="C73" s="805"/>
      <c r="D73" s="805"/>
      <c r="E73" s="805"/>
      <c r="F73" s="805"/>
      <c r="G73" s="805"/>
      <c r="H73" s="805"/>
      <c r="I73" s="805"/>
      <c r="J73" s="805"/>
      <c r="K73" s="805"/>
      <c r="L73" s="805"/>
      <c r="M73" s="805"/>
      <c r="N73" s="805"/>
    </row>
    <row r="75" spans="1:14" s="825" customFormat="1">
      <c r="A75" s="805"/>
      <c r="B75" s="805"/>
      <c r="C75" s="805"/>
      <c r="D75" s="805"/>
      <c r="E75" s="805"/>
      <c r="F75" s="805"/>
      <c r="G75" s="805"/>
      <c r="H75" s="805"/>
      <c r="I75" s="805"/>
      <c r="J75" s="805"/>
      <c r="K75" s="805"/>
      <c r="L75" s="805"/>
      <c r="M75" s="805"/>
      <c r="N75" s="805"/>
    </row>
  </sheetData>
  <mergeCells count="13">
    <mergeCell ref="A63:M63"/>
    <mergeCell ref="B7:D7"/>
    <mergeCell ref="E7:K7"/>
    <mergeCell ref="E8:E9"/>
    <mergeCell ref="J8:J9"/>
    <mergeCell ref="K8:K9"/>
    <mergeCell ref="L6:L9"/>
    <mergeCell ref="A3:M3"/>
    <mergeCell ref="B6:K6"/>
    <mergeCell ref="M6:M9"/>
    <mergeCell ref="B8:B9"/>
    <mergeCell ref="C8:C9"/>
    <mergeCell ref="D8:D9"/>
  </mergeCells>
  <pageMargins left="0.75" right="0.75" top="1" bottom="1" header="0.5" footer="0.5"/>
  <pageSetup scale="74" orientation="portrait" horizontalDpi="4294967292" verticalDpi="4294967292"/>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workbookViewId="0">
      <pane xSplit="1" ySplit="2" topLeftCell="B27" activePane="bottomRight" state="frozen"/>
      <selection activeCell="X67" sqref="X67"/>
      <selection pane="topRight" activeCell="X67" sqref="X67"/>
      <selection pane="bottomLeft" activeCell="X67" sqref="X67"/>
      <selection pane="bottomRight" activeCell="X67" sqref="X67"/>
    </sheetView>
  </sheetViews>
  <sheetFormatPr baseColWidth="10" defaultRowHeight="15" x14ac:dyDescent="0"/>
  <cols>
    <col min="1" max="1" width="10.7109375" style="1421"/>
    <col min="2" max="7" width="10.7109375" style="1473"/>
  </cols>
  <sheetData>
    <row r="1" spans="1:7">
      <c r="B1" s="24" t="s">
        <v>3430</v>
      </c>
      <c r="C1" s="24"/>
    </row>
    <row r="2" spans="1:7" ht="45">
      <c r="B2" s="1474" t="s">
        <v>3425</v>
      </c>
      <c r="C2" s="297" t="s">
        <v>3426</v>
      </c>
      <c r="D2" s="1474" t="s">
        <v>3427</v>
      </c>
      <c r="E2" s="297" t="s">
        <v>3426</v>
      </c>
      <c r="F2" s="1474" t="s">
        <v>3428</v>
      </c>
      <c r="G2" s="1474" t="s">
        <v>3429</v>
      </c>
    </row>
    <row r="3" spans="1:7">
      <c r="A3" s="1481">
        <v>1965</v>
      </c>
      <c r="B3" s="1475"/>
      <c r="C3" s="1475"/>
      <c r="D3" s="1475"/>
      <c r="E3" s="1475"/>
      <c r="F3" s="1475"/>
      <c r="G3" s="1475"/>
    </row>
    <row r="4" spans="1:7">
      <c r="A4" s="1480">
        <v>1966</v>
      </c>
      <c r="B4" s="1476">
        <f>' T.A7'!$C9</f>
        <v>9.5220271571921436E-2</v>
      </c>
      <c r="C4" s="1476">
        <f>' T.A7b'!$B9</f>
        <v>0.10375809032861079</v>
      </c>
      <c r="D4" s="1476">
        <f>' T.A7'!$H9</f>
        <v>9.5176976859056295E-2</v>
      </c>
      <c r="E4" s="1476">
        <f>' T.A7b'!$G9</f>
        <v>8.752753608200331E-2</v>
      </c>
      <c r="F4" s="1476">
        <f t="shared" ref="F4:F35" si="0">B4-D4</f>
        <v>4.3294712865141194E-5</v>
      </c>
      <c r="G4" s="1476">
        <f>' T.A7b'!$L9</f>
        <v>9.5472291149710495E-2</v>
      </c>
    </row>
    <row r="5" spans="1:7">
      <c r="A5" s="1480">
        <v>1967</v>
      </c>
      <c r="B5" s="1476">
        <f>' T.A7'!$C10</f>
        <v>9.0454904765051719E-2</v>
      </c>
      <c r="C5" s="1476">
        <f>' T.A7b'!$B10</f>
        <v>9.8992723521741058E-2</v>
      </c>
      <c r="D5" s="1476">
        <f>' T.A7'!$H10</f>
        <v>0.10128686567858818</v>
      </c>
      <c r="E5" s="1476">
        <f>' T.A7b'!$G10</f>
        <v>9.3637424901535204E-2</v>
      </c>
      <c r="F5" s="1476">
        <f t="shared" si="0"/>
        <v>-1.0831960913536456E-2</v>
      </c>
      <c r="G5" s="1476">
        <f>' T.A7b'!$L10</f>
        <v>8.5515142291888599E-2</v>
      </c>
    </row>
    <row r="6" spans="1:7">
      <c r="A6" s="1480">
        <v>1968</v>
      </c>
      <c r="B6" s="1476">
        <f>' T.A7'!$C11</f>
        <v>9.4623264219600017E-2</v>
      </c>
      <c r="C6" s="1476">
        <f>' T.A7b'!$B11</f>
        <v>0.10316108297628937</v>
      </c>
      <c r="D6" s="1476">
        <f>' T.A7'!$H11</f>
        <v>0.10022593924652393</v>
      </c>
      <c r="E6" s="1476">
        <f>' T.A7b'!$G11</f>
        <v>9.2576498469470941E-2</v>
      </c>
      <c r="F6" s="1476">
        <f t="shared" si="0"/>
        <v>-5.602675026923909E-3</v>
      </c>
      <c r="G6" s="1476">
        <f>' T.A7b'!$L11</f>
        <v>7.7984260665470123E-2</v>
      </c>
    </row>
    <row r="7" spans="1:7">
      <c r="A7" s="1480">
        <v>1969</v>
      </c>
      <c r="B7" s="1476">
        <f>' T.A7'!$C12</f>
        <v>9.6836183897470632E-2</v>
      </c>
      <c r="C7" s="1476">
        <f>' T.A7b'!$B12</f>
        <v>0.10537400265415998</v>
      </c>
      <c r="D7" s="1476">
        <f>' T.A7'!$H12</f>
        <v>8.6924869349066472E-2</v>
      </c>
      <c r="E7" s="1476">
        <f>' T.A7b'!$G12</f>
        <v>7.9275428572013487E-2</v>
      </c>
      <c r="F7" s="1476">
        <f t="shared" si="0"/>
        <v>9.9113145484041598E-3</v>
      </c>
      <c r="G7" s="1476">
        <f>' T.A7b'!$L12</f>
        <v>6.4853640230172621E-2</v>
      </c>
    </row>
    <row r="8" spans="1:7">
      <c r="A8" s="1480">
        <v>1970</v>
      </c>
      <c r="B8" s="1476">
        <f>' T.A7'!$C13</f>
        <v>9.1391382470756663E-2</v>
      </c>
      <c r="C8" s="1476">
        <f>' T.A7b'!$B13</f>
        <v>9.9929201227446016E-2</v>
      </c>
      <c r="D8" s="1476">
        <f>' T.A7'!$H13</f>
        <v>7.9247387699731636E-2</v>
      </c>
      <c r="E8" s="1476">
        <f>' T.A7b'!$G13</f>
        <v>7.1597946922678665E-2</v>
      </c>
      <c r="F8" s="1476">
        <f t="shared" si="0"/>
        <v>1.2143994771025027E-2</v>
      </c>
      <c r="G8" s="1476">
        <f>' T.A7b'!$L13</f>
        <v>5.0462710322874034E-2</v>
      </c>
    </row>
    <row r="9" spans="1:7">
      <c r="A9" s="1480">
        <v>1971</v>
      </c>
      <c r="B9" s="1476">
        <f>' T.A7'!$C14</f>
        <v>9.3115259397084649E-2</v>
      </c>
      <c r="C9" s="1476">
        <f>' T.A7b'!$B14</f>
        <v>0.101653078153774</v>
      </c>
      <c r="D9" s="1476">
        <f>' T.A7'!$H14</f>
        <v>0.10234151624906065</v>
      </c>
      <c r="E9" s="1476">
        <f>' T.A7b'!$G14</f>
        <v>9.4692075472007683E-2</v>
      </c>
      <c r="F9" s="1476">
        <f t="shared" si="0"/>
        <v>-9.2262568519760058E-3</v>
      </c>
      <c r="G9" s="1476">
        <f>' T.A7b'!$L14</f>
        <v>5.6731747845051403E-2</v>
      </c>
    </row>
    <row r="10" spans="1:7">
      <c r="A10" s="1480">
        <v>1972</v>
      </c>
      <c r="B10" s="1476">
        <f>' T.A7'!$C15</f>
        <v>9.2480715706586392E-2</v>
      </c>
      <c r="C10" s="1476">
        <f>' T.A7b'!$B15</f>
        <v>0.10101853446327573</v>
      </c>
      <c r="D10" s="1476">
        <f>' T.A7'!$H15</f>
        <v>0.1043507759590199</v>
      </c>
      <c r="E10" s="1476">
        <f>' T.A7b'!$G15</f>
        <v>9.6701335181966913E-2</v>
      </c>
      <c r="F10" s="1476">
        <f t="shared" si="0"/>
        <v>-1.1870060252433506E-2</v>
      </c>
      <c r="G10" s="1476">
        <f>' T.A7b'!$L15</f>
        <v>6.2528471624078846E-2</v>
      </c>
    </row>
    <row r="11" spans="1:7">
      <c r="A11" s="1480">
        <v>1973</v>
      </c>
      <c r="B11" s="1476">
        <f>' T.A7'!$C16</f>
        <v>0.14032155477080294</v>
      </c>
      <c r="C11" s="1476">
        <f>' T.A7b'!$B16</f>
        <v>0.14885937352749229</v>
      </c>
      <c r="D11" s="1476">
        <f>' T.A7'!$H16</f>
        <v>0.10805604466752046</v>
      </c>
      <c r="E11" s="1476">
        <f>' T.A7b'!$G16</f>
        <v>0.10040660389046747</v>
      </c>
      <c r="F11" s="1476">
        <f t="shared" si="0"/>
        <v>3.2265510103282477E-2</v>
      </c>
      <c r="G11" s="1476">
        <f>' T.A7b'!$L16</f>
        <v>5.8121129866825008E-2</v>
      </c>
    </row>
    <row r="12" spans="1:7">
      <c r="A12" s="1480">
        <v>1974</v>
      </c>
      <c r="B12" s="1476">
        <f>' T.A7'!$C17</f>
        <v>0.1520553451116978</v>
      </c>
      <c r="C12" s="1476">
        <f>' T.A7b'!$B17</f>
        <v>0.16059316386838715</v>
      </c>
      <c r="D12" s="1476">
        <f>' T.A7'!$H17</f>
        <v>7.0517040104488324E-2</v>
      </c>
      <c r="E12" s="1476">
        <f>' T.A7b'!$G17</f>
        <v>6.2867599327435353E-2</v>
      </c>
      <c r="F12" s="1476">
        <f t="shared" si="0"/>
        <v>8.1538305007209474E-2</v>
      </c>
      <c r="G12" s="1476">
        <f>' T.A7b'!$L17</f>
        <v>3.850763888888889E-2</v>
      </c>
    </row>
    <row r="13" spans="1:7">
      <c r="A13" s="1480">
        <v>1975</v>
      </c>
      <c r="B13" s="1476">
        <f>' T.A7'!$C18</f>
        <v>0.11796603993172033</v>
      </c>
      <c r="C13" s="1476">
        <f>' T.A7b'!$B18</f>
        <v>0.12650385868840969</v>
      </c>
      <c r="D13" s="1476">
        <f>' T.A7'!$H18</f>
        <v>0.10613711857278887</v>
      </c>
      <c r="E13" s="1476">
        <f>' T.A7b'!$G18</f>
        <v>9.848767779573589E-2</v>
      </c>
      <c r="F13" s="1476">
        <f t="shared" si="0"/>
        <v>1.182892135893146E-2</v>
      </c>
      <c r="G13" s="1476">
        <f>' T.A7b'!$L18</f>
        <v>4.5480293251456853E-2</v>
      </c>
    </row>
    <row r="14" spans="1:7">
      <c r="A14" s="1480">
        <v>1976</v>
      </c>
      <c r="B14" s="1476">
        <f>' T.A7'!$C19</f>
        <v>9.2001021498925389E-2</v>
      </c>
      <c r="C14" s="1476">
        <f>' T.A7b'!$B19</f>
        <v>0.10053884025561474</v>
      </c>
      <c r="D14" s="1476">
        <f>' T.A7'!$H19</f>
        <v>7.8370134534044081E-2</v>
      </c>
      <c r="E14" s="1476">
        <f>' T.A7b'!$G19</f>
        <v>7.0720693756991096E-2</v>
      </c>
      <c r="F14" s="1476">
        <f t="shared" si="0"/>
        <v>1.3630886964881309E-2</v>
      </c>
      <c r="G14" s="1476">
        <f>' T.A7b'!$L19</f>
        <v>5.2752780153977767E-2</v>
      </c>
    </row>
    <row r="15" spans="1:7">
      <c r="A15" s="1480">
        <v>1977</v>
      </c>
      <c r="B15" s="1476">
        <f>' T.A7'!$C20</f>
        <v>7.9892286425624792E-2</v>
      </c>
      <c r="C15" s="1476">
        <f>' T.A7b'!$B20</f>
        <v>8.8430105182314131E-2</v>
      </c>
      <c r="D15" s="1476">
        <f>' T.A7'!$H20</f>
        <v>6.1253079185719823E-2</v>
      </c>
      <c r="E15" s="1476">
        <f>' T.A7b'!$G20</f>
        <v>5.3603638408666845E-2</v>
      </c>
      <c r="F15" s="1476">
        <f t="shared" si="0"/>
        <v>1.8639207239904969E-2</v>
      </c>
      <c r="G15" s="1476">
        <f>' T.A7b'!$L20</f>
        <v>5.7538579851320173E-2</v>
      </c>
    </row>
    <row r="16" spans="1:7">
      <c r="A16" s="1480">
        <v>1978</v>
      </c>
      <c r="B16" s="1476">
        <f>' T.A7'!$C21</f>
        <v>8.9554012710881079E-2</v>
      </c>
      <c r="C16" s="1476">
        <f>' T.A7b'!$B21</f>
        <v>9.8091831467570417E-2</v>
      </c>
      <c r="D16" s="1476">
        <f>' T.A7'!$H21</f>
        <v>7.3392796476549713E-2</v>
      </c>
      <c r="E16" s="1476">
        <f>' T.A7b'!$G21</f>
        <v>6.5743355699496742E-2</v>
      </c>
      <c r="F16" s="1476">
        <f t="shared" si="0"/>
        <v>1.6161216234331366E-2</v>
      </c>
      <c r="G16" s="1476">
        <f>' T.A7b'!$L21</f>
        <v>5.9091771294372694E-2</v>
      </c>
    </row>
    <row r="17" spans="1:7">
      <c r="A17" s="1480">
        <v>1979</v>
      </c>
      <c r="B17" s="1476">
        <f>' T.A7'!$C22</f>
        <v>0.11415644075231299</v>
      </c>
      <c r="C17" s="1476">
        <f>' T.A7b'!$B22</f>
        <v>0.12269425950900234</v>
      </c>
      <c r="D17" s="1476">
        <f>' T.A7'!$H22</f>
        <v>7.9945915980475665E-2</v>
      </c>
      <c r="E17" s="1476">
        <f>' T.A7b'!$G22</f>
        <v>7.2296475203422694E-2</v>
      </c>
      <c r="F17" s="1476">
        <f t="shared" si="0"/>
        <v>3.4210524771837322E-2</v>
      </c>
      <c r="G17" s="1476">
        <f>' T.A7b'!$L22</f>
        <v>4.8678070930869802E-2</v>
      </c>
    </row>
    <row r="18" spans="1:7">
      <c r="A18" s="1480">
        <v>1980</v>
      </c>
      <c r="B18" s="1476">
        <f>' T.A7'!$C23</f>
        <v>9.5366749939167703E-2</v>
      </c>
      <c r="C18" s="1476">
        <f>' T.A7b'!$B23</f>
        <v>0.10390456869585704</v>
      </c>
      <c r="D18" s="1476">
        <f>' T.A7'!$H23</f>
        <v>5.2696133804613202E-2</v>
      </c>
      <c r="E18" s="1476">
        <f>' T.A7b'!$G23</f>
        <v>4.5046693027560224E-2</v>
      </c>
      <c r="F18" s="1476">
        <f t="shared" si="0"/>
        <v>4.2670616134554501E-2</v>
      </c>
      <c r="G18" s="1476">
        <f>' T.A7b'!$L23</f>
        <v>3.4378684111894778E-2</v>
      </c>
    </row>
    <row r="19" spans="1:7">
      <c r="A19" s="1480">
        <v>1981</v>
      </c>
      <c r="B19" s="1476">
        <f>' T.A7'!$C24</f>
        <v>7.8651511846060354E-2</v>
      </c>
      <c r="C19" s="1476">
        <f>' T.A7b'!$B24</f>
        <v>8.7189330602749693E-2</v>
      </c>
      <c r="D19" s="1476">
        <f>' T.A7'!$H24</f>
        <v>3.9785747488110992E-2</v>
      </c>
      <c r="E19" s="1476">
        <f>' T.A7b'!$G24</f>
        <v>3.2136306711058014E-2</v>
      </c>
      <c r="F19" s="1476">
        <f t="shared" si="0"/>
        <v>3.8865764357949362E-2</v>
      </c>
      <c r="G19" s="1476">
        <f>' T.A7b'!$L24</f>
        <v>4.0167318687932593E-2</v>
      </c>
    </row>
    <row r="20" spans="1:7">
      <c r="A20" s="1480">
        <v>1982</v>
      </c>
      <c r="B20" s="1476">
        <f>' T.A7'!$C25</f>
        <v>6.5548256596066418E-2</v>
      </c>
      <c r="C20" s="1476">
        <f>' T.A7b'!$B25</f>
        <v>7.408607535275577E-2</v>
      </c>
      <c r="D20" s="1476">
        <f>' T.A7'!$H25</f>
        <v>6.5687538247203867E-3</v>
      </c>
      <c r="E20" s="1476">
        <f>' T.A7b'!$G25</f>
        <v>-1.0806869523325919E-3</v>
      </c>
      <c r="F20" s="1476">
        <f t="shared" si="0"/>
        <v>5.8979502771346032E-2</v>
      </c>
      <c r="G20" s="1476">
        <f>' T.A7b'!$L25</f>
        <v>3.6895102132942108E-2</v>
      </c>
    </row>
    <row r="21" spans="1:7">
      <c r="A21" s="1480">
        <v>1983</v>
      </c>
      <c r="B21" s="1476">
        <f>' T.A7'!$C26</f>
        <v>7.6172705254312689E-2</v>
      </c>
      <c r="C21" s="1476">
        <f>' T.A7b'!$B26</f>
        <v>8.3594483713113538E-2</v>
      </c>
      <c r="D21" s="1476">
        <f>' T.A7'!$H26</f>
        <v>1.8253375430755805E-2</v>
      </c>
      <c r="E21" s="1476">
        <f>' T.A7b'!$G26</f>
        <v>1.1059988827026041E-2</v>
      </c>
      <c r="F21" s="1476">
        <f t="shared" si="0"/>
        <v>5.7919329823556881E-2</v>
      </c>
      <c r="G21" s="1476">
        <f>' T.A7b'!$L26</f>
        <v>4.4800251221976457E-2</v>
      </c>
    </row>
    <row r="22" spans="1:7">
      <c r="A22" s="1480">
        <v>1984</v>
      </c>
      <c r="B22" s="1476">
        <f>' T.A7'!$C27</f>
        <v>8.5977409328456975E-2</v>
      </c>
      <c r="C22" s="1476">
        <f>' T.A7b'!$B27</f>
        <v>9.4218494151330032E-2</v>
      </c>
      <c r="D22" s="1476">
        <f>' T.A7'!$H27</f>
        <v>3.5806851011143205E-2</v>
      </c>
      <c r="E22" s="1476">
        <f>' T.A7b'!$G27</f>
        <v>2.9759251616453427E-2</v>
      </c>
      <c r="F22" s="1476">
        <f t="shared" si="0"/>
        <v>5.017055831731377E-2</v>
      </c>
      <c r="G22" s="1476">
        <f>' T.A7b'!$L27</f>
        <v>5.2363234576149241E-2</v>
      </c>
    </row>
    <row r="23" spans="1:7">
      <c r="A23" s="1480">
        <v>1985</v>
      </c>
      <c r="B23" s="1476">
        <f>' T.A7'!$C28</f>
        <v>7.7233402294526979E-2</v>
      </c>
      <c r="C23" s="1476">
        <f>' T.A7b'!$B28</f>
        <v>9.0255313146511182E-2</v>
      </c>
      <c r="D23" s="1476">
        <f>' T.A7'!$H28</f>
        <v>2.2569721911459166E-2</v>
      </c>
      <c r="E23" s="1476">
        <f>' T.A7b'!$G28</f>
        <v>1.8833906025251715E-2</v>
      </c>
      <c r="F23" s="1476">
        <f t="shared" si="0"/>
        <v>5.4663680383067813E-2</v>
      </c>
      <c r="G23" s="1476">
        <f>' T.A7b'!$L28</f>
        <v>5.2713359084614823E-2</v>
      </c>
    </row>
    <row r="24" spans="1:7">
      <c r="A24" s="1480">
        <v>1986</v>
      </c>
      <c r="B24" s="1476">
        <f>' T.A7'!$C29</f>
        <v>7.6695721983894363E-2</v>
      </c>
      <c r="C24" s="1476">
        <f>' T.A7b'!$B29</f>
        <v>8.6459564372066519E-2</v>
      </c>
      <c r="D24" s="1476">
        <f>' T.A7'!$H29</f>
        <v>1.9054433667249692E-2</v>
      </c>
      <c r="E24" s="1476">
        <f>' T.A7b'!$G29</f>
        <v>1.5852193424144449E-2</v>
      </c>
      <c r="F24" s="1476">
        <f t="shared" si="0"/>
        <v>5.7641288316644668E-2</v>
      </c>
      <c r="G24" s="1476">
        <f>' T.A7b'!$L29</f>
        <v>4.0592118979776215E-2</v>
      </c>
    </row>
    <row r="25" spans="1:7">
      <c r="A25" s="1480">
        <v>1987</v>
      </c>
      <c r="B25" s="1476">
        <f>' T.A7'!$C30</f>
        <v>8.3303163147248865E-2</v>
      </c>
      <c r="C25" s="1476">
        <f>' T.A7b'!$B30</f>
        <v>9.290515280543378E-2</v>
      </c>
      <c r="D25" s="1476">
        <f>' T.A7'!$H30</f>
        <v>2.0222349269136873E-2</v>
      </c>
      <c r="E25" s="1476">
        <f>' T.A7b'!$G30</f>
        <v>1.5930652986804295E-2</v>
      </c>
      <c r="F25" s="1476">
        <f t="shared" si="0"/>
        <v>6.3080813878111985E-2</v>
      </c>
      <c r="G25" s="1476">
        <f>' T.A7b'!$L30</f>
        <v>4.119681026339491E-2</v>
      </c>
    </row>
    <row r="26" spans="1:7">
      <c r="A26" s="1480">
        <v>1988</v>
      </c>
      <c r="B26" s="1476">
        <f>' T.A7'!$C31</f>
        <v>0.10137454759620411</v>
      </c>
      <c r="C26" s="1476">
        <f>' T.A7b'!$B31</f>
        <v>0.1088390914876842</v>
      </c>
      <c r="D26" s="1476">
        <f>' T.A7'!$H31</f>
        <v>2.4996502651625948E-2</v>
      </c>
      <c r="E26" s="1476">
        <f>' T.A7b'!$G31</f>
        <v>2.2338517887347226E-2</v>
      </c>
      <c r="F26" s="1476">
        <f t="shared" si="0"/>
        <v>7.6378044944578158E-2</v>
      </c>
      <c r="G26" s="1476">
        <f>' T.A7b'!$L31</f>
        <v>4.4596238709943496E-2</v>
      </c>
    </row>
    <row r="27" spans="1:7">
      <c r="A27" s="1480">
        <v>1989</v>
      </c>
      <c r="B27" s="1476">
        <f>' T.A7'!$C32</f>
        <v>9.9066915882337764E-2</v>
      </c>
      <c r="C27" s="1476">
        <f>' T.A7b'!$B32</f>
        <v>0.10983738308798863</v>
      </c>
      <c r="D27" s="1476">
        <f>' T.A7'!$H32</f>
        <v>7.78046177181055E-4</v>
      </c>
      <c r="E27" s="1476">
        <f>' T.A7b'!$G32</f>
        <v>-1.2892534127296239E-3</v>
      </c>
      <c r="F27" s="1476">
        <f t="shared" si="0"/>
        <v>9.8288869705156712E-2</v>
      </c>
      <c r="G27" s="1476">
        <f>' T.A7b'!$L32</f>
        <v>3.9067431014380101E-2</v>
      </c>
    </row>
    <row r="28" spans="1:7">
      <c r="A28" s="1480">
        <v>1990</v>
      </c>
      <c r="B28" s="1476">
        <f>' T.A7'!$C33</f>
        <v>9.336275984841691E-2</v>
      </c>
      <c r="C28" s="1476">
        <f>' T.A7b'!$B33</f>
        <v>0.10366037948912116</v>
      </c>
      <c r="D28" s="1476">
        <f>' T.A7'!$H33</f>
        <v>-1.3514455973405035E-2</v>
      </c>
      <c r="E28" s="1476">
        <f>' T.A7b'!$G33</f>
        <v>-1.3328477221477444E-2</v>
      </c>
      <c r="F28" s="1476">
        <f t="shared" si="0"/>
        <v>0.10687721582182194</v>
      </c>
      <c r="G28" s="1476">
        <f>' T.A7b'!$L33</f>
        <v>3.5918520966439008E-2</v>
      </c>
    </row>
    <row r="29" spans="1:7">
      <c r="A29" s="1480">
        <v>1991</v>
      </c>
      <c r="B29" s="1476">
        <f>' T.A7'!$C34</f>
        <v>8.0224292811645823E-2</v>
      </c>
      <c r="C29" s="1476">
        <f>' T.A7b'!$B34</f>
        <v>8.8419849882266796E-2</v>
      </c>
      <c r="D29" s="1476">
        <f>' T.A7'!$H34</f>
        <v>-2.693992744192255E-2</v>
      </c>
      <c r="E29" s="1476">
        <f>' T.A7b'!$G34</f>
        <v>-2.6055596077477913E-2</v>
      </c>
      <c r="F29" s="1476">
        <f t="shared" si="0"/>
        <v>0.10716422025356837</v>
      </c>
      <c r="G29" s="1476">
        <f>' T.A7b'!$L34</f>
        <v>4.2246361263097658E-2</v>
      </c>
    </row>
    <row r="30" spans="1:7">
      <c r="A30" s="1480">
        <v>1992</v>
      </c>
      <c r="B30" s="1476">
        <f>' T.A7'!$C35</f>
        <v>7.7402001354299893E-2</v>
      </c>
      <c r="C30" s="1476">
        <f>' T.A7b'!$B35</f>
        <v>8.6209653148747276E-2</v>
      </c>
      <c r="D30" s="1476">
        <f>' T.A7'!$H35</f>
        <v>-1.2613829104022922E-2</v>
      </c>
      <c r="E30" s="1476">
        <f>' T.A7b'!$G35</f>
        <v>-1.1200007527835348E-2</v>
      </c>
      <c r="F30" s="1476">
        <f t="shared" si="0"/>
        <v>9.0015830458322815E-2</v>
      </c>
      <c r="G30" s="1476">
        <f>' T.A7b'!$L35</f>
        <v>4.3733416144782017E-2</v>
      </c>
    </row>
    <row r="31" spans="1:7">
      <c r="A31" s="1480">
        <v>1993</v>
      </c>
      <c r="B31" s="1476">
        <f>' T.A7'!$C36</f>
        <v>8.6827302468225481E-2</v>
      </c>
      <c r="C31" s="1476">
        <f>' T.A7b'!$B36</f>
        <v>9.6914191468806352E-2</v>
      </c>
      <c r="D31" s="1476">
        <f>' T.A7'!$H36</f>
        <v>2.0939868530559743E-3</v>
      </c>
      <c r="E31" s="1476">
        <f>' T.A7b'!$G36</f>
        <v>3.6494563645183826E-3</v>
      </c>
      <c r="F31" s="1476">
        <f t="shared" si="0"/>
        <v>8.4733315615169502E-2</v>
      </c>
      <c r="G31" s="1476">
        <f>' T.A7b'!$L36</f>
        <v>4.5070640285521615E-2</v>
      </c>
    </row>
    <row r="32" spans="1:7">
      <c r="A32" s="1480">
        <v>1994</v>
      </c>
      <c r="B32" s="1476">
        <f>' T.A7'!$C37</f>
        <v>9.1843185759285753E-2</v>
      </c>
      <c r="C32" s="1476">
        <f>' T.A7b'!$B37</f>
        <v>0.10136894981068299</v>
      </c>
      <c r="D32" s="1476">
        <f>' T.A7'!$H37</f>
        <v>2.8688194348312074E-2</v>
      </c>
      <c r="E32" s="1476">
        <f>' T.A7b'!$G37</f>
        <v>3.0808042198608668E-2</v>
      </c>
      <c r="F32" s="1476">
        <f t="shared" si="0"/>
        <v>6.3154991410973679E-2</v>
      </c>
      <c r="G32" s="1476">
        <f>' T.A7b'!$L37</f>
        <v>5.4590964970977728E-2</v>
      </c>
    </row>
    <row r="33" spans="1:7">
      <c r="A33" s="1480">
        <v>1995</v>
      </c>
      <c r="B33" s="1476">
        <f>' T.A7'!$C38</f>
        <v>0.10260020764917684</v>
      </c>
      <c r="C33" s="1476">
        <f>' T.A7b'!$B38</f>
        <v>0.11066927577817073</v>
      </c>
      <c r="D33" s="1476">
        <f>' T.A7'!$H38</f>
        <v>4.1854871286401529E-2</v>
      </c>
      <c r="E33" s="1476">
        <f>' T.A7b'!$G38</f>
        <v>4.002607322536815E-2</v>
      </c>
      <c r="F33" s="1476">
        <f t="shared" si="0"/>
        <v>6.0745336362775307E-2</v>
      </c>
      <c r="G33" s="1476">
        <f>' T.A7b'!$L38</f>
        <v>5.7643030347564107E-2</v>
      </c>
    </row>
    <row r="34" spans="1:7">
      <c r="A34" s="1480">
        <v>1996</v>
      </c>
      <c r="B34" s="1476">
        <f>' T.A7'!$C39</f>
        <v>9.9136659436008676E-2</v>
      </c>
      <c r="C34" s="1476">
        <f>' T.A7b'!$B39</f>
        <v>0.10722559652928416</v>
      </c>
      <c r="D34" s="1476">
        <f>' T.A7'!$H39</f>
        <v>3.5755339304023588E-2</v>
      </c>
      <c r="E34" s="1476">
        <f>' T.A7b'!$G39</f>
        <v>3.9190416018499409E-2</v>
      </c>
      <c r="F34" s="1476">
        <f t="shared" si="0"/>
        <v>6.3381320131985081E-2</v>
      </c>
      <c r="G34" s="1476">
        <f>' T.A7b'!$L39</f>
        <v>6.320291008615754E-2</v>
      </c>
    </row>
    <row r="35" spans="1:7">
      <c r="A35" s="1480">
        <v>1997</v>
      </c>
      <c r="B35" s="1476">
        <f>' T.A7'!$C40</f>
        <v>0.1032715722817527</v>
      </c>
      <c r="C35" s="1476">
        <f>' T.A7b'!$B40</f>
        <v>0.11235770853155407</v>
      </c>
      <c r="D35" s="1476">
        <f>' T.A7'!$H40</f>
        <v>4.7718988009369134E-2</v>
      </c>
      <c r="E35" s="1476">
        <f>' T.A7b'!$G40</f>
        <v>5.1137791428172555E-2</v>
      </c>
      <c r="F35" s="1476">
        <f t="shared" si="0"/>
        <v>5.5552584272383562E-2</v>
      </c>
      <c r="G35" s="1476">
        <f>' T.A7b'!$L40</f>
        <v>6.7638298994908599E-2</v>
      </c>
    </row>
    <row r="36" spans="1:7">
      <c r="A36" s="1480">
        <v>1998</v>
      </c>
      <c r="B36" s="1476">
        <f>' T.A7'!$C41</f>
        <v>7.9925964239158515E-2</v>
      </c>
      <c r="C36" s="1476">
        <f>' T.A7b'!$B41</f>
        <v>9.0544202979857297E-2</v>
      </c>
      <c r="D36" s="1476">
        <f>' T.A7'!$H41</f>
        <v>3.0976884348654751E-2</v>
      </c>
      <c r="E36" s="1476">
        <f>' T.A7b'!$G41</f>
        <v>3.7457868682410689E-2</v>
      </c>
      <c r="F36" s="1476">
        <f t="shared" ref="F36:F54" si="1">B36-D36</f>
        <v>4.8949079890503761E-2</v>
      </c>
      <c r="G36" s="1476">
        <f>' T.A7b'!$L41</f>
        <v>5.6579026254652651E-2</v>
      </c>
    </row>
    <row r="37" spans="1:7">
      <c r="A37" s="1480">
        <v>1999</v>
      </c>
      <c r="B37" s="1476">
        <f>' T.A7'!$C42</f>
        <v>8.687504696664676E-2</v>
      </c>
      <c r="C37" s="1476">
        <f>' T.A7b'!$B42</f>
        <v>9.8540968758775355E-2</v>
      </c>
      <c r="D37" s="1476">
        <f>' T.A7'!$H42</f>
        <v>3.6464247181376593E-2</v>
      </c>
      <c r="E37" s="1476">
        <f>' T.A7b'!$G42</f>
        <v>4.3212217725407419E-2</v>
      </c>
      <c r="F37" s="1476">
        <f t="shared" si="1"/>
        <v>5.0410799785270168E-2</v>
      </c>
      <c r="G37" s="1476">
        <f>' T.A7b'!$L42</f>
        <v>5.2944551119697494E-2</v>
      </c>
    </row>
    <row r="38" spans="1:7">
      <c r="A38" s="1480">
        <v>2000</v>
      </c>
      <c r="B38" s="1476">
        <f>' T.A7'!$C43</f>
        <v>9.1757922852811702E-2</v>
      </c>
      <c r="C38" s="1476">
        <f>' T.A7b'!$B43</f>
        <v>0.10241988731245483</v>
      </c>
      <c r="D38" s="1476">
        <f>' T.A7'!$H43</f>
        <v>2.4867873033652919E-2</v>
      </c>
      <c r="E38" s="1476">
        <f>' T.A7b'!$G43</f>
        <v>3.0490770003511528E-2</v>
      </c>
      <c r="F38" s="1476">
        <f t="shared" si="1"/>
        <v>6.6890049819158776E-2</v>
      </c>
      <c r="G38" s="1476">
        <f>' T.A7b'!$L43</f>
        <v>4.0726269898936525E-2</v>
      </c>
    </row>
    <row r="39" spans="1:7">
      <c r="A39" s="1480">
        <v>2001</v>
      </c>
      <c r="B39" s="1476">
        <f>' T.A7'!$C44</f>
        <v>6.6643723290156512E-2</v>
      </c>
      <c r="C39" s="1476">
        <f>' T.A7b'!$B44</f>
        <v>7.7277405778422945E-2</v>
      </c>
      <c r="D39" s="1476">
        <f>' T.A7'!$H44</f>
        <v>-1.4724018087372469E-2</v>
      </c>
      <c r="E39" s="1476">
        <f>' T.A7b'!$G44</f>
        <v>-7.4325035926739993E-3</v>
      </c>
      <c r="F39" s="1476">
        <f t="shared" si="1"/>
        <v>8.1367741377528974E-2</v>
      </c>
      <c r="G39" s="1476">
        <f>' T.A7b'!$L44</f>
        <v>3.9969314838167298E-2</v>
      </c>
    </row>
    <row r="40" spans="1:7">
      <c r="A40" s="1480">
        <v>2002</v>
      </c>
      <c r="B40" s="1476">
        <f>' T.A7'!$C45</f>
        <v>6.8482582092210878E-2</v>
      </c>
      <c r="C40" s="1476">
        <f>' T.A7b'!$B45</f>
        <v>7.9332368424217897E-2</v>
      </c>
      <c r="D40" s="1476">
        <f>' T.A7'!$H45</f>
        <v>9.7317812098659719E-3</v>
      </c>
      <c r="E40" s="1476">
        <f>' T.A7b'!$G45</f>
        <v>1.9202588336022654E-2</v>
      </c>
      <c r="F40" s="1476">
        <f t="shared" si="1"/>
        <v>5.8750800882344904E-2</v>
      </c>
      <c r="G40" s="1476">
        <f>' T.A7b'!$L45</f>
        <v>5.6596338025302034E-2</v>
      </c>
    </row>
    <row r="41" spans="1:7">
      <c r="A41" s="1480">
        <v>2003</v>
      </c>
      <c r="B41" s="1476">
        <f>' T.A7'!$C46</f>
        <v>8.200685111012597E-2</v>
      </c>
      <c r="C41" s="1476">
        <f>' T.A7b'!$B46</f>
        <v>9.1413354258413432E-2</v>
      </c>
      <c r="D41" s="1476">
        <f>' T.A7'!$H46</f>
        <v>3.3400027911718366E-2</v>
      </c>
      <c r="E41" s="1476">
        <f>' T.A7b'!$G46</f>
        <v>4.5613270454849059E-2</v>
      </c>
      <c r="F41" s="1476">
        <f t="shared" si="1"/>
        <v>4.8606823198407603E-2</v>
      </c>
      <c r="G41" s="1476">
        <f>' T.A7b'!$L46</f>
        <v>6.3700201167560755E-2</v>
      </c>
    </row>
    <row r="42" spans="1:7">
      <c r="A42" s="1480">
        <v>2004</v>
      </c>
      <c r="B42" s="1476">
        <f>' T.A7'!$C47</f>
        <v>9.1392688667125729E-2</v>
      </c>
      <c r="C42" s="1476">
        <f>' T.A7b'!$B47</f>
        <v>9.8459419738748846E-2</v>
      </c>
      <c r="D42" s="1476">
        <f>' T.A7'!$H47</f>
        <v>4.8886954704367387E-2</v>
      </c>
      <c r="E42" s="1476">
        <f>' T.A7b'!$G47</f>
        <v>5.9405626272339931E-2</v>
      </c>
      <c r="F42" s="1476">
        <f t="shared" si="1"/>
        <v>4.2505733962758342E-2</v>
      </c>
      <c r="G42" s="1476">
        <f>' T.A7b'!$L47</f>
        <v>7.0398293418905494E-2</v>
      </c>
    </row>
    <row r="43" spans="1:7">
      <c r="A43" s="1480">
        <v>2005</v>
      </c>
      <c r="B43" s="1476">
        <f>' T.A7'!$C48</f>
        <v>0.10082663232597784</v>
      </c>
      <c r="C43" s="1476">
        <f>' T.A7b'!$B48</f>
        <v>0.10519703576590829</v>
      </c>
      <c r="D43" s="1476">
        <f>' T.A7'!$H48</f>
        <v>5.6818283711235193E-2</v>
      </c>
      <c r="E43" s="1476">
        <f>' T.A7b'!$G48</f>
        <v>6.3921017504574462E-2</v>
      </c>
      <c r="F43" s="1476">
        <f t="shared" si="1"/>
        <v>4.4008348614742648E-2</v>
      </c>
      <c r="G43" s="1476">
        <f>' T.A7b'!$L48</f>
        <v>6.9116992622086898E-2</v>
      </c>
    </row>
    <row r="44" spans="1:7">
      <c r="A44" s="1480">
        <v>2006</v>
      </c>
      <c r="B44" s="1476">
        <f>' T.A7'!$C49</f>
        <v>0.10065118984439392</v>
      </c>
      <c r="C44" s="1476">
        <f>' T.A7b'!$B49</f>
        <v>0.10349974476704972</v>
      </c>
      <c r="D44" s="1476">
        <f>' T.A7'!$H49</f>
        <v>6.7977161404258316E-2</v>
      </c>
      <c r="E44" s="1476">
        <f>' T.A7b'!$G49</f>
        <v>7.3460813491796575E-2</v>
      </c>
      <c r="F44" s="1476">
        <f t="shared" si="1"/>
        <v>3.2674028440135602E-2</v>
      </c>
      <c r="G44" s="1476">
        <f>' T.A7b'!$L49</f>
        <v>7.107333028468675E-2</v>
      </c>
    </row>
    <row r="45" spans="1:7">
      <c r="A45" s="1480">
        <v>2007</v>
      </c>
      <c r="B45" s="1476">
        <f>' T.A7'!$C50</f>
        <v>9.6872423425403878E-2</v>
      </c>
      <c r="C45" s="1476">
        <f>' T.A7b'!$B50</f>
        <v>0.10011364477615484</v>
      </c>
      <c r="D45" s="1476">
        <f>' T.A7'!$H50</f>
        <v>4.8052896647736147E-2</v>
      </c>
      <c r="E45" s="1476">
        <f>' T.A7b'!$G50</f>
        <v>5.3905202790717109E-2</v>
      </c>
      <c r="F45" s="1476">
        <f t="shared" si="1"/>
        <v>4.8819526777667731E-2</v>
      </c>
      <c r="G45" s="1476">
        <f>' T.A7b'!$L50</f>
        <v>5.3675964592400899E-2</v>
      </c>
    </row>
    <row r="46" spans="1:7">
      <c r="A46" s="1480">
        <v>2008</v>
      </c>
      <c r="B46" s="1476">
        <f>' T.A7'!$C51</f>
        <v>0.10245875882902451</v>
      </c>
      <c r="C46" s="1476">
        <f>' T.A7b'!$B51</f>
        <v>0.10582606435614564</v>
      </c>
      <c r="D46" s="1476">
        <f>' T.A7'!$H51</f>
        <v>4.7863289933838211E-2</v>
      </c>
      <c r="E46" s="1476">
        <f>' T.A7b'!$G51</f>
        <v>5.3582103044653877E-2</v>
      </c>
      <c r="F46" s="1476">
        <f t="shared" si="1"/>
        <v>5.4595468895186301E-2</v>
      </c>
      <c r="G46" s="1476">
        <f>' T.A7b'!$L51</f>
        <v>3.9458854354395986E-2</v>
      </c>
    </row>
    <row r="47" spans="1:7">
      <c r="A47" s="1480">
        <v>2009</v>
      </c>
      <c r="B47" s="1476">
        <f>' T.A7'!$C52</f>
        <v>8.3872969934011318E-2</v>
      </c>
      <c r="C47" s="1476">
        <f>' T.A7b'!$B52</f>
        <v>8.9242552159841587E-2</v>
      </c>
      <c r="D47" s="1476">
        <f>' T.A7'!$H52</f>
        <v>3.5637509025427047E-2</v>
      </c>
      <c r="E47" s="1476">
        <f>' T.A7b'!$G52</f>
        <v>4.2435982603835097E-2</v>
      </c>
      <c r="F47" s="1476">
        <f t="shared" si="1"/>
        <v>4.8235460908584271E-2</v>
      </c>
      <c r="G47" s="1476">
        <f>' T.A7b'!$L52</f>
        <v>5.5217403770339041E-2</v>
      </c>
    </row>
    <row r="48" spans="1:7">
      <c r="A48" s="1480">
        <v>2010</v>
      </c>
      <c r="B48" s="1476">
        <f>' T.A7'!$C53</f>
        <v>9.80715949029939E-2</v>
      </c>
      <c r="C48" s="1476">
        <f>' T.A7b'!$B53</f>
        <v>0.10249048943394808</v>
      </c>
      <c r="D48" s="1476">
        <f>' T.A7'!$H53</f>
        <v>5.2864876537888496E-2</v>
      </c>
      <c r="E48" s="1476">
        <f>' T.A7b'!$G53</f>
        <v>5.8305446927009452E-2</v>
      </c>
      <c r="F48" s="1476">
        <f t="shared" si="1"/>
        <v>4.5206718365105404E-2</v>
      </c>
      <c r="G48" s="1476">
        <f>' T.A7b'!$L53</f>
        <v>6.859394125917169E-2</v>
      </c>
    </row>
    <row r="49" spans="1:7">
      <c r="A49" s="1480">
        <v>2011</v>
      </c>
      <c r="B49" s="1476">
        <f>' T.A7'!$C54</f>
        <v>9.7181118258444971E-2</v>
      </c>
      <c r="C49" s="1476">
        <f>' T.A7b'!$B54</f>
        <v>0.10130227493224868</v>
      </c>
      <c r="D49" s="1476">
        <f>' T.A7'!$H54</f>
        <v>5.7531851030427884E-2</v>
      </c>
      <c r="E49" s="1476">
        <f>' T.A7b'!$G54</f>
        <v>6.252891206099398E-2</v>
      </c>
      <c r="F49" s="1476">
        <f t="shared" si="1"/>
        <v>3.9649267228017086E-2</v>
      </c>
      <c r="G49" s="1476">
        <f>' T.A7b'!$L54</f>
        <v>6.830991599351624E-2</v>
      </c>
    </row>
    <row r="50" spans="1:7">
      <c r="A50" s="1480">
        <v>2012</v>
      </c>
      <c r="B50" s="1476">
        <f>' T.A7'!$C55</f>
        <v>8.7757721855378321E-2</v>
      </c>
      <c r="C50" s="1476">
        <f>' T.A7b'!$B55</f>
        <v>9.1886020712527147E-2</v>
      </c>
      <c r="D50" s="1476">
        <f>' T.A7'!$H55</f>
        <v>5.0433484159492073E-2</v>
      </c>
      <c r="E50" s="1476">
        <f>' T.A7b'!$G55</f>
        <v>5.5110223455912495E-2</v>
      </c>
      <c r="F50" s="1476">
        <f t="shared" si="1"/>
        <v>3.7324237695886248E-2</v>
      </c>
      <c r="G50" s="1476">
        <f>' T.A7b'!$L55</f>
        <v>7.4220787251908893E-2</v>
      </c>
    </row>
    <row r="51" spans="1:7">
      <c r="A51" s="1480">
        <v>2013</v>
      </c>
      <c r="B51" s="1476">
        <f>' T.A7'!$C56</f>
        <v>8.6459926356465933E-2</v>
      </c>
      <c r="C51" s="1476">
        <f>' T.A7b'!$B56</f>
        <v>9.0091087076042464E-2</v>
      </c>
      <c r="D51" s="1476">
        <f>' T.A7'!$H56</f>
        <v>5.0344164545493619E-2</v>
      </c>
      <c r="E51" s="1476">
        <f>' T.A7b'!$G56</f>
        <v>5.5984052046075192E-2</v>
      </c>
      <c r="F51" s="1476">
        <f t="shared" si="1"/>
        <v>3.6115761810972313E-2</v>
      </c>
      <c r="G51" s="1476">
        <f>' T.A7b'!$L56</f>
        <v>7.2414672124971755E-2</v>
      </c>
    </row>
    <row r="52" spans="1:7">
      <c r="A52" s="1480">
        <v>2014</v>
      </c>
      <c r="B52" s="1476">
        <f>' T.A7'!$C57</f>
        <v>8.0941325238669593E-2</v>
      </c>
      <c r="C52" s="1476">
        <f>' T.A7b'!$B57</f>
        <v>8.4419335058780007E-2</v>
      </c>
      <c r="D52" s="1476">
        <f>' T.A7'!$H57</f>
        <v>5.0962940985756759E-2</v>
      </c>
      <c r="E52" s="1476">
        <f>' T.A7b'!$G57</f>
        <v>5.4517878395096121E-2</v>
      </c>
      <c r="F52" s="1476">
        <f t="shared" si="1"/>
        <v>2.9978384252912833E-2</v>
      </c>
      <c r="G52" s="1476">
        <f>' T.A7b'!$L57</f>
        <v>7.4447892983025968E-2</v>
      </c>
    </row>
    <row r="53" spans="1:7">
      <c r="A53" s="1480">
        <v>2015</v>
      </c>
      <c r="B53" s="1476">
        <f>' T.A7'!$C58</f>
        <v>7.1412459841387513E-2</v>
      </c>
      <c r="C53" s="1476">
        <f>' T.A7b'!$B58</f>
        <v>7.4843881287771558E-2</v>
      </c>
      <c r="D53" s="1476">
        <f>' T.A7'!$H58</f>
        <v>3.6498755041717026E-2</v>
      </c>
      <c r="E53" s="1476">
        <f>' T.A7b'!$G58</f>
        <v>3.9811059986118599E-2</v>
      </c>
      <c r="F53" s="1476">
        <f t="shared" si="1"/>
        <v>3.4913704799670486E-2</v>
      </c>
      <c r="G53" s="1476">
        <f>' T.A7b'!$L58</f>
        <v>7.2189236489631894E-2</v>
      </c>
    </row>
    <row r="54" spans="1:7">
      <c r="A54" s="1480">
        <v>2016</v>
      </c>
      <c r="B54" s="1476">
        <f>' T.A7'!$C59</f>
        <v>6.7746213495205473E-2</v>
      </c>
      <c r="C54" s="1476">
        <f>' T.A7b'!$B59</f>
        <v>7.1104895285065056E-2</v>
      </c>
      <c r="D54" s="1476">
        <f>' T.A7'!$H59</f>
        <v>3.50608231500949E-2</v>
      </c>
      <c r="E54" s="1476">
        <f>' T.A7b'!$G59</f>
        <v>3.815654605181365E-2</v>
      </c>
      <c r="F54" s="1476">
        <f t="shared" si="1"/>
        <v>3.2685390345110574E-2</v>
      </c>
      <c r="G54" s="1476">
        <f>' T.A7b'!$L59</f>
        <v>6.9569865838695372E-2</v>
      </c>
    </row>
    <row r="55" spans="1:7">
      <c r="B55" s="1477"/>
      <c r="C55" s="1477"/>
      <c r="D55" s="1477"/>
      <c r="E55" s="1477"/>
      <c r="F55" s="1477"/>
      <c r="G55" s="1477"/>
    </row>
    <row r="56" spans="1:7">
      <c r="B56" s="1478"/>
      <c r="C56" s="1478"/>
      <c r="D56" s="1478"/>
      <c r="E56" s="1478"/>
      <c r="F56" s="1478"/>
      <c r="G56" s="1478"/>
    </row>
    <row r="57" spans="1:7">
      <c r="B57" s="1478"/>
      <c r="C57" s="1478"/>
      <c r="D57" s="1478"/>
      <c r="E57" s="1478"/>
      <c r="F57" s="1479">
        <f>AVERAGE(F4:F54)</f>
        <v>4.5192408483863668E-2</v>
      </c>
      <c r="G57" s="1479"/>
    </row>
  </sheetData>
  <pageMargins left="0.75" right="0.75" top="1" bottom="1" header="0.5" footer="0.5"/>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workbookViewId="0">
      <selection activeCell="X67" sqref="X67"/>
    </sheetView>
  </sheetViews>
  <sheetFormatPr baseColWidth="10" defaultRowHeight="15" x14ac:dyDescent="0"/>
  <cols>
    <col min="1" max="1" width="10.7109375" style="1356"/>
  </cols>
  <sheetData>
    <row r="1" spans="1:3">
      <c r="B1" t="s">
        <v>1900</v>
      </c>
      <c r="C1" t="s">
        <v>3274</v>
      </c>
    </row>
    <row r="2" spans="1:3" s="1356" customFormat="1">
      <c r="A2" s="1356">
        <v>1980</v>
      </c>
    </row>
    <row r="3" spans="1:3">
      <c r="A3" s="1356">
        <v>1981</v>
      </c>
      <c r="B3" s="11">
        <v>0.49698999999999999</v>
      </c>
      <c r="C3" s="11">
        <v>0.47522727123809522</v>
      </c>
    </row>
    <row r="4" spans="1:3">
      <c r="A4" s="1356">
        <v>1982</v>
      </c>
      <c r="B4" s="11">
        <v>0.49698999999999999</v>
      </c>
      <c r="C4" s="11">
        <v>0.48032727123809527</v>
      </c>
    </row>
    <row r="5" spans="1:3">
      <c r="A5" s="1356">
        <v>1983</v>
      </c>
      <c r="B5" s="11">
        <v>0.49834000000000001</v>
      </c>
      <c r="C5" s="11">
        <v>0.48193917600000008</v>
      </c>
    </row>
    <row r="6" spans="1:3">
      <c r="A6" s="1356">
        <v>1984</v>
      </c>
      <c r="B6" s="11">
        <v>0.49785400000000002</v>
      </c>
      <c r="C6" s="11">
        <v>0.47711977152380947</v>
      </c>
    </row>
    <row r="7" spans="1:3">
      <c r="A7" s="1356">
        <v>1985</v>
      </c>
      <c r="B7" s="11">
        <v>0.49785400000000002</v>
      </c>
      <c r="C7" s="11">
        <v>0.48178643819047628</v>
      </c>
    </row>
    <row r="8" spans="1:3">
      <c r="A8" s="1356">
        <v>1986</v>
      </c>
      <c r="B8" s="11">
        <v>0.49823200000000001</v>
      </c>
      <c r="C8" s="11">
        <v>0.47230817661904761</v>
      </c>
    </row>
    <row r="9" spans="1:3">
      <c r="A9" s="1356">
        <v>1987</v>
      </c>
      <c r="B9" s="11">
        <v>0.44175999999999999</v>
      </c>
      <c r="C9" s="11">
        <v>0.46639219704761914</v>
      </c>
    </row>
    <row r="10" spans="1:3">
      <c r="A10" s="1356">
        <v>1988</v>
      </c>
      <c r="B10" s="11">
        <v>0.385936</v>
      </c>
      <c r="C10" s="11">
        <v>0.44193253223809525</v>
      </c>
    </row>
    <row r="11" spans="1:3">
      <c r="A11" s="1356">
        <v>1989</v>
      </c>
      <c r="B11" s="11">
        <v>0.38666200000000001</v>
      </c>
      <c r="C11" s="11">
        <v>0.4266148814545454</v>
      </c>
    </row>
    <row r="12" spans="1:3">
      <c r="A12" s="1356">
        <v>1990</v>
      </c>
      <c r="B12" s="11">
        <v>0.38652999999999998</v>
      </c>
      <c r="C12" s="11">
        <v>0.41046738856521736</v>
      </c>
    </row>
    <row r="13" spans="1:3">
      <c r="A13" s="1356">
        <v>1991</v>
      </c>
      <c r="B13" s="11">
        <v>0.38851000000000002</v>
      </c>
      <c r="C13" s="11">
        <v>0.39557044117391305</v>
      </c>
    </row>
    <row r="14" spans="1:3">
      <c r="A14" s="1356">
        <v>1992</v>
      </c>
      <c r="B14" s="11">
        <v>0.38864199999999999</v>
      </c>
      <c r="C14" s="11">
        <v>0.38077113883333341</v>
      </c>
    </row>
    <row r="15" spans="1:3">
      <c r="A15" s="1356">
        <v>1993</v>
      </c>
      <c r="B15" s="11">
        <v>0.39751500000000001</v>
      </c>
      <c r="C15" s="11">
        <v>0.3763000095384616</v>
      </c>
    </row>
    <row r="16" spans="1:3">
      <c r="A16" s="1356">
        <v>1994</v>
      </c>
      <c r="B16" s="11">
        <v>0.39686500000000002</v>
      </c>
      <c r="C16" s="11">
        <v>0.37084123026923077</v>
      </c>
    </row>
    <row r="17" spans="1:3">
      <c r="A17" s="1356">
        <v>1995</v>
      </c>
      <c r="B17" s="11">
        <v>0.39608500000000002</v>
      </c>
      <c r="C17" s="11">
        <v>0.3664063221153846</v>
      </c>
    </row>
    <row r="18" spans="1:3">
      <c r="A18" s="1356">
        <v>1996</v>
      </c>
      <c r="B18" s="11">
        <v>0.39530500000000002</v>
      </c>
      <c r="C18" s="11">
        <v>0.36631761930769235</v>
      </c>
    </row>
    <row r="19" spans="1:3">
      <c r="A19" s="1356">
        <v>1997</v>
      </c>
      <c r="B19" s="11">
        <v>0.39452500000000001</v>
      </c>
      <c r="C19" s="11">
        <v>0.36618111730769232</v>
      </c>
    </row>
    <row r="20" spans="1:3">
      <c r="A20" s="1356">
        <v>1998</v>
      </c>
      <c r="B20" s="11">
        <v>0.394395</v>
      </c>
      <c r="C20" s="11">
        <v>0.35608230176923072</v>
      </c>
    </row>
    <row r="21" spans="1:3">
      <c r="A21" s="1356">
        <v>1999</v>
      </c>
      <c r="B21" s="11">
        <v>0.39394000000000001</v>
      </c>
      <c r="C21" s="11">
        <v>0.34762745734615386</v>
      </c>
    </row>
    <row r="22" spans="1:3">
      <c r="A22" s="1356">
        <v>2000</v>
      </c>
      <c r="B22" s="11">
        <v>0.39340000000000003</v>
      </c>
      <c r="C22" s="11">
        <v>0.32588490691176464</v>
      </c>
    </row>
    <row r="23" spans="1:3">
      <c r="A23" s="1356">
        <v>2001</v>
      </c>
      <c r="B23" s="11">
        <v>0.3926</v>
      </c>
      <c r="C23" s="11">
        <v>0.3164090035882352</v>
      </c>
    </row>
    <row r="24" spans="1:3">
      <c r="A24" s="1356">
        <v>2002</v>
      </c>
      <c r="B24" s="11">
        <v>0.39300000000000002</v>
      </c>
      <c r="C24" s="11">
        <v>0.30549581402941178</v>
      </c>
    </row>
    <row r="25" spans="1:3">
      <c r="A25" s="1356">
        <v>2003</v>
      </c>
      <c r="B25" s="11">
        <v>0.39329999999999998</v>
      </c>
      <c r="C25" s="11">
        <v>0.29739588328571431</v>
      </c>
    </row>
    <row r="26" spans="1:3">
      <c r="A26" s="1356">
        <v>2004</v>
      </c>
      <c r="B26" s="11">
        <v>0.39309500000000003</v>
      </c>
      <c r="C26" s="11">
        <v>0.28820849680000005</v>
      </c>
    </row>
    <row r="27" spans="1:3">
      <c r="A27" s="1356">
        <v>2005</v>
      </c>
      <c r="B27" s="11">
        <v>0.39277000000000001</v>
      </c>
      <c r="C27" s="11">
        <v>0.27786783282857153</v>
      </c>
    </row>
    <row r="28" spans="1:3">
      <c r="A28" s="1356">
        <v>2006</v>
      </c>
      <c r="B28" s="11">
        <v>0.39300000000000002</v>
      </c>
      <c r="C28" s="11">
        <v>0.27156297568571447</v>
      </c>
    </row>
    <row r="29" spans="1:3">
      <c r="A29" s="1356">
        <v>2007</v>
      </c>
      <c r="B29" s="11">
        <v>0.39257500000000001</v>
      </c>
      <c r="C29" s="11">
        <v>0.26643462697142867</v>
      </c>
    </row>
    <row r="30" spans="1:3">
      <c r="A30" s="1356">
        <v>2008</v>
      </c>
      <c r="B30" s="11">
        <v>0.39251000000000003</v>
      </c>
      <c r="C30" s="11">
        <v>0.25660583937142861</v>
      </c>
    </row>
    <row r="31" spans="1:3">
      <c r="A31" s="1356">
        <v>2009</v>
      </c>
      <c r="B31" s="11">
        <v>0.39095000000000002</v>
      </c>
      <c r="C31" s="11">
        <v>0.25386126794285713</v>
      </c>
    </row>
    <row r="32" spans="1:3">
      <c r="A32" s="1356">
        <v>2010</v>
      </c>
      <c r="B32" s="11">
        <v>0.39205499999999999</v>
      </c>
      <c r="C32" s="11">
        <v>0.25341855365714283</v>
      </c>
    </row>
    <row r="33" spans="1:3">
      <c r="A33" s="1356">
        <v>2011</v>
      </c>
      <c r="B33" s="11">
        <v>0.39185999999999999</v>
      </c>
      <c r="C33" s="11">
        <v>0.25169583937142859</v>
      </c>
    </row>
    <row r="34" spans="1:3">
      <c r="A34" s="1356">
        <v>2012</v>
      </c>
      <c r="B34" s="11">
        <v>0.39134000000000002</v>
      </c>
      <c r="C34" s="11">
        <v>0.25110955365714288</v>
      </c>
    </row>
    <row r="35" spans="1:3">
      <c r="A35" s="1356">
        <v>2013</v>
      </c>
      <c r="B35" s="11">
        <v>0.39134000000000002</v>
      </c>
      <c r="C35" s="11">
        <v>0.25183930894285717</v>
      </c>
    </row>
    <row r="36" spans="1:3">
      <c r="A36" s="1356">
        <v>2014</v>
      </c>
      <c r="B36" s="11">
        <v>0.39079999999999998</v>
      </c>
      <c r="C36" s="11">
        <v>0.25001142857142866</v>
      </c>
    </row>
    <row r="37" spans="1:3">
      <c r="A37" s="1356">
        <v>2015</v>
      </c>
      <c r="B37" s="11">
        <v>0.39</v>
      </c>
      <c r="C37" s="11">
        <v>0.24702285714285724</v>
      </c>
    </row>
    <row r="38" spans="1:3">
      <c r="A38" s="1356">
        <v>2016</v>
      </c>
      <c r="B38" s="11">
        <v>0.38923934000000004</v>
      </c>
      <c r="C38" s="11">
        <v>0.24300969542857145</v>
      </c>
    </row>
    <row r="39" spans="1:3">
      <c r="A39" s="1356">
        <v>2017</v>
      </c>
      <c r="B39" s="11">
        <v>0.38923934000000004</v>
      </c>
      <c r="C39" s="11">
        <v>0.23664112400000004</v>
      </c>
    </row>
    <row r="40" spans="1:3">
      <c r="A40" s="1356">
        <v>2018</v>
      </c>
      <c r="B40" s="11">
        <v>0.23923934000000002</v>
      </c>
      <c r="C40" s="11">
        <v>0.23308398114285717</v>
      </c>
    </row>
    <row r="41" spans="1:3">
      <c r="A41" s="1356">
        <v>2019</v>
      </c>
    </row>
    <row r="42" spans="1:3">
      <c r="A42" s="1356">
        <v>2020</v>
      </c>
    </row>
    <row r="43" spans="1:3">
      <c r="A43" s="1356" t="s">
        <v>3275</v>
      </c>
    </row>
  </sheetData>
  <pageMargins left="0.75" right="0.75" top="1" bottom="1" header="0.5" footer="0.5"/>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54"/>
  <sheetViews>
    <sheetView workbookViewId="0">
      <pane xSplit="1" ySplit="2" topLeftCell="B15" activePane="bottomRight" state="frozen"/>
      <selection activeCell="X67" sqref="X67"/>
      <selection pane="topRight" activeCell="X67" sqref="X67"/>
      <selection pane="bottomLeft" activeCell="X67" sqref="X67"/>
      <selection pane="bottomRight" activeCell="E47" sqref="E47"/>
    </sheetView>
  </sheetViews>
  <sheetFormatPr baseColWidth="10" defaultRowHeight="15" x14ac:dyDescent="0"/>
  <cols>
    <col min="1" max="1" width="10.7109375" style="1670"/>
    <col min="2" max="4" width="10.7109375" style="1672"/>
  </cols>
  <sheetData>
    <row r="2" spans="1:4" ht="90">
      <c r="B2" s="1673" t="s">
        <v>3462</v>
      </c>
      <c r="C2" s="1673" t="s">
        <v>3463</v>
      </c>
      <c r="D2" s="1673" t="s">
        <v>3464</v>
      </c>
    </row>
    <row r="3" spans="1:4">
      <c r="B3" s="1674"/>
      <c r="C3" s="1674"/>
      <c r="D3" s="1674"/>
    </row>
    <row r="4" spans="1:4">
      <c r="A4" s="1670">
        <v>1966</v>
      </c>
      <c r="B4" s="1675">
        <f>'Assets(MOFA)'!$EG11</f>
        <v>2.1476569407603892</v>
      </c>
      <c r="C4" s="1675">
        <f>'Assets(MOFA)'!$EB11</f>
        <v>0.49508107208624114</v>
      </c>
      <c r="D4" s="1675">
        <f>'Assets(MOFA)'!$EE11</f>
        <v>0.46884664655243496</v>
      </c>
    </row>
    <row r="5" spans="1:4">
      <c r="A5" s="1670">
        <v>1967</v>
      </c>
      <c r="B5" s="1675">
        <f>'Assets(MOFA)'!$EG12</f>
        <v>2.5108456482441279</v>
      </c>
      <c r="C5" s="1675">
        <f>'Assets(MOFA)'!$EB12</f>
        <v>0.5308587602148318</v>
      </c>
      <c r="D5" s="1675">
        <f>'Assets(MOFA)'!$EE12</f>
        <v>0.42903854451761603</v>
      </c>
    </row>
    <row r="6" spans="1:4">
      <c r="A6" s="1670">
        <v>1968</v>
      </c>
      <c r="B6" s="1675">
        <f>'Assets(MOFA)'!$EG13</f>
        <v>2.8171032168457764</v>
      </c>
      <c r="C6" s="1675">
        <f>'Assets(MOFA)'!$EB13</f>
        <v>0.52588829040090945</v>
      </c>
      <c r="D6" s="1675">
        <f>'Assets(MOFA)'!$EE13</f>
        <v>0.41901096325954257</v>
      </c>
    </row>
    <row r="7" spans="1:4">
      <c r="A7" s="1670">
        <v>1969</v>
      </c>
      <c r="B7" s="1675">
        <f>'Assets(MOFA)'!$EG14</f>
        <v>2.9824184982695812</v>
      </c>
      <c r="C7" s="1675">
        <f>'Assets(MOFA)'!$EB14</f>
        <v>0.55332326959001232</v>
      </c>
      <c r="D7" s="1675">
        <f>'Assets(MOFA)'!$EE14</f>
        <v>0.43024471896176891</v>
      </c>
    </row>
    <row r="8" spans="1:4">
      <c r="A8" s="1670">
        <v>1970</v>
      </c>
      <c r="B8" s="1675">
        <f>'Assets(MOFA)'!$EG15</f>
        <v>3.2795553081855955</v>
      </c>
      <c r="C8" s="1675">
        <f>'Assets(MOFA)'!$EB15</f>
        <v>0.70171715995508299</v>
      </c>
      <c r="D8" s="1675">
        <f>'Assets(MOFA)'!$EE15</f>
        <v>0.41745289377770545</v>
      </c>
    </row>
    <row r="9" spans="1:4">
      <c r="A9" s="1670">
        <v>1971</v>
      </c>
      <c r="B9" s="1675">
        <f>'Assets(MOFA)'!$EG16</f>
        <v>4.1239967463166209</v>
      </c>
      <c r="C9" s="1675">
        <f>'Assets(MOFA)'!$EB16</f>
        <v>0.82884921040912318</v>
      </c>
      <c r="D9" s="1675">
        <f>'Assets(MOFA)'!$EE16</f>
        <v>0.46749998323249681</v>
      </c>
    </row>
    <row r="10" spans="1:4">
      <c r="A10" s="1670">
        <v>1972</v>
      </c>
      <c r="B10" s="1675">
        <f>'Assets(MOFA)'!$EG17</f>
        <v>4.6155060375441206</v>
      </c>
      <c r="C10" s="1675">
        <f>'Assets(MOFA)'!$EB17</f>
        <v>0.82854452031603165</v>
      </c>
      <c r="D10" s="1675">
        <f>'Assets(MOFA)'!$EE17</f>
        <v>0.46918326154031975</v>
      </c>
    </row>
    <row r="11" spans="1:4">
      <c r="A11" s="1670">
        <v>1973</v>
      </c>
      <c r="B11" s="1675">
        <f>'Assets(MOFA)'!$EG18</f>
        <v>7.3364030564306173</v>
      </c>
      <c r="C11" s="1675">
        <f>'Assets(MOFA)'!$EB18</f>
        <v>0.87744610421379921</v>
      </c>
      <c r="D11" s="1675">
        <f>'Assets(MOFA)'!$EE18</f>
        <v>0.49180836053634919</v>
      </c>
    </row>
    <row r="12" spans="1:4">
      <c r="A12" s="1670">
        <v>1974</v>
      </c>
      <c r="B12" s="1675">
        <f>'Assets(MOFA)'!$EG19</f>
        <v>14.906499732378261</v>
      </c>
      <c r="C12" s="1675">
        <f>'Assets(MOFA)'!$EB19</f>
        <v>0.87910896090210078</v>
      </c>
      <c r="D12" s="1675">
        <f>'Assets(MOFA)'!$EE19</f>
        <v>0.42284594784039992</v>
      </c>
    </row>
    <row r="13" spans="1:4">
      <c r="A13" s="1670">
        <v>1975</v>
      </c>
      <c r="B13" s="1675">
        <f>'Assets(MOFA)'!$EG20</f>
        <v>12.035078469926336</v>
      </c>
      <c r="C13" s="1675">
        <f>'Assets(MOFA)'!$EB20</f>
        <v>0.84887588023994431</v>
      </c>
      <c r="D13" s="1675">
        <f>'Assets(MOFA)'!$EE20</f>
        <v>0.41553845015019547</v>
      </c>
    </row>
    <row r="14" spans="1:4">
      <c r="A14" s="1670">
        <v>1976</v>
      </c>
      <c r="B14" s="1675">
        <f>'Assets(MOFA)'!$EG21</f>
        <v>13.317900958693588</v>
      </c>
      <c r="C14" s="1675">
        <f>'Assets(MOFA)'!$EB21</f>
        <v>0.90269564531369162</v>
      </c>
      <c r="D14" s="1675">
        <f>'Assets(MOFA)'!$EE21</f>
        <v>0.4398010002078</v>
      </c>
    </row>
    <row r="15" spans="1:4">
      <c r="A15" s="1670">
        <v>1977</v>
      </c>
      <c r="B15" s="1675">
        <f>'Assets(MOFA)'!$EG22</f>
        <v>9.4663658736669394</v>
      </c>
      <c r="C15" s="1675">
        <f>'Assets(MOFA)'!$EB22</f>
        <v>0.86798182350929043</v>
      </c>
      <c r="D15" s="1675">
        <f>'Assets(MOFA)'!$EE22</f>
        <v>0.36533870778382188</v>
      </c>
    </row>
    <row r="16" spans="1:4">
      <c r="A16" s="1670">
        <v>1978</v>
      </c>
      <c r="B16" s="1675">
        <f>'Assets(MOFA)'!$EG23</f>
        <v>7.9598443576401259</v>
      </c>
      <c r="C16" s="1675">
        <f>'Assets(MOFA)'!$EB23</f>
        <v>1.0743615089371454</v>
      </c>
      <c r="D16" s="1675">
        <f>'Assets(MOFA)'!$EE23</f>
        <v>0.41020798487076626</v>
      </c>
    </row>
    <row r="17" spans="1:4">
      <c r="A17" s="1670">
        <v>1979</v>
      </c>
      <c r="B17" s="1675">
        <f>'Assets(MOFA)'!$EG24</f>
        <v>9.6130825868384253</v>
      </c>
      <c r="C17" s="1675">
        <f>'Assets(MOFA)'!$EB24</f>
        <v>1.3815548779591931</v>
      </c>
      <c r="D17" s="1675">
        <f>'Assets(MOFA)'!$EE24</f>
        <v>0.42937937813109006</v>
      </c>
    </row>
    <row r="18" spans="1:4">
      <c r="A18" s="1670">
        <v>1980</v>
      </c>
      <c r="B18" s="1675">
        <f>'Assets(MOFA)'!$EG25</f>
        <v>4.1335403754802931</v>
      </c>
      <c r="C18" s="1675">
        <f>'Assets(MOFA)'!$EB25</f>
        <v>1.4903103840133947</v>
      </c>
      <c r="D18" s="1675">
        <f>'Assets(MOFA)'!$EE25</f>
        <v>0.40733217263688054</v>
      </c>
    </row>
    <row r="19" spans="1:4">
      <c r="A19" s="1670">
        <v>1981</v>
      </c>
      <c r="B19" s="1675">
        <f>'Assets(MOFA)'!$EG26</f>
        <v>3.2446281170674447</v>
      </c>
      <c r="C19" s="1675">
        <f>'Assets(MOFA)'!$EB26</f>
        <v>1.2777898476954204</v>
      </c>
      <c r="D19" s="1675">
        <f>'Assets(MOFA)'!$EE26</f>
        <v>0.32125695888395894</v>
      </c>
    </row>
    <row r="20" spans="1:4">
      <c r="A20" s="1670">
        <v>1982</v>
      </c>
      <c r="B20" s="1675">
        <f>'Assets(MOFA)'!$EG27</f>
        <v>2.6528637770897832</v>
      </c>
      <c r="C20" s="1675">
        <f>'Assets(MOFA)'!$EB27</f>
        <v>1.3347086801894943</v>
      </c>
      <c r="D20" s="1675">
        <f>'Assets(MOFA)'!$EE27</f>
        <v>0.24614068673373793</v>
      </c>
    </row>
    <row r="21" spans="1:4">
      <c r="A21" s="1670">
        <v>1983</v>
      </c>
      <c r="B21" s="1675">
        <f>'Assets(MOFA)'!$EG28</f>
        <v>2.9465601965601964</v>
      </c>
      <c r="C21" s="1675">
        <f>'Assets(MOFA)'!$EB28</f>
        <v>1.4214327671020155</v>
      </c>
      <c r="D21" s="1675">
        <f>'Assets(MOFA)'!$EE28</f>
        <v>0.3153048279979106</v>
      </c>
    </row>
    <row r="22" spans="1:4">
      <c r="A22" s="1670">
        <v>1984</v>
      </c>
      <c r="B22" s="1675">
        <f>'Assets(MOFA)'!$EG29</f>
        <v>3.3768384355594292</v>
      </c>
      <c r="C22" s="1675">
        <f>'Assets(MOFA)'!$EB29</f>
        <v>1.5513943546635445</v>
      </c>
      <c r="D22" s="1675">
        <f>'Assets(MOFA)'!$EE29</f>
        <v>0.38031679050851602</v>
      </c>
    </row>
    <row r="23" spans="1:4">
      <c r="A23" s="1670">
        <v>1985</v>
      </c>
      <c r="B23" s="1675">
        <f>'Assets(MOFA)'!$EG30</f>
        <v>3.3916568742655699</v>
      </c>
      <c r="C23" s="1675">
        <f>'Assets(MOFA)'!$EB30</f>
        <v>1.6782389912274451</v>
      </c>
      <c r="D23" s="1675">
        <f>'Assets(MOFA)'!$EE30</f>
        <v>0.37354974541219332</v>
      </c>
    </row>
    <row r="24" spans="1:4">
      <c r="A24" s="1670">
        <v>1986</v>
      </c>
      <c r="B24" s="1675">
        <f>'Assets(MOFA)'!$EG31</f>
        <v>1.7939722156816575</v>
      </c>
      <c r="C24" s="1675">
        <f>'Assets(MOFA)'!$EB31</f>
        <v>1.3720380659129294</v>
      </c>
      <c r="D24" s="1675">
        <f>'Assets(MOFA)'!$EE31</f>
        <v>0.42304174771038089</v>
      </c>
    </row>
    <row r="25" spans="1:4">
      <c r="A25" s="1670">
        <v>1987</v>
      </c>
      <c r="B25" s="1675">
        <f>'Assets(MOFA)'!$EG32</f>
        <v>1.7874601487778958</v>
      </c>
      <c r="C25" s="1675">
        <f>'Assets(MOFA)'!$EB32</f>
        <v>1.6814539936788921</v>
      </c>
      <c r="D25" s="1675">
        <f>'Assets(MOFA)'!$EE32</f>
        <v>0.48318471763016396</v>
      </c>
    </row>
    <row r="26" spans="1:4">
      <c r="A26" s="1670">
        <v>1988</v>
      </c>
      <c r="B26" s="1675">
        <f>'Assets(MOFA)'!$EG33</f>
        <v>1.426896629466802</v>
      </c>
      <c r="C26" s="1675">
        <f>'Assets(MOFA)'!$EB33</f>
        <v>1.4250738801717022</v>
      </c>
      <c r="D26" s="1675">
        <f>'Assets(MOFA)'!$EE33</f>
        <v>0.5600933720728104</v>
      </c>
    </row>
    <row r="27" spans="1:4">
      <c r="A27" s="1670">
        <v>1989</v>
      </c>
      <c r="B27" s="1675">
        <f>'Assets(MOFA)'!$EG34</f>
        <v>1.4469117171499408</v>
      </c>
      <c r="C27" s="1675">
        <f>'Assets(MOFA)'!$EB34</f>
        <v>1.5841551947528685</v>
      </c>
      <c r="D27" s="1675">
        <f>'Assets(MOFA)'!$EE34</f>
        <v>0.50627622392936289</v>
      </c>
    </row>
    <row r="28" spans="1:4">
      <c r="A28" s="1670">
        <v>1990</v>
      </c>
      <c r="B28" s="1675">
        <f>'Assets(MOFA)'!$EG35</f>
        <v>2.1727675744141863</v>
      </c>
      <c r="C28" s="1675">
        <f>'Assets(MOFA)'!$EB35</f>
        <v>1.5498461696368608</v>
      </c>
      <c r="D28" s="1675">
        <f>'Assets(MOFA)'!$EE35</f>
        <v>0.38347037676265988</v>
      </c>
    </row>
    <row r="29" spans="1:4">
      <c r="A29" s="1670">
        <v>1991</v>
      </c>
      <c r="B29" s="1675">
        <f>'Assets(MOFA)'!$EG36</f>
        <v>1.8301909892262487</v>
      </c>
      <c r="C29" s="1675">
        <f>'Assets(MOFA)'!$EB36</f>
        <v>1.29708616778208</v>
      </c>
      <c r="D29" s="1675">
        <f>'Assets(MOFA)'!$EE36</f>
        <v>0.30689507799700833</v>
      </c>
    </row>
    <row r="30" spans="1:4">
      <c r="A30" s="1670">
        <v>1992</v>
      </c>
      <c r="B30" s="1675">
        <f>'Assets(MOFA)'!$EG37</f>
        <v>1.6492300458445985</v>
      </c>
      <c r="C30" s="1675">
        <f>'Assets(MOFA)'!$EB37</f>
        <v>1.116893961874085</v>
      </c>
      <c r="D30" s="1675">
        <f>'Assets(MOFA)'!$EE37</f>
        <v>0.28103865462856836</v>
      </c>
    </row>
    <row r="31" spans="1:4">
      <c r="A31" s="1670">
        <v>1993</v>
      </c>
      <c r="B31" s="1675">
        <f>'Assets(MOFA)'!$EG38</f>
        <v>2.0343530591775325</v>
      </c>
      <c r="C31" s="1675">
        <f>'Assets(MOFA)'!$EB38</f>
        <v>1.104922858194326</v>
      </c>
      <c r="D31" s="1675">
        <f>'Assets(MOFA)'!$EE38</f>
        <v>0.29717579171720909</v>
      </c>
    </row>
    <row r="32" spans="1:4">
      <c r="A32" s="1670">
        <v>1994</v>
      </c>
      <c r="B32" s="1675">
        <f>'Assets(MOFA)'!$EG39</f>
        <v>1.7478642909445936</v>
      </c>
      <c r="C32" s="1675">
        <f>'Assets(MOFA)'!$EB39</f>
        <v>1.0924972908357244</v>
      </c>
      <c r="D32" s="1675">
        <f>'Assets(MOFA)'!$EE39</f>
        <v>0.33870005592493629</v>
      </c>
    </row>
    <row r="33" spans="1:4">
      <c r="A33" s="1670">
        <v>1995</v>
      </c>
      <c r="B33" s="1675">
        <f>'Assets(MOFA)'!$EG40</f>
        <v>2.0289872219592997</v>
      </c>
      <c r="C33" s="1675">
        <f>'Assets(MOFA)'!$EB40</f>
        <v>1.4603994778673741</v>
      </c>
      <c r="D33" s="1675">
        <f>'Assets(MOFA)'!$EE40</f>
        <v>0.42160481834078106</v>
      </c>
    </row>
    <row r="34" spans="1:4">
      <c r="A34" s="1670">
        <v>1996</v>
      </c>
      <c r="B34" s="1675">
        <f>'Assets(MOFA)'!$EG41</f>
        <v>2.7732052006783494</v>
      </c>
      <c r="C34" s="1675">
        <f>'Assets(MOFA)'!$EB41</f>
        <v>1.4501501602936302</v>
      </c>
      <c r="D34" s="1675">
        <f>'Assets(MOFA)'!$EE41</f>
        <v>0.43369884387426727</v>
      </c>
    </row>
    <row r="35" spans="1:4">
      <c r="A35" s="1670">
        <v>1997</v>
      </c>
      <c r="B35" s="1675">
        <f>'Assets(MOFA)'!$EG42</f>
        <v>2.6961626263724319</v>
      </c>
      <c r="C35" s="1675">
        <f>'Assets(MOFA)'!$EB42</f>
        <v>1.8366143664068701</v>
      </c>
      <c r="D35" s="1675">
        <f>'Assets(MOFA)'!$EE42</f>
        <v>0.45228334346536148</v>
      </c>
    </row>
    <row r="36" spans="1:4">
      <c r="A36" s="1670">
        <v>1998</v>
      </c>
      <c r="B36" s="1675">
        <f>'Assets(MOFA)'!$EG43</f>
        <v>1.4645533141210374</v>
      </c>
      <c r="C36" s="1675">
        <f>'Assets(MOFA)'!$EB43</f>
        <v>1.8547309433154595</v>
      </c>
      <c r="D36" s="1675">
        <f>'Assets(MOFA)'!$EE43</f>
        <v>0.39756311767496794</v>
      </c>
    </row>
    <row r="37" spans="1:4">
      <c r="A37" s="1670">
        <v>1999</v>
      </c>
      <c r="B37" s="1675">
        <f>'Assets(MOFA)'!$EG44</f>
        <v>2.9249999999999998</v>
      </c>
      <c r="C37" s="1675">
        <f>'Assets(MOFA)'!$EB44</f>
        <v>1.6942931697459387</v>
      </c>
      <c r="D37" s="1675">
        <f>'Assets(MOFA)'!$EE44</f>
        <v>0.38952616272713358</v>
      </c>
    </row>
    <row r="38" spans="1:4">
      <c r="A38" s="1670">
        <v>2000</v>
      </c>
      <c r="B38" s="1675">
        <f>'Assets(MOFA)'!$EG45</f>
        <v>5.978975032851511</v>
      </c>
      <c r="C38" s="1675">
        <f>'Assets(MOFA)'!$EB45</f>
        <v>2.0017305979613447</v>
      </c>
      <c r="D38" s="1675">
        <f>'Assets(MOFA)'!$EE45</f>
        <v>0.37750225466314913</v>
      </c>
    </row>
    <row r="39" spans="1:4">
      <c r="A39" s="1670">
        <v>2001</v>
      </c>
      <c r="B39" s="1675">
        <f>'Assets(MOFA)'!$EG46</f>
        <v>5.3113827349121463</v>
      </c>
      <c r="C39" s="1675">
        <f>'Assets(MOFA)'!$EB46</f>
        <v>1.8170098366567757</v>
      </c>
      <c r="D39" s="1675">
        <f>'Assets(MOFA)'!$EE46</f>
        <v>0.28728489684718583</v>
      </c>
    </row>
    <row r="40" spans="1:4">
      <c r="A40" s="1670">
        <v>2002</v>
      </c>
      <c r="B40" s="1675">
        <f>'Assets(MOFA)'!$EG47</f>
        <v>4.5323898453457838</v>
      </c>
      <c r="C40" s="1675">
        <f>'Assets(MOFA)'!$EB47</f>
        <v>1.926045446185717</v>
      </c>
      <c r="D40" s="1675">
        <f>'Assets(MOFA)'!$EE47</f>
        <v>0.332054428208993</v>
      </c>
    </row>
    <row r="41" spans="1:4">
      <c r="A41" s="1670">
        <v>2003</v>
      </c>
      <c r="B41" s="1675">
        <f>'Assets(MOFA)'!$EG48</f>
        <v>5.8291550603528322</v>
      </c>
      <c r="C41" s="1675">
        <f>'Assets(MOFA)'!$EB48</f>
        <v>2.2647648604148487</v>
      </c>
      <c r="D41" s="1675">
        <f>'Assets(MOFA)'!$EE48</f>
        <v>0.4172725579698302</v>
      </c>
    </row>
    <row r="42" spans="1:4">
      <c r="A42" s="1670">
        <v>2004</v>
      </c>
      <c r="B42" s="1675">
        <f>'Assets(MOFA)'!$EG49</f>
        <v>8.0847157148284161</v>
      </c>
      <c r="C42" s="1675">
        <f>'Assets(MOFA)'!$EB49</f>
        <v>2.6033701272042853</v>
      </c>
      <c r="D42" s="1675">
        <f>'Assets(MOFA)'!$EE49</f>
        <v>0.41588401230702943</v>
      </c>
    </row>
    <row r="43" spans="1:4">
      <c r="A43" s="1670">
        <v>2005</v>
      </c>
      <c r="B43" s="1675">
        <f>'Assets(MOFA)'!$EG50</f>
        <v>11.020431245657418</v>
      </c>
      <c r="C43" s="1675">
        <f>'Assets(MOFA)'!$EB50</f>
        <v>2.5511742314267636</v>
      </c>
      <c r="D43" s="1675">
        <f>'Assets(MOFA)'!$EE50</f>
        <v>0.49913894632435157</v>
      </c>
    </row>
    <row r="44" spans="1:4">
      <c r="A44" s="1670">
        <v>2006</v>
      </c>
      <c r="B44" s="1675">
        <f>'Assets(MOFA)'!$EG51</f>
        <v>12.07152142252472</v>
      </c>
      <c r="C44" s="1675">
        <f>'Assets(MOFA)'!$EB51</f>
        <v>2.7757529765112872</v>
      </c>
      <c r="D44" s="1675">
        <f>'Assets(MOFA)'!$EE51</f>
        <v>0.49161054058300391</v>
      </c>
    </row>
    <row r="45" spans="1:4">
      <c r="A45" s="1670">
        <v>2007</v>
      </c>
      <c r="B45" s="1675">
        <f>'Assets(MOFA)'!$EG52</f>
        <v>11.704664354308733</v>
      </c>
      <c r="C45" s="1675">
        <f>'Assets(MOFA)'!$EB52</f>
        <v>2.9525414882701009</v>
      </c>
      <c r="D45" s="1675">
        <f>'Assets(MOFA)'!$EE52</f>
        <v>0.51754376002874691</v>
      </c>
    </row>
    <row r="46" spans="1:4">
      <c r="A46" s="1670">
        <v>2008</v>
      </c>
      <c r="B46" s="1675">
        <f>'Assets(MOFA)'!$EG53</f>
        <v>14.951365294539251</v>
      </c>
      <c r="C46" s="1675">
        <f>'Assets(MOFA)'!$EB53</f>
        <v>2.4753177086014273</v>
      </c>
      <c r="D46" s="1675">
        <f>'Assets(MOFA)'!$EE53</f>
        <v>0.48554252310701645</v>
      </c>
    </row>
    <row r="47" spans="1:4">
      <c r="A47" s="1670">
        <v>2009</v>
      </c>
      <c r="B47" s="1675">
        <f>'Assets(MOFA)'!$EG54</f>
        <v>7.3144104803493448</v>
      </c>
      <c r="C47" s="1675">
        <f>'Assets(MOFA)'!$EB54</f>
        <v>2.7315573181759549</v>
      </c>
      <c r="D47" s="1675">
        <f>'Assets(MOFA)'!$EE54</f>
        <v>0.45099113399213836</v>
      </c>
    </row>
    <row r="48" spans="1:4">
      <c r="A48" s="1670">
        <v>2010</v>
      </c>
      <c r="B48" s="1675">
        <f>'Assets(MOFA)'!$EG55</f>
        <v>8.9977973568281939</v>
      </c>
      <c r="C48" s="1675">
        <f>'Assets(MOFA)'!$EB55</f>
        <v>2.6849565214175408</v>
      </c>
      <c r="D48" s="1675">
        <f>'Assets(MOFA)'!$EE55</f>
        <v>0.5209747507089928</v>
      </c>
    </row>
    <row r="49" spans="1:4">
      <c r="A49" s="1670">
        <v>2011</v>
      </c>
      <c r="B49" s="1675">
        <f>'Assets(MOFA)'!$EG56</f>
        <v>10.988761485306402</v>
      </c>
      <c r="C49" s="1675">
        <f>'Assets(MOFA)'!$EB56</f>
        <v>3.1120076713938816</v>
      </c>
      <c r="D49" s="1675">
        <f>'Assets(MOFA)'!$EE56</f>
        <v>0.54828952136762876</v>
      </c>
    </row>
    <row r="50" spans="1:4">
      <c r="A50" s="1670">
        <v>2012</v>
      </c>
      <c r="B50" s="1675">
        <f>'Assets(MOFA)'!$EG57</f>
        <v>10.784073256479438</v>
      </c>
      <c r="C50" s="1675">
        <f>'Assets(MOFA)'!$EB57</f>
        <v>3.1692348522042195</v>
      </c>
      <c r="D50" s="1675">
        <f>'Assets(MOFA)'!$EE57</f>
        <v>0.50214172047152317</v>
      </c>
    </row>
    <row r="51" spans="1:4">
      <c r="A51" s="1670">
        <v>2013</v>
      </c>
      <c r="B51" s="1675">
        <f>'Assets(MOFA)'!$EG58</f>
        <v>9.717089976764683</v>
      </c>
      <c r="C51" s="1675">
        <f>'Assets(MOFA)'!$EB58</f>
        <v>2.8163143739421144</v>
      </c>
      <c r="D51" s="1675">
        <f>'Assets(MOFA)'!$EE58</f>
        <v>0.47668125426586905</v>
      </c>
    </row>
    <row r="52" spans="1:4">
      <c r="A52" s="1670">
        <v>2014</v>
      </c>
      <c r="B52" s="1675">
        <f>'Assets(MOFA)'!$EG59</f>
        <v>7.5760548775624157</v>
      </c>
      <c r="C52" s="1675">
        <f>'Assets(MOFA)'!$EB59</f>
        <v>3.0151255442461316</v>
      </c>
      <c r="D52" s="1675">
        <f>'Assets(MOFA)'!$EE59</f>
        <v>0.48686939173533017</v>
      </c>
    </row>
    <row r="53" spans="1:4">
      <c r="A53" s="1670">
        <v>2015</v>
      </c>
      <c r="B53" s="1675">
        <f>'Assets(MOFA)'!$EG60</f>
        <v>2.5370108831104097</v>
      </c>
      <c r="C53" s="1675">
        <f>'Assets(MOFA)'!$EB60</f>
        <v>3.4715242094234298</v>
      </c>
      <c r="D53" s="1675">
        <f>'Assets(MOFA)'!$EE60</f>
        <v>0.44818660045216946</v>
      </c>
    </row>
    <row r="54" spans="1:4">
      <c r="A54" s="1670">
        <v>2016</v>
      </c>
      <c r="C54" s="1676"/>
      <c r="D54" s="1676"/>
    </row>
  </sheetData>
  <pageMargins left="0.75" right="0.75" top="1" bottom="1" header="0.5" footer="0.5"/>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sheetPr>
  <dimension ref="A1:PM231"/>
  <sheetViews>
    <sheetView zoomScale="80" zoomScaleNormal="80" zoomScalePageLayoutView="80" workbookViewId="0">
      <pane xSplit="2" ySplit="4" topLeftCell="C33" activePane="bottomRight" state="frozen"/>
      <selection activeCell="X67" sqref="X67"/>
      <selection pane="topRight" activeCell="X67" sqref="X67"/>
      <selection pane="bottomLeft" activeCell="X67" sqref="X67"/>
      <selection pane="bottomRight" activeCell="X67" sqref="X67"/>
    </sheetView>
  </sheetViews>
  <sheetFormatPr baseColWidth="10" defaultRowHeight="15" x14ac:dyDescent="0"/>
  <cols>
    <col min="1" max="1" width="4.7109375" style="68" customWidth="1"/>
    <col min="2" max="18" width="10.7109375" style="68"/>
    <col min="19" max="19" width="10.5703125" style="68" customWidth="1"/>
    <col min="20" max="36" width="10.7109375" style="68"/>
    <col min="37" max="37" width="10.5703125" style="68" customWidth="1"/>
    <col min="38" max="53" width="10.7109375" style="68"/>
    <col min="54" max="54" width="12.85546875" style="68" customWidth="1"/>
    <col min="55" max="60" width="10.7109375" style="68"/>
    <col min="61" max="61" width="10.7109375" style="211"/>
    <col min="62" max="64" width="10.7109375" style="68"/>
    <col min="65" max="65" width="10.7109375" style="211"/>
    <col min="66" max="86" width="10.7109375" style="68"/>
    <col min="87" max="87" width="12" style="68" customWidth="1"/>
    <col min="88" max="119" width="10.7109375" style="68"/>
    <col min="120" max="120" width="12.140625" style="68" bestFit="1" customWidth="1"/>
    <col min="121" max="133" width="10.7109375" style="68"/>
    <col min="134" max="136" width="11.42578125" style="68" customWidth="1"/>
    <col min="137" max="163" width="10.7109375" style="68"/>
    <col min="164" max="164" width="10.7109375" style="68" customWidth="1"/>
    <col min="165" max="166" width="10.7109375" style="68"/>
    <col min="167" max="167" width="10.7109375" style="68" customWidth="1"/>
    <col min="168" max="174" width="10.7109375" style="68"/>
    <col min="175" max="177" width="10.7109375" style="68" customWidth="1"/>
    <col min="178" max="249" width="10.7109375" style="68"/>
    <col min="250" max="250" width="10.42578125" style="68" customWidth="1"/>
    <col min="251" max="300" width="10.7109375" style="68"/>
    <col min="301" max="301" width="10.42578125" style="68" customWidth="1"/>
    <col min="302" max="303" width="10.7109375" style="68"/>
    <col min="304" max="304" width="11" style="68" customWidth="1"/>
    <col min="305" max="323" width="10.7109375" style="68"/>
    <col min="324" max="329" width="10.7109375" style="68" customWidth="1"/>
    <col min="330" max="345" width="10.7109375" style="68"/>
    <col min="346" max="346" width="10.7109375" style="69"/>
    <col min="347" max="350" width="10.7109375" style="90"/>
    <col min="351" max="365" width="10.7109375" style="68"/>
    <col min="366" max="366" width="12.140625" style="68" bestFit="1" customWidth="1"/>
    <col min="367" max="399" width="10.7109375" style="68"/>
    <col min="400" max="403" width="10.85546875" style="68" customWidth="1"/>
    <col min="405" max="408" width="10.7109375" style="24"/>
    <col min="409" max="16384" width="10.7109375" style="68"/>
  </cols>
  <sheetData>
    <row r="1" spans="1:429">
      <c r="A1" s="68" t="s">
        <v>2294</v>
      </c>
      <c r="D1" s="67" t="s">
        <v>742</v>
      </c>
      <c r="O1" s="67" t="s">
        <v>737</v>
      </c>
      <c r="Q1" s="24"/>
      <c r="Y1" s="67" t="s">
        <v>823</v>
      </c>
      <c r="AD1" s="24"/>
      <c r="AE1" s="24"/>
      <c r="AF1" s="24"/>
      <c r="AG1" s="24"/>
      <c r="AH1" s="67" t="s">
        <v>740</v>
      </c>
      <c r="AM1" s="90"/>
      <c r="AQ1" s="90"/>
      <c r="AR1" s="90"/>
      <c r="AS1" s="67" t="s">
        <v>2296</v>
      </c>
      <c r="AT1" s="90"/>
      <c r="AU1" s="90"/>
      <c r="AV1" s="90"/>
      <c r="AW1" s="90"/>
      <c r="AX1" s="90"/>
      <c r="AY1" s="90"/>
      <c r="AZ1" s="90"/>
      <c r="BA1" s="90"/>
      <c r="BB1" s="90"/>
      <c r="BC1" s="90"/>
      <c r="BD1" s="90"/>
      <c r="BE1" s="90"/>
      <c r="BF1" s="67" t="s">
        <v>749</v>
      </c>
      <c r="BG1" s="131"/>
      <c r="BH1" s="24"/>
      <c r="BI1" s="213"/>
      <c r="BP1" s="67" t="s">
        <v>766</v>
      </c>
      <c r="CA1" s="23"/>
      <c r="CC1" s="67" t="s">
        <v>1121</v>
      </c>
      <c r="CD1" s="131"/>
      <c r="CI1" s="67" t="s">
        <v>1205</v>
      </c>
      <c r="CZ1" s="67" t="s">
        <v>1506</v>
      </c>
      <c r="DA1" s="131"/>
      <c r="DI1" s="67" t="s">
        <v>1130</v>
      </c>
      <c r="EG1" s="67" t="s">
        <v>1134</v>
      </c>
      <c r="ER1" s="67" t="s">
        <v>1219</v>
      </c>
      <c r="ES1" s="131"/>
      <c r="ET1" s="131"/>
      <c r="EU1" s="131"/>
      <c r="EV1" s="131"/>
      <c r="FW1" s="67" t="s">
        <v>1135</v>
      </c>
      <c r="FX1" s="131"/>
      <c r="FY1" s="131"/>
      <c r="FZ1" s="131"/>
      <c r="GA1" s="131"/>
      <c r="GB1" s="131"/>
      <c r="GC1" s="131"/>
      <c r="GH1" s="67" t="s">
        <v>774</v>
      </c>
      <c r="GU1" s="67" t="s">
        <v>1190</v>
      </c>
      <c r="HI1" s="67" t="s">
        <v>1187</v>
      </c>
      <c r="IR1" s="24" t="s">
        <v>1145</v>
      </c>
      <c r="JH1" s="67" t="s">
        <v>775</v>
      </c>
      <c r="JI1" s="131"/>
      <c r="KB1" s="67" t="s">
        <v>1141</v>
      </c>
      <c r="KC1" s="131"/>
      <c r="KD1" s="131"/>
      <c r="KE1" s="131"/>
      <c r="KF1" s="131"/>
      <c r="KU1" s="67" t="s">
        <v>1140</v>
      </c>
      <c r="KV1" s="131"/>
      <c r="LA1" s="261"/>
      <c r="LT1" s="67" t="s">
        <v>1333</v>
      </c>
      <c r="MH1" s="67" t="s">
        <v>1227</v>
      </c>
      <c r="MI1" s="131"/>
      <c r="MJ1" s="131"/>
      <c r="MK1" s="131"/>
      <c r="ML1" s="131"/>
      <c r="NU1" s="67" t="s">
        <v>1334</v>
      </c>
      <c r="NV1" s="131"/>
      <c r="NW1" s="131"/>
      <c r="NX1" s="131"/>
      <c r="NY1" s="131"/>
      <c r="NZ1" s="131"/>
      <c r="OA1" s="90" t="s">
        <v>2333</v>
      </c>
      <c r="OB1" s="131"/>
      <c r="OC1" s="131"/>
      <c r="OD1" s="131"/>
      <c r="OE1" s="90" t="s">
        <v>2406</v>
      </c>
      <c r="OF1" s="90"/>
      <c r="OG1" s="90"/>
      <c r="OH1" s="90"/>
      <c r="OO1" s="67" t="s">
        <v>1335</v>
      </c>
      <c r="PG1" s="67" t="s">
        <v>2334</v>
      </c>
    </row>
    <row r="2" spans="1:429">
      <c r="A2" s="68" t="s">
        <v>1131</v>
      </c>
      <c r="D2" s="69"/>
      <c r="O2" s="69"/>
      <c r="Y2" s="69"/>
      <c r="AH2" s="69"/>
      <c r="AM2" s="90"/>
      <c r="AQ2" s="90"/>
      <c r="AR2" s="90"/>
      <c r="AS2" s="69" t="s">
        <v>2387</v>
      </c>
      <c r="AT2" s="90"/>
      <c r="AU2" s="90"/>
      <c r="AV2" s="90"/>
      <c r="AW2" s="90"/>
      <c r="AX2" s="90"/>
      <c r="AY2" s="90"/>
      <c r="BA2" s="90"/>
      <c r="BB2" s="90"/>
      <c r="BC2" s="90"/>
      <c r="BD2" s="90"/>
      <c r="BE2" s="90"/>
      <c r="BF2" s="69"/>
      <c r="BG2" s="90"/>
      <c r="BH2" s="213"/>
      <c r="BP2" s="69"/>
      <c r="CC2" s="69"/>
      <c r="CD2" s="90"/>
      <c r="CI2" s="69" t="s">
        <v>2313</v>
      </c>
      <c r="CZ2" s="69"/>
      <c r="DA2" s="90"/>
      <c r="DI2" s="69" t="s">
        <v>1206</v>
      </c>
      <c r="EG2" s="69"/>
      <c r="ER2" s="69" t="s">
        <v>2303</v>
      </c>
      <c r="ES2" s="90"/>
      <c r="ET2" s="90"/>
      <c r="EU2" s="90"/>
      <c r="EV2" s="90"/>
      <c r="FG2" s="68" t="s">
        <v>1218</v>
      </c>
      <c r="FW2" s="69" t="s">
        <v>2232</v>
      </c>
      <c r="FX2" s="90"/>
      <c r="FY2" s="90"/>
      <c r="FZ2" s="90"/>
      <c r="GA2" s="90"/>
      <c r="GB2" s="90"/>
      <c r="GC2" s="90"/>
      <c r="GH2" s="69" t="s">
        <v>1174</v>
      </c>
      <c r="GU2" s="69"/>
      <c r="HI2" s="69"/>
      <c r="JH2" s="69" t="s">
        <v>1139</v>
      </c>
      <c r="JI2" s="90"/>
      <c r="KB2" s="69" t="s">
        <v>1167</v>
      </c>
      <c r="KC2" s="90"/>
      <c r="KD2" s="90"/>
      <c r="KE2" s="90"/>
      <c r="KF2" s="90"/>
      <c r="KU2" s="69"/>
      <c r="KV2" s="90"/>
      <c r="LT2" s="69"/>
      <c r="NU2" s="69"/>
      <c r="NV2" s="90"/>
      <c r="NW2" s="90"/>
      <c r="NX2" s="90"/>
      <c r="NY2" s="90"/>
      <c r="NZ2" s="90"/>
      <c r="OA2" s="90" t="s">
        <v>2332</v>
      </c>
      <c r="OB2" s="90"/>
      <c r="OC2" s="90"/>
      <c r="OD2" s="90"/>
      <c r="OE2" s="90"/>
      <c r="OF2" s="90"/>
      <c r="OG2" s="90"/>
      <c r="OH2" s="90"/>
      <c r="OO2" s="69" t="s">
        <v>2338</v>
      </c>
      <c r="PG2" s="69"/>
    </row>
    <row r="3" spans="1:429" s="40" customFormat="1" ht="135">
      <c r="B3" s="40" t="s">
        <v>725</v>
      </c>
      <c r="C3" s="41" t="s">
        <v>543</v>
      </c>
      <c r="D3" s="4" t="s">
        <v>527</v>
      </c>
      <c r="E3" s="57" t="s">
        <v>544</v>
      </c>
      <c r="F3" s="57" t="s">
        <v>726</v>
      </c>
      <c r="G3" s="37" t="s">
        <v>727</v>
      </c>
      <c r="H3" s="40" t="s">
        <v>550</v>
      </c>
      <c r="I3" s="2" t="s">
        <v>731</v>
      </c>
      <c r="J3" s="57" t="s">
        <v>547</v>
      </c>
      <c r="K3" s="57" t="s">
        <v>546</v>
      </c>
      <c r="L3" s="57" t="s">
        <v>833</v>
      </c>
      <c r="M3" s="57" t="s">
        <v>834</v>
      </c>
      <c r="N3" s="70" t="s">
        <v>835</v>
      </c>
      <c r="O3" s="4" t="s">
        <v>527</v>
      </c>
      <c r="P3" s="57" t="s">
        <v>726</v>
      </c>
      <c r="Q3" s="40" t="s">
        <v>185</v>
      </c>
      <c r="R3" s="57" t="s">
        <v>734</v>
      </c>
      <c r="S3" s="57" t="s">
        <v>549</v>
      </c>
      <c r="T3" s="57" t="s">
        <v>733</v>
      </c>
      <c r="U3" s="57" t="s">
        <v>732</v>
      </c>
      <c r="V3" s="57" t="s">
        <v>736</v>
      </c>
      <c r="W3" s="57" t="s">
        <v>735</v>
      </c>
      <c r="X3" s="57" t="s">
        <v>738</v>
      </c>
      <c r="Y3" s="226" t="s">
        <v>183</v>
      </c>
      <c r="Z3" s="57" t="s">
        <v>836</v>
      </c>
      <c r="AA3" s="57" t="s">
        <v>825</v>
      </c>
      <c r="AB3" s="57" t="s">
        <v>826</v>
      </c>
      <c r="AC3" s="57" t="s">
        <v>824</v>
      </c>
      <c r="AD3" s="40" t="s">
        <v>829</v>
      </c>
      <c r="AE3" s="229" t="s">
        <v>827</v>
      </c>
      <c r="AF3" s="229" t="s">
        <v>830</v>
      </c>
      <c r="AG3" s="702" t="s">
        <v>2281</v>
      </c>
      <c r="AH3" s="4" t="s">
        <v>741</v>
      </c>
      <c r="AI3" s="40" t="s">
        <v>545</v>
      </c>
      <c r="AJ3" s="40" t="s">
        <v>724</v>
      </c>
      <c r="AK3" s="40" t="s">
        <v>726</v>
      </c>
      <c r="AL3" s="40" t="s">
        <v>745</v>
      </c>
      <c r="AM3" s="57" t="s">
        <v>859</v>
      </c>
      <c r="AN3" s="40" t="s">
        <v>744</v>
      </c>
      <c r="AO3" s="40" t="s">
        <v>746</v>
      </c>
      <c r="AP3" s="40" t="s">
        <v>747</v>
      </c>
      <c r="AQ3" s="57" t="s">
        <v>863</v>
      </c>
      <c r="AR3" s="57" t="s">
        <v>530</v>
      </c>
      <c r="AS3" s="4" t="s">
        <v>2297</v>
      </c>
      <c r="AT3" s="57" t="s">
        <v>1829</v>
      </c>
      <c r="AU3" s="57" t="s">
        <v>1830</v>
      </c>
      <c r="AV3" s="571" t="s">
        <v>2298</v>
      </c>
      <c r="AW3" s="57" t="s">
        <v>1829</v>
      </c>
      <c r="AX3" s="57" t="s">
        <v>2245</v>
      </c>
      <c r="AY3" s="57" t="s">
        <v>1830</v>
      </c>
      <c r="AZ3" s="433" t="s">
        <v>2298</v>
      </c>
      <c r="BA3" s="57" t="s">
        <v>1829</v>
      </c>
      <c r="BB3" s="57" t="s">
        <v>1830</v>
      </c>
      <c r="BC3" s="57" t="s">
        <v>2392</v>
      </c>
      <c r="BD3" s="571" t="s">
        <v>2299</v>
      </c>
      <c r="BE3" s="433" t="s">
        <v>2388</v>
      </c>
      <c r="BF3" s="4" t="s">
        <v>754</v>
      </c>
      <c r="BG3" s="57" t="s">
        <v>1345</v>
      </c>
      <c r="BH3" s="37" t="s">
        <v>751</v>
      </c>
      <c r="BI3" s="246" t="s">
        <v>796</v>
      </c>
      <c r="BJ3" s="40" t="s">
        <v>753</v>
      </c>
      <c r="BK3" s="37" t="s">
        <v>752</v>
      </c>
      <c r="BL3" s="37" t="s">
        <v>2301</v>
      </c>
      <c r="BM3" s="246" t="s">
        <v>796</v>
      </c>
      <c r="BN3" s="40" t="s">
        <v>756</v>
      </c>
      <c r="BO3" s="40" t="s">
        <v>757</v>
      </c>
      <c r="BP3" s="4" t="s">
        <v>527</v>
      </c>
      <c r="BQ3" s="40" t="s">
        <v>726</v>
      </c>
      <c r="BR3" s="40" t="s">
        <v>760</v>
      </c>
      <c r="BS3" s="40" t="s">
        <v>758</v>
      </c>
      <c r="BT3" s="40" t="s">
        <v>759</v>
      </c>
      <c r="BU3" s="40" t="s">
        <v>548</v>
      </c>
      <c r="BV3" s="40" t="s">
        <v>762</v>
      </c>
      <c r="BW3" s="40" t="s">
        <v>761</v>
      </c>
      <c r="BX3" s="40" t="s">
        <v>763</v>
      </c>
      <c r="BY3" s="40" t="s">
        <v>764</v>
      </c>
      <c r="BZ3" s="40" t="s">
        <v>856</v>
      </c>
      <c r="CA3" s="40" t="s">
        <v>709</v>
      </c>
      <c r="CB3" s="40" t="s">
        <v>765</v>
      </c>
      <c r="CC3" s="4" t="s">
        <v>767</v>
      </c>
      <c r="CD3" s="57" t="s">
        <v>726</v>
      </c>
      <c r="CE3" s="40" t="s">
        <v>771</v>
      </c>
      <c r="CF3" s="40" t="s">
        <v>1124</v>
      </c>
      <c r="CG3" s="40" t="s">
        <v>770</v>
      </c>
      <c r="CH3" s="40" t="s">
        <v>854</v>
      </c>
      <c r="CI3" s="292" t="s">
        <v>1122</v>
      </c>
      <c r="CJ3" s="40" t="s">
        <v>726</v>
      </c>
      <c r="CK3" s="40" t="s">
        <v>1124</v>
      </c>
      <c r="CL3" s="297" t="s">
        <v>1136</v>
      </c>
      <c r="CM3" s="297" t="s">
        <v>1137</v>
      </c>
      <c r="CN3" s="297" t="s">
        <v>2327</v>
      </c>
      <c r="CO3" s="297" t="s">
        <v>2328</v>
      </c>
      <c r="CP3" s="40" t="s">
        <v>1123</v>
      </c>
      <c r="CQ3" s="40" t="s">
        <v>1164</v>
      </c>
      <c r="CR3" s="40" t="s">
        <v>1165</v>
      </c>
      <c r="CS3" s="297" t="s">
        <v>1208</v>
      </c>
      <c r="CT3" s="40" t="s">
        <v>1166</v>
      </c>
      <c r="CU3" s="40" t="s">
        <v>1127</v>
      </c>
      <c r="CV3" s="40" t="s">
        <v>1220</v>
      </c>
      <c r="CW3" s="40" t="s">
        <v>1221</v>
      </c>
      <c r="CX3" s="291" t="s">
        <v>1128</v>
      </c>
      <c r="CY3" s="291" t="s">
        <v>1356</v>
      </c>
      <c r="CZ3" s="292" t="str">
        <f>CI3</f>
        <v>USDIA income (directional basis)</v>
      </c>
      <c r="DA3" s="516" t="s">
        <v>1826</v>
      </c>
      <c r="DB3" s="291" t="s">
        <v>1823</v>
      </c>
      <c r="DC3" s="291" t="s">
        <v>1824</v>
      </c>
      <c r="DD3" s="291" t="s">
        <v>1825</v>
      </c>
      <c r="DE3" s="291" t="s">
        <v>1827</v>
      </c>
      <c r="DF3" s="291" t="s">
        <v>1828</v>
      </c>
      <c r="DG3" s="517" t="s">
        <v>2175</v>
      </c>
      <c r="DH3" s="517" t="s">
        <v>2278</v>
      </c>
      <c r="DI3" s="4" t="s">
        <v>1133</v>
      </c>
      <c r="DJ3" s="40" t="s">
        <v>693</v>
      </c>
      <c r="DK3" s="40" t="s">
        <v>694</v>
      </c>
      <c r="DL3" s="40" t="s">
        <v>697</v>
      </c>
      <c r="DM3" s="40" t="s">
        <v>695</v>
      </c>
      <c r="DN3" s="40" t="s">
        <v>1039</v>
      </c>
      <c r="DO3" s="40" t="s">
        <v>1234</v>
      </c>
      <c r="DP3" s="291" t="s">
        <v>1202</v>
      </c>
      <c r="DQ3" s="40" t="s">
        <v>696</v>
      </c>
      <c r="DR3" s="40" t="s">
        <v>703</v>
      </c>
      <c r="DS3" s="40" t="s">
        <v>710</v>
      </c>
      <c r="DT3" s="40" t="s">
        <v>1503</v>
      </c>
      <c r="DU3" s="40" t="s">
        <v>1504</v>
      </c>
      <c r="DV3" s="40" t="s">
        <v>693</v>
      </c>
      <c r="DW3" s="40" t="s">
        <v>694</v>
      </c>
      <c r="DX3" s="40" t="s">
        <v>697</v>
      </c>
      <c r="DY3" s="40" t="s">
        <v>695</v>
      </c>
      <c r="DZ3" s="40" t="s">
        <v>698</v>
      </c>
      <c r="EA3" s="40" t="s">
        <v>1234</v>
      </c>
      <c r="EB3" s="291" t="s">
        <v>1202</v>
      </c>
      <c r="EC3" s="40" t="s">
        <v>696</v>
      </c>
      <c r="ED3" s="40" t="s">
        <v>772</v>
      </c>
      <c r="EE3" s="40" t="s">
        <v>1451</v>
      </c>
      <c r="EF3" s="40" t="s">
        <v>1452</v>
      </c>
      <c r="EG3" s="292" t="s">
        <v>1132</v>
      </c>
      <c r="EH3" s="40" t="s">
        <v>693</v>
      </c>
      <c r="EI3" s="40" t="s">
        <v>694</v>
      </c>
      <c r="EJ3" s="40" t="s">
        <v>697</v>
      </c>
      <c r="EK3" s="40" t="s">
        <v>695</v>
      </c>
      <c r="EL3" s="40" t="s">
        <v>1039</v>
      </c>
      <c r="EM3" s="40" t="s">
        <v>696</v>
      </c>
      <c r="EN3" s="37" t="s">
        <v>703</v>
      </c>
      <c r="EO3" s="40" t="s">
        <v>715</v>
      </c>
      <c r="EP3" s="40" t="s">
        <v>710</v>
      </c>
      <c r="EQ3" s="40" t="s">
        <v>700</v>
      </c>
      <c r="ER3" s="4" t="s">
        <v>2169</v>
      </c>
      <c r="ES3" s="57" t="s">
        <v>1855</v>
      </c>
      <c r="ET3" s="433" t="s">
        <v>2171</v>
      </c>
      <c r="EU3" s="433" t="s">
        <v>2170</v>
      </c>
      <c r="EV3" s="433" t="s">
        <v>2172</v>
      </c>
      <c r="EW3" s="40" t="s">
        <v>693</v>
      </c>
      <c r="EX3" s="40" t="s">
        <v>694</v>
      </c>
      <c r="EY3" s="40" t="s">
        <v>697</v>
      </c>
      <c r="EZ3" s="40" t="s">
        <v>695</v>
      </c>
      <c r="FA3" s="40" t="s">
        <v>1039</v>
      </c>
      <c r="FB3" s="40" t="s">
        <v>714</v>
      </c>
      <c r="FC3" s="291" t="s">
        <v>1172</v>
      </c>
      <c r="FD3" s="40" t="s">
        <v>696</v>
      </c>
      <c r="FE3" s="40" t="s">
        <v>703</v>
      </c>
      <c r="FF3" s="40" t="s">
        <v>710</v>
      </c>
      <c r="FG3" s="40" t="s">
        <v>693</v>
      </c>
      <c r="FH3" s="40" t="s">
        <v>694</v>
      </c>
      <c r="FI3" s="40" t="s">
        <v>697</v>
      </c>
      <c r="FJ3" s="40" t="s">
        <v>695</v>
      </c>
      <c r="FK3" s="40" t="s">
        <v>1039</v>
      </c>
      <c r="FL3" s="40" t="s">
        <v>714</v>
      </c>
      <c r="FM3" s="291" t="s">
        <v>1172</v>
      </c>
      <c r="FN3" s="40" t="s">
        <v>696</v>
      </c>
      <c r="FO3" s="40" t="s">
        <v>703</v>
      </c>
      <c r="FP3" s="40" t="s">
        <v>710</v>
      </c>
      <c r="FQ3" s="40" t="s">
        <v>773</v>
      </c>
      <c r="FR3" s="40" t="s">
        <v>1222</v>
      </c>
      <c r="FS3" s="40" t="s">
        <v>1223</v>
      </c>
      <c r="FT3" s="40" t="s">
        <v>1224</v>
      </c>
      <c r="FU3" s="40" t="s">
        <v>1225</v>
      </c>
      <c r="FV3" s="40" t="s">
        <v>1184</v>
      </c>
      <c r="FW3" s="4" t="s">
        <v>1138</v>
      </c>
      <c r="FX3" s="40" t="s">
        <v>693</v>
      </c>
      <c r="FY3" s="40" t="s">
        <v>694</v>
      </c>
      <c r="FZ3" s="40" t="s">
        <v>697</v>
      </c>
      <c r="GA3" s="40" t="s">
        <v>695</v>
      </c>
      <c r="GB3" s="40" t="s">
        <v>1039</v>
      </c>
      <c r="GC3" s="40" t="s">
        <v>714</v>
      </c>
      <c r="GD3" s="291" t="s">
        <v>1172</v>
      </c>
      <c r="GE3" s="40" t="s">
        <v>696</v>
      </c>
      <c r="GF3" s="40" t="s">
        <v>703</v>
      </c>
      <c r="GG3" s="40" t="s">
        <v>710</v>
      </c>
      <c r="GH3" s="4" t="s">
        <v>702</v>
      </c>
      <c r="GI3" s="40" t="s">
        <v>693</v>
      </c>
      <c r="GJ3" s="40" t="s">
        <v>694</v>
      </c>
      <c r="GK3" s="40" t="s">
        <v>697</v>
      </c>
      <c r="GL3" s="40" t="s">
        <v>695</v>
      </c>
      <c r="GM3" s="40" t="s">
        <v>698</v>
      </c>
      <c r="GN3" s="40" t="s">
        <v>714</v>
      </c>
      <c r="GO3" s="40" t="s">
        <v>1163</v>
      </c>
      <c r="GP3" s="40" t="s">
        <v>1172</v>
      </c>
      <c r="GQ3" s="40" t="s">
        <v>696</v>
      </c>
      <c r="GR3" s="40" t="s">
        <v>703</v>
      </c>
      <c r="GS3" s="40" t="s">
        <v>710</v>
      </c>
      <c r="GT3" s="40" t="s">
        <v>704</v>
      </c>
      <c r="GU3" s="4" t="s">
        <v>1188</v>
      </c>
      <c r="GV3" s="57" t="s">
        <v>1189</v>
      </c>
      <c r="GW3" s="57" t="s">
        <v>1173</v>
      </c>
      <c r="GX3" s="40" t="s">
        <v>693</v>
      </c>
      <c r="GY3" s="40" t="s">
        <v>694</v>
      </c>
      <c r="GZ3" s="40" t="s">
        <v>697</v>
      </c>
      <c r="HA3" s="40" t="s">
        <v>695</v>
      </c>
      <c r="HB3" s="40" t="s">
        <v>698</v>
      </c>
      <c r="HC3" s="40" t="s">
        <v>714</v>
      </c>
      <c r="HD3" s="40" t="s">
        <v>1172</v>
      </c>
      <c r="HE3" s="40" t="s">
        <v>696</v>
      </c>
      <c r="HF3" s="40" t="s">
        <v>703</v>
      </c>
      <c r="HG3" s="40" t="s">
        <v>1193</v>
      </c>
      <c r="HH3" s="2" t="s">
        <v>1179</v>
      </c>
      <c r="HI3" s="4" t="s">
        <v>1186</v>
      </c>
      <c r="HJ3" s="40" t="s">
        <v>709</v>
      </c>
      <c r="HK3" s="40" t="s">
        <v>693</v>
      </c>
      <c r="HL3" s="40" t="s">
        <v>694</v>
      </c>
      <c r="HM3" s="40" t="s">
        <v>697</v>
      </c>
      <c r="HN3" s="40" t="s">
        <v>695</v>
      </c>
      <c r="HO3" s="40" t="s">
        <v>698</v>
      </c>
      <c r="HP3" s="40" t="s">
        <v>696</v>
      </c>
      <c r="HQ3" s="40" t="s">
        <v>703</v>
      </c>
      <c r="HR3" s="40" t="s">
        <v>710</v>
      </c>
      <c r="HS3" s="40" t="s">
        <v>704</v>
      </c>
      <c r="HT3" s="37" t="s">
        <v>1194</v>
      </c>
      <c r="HU3" s="40" t="s">
        <v>693</v>
      </c>
      <c r="HV3" s="40" t="s">
        <v>694</v>
      </c>
      <c r="HW3" s="40" t="s">
        <v>697</v>
      </c>
      <c r="HX3" s="40" t="s">
        <v>695</v>
      </c>
      <c r="HY3" s="40" t="s">
        <v>698</v>
      </c>
      <c r="HZ3" s="40" t="s">
        <v>714</v>
      </c>
      <c r="IA3" s="40" t="s">
        <v>1172</v>
      </c>
      <c r="IB3" s="40" t="s">
        <v>696</v>
      </c>
      <c r="IC3" s="40" t="s">
        <v>703</v>
      </c>
      <c r="ID3" s="40" t="s">
        <v>710</v>
      </c>
      <c r="IE3" s="40" t="s">
        <v>1192</v>
      </c>
      <c r="IF3" s="2" t="s">
        <v>1168</v>
      </c>
      <c r="IG3" s="40" t="s">
        <v>693</v>
      </c>
      <c r="IH3" s="40" t="s">
        <v>694</v>
      </c>
      <c r="II3" s="40" t="s">
        <v>697</v>
      </c>
      <c r="IJ3" s="40" t="s">
        <v>695</v>
      </c>
      <c r="IK3" s="40" t="s">
        <v>698</v>
      </c>
      <c r="IL3" s="40" t="s">
        <v>714</v>
      </c>
      <c r="IM3" s="40" t="s">
        <v>1172</v>
      </c>
      <c r="IN3" s="40" t="s">
        <v>696</v>
      </c>
      <c r="IO3" s="40" t="s">
        <v>703</v>
      </c>
      <c r="IP3" s="40" t="s">
        <v>1180</v>
      </c>
      <c r="IQ3" s="2" t="s">
        <v>1178</v>
      </c>
      <c r="IR3" s="4" t="s">
        <v>713</v>
      </c>
      <c r="IS3" s="291" t="s">
        <v>1147</v>
      </c>
      <c r="IT3" s="291" t="s">
        <v>1146</v>
      </c>
      <c r="IU3" s="291" t="s">
        <v>1148</v>
      </c>
      <c r="IV3" s="291" t="s">
        <v>1149</v>
      </c>
      <c r="IW3" s="291" t="s">
        <v>1150</v>
      </c>
      <c r="IX3" s="291" t="s">
        <v>1153</v>
      </c>
      <c r="IY3" s="291" t="s">
        <v>1154</v>
      </c>
      <c r="IZ3" s="291" t="s">
        <v>1155</v>
      </c>
      <c r="JA3" s="291" t="s">
        <v>1156</v>
      </c>
      <c r="JB3" s="291" t="s">
        <v>1160</v>
      </c>
      <c r="JC3" s="291" t="s">
        <v>1161</v>
      </c>
      <c r="JD3" s="291" t="s">
        <v>1162</v>
      </c>
      <c r="JE3" s="291" t="s">
        <v>1157</v>
      </c>
      <c r="JF3" s="291" t="s">
        <v>1158</v>
      </c>
      <c r="JG3" s="291" t="s">
        <v>1159</v>
      </c>
      <c r="JH3" s="4" t="s">
        <v>713</v>
      </c>
      <c r="JI3" s="57" t="s">
        <v>1829</v>
      </c>
      <c r="JJ3" s="40" t="s">
        <v>693</v>
      </c>
      <c r="JK3" s="40" t="s">
        <v>694</v>
      </c>
      <c r="JL3" s="40" t="s">
        <v>697</v>
      </c>
      <c r="JM3" s="40" t="s">
        <v>695</v>
      </c>
      <c r="JN3" s="40" t="s">
        <v>698</v>
      </c>
      <c r="JO3" s="40" t="s">
        <v>714</v>
      </c>
      <c r="JP3" s="40" t="s">
        <v>1163</v>
      </c>
      <c r="JQ3" s="40" t="s">
        <v>1171</v>
      </c>
      <c r="JR3" s="40" t="s">
        <v>696</v>
      </c>
      <c r="JS3" s="40" t="s">
        <v>703</v>
      </c>
      <c r="JT3" s="40" t="s">
        <v>710</v>
      </c>
      <c r="JU3" s="40" t="s">
        <v>712</v>
      </c>
      <c r="JV3" s="40" t="s">
        <v>693</v>
      </c>
      <c r="JW3" s="40" t="s">
        <v>694</v>
      </c>
      <c r="JX3" s="40" t="s">
        <v>697</v>
      </c>
      <c r="JY3" s="40" t="s">
        <v>695</v>
      </c>
      <c r="JZ3" s="40" t="s">
        <v>698</v>
      </c>
      <c r="KA3" s="40" t="s">
        <v>696</v>
      </c>
      <c r="KB3" s="4" t="s">
        <v>1143</v>
      </c>
      <c r="KC3" s="57" t="s">
        <v>1170</v>
      </c>
      <c r="KD3" s="57" t="s">
        <v>1169</v>
      </c>
      <c r="KE3" s="57" t="s">
        <v>2511</v>
      </c>
      <c r="KF3" s="57" t="s">
        <v>2535</v>
      </c>
      <c r="KG3" s="40" t="s">
        <v>693</v>
      </c>
      <c r="KH3" s="40" t="s">
        <v>694</v>
      </c>
      <c r="KI3" s="40" t="s">
        <v>697</v>
      </c>
      <c r="KJ3" s="40" t="s">
        <v>695</v>
      </c>
      <c r="KK3" s="40" t="s">
        <v>698</v>
      </c>
      <c r="KL3" s="40" t="s">
        <v>714</v>
      </c>
      <c r="KM3" s="40" t="s">
        <v>1209</v>
      </c>
      <c r="KN3" s="40" t="s">
        <v>1210</v>
      </c>
      <c r="KO3" s="40" t="s">
        <v>1183</v>
      </c>
      <c r="KP3" s="40" t="s">
        <v>696</v>
      </c>
      <c r="KQ3" s="40" t="s">
        <v>703</v>
      </c>
      <c r="KR3" s="40" t="s">
        <v>710</v>
      </c>
      <c r="KS3" s="40" t="s">
        <v>1184</v>
      </c>
      <c r="KT3" s="40" t="s">
        <v>1216</v>
      </c>
      <c r="KU3" s="4" t="s">
        <v>1142</v>
      </c>
      <c r="KV3" s="2" t="s">
        <v>1829</v>
      </c>
      <c r="KW3" s="40" t="s">
        <v>693</v>
      </c>
      <c r="KX3" s="40" t="s">
        <v>694</v>
      </c>
      <c r="KY3" s="40" t="s">
        <v>697</v>
      </c>
      <c r="KZ3" s="40" t="s">
        <v>695</v>
      </c>
      <c r="LA3" s="40" t="s">
        <v>698</v>
      </c>
      <c r="LB3" s="40" t="s">
        <v>714</v>
      </c>
      <c r="LC3" s="40" t="s">
        <v>1172</v>
      </c>
      <c r="LD3" s="40" t="s">
        <v>696</v>
      </c>
      <c r="LE3" s="40" t="s">
        <v>703</v>
      </c>
      <c r="LF3" s="40" t="s">
        <v>1177</v>
      </c>
      <c r="LG3" s="40" t="s">
        <v>710</v>
      </c>
      <c r="LH3" s="40" t="s">
        <v>1197</v>
      </c>
      <c r="LI3" s="40" t="s">
        <v>693</v>
      </c>
      <c r="LJ3" s="40" t="s">
        <v>694</v>
      </c>
      <c r="LK3" s="40" t="s">
        <v>697</v>
      </c>
      <c r="LL3" s="40" t="s">
        <v>695</v>
      </c>
      <c r="LM3" s="40" t="s">
        <v>698</v>
      </c>
      <c r="LN3" s="40" t="s">
        <v>1185</v>
      </c>
      <c r="LO3" s="40" t="s">
        <v>1172</v>
      </c>
      <c r="LP3" s="40" t="s">
        <v>696</v>
      </c>
      <c r="LQ3" s="40" t="s">
        <v>1200</v>
      </c>
      <c r="LR3" s="40" t="s">
        <v>1198</v>
      </c>
      <c r="LS3" s="40" t="s">
        <v>1199</v>
      </c>
      <c r="LT3" s="4" t="s">
        <v>1324</v>
      </c>
      <c r="LU3" s="40" t="s">
        <v>726</v>
      </c>
      <c r="LV3" s="40" t="s">
        <v>1323</v>
      </c>
      <c r="LW3" s="40" t="s">
        <v>1328</v>
      </c>
      <c r="LX3" s="40" t="s">
        <v>1331</v>
      </c>
      <c r="LY3" s="40" t="s">
        <v>2506</v>
      </c>
      <c r="LZ3" s="40" t="s">
        <v>2512</v>
      </c>
      <c r="MA3" s="37" t="s">
        <v>1326</v>
      </c>
      <c r="MB3" s="40" t="s">
        <v>726</v>
      </c>
      <c r="MC3" s="40" t="s">
        <v>1327</v>
      </c>
      <c r="MD3" s="40" t="s">
        <v>1329</v>
      </c>
      <c r="ME3" s="40" t="s">
        <v>1325</v>
      </c>
      <c r="MF3" s="40" t="s">
        <v>1332</v>
      </c>
      <c r="MG3" s="40" t="s">
        <v>1330</v>
      </c>
      <c r="MH3" s="4" t="s">
        <v>2503</v>
      </c>
      <c r="MI3" s="57" t="s">
        <v>2507</v>
      </c>
      <c r="MJ3" s="57" t="s">
        <v>2517</v>
      </c>
      <c r="MK3" s="57" t="s">
        <v>2515</v>
      </c>
      <c r="ML3" s="57" t="s">
        <v>2516</v>
      </c>
      <c r="MM3" s="37" t="s">
        <v>2504</v>
      </c>
      <c r="MN3" s="40" t="s">
        <v>1230</v>
      </c>
      <c r="MO3" s="40" t="s">
        <v>1226</v>
      </c>
      <c r="MP3" s="37" t="s">
        <v>2505</v>
      </c>
      <c r="MQ3" s="40" t="s">
        <v>1231</v>
      </c>
      <c r="MR3" s="40" t="s">
        <v>2623</v>
      </c>
      <c r="MS3" s="40" t="s">
        <v>1228</v>
      </c>
      <c r="MT3" s="40" t="s">
        <v>1229</v>
      </c>
      <c r="MU3" s="40" t="s">
        <v>1263</v>
      </c>
      <c r="MV3" s="40" t="s">
        <v>1256</v>
      </c>
      <c r="MW3" s="40" t="s">
        <v>1257</v>
      </c>
      <c r="MX3" s="40" t="s">
        <v>2623</v>
      </c>
      <c r="MY3" s="37" t="s">
        <v>1258</v>
      </c>
      <c r="MZ3" s="40" t="s">
        <v>1260</v>
      </c>
      <c r="NA3" s="40" t="s">
        <v>2306</v>
      </c>
      <c r="NB3" s="40" t="s">
        <v>2307</v>
      </c>
      <c r="NC3" s="37" t="s">
        <v>1259</v>
      </c>
      <c r="ND3" s="40" t="s">
        <v>1260</v>
      </c>
      <c r="NE3" s="40" t="s">
        <v>1261</v>
      </c>
      <c r="NF3" s="40" t="s">
        <v>1260</v>
      </c>
      <c r="NG3" s="40" t="s">
        <v>1262</v>
      </c>
      <c r="NH3" s="40" t="s">
        <v>1260</v>
      </c>
      <c r="NI3" s="37" t="s">
        <v>2340</v>
      </c>
      <c r="NJ3" s="37" t="s">
        <v>1265</v>
      </c>
      <c r="NK3" s="40" t="s">
        <v>1260</v>
      </c>
      <c r="NL3" s="40" t="s">
        <v>1264</v>
      </c>
      <c r="NM3" s="40" t="s">
        <v>1319</v>
      </c>
      <c r="NN3" s="40" t="s">
        <v>1320</v>
      </c>
      <c r="NO3" s="37" t="s">
        <v>1266</v>
      </c>
      <c r="NP3" s="40" t="s">
        <v>1268</v>
      </c>
      <c r="NQ3" s="40" t="s">
        <v>1267</v>
      </c>
      <c r="NR3" s="40" t="s">
        <v>2312</v>
      </c>
      <c r="NS3" s="419" t="s">
        <v>1317</v>
      </c>
      <c r="NT3" s="419" t="s">
        <v>1318</v>
      </c>
      <c r="NU3" s="4" t="s">
        <v>2316</v>
      </c>
      <c r="NV3" s="57" t="s">
        <v>2318</v>
      </c>
      <c r="NW3" s="57" t="s">
        <v>2319</v>
      </c>
      <c r="NX3" s="4" t="s">
        <v>2465</v>
      </c>
      <c r="NY3" s="2" t="s">
        <v>2317</v>
      </c>
      <c r="NZ3" s="57" t="s">
        <v>2323</v>
      </c>
      <c r="OA3" s="57" t="s">
        <v>2324</v>
      </c>
      <c r="OB3" s="2" t="s">
        <v>2330</v>
      </c>
      <c r="OC3" s="57" t="s">
        <v>2331</v>
      </c>
      <c r="OD3" s="2"/>
      <c r="OE3" s="57" t="s">
        <v>2408</v>
      </c>
      <c r="OF3" s="57" t="s">
        <v>2407</v>
      </c>
      <c r="OG3" s="57" t="s">
        <v>2409</v>
      </c>
      <c r="OH3" s="57" t="s">
        <v>2410</v>
      </c>
      <c r="OI3" s="40" t="s">
        <v>1203</v>
      </c>
      <c r="OJ3" s="40" t="s">
        <v>1204</v>
      </c>
      <c r="OK3" s="40" t="s">
        <v>1321</v>
      </c>
      <c r="OL3" s="40" t="s">
        <v>1322</v>
      </c>
      <c r="OO3" s="4" t="s">
        <v>2337</v>
      </c>
      <c r="OP3" s="40" t="s">
        <v>1336</v>
      </c>
      <c r="OQ3" s="40" t="s">
        <v>1233</v>
      </c>
      <c r="OR3" s="40" t="s">
        <v>1146</v>
      </c>
      <c r="OS3" s="40" t="s">
        <v>693</v>
      </c>
      <c r="OT3" s="40" t="s">
        <v>694</v>
      </c>
      <c r="OU3" s="40" t="s">
        <v>697</v>
      </c>
      <c r="OV3" s="40" t="s">
        <v>695</v>
      </c>
      <c r="OW3" s="40" t="s">
        <v>698</v>
      </c>
      <c r="OX3" s="40" t="s">
        <v>714</v>
      </c>
      <c r="OY3" s="40" t="s">
        <v>696</v>
      </c>
      <c r="OZ3" s="40" t="s">
        <v>703</v>
      </c>
      <c r="PA3" s="40" t="s">
        <v>710</v>
      </c>
      <c r="PB3" s="40" t="s">
        <v>1120</v>
      </c>
      <c r="PG3" s="226"/>
      <c r="PH3" s="40" t="s">
        <v>2336</v>
      </c>
      <c r="PI3" s="40" t="s">
        <v>2335</v>
      </c>
      <c r="PJ3" s="40" t="s">
        <v>2405</v>
      </c>
      <c r="PK3" s="40" t="s">
        <v>2403</v>
      </c>
      <c r="PL3" s="40" t="s">
        <v>2404</v>
      </c>
      <c r="PM3" s="40" t="s">
        <v>2402</v>
      </c>
    </row>
    <row r="4" spans="1:429" s="38" customFormat="1" ht="37" customHeight="1">
      <c r="B4" s="40" t="s">
        <v>525</v>
      </c>
      <c r="C4" s="42"/>
      <c r="D4" s="58" t="s">
        <v>728</v>
      </c>
      <c r="E4" s="46"/>
      <c r="F4" s="46"/>
      <c r="G4" s="38" t="s">
        <v>729</v>
      </c>
      <c r="I4" s="46" t="s">
        <v>730</v>
      </c>
      <c r="J4" s="46"/>
      <c r="K4" s="46"/>
      <c r="L4" s="46" t="s">
        <v>861</v>
      </c>
      <c r="M4" s="46"/>
      <c r="N4" s="47"/>
      <c r="O4" s="46"/>
      <c r="P4" s="46"/>
      <c r="R4" s="46" t="s">
        <v>839</v>
      </c>
      <c r="S4" s="46"/>
      <c r="T4" s="46"/>
      <c r="U4" s="46"/>
      <c r="V4" s="46"/>
      <c r="W4" s="46"/>
      <c r="X4" s="46" t="s">
        <v>739</v>
      </c>
      <c r="Y4" s="58" t="s">
        <v>831</v>
      </c>
      <c r="Z4" s="46" t="s">
        <v>837</v>
      </c>
      <c r="AA4" s="46" t="s">
        <v>838</v>
      </c>
      <c r="AB4" s="46"/>
      <c r="AC4" s="46" t="s">
        <v>832</v>
      </c>
      <c r="AE4" s="228" t="s">
        <v>828</v>
      </c>
      <c r="AF4" s="228" t="s">
        <v>862</v>
      </c>
      <c r="AG4" s="228"/>
      <c r="AH4" s="58" t="s">
        <v>743</v>
      </c>
      <c r="AM4" s="46" t="s">
        <v>822</v>
      </c>
      <c r="AN4" s="38" t="s">
        <v>840</v>
      </c>
      <c r="AP4" s="38" t="s">
        <v>748</v>
      </c>
      <c r="AQ4" s="46"/>
      <c r="AR4" s="765" t="s">
        <v>2389</v>
      </c>
      <c r="AS4" s="719" t="s">
        <v>2385</v>
      </c>
      <c r="AT4" s="244" t="s">
        <v>1831</v>
      </c>
      <c r="AU4" s="244"/>
      <c r="AV4" s="682" t="s">
        <v>2390</v>
      </c>
      <c r="AW4" s="682"/>
      <c r="AX4" s="682"/>
      <c r="AY4" s="682"/>
      <c r="AZ4" s="682" t="s">
        <v>2391</v>
      </c>
      <c r="BA4" s="244"/>
      <c r="BB4" s="244"/>
      <c r="BC4" s="244" t="s">
        <v>2393</v>
      </c>
      <c r="BD4" s="244" t="s">
        <v>1342</v>
      </c>
      <c r="BE4" s="682"/>
      <c r="BF4" s="58" t="s">
        <v>2300</v>
      </c>
      <c r="BG4" s="46"/>
      <c r="BH4" s="38" t="s">
        <v>750</v>
      </c>
      <c r="BI4" s="228"/>
      <c r="BJ4" s="38" t="s">
        <v>750</v>
      </c>
      <c r="BK4" s="39" t="s">
        <v>860</v>
      </c>
      <c r="BL4" s="39"/>
      <c r="BM4" s="228"/>
      <c r="BN4" s="38" t="s">
        <v>755</v>
      </c>
      <c r="BP4" s="58" t="s">
        <v>728</v>
      </c>
      <c r="CC4" s="58" t="s">
        <v>768</v>
      </c>
      <c r="CD4" s="46"/>
      <c r="CF4" s="38" t="s">
        <v>1125</v>
      </c>
      <c r="CG4" s="38" t="s">
        <v>769</v>
      </c>
      <c r="CH4" s="38" t="s">
        <v>855</v>
      </c>
      <c r="CI4" s="58" t="s">
        <v>2314</v>
      </c>
      <c r="CK4" s="38" t="s">
        <v>1126</v>
      </c>
      <c r="CM4" s="38" t="s">
        <v>1126</v>
      </c>
      <c r="CN4" s="307" t="s">
        <v>2329</v>
      </c>
      <c r="CO4" s="307"/>
      <c r="CQ4" s="305"/>
      <c r="CR4" s="305"/>
      <c r="CT4" s="305"/>
      <c r="CV4" s="307"/>
      <c r="CW4" s="307"/>
      <c r="CX4" s="38" t="s">
        <v>1129</v>
      </c>
      <c r="CZ4" s="58" t="s">
        <v>2315</v>
      </c>
      <c r="DA4" s="46" t="s">
        <v>2467</v>
      </c>
      <c r="DB4" s="307"/>
      <c r="DC4" s="307"/>
      <c r="DD4" s="307"/>
      <c r="DE4" s="307"/>
      <c r="DF4" s="307"/>
      <c r="DG4" s="307" t="s">
        <v>2466</v>
      </c>
      <c r="DH4" s="307"/>
      <c r="DI4" s="58" t="s">
        <v>2302</v>
      </c>
      <c r="DJ4" s="307"/>
      <c r="DO4" s="514"/>
      <c r="DP4" s="307"/>
      <c r="DT4" s="307" t="s">
        <v>2386</v>
      </c>
      <c r="DU4" s="307"/>
      <c r="EB4" s="307"/>
      <c r="ED4" s="376"/>
      <c r="EE4" s="376"/>
      <c r="EF4" s="376"/>
      <c r="EG4" s="45"/>
      <c r="ER4" s="58"/>
      <c r="ES4" s="46"/>
      <c r="ET4" s="46"/>
      <c r="EU4" s="46"/>
      <c r="EV4" s="46"/>
      <c r="FB4" s="307"/>
      <c r="FC4" s="307"/>
      <c r="FG4" s="307"/>
      <c r="FH4" s="307"/>
      <c r="FI4" s="307"/>
      <c r="FJ4" s="307"/>
      <c r="FK4" s="307"/>
      <c r="FL4" s="307"/>
      <c r="FM4" s="307"/>
      <c r="FN4" s="307"/>
      <c r="FO4" s="307"/>
      <c r="FP4" s="307"/>
      <c r="FQ4" s="401"/>
      <c r="FR4" s="307"/>
      <c r="FS4" s="307"/>
      <c r="FT4" s="307"/>
      <c r="FU4" s="307"/>
      <c r="FV4" s="307"/>
      <c r="FW4" s="58"/>
      <c r="FX4" s="307"/>
      <c r="FY4" s="307"/>
      <c r="FZ4" s="307"/>
      <c r="GA4" s="307"/>
      <c r="GB4" s="307"/>
      <c r="GC4" s="307"/>
      <c r="GH4" s="58" t="s">
        <v>1505</v>
      </c>
      <c r="GM4" s="307"/>
      <c r="GO4" s="307"/>
      <c r="GP4" s="38" t="s">
        <v>1175</v>
      </c>
      <c r="GU4" s="58"/>
      <c r="GV4" s="307"/>
      <c r="GW4" s="307"/>
      <c r="GX4" s="307"/>
      <c r="GY4" s="307"/>
      <c r="GZ4" s="307"/>
      <c r="HA4" s="307"/>
      <c r="HB4" s="307"/>
      <c r="HC4" s="307"/>
      <c r="HD4" s="307"/>
      <c r="HE4" s="307"/>
      <c r="HF4" s="305"/>
      <c r="HG4" s="307"/>
      <c r="HH4" s="46" t="s">
        <v>1191</v>
      </c>
      <c r="HI4" s="45"/>
      <c r="HT4" s="39"/>
      <c r="HZ4" s="307"/>
      <c r="IA4" s="307"/>
      <c r="IF4" s="46" t="s">
        <v>2521</v>
      </c>
      <c r="IG4" s="305" t="s">
        <v>1181</v>
      </c>
      <c r="IH4" s="307" t="s">
        <v>1181</v>
      </c>
      <c r="II4" s="307" t="s">
        <v>1181</v>
      </c>
      <c r="IJ4" s="307" t="s">
        <v>1181</v>
      </c>
      <c r="IK4" s="305"/>
      <c r="IL4" s="307" t="s">
        <v>1181</v>
      </c>
      <c r="IM4" s="307" t="s">
        <v>1196</v>
      </c>
      <c r="IN4" s="307" t="s">
        <v>1181</v>
      </c>
      <c r="IO4" s="307"/>
      <c r="IP4" s="307" t="s">
        <v>1182</v>
      </c>
      <c r="IQ4" s="46" t="s">
        <v>1195</v>
      </c>
      <c r="IR4" s="58" t="s">
        <v>2524</v>
      </c>
      <c r="IS4" s="305"/>
      <c r="IT4" s="305"/>
      <c r="IU4" s="305" t="s">
        <v>1152</v>
      </c>
      <c r="IV4" s="305" t="s">
        <v>1151</v>
      </c>
      <c r="IW4" s="305"/>
      <c r="IX4" s="305"/>
      <c r="IY4" s="305"/>
      <c r="IZ4" s="305"/>
      <c r="JA4" s="305"/>
      <c r="JB4" s="305"/>
      <c r="JC4" s="305"/>
      <c r="JD4" s="305"/>
      <c r="JE4" s="305"/>
      <c r="JF4" s="305"/>
      <c r="JG4" s="305"/>
      <c r="JH4" s="45"/>
      <c r="JI4" s="585"/>
      <c r="JP4" s="305"/>
      <c r="JQ4" s="305"/>
      <c r="KB4" s="58" t="s">
        <v>2519</v>
      </c>
      <c r="KC4" s="46"/>
      <c r="KD4" s="46" t="s">
        <v>2520</v>
      </c>
      <c r="KE4" s="46"/>
      <c r="KF4" s="46"/>
      <c r="KG4" s="307" t="s">
        <v>1176</v>
      </c>
      <c r="KH4" s="307" t="s">
        <v>1176</v>
      </c>
      <c r="KI4" s="307" t="s">
        <v>1176</v>
      </c>
      <c r="KJ4" s="307" t="s">
        <v>1176</v>
      </c>
      <c r="KK4" s="307" t="s">
        <v>2189</v>
      </c>
      <c r="KL4" s="307" t="s">
        <v>1176</v>
      </c>
      <c r="KM4" s="307"/>
      <c r="KN4" s="307" t="s">
        <v>1211</v>
      </c>
      <c r="KO4" s="307" t="s">
        <v>1176</v>
      </c>
      <c r="KP4" s="307" t="s">
        <v>1176</v>
      </c>
      <c r="KQ4" s="305"/>
      <c r="KR4" s="305"/>
      <c r="KS4" s="305"/>
      <c r="KT4" s="307"/>
      <c r="KU4" s="58"/>
      <c r="KV4" s="46"/>
      <c r="KW4" s="305"/>
      <c r="KX4" s="305"/>
      <c r="KY4" s="305"/>
      <c r="KZ4" s="305"/>
      <c r="LA4" s="305"/>
      <c r="LB4" s="305"/>
      <c r="LC4" s="307"/>
      <c r="LD4" s="305"/>
      <c r="LE4" s="305"/>
      <c r="LF4" s="307"/>
      <c r="LG4" s="305"/>
      <c r="LH4" s="305"/>
      <c r="LI4" s="305"/>
      <c r="LJ4" s="305"/>
      <c r="LK4" s="305"/>
      <c r="LL4" s="305"/>
      <c r="LM4" s="305"/>
      <c r="LN4" s="307"/>
      <c r="LO4" s="307"/>
      <c r="LP4" s="305"/>
      <c r="LQ4" s="307"/>
      <c r="LR4" s="305"/>
      <c r="LS4" s="305"/>
      <c r="LT4" s="58"/>
      <c r="LU4" s="307"/>
      <c r="LV4" s="307"/>
      <c r="LW4" s="307"/>
      <c r="LX4" s="307"/>
      <c r="LY4" s="307"/>
      <c r="LZ4" s="307"/>
      <c r="MA4" s="307"/>
      <c r="MB4" s="307"/>
      <c r="MC4" s="307"/>
      <c r="MD4" s="307"/>
      <c r="ME4" s="307"/>
      <c r="MF4" s="307"/>
      <c r="MG4" s="307"/>
      <c r="MH4" s="45"/>
      <c r="MI4" s="46"/>
      <c r="MJ4" s="46"/>
      <c r="MK4" s="46"/>
      <c r="ML4" s="46"/>
      <c r="MM4" s="39"/>
      <c r="MN4" s="307"/>
      <c r="MO4" s="307" t="s">
        <v>2308</v>
      </c>
      <c r="MP4" s="39"/>
      <c r="MQ4" s="307"/>
      <c r="MR4" s="307"/>
      <c r="MS4" s="307"/>
      <c r="MT4" s="307"/>
      <c r="MU4" s="307"/>
      <c r="MV4" s="307"/>
      <c r="MW4" s="307"/>
      <c r="MX4" s="307"/>
      <c r="MY4" s="307" t="s">
        <v>2378</v>
      </c>
      <c r="MZ4" s="307"/>
      <c r="NA4" s="307" t="s">
        <v>2310</v>
      </c>
      <c r="NB4" s="307" t="s">
        <v>2311</v>
      </c>
      <c r="NC4" s="307" t="s">
        <v>2377</v>
      </c>
      <c r="ND4" s="307"/>
      <c r="NE4" s="307"/>
      <c r="NF4" s="307"/>
      <c r="NG4" s="307"/>
      <c r="NH4" s="307"/>
      <c r="NI4" s="307" t="s">
        <v>2379</v>
      </c>
      <c r="NJ4" s="39"/>
      <c r="NK4" s="307"/>
      <c r="NL4" s="307"/>
      <c r="NM4" s="307"/>
      <c r="NN4" s="307"/>
      <c r="NO4" s="39"/>
      <c r="NP4" s="307"/>
      <c r="NQ4" s="307"/>
      <c r="NR4" s="307"/>
      <c r="NS4" s="307"/>
      <c r="NT4" s="307"/>
      <c r="NU4" s="58"/>
      <c r="NV4" s="46"/>
      <c r="NW4" s="46"/>
      <c r="NX4" s="46"/>
      <c r="NY4" s="46"/>
      <c r="NZ4" s="46"/>
      <c r="OA4" s="46"/>
      <c r="OB4" s="46"/>
      <c r="OC4" s="46"/>
      <c r="OD4" s="46"/>
      <c r="OE4" s="46"/>
      <c r="OF4" s="46"/>
      <c r="OG4" s="46"/>
      <c r="OH4" s="46"/>
      <c r="OI4" s="307"/>
      <c r="OJ4" s="307"/>
      <c r="OK4" s="307"/>
      <c r="OL4" s="307"/>
      <c r="OM4" s="307"/>
      <c r="OO4" s="45"/>
      <c r="OP4" s="39"/>
      <c r="OQ4" s="39"/>
      <c r="OR4" s="39"/>
      <c r="PB4" s="39"/>
      <c r="PC4" s="39"/>
      <c r="PD4" s="39"/>
      <c r="PE4" s="39"/>
      <c r="PF4" s="39"/>
      <c r="PG4" s="58"/>
      <c r="PH4" s="305"/>
      <c r="PI4" s="307"/>
    </row>
    <row r="5" spans="1:429" s="307" customFormat="1" ht="15" customHeight="1">
      <c r="B5" s="40">
        <v>1913</v>
      </c>
      <c r="C5" s="42"/>
      <c r="D5" s="58"/>
      <c r="E5" s="46"/>
      <c r="F5" s="46"/>
      <c r="I5" s="46"/>
      <c r="J5" s="46"/>
      <c r="K5" s="46"/>
      <c r="L5" s="46"/>
      <c r="M5" s="46"/>
      <c r="N5" s="46"/>
      <c r="O5" s="46"/>
      <c r="P5" s="46"/>
      <c r="R5" s="46"/>
      <c r="S5" s="46"/>
      <c r="T5" s="46"/>
      <c r="U5" s="46"/>
      <c r="V5" s="46"/>
      <c r="W5" s="46"/>
      <c r="X5" s="46"/>
      <c r="Y5" s="58"/>
      <c r="Z5" s="46"/>
      <c r="AA5" s="46"/>
      <c r="AB5" s="46"/>
      <c r="AC5" s="46"/>
      <c r="AE5" s="228"/>
      <c r="AF5" s="228"/>
      <c r="AG5" s="228"/>
      <c r="AH5" s="58"/>
      <c r="AM5" s="46"/>
      <c r="AQ5" s="46"/>
      <c r="AR5" s="244"/>
      <c r="AS5" s="710"/>
      <c r="AT5" s="244"/>
      <c r="AU5" s="244"/>
      <c r="AV5" s="682"/>
      <c r="AW5" s="682"/>
      <c r="AX5" s="682"/>
      <c r="AY5" s="682"/>
      <c r="AZ5" s="703"/>
      <c r="BA5" s="244"/>
      <c r="BB5" s="244"/>
      <c r="BC5" s="244"/>
      <c r="BD5" s="244"/>
      <c r="BE5" s="682"/>
      <c r="BF5" s="186">
        <v>0.01</v>
      </c>
      <c r="BG5" s="46"/>
      <c r="BI5" s="228"/>
      <c r="BK5" s="39"/>
      <c r="BL5" s="39"/>
      <c r="BM5" s="228"/>
      <c r="BP5" s="58"/>
      <c r="CC5" s="58"/>
      <c r="CD5" s="46"/>
      <c r="CI5" s="58"/>
      <c r="CZ5" s="58"/>
      <c r="DA5" s="46"/>
      <c r="DI5" s="58"/>
      <c r="ED5" s="376"/>
      <c r="EE5" s="376"/>
      <c r="EF5" s="376"/>
      <c r="EG5" s="45"/>
      <c r="ER5" s="58"/>
      <c r="ES5" s="46"/>
      <c r="ET5" s="46"/>
      <c r="EU5" s="46"/>
      <c r="EV5" s="46"/>
      <c r="FQ5" s="401"/>
      <c r="FW5" s="58"/>
      <c r="GH5" s="45"/>
      <c r="GU5" s="58"/>
      <c r="HH5" s="46"/>
      <c r="HI5" s="45"/>
      <c r="HT5" s="39"/>
      <c r="IF5" s="46"/>
      <c r="IQ5" s="46"/>
      <c r="IR5" s="58"/>
      <c r="JH5" s="45"/>
      <c r="JI5" s="585"/>
      <c r="KB5" s="58"/>
      <c r="KC5" s="46"/>
      <c r="KD5" s="46"/>
      <c r="KE5" s="46"/>
      <c r="KF5" s="46"/>
      <c r="KU5" s="58"/>
      <c r="KV5" s="46"/>
      <c r="LT5" s="58"/>
      <c r="MH5" s="45"/>
      <c r="MI5" s="46"/>
      <c r="MJ5" s="46"/>
      <c r="MK5" s="46"/>
      <c r="ML5" s="46"/>
      <c r="MM5" s="39"/>
      <c r="MP5" s="39"/>
      <c r="MY5" s="39"/>
      <c r="NC5" s="39"/>
      <c r="NJ5" s="39"/>
      <c r="NO5" s="39"/>
      <c r="NU5" s="58"/>
      <c r="NV5" s="46"/>
      <c r="NW5" s="46"/>
      <c r="NX5" s="46"/>
      <c r="NY5" s="46"/>
      <c r="NZ5" s="46"/>
      <c r="OA5" s="46"/>
      <c r="OB5" s="46"/>
      <c r="OC5" s="46"/>
      <c r="OD5" s="46"/>
      <c r="OE5" s="46"/>
      <c r="OF5" s="46"/>
      <c r="OG5" s="46"/>
      <c r="OH5" s="46"/>
      <c r="OO5" s="45"/>
      <c r="OP5" s="39"/>
      <c r="OQ5" s="39"/>
      <c r="OR5" s="39"/>
      <c r="PB5" s="39"/>
      <c r="PC5" s="39"/>
      <c r="PD5" s="39"/>
      <c r="PE5" s="39"/>
      <c r="PF5" s="39"/>
      <c r="PG5" s="58"/>
    </row>
    <row r="6" spans="1:429" s="307" customFormat="1" ht="15" customHeight="1">
      <c r="B6" s="40">
        <v>1914</v>
      </c>
      <c r="C6" s="42"/>
      <c r="D6" s="58"/>
      <c r="E6" s="46"/>
      <c r="F6" s="46"/>
      <c r="I6" s="46"/>
      <c r="J6" s="46"/>
      <c r="K6" s="46"/>
      <c r="L6" s="46"/>
      <c r="M6" s="46"/>
      <c r="N6" s="46"/>
      <c r="O6" s="46"/>
      <c r="P6" s="46"/>
      <c r="R6" s="46"/>
      <c r="S6" s="46"/>
      <c r="T6" s="46"/>
      <c r="U6" s="46"/>
      <c r="V6" s="46"/>
      <c r="W6" s="46"/>
      <c r="X6" s="46"/>
      <c r="Y6" s="58"/>
      <c r="Z6" s="46"/>
      <c r="AA6" s="46"/>
      <c r="AB6" s="46"/>
      <c r="AC6" s="46"/>
      <c r="AE6" s="228"/>
      <c r="AF6" s="228"/>
      <c r="AG6" s="228"/>
      <c r="AH6" s="58"/>
      <c r="AM6" s="46"/>
      <c r="AQ6" s="46"/>
      <c r="AR6" s="244"/>
      <c r="AS6" s="710"/>
      <c r="AT6" s="244"/>
      <c r="AU6" s="244"/>
      <c r="AV6" s="682"/>
      <c r="AW6" s="682"/>
      <c r="AX6" s="682"/>
      <c r="AY6" s="682"/>
      <c r="AZ6" s="703"/>
      <c r="BA6" s="244"/>
      <c r="BB6" s="244"/>
      <c r="BC6" s="244"/>
      <c r="BD6" s="244"/>
      <c r="BE6" s="682"/>
      <c r="BF6" s="186">
        <v>0.01</v>
      </c>
      <c r="BG6" s="46"/>
      <c r="BI6" s="228"/>
      <c r="BK6" s="39"/>
      <c r="BL6" s="39"/>
      <c r="BM6" s="228"/>
      <c r="BP6" s="58"/>
      <c r="CC6" s="58"/>
      <c r="CD6" s="46"/>
      <c r="CI6" s="58"/>
      <c r="CZ6" s="58"/>
      <c r="DA6" s="46"/>
      <c r="DI6" s="58"/>
      <c r="ED6" s="376"/>
      <c r="EE6" s="376"/>
      <c r="EF6" s="376"/>
      <c r="EG6" s="45"/>
      <c r="ER6" s="58"/>
      <c r="ES6" s="46"/>
      <c r="ET6" s="46"/>
      <c r="EU6" s="46"/>
      <c r="EV6" s="46"/>
      <c r="FQ6" s="401"/>
      <c r="FW6" s="58"/>
      <c r="GH6" s="45"/>
      <c r="GU6" s="58"/>
      <c r="HH6" s="46"/>
      <c r="HI6" s="45"/>
      <c r="HT6" s="39"/>
      <c r="IF6" s="46"/>
      <c r="IQ6" s="46"/>
      <c r="IR6" s="58"/>
      <c r="JH6" s="45"/>
      <c r="JI6" s="585"/>
      <c r="KB6" s="58"/>
      <c r="KC6" s="46"/>
      <c r="KD6" s="46"/>
      <c r="KE6" s="46"/>
      <c r="KF6" s="46"/>
      <c r="KU6" s="58"/>
      <c r="KV6" s="46"/>
      <c r="LT6" s="58"/>
      <c r="MH6" s="45"/>
      <c r="MI6" s="46"/>
      <c r="MJ6" s="46"/>
      <c r="MK6" s="46"/>
      <c r="ML6" s="46"/>
      <c r="MM6" s="39"/>
      <c r="MP6" s="39"/>
      <c r="MY6" s="39"/>
      <c r="NC6" s="39"/>
      <c r="NJ6" s="39"/>
      <c r="NO6" s="39"/>
      <c r="NU6" s="58"/>
      <c r="NV6" s="46"/>
      <c r="NW6" s="46"/>
      <c r="NX6" s="46"/>
      <c r="NY6" s="46"/>
      <c r="NZ6" s="46"/>
      <c r="OA6" s="46"/>
      <c r="OB6" s="46"/>
      <c r="OC6" s="46"/>
      <c r="OD6" s="46"/>
      <c r="OE6" s="46"/>
      <c r="OF6" s="46"/>
      <c r="OG6" s="46"/>
      <c r="OH6" s="46"/>
      <c r="OO6" s="45"/>
      <c r="OP6" s="39"/>
      <c r="OQ6" s="39"/>
      <c r="OR6" s="39"/>
      <c r="PB6" s="39"/>
      <c r="PC6" s="39"/>
      <c r="PD6" s="39"/>
      <c r="PE6" s="39"/>
      <c r="PF6" s="39"/>
      <c r="PG6" s="58"/>
    </row>
    <row r="7" spans="1:429" s="307" customFormat="1" ht="15" customHeight="1">
      <c r="B7" s="40">
        <v>1915</v>
      </c>
      <c r="C7" s="42"/>
      <c r="D7" s="58"/>
      <c r="E7" s="46"/>
      <c r="F7" s="46"/>
      <c r="I7" s="46"/>
      <c r="J7" s="46"/>
      <c r="K7" s="46"/>
      <c r="L7" s="46"/>
      <c r="M7" s="46"/>
      <c r="N7" s="46"/>
      <c r="O7" s="46"/>
      <c r="P7" s="46"/>
      <c r="R7" s="46"/>
      <c r="S7" s="46"/>
      <c r="T7" s="46"/>
      <c r="U7" s="46"/>
      <c r="V7" s="46"/>
      <c r="W7" s="46"/>
      <c r="X7" s="46"/>
      <c r="Y7" s="58"/>
      <c r="Z7" s="46"/>
      <c r="AA7" s="46"/>
      <c r="AB7" s="46"/>
      <c r="AC7" s="46"/>
      <c r="AE7" s="228"/>
      <c r="AF7" s="228"/>
      <c r="AG7" s="228"/>
      <c r="AH7" s="58"/>
      <c r="AM7" s="46"/>
      <c r="AQ7" s="46"/>
      <c r="AR7" s="244"/>
      <c r="AS7" s="710"/>
      <c r="AT7" s="244"/>
      <c r="AU7" s="244"/>
      <c r="AV7" s="682"/>
      <c r="AW7" s="682"/>
      <c r="AX7" s="682"/>
      <c r="AY7" s="682"/>
      <c r="AZ7" s="703"/>
      <c r="BA7" s="244"/>
      <c r="BB7" s="244"/>
      <c r="BC7" s="244"/>
      <c r="BD7" s="244"/>
      <c r="BE7" s="682"/>
      <c r="BF7" s="186">
        <v>0.01</v>
      </c>
      <c r="BG7" s="46"/>
      <c r="BI7" s="228"/>
      <c r="BK7" s="39"/>
      <c r="BL7" s="39"/>
      <c r="BM7" s="228"/>
      <c r="BP7" s="58"/>
      <c r="CC7" s="58"/>
      <c r="CD7" s="46"/>
      <c r="CI7" s="58"/>
      <c r="CZ7" s="58"/>
      <c r="DA7" s="46"/>
      <c r="DI7" s="58"/>
      <c r="ED7" s="376"/>
      <c r="EE7" s="376"/>
      <c r="EF7" s="376"/>
      <c r="EG7" s="45"/>
      <c r="ER7" s="58"/>
      <c r="ES7" s="46"/>
      <c r="ET7" s="46"/>
      <c r="EU7" s="46"/>
      <c r="EV7" s="46"/>
      <c r="FQ7" s="401"/>
      <c r="FW7" s="58"/>
      <c r="GH7" s="45"/>
      <c r="GU7" s="58"/>
      <c r="HH7" s="46"/>
      <c r="HI7" s="45"/>
      <c r="HT7" s="39"/>
      <c r="IF7" s="46"/>
      <c r="IQ7" s="46"/>
      <c r="IR7" s="58"/>
      <c r="JH7" s="45"/>
      <c r="JI7" s="585"/>
      <c r="KB7" s="58"/>
      <c r="KC7" s="46"/>
      <c r="KD7" s="46"/>
      <c r="KE7" s="46"/>
      <c r="KF7" s="46"/>
      <c r="KU7" s="58"/>
      <c r="KV7" s="46"/>
      <c r="LT7" s="58"/>
      <c r="MH7" s="45"/>
      <c r="MI7" s="46"/>
      <c r="MJ7" s="46"/>
      <c r="MK7" s="46"/>
      <c r="ML7" s="46"/>
      <c r="MM7" s="39"/>
      <c r="MP7" s="39"/>
      <c r="MY7" s="39"/>
      <c r="NC7" s="39"/>
      <c r="NJ7" s="39"/>
      <c r="NO7" s="39"/>
      <c r="NU7" s="58"/>
      <c r="NV7" s="46"/>
      <c r="NW7" s="46"/>
      <c r="NX7" s="46"/>
      <c r="NY7" s="46"/>
      <c r="NZ7" s="46"/>
      <c r="OA7" s="46"/>
      <c r="OB7" s="46"/>
      <c r="OC7" s="46"/>
      <c r="OD7" s="46"/>
      <c r="OE7" s="46"/>
      <c r="OF7" s="46"/>
      <c r="OG7" s="46"/>
      <c r="OH7" s="46"/>
      <c r="OO7" s="45"/>
      <c r="OP7" s="39"/>
      <c r="OQ7" s="39"/>
      <c r="OR7" s="39"/>
      <c r="PB7" s="39"/>
      <c r="PC7" s="39"/>
      <c r="PD7" s="39"/>
      <c r="PE7" s="39"/>
      <c r="PF7" s="39"/>
      <c r="PG7" s="58"/>
    </row>
    <row r="8" spans="1:429" s="307" customFormat="1" ht="15" customHeight="1">
      <c r="B8" s="40">
        <v>1916</v>
      </c>
      <c r="C8" s="42"/>
      <c r="D8" s="58"/>
      <c r="E8" s="46"/>
      <c r="F8" s="46"/>
      <c r="I8" s="46"/>
      <c r="J8" s="46"/>
      <c r="K8" s="46"/>
      <c r="L8" s="46"/>
      <c r="M8" s="46"/>
      <c r="N8" s="46"/>
      <c r="O8" s="46"/>
      <c r="P8" s="46"/>
      <c r="R8" s="46"/>
      <c r="S8" s="46"/>
      <c r="T8" s="46"/>
      <c r="U8" s="46"/>
      <c r="V8" s="46"/>
      <c r="W8" s="46"/>
      <c r="X8" s="46"/>
      <c r="Y8" s="58"/>
      <c r="Z8" s="46"/>
      <c r="AA8" s="46"/>
      <c r="AB8" s="46"/>
      <c r="AC8" s="46"/>
      <c r="AE8" s="228"/>
      <c r="AF8" s="228"/>
      <c r="AG8" s="228"/>
      <c r="AH8" s="58"/>
      <c r="AM8" s="46"/>
      <c r="AQ8" s="46"/>
      <c r="AR8" s="244"/>
      <c r="AS8" s="710"/>
      <c r="AT8" s="244"/>
      <c r="AU8" s="244"/>
      <c r="AV8" s="682"/>
      <c r="AW8" s="682"/>
      <c r="AX8" s="682"/>
      <c r="AY8" s="682"/>
      <c r="AZ8" s="703"/>
      <c r="BA8" s="244"/>
      <c r="BB8" s="244"/>
      <c r="BC8" s="244"/>
      <c r="BD8" s="244"/>
      <c r="BE8" s="682"/>
      <c r="BF8" s="186">
        <v>0.02</v>
      </c>
      <c r="BG8" s="46"/>
      <c r="BI8" s="228"/>
      <c r="BK8" s="39"/>
      <c r="BL8" s="39"/>
      <c r="BM8" s="228"/>
      <c r="BP8" s="58"/>
      <c r="CC8" s="58"/>
      <c r="CD8" s="46"/>
      <c r="CI8" s="58"/>
      <c r="CZ8" s="58"/>
      <c r="DA8" s="46"/>
      <c r="DI8" s="58"/>
      <c r="ED8" s="376"/>
      <c r="EE8" s="376"/>
      <c r="EF8" s="376"/>
      <c r="EG8" s="45"/>
      <c r="ER8" s="58"/>
      <c r="ES8" s="46"/>
      <c r="ET8" s="46"/>
      <c r="EU8" s="46"/>
      <c r="EV8" s="46"/>
      <c r="FQ8" s="401"/>
      <c r="FW8" s="58"/>
      <c r="GH8" s="45"/>
      <c r="GU8" s="58"/>
      <c r="HH8" s="46"/>
      <c r="HI8" s="45"/>
      <c r="HT8" s="39"/>
      <c r="IF8" s="46"/>
      <c r="IQ8" s="46"/>
      <c r="IR8" s="58"/>
      <c r="JH8" s="45"/>
      <c r="JI8" s="585"/>
      <c r="KB8" s="58"/>
      <c r="KC8" s="46"/>
      <c r="KD8" s="46"/>
      <c r="KE8" s="46"/>
      <c r="KF8" s="46"/>
      <c r="KU8" s="58"/>
      <c r="KV8" s="46"/>
      <c r="LT8" s="58"/>
      <c r="MH8" s="45"/>
      <c r="MI8" s="46"/>
      <c r="MJ8" s="46"/>
      <c r="MK8" s="46"/>
      <c r="ML8" s="46"/>
      <c r="MM8" s="39"/>
      <c r="MP8" s="39"/>
      <c r="MY8" s="39"/>
      <c r="NC8" s="39"/>
      <c r="NJ8" s="39"/>
      <c r="NO8" s="39"/>
      <c r="NU8" s="58"/>
      <c r="NV8" s="46"/>
      <c r="NW8" s="46"/>
      <c r="NX8" s="46"/>
      <c r="NY8" s="46"/>
      <c r="NZ8" s="46"/>
      <c r="OA8" s="46"/>
      <c r="OB8" s="46"/>
      <c r="OC8" s="46"/>
      <c r="OD8" s="46"/>
      <c r="OE8" s="46"/>
      <c r="OF8" s="46"/>
      <c r="OG8" s="46"/>
      <c r="OH8" s="46"/>
      <c r="OO8" s="45"/>
      <c r="OP8" s="39"/>
      <c r="OQ8" s="39"/>
      <c r="OR8" s="39"/>
      <c r="PB8" s="39"/>
      <c r="PC8" s="39"/>
      <c r="PD8" s="39"/>
      <c r="PE8" s="39"/>
      <c r="PF8" s="39"/>
      <c r="PG8" s="58"/>
    </row>
    <row r="9" spans="1:429" s="307" customFormat="1" ht="15" customHeight="1">
      <c r="B9" s="40">
        <v>1917</v>
      </c>
      <c r="C9" s="42"/>
      <c r="D9" s="58"/>
      <c r="E9" s="46"/>
      <c r="F9" s="46"/>
      <c r="I9" s="46"/>
      <c r="J9" s="46"/>
      <c r="K9" s="46"/>
      <c r="L9" s="46"/>
      <c r="M9" s="46"/>
      <c r="N9" s="46"/>
      <c r="O9" s="46"/>
      <c r="P9" s="46"/>
      <c r="R9" s="46"/>
      <c r="S9" s="46"/>
      <c r="T9" s="46"/>
      <c r="U9" s="46"/>
      <c r="V9" s="46"/>
      <c r="W9" s="46"/>
      <c r="X9" s="46"/>
      <c r="Y9" s="58"/>
      <c r="Z9" s="46"/>
      <c r="AA9" s="46"/>
      <c r="AB9" s="46"/>
      <c r="AC9" s="46"/>
      <c r="AE9" s="228"/>
      <c r="AF9" s="228"/>
      <c r="AG9" s="228"/>
      <c r="AH9" s="58"/>
      <c r="AM9" s="46"/>
      <c r="AQ9" s="46"/>
      <c r="AR9" s="244"/>
      <c r="AS9" s="710"/>
      <c r="AT9" s="244"/>
      <c r="AU9" s="244"/>
      <c r="AV9" s="682"/>
      <c r="AW9" s="682"/>
      <c r="AX9" s="682"/>
      <c r="AY9" s="682"/>
      <c r="AZ9" s="703"/>
      <c r="BA9" s="244"/>
      <c r="BB9" s="244"/>
      <c r="BC9" s="244"/>
      <c r="BD9" s="244"/>
      <c r="BE9" s="682"/>
      <c r="BF9" s="186">
        <v>0.06</v>
      </c>
      <c r="BG9" s="46"/>
      <c r="BI9" s="228"/>
      <c r="BK9" s="39"/>
      <c r="BL9" s="39"/>
      <c r="BM9" s="228"/>
      <c r="BP9" s="58"/>
      <c r="CC9" s="58"/>
      <c r="CD9" s="46"/>
      <c r="CI9" s="58"/>
      <c r="CZ9" s="58"/>
      <c r="DA9" s="46"/>
      <c r="DI9" s="58"/>
      <c r="ED9" s="376"/>
      <c r="EE9" s="376"/>
      <c r="EF9" s="376"/>
      <c r="EG9" s="45"/>
      <c r="ER9" s="58"/>
      <c r="ES9" s="46"/>
      <c r="ET9" s="46"/>
      <c r="EU9" s="46"/>
      <c r="EV9" s="46"/>
      <c r="FQ9" s="401"/>
      <c r="FW9" s="58"/>
      <c r="GH9" s="45"/>
      <c r="GU9" s="58"/>
      <c r="HH9" s="46"/>
      <c r="HI9" s="45"/>
      <c r="HT9" s="39"/>
      <c r="IF9" s="46"/>
      <c r="IQ9" s="46"/>
      <c r="IR9" s="58"/>
      <c r="JH9" s="45"/>
      <c r="JI9" s="585"/>
      <c r="KB9" s="58"/>
      <c r="KC9" s="46"/>
      <c r="KD9" s="46"/>
      <c r="KE9" s="46"/>
      <c r="KF9" s="46"/>
      <c r="KU9" s="58"/>
      <c r="KV9" s="46"/>
      <c r="LT9" s="58"/>
      <c r="MH9" s="45"/>
      <c r="MI9" s="46"/>
      <c r="MJ9" s="46"/>
      <c r="MK9" s="46"/>
      <c r="ML9" s="46"/>
      <c r="MM9" s="39"/>
      <c r="MP9" s="39"/>
      <c r="MY9" s="39"/>
      <c r="NC9" s="39"/>
      <c r="NJ9" s="39"/>
      <c r="NO9" s="39"/>
      <c r="NU9" s="58"/>
      <c r="NV9" s="46"/>
      <c r="NW9" s="46"/>
      <c r="NX9" s="46"/>
      <c r="NY9" s="46"/>
      <c r="NZ9" s="46"/>
      <c r="OA9" s="46"/>
      <c r="OB9" s="46"/>
      <c r="OC9" s="46"/>
      <c r="OD9" s="46"/>
      <c r="OE9" s="46"/>
      <c r="OF9" s="46"/>
      <c r="OG9" s="46"/>
      <c r="OH9" s="46"/>
      <c r="OO9" s="45"/>
      <c r="OP9" s="39"/>
      <c r="OQ9" s="39"/>
      <c r="OR9" s="39"/>
      <c r="PB9" s="39"/>
      <c r="PC9" s="39"/>
      <c r="PD9" s="39"/>
      <c r="PE9" s="39"/>
      <c r="PF9" s="39"/>
      <c r="PG9" s="58"/>
    </row>
    <row r="10" spans="1:429" s="307" customFormat="1" ht="15" customHeight="1">
      <c r="B10" s="40">
        <v>1918</v>
      </c>
      <c r="C10" s="42"/>
      <c r="D10" s="58"/>
      <c r="E10" s="46"/>
      <c r="F10" s="46"/>
      <c r="I10" s="46"/>
      <c r="J10" s="46"/>
      <c r="K10" s="46"/>
      <c r="L10" s="46"/>
      <c r="M10" s="46"/>
      <c r="N10" s="46"/>
      <c r="O10" s="46"/>
      <c r="P10" s="46"/>
      <c r="R10" s="46"/>
      <c r="S10" s="46"/>
      <c r="T10" s="46"/>
      <c r="U10" s="46"/>
      <c r="V10" s="46"/>
      <c r="W10" s="46"/>
      <c r="X10" s="46"/>
      <c r="Y10" s="58"/>
      <c r="Z10" s="46"/>
      <c r="AA10" s="46"/>
      <c r="AB10" s="46"/>
      <c r="AC10" s="46"/>
      <c r="AE10" s="228"/>
      <c r="AF10" s="228"/>
      <c r="AG10" s="228"/>
      <c r="AH10" s="58"/>
      <c r="AM10" s="46"/>
      <c r="AQ10" s="46"/>
      <c r="AR10" s="244"/>
      <c r="AS10" s="710"/>
      <c r="AT10" s="244"/>
      <c r="AU10" s="244"/>
      <c r="AV10" s="682"/>
      <c r="AW10" s="682"/>
      <c r="AX10" s="682"/>
      <c r="AY10" s="682"/>
      <c r="AZ10" s="703"/>
      <c r="BA10" s="244"/>
      <c r="BB10" s="244"/>
      <c r="BC10" s="244"/>
      <c r="BD10" s="244"/>
      <c r="BE10" s="682"/>
      <c r="BF10" s="186">
        <v>0.12</v>
      </c>
      <c r="BG10" s="46"/>
      <c r="BI10" s="228"/>
      <c r="BK10" s="39"/>
      <c r="BL10" s="39"/>
      <c r="BM10" s="228"/>
      <c r="BP10" s="58"/>
      <c r="CC10" s="58"/>
      <c r="CD10" s="46"/>
      <c r="CI10" s="58"/>
      <c r="CZ10" s="58"/>
      <c r="DA10" s="46"/>
      <c r="DI10" s="58"/>
      <c r="ED10" s="376"/>
      <c r="EE10" s="376"/>
      <c r="EF10" s="376"/>
      <c r="EG10" s="45"/>
      <c r="ER10" s="58"/>
      <c r="ES10" s="46"/>
      <c r="ET10" s="46"/>
      <c r="EU10" s="46"/>
      <c r="EV10" s="46"/>
      <c r="FQ10" s="401"/>
      <c r="FW10" s="58"/>
      <c r="GH10" s="45"/>
      <c r="GU10" s="58"/>
      <c r="HH10" s="46"/>
      <c r="HI10" s="45"/>
      <c r="HT10" s="39"/>
      <c r="IF10" s="46"/>
      <c r="IQ10" s="46"/>
      <c r="IR10" s="58"/>
      <c r="JH10" s="45"/>
      <c r="JI10" s="585"/>
      <c r="KB10" s="58"/>
      <c r="KC10" s="46"/>
      <c r="KD10" s="46"/>
      <c r="KE10" s="46"/>
      <c r="KF10" s="46"/>
      <c r="KU10" s="58"/>
      <c r="KV10" s="46"/>
      <c r="LT10" s="58"/>
      <c r="MH10" s="45"/>
      <c r="MI10" s="46"/>
      <c r="MJ10" s="46"/>
      <c r="MK10" s="46"/>
      <c r="ML10" s="46"/>
      <c r="MM10" s="39"/>
      <c r="MP10" s="39"/>
      <c r="MY10" s="39"/>
      <c r="NC10" s="39"/>
      <c r="NJ10" s="39"/>
      <c r="NO10" s="39"/>
      <c r="NU10" s="58"/>
      <c r="NV10" s="46"/>
      <c r="NW10" s="46"/>
      <c r="NX10" s="46"/>
      <c r="NY10" s="46"/>
      <c r="NZ10" s="46"/>
      <c r="OA10" s="46"/>
      <c r="OB10" s="46"/>
      <c r="OC10" s="46"/>
      <c r="OD10" s="46"/>
      <c r="OE10" s="46"/>
      <c r="OF10" s="46"/>
      <c r="OG10" s="46"/>
      <c r="OH10" s="46"/>
      <c r="OO10" s="45"/>
      <c r="OP10" s="39"/>
      <c r="OQ10" s="39"/>
      <c r="OR10" s="39"/>
      <c r="PB10" s="39"/>
      <c r="PC10" s="39"/>
      <c r="PD10" s="39"/>
      <c r="PE10" s="39"/>
      <c r="PF10" s="39"/>
      <c r="PG10" s="58"/>
    </row>
    <row r="11" spans="1:429" s="440" customFormat="1" ht="15" customHeight="1">
      <c r="B11" s="441">
        <v>1919</v>
      </c>
      <c r="C11" s="442"/>
      <c r="D11" s="443"/>
      <c r="Y11" s="443"/>
      <c r="AE11" s="444"/>
      <c r="AF11" s="444"/>
      <c r="AG11" s="444"/>
      <c r="AH11" s="443"/>
      <c r="AR11" s="444"/>
      <c r="AS11" s="711"/>
      <c r="AT11" s="444"/>
      <c r="AU11" s="444"/>
      <c r="AV11" s="444"/>
      <c r="AW11" s="444"/>
      <c r="AX11" s="444"/>
      <c r="AY11" s="444"/>
      <c r="AZ11" s="704"/>
      <c r="BA11" s="444"/>
      <c r="BB11" s="444"/>
      <c r="BC11" s="444"/>
      <c r="BD11" s="444"/>
      <c r="BE11" s="444"/>
      <c r="BF11" s="232">
        <v>0.1</v>
      </c>
      <c r="BI11" s="444"/>
      <c r="BK11" s="445"/>
      <c r="BL11" s="445"/>
      <c r="BM11" s="444"/>
      <c r="BP11" s="443"/>
      <c r="CC11" s="443"/>
      <c r="CI11" s="443"/>
      <c r="CZ11" s="443"/>
      <c r="DI11" s="443"/>
      <c r="ED11" s="446"/>
      <c r="EE11" s="446"/>
      <c r="EF11" s="446"/>
      <c r="EG11" s="447"/>
      <c r="ER11" s="443"/>
      <c r="FQ11" s="446"/>
      <c r="FW11" s="443"/>
      <c r="GH11" s="447"/>
      <c r="GU11" s="443"/>
      <c r="HI11" s="447"/>
      <c r="HT11" s="445"/>
      <c r="IR11" s="443"/>
      <c r="JH11" s="447"/>
      <c r="JI11" s="445"/>
      <c r="KB11" s="443"/>
      <c r="KU11" s="443"/>
      <c r="LT11" s="443"/>
      <c r="MH11" s="447"/>
      <c r="MM11" s="445"/>
      <c r="MP11" s="445"/>
      <c r="MY11" s="445"/>
      <c r="NC11" s="445"/>
      <c r="NJ11" s="445"/>
      <c r="NO11" s="445"/>
      <c r="NU11" s="443"/>
      <c r="OO11" s="447"/>
      <c r="OP11" s="445"/>
      <c r="OQ11" s="445"/>
      <c r="OR11" s="445"/>
      <c r="PB11" s="445"/>
      <c r="PC11" s="445"/>
      <c r="PD11" s="445"/>
      <c r="PE11" s="445"/>
      <c r="PF11" s="445"/>
      <c r="PG11" s="443"/>
    </row>
    <row r="12" spans="1:429" s="307" customFormat="1" ht="15" customHeight="1">
      <c r="B12" s="40">
        <v>1920</v>
      </c>
      <c r="C12" s="42"/>
      <c r="D12" s="58"/>
      <c r="E12" s="46"/>
      <c r="F12" s="46"/>
      <c r="I12" s="46"/>
      <c r="J12" s="46"/>
      <c r="K12" s="46"/>
      <c r="L12" s="46"/>
      <c r="M12" s="46"/>
      <c r="N12" s="46"/>
      <c r="O12" s="46"/>
      <c r="P12" s="46"/>
      <c r="R12" s="46"/>
      <c r="S12" s="46"/>
      <c r="T12" s="46"/>
      <c r="U12" s="46"/>
      <c r="V12" s="46"/>
      <c r="W12" s="46"/>
      <c r="X12" s="46"/>
      <c r="Y12" s="58"/>
      <c r="Z12" s="46"/>
      <c r="AA12" s="46"/>
      <c r="AB12" s="46"/>
      <c r="AC12" s="46"/>
      <c r="AE12" s="228"/>
      <c r="AF12" s="228"/>
      <c r="AG12" s="228"/>
      <c r="AH12" s="58"/>
      <c r="AM12" s="46"/>
      <c r="AQ12" s="46"/>
      <c r="AR12" s="244"/>
      <c r="AS12" s="710"/>
      <c r="AT12" s="244"/>
      <c r="AU12" s="244"/>
      <c r="AV12" s="682"/>
      <c r="AW12" s="682"/>
      <c r="AX12" s="682"/>
      <c r="AY12" s="682"/>
      <c r="AZ12" s="703"/>
      <c r="BA12" s="244"/>
      <c r="BB12" s="244"/>
      <c r="BC12" s="244"/>
      <c r="BD12" s="244"/>
      <c r="BE12" s="682"/>
      <c r="BF12" s="186">
        <v>0.1</v>
      </c>
      <c r="BG12" s="46"/>
      <c r="BI12" s="228"/>
      <c r="BK12" s="39"/>
      <c r="BL12" s="39"/>
      <c r="BM12" s="228"/>
      <c r="BP12" s="58"/>
      <c r="CC12" s="58"/>
      <c r="CD12" s="46"/>
      <c r="CI12" s="58"/>
      <c r="CZ12" s="58"/>
      <c r="DA12" s="46"/>
      <c r="DI12" s="58"/>
      <c r="ED12" s="376"/>
      <c r="EE12" s="376"/>
      <c r="EF12" s="376"/>
      <c r="EG12" s="45"/>
      <c r="ER12" s="58"/>
      <c r="ES12" s="46"/>
      <c r="ET12" s="46"/>
      <c r="EU12" s="46"/>
      <c r="EV12" s="46"/>
      <c r="FQ12" s="401"/>
      <c r="FW12" s="58"/>
      <c r="GH12" s="45"/>
      <c r="GU12" s="58"/>
      <c r="HH12" s="46"/>
      <c r="HI12" s="45"/>
      <c r="HT12" s="39"/>
      <c r="IF12" s="46"/>
      <c r="IQ12" s="46"/>
      <c r="IR12" s="58"/>
      <c r="JH12" s="45"/>
      <c r="JI12" s="585"/>
      <c r="KB12" s="58"/>
      <c r="KC12" s="46"/>
      <c r="KD12" s="46"/>
      <c r="KE12" s="46"/>
      <c r="KF12" s="46"/>
      <c r="KU12" s="58"/>
      <c r="KV12" s="46"/>
      <c r="LT12" s="58"/>
      <c r="MH12" s="45"/>
      <c r="MI12" s="46"/>
      <c r="MJ12" s="46"/>
      <c r="MK12" s="46"/>
      <c r="ML12" s="46"/>
      <c r="MM12" s="39"/>
      <c r="MP12" s="39"/>
      <c r="MY12" s="39"/>
      <c r="NC12" s="39"/>
      <c r="NJ12" s="39"/>
      <c r="NO12" s="39"/>
      <c r="NU12" s="58"/>
      <c r="NV12" s="46"/>
      <c r="NW12" s="46"/>
      <c r="NX12" s="46"/>
      <c r="NY12" s="46"/>
      <c r="NZ12" s="46"/>
      <c r="OA12" s="46"/>
      <c r="OB12" s="46"/>
      <c r="OC12" s="46"/>
      <c r="OD12" s="46"/>
      <c r="OE12" s="46"/>
      <c r="OF12" s="46"/>
      <c r="OG12" s="46"/>
      <c r="OH12" s="46"/>
      <c r="OO12" s="45"/>
      <c r="OP12" s="39"/>
      <c r="OQ12" s="39"/>
      <c r="OR12" s="39"/>
      <c r="PB12" s="39"/>
      <c r="PC12" s="39"/>
      <c r="PD12" s="39"/>
      <c r="PE12" s="39"/>
      <c r="PF12" s="39"/>
      <c r="PG12" s="58"/>
    </row>
    <row r="13" spans="1:429" s="307" customFormat="1" ht="15" customHeight="1">
      <c r="B13" s="40">
        <v>1921</v>
      </c>
      <c r="C13" s="42"/>
      <c r="D13" s="58"/>
      <c r="E13" s="46"/>
      <c r="F13" s="46"/>
      <c r="I13" s="46"/>
      <c r="J13" s="46"/>
      <c r="K13" s="46"/>
      <c r="L13" s="46"/>
      <c r="M13" s="46"/>
      <c r="N13" s="46"/>
      <c r="O13" s="46"/>
      <c r="P13" s="46"/>
      <c r="R13" s="46"/>
      <c r="S13" s="46"/>
      <c r="T13" s="46"/>
      <c r="U13" s="46"/>
      <c r="V13" s="46"/>
      <c r="W13" s="46"/>
      <c r="X13" s="46"/>
      <c r="Y13" s="58"/>
      <c r="Z13" s="46"/>
      <c r="AA13" s="46"/>
      <c r="AB13" s="46"/>
      <c r="AC13" s="46"/>
      <c r="AE13" s="228"/>
      <c r="AF13" s="228"/>
      <c r="AG13" s="228"/>
      <c r="AH13" s="58"/>
      <c r="AM13" s="46"/>
      <c r="AQ13" s="46"/>
      <c r="AR13" s="244"/>
      <c r="AS13" s="710"/>
      <c r="AT13" s="244"/>
      <c r="AU13" s="244"/>
      <c r="AV13" s="682"/>
      <c r="AW13" s="682"/>
      <c r="AX13" s="682"/>
      <c r="AY13" s="682"/>
      <c r="AZ13" s="703"/>
      <c r="BA13" s="244"/>
      <c r="BB13" s="244"/>
      <c r="BC13" s="244"/>
      <c r="BD13" s="244"/>
      <c r="BE13" s="682"/>
      <c r="BF13" s="186">
        <v>0.1</v>
      </c>
      <c r="BG13" s="46"/>
      <c r="BI13" s="228"/>
      <c r="BK13" s="39"/>
      <c r="BL13" s="39"/>
      <c r="BM13" s="228"/>
      <c r="BP13" s="58"/>
      <c r="CC13" s="58"/>
      <c r="CD13" s="46"/>
      <c r="CI13" s="58"/>
      <c r="CZ13" s="58"/>
      <c r="DA13" s="46"/>
      <c r="DI13" s="58"/>
      <c r="ED13" s="376"/>
      <c r="EE13" s="376"/>
      <c r="EF13" s="376"/>
      <c r="EG13" s="45"/>
      <c r="ER13" s="58"/>
      <c r="ES13" s="46"/>
      <c r="ET13" s="46"/>
      <c r="EU13" s="46"/>
      <c r="EV13" s="46"/>
      <c r="FQ13" s="401"/>
      <c r="FW13" s="58"/>
      <c r="GH13" s="45"/>
      <c r="GU13" s="58"/>
      <c r="HH13" s="46"/>
      <c r="HI13" s="45"/>
      <c r="HT13" s="39"/>
      <c r="IF13" s="46"/>
      <c r="IQ13" s="46"/>
      <c r="IR13" s="58"/>
      <c r="JH13" s="45"/>
      <c r="JI13" s="585"/>
      <c r="KB13" s="58"/>
      <c r="KC13" s="46"/>
      <c r="KD13" s="46"/>
      <c r="KE13" s="46"/>
      <c r="KF13" s="46"/>
      <c r="KU13" s="58"/>
      <c r="KV13" s="46"/>
      <c r="LT13" s="58"/>
      <c r="MH13" s="45"/>
      <c r="MI13" s="46"/>
      <c r="MJ13" s="46"/>
      <c r="MK13" s="46"/>
      <c r="ML13" s="46"/>
      <c r="MM13" s="39"/>
      <c r="MP13" s="39"/>
      <c r="MY13" s="39"/>
      <c r="NC13" s="39"/>
      <c r="NJ13" s="39"/>
      <c r="NO13" s="39"/>
      <c r="NU13" s="58"/>
      <c r="NV13" s="46"/>
      <c r="NW13" s="46"/>
      <c r="NX13" s="46"/>
      <c r="NY13" s="46"/>
      <c r="NZ13" s="46"/>
      <c r="OA13" s="46"/>
      <c r="OB13" s="46"/>
      <c r="OC13" s="46"/>
      <c r="OD13" s="46"/>
      <c r="OE13" s="46"/>
      <c r="OF13" s="46"/>
      <c r="OG13" s="46"/>
      <c r="OH13" s="46"/>
      <c r="OO13" s="45"/>
      <c r="OP13" s="39"/>
      <c r="OQ13" s="39"/>
      <c r="OR13" s="39"/>
      <c r="PB13" s="39"/>
      <c r="PC13" s="39"/>
      <c r="PD13" s="39"/>
      <c r="PE13" s="39"/>
      <c r="PF13" s="39"/>
      <c r="PG13" s="58"/>
    </row>
    <row r="14" spans="1:429" s="307" customFormat="1" ht="15" customHeight="1">
      <c r="B14" s="40">
        <v>1922</v>
      </c>
      <c r="C14" s="42"/>
      <c r="D14" s="58"/>
      <c r="E14" s="46"/>
      <c r="F14" s="46"/>
      <c r="I14" s="46"/>
      <c r="J14" s="46"/>
      <c r="K14" s="46"/>
      <c r="L14" s="46"/>
      <c r="M14" s="46"/>
      <c r="N14" s="46"/>
      <c r="O14" s="46"/>
      <c r="P14" s="46"/>
      <c r="R14" s="46"/>
      <c r="S14" s="46"/>
      <c r="T14" s="46"/>
      <c r="U14" s="46"/>
      <c r="V14" s="46"/>
      <c r="W14" s="46"/>
      <c r="X14" s="46"/>
      <c r="Y14" s="58"/>
      <c r="Z14" s="46"/>
      <c r="AA14" s="46"/>
      <c r="AB14" s="46"/>
      <c r="AC14" s="46"/>
      <c r="AE14" s="228"/>
      <c r="AF14" s="228"/>
      <c r="AG14" s="228"/>
      <c r="AH14" s="58"/>
      <c r="AM14" s="46"/>
      <c r="AQ14" s="46"/>
      <c r="AR14" s="244"/>
      <c r="AS14" s="710"/>
      <c r="AT14" s="244"/>
      <c r="AU14" s="244"/>
      <c r="AV14" s="682"/>
      <c r="AW14" s="682"/>
      <c r="AX14" s="682"/>
      <c r="AY14" s="682"/>
      <c r="AZ14" s="703"/>
      <c r="BA14" s="244"/>
      <c r="BB14" s="244"/>
      <c r="BC14" s="244"/>
      <c r="BD14" s="244"/>
      <c r="BE14" s="682"/>
      <c r="BF14" s="186">
        <v>0.125</v>
      </c>
      <c r="BG14" s="46"/>
      <c r="BI14" s="228"/>
      <c r="BK14" s="39"/>
      <c r="BL14" s="39"/>
      <c r="BM14" s="228"/>
      <c r="BP14" s="58"/>
      <c r="CC14" s="58"/>
      <c r="CD14" s="46"/>
      <c r="CI14" s="58"/>
      <c r="CZ14" s="58"/>
      <c r="DA14" s="46"/>
      <c r="DI14" s="58"/>
      <c r="ED14" s="376"/>
      <c r="EE14" s="376"/>
      <c r="EF14" s="376"/>
      <c r="EG14" s="45"/>
      <c r="ER14" s="58"/>
      <c r="ES14" s="46"/>
      <c r="ET14" s="46"/>
      <c r="EU14" s="46"/>
      <c r="EV14" s="46"/>
      <c r="FQ14" s="401"/>
      <c r="FW14" s="58"/>
      <c r="GH14" s="45"/>
      <c r="GU14" s="58"/>
      <c r="HH14" s="46"/>
      <c r="HI14" s="45"/>
      <c r="HT14" s="39"/>
      <c r="IF14" s="46"/>
      <c r="IQ14" s="46"/>
      <c r="IR14" s="58"/>
      <c r="JH14" s="45"/>
      <c r="JI14" s="585"/>
      <c r="KB14" s="58"/>
      <c r="KC14" s="46"/>
      <c r="KD14" s="46"/>
      <c r="KE14" s="46"/>
      <c r="KF14" s="46"/>
      <c r="KU14" s="58"/>
      <c r="KV14" s="46"/>
      <c r="LT14" s="58"/>
      <c r="MH14" s="45"/>
      <c r="MI14" s="46"/>
      <c r="MJ14" s="46"/>
      <c r="MK14" s="46"/>
      <c r="ML14" s="46"/>
      <c r="MM14" s="39"/>
      <c r="MP14" s="39"/>
      <c r="MY14" s="39"/>
      <c r="NC14" s="39"/>
      <c r="NJ14" s="39"/>
      <c r="NO14" s="39"/>
      <c r="NU14" s="58"/>
      <c r="NV14" s="46"/>
      <c r="NW14" s="46"/>
      <c r="NX14" s="46"/>
      <c r="NY14" s="46"/>
      <c r="NZ14" s="46"/>
      <c r="OA14" s="46"/>
      <c r="OB14" s="46"/>
      <c r="OC14" s="46"/>
      <c r="OD14" s="46"/>
      <c r="OE14" s="46"/>
      <c r="OF14" s="46"/>
      <c r="OG14" s="46"/>
      <c r="OH14" s="46"/>
      <c r="OO14" s="45"/>
      <c r="OP14" s="39"/>
      <c r="OQ14" s="39"/>
      <c r="OR14" s="39"/>
      <c r="PB14" s="39"/>
      <c r="PC14" s="39"/>
      <c r="PD14" s="39"/>
      <c r="PE14" s="39"/>
      <c r="PF14" s="39"/>
      <c r="PG14" s="58"/>
    </row>
    <row r="15" spans="1:429" s="307" customFormat="1" ht="15" customHeight="1">
      <c r="B15" s="40">
        <v>1923</v>
      </c>
      <c r="C15" s="42"/>
      <c r="D15" s="58"/>
      <c r="E15" s="46"/>
      <c r="F15" s="46"/>
      <c r="I15" s="46"/>
      <c r="J15" s="46"/>
      <c r="K15" s="46"/>
      <c r="L15" s="46"/>
      <c r="M15" s="46"/>
      <c r="N15" s="46"/>
      <c r="O15" s="46"/>
      <c r="P15" s="46"/>
      <c r="R15" s="46"/>
      <c r="S15" s="46"/>
      <c r="T15" s="46"/>
      <c r="U15" s="46"/>
      <c r="V15" s="46"/>
      <c r="W15" s="46"/>
      <c r="X15" s="46"/>
      <c r="Y15" s="58"/>
      <c r="Z15" s="46"/>
      <c r="AA15" s="46"/>
      <c r="AB15" s="46"/>
      <c r="AC15" s="46"/>
      <c r="AE15" s="228"/>
      <c r="AF15" s="228"/>
      <c r="AG15" s="228"/>
      <c r="AH15" s="58"/>
      <c r="AM15" s="46"/>
      <c r="AQ15" s="46"/>
      <c r="AR15" s="244"/>
      <c r="AS15" s="710"/>
      <c r="AT15" s="244"/>
      <c r="AU15" s="244"/>
      <c r="AV15" s="682"/>
      <c r="AW15" s="682"/>
      <c r="AX15" s="682"/>
      <c r="AY15" s="682"/>
      <c r="AZ15" s="703"/>
      <c r="BA15" s="244"/>
      <c r="BB15" s="244"/>
      <c r="BC15" s="244"/>
      <c r="BD15" s="244"/>
      <c r="BE15" s="682"/>
      <c r="BF15" s="726">
        <f>(BF14+BF16)/2</f>
        <v>0.125</v>
      </c>
      <c r="BG15" s="46"/>
      <c r="BI15" s="228"/>
      <c r="BK15" s="39"/>
      <c r="BL15" s="39"/>
      <c r="BM15" s="228"/>
      <c r="BP15" s="58"/>
      <c r="CC15" s="58"/>
      <c r="CD15" s="46"/>
      <c r="CI15" s="58"/>
      <c r="CZ15" s="58"/>
      <c r="DA15" s="46"/>
      <c r="DI15" s="58"/>
      <c r="ED15" s="376"/>
      <c r="EE15" s="376"/>
      <c r="EF15" s="376"/>
      <c r="EG15" s="45"/>
      <c r="ER15" s="58"/>
      <c r="ES15" s="46"/>
      <c r="ET15" s="46"/>
      <c r="EU15" s="46"/>
      <c r="EV15" s="46"/>
      <c r="FQ15" s="401"/>
      <c r="FW15" s="58"/>
      <c r="GH15" s="45"/>
      <c r="GU15" s="58"/>
      <c r="HH15" s="46"/>
      <c r="HI15" s="45"/>
      <c r="HT15" s="39"/>
      <c r="IF15" s="46"/>
      <c r="IQ15" s="46"/>
      <c r="IR15" s="58"/>
      <c r="JH15" s="45"/>
      <c r="JI15" s="585"/>
      <c r="KB15" s="58"/>
      <c r="KC15" s="46"/>
      <c r="KD15" s="46"/>
      <c r="KE15" s="46"/>
      <c r="KF15" s="46"/>
      <c r="KU15" s="58"/>
      <c r="KV15" s="46"/>
      <c r="LT15" s="58"/>
      <c r="MH15" s="45"/>
      <c r="MI15" s="46"/>
      <c r="MJ15" s="46"/>
      <c r="MK15" s="46"/>
      <c r="ML15" s="46"/>
      <c r="MM15" s="39"/>
      <c r="MP15" s="39"/>
      <c r="MY15" s="39"/>
      <c r="NC15" s="39"/>
      <c r="NJ15" s="39"/>
      <c r="NO15" s="39"/>
      <c r="NU15" s="58"/>
      <c r="NV15" s="46"/>
      <c r="NW15" s="46"/>
      <c r="NX15" s="46"/>
      <c r="NY15" s="46"/>
      <c r="NZ15" s="46"/>
      <c r="OA15" s="46"/>
      <c r="OB15" s="46"/>
      <c r="OC15" s="46"/>
      <c r="OD15" s="46"/>
      <c r="OE15" s="46"/>
      <c r="OF15" s="46"/>
      <c r="OG15" s="46"/>
      <c r="OH15" s="46"/>
      <c r="OO15" s="45"/>
      <c r="OP15" s="39"/>
      <c r="OQ15" s="39"/>
      <c r="OR15" s="39"/>
      <c r="PB15" s="39"/>
      <c r="PC15" s="39"/>
      <c r="PD15" s="39"/>
      <c r="PE15" s="39"/>
      <c r="PF15" s="39"/>
      <c r="PG15" s="58"/>
    </row>
    <row r="16" spans="1:429" s="307" customFormat="1" ht="15" customHeight="1">
      <c r="B16" s="40">
        <v>1924</v>
      </c>
      <c r="C16" s="42"/>
      <c r="D16" s="58"/>
      <c r="E16" s="46"/>
      <c r="F16" s="46"/>
      <c r="I16" s="46"/>
      <c r="J16" s="46"/>
      <c r="K16" s="46"/>
      <c r="L16" s="46"/>
      <c r="M16" s="46"/>
      <c r="N16" s="46"/>
      <c r="O16" s="46"/>
      <c r="P16" s="46"/>
      <c r="R16" s="46"/>
      <c r="S16" s="46"/>
      <c r="T16" s="46"/>
      <c r="U16" s="46"/>
      <c r="V16" s="46"/>
      <c r="W16" s="46"/>
      <c r="X16" s="46"/>
      <c r="Y16" s="58"/>
      <c r="Z16" s="46"/>
      <c r="AA16" s="46"/>
      <c r="AB16" s="46"/>
      <c r="AC16" s="46"/>
      <c r="AE16" s="228"/>
      <c r="AF16" s="228"/>
      <c r="AG16" s="228"/>
      <c r="AH16" s="58"/>
      <c r="AM16" s="46"/>
      <c r="AQ16" s="46"/>
      <c r="AR16" s="244"/>
      <c r="AS16" s="710"/>
      <c r="AT16" s="244"/>
      <c r="AU16" s="244"/>
      <c r="AV16" s="682"/>
      <c r="AW16" s="682"/>
      <c r="AX16" s="682"/>
      <c r="AY16" s="682"/>
      <c r="AZ16" s="703"/>
      <c r="BA16" s="244"/>
      <c r="BB16" s="244"/>
      <c r="BC16" s="244"/>
      <c r="BD16" s="244"/>
      <c r="BE16" s="682"/>
      <c r="BF16" s="186">
        <v>0.125</v>
      </c>
      <c r="BG16" s="46"/>
      <c r="BI16" s="228"/>
      <c r="BK16" s="39"/>
      <c r="BL16" s="39"/>
      <c r="BM16" s="228"/>
      <c r="BP16" s="58"/>
      <c r="CC16" s="58"/>
      <c r="CD16" s="46"/>
      <c r="CI16" s="58"/>
      <c r="CZ16" s="58"/>
      <c r="DA16" s="46"/>
      <c r="DI16" s="58"/>
      <c r="ED16" s="376"/>
      <c r="EE16" s="376"/>
      <c r="EF16" s="376"/>
      <c r="EG16" s="45"/>
      <c r="ER16" s="58"/>
      <c r="ES16" s="46"/>
      <c r="ET16" s="46"/>
      <c r="EU16" s="46"/>
      <c r="EV16" s="46"/>
      <c r="FQ16" s="401"/>
      <c r="FW16" s="58"/>
      <c r="GH16" s="45"/>
      <c r="GU16" s="58"/>
      <c r="HH16" s="46"/>
      <c r="HI16" s="45"/>
      <c r="HT16" s="39"/>
      <c r="IF16" s="46"/>
      <c r="IQ16" s="46"/>
      <c r="IR16" s="58"/>
      <c r="JH16" s="45"/>
      <c r="JI16" s="585"/>
      <c r="KB16" s="58"/>
      <c r="KC16" s="46"/>
      <c r="KD16" s="46"/>
      <c r="KE16" s="46"/>
      <c r="KF16" s="46"/>
      <c r="KU16" s="58"/>
      <c r="KV16" s="46"/>
      <c r="LT16" s="58"/>
      <c r="MH16" s="45"/>
      <c r="MI16" s="46"/>
      <c r="MJ16" s="46"/>
      <c r="MK16" s="46"/>
      <c r="ML16" s="46"/>
      <c r="MM16" s="39"/>
      <c r="MP16" s="39"/>
      <c r="MY16" s="39"/>
      <c r="NC16" s="39"/>
      <c r="NJ16" s="39"/>
      <c r="NO16" s="39"/>
      <c r="NU16" s="58"/>
      <c r="NV16" s="46"/>
      <c r="NW16" s="46"/>
      <c r="NX16" s="46"/>
      <c r="NY16" s="46"/>
      <c r="NZ16" s="46"/>
      <c r="OA16" s="46"/>
      <c r="OB16" s="46"/>
      <c r="OC16" s="46"/>
      <c r="OD16" s="46"/>
      <c r="OE16" s="46"/>
      <c r="OF16" s="46"/>
      <c r="OG16" s="46"/>
      <c r="OH16" s="46"/>
      <c r="OO16" s="45"/>
      <c r="OP16" s="39"/>
      <c r="OQ16" s="39"/>
      <c r="OR16" s="39"/>
      <c r="PB16" s="39"/>
      <c r="PC16" s="39"/>
      <c r="PD16" s="39"/>
      <c r="PE16" s="39"/>
      <c r="PF16" s="39"/>
      <c r="PG16" s="58"/>
    </row>
    <row r="17" spans="2:425" s="307" customFormat="1" ht="15" customHeight="1">
      <c r="B17" s="40">
        <v>1925</v>
      </c>
      <c r="C17" s="42"/>
      <c r="D17" s="58"/>
      <c r="E17" s="46"/>
      <c r="F17" s="46"/>
      <c r="I17" s="46"/>
      <c r="J17" s="46"/>
      <c r="K17" s="46"/>
      <c r="L17" s="46"/>
      <c r="M17" s="46"/>
      <c r="N17" s="46"/>
      <c r="O17" s="46"/>
      <c r="P17" s="46"/>
      <c r="R17" s="46"/>
      <c r="S17" s="46"/>
      <c r="T17" s="46"/>
      <c r="U17" s="46"/>
      <c r="V17" s="46"/>
      <c r="W17" s="46"/>
      <c r="X17" s="46"/>
      <c r="Y17" s="58"/>
      <c r="Z17" s="46"/>
      <c r="AA17" s="46"/>
      <c r="AB17" s="46"/>
      <c r="AC17" s="46"/>
      <c r="AE17" s="228"/>
      <c r="AF17" s="228"/>
      <c r="AG17" s="228"/>
      <c r="AH17" s="58"/>
      <c r="AM17" s="46"/>
      <c r="AQ17" s="46"/>
      <c r="AR17" s="244"/>
      <c r="AS17" s="710"/>
      <c r="AT17" s="244"/>
      <c r="AU17" s="244"/>
      <c r="AV17" s="682"/>
      <c r="AW17" s="682"/>
      <c r="AX17" s="682"/>
      <c r="AY17" s="682"/>
      <c r="AZ17" s="703"/>
      <c r="BA17" s="244"/>
      <c r="BB17" s="244"/>
      <c r="BC17" s="244"/>
      <c r="BD17" s="244"/>
      <c r="BE17" s="682"/>
      <c r="BF17" s="186">
        <v>0.13</v>
      </c>
      <c r="BG17" s="46"/>
      <c r="BI17" s="228"/>
      <c r="BK17" s="39"/>
      <c r="BL17" s="39"/>
      <c r="BM17" s="228"/>
      <c r="BP17" s="58"/>
      <c r="CC17" s="58"/>
      <c r="CD17" s="46"/>
      <c r="CI17" s="58"/>
      <c r="CZ17" s="58"/>
      <c r="DA17" s="46"/>
      <c r="DI17" s="58"/>
      <c r="ED17" s="376"/>
      <c r="EE17" s="376"/>
      <c r="EF17" s="376"/>
      <c r="EG17" s="45"/>
      <c r="ER17" s="58"/>
      <c r="ES17" s="46"/>
      <c r="ET17" s="46"/>
      <c r="EU17" s="46"/>
      <c r="EV17" s="46"/>
      <c r="FQ17" s="401"/>
      <c r="FW17" s="58"/>
      <c r="GH17" s="45"/>
      <c r="GU17" s="58"/>
      <c r="HH17" s="46"/>
      <c r="HI17" s="45"/>
      <c r="HT17" s="39"/>
      <c r="IF17" s="46"/>
      <c r="IQ17" s="46"/>
      <c r="IR17" s="58"/>
      <c r="JH17" s="45"/>
      <c r="JI17" s="585"/>
      <c r="KB17" s="58"/>
      <c r="KC17" s="46"/>
      <c r="KD17" s="46"/>
      <c r="KE17" s="46"/>
      <c r="KF17" s="46"/>
      <c r="KU17" s="58"/>
      <c r="KV17" s="46"/>
      <c r="LT17" s="58"/>
      <c r="MH17" s="45"/>
      <c r="MI17" s="46"/>
      <c r="MJ17" s="46"/>
      <c r="MK17" s="46"/>
      <c r="ML17" s="46"/>
      <c r="MM17" s="39"/>
      <c r="MP17" s="39"/>
      <c r="MY17" s="39"/>
      <c r="NC17" s="39"/>
      <c r="NJ17" s="39"/>
      <c r="NO17" s="39"/>
      <c r="NU17" s="58"/>
      <c r="NV17" s="46"/>
      <c r="NW17" s="46"/>
      <c r="NX17" s="46"/>
      <c r="NY17" s="46"/>
      <c r="NZ17" s="46"/>
      <c r="OA17" s="46"/>
      <c r="OB17" s="46"/>
      <c r="OC17" s="46"/>
      <c r="OD17" s="46"/>
      <c r="OE17" s="46"/>
      <c r="OF17" s="46"/>
      <c r="OG17" s="46"/>
      <c r="OH17" s="46"/>
      <c r="OO17" s="45"/>
      <c r="OP17" s="39"/>
      <c r="OQ17" s="39"/>
      <c r="OR17" s="39"/>
      <c r="PB17" s="39"/>
      <c r="PC17" s="39"/>
      <c r="PD17" s="39"/>
      <c r="PE17" s="39"/>
      <c r="PF17" s="39"/>
      <c r="PG17" s="58"/>
    </row>
    <row r="18" spans="2:425" s="307" customFormat="1" ht="15" customHeight="1">
      <c r="B18" s="40">
        <v>1926</v>
      </c>
      <c r="C18" s="42"/>
      <c r="D18" s="58"/>
      <c r="E18" s="46"/>
      <c r="F18" s="46"/>
      <c r="I18" s="46"/>
      <c r="J18" s="46"/>
      <c r="K18" s="46"/>
      <c r="L18" s="46"/>
      <c r="M18" s="46"/>
      <c r="N18" s="46"/>
      <c r="O18" s="46"/>
      <c r="P18" s="46"/>
      <c r="R18" s="46"/>
      <c r="S18" s="46"/>
      <c r="T18" s="46"/>
      <c r="U18" s="46"/>
      <c r="V18" s="46"/>
      <c r="W18" s="46"/>
      <c r="X18" s="46"/>
      <c r="Y18" s="58"/>
      <c r="Z18" s="46"/>
      <c r="AA18" s="46"/>
      <c r="AB18" s="46"/>
      <c r="AC18" s="46"/>
      <c r="AE18" s="228"/>
      <c r="AF18" s="228"/>
      <c r="AG18" s="228"/>
      <c r="AH18" s="58"/>
      <c r="AM18" s="46"/>
      <c r="AQ18" s="46"/>
      <c r="AR18" s="244"/>
      <c r="AS18" s="710"/>
      <c r="AT18" s="244"/>
      <c r="AU18" s="244"/>
      <c r="AV18" s="682"/>
      <c r="AW18" s="682"/>
      <c r="AX18" s="682"/>
      <c r="AY18" s="682"/>
      <c r="AZ18" s="703"/>
      <c r="BA18" s="244"/>
      <c r="BB18" s="244"/>
      <c r="BC18" s="244"/>
      <c r="BD18" s="244"/>
      <c r="BE18" s="682"/>
      <c r="BF18" s="186">
        <v>0.13500000000000001</v>
      </c>
      <c r="BG18" s="46"/>
      <c r="BI18" s="228"/>
      <c r="BK18" s="39"/>
      <c r="BL18" s="39"/>
      <c r="BM18" s="228"/>
      <c r="BP18" s="58"/>
      <c r="CC18" s="58"/>
      <c r="CD18" s="46"/>
      <c r="CI18" s="58"/>
      <c r="CZ18" s="58"/>
      <c r="DA18" s="46"/>
      <c r="DI18" s="58"/>
      <c r="ED18" s="376"/>
      <c r="EE18" s="376"/>
      <c r="EF18" s="376"/>
      <c r="EG18" s="45"/>
      <c r="ER18" s="58"/>
      <c r="ES18" s="46"/>
      <c r="ET18" s="46"/>
      <c r="EU18" s="46"/>
      <c r="EV18" s="46"/>
      <c r="FQ18" s="401"/>
      <c r="FW18" s="58"/>
      <c r="GH18" s="45"/>
      <c r="GU18" s="58"/>
      <c r="HH18" s="46"/>
      <c r="HI18" s="45"/>
      <c r="HT18" s="39"/>
      <c r="IF18" s="46"/>
      <c r="IQ18" s="46"/>
      <c r="IR18" s="58"/>
      <c r="JH18" s="45"/>
      <c r="JI18" s="585"/>
      <c r="KB18" s="58"/>
      <c r="KC18" s="46"/>
      <c r="KD18" s="46"/>
      <c r="KE18" s="46"/>
      <c r="KF18" s="46"/>
      <c r="KU18" s="58"/>
      <c r="KV18" s="46"/>
      <c r="LT18" s="58"/>
      <c r="MH18" s="45"/>
      <c r="MI18" s="46"/>
      <c r="MJ18" s="46"/>
      <c r="MK18" s="46"/>
      <c r="ML18" s="46"/>
      <c r="MM18" s="39"/>
      <c r="MP18" s="39"/>
      <c r="MY18" s="39"/>
      <c r="NC18" s="39"/>
      <c r="NJ18" s="39"/>
      <c r="NO18" s="39"/>
      <c r="NU18" s="58"/>
      <c r="NV18" s="46"/>
      <c r="NW18" s="46"/>
      <c r="NX18" s="46"/>
      <c r="NY18" s="46"/>
      <c r="NZ18" s="46"/>
      <c r="OA18" s="46"/>
      <c r="OB18" s="46"/>
      <c r="OC18" s="46"/>
      <c r="OD18" s="46"/>
      <c r="OE18" s="46"/>
      <c r="OF18" s="46"/>
      <c r="OG18" s="46"/>
      <c r="OH18" s="46"/>
      <c r="OO18" s="45"/>
      <c r="OP18" s="39"/>
      <c r="OQ18" s="39"/>
      <c r="OR18" s="39"/>
      <c r="PB18" s="39"/>
      <c r="PC18" s="39"/>
      <c r="PD18" s="39"/>
      <c r="PE18" s="39"/>
      <c r="PF18" s="39"/>
      <c r="PG18" s="58"/>
    </row>
    <row r="19" spans="2:425" s="307" customFormat="1" ht="15" customHeight="1">
      <c r="B19" s="40">
        <v>1927</v>
      </c>
      <c r="C19" s="42"/>
      <c r="D19" s="58"/>
      <c r="E19" s="46"/>
      <c r="F19" s="46"/>
      <c r="I19" s="46"/>
      <c r="J19" s="46"/>
      <c r="K19" s="46"/>
      <c r="L19" s="46"/>
      <c r="M19" s="46"/>
      <c r="N19" s="46"/>
      <c r="O19" s="46"/>
      <c r="P19" s="46"/>
      <c r="R19" s="46"/>
      <c r="S19" s="46"/>
      <c r="T19" s="46"/>
      <c r="U19" s="46"/>
      <c r="V19" s="46"/>
      <c r="W19" s="46"/>
      <c r="X19" s="46"/>
      <c r="Y19" s="58"/>
      <c r="Z19" s="46"/>
      <c r="AA19" s="46"/>
      <c r="AB19" s="46"/>
      <c r="AC19" s="46"/>
      <c r="AE19" s="228"/>
      <c r="AF19" s="228"/>
      <c r="AG19" s="228"/>
      <c r="AH19" s="58"/>
      <c r="AM19" s="46"/>
      <c r="AQ19" s="46"/>
      <c r="AR19" s="244"/>
      <c r="AS19" s="710"/>
      <c r="AT19" s="244"/>
      <c r="AU19" s="244"/>
      <c r="AV19" s="682"/>
      <c r="AW19" s="682"/>
      <c r="AX19" s="682"/>
      <c r="AY19" s="682"/>
      <c r="AZ19" s="703"/>
      <c r="BA19" s="244"/>
      <c r="BB19" s="244"/>
      <c r="BC19" s="244"/>
      <c r="BD19" s="244"/>
      <c r="BE19" s="682"/>
      <c r="BF19" s="186">
        <v>0.13500000000000001</v>
      </c>
      <c r="BG19" s="46"/>
      <c r="BI19" s="228"/>
      <c r="BK19" s="39"/>
      <c r="BL19" s="39"/>
      <c r="BM19" s="228"/>
      <c r="BP19" s="58"/>
      <c r="CC19" s="58"/>
      <c r="CD19" s="46"/>
      <c r="CI19" s="58"/>
      <c r="CZ19" s="58"/>
      <c r="DA19" s="46"/>
      <c r="DI19" s="58"/>
      <c r="ED19" s="376"/>
      <c r="EE19" s="376"/>
      <c r="EF19" s="376"/>
      <c r="EG19" s="45"/>
      <c r="ER19" s="58"/>
      <c r="ES19" s="46"/>
      <c r="ET19" s="46"/>
      <c r="EU19" s="46"/>
      <c r="EV19" s="46"/>
      <c r="FQ19" s="401"/>
      <c r="FW19" s="58"/>
      <c r="GH19" s="45"/>
      <c r="GU19" s="58"/>
      <c r="HH19" s="46"/>
      <c r="HI19" s="45"/>
      <c r="HT19" s="39"/>
      <c r="IF19" s="46"/>
      <c r="IQ19" s="46"/>
      <c r="IR19" s="58"/>
      <c r="JH19" s="45"/>
      <c r="JI19" s="585"/>
      <c r="KB19" s="58"/>
      <c r="KC19" s="46"/>
      <c r="KD19" s="46"/>
      <c r="KE19" s="46"/>
      <c r="KF19" s="46"/>
      <c r="KU19" s="58"/>
      <c r="KV19" s="46"/>
      <c r="LT19" s="58"/>
      <c r="MH19" s="45"/>
      <c r="MI19" s="46"/>
      <c r="MJ19" s="46"/>
      <c r="MK19" s="46"/>
      <c r="ML19" s="46"/>
      <c r="MM19" s="39"/>
      <c r="MP19" s="39"/>
      <c r="MY19" s="39"/>
      <c r="NC19" s="39"/>
      <c r="NJ19" s="39"/>
      <c r="NO19" s="39"/>
      <c r="NU19" s="58"/>
      <c r="NV19" s="46"/>
      <c r="NW19" s="46"/>
      <c r="NX19" s="46"/>
      <c r="NY19" s="46"/>
      <c r="NZ19" s="46"/>
      <c r="OA19" s="46"/>
      <c r="OB19" s="46"/>
      <c r="OC19" s="46"/>
      <c r="OD19" s="46"/>
      <c r="OE19" s="46"/>
      <c r="OF19" s="46"/>
      <c r="OG19" s="46"/>
      <c r="OH19" s="46"/>
      <c r="OO19" s="45"/>
      <c r="OP19" s="39"/>
      <c r="OQ19" s="39"/>
      <c r="OR19" s="39"/>
      <c r="PB19" s="39"/>
      <c r="PC19" s="39"/>
      <c r="PD19" s="39"/>
      <c r="PE19" s="39"/>
      <c r="PF19" s="39"/>
      <c r="PG19" s="58"/>
    </row>
    <row r="20" spans="2:425" s="307" customFormat="1" ht="15" customHeight="1">
      <c r="B20" s="40">
        <v>1928</v>
      </c>
      <c r="C20" s="42"/>
      <c r="D20" s="58"/>
      <c r="E20" s="46"/>
      <c r="F20" s="46"/>
      <c r="I20" s="46"/>
      <c r="J20" s="46"/>
      <c r="K20" s="46"/>
      <c r="L20" s="46"/>
      <c r="M20" s="46"/>
      <c r="N20" s="46"/>
      <c r="O20" s="46"/>
      <c r="P20" s="46"/>
      <c r="R20" s="46"/>
      <c r="S20" s="46"/>
      <c r="T20" s="46"/>
      <c r="U20" s="46"/>
      <c r="V20" s="46"/>
      <c r="W20" s="46"/>
      <c r="X20" s="46"/>
      <c r="Y20" s="58"/>
      <c r="Z20" s="46"/>
      <c r="AA20" s="46"/>
      <c r="AB20" s="46"/>
      <c r="AC20" s="46"/>
      <c r="AE20" s="228"/>
      <c r="AF20" s="228"/>
      <c r="AG20" s="228"/>
      <c r="AH20" s="58"/>
      <c r="AM20" s="46"/>
      <c r="AQ20" s="46"/>
      <c r="AR20" s="244"/>
      <c r="AS20" s="710"/>
      <c r="AT20" s="244"/>
      <c r="AU20" s="244"/>
      <c r="AV20" s="682"/>
      <c r="AW20" s="682"/>
      <c r="AX20" s="682"/>
      <c r="AY20" s="682"/>
      <c r="AZ20" s="703"/>
      <c r="BA20" s="244"/>
      <c r="BB20" s="244"/>
      <c r="BC20" s="244"/>
      <c r="BD20" s="244"/>
      <c r="BE20" s="682"/>
      <c r="BF20" s="186">
        <v>0.12</v>
      </c>
      <c r="BG20" s="46"/>
      <c r="BI20" s="228"/>
      <c r="BK20" s="39"/>
      <c r="BL20" s="39"/>
      <c r="BM20" s="228"/>
      <c r="BP20" s="58"/>
      <c r="CC20" s="58"/>
      <c r="CD20" s="46"/>
      <c r="CI20" s="58"/>
      <c r="CZ20" s="58"/>
      <c r="DA20" s="46"/>
      <c r="DI20" s="58"/>
      <c r="ED20" s="376"/>
      <c r="EE20" s="376"/>
      <c r="EF20" s="376"/>
      <c r="EG20" s="45"/>
      <c r="ER20" s="58"/>
      <c r="ES20" s="46"/>
      <c r="ET20" s="46"/>
      <c r="EU20" s="46"/>
      <c r="EV20" s="46"/>
      <c r="FQ20" s="401"/>
      <c r="FW20" s="58"/>
      <c r="GH20" s="45"/>
      <c r="GU20" s="58"/>
      <c r="HH20" s="46"/>
      <c r="HI20" s="45"/>
      <c r="HT20" s="39"/>
      <c r="IF20" s="46"/>
      <c r="IQ20" s="46"/>
      <c r="IR20" s="58"/>
      <c r="JH20" s="45"/>
      <c r="JI20" s="585"/>
      <c r="KB20" s="58"/>
      <c r="KC20" s="46"/>
      <c r="KD20" s="46"/>
      <c r="KE20" s="46"/>
      <c r="KF20" s="46"/>
      <c r="KU20" s="58"/>
      <c r="KV20" s="46"/>
      <c r="LT20" s="58"/>
      <c r="MH20" s="45"/>
      <c r="MI20" s="46"/>
      <c r="MJ20" s="46"/>
      <c r="MK20" s="46"/>
      <c r="ML20" s="46"/>
      <c r="MM20" s="39"/>
      <c r="MP20" s="39"/>
      <c r="MY20" s="39"/>
      <c r="NC20" s="39"/>
      <c r="NJ20" s="39"/>
      <c r="NO20" s="39"/>
      <c r="NU20" s="58"/>
      <c r="NV20" s="46"/>
      <c r="NW20" s="46"/>
      <c r="NX20" s="46"/>
      <c r="NY20" s="46"/>
      <c r="NZ20" s="46"/>
      <c r="OA20" s="46"/>
      <c r="OB20" s="46"/>
      <c r="OC20" s="46"/>
      <c r="OD20" s="46"/>
      <c r="OE20" s="46"/>
      <c r="OF20" s="46"/>
      <c r="OG20" s="46"/>
      <c r="OH20" s="46"/>
      <c r="OO20" s="45"/>
      <c r="OP20" s="39"/>
      <c r="OQ20" s="39"/>
      <c r="OR20" s="39"/>
      <c r="PB20" s="39"/>
      <c r="PC20" s="39"/>
      <c r="PD20" s="39"/>
      <c r="PE20" s="39"/>
      <c r="PF20" s="39"/>
      <c r="PG20" s="58"/>
    </row>
    <row r="21" spans="2:425" s="113" customFormat="1">
      <c r="B21" s="103">
        <v>1929</v>
      </c>
      <c r="C21" s="104">
        <f t="array" ref="C21:C108">TRANSPOSE(NIPA_1.12!C7:CL7)</f>
        <v>94.2</v>
      </c>
      <c r="D21" s="8">
        <f t="array" ref="D21:D108">TRANSPOSE(NIPA_1.12!C19:CL19)</f>
        <v>10.8</v>
      </c>
      <c r="E21" s="105">
        <f t="shared" ref="E21:E52" si="0">D21/C21</f>
        <v>0.11464968152866242</v>
      </c>
      <c r="F21" s="106">
        <f t="shared" ref="F21:F52" si="1">D21-(G21+I21)</f>
        <v>0</v>
      </c>
      <c r="G21" s="106">
        <f t="shared" ref="G21:G52" si="2">D21-I21</f>
        <v>10.600000000000001</v>
      </c>
      <c r="H21" s="105">
        <f t="shared" ref="H21:H52" si="3">G21/C21</f>
        <v>0.11252653927813165</v>
      </c>
      <c r="I21" s="103">
        <f t="array" ref="I21:I108">TRANSPOSE(NIPA_7.16!C29:CL29)</f>
        <v>0.2</v>
      </c>
      <c r="J21" s="107">
        <f t="shared" ref="J21:J52" si="4">I21/C21</f>
        <v>2.1231422505307855E-3</v>
      </c>
      <c r="K21" s="105">
        <f t="shared" ref="K21:K52" si="5">I21/D21</f>
        <v>1.8518518518518517E-2</v>
      </c>
      <c r="L21" s="106">
        <f>I21</f>
        <v>0.2</v>
      </c>
      <c r="M21" s="107">
        <f t="shared" ref="M21:M52" si="6">L21/C21</f>
        <v>2.1231422505307855E-3</v>
      </c>
      <c r="N21" s="107">
        <f t="shared" ref="N21:N52" si="7">L21/D21</f>
        <v>1.8518518518518517E-2</v>
      </c>
      <c r="O21" s="8">
        <f t="shared" ref="O21:O52" si="8">D21</f>
        <v>10.8</v>
      </c>
      <c r="P21" s="108">
        <f t="shared" ref="P21:P52" si="9">O21-(Q21+R21+T21+U21+X21-V21)</f>
        <v>0</v>
      </c>
      <c r="Q21" s="270">
        <f t="array" ref="Q21:Q106">TRANSPOSE(NIPA_7.16!C7:CJ7)</f>
        <v>11.9</v>
      </c>
      <c r="R21" s="201">
        <f t="array" ref="R21:R106">TRANSPOSE(NIPA_7.16!C9:CJ9)</f>
        <v>0.7</v>
      </c>
      <c r="S21" s="109">
        <f t="shared" ref="S21:S52" si="10">R21/D21</f>
        <v>6.4814814814814811E-2</v>
      </c>
      <c r="T21" s="103">
        <f t="array" ref="T21:T106">TRANSPOSE(NIPA_7.16!C12:CJ12)</f>
        <v>0</v>
      </c>
      <c r="U21" s="103">
        <f t="array" ref="U21:U108">TRANSPOSE(NIPA_1.12!C56:CL56)+TRANSPOSE(NIPA_1.12!C57:CL57)</f>
        <v>-9.9999999999999978E-2</v>
      </c>
      <c r="V21" s="206">
        <f t="array" ref="V21:V106">TRANSPOSE(NIPA_7.16!C24:CJ24)</f>
        <v>0.7</v>
      </c>
      <c r="W21" s="109">
        <f t="shared" ref="W21:W52" si="11">V21/D21</f>
        <v>6.4814814814814811E-2</v>
      </c>
      <c r="X21" s="108">
        <f t="shared" ref="X21:X52" si="12">O21-(Q21+R21+T21+U21-V21)</f>
        <v>-1</v>
      </c>
      <c r="Y21" s="188"/>
      <c r="Z21" s="108"/>
      <c r="AA21" s="108"/>
      <c r="AB21" s="108"/>
      <c r="AC21" s="108">
        <v>0</v>
      </c>
      <c r="AD21" s="105">
        <f t="shared" ref="AD21:AD52" si="13">AC21/D21</f>
        <v>0</v>
      </c>
      <c r="AE21" s="108"/>
      <c r="AF21" s="108"/>
      <c r="AG21" s="108"/>
      <c r="AH21" s="110">
        <f t="array" ref="AH21:AH108">TRANSPOSE(NIPA_1.12!C20:CL20)</f>
        <v>1.4</v>
      </c>
      <c r="AI21" s="107">
        <f t="shared" ref="AI21:AI52" si="14">AH21/C21</f>
        <v>1.4861995753715497E-2</v>
      </c>
      <c r="AJ21" s="107">
        <f t="shared" ref="AJ21:AJ52" si="15">(AH21-AP21)/C21</f>
        <v>1.4861995753715497E-2</v>
      </c>
      <c r="AK21" s="111">
        <f t="shared" ref="AK21:AK52" si="16">AH21-(AL21+AN21+AO21+AP21)</f>
        <v>0</v>
      </c>
      <c r="AL21" s="103">
        <f t="array" ref="AL21:AL106">TRANSPOSE(NIPA_7.16!C31:CJ31)+TRANSPOSE(NIPA_7.16!C33:CJ33)-TRANSPOSE(NIPA_7.16!C38:CJ38)-TRANSPOSE(NIPA_7.16!C39:CJ39)-TRANSPOSE(NIPA_7.16!C40:CJ40)</f>
        <v>1.3</v>
      </c>
      <c r="AM21" s="103"/>
      <c r="AN21" s="103">
        <f t="array" ref="AN21:AN106">TRANSPOSE(NIPA_7.16!C17:CJ17)</f>
        <v>0.1</v>
      </c>
      <c r="AO21" s="277">
        <f t="array" ref="AO21:AO106">TRANSPOSE(NIPA_7.16!C36:CJ36)</f>
        <v>0</v>
      </c>
      <c r="AP21" s="103">
        <f t="array" ref="AP21:AP106">TRANSPOSE(NIPA_7.16!C34:CJ34)</f>
        <v>0</v>
      </c>
      <c r="AQ21" s="105">
        <f t="shared" ref="AQ21:AQ52" si="17">(O21-AH21)/C21</f>
        <v>9.9787685774946927E-2</v>
      </c>
      <c r="AR21" s="206">
        <f t="array" ref="AR21:AR106">TRANSPOSE(NIPA_7.16!C38:CJ38)</f>
        <v>0</v>
      </c>
      <c r="AS21" s="712"/>
      <c r="AT21" s="206"/>
      <c r="AU21" s="206"/>
      <c r="AV21" s="206"/>
      <c r="AW21" s="206"/>
      <c r="AX21" s="206"/>
      <c r="AY21" s="206"/>
      <c r="AZ21" s="705"/>
      <c r="BA21" s="206"/>
      <c r="BB21" s="206"/>
      <c r="BC21" s="206"/>
      <c r="BD21" s="206"/>
      <c r="BE21" s="206"/>
      <c r="BF21" s="232">
        <v>0.11</v>
      </c>
      <c r="BG21" s="135"/>
      <c r="BH21" s="105"/>
      <c r="BI21" s="247"/>
      <c r="BJ21" s="105"/>
      <c r="BK21" s="141"/>
      <c r="BL21" s="141"/>
      <c r="BM21" s="247"/>
      <c r="BN21" s="105"/>
      <c r="BO21" s="105"/>
      <c r="BP21" s="8">
        <f t="shared" ref="BP21:BP52" si="18">D21</f>
        <v>10.8</v>
      </c>
      <c r="BQ21" s="111">
        <f t="shared" ref="BQ21:BQ52" si="19">BP21-(BR21+BS21+BT21)</f>
        <v>-9.9999999999997868E-2</v>
      </c>
      <c r="BR21" s="134">
        <f t="shared" ref="BR21:BR52" si="20">AH21</f>
        <v>1.4</v>
      </c>
      <c r="BS21" s="134">
        <f t="array" ref="BS21:BS108">TRANSPOSE(NIPA_1.12!C22:CL22)</f>
        <v>5.8</v>
      </c>
      <c r="BT21" s="134">
        <f t="array" ref="BT21:BT108">TRANSPOSE(NIPA_1.12!C23:CL23)</f>
        <v>3.7</v>
      </c>
      <c r="BU21" s="112"/>
      <c r="BV21" s="103">
        <f t="array" ref="BV21:BV108">TRANSPOSE(NIPA_1.14!C21:CL21)</f>
        <v>3.7</v>
      </c>
      <c r="BW21" s="103">
        <f t="shared" ref="BW21:BW52" si="21">BT21-BV21</f>
        <v>0</v>
      </c>
      <c r="BX21" s="105">
        <f t="shared" ref="BX21:BX52" si="22">BW21/D21</f>
        <v>0</v>
      </c>
      <c r="BY21" s="105"/>
      <c r="BZ21" s="105"/>
      <c r="CA21" s="105"/>
      <c r="CB21" s="105"/>
      <c r="CC21" s="165">
        <f t="shared" ref="CC21:CC52" si="23">L21</f>
        <v>0.2</v>
      </c>
      <c r="CD21" s="106"/>
      <c r="CI21" s="181"/>
      <c r="CL21" s="112"/>
      <c r="CM21" s="112"/>
      <c r="CN21" s="112"/>
      <c r="CO21" s="112"/>
      <c r="CZ21" s="181"/>
      <c r="DI21" s="178"/>
      <c r="EG21" s="178"/>
      <c r="EN21" s="115"/>
      <c r="EO21" s="410">
        <v>0.5</v>
      </c>
      <c r="ER21" s="181"/>
      <c r="FG21" s="410">
        <v>0</v>
      </c>
      <c r="FH21" s="410">
        <f t="shared" ref="FH21:FH57" si="24">AVERAGE(FH$58:FH$61)</f>
        <v>9.6965645872755524E-3</v>
      </c>
      <c r="FI21" s="410">
        <v>0</v>
      </c>
      <c r="FJ21" s="410">
        <f t="shared" ref="FJ21:FJ57" si="25">AVERAGE(FJ$58:FJ$61)</f>
        <v>3.5764504896230759E-2</v>
      </c>
      <c r="FK21" s="410">
        <v>0</v>
      </c>
      <c r="FL21" s="410"/>
      <c r="FM21" s="410"/>
      <c r="FN21" s="410">
        <v>0</v>
      </c>
      <c r="FO21" s="410">
        <f t="shared" ref="FO21:FO52" si="26">FN21+FK21+FJ21+FI21+FH21+FG21</f>
        <v>4.5461069483506311E-2</v>
      </c>
      <c r="FP21" s="410">
        <f t="shared" ref="FP21:FP52" si="27">1-FO21</f>
        <v>0.95453893051649374</v>
      </c>
      <c r="FQ21" s="105">
        <f t="shared" ref="FQ21:FQ52" si="28">FO21*N21</f>
        <v>8.4187165710196865E-4</v>
      </c>
      <c r="FR21" s="105">
        <f t="shared" ref="FR21:FR52" si="29">FP21*N21</f>
        <v>1.767664686141655E-2</v>
      </c>
      <c r="FS21" s="398">
        <f t="shared" ref="FS21:FS52" si="30">FQ21*$E21</f>
        <v>9.6520317374748001E-5</v>
      </c>
      <c r="FT21" s="398">
        <f t="shared" ref="FT21:FT52" si="31">FS21*$EO21</f>
        <v>4.8260158687374E-5</v>
      </c>
      <c r="FU21" s="398">
        <f t="shared" ref="FU21:FU52" si="32">FS21-FT21</f>
        <v>4.8260158687374E-5</v>
      </c>
      <c r="FV21" s="398">
        <f t="shared" ref="FV21:FV52" si="33">FR21*$E21</f>
        <v>2.0266219331560374E-3</v>
      </c>
      <c r="FW21" s="181"/>
      <c r="GH21" s="178"/>
      <c r="GU21" s="181"/>
      <c r="HI21" s="178"/>
      <c r="HT21" s="115"/>
      <c r="IR21" s="181"/>
      <c r="JH21" s="181"/>
      <c r="KB21" s="181"/>
      <c r="KU21" s="181"/>
      <c r="LT21" s="181"/>
      <c r="MH21" s="178"/>
      <c r="MM21" s="115"/>
      <c r="MP21" s="115"/>
      <c r="MY21" s="115"/>
      <c r="NC21" s="115"/>
      <c r="NJ21" s="115"/>
      <c r="NO21" s="115"/>
      <c r="NU21" s="181"/>
      <c r="OM21" s="420"/>
      <c r="OO21" s="178"/>
      <c r="OP21" s="115"/>
      <c r="OQ21" s="115"/>
      <c r="OR21" s="115"/>
      <c r="PG21" s="181"/>
      <c r="PH21" s="420"/>
      <c r="PI21" s="420"/>
    </row>
    <row r="22" spans="2:425">
      <c r="B22" s="71">
        <v>1930</v>
      </c>
      <c r="C22" s="43">
        <v>83.1</v>
      </c>
      <c r="D22" s="5">
        <v>7.5</v>
      </c>
      <c r="E22" s="6">
        <f t="shared" si="0"/>
        <v>9.0252707581227443E-2</v>
      </c>
      <c r="F22" s="72">
        <f t="shared" si="1"/>
        <v>0</v>
      </c>
      <c r="G22" s="73">
        <f t="shared" si="2"/>
        <v>7.4</v>
      </c>
      <c r="H22" s="23">
        <f t="shared" si="3"/>
        <v>8.9049338146811083E-2</v>
      </c>
      <c r="I22" s="74">
        <v>0.1</v>
      </c>
      <c r="J22" s="19">
        <f t="shared" si="4"/>
        <v>1.2033694344163659E-3</v>
      </c>
      <c r="K22" s="6">
        <f t="shared" si="5"/>
        <v>1.3333333333333334E-2</v>
      </c>
      <c r="L22" s="72">
        <f>I22</f>
        <v>0.1</v>
      </c>
      <c r="M22" s="19">
        <f t="shared" si="6"/>
        <v>1.2033694344163659E-3</v>
      </c>
      <c r="N22" s="19">
        <f t="shared" si="7"/>
        <v>1.3333333333333334E-2</v>
      </c>
      <c r="O22" s="5">
        <f t="shared" si="8"/>
        <v>7.5</v>
      </c>
      <c r="P22" s="75">
        <f t="shared" si="9"/>
        <v>0</v>
      </c>
      <c r="Q22" s="271">
        <v>4.5999999999999996</v>
      </c>
      <c r="R22" s="202">
        <v>0.6</v>
      </c>
      <c r="S22" s="53">
        <f t="shared" si="10"/>
        <v>0.08</v>
      </c>
      <c r="T22" s="74">
        <v>0</v>
      </c>
      <c r="U22" s="74">
        <v>3</v>
      </c>
      <c r="V22" s="207">
        <v>-0.2</v>
      </c>
      <c r="W22" s="53">
        <f t="shared" si="11"/>
        <v>-2.6666666666666668E-2</v>
      </c>
      <c r="X22" s="75">
        <f t="shared" si="12"/>
        <v>-0.89999999999999858</v>
      </c>
      <c r="Y22" s="187"/>
      <c r="Z22" s="75"/>
      <c r="AA22" s="75"/>
      <c r="AB22" s="75"/>
      <c r="AC22" s="75">
        <v>0</v>
      </c>
      <c r="AD22" s="23">
        <f t="shared" si="13"/>
        <v>0</v>
      </c>
      <c r="AE22" s="76"/>
      <c r="AF22" s="76"/>
      <c r="AG22" s="76"/>
      <c r="AH22" s="97">
        <v>0.8</v>
      </c>
      <c r="AI22" s="22">
        <f t="shared" si="14"/>
        <v>9.6269554753309269E-3</v>
      </c>
      <c r="AJ22" s="22">
        <f t="shared" si="15"/>
        <v>9.6269554753309269E-3</v>
      </c>
      <c r="AK22" s="99">
        <f t="shared" si="16"/>
        <v>-9.9999999999999867E-2</v>
      </c>
      <c r="AL22" s="71">
        <v>0.79999999999999993</v>
      </c>
      <c r="AM22" s="74"/>
      <c r="AN22" s="71">
        <v>0.1</v>
      </c>
      <c r="AO22" s="255">
        <v>0</v>
      </c>
      <c r="AP22" s="71">
        <v>0</v>
      </c>
      <c r="AQ22" s="6">
        <f t="shared" si="17"/>
        <v>8.0625752105896523E-2</v>
      </c>
      <c r="AR22" s="207">
        <v>0</v>
      </c>
      <c r="AS22" s="713"/>
      <c r="AT22" s="207"/>
      <c r="AU22" s="207"/>
      <c r="AV22" s="207"/>
      <c r="AW22" s="207"/>
      <c r="AX22" s="207"/>
      <c r="AY22" s="207"/>
      <c r="AZ22" s="706"/>
      <c r="BA22" s="207"/>
      <c r="BB22" s="207"/>
      <c r="BC22" s="207"/>
      <c r="BD22" s="207"/>
      <c r="BE22" s="207"/>
      <c r="BF22" s="186">
        <v>0.12</v>
      </c>
      <c r="BG22" s="435"/>
      <c r="BH22" s="23"/>
      <c r="BI22" s="248"/>
      <c r="BJ22" s="23"/>
      <c r="BK22" s="140"/>
      <c r="BL22" s="140"/>
      <c r="BM22" s="248"/>
      <c r="BN22" s="23"/>
      <c r="BO22" s="23"/>
      <c r="BP22" s="149">
        <f t="shared" si="18"/>
        <v>7.5</v>
      </c>
      <c r="BQ22" s="99">
        <f t="shared" si="19"/>
        <v>0</v>
      </c>
      <c r="BR22" s="153">
        <f t="shared" si="20"/>
        <v>0.8</v>
      </c>
      <c r="BS22" s="79">
        <v>5.5</v>
      </c>
      <c r="BT22" s="79">
        <v>1.2</v>
      </c>
      <c r="BU22" s="11"/>
      <c r="BV22" s="71">
        <v>1.2</v>
      </c>
      <c r="BW22" s="71">
        <f t="shared" si="21"/>
        <v>0</v>
      </c>
      <c r="BX22" s="23">
        <f t="shared" si="22"/>
        <v>0</v>
      </c>
      <c r="BY22" s="23"/>
      <c r="BZ22" s="23"/>
      <c r="CA22" s="23"/>
      <c r="CB22" s="23"/>
      <c r="CC22" s="166">
        <f t="shared" si="23"/>
        <v>0.1</v>
      </c>
      <c r="CD22" s="72"/>
      <c r="CH22" s="184">
        <f>95%</f>
        <v>0.95</v>
      </c>
      <c r="CI22" s="69"/>
      <c r="CL22" s="78"/>
      <c r="CM22" s="78"/>
      <c r="CN22" s="78"/>
      <c r="CO22" s="78"/>
      <c r="CZ22" s="69"/>
      <c r="DA22" s="90"/>
      <c r="DI22" s="67"/>
      <c r="EG22" s="67"/>
      <c r="EN22" s="24"/>
      <c r="EO22" s="184">
        <v>0.5</v>
      </c>
      <c r="ER22" s="69"/>
      <c r="ES22" s="90"/>
      <c r="ET22" s="90"/>
      <c r="EU22" s="90"/>
      <c r="EV22" s="90"/>
      <c r="FG22" s="184">
        <f t="shared" ref="FG22:FG57" si="34">FG21+(FG$58-FG$21)/37</f>
        <v>7.7500555420647178E-5</v>
      </c>
      <c r="FH22" s="184">
        <f t="shared" si="24"/>
        <v>9.6965645872755524E-3</v>
      </c>
      <c r="FI22" s="184">
        <f t="shared" ref="FI22:FI57" si="35">FI21+(FI$58-FI$21)/37</f>
        <v>-5.166703694709812E-6</v>
      </c>
      <c r="FJ22" s="184">
        <f t="shared" si="25"/>
        <v>3.5764504896230759E-2</v>
      </c>
      <c r="FK22" s="184">
        <f t="shared" ref="FK22:FK57" si="36">FK21+(FK$58-FK$21)/37</f>
        <v>7.5829052130007386E-4</v>
      </c>
      <c r="FL22" s="184"/>
      <c r="FM22" s="184"/>
      <c r="FN22" s="184">
        <f t="shared" ref="FN22:FN57" si="37">FN21+(FN$58-FN$21)/37</f>
        <v>5.166703694709812E-6</v>
      </c>
      <c r="FO22" s="184">
        <f t="shared" si="26"/>
        <v>4.6296860560227034E-2</v>
      </c>
      <c r="FP22" s="184">
        <f t="shared" si="27"/>
        <v>0.95370313943977292</v>
      </c>
      <c r="FQ22" s="23">
        <f t="shared" si="28"/>
        <v>6.1729147413636045E-4</v>
      </c>
      <c r="FR22" s="23">
        <f t="shared" si="29"/>
        <v>1.2716041859196973E-2</v>
      </c>
      <c r="FS22" s="23">
        <f t="shared" si="30"/>
        <v>5.5712226907613763E-5</v>
      </c>
      <c r="FT22" s="393">
        <f t="shared" si="31"/>
        <v>2.7856113453806881E-5</v>
      </c>
      <c r="FU22" s="393">
        <f t="shared" si="32"/>
        <v>2.7856113453806881E-5</v>
      </c>
      <c r="FV22" s="23">
        <f t="shared" si="33"/>
        <v>1.1476572075087522E-3</v>
      </c>
      <c r="FW22" s="69"/>
      <c r="GH22" s="67"/>
      <c r="GU22" s="69"/>
      <c r="HH22" s="90"/>
      <c r="HI22" s="67"/>
      <c r="HT22" s="24"/>
      <c r="IF22" s="90"/>
      <c r="IQ22" s="90"/>
      <c r="IR22" s="69"/>
      <c r="JH22" s="69"/>
      <c r="JI22" s="90"/>
      <c r="KB22" s="69"/>
      <c r="KC22" s="90"/>
      <c r="KD22" s="90"/>
      <c r="KE22" s="90"/>
      <c r="KF22" s="90"/>
      <c r="KU22" s="69"/>
      <c r="KV22" s="90"/>
      <c r="LT22" s="423"/>
      <c r="LU22" s="80"/>
      <c r="LV22" s="80"/>
      <c r="LW22" s="80"/>
      <c r="LX22" s="80"/>
      <c r="LY22" s="80"/>
      <c r="LZ22" s="80"/>
      <c r="MA22" s="80"/>
      <c r="MB22" s="80"/>
      <c r="MC22" s="80"/>
      <c r="MD22" s="80"/>
      <c r="ME22" s="80"/>
      <c r="MF22" s="80"/>
      <c r="MG22" s="80"/>
      <c r="MH22" s="67"/>
      <c r="MM22" s="24"/>
      <c r="MP22" s="24"/>
      <c r="MY22" s="24"/>
      <c r="NC22" s="24"/>
      <c r="NJ22" s="24"/>
      <c r="NO22" s="24"/>
      <c r="NU22" s="69"/>
      <c r="NV22" s="90"/>
      <c r="NW22" s="90"/>
      <c r="NX22" s="90"/>
      <c r="NY22" s="90"/>
      <c r="NZ22" s="90"/>
      <c r="OA22" s="90"/>
      <c r="OB22" s="90"/>
      <c r="OC22" s="90"/>
      <c r="OD22" s="90"/>
      <c r="OE22" s="90"/>
      <c r="OF22" s="90"/>
      <c r="OG22" s="90"/>
      <c r="OH22" s="90"/>
      <c r="OM22" s="80"/>
      <c r="OO22" s="67"/>
      <c r="PG22" s="69"/>
      <c r="PH22" s="80"/>
      <c r="PI22" s="80"/>
    </row>
    <row r="23" spans="2:425">
      <c r="B23" s="71">
        <v>1931</v>
      </c>
      <c r="C23" s="43">
        <v>67.7</v>
      </c>
      <c r="D23" s="5">
        <v>3</v>
      </c>
      <c r="E23" s="6">
        <f t="shared" si="0"/>
        <v>4.4313146233382568E-2</v>
      </c>
      <c r="F23" s="72">
        <f t="shared" si="1"/>
        <v>0</v>
      </c>
      <c r="G23" s="73">
        <f t="shared" si="2"/>
        <v>3</v>
      </c>
      <c r="H23" s="23">
        <f t="shared" si="3"/>
        <v>4.4313146233382568E-2</v>
      </c>
      <c r="I23" s="74">
        <v>0</v>
      </c>
      <c r="J23" s="19">
        <f t="shared" si="4"/>
        <v>0</v>
      </c>
      <c r="K23" s="6">
        <f t="shared" si="5"/>
        <v>0</v>
      </c>
      <c r="L23" s="72">
        <f>I23</f>
        <v>0</v>
      </c>
      <c r="M23" s="19">
        <f t="shared" si="6"/>
        <v>0</v>
      </c>
      <c r="N23" s="19">
        <f t="shared" si="7"/>
        <v>0</v>
      </c>
      <c r="O23" s="5">
        <f t="shared" si="8"/>
        <v>3</v>
      </c>
      <c r="P23" s="75">
        <f t="shared" si="9"/>
        <v>0</v>
      </c>
      <c r="Q23" s="271">
        <v>-0.8</v>
      </c>
      <c r="R23" s="202">
        <v>0.4</v>
      </c>
      <c r="S23" s="53">
        <f t="shared" si="10"/>
        <v>0.13333333333333333</v>
      </c>
      <c r="T23" s="74">
        <v>0</v>
      </c>
      <c r="U23" s="74">
        <v>2.4</v>
      </c>
      <c r="V23" s="207">
        <v>-1.3</v>
      </c>
      <c r="W23" s="53">
        <f t="shared" si="11"/>
        <v>-0.43333333333333335</v>
      </c>
      <c r="X23" s="75">
        <f t="shared" si="12"/>
        <v>-0.29999999999999982</v>
      </c>
      <c r="Y23" s="187"/>
      <c r="Z23" s="75"/>
      <c r="AA23" s="75"/>
      <c r="AB23" s="75"/>
      <c r="AC23" s="75">
        <v>0</v>
      </c>
      <c r="AD23" s="23">
        <f t="shared" si="13"/>
        <v>0</v>
      </c>
      <c r="AE23" s="76"/>
      <c r="AF23" s="76"/>
      <c r="AG23" s="76"/>
      <c r="AH23" s="97">
        <v>0.5</v>
      </c>
      <c r="AI23" s="22">
        <f t="shared" si="14"/>
        <v>7.385524372230428E-3</v>
      </c>
      <c r="AJ23" s="22">
        <f t="shared" si="15"/>
        <v>7.385524372230428E-3</v>
      </c>
      <c r="AK23" s="99">
        <f t="shared" si="16"/>
        <v>0</v>
      </c>
      <c r="AL23" s="71">
        <v>0.4</v>
      </c>
      <c r="AM23" s="74"/>
      <c r="AN23" s="71">
        <v>0.1</v>
      </c>
      <c r="AO23" s="255">
        <v>0</v>
      </c>
      <c r="AP23" s="71">
        <v>0</v>
      </c>
      <c r="AQ23" s="6">
        <f t="shared" si="17"/>
        <v>3.6927621861152143E-2</v>
      </c>
      <c r="AR23" s="207">
        <v>0</v>
      </c>
      <c r="AS23" s="713"/>
      <c r="AT23" s="207"/>
      <c r="AU23" s="207"/>
      <c r="AV23" s="207"/>
      <c r="AW23" s="207"/>
      <c r="AX23" s="207"/>
      <c r="AY23" s="207"/>
      <c r="AZ23" s="706"/>
      <c r="BA23" s="207"/>
      <c r="BB23" s="207"/>
      <c r="BC23" s="207"/>
      <c r="BD23" s="207"/>
      <c r="BE23" s="207"/>
      <c r="BF23" s="186">
        <v>0.12</v>
      </c>
      <c r="BG23" s="435"/>
      <c r="BH23" s="23"/>
      <c r="BI23" s="248"/>
      <c r="BJ23" s="23"/>
      <c r="BK23" s="140"/>
      <c r="BL23" s="140"/>
      <c r="BM23" s="248"/>
      <c r="BN23" s="23"/>
      <c r="BO23" s="23"/>
      <c r="BP23" s="149">
        <f t="shared" si="18"/>
        <v>3</v>
      </c>
      <c r="BQ23" s="99">
        <f t="shared" si="19"/>
        <v>0</v>
      </c>
      <c r="BR23" s="153">
        <f t="shared" si="20"/>
        <v>0.5</v>
      </c>
      <c r="BS23" s="79">
        <v>4.0999999999999996</v>
      </c>
      <c r="BT23" s="79">
        <v>-1.6</v>
      </c>
      <c r="BU23" s="11"/>
      <c r="BV23" s="71">
        <v>-1.6</v>
      </c>
      <c r="BW23" s="71">
        <f t="shared" si="21"/>
        <v>0</v>
      </c>
      <c r="BX23" s="23">
        <f t="shared" si="22"/>
        <v>0</v>
      </c>
      <c r="BY23" s="23"/>
      <c r="BZ23" s="23"/>
      <c r="CA23" s="23"/>
      <c r="CB23" s="23"/>
      <c r="CC23" s="166">
        <f t="shared" si="23"/>
        <v>0</v>
      </c>
      <c r="CD23" s="72"/>
      <c r="CH23" s="184">
        <f>95%</f>
        <v>0.95</v>
      </c>
      <c r="CI23" s="69"/>
      <c r="CL23" s="78"/>
      <c r="CM23" s="78"/>
      <c r="CN23" s="78"/>
      <c r="CO23" s="78"/>
      <c r="CZ23" s="69"/>
      <c r="DA23" s="90"/>
      <c r="DI23" s="67"/>
      <c r="EG23" s="67"/>
      <c r="EN23" s="24"/>
      <c r="EO23" s="184">
        <v>0.5</v>
      </c>
      <c r="ER23" s="69"/>
      <c r="ES23" s="90"/>
      <c r="ET23" s="90"/>
      <c r="EU23" s="90"/>
      <c r="EV23" s="90"/>
      <c r="FG23" s="184">
        <f t="shared" si="34"/>
        <v>1.5500111084129436E-4</v>
      </c>
      <c r="FH23" s="184">
        <f t="shared" si="24"/>
        <v>9.6965645872755524E-3</v>
      </c>
      <c r="FI23" s="184">
        <f t="shared" si="35"/>
        <v>-1.0333407389419624E-5</v>
      </c>
      <c r="FJ23" s="184">
        <f t="shared" si="25"/>
        <v>3.5764504896230759E-2</v>
      </c>
      <c r="FK23" s="184">
        <f t="shared" si="36"/>
        <v>1.5165810426001477E-3</v>
      </c>
      <c r="FL23" s="184"/>
      <c r="FM23" s="184"/>
      <c r="FN23" s="184">
        <f t="shared" si="37"/>
        <v>1.0333407389419624E-5</v>
      </c>
      <c r="FO23" s="184">
        <f t="shared" si="26"/>
        <v>4.7132651636947756E-2</v>
      </c>
      <c r="FP23" s="184">
        <f t="shared" si="27"/>
        <v>0.9528673483630522</v>
      </c>
      <c r="FQ23" s="23">
        <f t="shared" si="28"/>
        <v>0</v>
      </c>
      <c r="FR23" s="23">
        <f t="shared" si="29"/>
        <v>0</v>
      </c>
      <c r="FS23" s="23">
        <f t="shared" si="30"/>
        <v>0</v>
      </c>
      <c r="FT23" s="393">
        <f t="shared" si="31"/>
        <v>0</v>
      </c>
      <c r="FU23" s="393">
        <f t="shared" si="32"/>
        <v>0</v>
      </c>
      <c r="FV23" s="23">
        <f t="shared" si="33"/>
        <v>0</v>
      </c>
      <c r="FW23" s="69"/>
      <c r="GH23" s="67"/>
      <c r="GU23" s="69"/>
      <c r="HH23" s="90"/>
      <c r="HI23" s="67"/>
      <c r="HT23" s="24"/>
      <c r="IF23" s="90"/>
      <c r="IQ23" s="90"/>
      <c r="IR23" s="69"/>
      <c r="JH23" s="69"/>
      <c r="JI23" s="90"/>
      <c r="KB23" s="69"/>
      <c r="KC23" s="90"/>
      <c r="KD23" s="90"/>
      <c r="KE23" s="90"/>
      <c r="KF23" s="90"/>
      <c r="KU23" s="69"/>
      <c r="KV23" s="90"/>
      <c r="LT23" s="423"/>
      <c r="LU23" s="80"/>
      <c r="LV23" s="80"/>
      <c r="LW23" s="80"/>
      <c r="LX23" s="80"/>
      <c r="LY23" s="80"/>
      <c r="LZ23" s="80"/>
      <c r="MA23" s="80"/>
      <c r="MB23" s="80"/>
      <c r="MC23" s="80"/>
      <c r="MD23" s="80"/>
      <c r="ME23" s="80"/>
      <c r="MF23" s="80"/>
      <c r="MG23" s="80"/>
      <c r="MH23" s="67"/>
      <c r="MM23" s="24"/>
      <c r="MP23" s="24"/>
      <c r="MY23" s="24"/>
      <c r="NC23" s="24"/>
      <c r="NJ23" s="24"/>
      <c r="NO23" s="24"/>
      <c r="NU23" s="69"/>
      <c r="NV23" s="90"/>
      <c r="NW23" s="90"/>
      <c r="NX23" s="90"/>
      <c r="NY23" s="90"/>
      <c r="NZ23" s="90"/>
      <c r="OA23" s="90"/>
      <c r="OB23" s="90"/>
      <c r="OC23" s="90"/>
      <c r="OD23" s="90"/>
      <c r="OE23" s="90"/>
      <c r="OF23" s="90"/>
      <c r="OG23" s="90"/>
      <c r="OH23" s="90"/>
      <c r="OM23" s="80"/>
      <c r="OO23" s="67"/>
      <c r="PG23" s="69"/>
      <c r="PH23" s="80"/>
      <c r="PI23" s="80"/>
    </row>
    <row r="24" spans="2:425">
      <c r="B24" s="71">
        <v>1932</v>
      </c>
      <c r="C24" s="43">
        <v>51.3</v>
      </c>
      <c r="D24" s="5">
        <v>-0.2</v>
      </c>
      <c r="E24" s="6">
        <f t="shared" si="0"/>
        <v>-3.8986354775828462E-3</v>
      </c>
      <c r="F24" s="72">
        <f t="shared" si="1"/>
        <v>0</v>
      </c>
      <c r="G24" s="73">
        <f t="shared" si="2"/>
        <v>-0.2</v>
      </c>
      <c r="H24" s="23">
        <f t="shared" si="3"/>
        <v>-3.8986354775828462E-3</v>
      </c>
      <c r="I24" s="74">
        <v>0</v>
      </c>
      <c r="J24" s="19">
        <f t="shared" si="4"/>
        <v>0</v>
      </c>
      <c r="K24" s="6">
        <f t="shared" si="5"/>
        <v>0</v>
      </c>
      <c r="L24" s="72">
        <f>I24</f>
        <v>0</v>
      </c>
      <c r="M24" s="19">
        <f t="shared" si="6"/>
        <v>0</v>
      </c>
      <c r="N24" s="19">
        <f t="shared" si="7"/>
        <v>0</v>
      </c>
      <c r="O24" s="5">
        <f t="shared" si="8"/>
        <v>-0.2</v>
      </c>
      <c r="P24" s="75">
        <f t="shared" si="9"/>
        <v>0</v>
      </c>
      <c r="Q24" s="271">
        <v>-3.8</v>
      </c>
      <c r="R24" s="202">
        <v>0.3</v>
      </c>
      <c r="S24" s="53">
        <f t="shared" si="10"/>
        <v>-1.4999999999999998</v>
      </c>
      <c r="T24" s="74">
        <v>0</v>
      </c>
      <c r="U24" s="74">
        <v>1.1000000000000001</v>
      </c>
      <c r="V24" s="207">
        <v>-1.6</v>
      </c>
      <c r="W24" s="53">
        <f t="shared" si="11"/>
        <v>8</v>
      </c>
      <c r="X24" s="75">
        <f t="shared" si="12"/>
        <v>0.59999999999999987</v>
      </c>
      <c r="Y24" s="187"/>
      <c r="Z24" s="75"/>
      <c r="AA24" s="75"/>
      <c r="AB24" s="75"/>
      <c r="AC24" s="75">
        <v>0</v>
      </c>
      <c r="AD24" s="23">
        <f t="shared" si="13"/>
        <v>0</v>
      </c>
      <c r="AE24" s="76"/>
      <c r="AF24" s="76"/>
      <c r="AG24" s="76"/>
      <c r="AH24" s="97">
        <v>0.4</v>
      </c>
      <c r="AI24" s="22">
        <f t="shared" si="14"/>
        <v>7.7972709551656924E-3</v>
      </c>
      <c r="AJ24" s="22">
        <f t="shared" si="15"/>
        <v>7.7972709551656924E-3</v>
      </c>
      <c r="AK24" s="99">
        <f t="shared" si="16"/>
        <v>0</v>
      </c>
      <c r="AL24" s="71">
        <v>0.3</v>
      </c>
      <c r="AM24" s="74"/>
      <c r="AN24" s="71">
        <v>0.1</v>
      </c>
      <c r="AO24" s="255">
        <v>0</v>
      </c>
      <c r="AP24" s="71">
        <v>0</v>
      </c>
      <c r="AQ24" s="6">
        <f t="shared" si="17"/>
        <v>-1.1695906432748541E-2</v>
      </c>
      <c r="AR24" s="207">
        <v>0</v>
      </c>
      <c r="AS24" s="713"/>
      <c r="AT24" s="207"/>
      <c r="AU24" s="207"/>
      <c r="AV24" s="207"/>
      <c r="AW24" s="207"/>
      <c r="AX24" s="207"/>
      <c r="AY24" s="207"/>
      <c r="AZ24" s="706"/>
      <c r="BA24" s="207"/>
      <c r="BB24" s="207"/>
      <c r="BC24" s="207"/>
      <c r="BD24" s="207"/>
      <c r="BE24" s="207"/>
      <c r="BF24" s="186">
        <v>0.13750000000000001</v>
      </c>
      <c r="BG24" s="435"/>
      <c r="BH24" s="23"/>
      <c r="BI24" s="248"/>
      <c r="BJ24" s="23"/>
      <c r="BK24" s="140"/>
      <c r="BL24" s="140"/>
      <c r="BM24" s="248"/>
      <c r="BN24" s="23"/>
      <c r="BO24" s="23"/>
      <c r="BP24" s="149">
        <f t="shared" si="18"/>
        <v>-0.2</v>
      </c>
      <c r="BQ24" s="99">
        <f t="shared" si="19"/>
        <v>0</v>
      </c>
      <c r="BR24" s="153">
        <f t="shared" si="20"/>
        <v>0.4</v>
      </c>
      <c r="BS24" s="79">
        <v>2.5</v>
      </c>
      <c r="BT24" s="79">
        <v>-3.1</v>
      </c>
      <c r="BU24" s="11"/>
      <c r="BV24" s="71">
        <v>-3.1</v>
      </c>
      <c r="BW24" s="71">
        <f t="shared" si="21"/>
        <v>0</v>
      </c>
      <c r="BX24" s="23">
        <f t="shared" si="22"/>
        <v>0</v>
      </c>
      <c r="BY24" s="23"/>
      <c r="BZ24" s="23"/>
      <c r="CA24" s="23"/>
      <c r="CB24" s="23"/>
      <c r="CC24" s="166">
        <f t="shared" si="23"/>
        <v>0</v>
      </c>
      <c r="CD24" s="72"/>
      <c r="CH24" s="184">
        <f>95%</f>
        <v>0.95</v>
      </c>
      <c r="CI24" s="69"/>
      <c r="CL24" s="78"/>
      <c r="CM24" s="78"/>
      <c r="CN24" s="78"/>
      <c r="CO24" s="78"/>
      <c r="CZ24" s="69"/>
      <c r="DA24" s="90"/>
      <c r="DI24" s="67"/>
      <c r="EG24" s="67"/>
      <c r="EN24" s="24"/>
      <c r="EO24" s="184">
        <v>0.5</v>
      </c>
      <c r="ER24" s="69"/>
      <c r="ES24" s="90"/>
      <c r="ET24" s="90"/>
      <c r="EU24" s="90"/>
      <c r="EV24" s="90"/>
      <c r="FG24" s="184">
        <f t="shared" si="34"/>
        <v>2.3250166626194153E-4</v>
      </c>
      <c r="FH24" s="184">
        <f t="shared" si="24"/>
        <v>9.6965645872755524E-3</v>
      </c>
      <c r="FI24" s="184">
        <f t="shared" si="35"/>
        <v>-1.5500111084129434E-5</v>
      </c>
      <c r="FJ24" s="184">
        <f t="shared" si="25"/>
        <v>3.5764504896230759E-2</v>
      </c>
      <c r="FK24" s="184">
        <f t="shared" si="36"/>
        <v>2.2748715639002216E-3</v>
      </c>
      <c r="FL24" s="184"/>
      <c r="FM24" s="184"/>
      <c r="FN24" s="184">
        <f t="shared" si="37"/>
        <v>1.5500111084129434E-5</v>
      </c>
      <c r="FO24" s="184">
        <f t="shared" si="26"/>
        <v>4.7968442713668479E-2</v>
      </c>
      <c r="FP24" s="184">
        <f t="shared" si="27"/>
        <v>0.95203155728633149</v>
      </c>
      <c r="FQ24" s="23">
        <f t="shared" si="28"/>
        <v>0</v>
      </c>
      <c r="FR24" s="23">
        <f t="shared" si="29"/>
        <v>0</v>
      </c>
      <c r="FS24" s="23">
        <f t="shared" si="30"/>
        <v>0</v>
      </c>
      <c r="FT24" s="393">
        <f t="shared" si="31"/>
        <v>0</v>
      </c>
      <c r="FU24" s="393">
        <f t="shared" si="32"/>
        <v>0</v>
      </c>
      <c r="FV24" s="23">
        <f t="shared" si="33"/>
        <v>0</v>
      </c>
      <c r="FW24" s="69"/>
      <c r="GH24" s="67"/>
      <c r="GU24" s="69"/>
      <c r="HH24" s="90"/>
      <c r="HI24" s="67"/>
      <c r="HT24" s="24"/>
      <c r="IF24" s="90"/>
      <c r="IQ24" s="90"/>
      <c r="IR24" s="69"/>
      <c r="JH24" s="69"/>
      <c r="JI24" s="90"/>
      <c r="KB24" s="69"/>
      <c r="KC24" s="90"/>
      <c r="KD24" s="90"/>
      <c r="KE24" s="90"/>
      <c r="KF24" s="90"/>
      <c r="KU24" s="69"/>
      <c r="KV24" s="90"/>
      <c r="LT24" s="423"/>
      <c r="LU24" s="80"/>
      <c r="LV24" s="80"/>
      <c r="LW24" s="80"/>
      <c r="LX24" s="80"/>
      <c r="LY24" s="80"/>
      <c r="LZ24" s="80"/>
      <c r="MA24" s="80"/>
      <c r="MB24" s="80"/>
      <c r="MC24" s="80"/>
      <c r="MD24" s="80"/>
      <c r="ME24" s="80"/>
      <c r="MF24" s="80"/>
      <c r="MG24" s="80"/>
      <c r="MH24" s="67"/>
      <c r="MM24" s="24"/>
      <c r="MP24" s="24"/>
      <c r="MY24" s="24"/>
      <c r="NC24" s="24"/>
      <c r="NJ24" s="24"/>
      <c r="NO24" s="24"/>
      <c r="NU24" s="69"/>
      <c r="NV24" s="90"/>
      <c r="NW24" s="90"/>
      <c r="NX24" s="90"/>
      <c r="NY24" s="90"/>
      <c r="NZ24" s="90"/>
      <c r="OA24" s="90"/>
      <c r="OB24" s="90"/>
      <c r="OC24" s="90"/>
      <c r="OD24" s="90"/>
      <c r="OE24" s="90"/>
      <c r="OF24" s="90"/>
      <c r="OG24" s="90"/>
      <c r="OH24" s="90"/>
      <c r="OM24" s="80"/>
      <c r="OO24" s="67"/>
      <c r="PG24" s="69"/>
      <c r="PH24" s="80"/>
      <c r="PI24" s="80"/>
    </row>
    <row r="25" spans="2:425">
      <c r="B25" s="71">
        <v>1933</v>
      </c>
      <c r="C25" s="43">
        <v>49</v>
      </c>
      <c r="D25" s="5">
        <v>-0.2</v>
      </c>
      <c r="E25" s="6">
        <f t="shared" si="0"/>
        <v>-4.0816326530612249E-3</v>
      </c>
      <c r="F25" s="72">
        <f t="shared" si="1"/>
        <v>0</v>
      </c>
      <c r="G25" s="73">
        <f t="shared" si="2"/>
        <v>-0.2</v>
      </c>
      <c r="H25" s="23">
        <f t="shared" si="3"/>
        <v>-4.0816326530612249E-3</v>
      </c>
      <c r="I25" s="74">
        <v>0</v>
      </c>
      <c r="J25" s="19">
        <f t="shared" si="4"/>
        <v>0</v>
      </c>
      <c r="K25" s="6">
        <f t="shared" si="5"/>
        <v>0</v>
      </c>
      <c r="L25" s="72">
        <f t="shared" ref="L25:L39" si="38">L26*I25/I26</f>
        <v>0</v>
      </c>
      <c r="M25" s="19">
        <f t="shared" si="6"/>
        <v>0</v>
      </c>
      <c r="N25" s="167">
        <f t="shared" si="7"/>
        <v>0</v>
      </c>
      <c r="O25" s="5">
        <f t="shared" si="8"/>
        <v>-0.2</v>
      </c>
      <c r="P25" s="75">
        <f t="shared" si="9"/>
        <v>0</v>
      </c>
      <c r="Q25" s="271">
        <v>-0.9</v>
      </c>
      <c r="R25" s="202">
        <v>0.4</v>
      </c>
      <c r="S25" s="53">
        <f t="shared" si="10"/>
        <v>-2</v>
      </c>
      <c r="T25" s="74">
        <v>0</v>
      </c>
      <c r="U25" s="74">
        <v>-2</v>
      </c>
      <c r="V25" s="207">
        <v>-1.4</v>
      </c>
      <c r="W25" s="53">
        <f t="shared" si="11"/>
        <v>6.9999999999999991</v>
      </c>
      <c r="X25" s="75">
        <f t="shared" si="12"/>
        <v>0.90000000000000013</v>
      </c>
      <c r="Y25" s="187"/>
      <c r="Z25" s="75"/>
      <c r="AA25" s="75"/>
      <c r="AB25" s="75"/>
      <c r="AC25" s="75">
        <v>0</v>
      </c>
      <c r="AD25" s="23">
        <f t="shared" si="13"/>
        <v>0</v>
      </c>
      <c r="AE25" s="76"/>
      <c r="AF25" s="76"/>
      <c r="AG25" s="76"/>
      <c r="AH25" s="97">
        <v>0.5</v>
      </c>
      <c r="AI25" s="22">
        <f t="shared" si="14"/>
        <v>1.020408163265306E-2</v>
      </c>
      <c r="AJ25" s="22">
        <f t="shared" si="15"/>
        <v>1.020408163265306E-2</v>
      </c>
      <c r="AK25" s="99">
        <f t="shared" si="16"/>
        <v>-9.9999999999999978E-2</v>
      </c>
      <c r="AL25" s="71">
        <v>0.5</v>
      </c>
      <c r="AM25" s="74"/>
      <c r="AN25" s="71">
        <v>0.1</v>
      </c>
      <c r="AO25" s="255">
        <v>0</v>
      </c>
      <c r="AP25" s="71">
        <v>0</v>
      </c>
      <c r="AQ25" s="6">
        <f t="shared" si="17"/>
        <v>-1.4285714285714285E-2</v>
      </c>
      <c r="AR25" s="207">
        <v>0</v>
      </c>
      <c r="AS25" s="713"/>
      <c r="AT25" s="207"/>
      <c r="AU25" s="207"/>
      <c r="AV25" s="207"/>
      <c r="AW25" s="207"/>
      <c r="AX25" s="207"/>
      <c r="AY25" s="207"/>
      <c r="AZ25" s="706"/>
      <c r="BA25" s="207"/>
      <c r="BB25" s="207"/>
      <c r="BC25" s="207"/>
      <c r="BD25" s="207"/>
      <c r="BE25" s="207"/>
      <c r="BF25" s="186">
        <v>0.13750000000000001</v>
      </c>
      <c r="BG25" s="435"/>
      <c r="BH25" s="23"/>
      <c r="BI25" s="248"/>
      <c r="BJ25" s="23"/>
      <c r="BK25" s="140"/>
      <c r="BL25" s="140"/>
      <c r="BM25" s="248"/>
      <c r="BN25" s="23"/>
      <c r="BO25" s="23"/>
      <c r="BP25" s="149">
        <f t="shared" si="18"/>
        <v>-0.2</v>
      </c>
      <c r="BQ25" s="99">
        <f t="shared" si="19"/>
        <v>0</v>
      </c>
      <c r="BR25" s="153">
        <f t="shared" si="20"/>
        <v>0.5</v>
      </c>
      <c r="BS25" s="79">
        <v>2</v>
      </c>
      <c r="BT25" s="79">
        <v>-2.7</v>
      </c>
      <c r="BU25" s="11"/>
      <c r="BV25" s="71">
        <v>-2.7</v>
      </c>
      <c r="BW25" s="71">
        <f t="shared" si="21"/>
        <v>0</v>
      </c>
      <c r="BX25" s="23">
        <f t="shared" si="22"/>
        <v>0</v>
      </c>
      <c r="BY25" s="23"/>
      <c r="BZ25" s="23"/>
      <c r="CA25" s="23"/>
      <c r="CB25" s="23"/>
      <c r="CC25" s="166">
        <f t="shared" si="23"/>
        <v>0</v>
      </c>
      <c r="CD25" s="72"/>
      <c r="CH25" s="184">
        <f>95%</f>
        <v>0.95</v>
      </c>
      <c r="CI25" s="69"/>
      <c r="CL25" s="78"/>
      <c r="CM25" s="78"/>
      <c r="CN25" s="78"/>
      <c r="CO25" s="78"/>
      <c r="CZ25" s="69"/>
      <c r="DA25" s="90"/>
      <c r="DI25" s="67"/>
      <c r="EG25" s="67"/>
      <c r="EN25" s="24"/>
      <c r="EO25" s="184">
        <v>0.5</v>
      </c>
      <c r="ER25" s="69"/>
      <c r="ES25" s="90"/>
      <c r="ET25" s="90"/>
      <c r="EU25" s="90"/>
      <c r="EV25" s="90"/>
      <c r="FG25" s="184">
        <f t="shared" si="34"/>
        <v>3.1000222168258871E-4</v>
      </c>
      <c r="FH25" s="184">
        <f t="shared" si="24"/>
        <v>9.6965645872755524E-3</v>
      </c>
      <c r="FI25" s="184">
        <f t="shared" si="35"/>
        <v>-2.0666814778839248E-5</v>
      </c>
      <c r="FJ25" s="184">
        <f t="shared" si="25"/>
        <v>3.5764504896230759E-2</v>
      </c>
      <c r="FK25" s="184">
        <f t="shared" si="36"/>
        <v>3.0331620852002954E-3</v>
      </c>
      <c r="FL25" s="184"/>
      <c r="FM25" s="184"/>
      <c r="FN25" s="184">
        <f t="shared" si="37"/>
        <v>2.0666814778839248E-5</v>
      </c>
      <c r="FO25" s="184">
        <f t="shared" si="26"/>
        <v>4.8804233790389194E-2</v>
      </c>
      <c r="FP25" s="184">
        <f t="shared" si="27"/>
        <v>0.95119576620961077</v>
      </c>
      <c r="FQ25" s="23">
        <f t="shared" si="28"/>
        <v>0</v>
      </c>
      <c r="FR25" s="23">
        <f t="shared" si="29"/>
        <v>0</v>
      </c>
      <c r="FS25" s="23">
        <f t="shared" si="30"/>
        <v>0</v>
      </c>
      <c r="FT25" s="393">
        <f t="shared" si="31"/>
        <v>0</v>
      </c>
      <c r="FU25" s="393">
        <f t="shared" si="32"/>
        <v>0</v>
      </c>
      <c r="FV25" s="23">
        <f t="shared" si="33"/>
        <v>0</v>
      </c>
      <c r="FW25" s="69"/>
      <c r="GH25" s="67"/>
      <c r="GU25" s="69"/>
      <c r="HH25" s="90"/>
      <c r="HI25" s="67"/>
      <c r="HT25" s="24"/>
      <c r="IF25" s="90"/>
      <c r="IQ25" s="90"/>
      <c r="IR25" s="69"/>
      <c r="JH25" s="69"/>
      <c r="JI25" s="90"/>
      <c r="KB25" s="69"/>
      <c r="KC25" s="90"/>
      <c r="KD25" s="90"/>
      <c r="KE25" s="90"/>
      <c r="KF25" s="90"/>
      <c r="KU25" s="69"/>
      <c r="KV25" s="90"/>
      <c r="LT25" s="423"/>
      <c r="LU25" s="80"/>
      <c r="LV25" s="80"/>
      <c r="LW25" s="80"/>
      <c r="LX25" s="80"/>
      <c r="LY25" s="80"/>
      <c r="LZ25" s="80"/>
      <c r="MA25" s="80"/>
      <c r="MB25" s="80"/>
      <c r="MC25" s="80"/>
      <c r="MD25" s="80"/>
      <c r="ME25" s="80"/>
      <c r="MF25" s="80"/>
      <c r="MG25" s="80"/>
      <c r="MH25" s="67"/>
      <c r="MM25" s="24"/>
      <c r="MP25" s="24"/>
      <c r="MY25" s="24"/>
      <c r="NC25" s="24"/>
      <c r="NJ25" s="24"/>
      <c r="NO25" s="24"/>
      <c r="NU25" s="69"/>
      <c r="NV25" s="90"/>
      <c r="NW25" s="90"/>
      <c r="NX25" s="90"/>
      <c r="NY25" s="90"/>
      <c r="NZ25" s="90"/>
      <c r="OA25" s="90"/>
      <c r="OB25" s="90"/>
      <c r="OC25" s="90"/>
      <c r="OD25" s="90"/>
      <c r="OE25" s="90"/>
      <c r="OF25" s="90"/>
      <c r="OG25" s="90"/>
      <c r="OH25" s="90"/>
      <c r="OM25" s="80"/>
      <c r="OO25" s="67"/>
      <c r="PG25" s="69"/>
      <c r="PH25" s="80"/>
      <c r="PI25" s="80"/>
    </row>
    <row r="26" spans="2:425">
      <c r="B26" s="71">
        <v>1934</v>
      </c>
      <c r="C26" s="43">
        <v>58.3</v>
      </c>
      <c r="D26" s="5">
        <v>2.5</v>
      </c>
      <c r="E26" s="6">
        <f t="shared" si="0"/>
        <v>4.2881646655231566E-2</v>
      </c>
      <c r="F26" s="72">
        <f t="shared" si="1"/>
        <v>0</v>
      </c>
      <c r="G26" s="73">
        <f t="shared" si="2"/>
        <v>2.4</v>
      </c>
      <c r="H26" s="23">
        <f t="shared" si="3"/>
        <v>4.1166380789022301E-2</v>
      </c>
      <c r="I26" s="74">
        <v>0.1</v>
      </c>
      <c r="J26" s="19">
        <f t="shared" si="4"/>
        <v>1.7152658662092626E-3</v>
      </c>
      <c r="K26" s="6">
        <f t="shared" si="5"/>
        <v>0.04</v>
      </c>
      <c r="L26" s="72">
        <f t="shared" si="38"/>
        <v>0.1307692307692308</v>
      </c>
      <c r="M26" s="19">
        <f t="shared" si="6"/>
        <v>2.2430399788890363E-3</v>
      </c>
      <c r="N26" s="167">
        <f t="shared" si="7"/>
        <v>5.2307692307692319E-2</v>
      </c>
      <c r="O26" s="5">
        <f t="shared" si="8"/>
        <v>2.5</v>
      </c>
      <c r="P26" s="75">
        <f t="shared" si="9"/>
        <v>0</v>
      </c>
      <c r="Q26" s="271">
        <v>3</v>
      </c>
      <c r="R26" s="202">
        <v>0.6</v>
      </c>
      <c r="S26" s="53">
        <f t="shared" si="10"/>
        <v>0.24</v>
      </c>
      <c r="T26" s="74">
        <v>0</v>
      </c>
      <c r="U26" s="74">
        <v>-0.7</v>
      </c>
      <c r="V26" s="207">
        <v>-0.1</v>
      </c>
      <c r="W26" s="53">
        <f t="shared" si="11"/>
        <v>-0.04</v>
      </c>
      <c r="X26" s="75">
        <f t="shared" si="12"/>
        <v>-0.50000000000000044</v>
      </c>
      <c r="Y26" s="187"/>
      <c r="Z26" s="75"/>
      <c r="AA26" s="75"/>
      <c r="AB26" s="75"/>
      <c r="AC26" s="75">
        <v>0</v>
      </c>
      <c r="AD26" s="23">
        <f t="shared" si="13"/>
        <v>0</v>
      </c>
      <c r="AE26" s="76"/>
      <c r="AF26" s="76"/>
      <c r="AG26" s="76"/>
      <c r="AH26" s="97">
        <v>0.7</v>
      </c>
      <c r="AI26" s="22">
        <f t="shared" si="14"/>
        <v>1.2006861063464836E-2</v>
      </c>
      <c r="AJ26" s="22">
        <f t="shared" si="15"/>
        <v>1.2006861063464836E-2</v>
      </c>
      <c r="AK26" s="99">
        <f t="shared" si="16"/>
        <v>-9.9999999999999978E-2</v>
      </c>
      <c r="AL26" s="71">
        <v>0.7</v>
      </c>
      <c r="AM26" s="72">
        <f>(0.5*Fedtax!C5+0.5*Fedtax!C6)/1000</f>
        <v>0.44650000000000001</v>
      </c>
      <c r="AN26" s="71">
        <v>0.1</v>
      </c>
      <c r="AO26" s="255">
        <v>0</v>
      </c>
      <c r="AP26" s="71">
        <v>0</v>
      </c>
      <c r="AQ26" s="6">
        <f t="shared" si="17"/>
        <v>3.0874785591766728E-2</v>
      </c>
      <c r="AR26" s="207">
        <v>0</v>
      </c>
      <c r="AS26" s="713"/>
      <c r="AT26" s="207"/>
      <c r="AU26" s="207"/>
      <c r="AV26" s="207"/>
      <c r="AW26" s="207"/>
      <c r="AX26" s="207"/>
      <c r="AY26" s="207"/>
      <c r="AZ26" s="706"/>
      <c r="BA26" s="207"/>
      <c r="BB26" s="207"/>
      <c r="BC26" s="207"/>
      <c r="BD26" s="207"/>
      <c r="BE26" s="207"/>
      <c r="BF26" s="186">
        <v>0.13750000000000001</v>
      </c>
      <c r="BG26" s="435"/>
      <c r="BH26" s="140">
        <f t="shared" ref="BH26:BH57" si="39">(AL26+AN26)/(G26+L26-T26)</f>
        <v>0.3161094224924012</v>
      </c>
      <c r="BI26" s="248"/>
      <c r="BJ26" s="23">
        <f t="shared" ref="BJ26:BJ57" si="40">(AH26-AP26-AO26)/(G26+L26-T26+V26)</f>
        <v>0.28797468354430378</v>
      </c>
      <c r="BK26" s="140">
        <f t="shared" ref="BK26:BK57" si="41">(AH26-AP26-AO26+AR26)/(G26+L26-T26+AR26)</f>
        <v>0.27659574468085107</v>
      </c>
      <c r="BL26" s="140">
        <f t="shared" ref="BL26:BL57" si="42">AVERAGE(BK22:BK26)</f>
        <v>0.27659574468085107</v>
      </c>
      <c r="BM26" s="248">
        <f t="shared" ref="BM26:BM57" si="43">(AH26-AP26-AO26+AR26)/(G26+L26-T26+AR26-AC26)</f>
        <v>0.27659574468085107</v>
      </c>
      <c r="BN26" s="23">
        <f t="shared" ref="BN26:BN57" si="44">(AH26-AP26)/Q26</f>
        <v>0.23333333333333331</v>
      </c>
      <c r="BO26" s="23">
        <f t="shared" ref="BO26:BO57" si="45">(AH26-AP26)/(Q26+R26)</f>
        <v>0.19444444444444442</v>
      </c>
      <c r="BP26" s="149">
        <f t="shared" si="18"/>
        <v>2.5</v>
      </c>
      <c r="BQ26" s="99">
        <f t="shared" si="19"/>
        <v>0</v>
      </c>
      <c r="BR26" s="153">
        <f t="shared" si="20"/>
        <v>0.7</v>
      </c>
      <c r="BS26" s="79">
        <v>2.6</v>
      </c>
      <c r="BT26" s="79">
        <v>-0.8</v>
      </c>
      <c r="BU26" s="11"/>
      <c r="BV26" s="71">
        <v>-0.8</v>
      </c>
      <c r="BW26" s="71">
        <f t="shared" si="21"/>
        <v>0</v>
      </c>
      <c r="BX26" s="23">
        <f t="shared" si="22"/>
        <v>0</v>
      </c>
      <c r="BY26" s="23"/>
      <c r="BZ26" s="23"/>
      <c r="CA26" s="23"/>
      <c r="CB26" s="23"/>
      <c r="CC26" s="166">
        <f t="shared" si="23"/>
        <v>0.1307692307692308</v>
      </c>
      <c r="CD26" s="72"/>
      <c r="CH26" s="184">
        <f>95%</f>
        <v>0.95</v>
      </c>
      <c r="CI26" s="69"/>
      <c r="CL26" s="78"/>
      <c r="CM26" s="78"/>
      <c r="CN26" s="78"/>
      <c r="CO26" s="78"/>
      <c r="CZ26" s="69"/>
      <c r="DA26" s="90"/>
      <c r="DI26" s="67"/>
      <c r="EG26" s="67"/>
      <c r="EN26" s="24"/>
      <c r="EO26" s="184">
        <v>0.5</v>
      </c>
      <c r="ER26" s="69"/>
      <c r="ES26" s="90"/>
      <c r="ET26" s="90"/>
      <c r="EU26" s="90"/>
      <c r="EV26" s="90"/>
      <c r="FG26" s="184">
        <f t="shared" si="34"/>
        <v>3.8750277710323589E-4</v>
      </c>
      <c r="FH26" s="184">
        <f t="shared" si="24"/>
        <v>9.6965645872755524E-3</v>
      </c>
      <c r="FI26" s="184">
        <f t="shared" si="35"/>
        <v>-2.5833518473549062E-5</v>
      </c>
      <c r="FJ26" s="184">
        <f t="shared" si="25"/>
        <v>3.5764504896230759E-2</v>
      </c>
      <c r="FK26" s="184">
        <f t="shared" si="36"/>
        <v>3.7914526065003693E-3</v>
      </c>
      <c r="FL26" s="184"/>
      <c r="FM26" s="184"/>
      <c r="FN26" s="184">
        <f t="shared" si="37"/>
        <v>2.5833518473549062E-5</v>
      </c>
      <c r="FO26" s="184">
        <f t="shared" si="26"/>
        <v>4.964002486710991E-2</v>
      </c>
      <c r="FP26" s="184">
        <f t="shared" si="27"/>
        <v>0.95035997513289006</v>
      </c>
      <c r="FQ26" s="23">
        <f t="shared" si="28"/>
        <v>2.5965551468949805E-3</v>
      </c>
      <c r="FR26" s="23">
        <f t="shared" si="29"/>
        <v>4.9711137160797336E-2</v>
      </c>
      <c r="FS26" s="23">
        <f t="shared" si="30"/>
        <v>1.1134456032997344E-4</v>
      </c>
      <c r="FT26" s="393">
        <f t="shared" si="31"/>
        <v>5.5672280164986722E-5</v>
      </c>
      <c r="FU26" s="393">
        <f t="shared" si="32"/>
        <v>5.5672280164986722E-5</v>
      </c>
      <c r="FV26" s="23">
        <f t="shared" si="33"/>
        <v>2.1316954185590627E-3</v>
      </c>
      <c r="FW26" s="69"/>
      <c r="GH26" s="67"/>
      <c r="GU26" s="69"/>
      <c r="HH26" s="90"/>
      <c r="HI26" s="67"/>
      <c r="HT26" s="24"/>
      <c r="IF26" s="90"/>
      <c r="IQ26" s="90"/>
      <c r="IR26" s="69"/>
      <c r="JH26" s="69"/>
      <c r="JI26" s="90"/>
      <c r="KB26" s="69"/>
      <c r="KC26" s="90"/>
      <c r="KD26" s="90"/>
      <c r="KE26" s="90"/>
      <c r="KF26" s="90"/>
      <c r="KU26" s="69"/>
      <c r="KV26" s="90"/>
      <c r="LT26" s="423"/>
      <c r="LU26" s="80"/>
      <c r="LV26" s="80"/>
      <c r="LW26" s="80"/>
      <c r="LX26" s="80"/>
      <c r="LY26" s="80"/>
      <c r="LZ26" s="80"/>
      <c r="MA26" s="80"/>
      <c r="MB26" s="80"/>
      <c r="MC26" s="80"/>
      <c r="MD26" s="80"/>
      <c r="ME26" s="80"/>
      <c r="MF26" s="80"/>
      <c r="MG26" s="80"/>
      <c r="MH26" s="67"/>
      <c r="MM26" s="24"/>
      <c r="MP26" s="24"/>
      <c r="MY26" s="24"/>
      <c r="NC26" s="24"/>
      <c r="NJ26" s="24"/>
      <c r="NO26" s="24"/>
      <c r="NU26" s="69"/>
      <c r="NV26" s="90"/>
      <c r="NW26" s="90"/>
      <c r="NX26" s="90"/>
      <c r="NY26" s="90"/>
      <c r="NZ26" s="90"/>
      <c r="OA26" s="90"/>
      <c r="OB26" s="90"/>
      <c r="OC26" s="90"/>
      <c r="OD26" s="90"/>
      <c r="OE26" s="90"/>
      <c r="OF26" s="90"/>
      <c r="OG26" s="90"/>
      <c r="OH26" s="90"/>
      <c r="OM26" s="80"/>
      <c r="OO26" s="67"/>
      <c r="PG26" s="69"/>
      <c r="PH26" s="80"/>
      <c r="PI26" s="80"/>
    </row>
    <row r="27" spans="2:425">
      <c r="B27" s="71">
        <v>1935</v>
      </c>
      <c r="C27" s="43">
        <v>66.400000000000006</v>
      </c>
      <c r="D27" s="5">
        <v>4</v>
      </c>
      <c r="E27" s="6">
        <f t="shared" si="0"/>
        <v>6.0240963855421679E-2</v>
      </c>
      <c r="F27" s="72">
        <f t="shared" si="1"/>
        <v>0</v>
      </c>
      <c r="G27" s="73">
        <f t="shared" si="2"/>
        <v>3.8</v>
      </c>
      <c r="H27" s="23">
        <f t="shared" si="3"/>
        <v>5.7228915662650592E-2</v>
      </c>
      <c r="I27" s="74">
        <v>0.2</v>
      </c>
      <c r="J27" s="19">
        <f t="shared" si="4"/>
        <v>3.0120481927710841E-3</v>
      </c>
      <c r="K27" s="6">
        <f t="shared" si="5"/>
        <v>0.05</v>
      </c>
      <c r="L27" s="136">
        <f t="shared" si="38"/>
        <v>0.26153846153846161</v>
      </c>
      <c r="M27" s="19">
        <f t="shared" si="6"/>
        <v>3.9388322520852647E-3</v>
      </c>
      <c r="N27" s="167">
        <f t="shared" si="7"/>
        <v>6.5384615384615402E-2</v>
      </c>
      <c r="O27" s="5">
        <f t="shared" si="8"/>
        <v>4</v>
      </c>
      <c r="P27" s="75">
        <f t="shared" si="9"/>
        <v>0</v>
      </c>
      <c r="Q27" s="271">
        <v>5.4</v>
      </c>
      <c r="R27" s="202">
        <v>0.5</v>
      </c>
      <c r="S27" s="53">
        <f t="shared" si="10"/>
        <v>0.125</v>
      </c>
      <c r="T27" s="74">
        <v>0</v>
      </c>
      <c r="U27" s="74">
        <v>-0.30000000000000004</v>
      </c>
      <c r="V27" s="207">
        <v>0.2</v>
      </c>
      <c r="W27" s="53">
        <f t="shared" si="11"/>
        <v>0.05</v>
      </c>
      <c r="X27" s="75">
        <f t="shared" si="12"/>
        <v>-1.4000000000000004</v>
      </c>
      <c r="Y27" s="187"/>
      <c r="Z27" s="75"/>
      <c r="AA27" s="75"/>
      <c r="AB27" s="75"/>
      <c r="AC27" s="75">
        <v>0</v>
      </c>
      <c r="AD27" s="23">
        <f t="shared" si="13"/>
        <v>0</v>
      </c>
      <c r="AE27" s="76"/>
      <c r="AF27" s="76"/>
      <c r="AG27" s="76"/>
      <c r="AH27" s="97">
        <v>1</v>
      </c>
      <c r="AI27" s="22">
        <f t="shared" si="14"/>
        <v>1.506024096385542E-2</v>
      </c>
      <c r="AJ27" s="22">
        <f t="shared" si="15"/>
        <v>1.506024096385542E-2</v>
      </c>
      <c r="AK27" s="99">
        <f t="shared" si="16"/>
        <v>0</v>
      </c>
      <c r="AL27" s="71">
        <v>0.9</v>
      </c>
      <c r="AM27" s="72">
        <f>(0.5*Fedtax!C6+0.5*Fedtax!C7)/1000</f>
        <v>0.624</v>
      </c>
      <c r="AN27" s="71">
        <v>0.1</v>
      </c>
      <c r="AO27" s="255">
        <v>0</v>
      </c>
      <c r="AP27" s="71">
        <v>0</v>
      </c>
      <c r="AQ27" s="6">
        <f t="shared" si="17"/>
        <v>4.5180722891566258E-2</v>
      </c>
      <c r="AR27" s="207">
        <v>0</v>
      </c>
      <c r="AS27" s="713"/>
      <c r="AT27" s="207"/>
      <c r="AU27" s="207"/>
      <c r="AV27" s="207"/>
      <c r="AW27" s="207"/>
      <c r="AX27" s="207"/>
      <c r="AY27" s="207"/>
      <c r="AZ27" s="706"/>
      <c r="BA27" s="207"/>
      <c r="BB27" s="207"/>
      <c r="BC27" s="207"/>
      <c r="BD27" s="207"/>
      <c r="BE27" s="207"/>
      <c r="BF27" s="186">
        <v>0.13750000000000001</v>
      </c>
      <c r="BG27" s="435"/>
      <c r="BH27" s="140">
        <f t="shared" si="39"/>
        <v>0.24621212121212122</v>
      </c>
      <c r="BI27" s="248"/>
      <c r="BJ27" s="23">
        <f t="shared" si="40"/>
        <v>0.23465703971119134</v>
      </c>
      <c r="BK27" s="140">
        <f t="shared" si="41"/>
        <v>0.24621212121212122</v>
      </c>
      <c r="BL27" s="140">
        <f t="shared" si="42"/>
        <v>0.26140393294648612</v>
      </c>
      <c r="BM27" s="248">
        <f t="shared" si="43"/>
        <v>0.24621212121212122</v>
      </c>
      <c r="BN27" s="23">
        <f t="shared" si="44"/>
        <v>0.18518518518518517</v>
      </c>
      <c r="BO27" s="23">
        <f t="shared" si="45"/>
        <v>0.16949152542372881</v>
      </c>
      <c r="BP27" s="149">
        <f t="shared" si="18"/>
        <v>4</v>
      </c>
      <c r="BQ27" s="99">
        <f t="shared" si="19"/>
        <v>0</v>
      </c>
      <c r="BR27" s="153">
        <f t="shared" si="20"/>
        <v>1</v>
      </c>
      <c r="BS27" s="79">
        <v>2.8</v>
      </c>
      <c r="BT27" s="79">
        <v>0.2</v>
      </c>
      <c r="BU27" s="23">
        <f t="shared" ref="BU27:BU58" si="46">BT27/D27</f>
        <v>0.05</v>
      </c>
      <c r="BV27" s="71">
        <v>0.2</v>
      </c>
      <c r="BW27" s="71">
        <f t="shared" si="21"/>
        <v>0</v>
      </c>
      <c r="BX27" s="23">
        <f t="shared" si="22"/>
        <v>0</v>
      </c>
      <c r="BY27" s="23"/>
      <c r="BZ27" s="23"/>
      <c r="CA27" s="23"/>
      <c r="CB27" s="23"/>
      <c r="CC27" s="166">
        <f t="shared" si="23"/>
        <v>0.26153846153846161</v>
      </c>
      <c r="CD27" s="72"/>
      <c r="CH27" s="184">
        <f>95%</f>
        <v>0.95</v>
      </c>
      <c r="CI27" s="69"/>
      <c r="CL27" s="78"/>
      <c r="CM27" s="78"/>
      <c r="CN27" s="78"/>
      <c r="CO27" s="78"/>
      <c r="CZ27" s="69"/>
      <c r="DA27" s="90"/>
      <c r="DI27" s="67"/>
      <c r="EG27" s="67"/>
      <c r="EN27" s="24"/>
      <c r="EO27" s="184">
        <v>0.5</v>
      </c>
      <c r="ER27" s="69"/>
      <c r="ES27" s="90"/>
      <c r="ET27" s="90"/>
      <c r="EU27" s="90"/>
      <c r="EV27" s="90"/>
      <c r="FG27" s="184">
        <f t="shared" si="34"/>
        <v>4.6500333252388307E-4</v>
      </c>
      <c r="FH27" s="184">
        <f t="shared" si="24"/>
        <v>9.6965645872755524E-3</v>
      </c>
      <c r="FI27" s="184">
        <f t="shared" si="35"/>
        <v>-3.1000222168258875E-5</v>
      </c>
      <c r="FJ27" s="184">
        <f t="shared" si="25"/>
        <v>3.5764504896230759E-2</v>
      </c>
      <c r="FK27" s="184">
        <f t="shared" si="36"/>
        <v>4.5497431278004432E-3</v>
      </c>
      <c r="FL27" s="184"/>
      <c r="FM27" s="184"/>
      <c r="FN27" s="184">
        <f t="shared" si="37"/>
        <v>3.1000222168258875E-5</v>
      </c>
      <c r="FO27" s="184">
        <f t="shared" si="26"/>
        <v>5.0475815943830639E-2</v>
      </c>
      <c r="FP27" s="184">
        <f t="shared" si="27"/>
        <v>0.94952418405616934</v>
      </c>
      <c r="FQ27" s="23">
        <f t="shared" si="28"/>
        <v>3.3003418117120041E-3</v>
      </c>
      <c r="FR27" s="23">
        <f t="shared" si="29"/>
        <v>6.2084273572903394E-2</v>
      </c>
      <c r="FS27" s="23">
        <f t="shared" si="30"/>
        <v>1.9881577178987973E-4</v>
      </c>
      <c r="FT27" s="393">
        <f t="shared" si="31"/>
        <v>9.9407885894939863E-5</v>
      </c>
      <c r="FU27" s="393">
        <f t="shared" si="32"/>
        <v>9.9407885894939863E-5</v>
      </c>
      <c r="FV27" s="23">
        <f t="shared" si="33"/>
        <v>3.7400164802953847E-3</v>
      </c>
      <c r="FW27" s="69"/>
      <c r="GH27" s="67"/>
      <c r="GU27" s="69"/>
      <c r="HH27" s="90"/>
      <c r="HI27" s="67"/>
      <c r="HT27" s="24"/>
      <c r="IF27" s="90"/>
      <c r="IQ27" s="90"/>
      <c r="IR27" s="69"/>
      <c r="JH27" s="69"/>
      <c r="JI27" s="90"/>
      <c r="KB27" s="69"/>
      <c r="KC27" s="90"/>
      <c r="KD27" s="90"/>
      <c r="KE27" s="90"/>
      <c r="KF27" s="90"/>
      <c r="KU27" s="69"/>
      <c r="KV27" s="90"/>
      <c r="LT27" s="423"/>
      <c r="LU27" s="80"/>
      <c r="LV27" s="80"/>
      <c r="LW27" s="80"/>
      <c r="LX27" s="80"/>
      <c r="LY27" s="80"/>
      <c r="LZ27" s="80"/>
      <c r="MA27" s="80"/>
      <c r="MB27" s="80"/>
      <c r="MC27" s="80"/>
      <c r="MD27" s="80"/>
      <c r="ME27" s="80"/>
      <c r="MF27" s="80"/>
      <c r="MG27" s="80"/>
      <c r="MH27" s="67"/>
      <c r="MM27" s="24"/>
      <c r="MP27" s="24"/>
      <c r="MY27" s="24"/>
      <c r="NC27" s="24"/>
      <c r="NJ27" s="24"/>
      <c r="NO27" s="24"/>
      <c r="NU27" s="69"/>
      <c r="NV27" s="90"/>
      <c r="NW27" s="90"/>
      <c r="NX27" s="90"/>
      <c r="NY27" s="90"/>
      <c r="NZ27" s="90"/>
      <c r="OA27" s="90"/>
      <c r="OB27" s="90"/>
      <c r="OC27" s="90"/>
      <c r="OD27" s="90"/>
      <c r="OE27" s="90"/>
      <c r="OF27" s="90"/>
      <c r="OG27" s="90"/>
      <c r="OH27" s="90"/>
      <c r="OM27" s="80"/>
      <c r="OO27" s="67"/>
      <c r="PG27" s="69"/>
      <c r="PH27" s="80"/>
      <c r="PI27" s="80"/>
    </row>
    <row r="28" spans="2:425">
      <c r="B28" s="71">
        <v>1936</v>
      </c>
      <c r="C28" s="43">
        <v>75.2</v>
      </c>
      <c r="D28" s="5">
        <v>6.2</v>
      </c>
      <c r="E28" s="6">
        <f t="shared" si="0"/>
        <v>8.2446808510638292E-2</v>
      </c>
      <c r="F28" s="72">
        <f t="shared" si="1"/>
        <v>0</v>
      </c>
      <c r="G28" s="73">
        <f t="shared" si="2"/>
        <v>6.1000000000000005</v>
      </c>
      <c r="H28" s="23">
        <f t="shared" si="3"/>
        <v>8.1117021276595744E-2</v>
      </c>
      <c r="I28" s="74">
        <v>0.1</v>
      </c>
      <c r="J28" s="19">
        <f t="shared" si="4"/>
        <v>1.3297872340425532E-3</v>
      </c>
      <c r="K28" s="6">
        <f t="shared" si="5"/>
        <v>1.6129032258064516E-2</v>
      </c>
      <c r="L28" s="136">
        <f t="shared" si="38"/>
        <v>0.1307692307692308</v>
      </c>
      <c r="M28" s="19">
        <f t="shared" si="6"/>
        <v>1.7389525368248777E-3</v>
      </c>
      <c r="N28" s="167">
        <f t="shared" si="7"/>
        <v>2.1091811414392064E-2</v>
      </c>
      <c r="O28" s="5">
        <f t="shared" si="8"/>
        <v>6.2</v>
      </c>
      <c r="P28" s="75">
        <f t="shared" si="9"/>
        <v>0</v>
      </c>
      <c r="Q28" s="271">
        <v>7.8</v>
      </c>
      <c r="R28" s="202">
        <v>0.6</v>
      </c>
      <c r="S28" s="53">
        <f t="shared" si="10"/>
        <v>9.6774193548387094E-2</v>
      </c>
      <c r="T28" s="74">
        <v>0</v>
      </c>
      <c r="U28" s="74">
        <v>-0.79999999999999993</v>
      </c>
      <c r="V28" s="207">
        <v>0.4</v>
      </c>
      <c r="W28" s="53">
        <f t="shared" si="11"/>
        <v>6.4516129032258063E-2</v>
      </c>
      <c r="X28" s="75">
        <f t="shared" si="12"/>
        <v>-1</v>
      </c>
      <c r="Y28" s="187"/>
      <c r="Z28" s="75"/>
      <c r="AA28" s="75"/>
      <c r="AB28" s="75"/>
      <c r="AC28" s="75">
        <v>0</v>
      </c>
      <c r="AD28" s="23">
        <f t="shared" si="13"/>
        <v>0</v>
      </c>
      <c r="AE28" s="76"/>
      <c r="AF28" s="76"/>
      <c r="AG28" s="76"/>
      <c r="AH28" s="97">
        <v>1.4</v>
      </c>
      <c r="AI28" s="22">
        <f t="shared" si="14"/>
        <v>1.8617021276595744E-2</v>
      </c>
      <c r="AJ28" s="22">
        <f t="shared" si="15"/>
        <v>1.8617021276595744E-2</v>
      </c>
      <c r="AK28" s="99">
        <f t="shared" si="16"/>
        <v>-0.10000000000000009</v>
      </c>
      <c r="AL28" s="71">
        <v>1.3</v>
      </c>
      <c r="AM28" s="72">
        <f>(0.5*Fedtax!C7+0.5*Fedtax!C8)/1000</f>
        <v>0.87849999999999995</v>
      </c>
      <c r="AN28" s="71">
        <v>0.2</v>
      </c>
      <c r="AO28" s="255">
        <v>0</v>
      </c>
      <c r="AP28" s="71">
        <v>0</v>
      </c>
      <c r="AQ28" s="6">
        <f t="shared" si="17"/>
        <v>6.3829787234042562E-2</v>
      </c>
      <c r="AR28" s="207">
        <v>0</v>
      </c>
      <c r="AS28" s="713"/>
      <c r="AT28" s="207"/>
      <c r="AU28" s="207"/>
      <c r="AV28" s="207"/>
      <c r="AW28" s="207"/>
      <c r="AX28" s="207"/>
      <c r="AY28" s="207"/>
      <c r="AZ28" s="706"/>
      <c r="BA28" s="207"/>
      <c r="BB28" s="207"/>
      <c r="BC28" s="207"/>
      <c r="BD28" s="207"/>
      <c r="BE28" s="207"/>
      <c r="BF28" s="186">
        <v>0.15</v>
      </c>
      <c r="BG28" s="435"/>
      <c r="BH28" s="140">
        <f t="shared" si="39"/>
        <v>0.2407407407407407</v>
      </c>
      <c r="BI28" s="248"/>
      <c r="BJ28" s="23">
        <f t="shared" si="40"/>
        <v>0.21113689095127605</v>
      </c>
      <c r="BK28" s="140">
        <f t="shared" si="41"/>
        <v>0.22469135802469131</v>
      </c>
      <c r="BL28" s="140">
        <f t="shared" si="42"/>
        <v>0.24916640797255452</v>
      </c>
      <c r="BM28" s="248">
        <f t="shared" si="43"/>
        <v>0.22469135802469131</v>
      </c>
      <c r="BN28" s="23">
        <f t="shared" si="44"/>
        <v>0.17948717948717949</v>
      </c>
      <c r="BO28" s="23">
        <f t="shared" si="45"/>
        <v>0.16666666666666666</v>
      </c>
      <c r="BP28" s="149">
        <f t="shared" si="18"/>
        <v>6.2</v>
      </c>
      <c r="BQ28" s="99">
        <f t="shared" si="19"/>
        <v>0</v>
      </c>
      <c r="BR28" s="153">
        <f t="shared" si="20"/>
        <v>1.4</v>
      </c>
      <c r="BS28" s="79">
        <v>4.5</v>
      </c>
      <c r="BT28" s="79">
        <v>0.3</v>
      </c>
      <c r="BU28" s="23">
        <f t="shared" si="46"/>
        <v>4.8387096774193547E-2</v>
      </c>
      <c r="BV28" s="71">
        <v>0.3</v>
      </c>
      <c r="BW28" s="71">
        <f t="shared" si="21"/>
        <v>0</v>
      </c>
      <c r="BX28" s="23">
        <f t="shared" si="22"/>
        <v>0</v>
      </c>
      <c r="BY28" s="23"/>
      <c r="BZ28" s="23"/>
      <c r="CA28" s="23"/>
      <c r="CB28" s="23"/>
      <c r="CC28" s="166">
        <f t="shared" si="23"/>
        <v>0.1307692307692308</v>
      </c>
      <c r="CD28" s="72"/>
      <c r="CH28" s="184">
        <f>95%</f>
        <v>0.95</v>
      </c>
      <c r="CI28" s="69"/>
      <c r="CL28" s="78"/>
      <c r="CM28" s="78"/>
      <c r="CN28" s="78"/>
      <c r="CO28" s="78"/>
      <c r="CZ28" s="69"/>
      <c r="DA28" s="90"/>
      <c r="DI28" s="67"/>
      <c r="EG28" s="67"/>
      <c r="EN28" s="24"/>
      <c r="EO28" s="184">
        <v>0.5</v>
      </c>
      <c r="ER28" s="69"/>
      <c r="ES28" s="90"/>
      <c r="ET28" s="90"/>
      <c r="EU28" s="90"/>
      <c r="EV28" s="90"/>
      <c r="FG28" s="184">
        <f t="shared" si="34"/>
        <v>5.4250388794453025E-4</v>
      </c>
      <c r="FH28" s="184">
        <f t="shared" si="24"/>
        <v>9.6965645872755524E-3</v>
      </c>
      <c r="FI28" s="184">
        <f t="shared" si="35"/>
        <v>-3.6166925862968689E-5</v>
      </c>
      <c r="FJ28" s="184">
        <f t="shared" si="25"/>
        <v>3.5764504896230759E-2</v>
      </c>
      <c r="FK28" s="184">
        <f t="shared" si="36"/>
        <v>5.3080336491005166E-3</v>
      </c>
      <c r="FL28" s="184"/>
      <c r="FM28" s="184"/>
      <c r="FN28" s="184">
        <f t="shared" si="37"/>
        <v>3.6166925862968689E-5</v>
      </c>
      <c r="FO28" s="184">
        <f t="shared" si="26"/>
        <v>5.1311607020551361E-2</v>
      </c>
      <c r="FP28" s="184">
        <f t="shared" si="27"/>
        <v>0.94868839297944862</v>
      </c>
      <c r="FQ28" s="23">
        <f t="shared" si="28"/>
        <v>1.0822547386468652E-3</v>
      </c>
      <c r="FR28" s="23">
        <f t="shared" si="29"/>
        <v>2.0009556675745197E-2</v>
      </c>
      <c r="FS28" s="23">
        <f t="shared" si="30"/>
        <v>8.9228449196948986E-5</v>
      </c>
      <c r="FT28" s="393">
        <f t="shared" si="31"/>
        <v>4.4614224598474493E-5</v>
      </c>
      <c r="FU28" s="393">
        <f t="shared" si="32"/>
        <v>4.4614224598474493E-5</v>
      </c>
      <c r="FV28" s="23">
        <f t="shared" si="33"/>
        <v>1.6497240876279283E-3</v>
      </c>
      <c r="FW28" s="69"/>
      <c r="GH28" s="67"/>
      <c r="GU28" s="69"/>
      <c r="HH28" s="90"/>
      <c r="HI28" s="67"/>
      <c r="HT28" s="24"/>
      <c r="IF28" s="90"/>
      <c r="IQ28" s="90"/>
      <c r="IR28" s="69"/>
      <c r="JH28" s="69"/>
      <c r="JI28" s="90"/>
      <c r="KB28" s="69"/>
      <c r="KC28" s="90"/>
      <c r="KD28" s="90"/>
      <c r="KE28" s="90"/>
      <c r="KF28" s="90"/>
      <c r="KU28" s="69"/>
      <c r="KV28" s="90"/>
      <c r="LT28" s="423"/>
      <c r="LU28" s="80"/>
      <c r="LV28" s="80"/>
      <c r="LW28" s="80"/>
      <c r="LX28" s="80"/>
      <c r="LY28" s="80"/>
      <c r="LZ28" s="80"/>
      <c r="MA28" s="80"/>
      <c r="MB28" s="80"/>
      <c r="MC28" s="80"/>
      <c r="MD28" s="80"/>
      <c r="ME28" s="80"/>
      <c r="MF28" s="80"/>
      <c r="MG28" s="80"/>
      <c r="MH28" s="67"/>
      <c r="MM28" s="24"/>
      <c r="MP28" s="24"/>
      <c r="MY28" s="24"/>
      <c r="NC28" s="24"/>
      <c r="NJ28" s="24"/>
      <c r="NO28" s="24"/>
      <c r="NU28" s="69"/>
      <c r="NV28" s="90"/>
      <c r="NW28" s="90"/>
      <c r="NX28" s="90"/>
      <c r="NY28" s="90"/>
      <c r="NZ28" s="90"/>
      <c r="OA28" s="90"/>
      <c r="OB28" s="90"/>
      <c r="OC28" s="90"/>
      <c r="OD28" s="90"/>
      <c r="OE28" s="90"/>
      <c r="OF28" s="90"/>
      <c r="OG28" s="90"/>
      <c r="OH28" s="90"/>
      <c r="OM28" s="80"/>
      <c r="OO28" s="67"/>
      <c r="PG28" s="69"/>
      <c r="PH28" s="80"/>
      <c r="PI28" s="80"/>
    </row>
    <row r="29" spans="2:425">
      <c r="B29" s="71">
        <v>1937</v>
      </c>
      <c r="C29" s="43">
        <v>83.7</v>
      </c>
      <c r="D29" s="5">
        <v>7.1</v>
      </c>
      <c r="E29" s="6">
        <f t="shared" si="0"/>
        <v>8.4826762246117071E-2</v>
      </c>
      <c r="F29" s="72">
        <f t="shared" si="1"/>
        <v>0</v>
      </c>
      <c r="G29" s="73">
        <f t="shared" si="2"/>
        <v>6.8</v>
      </c>
      <c r="H29" s="23">
        <f t="shared" si="3"/>
        <v>8.1242532855436075E-2</v>
      </c>
      <c r="I29" s="74">
        <v>0.3</v>
      </c>
      <c r="J29" s="19">
        <f t="shared" si="4"/>
        <v>3.5842293906810031E-3</v>
      </c>
      <c r="K29" s="6">
        <f t="shared" si="5"/>
        <v>4.2253521126760563E-2</v>
      </c>
      <c r="L29" s="136">
        <f t="shared" si="38"/>
        <v>0.39230769230769241</v>
      </c>
      <c r="M29" s="19">
        <f t="shared" si="6"/>
        <v>4.6870692031982363E-3</v>
      </c>
      <c r="N29" s="167">
        <f t="shared" si="7"/>
        <v>5.5254604550379213E-2</v>
      </c>
      <c r="O29" s="5">
        <f t="shared" si="8"/>
        <v>7.1</v>
      </c>
      <c r="P29" s="75">
        <f t="shared" si="9"/>
        <v>0</v>
      </c>
      <c r="Q29" s="271">
        <v>7.8</v>
      </c>
      <c r="R29" s="202">
        <v>0.7</v>
      </c>
      <c r="S29" s="53">
        <f t="shared" si="10"/>
        <v>9.8591549295774641E-2</v>
      </c>
      <c r="T29" s="74">
        <v>0</v>
      </c>
      <c r="U29" s="74">
        <v>-0.5</v>
      </c>
      <c r="V29" s="207">
        <v>0.1</v>
      </c>
      <c r="W29" s="53">
        <f t="shared" si="11"/>
        <v>1.4084507042253523E-2</v>
      </c>
      <c r="X29" s="75">
        <f t="shared" si="12"/>
        <v>-0.80000000000000071</v>
      </c>
      <c r="Y29" s="187"/>
      <c r="Z29" s="75"/>
      <c r="AA29" s="75"/>
      <c r="AB29" s="75"/>
      <c r="AC29" s="75">
        <v>0</v>
      </c>
      <c r="AD29" s="23">
        <f t="shared" si="13"/>
        <v>0</v>
      </c>
      <c r="AE29" s="76"/>
      <c r="AF29" s="76"/>
      <c r="AG29" s="76"/>
      <c r="AH29" s="97">
        <v>1.5</v>
      </c>
      <c r="AI29" s="22">
        <f t="shared" si="14"/>
        <v>1.7921146953405017E-2</v>
      </c>
      <c r="AJ29" s="22">
        <f t="shared" si="15"/>
        <v>1.7921146953405017E-2</v>
      </c>
      <c r="AK29" s="99">
        <f t="shared" si="16"/>
        <v>-0.10000000000000009</v>
      </c>
      <c r="AL29" s="71">
        <v>1.4000000000000001</v>
      </c>
      <c r="AM29" s="72">
        <f>(0.5*Fedtax!C8+0.5*Fedtax!C9)/1000</f>
        <v>1.1625000000000001</v>
      </c>
      <c r="AN29" s="71">
        <v>0.2</v>
      </c>
      <c r="AO29" s="255">
        <v>0</v>
      </c>
      <c r="AP29" s="71">
        <v>0</v>
      </c>
      <c r="AQ29" s="6">
        <f t="shared" si="17"/>
        <v>6.6905615292712065E-2</v>
      </c>
      <c r="AR29" s="207">
        <v>0</v>
      </c>
      <c r="AS29" s="713"/>
      <c r="AT29" s="207"/>
      <c r="AU29" s="207"/>
      <c r="AV29" s="207"/>
      <c r="AW29" s="207"/>
      <c r="AX29" s="207"/>
      <c r="AY29" s="207"/>
      <c r="AZ29" s="706"/>
      <c r="BA29" s="207"/>
      <c r="BB29" s="207"/>
      <c r="BC29" s="207"/>
      <c r="BD29" s="207"/>
      <c r="BE29" s="207"/>
      <c r="BF29" s="186">
        <v>0.15</v>
      </c>
      <c r="BG29" s="435"/>
      <c r="BH29" s="140">
        <f t="shared" si="39"/>
        <v>0.22245989304812835</v>
      </c>
      <c r="BI29" s="248"/>
      <c r="BJ29" s="23">
        <f t="shared" si="40"/>
        <v>0.20569620253164558</v>
      </c>
      <c r="BK29" s="140">
        <f t="shared" si="41"/>
        <v>0.20855614973262032</v>
      </c>
      <c r="BL29" s="140">
        <f t="shared" si="42"/>
        <v>0.23901384341257098</v>
      </c>
      <c r="BM29" s="248">
        <f t="shared" si="43"/>
        <v>0.20855614973262032</v>
      </c>
      <c r="BN29" s="23">
        <f t="shared" si="44"/>
        <v>0.19230769230769232</v>
      </c>
      <c r="BO29" s="23">
        <f t="shared" si="45"/>
        <v>0.17647058823529413</v>
      </c>
      <c r="BP29" s="149">
        <f t="shared" si="18"/>
        <v>7.1</v>
      </c>
      <c r="BQ29" s="99">
        <f t="shared" si="19"/>
        <v>0</v>
      </c>
      <c r="BR29" s="153">
        <f t="shared" si="20"/>
        <v>1.5</v>
      </c>
      <c r="BS29" s="79">
        <v>4.7</v>
      </c>
      <c r="BT29" s="79">
        <v>0.9</v>
      </c>
      <c r="BU29" s="23">
        <f t="shared" si="46"/>
        <v>0.12676056338028169</v>
      </c>
      <c r="BV29" s="71">
        <v>0.7</v>
      </c>
      <c r="BW29" s="71">
        <f t="shared" si="21"/>
        <v>0.20000000000000007</v>
      </c>
      <c r="BX29" s="23">
        <f t="shared" si="22"/>
        <v>2.8169014084507053E-2</v>
      </c>
      <c r="BY29" s="23"/>
      <c r="BZ29" s="23"/>
      <c r="CA29" s="23"/>
      <c r="CB29" s="23"/>
      <c r="CC29" s="166">
        <f t="shared" si="23"/>
        <v>0.39230769230769241</v>
      </c>
      <c r="CD29" s="72"/>
      <c r="CH29" s="184">
        <f>95%</f>
        <v>0.95</v>
      </c>
      <c r="CI29" s="69"/>
      <c r="CL29" s="78"/>
      <c r="CM29" s="78"/>
      <c r="CN29" s="78"/>
      <c r="CO29" s="78"/>
      <c r="CZ29" s="69"/>
      <c r="DA29" s="90"/>
      <c r="DI29" s="67"/>
      <c r="EG29" s="67"/>
      <c r="EN29" s="24"/>
      <c r="EO29" s="184">
        <v>0.5</v>
      </c>
      <c r="ER29" s="69"/>
      <c r="ES29" s="90"/>
      <c r="ET29" s="90"/>
      <c r="EU29" s="90"/>
      <c r="EV29" s="90"/>
      <c r="FG29" s="184">
        <f t="shared" si="34"/>
        <v>6.2000444336517743E-4</v>
      </c>
      <c r="FH29" s="184">
        <f t="shared" si="24"/>
        <v>9.6965645872755524E-3</v>
      </c>
      <c r="FI29" s="184">
        <f t="shared" si="35"/>
        <v>-4.1333629557678503E-5</v>
      </c>
      <c r="FJ29" s="184">
        <f t="shared" si="25"/>
        <v>3.5764504896230759E-2</v>
      </c>
      <c r="FK29" s="184">
        <f t="shared" si="36"/>
        <v>6.0663241704005909E-3</v>
      </c>
      <c r="FL29" s="184"/>
      <c r="FM29" s="184"/>
      <c r="FN29" s="184">
        <f t="shared" si="37"/>
        <v>4.1333629557678503E-5</v>
      </c>
      <c r="FO29" s="184">
        <f t="shared" si="26"/>
        <v>5.2147398097272077E-2</v>
      </c>
      <c r="FP29" s="184">
        <f t="shared" si="27"/>
        <v>0.94785260190272791</v>
      </c>
      <c r="FQ29" s="23">
        <f t="shared" si="28"/>
        <v>2.8813838601959661E-3</v>
      </c>
      <c r="FR29" s="23">
        <f t="shared" si="29"/>
        <v>5.2373220690183249E-2</v>
      </c>
      <c r="FS29" s="23">
        <f t="shared" si="30"/>
        <v>2.4441846364864226E-4</v>
      </c>
      <c r="FT29" s="393">
        <f t="shared" si="31"/>
        <v>1.2220923182432113E-4</v>
      </c>
      <c r="FU29" s="393">
        <f t="shared" si="32"/>
        <v>1.2220923182432113E-4</v>
      </c>
      <c r="FV29" s="23">
        <f t="shared" si="33"/>
        <v>4.4426507395495937E-3</v>
      </c>
      <c r="FW29" s="69"/>
      <c r="GH29" s="67"/>
      <c r="GU29" s="69"/>
      <c r="HH29" s="90"/>
      <c r="HI29" s="67"/>
      <c r="HT29" s="24"/>
      <c r="IF29" s="90"/>
      <c r="IQ29" s="90"/>
      <c r="IR29" s="69"/>
      <c r="JH29" s="69"/>
      <c r="JI29" s="90"/>
      <c r="KB29" s="69"/>
      <c r="KC29" s="90"/>
      <c r="KD29" s="90"/>
      <c r="KE29" s="90"/>
      <c r="KF29" s="90"/>
      <c r="KU29" s="69"/>
      <c r="KV29" s="90"/>
      <c r="LT29" s="423"/>
      <c r="LU29" s="80"/>
      <c r="LV29" s="80"/>
      <c r="LW29" s="80"/>
      <c r="LX29" s="80"/>
      <c r="LY29" s="80"/>
      <c r="LZ29" s="80"/>
      <c r="MA29" s="80"/>
      <c r="MB29" s="80"/>
      <c r="MC29" s="80"/>
      <c r="MD29" s="80"/>
      <c r="ME29" s="80"/>
      <c r="MF29" s="80"/>
      <c r="MG29" s="80"/>
      <c r="MH29" s="67"/>
      <c r="MM29" s="24"/>
      <c r="MP29" s="24"/>
      <c r="MY29" s="24"/>
      <c r="NC29" s="24"/>
      <c r="NJ29" s="24"/>
      <c r="NO29" s="24"/>
      <c r="NU29" s="69"/>
      <c r="NV29" s="90"/>
      <c r="NW29" s="90"/>
      <c r="NX29" s="90"/>
      <c r="NY29" s="90"/>
      <c r="NZ29" s="90"/>
      <c r="OA29" s="90"/>
      <c r="OB29" s="90"/>
      <c r="OC29" s="90"/>
      <c r="OD29" s="90"/>
      <c r="OE29" s="90"/>
      <c r="OF29" s="90"/>
      <c r="OG29" s="90"/>
      <c r="OH29" s="90"/>
      <c r="OM29" s="80"/>
      <c r="OO29" s="67"/>
      <c r="PG29" s="69"/>
      <c r="PH29" s="80"/>
      <c r="PI29" s="80"/>
    </row>
    <row r="30" spans="2:425">
      <c r="B30" s="71">
        <v>1938</v>
      </c>
      <c r="C30" s="43">
        <v>77.099999999999994</v>
      </c>
      <c r="D30" s="5">
        <v>5</v>
      </c>
      <c r="E30" s="6">
        <f t="shared" si="0"/>
        <v>6.4850843060959798E-2</v>
      </c>
      <c r="F30" s="72">
        <f t="shared" si="1"/>
        <v>0</v>
      </c>
      <c r="G30" s="73">
        <f t="shared" si="2"/>
        <v>4.7</v>
      </c>
      <c r="H30" s="23">
        <f t="shared" si="3"/>
        <v>6.095979247730221E-2</v>
      </c>
      <c r="I30" s="74">
        <v>0.3</v>
      </c>
      <c r="J30" s="19">
        <f t="shared" si="4"/>
        <v>3.8910505836575876E-3</v>
      </c>
      <c r="K30" s="6">
        <f t="shared" si="5"/>
        <v>0.06</v>
      </c>
      <c r="L30" s="136">
        <f t="shared" si="38"/>
        <v>0.39230769230769241</v>
      </c>
      <c r="M30" s="19">
        <f t="shared" si="6"/>
        <v>5.0882969170906933E-3</v>
      </c>
      <c r="N30" s="167">
        <f t="shared" si="7"/>
        <v>7.8461538461538485E-2</v>
      </c>
      <c r="O30" s="5">
        <f t="shared" si="8"/>
        <v>5</v>
      </c>
      <c r="P30" s="75">
        <f t="shared" si="9"/>
        <v>0</v>
      </c>
      <c r="Q30" s="271">
        <v>4.0999999999999996</v>
      </c>
      <c r="R30" s="202">
        <v>0.5</v>
      </c>
      <c r="S30" s="53">
        <f t="shared" si="10"/>
        <v>0.1</v>
      </c>
      <c r="T30" s="74">
        <v>0</v>
      </c>
      <c r="U30" s="74">
        <v>0.4</v>
      </c>
      <c r="V30" s="207">
        <v>0</v>
      </c>
      <c r="W30" s="53">
        <f t="shared" si="11"/>
        <v>0</v>
      </c>
      <c r="X30" s="75">
        <f t="shared" si="12"/>
        <v>0</v>
      </c>
      <c r="Y30" s="187"/>
      <c r="Z30" s="75"/>
      <c r="AA30" s="75"/>
      <c r="AB30" s="75"/>
      <c r="AC30" s="75">
        <v>0</v>
      </c>
      <c r="AD30" s="23">
        <f t="shared" si="13"/>
        <v>0</v>
      </c>
      <c r="AE30" s="76"/>
      <c r="AF30" s="76"/>
      <c r="AG30" s="76"/>
      <c r="AH30" s="97">
        <v>1</v>
      </c>
      <c r="AI30" s="22">
        <f t="shared" si="14"/>
        <v>1.2970168612191959E-2</v>
      </c>
      <c r="AJ30" s="22">
        <f t="shared" si="15"/>
        <v>1.2970168612191959E-2</v>
      </c>
      <c r="AK30" s="99">
        <f t="shared" si="16"/>
        <v>-0.10000000000000009</v>
      </c>
      <c r="AL30" s="71">
        <v>1</v>
      </c>
      <c r="AM30" s="72">
        <f>(0.5*Fedtax!C9+0.5*Fedtax!C10)/1000</f>
        <v>1.2070000000000001</v>
      </c>
      <c r="AN30" s="71">
        <v>0.1</v>
      </c>
      <c r="AO30" s="255">
        <v>0</v>
      </c>
      <c r="AP30" s="71">
        <v>0</v>
      </c>
      <c r="AQ30" s="6">
        <f t="shared" si="17"/>
        <v>5.1880674448767837E-2</v>
      </c>
      <c r="AR30" s="207">
        <v>0</v>
      </c>
      <c r="AS30" s="713"/>
      <c r="AT30" s="207"/>
      <c r="AU30" s="207"/>
      <c r="AV30" s="207"/>
      <c r="AW30" s="207"/>
      <c r="AX30" s="207"/>
      <c r="AY30" s="207"/>
      <c r="AZ30" s="706"/>
      <c r="BA30" s="207"/>
      <c r="BB30" s="207"/>
      <c r="BC30" s="207"/>
      <c r="BD30" s="207"/>
      <c r="BE30" s="207"/>
      <c r="BF30" s="186">
        <v>0.19</v>
      </c>
      <c r="BG30" s="435"/>
      <c r="BH30" s="140">
        <f t="shared" si="39"/>
        <v>0.21601208459214502</v>
      </c>
      <c r="BI30" s="248"/>
      <c r="BJ30" s="23">
        <f t="shared" si="40"/>
        <v>0.19637462235649544</v>
      </c>
      <c r="BK30" s="140">
        <f t="shared" si="41"/>
        <v>0.19637462235649544</v>
      </c>
      <c r="BL30" s="140">
        <f t="shared" si="42"/>
        <v>0.23048599920135587</v>
      </c>
      <c r="BM30" s="248">
        <f t="shared" si="43"/>
        <v>0.19637462235649544</v>
      </c>
      <c r="BN30" s="23">
        <f t="shared" si="44"/>
        <v>0.24390243902439027</v>
      </c>
      <c r="BO30" s="23">
        <f t="shared" si="45"/>
        <v>0.21739130434782611</v>
      </c>
      <c r="BP30" s="149">
        <f t="shared" si="18"/>
        <v>5</v>
      </c>
      <c r="BQ30" s="99">
        <f t="shared" si="19"/>
        <v>0</v>
      </c>
      <c r="BR30" s="153">
        <f t="shared" si="20"/>
        <v>1</v>
      </c>
      <c r="BS30" s="79">
        <v>3.2</v>
      </c>
      <c r="BT30" s="79">
        <v>0.8</v>
      </c>
      <c r="BU30" s="23">
        <f t="shared" si="46"/>
        <v>0.16</v>
      </c>
      <c r="BV30" s="71">
        <v>0.8</v>
      </c>
      <c r="BW30" s="71">
        <f t="shared" si="21"/>
        <v>0</v>
      </c>
      <c r="BX30" s="23">
        <f t="shared" si="22"/>
        <v>0</v>
      </c>
      <c r="BY30" s="23"/>
      <c r="BZ30" s="23"/>
      <c r="CA30" s="23"/>
      <c r="CB30" s="23"/>
      <c r="CC30" s="166">
        <f t="shared" si="23"/>
        <v>0.39230769230769241</v>
      </c>
      <c r="CD30" s="72"/>
      <c r="CH30" s="184">
        <f>95%</f>
        <v>0.95</v>
      </c>
      <c r="CI30" s="69"/>
      <c r="CL30" s="78"/>
      <c r="CM30" s="78"/>
      <c r="CN30" s="78"/>
      <c r="CO30" s="78"/>
      <c r="CZ30" s="69"/>
      <c r="DA30" s="90"/>
      <c r="DI30" s="67"/>
      <c r="EG30" s="67"/>
      <c r="EN30" s="24"/>
      <c r="EO30" s="184">
        <v>0.5</v>
      </c>
      <c r="ER30" s="69"/>
      <c r="ES30" s="90"/>
      <c r="ET30" s="90"/>
      <c r="EU30" s="90"/>
      <c r="EV30" s="90"/>
      <c r="FG30" s="184">
        <f t="shared" si="34"/>
        <v>6.975049987858246E-4</v>
      </c>
      <c r="FH30" s="184">
        <f t="shared" si="24"/>
        <v>9.6965645872755524E-3</v>
      </c>
      <c r="FI30" s="184">
        <f t="shared" si="35"/>
        <v>-4.6500333252388316E-5</v>
      </c>
      <c r="FJ30" s="184">
        <f t="shared" si="25"/>
        <v>3.5764504896230759E-2</v>
      </c>
      <c r="FK30" s="184">
        <f t="shared" si="36"/>
        <v>6.8246146917006652E-3</v>
      </c>
      <c r="FL30" s="184"/>
      <c r="FM30" s="184"/>
      <c r="FN30" s="184">
        <f t="shared" si="37"/>
        <v>4.6500333252388316E-5</v>
      </c>
      <c r="FO30" s="184">
        <f t="shared" si="26"/>
        <v>5.2983189173992799E-2</v>
      </c>
      <c r="FP30" s="184">
        <f t="shared" si="27"/>
        <v>0.94701681082600719</v>
      </c>
      <c r="FQ30" s="23">
        <f t="shared" si="28"/>
        <v>4.1571425351902055E-3</v>
      </c>
      <c r="FR30" s="23">
        <f t="shared" si="29"/>
        <v>7.4304395926348285E-2</v>
      </c>
      <c r="FS30" s="23">
        <f t="shared" si="30"/>
        <v>2.6959419813166055E-4</v>
      </c>
      <c r="FT30" s="393">
        <f t="shared" si="31"/>
        <v>1.3479709906583028E-4</v>
      </c>
      <c r="FU30" s="393">
        <f t="shared" si="32"/>
        <v>1.3479709906583028E-4</v>
      </c>
      <c r="FV30" s="23">
        <f t="shared" si="33"/>
        <v>4.8187027189590332E-3</v>
      </c>
      <c r="FW30" s="69"/>
      <c r="GH30" s="67"/>
      <c r="GU30" s="69"/>
      <c r="HH30" s="90"/>
      <c r="HI30" s="67"/>
      <c r="HT30" s="24"/>
      <c r="IF30" s="90"/>
      <c r="IQ30" s="90"/>
      <c r="IR30" s="69"/>
      <c r="JH30" s="69"/>
      <c r="JI30" s="90"/>
      <c r="KB30" s="69"/>
      <c r="KC30" s="90"/>
      <c r="KD30" s="90"/>
      <c r="KE30" s="90"/>
      <c r="KF30" s="90"/>
      <c r="KU30" s="69"/>
      <c r="KV30" s="90"/>
      <c r="LT30" s="423"/>
      <c r="LU30" s="80"/>
      <c r="LV30" s="80"/>
      <c r="LW30" s="80"/>
      <c r="LX30" s="80"/>
      <c r="LY30" s="80"/>
      <c r="LZ30" s="80"/>
      <c r="MA30" s="80"/>
      <c r="MB30" s="80"/>
      <c r="MC30" s="80"/>
      <c r="MD30" s="80"/>
      <c r="ME30" s="80"/>
      <c r="MF30" s="80"/>
      <c r="MG30" s="80"/>
      <c r="MH30" s="67"/>
      <c r="MM30" s="24"/>
      <c r="MP30" s="24"/>
      <c r="MY30" s="24"/>
      <c r="NC30" s="24"/>
      <c r="NJ30" s="24"/>
      <c r="NO30" s="24"/>
      <c r="NU30" s="69"/>
      <c r="NV30" s="90"/>
      <c r="NW30" s="90"/>
      <c r="NX30" s="90"/>
      <c r="NY30" s="90"/>
      <c r="NZ30" s="90"/>
      <c r="OA30" s="90"/>
      <c r="OB30" s="90"/>
      <c r="OC30" s="90"/>
      <c r="OD30" s="90"/>
      <c r="OE30" s="90"/>
      <c r="OF30" s="90"/>
      <c r="OG30" s="90"/>
      <c r="OH30" s="90"/>
      <c r="OM30" s="80"/>
      <c r="OO30" s="67"/>
      <c r="PG30" s="69"/>
      <c r="PH30" s="80"/>
      <c r="PI30" s="80"/>
    </row>
    <row r="31" spans="2:425" s="113" customFormat="1">
      <c r="B31" s="103">
        <v>1939</v>
      </c>
      <c r="C31" s="104">
        <v>82.5</v>
      </c>
      <c r="D31" s="8">
        <v>6.6</v>
      </c>
      <c r="E31" s="105">
        <f t="shared" si="0"/>
        <v>0.08</v>
      </c>
      <c r="F31" s="106">
        <f t="shared" si="1"/>
        <v>0</v>
      </c>
      <c r="G31" s="106">
        <f t="shared" si="2"/>
        <v>6.3</v>
      </c>
      <c r="H31" s="105">
        <f t="shared" si="3"/>
        <v>7.6363636363636356E-2</v>
      </c>
      <c r="I31" s="103">
        <v>0.3</v>
      </c>
      <c r="J31" s="107">
        <f t="shared" si="4"/>
        <v>3.6363636363636364E-3</v>
      </c>
      <c r="K31" s="105">
        <f t="shared" si="5"/>
        <v>4.5454545454545456E-2</v>
      </c>
      <c r="L31" s="134">
        <f t="shared" si="38"/>
        <v>0.39230769230769241</v>
      </c>
      <c r="M31" s="107">
        <f t="shared" si="6"/>
        <v>4.7552447552447561E-3</v>
      </c>
      <c r="N31" s="168">
        <f t="shared" si="7"/>
        <v>5.9440559440559461E-2</v>
      </c>
      <c r="O31" s="8">
        <f t="shared" si="8"/>
        <v>6.6</v>
      </c>
      <c r="P31" s="108">
        <f t="shared" si="9"/>
        <v>0</v>
      </c>
      <c r="Q31" s="270">
        <v>7.2</v>
      </c>
      <c r="R31" s="201">
        <v>0.6</v>
      </c>
      <c r="S31" s="109">
        <f t="shared" si="10"/>
        <v>9.0909090909090912E-2</v>
      </c>
      <c r="T31" s="103">
        <v>0</v>
      </c>
      <c r="U31" s="103">
        <v>-1.2</v>
      </c>
      <c r="V31" s="206">
        <v>0</v>
      </c>
      <c r="W31" s="109">
        <f t="shared" si="11"/>
        <v>0</v>
      </c>
      <c r="X31" s="108">
        <f t="shared" si="12"/>
        <v>0</v>
      </c>
      <c r="Y31" s="188"/>
      <c r="Z31" s="108"/>
      <c r="AA31" s="108"/>
      <c r="AB31" s="108"/>
      <c r="AC31" s="108">
        <v>0</v>
      </c>
      <c r="AD31" s="105">
        <f t="shared" si="13"/>
        <v>0</v>
      </c>
      <c r="AE31" s="108"/>
      <c r="AF31" s="108"/>
      <c r="AG31" s="108"/>
      <c r="AH31" s="110">
        <v>1.4</v>
      </c>
      <c r="AI31" s="107">
        <f t="shared" si="14"/>
        <v>1.6969696969696968E-2</v>
      </c>
      <c r="AJ31" s="107">
        <f t="shared" si="15"/>
        <v>1.6969696969696968E-2</v>
      </c>
      <c r="AK31" s="111">
        <f t="shared" si="16"/>
        <v>-0.10000000000000009</v>
      </c>
      <c r="AL31" s="103">
        <v>1.3</v>
      </c>
      <c r="AM31" s="106">
        <f>(0.5*Fedtax!C10+0.5*Fedtax!C11)/1000</f>
        <v>1.1619999999999999</v>
      </c>
      <c r="AN31" s="103">
        <v>0.2</v>
      </c>
      <c r="AO31" s="277">
        <v>0</v>
      </c>
      <c r="AP31" s="103">
        <v>0</v>
      </c>
      <c r="AQ31" s="105">
        <f t="shared" si="17"/>
        <v>6.303030303030302E-2</v>
      </c>
      <c r="AR31" s="206">
        <v>0</v>
      </c>
      <c r="AS31" s="712"/>
      <c r="AT31" s="206"/>
      <c r="AU31" s="206"/>
      <c r="AV31" s="206"/>
      <c r="AW31" s="206"/>
      <c r="AX31" s="206"/>
      <c r="AY31" s="206"/>
      <c r="AZ31" s="705"/>
      <c r="BA31" s="206"/>
      <c r="BB31" s="206"/>
      <c r="BC31" s="206"/>
      <c r="BD31" s="206"/>
      <c r="BE31" s="206"/>
      <c r="BF31" s="232">
        <v>0.19</v>
      </c>
      <c r="BG31" s="135"/>
      <c r="BH31" s="141">
        <f t="shared" si="39"/>
        <v>0.22413793103448276</v>
      </c>
      <c r="BI31" s="247"/>
      <c r="BJ31" s="105">
        <f t="shared" si="40"/>
        <v>0.20919540229885056</v>
      </c>
      <c r="BK31" s="141">
        <f t="shared" si="41"/>
        <v>0.20919540229885056</v>
      </c>
      <c r="BL31" s="141">
        <f t="shared" si="42"/>
        <v>0.21700593072495575</v>
      </c>
      <c r="BM31" s="247">
        <f t="shared" si="43"/>
        <v>0.20919540229885056</v>
      </c>
      <c r="BN31" s="105">
        <f t="shared" si="44"/>
        <v>0.19444444444444442</v>
      </c>
      <c r="BO31" s="105">
        <f t="shared" si="45"/>
        <v>0.17948717948717949</v>
      </c>
      <c r="BP31" s="150">
        <f t="shared" si="18"/>
        <v>6.6</v>
      </c>
      <c r="BQ31" s="111">
        <f t="shared" si="19"/>
        <v>0</v>
      </c>
      <c r="BR31" s="154">
        <f t="shared" si="20"/>
        <v>1.4</v>
      </c>
      <c r="BS31" s="134">
        <v>3.8</v>
      </c>
      <c r="BT31" s="134">
        <v>1.4</v>
      </c>
      <c r="BU31" s="105">
        <f t="shared" si="46"/>
        <v>0.21212121212121213</v>
      </c>
      <c r="BV31" s="103">
        <v>1.2</v>
      </c>
      <c r="BW31" s="103">
        <f t="shared" si="21"/>
        <v>0.19999999999999996</v>
      </c>
      <c r="BX31" s="105">
        <f t="shared" si="22"/>
        <v>3.0303030303030297E-2</v>
      </c>
      <c r="BY31" s="105"/>
      <c r="BZ31" s="105"/>
      <c r="CA31" s="105"/>
      <c r="CB31" s="105"/>
      <c r="CC31" s="165">
        <f t="shared" si="23"/>
        <v>0.39230769230769241</v>
      </c>
      <c r="CD31" s="106"/>
      <c r="CH31" s="410">
        <f>95%</f>
        <v>0.95</v>
      </c>
      <c r="CI31" s="181"/>
      <c r="CL31" s="114"/>
      <c r="CM31" s="114"/>
      <c r="CN31" s="114"/>
      <c r="CO31" s="114"/>
      <c r="CZ31" s="181"/>
      <c r="DI31" s="178"/>
      <c r="EG31" s="178"/>
      <c r="EN31" s="115"/>
      <c r="EO31" s="410">
        <v>0.5</v>
      </c>
      <c r="ER31" s="181"/>
      <c r="FG31" s="410">
        <f t="shared" si="34"/>
        <v>7.7500555420647178E-4</v>
      </c>
      <c r="FH31" s="410">
        <f t="shared" si="24"/>
        <v>9.6965645872755524E-3</v>
      </c>
      <c r="FI31" s="410">
        <f t="shared" si="35"/>
        <v>-5.166703694709813E-5</v>
      </c>
      <c r="FJ31" s="410">
        <f t="shared" si="25"/>
        <v>3.5764504896230759E-2</v>
      </c>
      <c r="FK31" s="410">
        <f t="shared" si="36"/>
        <v>7.5829052130007395E-3</v>
      </c>
      <c r="FL31" s="410"/>
      <c r="FM31" s="410"/>
      <c r="FN31" s="410">
        <f t="shared" si="37"/>
        <v>5.166703694709813E-5</v>
      </c>
      <c r="FO31" s="410">
        <f t="shared" si="26"/>
        <v>5.3818980250713529E-2</v>
      </c>
      <c r="FP31" s="410">
        <f t="shared" si="27"/>
        <v>0.94618101974928648</v>
      </c>
      <c r="FQ31" s="105">
        <f t="shared" si="28"/>
        <v>3.1990302946228334E-3</v>
      </c>
      <c r="FR31" s="105">
        <f t="shared" si="29"/>
        <v>5.6241529145936629E-2</v>
      </c>
      <c r="FS31" s="105">
        <f t="shared" si="30"/>
        <v>2.5592242356982668E-4</v>
      </c>
      <c r="FT31" s="398">
        <f t="shared" si="31"/>
        <v>1.2796121178491334E-4</v>
      </c>
      <c r="FU31" s="398">
        <f t="shared" si="32"/>
        <v>1.2796121178491334E-4</v>
      </c>
      <c r="FV31" s="105">
        <f t="shared" si="33"/>
        <v>4.4993223316749306E-3</v>
      </c>
      <c r="FW31" s="181"/>
      <c r="GH31" s="178"/>
      <c r="GU31" s="181"/>
      <c r="HI31" s="178"/>
      <c r="HT31" s="115"/>
      <c r="IR31" s="181"/>
      <c r="JH31" s="181"/>
      <c r="KB31" s="181"/>
      <c r="KU31" s="181"/>
      <c r="LT31" s="424"/>
      <c r="LU31" s="420"/>
      <c r="LV31" s="420"/>
      <c r="LW31" s="420"/>
      <c r="LX31" s="420"/>
      <c r="LY31" s="420"/>
      <c r="LZ31" s="420"/>
      <c r="MA31" s="420"/>
      <c r="MB31" s="420"/>
      <c r="MC31" s="420"/>
      <c r="MD31" s="420"/>
      <c r="ME31" s="420"/>
      <c r="MF31" s="420"/>
      <c r="MG31" s="420"/>
      <c r="MH31" s="178"/>
      <c r="MM31" s="115"/>
      <c r="MP31" s="115"/>
      <c r="MY31" s="115"/>
      <c r="NC31" s="115"/>
      <c r="NJ31" s="115"/>
      <c r="NO31" s="115"/>
      <c r="NU31" s="181"/>
      <c r="OM31" s="420"/>
      <c r="OO31" s="178"/>
      <c r="OP31" s="115"/>
      <c r="OQ31" s="115"/>
      <c r="OR31" s="115"/>
      <c r="PG31" s="181"/>
      <c r="PH31" s="420"/>
      <c r="PI31" s="420"/>
    </row>
    <row r="32" spans="2:425">
      <c r="B32" s="71">
        <v>1940</v>
      </c>
      <c r="C32" s="43">
        <v>91.6</v>
      </c>
      <c r="D32" s="5">
        <v>9.9</v>
      </c>
      <c r="E32" s="6">
        <f t="shared" si="0"/>
        <v>0.10807860262008735</v>
      </c>
      <c r="F32" s="72">
        <f t="shared" si="1"/>
        <v>0</v>
      </c>
      <c r="G32" s="73">
        <f t="shared" si="2"/>
        <v>9.6</v>
      </c>
      <c r="H32" s="23">
        <f t="shared" si="3"/>
        <v>0.10480349344978167</v>
      </c>
      <c r="I32" s="74">
        <v>0.3</v>
      </c>
      <c r="J32" s="19">
        <f t="shared" si="4"/>
        <v>3.2751091703056771E-3</v>
      </c>
      <c r="K32" s="6">
        <f t="shared" si="5"/>
        <v>3.03030303030303E-2</v>
      </c>
      <c r="L32" s="136">
        <f t="shared" si="38"/>
        <v>0.39230769230769241</v>
      </c>
      <c r="M32" s="19">
        <f t="shared" si="6"/>
        <v>4.2828350688612713E-3</v>
      </c>
      <c r="N32" s="167">
        <f t="shared" si="7"/>
        <v>3.9627039627039638E-2</v>
      </c>
      <c r="O32" s="5">
        <f t="shared" si="8"/>
        <v>9.9</v>
      </c>
      <c r="P32" s="75">
        <f t="shared" si="9"/>
        <v>0</v>
      </c>
      <c r="Q32" s="271">
        <v>9.3000000000000007</v>
      </c>
      <c r="R32" s="202">
        <v>0.6</v>
      </c>
      <c r="S32" s="53">
        <f t="shared" si="10"/>
        <v>6.0606060606060601E-2</v>
      </c>
      <c r="T32" s="74">
        <v>0</v>
      </c>
      <c r="U32" s="74">
        <v>-0.8</v>
      </c>
      <c r="V32" s="207">
        <v>-0.7</v>
      </c>
      <c r="W32" s="53">
        <f t="shared" si="11"/>
        <v>-7.0707070707070704E-2</v>
      </c>
      <c r="X32" s="75">
        <f t="shared" si="12"/>
        <v>0.10000000000000142</v>
      </c>
      <c r="Y32" s="187"/>
      <c r="Z32" s="75"/>
      <c r="AA32" s="75"/>
      <c r="AB32" s="75"/>
      <c r="AC32" s="75">
        <v>0</v>
      </c>
      <c r="AD32" s="23">
        <f t="shared" si="13"/>
        <v>0</v>
      </c>
      <c r="AE32" s="76"/>
      <c r="AF32" s="76"/>
      <c r="AG32" s="76"/>
      <c r="AH32" s="97">
        <v>2.8</v>
      </c>
      <c r="AI32" s="22">
        <f t="shared" si="14"/>
        <v>3.0567685589519649E-2</v>
      </c>
      <c r="AJ32" s="22">
        <f t="shared" si="15"/>
        <v>3.0567685589519649E-2</v>
      </c>
      <c r="AK32" s="99">
        <f t="shared" si="16"/>
        <v>9.9999999999999645E-2</v>
      </c>
      <c r="AL32" s="71">
        <v>2.5</v>
      </c>
      <c r="AM32" s="72">
        <f>(0.5*Fedtax!C11+0.5*Fedtax!C12)/1000</f>
        <v>1.6605000000000001</v>
      </c>
      <c r="AN32" s="71">
        <v>0.2</v>
      </c>
      <c r="AO32" s="255">
        <v>0</v>
      </c>
      <c r="AP32" s="71">
        <v>0</v>
      </c>
      <c r="AQ32" s="6">
        <f t="shared" si="17"/>
        <v>7.75109170305677E-2</v>
      </c>
      <c r="AR32" s="207">
        <v>0.1</v>
      </c>
      <c r="AS32" s="713"/>
      <c r="AT32" s="207"/>
      <c r="AU32" s="207"/>
      <c r="AV32" s="207"/>
      <c r="AW32" s="207"/>
      <c r="AX32" s="207"/>
      <c r="AY32" s="207"/>
      <c r="AZ32" s="706"/>
      <c r="BA32" s="207"/>
      <c r="BB32" s="207"/>
      <c r="BC32" s="207"/>
      <c r="BD32" s="207"/>
      <c r="BE32" s="207"/>
      <c r="BF32" s="186">
        <v>0.24</v>
      </c>
      <c r="BG32" s="435"/>
      <c r="BH32" s="140">
        <f t="shared" si="39"/>
        <v>0.2702078521939954</v>
      </c>
      <c r="BI32" s="248"/>
      <c r="BJ32" s="23">
        <f t="shared" si="40"/>
        <v>0.30132450331125826</v>
      </c>
      <c r="BK32" s="140">
        <f t="shared" si="41"/>
        <v>0.28734756097560976</v>
      </c>
      <c r="BL32" s="140">
        <f t="shared" si="42"/>
        <v>0.2252330186776535</v>
      </c>
      <c r="BM32" s="248">
        <f t="shared" si="43"/>
        <v>0.28734756097560976</v>
      </c>
      <c r="BN32" s="23">
        <f t="shared" si="44"/>
        <v>0.30107526881720426</v>
      </c>
      <c r="BO32" s="23">
        <f t="shared" si="45"/>
        <v>0.28282828282828282</v>
      </c>
      <c r="BP32" s="149">
        <f t="shared" si="18"/>
        <v>9.9</v>
      </c>
      <c r="BQ32" s="99">
        <f t="shared" si="19"/>
        <v>9.9999999999999645E-2</v>
      </c>
      <c r="BR32" s="153">
        <f t="shared" si="20"/>
        <v>2.8</v>
      </c>
      <c r="BS32" s="79">
        <v>4</v>
      </c>
      <c r="BT32" s="79">
        <v>3</v>
      </c>
      <c r="BU32" s="23">
        <f t="shared" si="46"/>
        <v>0.30303030303030304</v>
      </c>
      <c r="BV32" s="71">
        <v>3</v>
      </c>
      <c r="BW32" s="71">
        <f t="shared" si="21"/>
        <v>0</v>
      </c>
      <c r="BX32" s="23">
        <f t="shared" si="22"/>
        <v>0</v>
      </c>
      <c r="BY32" s="23"/>
      <c r="BZ32" s="23"/>
      <c r="CA32" s="23"/>
      <c r="CB32" s="23"/>
      <c r="CC32" s="166">
        <f t="shared" si="23"/>
        <v>0.39230769230769241</v>
      </c>
      <c r="CD32" s="72"/>
      <c r="CH32" s="184">
        <f>95%</f>
        <v>0.95</v>
      </c>
      <c r="CI32" s="69"/>
      <c r="CL32" s="78"/>
      <c r="CM32" s="78"/>
      <c r="CN32" s="78"/>
      <c r="CO32" s="78"/>
      <c r="CZ32" s="69"/>
      <c r="DA32" s="90"/>
      <c r="DI32" s="67"/>
      <c r="EG32" s="67"/>
      <c r="EN32" s="24"/>
      <c r="EO32" s="184">
        <v>0.5</v>
      </c>
      <c r="ER32" s="69"/>
      <c r="ES32" s="90"/>
      <c r="ET32" s="90"/>
      <c r="EU32" s="90"/>
      <c r="EV32" s="90"/>
      <c r="FG32" s="184">
        <f t="shared" si="34"/>
        <v>8.5250610962711896E-4</v>
      </c>
      <c r="FH32" s="184">
        <f t="shared" si="24"/>
        <v>9.6965645872755524E-3</v>
      </c>
      <c r="FI32" s="184">
        <f t="shared" si="35"/>
        <v>-5.6833740641807944E-5</v>
      </c>
      <c r="FJ32" s="184">
        <f t="shared" si="25"/>
        <v>3.5764504896230759E-2</v>
      </c>
      <c r="FK32" s="184">
        <f t="shared" si="36"/>
        <v>8.3411957343008138E-3</v>
      </c>
      <c r="FL32" s="184"/>
      <c r="FM32" s="184"/>
      <c r="FN32" s="184">
        <f t="shared" si="37"/>
        <v>5.6833740641807944E-5</v>
      </c>
      <c r="FO32" s="184">
        <f t="shared" si="26"/>
        <v>5.4654771327434237E-2</v>
      </c>
      <c r="FP32" s="184">
        <f t="shared" si="27"/>
        <v>0.94534522867256576</v>
      </c>
      <c r="FQ32" s="23">
        <f t="shared" si="28"/>
        <v>2.1658067891990262E-3</v>
      </c>
      <c r="FR32" s="23">
        <f t="shared" si="29"/>
        <v>3.7461232837840613E-2</v>
      </c>
      <c r="FS32" s="23">
        <f t="shared" si="30"/>
        <v>2.3407737132172883E-4</v>
      </c>
      <c r="FT32" s="393">
        <f t="shared" si="31"/>
        <v>1.1703868566086442E-4</v>
      </c>
      <c r="FU32" s="393">
        <f t="shared" si="32"/>
        <v>1.1703868566086442E-4</v>
      </c>
      <c r="FV32" s="23">
        <f t="shared" si="33"/>
        <v>4.0487576975395427E-3</v>
      </c>
      <c r="FW32" s="69"/>
      <c r="GH32" s="67"/>
      <c r="GU32" s="69"/>
      <c r="HH32" s="90"/>
      <c r="HI32" s="67"/>
      <c r="HT32" s="24"/>
      <c r="IF32" s="90"/>
      <c r="IQ32" s="90"/>
      <c r="IR32" s="69"/>
      <c r="JH32" s="69"/>
      <c r="JI32" s="90"/>
      <c r="KB32" s="69"/>
      <c r="KC32" s="90"/>
      <c r="KD32" s="90"/>
      <c r="KE32" s="90"/>
      <c r="KF32" s="90"/>
      <c r="KU32" s="69"/>
      <c r="KV32" s="90"/>
      <c r="LT32" s="423"/>
      <c r="LU32" s="80"/>
      <c r="LV32" s="80"/>
      <c r="LW32" s="80"/>
      <c r="LX32" s="80"/>
      <c r="LY32" s="80"/>
      <c r="LZ32" s="80"/>
      <c r="MA32" s="80"/>
      <c r="MB32" s="80"/>
      <c r="MC32" s="80"/>
      <c r="MD32" s="80"/>
      <c r="ME32" s="80"/>
      <c r="MF32" s="80"/>
      <c r="MG32" s="80"/>
      <c r="MH32" s="67"/>
      <c r="MM32" s="24"/>
      <c r="MP32" s="24"/>
      <c r="MY32" s="24"/>
      <c r="NC32" s="24"/>
      <c r="NJ32" s="24"/>
      <c r="NO32" s="24"/>
      <c r="NU32" s="69"/>
      <c r="NV32" s="90"/>
      <c r="NW32" s="90"/>
      <c r="NX32" s="90"/>
      <c r="NY32" s="90"/>
      <c r="NZ32" s="90"/>
      <c r="OA32" s="90"/>
      <c r="OB32" s="90"/>
      <c r="OC32" s="90"/>
      <c r="OD32" s="90"/>
      <c r="OE32" s="90"/>
      <c r="OF32" s="90"/>
      <c r="OG32" s="90"/>
      <c r="OH32" s="90"/>
      <c r="OM32" s="80"/>
      <c r="OO32" s="67"/>
      <c r="PG32" s="69"/>
      <c r="PH32" s="80"/>
      <c r="PI32" s="80"/>
    </row>
    <row r="33" spans="2:425">
      <c r="B33" s="71">
        <v>1941</v>
      </c>
      <c r="C33" s="43">
        <v>117.4</v>
      </c>
      <c r="D33" s="5">
        <v>15.7</v>
      </c>
      <c r="E33" s="6">
        <f t="shared" si="0"/>
        <v>0.13373083475298125</v>
      </c>
      <c r="F33" s="72">
        <f t="shared" si="1"/>
        <v>0</v>
      </c>
      <c r="G33" s="73">
        <f t="shared" si="2"/>
        <v>15.299999999999999</v>
      </c>
      <c r="H33" s="23">
        <f t="shared" si="3"/>
        <v>0.13032367972742759</v>
      </c>
      <c r="I33" s="74">
        <v>0.4</v>
      </c>
      <c r="J33" s="19">
        <f t="shared" si="4"/>
        <v>3.4071550255536627E-3</v>
      </c>
      <c r="K33" s="6">
        <f t="shared" si="5"/>
        <v>2.5477707006369428E-2</v>
      </c>
      <c r="L33" s="136">
        <f t="shared" si="38"/>
        <v>0.52307692307692322</v>
      </c>
      <c r="M33" s="19">
        <f t="shared" si="6"/>
        <v>4.4555104180317136E-3</v>
      </c>
      <c r="N33" s="167">
        <f t="shared" si="7"/>
        <v>3.331700146986772E-2</v>
      </c>
      <c r="O33" s="5">
        <f t="shared" si="8"/>
        <v>15.7</v>
      </c>
      <c r="P33" s="75">
        <f t="shared" si="9"/>
        <v>0</v>
      </c>
      <c r="Q33" s="271">
        <v>16.7</v>
      </c>
      <c r="R33" s="202">
        <v>0.7</v>
      </c>
      <c r="S33" s="53">
        <f t="shared" si="10"/>
        <v>4.4585987261146494E-2</v>
      </c>
      <c r="T33" s="74">
        <v>0</v>
      </c>
      <c r="U33" s="74">
        <v>-3.1</v>
      </c>
      <c r="V33" s="207">
        <v>-1</v>
      </c>
      <c r="W33" s="53">
        <f t="shared" si="11"/>
        <v>-6.3694267515923567E-2</v>
      </c>
      <c r="X33" s="75">
        <f t="shared" si="12"/>
        <v>0.40000000000000036</v>
      </c>
      <c r="Y33" s="187"/>
      <c r="Z33" s="75"/>
      <c r="AA33" s="75"/>
      <c r="AB33" s="75"/>
      <c r="AC33" s="75">
        <v>0</v>
      </c>
      <c r="AD33" s="23">
        <f t="shared" si="13"/>
        <v>0</v>
      </c>
      <c r="AE33" s="76"/>
      <c r="AF33" s="76"/>
      <c r="AG33" s="76"/>
      <c r="AH33" s="97">
        <v>7.6</v>
      </c>
      <c r="AI33" s="22">
        <f t="shared" si="14"/>
        <v>6.4735945485519586E-2</v>
      </c>
      <c r="AJ33" s="22">
        <f t="shared" si="15"/>
        <v>6.4735945485519586E-2</v>
      </c>
      <c r="AK33" s="99">
        <f t="shared" si="16"/>
        <v>0</v>
      </c>
      <c r="AL33" s="71">
        <v>7.3000000000000007</v>
      </c>
      <c r="AM33" s="72">
        <f>(0.5*Fedtax!C12+0.5*Fedtax!C13)/1000</f>
        <v>3.4215</v>
      </c>
      <c r="AN33" s="71">
        <v>0.3</v>
      </c>
      <c r="AO33" s="255">
        <v>0</v>
      </c>
      <c r="AP33" s="71">
        <v>0</v>
      </c>
      <c r="AQ33" s="6">
        <f t="shared" si="17"/>
        <v>6.8994889267461668E-2</v>
      </c>
      <c r="AR33" s="207">
        <v>0.1</v>
      </c>
      <c r="AS33" s="713"/>
      <c r="AT33" s="207"/>
      <c r="AU33" s="207"/>
      <c r="AV33" s="207"/>
      <c r="AW33" s="207"/>
      <c r="AX33" s="207"/>
      <c r="AY33" s="207"/>
      <c r="AZ33" s="706"/>
      <c r="BA33" s="207"/>
      <c r="BB33" s="207"/>
      <c r="BC33" s="207"/>
      <c r="BD33" s="207"/>
      <c r="BE33" s="207"/>
      <c r="BF33" s="186">
        <v>0.31</v>
      </c>
      <c r="BG33" s="435"/>
      <c r="BH33" s="140">
        <f t="shared" si="39"/>
        <v>0.48031113271754988</v>
      </c>
      <c r="BI33" s="248"/>
      <c r="BJ33" s="23">
        <f t="shared" si="40"/>
        <v>0.5127140633108459</v>
      </c>
      <c r="BK33" s="140">
        <f t="shared" si="41"/>
        <v>0.48357487922705317</v>
      </c>
      <c r="BL33" s="140">
        <f t="shared" si="42"/>
        <v>0.27700972291812587</v>
      </c>
      <c r="BM33" s="248">
        <f t="shared" si="43"/>
        <v>0.48357487922705317</v>
      </c>
      <c r="BN33" s="23">
        <f t="shared" si="44"/>
        <v>0.45508982035928142</v>
      </c>
      <c r="BO33" s="23">
        <f t="shared" si="45"/>
        <v>0.43678160919540232</v>
      </c>
      <c r="BP33" s="149">
        <f t="shared" si="18"/>
        <v>15.7</v>
      </c>
      <c r="BQ33" s="99">
        <f t="shared" si="19"/>
        <v>0</v>
      </c>
      <c r="BR33" s="153">
        <f t="shared" si="20"/>
        <v>7.6</v>
      </c>
      <c r="BS33" s="79">
        <v>4.4000000000000004</v>
      </c>
      <c r="BT33" s="79">
        <v>3.7</v>
      </c>
      <c r="BU33" s="23">
        <f t="shared" si="46"/>
        <v>0.23566878980891723</v>
      </c>
      <c r="BV33" s="71">
        <v>3.5</v>
      </c>
      <c r="BW33" s="71">
        <f t="shared" si="21"/>
        <v>0.20000000000000018</v>
      </c>
      <c r="BX33" s="23">
        <f t="shared" si="22"/>
        <v>1.2738853503184724E-2</v>
      </c>
      <c r="BY33" s="23"/>
      <c r="BZ33" s="23"/>
      <c r="CA33" s="23"/>
      <c r="CB33" s="23">
        <f t="shared" ref="CB33:CB64" si="47">BW33/I33</f>
        <v>0.50000000000000044</v>
      </c>
      <c r="CC33" s="166">
        <f t="shared" si="23"/>
        <v>0.52307692307692322</v>
      </c>
      <c r="CD33" s="72"/>
      <c r="CH33" s="184">
        <f>95%</f>
        <v>0.95</v>
      </c>
      <c r="CI33" s="69"/>
      <c r="CL33" s="78"/>
      <c r="CM33" s="78"/>
      <c r="CN33" s="78"/>
      <c r="CO33" s="78"/>
      <c r="CZ33" s="69"/>
      <c r="DA33" s="90"/>
      <c r="DI33" s="67"/>
      <c r="EG33" s="67"/>
      <c r="EN33" s="24"/>
      <c r="EO33" s="184">
        <v>0.5</v>
      </c>
      <c r="ER33" s="69"/>
      <c r="ES33" s="90"/>
      <c r="ET33" s="90"/>
      <c r="EU33" s="90"/>
      <c r="EV33" s="90"/>
      <c r="FG33" s="184">
        <f t="shared" si="34"/>
        <v>9.3000666504776614E-4</v>
      </c>
      <c r="FH33" s="184">
        <f t="shared" si="24"/>
        <v>9.6965645872755524E-3</v>
      </c>
      <c r="FI33" s="184">
        <f t="shared" si="35"/>
        <v>-6.2000444336517751E-5</v>
      </c>
      <c r="FJ33" s="184">
        <f t="shared" si="25"/>
        <v>3.5764504896230759E-2</v>
      </c>
      <c r="FK33" s="184">
        <f t="shared" si="36"/>
        <v>9.0994862556008881E-3</v>
      </c>
      <c r="FL33" s="184"/>
      <c r="FM33" s="184"/>
      <c r="FN33" s="184">
        <f t="shared" si="37"/>
        <v>6.2000444336517751E-5</v>
      </c>
      <c r="FO33" s="184">
        <f t="shared" si="26"/>
        <v>5.5490562404154967E-2</v>
      </c>
      <c r="FP33" s="184">
        <f t="shared" si="27"/>
        <v>0.94450943759584505</v>
      </c>
      <c r="FQ33" s="23">
        <f t="shared" si="28"/>
        <v>1.8487791491830175E-3</v>
      </c>
      <c r="FR33" s="23">
        <f t="shared" si="29"/>
        <v>3.1468222320684705E-2</v>
      </c>
      <c r="FS33" s="23">
        <f t="shared" si="30"/>
        <v>2.4723877889415137E-4</v>
      </c>
      <c r="FT33" s="393">
        <f t="shared" si="31"/>
        <v>1.2361938944707569E-4</v>
      </c>
      <c r="FU33" s="393">
        <f t="shared" si="32"/>
        <v>1.2361938944707569E-4</v>
      </c>
      <c r="FV33" s="23">
        <f t="shared" si="33"/>
        <v>4.2082716391375627E-3</v>
      </c>
      <c r="FW33" s="69"/>
      <c r="GH33" s="67"/>
      <c r="GU33" s="69"/>
      <c r="HH33" s="90"/>
      <c r="HI33" s="67"/>
      <c r="HT33" s="24"/>
      <c r="IF33" s="90"/>
      <c r="IQ33" s="90"/>
      <c r="IR33" s="69"/>
      <c r="JH33" s="69"/>
      <c r="JI33" s="90"/>
      <c r="KB33" s="69"/>
      <c r="KC33" s="90"/>
      <c r="KD33" s="90"/>
      <c r="KE33" s="90"/>
      <c r="KF33" s="90"/>
      <c r="KU33" s="69"/>
      <c r="KV33" s="90"/>
      <c r="LT33" s="423"/>
      <c r="LU33" s="80"/>
      <c r="LV33" s="80"/>
      <c r="LW33" s="80"/>
      <c r="LX33" s="80"/>
      <c r="LY33" s="80"/>
      <c r="LZ33" s="80"/>
      <c r="MA33" s="80"/>
      <c r="MB33" s="80"/>
      <c r="MC33" s="80"/>
      <c r="MD33" s="80"/>
      <c r="ME33" s="80"/>
      <c r="MF33" s="80"/>
      <c r="MG33" s="80"/>
      <c r="MH33" s="67"/>
      <c r="MM33" s="24"/>
      <c r="MP33" s="24"/>
      <c r="MY33" s="24"/>
      <c r="NC33" s="24"/>
      <c r="NJ33" s="24"/>
      <c r="NO33" s="24"/>
      <c r="NU33" s="69"/>
      <c r="NV33" s="90"/>
      <c r="NW33" s="90"/>
      <c r="NX33" s="90"/>
      <c r="NY33" s="90"/>
      <c r="NZ33" s="90"/>
      <c r="OA33" s="90"/>
      <c r="OB33" s="90"/>
      <c r="OC33" s="90"/>
      <c r="OD33" s="90"/>
      <c r="OE33" s="90"/>
      <c r="OF33" s="90"/>
      <c r="OG33" s="90"/>
      <c r="OH33" s="90"/>
      <c r="OM33" s="80"/>
      <c r="OO33" s="67"/>
      <c r="PG33" s="69"/>
      <c r="PH33" s="80"/>
      <c r="PI33" s="80"/>
    </row>
    <row r="34" spans="2:425">
      <c r="B34" s="71">
        <v>1942</v>
      </c>
      <c r="C34" s="43">
        <v>152.4</v>
      </c>
      <c r="D34" s="5">
        <v>20.8</v>
      </c>
      <c r="E34" s="6">
        <f t="shared" si="0"/>
        <v>0.13648293963254593</v>
      </c>
      <c r="F34" s="72">
        <f t="shared" si="1"/>
        <v>0</v>
      </c>
      <c r="G34" s="73">
        <f t="shared" si="2"/>
        <v>20.400000000000002</v>
      </c>
      <c r="H34" s="23">
        <f t="shared" si="3"/>
        <v>0.13385826771653545</v>
      </c>
      <c r="I34" s="74">
        <v>0.4</v>
      </c>
      <c r="J34" s="19">
        <f t="shared" si="4"/>
        <v>2.6246719160104987E-3</v>
      </c>
      <c r="K34" s="6">
        <f t="shared" si="5"/>
        <v>1.9230769230769232E-2</v>
      </c>
      <c r="L34" s="136">
        <f t="shared" si="38"/>
        <v>0.52307692307692322</v>
      </c>
      <c r="M34" s="19">
        <f t="shared" si="6"/>
        <v>3.4322632747829608E-3</v>
      </c>
      <c r="N34" s="167">
        <f t="shared" si="7"/>
        <v>2.5147928994082847E-2</v>
      </c>
      <c r="O34" s="5">
        <f t="shared" si="8"/>
        <v>20.8</v>
      </c>
      <c r="P34" s="75">
        <f t="shared" si="9"/>
        <v>0</v>
      </c>
      <c r="Q34" s="271">
        <v>23.4</v>
      </c>
      <c r="R34" s="202">
        <v>0.7</v>
      </c>
      <c r="S34" s="53">
        <f t="shared" si="10"/>
        <v>3.3653846153846152E-2</v>
      </c>
      <c r="T34" s="74">
        <v>0</v>
      </c>
      <c r="U34" s="74">
        <v>-1.7</v>
      </c>
      <c r="V34" s="207">
        <v>-0.2</v>
      </c>
      <c r="W34" s="53">
        <f t="shared" si="11"/>
        <v>-9.6153846153846159E-3</v>
      </c>
      <c r="X34" s="75">
        <f t="shared" si="12"/>
        <v>-1.7999999999999972</v>
      </c>
      <c r="Y34" s="187"/>
      <c r="Z34" s="75"/>
      <c r="AA34" s="75"/>
      <c r="AB34" s="75"/>
      <c r="AC34" s="75">
        <v>0</v>
      </c>
      <c r="AD34" s="23">
        <f t="shared" si="13"/>
        <v>0</v>
      </c>
      <c r="AE34" s="76"/>
      <c r="AF34" s="76"/>
      <c r="AG34" s="76"/>
      <c r="AH34" s="97">
        <v>11.4</v>
      </c>
      <c r="AI34" s="22">
        <f t="shared" si="14"/>
        <v>7.4803149606299218E-2</v>
      </c>
      <c r="AJ34" s="22">
        <f t="shared" si="15"/>
        <v>7.4803149606299218E-2</v>
      </c>
      <c r="AK34" s="99">
        <f t="shared" si="16"/>
        <v>-0.10000000000000142</v>
      </c>
      <c r="AL34" s="71">
        <v>11.100000000000001</v>
      </c>
      <c r="AM34" s="72">
        <f>(0.5*Fedtax!C13+0.5*Fedtax!C14)/1000</f>
        <v>7.1379999999999999</v>
      </c>
      <c r="AN34" s="71">
        <v>0.4</v>
      </c>
      <c r="AO34" s="255">
        <v>0</v>
      </c>
      <c r="AP34" s="71">
        <v>0</v>
      </c>
      <c r="AQ34" s="6">
        <f t="shared" si="17"/>
        <v>6.1679790026246718E-2</v>
      </c>
      <c r="AR34" s="207">
        <v>0.1</v>
      </c>
      <c r="AS34" s="713"/>
      <c r="AT34" s="207"/>
      <c r="AU34" s="207"/>
      <c r="AV34" s="207"/>
      <c r="AW34" s="207"/>
      <c r="AX34" s="207"/>
      <c r="AY34" s="207"/>
      <c r="AZ34" s="706"/>
      <c r="BA34" s="207"/>
      <c r="BB34" s="207"/>
      <c r="BC34" s="207"/>
      <c r="BD34" s="207"/>
      <c r="BE34" s="207"/>
      <c r="BF34" s="186">
        <v>0.4</v>
      </c>
      <c r="BG34" s="435"/>
      <c r="BH34" s="140">
        <f t="shared" si="39"/>
        <v>0.54963235294117641</v>
      </c>
      <c r="BI34" s="248"/>
      <c r="BJ34" s="23">
        <f t="shared" si="40"/>
        <v>0.55011135857461013</v>
      </c>
      <c r="BK34" s="140">
        <f t="shared" si="41"/>
        <v>0.54701792901573354</v>
      </c>
      <c r="BL34" s="140">
        <f t="shared" si="42"/>
        <v>0.34470207877474845</v>
      </c>
      <c r="BM34" s="248">
        <f t="shared" si="43"/>
        <v>0.54701792901573354</v>
      </c>
      <c r="BN34" s="23">
        <f t="shared" si="44"/>
        <v>0.48717948717948723</v>
      </c>
      <c r="BO34" s="23">
        <f t="shared" si="45"/>
        <v>0.47302904564315357</v>
      </c>
      <c r="BP34" s="149">
        <f t="shared" si="18"/>
        <v>20.8</v>
      </c>
      <c r="BQ34" s="99">
        <f t="shared" si="19"/>
        <v>0</v>
      </c>
      <c r="BR34" s="153">
        <f t="shared" si="20"/>
        <v>11.4</v>
      </c>
      <c r="BS34" s="79">
        <v>4.3</v>
      </c>
      <c r="BT34" s="79">
        <v>5.0999999999999996</v>
      </c>
      <c r="BU34" s="23">
        <f t="shared" si="46"/>
        <v>0.24519230769230765</v>
      </c>
      <c r="BV34" s="71">
        <v>5</v>
      </c>
      <c r="BW34" s="71">
        <f t="shared" si="21"/>
        <v>9.9999999999999645E-2</v>
      </c>
      <c r="BX34" s="23">
        <f t="shared" si="22"/>
        <v>4.8076923076922906E-3</v>
      </c>
      <c r="BY34" s="23"/>
      <c r="BZ34" s="23"/>
      <c r="CA34" s="23"/>
      <c r="CB34" s="23">
        <f t="shared" si="47"/>
        <v>0.24999999999999911</v>
      </c>
      <c r="CC34" s="166">
        <f t="shared" si="23"/>
        <v>0.52307692307692322</v>
      </c>
      <c r="CD34" s="72"/>
      <c r="CH34" s="184">
        <f>95%</f>
        <v>0.95</v>
      </c>
      <c r="CI34" s="69"/>
      <c r="CL34" s="78"/>
      <c r="CM34" s="78"/>
      <c r="CN34" s="78"/>
      <c r="CO34" s="78"/>
      <c r="CZ34" s="69"/>
      <c r="DA34" s="90"/>
      <c r="DI34" s="67"/>
      <c r="EG34" s="67"/>
      <c r="EN34" s="24"/>
      <c r="EO34" s="184">
        <v>0.5</v>
      </c>
      <c r="ER34" s="69"/>
      <c r="ES34" s="90"/>
      <c r="ET34" s="90"/>
      <c r="EU34" s="90"/>
      <c r="EV34" s="90"/>
      <c r="FG34" s="184">
        <f t="shared" si="34"/>
        <v>1.0075072204684134E-3</v>
      </c>
      <c r="FH34" s="184">
        <f t="shared" si="24"/>
        <v>9.6965645872755524E-3</v>
      </c>
      <c r="FI34" s="184">
        <f t="shared" si="35"/>
        <v>-6.7167148031227564E-5</v>
      </c>
      <c r="FJ34" s="184">
        <f t="shared" si="25"/>
        <v>3.5764504896230759E-2</v>
      </c>
      <c r="FK34" s="184">
        <f t="shared" si="36"/>
        <v>9.8577767769009624E-3</v>
      </c>
      <c r="FL34" s="184"/>
      <c r="FM34" s="184"/>
      <c r="FN34" s="184">
        <f t="shared" si="37"/>
        <v>6.7167148031227564E-5</v>
      </c>
      <c r="FO34" s="184">
        <f t="shared" si="26"/>
        <v>5.6326353480875689E-2</v>
      </c>
      <c r="FP34" s="184">
        <f t="shared" si="27"/>
        <v>0.94367364651912433</v>
      </c>
      <c r="FQ34" s="23">
        <f t="shared" si="28"/>
        <v>1.416491137832673E-3</v>
      </c>
      <c r="FR34" s="23">
        <f t="shared" si="29"/>
        <v>2.3731437856250176E-2</v>
      </c>
      <c r="FS34" s="23">
        <f t="shared" si="30"/>
        <v>1.93326874454853E-4</v>
      </c>
      <c r="FT34" s="393">
        <f t="shared" si="31"/>
        <v>9.6663437227426498E-5</v>
      </c>
      <c r="FU34" s="393">
        <f t="shared" si="32"/>
        <v>9.6663437227426498E-5</v>
      </c>
      <c r="FV34" s="23">
        <f t="shared" si="33"/>
        <v>3.2389364003281079E-3</v>
      </c>
      <c r="FW34" s="69"/>
      <c r="GH34" s="67"/>
      <c r="GU34" s="69"/>
      <c r="HH34" s="90"/>
      <c r="HI34" s="67"/>
      <c r="HT34" s="24"/>
      <c r="IF34" s="90"/>
      <c r="IQ34" s="90"/>
      <c r="IR34" s="69"/>
      <c r="JH34" s="69"/>
      <c r="JI34" s="90"/>
      <c r="KB34" s="69"/>
      <c r="KC34" s="90"/>
      <c r="KD34" s="90"/>
      <c r="KE34" s="90"/>
      <c r="KF34" s="90"/>
      <c r="KU34" s="69"/>
      <c r="KV34" s="90"/>
      <c r="LT34" s="423"/>
      <c r="LU34" s="80"/>
      <c r="LV34" s="80"/>
      <c r="LW34" s="80"/>
      <c r="LX34" s="80"/>
      <c r="LY34" s="80"/>
      <c r="LZ34" s="80"/>
      <c r="MA34" s="80"/>
      <c r="MB34" s="80"/>
      <c r="MC34" s="80"/>
      <c r="MD34" s="80"/>
      <c r="ME34" s="80"/>
      <c r="MF34" s="80"/>
      <c r="MG34" s="80"/>
      <c r="MH34" s="67"/>
      <c r="MM34" s="24"/>
      <c r="MP34" s="24"/>
      <c r="MY34" s="24"/>
      <c r="NC34" s="24"/>
      <c r="NJ34" s="24"/>
      <c r="NO34" s="24"/>
      <c r="NU34" s="69"/>
      <c r="NV34" s="90"/>
      <c r="NW34" s="90"/>
      <c r="NX34" s="90"/>
      <c r="NY34" s="90"/>
      <c r="NZ34" s="90"/>
      <c r="OA34" s="90"/>
      <c r="OB34" s="90"/>
      <c r="OC34" s="90"/>
      <c r="OD34" s="90"/>
      <c r="OE34" s="90"/>
      <c r="OF34" s="90"/>
      <c r="OG34" s="90"/>
      <c r="OH34" s="90"/>
      <c r="OM34" s="80"/>
      <c r="OO34" s="67"/>
      <c r="PG34" s="69"/>
      <c r="PH34" s="80"/>
      <c r="PI34" s="80"/>
    </row>
    <row r="35" spans="2:425">
      <c r="B35" s="71">
        <v>1943</v>
      </c>
      <c r="C35" s="43">
        <v>187.3</v>
      </c>
      <c r="D35" s="5">
        <v>24.9</v>
      </c>
      <c r="E35" s="6">
        <f t="shared" si="0"/>
        <v>0.13294180459156432</v>
      </c>
      <c r="F35" s="72">
        <f t="shared" si="1"/>
        <v>0</v>
      </c>
      <c r="G35" s="73">
        <f t="shared" si="2"/>
        <v>24.5</v>
      </c>
      <c r="H35" s="23">
        <f t="shared" si="3"/>
        <v>0.13080619327282433</v>
      </c>
      <c r="I35" s="74">
        <v>0.4</v>
      </c>
      <c r="J35" s="19">
        <f t="shared" si="4"/>
        <v>2.1356113187399892E-3</v>
      </c>
      <c r="K35" s="6">
        <f t="shared" si="5"/>
        <v>1.6064257028112452E-2</v>
      </c>
      <c r="L35" s="136">
        <f t="shared" si="38"/>
        <v>0.52307692307692322</v>
      </c>
      <c r="M35" s="19">
        <f t="shared" si="6"/>
        <v>2.7927224937369095E-3</v>
      </c>
      <c r="N35" s="167">
        <f t="shared" si="7"/>
        <v>2.1007105344454748E-2</v>
      </c>
      <c r="O35" s="5">
        <f t="shared" si="8"/>
        <v>24.9</v>
      </c>
      <c r="P35" s="75">
        <f t="shared" si="9"/>
        <v>0</v>
      </c>
      <c r="Q35" s="271">
        <v>28.1</v>
      </c>
      <c r="R35" s="202">
        <v>0.8</v>
      </c>
      <c r="S35" s="53">
        <f t="shared" si="10"/>
        <v>3.2128514056224904E-2</v>
      </c>
      <c r="T35" s="74">
        <v>0</v>
      </c>
      <c r="U35" s="74">
        <v>-1</v>
      </c>
      <c r="V35" s="207">
        <v>-0.2</v>
      </c>
      <c r="W35" s="53">
        <f t="shared" si="11"/>
        <v>-8.0321285140562259E-3</v>
      </c>
      <c r="X35" s="75">
        <f t="shared" si="12"/>
        <v>-3.2000000000000028</v>
      </c>
      <c r="Y35" s="187"/>
      <c r="Z35" s="75"/>
      <c r="AA35" s="75"/>
      <c r="AB35" s="75"/>
      <c r="AC35" s="75">
        <v>0</v>
      </c>
      <c r="AD35" s="23">
        <f t="shared" si="13"/>
        <v>0</v>
      </c>
      <c r="AE35" s="76"/>
      <c r="AF35" s="76"/>
      <c r="AG35" s="76"/>
      <c r="AH35" s="97">
        <v>14.1</v>
      </c>
      <c r="AI35" s="22">
        <f t="shared" si="14"/>
        <v>7.5280298985584623E-2</v>
      </c>
      <c r="AJ35" s="22">
        <f t="shared" si="15"/>
        <v>7.5280298985584623E-2</v>
      </c>
      <c r="AK35" s="99">
        <f t="shared" si="16"/>
        <v>0</v>
      </c>
      <c r="AL35" s="71">
        <v>13.6</v>
      </c>
      <c r="AM35" s="72">
        <f>(0.5*Fedtax!C14+0.5*Fedtax!C15)/1000</f>
        <v>12.1975</v>
      </c>
      <c r="AN35" s="71">
        <v>0.5</v>
      </c>
      <c r="AO35" s="255">
        <v>0</v>
      </c>
      <c r="AP35" s="71">
        <v>0</v>
      </c>
      <c r="AQ35" s="6">
        <f t="shared" si="17"/>
        <v>5.7661505605979706E-2</v>
      </c>
      <c r="AR35" s="207">
        <v>0.1</v>
      </c>
      <c r="AS35" s="713"/>
      <c r="AT35" s="207"/>
      <c r="AU35" s="207"/>
      <c r="AV35" s="207"/>
      <c r="AW35" s="207"/>
      <c r="AX35" s="207"/>
      <c r="AY35" s="207"/>
      <c r="AZ35" s="706"/>
      <c r="BA35" s="207"/>
      <c r="BB35" s="207"/>
      <c r="BC35" s="207"/>
      <c r="BD35" s="207"/>
      <c r="BE35" s="207"/>
      <c r="BF35" s="186">
        <v>0.4</v>
      </c>
      <c r="BG35" s="435"/>
      <c r="BH35" s="140">
        <f t="shared" si="39"/>
        <v>0.5634798647402397</v>
      </c>
      <c r="BI35" s="248"/>
      <c r="BJ35" s="23">
        <f t="shared" si="40"/>
        <v>0.56801983266191503</v>
      </c>
      <c r="BK35" s="140">
        <f t="shared" si="41"/>
        <v>0.56521739130434778</v>
      </c>
      <c r="BL35" s="140">
        <f t="shared" si="42"/>
        <v>0.41847063256431899</v>
      </c>
      <c r="BM35" s="248">
        <f t="shared" si="43"/>
        <v>0.56521739130434778</v>
      </c>
      <c r="BN35" s="23">
        <f t="shared" si="44"/>
        <v>0.50177935943060492</v>
      </c>
      <c r="BO35" s="23">
        <f t="shared" si="45"/>
        <v>0.48788927335640131</v>
      </c>
      <c r="BP35" s="149">
        <f t="shared" si="18"/>
        <v>24.9</v>
      </c>
      <c r="BQ35" s="99">
        <f t="shared" si="19"/>
        <v>0</v>
      </c>
      <c r="BR35" s="153">
        <f t="shared" si="20"/>
        <v>14.1</v>
      </c>
      <c r="BS35" s="79">
        <v>4.4000000000000004</v>
      </c>
      <c r="BT35" s="79">
        <v>6.4</v>
      </c>
      <c r="BU35" s="23">
        <f t="shared" si="46"/>
        <v>0.25702811244979923</v>
      </c>
      <c r="BV35" s="71">
        <v>6.2</v>
      </c>
      <c r="BW35" s="71">
        <f t="shared" si="21"/>
        <v>0.20000000000000018</v>
      </c>
      <c r="BX35" s="23">
        <f t="shared" si="22"/>
        <v>8.0321285140562328E-3</v>
      </c>
      <c r="BY35" s="23"/>
      <c r="BZ35" s="23"/>
      <c r="CA35" s="23"/>
      <c r="CB35" s="23">
        <f t="shared" si="47"/>
        <v>0.50000000000000044</v>
      </c>
      <c r="CC35" s="166">
        <f t="shared" si="23"/>
        <v>0.52307692307692322</v>
      </c>
      <c r="CD35" s="72"/>
      <c r="CH35" s="184">
        <f>95%</f>
        <v>0.95</v>
      </c>
      <c r="CI35" s="69"/>
      <c r="CL35" s="78"/>
      <c r="CM35" s="78"/>
      <c r="CN35" s="78"/>
      <c r="CO35" s="78"/>
      <c r="CZ35" s="69"/>
      <c r="DA35" s="90"/>
      <c r="DI35" s="67"/>
      <c r="EG35" s="67"/>
      <c r="EN35" s="24"/>
      <c r="EO35" s="184">
        <v>0.5</v>
      </c>
      <c r="ER35" s="69"/>
      <c r="ES35" s="90"/>
      <c r="ET35" s="90"/>
      <c r="EU35" s="90"/>
      <c r="EV35" s="90"/>
      <c r="FG35" s="184">
        <f t="shared" si="34"/>
        <v>1.0850077758890607E-3</v>
      </c>
      <c r="FH35" s="184">
        <f t="shared" si="24"/>
        <v>9.6965645872755524E-3</v>
      </c>
      <c r="FI35" s="184">
        <f t="shared" si="35"/>
        <v>-7.2333851725937378E-5</v>
      </c>
      <c r="FJ35" s="184">
        <f t="shared" si="25"/>
        <v>3.5764504896230759E-2</v>
      </c>
      <c r="FK35" s="184">
        <f t="shared" si="36"/>
        <v>1.0616067298201037E-2</v>
      </c>
      <c r="FL35" s="184"/>
      <c r="FM35" s="184"/>
      <c r="FN35" s="184">
        <f t="shared" si="37"/>
        <v>7.2333851725937378E-5</v>
      </c>
      <c r="FO35" s="184">
        <f t="shared" si="26"/>
        <v>5.7162144557596405E-2</v>
      </c>
      <c r="FP35" s="184">
        <f t="shared" si="27"/>
        <v>0.94283785544240362</v>
      </c>
      <c r="FQ35" s="23">
        <f t="shared" si="28"/>
        <v>1.2008111924363782E-3</v>
      </c>
      <c r="FR35" s="23">
        <f t="shared" si="29"/>
        <v>1.9806294152018369E-2</v>
      </c>
      <c r="FS35" s="23">
        <f t="shared" si="30"/>
        <v>1.5963800689624034E-4</v>
      </c>
      <c r="FT35" s="393">
        <f t="shared" si="31"/>
        <v>7.9819003448120169E-5</v>
      </c>
      <c r="FU35" s="393">
        <f t="shared" si="32"/>
        <v>7.9819003448120169E-5</v>
      </c>
      <c r="FV35" s="23">
        <f t="shared" si="33"/>
        <v>2.6330844868406693E-3</v>
      </c>
      <c r="FW35" s="69"/>
      <c r="GH35" s="67"/>
      <c r="GU35" s="69"/>
      <c r="HH35" s="90"/>
      <c r="HI35" s="67"/>
      <c r="HT35" s="24"/>
      <c r="IF35" s="90"/>
      <c r="IQ35" s="90"/>
      <c r="IR35" s="69"/>
      <c r="JH35" s="69"/>
      <c r="JI35" s="90"/>
      <c r="KB35" s="69"/>
      <c r="KC35" s="90"/>
      <c r="KD35" s="90"/>
      <c r="KE35" s="90"/>
      <c r="KF35" s="90"/>
      <c r="KU35" s="69"/>
      <c r="KV35" s="90"/>
      <c r="LT35" s="423"/>
      <c r="LU35" s="80"/>
      <c r="LV35" s="80"/>
      <c r="LW35" s="80"/>
      <c r="LX35" s="80"/>
      <c r="LY35" s="80"/>
      <c r="LZ35" s="80"/>
      <c r="MA35" s="80"/>
      <c r="MB35" s="80"/>
      <c r="MC35" s="80"/>
      <c r="MD35" s="80"/>
      <c r="ME35" s="80"/>
      <c r="MF35" s="80"/>
      <c r="MG35" s="80"/>
      <c r="MH35" s="67"/>
      <c r="MM35" s="24"/>
      <c r="MP35" s="24"/>
      <c r="MY35" s="24"/>
      <c r="NC35" s="24"/>
      <c r="NJ35" s="24"/>
      <c r="NO35" s="24"/>
      <c r="NU35" s="69"/>
      <c r="NV35" s="90"/>
      <c r="NW35" s="90"/>
      <c r="NX35" s="90"/>
      <c r="NY35" s="90"/>
      <c r="NZ35" s="90"/>
      <c r="OA35" s="90"/>
      <c r="OB35" s="90"/>
      <c r="OC35" s="90"/>
      <c r="OD35" s="90"/>
      <c r="OE35" s="90"/>
      <c r="OF35" s="90"/>
      <c r="OG35" s="90"/>
      <c r="OH35" s="90"/>
      <c r="OM35" s="80"/>
      <c r="OO35" s="67"/>
      <c r="PG35" s="69"/>
      <c r="PH35" s="80"/>
      <c r="PI35" s="80"/>
    </row>
    <row r="36" spans="2:425">
      <c r="B36" s="71">
        <v>1944</v>
      </c>
      <c r="C36" s="43">
        <v>201</v>
      </c>
      <c r="D36" s="5">
        <v>25</v>
      </c>
      <c r="E36" s="6">
        <f t="shared" si="0"/>
        <v>0.12437810945273632</v>
      </c>
      <c r="F36" s="72">
        <f t="shared" si="1"/>
        <v>0</v>
      </c>
      <c r="G36" s="73">
        <f t="shared" si="2"/>
        <v>24.6</v>
      </c>
      <c r="H36" s="23">
        <f t="shared" si="3"/>
        <v>0.12238805970149254</v>
      </c>
      <c r="I36" s="74">
        <v>0.4</v>
      </c>
      <c r="J36" s="19">
        <f t="shared" si="4"/>
        <v>1.9900497512437814E-3</v>
      </c>
      <c r="K36" s="6">
        <f t="shared" si="5"/>
        <v>1.6E-2</v>
      </c>
      <c r="L36" s="136">
        <f t="shared" si="38"/>
        <v>0.52307692307692322</v>
      </c>
      <c r="M36" s="19">
        <f t="shared" si="6"/>
        <v>2.6023727516264836E-3</v>
      </c>
      <c r="N36" s="167">
        <f t="shared" si="7"/>
        <v>2.092307692307693E-2</v>
      </c>
      <c r="O36" s="5">
        <f t="shared" si="8"/>
        <v>25</v>
      </c>
      <c r="P36" s="75">
        <f t="shared" si="9"/>
        <v>0</v>
      </c>
      <c r="Q36" s="271">
        <v>26.5</v>
      </c>
      <c r="R36" s="202">
        <v>0.5</v>
      </c>
      <c r="S36" s="53">
        <f t="shared" si="10"/>
        <v>0.02</v>
      </c>
      <c r="T36" s="74">
        <v>0.1</v>
      </c>
      <c r="U36" s="74">
        <v>0.2</v>
      </c>
      <c r="V36" s="207">
        <v>0</v>
      </c>
      <c r="W36" s="53">
        <f t="shared" si="11"/>
        <v>0</v>
      </c>
      <c r="X36" s="75">
        <f t="shared" si="12"/>
        <v>-2.3000000000000007</v>
      </c>
      <c r="Y36" s="187"/>
      <c r="Z36" s="75"/>
      <c r="AA36" s="75"/>
      <c r="AB36" s="75"/>
      <c r="AC36" s="75">
        <v>0</v>
      </c>
      <c r="AD36" s="23">
        <f t="shared" si="13"/>
        <v>0</v>
      </c>
      <c r="AE36" s="76"/>
      <c r="AF36" s="76"/>
      <c r="AG36" s="76"/>
      <c r="AH36" s="97">
        <v>12.9</v>
      </c>
      <c r="AI36" s="22">
        <f t="shared" si="14"/>
        <v>6.4179104477611937E-2</v>
      </c>
      <c r="AJ36" s="22">
        <f t="shared" si="15"/>
        <v>6.4179104477611937E-2</v>
      </c>
      <c r="AK36" s="99">
        <f t="shared" si="16"/>
        <v>-0.10000000000000142</v>
      </c>
      <c r="AL36" s="71">
        <v>12.500000000000002</v>
      </c>
      <c r="AM36" s="72">
        <f>(0.5*Fedtax!C15+0.5*Fedtax!C16)/1000</f>
        <v>15.413</v>
      </c>
      <c r="AN36" s="71">
        <v>0.5</v>
      </c>
      <c r="AO36" s="255">
        <v>0</v>
      </c>
      <c r="AP36" s="71">
        <v>0</v>
      </c>
      <c r="AQ36" s="6">
        <f t="shared" si="17"/>
        <v>6.0199004975124377E-2</v>
      </c>
      <c r="AR36" s="207">
        <v>0.1</v>
      </c>
      <c r="AS36" s="713"/>
      <c r="AT36" s="207"/>
      <c r="AU36" s="207"/>
      <c r="AV36" s="207"/>
      <c r="AW36" s="207"/>
      <c r="AX36" s="207"/>
      <c r="AY36" s="207"/>
      <c r="AZ36" s="706"/>
      <c r="BA36" s="207"/>
      <c r="BB36" s="207"/>
      <c r="BC36" s="207"/>
      <c r="BD36" s="207"/>
      <c r="BE36" s="207"/>
      <c r="BF36" s="186">
        <v>0.4</v>
      </c>
      <c r="BG36" s="435"/>
      <c r="BH36" s="140">
        <f t="shared" si="39"/>
        <v>0.51952044266830621</v>
      </c>
      <c r="BI36" s="248"/>
      <c r="BJ36" s="23">
        <f t="shared" si="40"/>
        <v>0.51552413157085764</v>
      </c>
      <c r="BK36" s="140">
        <f t="shared" si="41"/>
        <v>0.51745254133496621</v>
      </c>
      <c r="BL36" s="140">
        <f t="shared" si="42"/>
        <v>0.48012206037154204</v>
      </c>
      <c r="BM36" s="248">
        <f t="shared" si="43"/>
        <v>0.51745254133496621</v>
      </c>
      <c r="BN36" s="23">
        <f t="shared" si="44"/>
        <v>0.48679245283018868</v>
      </c>
      <c r="BO36" s="23">
        <f t="shared" si="45"/>
        <v>0.4777777777777778</v>
      </c>
      <c r="BP36" s="149">
        <f t="shared" si="18"/>
        <v>25</v>
      </c>
      <c r="BQ36" s="99">
        <f t="shared" si="19"/>
        <v>0.10000000000000142</v>
      </c>
      <c r="BR36" s="153">
        <f t="shared" si="20"/>
        <v>12.9</v>
      </c>
      <c r="BS36" s="79">
        <v>4.5999999999999996</v>
      </c>
      <c r="BT36" s="79">
        <v>7.4</v>
      </c>
      <c r="BU36" s="23">
        <f t="shared" si="46"/>
        <v>0.29600000000000004</v>
      </c>
      <c r="BV36" s="71">
        <v>7.3</v>
      </c>
      <c r="BW36" s="71">
        <f t="shared" si="21"/>
        <v>0.10000000000000053</v>
      </c>
      <c r="BX36" s="23">
        <f t="shared" si="22"/>
        <v>4.0000000000000209E-3</v>
      </c>
      <c r="BY36" s="23"/>
      <c r="BZ36" s="23"/>
      <c r="CA36" s="23"/>
      <c r="CB36" s="23">
        <f t="shared" si="47"/>
        <v>0.25000000000000133</v>
      </c>
      <c r="CC36" s="166">
        <f t="shared" si="23"/>
        <v>0.52307692307692322</v>
      </c>
      <c r="CD36" s="72"/>
      <c r="CH36" s="184">
        <f>95%</f>
        <v>0.95</v>
      </c>
      <c r="CI36" s="69"/>
      <c r="CL36" s="78"/>
      <c r="CM36" s="78"/>
      <c r="CN36" s="78"/>
      <c r="CO36" s="78"/>
      <c r="CZ36" s="69"/>
      <c r="DA36" s="90"/>
      <c r="DI36" s="67"/>
      <c r="EG36" s="67"/>
      <c r="EN36" s="24"/>
      <c r="EO36" s="184">
        <v>0.5</v>
      </c>
      <c r="ER36" s="69"/>
      <c r="ES36" s="90"/>
      <c r="ET36" s="90"/>
      <c r="EU36" s="90"/>
      <c r="EV36" s="90"/>
      <c r="FG36" s="184">
        <f t="shared" si="34"/>
        <v>1.162508331309708E-3</v>
      </c>
      <c r="FH36" s="184">
        <f t="shared" si="24"/>
        <v>9.6965645872755524E-3</v>
      </c>
      <c r="FI36" s="184">
        <f t="shared" si="35"/>
        <v>-7.7500555420647192E-5</v>
      </c>
      <c r="FJ36" s="184">
        <f t="shared" si="25"/>
        <v>3.5764504896230759E-2</v>
      </c>
      <c r="FK36" s="184">
        <f t="shared" si="36"/>
        <v>1.1374357819501111E-2</v>
      </c>
      <c r="FL36" s="184"/>
      <c r="FM36" s="184"/>
      <c r="FN36" s="184">
        <f t="shared" si="37"/>
        <v>7.7500555420647192E-5</v>
      </c>
      <c r="FO36" s="184">
        <f t="shared" si="26"/>
        <v>5.7997935634317127E-2</v>
      </c>
      <c r="FP36" s="184">
        <f t="shared" si="27"/>
        <v>0.9420020643656829</v>
      </c>
      <c r="FQ36" s="23">
        <f t="shared" si="28"/>
        <v>1.2134952686564818E-3</v>
      </c>
      <c r="FR36" s="23">
        <f t="shared" si="29"/>
        <v>1.9709581654420449E-2</v>
      </c>
      <c r="FS36" s="23">
        <f t="shared" si="30"/>
        <v>1.5093224734533356E-4</v>
      </c>
      <c r="FT36" s="393">
        <f t="shared" si="31"/>
        <v>7.5466123672666779E-5</v>
      </c>
      <c r="FU36" s="393">
        <f t="shared" si="32"/>
        <v>7.5466123672666779E-5</v>
      </c>
      <c r="FV36" s="23">
        <f t="shared" si="33"/>
        <v>2.4514405042811503E-3</v>
      </c>
      <c r="FW36" s="69"/>
      <c r="GH36" s="67"/>
      <c r="GU36" s="69"/>
      <c r="HH36" s="90"/>
      <c r="HI36" s="67"/>
      <c r="HT36" s="24"/>
      <c r="IF36" s="90"/>
      <c r="IQ36" s="90"/>
      <c r="IR36" s="69"/>
      <c r="JH36" s="69"/>
      <c r="JI36" s="90"/>
      <c r="KB36" s="69"/>
      <c r="KC36" s="90"/>
      <c r="KD36" s="90"/>
      <c r="KE36" s="90"/>
      <c r="KF36" s="90"/>
      <c r="KU36" s="69"/>
      <c r="KV36" s="90"/>
      <c r="LT36" s="423"/>
      <c r="LU36" s="80"/>
      <c r="LV36" s="80"/>
      <c r="LW36" s="80"/>
      <c r="LX36" s="80"/>
      <c r="LY36" s="80"/>
      <c r="LZ36" s="80"/>
      <c r="MA36" s="80"/>
      <c r="MB36" s="80"/>
      <c r="MC36" s="80"/>
      <c r="MD36" s="80"/>
      <c r="ME36" s="80"/>
      <c r="MF36" s="80"/>
      <c r="MG36" s="80"/>
      <c r="MH36" s="67"/>
      <c r="MM36" s="24"/>
      <c r="MP36" s="24"/>
      <c r="MY36" s="24"/>
      <c r="NC36" s="24"/>
      <c r="NJ36" s="24"/>
      <c r="NO36" s="24"/>
      <c r="NU36" s="69"/>
      <c r="NV36" s="90"/>
      <c r="NW36" s="90"/>
      <c r="NX36" s="90"/>
      <c r="NY36" s="90"/>
      <c r="NZ36" s="90"/>
      <c r="OA36" s="90"/>
      <c r="OB36" s="90"/>
      <c r="OC36" s="90"/>
      <c r="OD36" s="90"/>
      <c r="OE36" s="90"/>
      <c r="OF36" s="90"/>
      <c r="OG36" s="90"/>
      <c r="OH36" s="90"/>
      <c r="OM36" s="80"/>
      <c r="OO36" s="67"/>
      <c r="PG36" s="69"/>
      <c r="PH36" s="80"/>
      <c r="PI36" s="80"/>
    </row>
    <row r="37" spans="2:425">
      <c r="B37" s="71">
        <v>1945</v>
      </c>
      <c r="C37" s="43">
        <v>201.4</v>
      </c>
      <c r="D37" s="5">
        <v>20.5</v>
      </c>
      <c r="E37" s="6">
        <f t="shared" si="0"/>
        <v>0.10178748758689175</v>
      </c>
      <c r="F37" s="72">
        <f t="shared" si="1"/>
        <v>0</v>
      </c>
      <c r="G37" s="73">
        <f t="shared" si="2"/>
        <v>20.2</v>
      </c>
      <c r="H37" s="23">
        <f t="shared" si="3"/>
        <v>0.10029791459781529</v>
      </c>
      <c r="I37" s="74">
        <v>0.3</v>
      </c>
      <c r="J37" s="19">
        <f t="shared" si="4"/>
        <v>1.4895729890764646E-3</v>
      </c>
      <c r="K37" s="6">
        <f t="shared" si="5"/>
        <v>1.4634146341463414E-2</v>
      </c>
      <c r="L37" s="136">
        <f t="shared" si="38"/>
        <v>0.3923076923076923</v>
      </c>
      <c r="M37" s="19">
        <f t="shared" si="6"/>
        <v>1.9479031395615307E-3</v>
      </c>
      <c r="N37" s="167">
        <f t="shared" si="7"/>
        <v>1.9136960600375234E-2</v>
      </c>
      <c r="O37" s="5">
        <f t="shared" si="8"/>
        <v>20.5</v>
      </c>
      <c r="P37" s="75">
        <f t="shared" si="9"/>
        <v>0</v>
      </c>
      <c r="Q37" s="271">
        <v>21.3</v>
      </c>
      <c r="R37" s="202">
        <v>0.4</v>
      </c>
      <c r="S37" s="53">
        <f t="shared" si="10"/>
        <v>1.9512195121951219E-2</v>
      </c>
      <c r="T37" s="74">
        <v>0.1</v>
      </c>
      <c r="U37" s="74">
        <v>0</v>
      </c>
      <c r="V37" s="207">
        <v>0.6</v>
      </c>
      <c r="W37" s="53">
        <f t="shared" si="11"/>
        <v>2.9268292682926828E-2</v>
      </c>
      <c r="X37" s="75">
        <f t="shared" si="12"/>
        <v>-0.69999999999999929</v>
      </c>
      <c r="Y37" s="187"/>
      <c r="Z37" s="75"/>
      <c r="AA37" s="75"/>
      <c r="AB37" s="75"/>
      <c r="AC37" s="75">
        <v>0</v>
      </c>
      <c r="AD37" s="23">
        <f t="shared" si="13"/>
        <v>0</v>
      </c>
      <c r="AE37" s="76"/>
      <c r="AF37" s="76"/>
      <c r="AG37" s="76"/>
      <c r="AH37" s="97">
        <v>10.7</v>
      </c>
      <c r="AI37" s="22">
        <f t="shared" si="14"/>
        <v>5.3128103277060572E-2</v>
      </c>
      <c r="AJ37" s="22">
        <f t="shared" si="15"/>
        <v>5.3128103277060572E-2</v>
      </c>
      <c r="AK37" s="99">
        <f t="shared" si="16"/>
        <v>0</v>
      </c>
      <c r="AL37" s="71">
        <v>10.200000000000001</v>
      </c>
      <c r="AM37" s="72">
        <f>(0.5*Fedtax!C16+0.5*Fedtax!C17)/1000</f>
        <v>13.935499999999999</v>
      </c>
      <c r="AN37" s="71">
        <v>0.5</v>
      </c>
      <c r="AO37" s="255">
        <v>0</v>
      </c>
      <c r="AP37" s="71">
        <v>0</v>
      </c>
      <c r="AQ37" s="6">
        <f t="shared" si="17"/>
        <v>4.8659384309831182E-2</v>
      </c>
      <c r="AR37" s="207">
        <v>0.1</v>
      </c>
      <c r="AS37" s="713"/>
      <c r="AT37" s="207"/>
      <c r="AU37" s="207"/>
      <c r="AV37" s="207"/>
      <c r="AW37" s="207"/>
      <c r="AX37" s="207"/>
      <c r="AY37" s="207"/>
      <c r="AZ37" s="706"/>
      <c r="BA37" s="207"/>
      <c r="BB37" s="207"/>
      <c r="BC37" s="207"/>
      <c r="BD37" s="207"/>
      <c r="BE37" s="207"/>
      <c r="BF37" s="186">
        <v>0.4</v>
      </c>
      <c r="BG37" s="435"/>
      <c r="BH37" s="140">
        <f t="shared" si="39"/>
        <v>0.52214714714714727</v>
      </c>
      <c r="BI37" s="248"/>
      <c r="BJ37" s="23">
        <f t="shared" si="40"/>
        <v>0.50729394602479938</v>
      </c>
      <c r="BK37" s="140">
        <f t="shared" si="41"/>
        <v>0.5244676877101232</v>
      </c>
      <c r="BL37" s="140">
        <f t="shared" si="42"/>
        <v>0.52754608571844475</v>
      </c>
      <c r="BM37" s="248">
        <f t="shared" si="43"/>
        <v>0.5244676877101232</v>
      </c>
      <c r="BN37" s="23">
        <f t="shared" si="44"/>
        <v>0.50234741784037551</v>
      </c>
      <c r="BO37" s="23">
        <f t="shared" si="45"/>
        <v>0.49308755760368661</v>
      </c>
      <c r="BP37" s="149">
        <f t="shared" si="18"/>
        <v>20.5</v>
      </c>
      <c r="BQ37" s="99">
        <f t="shared" si="19"/>
        <v>0</v>
      </c>
      <c r="BR37" s="153">
        <f t="shared" si="20"/>
        <v>10.7</v>
      </c>
      <c r="BS37" s="79">
        <v>4.5999999999999996</v>
      </c>
      <c r="BT37" s="79">
        <v>5.2</v>
      </c>
      <c r="BU37" s="23">
        <f t="shared" si="46"/>
        <v>0.25365853658536586</v>
      </c>
      <c r="BV37" s="71">
        <v>5</v>
      </c>
      <c r="BW37" s="71">
        <f t="shared" si="21"/>
        <v>0.20000000000000018</v>
      </c>
      <c r="BX37" s="23">
        <f t="shared" si="22"/>
        <v>9.7560975609756184E-3</v>
      </c>
      <c r="BY37" s="23"/>
      <c r="BZ37" s="23"/>
      <c r="CA37" s="23"/>
      <c r="CB37" s="23">
        <f t="shared" si="47"/>
        <v>0.6666666666666673</v>
      </c>
      <c r="CC37" s="166">
        <f t="shared" si="23"/>
        <v>0.3923076923076923</v>
      </c>
      <c r="CD37" s="72"/>
      <c r="CH37" s="184">
        <f>95%</f>
        <v>0.95</v>
      </c>
      <c r="CI37" s="69"/>
      <c r="CL37" s="78"/>
      <c r="CM37" s="78"/>
      <c r="CN37" s="78"/>
      <c r="CO37" s="78"/>
      <c r="CZ37" s="69"/>
      <c r="DA37" s="90"/>
      <c r="DI37" s="67"/>
      <c r="EG37" s="67"/>
      <c r="EN37" s="24"/>
      <c r="EO37" s="184">
        <v>0.5</v>
      </c>
      <c r="ER37" s="69"/>
      <c r="ES37" s="90"/>
      <c r="ET37" s="90"/>
      <c r="EU37" s="90"/>
      <c r="EV37" s="90"/>
      <c r="FG37" s="184">
        <f t="shared" si="34"/>
        <v>1.2400088867303553E-3</v>
      </c>
      <c r="FH37" s="184">
        <f t="shared" si="24"/>
        <v>9.6965645872755524E-3</v>
      </c>
      <c r="FI37" s="184">
        <f t="shared" si="35"/>
        <v>-8.2667259115357005E-5</v>
      </c>
      <c r="FJ37" s="184">
        <f t="shared" si="25"/>
        <v>3.5764504896230759E-2</v>
      </c>
      <c r="FK37" s="184">
        <f t="shared" si="36"/>
        <v>1.2132648340801185E-2</v>
      </c>
      <c r="FL37" s="184"/>
      <c r="FM37" s="184"/>
      <c r="FN37" s="184">
        <f t="shared" si="37"/>
        <v>8.2667259115357005E-5</v>
      </c>
      <c r="FO37" s="184">
        <f t="shared" si="26"/>
        <v>5.8833726711037856E-2</v>
      </c>
      <c r="FP37" s="184">
        <f t="shared" si="27"/>
        <v>0.94116627328896219</v>
      </c>
      <c r="FQ37" s="23">
        <f t="shared" si="28"/>
        <v>1.1258987100423753E-3</v>
      </c>
      <c r="FR37" s="23">
        <f t="shared" si="29"/>
        <v>1.8011061890332858E-2</v>
      </c>
      <c r="FS37" s="23">
        <f t="shared" si="30"/>
        <v>1.1460240097253572E-4</v>
      </c>
      <c r="FT37" s="393">
        <f t="shared" si="31"/>
        <v>5.7301200486267859E-5</v>
      </c>
      <c r="FU37" s="393">
        <f t="shared" si="32"/>
        <v>5.7301200486267859E-5</v>
      </c>
      <c r="FV37" s="23">
        <f t="shared" si="33"/>
        <v>1.8333007385889948E-3</v>
      </c>
      <c r="FW37" s="69"/>
      <c r="GH37" s="67"/>
      <c r="GU37" s="69"/>
      <c r="HH37" s="90"/>
      <c r="HI37" s="67"/>
      <c r="HT37" s="24"/>
      <c r="IF37" s="90"/>
      <c r="IQ37" s="90"/>
      <c r="IR37" s="69"/>
      <c r="JH37" s="69"/>
      <c r="JI37" s="90"/>
      <c r="KB37" s="69"/>
      <c r="KC37" s="90"/>
      <c r="KD37" s="90"/>
      <c r="KE37" s="90"/>
      <c r="KF37" s="90"/>
      <c r="KU37" s="69"/>
      <c r="KV37" s="90"/>
      <c r="LT37" s="423"/>
      <c r="LU37" s="80"/>
      <c r="LV37" s="80"/>
      <c r="LW37" s="80"/>
      <c r="LX37" s="80"/>
      <c r="LY37" s="80"/>
      <c r="LZ37" s="80"/>
      <c r="MA37" s="80"/>
      <c r="MB37" s="80"/>
      <c r="MC37" s="80"/>
      <c r="MD37" s="80"/>
      <c r="ME37" s="80"/>
      <c r="MF37" s="80"/>
      <c r="MG37" s="80"/>
      <c r="MH37" s="67"/>
      <c r="MI37" s="136"/>
      <c r="MJ37" s="136"/>
      <c r="MK37" s="136"/>
      <c r="ML37" s="136"/>
      <c r="MM37" s="24"/>
      <c r="MP37" s="24"/>
      <c r="MY37" s="24"/>
      <c r="NC37" s="24"/>
      <c r="NJ37" s="24"/>
      <c r="NO37" s="24"/>
      <c r="NU37" s="69"/>
      <c r="NV37" s="90"/>
      <c r="NW37" s="90"/>
      <c r="NX37" s="90"/>
      <c r="NY37" s="90"/>
      <c r="NZ37" s="90"/>
      <c r="OA37" s="90"/>
      <c r="OB37" s="90"/>
      <c r="OC37" s="90"/>
      <c r="OD37" s="90"/>
      <c r="OE37" s="90"/>
      <c r="OF37" s="90"/>
      <c r="OG37" s="90"/>
      <c r="OH37" s="90"/>
      <c r="OM37" s="80"/>
      <c r="OO37" s="67"/>
      <c r="PG37" s="69"/>
      <c r="PH37" s="80"/>
      <c r="PI37" s="80"/>
    </row>
    <row r="38" spans="2:425">
      <c r="B38" s="71">
        <v>1946</v>
      </c>
      <c r="C38" s="43">
        <v>201.5</v>
      </c>
      <c r="D38" s="5">
        <v>18.2</v>
      </c>
      <c r="E38" s="6">
        <f t="shared" si="0"/>
        <v>9.0322580645161285E-2</v>
      </c>
      <c r="F38" s="72">
        <f t="shared" si="1"/>
        <v>0</v>
      </c>
      <c r="G38" s="73">
        <f t="shared" si="2"/>
        <v>17.5</v>
      </c>
      <c r="H38" s="23">
        <f t="shared" si="3"/>
        <v>8.6848635235732011E-2</v>
      </c>
      <c r="I38" s="74">
        <v>0.7</v>
      </c>
      <c r="J38" s="19">
        <f t="shared" si="4"/>
        <v>3.47394540942928E-3</v>
      </c>
      <c r="K38" s="6">
        <f t="shared" si="5"/>
        <v>3.8461538461538464E-2</v>
      </c>
      <c r="L38" s="136">
        <f t="shared" si="38"/>
        <v>0.91538461538461535</v>
      </c>
      <c r="M38" s="19">
        <f t="shared" si="6"/>
        <v>4.5428516892536746E-3</v>
      </c>
      <c r="N38" s="167">
        <f t="shared" si="7"/>
        <v>5.0295857988165681E-2</v>
      </c>
      <c r="O38" s="5">
        <f t="shared" si="8"/>
        <v>18.2</v>
      </c>
      <c r="P38" s="75">
        <f t="shared" si="9"/>
        <v>0</v>
      </c>
      <c r="Q38" s="271">
        <v>25.4</v>
      </c>
      <c r="R38" s="202">
        <v>1.1000000000000001</v>
      </c>
      <c r="S38" s="53">
        <f t="shared" si="10"/>
        <v>6.0439560439560447E-2</v>
      </c>
      <c r="T38" s="74">
        <v>0.1</v>
      </c>
      <c r="U38" s="74">
        <v>-7.4</v>
      </c>
      <c r="V38" s="207">
        <v>1.1000000000000001</v>
      </c>
      <c r="W38" s="53">
        <f t="shared" si="11"/>
        <v>6.0439560439560447E-2</v>
      </c>
      <c r="X38" s="75">
        <f t="shared" si="12"/>
        <v>9.9999999999997868E-2</v>
      </c>
      <c r="Y38" s="187"/>
      <c r="Z38" s="75"/>
      <c r="AA38" s="75"/>
      <c r="AB38" s="75"/>
      <c r="AC38" s="75">
        <v>0</v>
      </c>
      <c r="AD38" s="23">
        <f t="shared" si="13"/>
        <v>0</v>
      </c>
      <c r="AE38" s="76"/>
      <c r="AF38" s="76"/>
      <c r="AG38" s="76"/>
      <c r="AH38" s="97">
        <v>9.1</v>
      </c>
      <c r="AI38" s="22">
        <f t="shared" si="14"/>
        <v>4.5161290322580643E-2</v>
      </c>
      <c r="AJ38" s="22">
        <f t="shared" si="15"/>
        <v>4.5161290322580643E-2</v>
      </c>
      <c r="AK38" s="99">
        <f t="shared" si="16"/>
        <v>0</v>
      </c>
      <c r="AL38" s="71">
        <v>8.6000000000000014</v>
      </c>
      <c r="AM38" s="72">
        <f>(0.5*Fedtax!C17+0.5*Fedtax!C18)/1000</f>
        <v>10.249000000000001</v>
      </c>
      <c r="AN38" s="71">
        <v>0.5</v>
      </c>
      <c r="AO38" s="255">
        <v>0</v>
      </c>
      <c r="AP38" s="71">
        <v>0</v>
      </c>
      <c r="AQ38" s="6">
        <f t="shared" si="17"/>
        <v>4.5161290322580643E-2</v>
      </c>
      <c r="AR38" s="207">
        <v>0.2</v>
      </c>
      <c r="AS38" s="713"/>
      <c r="AT38" s="207"/>
      <c r="AU38" s="207"/>
      <c r="AV38" s="207"/>
      <c r="AW38" s="207"/>
      <c r="AX38" s="207"/>
      <c r="AY38" s="207"/>
      <c r="AZ38" s="706"/>
      <c r="BA38" s="207"/>
      <c r="BB38" s="207"/>
      <c r="BC38" s="207"/>
      <c r="BD38" s="207"/>
      <c r="BE38" s="207"/>
      <c r="BF38" s="186">
        <v>0.38</v>
      </c>
      <c r="BG38" s="435"/>
      <c r="BH38" s="140">
        <f t="shared" si="39"/>
        <v>0.49685006299874018</v>
      </c>
      <c r="BI38" s="248"/>
      <c r="BJ38" s="23">
        <f t="shared" si="40"/>
        <v>0.46870047543581617</v>
      </c>
      <c r="BK38" s="140">
        <f t="shared" si="41"/>
        <v>0.50228500207727467</v>
      </c>
      <c r="BL38" s="140">
        <f t="shared" si="42"/>
        <v>0.5312881102884891</v>
      </c>
      <c r="BM38" s="248">
        <f t="shared" si="43"/>
        <v>0.50228500207727467</v>
      </c>
      <c r="BN38" s="23">
        <f t="shared" si="44"/>
        <v>0.3582677165354331</v>
      </c>
      <c r="BO38" s="23">
        <f t="shared" si="45"/>
        <v>0.34339622641509432</v>
      </c>
      <c r="BP38" s="149">
        <f t="shared" si="18"/>
        <v>18.2</v>
      </c>
      <c r="BQ38" s="99">
        <f t="shared" si="19"/>
        <v>-0.10000000000000142</v>
      </c>
      <c r="BR38" s="153">
        <f t="shared" si="20"/>
        <v>9.1</v>
      </c>
      <c r="BS38" s="79">
        <v>5.6</v>
      </c>
      <c r="BT38" s="79">
        <v>3.6</v>
      </c>
      <c r="BU38" s="23">
        <f t="shared" si="46"/>
        <v>0.19780219780219782</v>
      </c>
      <c r="BV38" s="71">
        <v>3.3</v>
      </c>
      <c r="BW38" s="71">
        <f t="shared" si="21"/>
        <v>0.30000000000000027</v>
      </c>
      <c r="BX38" s="23">
        <f t="shared" si="22"/>
        <v>1.6483516483516498E-2</v>
      </c>
      <c r="BY38" s="23"/>
      <c r="BZ38" s="23"/>
      <c r="CA38" s="23"/>
      <c r="CB38" s="23">
        <f t="shared" si="47"/>
        <v>0.42857142857142899</v>
      </c>
      <c r="CC38" s="166">
        <f t="shared" si="23"/>
        <v>0.91538461538461535</v>
      </c>
      <c r="CD38" s="72"/>
      <c r="CH38" s="184">
        <f>95%</f>
        <v>0.95</v>
      </c>
      <c r="CI38" s="69"/>
      <c r="CL38" s="78"/>
      <c r="CM38" s="78"/>
      <c r="CN38" s="78"/>
      <c r="CO38" s="78"/>
      <c r="CZ38" s="69"/>
      <c r="DA38" s="90"/>
      <c r="DI38" s="67"/>
      <c r="EG38" s="67"/>
      <c r="EN38" s="24"/>
      <c r="EO38" s="184">
        <v>0.5</v>
      </c>
      <c r="ER38" s="69"/>
      <c r="ES38" s="90"/>
      <c r="ET38" s="90"/>
      <c r="EU38" s="90"/>
      <c r="EV38" s="90"/>
      <c r="FG38" s="184">
        <f t="shared" si="34"/>
        <v>1.3175094421510026E-3</v>
      </c>
      <c r="FH38" s="184">
        <f t="shared" si="24"/>
        <v>9.6965645872755524E-3</v>
      </c>
      <c r="FI38" s="184">
        <f t="shared" si="35"/>
        <v>-8.7833962810066819E-5</v>
      </c>
      <c r="FJ38" s="184">
        <f t="shared" si="25"/>
        <v>3.5764504896230759E-2</v>
      </c>
      <c r="FK38" s="184">
        <f t="shared" si="36"/>
        <v>1.289093886210126E-2</v>
      </c>
      <c r="FL38" s="184"/>
      <c r="FM38" s="184"/>
      <c r="FN38" s="184">
        <f t="shared" si="37"/>
        <v>8.7833962810066819E-5</v>
      </c>
      <c r="FO38" s="184">
        <f t="shared" si="26"/>
        <v>5.9669517787758572E-2</v>
      </c>
      <c r="FP38" s="184">
        <f t="shared" si="27"/>
        <v>0.94033048221224147</v>
      </c>
      <c r="FQ38" s="23">
        <f t="shared" si="28"/>
        <v>3.001129592875431E-3</v>
      </c>
      <c r="FR38" s="23">
        <f t="shared" si="29"/>
        <v>4.7294728395290253E-2</v>
      </c>
      <c r="FS38" s="23">
        <f t="shared" si="30"/>
        <v>2.7106976967907116E-4</v>
      </c>
      <c r="FT38" s="393">
        <f t="shared" si="31"/>
        <v>1.3553488483953558E-4</v>
      </c>
      <c r="FU38" s="393">
        <f t="shared" si="32"/>
        <v>1.3553488483953558E-4</v>
      </c>
      <c r="FV38" s="23">
        <f t="shared" si="33"/>
        <v>4.2717819195746036E-3</v>
      </c>
      <c r="FW38" s="69"/>
      <c r="GH38" s="67"/>
      <c r="GU38" s="69"/>
      <c r="HH38" s="90"/>
      <c r="HI38" s="67"/>
      <c r="HT38" s="24"/>
      <c r="IF38" s="90"/>
      <c r="IQ38" s="90"/>
      <c r="IR38" s="69"/>
      <c r="JH38" s="69"/>
      <c r="JI38" s="90"/>
      <c r="KB38" s="69"/>
      <c r="KC38" s="90"/>
      <c r="KD38" s="90"/>
      <c r="KE38" s="90"/>
      <c r="KF38" s="90"/>
      <c r="KU38" s="69"/>
      <c r="KV38" s="90"/>
      <c r="LT38" s="423"/>
      <c r="LU38" s="80"/>
      <c r="LV38" s="80"/>
      <c r="LW38" s="80"/>
      <c r="LX38" s="80"/>
      <c r="LY38" s="80"/>
      <c r="LZ38" s="80"/>
      <c r="MA38" s="80"/>
      <c r="MB38" s="80"/>
      <c r="MC38" s="80"/>
      <c r="MD38" s="80"/>
      <c r="ME38" s="80"/>
      <c r="MF38" s="80"/>
      <c r="MG38" s="80"/>
      <c r="MH38" s="67"/>
      <c r="MI38" s="136">
        <f>FoF_RoW!$BH8/1000</f>
        <v>7.2270000000000003</v>
      </c>
      <c r="MJ38" s="136"/>
      <c r="MK38" s="136">
        <f>FoF_RoW!$AU8/1000</f>
        <v>0.23</v>
      </c>
      <c r="ML38" s="136"/>
      <c r="MM38" s="24"/>
      <c r="MP38" s="24"/>
      <c r="MY38" s="24"/>
      <c r="NC38" s="24"/>
      <c r="NJ38" s="24"/>
      <c r="NO38" s="24"/>
      <c r="NU38" s="69"/>
      <c r="NV38" s="90"/>
      <c r="NW38" s="90"/>
      <c r="NX38" s="90"/>
      <c r="NY38" s="90"/>
      <c r="NZ38" s="90"/>
      <c r="OA38" s="90"/>
      <c r="OB38" s="90"/>
      <c r="OC38" s="90"/>
      <c r="OD38" s="90"/>
      <c r="OE38" s="90"/>
      <c r="OF38" s="90"/>
      <c r="OG38" s="90"/>
      <c r="OH38" s="90"/>
      <c r="OM38" s="80"/>
      <c r="OO38" s="67"/>
      <c r="PG38" s="69"/>
      <c r="PH38" s="80"/>
      <c r="PI38" s="80"/>
    </row>
    <row r="39" spans="2:425">
      <c r="B39" s="71">
        <v>1947</v>
      </c>
      <c r="C39" s="43">
        <v>219</v>
      </c>
      <c r="D39" s="5">
        <v>24.2</v>
      </c>
      <c r="E39" s="6">
        <f t="shared" si="0"/>
        <v>0.11050228310502283</v>
      </c>
      <c r="F39" s="72">
        <f t="shared" si="1"/>
        <v>0</v>
      </c>
      <c r="G39" s="73">
        <f t="shared" si="2"/>
        <v>23.2</v>
      </c>
      <c r="H39" s="23">
        <f t="shared" si="3"/>
        <v>0.10593607305936073</v>
      </c>
      <c r="I39" s="72">
        <v>1</v>
      </c>
      <c r="J39" s="19">
        <f t="shared" si="4"/>
        <v>4.5662100456621002E-3</v>
      </c>
      <c r="K39" s="62">
        <f t="shared" si="5"/>
        <v>4.1322314049586778E-2</v>
      </c>
      <c r="L39" s="136">
        <f t="shared" si="38"/>
        <v>1.3076923076923077</v>
      </c>
      <c r="M39" s="19">
        <f t="shared" si="6"/>
        <v>5.9711977520196698E-3</v>
      </c>
      <c r="N39" s="63">
        <f t="shared" si="7"/>
        <v>5.4036872218690406E-2</v>
      </c>
      <c r="O39" s="5">
        <f t="shared" si="8"/>
        <v>24.2</v>
      </c>
      <c r="P39" s="75">
        <f t="shared" si="9"/>
        <v>0</v>
      </c>
      <c r="Q39" s="271">
        <v>31.6</v>
      </c>
      <c r="R39" s="202">
        <v>1.1000000000000001</v>
      </c>
      <c r="S39" s="53">
        <f t="shared" si="10"/>
        <v>4.5454545454545463E-2</v>
      </c>
      <c r="T39" s="74">
        <v>0.1</v>
      </c>
      <c r="U39" s="74">
        <v>-8.5</v>
      </c>
      <c r="V39" s="207">
        <v>0.7</v>
      </c>
      <c r="W39" s="53">
        <f t="shared" si="11"/>
        <v>2.8925619834710741E-2</v>
      </c>
      <c r="X39" s="75">
        <f t="shared" si="12"/>
        <v>0.59999999999999432</v>
      </c>
      <c r="Y39" s="187"/>
      <c r="Z39" s="75"/>
      <c r="AA39" s="75"/>
      <c r="AB39" s="75"/>
      <c r="AC39" s="75">
        <v>0</v>
      </c>
      <c r="AD39" s="23">
        <f t="shared" si="13"/>
        <v>0</v>
      </c>
      <c r="AE39" s="76"/>
      <c r="AF39" s="76"/>
      <c r="AG39" s="76"/>
      <c r="AH39" s="97">
        <v>11.3</v>
      </c>
      <c r="AI39" s="22">
        <f t="shared" si="14"/>
        <v>5.1598173515981741E-2</v>
      </c>
      <c r="AJ39" s="22">
        <f t="shared" si="15"/>
        <v>5.1141552511415528E-2</v>
      </c>
      <c r="AK39" s="99">
        <f t="shared" si="16"/>
        <v>0</v>
      </c>
      <c r="AL39" s="71">
        <v>10.600000000000001</v>
      </c>
      <c r="AM39" s="72">
        <f>(0.5*Fedtax!C18+0.5*Fedtax!C19)/1000</f>
        <v>9.1464999999999996</v>
      </c>
      <c r="AN39" s="71">
        <v>0.6</v>
      </c>
      <c r="AO39" s="255">
        <v>0</v>
      </c>
      <c r="AP39" s="71">
        <v>0.1</v>
      </c>
      <c r="AQ39" s="6">
        <f t="shared" si="17"/>
        <v>5.890410958904109E-2</v>
      </c>
      <c r="AR39" s="207">
        <v>0.2</v>
      </c>
      <c r="AS39" s="713"/>
      <c r="AT39" s="207"/>
      <c r="AU39" s="207"/>
      <c r="AV39" s="207"/>
      <c r="AW39" s="207"/>
      <c r="AX39" s="207"/>
      <c r="AY39" s="207"/>
      <c r="AZ39" s="706"/>
      <c r="BA39" s="207"/>
      <c r="BB39" s="207"/>
      <c r="BC39" s="207"/>
      <c r="BD39" s="207"/>
      <c r="BE39" s="207"/>
      <c r="BF39" s="186">
        <v>0.38</v>
      </c>
      <c r="BG39" s="435"/>
      <c r="BH39" s="140">
        <f t="shared" si="39"/>
        <v>0.4588717302237631</v>
      </c>
      <c r="BI39" s="248"/>
      <c r="BJ39" s="23">
        <f t="shared" si="40"/>
        <v>0.44607843137254916</v>
      </c>
      <c r="BK39" s="140">
        <f t="shared" si="41"/>
        <v>0.46326977180368872</v>
      </c>
      <c r="BL39" s="140">
        <f t="shared" si="42"/>
        <v>0.51453847884608006</v>
      </c>
      <c r="BM39" s="248">
        <f t="shared" si="43"/>
        <v>0.46326977180368872</v>
      </c>
      <c r="BN39" s="23">
        <f t="shared" si="44"/>
        <v>0.35443037974683544</v>
      </c>
      <c r="BO39" s="23">
        <f t="shared" si="45"/>
        <v>0.34250764525993882</v>
      </c>
      <c r="BP39" s="149">
        <f t="shared" si="18"/>
        <v>24.2</v>
      </c>
      <c r="BQ39" s="99">
        <f t="shared" si="19"/>
        <v>0</v>
      </c>
      <c r="BR39" s="153">
        <f t="shared" si="20"/>
        <v>11.3</v>
      </c>
      <c r="BS39" s="79">
        <v>6.3</v>
      </c>
      <c r="BT39" s="79">
        <v>6.6</v>
      </c>
      <c r="BU39" s="23">
        <f t="shared" si="46"/>
        <v>0.27272727272727271</v>
      </c>
      <c r="BV39" s="71">
        <v>6.3</v>
      </c>
      <c r="BW39" s="71">
        <f t="shared" si="21"/>
        <v>0.29999999999999982</v>
      </c>
      <c r="BX39" s="23">
        <f t="shared" si="22"/>
        <v>1.2396694214876026E-2</v>
      </c>
      <c r="BY39" s="23"/>
      <c r="BZ39" s="23"/>
      <c r="CA39" s="23"/>
      <c r="CB39" s="23">
        <f t="shared" si="47"/>
        <v>0.29999999999999982</v>
      </c>
      <c r="CC39" s="166">
        <f t="shared" si="23"/>
        <v>1.3076923076923077</v>
      </c>
      <c r="CD39" s="72"/>
      <c r="CH39" s="184">
        <f>95%</f>
        <v>0.95</v>
      </c>
      <c r="CI39" s="69"/>
      <c r="CL39" s="78"/>
      <c r="CM39" s="78"/>
      <c r="CN39" s="78"/>
      <c r="CO39" s="78"/>
      <c r="CZ39" s="69"/>
      <c r="DA39" s="90"/>
      <c r="DI39" s="67"/>
      <c r="EG39" s="67"/>
      <c r="EN39" s="24"/>
      <c r="EO39" s="184">
        <v>0.5</v>
      </c>
      <c r="ER39" s="69"/>
      <c r="ES39" s="90"/>
      <c r="ET39" s="90"/>
      <c r="EU39" s="90"/>
      <c r="EV39" s="90"/>
      <c r="FG39" s="184">
        <f t="shared" si="34"/>
        <v>1.3950099975716499E-3</v>
      </c>
      <c r="FH39" s="184">
        <f t="shared" si="24"/>
        <v>9.6965645872755524E-3</v>
      </c>
      <c r="FI39" s="184">
        <f t="shared" si="35"/>
        <v>-9.3000666504776633E-5</v>
      </c>
      <c r="FJ39" s="184">
        <f t="shared" si="25"/>
        <v>3.5764504896230759E-2</v>
      </c>
      <c r="FK39" s="184">
        <f t="shared" si="36"/>
        <v>1.3649229383401334E-2</v>
      </c>
      <c r="FL39" s="184"/>
      <c r="FM39" s="184"/>
      <c r="FN39" s="184">
        <f t="shared" si="37"/>
        <v>9.3000666504776633E-5</v>
      </c>
      <c r="FO39" s="184">
        <f t="shared" si="26"/>
        <v>6.0505308864479294E-2</v>
      </c>
      <c r="FP39" s="184">
        <f t="shared" si="27"/>
        <v>0.93949469113552075</v>
      </c>
      <c r="FQ39" s="23">
        <f t="shared" si="28"/>
        <v>3.2695176436622637E-3</v>
      </c>
      <c r="FR39" s="23">
        <f t="shared" si="29"/>
        <v>5.0767354575028144E-2</v>
      </c>
      <c r="FS39" s="23">
        <f t="shared" si="30"/>
        <v>3.6128916427683464E-4</v>
      </c>
      <c r="FT39" s="393">
        <f t="shared" si="31"/>
        <v>1.8064458213841732E-4</v>
      </c>
      <c r="FU39" s="393">
        <f t="shared" si="32"/>
        <v>1.8064458213841732E-4</v>
      </c>
      <c r="FV39" s="23">
        <f t="shared" si="33"/>
        <v>5.6099085877428356E-3</v>
      </c>
      <c r="FW39" s="69"/>
      <c r="GH39" s="67"/>
      <c r="GU39" s="69"/>
      <c r="HH39" s="90"/>
      <c r="HI39" s="67"/>
      <c r="HT39" s="24"/>
      <c r="IF39" s="90"/>
      <c r="IQ39" s="90"/>
      <c r="IR39" s="69"/>
      <c r="JH39" s="69"/>
      <c r="JI39" s="90"/>
      <c r="KB39" s="69"/>
      <c r="KC39" s="90"/>
      <c r="KD39" s="90"/>
      <c r="KE39" s="90"/>
      <c r="KF39" s="90"/>
      <c r="KU39" s="69"/>
      <c r="KV39" s="90"/>
      <c r="LT39" s="423"/>
      <c r="LU39" s="80"/>
      <c r="LV39" s="80"/>
      <c r="LW39" s="80"/>
      <c r="LX39" s="80"/>
      <c r="LY39" s="80"/>
      <c r="LZ39" s="80"/>
      <c r="MA39" s="80"/>
      <c r="MB39" s="80"/>
      <c r="MC39" s="80"/>
      <c r="MD39" s="80"/>
      <c r="ME39" s="80"/>
      <c r="MF39" s="80"/>
      <c r="MG39" s="80"/>
      <c r="MH39" s="67"/>
      <c r="MI39" s="136">
        <f>FoF_RoW!$BH9/1000</f>
        <v>8.3659999999999997</v>
      </c>
      <c r="MJ39" s="136"/>
      <c r="MK39" s="136">
        <f>FoF_RoW!$AU9/1000</f>
        <v>0.749</v>
      </c>
      <c r="ML39" s="136">
        <f t="shared" ref="ML39:ML57" si="48">MI39-MI38</f>
        <v>1.1389999999999993</v>
      </c>
      <c r="MM39" s="24"/>
      <c r="MP39" s="24"/>
      <c r="MY39" s="24"/>
      <c r="NC39" s="24"/>
      <c r="NJ39" s="24"/>
      <c r="NO39" s="24"/>
      <c r="NU39" s="69"/>
      <c r="NV39" s="90"/>
      <c r="NW39" s="90"/>
      <c r="NX39" s="90"/>
      <c r="NY39" s="90"/>
      <c r="NZ39" s="90"/>
      <c r="OA39" s="90"/>
      <c r="OB39" s="90"/>
      <c r="OC39" s="90"/>
      <c r="OD39" s="90"/>
      <c r="OE39" s="90"/>
      <c r="OF39" s="90"/>
      <c r="OG39" s="90"/>
      <c r="OH39" s="90"/>
      <c r="OM39" s="80"/>
      <c r="OO39" s="67"/>
      <c r="PG39" s="69"/>
      <c r="PH39" s="80"/>
      <c r="PI39" s="80"/>
    </row>
    <row r="40" spans="2:425">
      <c r="B40" s="71">
        <v>1948</v>
      </c>
      <c r="C40" s="43">
        <v>245.1</v>
      </c>
      <c r="D40" s="5">
        <v>31.4</v>
      </c>
      <c r="E40" s="6">
        <f t="shared" si="0"/>
        <v>0.1281109751121991</v>
      </c>
      <c r="F40" s="72">
        <f t="shared" si="1"/>
        <v>0</v>
      </c>
      <c r="G40" s="73">
        <f t="shared" si="2"/>
        <v>30.099999999999998</v>
      </c>
      <c r="H40" s="23">
        <f t="shared" si="3"/>
        <v>0.12280701754385964</v>
      </c>
      <c r="I40" s="74">
        <v>1.3</v>
      </c>
      <c r="J40" s="19">
        <f t="shared" si="4"/>
        <v>5.3039575683394534E-3</v>
      </c>
      <c r="K40" s="6">
        <f t="shared" si="5"/>
        <v>4.1401273885350323E-2</v>
      </c>
      <c r="L40" s="136">
        <f t="array" ref="L40:L108">TRANSPOSE(NIPA_4.1!V17:CL17)+TRANSPOSE(NIPA_4.1!V18:CL18)</f>
        <v>1.7000000000000002</v>
      </c>
      <c r="M40" s="19">
        <f t="shared" si="6"/>
        <v>6.935944512443901E-3</v>
      </c>
      <c r="N40" s="63">
        <f t="shared" si="7"/>
        <v>5.4140127388535041E-2</v>
      </c>
      <c r="O40" s="5">
        <f t="shared" si="8"/>
        <v>31.4</v>
      </c>
      <c r="P40" s="75">
        <f t="shared" si="9"/>
        <v>0</v>
      </c>
      <c r="Q40" s="271">
        <v>34.6</v>
      </c>
      <c r="R40" s="202">
        <v>1.2</v>
      </c>
      <c r="S40" s="53">
        <f t="shared" si="10"/>
        <v>3.8216560509554139E-2</v>
      </c>
      <c r="T40" s="74">
        <v>0.2</v>
      </c>
      <c r="U40" s="74">
        <v>-5.2</v>
      </c>
      <c r="V40" s="207">
        <v>0.7</v>
      </c>
      <c r="W40" s="53">
        <f t="shared" si="11"/>
        <v>2.2292993630573247E-2</v>
      </c>
      <c r="X40" s="75">
        <f t="shared" si="12"/>
        <v>1.2999999999999901</v>
      </c>
      <c r="Y40" s="187"/>
      <c r="Z40" s="75"/>
      <c r="AA40" s="75"/>
      <c r="AB40" s="75"/>
      <c r="AC40" s="75">
        <v>0</v>
      </c>
      <c r="AD40" s="23">
        <f t="shared" si="13"/>
        <v>0</v>
      </c>
      <c r="AE40" s="76"/>
      <c r="AF40" s="76"/>
      <c r="AG40" s="76"/>
      <c r="AH40" s="97">
        <v>12.4</v>
      </c>
      <c r="AI40" s="22">
        <f t="shared" si="14"/>
        <v>5.0591595267237867E-2</v>
      </c>
      <c r="AJ40" s="22">
        <f t="shared" si="15"/>
        <v>4.9775601795185642E-2</v>
      </c>
      <c r="AK40" s="99">
        <f t="shared" si="16"/>
        <v>0</v>
      </c>
      <c r="AL40" s="71">
        <v>11.5</v>
      </c>
      <c r="AM40" s="72">
        <f>(0.5*Fedtax!C19+0.5*Fedtax!C20)/1000</f>
        <v>10.435</v>
      </c>
      <c r="AN40" s="71">
        <v>0.7</v>
      </c>
      <c r="AO40" s="255">
        <v>0</v>
      </c>
      <c r="AP40" s="71">
        <v>0.2</v>
      </c>
      <c r="AQ40" s="6">
        <f t="shared" si="17"/>
        <v>7.7519379844961239E-2</v>
      </c>
      <c r="AR40" s="207">
        <v>0.3</v>
      </c>
      <c r="AS40" s="713"/>
      <c r="AT40" s="207"/>
      <c r="AU40" s="207"/>
      <c r="AV40" s="207"/>
      <c r="AW40" s="207"/>
      <c r="AX40" s="207"/>
      <c r="AY40" s="207"/>
      <c r="AZ40" s="706"/>
      <c r="BA40" s="207"/>
      <c r="BB40" s="207"/>
      <c r="BC40" s="207"/>
      <c r="BD40" s="207"/>
      <c r="BE40" s="207"/>
      <c r="BF40" s="186">
        <v>0.38</v>
      </c>
      <c r="BG40" s="435"/>
      <c r="BH40" s="140">
        <f t="shared" si="39"/>
        <v>0.38607594936708861</v>
      </c>
      <c r="BI40" s="248"/>
      <c r="BJ40" s="23">
        <f t="shared" si="40"/>
        <v>0.37770897832817346</v>
      </c>
      <c r="BK40" s="140">
        <f t="shared" si="41"/>
        <v>0.39184952978056431</v>
      </c>
      <c r="BL40" s="140">
        <f t="shared" si="42"/>
        <v>0.47986490654132341</v>
      </c>
      <c r="BM40" s="248">
        <f t="shared" si="43"/>
        <v>0.39184952978056431</v>
      </c>
      <c r="BN40" s="23">
        <f t="shared" si="44"/>
        <v>0.35260115606936415</v>
      </c>
      <c r="BO40" s="23">
        <f t="shared" si="45"/>
        <v>0.34078212290502791</v>
      </c>
      <c r="BP40" s="149">
        <f t="shared" si="18"/>
        <v>31.4</v>
      </c>
      <c r="BQ40" s="99">
        <f t="shared" si="19"/>
        <v>0.10000000000000142</v>
      </c>
      <c r="BR40" s="153">
        <f t="shared" si="20"/>
        <v>12.4</v>
      </c>
      <c r="BS40" s="79">
        <v>7</v>
      </c>
      <c r="BT40" s="79">
        <v>11.9</v>
      </c>
      <c r="BU40" s="23">
        <f t="shared" si="46"/>
        <v>0.37898089171974525</v>
      </c>
      <c r="BV40" s="71">
        <v>11.5</v>
      </c>
      <c r="BW40" s="71">
        <f t="shared" si="21"/>
        <v>0.40000000000000036</v>
      </c>
      <c r="BX40" s="23">
        <f t="shared" si="22"/>
        <v>1.2738853503184724E-2</v>
      </c>
      <c r="BY40" s="23"/>
      <c r="BZ40" s="23"/>
      <c r="CA40" s="23"/>
      <c r="CB40" s="23">
        <f t="shared" si="47"/>
        <v>0.30769230769230793</v>
      </c>
      <c r="CC40" s="169">
        <f t="shared" si="23"/>
        <v>1.7000000000000002</v>
      </c>
      <c r="CD40" s="174"/>
      <c r="CH40" s="184">
        <f>95%</f>
        <v>0.95</v>
      </c>
      <c r="CI40" s="69"/>
      <c r="CL40" s="78"/>
      <c r="CN40" s="78">
        <f t="array" ref="CN40:CN108">TRANSPOSE(NIPA_4.1!V18:CL18)</f>
        <v>0.6</v>
      </c>
      <c r="CO40" s="78"/>
      <c r="CZ40" s="69"/>
      <c r="DA40" s="90"/>
      <c r="DI40" s="67"/>
      <c r="EG40" s="67"/>
      <c r="EN40" s="24"/>
      <c r="EO40" s="184">
        <v>0.5</v>
      </c>
      <c r="ER40" s="69"/>
      <c r="ES40" s="90"/>
      <c r="ET40" s="90"/>
      <c r="EU40" s="90"/>
      <c r="EV40" s="90"/>
      <c r="FG40" s="184">
        <f t="shared" si="34"/>
        <v>1.4725105529922971E-3</v>
      </c>
      <c r="FH40" s="184">
        <f t="shared" si="24"/>
        <v>9.6965645872755524E-3</v>
      </c>
      <c r="FI40" s="184">
        <f t="shared" si="35"/>
        <v>-9.8167370199486446E-5</v>
      </c>
      <c r="FJ40" s="184">
        <f t="shared" si="25"/>
        <v>3.5764504896230759E-2</v>
      </c>
      <c r="FK40" s="184">
        <f t="shared" si="36"/>
        <v>1.4407519904701408E-2</v>
      </c>
      <c r="FL40" s="184"/>
      <c r="FM40" s="184"/>
      <c r="FN40" s="184">
        <f t="shared" si="37"/>
        <v>9.8167370199486446E-5</v>
      </c>
      <c r="FO40" s="184">
        <f t="shared" si="26"/>
        <v>6.1341099941200017E-2</v>
      </c>
      <c r="FP40" s="184">
        <f t="shared" si="27"/>
        <v>0.93865890005879993</v>
      </c>
      <c r="FQ40" s="23">
        <f t="shared" si="28"/>
        <v>3.3210149649694283E-3</v>
      </c>
      <c r="FR40" s="23">
        <f t="shared" si="29"/>
        <v>5.0819112423565613E-2</v>
      </c>
      <c r="FS40" s="23">
        <f t="shared" si="30"/>
        <v>4.2545846552443918E-4</v>
      </c>
      <c r="FT40" s="393">
        <f t="shared" si="31"/>
        <v>2.1272923276221959E-4</v>
      </c>
      <c r="FU40" s="393">
        <f t="shared" si="32"/>
        <v>2.1272923276221959E-4</v>
      </c>
      <c r="FV40" s="23">
        <f t="shared" si="33"/>
        <v>6.5104860469194625E-3</v>
      </c>
      <c r="FW40" s="69"/>
      <c r="GH40" s="67"/>
      <c r="GU40" s="69"/>
      <c r="HH40" s="90"/>
      <c r="HI40" s="67"/>
      <c r="HT40" s="24"/>
      <c r="IF40" s="90"/>
      <c r="IQ40" s="90"/>
      <c r="IR40" s="69"/>
      <c r="JH40" s="69"/>
      <c r="JI40" s="90"/>
      <c r="KB40" s="69"/>
      <c r="KC40" s="90"/>
      <c r="KD40" s="90"/>
      <c r="KE40" s="90"/>
      <c r="KF40" s="90"/>
      <c r="KU40" s="69"/>
      <c r="KV40" s="90"/>
      <c r="LT40" s="423"/>
      <c r="LU40" s="80"/>
      <c r="LV40" s="80"/>
      <c r="LW40" s="80"/>
      <c r="LX40" s="80"/>
      <c r="LY40" s="80"/>
      <c r="LZ40" s="80"/>
      <c r="MA40" s="80"/>
      <c r="MB40" s="80"/>
      <c r="MC40" s="80"/>
      <c r="MD40" s="80"/>
      <c r="ME40" s="80"/>
      <c r="MF40" s="80"/>
      <c r="MG40" s="80"/>
      <c r="MH40" s="67"/>
      <c r="MI40" s="136">
        <f>FoF_RoW!$BH10/1000</f>
        <v>9.625</v>
      </c>
      <c r="MJ40" s="136"/>
      <c r="MK40" s="136">
        <f>FoF_RoW!$AU10/1000</f>
        <v>0.72099999999999997</v>
      </c>
      <c r="ML40" s="136">
        <f t="shared" si="48"/>
        <v>1.2590000000000003</v>
      </c>
      <c r="MM40" s="24"/>
      <c r="MP40" s="24"/>
      <c r="MY40" s="24"/>
      <c r="NC40" s="24"/>
      <c r="NJ40" s="24"/>
      <c r="NO40" s="24"/>
      <c r="NU40" s="69"/>
      <c r="NV40" s="90"/>
      <c r="NW40" s="90"/>
      <c r="NX40" s="90"/>
      <c r="NY40" s="90"/>
      <c r="NZ40" s="90"/>
      <c r="OA40" s="90"/>
      <c r="OB40" s="90"/>
      <c r="OC40" s="90"/>
      <c r="OD40" s="90"/>
      <c r="OE40" s="90"/>
      <c r="OF40" s="90"/>
      <c r="OG40" s="90"/>
      <c r="OH40" s="90"/>
      <c r="OM40" s="80"/>
      <c r="OO40" s="67"/>
      <c r="PG40" s="69"/>
      <c r="PH40" s="80"/>
      <c r="PI40" s="80"/>
    </row>
    <row r="41" spans="2:425" s="113" customFormat="1">
      <c r="B41" s="103">
        <v>1949</v>
      </c>
      <c r="C41" s="104">
        <v>240</v>
      </c>
      <c r="D41" s="8">
        <v>29.1</v>
      </c>
      <c r="E41" s="105">
        <f t="shared" si="0"/>
        <v>0.12125000000000001</v>
      </c>
      <c r="F41" s="106">
        <f t="shared" si="1"/>
        <v>0</v>
      </c>
      <c r="G41" s="106">
        <f t="shared" si="2"/>
        <v>28</v>
      </c>
      <c r="H41" s="105">
        <f t="shared" si="3"/>
        <v>0.11666666666666667</v>
      </c>
      <c r="I41" s="103">
        <v>1.1000000000000001</v>
      </c>
      <c r="J41" s="107">
        <f t="shared" si="4"/>
        <v>4.5833333333333334E-3</v>
      </c>
      <c r="K41" s="105">
        <f t="shared" si="5"/>
        <v>3.7800687285223372E-2</v>
      </c>
      <c r="L41" s="134">
        <v>1.5</v>
      </c>
      <c r="M41" s="107">
        <f t="shared" si="6"/>
        <v>6.2500000000000003E-3</v>
      </c>
      <c r="N41" s="116">
        <f t="shared" si="7"/>
        <v>5.1546391752577317E-2</v>
      </c>
      <c r="O41" s="8">
        <f t="shared" si="8"/>
        <v>29.1</v>
      </c>
      <c r="P41" s="108">
        <f t="shared" si="9"/>
        <v>0</v>
      </c>
      <c r="Q41" s="270">
        <v>28.4</v>
      </c>
      <c r="R41" s="201">
        <v>1.3</v>
      </c>
      <c r="S41" s="109">
        <f t="shared" si="10"/>
        <v>4.4673539518900345E-2</v>
      </c>
      <c r="T41" s="103">
        <v>0.2</v>
      </c>
      <c r="U41" s="103">
        <v>-0.89999999999999991</v>
      </c>
      <c r="V41" s="206">
        <v>0.6</v>
      </c>
      <c r="W41" s="109">
        <f t="shared" si="11"/>
        <v>2.0618556701030927E-2</v>
      </c>
      <c r="X41" s="108">
        <f t="shared" si="12"/>
        <v>0.70000000000000284</v>
      </c>
      <c r="Y41" s="188"/>
      <c r="Z41" s="108"/>
      <c r="AA41" s="108"/>
      <c r="AB41" s="108"/>
      <c r="AC41" s="108">
        <v>0</v>
      </c>
      <c r="AD41" s="105">
        <f t="shared" si="13"/>
        <v>0</v>
      </c>
      <c r="AE41" s="108"/>
      <c r="AF41" s="108"/>
      <c r="AG41" s="108"/>
      <c r="AH41" s="110">
        <v>10.199999999999999</v>
      </c>
      <c r="AI41" s="107">
        <f t="shared" si="14"/>
        <v>4.2499999999999996E-2</v>
      </c>
      <c r="AJ41" s="107">
        <f t="shared" si="15"/>
        <v>4.1666666666666664E-2</v>
      </c>
      <c r="AK41" s="111">
        <f t="shared" si="16"/>
        <v>0</v>
      </c>
      <c r="AL41" s="103">
        <v>9.4</v>
      </c>
      <c r="AM41" s="106">
        <f>(0.5*Fedtax!C20+0.5*Fedtax!C21)/1000</f>
        <v>10.820499999999999</v>
      </c>
      <c r="AN41" s="103">
        <v>0.6</v>
      </c>
      <c r="AO41" s="277">
        <v>0</v>
      </c>
      <c r="AP41" s="103">
        <v>0.2</v>
      </c>
      <c r="AQ41" s="105">
        <f t="shared" si="17"/>
        <v>7.8750000000000014E-2</v>
      </c>
      <c r="AR41" s="206">
        <v>0.3</v>
      </c>
      <c r="AS41" s="712"/>
      <c r="AT41" s="206"/>
      <c r="AU41" s="206"/>
      <c r="AV41" s="206"/>
      <c r="AW41" s="206"/>
      <c r="AX41" s="206"/>
      <c r="AY41" s="206"/>
      <c r="AZ41" s="705"/>
      <c r="BA41" s="206"/>
      <c r="BB41" s="206"/>
      <c r="BC41" s="206"/>
      <c r="BD41" s="206"/>
      <c r="BE41" s="206"/>
      <c r="BF41" s="232">
        <v>0.38</v>
      </c>
      <c r="BG41" s="135"/>
      <c r="BH41" s="141">
        <f t="shared" si="39"/>
        <v>0.34129692832764502</v>
      </c>
      <c r="BI41" s="247"/>
      <c r="BJ41" s="105">
        <f t="shared" si="40"/>
        <v>0.33444816053511706</v>
      </c>
      <c r="BK41" s="141">
        <f t="shared" si="41"/>
        <v>0.34797297297297297</v>
      </c>
      <c r="BL41" s="141">
        <f t="shared" si="42"/>
        <v>0.44596899286892472</v>
      </c>
      <c r="BM41" s="247">
        <f t="shared" si="43"/>
        <v>0.34797297297297297</v>
      </c>
      <c r="BN41" s="105">
        <f t="shared" si="44"/>
        <v>0.35211267605633806</v>
      </c>
      <c r="BO41" s="105">
        <f t="shared" si="45"/>
        <v>0.33670033670033672</v>
      </c>
      <c r="BP41" s="150">
        <f t="shared" si="18"/>
        <v>29.1</v>
      </c>
      <c r="BQ41" s="111">
        <f t="shared" si="19"/>
        <v>0.10000000000000142</v>
      </c>
      <c r="BR41" s="154">
        <f t="shared" si="20"/>
        <v>10.199999999999999</v>
      </c>
      <c r="BS41" s="134">
        <v>7.2</v>
      </c>
      <c r="BT41" s="134">
        <v>11.6</v>
      </c>
      <c r="BU41" s="105">
        <f t="shared" si="46"/>
        <v>0.39862542955326458</v>
      </c>
      <c r="BV41" s="103">
        <v>11.3</v>
      </c>
      <c r="BW41" s="103">
        <f t="shared" si="21"/>
        <v>0.29999999999999893</v>
      </c>
      <c r="BX41" s="105">
        <f t="shared" si="22"/>
        <v>1.0309278350515427E-2</v>
      </c>
      <c r="BY41" s="105"/>
      <c r="BZ41" s="105"/>
      <c r="CA41" s="105"/>
      <c r="CB41" s="105">
        <f t="shared" si="47"/>
        <v>0.27272727272727176</v>
      </c>
      <c r="CC41" s="170">
        <f t="shared" si="23"/>
        <v>1.5</v>
      </c>
      <c r="CD41" s="175"/>
      <c r="CH41" s="410">
        <f>95%</f>
        <v>0.95</v>
      </c>
      <c r="CI41" s="181"/>
      <c r="CL41" s="114"/>
      <c r="CN41" s="114">
        <v>0.4</v>
      </c>
      <c r="CO41" s="114"/>
      <c r="CZ41" s="181"/>
      <c r="DI41" s="178"/>
      <c r="EG41" s="178"/>
      <c r="EN41" s="115"/>
      <c r="EO41" s="410">
        <v>0.5</v>
      </c>
      <c r="ER41" s="181"/>
      <c r="FG41" s="410">
        <f t="shared" si="34"/>
        <v>1.5500111084129444E-3</v>
      </c>
      <c r="FH41" s="410">
        <f t="shared" si="24"/>
        <v>9.6965645872755524E-3</v>
      </c>
      <c r="FI41" s="410">
        <f t="shared" si="35"/>
        <v>-1.0333407389419626E-4</v>
      </c>
      <c r="FJ41" s="410">
        <f t="shared" si="25"/>
        <v>3.5764504896230759E-2</v>
      </c>
      <c r="FK41" s="410">
        <f t="shared" si="36"/>
        <v>1.5165810426001482E-2</v>
      </c>
      <c r="FL41" s="410"/>
      <c r="FM41" s="410"/>
      <c r="FN41" s="410">
        <f t="shared" si="37"/>
        <v>1.0333407389419626E-4</v>
      </c>
      <c r="FO41" s="410">
        <f t="shared" si="26"/>
        <v>6.2176891017920739E-2</v>
      </c>
      <c r="FP41" s="410">
        <f t="shared" si="27"/>
        <v>0.93782310898207921</v>
      </c>
      <c r="FQ41" s="105">
        <f t="shared" si="28"/>
        <v>3.2049943823670483E-3</v>
      </c>
      <c r="FR41" s="105">
        <f t="shared" si="29"/>
        <v>4.8341397370210266E-2</v>
      </c>
      <c r="FS41" s="105">
        <f t="shared" si="30"/>
        <v>3.8860556886200463E-4</v>
      </c>
      <c r="FT41" s="398">
        <f t="shared" si="31"/>
        <v>1.9430278443100232E-4</v>
      </c>
      <c r="FU41" s="398">
        <f t="shared" si="32"/>
        <v>1.9430278443100232E-4</v>
      </c>
      <c r="FV41" s="105">
        <f t="shared" si="33"/>
        <v>5.8613944311379949E-3</v>
      </c>
      <c r="FW41" s="181"/>
      <c r="GH41" s="178"/>
      <c r="GU41" s="181"/>
      <c r="HI41" s="178"/>
      <c r="HT41" s="115"/>
      <c r="IR41" s="181"/>
      <c r="JH41" s="181"/>
      <c r="KB41" s="181"/>
      <c r="KU41" s="181"/>
      <c r="LT41" s="424"/>
      <c r="LU41" s="420"/>
      <c r="LV41" s="420"/>
      <c r="LW41" s="420"/>
      <c r="LX41" s="420"/>
      <c r="LY41" s="420"/>
      <c r="LZ41" s="420"/>
      <c r="MA41" s="420"/>
      <c r="MB41" s="420"/>
      <c r="MC41" s="420"/>
      <c r="MD41" s="420"/>
      <c r="ME41" s="420"/>
      <c r="MF41" s="420"/>
      <c r="MG41" s="420"/>
      <c r="MH41" s="178"/>
      <c r="MI41" s="134">
        <f>FoF_RoW!$BH11/1000</f>
        <v>10.7</v>
      </c>
      <c r="MJ41" s="134"/>
      <c r="MK41" s="134">
        <f>FoF_RoW!$AU11/1000</f>
        <v>0.66</v>
      </c>
      <c r="ML41" s="134">
        <f t="shared" si="48"/>
        <v>1.0749999999999993</v>
      </c>
      <c r="MM41" s="115"/>
      <c r="MP41" s="115"/>
      <c r="MY41" s="115"/>
      <c r="NC41" s="115"/>
      <c r="NJ41" s="115"/>
      <c r="NO41" s="115"/>
      <c r="NU41" s="181"/>
      <c r="OM41" s="420"/>
      <c r="OO41" s="178"/>
      <c r="OP41" s="115"/>
      <c r="OQ41" s="115"/>
      <c r="OR41" s="115"/>
      <c r="PG41" s="181"/>
      <c r="PH41" s="420"/>
      <c r="PI41" s="420"/>
    </row>
    <row r="42" spans="2:425">
      <c r="B42" s="71">
        <v>1950</v>
      </c>
      <c r="C42" s="43">
        <v>267</v>
      </c>
      <c r="D42" s="5">
        <v>36.1</v>
      </c>
      <c r="E42" s="6">
        <f t="shared" si="0"/>
        <v>0.1352059925093633</v>
      </c>
      <c r="F42" s="72">
        <f t="shared" si="1"/>
        <v>0</v>
      </c>
      <c r="G42" s="73">
        <f t="shared" si="2"/>
        <v>34.800000000000004</v>
      </c>
      <c r="H42" s="23">
        <f t="shared" si="3"/>
        <v>0.13033707865168542</v>
      </c>
      <c r="I42" s="74">
        <v>1.3</v>
      </c>
      <c r="J42" s="19">
        <f t="shared" si="4"/>
        <v>4.8689138576779025E-3</v>
      </c>
      <c r="K42" s="6">
        <f t="shared" si="5"/>
        <v>3.6011080332409975E-2</v>
      </c>
      <c r="L42" s="136">
        <v>1.8</v>
      </c>
      <c r="M42" s="19">
        <f t="shared" si="6"/>
        <v>6.7415730337078653E-3</v>
      </c>
      <c r="N42" s="63">
        <f t="shared" si="7"/>
        <v>4.9861495844875349E-2</v>
      </c>
      <c r="O42" s="5">
        <f t="shared" si="8"/>
        <v>36.1</v>
      </c>
      <c r="P42" s="75">
        <f t="shared" si="9"/>
        <v>0</v>
      </c>
      <c r="Q42" s="271">
        <v>42.8</v>
      </c>
      <c r="R42" s="202">
        <v>1.2</v>
      </c>
      <c r="S42" s="53">
        <f t="shared" si="10"/>
        <v>3.3240997229916892E-2</v>
      </c>
      <c r="T42" s="74">
        <v>0.2</v>
      </c>
      <c r="U42" s="74">
        <v>-7.8</v>
      </c>
      <c r="V42" s="207">
        <v>1</v>
      </c>
      <c r="W42" s="53">
        <f t="shared" si="11"/>
        <v>2.7700831024930747E-2</v>
      </c>
      <c r="X42" s="75">
        <f t="shared" si="12"/>
        <v>0.69999999999999574</v>
      </c>
      <c r="Y42" s="187"/>
      <c r="Z42" s="75"/>
      <c r="AA42" s="75"/>
      <c r="AB42" s="75"/>
      <c r="AC42" s="75">
        <v>0</v>
      </c>
      <c r="AD42" s="23">
        <f t="shared" si="13"/>
        <v>0</v>
      </c>
      <c r="AE42" s="76"/>
      <c r="AF42" s="76"/>
      <c r="AG42" s="76"/>
      <c r="AH42" s="97">
        <v>17.899999999999999</v>
      </c>
      <c r="AI42" s="22">
        <f t="shared" si="14"/>
        <v>6.7041198501872651E-2</v>
      </c>
      <c r="AJ42" s="22">
        <f t="shared" si="15"/>
        <v>6.6292134831460667E-2</v>
      </c>
      <c r="AK42" s="99">
        <f t="shared" si="16"/>
        <v>0</v>
      </c>
      <c r="AL42" s="71">
        <v>16.900000000000002</v>
      </c>
      <c r="AM42" s="72">
        <f>(0.5*Fedtax!C21+0.5*Fedtax!C22)/1000</f>
        <v>12.275</v>
      </c>
      <c r="AN42" s="71">
        <v>0.8</v>
      </c>
      <c r="AO42" s="255">
        <v>0</v>
      </c>
      <c r="AP42" s="71">
        <v>0.2</v>
      </c>
      <c r="AQ42" s="6">
        <f t="shared" si="17"/>
        <v>6.8164794007490648E-2</v>
      </c>
      <c r="AR42" s="207">
        <v>0.5</v>
      </c>
      <c r="AS42" s="713">
        <v>0.46400000000000002</v>
      </c>
      <c r="AT42" s="207"/>
      <c r="AU42" s="207"/>
      <c r="AV42" s="207"/>
      <c r="AW42" s="207"/>
      <c r="AX42" s="207"/>
      <c r="AY42" s="207"/>
      <c r="AZ42" s="706"/>
      <c r="BA42" s="207"/>
      <c r="BB42" s="207"/>
      <c r="BC42" s="207"/>
      <c r="BD42" s="207"/>
      <c r="BE42" s="207"/>
      <c r="BF42" s="186">
        <v>0.42</v>
      </c>
      <c r="BG42" s="435"/>
      <c r="BH42" s="140">
        <f t="shared" si="39"/>
        <v>0.48626373626373637</v>
      </c>
      <c r="BI42" s="248"/>
      <c r="BJ42" s="23">
        <f t="shared" si="40"/>
        <v>0.4732620320855615</v>
      </c>
      <c r="BK42" s="140">
        <f t="shared" si="41"/>
        <v>0.49322493224932251</v>
      </c>
      <c r="BL42" s="140">
        <f t="shared" si="42"/>
        <v>0.43972044177676467</v>
      </c>
      <c r="BM42" s="248">
        <f t="shared" si="43"/>
        <v>0.49322493224932251</v>
      </c>
      <c r="BN42" s="23">
        <f t="shared" si="44"/>
        <v>0.4135514018691589</v>
      </c>
      <c r="BO42" s="23">
        <f t="shared" si="45"/>
        <v>0.40227272727272728</v>
      </c>
      <c r="BP42" s="149">
        <f t="shared" si="18"/>
        <v>36.1</v>
      </c>
      <c r="BQ42" s="99">
        <f t="shared" si="19"/>
        <v>0.10000000000000142</v>
      </c>
      <c r="BR42" s="153">
        <f t="shared" si="20"/>
        <v>17.899999999999999</v>
      </c>
      <c r="BS42" s="79">
        <v>8.8000000000000007</v>
      </c>
      <c r="BT42" s="79">
        <v>9.3000000000000007</v>
      </c>
      <c r="BU42" s="23">
        <f t="shared" si="46"/>
        <v>0.25761772853185594</v>
      </c>
      <c r="BV42" s="71">
        <v>9</v>
      </c>
      <c r="BW42" s="71">
        <f t="shared" si="21"/>
        <v>0.30000000000000071</v>
      </c>
      <c r="BX42" s="23">
        <f t="shared" si="22"/>
        <v>8.3102493074792439E-3</v>
      </c>
      <c r="BY42" s="23"/>
      <c r="BZ42" s="23"/>
      <c r="CA42" s="23"/>
      <c r="CB42" s="23">
        <f t="shared" si="47"/>
        <v>0.23076923076923131</v>
      </c>
      <c r="CC42" s="169">
        <f t="shared" si="23"/>
        <v>1.8</v>
      </c>
      <c r="CD42" s="174"/>
      <c r="CH42" s="184">
        <f>95%</f>
        <v>0.95</v>
      </c>
      <c r="CI42" s="169">
        <v>1.7689999999999999</v>
      </c>
      <c r="CL42" s="78"/>
      <c r="CN42" s="78">
        <v>0.5</v>
      </c>
      <c r="CO42" s="78"/>
      <c r="CZ42" s="166">
        <f t="shared" ref="CZ42:CZ73" si="49">CI42</f>
        <v>1.7689999999999999</v>
      </c>
      <c r="DA42" s="604">
        <v>0.629</v>
      </c>
      <c r="DB42" s="23">
        <f t="shared" ref="DB42:DB68" si="50">DA42/CZ42</f>
        <v>0.35556811758055401</v>
      </c>
      <c r="DI42" s="67"/>
      <c r="EG42" s="67">
        <v>0.47499999999999998</v>
      </c>
      <c r="EN42" s="24"/>
      <c r="EO42" s="184">
        <v>0.5</v>
      </c>
      <c r="ER42" s="169">
        <v>1.7649999999999999</v>
      </c>
      <c r="ES42" s="679">
        <v>0.627</v>
      </c>
      <c r="ET42" s="90"/>
      <c r="EU42" s="90"/>
      <c r="EV42" s="90"/>
      <c r="FG42" s="184">
        <f t="shared" si="34"/>
        <v>1.6275116638335917E-3</v>
      </c>
      <c r="FH42" s="184">
        <f t="shared" si="24"/>
        <v>9.6965645872755524E-3</v>
      </c>
      <c r="FI42" s="184">
        <f t="shared" si="35"/>
        <v>-1.0850077758890607E-4</v>
      </c>
      <c r="FJ42" s="184">
        <f t="shared" si="25"/>
        <v>3.5764504896230759E-2</v>
      </c>
      <c r="FK42" s="184">
        <f t="shared" si="36"/>
        <v>1.5924100947301557E-2</v>
      </c>
      <c r="FL42" s="184"/>
      <c r="FM42" s="184"/>
      <c r="FN42" s="184">
        <f t="shared" si="37"/>
        <v>1.0850077758890607E-4</v>
      </c>
      <c r="FO42" s="184">
        <f t="shared" si="26"/>
        <v>6.3012682094641462E-2</v>
      </c>
      <c r="FP42" s="184">
        <f t="shared" si="27"/>
        <v>0.9369873179053585</v>
      </c>
      <c r="FQ42" s="23">
        <f t="shared" si="28"/>
        <v>3.1419065864364167E-3</v>
      </c>
      <c r="FR42" s="23">
        <f t="shared" si="29"/>
        <v>4.6719589258438929E-2</v>
      </c>
      <c r="FS42" s="23">
        <f t="shared" si="30"/>
        <v>4.2480459839084136E-4</v>
      </c>
      <c r="FT42" s="393">
        <f t="shared" si="31"/>
        <v>2.1240229919542068E-4</v>
      </c>
      <c r="FU42" s="393">
        <f t="shared" si="32"/>
        <v>2.1240229919542068E-4</v>
      </c>
      <c r="FV42" s="23">
        <f t="shared" si="33"/>
        <v>6.3167684353170241E-3</v>
      </c>
      <c r="FW42" s="69"/>
      <c r="GH42" s="169">
        <f t="shared" ref="GH42:GH56" si="51">GW42+HI42</f>
        <v>1.0960000000000001</v>
      </c>
      <c r="GU42" s="69"/>
      <c r="GW42" s="899">
        <f t="shared" ref="GW42:GW73" si="52">EG42</f>
        <v>0.47499999999999998</v>
      </c>
      <c r="HH42" s="90"/>
      <c r="HI42" s="169">
        <v>0.621</v>
      </c>
      <c r="HT42" s="24"/>
      <c r="IF42" s="90"/>
      <c r="IQ42" s="90"/>
      <c r="IR42" s="337">
        <v>11.788</v>
      </c>
      <c r="IU42" s="79">
        <f t="shared" ref="IU42:IU73" si="53">EG42</f>
        <v>0.47499999999999998</v>
      </c>
      <c r="IV42" s="998"/>
      <c r="IW42" s="998"/>
      <c r="JE42" s="906">
        <f t="shared" ref="JE42:JE73" si="54">IU42/C42</f>
        <v>1.7790262172284643E-3</v>
      </c>
      <c r="JH42" s="69"/>
      <c r="JI42" s="90"/>
      <c r="KB42" s="69"/>
      <c r="KC42" s="90"/>
      <c r="KD42" s="90"/>
      <c r="KE42" s="90"/>
      <c r="KF42" s="90"/>
      <c r="KU42" s="69"/>
      <c r="KV42" s="90"/>
      <c r="LT42" s="423"/>
      <c r="LU42" s="80"/>
      <c r="LV42" s="80"/>
      <c r="LW42" s="80"/>
      <c r="LX42" s="80"/>
      <c r="LY42" s="80"/>
      <c r="LZ42" s="80"/>
      <c r="MA42" s="80"/>
      <c r="MB42" s="80"/>
      <c r="MC42" s="80"/>
      <c r="MD42" s="80"/>
      <c r="ME42" s="80"/>
      <c r="MF42" s="80"/>
      <c r="MG42" s="80"/>
      <c r="MH42" s="67"/>
      <c r="MI42" s="136">
        <f>FoF_RoW!$BH12/1000</f>
        <v>11.788</v>
      </c>
      <c r="MJ42" s="136"/>
      <c r="MK42" s="136">
        <f>FoF_RoW!$AU12/1000</f>
        <v>0.621</v>
      </c>
      <c r="ML42" s="136">
        <f t="shared" si="48"/>
        <v>1.088000000000001</v>
      </c>
      <c r="MM42" s="24"/>
      <c r="MP42" s="24"/>
      <c r="MY42" s="24"/>
      <c r="NC42" s="24"/>
      <c r="NI42" s="730">
        <v>22.82</v>
      </c>
      <c r="NJ42" s="24"/>
      <c r="NO42" s="24"/>
      <c r="NU42" s="69"/>
      <c r="NV42" s="90"/>
      <c r="NW42" s="90"/>
      <c r="NX42" s="90"/>
      <c r="NY42" s="90"/>
      <c r="NZ42" s="90"/>
      <c r="OA42" s="90"/>
      <c r="OB42" s="90"/>
      <c r="OC42" s="90"/>
      <c r="OD42" s="90"/>
      <c r="OE42" s="90"/>
      <c r="OF42" s="90"/>
      <c r="OG42" s="90"/>
      <c r="OH42" s="90"/>
      <c r="OM42" s="80"/>
      <c r="OO42" s="67"/>
      <c r="PG42" s="69"/>
      <c r="PH42" s="23"/>
      <c r="PI42" s="80"/>
    </row>
    <row r="43" spans="2:425">
      <c r="B43" s="71">
        <v>1951</v>
      </c>
      <c r="C43" s="43">
        <v>308</v>
      </c>
      <c r="D43" s="5">
        <v>41.2</v>
      </c>
      <c r="E43" s="6">
        <f t="shared" si="0"/>
        <v>0.13376623376623378</v>
      </c>
      <c r="F43" s="72">
        <f t="shared" si="1"/>
        <v>0</v>
      </c>
      <c r="G43" s="73">
        <f t="shared" si="2"/>
        <v>39.5</v>
      </c>
      <c r="H43" s="23">
        <f t="shared" si="3"/>
        <v>0.12824675324675325</v>
      </c>
      <c r="I43" s="74">
        <v>1.7</v>
      </c>
      <c r="J43" s="19">
        <f t="shared" si="4"/>
        <v>5.5194805194805196E-3</v>
      </c>
      <c r="K43" s="6">
        <f t="shared" si="5"/>
        <v>4.1262135922330093E-2</v>
      </c>
      <c r="L43" s="136">
        <v>2.2999999999999998</v>
      </c>
      <c r="M43" s="19">
        <f t="shared" si="6"/>
        <v>7.4675324675324666E-3</v>
      </c>
      <c r="N43" s="63">
        <f t="shared" si="7"/>
        <v>5.5825242718446591E-2</v>
      </c>
      <c r="O43" s="5">
        <f t="shared" si="8"/>
        <v>41.2</v>
      </c>
      <c r="P43" s="75">
        <f t="shared" si="9"/>
        <v>0</v>
      </c>
      <c r="Q43" s="271">
        <v>43.8</v>
      </c>
      <c r="R43" s="202">
        <v>1.3</v>
      </c>
      <c r="S43" s="53">
        <f t="shared" si="10"/>
        <v>3.1553398058252427E-2</v>
      </c>
      <c r="T43" s="74">
        <v>0.3</v>
      </c>
      <c r="U43" s="74">
        <v>-4.2</v>
      </c>
      <c r="V43" s="207">
        <v>1.1000000000000001</v>
      </c>
      <c r="W43" s="53">
        <f t="shared" si="11"/>
        <v>2.6699029126213594E-2</v>
      </c>
      <c r="X43" s="75">
        <f t="shared" si="12"/>
        <v>1.1000000000000156</v>
      </c>
      <c r="Y43" s="187"/>
      <c r="Z43" s="75"/>
      <c r="AA43" s="75"/>
      <c r="AB43" s="75"/>
      <c r="AC43" s="75">
        <v>0</v>
      </c>
      <c r="AD43" s="23">
        <f t="shared" si="13"/>
        <v>0</v>
      </c>
      <c r="AE43" s="76"/>
      <c r="AF43" s="76"/>
      <c r="AG43" s="76"/>
      <c r="AH43" s="97">
        <v>22.6</v>
      </c>
      <c r="AI43" s="22">
        <f t="shared" si="14"/>
        <v>7.3376623376623387E-2</v>
      </c>
      <c r="AJ43" s="22">
        <f t="shared" si="15"/>
        <v>7.2402597402597399E-2</v>
      </c>
      <c r="AK43" s="99">
        <f t="shared" si="16"/>
        <v>-9.9999999999997868E-2</v>
      </c>
      <c r="AL43" s="71">
        <v>21.5</v>
      </c>
      <c r="AM43" s="72">
        <f>(0.5*Fedtax!C22+0.5*Fedtax!C23)/1000</f>
        <v>17.663499999999999</v>
      </c>
      <c r="AN43" s="71">
        <v>0.9</v>
      </c>
      <c r="AO43" s="255">
        <v>0</v>
      </c>
      <c r="AP43" s="71">
        <v>0.3</v>
      </c>
      <c r="AQ43" s="6">
        <f t="shared" si="17"/>
        <v>6.0389610389610396E-2</v>
      </c>
      <c r="AR43" s="207">
        <v>0.6</v>
      </c>
      <c r="AS43" s="713"/>
      <c r="AT43" s="207"/>
      <c r="AU43" s="207"/>
      <c r="AV43" s="207"/>
      <c r="AW43" s="207"/>
      <c r="AX43" s="207"/>
      <c r="AY43" s="207"/>
      <c r="AZ43" s="706"/>
      <c r="BA43" s="207"/>
      <c r="BB43" s="207"/>
      <c r="BC43" s="207"/>
      <c r="BD43" s="207"/>
      <c r="BE43" s="207"/>
      <c r="BF43" s="186">
        <v>0.51</v>
      </c>
      <c r="BG43" s="435"/>
      <c r="BH43" s="140">
        <f t="shared" si="39"/>
        <v>0.53975903614457832</v>
      </c>
      <c r="BI43" s="248"/>
      <c r="BJ43" s="23">
        <f t="shared" si="40"/>
        <v>0.52347417840375587</v>
      </c>
      <c r="BK43" s="140">
        <f t="shared" si="41"/>
        <v>0.5439429928741093</v>
      </c>
      <c r="BL43" s="140">
        <f t="shared" si="42"/>
        <v>0.44805203993613157</v>
      </c>
      <c r="BM43" s="248">
        <f t="shared" si="43"/>
        <v>0.5439429928741093</v>
      </c>
      <c r="BN43" s="23">
        <f t="shared" si="44"/>
        <v>0.5091324200913242</v>
      </c>
      <c r="BO43" s="23">
        <f t="shared" si="45"/>
        <v>0.49445676274944578</v>
      </c>
      <c r="BP43" s="149">
        <f t="shared" si="18"/>
        <v>41.2</v>
      </c>
      <c r="BQ43" s="99">
        <f t="shared" si="19"/>
        <v>-0.10000000000000142</v>
      </c>
      <c r="BR43" s="153">
        <f t="shared" si="20"/>
        <v>22.6</v>
      </c>
      <c r="BS43" s="79">
        <v>8.6</v>
      </c>
      <c r="BT43" s="79">
        <v>10.1</v>
      </c>
      <c r="BU43" s="23">
        <f t="shared" si="46"/>
        <v>0.24514563106796114</v>
      </c>
      <c r="BV43" s="71">
        <v>9.5</v>
      </c>
      <c r="BW43" s="71">
        <f t="shared" si="21"/>
        <v>0.59999999999999964</v>
      </c>
      <c r="BX43" s="23">
        <f t="shared" si="22"/>
        <v>1.4563106796116495E-2</v>
      </c>
      <c r="BY43" s="23"/>
      <c r="BZ43" s="23"/>
      <c r="CA43" s="23"/>
      <c r="CB43" s="23">
        <f t="shared" si="47"/>
        <v>0.35294117647058804</v>
      </c>
      <c r="CC43" s="169">
        <f t="shared" si="23"/>
        <v>2.2999999999999998</v>
      </c>
      <c r="CD43" s="174"/>
      <c r="CH43" s="184">
        <f>95%</f>
        <v>0.95</v>
      </c>
      <c r="CI43" s="169">
        <v>2.2440000000000002</v>
      </c>
      <c r="CL43" s="78"/>
      <c r="CN43" s="78">
        <v>0.8</v>
      </c>
      <c r="CO43" s="78"/>
      <c r="CZ43" s="166">
        <f t="shared" si="49"/>
        <v>2.2440000000000002</v>
      </c>
      <c r="DA43" s="604">
        <v>0.9</v>
      </c>
      <c r="DB43" s="23">
        <f t="shared" si="50"/>
        <v>0.40106951871657753</v>
      </c>
      <c r="DI43" s="67"/>
      <c r="EG43" s="67">
        <v>0.752</v>
      </c>
      <c r="EN43" s="24"/>
      <c r="EO43" s="184">
        <v>0.5</v>
      </c>
      <c r="ER43" s="169">
        <v>2.2360000000000002</v>
      </c>
      <c r="ES43" s="679">
        <v>0.89600000000000002</v>
      </c>
      <c r="ET43" s="90"/>
      <c r="EU43" s="90"/>
      <c r="EV43" s="90"/>
      <c r="FG43" s="184">
        <f t="shared" si="34"/>
        <v>1.705012219254239E-3</v>
      </c>
      <c r="FH43" s="184">
        <f t="shared" si="24"/>
        <v>9.6965645872755524E-3</v>
      </c>
      <c r="FI43" s="184">
        <f t="shared" si="35"/>
        <v>-1.1366748128361589E-4</v>
      </c>
      <c r="FJ43" s="184">
        <f t="shared" si="25"/>
        <v>3.5764504896230759E-2</v>
      </c>
      <c r="FK43" s="184">
        <f t="shared" si="36"/>
        <v>1.6682391468601631E-2</v>
      </c>
      <c r="FL43" s="184"/>
      <c r="FM43" s="184"/>
      <c r="FN43" s="184">
        <f t="shared" si="37"/>
        <v>1.1366748128361589E-4</v>
      </c>
      <c r="FO43" s="184">
        <f t="shared" si="26"/>
        <v>6.3848473171362177E-2</v>
      </c>
      <c r="FP43" s="184">
        <f t="shared" si="27"/>
        <v>0.93615152682863778</v>
      </c>
      <c r="FQ43" s="23">
        <f t="shared" si="28"/>
        <v>3.5643565119935191E-3</v>
      </c>
      <c r="FR43" s="23">
        <f t="shared" si="29"/>
        <v>5.2260886206453069E-2</v>
      </c>
      <c r="FS43" s="23">
        <f t="shared" si="30"/>
        <v>4.7679054640952277E-4</v>
      </c>
      <c r="FT43" s="393">
        <f t="shared" si="31"/>
        <v>2.3839527320476138E-4</v>
      </c>
      <c r="FU43" s="393">
        <f t="shared" si="32"/>
        <v>2.3839527320476138E-4</v>
      </c>
      <c r="FV43" s="23">
        <f t="shared" si="33"/>
        <v>6.9907419211229435E-3</v>
      </c>
      <c r="FW43" s="69"/>
      <c r="GH43" s="169">
        <f t="shared" si="51"/>
        <v>1.26</v>
      </c>
      <c r="GU43" s="69"/>
      <c r="GW43" s="899">
        <f t="shared" si="52"/>
        <v>0.752</v>
      </c>
      <c r="HH43" s="90"/>
      <c r="HI43" s="169">
        <v>0.50800000000000001</v>
      </c>
      <c r="HT43" s="24"/>
      <c r="IF43" s="90"/>
      <c r="IQ43" s="90"/>
      <c r="IR43" s="337">
        <v>12.978999999999999</v>
      </c>
      <c r="IS43" s="899">
        <f t="shared" ref="IS43:IS58" si="55">IR43-IR42</f>
        <v>1.1909999999999989</v>
      </c>
      <c r="IU43" s="79">
        <f t="shared" si="53"/>
        <v>0.752</v>
      </c>
      <c r="IV43" s="997"/>
      <c r="IW43" s="997"/>
      <c r="JE43" s="906">
        <f t="shared" si="54"/>
        <v>2.4415584415584416E-3</v>
      </c>
      <c r="JH43" s="69"/>
      <c r="JI43" s="90"/>
      <c r="KB43" s="69"/>
      <c r="KC43" s="90"/>
      <c r="KD43" s="90"/>
      <c r="KE43" s="90"/>
      <c r="KF43" s="90"/>
      <c r="KU43" s="69"/>
      <c r="KV43" s="90"/>
      <c r="LT43" s="423"/>
      <c r="LU43" s="80"/>
      <c r="LV43" s="80"/>
      <c r="LW43" s="80"/>
      <c r="LX43" s="80"/>
      <c r="LY43" s="80"/>
      <c r="LZ43" s="80"/>
      <c r="MA43" s="80"/>
      <c r="MB43" s="80"/>
      <c r="MC43" s="80"/>
      <c r="MD43" s="80"/>
      <c r="ME43" s="80"/>
      <c r="MF43" s="80"/>
      <c r="MG43" s="80"/>
      <c r="MH43" s="67"/>
      <c r="MI43" s="136">
        <f>FoF_RoW!$BH13/1000</f>
        <v>12.978999999999999</v>
      </c>
      <c r="MJ43" s="136"/>
      <c r="MK43" s="136">
        <f>FoF_RoW!$AU13/1000</f>
        <v>0.50800000000000001</v>
      </c>
      <c r="ML43" s="136">
        <f t="shared" si="48"/>
        <v>1.1909999999999989</v>
      </c>
      <c r="MM43" s="24"/>
      <c r="MP43" s="24"/>
      <c r="MY43" s="24"/>
      <c r="NC43" s="24"/>
      <c r="NI43" s="730">
        <v>22.873000000000001</v>
      </c>
      <c r="NJ43" s="24"/>
      <c r="NO43" s="24"/>
      <c r="NU43" s="69"/>
      <c r="NV43" s="90"/>
      <c r="NW43" s="90"/>
      <c r="NX43" s="90"/>
      <c r="NY43" s="90"/>
      <c r="NZ43" s="90"/>
      <c r="OA43" s="90"/>
      <c r="OB43" s="90"/>
      <c r="OC43" s="90"/>
      <c r="OD43" s="90"/>
      <c r="OE43" s="90"/>
      <c r="OF43" s="90"/>
      <c r="OG43" s="90"/>
      <c r="OH43" s="90"/>
      <c r="OM43" s="80"/>
      <c r="OO43" s="67"/>
      <c r="PG43" s="69"/>
      <c r="PH43" s="23"/>
      <c r="PI43" s="80"/>
    </row>
    <row r="44" spans="2:425">
      <c r="B44" s="71">
        <v>1952</v>
      </c>
      <c r="C44" s="43">
        <v>326.5</v>
      </c>
      <c r="D44" s="5">
        <v>39.700000000000003</v>
      </c>
      <c r="E44" s="6">
        <f t="shared" si="0"/>
        <v>0.12159264931087291</v>
      </c>
      <c r="F44" s="72">
        <f t="shared" si="1"/>
        <v>0</v>
      </c>
      <c r="G44" s="73">
        <f t="shared" si="2"/>
        <v>37.800000000000004</v>
      </c>
      <c r="H44" s="23">
        <f t="shared" si="3"/>
        <v>0.11577335375191425</v>
      </c>
      <c r="I44" s="74">
        <v>1.9</v>
      </c>
      <c r="J44" s="19">
        <f t="shared" si="4"/>
        <v>5.8192955589586523E-3</v>
      </c>
      <c r="K44" s="6">
        <f t="shared" si="5"/>
        <v>4.7858942065491177E-2</v>
      </c>
      <c r="L44" s="136">
        <v>2.2999999999999998</v>
      </c>
      <c r="M44" s="19">
        <f t="shared" si="6"/>
        <v>7.0444104134762629E-3</v>
      </c>
      <c r="N44" s="63">
        <f t="shared" si="7"/>
        <v>5.7934508816120896E-2</v>
      </c>
      <c r="O44" s="5">
        <f t="shared" si="8"/>
        <v>39.700000000000003</v>
      </c>
      <c r="P44" s="75">
        <f t="shared" si="9"/>
        <v>0</v>
      </c>
      <c r="Q44" s="271">
        <v>38.700000000000003</v>
      </c>
      <c r="R44" s="202">
        <v>1.4</v>
      </c>
      <c r="S44" s="53">
        <f t="shared" si="10"/>
        <v>3.5264483627204024E-2</v>
      </c>
      <c r="T44" s="74">
        <v>0.3</v>
      </c>
      <c r="U44" s="74">
        <v>-1.6</v>
      </c>
      <c r="V44" s="207">
        <v>1.1000000000000001</v>
      </c>
      <c r="W44" s="53">
        <f t="shared" si="11"/>
        <v>2.7707808564231738E-2</v>
      </c>
      <c r="X44" s="75">
        <f t="shared" si="12"/>
        <v>2.0000000000000071</v>
      </c>
      <c r="Y44" s="187"/>
      <c r="Z44" s="75"/>
      <c r="AA44" s="75"/>
      <c r="AB44" s="75"/>
      <c r="AC44" s="75">
        <v>0</v>
      </c>
      <c r="AD44" s="23">
        <f t="shared" si="13"/>
        <v>0</v>
      </c>
      <c r="AE44" s="76"/>
      <c r="AF44" s="76"/>
      <c r="AG44" s="76"/>
      <c r="AH44" s="97">
        <v>19.399999999999999</v>
      </c>
      <c r="AI44" s="22">
        <f t="shared" si="14"/>
        <v>5.9418070444104132E-2</v>
      </c>
      <c r="AJ44" s="22">
        <f t="shared" si="15"/>
        <v>5.8499234303215922E-2</v>
      </c>
      <c r="AK44" s="99">
        <f t="shared" si="16"/>
        <v>9.9999999999997868E-2</v>
      </c>
      <c r="AL44" s="71">
        <v>18.2</v>
      </c>
      <c r="AM44" s="72">
        <f>(0.5*Fedtax!C23+0.5*Fedtax!C24)/1000</f>
        <v>21.231999999999999</v>
      </c>
      <c r="AN44" s="71">
        <v>0.8</v>
      </c>
      <c r="AO44" s="255">
        <v>0</v>
      </c>
      <c r="AP44" s="71">
        <v>0.3</v>
      </c>
      <c r="AQ44" s="6">
        <f t="shared" si="17"/>
        <v>6.2174578866768776E-2</v>
      </c>
      <c r="AR44" s="207">
        <v>0.6</v>
      </c>
      <c r="AS44" s="713"/>
      <c r="AT44" s="207"/>
      <c r="AU44" s="207"/>
      <c r="AV44" s="207"/>
      <c r="AW44" s="207"/>
      <c r="AX44" s="207"/>
      <c r="AY44" s="207"/>
      <c r="AZ44" s="706"/>
      <c r="BA44" s="207"/>
      <c r="BB44" s="207"/>
      <c r="BC44" s="207"/>
      <c r="BD44" s="207"/>
      <c r="BE44" s="207"/>
      <c r="BF44" s="186">
        <v>0.52</v>
      </c>
      <c r="BG44" s="435"/>
      <c r="BH44" s="140">
        <f t="shared" si="39"/>
        <v>0.47738693467336679</v>
      </c>
      <c r="BI44" s="248"/>
      <c r="BJ44" s="23">
        <f t="shared" si="40"/>
        <v>0.46699266503667469</v>
      </c>
      <c r="BK44" s="140">
        <f t="shared" si="41"/>
        <v>0.48762376237623756</v>
      </c>
      <c r="BL44" s="140">
        <f t="shared" si="42"/>
        <v>0.45292283805064126</v>
      </c>
      <c r="BM44" s="248">
        <f t="shared" si="43"/>
        <v>0.48762376237623756</v>
      </c>
      <c r="BN44" s="23">
        <f t="shared" si="44"/>
        <v>0.49354005167958648</v>
      </c>
      <c r="BO44" s="23">
        <f t="shared" si="45"/>
        <v>0.47630922693266825</v>
      </c>
      <c r="BP44" s="149">
        <f t="shared" si="18"/>
        <v>39.700000000000003</v>
      </c>
      <c r="BQ44" s="99">
        <f t="shared" si="19"/>
        <v>0</v>
      </c>
      <c r="BR44" s="153">
        <f t="shared" si="20"/>
        <v>19.399999999999999</v>
      </c>
      <c r="BS44" s="79">
        <v>8.6</v>
      </c>
      <c r="BT44" s="79">
        <v>11.7</v>
      </c>
      <c r="BU44" s="23">
        <f t="shared" si="46"/>
        <v>0.29471032745591935</v>
      </c>
      <c r="BV44" s="71">
        <v>10.9</v>
      </c>
      <c r="BW44" s="71">
        <f t="shared" si="21"/>
        <v>0.79999999999999893</v>
      </c>
      <c r="BX44" s="23">
        <f t="shared" si="22"/>
        <v>2.0151133501259418E-2</v>
      </c>
      <c r="BY44" s="23"/>
      <c r="BZ44" s="23"/>
      <c r="CA44" s="23"/>
      <c r="CB44" s="23">
        <f t="shared" si="47"/>
        <v>0.42105263157894685</v>
      </c>
      <c r="CC44" s="169">
        <f t="shared" si="23"/>
        <v>2.2999999999999998</v>
      </c>
      <c r="CD44" s="174"/>
      <c r="CH44" s="184">
        <f>95%</f>
        <v>0.95</v>
      </c>
      <c r="CI44" s="169">
        <v>2.343</v>
      </c>
      <c r="CL44" s="78"/>
      <c r="CN44" s="78">
        <v>0.9</v>
      </c>
      <c r="CO44" s="78"/>
      <c r="CZ44" s="166">
        <f t="shared" si="49"/>
        <v>2.343</v>
      </c>
      <c r="DA44" s="604">
        <v>1.0149999999999999</v>
      </c>
      <c r="DB44" s="23">
        <f t="shared" si="50"/>
        <v>0.43320529236022193</v>
      </c>
      <c r="DI44" s="67"/>
      <c r="EG44" s="67">
        <v>0.92300000000000004</v>
      </c>
      <c r="EN44" s="24"/>
      <c r="EO44" s="184">
        <v>0.5</v>
      </c>
      <c r="ER44" s="169">
        <v>2.327</v>
      </c>
      <c r="ES44" s="679">
        <v>1.0129999999999999</v>
      </c>
      <c r="ET44" s="90"/>
      <c r="EU44" s="90"/>
      <c r="EV44" s="90"/>
      <c r="FG44" s="184">
        <f t="shared" si="34"/>
        <v>1.7825127746748863E-3</v>
      </c>
      <c r="FH44" s="184">
        <f t="shared" si="24"/>
        <v>9.6965645872755524E-3</v>
      </c>
      <c r="FI44" s="184">
        <f t="shared" si="35"/>
        <v>-1.188341849783257E-4</v>
      </c>
      <c r="FJ44" s="184">
        <f t="shared" si="25"/>
        <v>3.5764504896230759E-2</v>
      </c>
      <c r="FK44" s="184">
        <f t="shared" si="36"/>
        <v>1.7440681989901705E-2</v>
      </c>
      <c r="FL44" s="184"/>
      <c r="FM44" s="184"/>
      <c r="FN44" s="184">
        <f t="shared" si="37"/>
        <v>1.188341849783257E-4</v>
      </c>
      <c r="FO44" s="184">
        <f t="shared" si="26"/>
        <v>6.4684264248082893E-2</v>
      </c>
      <c r="FP44" s="184">
        <f t="shared" si="27"/>
        <v>0.93531573575191707</v>
      </c>
      <c r="FQ44" s="23">
        <f t="shared" si="28"/>
        <v>3.747451077344852E-3</v>
      </c>
      <c r="FR44" s="23">
        <f t="shared" si="29"/>
        <v>5.4187057738776044E-2</v>
      </c>
      <c r="FS44" s="23">
        <f t="shared" si="30"/>
        <v>4.5566250465724548E-4</v>
      </c>
      <c r="FT44" s="393">
        <f t="shared" si="31"/>
        <v>2.2783125232862274E-4</v>
      </c>
      <c r="FU44" s="393">
        <f t="shared" si="32"/>
        <v>2.2783125232862274E-4</v>
      </c>
      <c r="FV44" s="23">
        <f t="shared" si="33"/>
        <v>6.5887479088190173E-3</v>
      </c>
      <c r="FW44" s="69"/>
      <c r="GH44" s="169">
        <f t="shared" si="51"/>
        <v>1.7749999999999999</v>
      </c>
      <c r="GU44" s="69"/>
      <c r="GW44" s="899">
        <f t="shared" si="52"/>
        <v>0.92300000000000004</v>
      </c>
      <c r="HH44" s="90"/>
      <c r="HI44" s="169">
        <v>0.85199999999999998</v>
      </c>
      <c r="HT44" s="24"/>
      <c r="IF44" s="90"/>
      <c r="IQ44" s="90"/>
      <c r="IR44" s="337">
        <v>14.721</v>
      </c>
      <c r="IS44" s="899">
        <f t="shared" si="55"/>
        <v>1.7420000000000009</v>
      </c>
      <c r="IU44" s="79">
        <f t="shared" si="53"/>
        <v>0.92300000000000004</v>
      </c>
      <c r="IV44" s="997"/>
      <c r="IW44" s="997"/>
      <c r="JE44" s="906">
        <f t="shared" si="54"/>
        <v>2.8269525267993877E-3</v>
      </c>
      <c r="JH44" s="69"/>
      <c r="JI44" s="90"/>
      <c r="KB44" s="69"/>
      <c r="KC44" s="90"/>
      <c r="KD44" s="90"/>
      <c r="KE44" s="90"/>
      <c r="KF44" s="90"/>
      <c r="KU44" s="69"/>
      <c r="KV44" s="90"/>
      <c r="LT44" s="423"/>
      <c r="LU44" s="80"/>
      <c r="LV44" s="80"/>
      <c r="LW44" s="80"/>
      <c r="LX44" s="80"/>
      <c r="LY44" s="80"/>
      <c r="LZ44" s="80"/>
      <c r="MA44" s="80"/>
      <c r="MB44" s="80"/>
      <c r="MC44" s="80"/>
      <c r="MD44" s="80"/>
      <c r="ME44" s="80"/>
      <c r="MF44" s="80"/>
      <c r="MG44" s="80"/>
      <c r="MH44" s="67"/>
      <c r="MI44" s="136">
        <f>FoF_RoW!$BH14/1000</f>
        <v>14.721</v>
      </c>
      <c r="MJ44" s="136"/>
      <c r="MK44" s="136">
        <f>FoF_RoW!$AU14/1000</f>
        <v>0.85199999999999998</v>
      </c>
      <c r="ML44" s="136">
        <f t="shared" si="48"/>
        <v>1.7420000000000009</v>
      </c>
      <c r="MM44" s="24"/>
      <c r="MP44" s="24"/>
      <c r="MY44" s="24"/>
      <c r="NC44" s="24"/>
      <c r="NI44" s="730">
        <v>23.251999999999999</v>
      </c>
      <c r="NJ44" s="24"/>
      <c r="NO44" s="24"/>
      <c r="NU44" s="69"/>
      <c r="NV44" s="90"/>
      <c r="NW44" s="90"/>
      <c r="NX44" s="90"/>
      <c r="NY44" s="90"/>
      <c r="NZ44" s="90"/>
      <c r="OA44" s="90"/>
      <c r="OB44" s="90"/>
      <c r="OC44" s="90"/>
      <c r="OD44" s="90"/>
      <c r="OE44" s="90"/>
      <c r="OF44" s="90"/>
      <c r="OG44" s="90"/>
      <c r="OH44" s="90"/>
      <c r="OM44" s="80"/>
      <c r="OO44" s="67"/>
      <c r="PG44" s="69"/>
      <c r="PH44" s="23"/>
      <c r="PI44" s="80"/>
    </row>
    <row r="45" spans="2:425">
      <c r="B45" s="71">
        <v>1953</v>
      </c>
      <c r="C45" s="43">
        <v>344.4</v>
      </c>
      <c r="D45" s="5">
        <v>40.299999999999997</v>
      </c>
      <c r="E45" s="6">
        <f t="shared" si="0"/>
        <v>0.11701509872241579</v>
      </c>
      <c r="F45" s="72">
        <f t="shared" si="1"/>
        <v>0</v>
      </c>
      <c r="G45" s="73">
        <f t="shared" si="2"/>
        <v>38.5</v>
      </c>
      <c r="H45" s="23">
        <f t="shared" si="3"/>
        <v>0.11178861788617887</v>
      </c>
      <c r="I45" s="74">
        <v>1.8</v>
      </c>
      <c r="J45" s="19">
        <f t="shared" si="4"/>
        <v>5.2264808362369342E-3</v>
      </c>
      <c r="K45" s="6">
        <f t="shared" si="5"/>
        <v>4.4665012406947896E-2</v>
      </c>
      <c r="L45" s="136">
        <v>2.2999999999999998</v>
      </c>
      <c r="M45" s="19">
        <f t="shared" si="6"/>
        <v>6.6782810685249707E-3</v>
      </c>
      <c r="N45" s="63">
        <f t="shared" si="7"/>
        <v>5.7071960297766747E-2</v>
      </c>
      <c r="O45" s="5">
        <f t="shared" si="8"/>
        <v>40.299999999999997</v>
      </c>
      <c r="P45" s="75">
        <f t="shared" si="9"/>
        <v>0</v>
      </c>
      <c r="Q45" s="271">
        <v>39.799999999999997</v>
      </c>
      <c r="R45" s="202">
        <v>1.5</v>
      </c>
      <c r="S45" s="53">
        <f t="shared" si="10"/>
        <v>3.722084367245658E-2</v>
      </c>
      <c r="T45" s="74">
        <v>0.4</v>
      </c>
      <c r="U45" s="74">
        <v>-2.9</v>
      </c>
      <c r="V45" s="207">
        <v>0.8</v>
      </c>
      <c r="W45" s="53">
        <f t="shared" si="11"/>
        <v>1.9851116625310177E-2</v>
      </c>
      <c r="X45" s="75">
        <f t="shared" si="12"/>
        <v>2.2999999999999972</v>
      </c>
      <c r="Y45" s="187"/>
      <c r="Z45" s="75"/>
      <c r="AA45" s="75"/>
      <c r="AB45" s="75"/>
      <c r="AC45" s="75">
        <v>0</v>
      </c>
      <c r="AD45" s="23">
        <f t="shared" si="13"/>
        <v>0</v>
      </c>
      <c r="AE45" s="76"/>
      <c r="AF45" s="76"/>
      <c r="AG45" s="76"/>
      <c r="AH45" s="97">
        <v>20.3</v>
      </c>
      <c r="AI45" s="22">
        <f t="shared" si="14"/>
        <v>5.8943089430894317E-2</v>
      </c>
      <c r="AJ45" s="22">
        <f t="shared" si="15"/>
        <v>5.8072009291521488E-2</v>
      </c>
      <c r="AK45" s="99">
        <f t="shared" si="16"/>
        <v>0</v>
      </c>
      <c r="AL45" s="71">
        <v>19.199999999999996</v>
      </c>
      <c r="AM45" s="72">
        <f>(0.5*Fedtax!C24+0.5*Fedtax!C25)/1000</f>
        <v>21.169499999999999</v>
      </c>
      <c r="AN45" s="71">
        <v>0.8</v>
      </c>
      <c r="AO45" s="255">
        <v>0</v>
      </c>
      <c r="AP45" s="71">
        <v>0.3</v>
      </c>
      <c r="AQ45" s="6">
        <f t="shared" si="17"/>
        <v>5.8072009291521481E-2</v>
      </c>
      <c r="AR45" s="207">
        <v>0.6</v>
      </c>
      <c r="AS45" s="713"/>
      <c r="AT45" s="207"/>
      <c r="AU45" s="207"/>
      <c r="AV45" s="207"/>
      <c r="AW45" s="207"/>
      <c r="AX45" s="207"/>
      <c r="AY45" s="207"/>
      <c r="AZ45" s="706"/>
      <c r="BA45" s="207"/>
      <c r="BB45" s="207"/>
      <c r="BC45" s="207"/>
      <c r="BD45" s="207"/>
      <c r="BE45" s="207"/>
      <c r="BF45" s="186">
        <v>0.52</v>
      </c>
      <c r="BG45" s="435"/>
      <c r="BH45" s="140">
        <f t="shared" si="39"/>
        <v>0.49504950495049499</v>
      </c>
      <c r="BI45" s="248"/>
      <c r="BJ45" s="23">
        <f t="shared" si="40"/>
        <v>0.48543689320388356</v>
      </c>
      <c r="BK45" s="140">
        <f t="shared" si="41"/>
        <v>0.5024390243902439</v>
      </c>
      <c r="BL45" s="140">
        <f t="shared" si="42"/>
        <v>0.47504073697257726</v>
      </c>
      <c r="BM45" s="248">
        <f t="shared" si="43"/>
        <v>0.5024390243902439</v>
      </c>
      <c r="BN45" s="23">
        <f t="shared" si="44"/>
        <v>0.50251256281407042</v>
      </c>
      <c r="BO45" s="23">
        <f t="shared" si="45"/>
        <v>0.48426150121065381</v>
      </c>
      <c r="BP45" s="149">
        <f t="shared" si="18"/>
        <v>40.299999999999997</v>
      </c>
      <c r="BQ45" s="99">
        <f t="shared" si="19"/>
        <v>0</v>
      </c>
      <c r="BR45" s="153">
        <f t="shared" si="20"/>
        <v>20.3</v>
      </c>
      <c r="BS45" s="79">
        <v>8.9</v>
      </c>
      <c r="BT45" s="79">
        <v>11.1</v>
      </c>
      <c r="BU45" s="23">
        <f t="shared" si="46"/>
        <v>0.27543424317617865</v>
      </c>
      <c r="BV45" s="71">
        <v>10.5</v>
      </c>
      <c r="BW45" s="71">
        <f t="shared" si="21"/>
        <v>0.59999999999999964</v>
      </c>
      <c r="BX45" s="23">
        <f t="shared" si="22"/>
        <v>1.4888337468982623E-2</v>
      </c>
      <c r="BY45" s="23"/>
      <c r="BZ45" s="23"/>
      <c r="CA45" s="23"/>
      <c r="CB45" s="23">
        <f t="shared" si="47"/>
        <v>0.33333333333333315</v>
      </c>
      <c r="CC45" s="169">
        <f t="shared" si="23"/>
        <v>2.2999999999999998</v>
      </c>
      <c r="CD45" s="174"/>
      <c r="CH45" s="184">
        <f>95%</f>
        <v>0.95</v>
      </c>
      <c r="CI45" s="169">
        <v>2.2679999999999998</v>
      </c>
      <c r="CL45" s="78"/>
      <c r="CN45" s="78">
        <v>0.8</v>
      </c>
      <c r="CO45" s="78"/>
      <c r="CZ45" s="166">
        <f t="shared" si="49"/>
        <v>2.2679999999999998</v>
      </c>
      <c r="DA45" s="87">
        <v>0.99399999999999999</v>
      </c>
      <c r="DB45" s="23">
        <f t="shared" si="50"/>
        <v>0.43827160493827166</v>
      </c>
      <c r="DI45" s="67"/>
      <c r="EG45" s="67">
        <v>0.82599999999999996</v>
      </c>
      <c r="EN45" s="24"/>
      <c r="EO45" s="184">
        <v>0.5</v>
      </c>
      <c r="ER45" s="169">
        <v>2.258</v>
      </c>
      <c r="ES45" s="85">
        <v>0.996</v>
      </c>
      <c r="ET45" s="90"/>
      <c r="EU45" s="90"/>
      <c r="EV45" s="90"/>
      <c r="FG45" s="184">
        <f t="shared" si="34"/>
        <v>1.8600133300955336E-3</v>
      </c>
      <c r="FH45" s="184">
        <f t="shared" si="24"/>
        <v>9.6965645872755524E-3</v>
      </c>
      <c r="FI45" s="184">
        <f t="shared" si="35"/>
        <v>-1.240008886730355E-4</v>
      </c>
      <c r="FJ45" s="184">
        <f t="shared" si="25"/>
        <v>3.5764504896230759E-2</v>
      </c>
      <c r="FK45" s="184">
        <f t="shared" si="36"/>
        <v>1.819897251120178E-2</v>
      </c>
      <c r="FL45" s="184"/>
      <c r="FM45" s="184"/>
      <c r="FN45" s="184">
        <f t="shared" si="37"/>
        <v>1.240008886730355E-4</v>
      </c>
      <c r="FO45" s="184">
        <f t="shared" si="26"/>
        <v>6.5520055324803622E-2</v>
      </c>
      <c r="FP45" s="184">
        <f t="shared" si="27"/>
        <v>0.93447994467519635</v>
      </c>
      <c r="FQ45" s="23">
        <f t="shared" si="28"/>
        <v>3.739357996204673E-3</v>
      </c>
      <c r="FR45" s="23">
        <f t="shared" si="29"/>
        <v>5.3332602301562074E-2</v>
      </c>
      <c r="FS45" s="23">
        <f t="shared" si="30"/>
        <v>4.3756134508434472E-4</v>
      </c>
      <c r="FT45" s="393">
        <f t="shared" si="31"/>
        <v>2.1878067254217236E-4</v>
      </c>
      <c r="FU45" s="393">
        <f t="shared" si="32"/>
        <v>2.1878067254217236E-4</v>
      </c>
      <c r="FV45" s="23">
        <f t="shared" si="33"/>
        <v>6.2407197234406256E-3</v>
      </c>
      <c r="FW45" s="69"/>
      <c r="GH45" s="169">
        <f t="shared" si="51"/>
        <v>1.5609999999999999</v>
      </c>
      <c r="GU45" s="69"/>
      <c r="GW45" s="899">
        <f t="shared" si="52"/>
        <v>0.82599999999999996</v>
      </c>
      <c r="HH45" s="90"/>
      <c r="HI45" s="169">
        <v>0.73499999999999999</v>
      </c>
      <c r="HT45" s="24"/>
      <c r="IF45" s="90"/>
      <c r="IQ45" s="90"/>
      <c r="IR45" s="337">
        <v>16.253</v>
      </c>
      <c r="IS45" s="899">
        <f t="shared" si="55"/>
        <v>1.532</v>
      </c>
      <c r="IU45" s="79">
        <f t="shared" si="53"/>
        <v>0.82599999999999996</v>
      </c>
      <c r="IV45" s="997"/>
      <c r="IW45" s="997"/>
      <c r="JE45" s="906">
        <f t="shared" si="54"/>
        <v>2.3983739837398375E-3</v>
      </c>
      <c r="JH45" s="69"/>
      <c r="JI45" s="90"/>
      <c r="KB45" s="69"/>
      <c r="KC45" s="90"/>
      <c r="KD45" s="90"/>
      <c r="KE45" s="90"/>
      <c r="KF45" s="90"/>
      <c r="KU45" s="69"/>
      <c r="KV45" s="90"/>
      <c r="LT45" s="423"/>
      <c r="LU45" s="80"/>
      <c r="LV45" s="80"/>
      <c r="LW45" s="80"/>
      <c r="LX45" s="80"/>
      <c r="LY45" s="80"/>
      <c r="LZ45" s="80"/>
      <c r="MA45" s="80"/>
      <c r="MB45" s="80"/>
      <c r="MC45" s="80"/>
      <c r="MD45" s="80"/>
      <c r="ME45" s="80"/>
      <c r="MF45" s="80"/>
      <c r="MG45" s="80"/>
      <c r="MH45" s="67"/>
      <c r="MI45" s="136">
        <f>FoF_RoW!$BH15/1000</f>
        <v>16.253</v>
      </c>
      <c r="MJ45" s="136"/>
      <c r="MK45" s="136">
        <f>FoF_RoW!$AU15/1000</f>
        <v>0.73499999999999999</v>
      </c>
      <c r="ML45" s="136">
        <f t="shared" si="48"/>
        <v>1.532</v>
      </c>
      <c r="MM45" s="24"/>
      <c r="MP45" s="24"/>
      <c r="MY45" s="24"/>
      <c r="NC45" s="24"/>
      <c r="NI45" s="730">
        <v>22.091000000000001</v>
      </c>
      <c r="NJ45" s="24"/>
      <c r="NO45" s="24"/>
      <c r="NU45" s="69"/>
      <c r="NV45" s="90"/>
      <c r="NW45" s="90"/>
      <c r="NX45" s="90"/>
      <c r="NY45" s="90"/>
      <c r="NZ45" s="90"/>
      <c r="OA45" s="90"/>
      <c r="OB45" s="90"/>
      <c r="OC45" s="90"/>
      <c r="OD45" s="90"/>
      <c r="OE45" s="90"/>
      <c r="OF45" s="90"/>
      <c r="OG45" s="90"/>
      <c r="OH45" s="90"/>
      <c r="OM45" s="80"/>
      <c r="OO45" s="97"/>
      <c r="OP45" s="29"/>
      <c r="OQ45" s="29"/>
      <c r="OR45" s="29"/>
      <c r="OS45" s="71"/>
      <c r="OT45" s="71"/>
      <c r="OU45" s="71"/>
      <c r="OV45" s="71"/>
      <c r="OW45" s="71"/>
      <c r="OX45" s="71"/>
      <c r="OY45" s="71"/>
      <c r="OZ45" s="71"/>
      <c r="PA45" s="71"/>
      <c r="PG45" s="69"/>
      <c r="PH45" s="23"/>
      <c r="PI45" s="80"/>
    </row>
    <row r="46" spans="2:425">
      <c r="B46" s="71">
        <v>1954</v>
      </c>
      <c r="C46" s="43">
        <v>344.4</v>
      </c>
      <c r="D46" s="5">
        <v>39.5</v>
      </c>
      <c r="E46" s="6">
        <f t="shared" si="0"/>
        <v>0.11469221835075494</v>
      </c>
      <c r="F46" s="72">
        <f t="shared" si="1"/>
        <v>0</v>
      </c>
      <c r="G46" s="73">
        <f t="shared" si="2"/>
        <v>37.5</v>
      </c>
      <c r="H46" s="23">
        <f t="shared" si="3"/>
        <v>0.10888501742160279</v>
      </c>
      <c r="I46" s="74">
        <v>2</v>
      </c>
      <c r="J46" s="19">
        <f t="shared" si="4"/>
        <v>5.8072009291521487E-3</v>
      </c>
      <c r="K46" s="6">
        <f t="shared" si="5"/>
        <v>5.0632911392405063E-2</v>
      </c>
      <c r="L46" s="136">
        <v>2.4</v>
      </c>
      <c r="M46" s="19">
        <f t="shared" si="6"/>
        <v>6.9686411149825784E-3</v>
      </c>
      <c r="N46" s="63">
        <f t="shared" si="7"/>
        <v>6.0759493670886074E-2</v>
      </c>
      <c r="O46" s="5">
        <f t="shared" si="8"/>
        <v>39.5</v>
      </c>
      <c r="P46" s="75">
        <f t="shared" si="9"/>
        <v>0</v>
      </c>
      <c r="Q46" s="271">
        <v>36.700000000000003</v>
      </c>
      <c r="R46" s="202">
        <v>1.7</v>
      </c>
      <c r="S46" s="53">
        <f t="shared" si="10"/>
        <v>4.3037974683544304E-2</v>
      </c>
      <c r="T46" s="74">
        <v>0.3</v>
      </c>
      <c r="U46" s="74">
        <v>-1.3</v>
      </c>
      <c r="V46" s="207">
        <v>1.8</v>
      </c>
      <c r="W46" s="53">
        <f t="shared" si="11"/>
        <v>4.5569620253164557E-2</v>
      </c>
      <c r="X46" s="75">
        <f t="shared" si="12"/>
        <v>3.8999999999999915</v>
      </c>
      <c r="Y46" s="187"/>
      <c r="Z46" s="75"/>
      <c r="AA46" s="75"/>
      <c r="AB46" s="75"/>
      <c r="AC46" s="75">
        <v>0</v>
      </c>
      <c r="AD46" s="23">
        <f t="shared" si="13"/>
        <v>0</v>
      </c>
      <c r="AE46" s="76"/>
      <c r="AF46" s="76"/>
      <c r="AG46" s="76"/>
      <c r="AH46" s="97">
        <v>17.600000000000001</v>
      </c>
      <c r="AI46" s="22">
        <f t="shared" si="14"/>
        <v>5.1103368176538919E-2</v>
      </c>
      <c r="AJ46" s="22">
        <f t="shared" si="15"/>
        <v>5.023228803716609E-2</v>
      </c>
      <c r="AK46" s="99">
        <f t="shared" si="16"/>
        <v>-9.9999999999997868E-2</v>
      </c>
      <c r="AL46" s="71">
        <v>16.599999999999998</v>
      </c>
      <c r="AM46" s="72">
        <f>(0.5*Fedtax!C25+0.5*Fedtax!C26)/1000</f>
        <v>19.481000000000002</v>
      </c>
      <c r="AN46" s="71">
        <v>0.8</v>
      </c>
      <c r="AO46" s="255">
        <v>0</v>
      </c>
      <c r="AP46" s="71">
        <v>0.3</v>
      </c>
      <c r="AQ46" s="6">
        <f t="shared" si="17"/>
        <v>6.3588850174216033E-2</v>
      </c>
      <c r="AR46" s="207">
        <v>0.7</v>
      </c>
      <c r="AS46" s="713">
        <v>0.72599999999999998</v>
      </c>
      <c r="AT46" s="207"/>
      <c r="AU46" s="207"/>
      <c r="AV46" s="207"/>
      <c r="AW46" s="207"/>
      <c r="AX46" s="207"/>
      <c r="AY46" s="207"/>
      <c r="AZ46" s="706"/>
      <c r="BA46" s="207"/>
      <c r="BB46" s="207"/>
      <c r="BC46" s="207"/>
      <c r="BD46" s="207"/>
      <c r="BE46" s="207"/>
      <c r="BF46" s="186">
        <v>0.52</v>
      </c>
      <c r="BG46" s="435"/>
      <c r="BH46" s="140">
        <f t="shared" si="39"/>
        <v>0.43939393939393934</v>
      </c>
      <c r="BI46" s="248"/>
      <c r="BJ46" s="23">
        <f t="shared" si="40"/>
        <v>0.41787439613526572</v>
      </c>
      <c r="BK46" s="140">
        <f t="shared" si="41"/>
        <v>0.44665012406947885</v>
      </c>
      <c r="BL46" s="140">
        <f t="shared" si="42"/>
        <v>0.49477616719187845</v>
      </c>
      <c r="BM46" s="248">
        <f t="shared" si="43"/>
        <v>0.44665012406947885</v>
      </c>
      <c r="BN46" s="23">
        <f t="shared" si="44"/>
        <v>0.47138964577656672</v>
      </c>
      <c r="BO46" s="23">
        <f t="shared" si="45"/>
        <v>0.45052083333333326</v>
      </c>
      <c r="BP46" s="149">
        <f t="shared" si="18"/>
        <v>39.5</v>
      </c>
      <c r="BQ46" s="99">
        <f t="shared" si="19"/>
        <v>0</v>
      </c>
      <c r="BR46" s="153">
        <f t="shared" si="20"/>
        <v>17.600000000000001</v>
      </c>
      <c r="BS46" s="79">
        <v>9.3000000000000007</v>
      </c>
      <c r="BT46" s="79">
        <v>12.6</v>
      </c>
      <c r="BU46" s="23">
        <f t="shared" si="46"/>
        <v>0.31898734177215188</v>
      </c>
      <c r="BV46" s="71">
        <v>12</v>
      </c>
      <c r="BW46" s="71">
        <f t="shared" si="21"/>
        <v>0.59999999999999964</v>
      </c>
      <c r="BX46" s="23">
        <f t="shared" si="22"/>
        <v>1.518987341772151E-2</v>
      </c>
      <c r="BY46" s="23"/>
      <c r="BZ46" s="23"/>
      <c r="CA46" s="23"/>
      <c r="CB46" s="23">
        <f t="shared" si="47"/>
        <v>0.29999999999999982</v>
      </c>
      <c r="CC46" s="169">
        <f t="shared" si="23"/>
        <v>2.4</v>
      </c>
      <c r="CD46" s="174"/>
      <c r="CH46" s="184">
        <f>95%</f>
        <v>0.95</v>
      </c>
      <c r="CI46" s="169">
        <v>2.427</v>
      </c>
      <c r="CL46" s="159"/>
      <c r="CN46" s="159">
        <v>0.7</v>
      </c>
      <c r="CO46" s="159"/>
      <c r="CZ46" s="166">
        <f t="shared" si="49"/>
        <v>2.427</v>
      </c>
      <c r="DA46" s="87">
        <v>1.0289999999999999</v>
      </c>
      <c r="DB46" s="23">
        <f t="shared" si="50"/>
        <v>0.4239802224969097</v>
      </c>
      <c r="DI46" s="67"/>
      <c r="EG46" s="67">
        <v>0.70199999999999996</v>
      </c>
      <c r="EN46" s="24"/>
      <c r="EO46" s="184">
        <v>0.5</v>
      </c>
      <c r="ER46" s="169">
        <v>2.3980000000000001</v>
      </c>
      <c r="ES46" s="85">
        <v>1.022</v>
      </c>
      <c r="ET46" s="90"/>
      <c r="EU46" s="90"/>
      <c r="EV46" s="90"/>
      <c r="FG46" s="184">
        <f t="shared" si="34"/>
        <v>1.9375138855161809E-3</v>
      </c>
      <c r="FH46" s="184">
        <f t="shared" si="24"/>
        <v>9.6965645872755524E-3</v>
      </c>
      <c r="FI46" s="184">
        <f t="shared" si="35"/>
        <v>-1.2916759236774532E-4</v>
      </c>
      <c r="FJ46" s="184">
        <f t="shared" si="25"/>
        <v>3.5764504896230759E-2</v>
      </c>
      <c r="FK46" s="184">
        <f t="shared" si="36"/>
        <v>1.8957263032501854E-2</v>
      </c>
      <c r="FL46" s="184"/>
      <c r="FM46" s="184"/>
      <c r="FN46" s="184">
        <f t="shared" si="37"/>
        <v>1.2916759236774532E-4</v>
      </c>
      <c r="FO46" s="184">
        <f t="shared" si="26"/>
        <v>6.6355846401524352E-2</v>
      </c>
      <c r="FP46" s="184">
        <f t="shared" si="27"/>
        <v>0.93364415359847563</v>
      </c>
      <c r="FQ46" s="23">
        <f t="shared" si="28"/>
        <v>4.031747629459707E-3</v>
      </c>
      <c r="FR46" s="23">
        <f t="shared" si="29"/>
        <v>5.6727746041426365E-2</v>
      </c>
      <c r="FS46" s="23">
        <f t="shared" si="30"/>
        <v>4.6241007945313132E-4</v>
      </c>
      <c r="FT46" s="393">
        <f t="shared" si="31"/>
        <v>2.3120503972656566E-4</v>
      </c>
      <c r="FU46" s="393">
        <f t="shared" si="32"/>
        <v>2.3120503972656566E-4</v>
      </c>
      <c r="FV46" s="23">
        <f t="shared" si="33"/>
        <v>6.5062310355294469E-3</v>
      </c>
      <c r="FW46" s="69"/>
      <c r="GH46" s="169">
        <f t="shared" si="51"/>
        <v>1.369</v>
      </c>
      <c r="GU46" s="69"/>
      <c r="GW46" s="899">
        <f t="shared" si="52"/>
        <v>0.70199999999999996</v>
      </c>
      <c r="HH46" s="90"/>
      <c r="HI46" s="169">
        <v>0.66700000000000004</v>
      </c>
      <c r="HT46" s="24"/>
      <c r="IF46" s="90"/>
      <c r="IQ46" s="90"/>
      <c r="IR46" s="337">
        <v>17.631</v>
      </c>
      <c r="IS46" s="899">
        <f t="shared" si="55"/>
        <v>1.3780000000000001</v>
      </c>
      <c r="IU46" s="79">
        <f t="shared" si="53"/>
        <v>0.70199999999999996</v>
      </c>
      <c r="IV46" s="997"/>
      <c r="IW46" s="997"/>
      <c r="JE46" s="906">
        <f t="shared" si="54"/>
        <v>2.0383275261324041E-3</v>
      </c>
      <c r="JH46" s="69"/>
      <c r="JI46" s="90"/>
      <c r="KB46" s="69"/>
      <c r="KC46" s="90"/>
      <c r="KD46" s="90"/>
      <c r="KE46" s="90"/>
      <c r="KF46" s="90"/>
      <c r="KU46" s="69"/>
      <c r="KV46" s="90"/>
      <c r="LT46" s="423"/>
      <c r="LU46" s="80"/>
      <c r="LV46" s="80"/>
      <c r="LW46" s="80"/>
      <c r="LX46" s="80"/>
      <c r="LY46" s="80"/>
      <c r="LZ46" s="80"/>
      <c r="MA46" s="80"/>
      <c r="MB46" s="80"/>
      <c r="MC46" s="80"/>
      <c r="MD46" s="80"/>
      <c r="ME46" s="80"/>
      <c r="MF46" s="80"/>
      <c r="MG46" s="80"/>
      <c r="MH46" s="67"/>
      <c r="MI46" s="136">
        <f>FoF_RoW!$BH16/1000</f>
        <v>17.631</v>
      </c>
      <c r="MJ46" s="136"/>
      <c r="MK46" s="136">
        <f>FoF_RoW!$AU16/1000</f>
        <v>0.66700000000000004</v>
      </c>
      <c r="ML46" s="136">
        <f t="shared" si="48"/>
        <v>1.3780000000000001</v>
      </c>
      <c r="MM46" s="24"/>
      <c r="MP46" s="24"/>
      <c r="MY46" s="24"/>
      <c r="NC46" s="24"/>
      <c r="NI46" s="730">
        <v>21.792999999999999</v>
      </c>
      <c r="NJ46" s="24"/>
      <c r="NO46" s="24"/>
      <c r="NU46" s="69"/>
      <c r="NV46" s="90"/>
      <c r="NW46" s="90"/>
      <c r="NX46" s="90"/>
      <c r="NY46" s="90"/>
      <c r="NZ46" s="90"/>
      <c r="OA46" s="90"/>
      <c r="OB46" s="90"/>
      <c r="OC46" s="90"/>
      <c r="OD46" s="90"/>
      <c r="OE46" s="90"/>
      <c r="OF46" s="90"/>
      <c r="OG46" s="90"/>
      <c r="OH46" s="90"/>
      <c r="OM46" s="80"/>
      <c r="OO46" s="97"/>
      <c r="OP46" s="29"/>
      <c r="OQ46" s="29"/>
      <c r="OR46" s="29"/>
      <c r="OS46" s="71"/>
      <c r="OT46" s="71"/>
      <c r="OU46" s="71"/>
      <c r="OV46" s="71"/>
      <c r="OW46" s="71"/>
      <c r="OX46" s="71"/>
      <c r="OY46" s="71"/>
      <c r="OZ46" s="71"/>
      <c r="PA46" s="71"/>
      <c r="PG46" s="69"/>
      <c r="PH46" s="23"/>
      <c r="PI46" s="80"/>
    </row>
    <row r="47" spans="2:425">
      <c r="B47" s="71">
        <v>1955</v>
      </c>
      <c r="C47" s="43">
        <v>377.6</v>
      </c>
      <c r="D47" s="5">
        <v>50.2</v>
      </c>
      <c r="E47" s="6">
        <f t="shared" si="0"/>
        <v>0.13294491525423729</v>
      </c>
      <c r="F47" s="72">
        <f t="shared" si="1"/>
        <v>0</v>
      </c>
      <c r="G47" s="73">
        <f t="shared" si="2"/>
        <v>47.800000000000004</v>
      </c>
      <c r="H47" s="23">
        <f t="shared" si="3"/>
        <v>0.12658898305084745</v>
      </c>
      <c r="I47" s="74">
        <v>2.4</v>
      </c>
      <c r="J47" s="19">
        <f t="shared" si="4"/>
        <v>6.3559322033898301E-3</v>
      </c>
      <c r="K47" s="6">
        <f t="shared" si="5"/>
        <v>4.7808764940239036E-2</v>
      </c>
      <c r="L47" s="136">
        <v>2.9</v>
      </c>
      <c r="M47" s="19">
        <f t="shared" si="6"/>
        <v>7.6800847457627113E-3</v>
      </c>
      <c r="N47" s="63">
        <f t="shared" si="7"/>
        <v>5.7768924302788842E-2</v>
      </c>
      <c r="O47" s="5">
        <f t="shared" si="8"/>
        <v>50.2</v>
      </c>
      <c r="P47" s="75">
        <f t="shared" si="9"/>
        <v>0</v>
      </c>
      <c r="Q47" s="271">
        <v>47.9</v>
      </c>
      <c r="R47" s="202">
        <v>2</v>
      </c>
      <c r="S47" s="53">
        <f t="shared" si="10"/>
        <v>3.9840637450199202E-2</v>
      </c>
      <c r="T47" s="74">
        <v>0.3</v>
      </c>
      <c r="U47" s="74">
        <v>-1.2</v>
      </c>
      <c r="V47" s="207">
        <v>1.7</v>
      </c>
      <c r="W47" s="53">
        <f t="shared" si="11"/>
        <v>3.386454183266932E-2</v>
      </c>
      <c r="X47" s="75">
        <f t="shared" si="12"/>
        <v>2.9000000000000128</v>
      </c>
      <c r="Y47" s="187"/>
      <c r="Z47" s="75"/>
      <c r="AA47" s="75"/>
      <c r="AB47" s="75"/>
      <c r="AC47" s="75">
        <v>0</v>
      </c>
      <c r="AD47" s="23">
        <f t="shared" si="13"/>
        <v>0</v>
      </c>
      <c r="AE47" s="76"/>
      <c r="AF47" s="76"/>
      <c r="AG47" s="76"/>
      <c r="AH47" s="97">
        <v>22</v>
      </c>
      <c r="AI47" s="22">
        <f t="shared" si="14"/>
        <v>5.8262711864406777E-2</v>
      </c>
      <c r="AJ47" s="22">
        <f t="shared" si="15"/>
        <v>5.7468220338983043E-2</v>
      </c>
      <c r="AK47" s="99">
        <f t="shared" si="16"/>
        <v>0</v>
      </c>
      <c r="AL47" s="71">
        <v>20.7</v>
      </c>
      <c r="AM47" s="72">
        <f>(0.5*Fedtax!C26+0.5*Fedtax!C27)/1000</f>
        <v>19.3705</v>
      </c>
      <c r="AN47" s="71">
        <v>1</v>
      </c>
      <c r="AO47" s="255">
        <v>0</v>
      </c>
      <c r="AP47" s="71">
        <v>0.3</v>
      </c>
      <c r="AQ47" s="6">
        <f t="shared" si="17"/>
        <v>7.4682203389830518E-2</v>
      </c>
      <c r="AR47" s="207">
        <v>1</v>
      </c>
      <c r="AS47" s="713">
        <v>0.95899999999999996</v>
      </c>
      <c r="AT47" s="207"/>
      <c r="AU47" s="207"/>
      <c r="AV47" s="706">
        <f t="shared" ref="AV47:AV66" si="56">AZ47</f>
        <v>0.95099999999999996</v>
      </c>
      <c r="AW47" s="759"/>
      <c r="AX47" s="759"/>
      <c r="AY47" s="759"/>
      <c r="AZ47" s="706">
        <v>0.95099999999999996</v>
      </c>
      <c r="BA47" s="207"/>
      <c r="BB47" s="207"/>
      <c r="BC47" s="207"/>
      <c r="BD47" s="207"/>
      <c r="BE47" s="207"/>
      <c r="BF47" s="186">
        <v>0.52</v>
      </c>
      <c r="BG47" s="435"/>
      <c r="BH47" s="140">
        <f t="shared" si="39"/>
        <v>0.43055555555555547</v>
      </c>
      <c r="BI47" s="248"/>
      <c r="BJ47" s="23">
        <f t="shared" si="40"/>
        <v>0.41650671785028781</v>
      </c>
      <c r="BK47" s="140">
        <f t="shared" si="41"/>
        <v>0.44163424124513612</v>
      </c>
      <c r="BL47" s="140">
        <f t="shared" si="42"/>
        <v>0.48445802899104118</v>
      </c>
      <c r="BM47" s="248">
        <f t="shared" si="43"/>
        <v>0.44163424124513612</v>
      </c>
      <c r="BN47" s="23">
        <f t="shared" si="44"/>
        <v>0.45302713987473903</v>
      </c>
      <c r="BO47" s="23">
        <f t="shared" si="45"/>
        <v>0.43486973947895791</v>
      </c>
      <c r="BP47" s="149">
        <f t="shared" si="18"/>
        <v>50.2</v>
      </c>
      <c r="BQ47" s="99">
        <f t="shared" si="19"/>
        <v>0.10000000000000142</v>
      </c>
      <c r="BR47" s="153">
        <f t="shared" si="20"/>
        <v>22</v>
      </c>
      <c r="BS47" s="79">
        <v>10.5</v>
      </c>
      <c r="BT47" s="79">
        <v>17.600000000000001</v>
      </c>
      <c r="BU47" s="23">
        <f t="shared" si="46"/>
        <v>0.35059760956175301</v>
      </c>
      <c r="BV47" s="71">
        <v>16.899999999999999</v>
      </c>
      <c r="BW47" s="71">
        <f t="shared" si="21"/>
        <v>0.70000000000000284</v>
      </c>
      <c r="BX47" s="23">
        <f t="shared" si="22"/>
        <v>1.3944223107569776E-2</v>
      </c>
      <c r="BY47" s="23"/>
      <c r="BZ47" s="23"/>
      <c r="CA47" s="23"/>
      <c r="CB47" s="23">
        <f t="shared" si="47"/>
        <v>0.29166666666666785</v>
      </c>
      <c r="CC47" s="169">
        <f t="shared" si="23"/>
        <v>2.9</v>
      </c>
      <c r="CD47" s="174"/>
      <c r="CH47" s="184">
        <f>95%</f>
        <v>0.95</v>
      </c>
      <c r="CI47" s="169">
        <v>2.8740000000000001</v>
      </c>
      <c r="CL47" s="159"/>
      <c r="CN47" s="159">
        <v>1</v>
      </c>
      <c r="CO47" s="159"/>
      <c r="CZ47" s="166">
        <f t="shared" si="49"/>
        <v>2.8740000000000001</v>
      </c>
      <c r="DA47" s="87">
        <v>1.2310000000000001</v>
      </c>
      <c r="DB47" s="23">
        <f t="shared" si="50"/>
        <v>0.42832289491997216</v>
      </c>
      <c r="DI47" s="67"/>
      <c r="EG47" s="67">
        <v>0.96199999999999997</v>
      </c>
      <c r="EN47" s="24"/>
      <c r="EO47" s="184">
        <v>0.5</v>
      </c>
      <c r="ER47" s="169">
        <v>2.8410000000000002</v>
      </c>
      <c r="ES47" s="85">
        <v>1.224</v>
      </c>
      <c r="ET47" s="90"/>
      <c r="EU47" s="90"/>
      <c r="EV47" s="90"/>
      <c r="FG47" s="184">
        <f t="shared" si="34"/>
        <v>2.0150144409368282E-3</v>
      </c>
      <c r="FH47" s="184">
        <f t="shared" si="24"/>
        <v>9.6965645872755524E-3</v>
      </c>
      <c r="FI47" s="184">
        <f t="shared" si="35"/>
        <v>-1.3433429606245513E-4</v>
      </c>
      <c r="FJ47" s="184">
        <f t="shared" si="25"/>
        <v>3.5764504896230759E-2</v>
      </c>
      <c r="FK47" s="184">
        <f t="shared" si="36"/>
        <v>1.9715553553801928E-2</v>
      </c>
      <c r="FL47" s="184"/>
      <c r="FM47" s="184"/>
      <c r="FN47" s="184">
        <f t="shared" si="37"/>
        <v>1.3433429606245513E-4</v>
      </c>
      <c r="FO47" s="184">
        <f t="shared" si="26"/>
        <v>6.7191637478245067E-2</v>
      </c>
      <c r="FP47" s="184">
        <f t="shared" si="27"/>
        <v>0.93280836252175492</v>
      </c>
      <c r="FQ47" s="23">
        <f t="shared" si="28"/>
        <v>3.8815886192611689E-3</v>
      </c>
      <c r="FR47" s="23">
        <f t="shared" si="29"/>
        <v>5.3887335683527673E-2</v>
      </c>
      <c r="FS47" s="23">
        <f t="shared" si="30"/>
        <v>5.1603747003948802E-4</v>
      </c>
      <c r="FT47" s="393">
        <f t="shared" si="31"/>
        <v>2.5801873501974401E-4</v>
      </c>
      <c r="FU47" s="393">
        <f t="shared" si="32"/>
        <v>2.5801873501974401E-4</v>
      </c>
      <c r="FV47" s="23">
        <f t="shared" si="33"/>
        <v>7.1640472757232235E-3</v>
      </c>
      <c r="FW47" s="69"/>
      <c r="GH47" s="169">
        <f t="shared" si="51"/>
        <v>1.7849999999999999</v>
      </c>
      <c r="GU47" s="69"/>
      <c r="GW47" s="899">
        <f t="shared" si="52"/>
        <v>0.96199999999999997</v>
      </c>
      <c r="HH47" s="90"/>
      <c r="HI47" s="169">
        <v>0.82299999999999995</v>
      </c>
      <c r="HT47" s="24"/>
      <c r="IF47" s="90"/>
      <c r="IQ47" s="90"/>
      <c r="IR47" s="337">
        <v>19.395</v>
      </c>
      <c r="IS47" s="899">
        <f t="shared" si="55"/>
        <v>1.7639999999999993</v>
      </c>
      <c r="IU47" s="79">
        <f t="shared" si="53"/>
        <v>0.96199999999999997</v>
      </c>
      <c r="IV47" s="997"/>
      <c r="IW47" s="997"/>
      <c r="JE47" s="906">
        <f t="shared" si="54"/>
        <v>2.5476694915254235E-3</v>
      </c>
      <c r="JH47" s="69"/>
      <c r="JI47" s="90"/>
      <c r="KB47" s="69"/>
      <c r="KC47" s="90"/>
      <c r="KD47" s="90"/>
      <c r="KE47" s="90"/>
      <c r="KF47" s="90"/>
      <c r="KU47" s="69"/>
      <c r="KV47" s="90"/>
      <c r="LT47" s="423"/>
      <c r="LU47" s="80"/>
      <c r="LV47" s="80"/>
      <c r="LW47" s="80"/>
      <c r="LX47" s="80"/>
      <c r="LY47" s="80"/>
      <c r="LZ47" s="80"/>
      <c r="MA47" s="80"/>
      <c r="MB47" s="80"/>
      <c r="MC47" s="80"/>
      <c r="MD47" s="80"/>
      <c r="ME47" s="80"/>
      <c r="MF47" s="80"/>
      <c r="MG47" s="80"/>
      <c r="MH47" s="67"/>
      <c r="MI47" s="136">
        <f>FoF_RoW!$BH17/1000</f>
        <v>19.395</v>
      </c>
      <c r="MJ47" s="136"/>
      <c r="MK47" s="136">
        <f>FoF_RoW!$AU17/1000</f>
        <v>0.82299999999999995</v>
      </c>
      <c r="ML47" s="136">
        <f t="shared" si="48"/>
        <v>1.7639999999999993</v>
      </c>
      <c r="MM47" s="24"/>
      <c r="MP47" s="24"/>
      <c r="MY47" s="24"/>
      <c r="NC47" s="24"/>
      <c r="NI47" s="730">
        <v>21.753</v>
      </c>
      <c r="NJ47" s="24"/>
      <c r="NO47" s="24"/>
      <c r="NU47" s="69"/>
      <c r="NV47" s="90"/>
      <c r="NW47" s="90"/>
      <c r="NX47" s="90"/>
      <c r="NY47" s="90"/>
      <c r="NZ47" s="90"/>
      <c r="OA47" s="90"/>
      <c r="OB47" s="90"/>
      <c r="OC47" s="90"/>
      <c r="OD47" s="90"/>
      <c r="OE47" s="90"/>
      <c r="OF47" s="90"/>
      <c r="OG47" s="90"/>
      <c r="OH47" s="90"/>
      <c r="OM47" s="80"/>
      <c r="OO47" s="97"/>
      <c r="OP47" s="29"/>
      <c r="OQ47" s="29"/>
      <c r="OR47" s="29"/>
      <c r="OS47" s="71"/>
      <c r="OT47" s="71"/>
      <c r="OU47" s="71"/>
      <c r="OV47" s="71"/>
      <c r="OW47" s="71"/>
      <c r="OX47" s="71"/>
      <c r="OY47" s="71"/>
      <c r="OZ47" s="71"/>
      <c r="PA47" s="71"/>
      <c r="PG47" s="69"/>
      <c r="PH47" s="23"/>
      <c r="PI47" s="80"/>
    </row>
    <row r="48" spans="2:425">
      <c r="B48" s="71">
        <v>1956</v>
      </c>
      <c r="C48" s="43">
        <v>400.9</v>
      </c>
      <c r="D48" s="5">
        <v>49.6</v>
      </c>
      <c r="E48" s="6">
        <f t="shared" si="0"/>
        <v>0.12372162634073336</v>
      </c>
      <c r="F48" s="72">
        <f t="shared" si="1"/>
        <v>0</v>
      </c>
      <c r="G48" s="73">
        <f t="shared" si="2"/>
        <v>46.800000000000004</v>
      </c>
      <c r="H48" s="23">
        <f t="shared" si="3"/>
        <v>0.11673734098278875</v>
      </c>
      <c r="I48" s="74">
        <v>2.8</v>
      </c>
      <c r="J48" s="19">
        <f t="shared" si="4"/>
        <v>6.9842853579446243E-3</v>
      </c>
      <c r="K48" s="6">
        <f t="shared" si="5"/>
        <v>5.6451612903225798E-2</v>
      </c>
      <c r="L48" s="136">
        <v>3.4000000000000004</v>
      </c>
      <c r="M48" s="19">
        <f t="shared" si="6"/>
        <v>8.4809179346470448E-3</v>
      </c>
      <c r="N48" s="63">
        <f t="shared" si="7"/>
        <v>6.8548387096774202E-2</v>
      </c>
      <c r="O48" s="5">
        <f t="shared" si="8"/>
        <v>49.6</v>
      </c>
      <c r="P48" s="75">
        <f t="shared" si="9"/>
        <v>0</v>
      </c>
      <c r="Q48" s="271">
        <v>47.4</v>
      </c>
      <c r="R48" s="202">
        <v>2.2999999999999998</v>
      </c>
      <c r="S48" s="53">
        <f t="shared" si="10"/>
        <v>4.6370967741935477E-2</v>
      </c>
      <c r="T48" s="74">
        <v>0.5</v>
      </c>
      <c r="U48" s="74">
        <v>-3</v>
      </c>
      <c r="V48" s="207">
        <v>1.7</v>
      </c>
      <c r="W48" s="53">
        <f t="shared" si="11"/>
        <v>3.4274193548387094E-2</v>
      </c>
      <c r="X48" s="75">
        <f t="shared" si="12"/>
        <v>4.1000000000000085</v>
      </c>
      <c r="Y48" s="187"/>
      <c r="Z48" s="75"/>
      <c r="AA48" s="75"/>
      <c r="AB48" s="75"/>
      <c r="AC48" s="75">
        <v>0</v>
      </c>
      <c r="AD48" s="23">
        <f t="shared" si="13"/>
        <v>0</v>
      </c>
      <c r="AE48" s="76"/>
      <c r="AF48" s="76"/>
      <c r="AG48" s="76"/>
      <c r="AH48" s="97">
        <v>22</v>
      </c>
      <c r="AI48" s="22">
        <f t="shared" si="14"/>
        <v>5.4876527812422055E-2</v>
      </c>
      <c r="AJ48" s="22">
        <f t="shared" si="15"/>
        <v>5.3878772761287108E-2</v>
      </c>
      <c r="AK48" s="99">
        <f t="shared" si="16"/>
        <v>0</v>
      </c>
      <c r="AL48" s="71">
        <v>20.599999999999998</v>
      </c>
      <c r="AM48" s="72">
        <f>(0.5*Fedtax!C27+0.5*Fedtax!C28)/1000</f>
        <v>21.023499999999999</v>
      </c>
      <c r="AN48" s="71">
        <v>1</v>
      </c>
      <c r="AO48" s="255">
        <v>0</v>
      </c>
      <c r="AP48" s="71">
        <v>0.4</v>
      </c>
      <c r="AQ48" s="6">
        <f t="shared" si="17"/>
        <v>6.8845098528311305E-2</v>
      </c>
      <c r="AR48" s="207">
        <v>1</v>
      </c>
      <c r="AS48" s="713"/>
      <c r="AT48" s="207"/>
      <c r="AU48" s="207"/>
      <c r="AV48" s="706"/>
      <c r="AW48" s="759"/>
      <c r="AX48" s="759"/>
      <c r="AY48" s="759"/>
      <c r="AZ48" s="706"/>
      <c r="BA48" s="207"/>
      <c r="BB48" s="207"/>
      <c r="BC48" s="207"/>
      <c r="BD48" s="207"/>
      <c r="BE48" s="207"/>
      <c r="BF48" s="186">
        <v>0.52</v>
      </c>
      <c r="BG48" s="435"/>
      <c r="BH48" s="140">
        <f t="shared" si="39"/>
        <v>0.43460764587525141</v>
      </c>
      <c r="BI48" s="248"/>
      <c r="BJ48" s="23">
        <f t="shared" si="40"/>
        <v>0.42023346303501946</v>
      </c>
      <c r="BK48" s="140">
        <f t="shared" si="41"/>
        <v>0.44575936883629191</v>
      </c>
      <c r="BL48" s="140">
        <f t="shared" si="42"/>
        <v>0.46482130418347767</v>
      </c>
      <c r="BM48" s="248">
        <f t="shared" si="43"/>
        <v>0.44575936883629191</v>
      </c>
      <c r="BN48" s="23">
        <f t="shared" si="44"/>
        <v>0.45569620253164561</v>
      </c>
      <c r="BO48" s="23">
        <f t="shared" si="45"/>
        <v>0.43460764587525158</v>
      </c>
      <c r="BP48" s="149">
        <f t="shared" si="18"/>
        <v>49.6</v>
      </c>
      <c r="BQ48" s="99">
        <f t="shared" si="19"/>
        <v>-9.9999999999994316E-2</v>
      </c>
      <c r="BR48" s="153">
        <f t="shared" si="20"/>
        <v>22</v>
      </c>
      <c r="BS48" s="79">
        <v>11.3</v>
      </c>
      <c r="BT48" s="79">
        <v>16.399999999999999</v>
      </c>
      <c r="BU48" s="23">
        <f t="shared" si="46"/>
        <v>0.33064516129032256</v>
      </c>
      <c r="BV48" s="71">
        <v>15.4</v>
      </c>
      <c r="BW48" s="71">
        <f t="shared" si="21"/>
        <v>0.99999999999999822</v>
      </c>
      <c r="BX48" s="23">
        <f t="shared" si="22"/>
        <v>2.016129032258061E-2</v>
      </c>
      <c r="BY48" s="23"/>
      <c r="BZ48" s="23"/>
      <c r="CA48" s="23"/>
      <c r="CB48" s="23">
        <f t="shared" si="47"/>
        <v>0.35714285714285654</v>
      </c>
      <c r="CC48" s="169">
        <f t="shared" si="23"/>
        <v>3.4000000000000004</v>
      </c>
      <c r="CD48" s="174"/>
      <c r="CH48" s="184">
        <f>95%</f>
        <v>0.95</v>
      </c>
      <c r="CI48" s="169">
        <v>3.3460000000000001</v>
      </c>
      <c r="CL48" s="159"/>
      <c r="CN48" s="159">
        <v>1.2</v>
      </c>
      <c r="CO48" s="159"/>
      <c r="CZ48" s="166">
        <f t="shared" si="49"/>
        <v>3.3460000000000001</v>
      </c>
      <c r="DA48" s="87">
        <v>1.454</v>
      </c>
      <c r="DB48" s="23">
        <f t="shared" si="50"/>
        <v>0.43454871488344288</v>
      </c>
      <c r="DI48" s="67"/>
      <c r="EG48" s="67">
        <v>1.175</v>
      </c>
      <c r="EN48" s="24"/>
      <c r="EO48" s="184">
        <v>0.5</v>
      </c>
      <c r="ER48" s="169">
        <v>3.298</v>
      </c>
      <c r="ES48" s="85">
        <v>1.4430000000000001</v>
      </c>
      <c r="ET48" s="90"/>
      <c r="EU48" s="90"/>
      <c r="EV48" s="90"/>
      <c r="FG48" s="184">
        <f t="shared" si="34"/>
        <v>2.0925149963574754E-3</v>
      </c>
      <c r="FH48" s="184">
        <f t="shared" si="24"/>
        <v>9.6965645872755524E-3</v>
      </c>
      <c r="FI48" s="184">
        <f t="shared" si="35"/>
        <v>-1.3950099975716494E-4</v>
      </c>
      <c r="FJ48" s="184">
        <f t="shared" si="25"/>
        <v>3.5764504896230759E-2</v>
      </c>
      <c r="FK48" s="184">
        <f t="shared" si="36"/>
        <v>2.0473844075102002E-2</v>
      </c>
      <c r="FL48" s="184"/>
      <c r="FM48" s="184"/>
      <c r="FN48" s="184">
        <f t="shared" si="37"/>
        <v>1.3950099975716494E-4</v>
      </c>
      <c r="FO48" s="184">
        <f t="shared" si="26"/>
        <v>6.8027428554965783E-2</v>
      </c>
      <c r="FP48" s="184">
        <f t="shared" si="27"/>
        <v>0.9319725714450342</v>
      </c>
      <c r="FQ48" s="23">
        <f t="shared" si="28"/>
        <v>4.6631705057839454E-3</v>
      </c>
      <c r="FR48" s="23">
        <f t="shared" si="29"/>
        <v>6.3885216590990251E-2</v>
      </c>
      <c r="FS48" s="23">
        <f t="shared" si="30"/>
        <v>5.7693503887972994E-4</v>
      </c>
      <c r="FT48" s="393">
        <f t="shared" si="31"/>
        <v>2.8846751943986497E-4</v>
      </c>
      <c r="FU48" s="393">
        <f t="shared" si="32"/>
        <v>2.8846751943986497E-4</v>
      </c>
      <c r="FV48" s="23">
        <f t="shared" si="33"/>
        <v>7.9039828957673149E-3</v>
      </c>
      <c r="FW48" s="69"/>
      <c r="GH48" s="169">
        <f t="shared" si="51"/>
        <v>3.1260000000000003</v>
      </c>
      <c r="GU48" s="69"/>
      <c r="GW48" s="899">
        <f t="shared" si="52"/>
        <v>1.175</v>
      </c>
      <c r="HH48" s="90"/>
      <c r="HI48" s="169">
        <v>1.9510000000000001</v>
      </c>
      <c r="HT48" s="24"/>
      <c r="IF48" s="90"/>
      <c r="IQ48" s="90"/>
      <c r="IR48" s="337">
        <v>22.504999999999999</v>
      </c>
      <c r="IS48" s="899">
        <f t="shared" si="55"/>
        <v>3.1099999999999994</v>
      </c>
      <c r="IU48" s="79">
        <f t="shared" si="53"/>
        <v>1.175</v>
      </c>
      <c r="IV48" s="997"/>
      <c r="IW48" s="997"/>
      <c r="JE48" s="906">
        <f t="shared" si="54"/>
        <v>2.9309054627089052E-3</v>
      </c>
      <c r="JH48" s="69"/>
      <c r="JI48" s="90"/>
      <c r="KB48" s="69"/>
      <c r="KC48" s="90"/>
      <c r="KD48" s="90"/>
      <c r="KE48" s="90"/>
      <c r="KF48" s="90"/>
      <c r="KU48" s="69"/>
      <c r="KV48" s="90"/>
      <c r="LT48" s="423"/>
      <c r="LU48" s="80"/>
      <c r="LV48" s="80"/>
      <c r="LW48" s="80"/>
      <c r="LX48" s="80"/>
      <c r="LY48" s="80"/>
      <c r="LZ48" s="80"/>
      <c r="MA48" s="80"/>
      <c r="MB48" s="80"/>
      <c r="MC48" s="80"/>
      <c r="MD48" s="80"/>
      <c r="ME48" s="80"/>
      <c r="MF48" s="80"/>
      <c r="MG48" s="80"/>
      <c r="MH48" s="67"/>
      <c r="MI48" s="136">
        <f>FoF_RoW!$BH18/1000</f>
        <v>22.504999999999999</v>
      </c>
      <c r="MJ48" s="136"/>
      <c r="MK48" s="136">
        <f>FoF_RoW!$AU18/1000</f>
        <v>1.9510000000000001</v>
      </c>
      <c r="ML48" s="136">
        <f t="shared" si="48"/>
        <v>3.1099999999999994</v>
      </c>
      <c r="MM48" s="24"/>
      <c r="MP48" s="24"/>
      <c r="MY48" s="24"/>
      <c r="NC48" s="24"/>
      <c r="NI48" s="730">
        <v>22.058</v>
      </c>
      <c r="NJ48" s="24"/>
      <c r="NO48" s="24"/>
      <c r="NU48" s="69"/>
      <c r="NV48" s="90"/>
      <c r="NW48" s="90"/>
      <c r="NX48" s="90"/>
      <c r="NY48" s="90"/>
      <c r="NZ48" s="90"/>
      <c r="OA48" s="90"/>
      <c r="OB48" s="90"/>
      <c r="OC48" s="90"/>
      <c r="OD48" s="90"/>
      <c r="OE48" s="90"/>
      <c r="OF48" s="90"/>
      <c r="OG48" s="90"/>
      <c r="OH48" s="90"/>
      <c r="OM48" s="80"/>
      <c r="OO48" s="97"/>
      <c r="OP48" s="29"/>
      <c r="OQ48" s="29"/>
      <c r="OR48" s="29"/>
      <c r="OS48" s="71"/>
      <c r="OT48" s="71"/>
      <c r="OU48" s="71"/>
      <c r="OV48" s="71"/>
      <c r="OW48" s="71"/>
      <c r="OX48" s="71"/>
      <c r="OY48" s="71"/>
      <c r="OZ48" s="71"/>
      <c r="PA48" s="71"/>
      <c r="PG48" s="69"/>
      <c r="PH48" s="23"/>
      <c r="PI48" s="80"/>
    </row>
    <row r="49" spans="2:428">
      <c r="B49" s="71">
        <v>1957</v>
      </c>
      <c r="C49" s="43">
        <v>419.4</v>
      </c>
      <c r="D49" s="5">
        <v>49.1</v>
      </c>
      <c r="E49" s="6">
        <f t="shared" si="0"/>
        <v>0.11707200762994756</v>
      </c>
      <c r="F49" s="72">
        <f t="shared" si="1"/>
        <v>0</v>
      </c>
      <c r="G49" s="73">
        <f t="shared" si="2"/>
        <v>46</v>
      </c>
      <c r="H49" s="23">
        <f t="shared" si="3"/>
        <v>0.10968049594659038</v>
      </c>
      <c r="I49" s="74">
        <v>3.1</v>
      </c>
      <c r="J49" s="19">
        <f t="shared" si="4"/>
        <v>7.3915116833571772E-3</v>
      </c>
      <c r="K49" s="6">
        <f t="shared" si="5"/>
        <v>6.313645621181263E-2</v>
      </c>
      <c r="L49" s="136">
        <v>3.6999999999999997</v>
      </c>
      <c r="M49" s="19">
        <f t="shared" si="6"/>
        <v>8.8221268478779202E-3</v>
      </c>
      <c r="N49" s="63">
        <f t="shared" si="7"/>
        <v>7.535641547861506E-2</v>
      </c>
      <c r="O49" s="5">
        <f t="shared" si="8"/>
        <v>49.1</v>
      </c>
      <c r="P49" s="75">
        <f t="shared" si="9"/>
        <v>0</v>
      </c>
      <c r="Q49" s="271">
        <v>45.1</v>
      </c>
      <c r="R49" s="202">
        <v>2.9</v>
      </c>
      <c r="S49" s="53">
        <f t="shared" si="10"/>
        <v>5.9063136456211807E-2</v>
      </c>
      <c r="T49" s="74">
        <v>0.6</v>
      </c>
      <c r="U49" s="74">
        <v>-2</v>
      </c>
      <c r="V49" s="207">
        <v>1.6</v>
      </c>
      <c r="W49" s="53">
        <f t="shared" si="11"/>
        <v>3.2586558044806521E-2</v>
      </c>
      <c r="X49" s="75">
        <f t="shared" si="12"/>
        <v>4.1000000000000014</v>
      </c>
      <c r="Y49" s="187"/>
      <c r="Z49" s="75"/>
      <c r="AA49" s="75"/>
      <c r="AB49" s="75"/>
      <c r="AC49" s="75">
        <v>0</v>
      </c>
      <c r="AD49" s="23">
        <f t="shared" si="13"/>
        <v>0</v>
      </c>
      <c r="AE49" s="76"/>
      <c r="AF49" s="76"/>
      <c r="AG49" s="76"/>
      <c r="AH49" s="97">
        <v>21.4</v>
      </c>
      <c r="AI49" s="22">
        <f t="shared" si="14"/>
        <v>5.1025274201239867E-2</v>
      </c>
      <c r="AJ49" s="22">
        <f t="shared" si="15"/>
        <v>4.9833094897472577E-2</v>
      </c>
      <c r="AK49" s="99">
        <f t="shared" si="16"/>
        <v>9.9999999999997868E-2</v>
      </c>
      <c r="AL49" s="71">
        <v>19.8</v>
      </c>
      <c r="AM49" s="72">
        <f>(0.5*Fedtax!C28+0.5*Fedtax!C29)/1000</f>
        <v>20.6205</v>
      </c>
      <c r="AN49" s="71">
        <v>1</v>
      </c>
      <c r="AO49" s="255">
        <v>0</v>
      </c>
      <c r="AP49" s="71">
        <v>0.5</v>
      </c>
      <c r="AQ49" s="6">
        <f t="shared" si="17"/>
        <v>6.6046733428707691E-2</v>
      </c>
      <c r="AR49" s="207">
        <v>1.1000000000000001</v>
      </c>
      <c r="AS49" s="713"/>
      <c r="AT49" s="207"/>
      <c r="AU49" s="207"/>
      <c r="AV49" s="706"/>
      <c r="AW49" s="759"/>
      <c r="AX49" s="759"/>
      <c r="AY49" s="759"/>
      <c r="AZ49" s="706"/>
      <c r="BA49" s="207"/>
      <c r="BB49" s="207"/>
      <c r="BC49" s="207"/>
      <c r="BD49" s="207"/>
      <c r="BE49" s="207"/>
      <c r="BF49" s="186">
        <v>0.52</v>
      </c>
      <c r="BG49" s="435"/>
      <c r="BH49" s="140">
        <f t="shared" si="39"/>
        <v>0.42362525458248473</v>
      </c>
      <c r="BI49" s="248"/>
      <c r="BJ49" s="23">
        <f t="shared" si="40"/>
        <v>0.4122287968441814</v>
      </c>
      <c r="BK49" s="140">
        <f t="shared" si="41"/>
        <v>0.43824701195219123</v>
      </c>
      <c r="BL49" s="140">
        <f t="shared" si="42"/>
        <v>0.45494595409866845</v>
      </c>
      <c r="BM49" s="248">
        <f t="shared" si="43"/>
        <v>0.43824701195219123</v>
      </c>
      <c r="BN49" s="23">
        <f t="shared" si="44"/>
        <v>0.46341463414634143</v>
      </c>
      <c r="BO49" s="23">
        <f t="shared" si="45"/>
        <v>0.43541666666666662</v>
      </c>
      <c r="BP49" s="149">
        <f t="shared" si="18"/>
        <v>49.1</v>
      </c>
      <c r="BQ49" s="99">
        <f t="shared" si="19"/>
        <v>0</v>
      </c>
      <c r="BR49" s="153">
        <f t="shared" si="20"/>
        <v>21.4</v>
      </c>
      <c r="BS49" s="79">
        <v>11.7</v>
      </c>
      <c r="BT49" s="79">
        <v>16</v>
      </c>
      <c r="BU49" s="23">
        <f t="shared" si="46"/>
        <v>0.32586558044806518</v>
      </c>
      <c r="BV49" s="71">
        <v>14.8</v>
      </c>
      <c r="BW49" s="71">
        <f t="shared" si="21"/>
        <v>1.1999999999999993</v>
      </c>
      <c r="BX49" s="23">
        <f t="shared" si="22"/>
        <v>2.4439918533604874E-2</v>
      </c>
      <c r="BY49" s="23"/>
      <c r="BZ49" s="23"/>
      <c r="CA49" s="23"/>
      <c r="CB49" s="23">
        <f t="shared" si="47"/>
        <v>0.38709677419354815</v>
      </c>
      <c r="CC49" s="169">
        <f t="shared" si="23"/>
        <v>3.6999999999999997</v>
      </c>
      <c r="CD49" s="174"/>
      <c r="CH49" s="184">
        <f>95%</f>
        <v>0.95</v>
      </c>
      <c r="CI49" s="169">
        <v>3.6120000000000001</v>
      </c>
      <c r="CL49" s="159"/>
      <c r="CN49" s="159">
        <v>1.4</v>
      </c>
      <c r="CO49" s="159"/>
      <c r="CZ49" s="166">
        <f t="shared" si="49"/>
        <v>3.6120000000000001</v>
      </c>
      <c r="DA49" s="87">
        <v>1.744</v>
      </c>
      <c r="DB49" s="23">
        <f t="shared" si="50"/>
        <v>0.4828349944629014</v>
      </c>
      <c r="DI49" s="67"/>
      <c r="EG49" s="67">
        <v>1.363</v>
      </c>
      <c r="EN49" s="24"/>
      <c r="EO49" s="184">
        <v>0.5</v>
      </c>
      <c r="ER49" s="169">
        <v>3.5609999999999999</v>
      </c>
      <c r="ES49" s="85">
        <v>1.726</v>
      </c>
      <c r="ET49" s="90"/>
      <c r="EU49" s="90"/>
      <c r="EV49" s="90"/>
      <c r="FG49" s="184">
        <f t="shared" si="34"/>
        <v>2.1700155517781227E-3</v>
      </c>
      <c r="FH49" s="184">
        <f t="shared" si="24"/>
        <v>9.6965645872755524E-3</v>
      </c>
      <c r="FI49" s="184">
        <f t="shared" si="35"/>
        <v>-1.4466770345187476E-4</v>
      </c>
      <c r="FJ49" s="184">
        <f t="shared" si="25"/>
        <v>3.5764504896230759E-2</v>
      </c>
      <c r="FK49" s="184">
        <f t="shared" si="36"/>
        <v>2.1232134596402077E-2</v>
      </c>
      <c r="FL49" s="184"/>
      <c r="FM49" s="184"/>
      <c r="FN49" s="184">
        <f t="shared" si="37"/>
        <v>1.4466770345187476E-4</v>
      </c>
      <c r="FO49" s="184">
        <f t="shared" si="26"/>
        <v>6.8863219631686512E-2</v>
      </c>
      <c r="FP49" s="184">
        <f t="shared" si="27"/>
        <v>0.93113678036831349</v>
      </c>
      <c r="FQ49" s="23">
        <f t="shared" si="28"/>
        <v>5.1892853897604896E-3</v>
      </c>
      <c r="FR49" s="23">
        <f t="shared" si="29"/>
        <v>7.0167130088854571E-2</v>
      </c>
      <c r="FS49" s="23">
        <f t="shared" si="30"/>
        <v>6.0752005874401547E-4</v>
      </c>
      <c r="FT49" s="393">
        <f t="shared" si="31"/>
        <v>3.0376002937200773E-4</v>
      </c>
      <c r="FU49" s="393">
        <f t="shared" si="32"/>
        <v>3.0376002937200773E-4</v>
      </c>
      <c r="FV49" s="23">
        <f t="shared" si="33"/>
        <v>8.2146067891339051E-3</v>
      </c>
      <c r="FW49" s="69"/>
      <c r="GH49" s="169">
        <f t="shared" si="51"/>
        <v>3.8050000000000002</v>
      </c>
      <c r="GU49" s="69"/>
      <c r="GW49" s="899">
        <f t="shared" si="52"/>
        <v>1.363</v>
      </c>
      <c r="HH49" s="90"/>
      <c r="HI49" s="169">
        <v>2.4420000000000002</v>
      </c>
      <c r="HT49" s="24"/>
      <c r="IF49" s="90"/>
      <c r="IQ49" s="90"/>
      <c r="IR49" s="337">
        <v>25.393999999999998</v>
      </c>
      <c r="IS49" s="899">
        <f t="shared" si="55"/>
        <v>2.8889999999999993</v>
      </c>
      <c r="IU49" s="79">
        <f t="shared" si="53"/>
        <v>1.363</v>
      </c>
      <c r="IV49" s="997"/>
      <c r="IW49" s="997"/>
      <c r="JE49" s="906">
        <f t="shared" si="54"/>
        <v>3.2498807820696236E-3</v>
      </c>
      <c r="JH49" s="69"/>
      <c r="JI49" s="90"/>
      <c r="KB49" s="69"/>
      <c r="KC49" s="90"/>
      <c r="KD49" s="90"/>
      <c r="KE49" s="90"/>
      <c r="KF49" s="90"/>
      <c r="KU49" s="69"/>
      <c r="KV49" s="90"/>
      <c r="LT49" s="423"/>
      <c r="LU49" s="80"/>
      <c r="LV49" s="80"/>
      <c r="LW49" s="80"/>
      <c r="LX49" s="80"/>
      <c r="LY49" s="80"/>
      <c r="LZ49" s="80"/>
      <c r="MA49" s="80"/>
      <c r="MB49" s="80"/>
      <c r="MC49" s="80"/>
      <c r="MD49" s="80"/>
      <c r="ME49" s="80"/>
      <c r="MF49" s="80"/>
      <c r="MG49" s="80"/>
      <c r="MH49" s="67"/>
      <c r="MI49" s="136">
        <f>FoF_RoW!$BH19/1000</f>
        <v>25.393999999999998</v>
      </c>
      <c r="MJ49" s="136"/>
      <c r="MK49" s="136">
        <f>FoF_RoW!$AU19/1000</f>
        <v>2.4420000000000002</v>
      </c>
      <c r="ML49" s="136">
        <f t="shared" si="48"/>
        <v>2.8889999999999993</v>
      </c>
      <c r="MM49" s="24"/>
      <c r="MP49" s="24"/>
      <c r="MY49" s="24"/>
      <c r="NC49" s="24"/>
      <c r="NI49" s="730">
        <v>22.856999999999999</v>
      </c>
      <c r="NJ49" s="24"/>
      <c r="NO49" s="24"/>
      <c r="NU49" s="69"/>
      <c r="NV49" s="90"/>
      <c r="NW49" s="90"/>
      <c r="NX49" s="90"/>
      <c r="NY49" s="90"/>
      <c r="NZ49" s="90"/>
      <c r="OA49" s="90"/>
      <c r="OB49" s="90"/>
      <c r="OC49" s="90"/>
      <c r="OD49" s="90"/>
      <c r="OE49" s="90"/>
      <c r="OF49" s="90"/>
      <c r="OG49" s="90"/>
      <c r="OH49" s="90"/>
      <c r="OM49" s="80"/>
      <c r="OO49" s="97"/>
      <c r="OP49" s="29"/>
      <c r="OQ49" s="29"/>
      <c r="OR49" s="29"/>
      <c r="OS49" s="71"/>
      <c r="OT49" s="71"/>
      <c r="OU49" s="71"/>
      <c r="OV49" s="71"/>
      <c r="OW49" s="71"/>
      <c r="OX49" s="71"/>
      <c r="OY49" s="71"/>
      <c r="OZ49" s="71"/>
      <c r="PA49" s="71"/>
      <c r="PG49" s="69"/>
      <c r="PH49" s="23"/>
      <c r="PI49" s="80"/>
    </row>
    <row r="50" spans="2:428">
      <c r="B50" s="71">
        <v>1958</v>
      </c>
      <c r="C50" s="43">
        <v>421.6</v>
      </c>
      <c r="D50" s="5">
        <v>43.9</v>
      </c>
      <c r="E50" s="6">
        <f t="shared" si="0"/>
        <v>0.10412713472485767</v>
      </c>
      <c r="F50" s="72">
        <f t="shared" si="1"/>
        <v>0</v>
      </c>
      <c r="G50" s="73">
        <f t="shared" si="2"/>
        <v>41.4</v>
      </c>
      <c r="H50" s="23">
        <f t="shared" si="3"/>
        <v>9.819734345351043E-2</v>
      </c>
      <c r="I50" s="74">
        <v>2.5</v>
      </c>
      <c r="J50" s="19">
        <f t="shared" si="4"/>
        <v>5.9297912713472479E-3</v>
      </c>
      <c r="K50" s="6">
        <f t="shared" si="5"/>
        <v>5.6947608200455579E-2</v>
      </c>
      <c r="L50" s="136">
        <v>3</v>
      </c>
      <c r="M50" s="19">
        <f t="shared" si="6"/>
        <v>7.1157495256166979E-3</v>
      </c>
      <c r="N50" s="63">
        <f t="shared" si="7"/>
        <v>6.8337129840546698E-2</v>
      </c>
      <c r="O50" s="5">
        <f t="shared" si="8"/>
        <v>43.9</v>
      </c>
      <c r="P50" s="75">
        <f t="shared" si="9"/>
        <v>0</v>
      </c>
      <c r="Q50" s="271">
        <v>39.200000000000003</v>
      </c>
      <c r="R50" s="202">
        <v>3</v>
      </c>
      <c r="S50" s="53">
        <f t="shared" si="10"/>
        <v>6.8337129840546698E-2</v>
      </c>
      <c r="T50" s="74">
        <v>0.6</v>
      </c>
      <c r="U50" s="74">
        <v>-1.2</v>
      </c>
      <c r="V50" s="207">
        <v>2.8</v>
      </c>
      <c r="W50" s="53">
        <f t="shared" si="11"/>
        <v>6.3781321184510242E-2</v>
      </c>
      <c r="X50" s="75">
        <f t="shared" si="12"/>
        <v>5.0999999999999943</v>
      </c>
      <c r="Y50" s="187"/>
      <c r="Z50" s="75"/>
      <c r="AA50" s="75"/>
      <c r="AB50" s="75"/>
      <c r="AC50" s="75">
        <v>0</v>
      </c>
      <c r="AD50" s="23">
        <f t="shared" si="13"/>
        <v>0</v>
      </c>
      <c r="AE50" s="76"/>
      <c r="AF50" s="76"/>
      <c r="AG50" s="76"/>
      <c r="AH50" s="97">
        <v>19</v>
      </c>
      <c r="AI50" s="22">
        <f t="shared" si="14"/>
        <v>4.506641366223909E-2</v>
      </c>
      <c r="AJ50" s="22">
        <f t="shared" si="15"/>
        <v>4.3880455407969636E-2</v>
      </c>
      <c r="AK50" s="99">
        <f t="shared" si="16"/>
        <v>0.10000000000000142</v>
      </c>
      <c r="AL50" s="71">
        <v>17.399999999999999</v>
      </c>
      <c r="AM50" s="72">
        <f>(0.5*Fedtax!C29+0.5*Fedtax!C30)/1000</f>
        <v>18.691500000000001</v>
      </c>
      <c r="AN50" s="71">
        <v>1</v>
      </c>
      <c r="AO50" s="255">
        <v>0</v>
      </c>
      <c r="AP50" s="71">
        <v>0.5</v>
      </c>
      <c r="AQ50" s="6">
        <f t="shared" si="17"/>
        <v>5.9060721062618587E-2</v>
      </c>
      <c r="AR50" s="207">
        <v>1.1000000000000001</v>
      </c>
      <c r="AS50" s="713"/>
      <c r="AT50" s="207"/>
      <c r="AU50" s="207"/>
      <c r="AV50" s="706"/>
      <c r="AW50" s="759"/>
      <c r="AX50" s="759"/>
      <c r="AY50" s="759"/>
      <c r="AZ50" s="706"/>
      <c r="BA50" s="207"/>
      <c r="BB50" s="207"/>
      <c r="BC50" s="207"/>
      <c r="BD50" s="207"/>
      <c r="BE50" s="207"/>
      <c r="BF50" s="186">
        <v>0.52</v>
      </c>
      <c r="BG50" s="435"/>
      <c r="BH50" s="140">
        <f t="shared" si="39"/>
        <v>0.42009132420091322</v>
      </c>
      <c r="BI50" s="248">
        <f t="shared" ref="BI50:BI81" si="57">(AL50+AN50)/(G50+L50-T50-AE50)</f>
        <v>0.42009132420091322</v>
      </c>
      <c r="BJ50" s="23">
        <f t="shared" si="40"/>
        <v>0.39699570815450647</v>
      </c>
      <c r="BK50" s="140">
        <f t="shared" si="41"/>
        <v>0.43652561247216043</v>
      </c>
      <c r="BL50" s="140">
        <f t="shared" si="42"/>
        <v>0.4417632717150517</v>
      </c>
      <c r="BM50" s="248">
        <f t="shared" si="43"/>
        <v>0.43652561247216043</v>
      </c>
      <c r="BN50" s="23">
        <f t="shared" si="44"/>
        <v>0.47193877551020402</v>
      </c>
      <c r="BO50" s="23">
        <f t="shared" si="45"/>
        <v>0.43838862559241704</v>
      </c>
      <c r="BP50" s="149">
        <f t="shared" si="18"/>
        <v>43.9</v>
      </c>
      <c r="BQ50" s="99">
        <f t="shared" si="19"/>
        <v>0</v>
      </c>
      <c r="BR50" s="153">
        <f t="shared" si="20"/>
        <v>19</v>
      </c>
      <c r="BS50" s="79">
        <v>11.6</v>
      </c>
      <c r="BT50" s="79">
        <v>13.3</v>
      </c>
      <c r="BU50" s="23">
        <f t="shared" si="46"/>
        <v>0.30296127562642372</v>
      </c>
      <c r="BV50" s="71">
        <v>12.5</v>
      </c>
      <c r="BW50" s="71">
        <f t="shared" si="21"/>
        <v>0.80000000000000071</v>
      </c>
      <c r="BX50" s="23">
        <f t="shared" si="22"/>
        <v>1.8223234624145802E-2</v>
      </c>
      <c r="BY50" s="23"/>
      <c r="BZ50" s="23"/>
      <c r="CA50" s="23"/>
      <c r="CB50" s="23">
        <f t="shared" si="47"/>
        <v>0.32000000000000028</v>
      </c>
      <c r="CC50" s="169">
        <f t="shared" si="23"/>
        <v>3</v>
      </c>
      <c r="CD50" s="174"/>
      <c r="CH50" s="184">
        <f>95%</f>
        <v>0.95</v>
      </c>
      <c r="CI50" s="169">
        <v>3.0649999999999999</v>
      </c>
      <c r="CL50" s="159"/>
      <c r="CN50" s="159">
        <v>0.9</v>
      </c>
      <c r="CO50" s="159"/>
      <c r="CZ50" s="166">
        <f t="shared" si="49"/>
        <v>3.0649999999999999</v>
      </c>
      <c r="DA50" s="87">
        <v>1.3240000000000001</v>
      </c>
      <c r="DB50" s="23">
        <f t="shared" si="50"/>
        <v>0.43197389885807508</v>
      </c>
      <c r="DI50" s="67"/>
      <c r="EG50" s="67">
        <v>0.94399999999999995</v>
      </c>
      <c r="EN50" s="24"/>
      <c r="EO50" s="184">
        <v>0.5</v>
      </c>
      <c r="ER50" s="169">
        <v>3.0139999999999998</v>
      </c>
      <c r="ES50" s="85">
        <v>1.304</v>
      </c>
      <c r="ET50" s="90"/>
      <c r="EU50" s="90"/>
      <c r="EV50" s="90"/>
      <c r="FG50" s="184">
        <f t="shared" si="34"/>
        <v>2.24751610719877E-3</v>
      </c>
      <c r="FH50" s="184">
        <f t="shared" si="24"/>
        <v>9.6965645872755524E-3</v>
      </c>
      <c r="FI50" s="184">
        <f t="shared" si="35"/>
        <v>-1.4983440714658457E-4</v>
      </c>
      <c r="FJ50" s="184">
        <f t="shared" si="25"/>
        <v>3.5764504896230759E-2</v>
      </c>
      <c r="FK50" s="184">
        <f t="shared" si="36"/>
        <v>2.1990425117702151E-2</v>
      </c>
      <c r="FL50" s="184"/>
      <c r="FM50" s="184"/>
      <c r="FN50" s="184">
        <f t="shared" si="37"/>
        <v>1.4983440714658457E-4</v>
      </c>
      <c r="FO50" s="184">
        <f t="shared" si="26"/>
        <v>6.9699010708407241E-2</v>
      </c>
      <c r="FP50" s="184">
        <f t="shared" si="27"/>
        <v>0.93030098929159277</v>
      </c>
      <c r="FQ50" s="23">
        <f t="shared" si="28"/>
        <v>4.7630303445380801E-3</v>
      </c>
      <c r="FR50" s="23">
        <f t="shared" si="29"/>
        <v>6.3574099496008618E-2</v>
      </c>
      <c r="FS50" s="23">
        <f t="shared" si="30"/>
        <v>4.9596070238430191E-4</v>
      </c>
      <c r="FT50" s="393">
        <f t="shared" si="31"/>
        <v>2.4798035119215096E-4</v>
      </c>
      <c r="FU50" s="393">
        <f t="shared" si="32"/>
        <v>2.4798035119215096E-4</v>
      </c>
      <c r="FV50" s="23">
        <f t="shared" si="33"/>
        <v>6.6197888232323952E-3</v>
      </c>
      <c r="FW50" s="69"/>
      <c r="GH50" s="169">
        <f t="shared" si="51"/>
        <v>2.125</v>
      </c>
      <c r="GU50" s="69"/>
      <c r="GW50" s="899">
        <f t="shared" si="52"/>
        <v>0.94399999999999995</v>
      </c>
      <c r="HH50" s="90"/>
      <c r="HI50" s="169">
        <v>1.181</v>
      </c>
      <c r="HT50" s="24"/>
      <c r="IF50" s="90"/>
      <c r="IQ50" s="90"/>
      <c r="IR50" s="337">
        <v>27.408999999999999</v>
      </c>
      <c r="IS50" s="899">
        <f t="shared" si="55"/>
        <v>2.0150000000000006</v>
      </c>
      <c r="IU50" s="79">
        <f t="shared" si="53"/>
        <v>0.94399999999999995</v>
      </c>
      <c r="IV50" s="997"/>
      <c r="IW50" s="997"/>
      <c r="JE50" s="906">
        <f t="shared" si="54"/>
        <v>2.2390891840607208E-3</v>
      </c>
      <c r="JH50" s="69"/>
      <c r="JI50" s="90"/>
      <c r="KB50" s="69"/>
      <c r="KC50" s="90"/>
      <c r="KD50" s="90"/>
      <c r="KE50" s="90"/>
      <c r="KF50" s="90"/>
      <c r="KU50" s="69"/>
      <c r="KV50" s="90"/>
      <c r="LT50" s="423"/>
      <c r="LU50" s="80"/>
      <c r="LV50" s="80"/>
      <c r="LW50" s="80"/>
      <c r="LX50" s="80"/>
      <c r="LY50" s="80"/>
      <c r="LZ50" s="80"/>
      <c r="MA50" s="80"/>
      <c r="MB50" s="80"/>
      <c r="MC50" s="80"/>
      <c r="MD50" s="80"/>
      <c r="ME50" s="80"/>
      <c r="MF50" s="80"/>
      <c r="MG50" s="80"/>
      <c r="MH50" s="67"/>
      <c r="MI50" s="136">
        <f>FoF_RoW!$BH20/1000</f>
        <v>27.408999999999999</v>
      </c>
      <c r="MJ50" s="136"/>
      <c r="MK50" s="136">
        <f>FoF_RoW!$AU20/1000</f>
        <v>1.181</v>
      </c>
      <c r="ML50" s="136">
        <f t="shared" si="48"/>
        <v>2.0150000000000006</v>
      </c>
      <c r="MM50" s="24"/>
      <c r="MP50" s="24"/>
      <c r="MY50" s="24"/>
      <c r="NC50" s="24"/>
      <c r="NI50" s="730">
        <v>20.582000000000001</v>
      </c>
      <c r="NJ50" s="24"/>
      <c r="NO50" s="24"/>
      <c r="NU50" s="69"/>
      <c r="NV50" s="90"/>
      <c r="NW50" s="90"/>
      <c r="NX50" s="90"/>
      <c r="NY50" s="90"/>
      <c r="NZ50" s="90"/>
      <c r="OA50" s="90"/>
      <c r="OB50" s="90"/>
      <c r="OC50" s="90"/>
      <c r="OD50" s="90"/>
      <c r="OE50" s="90"/>
      <c r="OF50" s="90"/>
      <c r="OG50" s="90"/>
      <c r="OH50" s="90"/>
      <c r="OM50" s="80"/>
      <c r="OO50" s="97"/>
      <c r="OP50" s="29"/>
      <c r="OQ50" s="29"/>
      <c r="OR50" s="29"/>
      <c r="OS50" s="71"/>
      <c r="OT50" s="71"/>
      <c r="OU50" s="71"/>
      <c r="OV50" s="71"/>
      <c r="OW50" s="71"/>
      <c r="OX50" s="71"/>
      <c r="OY50" s="71"/>
      <c r="OZ50" s="71"/>
      <c r="PA50" s="71"/>
      <c r="PG50" s="69"/>
      <c r="PH50" s="23"/>
      <c r="PI50" s="80"/>
    </row>
    <row r="51" spans="2:428" s="113" customFormat="1">
      <c r="B51" s="103">
        <v>1959</v>
      </c>
      <c r="C51" s="104">
        <v>459.6</v>
      </c>
      <c r="D51" s="8">
        <v>55.5</v>
      </c>
      <c r="E51" s="105">
        <f t="shared" si="0"/>
        <v>0.12075718015665796</v>
      </c>
      <c r="F51" s="106">
        <f t="shared" si="1"/>
        <v>0</v>
      </c>
      <c r="G51" s="106">
        <f t="shared" si="2"/>
        <v>52.8</v>
      </c>
      <c r="H51" s="105">
        <f t="shared" si="3"/>
        <v>0.11488250652741513</v>
      </c>
      <c r="I51" s="103">
        <v>2.7</v>
      </c>
      <c r="J51" s="107">
        <f t="shared" si="4"/>
        <v>5.8746736292428197E-3</v>
      </c>
      <c r="K51" s="105">
        <f t="shared" si="5"/>
        <v>4.8648648648648651E-2</v>
      </c>
      <c r="L51" s="134">
        <v>3.4</v>
      </c>
      <c r="M51" s="107">
        <f t="shared" si="6"/>
        <v>7.3977371627502167E-3</v>
      </c>
      <c r="N51" s="116">
        <f t="shared" si="7"/>
        <v>6.126126126126126E-2</v>
      </c>
      <c r="O51" s="8">
        <f t="shared" si="8"/>
        <v>55.5</v>
      </c>
      <c r="P51" s="108">
        <f t="shared" si="9"/>
        <v>0</v>
      </c>
      <c r="Q51" s="270">
        <v>47.7</v>
      </c>
      <c r="R51" s="201">
        <v>2.9</v>
      </c>
      <c r="S51" s="109">
        <f t="shared" si="10"/>
        <v>5.2252252252252253E-2</v>
      </c>
      <c r="T51" s="103">
        <v>0.7</v>
      </c>
      <c r="U51" s="103">
        <v>-0.5</v>
      </c>
      <c r="V51" s="206">
        <v>1.8</v>
      </c>
      <c r="W51" s="109">
        <f t="shared" si="11"/>
        <v>3.2432432432432434E-2</v>
      </c>
      <c r="X51" s="108">
        <f t="shared" si="12"/>
        <v>6.4999999999999929</v>
      </c>
      <c r="Y51" s="188"/>
      <c r="Z51" s="108"/>
      <c r="AA51" s="108"/>
      <c r="AB51" s="108"/>
      <c r="AC51" s="108">
        <v>0</v>
      </c>
      <c r="AD51" s="105">
        <f t="shared" si="13"/>
        <v>0</v>
      </c>
      <c r="AE51" s="108"/>
      <c r="AF51" s="108"/>
      <c r="AG51" s="108"/>
      <c r="AH51" s="110">
        <v>23.7</v>
      </c>
      <c r="AI51" s="107">
        <f t="shared" si="14"/>
        <v>5.1566579634464746E-2</v>
      </c>
      <c r="AJ51" s="107">
        <f t="shared" si="15"/>
        <v>4.960835509138381E-2</v>
      </c>
      <c r="AK51" s="111">
        <f t="shared" si="16"/>
        <v>0</v>
      </c>
      <c r="AL51" s="103">
        <v>21.5</v>
      </c>
      <c r="AM51" s="106">
        <f>(0.5*Fedtax!C30+0.5*Fedtax!C31)/1000</f>
        <v>19.401499999999999</v>
      </c>
      <c r="AN51" s="103">
        <v>1.2</v>
      </c>
      <c r="AO51" s="277">
        <v>0.1</v>
      </c>
      <c r="AP51" s="103">
        <v>0.9</v>
      </c>
      <c r="AQ51" s="105">
        <f t="shared" si="17"/>
        <v>6.919060052219321E-2</v>
      </c>
      <c r="AR51" s="206">
        <v>1.2</v>
      </c>
      <c r="AS51" s="712"/>
      <c r="AT51" s="206"/>
      <c r="AU51" s="206"/>
      <c r="AV51" s="705"/>
      <c r="AW51" s="763"/>
      <c r="AX51" s="763"/>
      <c r="AY51" s="763"/>
      <c r="AZ51" s="705"/>
      <c r="BA51" s="206"/>
      <c r="BB51" s="206"/>
      <c r="BC51" s="206"/>
      <c r="BD51" s="206"/>
      <c r="BE51" s="206"/>
      <c r="BF51" s="232">
        <v>0.52</v>
      </c>
      <c r="BG51" s="135"/>
      <c r="BH51" s="141">
        <f t="shared" si="39"/>
        <v>0.40900900900900905</v>
      </c>
      <c r="BI51" s="247">
        <f t="shared" si="57"/>
        <v>0.40900900900900905</v>
      </c>
      <c r="BJ51" s="105">
        <f t="shared" si="40"/>
        <v>0.39616055846422343</v>
      </c>
      <c r="BK51" s="141">
        <f t="shared" si="41"/>
        <v>0.42151675485008822</v>
      </c>
      <c r="BL51" s="141">
        <f t="shared" si="42"/>
        <v>0.43673659787117353</v>
      </c>
      <c r="BM51" s="247">
        <f t="shared" si="43"/>
        <v>0.42151675485008822</v>
      </c>
      <c r="BN51" s="105">
        <f t="shared" si="44"/>
        <v>0.4779874213836478</v>
      </c>
      <c r="BO51" s="105">
        <f t="shared" si="45"/>
        <v>0.45059288537549408</v>
      </c>
      <c r="BP51" s="150">
        <f t="shared" si="18"/>
        <v>55.5</v>
      </c>
      <c r="BQ51" s="111">
        <f t="shared" si="19"/>
        <v>0</v>
      </c>
      <c r="BR51" s="154">
        <f t="shared" si="20"/>
        <v>23.7</v>
      </c>
      <c r="BS51" s="134">
        <v>12.6</v>
      </c>
      <c r="BT51" s="134">
        <v>19.2</v>
      </c>
      <c r="BU51" s="105">
        <f t="shared" si="46"/>
        <v>0.34594594594594591</v>
      </c>
      <c r="BV51" s="103">
        <v>18.399999999999999</v>
      </c>
      <c r="BW51" s="103">
        <f t="shared" si="21"/>
        <v>0.80000000000000071</v>
      </c>
      <c r="BX51" s="105">
        <f t="shared" si="22"/>
        <v>1.4414414414414427E-2</v>
      </c>
      <c r="BY51" s="105"/>
      <c r="BZ51" s="105"/>
      <c r="CA51" s="105"/>
      <c r="CB51" s="105">
        <f t="shared" si="47"/>
        <v>0.29629629629629656</v>
      </c>
      <c r="CC51" s="170">
        <f t="shared" si="23"/>
        <v>3.4</v>
      </c>
      <c r="CD51" s="175"/>
      <c r="CH51" s="410">
        <f>95%</f>
        <v>0.95</v>
      </c>
      <c r="CI51" s="170">
        <v>3.2949999999999999</v>
      </c>
      <c r="CL51" s="160"/>
      <c r="CN51" s="160">
        <v>1.1000000000000001</v>
      </c>
      <c r="CO51" s="160"/>
      <c r="CZ51" s="165">
        <f t="shared" si="49"/>
        <v>3.2949999999999999</v>
      </c>
      <c r="DA51" s="606">
        <v>1.1879999999999999</v>
      </c>
      <c r="DB51" s="105">
        <f t="shared" si="50"/>
        <v>0.36054628224582702</v>
      </c>
      <c r="DI51" s="178"/>
      <c r="EG51" s="178">
        <v>1.089</v>
      </c>
      <c r="EN51" s="115"/>
      <c r="EO51" s="410">
        <v>0.5</v>
      </c>
      <c r="ER51" s="170">
        <v>3.2410000000000001</v>
      </c>
      <c r="ES51" s="678">
        <v>1.163</v>
      </c>
      <c r="FG51" s="410">
        <f t="shared" si="34"/>
        <v>2.3250166626194173E-3</v>
      </c>
      <c r="FH51" s="410">
        <f t="shared" si="24"/>
        <v>9.6965645872755524E-3</v>
      </c>
      <c r="FI51" s="410">
        <f t="shared" si="35"/>
        <v>-1.5500111084129438E-4</v>
      </c>
      <c r="FJ51" s="410">
        <f t="shared" si="25"/>
        <v>3.5764504896230759E-2</v>
      </c>
      <c r="FK51" s="410">
        <f t="shared" si="36"/>
        <v>2.2748715639002225E-2</v>
      </c>
      <c r="FL51" s="410"/>
      <c r="FM51" s="410"/>
      <c r="FN51" s="410">
        <f t="shared" si="37"/>
        <v>1.5500111084129438E-4</v>
      </c>
      <c r="FO51" s="410">
        <f t="shared" si="26"/>
        <v>7.0534801785127943E-2</v>
      </c>
      <c r="FP51" s="410">
        <f t="shared" si="27"/>
        <v>0.92946519821487206</v>
      </c>
      <c r="FQ51" s="105">
        <f t="shared" si="28"/>
        <v>4.32105092017E-3</v>
      </c>
      <c r="FR51" s="105">
        <f t="shared" si="29"/>
        <v>5.6940210341091257E-2</v>
      </c>
      <c r="FS51" s="105">
        <f t="shared" si="30"/>
        <v>5.217979244330613E-4</v>
      </c>
      <c r="FT51" s="398">
        <f t="shared" si="31"/>
        <v>2.6089896221653065E-4</v>
      </c>
      <c r="FU51" s="398">
        <f t="shared" si="32"/>
        <v>2.6089896221653065E-4</v>
      </c>
      <c r="FV51" s="105">
        <f t="shared" si="33"/>
        <v>6.8759392383171553E-3</v>
      </c>
      <c r="FW51" s="181"/>
      <c r="GH51" s="170">
        <f t="shared" si="51"/>
        <v>2.4610000000000003</v>
      </c>
      <c r="GU51" s="181"/>
      <c r="GW51" s="901">
        <f t="shared" si="52"/>
        <v>1.089</v>
      </c>
      <c r="HI51" s="170">
        <v>1.3720000000000001</v>
      </c>
      <c r="HT51" s="115"/>
      <c r="IR51" s="339">
        <v>29.827000000000002</v>
      </c>
      <c r="IS51" s="901">
        <f t="shared" si="55"/>
        <v>2.4180000000000028</v>
      </c>
      <c r="IU51" s="134">
        <f t="shared" si="53"/>
        <v>1.089</v>
      </c>
      <c r="IV51" s="999"/>
      <c r="IW51" s="999"/>
      <c r="JE51" s="905">
        <f t="shared" si="54"/>
        <v>2.3694516971279373E-3</v>
      </c>
      <c r="JH51" s="181"/>
      <c r="KB51" s="181"/>
      <c r="KU51" s="181"/>
      <c r="LT51" s="424"/>
      <c r="LU51" s="420"/>
      <c r="LV51" s="420"/>
      <c r="LW51" s="420"/>
      <c r="LX51" s="420"/>
      <c r="LY51" s="420"/>
      <c r="LZ51" s="420"/>
      <c r="MA51" s="420"/>
      <c r="MB51" s="420"/>
      <c r="MC51" s="420"/>
      <c r="MD51" s="420"/>
      <c r="ME51" s="420"/>
      <c r="MF51" s="420"/>
      <c r="MG51" s="420"/>
      <c r="MH51" s="178"/>
      <c r="MI51" s="134">
        <f>FoF_RoW!$BH21/1000</f>
        <v>29.827000000000002</v>
      </c>
      <c r="MJ51" s="134"/>
      <c r="MK51" s="134">
        <f>FoF_RoW!$AU21/1000</f>
        <v>1.3720000000000001</v>
      </c>
      <c r="ML51" s="134">
        <f t="shared" si="48"/>
        <v>2.4180000000000028</v>
      </c>
      <c r="MM51" s="115"/>
      <c r="MP51" s="115"/>
      <c r="MY51" s="115"/>
      <c r="NC51" s="115"/>
      <c r="NI51" s="732">
        <v>19.507000000000001</v>
      </c>
      <c r="NJ51" s="115"/>
      <c r="NO51" s="115"/>
      <c r="NU51" s="181"/>
      <c r="OM51" s="420"/>
      <c r="OO51" s="110"/>
      <c r="OP51" s="132"/>
      <c r="OQ51" s="132"/>
      <c r="OR51" s="132"/>
      <c r="OS51" s="103"/>
      <c r="OT51" s="103"/>
      <c r="OU51" s="103"/>
      <c r="OV51" s="103"/>
      <c r="OW51" s="103"/>
      <c r="OX51" s="103"/>
      <c r="OY51" s="103"/>
      <c r="OZ51" s="103"/>
      <c r="PA51" s="103"/>
      <c r="PG51" s="181"/>
      <c r="PH51" s="105"/>
      <c r="PI51" s="420"/>
    </row>
    <row r="52" spans="2:428">
      <c r="B52" s="71">
        <v>1960</v>
      </c>
      <c r="C52" s="43">
        <v>479.9</v>
      </c>
      <c r="D52" s="5">
        <v>54.7</v>
      </c>
      <c r="E52" s="6">
        <f t="shared" si="0"/>
        <v>0.11398207959991666</v>
      </c>
      <c r="F52" s="72">
        <f t="shared" si="1"/>
        <v>0</v>
      </c>
      <c r="G52" s="73">
        <f t="shared" si="2"/>
        <v>51.6</v>
      </c>
      <c r="H52" s="23">
        <f t="shared" si="3"/>
        <v>0.1075224005001042</v>
      </c>
      <c r="I52" s="74">
        <v>3.1</v>
      </c>
      <c r="J52" s="19">
        <f t="shared" si="4"/>
        <v>6.4596790998124615E-3</v>
      </c>
      <c r="K52" s="6">
        <f t="shared" si="5"/>
        <v>5.6672760511882997E-2</v>
      </c>
      <c r="L52" s="136">
        <v>3.8</v>
      </c>
      <c r="M52" s="19">
        <f t="shared" si="6"/>
        <v>7.9183163158991453E-3</v>
      </c>
      <c r="N52" s="63">
        <f t="shared" si="7"/>
        <v>6.9469835466179158E-2</v>
      </c>
      <c r="O52" s="5">
        <f t="shared" si="8"/>
        <v>54.7</v>
      </c>
      <c r="P52" s="75">
        <f t="shared" si="9"/>
        <v>0</v>
      </c>
      <c r="Q52" s="271">
        <v>44.5</v>
      </c>
      <c r="R52" s="202">
        <v>3</v>
      </c>
      <c r="S52" s="53">
        <f t="shared" si="10"/>
        <v>5.4844606946983544E-2</v>
      </c>
      <c r="T52" s="74">
        <v>0.9</v>
      </c>
      <c r="U52" s="74">
        <v>0.8</v>
      </c>
      <c r="V52" s="207">
        <v>2.6</v>
      </c>
      <c r="W52" s="53">
        <f t="shared" si="11"/>
        <v>4.7531992687385741E-2</v>
      </c>
      <c r="X52" s="75">
        <f t="shared" si="12"/>
        <v>8.1000000000000085</v>
      </c>
      <c r="Y52" s="187"/>
      <c r="Z52" s="75"/>
      <c r="AA52" s="75"/>
      <c r="AB52" s="75"/>
      <c r="AC52" s="75">
        <v>0</v>
      </c>
      <c r="AD52" s="23">
        <f t="shared" si="13"/>
        <v>0</v>
      </c>
      <c r="AE52" s="76"/>
      <c r="AF52" s="76"/>
      <c r="AG52" s="76"/>
      <c r="AH52" s="97">
        <v>22.8</v>
      </c>
      <c r="AI52" s="22">
        <f t="shared" si="14"/>
        <v>4.7509897895394879E-2</v>
      </c>
      <c r="AJ52" s="22">
        <f t="shared" si="15"/>
        <v>4.5634507188997711E-2</v>
      </c>
      <c r="AK52" s="99">
        <f t="shared" si="16"/>
        <v>0</v>
      </c>
      <c r="AL52" s="71">
        <v>20.599999999999998</v>
      </c>
      <c r="AM52" s="72">
        <f>(0.5*Fedtax!C31+0.5*Fedtax!C32)/1000</f>
        <v>21.224</v>
      </c>
      <c r="AN52" s="71">
        <v>1.2</v>
      </c>
      <c r="AO52" s="255">
        <v>0.1</v>
      </c>
      <c r="AP52" s="71">
        <v>0.9</v>
      </c>
      <c r="AQ52" s="6">
        <f t="shared" si="17"/>
        <v>6.6472181704521779E-2</v>
      </c>
      <c r="AR52" s="207">
        <v>1.2</v>
      </c>
      <c r="AS52" s="713">
        <v>1.224</v>
      </c>
      <c r="AT52" s="207"/>
      <c r="AU52" s="207"/>
      <c r="AV52" s="706">
        <f t="shared" si="56"/>
        <v>1.768</v>
      </c>
      <c r="AW52" s="759"/>
      <c r="AX52" s="759"/>
      <c r="AY52" s="759"/>
      <c r="AZ52" s="706">
        <v>1.768</v>
      </c>
      <c r="BA52" s="207"/>
      <c r="BB52" s="207"/>
      <c r="BC52" s="207"/>
      <c r="BD52" s="207"/>
      <c r="BE52" s="207"/>
      <c r="BF52" s="186">
        <v>0.52</v>
      </c>
      <c r="BG52" s="435"/>
      <c r="BH52" s="140">
        <f t="shared" si="39"/>
        <v>0.39999999999999997</v>
      </c>
      <c r="BI52" s="248">
        <f t="shared" si="57"/>
        <v>0.39999999999999997</v>
      </c>
      <c r="BJ52" s="23">
        <f t="shared" si="40"/>
        <v>0.38178633975481613</v>
      </c>
      <c r="BK52" s="140">
        <f t="shared" si="41"/>
        <v>0.41292639138240572</v>
      </c>
      <c r="BL52" s="140">
        <f t="shared" si="42"/>
        <v>0.43099502789862748</v>
      </c>
      <c r="BM52" s="248">
        <f t="shared" si="43"/>
        <v>0.41292639138240572</v>
      </c>
      <c r="BN52" s="23">
        <f t="shared" si="44"/>
        <v>0.49213483146067422</v>
      </c>
      <c r="BO52" s="23">
        <f t="shared" si="45"/>
        <v>0.46105263157894744</v>
      </c>
      <c r="BP52" s="149">
        <f t="shared" si="18"/>
        <v>54.7</v>
      </c>
      <c r="BQ52" s="99">
        <f t="shared" si="19"/>
        <v>0</v>
      </c>
      <c r="BR52" s="153">
        <f t="shared" si="20"/>
        <v>22.8</v>
      </c>
      <c r="BS52" s="79">
        <v>13.4</v>
      </c>
      <c r="BT52" s="79">
        <v>18.5</v>
      </c>
      <c r="BU52" s="23">
        <f t="shared" si="46"/>
        <v>0.33820840950639852</v>
      </c>
      <c r="BV52" s="71">
        <v>17.399999999999999</v>
      </c>
      <c r="BW52" s="71">
        <f t="shared" si="21"/>
        <v>1.1000000000000014</v>
      </c>
      <c r="BX52" s="23">
        <f t="shared" si="22"/>
        <v>2.0109689213893993E-2</v>
      </c>
      <c r="BY52" s="23"/>
      <c r="BZ52" s="23"/>
      <c r="CA52" s="23"/>
      <c r="CB52" s="23">
        <f t="shared" si="47"/>
        <v>0.35483870967741982</v>
      </c>
      <c r="CC52" s="169">
        <f t="shared" si="23"/>
        <v>3.8</v>
      </c>
      <c r="CD52" s="174"/>
      <c r="CF52" s="79">
        <f t="shared" ref="CF52:CF90" si="58">CK52</f>
        <v>3.5659999999999998</v>
      </c>
      <c r="CH52" s="23">
        <f t="shared" ref="CH52:CH83" si="59">CF52/CC52</f>
        <v>0.93842105263157893</v>
      </c>
      <c r="CI52" s="169">
        <f t="array" ref="CI52:CI73">TRANSPOSE('ITA_1(old)'!C21:X21)/1000</f>
        <v>3.621</v>
      </c>
      <c r="CK52" s="79">
        <f t="shared" ref="CK52:CK90" si="60">CI52-CP52</f>
        <v>3.5659999999999998</v>
      </c>
      <c r="CL52" s="159"/>
      <c r="CN52" s="159">
        <v>1.4</v>
      </c>
      <c r="CO52" s="159"/>
      <c r="CP52" s="672">
        <f t="shared" ref="CP52:CP73" si="61">FW52</f>
        <v>5.500000000000016E-2</v>
      </c>
      <c r="CZ52" s="166">
        <f t="shared" si="49"/>
        <v>3.621</v>
      </c>
      <c r="DA52" s="508">
        <v>1.319</v>
      </c>
      <c r="DB52" s="23">
        <f t="shared" si="50"/>
        <v>0.36426401546534104</v>
      </c>
      <c r="DI52" s="67"/>
      <c r="EG52" s="67">
        <v>1.266</v>
      </c>
      <c r="EN52" s="24"/>
      <c r="EO52" s="184">
        <v>0.5</v>
      </c>
      <c r="ER52" s="169">
        <v>3.5659999999999998</v>
      </c>
      <c r="ES52" s="85">
        <v>1.302</v>
      </c>
      <c r="ET52" s="90"/>
      <c r="EU52" s="90"/>
      <c r="EV52" s="90"/>
      <c r="FG52" s="184">
        <f t="shared" si="34"/>
        <v>2.4025172180400646E-3</v>
      </c>
      <c r="FH52" s="184">
        <f t="shared" si="24"/>
        <v>9.6965645872755524E-3</v>
      </c>
      <c r="FI52" s="184">
        <f t="shared" si="35"/>
        <v>-1.601678145360042E-4</v>
      </c>
      <c r="FJ52" s="184">
        <f t="shared" si="25"/>
        <v>3.5764504896230759E-2</v>
      </c>
      <c r="FK52" s="184">
        <f t="shared" si="36"/>
        <v>2.35070061603023E-2</v>
      </c>
      <c r="FL52" s="184"/>
      <c r="FM52" s="184"/>
      <c r="FN52" s="184">
        <f t="shared" si="37"/>
        <v>1.601678145360042E-4</v>
      </c>
      <c r="FO52" s="184">
        <f t="shared" si="26"/>
        <v>7.1370592861848672E-2</v>
      </c>
      <c r="FP52" s="184">
        <f t="shared" si="27"/>
        <v>0.92862940713815134</v>
      </c>
      <c r="FQ52" s="23">
        <f t="shared" si="28"/>
        <v>4.9581033432362876E-3</v>
      </c>
      <c r="FR52" s="23">
        <f t="shared" si="29"/>
        <v>6.4511732122942866E-2</v>
      </c>
      <c r="FS52" s="23">
        <f t="shared" si="30"/>
        <v>5.6513492993337142E-4</v>
      </c>
      <c r="FT52" s="393">
        <f t="shared" si="31"/>
        <v>2.8256746496668571E-4</v>
      </c>
      <c r="FU52" s="393">
        <f t="shared" si="32"/>
        <v>2.8256746496668571E-4</v>
      </c>
      <c r="FV52" s="23">
        <f t="shared" si="33"/>
        <v>7.3531813859657744E-3</v>
      </c>
      <c r="FW52" s="632">
        <f t="shared" ref="FW52:FW68" si="62">CZ52-ER52</f>
        <v>5.500000000000016E-2</v>
      </c>
      <c r="GH52" s="169">
        <f t="shared" si="51"/>
        <v>2.9409999999999998</v>
      </c>
      <c r="GU52" s="69"/>
      <c r="GW52" s="899">
        <f t="shared" si="52"/>
        <v>1.266</v>
      </c>
      <c r="HH52" s="90"/>
      <c r="HI52" s="169">
        <v>1.675</v>
      </c>
      <c r="HT52" s="24"/>
      <c r="IF52" s="90"/>
      <c r="IQ52" s="90"/>
      <c r="IR52" s="337">
        <v>31.864999999999998</v>
      </c>
      <c r="IS52" s="899">
        <f t="shared" si="55"/>
        <v>2.0379999999999967</v>
      </c>
      <c r="IU52" s="79">
        <f t="shared" si="53"/>
        <v>1.266</v>
      </c>
      <c r="IV52" s="997"/>
      <c r="IW52" s="997"/>
      <c r="JE52" s="906">
        <f t="shared" si="54"/>
        <v>2.6380495936653473E-3</v>
      </c>
      <c r="JH52" s="69"/>
      <c r="JI52" s="90"/>
      <c r="KB52" s="69"/>
      <c r="KC52" s="90"/>
      <c r="KD52" s="90"/>
      <c r="KE52" s="90"/>
      <c r="KF52" s="90"/>
      <c r="KU52" s="69"/>
      <c r="KV52" s="90"/>
      <c r="LT52" s="423"/>
      <c r="LU52" s="80"/>
      <c r="LV52" s="80"/>
      <c r="LW52" s="80"/>
      <c r="LX52" s="80"/>
      <c r="LY52" s="80"/>
      <c r="LZ52" s="80"/>
      <c r="MA52" s="80"/>
      <c r="MB52" s="80"/>
      <c r="MC52" s="80"/>
      <c r="MD52" s="80"/>
      <c r="ME52" s="80"/>
      <c r="MF52" s="80"/>
      <c r="MG52" s="80"/>
      <c r="MH52" s="67"/>
      <c r="MI52" s="136">
        <f>FoF_RoW!$BH22/1000</f>
        <v>31.864999999999998</v>
      </c>
      <c r="MJ52" s="136"/>
      <c r="MK52" s="136">
        <f>FoF_RoW!$AU22/1000</f>
        <v>2.94</v>
      </c>
      <c r="ML52" s="136">
        <f t="shared" si="48"/>
        <v>2.0379999999999967</v>
      </c>
      <c r="MM52" s="24"/>
      <c r="MP52" s="24"/>
      <c r="MY52" s="24"/>
      <c r="NC52" s="24"/>
      <c r="NI52" s="730">
        <v>17.803999999999998</v>
      </c>
      <c r="NJ52" s="28">
        <f t="shared" ref="NJ52:NJ90" si="63">NL52</f>
        <v>3.2269999999999999</v>
      </c>
      <c r="NK52" s="403">
        <f t="shared" ref="NK52:NK83" si="64">NJ52/$C52</f>
        <v>6.7243175661596162E-3</v>
      </c>
      <c r="NL52" s="79">
        <f t="array" ref="NL52:NL105">(TRANSPOSE('ITA_1(old)'!C21:BD21)+TRANSPOSE('ITA_1(old)'!C38:BD38))/1000</f>
        <v>3.2269999999999999</v>
      </c>
      <c r="NM52" s="79">
        <f t="array" ref="NM52:NM105">(TRANSPOSE('ITA_1(old)'!C21:BD21))/1000</f>
        <v>3.621</v>
      </c>
      <c r="NN52" s="79">
        <f t="array" ref="NN52:NN105">-TRANSPOSE('ITA_1(old)'!C38:BD38)/1000</f>
        <v>0.39400000000000002</v>
      </c>
      <c r="NO52" s="425">
        <f>NP52-NQ52</f>
        <v>3.3779999999999997</v>
      </c>
      <c r="NP52" s="153">
        <f t="array" ref="NP52:NP108">TRANSPOSE(ITA_1.1!C13:BG13)/1000</f>
        <v>4.6159999999999997</v>
      </c>
      <c r="NQ52" s="153">
        <f t="array" ref="NQ52:NQ108">TRANSPOSE(ITA_1.1!C21:BG21)/1000</f>
        <v>1.238</v>
      </c>
      <c r="NR52" s="403">
        <f t="shared" ref="NR52:NR83" si="65">NO52/C52</f>
        <v>7.0389664513440297E-3</v>
      </c>
      <c r="NS52" s="403">
        <f t="shared" ref="NS52:NS83" si="66">NK52</f>
        <v>6.7243175661596162E-3</v>
      </c>
      <c r="NT52" s="403">
        <f t="shared" ref="NT52:NT83" si="67">NR52-NS52</f>
        <v>3.1464888518441345E-4</v>
      </c>
      <c r="NU52" s="69"/>
      <c r="NV52" s="90"/>
      <c r="NW52" s="90"/>
      <c r="NX52" s="90"/>
      <c r="NY52" s="90"/>
      <c r="NZ52" s="90"/>
      <c r="OA52" s="90"/>
      <c r="OB52" s="90"/>
      <c r="OC52" s="90"/>
      <c r="OD52" s="90"/>
      <c r="OE52" s="90"/>
      <c r="OF52" s="90"/>
      <c r="OG52" s="90"/>
      <c r="OH52" s="90"/>
      <c r="OM52" s="80"/>
      <c r="OO52" s="97"/>
      <c r="OP52" s="29"/>
      <c r="OQ52" s="29"/>
      <c r="OR52" s="29"/>
      <c r="OS52" s="71"/>
      <c r="OT52" s="71"/>
      <c r="OU52" s="71"/>
      <c r="OV52" s="71"/>
      <c r="OW52" s="71"/>
      <c r="OX52" s="71"/>
      <c r="OY52" s="71"/>
      <c r="OZ52" s="71"/>
      <c r="PA52" s="71"/>
      <c r="PG52" s="69"/>
      <c r="PH52" s="23"/>
      <c r="PI52" s="80"/>
    </row>
    <row r="53" spans="2:428">
      <c r="B53" s="71">
        <v>1961</v>
      </c>
      <c r="C53" s="43">
        <v>497.2</v>
      </c>
      <c r="D53" s="5">
        <v>55.9</v>
      </c>
      <c r="E53" s="6">
        <f t="shared" ref="E53:E84" si="68">D53/C53</f>
        <v>0.11242960579243765</v>
      </c>
      <c r="F53" s="72">
        <f t="shared" ref="F53:F84" si="69">D53-(G53+I53)</f>
        <v>0</v>
      </c>
      <c r="G53" s="73">
        <f t="shared" ref="G53:G84" si="70">D53-I53</f>
        <v>52.6</v>
      </c>
      <c r="H53" s="23">
        <f t="shared" ref="H53:H84" si="71">G53/C53</f>
        <v>0.10579243765084474</v>
      </c>
      <c r="I53" s="74">
        <v>3.3</v>
      </c>
      <c r="J53" s="19">
        <f t="shared" ref="J53:J84" si="72">I53/C53</f>
        <v>6.6371681415929203E-3</v>
      </c>
      <c r="K53" s="6">
        <f t="shared" ref="K53:K84" si="73">I53/D53</f>
        <v>5.9033989266547404E-2</v>
      </c>
      <c r="L53" s="136">
        <v>4.0999999999999996</v>
      </c>
      <c r="M53" s="19">
        <f t="shared" ref="M53:M84" si="74">L53/C53</f>
        <v>8.2461786001609E-3</v>
      </c>
      <c r="N53" s="63">
        <f t="shared" ref="N53:N84" si="75">L53/D53</f>
        <v>7.3345259391771014E-2</v>
      </c>
      <c r="O53" s="5">
        <f t="shared" ref="O53:O84" si="76">D53</f>
        <v>55.9</v>
      </c>
      <c r="P53" s="75">
        <f t="shared" ref="P53:P84" si="77">O53-(Q53+R53+T53+U53+X53-V53)</f>
        <v>0</v>
      </c>
      <c r="Q53" s="271">
        <v>47</v>
      </c>
      <c r="R53" s="202">
        <v>3.1</v>
      </c>
      <c r="S53" s="53">
        <f t="shared" ref="S53:S84" si="78">R53/D53</f>
        <v>5.5456171735241505E-2</v>
      </c>
      <c r="T53" s="74">
        <v>0.8</v>
      </c>
      <c r="U53" s="74">
        <v>2.1</v>
      </c>
      <c r="V53" s="207">
        <v>4</v>
      </c>
      <c r="W53" s="53">
        <f t="shared" ref="W53:W84" si="79">V53/D53</f>
        <v>7.1556350626118065E-2</v>
      </c>
      <c r="X53" s="75">
        <f t="shared" ref="X53:X84" si="80">O53-(Q53+R53+T53+U53-V53)</f>
        <v>6.8999999999999986</v>
      </c>
      <c r="Y53" s="187"/>
      <c r="Z53" s="75"/>
      <c r="AA53" s="75"/>
      <c r="AB53" s="75"/>
      <c r="AC53" s="75">
        <v>0</v>
      </c>
      <c r="AD53" s="23">
        <f t="shared" ref="AD53:AD84" si="81">AC53/D53</f>
        <v>0</v>
      </c>
      <c r="AE53" s="76"/>
      <c r="AF53" s="76"/>
      <c r="AG53" s="76"/>
      <c r="AH53" s="97">
        <v>22.9</v>
      </c>
      <c r="AI53" s="22">
        <f t="shared" ref="AI53:AI84" si="82">AH53/C53</f>
        <v>4.6057924376508443E-2</v>
      </c>
      <c r="AJ53" s="22">
        <f t="shared" ref="AJ53:AJ84" si="83">(AH53-AP53)/C53</f>
        <v>4.4650040225261464E-2</v>
      </c>
      <c r="AK53" s="99">
        <f t="shared" ref="AK53:AK84" si="84">AH53-(AL53+AN53+AO53+AP53)</f>
        <v>0</v>
      </c>
      <c r="AL53" s="71">
        <v>20.8</v>
      </c>
      <c r="AM53" s="72">
        <f>(0.5*Fedtax!C32+0.5*Fedtax!C33)/1000</f>
        <v>20.738499999999998</v>
      </c>
      <c r="AN53" s="71">
        <v>1.3</v>
      </c>
      <c r="AO53" s="255">
        <v>0.1</v>
      </c>
      <c r="AP53" s="71">
        <v>0.7</v>
      </c>
      <c r="AQ53" s="6">
        <f t="shared" ref="AQ53:AQ84" si="85">(O53-AH53)/C53</f>
        <v>6.637168141592921E-2</v>
      </c>
      <c r="AR53" s="207">
        <v>1.5</v>
      </c>
      <c r="AS53" s="713"/>
      <c r="AT53" s="207"/>
      <c r="AU53" s="207"/>
      <c r="AV53" s="706"/>
      <c r="AW53" s="759"/>
      <c r="AX53" s="759"/>
      <c r="AY53" s="759"/>
      <c r="AZ53" s="706"/>
      <c r="BA53" s="207"/>
      <c r="BB53" s="207"/>
      <c r="BC53" s="207"/>
      <c r="BD53" s="207"/>
      <c r="BE53" s="207"/>
      <c r="BF53" s="186">
        <v>0.52</v>
      </c>
      <c r="BG53" s="435"/>
      <c r="BH53" s="140">
        <f t="shared" si="39"/>
        <v>0.39534883720930231</v>
      </c>
      <c r="BI53" s="248">
        <f t="shared" si="57"/>
        <v>0.39534883720930231</v>
      </c>
      <c r="BJ53" s="23">
        <f t="shared" si="40"/>
        <v>0.36894824707846402</v>
      </c>
      <c r="BK53" s="140">
        <f t="shared" si="41"/>
        <v>0.41114982578397202</v>
      </c>
      <c r="BL53" s="140">
        <f t="shared" si="42"/>
        <v>0.42407311928816355</v>
      </c>
      <c r="BM53" s="248">
        <f t="shared" si="43"/>
        <v>0.41114982578397202</v>
      </c>
      <c r="BN53" s="23">
        <f t="shared" si="44"/>
        <v>0.47234042553191485</v>
      </c>
      <c r="BO53" s="23">
        <f t="shared" si="45"/>
        <v>0.44311377245508982</v>
      </c>
      <c r="BP53" s="149">
        <f t="shared" ref="BP53:BP84" si="86">D53</f>
        <v>55.9</v>
      </c>
      <c r="BQ53" s="99">
        <f t="shared" ref="BQ53:BQ84" si="87">BP53-(BR53+BS53+BT53)</f>
        <v>-0.10000000000000142</v>
      </c>
      <c r="BR53" s="153">
        <f t="shared" ref="BR53:BR84" si="88">AH53</f>
        <v>22.9</v>
      </c>
      <c r="BS53" s="79">
        <v>13.9</v>
      </c>
      <c r="BT53" s="79">
        <v>19.2</v>
      </c>
      <c r="BU53" s="23">
        <f t="shared" si="46"/>
        <v>0.3434704830053667</v>
      </c>
      <c r="BV53" s="71">
        <v>18.2</v>
      </c>
      <c r="BW53" s="71">
        <f t="shared" ref="BW53:BW84" si="89">BT53-BV53</f>
        <v>1</v>
      </c>
      <c r="BX53" s="23">
        <f t="shared" ref="BX53:BX84" si="90">BW53/D53</f>
        <v>1.7889087656529516E-2</v>
      </c>
      <c r="BY53" s="23"/>
      <c r="BZ53" s="23"/>
      <c r="CA53" s="23"/>
      <c r="CB53" s="23">
        <f t="shared" si="47"/>
        <v>0.30303030303030304</v>
      </c>
      <c r="CC53" s="169">
        <f t="shared" ref="CC53:CC84" si="91">L53</f>
        <v>4.0999999999999996</v>
      </c>
      <c r="CD53" s="174"/>
      <c r="CF53" s="79">
        <f t="shared" si="58"/>
        <v>3.8149999999999999</v>
      </c>
      <c r="CH53" s="23">
        <f t="shared" si="59"/>
        <v>0.93048780487804883</v>
      </c>
      <c r="CI53" s="169">
        <v>3.823</v>
      </c>
      <c r="CK53" s="79">
        <f t="shared" si="60"/>
        <v>3.8149999999999999</v>
      </c>
      <c r="CL53" s="159"/>
      <c r="CN53" s="159">
        <v>1.2</v>
      </c>
      <c r="CO53" s="159"/>
      <c r="CP53" s="672">
        <f t="shared" si="61"/>
        <v>8.0000000000000071E-3</v>
      </c>
      <c r="CZ53" s="166">
        <f t="shared" si="49"/>
        <v>3.823</v>
      </c>
      <c r="DA53" s="509">
        <v>1.4850000000000001</v>
      </c>
      <c r="DB53" s="23">
        <f t="shared" si="50"/>
        <v>0.38843839916296108</v>
      </c>
      <c r="DI53" s="67"/>
      <c r="EG53" s="67">
        <v>1.054</v>
      </c>
      <c r="EN53" s="24"/>
      <c r="EO53" s="184">
        <v>0.5</v>
      </c>
      <c r="ER53" s="169">
        <v>3.8149999999999999</v>
      </c>
      <c r="ES53" s="85">
        <v>1.476</v>
      </c>
      <c r="ET53" s="90"/>
      <c r="EU53" s="90"/>
      <c r="EV53" s="90"/>
      <c r="FG53" s="184">
        <f t="shared" si="34"/>
        <v>2.4800177734607119E-3</v>
      </c>
      <c r="FH53" s="184">
        <f t="shared" si="24"/>
        <v>9.6965645872755524E-3</v>
      </c>
      <c r="FI53" s="184">
        <f t="shared" si="35"/>
        <v>-1.6533451823071401E-4</v>
      </c>
      <c r="FJ53" s="184">
        <f t="shared" si="25"/>
        <v>3.5764504896230759E-2</v>
      </c>
      <c r="FK53" s="184">
        <f t="shared" si="36"/>
        <v>2.4265296681602374E-2</v>
      </c>
      <c r="FL53" s="184"/>
      <c r="FM53" s="184"/>
      <c r="FN53" s="184">
        <f t="shared" si="37"/>
        <v>1.6533451823071401E-4</v>
      </c>
      <c r="FO53" s="184">
        <f t="shared" ref="FO53:FO84" si="92">FN53+FK53+FJ53+FI53+FH53+FG53</f>
        <v>7.2206383938569402E-2</v>
      </c>
      <c r="FP53" s="184">
        <f t="shared" ref="FP53:FP84" si="93">1-FO53</f>
        <v>0.92779361606143063</v>
      </c>
      <c r="FQ53" s="23">
        <f t="shared" ref="FQ53:FQ84" si="94">FO53*N53</f>
        <v>5.295995959716181E-3</v>
      </c>
      <c r="FR53" s="23">
        <f t="shared" ref="FR53:FR84" si="95">FP53*N53</f>
        <v>6.8049263432054835E-2</v>
      </c>
      <c r="FS53" s="23">
        <f t="shared" ref="FS53:FS84" si="96">FQ53*$E53</f>
        <v>5.954267380292327E-4</v>
      </c>
      <c r="FT53" s="393">
        <f t="shared" ref="FT53:FT84" si="97">FS53*$EO53</f>
        <v>2.9771336901461635E-4</v>
      </c>
      <c r="FU53" s="393">
        <f t="shared" ref="FU53:FU84" si="98">FS53-FT53</f>
        <v>2.9771336901461635E-4</v>
      </c>
      <c r="FV53" s="23">
        <f t="shared" ref="FV53:FV84" si="99">FR53*$E53</f>
        <v>7.6507518621316672E-3</v>
      </c>
      <c r="FW53" s="632">
        <f t="shared" si="62"/>
        <v>8.0000000000000071E-3</v>
      </c>
      <c r="GH53" s="169">
        <f t="shared" si="51"/>
        <v>2.653</v>
      </c>
      <c r="GU53" s="69"/>
      <c r="GW53" s="899">
        <f t="shared" si="52"/>
        <v>1.054</v>
      </c>
      <c r="HH53" s="90"/>
      <c r="HI53" s="169">
        <v>1.599</v>
      </c>
      <c r="HT53" s="24"/>
      <c r="IF53" s="90"/>
      <c r="IQ53" s="90"/>
      <c r="IR53" s="337">
        <v>34.716999999999999</v>
      </c>
      <c r="IS53" s="899">
        <f t="shared" si="55"/>
        <v>2.8520000000000003</v>
      </c>
      <c r="IU53" s="79">
        <f t="shared" si="53"/>
        <v>1.054</v>
      </c>
      <c r="IV53" s="997"/>
      <c r="IW53" s="997"/>
      <c r="JE53" s="906">
        <f t="shared" si="54"/>
        <v>2.1198712791633146E-3</v>
      </c>
      <c r="JH53" s="69"/>
      <c r="JI53" s="90"/>
      <c r="KB53" s="69"/>
      <c r="KC53" s="90"/>
      <c r="KD53" s="90"/>
      <c r="KE53" s="90"/>
      <c r="KF53" s="90"/>
      <c r="KU53" s="69"/>
      <c r="KV53" s="90"/>
      <c r="LT53" s="423"/>
      <c r="LU53" s="80"/>
      <c r="LV53" s="80"/>
      <c r="LW53" s="80"/>
      <c r="LX53" s="80"/>
      <c r="LY53" s="80"/>
      <c r="LZ53" s="80"/>
      <c r="MA53" s="80"/>
      <c r="MB53" s="80"/>
      <c r="MC53" s="80"/>
      <c r="MD53" s="80"/>
      <c r="ME53" s="80"/>
      <c r="MF53" s="80"/>
      <c r="MG53" s="80"/>
      <c r="MH53" s="67"/>
      <c r="MI53" s="136">
        <f>FoF_RoW!$BH23/1000</f>
        <v>34.716999999999999</v>
      </c>
      <c r="MJ53" s="136"/>
      <c r="MK53" s="136">
        <f>FoF_RoW!$AU23/1000</f>
        <v>2.6539999999999999</v>
      </c>
      <c r="ML53" s="136">
        <f t="shared" si="48"/>
        <v>2.8520000000000003</v>
      </c>
      <c r="MM53" s="24"/>
      <c r="MP53" s="24"/>
      <c r="MY53" s="24"/>
      <c r="NC53" s="24"/>
      <c r="NI53" s="730">
        <v>16.946999999999999</v>
      </c>
      <c r="NJ53" s="28">
        <f t="shared" si="63"/>
        <v>3.391</v>
      </c>
      <c r="NK53" s="403">
        <f t="shared" si="64"/>
        <v>6.8201930812550283E-3</v>
      </c>
      <c r="NL53" s="79">
        <v>3.391</v>
      </c>
      <c r="NM53" s="79">
        <v>3.823</v>
      </c>
      <c r="NN53" s="79">
        <v>0.432</v>
      </c>
      <c r="NO53" s="425">
        <f t="shared" ref="NO53:NO108" si="100">NP53-NQ53</f>
        <v>3.7549999999999999</v>
      </c>
      <c r="NP53" s="153">
        <v>5</v>
      </c>
      <c r="NQ53" s="153">
        <v>1.2450000000000001</v>
      </c>
      <c r="NR53" s="403">
        <f t="shared" si="65"/>
        <v>7.5522928399034597E-3</v>
      </c>
      <c r="NS53" s="403">
        <f t="shared" si="66"/>
        <v>6.8201930812550283E-3</v>
      </c>
      <c r="NT53" s="403">
        <f t="shared" si="67"/>
        <v>7.3209975864843135E-4</v>
      </c>
      <c r="NU53" s="69"/>
      <c r="NV53" s="90"/>
      <c r="NW53" s="90"/>
      <c r="NX53" s="90"/>
      <c r="NY53" s="90"/>
      <c r="NZ53" s="90"/>
      <c r="OA53" s="90"/>
      <c r="OB53" s="90"/>
      <c r="OC53" s="90"/>
      <c r="OD53" s="90"/>
      <c r="OE53" s="90"/>
      <c r="OF53" s="90"/>
      <c r="OG53" s="90"/>
      <c r="OH53" s="90"/>
      <c r="OM53" s="80"/>
      <c r="OO53" s="97"/>
      <c r="OP53" s="29"/>
      <c r="OQ53" s="29"/>
      <c r="OR53" s="29"/>
      <c r="OS53" s="71"/>
      <c r="OT53" s="71"/>
      <c r="OU53" s="71"/>
      <c r="OV53" s="71"/>
      <c r="OW53" s="71"/>
      <c r="OX53" s="71"/>
      <c r="OY53" s="71"/>
      <c r="OZ53" s="71"/>
      <c r="PA53" s="71"/>
      <c r="PG53" s="69"/>
      <c r="PH53" s="23"/>
      <c r="PI53" s="80"/>
    </row>
    <row r="54" spans="2:428">
      <c r="B54" s="71">
        <v>1962</v>
      </c>
      <c r="C54" s="43">
        <v>535.20000000000005</v>
      </c>
      <c r="D54" s="5">
        <v>64</v>
      </c>
      <c r="E54" s="6">
        <f t="shared" si="68"/>
        <v>0.11958146487294469</v>
      </c>
      <c r="F54" s="72">
        <f t="shared" si="69"/>
        <v>0</v>
      </c>
      <c r="G54" s="73">
        <f t="shared" si="70"/>
        <v>60.2</v>
      </c>
      <c r="H54" s="23">
        <f t="shared" si="71"/>
        <v>0.1124813153961136</v>
      </c>
      <c r="I54" s="74">
        <v>3.8</v>
      </c>
      <c r="J54" s="19">
        <f t="shared" si="72"/>
        <v>7.1001494768310903E-3</v>
      </c>
      <c r="K54" s="6">
        <f t="shared" si="73"/>
        <v>5.9374999999999997E-2</v>
      </c>
      <c r="L54" s="136">
        <v>4.5</v>
      </c>
      <c r="M54" s="19">
        <f t="shared" si="74"/>
        <v>8.4080717488789238E-3</v>
      </c>
      <c r="N54" s="63">
        <f t="shared" si="75"/>
        <v>7.03125E-2</v>
      </c>
      <c r="O54" s="5">
        <f t="shared" si="76"/>
        <v>64</v>
      </c>
      <c r="P54" s="75">
        <f t="shared" si="77"/>
        <v>0</v>
      </c>
      <c r="Q54" s="271">
        <v>50.8</v>
      </c>
      <c r="R54" s="202">
        <v>3.6</v>
      </c>
      <c r="S54" s="53">
        <f t="shared" si="78"/>
        <v>5.6250000000000001E-2</v>
      </c>
      <c r="T54" s="74">
        <v>0.9</v>
      </c>
      <c r="U54" s="74">
        <v>4.8</v>
      </c>
      <c r="V54" s="207">
        <v>3.4</v>
      </c>
      <c r="W54" s="53">
        <f t="shared" si="79"/>
        <v>5.3124999999999999E-2</v>
      </c>
      <c r="X54" s="75">
        <f t="shared" si="80"/>
        <v>7.3000000000000043</v>
      </c>
      <c r="Y54" s="187"/>
      <c r="Z54" s="75"/>
      <c r="AA54" s="75"/>
      <c r="AB54" s="75"/>
      <c r="AC54" s="75">
        <v>0</v>
      </c>
      <c r="AD54" s="23">
        <f t="shared" si="81"/>
        <v>0</v>
      </c>
      <c r="AE54" s="76"/>
      <c r="AF54" s="76"/>
      <c r="AG54" s="76"/>
      <c r="AH54" s="97">
        <v>24.1</v>
      </c>
      <c r="AI54" s="22">
        <f t="shared" si="82"/>
        <v>4.5029895366218237E-2</v>
      </c>
      <c r="AJ54" s="22">
        <f t="shared" si="83"/>
        <v>4.3535127055306426E-2</v>
      </c>
      <c r="AK54" s="99">
        <f t="shared" si="84"/>
        <v>0.10000000000000142</v>
      </c>
      <c r="AL54" s="71">
        <v>21.599999999999998</v>
      </c>
      <c r="AM54" s="72">
        <f>(0.5*Fedtax!C33+0.5*Fedtax!C34)/1000</f>
        <v>21.050999999999998</v>
      </c>
      <c r="AN54" s="71">
        <v>1.5</v>
      </c>
      <c r="AO54" s="255">
        <v>0.1</v>
      </c>
      <c r="AP54" s="71">
        <v>0.8</v>
      </c>
      <c r="AQ54" s="6">
        <f t="shared" si="85"/>
        <v>7.4551569506726451E-2</v>
      </c>
      <c r="AR54" s="207">
        <v>1.6</v>
      </c>
      <c r="AS54" s="713">
        <v>1.5649999999999999</v>
      </c>
      <c r="AT54" s="207"/>
      <c r="AU54" s="207"/>
      <c r="AV54" s="706"/>
      <c r="AW54" s="759"/>
      <c r="AX54" s="759"/>
      <c r="AY54" s="759"/>
      <c r="AZ54" s="706"/>
      <c r="BA54" s="207"/>
      <c r="BB54" s="207"/>
      <c r="BC54" s="207"/>
      <c r="BD54" s="207"/>
      <c r="BE54" s="207"/>
      <c r="BF54" s="186">
        <v>0.52</v>
      </c>
      <c r="BG54" s="435"/>
      <c r="BH54" s="140">
        <f t="shared" si="39"/>
        <v>0.36206896551724133</v>
      </c>
      <c r="BI54" s="248">
        <f t="shared" si="57"/>
        <v>0.36206896551724133</v>
      </c>
      <c r="BJ54" s="23">
        <f t="shared" si="40"/>
        <v>0.34523809523809523</v>
      </c>
      <c r="BK54" s="140">
        <f t="shared" si="41"/>
        <v>0.37920489296636084</v>
      </c>
      <c r="BL54" s="140">
        <f t="shared" si="42"/>
        <v>0.41226469549099748</v>
      </c>
      <c r="BM54" s="248">
        <f t="shared" si="43"/>
        <v>0.37920489296636084</v>
      </c>
      <c r="BN54" s="23">
        <f t="shared" si="44"/>
        <v>0.45866141732283466</v>
      </c>
      <c r="BO54" s="23">
        <f t="shared" si="45"/>
        <v>0.4283088235294118</v>
      </c>
      <c r="BP54" s="149">
        <f t="shared" si="86"/>
        <v>64</v>
      </c>
      <c r="BQ54" s="99">
        <f t="shared" si="87"/>
        <v>0</v>
      </c>
      <c r="BR54" s="153">
        <f t="shared" si="88"/>
        <v>24.1</v>
      </c>
      <c r="BS54" s="79">
        <v>15</v>
      </c>
      <c r="BT54" s="79">
        <v>24.9</v>
      </c>
      <c r="BU54" s="23">
        <f t="shared" si="46"/>
        <v>0.38906249999999998</v>
      </c>
      <c r="BV54" s="71">
        <v>23.8</v>
      </c>
      <c r="BW54" s="71">
        <f t="shared" si="89"/>
        <v>1.0999999999999979</v>
      </c>
      <c r="BX54" s="23">
        <f t="shared" si="90"/>
        <v>1.7187499999999967E-2</v>
      </c>
      <c r="BY54" s="23"/>
      <c r="BZ54" s="23"/>
      <c r="CA54" s="23"/>
      <c r="CB54" s="23">
        <f t="shared" si="47"/>
        <v>0.28947368421052577</v>
      </c>
      <c r="CC54" s="169">
        <f t="shared" si="91"/>
        <v>4.5</v>
      </c>
      <c r="CD54" s="174"/>
      <c r="CF54" s="79">
        <f t="shared" si="58"/>
        <v>4.2350000000000003</v>
      </c>
      <c r="CH54" s="23">
        <f t="shared" si="59"/>
        <v>0.94111111111111123</v>
      </c>
      <c r="CI54" s="169">
        <v>4.2409999999999997</v>
      </c>
      <c r="CK54" s="79">
        <f t="shared" si="60"/>
        <v>4.2350000000000003</v>
      </c>
      <c r="CL54" s="159"/>
      <c r="CN54" s="159">
        <v>1.3</v>
      </c>
      <c r="CO54" s="159"/>
      <c r="CP54" s="672">
        <f t="shared" si="61"/>
        <v>5.9999999999993392E-3</v>
      </c>
      <c r="CZ54" s="166">
        <f t="shared" si="49"/>
        <v>4.2409999999999997</v>
      </c>
      <c r="DA54" s="509">
        <v>1.698</v>
      </c>
      <c r="DB54" s="23">
        <f t="shared" si="50"/>
        <v>0.40037726951190761</v>
      </c>
      <c r="DI54" s="67"/>
      <c r="EG54" s="67">
        <v>1.198</v>
      </c>
      <c r="EN54" s="24"/>
      <c r="EO54" s="184">
        <v>0.5</v>
      </c>
      <c r="ER54" s="169">
        <v>4.2350000000000003</v>
      </c>
      <c r="ES54" s="85">
        <v>1.6950000000000001</v>
      </c>
      <c r="ET54" s="90"/>
      <c r="EU54" s="90"/>
      <c r="EV54" s="90"/>
      <c r="FG54" s="184">
        <f t="shared" si="34"/>
        <v>2.5575183288813592E-3</v>
      </c>
      <c r="FH54" s="184">
        <f t="shared" si="24"/>
        <v>9.6965645872755524E-3</v>
      </c>
      <c r="FI54" s="184">
        <f t="shared" si="35"/>
        <v>-1.7050122192542382E-4</v>
      </c>
      <c r="FJ54" s="184">
        <f t="shared" si="25"/>
        <v>3.5764504896230759E-2</v>
      </c>
      <c r="FK54" s="184">
        <f t="shared" si="36"/>
        <v>2.5023587202902448E-2</v>
      </c>
      <c r="FL54" s="184"/>
      <c r="FM54" s="184"/>
      <c r="FN54" s="184">
        <f t="shared" si="37"/>
        <v>1.7050122192542382E-4</v>
      </c>
      <c r="FO54" s="184">
        <f t="shared" si="92"/>
        <v>7.3042175015290117E-2</v>
      </c>
      <c r="FP54" s="184">
        <f t="shared" si="93"/>
        <v>0.92695782498470991</v>
      </c>
      <c r="FQ54" s="23">
        <f t="shared" si="94"/>
        <v>5.1357779307625862E-3</v>
      </c>
      <c r="FR54" s="23">
        <f t="shared" si="95"/>
        <v>6.5176722069237414E-2</v>
      </c>
      <c r="FS54" s="23">
        <f t="shared" si="96"/>
        <v>6.1414384822273071E-4</v>
      </c>
      <c r="FT54" s="393">
        <f t="shared" si="97"/>
        <v>3.0707192411136535E-4</v>
      </c>
      <c r="FU54" s="393">
        <f t="shared" si="98"/>
        <v>3.0707192411136535E-4</v>
      </c>
      <c r="FV54" s="23">
        <f t="shared" si="99"/>
        <v>7.7939279006561928E-3</v>
      </c>
      <c r="FW54" s="632">
        <f t="shared" si="62"/>
        <v>5.9999999999993392E-3</v>
      </c>
      <c r="GH54" s="169">
        <f t="shared" si="51"/>
        <v>2.8519999999999999</v>
      </c>
      <c r="GU54" s="69"/>
      <c r="GW54" s="899">
        <f t="shared" si="52"/>
        <v>1.198</v>
      </c>
      <c r="HH54" s="90"/>
      <c r="HI54" s="169">
        <v>1.6539999999999999</v>
      </c>
      <c r="HT54" s="24"/>
      <c r="IF54" s="90"/>
      <c r="IQ54" s="90"/>
      <c r="IR54" s="337">
        <v>37.276000000000003</v>
      </c>
      <c r="IS54" s="899">
        <f t="shared" si="55"/>
        <v>2.5590000000000046</v>
      </c>
      <c r="IU54" s="79">
        <f t="shared" si="53"/>
        <v>1.198</v>
      </c>
      <c r="IV54" s="997"/>
      <c r="IW54" s="997"/>
      <c r="JE54" s="906">
        <f t="shared" si="54"/>
        <v>2.2384155455904332E-3</v>
      </c>
      <c r="JH54" s="69"/>
      <c r="JI54" s="90"/>
      <c r="KB54" s="69"/>
      <c r="KC54" s="90"/>
      <c r="KD54" s="90"/>
      <c r="KE54" s="90"/>
      <c r="KF54" s="90"/>
      <c r="KU54" s="69"/>
      <c r="KV54" s="90"/>
      <c r="LT54" s="423"/>
      <c r="LU54" s="80"/>
      <c r="LV54" s="80"/>
      <c r="LW54" s="80"/>
      <c r="LX54" s="80"/>
      <c r="LY54" s="80"/>
      <c r="LZ54" s="80"/>
      <c r="MA54" s="80"/>
      <c r="MB54" s="80"/>
      <c r="MC54" s="80"/>
      <c r="MD54" s="80"/>
      <c r="ME54" s="80"/>
      <c r="MF54" s="80"/>
      <c r="MG54" s="80"/>
      <c r="MH54" s="67"/>
      <c r="MI54" s="136">
        <f>FoF_RoW!$BH24/1000</f>
        <v>37.276000000000003</v>
      </c>
      <c r="MJ54" s="136"/>
      <c r="MK54" s="136">
        <f>FoF_RoW!$AU24/1000</f>
        <v>2.851</v>
      </c>
      <c r="ML54" s="136">
        <f t="shared" si="48"/>
        <v>2.5590000000000046</v>
      </c>
      <c r="MM54" s="24"/>
      <c r="MP54" s="24"/>
      <c r="MY54" s="24"/>
      <c r="NC54" s="24"/>
      <c r="NI54" s="730">
        <v>16.056999999999999</v>
      </c>
      <c r="NJ54" s="28">
        <f t="shared" si="63"/>
        <v>3.8420000000000001</v>
      </c>
      <c r="NK54" s="403">
        <f t="shared" si="64"/>
        <v>7.1786248131539606E-3</v>
      </c>
      <c r="NL54" s="79">
        <v>3.8420000000000001</v>
      </c>
      <c r="NM54" s="79">
        <v>4.2409999999999997</v>
      </c>
      <c r="NN54" s="79">
        <v>0.39900000000000002</v>
      </c>
      <c r="NO54" s="425">
        <f t="shared" si="100"/>
        <v>4.2940000000000005</v>
      </c>
      <c r="NP54" s="153">
        <v>5.6180000000000003</v>
      </c>
      <c r="NQ54" s="153">
        <v>1.3240000000000001</v>
      </c>
      <c r="NR54" s="403">
        <f t="shared" si="65"/>
        <v>8.0231689088191335E-3</v>
      </c>
      <c r="NS54" s="403">
        <f t="shared" si="66"/>
        <v>7.1786248131539606E-3</v>
      </c>
      <c r="NT54" s="403">
        <f t="shared" si="67"/>
        <v>8.4454409566517286E-4</v>
      </c>
      <c r="NU54" s="69"/>
      <c r="NV54" s="90"/>
      <c r="NW54" s="90"/>
      <c r="NX54" s="90"/>
      <c r="NY54" s="90"/>
      <c r="NZ54" s="90"/>
      <c r="OA54" s="90"/>
      <c r="OB54" s="90"/>
      <c r="OC54" s="90"/>
      <c r="OD54" s="90"/>
      <c r="OE54" s="90"/>
      <c r="OF54" s="90"/>
      <c r="OG54" s="90"/>
      <c r="OH54" s="90"/>
      <c r="OM54" s="80"/>
      <c r="OO54" s="97"/>
      <c r="OP54" s="29"/>
      <c r="OQ54" s="29"/>
      <c r="OR54" s="29"/>
      <c r="OS54" s="71"/>
      <c r="OT54" s="71"/>
      <c r="OU54" s="71"/>
      <c r="OV54" s="71"/>
      <c r="OW54" s="71"/>
      <c r="OX54" s="71"/>
      <c r="OY54" s="71"/>
      <c r="OZ54" s="71"/>
      <c r="PA54" s="71"/>
      <c r="PG54" s="69"/>
      <c r="PH54" s="23"/>
      <c r="PI54" s="80"/>
    </row>
    <row r="55" spans="2:428">
      <c r="B55" s="71">
        <v>1963</v>
      </c>
      <c r="C55" s="43">
        <v>566.6</v>
      </c>
      <c r="D55" s="5">
        <v>70.5</v>
      </c>
      <c r="E55" s="6">
        <f t="shared" si="68"/>
        <v>0.12442640310624779</v>
      </c>
      <c r="F55" s="72">
        <f t="shared" si="69"/>
        <v>0</v>
      </c>
      <c r="G55" s="73">
        <f t="shared" si="70"/>
        <v>66.400000000000006</v>
      </c>
      <c r="H55" s="23">
        <f t="shared" si="71"/>
        <v>0.11719025767737382</v>
      </c>
      <c r="I55" s="74">
        <v>4.0999999999999996</v>
      </c>
      <c r="J55" s="19">
        <f t="shared" si="72"/>
        <v>7.2361454288739843E-3</v>
      </c>
      <c r="K55" s="6">
        <f t="shared" si="73"/>
        <v>5.815602836879432E-2</v>
      </c>
      <c r="L55" s="136">
        <v>4.8000000000000007</v>
      </c>
      <c r="M55" s="19">
        <f t="shared" si="74"/>
        <v>8.4715848923402771E-3</v>
      </c>
      <c r="N55" s="63">
        <f t="shared" si="75"/>
        <v>6.8085106382978738E-2</v>
      </c>
      <c r="O55" s="5">
        <f t="shared" si="76"/>
        <v>70.5</v>
      </c>
      <c r="P55" s="75">
        <f t="shared" si="77"/>
        <v>0</v>
      </c>
      <c r="Q55" s="271">
        <v>55.7</v>
      </c>
      <c r="R55" s="202">
        <v>4.2</v>
      </c>
      <c r="S55" s="53">
        <f t="shared" si="78"/>
        <v>5.9574468085106386E-2</v>
      </c>
      <c r="T55" s="74">
        <v>1</v>
      </c>
      <c r="U55" s="74">
        <v>6.1</v>
      </c>
      <c r="V55" s="207">
        <v>3.6</v>
      </c>
      <c r="W55" s="53">
        <f t="shared" si="79"/>
        <v>5.1063829787234047E-2</v>
      </c>
      <c r="X55" s="75">
        <f t="shared" si="80"/>
        <v>7.1000000000000014</v>
      </c>
      <c r="Y55" s="187"/>
      <c r="Z55" s="75"/>
      <c r="AA55" s="75"/>
      <c r="AB55" s="75"/>
      <c r="AC55" s="75">
        <v>0</v>
      </c>
      <c r="AD55" s="23">
        <f t="shared" si="81"/>
        <v>0</v>
      </c>
      <c r="AE55" s="76"/>
      <c r="AF55" s="76"/>
      <c r="AG55" s="76"/>
      <c r="AH55" s="97">
        <v>26.4</v>
      </c>
      <c r="AI55" s="22">
        <f t="shared" si="82"/>
        <v>4.6593716907871507E-2</v>
      </c>
      <c r="AJ55" s="22">
        <f t="shared" si="83"/>
        <v>4.5005294740557714E-2</v>
      </c>
      <c r="AK55" s="99">
        <f t="shared" si="84"/>
        <v>0</v>
      </c>
      <c r="AL55" s="71">
        <v>23.7</v>
      </c>
      <c r="AM55" s="72">
        <f>(0.5*Fedtax!C34+0.5*Fedtax!C35)/1000</f>
        <v>22.536000000000001</v>
      </c>
      <c r="AN55" s="71">
        <v>1.7</v>
      </c>
      <c r="AO55" s="255">
        <v>0.1</v>
      </c>
      <c r="AP55" s="71">
        <v>0.9</v>
      </c>
      <c r="AQ55" s="6">
        <f t="shared" si="85"/>
        <v>7.7832686198376286E-2</v>
      </c>
      <c r="AR55" s="207">
        <v>1.9</v>
      </c>
      <c r="AS55" s="713"/>
      <c r="AT55" s="207"/>
      <c r="AU55" s="207"/>
      <c r="AV55" s="706"/>
      <c r="AW55" s="759"/>
      <c r="AX55" s="759"/>
      <c r="AY55" s="759"/>
      <c r="AZ55" s="706"/>
      <c r="BA55" s="207"/>
      <c r="BB55" s="207"/>
      <c r="BC55" s="207"/>
      <c r="BD55" s="207"/>
      <c r="BE55" s="207"/>
      <c r="BF55" s="186">
        <v>0.52</v>
      </c>
      <c r="BG55" s="435"/>
      <c r="BH55" s="140">
        <f t="shared" si="39"/>
        <v>0.36182336182336178</v>
      </c>
      <c r="BI55" s="248">
        <f t="shared" si="57"/>
        <v>0.36182336182336178</v>
      </c>
      <c r="BJ55" s="23">
        <f t="shared" si="40"/>
        <v>0.34417344173441733</v>
      </c>
      <c r="BK55" s="140">
        <f t="shared" si="41"/>
        <v>0.37864077669902907</v>
      </c>
      <c r="BL55" s="140">
        <f t="shared" si="42"/>
        <v>0.40068772833637112</v>
      </c>
      <c r="BM55" s="248">
        <f t="shared" si="43"/>
        <v>0.37864077669902907</v>
      </c>
      <c r="BN55" s="23">
        <f t="shared" si="44"/>
        <v>0.45780969479353678</v>
      </c>
      <c r="BO55" s="23">
        <f t="shared" si="45"/>
        <v>0.42570951585976624</v>
      </c>
      <c r="BP55" s="149">
        <f t="shared" si="86"/>
        <v>70.5</v>
      </c>
      <c r="BQ55" s="99">
        <f t="shared" si="87"/>
        <v>0</v>
      </c>
      <c r="BR55" s="153">
        <f t="shared" si="88"/>
        <v>26.4</v>
      </c>
      <c r="BS55" s="79">
        <v>16.2</v>
      </c>
      <c r="BT55" s="79">
        <v>27.9</v>
      </c>
      <c r="BU55" s="23">
        <f t="shared" si="46"/>
        <v>0.39574468085106379</v>
      </c>
      <c r="BV55" s="71">
        <v>26.5</v>
      </c>
      <c r="BW55" s="71">
        <f t="shared" si="89"/>
        <v>1.3999999999999986</v>
      </c>
      <c r="BX55" s="23">
        <f t="shared" si="90"/>
        <v>1.9858156028368774E-2</v>
      </c>
      <c r="BY55" s="23"/>
      <c r="BZ55" s="23"/>
      <c r="CA55" s="23"/>
      <c r="CB55" s="23">
        <f t="shared" si="47"/>
        <v>0.34146341463414603</v>
      </c>
      <c r="CC55" s="169">
        <f t="shared" si="91"/>
        <v>4.8000000000000007</v>
      </c>
      <c r="CD55" s="174"/>
      <c r="CF55" s="79">
        <f t="shared" si="58"/>
        <v>4.3869999999999996</v>
      </c>
      <c r="CH55" s="23">
        <f t="shared" si="59"/>
        <v>0.9139583333333331</v>
      </c>
      <c r="CI55" s="169">
        <v>4.6360000000000001</v>
      </c>
      <c r="CK55" s="79">
        <f t="shared" si="60"/>
        <v>4.3869999999999996</v>
      </c>
      <c r="CL55" s="159"/>
      <c r="CN55" s="159">
        <v>1.6</v>
      </c>
      <c r="CO55" s="159"/>
      <c r="CP55" s="672">
        <f t="shared" si="61"/>
        <v>0.24900000000000055</v>
      </c>
      <c r="CZ55" s="166">
        <f t="shared" si="49"/>
        <v>4.6360000000000001</v>
      </c>
      <c r="DA55" s="509">
        <v>1.835</v>
      </c>
      <c r="DB55" s="23">
        <f t="shared" si="50"/>
        <v>0.39581535806729939</v>
      </c>
      <c r="DI55" s="67"/>
      <c r="EG55" s="67">
        <v>1.5069999999999999</v>
      </c>
      <c r="EN55" s="24"/>
      <c r="EO55" s="184">
        <v>0.5</v>
      </c>
      <c r="ER55" s="169">
        <v>4.3869999999999996</v>
      </c>
      <c r="ES55" s="85">
        <v>1.8240000000000001</v>
      </c>
      <c r="ET55" s="90"/>
      <c r="EU55" s="90"/>
      <c r="EV55" s="90"/>
      <c r="FG55" s="184">
        <f t="shared" si="34"/>
        <v>2.6350188843020064E-3</v>
      </c>
      <c r="FH55" s="184">
        <f t="shared" si="24"/>
        <v>9.6965645872755524E-3</v>
      </c>
      <c r="FI55" s="184">
        <f t="shared" si="35"/>
        <v>-1.7566792562013364E-4</v>
      </c>
      <c r="FJ55" s="184">
        <f t="shared" si="25"/>
        <v>3.5764504896230759E-2</v>
      </c>
      <c r="FK55" s="184">
        <f t="shared" si="36"/>
        <v>2.5781877724202523E-2</v>
      </c>
      <c r="FL55" s="184"/>
      <c r="FM55" s="184"/>
      <c r="FN55" s="184">
        <f t="shared" si="37"/>
        <v>1.7566792562013364E-4</v>
      </c>
      <c r="FO55" s="184">
        <f t="shared" si="92"/>
        <v>7.3877966092010833E-2</v>
      </c>
      <c r="FP55" s="184">
        <f t="shared" si="93"/>
        <v>0.9261220339079892</v>
      </c>
      <c r="FQ55" s="23">
        <f t="shared" si="94"/>
        <v>5.0299891807326531E-3</v>
      </c>
      <c r="FR55" s="23">
        <f t="shared" si="95"/>
        <v>6.3055117202246089E-2</v>
      </c>
      <c r="FS55" s="23">
        <f t="shared" si="96"/>
        <v>6.2586346142190616E-4</v>
      </c>
      <c r="FT55" s="393">
        <f t="shared" si="97"/>
        <v>3.1293173071095308E-4</v>
      </c>
      <c r="FU55" s="393">
        <f t="shared" si="98"/>
        <v>3.1293173071095308E-4</v>
      </c>
      <c r="FV55" s="23">
        <f t="shared" si="99"/>
        <v>7.8457214309183721E-3</v>
      </c>
      <c r="FW55" s="632">
        <f t="shared" si="62"/>
        <v>0.24900000000000055</v>
      </c>
      <c r="GH55" s="169">
        <f t="shared" si="51"/>
        <v>3.4829999999999997</v>
      </c>
      <c r="GU55" s="69"/>
      <c r="GW55" s="899">
        <f t="shared" si="52"/>
        <v>1.5069999999999999</v>
      </c>
      <c r="HH55" s="90"/>
      <c r="HI55" s="169">
        <v>1.976</v>
      </c>
      <c r="HT55" s="24"/>
      <c r="IF55" s="90"/>
      <c r="IQ55" s="90"/>
      <c r="IR55" s="337">
        <v>40.735999999999997</v>
      </c>
      <c r="IS55" s="899">
        <f t="shared" si="55"/>
        <v>3.4599999999999937</v>
      </c>
      <c r="IU55" s="79">
        <f t="shared" si="53"/>
        <v>1.5069999999999999</v>
      </c>
      <c r="IV55" s="997"/>
      <c r="IW55" s="997"/>
      <c r="JE55" s="906">
        <f t="shared" si="54"/>
        <v>2.6597246734909987E-3</v>
      </c>
      <c r="JH55" s="69"/>
      <c r="JI55" s="90"/>
      <c r="KB55" s="69"/>
      <c r="KC55" s="90"/>
      <c r="KD55" s="90"/>
      <c r="KE55" s="90"/>
      <c r="KF55" s="90"/>
      <c r="KU55" s="69"/>
      <c r="KV55" s="90"/>
      <c r="LT55" s="423"/>
      <c r="LU55" s="80"/>
      <c r="LV55" s="80"/>
      <c r="LW55" s="80"/>
      <c r="LX55" s="80"/>
      <c r="LY55" s="80"/>
      <c r="LZ55" s="80"/>
      <c r="MA55" s="80"/>
      <c r="MB55" s="80"/>
      <c r="MC55" s="80"/>
      <c r="MD55" s="80"/>
      <c r="ME55" s="80"/>
      <c r="MF55" s="80"/>
      <c r="MG55" s="80"/>
      <c r="MH55" s="67"/>
      <c r="MI55" s="136">
        <f>FoF_RoW!$BH25/1000</f>
        <v>40.735999999999997</v>
      </c>
      <c r="MJ55" s="136"/>
      <c r="MK55" s="136">
        <f>FoF_RoW!$AU25/1000</f>
        <v>3.4830000000000001</v>
      </c>
      <c r="ML55" s="136">
        <f t="shared" si="48"/>
        <v>3.4599999999999937</v>
      </c>
      <c r="MM55" s="24"/>
      <c r="MP55" s="24"/>
      <c r="MY55" s="24"/>
      <c r="NC55" s="24"/>
      <c r="NI55" s="730">
        <v>15.596</v>
      </c>
      <c r="NJ55" s="28">
        <f t="shared" si="63"/>
        <v>4.1769999999999996</v>
      </c>
      <c r="NK55" s="403">
        <f t="shared" si="64"/>
        <v>7.3720437698552759E-3</v>
      </c>
      <c r="NL55" s="79">
        <v>4.1769999999999996</v>
      </c>
      <c r="NM55" s="79">
        <v>4.6360000000000001</v>
      </c>
      <c r="NN55" s="79">
        <v>0.45900000000000002</v>
      </c>
      <c r="NO55" s="425">
        <f t="shared" si="100"/>
        <v>4.5949999999999998</v>
      </c>
      <c r="NP55" s="153">
        <v>6.1559999999999997</v>
      </c>
      <c r="NQ55" s="153">
        <v>1.5609999999999999</v>
      </c>
      <c r="NR55" s="403">
        <f t="shared" si="65"/>
        <v>8.1097776208965758E-3</v>
      </c>
      <c r="NS55" s="403">
        <f t="shared" si="66"/>
        <v>7.3720437698552759E-3</v>
      </c>
      <c r="NT55" s="403">
        <f t="shared" si="67"/>
        <v>7.377338510412999E-4</v>
      </c>
      <c r="NU55" s="69"/>
      <c r="NV55" s="90"/>
      <c r="NW55" s="90"/>
      <c r="NX55" s="90"/>
      <c r="NY55" s="90"/>
      <c r="NZ55" s="90"/>
      <c r="OA55" s="90"/>
      <c r="OB55" s="90"/>
      <c r="OC55" s="90"/>
      <c r="OD55" s="90"/>
      <c r="OE55" s="90"/>
      <c r="OF55" s="90"/>
      <c r="OG55" s="90"/>
      <c r="OH55" s="90"/>
      <c r="OM55" s="80"/>
      <c r="OO55" s="97"/>
      <c r="OP55" s="29"/>
      <c r="OQ55" s="29"/>
      <c r="OR55" s="29"/>
      <c r="OS55" s="71"/>
      <c r="OT55" s="71"/>
      <c r="OU55" s="71"/>
      <c r="OV55" s="71"/>
      <c r="OW55" s="71"/>
      <c r="OX55" s="71"/>
      <c r="OY55" s="71"/>
      <c r="OZ55" s="71"/>
      <c r="PA55" s="71"/>
      <c r="PG55" s="69"/>
      <c r="PH55" s="23"/>
      <c r="PI55" s="80"/>
    </row>
    <row r="56" spans="2:428">
      <c r="B56" s="71">
        <v>1964</v>
      </c>
      <c r="C56" s="43">
        <v>608.29999999999995</v>
      </c>
      <c r="D56" s="5">
        <v>77.7</v>
      </c>
      <c r="E56" s="6">
        <f t="shared" si="68"/>
        <v>0.12773302646720369</v>
      </c>
      <c r="F56" s="72">
        <f t="shared" si="69"/>
        <v>0</v>
      </c>
      <c r="G56" s="73">
        <f t="shared" si="70"/>
        <v>73.2</v>
      </c>
      <c r="H56" s="23">
        <f t="shared" si="71"/>
        <v>0.12033536084168997</v>
      </c>
      <c r="I56" s="74">
        <v>4.5</v>
      </c>
      <c r="J56" s="19">
        <f t="shared" si="72"/>
        <v>7.3976656255137271E-3</v>
      </c>
      <c r="K56" s="6">
        <f t="shared" si="73"/>
        <v>5.791505791505791E-2</v>
      </c>
      <c r="L56" s="136">
        <v>5.4</v>
      </c>
      <c r="M56" s="19">
        <f t="shared" si="74"/>
        <v>8.8771987506164728E-3</v>
      </c>
      <c r="N56" s="63">
        <f t="shared" si="75"/>
        <v>6.9498069498069498E-2</v>
      </c>
      <c r="O56" s="5">
        <f t="shared" si="76"/>
        <v>77.7</v>
      </c>
      <c r="P56" s="75">
        <f t="shared" si="77"/>
        <v>0</v>
      </c>
      <c r="Q56" s="271">
        <v>63.1</v>
      </c>
      <c r="R56" s="202">
        <v>3.8</v>
      </c>
      <c r="S56" s="53">
        <f t="shared" si="78"/>
        <v>4.8906048906048903E-2</v>
      </c>
      <c r="T56" s="74">
        <v>1.1000000000000001</v>
      </c>
      <c r="U56" s="74">
        <v>6.3</v>
      </c>
      <c r="V56" s="207">
        <v>3.9</v>
      </c>
      <c r="W56" s="53">
        <f t="shared" si="79"/>
        <v>5.019305019305019E-2</v>
      </c>
      <c r="X56" s="75">
        <f t="shared" si="80"/>
        <v>7.3000000000000114</v>
      </c>
      <c r="Y56" s="187"/>
      <c r="Z56" s="75"/>
      <c r="AA56" s="75"/>
      <c r="AB56" s="75"/>
      <c r="AC56" s="75">
        <v>0</v>
      </c>
      <c r="AD56" s="23">
        <f t="shared" si="81"/>
        <v>0</v>
      </c>
      <c r="AE56" s="76"/>
      <c r="AF56" s="76">
        <v>0</v>
      </c>
      <c r="AG56" s="76"/>
      <c r="AH56" s="97">
        <v>28.2</v>
      </c>
      <c r="AI56" s="22">
        <f t="shared" si="82"/>
        <v>4.6358704586552689E-2</v>
      </c>
      <c r="AJ56" s="22">
        <f t="shared" si="83"/>
        <v>4.3728423475258918E-2</v>
      </c>
      <c r="AK56" s="99">
        <f t="shared" si="84"/>
        <v>0</v>
      </c>
      <c r="AL56" s="71">
        <v>24.599999999999998</v>
      </c>
      <c r="AM56" s="72">
        <f>(0.5*Fedtax!C35+0.5*Fedtax!C36)/1000</f>
        <v>24.477</v>
      </c>
      <c r="AN56" s="71">
        <v>1.8</v>
      </c>
      <c r="AO56" s="255">
        <v>0.2</v>
      </c>
      <c r="AP56" s="71">
        <v>1.6</v>
      </c>
      <c r="AQ56" s="6">
        <f t="shared" si="85"/>
        <v>8.1374321880650996E-2</v>
      </c>
      <c r="AR56" s="207">
        <v>2.2999999999999998</v>
      </c>
      <c r="AS56" s="755">
        <v>2.2696000000000001</v>
      </c>
      <c r="AT56" s="207"/>
      <c r="AU56" s="207"/>
      <c r="AV56" s="709">
        <f t="shared" si="56"/>
        <v>2.7309999999999999</v>
      </c>
      <c r="AW56" s="766">
        <f t="shared" ref="AW56:AW67" si="101">BA56</f>
        <v>1.345</v>
      </c>
      <c r="AX56" s="766">
        <f>AV56-AW56</f>
        <v>1.3859999999999999</v>
      </c>
      <c r="AY56" s="767">
        <f t="shared" ref="AY56:AY68" si="102">AW56/AV56</f>
        <v>0.49249359209080923</v>
      </c>
      <c r="AZ56" s="709">
        <f>1.726+1.005</f>
        <v>2.7309999999999999</v>
      </c>
      <c r="BA56" s="210">
        <f>0.389+0.734+0.222</f>
        <v>1.345</v>
      </c>
      <c r="BB56" s="205">
        <f>BA56/AZ56</f>
        <v>0.49249359209080923</v>
      </c>
      <c r="BC56" s="207">
        <v>0.69699999999999995</v>
      </c>
      <c r="BD56" s="207"/>
      <c r="BE56" s="207"/>
      <c r="BF56" s="186">
        <v>0.5</v>
      </c>
      <c r="BG56" s="435"/>
      <c r="BH56" s="140">
        <f t="shared" si="39"/>
        <v>0.34064516129032252</v>
      </c>
      <c r="BI56" s="248">
        <f t="shared" si="57"/>
        <v>0.34064516129032252</v>
      </c>
      <c r="BJ56" s="23">
        <f t="shared" si="40"/>
        <v>0.32432432432432423</v>
      </c>
      <c r="BK56" s="140">
        <f t="shared" si="41"/>
        <v>0.3596491228070175</v>
      </c>
      <c r="BL56" s="140">
        <f t="shared" si="42"/>
        <v>0.38831420192775701</v>
      </c>
      <c r="BM56" s="248">
        <f t="shared" si="43"/>
        <v>0.3596491228070175</v>
      </c>
      <c r="BN56" s="23">
        <f t="shared" si="44"/>
        <v>0.42155309033280502</v>
      </c>
      <c r="BO56" s="23">
        <f t="shared" si="45"/>
        <v>0.39760837070254101</v>
      </c>
      <c r="BP56" s="149">
        <f t="shared" si="86"/>
        <v>77.7</v>
      </c>
      <c r="BQ56" s="99">
        <f t="shared" si="87"/>
        <v>-9.9999999999994316E-2</v>
      </c>
      <c r="BR56" s="153">
        <f t="shared" si="88"/>
        <v>28.2</v>
      </c>
      <c r="BS56" s="79">
        <v>18.2</v>
      </c>
      <c r="BT56" s="79">
        <v>31.4</v>
      </c>
      <c r="BU56" s="23">
        <f t="shared" si="46"/>
        <v>0.40411840411840411</v>
      </c>
      <c r="BV56" s="71">
        <v>30.1</v>
      </c>
      <c r="BW56" s="71">
        <f t="shared" si="89"/>
        <v>1.2999999999999972</v>
      </c>
      <c r="BX56" s="23">
        <f t="shared" si="90"/>
        <v>1.6731016731016693E-2</v>
      </c>
      <c r="BY56" s="23"/>
      <c r="BZ56" s="23"/>
      <c r="CA56" s="23"/>
      <c r="CB56" s="23">
        <f t="shared" si="47"/>
        <v>0.28888888888888825</v>
      </c>
      <c r="CC56" s="169">
        <f t="shared" si="91"/>
        <v>5.4</v>
      </c>
      <c r="CD56" s="174"/>
      <c r="CF56" s="79">
        <f t="shared" si="58"/>
        <v>5.0709999999999997</v>
      </c>
      <c r="CH56" s="23">
        <f t="shared" si="59"/>
        <v>0.93907407407407395</v>
      </c>
      <c r="CI56" s="169">
        <v>5.1059999999999999</v>
      </c>
      <c r="CK56" s="79">
        <f t="shared" si="60"/>
        <v>5.0709999999999997</v>
      </c>
      <c r="CL56" s="159"/>
      <c r="CN56" s="159">
        <v>1.6</v>
      </c>
      <c r="CO56" s="159"/>
      <c r="CP56" s="672">
        <f t="shared" si="61"/>
        <v>3.5000000000000142E-2</v>
      </c>
      <c r="CZ56" s="166">
        <f t="shared" si="49"/>
        <v>5.1059999999999999</v>
      </c>
      <c r="DA56" s="509">
        <v>1.821</v>
      </c>
      <c r="DB56" s="23">
        <f t="shared" si="50"/>
        <v>0.35663924794359575</v>
      </c>
      <c r="DG56" s="68">
        <v>322</v>
      </c>
      <c r="DI56" s="67"/>
      <c r="EG56" s="67">
        <v>1.431</v>
      </c>
      <c r="EN56" s="24"/>
      <c r="EO56" s="184">
        <v>0.5</v>
      </c>
      <c r="ER56" s="169">
        <v>5.0709999999999997</v>
      </c>
      <c r="ES56" s="85">
        <v>1.8080000000000001</v>
      </c>
      <c r="ET56" s="90"/>
      <c r="EU56" s="90"/>
      <c r="EV56" s="90"/>
      <c r="FG56" s="184">
        <f t="shared" si="34"/>
        <v>2.7125194397226537E-3</v>
      </c>
      <c r="FH56" s="184">
        <f t="shared" si="24"/>
        <v>9.6965645872755524E-3</v>
      </c>
      <c r="FI56" s="184">
        <f t="shared" si="35"/>
        <v>-1.8083462931484345E-4</v>
      </c>
      <c r="FJ56" s="184">
        <f t="shared" si="25"/>
        <v>3.5764504896230759E-2</v>
      </c>
      <c r="FK56" s="184">
        <f t="shared" si="36"/>
        <v>2.6540168245502597E-2</v>
      </c>
      <c r="FL56" s="184"/>
      <c r="FM56" s="184"/>
      <c r="FN56" s="184">
        <f t="shared" si="37"/>
        <v>1.8083462931484345E-4</v>
      </c>
      <c r="FO56" s="184">
        <f t="shared" si="92"/>
        <v>7.4713757168731562E-2</v>
      </c>
      <c r="FP56" s="184">
        <f t="shared" si="93"/>
        <v>0.92528624283126848</v>
      </c>
      <c r="FQ56" s="23">
        <f t="shared" si="94"/>
        <v>5.1924618881743941E-3</v>
      </c>
      <c r="FR56" s="23">
        <f t="shared" si="95"/>
        <v>6.4305607609895107E-2</v>
      </c>
      <c r="FS56" s="23">
        <f t="shared" si="96"/>
        <v>6.632488717921263E-4</v>
      </c>
      <c r="FT56" s="393">
        <f t="shared" si="97"/>
        <v>3.3162443589606315E-4</v>
      </c>
      <c r="FU56" s="393">
        <f t="shared" si="98"/>
        <v>3.3162443589606315E-4</v>
      </c>
      <c r="FV56" s="23">
        <f t="shared" si="99"/>
        <v>8.2139498788243465E-3</v>
      </c>
      <c r="FW56" s="632">
        <f t="shared" si="62"/>
        <v>3.5000000000000142E-2</v>
      </c>
      <c r="GH56" s="169">
        <f t="shared" si="51"/>
        <v>3.7589999999999999</v>
      </c>
      <c r="GU56" s="69"/>
      <c r="GW56" s="899">
        <f t="shared" si="52"/>
        <v>1.431</v>
      </c>
      <c r="HH56" s="90"/>
      <c r="HI56" s="169">
        <v>2.3279999999999998</v>
      </c>
      <c r="HT56" s="24"/>
      <c r="IF56" s="90"/>
      <c r="IQ56" s="90"/>
      <c r="IR56" s="337">
        <v>44.48</v>
      </c>
      <c r="IS56" s="899">
        <f t="shared" si="55"/>
        <v>3.7439999999999998</v>
      </c>
      <c r="IU56" s="79">
        <f t="shared" si="53"/>
        <v>1.431</v>
      </c>
      <c r="IV56" s="997"/>
      <c r="IW56" s="997"/>
      <c r="JE56" s="906">
        <f t="shared" si="54"/>
        <v>2.3524576689133653E-3</v>
      </c>
      <c r="JH56" s="69"/>
      <c r="JI56" s="90"/>
      <c r="KB56" s="69"/>
      <c r="KC56" s="90"/>
      <c r="KD56" s="90"/>
      <c r="KE56" s="90"/>
      <c r="KF56" s="90"/>
      <c r="KU56" s="69"/>
      <c r="KV56" s="90"/>
      <c r="LT56" s="423"/>
      <c r="LU56" s="80"/>
      <c r="LV56" s="80"/>
      <c r="LW56" s="80"/>
      <c r="LX56" s="80"/>
      <c r="LY56" s="80"/>
      <c r="LZ56" s="80"/>
      <c r="MA56" s="80"/>
      <c r="MB56" s="80"/>
      <c r="MC56" s="80"/>
      <c r="MD56" s="80"/>
      <c r="ME56" s="80"/>
      <c r="MF56" s="80"/>
      <c r="MG56" s="80"/>
      <c r="MH56" s="67"/>
      <c r="MI56" s="136">
        <f>FoF_RoW!$BH26/1000</f>
        <v>44.48</v>
      </c>
      <c r="MJ56" s="136"/>
      <c r="MK56" s="136">
        <f>FoF_RoW!$AU26/1000</f>
        <v>3.758</v>
      </c>
      <c r="ML56" s="136">
        <f t="shared" si="48"/>
        <v>3.7439999999999998</v>
      </c>
      <c r="MM56" s="24"/>
      <c r="MP56" s="24"/>
      <c r="MY56" s="24"/>
      <c r="NC56" s="24"/>
      <c r="NI56" s="730">
        <v>15.471</v>
      </c>
      <c r="NJ56" s="28">
        <f t="shared" si="63"/>
        <v>4.577</v>
      </c>
      <c r="NK56" s="403">
        <f t="shared" si="64"/>
        <v>7.5242479039947397E-3</v>
      </c>
      <c r="NL56" s="79">
        <v>4.577</v>
      </c>
      <c r="NM56" s="79">
        <v>5.1059999999999999</v>
      </c>
      <c r="NN56" s="79">
        <v>0.52900000000000003</v>
      </c>
      <c r="NO56" s="425">
        <f t="shared" si="100"/>
        <v>5.0410000000000004</v>
      </c>
      <c r="NP56" s="153">
        <v>6.8239999999999998</v>
      </c>
      <c r="NQ56" s="153">
        <v>1.7829999999999999</v>
      </c>
      <c r="NR56" s="403">
        <f t="shared" si="65"/>
        <v>8.2870294262699339E-3</v>
      </c>
      <c r="NS56" s="403">
        <f t="shared" si="66"/>
        <v>7.5242479039947397E-3</v>
      </c>
      <c r="NT56" s="403">
        <f t="shared" si="67"/>
        <v>7.6278152227519415E-4</v>
      </c>
      <c r="NU56" s="69"/>
      <c r="NV56" s="90"/>
      <c r="NW56" s="90"/>
      <c r="NX56" s="90"/>
      <c r="NY56" s="90"/>
      <c r="NZ56" s="90"/>
      <c r="OA56" s="90"/>
      <c r="OB56" s="90"/>
      <c r="OC56" s="90"/>
      <c r="OD56" s="90"/>
      <c r="OE56" s="90"/>
      <c r="OF56" s="90"/>
      <c r="OG56" s="90"/>
      <c r="OH56" s="90"/>
      <c r="OM56" s="80"/>
      <c r="OO56" s="97"/>
      <c r="OP56" s="29"/>
      <c r="OQ56" s="29"/>
      <c r="OR56" s="29"/>
      <c r="OS56" s="71"/>
      <c r="OT56" s="71"/>
      <c r="OU56" s="71"/>
      <c r="OV56" s="71"/>
      <c r="OW56" s="71"/>
      <c r="OX56" s="71"/>
      <c r="OY56" s="71"/>
      <c r="OZ56" s="71"/>
      <c r="PA56" s="71"/>
      <c r="PG56" s="69"/>
      <c r="PH56" s="23"/>
      <c r="PI56" s="80"/>
    </row>
    <row r="57" spans="2:428" ht="17">
      <c r="B57" s="71">
        <v>1965</v>
      </c>
      <c r="C57" s="43">
        <v>660.3</v>
      </c>
      <c r="D57" s="5">
        <v>89.3</v>
      </c>
      <c r="E57" s="6">
        <f t="shared" si="68"/>
        <v>0.13524155686809028</v>
      </c>
      <c r="F57" s="72">
        <f t="shared" si="69"/>
        <v>0</v>
      </c>
      <c r="G57" s="73">
        <f t="shared" si="70"/>
        <v>84.6</v>
      </c>
      <c r="H57" s="23">
        <f t="shared" si="71"/>
        <v>0.12812358019082234</v>
      </c>
      <c r="I57" s="74">
        <v>4.7</v>
      </c>
      <c r="J57" s="19">
        <f t="shared" si="72"/>
        <v>7.1179766772679091E-3</v>
      </c>
      <c r="K57" s="6">
        <f t="shared" si="73"/>
        <v>5.2631578947368425E-2</v>
      </c>
      <c r="L57" s="136">
        <v>5.7</v>
      </c>
      <c r="M57" s="19">
        <f t="shared" si="74"/>
        <v>8.632439800090869E-3</v>
      </c>
      <c r="N57" s="63">
        <f t="shared" si="75"/>
        <v>6.3829787234042562E-2</v>
      </c>
      <c r="O57" s="5">
        <f t="shared" si="76"/>
        <v>89.3</v>
      </c>
      <c r="P57" s="75">
        <f t="shared" si="77"/>
        <v>0</v>
      </c>
      <c r="Q57" s="271">
        <v>74.7</v>
      </c>
      <c r="R57" s="202">
        <v>3.9</v>
      </c>
      <c r="S57" s="53">
        <f t="shared" si="78"/>
        <v>4.3673012318029114E-2</v>
      </c>
      <c r="T57" s="74">
        <v>1.3</v>
      </c>
      <c r="U57" s="74">
        <v>6.2</v>
      </c>
      <c r="V57" s="207">
        <v>5.2</v>
      </c>
      <c r="W57" s="53">
        <f t="shared" si="79"/>
        <v>5.823068309070549E-2</v>
      </c>
      <c r="X57" s="75">
        <f t="shared" si="80"/>
        <v>8.3999999999999915</v>
      </c>
      <c r="Y57" s="187"/>
      <c r="Z57" s="75"/>
      <c r="AA57" s="75"/>
      <c r="AB57" s="75"/>
      <c r="AC57" s="75">
        <f t="shared" ref="AC57:AC86" si="103">AC58*AF57/AF58</f>
        <v>0</v>
      </c>
      <c r="AD57" s="23">
        <f t="shared" si="81"/>
        <v>0</v>
      </c>
      <c r="AE57" s="76"/>
      <c r="AF57" s="76">
        <v>0</v>
      </c>
      <c r="AG57" s="76"/>
      <c r="AH57" s="97">
        <v>31.1</v>
      </c>
      <c r="AI57" s="22">
        <f t="shared" si="82"/>
        <v>4.7099803119794038E-2</v>
      </c>
      <c r="AJ57" s="22">
        <f t="shared" si="83"/>
        <v>4.5131001060124187E-2</v>
      </c>
      <c r="AK57" s="99">
        <f t="shared" si="84"/>
        <v>-9.9999999999997868E-2</v>
      </c>
      <c r="AL57" s="71">
        <v>27.7</v>
      </c>
      <c r="AM57" s="72">
        <f>(0.5*Fedtax!C36+0.5*Fedtax!C37)/1000</f>
        <v>27.766999999999999</v>
      </c>
      <c r="AN57" s="71">
        <v>2</v>
      </c>
      <c r="AO57" s="255">
        <v>0.2</v>
      </c>
      <c r="AP57" s="71">
        <v>1.3</v>
      </c>
      <c r="AQ57" s="6">
        <f t="shared" si="85"/>
        <v>8.8141753748296234E-2</v>
      </c>
      <c r="AR57" s="207">
        <v>2.6</v>
      </c>
      <c r="AS57" s="755">
        <v>2.6160000000000001</v>
      </c>
      <c r="AT57" s="207"/>
      <c r="AU57" s="207"/>
      <c r="AV57" s="709">
        <f t="shared" si="56"/>
        <v>3.202</v>
      </c>
      <c r="AW57" s="766">
        <f t="shared" si="101"/>
        <v>1.5189999999999999</v>
      </c>
      <c r="AX57" s="766">
        <f t="shared" ref="AX57:AX80" si="104">AV57-AW57</f>
        <v>1.6830000000000001</v>
      </c>
      <c r="AY57" s="767">
        <f t="shared" si="102"/>
        <v>0.47439100562148656</v>
      </c>
      <c r="AZ57" s="709">
        <f>2.039+1.163</f>
        <v>3.202</v>
      </c>
      <c r="BA57" s="210">
        <f>0.487+0.813+0.219</f>
        <v>1.5189999999999999</v>
      </c>
      <c r="BB57" s="205">
        <f>BA57/AZ57</f>
        <v>0.47439100562148656</v>
      </c>
      <c r="BC57" s="207">
        <v>1.044</v>
      </c>
      <c r="BD57" s="207"/>
      <c r="BE57" s="207"/>
      <c r="BF57" s="186">
        <v>0.48</v>
      </c>
      <c r="BG57" s="435"/>
      <c r="BH57" s="140">
        <f t="shared" si="39"/>
        <v>0.33370786516853934</v>
      </c>
      <c r="BI57" s="248">
        <f t="shared" si="57"/>
        <v>0.33370786516853934</v>
      </c>
      <c r="BJ57" s="23">
        <f t="shared" si="40"/>
        <v>0.31422505307855625</v>
      </c>
      <c r="BK57" s="140">
        <f t="shared" si="41"/>
        <v>0.35152838427947602</v>
      </c>
      <c r="BL57" s="140">
        <f t="shared" si="42"/>
        <v>0.37603460050717108</v>
      </c>
      <c r="BM57" s="248">
        <f t="shared" si="43"/>
        <v>0.35152838427947602</v>
      </c>
      <c r="BN57" s="23">
        <f t="shared" si="44"/>
        <v>0.39892904953145919</v>
      </c>
      <c r="BO57" s="23">
        <f t="shared" si="45"/>
        <v>0.37913486005089053</v>
      </c>
      <c r="BP57" s="149">
        <f t="shared" si="86"/>
        <v>89.3</v>
      </c>
      <c r="BQ57" s="99">
        <f t="shared" si="87"/>
        <v>0</v>
      </c>
      <c r="BR57" s="153">
        <f t="shared" si="88"/>
        <v>31.1</v>
      </c>
      <c r="BS57" s="79">
        <v>20.2</v>
      </c>
      <c r="BT57" s="79">
        <v>38</v>
      </c>
      <c r="BU57" s="23">
        <f t="shared" si="46"/>
        <v>0.42553191489361702</v>
      </c>
      <c r="BV57" s="71">
        <v>36.6</v>
      </c>
      <c r="BW57" s="71">
        <f t="shared" si="89"/>
        <v>1.3999999999999986</v>
      </c>
      <c r="BX57" s="23">
        <f t="shared" si="90"/>
        <v>1.5677491601343768E-2</v>
      </c>
      <c r="BY57" s="23"/>
      <c r="BZ57" s="23"/>
      <c r="CA57" s="23"/>
      <c r="CB57" s="23">
        <f t="shared" si="47"/>
        <v>0.29787234042553162</v>
      </c>
      <c r="CC57" s="169">
        <f t="shared" si="91"/>
        <v>5.7</v>
      </c>
      <c r="CD57" s="174"/>
      <c r="CF57" s="79">
        <f t="shared" si="58"/>
        <v>5.46</v>
      </c>
      <c r="CH57" s="23">
        <f t="shared" si="59"/>
        <v>0.95789473684210524</v>
      </c>
      <c r="CI57" s="169">
        <v>5.5060000000000002</v>
      </c>
      <c r="CK57" s="79">
        <f t="shared" si="60"/>
        <v>5.46</v>
      </c>
      <c r="CL57" s="159"/>
      <c r="CN57" s="159">
        <v>1.7</v>
      </c>
      <c r="CO57" s="159"/>
      <c r="CP57" s="79">
        <f t="shared" si="61"/>
        <v>4.6000000000000263E-2</v>
      </c>
      <c r="CZ57" s="166">
        <f t="shared" si="49"/>
        <v>5.5060000000000002</v>
      </c>
      <c r="DA57" s="509">
        <v>1.8540000000000001</v>
      </c>
      <c r="DB57" s="6">
        <f t="shared" si="50"/>
        <v>0.3367235742826008</v>
      </c>
      <c r="DC57" s="90"/>
      <c r="DD57" s="90"/>
      <c r="DE57" s="90"/>
      <c r="DF57" s="90"/>
      <c r="DG57" s="90">
        <v>400</v>
      </c>
      <c r="DH57" s="92"/>
      <c r="DI57" s="67"/>
      <c r="EG57" s="67">
        <v>1.542</v>
      </c>
      <c r="EN57" s="24"/>
      <c r="EO57" s="184">
        <v>0.5</v>
      </c>
      <c r="ER57" s="169">
        <v>5.46</v>
      </c>
      <c r="ES57" s="729">
        <v>1.83</v>
      </c>
      <c r="ET57" s="90"/>
      <c r="EU57" s="90"/>
      <c r="EV57" s="90"/>
      <c r="FG57" s="184">
        <f t="shared" si="34"/>
        <v>2.790019995143301E-3</v>
      </c>
      <c r="FH57" s="184">
        <f t="shared" si="24"/>
        <v>9.6965645872755524E-3</v>
      </c>
      <c r="FI57" s="184">
        <f t="shared" si="35"/>
        <v>-1.8600133300955327E-4</v>
      </c>
      <c r="FJ57" s="184">
        <f t="shared" si="25"/>
        <v>3.5764504896230759E-2</v>
      </c>
      <c r="FK57" s="184">
        <f t="shared" si="36"/>
        <v>2.7298458766802671E-2</v>
      </c>
      <c r="FL57" s="184"/>
      <c r="FM57" s="184"/>
      <c r="FN57" s="184">
        <f t="shared" si="37"/>
        <v>1.8600133300955327E-4</v>
      </c>
      <c r="FO57" s="184">
        <f t="shared" si="92"/>
        <v>7.5549548245452292E-2</v>
      </c>
      <c r="FP57" s="184">
        <f t="shared" si="93"/>
        <v>0.92445045175454776</v>
      </c>
      <c r="FQ57" s="23">
        <f t="shared" si="94"/>
        <v>4.8223115901352533E-3</v>
      </c>
      <c r="FR57" s="23">
        <f t="shared" si="95"/>
        <v>5.9007475643907313E-2</v>
      </c>
      <c r="FS57" s="23">
        <f t="shared" si="96"/>
        <v>6.5217692715292775E-4</v>
      </c>
      <c r="FT57" s="393">
        <f t="shared" si="97"/>
        <v>3.2608846357646388E-4</v>
      </c>
      <c r="FU57" s="393">
        <f t="shared" si="98"/>
        <v>3.2608846357646388E-4</v>
      </c>
      <c r="FV57" s="23">
        <f t="shared" si="99"/>
        <v>7.9802628729379425E-3</v>
      </c>
      <c r="FW57" s="632">
        <f t="shared" si="62"/>
        <v>4.6000000000000263E-2</v>
      </c>
      <c r="GH57" s="169">
        <f>GW57+HI57</f>
        <v>5.01</v>
      </c>
      <c r="GU57" s="69"/>
      <c r="GW57" s="899">
        <f t="shared" si="52"/>
        <v>1.542</v>
      </c>
      <c r="HH57" s="90"/>
      <c r="HI57" s="169">
        <v>3.468</v>
      </c>
      <c r="HT57" s="24"/>
      <c r="IF57" s="90"/>
      <c r="IQ57" s="90"/>
      <c r="IR57" s="337">
        <v>49.473999999999997</v>
      </c>
      <c r="IS57" s="899">
        <f t="shared" si="55"/>
        <v>4.9939999999999998</v>
      </c>
      <c r="IU57" s="79">
        <f t="shared" si="53"/>
        <v>1.542</v>
      </c>
      <c r="IV57" s="997"/>
      <c r="IW57" s="997"/>
      <c r="JE57" s="906">
        <f t="shared" si="54"/>
        <v>2.3353021353930033E-3</v>
      </c>
      <c r="JH57" s="69"/>
      <c r="JI57" s="90"/>
      <c r="KB57" s="69"/>
      <c r="KC57" s="90"/>
      <c r="KD57" s="90"/>
      <c r="KE57" s="90"/>
      <c r="KF57" s="90"/>
      <c r="KU57" s="69"/>
      <c r="KV57" s="90"/>
      <c r="LT57" s="423"/>
      <c r="LU57" s="80"/>
      <c r="LV57" s="80"/>
      <c r="LW57" s="80"/>
      <c r="LX57" s="80"/>
      <c r="LY57" s="80"/>
      <c r="LZ57" s="80"/>
      <c r="MA57" s="80"/>
      <c r="MB57" s="80"/>
      <c r="MC57" s="80"/>
      <c r="MD57" s="80"/>
      <c r="ME57" s="80"/>
      <c r="MF57" s="80"/>
      <c r="MG57" s="80"/>
      <c r="MH57" s="67"/>
      <c r="MI57" s="136">
        <f>FoF_RoW!$BH27/1000</f>
        <v>55.41</v>
      </c>
      <c r="MJ57" s="136"/>
      <c r="MK57" s="136">
        <f>FoF_RoW!$AU27/1000</f>
        <v>5.0110000000000001</v>
      </c>
      <c r="ML57" s="136">
        <f t="shared" si="48"/>
        <v>10.93</v>
      </c>
      <c r="MM57" s="24"/>
      <c r="MP57" s="24"/>
      <c r="MY57" s="24"/>
      <c r="NC57" s="24"/>
      <c r="NI57" s="730">
        <v>13.805999999999999</v>
      </c>
      <c r="NJ57" s="28">
        <f t="shared" si="63"/>
        <v>4.8490000000000002</v>
      </c>
      <c r="NK57" s="403">
        <f t="shared" si="64"/>
        <v>7.3436316825685301E-3</v>
      </c>
      <c r="NL57" s="79">
        <v>4.8490000000000002</v>
      </c>
      <c r="NM57" s="79">
        <v>5.5060000000000002</v>
      </c>
      <c r="NN57" s="79">
        <v>0.65700000000000003</v>
      </c>
      <c r="NO57" s="425">
        <f t="shared" si="100"/>
        <v>5.3490000000000002</v>
      </c>
      <c r="NP57" s="153">
        <v>7.4370000000000003</v>
      </c>
      <c r="NQ57" s="153">
        <v>2.0880000000000001</v>
      </c>
      <c r="NR57" s="403">
        <f t="shared" si="65"/>
        <v>8.1008632439800096E-3</v>
      </c>
      <c r="NS57" s="403">
        <f t="shared" si="66"/>
        <v>7.3436316825685301E-3</v>
      </c>
      <c r="NT57" s="403">
        <f t="shared" si="67"/>
        <v>7.5723156141147951E-4</v>
      </c>
      <c r="NU57" s="727"/>
      <c r="NV57" s="688"/>
      <c r="NW57" s="688"/>
      <c r="NX57" s="793"/>
      <c r="NY57" s="688"/>
      <c r="NZ57" s="688"/>
      <c r="OA57" s="688"/>
      <c r="OB57" s="688"/>
      <c r="OC57" s="688"/>
      <c r="OD57" s="688"/>
      <c r="OE57" s="793"/>
      <c r="OF57" s="793"/>
      <c r="OG57" s="793"/>
      <c r="OH57" s="793"/>
      <c r="OM57" s="80"/>
      <c r="OO57" s="97"/>
      <c r="OP57" s="29"/>
      <c r="OQ57" s="29"/>
      <c r="OR57" s="29"/>
      <c r="OS57" s="71"/>
      <c r="OT57" s="71"/>
      <c r="OU57" s="71"/>
      <c r="OV57" s="71"/>
      <c r="OW57" s="71"/>
      <c r="OX57" s="71"/>
      <c r="OY57" s="71"/>
      <c r="OZ57" s="71"/>
      <c r="PA57" s="71"/>
      <c r="PG57" s="69"/>
      <c r="PH57" s="23"/>
      <c r="PI57" s="80"/>
    </row>
    <row r="58" spans="2:428">
      <c r="B58" s="71">
        <v>1966</v>
      </c>
      <c r="C58" s="43">
        <v>719.7</v>
      </c>
      <c r="D58" s="5">
        <v>96.1</v>
      </c>
      <c r="E58" s="6">
        <f t="shared" si="68"/>
        <v>0.13352785883006807</v>
      </c>
      <c r="F58" s="72">
        <f t="shared" si="69"/>
        <v>0</v>
      </c>
      <c r="G58" s="73">
        <f t="shared" si="70"/>
        <v>91.6</v>
      </c>
      <c r="H58" s="23">
        <f t="shared" si="71"/>
        <v>0.12727525357787967</v>
      </c>
      <c r="I58" s="74">
        <v>4.5</v>
      </c>
      <c r="J58" s="19">
        <f t="shared" si="72"/>
        <v>6.2526052521884113E-3</v>
      </c>
      <c r="K58" s="6">
        <f t="shared" si="73"/>
        <v>4.6826222684703434E-2</v>
      </c>
      <c r="L58" s="136">
        <v>5.6</v>
      </c>
      <c r="M58" s="19">
        <f t="shared" si="74"/>
        <v>7.7810198693900228E-3</v>
      </c>
      <c r="N58" s="63">
        <f t="shared" si="75"/>
        <v>5.8272632674297609E-2</v>
      </c>
      <c r="O58" s="5">
        <f t="shared" si="76"/>
        <v>96.1</v>
      </c>
      <c r="P58" s="75">
        <f t="shared" si="77"/>
        <v>0</v>
      </c>
      <c r="Q58" s="271">
        <v>81.3</v>
      </c>
      <c r="R58" s="202">
        <v>4.3</v>
      </c>
      <c r="S58" s="53">
        <f t="shared" si="78"/>
        <v>4.4745057232049947E-2</v>
      </c>
      <c r="T58" s="74">
        <v>1.7</v>
      </c>
      <c r="U58" s="74">
        <v>5.6999999999999993</v>
      </c>
      <c r="V58" s="207">
        <v>5.4</v>
      </c>
      <c r="W58" s="53">
        <f t="shared" si="79"/>
        <v>5.6191467221644129E-2</v>
      </c>
      <c r="X58" s="75">
        <f t="shared" si="80"/>
        <v>8.5</v>
      </c>
      <c r="Y58" s="187"/>
      <c r="Z58" s="75"/>
      <c r="AA58" s="75"/>
      <c r="AB58" s="75"/>
      <c r="AC58" s="75">
        <f t="shared" si="103"/>
        <v>1.4492672896783683</v>
      </c>
      <c r="AD58" s="23">
        <f t="shared" si="81"/>
        <v>1.5080825074696861E-2</v>
      </c>
      <c r="AE58" s="76"/>
      <c r="AF58" s="76">
        <v>1.5810475020199974</v>
      </c>
      <c r="AG58" s="76"/>
      <c r="AH58" s="97">
        <v>33.9</v>
      </c>
      <c r="AI58" s="22">
        <f t="shared" si="82"/>
        <v>4.7102959566486031E-2</v>
      </c>
      <c r="AJ58" s="22">
        <f t="shared" si="83"/>
        <v>4.4879811032374595E-2</v>
      </c>
      <c r="AK58" s="99">
        <f t="shared" si="84"/>
        <v>0.19999999999999574</v>
      </c>
      <c r="AL58" s="71">
        <v>29.700000000000003</v>
      </c>
      <c r="AM58" s="72">
        <f>(0.5*Fedtax!C37+0.5*Fedtax!C38)/1000</f>
        <v>32.021999999999998</v>
      </c>
      <c r="AN58" s="71">
        <v>2.2000000000000002</v>
      </c>
      <c r="AO58" s="255">
        <v>0.2</v>
      </c>
      <c r="AP58" s="71">
        <v>1.6</v>
      </c>
      <c r="AQ58" s="6">
        <f t="shared" si="85"/>
        <v>8.6424899263582031E-2</v>
      </c>
      <c r="AR58" s="207">
        <v>2.9</v>
      </c>
      <c r="AS58" s="755">
        <v>2.843</v>
      </c>
      <c r="AT58" s="757">
        <f>0.429+0.702</f>
        <v>1.131</v>
      </c>
      <c r="AU58" s="207"/>
      <c r="AV58" s="709">
        <f t="shared" si="56"/>
        <v>3.58</v>
      </c>
      <c r="AW58" s="766">
        <f t="shared" si="101"/>
        <v>1.714</v>
      </c>
      <c r="AX58" s="766">
        <f t="shared" si="104"/>
        <v>1.8660000000000001</v>
      </c>
      <c r="AY58" s="767">
        <f t="shared" si="102"/>
        <v>0.47877094972067036</v>
      </c>
      <c r="AZ58" s="709">
        <f>2.392+1.188</f>
        <v>3.58</v>
      </c>
      <c r="BA58" s="730">
        <f>0.651+0.831+0.232</f>
        <v>1.714</v>
      </c>
      <c r="BB58" s="205">
        <f>BA58/AZ58</f>
        <v>0.47877094972067036</v>
      </c>
      <c r="BC58" s="207">
        <v>1.2330000000000001</v>
      </c>
      <c r="BD58" s="707">
        <f>'Assets(MOFA)'!FJ11/1000</f>
        <v>4.9637830224523514</v>
      </c>
      <c r="BE58" s="753">
        <f t="shared" ref="BE58:BE96" si="105">AV58/BD58</f>
        <v>0.72122411149053511</v>
      </c>
      <c r="BF58" s="186">
        <v>0.48</v>
      </c>
      <c r="BG58" s="435"/>
      <c r="BH58" s="140">
        <f t="shared" ref="BH58:BH89" si="106">(AL58+AN58)/(G58+L58-T58)</f>
        <v>0.3340314136125655</v>
      </c>
      <c r="BI58" s="248">
        <f t="shared" si="57"/>
        <v>0.3340314136125655</v>
      </c>
      <c r="BJ58" s="23">
        <f t="shared" ref="BJ58:BJ89" si="107">(AH58-AP58-AO58)/(G58+L58-T58+V58)</f>
        <v>0.3181367690782953</v>
      </c>
      <c r="BK58" s="140">
        <f t="shared" ref="BK58:BK89" si="108">(AH58-AP58-AO58+AR58)/(G58+L58-T58+AR58)</f>
        <v>0.35569105691056907</v>
      </c>
      <c r="BL58" s="140">
        <f t="shared" ref="BL58:BL89" si="109">AVERAGE(BK54:BK58)</f>
        <v>0.36494284673249056</v>
      </c>
      <c r="BM58" s="248">
        <f t="shared" ref="BM58:BM89" si="110">(AH58-AP58-AO58+AR58)/(G58+L58-T58+AR58-AC58)</f>
        <v>0.36100810196634858</v>
      </c>
      <c r="BN58" s="23">
        <f t="shared" ref="BN58:BN89" si="111">(AH58-AP58)/Q58</f>
        <v>0.3972939729397294</v>
      </c>
      <c r="BO58" s="23">
        <f t="shared" ref="BO58:BO89" si="112">(AH58-AP58)/(Q58+R58)</f>
        <v>0.37733644859813081</v>
      </c>
      <c r="BP58" s="149">
        <f t="shared" si="86"/>
        <v>96.1</v>
      </c>
      <c r="BQ58" s="99">
        <f t="shared" si="87"/>
        <v>-9.9999999999994316E-2</v>
      </c>
      <c r="BR58" s="153">
        <f t="shared" si="88"/>
        <v>33.9</v>
      </c>
      <c r="BS58" s="79">
        <v>20.7</v>
      </c>
      <c r="BT58" s="79">
        <v>41.6</v>
      </c>
      <c r="BU58" s="23">
        <f t="shared" si="46"/>
        <v>0.43288241415192513</v>
      </c>
      <c r="BV58" s="71">
        <v>39.9</v>
      </c>
      <c r="BW58" s="71">
        <f t="shared" si="89"/>
        <v>1.7000000000000028</v>
      </c>
      <c r="BX58" s="23">
        <f t="shared" si="90"/>
        <v>1.768990634755466E-2</v>
      </c>
      <c r="BY58" s="23"/>
      <c r="BZ58" s="23"/>
      <c r="CA58" s="23"/>
      <c r="CB58" s="23">
        <f t="shared" si="47"/>
        <v>0.37777777777777843</v>
      </c>
      <c r="CC58" s="169">
        <f t="shared" si="91"/>
        <v>5.6</v>
      </c>
      <c r="CD58" s="174"/>
      <c r="CF58" s="79">
        <f t="shared" si="58"/>
        <v>5.2309999999999999</v>
      </c>
      <c r="CH58" s="23">
        <f t="shared" si="59"/>
        <v>0.93410714285714291</v>
      </c>
      <c r="CI58" s="169">
        <v>5.26</v>
      </c>
      <c r="CK58" s="79">
        <f t="shared" si="60"/>
        <v>5.2309999999999999</v>
      </c>
      <c r="CL58" s="159"/>
      <c r="CN58" s="159">
        <v>2</v>
      </c>
      <c r="CO58" s="159"/>
      <c r="CP58" s="79">
        <f t="shared" si="61"/>
        <v>2.8999999999999915E-2</v>
      </c>
      <c r="CZ58" s="166">
        <f t="shared" si="49"/>
        <v>5.26</v>
      </c>
      <c r="DA58" s="509">
        <v>1.496</v>
      </c>
      <c r="DB58" s="6">
        <f t="shared" si="50"/>
        <v>0.2844106463878327</v>
      </c>
      <c r="DC58" s="90"/>
      <c r="DD58" s="90"/>
      <c r="DE58" s="90"/>
      <c r="DF58" s="90"/>
      <c r="DG58" s="90">
        <v>225</v>
      </c>
      <c r="DH58" s="92"/>
      <c r="DI58" s="182">
        <v>5.2590000000000003</v>
      </c>
      <c r="DJ58" s="136">
        <v>1.4999999999999999E-2</v>
      </c>
      <c r="DK58" s="136">
        <v>4.9000000000000002E-2</v>
      </c>
      <c r="DL58" s="136">
        <v>-1E-3</v>
      </c>
      <c r="DM58" s="136">
        <v>0.17699999999999999</v>
      </c>
      <c r="DN58" s="136">
        <v>0.17299999999999999</v>
      </c>
      <c r="DO58" s="136">
        <v>2.9000000000000001E-2</v>
      </c>
      <c r="DP58" s="136">
        <v>8.9999999999999993E-3</v>
      </c>
      <c r="DQ58" s="136">
        <v>1E-3</v>
      </c>
      <c r="DR58" s="156">
        <f t="shared" ref="DR58:DR89" si="113">DJ58+DK58+DL58+DM58+DN58+DQ58</f>
        <v>0.41399999999999998</v>
      </c>
      <c r="DS58" s="156">
        <f t="shared" ref="DS58:DS89" si="114">DI58-DR58</f>
        <v>4.8450000000000006</v>
      </c>
      <c r="DT58" s="156">
        <v>0.59699999999999998</v>
      </c>
      <c r="DU58" s="6">
        <f t="shared" ref="DU58:DU89" si="115">DT58/DS58</f>
        <v>0.12321981424148605</v>
      </c>
      <c r="DV58" s="6">
        <f t="shared" ref="DV58:DV89" si="116">DJ58/$DI58</f>
        <v>2.8522532800912717E-3</v>
      </c>
      <c r="DW58" s="605">
        <f t="shared" ref="DW58:DW89" si="117">DK58/$DI58</f>
        <v>9.3173607149648219E-3</v>
      </c>
      <c r="DX58" s="605">
        <f t="shared" ref="DX58:DX89" si="118">DL58/$DI58</f>
        <v>-1.9015021867275147E-4</v>
      </c>
      <c r="DY58" s="6">
        <f t="shared" ref="DY58:DY89" si="119">DM58/$DI58</f>
        <v>3.3656588705077005E-2</v>
      </c>
      <c r="DZ58" s="6">
        <f t="shared" ref="DZ58:DZ89" si="120">DN58/$DI58</f>
        <v>3.2895987830385998E-2</v>
      </c>
      <c r="EA58" s="6">
        <f t="shared" ref="EA58:EA89" si="121">DO58/$DI58</f>
        <v>5.5143563415097924E-3</v>
      </c>
      <c r="EB58" s="6">
        <f t="shared" ref="EB58:EB89" si="122">DP58/DI58</f>
        <v>1.7113519680547629E-3</v>
      </c>
      <c r="EC58" s="605">
        <f t="shared" ref="EC58:EC89" si="123">DQ58/$DI58</f>
        <v>1.9015021867275147E-4</v>
      </c>
      <c r="ED58" s="6">
        <f t="shared" ref="ED58:ED89" si="124">EC58+DZ58+DY58+DX58+DW58+DV58</f>
        <v>7.8722190530519098E-2</v>
      </c>
      <c r="EE58" s="6"/>
      <c r="EF58" s="6"/>
      <c r="EG58" s="67">
        <v>1.7909999999999999</v>
      </c>
      <c r="EN58" s="24"/>
      <c r="EO58" s="184">
        <v>0.5</v>
      </c>
      <c r="ER58" s="169">
        <v>5.2309999999999999</v>
      </c>
      <c r="ES58" s="136">
        <v>1.482</v>
      </c>
      <c r="ET58" s="136"/>
      <c r="EU58" s="136"/>
      <c r="EV58" s="136"/>
      <c r="EW58" s="153">
        <f t="shared" ref="EW58:EW87" si="125">DJ58-FX58</f>
        <v>1.4999999999999999E-2</v>
      </c>
      <c r="EX58" s="153">
        <f t="shared" ref="EX58:EX87" si="126">DK58-FY58</f>
        <v>4.9000000000000002E-2</v>
      </c>
      <c r="EY58" s="153">
        <f t="shared" ref="EY58:EY87" si="127">DL58-FZ58</f>
        <v>-1E-3</v>
      </c>
      <c r="EZ58" s="153">
        <f t="shared" ref="EZ58:EZ87" si="128">DM58-GA58</f>
        <v>0.17699999999999999</v>
      </c>
      <c r="FA58" s="153">
        <f t="shared" ref="FA58:FA87" si="129">DN58-GB58</f>
        <v>0.14676485552606539</v>
      </c>
      <c r="FB58" s="153">
        <f t="shared" ref="FB58:FB87" si="130">DO58-GC58</f>
        <v>2.9000000000000001E-2</v>
      </c>
      <c r="FC58" s="153">
        <f t="shared" ref="FC58:FC87" si="131">DP58-GD58</f>
        <v>8.9999999999999993E-3</v>
      </c>
      <c r="FD58" s="153">
        <f t="shared" ref="FD58:FD87" si="132">DQ58-GE58</f>
        <v>1E-3</v>
      </c>
      <c r="FE58" s="153">
        <f t="shared" ref="FE58:FE89" si="133">EW58+EX58+EY58+EZ58+FA58+FD58</f>
        <v>0.38776485552606538</v>
      </c>
      <c r="FF58" s="153">
        <f t="shared" ref="FF58:FF89" si="134">DS58-GG58</f>
        <v>4.8422351444739355</v>
      </c>
      <c r="FG58" s="23">
        <f t="shared" ref="FG58:FG87" si="135">EW58/$ER58</f>
        <v>2.8675205505639457E-3</v>
      </c>
      <c r="FH58" s="23">
        <f t="shared" ref="FH58:FH87" si="136">EX58/$ER58</f>
        <v>9.3672337985088901E-3</v>
      </c>
      <c r="FI58" s="31">
        <f t="shared" ref="FI58:FI87" si="137">EY58/$ER58</f>
        <v>-1.9116803670426305E-4</v>
      </c>
      <c r="FJ58" s="23">
        <f t="shared" ref="FJ58:FJ87" si="138">EZ58/$ER58</f>
        <v>3.3836742496654561E-2</v>
      </c>
      <c r="FK58" s="23">
        <f t="shared" ref="FK58:FK87" si="139">FA58/$ER58</f>
        <v>2.8056749288102732E-2</v>
      </c>
      <c r="FL58" s="23">
        <f t="shared" ref="FL58:FL87" si="140">FB58/$ER58</f>
        <v>5.5438730644236291E-3</v>
      </c>
      <c r="FM58" s="23">
        <f t="shared" ref="FM58:FM87" si="141">FC58/$ER58</f>
        <v>1.7205123303383673E-3</v>
      </c>
      <c r="FN58" s="23">
        <f t="shared" ref="FN58:FN87" si="142">FD58/$ER58</f>
        <v>1.9116803670426305E-4</v>
      </c>
      <c r="FO58" s="184">
        <f t="shared" si="92"/>
        <v>7.4128246133830122E-2</v>
      </c>
      <c r="FP58" s="184">
        <f t="shared" si="93"/>
        <v>0.92587175386616982</v>
      </c>
      <c r="FQ58" s="6">
        <f t="shared" si="94"/>
        <v>4.319648057746605E-3</v>
      </c>
      <c r="FR58" s="23">
        <f t="shared" si="95"/>
        <v>5.3952984616551E-2</v>
      </c>
      <c r="FS58" s="23">
        <f t="shared" si="96"/>
        <v>5.7679335605036641E-4</v>
      </c>
      <c r="FT58" s="393">
        <f t="shared" si="97"/>
        <v>2.8839667802518321E-4</v>
      </c>
      <c r="FU58" s="393">
        <f t="shared" si="98"/>
        <v>2.8839667802518321E-4</v>
      </c>
      <c r="FV58" s="23">
        <f t="shared" si="99"/>
        <v>7.2042265133396566E-3</v>
      </c>
      <c r="FW58" s="632">
        <f t="shared" si="62"/>
        <v>2.8999999999999915E-2</v>
      </c>
      <c r="FX58" s="340">
        <f t="shared" ref="FX58:FX68" si="143">$OJ58*KG58</f>
        <v>0</v>
      </c>
      <c r="FY58" s="340">
        <f t="shared" ref="FY58:FY68" si="144">$OJ58*KH58</f>
        <v>0</v>
      </c>
      <c r="FZ58" s="340">
        <f t="shared" ref="FZ58:FZ68" si="145">$OJ58*KI58</f>
        <v>0</v>
      </c>
      <c r="GA58" s="340">
        <f t="shared" ref="GA58:GA68" si="146">$OJ58*KJ58</f>
        <v>0</v>
      </c>
      <c r="GB58" s="594">
        <f t="shared" ref="GB58:GB68" si="147">$OJ58*KK58</f>
        <v>2.6235144473934598E-2</v>
      </c>
      <c r="GC58" s="340">
        <f t="shared" ref="GC58:GC68" si="148">$OJ58*KL58</f>
        <v>0</v>
      </c>
      <c r="GD58" s="377">
        <f t="shared" ref="GD58:GD68" si="149">$OJ58*KO58</f>
        <v>0</v>
      </c>
      <c r="GE58" s="340">
        <f t="shared" ref="GE58:GE68" si="150">$OJ58*KP58</f>
        <v>0</v>
      </c>
      <c r="GF58" s="594">
        <f t="shared" ref="GF58:GF89" si="151">FX58+FY58+FZ58+GA58+GB58+GE58</f>
        <v>2.6235144473934598E-2</v>
      </c>
      <c r="GG58" s="341">
        <f t="shared" ref="GG58:GG68" si="152">FW58-GF58</f>
        <v>2.7648555260653164E-3</v>
      </c>
      <c r="GH58" s="169">
        <v>5.4160000000000004</v>
      </c>
      <c r="GI58" s="73">
        <v>2.1000000000000001E-2</v>
      </c>
      <c r="GJ58" s="73">
        <v>0.17100000000000001</v>
      </c>
      <c r="GK58" s="85">
        <v>6.8000000000000005E-2</v>
      </c>
      <c r="GL58" s="85">
        <v>0.20399999999999999</v>
      </c>
      <c r="GM58" s="85">
        <v>0.14899999999999999</v>
      </c>
      <c r="GN58" s="85">
        <v>8.0000000000000002E-3</v>
      </c>
      <c r="GO58" s="73">
        <f t="shared" ref="GO58:GO73" si="153">GM58-GN58</f>
        <v>0.14099999999999999</v>
      </c>
      <c r="GP58" s="73">
        <v>7.0000000000000001E-3</v>
      </c>
      <c r="GQ58" s="73">
        <v>-3.0000000000000001E-3</v>
      </c>
      <c r="GR58" s="73">
        <f t="shared" ref="GR58:GR73" si="154">GQ58+GM58+GL58+GK58+GJ58+GI58</f>
        <v>0.61</v>
      </c>
      <c r="GS58" s="73">
        <f t="shared" ref="GS58:GS74" si="155">GH58-GR58</f>
        <v>4.806</v>
      </c>
      <c r="GT58" s="23">
        <f t="shared" ref="GT58:GT73" si="156">GR58/GH58</f>
        <v>0.11262924667651403</v>
      </c>
      <c r="GU58" s="164"/>
      <c r="GW58" s="899">
        <f t="shared" si="52"/>
        <v>1.7909999999999999</v>
      </c>
      <c r="GX58" s="73">
        <f t="shared" ref="GX58:HC58" si="157">GI58-IG58</f>
        <v>2.1000000000000001E-2</v>
      </c>
      <c r="GY58" s="73">
        <f t="shared" si="157"/>
        <v>0.17100000000000001</v>
      </c>
      <c r="GZ58" s="73">
        <f t="shared" si="157"/>
        <v>6.8000000000000005E-2</v>
      </c>
      <c r="HA58" s="73">
        <f t="shared" si="157"/>
        <v>0.20399999999999999</v>
      </c>
      <c r="HB58" s="73">
        <f t="shared" si="157"/>
        <v>0.14899999999999999</v>
      </c>
      <c r="HC58" s="73">
        <f t="shared" si="157"/>
        <v>8.0000000000000002E-3</v>
      </c>
      <c r="HD58" s="73">
        <f>GP58-IM58</f>
        <v>7.0000000000000001E-3</v>
      </c>
      <c r="HE58" s="73">
        <f>GQ58-IN58</f>
        <v>-3.0000000000000001E-3</v>
      </c>
      <c r="HF58" s="73">
        <f t="shared" ref="HF58:HF73" si="158">HE58+HB58+HA58+GZ58+GY58+GX58</f>
        <v>0.61</v>
      </c>
      <c r="HG58" s="73"/>
      <c r="HH58" s="72"/>
      <c r="HI58" s="169">
        <v>3.625</v>
      </c>
      <c r="HT58" s="24"/>
      <c r="IF58" s="136"/>
      <c r="IG58" s="71">
        <v>0</v>
      </c>
      <c r="IH58" s="71">
        <v>0</v>
      </c>
      <c r="II58" s="71">
        <v>0</v>
      </c>
      <c r="IJ58" s="71">
        <v>0</v>
      </c>
      <c r="IK58" s="163">
        <f t="shared" ref="IK58:IK72" si="159">IM58</f>
        <v>0</v>
      </c>
      <c r="IL58" s="71">
        <v>0</v>
      </c>
      <c r="IM58" s="74">
        <v>0</v>
      </c>
      <c r="IN58" s="71">
        <v>0</v>
      </c>
      <c r="IO58" s="76">
        <f t="shared" ref="IO58:IO73" si="160">IG58+IH58+II58+IJ58+IK58+IN58</f>
        <v>0</v>
      </c>
      <c r="IP58" s="71"/>
      <c r="IQ58" s="90"/>
      <c r="IR58" s="337">
        <f t="shared" ref="IR58:IR73" si="161">JH58</f>
        <v>51.792000000000002</v>
      </c>
      <c r="IS58" s="899">
        <f t="shared" si="55"/>
        <v>2.3180000000000049</v>
      </c>
      <c r="IU58" s="79">
        <f t="shared" si="53"/>
        <v>1.7909999999999999</v>
      </c>
      <c r="IV58" s="997"/>
      <c r="IW58" s="159"/>
      <c r="JB58" s="23">
        <f t="shared" ref="JB58:JB89" si="162">IR58/C58</f>
        <v>7.1963318049187153E-2</v>
      </c>
      <c r="JC58" s="23">
        <f t="shared" ref="JC58:JC89" si="163">JS58/C58</f>
        <v>5.7843545921911895E-3</v>
      </c>
      <c r="JD58" s="23">
        <f t="shared" ref="JD58:JD89" si="164">JT58/C58</f>
        <v>6.6178963456995976E-2</v>
      </c>
      <c r="JE58" s="906">
        <f t="shared" si="54"/>
        <v>2.4885368903709878E-3</v>
      </c>
      <c r="JF58" s="1000"/>
      <c r="JG58" s="1001"/>
      <c r="JH58" s="5">
        <v>51.792000000000002</v>
      </c>
      <c r="JI58" s="192">
        <v>13.893000000000001</v>
      </c>
      <c r="JJ58" s="76">
        <v>7.0999999999999994E-2</v>
      </c>
      <c r="JK58" s="76">
        <v>0.87</v>
      </c>
      <c r="JL58" s="333">
        <v>0.155</v>
      </c>
      <c r="JM58" s="333">
        <v>1.88</v>
      </c>
      <c r="JN58" s="333">
        <v>1.157</v>
      </c>
      <c r="JO58" s="333">
        <v>0.14299999999999999</v>
      </c>
      <c r="JP58" s="76">
        <f>JN58-JO58</f>
        <v>1.014</v>
      </c>
      <c r="JQ58" s="76">
        <v>0</v>
      </c>
      <c r="JR58" s="76">
        <v>0.03</v>
      </c>
      <c r="JS58" s="330">
        <f t="shared" ref="JS58:JS68" si="165">JR58+JN58+JM58+JL58+JK58+JJ58</f>
        <v>4.1629999999999994</v>
      </c>
      <c r="JT58" s="330">
        <f t="shared" ref="JT58:JT68" si="166">JH58-JS58</f>
        <v>47.629000000000005</v>
      </c>
      <c r="JU58" s="23">
        <f t="shared" ref="JU58:JU68" si="167">JS58/$JH58</f>
        <v>8.0379209144269367E-2</v>
      </c>
      <c r="JV58" s="23">
        <f t="shared" ref="JV58:JV68" si="168">JJ58/$JH58</f>
        <v>1.3708680877355574E-3</v>
      </c>
      <c r="JW58" s="23">
        <f t="shared" ref="JW58:JW68" si="169">JK58/$JH58</f>
        <v>1.679796107506951E-2</v>
      </c>
      <c r="JX58" s="23">
        <f t="shared" ref="JX58:JX68" si="170">JL58/$JH58</f>
        <v>2.992740191535372E-3</v>
      </c>
      <c r="JY58" s="23">
        <f t="shared" ref="JY58:JY68" si="171">JM58/$JH58</f>
        <v>3.6299042323138707E-2</v>
      </c>
      <c r="JZ58" s="23">
        <f t="shared" ref="JZ58:JZ68" si="172">JN58/$JH58</f>
        <v>2.2339357429718876E-2</v>
      </c>
      <c r="KA58" s="23">
        <f t="shared" ref="KA58:KA68" si="173">JR58/$JH58</f>
        <v>5.7924003707136233E-4</v>
      </c>
      <c r="KB58" s="365">
        <f t="shared" ref="KB58:KB67" si="174">KB59*MI58/MI59</f>
        <v>4.1062188512459805</v>
      </c>
      <c r="KC58" s="162">
        <f t="shared" ref="KC58:KC68" si="175">KD58+KB58</f>
        <v>8.8685684968237624</v>
      </c>
      <c r="KD58" s="162">
        <f t="shared" ref="KD58:KD66" si="176">KD59*(MI58/MI59-0.02)</f>
        <v>4.7623496455777818</v>
      </c>
      <c r="KE58" s="6">
        <f>KD58/KC58</f>
        <v>0.53699192234726445</v>
      </c>
      <c r="KF58" s="1071">
        <v>0</v>
      </c>
      <c r="KG58" s="100">
        <v>0</v>
      </c>
      <c r="KH58" s="100">
        <v>0</v>
      </c>
      <c r="KI58" s="100">
        <v>0</v>
      </c>
      <c r="KJ58" s="71">
        <v>0</v>
      </c>
      <c r="KK58" s="594">
        <f>0.6*JN58</f>
        <v>0.69420000000000004</v>
      </c>
      <c r="KL58" s="100">
        <v>0</v>
      </c>
      <c r="KM58" s="100"/>
      <c r="KN58" s="100"/>
      <c r="KO58" s="100">
        <v>0</v>
      </c>
      <c r="KP58" s="71">
        <v>0</v>
      </c>
      <c r="KQ58" s="73">
        <f t="shared" ref="KQ58:KQ73" si="177">KG58+KH58+KI58+KJ58+KK58+KP58</f>
        <v>0.69420000000000004</v>
      </c>
      <c r="KR58" s="84">
        <f>KB58-KQ58</f>
        <v>3.4120188512459806</v>
      </c>
      <c r="KS58" s="23">
        <f t="shared" ref="KS58:KS89" si="178">KR58/C58</f>
        <v>4.7408904421925527E-3</v>
      </c>
      <c r="KT58" s="23">
        <f t="shared" ref="KT58:KT86" si="179">-KO58/KD58</f>
        <v>0</v>
      </c>
      <c r="KU58" s="169">
        <f t="shared" ref="KU58:KU73" si="180">JH58-KB58</f>
        <v>47.685781148754018</v>
      </c>
      <c r="KV58" s="174">
        <f>JI58-KF58</f>
        <v>13.893000000000001</v>
      </c>
      <c r="KW58" s="159">
        <f t="shared" ref="KW58:KW89" si="181">JJ58-KG58</f>
        <v>7.0999999999999994E-2</v>
      </c>
      <c r="KX58" s="159">
        <f t="shared" ref="KX58:KX89" si="182">JK58-KH58</f>
        <v>0.87</v>
      </c>
      <c r="KY58" s="159">
        <f t="shared" ref="KY58:KY89" si="183">JL58-KI58</f>
        <v>0.155</v>
      </c>
      <c r="KZ58" s="159">
        <f t="shared" ref="KZ58:KZ89" si="184">JM58-KJ58</f>
        <v>1.88</v>
      </c>
      <c r="LA58" s="159">
        <f t="shared" ref="LA58:LA89" si="185">JN58-KK58</f>
        <v>0.46279999999999999</v>
      </c>
      <c r="LB58" s="159">
        <f t="shared" ref="LB58:LB89" si="186">JO58-KL58</f>
        <v>0.14299999999999999</v>
      </c>
      <c r="LC58" s="73">
        <f t="shared" ref="LC58:LC87" si="187">JQ58-KO58</f>
        <v>0</v>
      </c>
      <c r="LD58" s="159">
        <f t="shared" ref="LD58:LD87" si="188">JR58-KP58</f>
        <v>0.03</v>
      </c>
      <c r="LE58" s="159">
        <f t="shared" ref="LE58:LE87" si="189">JS58-KQ58</f>
        <v>3.4687999999999994</v>
      </c>
      <c r="LF58" s="159">
        <f t="shared" ref="LF58:LF89" si="190">KW58+KX58+KY58+KZ58+LA58+LD58-LE58</f>
        <v>0</v>
      </c>
      <c r="LG58" s="159">
        <f t="shared" ref="LG58:LG89" si="191">JT58-KR58</f>
        <v>44.216981148754023</v>
      </c>
      <c r="LH58" s="22">
        <f t="shared" ref="LH58:LH89" si="192">LE58/$KU58</f>
        <v>7.2742857859016866E-2</v>
      </c>
      <c r="LI58" s="23">
        <f t="shared" ref="LI58:LI87" si="193">KW58/$KU58</f>
        <v>1.488913430578355E-3</v>
      </c>
      <c r="LJ58" s="23">
        <f t="shared" ref="LJ58:LJ87" si="194">KX58/$KU58</f>
        <v>1.8244432177509422E-2</v>
      </c>
      <c r="LK58" s="23">
        <f t="shared" ref="LK58:LK87" si="195">KY58/$KU58</f>
        <v>3.2504448132344372E-3</v>
      </c>
      <c r="LL58" s="23">
        <f t="shared" ref="LL58:LL87" si="196">KZ58/$KU58</f>
        <v>3.9424749992778979E-2</v>
      </c>
      <c r="LM58" s="23">
        <f t="shared" ref="LM58:LM87" si="197">LA58/$KU58</f>
        <v>9.7051990939670801E-3</v>
      </c>
      <c r="LN58" s="23">
        <f t="shared" ref="LN58:LN87" si="198">LB58/$KU58</f>
        <v>2.9987974728549966E-3</v>
      </c>
      <c r="LO58" s="23">
        <f t="shared" ref="LO58:LO87" si="199">LC58/$KU58</f>
        <v>0</v>
      </c>
      <c r="LP58" s="23">
        <f t="shared" ref="LP58:LP87" si="200">LD58/$KU58</f>
        <v>6.2911835094860071E-4</v>
      </c>
      <c r="LQ58" s="23">
        <f t="shared" ref="LQ58:LQ89" si="201">KU58/C58</f>
        <v>6.6257859036757003E-2</v>
      </c>
      <c r="LR58" s="23">
        <f t="shared" ref="LR58:LR89" si="202">LG58/C58</f>
        <v>6.1438073014803418E-2</v>
      </c>
      <c r="LS58" s="23">
        <f t="shared" ref="LS58:LS89" si="203">LE58/C58</f>
        <v>4.8197860219535904E-3</v>
      </c>
      <c r="LT58" s="295"/>
      <c r="LU58" s="153"/>
      <c r="LV58" s="153">
        <f t="shared" ref="LV58:LV89" si="204">KB58</f>
        <v>4.1062188512459805</v>
      </c>
      <c r="LW58" s="153">
        <f t="shared" ref="LW58:LW67" si="205">KD58</f>
        <v>4.7623496455777818</v>
      </c>
      <c r="LX58" s="319">
        <f>LY58*Liabilities!GT58</f>
        <v>0.42334875816090489</v>
      </c>
      <c r="LY58" s="184">
        <f t="shared" ref="LY58:LY72" si="206">LY$74</f>
        <v>5.6670963373826537E-2</v>
      </c>
      <c r="LZ58" s="184">
        <f>LX58/MF58</f>
        <v>0.22280871553279102</v>
      </c>
      <c r="MA58" s="153"/>
      <c r="MB58" s="153"/>
      <c r="MC58" s="153">
        <f>Liabilities!EF58</f>
        <v>1.4767059912620373</v>
      </c>
      <c r="MD58" s="153"/>
      <c r="ME58" s="153"/>
      <c r="MF58" s="153">
        <f t="shared" ref="MF58:MF72" si="207">MC58+LX58</f>
        <v>1.9000547494229423</v>
      </c>
      <c r="MG58" s="153">
        <f t="shared" ref="MG58:MG89" si="208">KC58</f>
        <v>8.8685684968237624</v>
      </c>
      <c r="MH58" s="326">
        <f t="shared" ref="MH58:MH89" si="209">KU58</f>
        <v>47.685781148754018</v>
      </c>
      <c r="MI58" s="1008">
        <f>FoF_RoW!$BH28/1000</f>
        <v>59.042000000000002</v>
      </c>
      <c r="MJ58" s="1008"/>
      <c r="MK58" s="1008">
        <f>FoF_RoW!$AU28/1000</f>
        <v>5.4180000000000001</v>
      </c>
      <c r="ML58" s="1008">
        <f>MI58-MI57</f>
        <v>3.632000000000005</v>
      </c>
      <c r="MM58" s="425">
        <f t="shared" ref="MM58:MM89" si="210">MI58-MS58</f>
        <v>54.935781148754018</v>
      </c>
      <c r="MN58" s="23">
        <f t="shared" ref="MN58:MN89" si="211">MM58/MH58</f>
        <v>1.1520369348125785</v>
      </c>
      <c r="MO58" s="153">
        <v>38.279322431228231</v>
      </c>
      <c r="MP58" s="425"/>
      <c r="MQ58" s="153"/>
      <c r="MR58" s="153"/>
      <c r="MS58" s="153">
        <f t="shared" ref="MS58:MS89" si="212">KB58</f>
        <v>4.1062188512459805</v>
      </c>
      <c r="MT58" s="153"/>
      <c r="MU58" s="153"/>
      <c r="MV58" s="153"/>
      <c r="MW58" s="153"/>
      <c r="MX58" s="153"/>
      <c r="MY58" s="425">
        <f>NA58-NB58-NI58</f>
        <v>62.321075474025164</v>
      </c>
      <c r="MZ58" s="23">
        <f t="shared" ref="MZ58:MZ89" si="213">MY58/$C58</f>
        <v>8.6593129740204472E-2</v>
      </c>
      <c r="NA58" s="153">
        <v>139.25232243122824</v>
      </c>
      <c r="NB58" s="153">
        <v>63.696246957203073</v>
      </c>
      <c r="NC58" s="425">
        <v>46.854999999999997</v>
      </c>
      <c r="ND58" s="23">
        <f t="shared" ref="ND58:ND73" si="214">NC58/$C58</f>
        <v>6.5103515353619551E-2</v>
      </c>
      <c r="NE58" s="153"/>
      <c r="NF58" s="153"/>
      <c r="NG58" s="153"/>
      <c r="NH58" s="153"/>
      <c r="NI58" s="153">
        <v>13.234999999999999</v>
      </c>
      <c r="NJ58" s="425">
        <f t="shared" si="63"/>
        <v>4.5490000000000004</v>
      </c>
      <c r="NK58" s="403">
        <f t="shared" si="64"/>
        <v>6.3206891760455748E-3</v>
      </c>
      <c r="NL58" s="153">
        <v>4.5490000000000004</v>
      </c>
      <c r="NM58" s="153">
        <v>5.26</v>
      </c>
      <c r="NN58" s="153">
        <v>0.71099999999999997</v>
      </c>
      <c r="NO58" s="425">
        <f t="shared" si="100"/>
        <v>5.0459999999999994</v>
      </c>
      <c r="NP58" s="153">
        <v>7.5279999999999996</v>
      </c>
      <c r="NQ58" s="153">
        <v>2.4820000000000002</v>
      </c>
      <c r="NR58" s="403">
        <f t="shared" si="65"/>
        <v>7.0112546894539381E-3</v>
      </c>
      <c r="NS58" s="403">
        <f t="shared" si="66"/>
        <v>6.3206891760455748E-3</v>
      </c>
      <c r="NT58" s="403">
        <f t="shared" si="67"/>
        <v>6.9056551340836332E-4</v>
      </c>
      <c r="NU58" s="727" t="e">
        <f t="shared" ref="NU58:NU89" si="215">ER58/MP58</f>
        <v>#DIV/0!</v>
      </c>
      <c r="NV58" s="688">
        <f t="shared" ref="NV58:NV89" si="216">ER58/MM58</f>
        <v>9.5220271571921436E-2</v>
      </c>
      <c r="NW58" s="688">
        <f t="shared" ref="NW58:NW89" si="217">ER58/MH58</f>
        <v>0.10969726979373769</v>
      </c>
      <c r="NX58" s="793" t="e">
        <f>(ER58-T.A2!B10*T.A1!M10)/MP58</f>
        <v>#DIV/0!</v>
      </c>
      <c r="NY58" s="688" t="e">
        <f>Liabilities!BU58/Liabilities!GY58</f>
        <v>#DIV/0!</v>
      </c>
      <c r="NZ58" s="688">
        <f>Liabilities!BU58/Liabilities!GT58</f>
        <v>9.5176976859056295E-2</v>
      </c>
      <c r="OA58" s="688" t="e">
        <f>Liabilities!BU58/Liabilities!GR58</f>
        <v>#DIV/0!</v>
      </c>
      <c r="OB58" s="688" t="e">
        <f>NU58-NY58</f>
        <v>#DIV/0!</v>
      </c>
      <c r="OC58" s="688">
        <f>NV58-NZ58</f>
        <v>4.3294712865141194E-5</v>
      </c>
      <c r="OD58" s="688"/>
      <c r="OE58" s="793">
        <f t="shared" ref="OE58:OE89" si="218">CK58/MM58</f>
        <v>9.5220271571921436E-2</v>
      </c>
      <c r="OF58" s="793">
        <f>OE58/(1-'Assets(MOFA)'!GU11)</f>
        <v>0.20121922374077297</v>
      </c>
      <c r="OG58" s="793">
        <f>Liabilities!HV58</f>
        <v>0</v>
      </c>
      <c r="OH58" s="793"/>
      <c r="OI58" s="387">
        <f t="shared" ref="OI58:OI72" si="219">OI59</f>
        <v>3.7791910795065685E-2</v>
      </c>
      <c r="OJ58" s="387">
        <f t="shared" ref="OJ58:OJ65" si="220">OI58</f>
        <v>3.7791910795065685E-2</v>
      </c>
      <c r="OK58" s="387"/>
      <c r="OL58" s="387"/>
      <c r="OM58" s="319"/>
      <c r="OO58" s="97">
        <f t="shared" ref="OO58:OO89" si="221">(ER58*(1+$CU58/($CK58-$CY58)))/(KU58*$MN58)</f>
        <v>9.5220271571921436E-2</v>
      </c>
      <c r="OP58" s="29"/>
      <c r="OQ58" s="29"/>
      <c r="OR58" s="29"/>
      <c r="OS58" s="71"/>
      <c r="OT58" s="71"/>
      <c r="OU58" s="71"/>
      <c r="OV58" s="71"/>
      <c r="OW58" s="71"/>
      <c r="OX58" s="71"/>
      <c r="OY58" s="71"/>
      <c r="OZ58" s="71"/>
      <c r="PA58" s="71"/>
      <c r="PG58" s="69"/>
      <c r="PH58" s="23">
        <f>'Assets(MOFA)'!GU11</f>
        <v>0.52678342654481181</v>
      </c>
      <c r="PI58" s="23">
        <f>'Assets(MOFA)'!HM11</f>
        <v>0.45775175839168453</v>
      </c>
      <c r="PJ58" s="11">
        <f t="shared" ref="PJ58:PJ89" si="222">((PI58/(1-PI58))*ER58)/MM58</f>
        <v>8.0382458442466165E-2</v>
      </c>
      <c r="PL58" s="11">
        <f>'Assets(MOFA)'!GO11/MM58/1000</f>
        <v>4.9435594901228549E-2</v>
      </c>
    </row>
    <row r="59" spans="2:428">
      <c r="B59" s="71">
        <v>1967</v>
      </c>
      <c r="C59" s="43">
        <v>760.2</v>
      </c>
      <c r="D59" s="5">
        <v>93.9</v>
      </c>
      <c r="E59" s="6">
        <f t="shared" si="68"/>
        <v>0.12352012628255722</v>
      </c>
      <c r="F59" s="72">
        <f t="shared" si="69"/>
        <v>0</v>
      </c>
      <c r="G59" s="73">
        <f t="shared" si="70"/>
        <v>89.100000000000009</v>
      </c>
      <c r="H59" s="23">
        <f t="shared" si="71"/>
        <v>0.11720599842146803</v>
      </c>
      <c r="I59" s="74">
        <v>4.8</v>
      </c>
      <c r="J59" s="19">
        <f t="shared" si="72"/>
        <v>6.3141278610891862E-3</v>
      </c>
      <c r="K59" s="6">
        <f t="shared" si="73"/>
        <v>5.1118210862619806E-2</v>
      </c>
      <c r="L59" s="136">
        <v>5.9</v>
      </c>
      <c r="M59" s="19">
        <f t="shared" si="74"/>
        <v>7.7611154959221261E-3</v>
      </c>
      <c r="N59" s="63">
        <f t="shared" si="75"/>
        <v>6.2832800851970183E-2</v>
      </c>
      <c r="O59" s="5">
        <f t="shared" si="76"/>
        <v>93.9</v>
      </c>
      <c r="P59" s="75">
        <f t="shared" si="77"/>
        <v>0</v>
      </c>
      <c r="Q59" s="271">
        <v>79.3</v>
      </c>
      <c r="R59" s="202">
        <v>5</v>
      </c>
      <c r="S59" s="53">
        <f t="shared" si="78"/>
        <v>5.3248136315228962E-2</v>
      </c>
      <c r="T59" s="74">
        <v>2</v>
      </c>
      <c r="U59" s="74">
        <v>6.1999999999999993</v>
      </c>
      <c r="V59" s="207">
        <v>7.5</v>
      </c>
      <c r="W59" s="53">
        <f t="shared" si="79"/>
        <v>7.9872204472843447E-2</v>
      </c>
      <c r="X59" s="75">
        <f t="shared" si="80"/>
        <v>8.9000000000000057</v>
      </c>
      <c r="Y59" s="187"/>
      <c r="Z59" s="75"/>
      <c r="AA59" s="75"/>
      <c r="AB59" s="75"/>
      <c r="AC59" s="75">
        <f t="shared" si="103"/>
        <v>1.397216151335279</v>
      </c>
      <c r="AD59" s="23">
        <f t="shared" si="81"/>
        <v>1.4879831217628103E-2</v>
      </c>
      <c r="AE59" s="76"/>
      <c r="AF59" s="76">
        <v>1.5242634133699995</v>
      </c>
      <c r="AG59" s="76"/>
      <c r="AH59" s="97">
        <v>32.9</v>
      </c>
      <c r="AI59" s="22">
        <f t="shared" si="82"/>
        <v>4.3278084714548797E-2</v>
      </c>
      <c r="AJ59" s="22">
        <f t="shared" si="83"/>
        <v>4.0778742436200999E-2</v>
      </c>
      <c r="AK59" s="99">
        <f t="shared" si="84"/>
        <v>0.10000000000000142</v>
      </c>
      <c r="AL59" s="71">
        <v>28.099999999999998</v>
      </c>
      <c r="AM59" s="72">
        <f>(0.5*Fedtax!C38+0.5*Fedtax!C39)/1000</f>
        <v>31.318000000000001</v>
      </c>
      <c r="AN59" s="71">
        <v>2.6</v>
      </c>
      <c r="AO59" s="255">
        <v>0.2</v>
      </c>
      <c r="AP59" s="71">
        <v>1.9</v>
      </c>
      <c r="AQ59" s="6">
        <f t="shared" si="85"/>
        <v>8.0242041568008418E-2</v>
      </c>
      <c r="AR59" s="207">
        <v>3.2</v>
      </c>
      <c r="AS59" s="713">
        <f>AR59</f>
        <v>3.2</v>
      </c>
      <c r="AT59" s="207"/>
      <c r="AU59" s="207"/>
      <c r="AV59" s="707">
        <f t="shared" si="56"/>
        <v>4.0743975749915009</v>
      </c>
      <c r="AW59" s="761">
        <f t="shared" si="101"/>
        <v>2.0454999999999997</v>
      </c>
      <c r="AX59" s="761">
        <f t="shared" si="104"/>
        <v>2.0288975749915013</v>
      </c>
      <c r="AY59" s="768">
        <f t="shared" si="102"/>
        <v>0.50203740856199253</v>
      </c>
      <c r="AZ59" s="720">
        <f>BA59/BB59</f>
        <v>4.0743975749915009</v>
      </c>
      <c r="BA59" s="55">
        <f>(BA58+BA60)/2</f>
        <v>2.0454999999999997</v>
      </c>
      <c r="BB59" s="56">
        <f>(BB58+BB60)/2</f>
        <v>0.50203740856199253</v>
      </c>
      <c r="BC59" s="207"/>
      <c r="BD59" s="210">
        <f>'Assets(MOFA)'!FJ12/1000</f>
        <v>5.3981617262385262</v>
      </c>
      <c r="BE59" s="205">
        <f t="shared" si="105"/>
        <v>0.75477501075733189</v>
      </c>
      <c r="BF59" s="186">
        <v>0.48</v>
      </c>
      <c r="BG59" s="435"/>
      <c r="BH59" s="140">
        <f t="shared" si="106"/>
        <v>0.33010752688172035</v>
      </c>
      <c r="BI59" s="248">
        <f t="shared" si="57"/>
        <v>0.33010752688172035</v>
      </c>
      <c r="BJ59" s="23">
        <f t="shared" si="107"/>
        <v>0.30646766169154227</v>
      </c>
      <c r="BK59" s="140">
        <f t="shared" si="108"/>
        <v>0.35343035343035339</v>
      </c>
      <c r="BL59" s="140">
        <f t="shared" si="109"/>
        <v>0.35978793882528903</v>
      </c>
      <c r="BM59" s="248">
        <f t="shared" si="110"/>
        <v>0.35863925741120395</v>
      </c>
      <c r="BN59" s="23">
        <f t="shared" si="111"/>
        <v>0.39092055485498112</v>
      </c>
      <c r="BO59" s="23">
        <f t="shared" si="112"/>
        <v>0.36773428232502969</v>
      </c>
      <c r="BP59" s="149">
        <f t="shared" si="86"/>
        <v>93.9</v>
      </c>
      <c r="BQ59" s="99">
        <f t="shared" si="87"/>
        <v>0</v>
      </c>
      <c r="BR59" s="153">
        <f t="shared" si="88"/>
        <v>32.9</v>
      </c>
      <c r="BS59" s="79">
        <v>21.5</v>
      </c>
      <c r="BT59" s="79">
        <v>39.5</v>
      </c>
      <c r="BU59" s="23">
        <f t="shared" ref="BU59:BU90" si="223">BT59/D59</f>
        <v>0.42066027689030883</v>
      </c>
      <c r="BV59" s="71">
        <v>37.9</v>
      </c>
      <c r="BW59" s="71">
        <f t="shared" si="89"/>
        <v>1.6000000000000014</v>
      </c>
      <c r="BX59" s="23">
        <f t="shared" si="90"/>
        <v>1.7039403620873285E-2</v>
      </c>
      <c r="BY59" s="23"/>
      <c r="BZ59" s="23"/>
      <c r="CA59" s="23"/>
      <c r="CB59" s="23">
        <f t="shared" si="47"/>
        <v>0.33333333333333365</v>
      </c>
      <c r="CC59" s="169">
        <f t="shared" si="91"/>
        <v>5.9</v>
      </c>
      <c r="CD59" s="174"/>
      <c r="CF59" s="79">
        <f t="shared" si="58"/>
        <v>5.5220000000000002</v>
      </c>
      <c r="CH59" s="23">
        <f t="shared" si="59"/>
        <v>0.93593220338983052</v>
      </c>
      <c r="CI59" s="169">
        <v>5.6029999999999998</v>
      </c>
      <c r="CK59" s="79">
        <f t="shared" si="60"/>
        <v>5.5220000000000002</v>
      </c>
      <c r="CL59" s="159"/>
      <c r="CN59" s="159">
        <v>2</v>
      </c>
      <c r="CO59" s="159"/>
      <c r="CP59" s="79">
        <f t="shared" si="61"/>
        <v>8.0999999999999517E-2</v>
      </c>
      <c r="CZ59" s="166">
        <f t="shared" si="49"/>
        <v>5.6029999999999998</v>
      </c>
      <c r="DA59" s="509">
        <v>1.7649999999999999</v>
      </c>
      <c r="DB59" s="6">
        <f t="shared" si="50"/>
        <v>0.31500981616990897</v>
      </c>
      <c r="DC59" s="90"/>
      <c r="DD59" s="90"/>
      <c r="DE59" s="90"/>
      <c r="DF59" s="90"/>
      <c r="DG59" s="245">
        <v>225</v>
      </c>
      <c r="DH59" s="92"/>
      <c r="DI59" s="182">
        <v>5.6050000000000004</v>
      </c>
      <c r="DJ59" s="136">
        <v>1.9E-2</v>
      </c>
      <c r="DK59" s="136">
        <v>7.0000000000000007E-2</v>
      </c>
      <c r="DL59" s="136">
        <v>1E-3</v>
      </c>
      <c r="DM59" s="136">
        <v>0.21299999999999999</v>
      </c>
      <c r="DN59" s="136">
        <v>0.17899999999999999</v>
      </c>
      <c r="DO59" s="136">
        <v>2.1999999999999999E-2</v>
      </c>
      <c r="DP59" s="73">
        <v>0.01</v>
      </c>
      <c r="DQ59" s="136">
        <v>2E-3</v>
      </c>
      <c r="DR59" s="156">
        <f t="shared" si="113"/>
        <v>0.48399999999999999</v>
      </c>
      <c r="DS59" s="156">
        <f t="shared" si="114"/>
        <v>5.1210000000000004</v>
      </c>
      <c r="DT59" s="156">
        <v>0.66500000000000004</v>
      </c>
      <c r="DU59" s="6">
        <f t="shared" si="115"/>
        <v>0.12985744971685217</v>
      </c>
      <c r="DV59" s="6">
        <f t="shared" si="116"/>
        <v>3.3898305084745757E-3</v>
      </c>
      <c r="DW59" s="605">
        <f t="shared" si="117"/>
        <v>1.2488849241748439E-2</v>
      </c>
      <c r="DX59" s="605">
        <f t="shared" si="118"/>
        <v>1.784121320249777E-4</v>
      </c>
      <c r="DY59" s="6">
        <f t="shared" si="119"/>
        <v>3.8001784121320249E-2</v>
      </c>
      <c r="DZ59" s="6">
        <f t="shared" si="120"/>
        <v>3.1935771632471001E-2</v>
      </c>
      <c r="EA59" s="6">
        <f t="shared" si="121"/>
        <v>3.9250669045495087E-3</v>
      </c>
      <c r="EB59" s="6">
        <f t="shared" si="122"/>
        <v>1.7841213202497768E-3</v>
      </c>
      <c r="EC59" s="605">
        <f t="shared" si="123"/>
        <v>3.568242640499554E-4</v>
      </c>
      <c r="ED59" s="6">
        <f t="shared" si="124"/>
        <v>8.6351471900089197E-2</v>
      </c>
      <c r="EE59" s="6"/>
      <c r="EF59" s="6"/>
      <c r="EG59" s="67">
        <v>1.7569999999999999</v>
      </c>
      <c r="EN59" s="24"/>
      <c r="EO59" s="184">
        <v>0.5</v>
      </c>
      <c r="ER59" s="182">
        <v>5.5220000000000002</v>
      </c>
      <c r="ES59" s="136">
        <v>1.7509999999999999</v>
      </c>
      <c r="ET59" s="136"/>
      <c r="EU59" s="136"/>
      <c r="EV59" s="136"/>
      <c r="EW59" s="153">
        <f t="shared" si="125"/>
        <v>1.9E-2</v>
      </c>
      <c r="EX59" s="153">
        <f t="shared" si="126"/>
        <v>7.0000000000000007E-2</v>
      </c>
      <c r="EY59" s="153">
        <f t="shared" si="127"/>
        <v>1E-3</v>
      </c>
      <c r="EZ59" s="153">
        <f t="shared" si="128"/>
        <v>0.21299999999999999</v>
      </c>
      <c r="FA59" s="153">
        <f t="shared" si="129"/>
        <v>0.15004383794882067</v>
      </c>
      <c r="FB59" s="153">
        <f t="shared" si="130"/>
        <v>2.1999999999999999E-2</v>
      </c>
      <c r="FC59" s="153">
        <f t="shared" si="131"/>
        <v>0.01</v>
      </c>
      <c r="FD59" s="153">
        <f t="shared" si="132"/>
        <v>2E-3</v>
      </c>
      <c r="FE59" s="153">
        <f t="shared" si="133"/>
        <v>0.45504383794882064</v>
      </c>
      <c r="FF59" s="153">
        <f t="shared" si="134"/>
        <v>5.0689561620511805</v>
      </c>
      <c r="FG59" s="23">
        <f t="shared" si="135"/>
        <v>3.4407823252444766E-3</v>
      </c>
      <c r="FH59" s="23">
        <f t="shared" si="136"/>
        <v>1.267656646142702E-2</v>
      </c>
      <c r="FI59" s="31">
        <f t="shared" si="137"/>
        <v>1.8109380659181456E-4</v>
      </c>
      <c r="FJ59" s="23">
        <f t="shared" si="138"/>
        <v>3.8572980804056502E-2</v>
      </c>
      <c r="FK59" s="23">
        <f t="shared" si="139"/>
        <v>2.7172009769797296E-2</v>
      </c>
      <c r="FL59" s="23">
        <f t="shared" si="140"/>
        <v>3.9840637450199202E-3</v>
      </c>
      <c r="FM59" s="23">
        <f t="shared" si="141"/>
        <v>1.8109380659181455E-3</v>
      </c>
      <c r="FN59" s="23">
        <f t="shared" si="142"/>
        <v>3.6218761318362912E-4</v>
      </c>
      <c r="FO59" s="23">
        <f t="shared" si="92"/>
        <v>8.240562078030074E-2</v>
      </c>
      <c r="FP59" s="23">
        <f t="shared" si="93"/>
        <v>0.91759437921969922</v>
      </c>
      <c r="FQ59" s="6">
        <f t="shared" si="94"/>
        <v>5.1777759595716122E-3</v>
      </c>
      <c r="FR59" s="23">
        <f t="shared" si="95"/>
        <v>5.7655024892398571E-2</v>
      </c>
      <c r="FS59" s="23">
        <f t="shared" si="96"/>
        <v>6.3955954038907446E-4</v>
      </c>
      <c r="FT59" s="393">
        <f t="shared" si="97"/>
        <v>3.1977977019453723E-4</v>
      </c>
      <c r="FU59" s="393">
        <f t="shared" si="98"/>
        <v>3.1977977019453723E-4</v>
      </c>
      <c r="FV59" s="23">
        <f t="shared" si="99"/>
        <v>7.1215559555330519E-3</v>
      </c>
      <c r="FW59" s="632">
        <f t="shared" si="62"/>
        <v>8.0999999999999517E-2</v>
      </c>
      <c r="FX59" s="340">
        <f t="shared" si="143"/>
        <v>0</v>
      </c>
      <c r="FY59" s="340">
        <f t="shared" si="144"/>
        <v>0</v>
      </c>
      <c r="FZ59" s="340">
        <f t="shared" si="145"/>
        <v>0</v>
      </c>
      <c r="GA59" s="340">
        <f t="shared" si="146"/>
        <v>0</v>
      </c>
      <c r="GB59" s="594">
        <f t="shared" si="147"/>
        <v>2.8956162051179322E-2</v>
      </c>
      <c r="GC59" s="340">
        <f t="shared" si="148"/>
        <v>0</v>
      </c>
      <c r="GD59" s="377">
        <f t="shared" si="149"/>
        <v>0</v>
      </c>
      <c r="GE59" s="340">
        <f t="shared" si="150"/>
        <v>0</v>
      </c>
      <c r="GF59" s="594">
        <f t="shared" si="151"/>
        <v>2.8956162051179322E-2</v>
      </c>
      <c r="GG59" s="341">
        <f t="shared" si="152"/>
        <v>5.2043837948820199E-2</v>
      </c>
      <c r="GH59" s="169">
        <v>4.8070000000000004</v>
      </c>
      <c r="GI59" s="73">
        <v>2.1999999999999999E-2</v>
      </c>
      <c r="GJ59" s="73">
        <v>0.10100000000000001</v>
      </c>
      <c r="GK59" s="85">
        <v>2.4E-2</v>
      </c>
      <c r="GL59" s="85">
        <v>0.158</v>
      </c>
      <c r="GM59" s="85">
        <v>0.12</v>
      </c>
      <c r="GN59" s="85">
        <v>4.4999999999999998E-2</v>
      </c>
      <c r="GO59" s="73">
        <f t="shared" si="153"/>
        <v>7.4999999999999997E-2</v>
      </c>
      <c r="GP59" s="73">
        <v>0</v>
      </c>
      <c r="GQ59" s="73">
        <v>1E-3</v>
      </c>
      <c r="GR59" s="73">
        <f t="shared" si="154"/>
        <v>0.42600000000000005</v>
      </c>
      <c r="GS59" s="73">
        <f t="shared" si="155"/>
        <v>4.3810000000000002</v>
      </c>
      <c r="GT59" s="23">
        <f t="shared" si="156"/>
        <v>8.8620761389640104E-2</v>
      </c>
      <c r="GU59" s="334">
        <f>GH59-IF59</f>
        <v>4.3502125365844044</v>
      </c>
      <c r="GW59" s="899">
        <f t="shared" si="52"/>
        <v>1.7569999999999999</v>
      </c>
      <c r="GX59" s="73">
        <f t="shared" ref="GX59:GX73" si="224">GI59-IG59</f>
        <v>2.1999999999999999E-2</v>
      </c>
      <c r="GY59" s="73">
        <f t="shared" ref="GY59:GY73" si="225">GJ59-IH59</f>
        <v>0.10100000000000001</v>
      </c>
      <c r="GZ59" s="73">
        <f t="shared" ref="GZ59:GZ108" si="226">GK59-II59</f>
        <v>2.4E-2</v>
      </c>
      <c r="HA59" s="73">
        <f t="shared" ref="HA59:HA108" si="227">GL59-IJ59</f>
        <v>0.158</v>
      </c>
      <c r="HB59" s="73">
        <f t="shared" ref="HB59:HB108" si="228">GM59-IK59</f>
        <v>0.12</v>
      </c>
      <c r="HC59" s="73">
        <f t="shared" ref="HC59:HC108" si="229">GN59-IL59</f>
        <v>4.4999999999999998E-2</v>
      </c>
      <c r="HD59" s="73">
        <f t="shared" ref="HD59:HD87" si="230">GP59-IM59</f>
        <v>0</v>
      </c>
      <c r="HE59" s="73">
        <f t="shared" ref="HE59:HE108" si="231">GQ59-IN59</f>
        <v>1E-3</v>
      </c>
      <c r="HF59" s="73">
        <f t="shared" si="158"/>
        <v>0.42600000000000005</v>
      </c>
      <c r="HG59" s="23">
        <f t="shared" ref="HG59:HG73" si="232">HF59/GU59</f>
        <v>9.7926249905591164E-2</v>
      </c>
      <c r="HH59" s="72">
        <f t="shared" ref="HH59:HH70" si="233">KU59-KU58</f>
        <v>4.3112125365844065</v>
      </c>
      <c r="HI59" s="169">
        <v>3.05</v>
      </c>
      <c r="HT59" s="24"/>
      <c r="IF59" s="136">
        <f t="shared" ref="IF59:IF68" si="234">IQ59</f>
        <v>0.45678746341559595</v>
      </c>
      <c r="IG59" s="71">
        <v>0</v>
      </c>
      <c r="IH59" s="71">
        <v>0</v>
      </c>
      <c r="II59" s="71">
        <v>0</v>
      </c>
      <c r="IJ59" s="71">
        <v>0</v>
      </c>
      <c r="IK59" s="163">
        <f t="shared" si="159"/>
        <v>0</v>
      </c>
      <c r="IL59" s="71">
        <v>0</v>
      </c>
      <c r="IM59" s="74">
        <v>0</v>
      </c>
      <c r="IN59" s="71">
        <v>0</v>
      </c>
      <c r="IO59" s="76">
        <f t="shared" si="160"/>
        <v>0</v>
      </c>
      <c r="IP59" s="79">
        <f t="shared" ref="IP59:IP90" si="235">IF59-IO59</f>
        <v>0.45678746341559595</v>
      </c>
      <c r="IQ59" s="174">
        <f t="shared" ref="IQ59:IQ74" si="236">KB59-KB58</f>
        <v>0.45678746341559595</v>
      </c>
      <c r="IR59" s="337">
        <f t="shared" si="161"/>
        <v>56.56</v>
      </c>
      <c r="IS59" s="73">
        <f t="shared" ref="IS59:IS74" si="237">IR59-IR58</f>
        <v>4.7680000000000007</v>
      </c>
      <c r="IT59" s="73">
        <f t="shared" ref="IT59:IT72" si="238">IU59+IV59+IW59+IX59-IS59</f>
        <v>0</v>
      </c>
      <c r="IU59" s="79">
        <f t="shared" si="53"/>
        <v>1.7569999999999999</v>
      </c>
      <c r="IV59" s="899">
        <f>HI59-IW59</f>
        <v>2.5932125365844039</v>
      </c>
      <c r="IW59" s="899">
        <f t="shared" ref="IW59:IW72" si="239">IF59</f>
        <v>0.45678746341559595</v>
      </c>
      <c r="IX59" s="73">
        <f t="shared" ref="IX59:IX74" si="240">IS59-IU59-IV59-IW59</f>
        <v>-3.8999999999998813E-2</v>
      </c>
      <c r="JB59" s="23">
        <f t="shared" si="162"/>
        <v>7.4401473296500917E-2</v>
      </c>
      <c r="JC59" s="23">
        <f t="shared" si="163"/>
        <v>6.031307550644566E-3</v>
      </c>
      <c r="JD59" s="23">
        <f t="shared" si="164"/>
        <v>6.8370165745856346E-2</v>
      </c>
      <c r="JE59" s="906">
        <f t="shared" si="54"/>
        <v>2.3112338858195208E-3</v>
      </c>
      <c r="JF59" s="1000"/>
      <c r="JG59" s="1001"/>
      <c r="JH59" s="5">
        <v>56.56</v>
      </c>
      <c r="JI59" s="192">
        <v>15.166</v>
      </c>
      <c r="JJ59" s="76">
        <v>9.1999999999999998E-2</v>
      </c>
      <c r="JK59" s="76">
        <v>0.97</v>
      </c>
      <c r="JL59" s="333">
        <v>0.17899999999999999</v>
      </c>
      <c r="JM59" s="333">
        <v>2.036</v>
      </c>
      <c r="JN59" s="333">
        <v>1.2769999999999999</v>
      </c>
      <c r="JO59" s="333">
        <v>0.188</v>
      </c>
      <c r="JP59" s="76">
        <f t="shared" ref="JP59:JP68" si="241">JN59-JO59</f>
        <v>1.089</v>
      </c>
      <c r="JQ59" s="76">
        <v>0.121</v>
      </c>
      <c r="JR59" s="76">
        <v>3.1E-2</v>
      </c>
      <c r="JS59" s="330">
        <f t="shared" si="165"/>
        <v>4.5849999999999991</v>
      </c>
      <c r="JT59" s="330">
        <f t="shared" si="166"/>
        <v>51.975000000000001</v>
      </c>
      <c r="JU59" s="23">
        <f t="shared" si="167"/>
        <v>8.1064356435643539E-2</v>
      </c>
      <c r="JV59" s="23">
        <f t="shared" si="168"/>
        <v>1.6265912305516265E-3</v>
      </c>
      <c r="JW59" s="23">
        <f t="shared" si="169"/>
        <v>1.7149929278642149E-2</v>
      </c>
      <c r="JX59" s="23">
        <f t="shared" si="170"/>
        <v>3.1647807637906647E-3</v>
      </c>
      <c r="JY59" s="23">
        <f t="shared" si="171"/>
        <v>3.5997171145685999E-2</v>
      </c>
      <c r="JZ59" s="23">
        <f t="shared" si="172"/>
        <v>2.2577793493635076E-2</v>
      </c>
      <c r="KA59" s="23">
        <f t="shared" si="173"/>
        <v>5.4809052333804802E-4</v>
      </c>
      <c r="KB59" s="365">
        <f t="shared" si="174"/>
        <v>4.5630063146615765</v>
      </c>
      <c r="KC59" s="162">
        <f t="shared" si="175"/>
        <v>9.9754234760991398</v>
      </c>
      <c r="KD59" s="162">
        <f t="shared" si="176"/>
        <v>5.4124171614375634</v>
      </c>
      <c r="KE59" s="6">
        <f t="shared" ref="KE59:KE108" si="242">KD59/KC59</f>
        <v>0.54257517732511074</v>
      </c>
      <c r="KF59" s="1071">
        <v>0</v>
      </c>
      <c r="KG59" s="100">
        <f t="shared" ref="KG59:KG98" si="243">KG58+IG59</f>
        <v>0</v>
      </c>
      <c r="KH59" s="100">
        <f t="shared" ref="KH59:KH98" si="244">KH58+IH59</f>
        <v>0</v>
      </c>
      <c r="KI59" s="100">
        <f t="shared" ref="KI59:KI98" si="245">KI58+II59</f>
        <v>0</v>
      </c>
      <c r="KJ59" s="100">
        <f t="shared" ref="KJ59:KJ98" si="246">KJ58+IJ59</f>
        <v>0</v>
      </c>
      <c r="KK59" s="276">
        <f t="shared" ref="KK59:KK69" si="247">0.6*JN59</f>
        <v>0.76619999999999988</v>
      </c>
      <c r="KL59" s="100">
        <f t="shared" ref="KL59:KL98" si="248">KL58+IL59</f>
        <v>0</v>
      </c>
      <c r="KM59" s="100"/>
      <c r="KN59" s="100"/>
      <c r="KO59" s="100">
        <f t="shared" ref="KO59:KO87" si="249">KO58+IM59</f>
        <v>0</v>
      </c>
      <c r="KP59" s="100">
        <f t="shared" ref="KP59:KP87" si="250">KP58+IN59</f>
        <v>0</v>
      </c>
      <c r="KQ59" s="73">
        <f t="shared" si="177"/>
        <v>0.76619999999999988</v>
      </c>
      <c r="KR59" s="84">
        <f t="shared" ref="KR59:KR73" si="251">KB59-KQ59</f>
        <v>3.7968063146615765</v>
      </c>
      <c r="KS59" s="23">
        <f t="shared" si="178"/>
        <v>4.994483444700837E-3</v>
      </c>
      <c r="KT59" s="23">
        <f t="shared" si="179"/>
        <v>0</v>
      </c>
      <c r="KU59" s="169">
        <f t="shared" si="180"/>
        <v>51.996993685338424</v>
      </c>
      <c r="KV59" s="174">
        <f t="shared" ref="KV59:KV108" si="252">JI59-KF59</f>
        <v>15.166</v>
      </c>
      <c r="KW59" s="159">
        <f t="shared" si="181"/>
        <v>9.1999999999999998E-2</v>
      </c>
      <c r="KX59" s="159">
        <f t="shared" si="182"/>
        <v>0.97</v>
      </c>
      <c r="KY59" s="159">
        <f t="shared" si="183"/>
        <v>0.17899999999999999</v>
      </c>
      <c r="KZ59" s="159">
        <f t="shared" si="184"/>
        <v>2.036</v>
      </c>
      <c r="LA59" s="159">
        <f t="shared" si="185"/>
        <v>0.51080000000000003</v>
      </c>
      <c r="LB59" s="159">
        <f t="shared" si="186"/>
        <v>0.188</v>
      </c>
      <c r="LC59" s="73">
        <f t="shared" si="187"/>
        <v>0.121</v>
      </c>
      <c r="LD59" s="159">
        <f t="shared" si="188"/>
        <v>3.1E-2</v>
      </c>
      <c r="LE59" s="159">
        <f t="shared" si="189"/>
        <v>3.8187999999999991</v>
      </c>
      <c r="LF59" s="159">
        <f t="shared" si="190"/>
        <v>0</v>
      </c>
      <c r="LG59" s="159">
        <f t="shared" si="191"/>
        <v>48.178193685338428</v>
      </c>
      <c r="LH59" s="22">
        <f t="shared" si="192"/>
        <v>7.3442707536316376E-2</v>
      </c>
      <c r="LI59" s="23">
        <f t="shared" si="193"/>
        <v>1.7693330609985095E-3</v>
      </c>
      <c r="LJ59" s="23">
        <f t="shared" si="194"/>
        <v>1.8654924664875588E-2</v>
      </c>
      <c r="LK59" s="23">
        <f t="shared" si="195"/>
        <v>3.4425067165079694E-3</v>
      </c>
      <c r="LL59" s="23">
        <f t="shared" si="196"/>
        <v>3.915610991514093E-2</v>
      </c>
      <c r="LM59" s="23">
        <f t="shared" si="197"/>
        <v>9.8236448647612898E-3</v>
      </c>
      <c r="LN59" s="23">
        <f t="shared" si="198"/>
        <v>3.6155936463882583E-3</v>
      </c>
      <c r="LO59" s="23">
        <f t="shared" si="199"/>
        <v>2.3270576128349959E-3</v>
      </c>
      <c r="LP59" s="23">
        <f t="shared" si="200"/>
        <v>5.9618831403210641E-4</v>
      </c>
      <c r="LQ59" s="23">
        <f t="shared" si="201"/>
        <v>6.8399097191973721E-2</v>
      </c>
      <c r="LR59" s="23">
        <f t="shared" si="202"/>
        <v>6.337568230115552E-2</v>
      </c>
      <c r="LS59" s="23">
        <f t="shared" si="203"/>
        <v>5.0234148908182043E-3</v>
      </c>
      <c r="LT59" s="295"/>
      <c r="LU59" s="153"/>
      <c r="LV59" s="153">
        <f t="shared" si="204"/>
        <v>4.5630063146615765</v>
      </c>
      <c r="LW59" s="153">
        <f t="shared" si="205"/>
        <v>5.4124171614375634</v>
      </c>
      <c r="LX59" s="319">
        <f>LY59*Liabilities!GT59</f>
        <v>0.4593572978904733</v>
      </c>
      <c r="LY59" s="184">
        <f t="shared" si="206"/>
        <v>5.6670963373826537E-2</v>
      </c>
      <c r="LZ59" s="184">
        <f t="shared" ref="LZ59:LZ108" si="253">LX59/MF59</f>
        <v>0.22280871553279105</v>
      </c>
      <c r="MA59" s="153"/>
      <c r="MB59" s="153"/>
      <c r="MC59" s="153">
        <f>Liabilities!EF59</f>
        <v>1.6023093509748361</v>
      </c>
      <c r="MD59" s="153"/>
      <c r="ME59" s="153"/>
      <c r="MF59" s="153">
        <f t="shared" si="207"/>
        <v>2.0616666488653093</v>
      </c>
      <c r="MG59" s="153">
        <f t="shared" si="208"/>
        <v>9.9754234760991398</v>
      </c>
      <c r="MH59" s="326">
        <f t="shared" si="209"/>
        <v>51.996993685338424</v>
      </c>
      <c r="MI59" s="1008">
        <f>FoF_RoW!$BH29/1000</f>
        <v>65.61</v>
      </c>
      <c r="MJ59" s="1008"/>
      <c r="MK59" s="1008">
        <f>FoF_RoW!$AU29/1000</f>
        <v>4.806</v>
      </c>
      <c r="ML59" s="1008">
        <f t="shared" ref="ML59:ML108" si="254">MI59-MI58</f>
        <v>6.5679999999999978</v>
      </c>
      <c r="MM59" s="425">
        <f t="shared" si="210"/>
        <v>61.046993685338421</v>
      </c>
      <c r="MN59" s="23">
        <f t="shared" si="211"/>
        <v>1.1740485239351794</v>
      </c>
      <c r="MO59" s="153">
        <v>47.403014272418375</v>
      </c>
      <c r="MP59" s="425"/>
      <c r="MQ59" s="153"/>
      <c r="MR59" s="153"/>
      <c r="MS59" s="153">
        <f t="shared" si="212"/>
        <v>4.5630063146615765</v>
      </c>
      <c r="MT59" s="153"/>
      <c r="MU59" s="153"/>
      <c r="MV59" s="153"/>
      <c r="MW59" s="153"/>
      <c r="MX59" s="153"/>
      <c r="MY59" s="425">
        <f t="shared" ref="MY59:MY108" si="255">NA59-NB59-NI59</f>
        <v>66.557922466897608</v>
      </c>
      <c r="MZ59" s="23">
        <f t="shared" si="213"/>
        <v>8.755317346342753E-2</v>
      </c>
      <c r="NA59" s="153">
        <v>153.16901427241837</v>
      </c>
      <c r="NB59" s="153">
        <v>74.54609180552076</v>
      </c>
      <c r="NC59" s="425">
        <v>37.346999999999994</v>
      </c>
      <c r="ND59" s="23">
        <f t="shared" si="214"/>
        <v>4.9127861089187048E-2</v>
      </c>
      <c r="NE59" s="153"/>
      <c r="NF59" s="153"/>
      <c r="NG59" s="153"/>
      <c r="NH59" s="153"/>
      <c r="NI59" s="153">
        <v>12.065</v>
      </c>
      <c r="NJ59" s="425">
        <f t="shared" si="63"/>
        <v>4.782</v>
      </c>
      <c r="NK59" s="403">
        <f t="shared" si="64"/>
        <v>6.2904498816101027E-3</v>
      </c>
      <c r="NL59" s="153">
        <v>4.782</v>
      </c>
      <c r="NM59" s="153">
        <v>5.6029999999999998</v>
      </c>
      <c r="NN59" s="153">
        <v>0.82099999999999995</v>
      </c>
      <c r="NO59" s="425">
        <f t="shared" si="100"/>
        <v>5.2740000000000009</v>
      </c>
      <c r="NP59" s="153">
        <v>8.0210000000000008</v>
      </c>
      <c r="NQ59" s="153">
        <v>2.7469999999999999</v>
      </c>
      <c r="NR59" s="403">
        <f t="shared" si="65"/>
        <v>6.937647987371745E-3</v>
      </c>
      <c r="NS59" s="403">
        <f t="shared" si="66"/>
        <v>6.2904498816101027E-3</v>
      </c>
      <c r="NT59" s="403">
        <f t="shared" si="67"/>
        <v>6.4719810576164237E-4</v>
      </c>
      <c r="NU59" s="727" t="e">
        <f t="shared" si="215"/>
        <v>#DIV/0!</v>
      </c>
      <c r="NV59" s="688">
        <f t="shared" si="216"/>
        <v>9.0454904765051719E-2</v>
      </c>
      <c r="NW59" s="688">
        <f t="shared" si="217"/>
        <v>0.10619844742210618</v>
      </c>
      <c r="NX59" s="793" t="e">
        <f>(ER59-T.A2!B11*T.A1!M11)/MP59</f>
        <v>#DIV/0!</v>
      </c>
      <c r="NY59" s="688" t="e">
        <f>Liabilities!BU59/Liabilities!GY59</f>
        <v>#DIV/0!</v>
      </c>
      <c r="NZ59" s="688">
        <f>Liabilities!BU59/Liabilities!GT59</f>
        <v>0.10128686567858818</v>
      </c>
      <c r="OA59" s="688" t="e">
        <f>Liabilities!BU59/Liabilities!GR59</f>
        <v>#DIV/0!</v>
      </c>
      <c r="OB59" s="688" t="e">
        <f t="shared" ref="OB59:OB108" si="256">NU59-NY59</f>
        <v>#DIV/0!</v>
      </c>
      <c r="OC59" s="688">
        <f t="shared" ref="OC59:OC108" si="257">NV59-NZ59</f>
        <v>-1.0831960913536456E-2</v>
      </c>
      <c r="OD59" s="688"/>
      <c r="OE59" s="793">
        <f t="shared" si="218"/>
        <v>9.0454904765051719E-2</v>
      </c>
      <c r="OF59" s="793">
        <f>OE59/(1-'Assets(MOFA)'!GU12)</f>
        <v>0.1911991741343162</v>
      </c>
      <c r="OG59" s="793">
        <f>Liabilities!HV59</f>
        <v>0</v>
      </c>
      <c r="OH59" s="793"/>
      <c r="OI59" s="387">
        <f t="shared" si="219"/>
        <v>3.7791910795065685E-2</v>
      </c>
      <c r="OJ59" s="387">
        <f t="shared" si="220"/>
        <v>3.7791910795065685E-2</v>
      </c>
      <c r="OK59" s="387"/>
      <c r="OL59" s="387"/>
      <c r="OM59" s="319"/>
      <c r="OO59" s="97">
        <f t="shared" si="221"/>
        <v>9.0454904765051719E-2</v>
      </c>
      <c r="OP59" s="29"/>
      <c r="OQ59" s="29"/>
      <c r="OR59" s="29"/>
      <c r="OS59" s="71"/>
      <c r="OT59" s="71"/>
      <c r="OU59" s="71"/>
      <c r="OV59" s="71"/>
      <c r="OW59" s="71"/>
      <c r="OX59" s="71"/>
      <c r="OY59" s="71"/>
      <c r="OZ59" s="71"/>
      <c r="PA59" s="71"/>
      <c r="PG59" s="69"/>
      <c r="PH59" s="23">
        <f>'Assets(MOFA)'!GU12</f>
        <v>0.52690745043957288</v>
      </c>
      <c r="PI59" s="23">
        <f>'Assets(MOFA)'!HM12</f>
        <v>0.45008151794951656</v>
      </c>
      <c r="PJ59" s="11">
        <f t="shared" si="222"/>
        <v>7.4032937919871547E-2</v>
      </c>
      <c r="PL59" s="11">
        <f>'Assets(MOFA)'!GO12/MM59/1000</f>
        <v>4.4867266361330288E-2</v>
      </c>
    </row>
    <row r="60" spans="2:428">
      <c r="B60" s="71">
        <v>1968</v>
      </c>
      <c r="C60" s="43">
        <v>832.1</v>
      </c>
      <c r="D60" s="5">
        <v>101.7</v>
      </c>
      <c r="E60" s="6">
        <f t="shared" si="68"/>
        <v>0.12222088691263069</v>
      </c>
      <c r="F60" s="72">
        <f t="shared" si="69"/>
        <v>0</v>
      </c>
      <c r="G60" s="73">
        <f t="shared" si="70"/>
        <v>96.100000000000009</v>
      </c>
      <c r="H60" s="23">
        <f t="shared" si="71"/>
        <v>0.11549092657132556</v>
      </c>
      <c r="I60" s="74">
        <v>5.6</v>
      </c>
      <c r="J60" s="19">
        <f t="shared" si="72"/>
        <v>6.729960341305131E-3</v>
      </c>
      <c r="K60" s="6">
        <f t="shared" si="73"/>
        <v>5.5063913470993112E-2</v>
      </c>
      <c r="L60" s="136">
        <v>7</v>
      </c>
      <c r="M60" s="19">
        <f t="shared" si="74"/>
        <v>8.4124504266314144E-3</v>
      </c>
      <c r="N60" s="63">
        <f t="shared" si="75"/>
        <v>6.88298918387414E-2</v>
      </c>
      <c r="O60" s="5">
        <f t="shared" si="76"/>
        <v>101.7</v>
      </c>
      <c r="P60" s="75">
        <f t="shared" si="77"/>
        <v>0</v>
      </c>
      <c r="Q60" s="271">
        <v>87.5</v>
      </c>
      <c r="R60" s="202">
        <v>5.4</v>
      </c>
      <c r="S60" s="53">
        <f t="shared" si="78"/>
        <v>5.3097345132743362E-2</v>
      </c>
      <c r="T60" s="74">
        <v>2.5</v>
      </c>
      <c r="U60" s="74">
        <v>3.8</v>
      </c>
      <c r="V60" s="207">
        <v>8.9</v>
      </c>
      <c r="W60" s="53">
        <f t="shared" si="79"/>
        <v>8.7512291052114055E-2</v>
      </c>
      <c r="X60" s="75">
        <f t="shared" si="80"/>
        <v>11.400000000000006</v>
      </c>
      <c r="Y60" s="187"/>
      <c r="Z60" s="75"/>
      <c r="AA60" s="75"/>
      <c r="AB60" s="75"/>
      <c r="AC60" s="75">
        <f t="shared" si="103"/>
        <v>1.5324177122888891</v>
      </c>
      <c r="AD60" s="23">
        <f t="shared" si="81"/>
        <v>1.5068020769802253E-2</v>
      </c>
      <c r="AE60" s="76"/>
      <c r="AF60" s="76">
        <f>(AF61+AF59)/2</f>
        <v>1.6717586971850014</v>
      </c>
      <c r="AG60" s="76"/>
      <c r="AH60" s="97">
        <v>39.6</v>
      </c>
      <c r="AI60" s="22">
        <f t="shared" si="82"/>
        <v>4.7590433842086291E-2</v>
      </c>
      <c r="AJ60" s="22">
        <f t="shared" si="83"/>
        <v>4.4585987261146494E-2</v>
      </c>
      <c r="AK60" s="99">
        <f t="shared" si="84"/>
        <v>0</v>
      </c>
      <c r="AL60" s="71">
        <v>33.5</v>
      </c>
      <c r="AM60" s="72">
        <f>(0.5*Fedtax!C39+0.5*Fedtax!C40)/1000</f>
        <v>32.671500000000002</v>
      </c>
      <c r="AN60" s="71">
        <v>3.3</v>
      </c>
      <c r="AO60" s="255">
        <v>0.3</v>
      </c>
      <c r="AP60" s="71">
        <v>2.5</v>
      </c>
      <c r="AQ60" s="6">
        <f t="shared" si="85"/>
        <v>7.4630453070544403E-2</v>
      </c>
      <c r="AR60" s="207">
        <v>3.7</v>
      </c>
      <c r="AS60" s="755">
        <f>2.566+1.09</f>
        <v>3.6559999999999997</v>
      </c>
      <c r="AT60" s="210">
        <f>0.549+1.06</f>
        <v>1.609</v>
      </c>
      <c r="AU60" s="205">
        <f t="shared" ref="AU60:AU62" si="258">AT60/AS60</f>
        <v>0.44009846827133481</v>
      </c>
      <c r="AV60" s="707">
        <f t="shared" si="56"/>
        <v>4.5250000000000004</v>
      </c>
      <c r="AW60" s="761">
        <f t="shared" si="101"/>
        <v>2.3769999999999998</v>
      </c>
      <c r="AX60" s="761">
        <f t="shared" si="104"/>
        <v>2.1480000000000006</v>
      </c>
      <c r="AY60" s="768">
        <f t="shared" si="102"/>
        <v>0.52530386740331481</v>
      </c>
      <c r="AZ60" s="707">
        <f>3.267+1.258</f>
        <v>4.5250000000000004</v>
      </c>
      <c r="BA60" s="210">
        <f>0.741+1.4+0.236</f>
        <v>2.3769999999999998</v>
      </c>
      <c r="BB60" s="205">
        <f>BA60/AZ60</f>
        <v>0.52530386740331481</v>
      </c>
      <c r="BC60" s="207">
        <v>1.492</v>
      </c>
      <c r="BD60" s="210">
        <f>'Assets(MOFA)'!FJ13/1000</f>
        <v>5.9898999999999996</v>
      </c>
      <c r="BE60" s="753">
        <f t="shared" si="105"/>
        <v>0.75543832117397636</v>
      </c>
      <c r="BF60" s="186">
        <v>0.52800000000000002</v>
      </c>
      <c r="BG60" s="435"/>
      <c r="BH60" s="140">
        <f t="shared" si="106"/>
        <v>0.36580516898608345</v>
      </c>
      <c r="BI60" s="248">
        <f t="shared" si="57"/>
        <v>0.36580516898608345</v>
      </c>
      <c r="BJ60" s="23">
        <f t="shared" si="107"/>
        <v>0.33607305936073056</v>
      </c>
      <c r="BK60" s="140">
        <f t="shared" si="108"/>
        <v>0.38830297219558968</v>
      </c>
      <c r="BL60" s="140">
        <f t="shared" si="109"/>
        <v>0.3617203779246011</v>
      </c>
      <c r="BM60" s="248">
        <f t="shared" si="110"/>
        <v>0.39409314784320826</v>
      </c>
      <c r="BN60" s="23">
        <f t="shared" si="111"/>
        <v>0.42400000000000004</v>
      </c>
      <c r="BO60" s="23">
        <f t="shared" si="112"/>
        <v>0.39935414424111948</v>
      </c>
      <c r="BP60" s="149">
        <f t="shared" si="86"/>
        <v>101.7</v>
      </c>
      <c r="BQ60" s="99">
        <f t="shared" si="87"/>
        <v>0</v>
      </c>
      <c r="BR60" s="153">
        <f t="shared" si="88"/>
        <v>39.6</v>
      </c>
      <c r="BS60" s="79">
        <v>23.5</v>
      </c>
      <c r="BT60" s="79">
        <v>38.6</v>
      </c>
      <c r="BU60" s="23">
        <f t="shared" si="223"/>
        <v>0.37954768928220256</v>
      </c>
      <c r="BV60" s="71">
        <v>36.299999999999997</v>
      </c>
      <c r="BW60" s="71">
        <f t="shared" si="89"/>
        <v>2.3000000000000043</v>
      </c>
      <c r="BX60" s="23">
        <f t="shared" si="90"/>
        <v>2.2615535889872213E-2</v>
      </c>
      <c r="BY60" s="23"/>
      <c r="BZ60" s="23"/>
      <c r="CA60" s="23"/>
      <c r="CB60" s="23">
        <f t="shared" si="47"/>
        <v>0.41071428571428648</v>
      </c>
      <c r="CC60" s="169">
        <f t="shared" si="91"/>
        <v>7</v>
      </c>
      <c r="CD60" s="174"/>
      <c r="CF60" s="79">
        <f t="shared" si="58"/>
        <v>6.4859999999999998</v>
      </c>
      <c r="CH60" s="23">
        <f t="shared" si="59"/>
        <v>0.92657142857142849</v>
      </c>
      <c r="CI60" s="169">
        <v>6.5910000000000002</v>
      </c>
      <c r="CK60" s="79">
        <f t="shared" si="60"/>
        <v>6.4859999999999998</v>
      </c>
      <c r="CL60" s="159"/>
      <c r="CN60" s="159">
        <v>2.8</v>
      </c>
      <c r="CO60" s="159"/>
      <c r="CP60" s="79">
        <f t="shared" si="61"/>
        <v>0.10500000000000043</v>
      </c>
      <c r="CZ60" s="166">
        <f t="shared" si="49"/>
        <v>6.5910000000000002</v>
      </c>
      <c r="DA60" s="509">
        <v>1.9830000000000001</v>
      </c>
      <c r="DB60" s="6">
        <f t="shared" si="50"/>
        <v>0.30086481565771506</v>
      </c>
      <c r="DC60" s="90"/>
      <c r="DD60" s="90"/>
      <c r="DE60" s="90"/>
      <c r="DF60" s="90"/>
      <c r="DG60" s="90">
        <v>263</v>
      </c>
      <c r="DH60" s="92"/>
      <c r="DI60" s="182">
        <v>6.5919999999999996</v>
      </c>
      <c r="DJ60" s="136">
        <v>2.4E-2</v>
      </c>
      <c r="DK60" s="136">
        <v>5.3999999999999999E-2</v>
      </c>
      <c r="DL60" s="136">
        <v>6.0000000000000001E-3</v>
      </c>
      <c r="DM60" s="136">
        <v>0.187</v>
      </c>
      <c r="DN60" s="136">
        <v>0.22</v>
      </c>
      <c r="DO60" s="136">
        <f>(DO59+DO61)/2</f>
        <v>2.5500000000000002E-2</v>
      </c>
      <c r="DP60" s="136">
        <v>8.9999999999999993E-3</v>
      </c>
      <c r="DQ60" s="136">
        <v>3.0000000000000001E-3</v>
      </c>
      <c r="DR60" s="156">
        <f t="shared" si="113"/>
        <v>0.49399999999999999</v>
      </c>
      <c r="DS60" s="156">
        <f t="shared" si="114"/>
        <v>6.0979999999999999</v>
      </c>
      <c r="DT60" s="156">
        <v>0.70699999999999996</v>
      </c>
      <c r="DU60" s="6">
        <f t="shared" si="115"/>
        <v>0.11593965234503116</v>
      </c>
      <c r="DV60" s="6">
        <f t="shared" si="116"/>
        <v>3.6407766990291263E-3</v>
      </c>
      <c r="DW60" s="605">
        <f t="shared" si="117"/>
        <v>8.1917475728155338E-3</v>
      </c>
      <c r="DX60" s="605">
        <f t="shared" si="118"/>
        <v>9.1019417475728158E-4</v>
      </c>
      <c r="DY60" s="6">
        <f t="shared" si="119"/>
        <v>2.8367718446601943E-2</v>
      </c>
      <c r="DZ60" s="6">
        <f t="shared" si="120"/>
        <v>3.3373786407766989E-2</v>
      </c>
      <c r="EA60" s="6">
        <f t="shared" si="121"/>
        <v>3.8683252427184471E-3</v>
      </c>
      <c r="EB60" s="6">
        <f t="shared" si="122"/>
        <v>1.3652912621359224E-3</v>
      </c>
      <c r="EC60" s="605">
        <f t="shared" si="123"/>
        <v>4.5509708737864079E-4</v>
      </c>
      <c r="ED60" s="6">
        <f t="shared" si="124"/>
        <v>7.4939320388349509E-2</v>
      </c>
      <c r="EE60" s="6"/>
      <c r="EF60" s="6"/>
      <c r="EG60" s="67">
        <v>2.44</v>
      </c>
      <c r="EN60" s="24"/>
      <c r="EO60" s="184">
        <v>0.5</v>
      </c>
      <c r="ER60" s="182">
        <v>6.4859999999999998</v>
      </c>
      <c r="ES60" s="136">
        <v>1.9630000000000001</v>
      </c>
      <c r="ET60" s="136"/>
      <c r="EU60" s="136"/>
      <c r="EV60" s="136"/>
      <c r="EW60" s="153">
        <f t="shared" si="125"/>
        <v>2.4E-2</v>
      </c>
      <c r="EX60" s="153">
        <f t="shared" si="126"/>
        <v>5.3999999999999999E-2</v>
      </c>
      <c r="EY60" s="153">
        <f t="shared" si="127"/>
        <v>6.0000000000000001E-3</v>
      </c>
      <c r="EZ60" s="153">
        <f t="shared" si="128"/>
        <v>0.187</v>
      </c>
      <c r="FA60" s="153">
        <f t="shared" si="129"/>
        <v>0.18514829986479042</v>
      </c>
      <c r="FB60" s="153">
        <f t="shared" si="130"/>
        <v>2.5500000000000002E-2</v>
      </c>
      <c r="FC60" s="153">
        <f t="shared" si="131"/>
        <v>8.9999999999999993E-3</v>
      </c>
      <c r="FD60" s="153">
        <f t="shared" si="132"/>
        <v>3.0000000000000001E-3</v>
      </c>
      <c r="FE60" s="153">
        <f t="shared" si="133"/>
        <v>0.45914829986479044</v>
      </c>
      <c r="FF60" s="153">
        <f t="shared" si="134"/>
        <v>6.0278517001352094</v>
      </c>
      <c r="FG60" s="23">
        <f t="shared" si="135"/>
        <v>3.7002775208140612E-3</v>
      </c>
      <c r="FH60" s="23">
        <f t="shared" si="136"/>
        <v>8.3256244218316375E-3</v>
      </c>
      <c r="FI60" s="31">
        <f t="shared" si="137"/>
        <v>9.2506938020351531E-4</v>
      </c>
      <c r="FJ60" s="23">
        <f t="shared" si="138"/>
        <v>2.8831329016342895E-2</v>
      </c>
      <c r="FK60" s="23">
        <f t="shared" si="139"/>
        <v>2.8545837166942711E-2</v>
      </c>
      <c r="FL60" s="23">
        <f t="shared" si="140"/>
        <v>3.93154486586494E-3</v>
      </c>
      <c r="FM60" s="23">
        <f t="shared" si="141"/>
        <v>1.3876040703052729E-3</v>
      </c>
      <c r="FN60" s="23">
        <f t="shared" si="142"/>
        <v>4.6253469010175765E-4</v>
      </c>
      <c r="FO60" s="23">
        <f t="shared" si="92"/>
        <v>7.0790672196236581E-2</v>
      </c>
      <c r="FP60" s="23">
        <f t="shared" si="93"/>
        <v>0.92920932780376342</v>
      </c>
      <c r="FQ60" s="6">
        <f t="shared" si="94"/>
        <v>4.8725143104587617E-3</v>
      </c>
      <c r="FR60" s="23">
        <f t="shared" si="95"/>
        <v>6.3957377528282636E-2</v>
      </c>
      <c r="FS60" s="23">
        <f t="shared" si="96"/>
        <v>5.9552302051875503E-4</v>
      </c>
      <c r="FT60" s="393">
        <f t="shared" si="97"/>
        <v>2.9776151025937751E-4</v>
      </c>
      <c r="FU60" s="393">
        <f t="shared" si="98"/>
        <v>2.9776151025937751E-4</v>
      </c>
      <c r="FV60" s="23">
        <f t="shared" si="99"/>
        <v>7.8169274061126604E-3</v>
      </c>
      <c r="FW60" s="632">
        <f t="shared" si="62"/>
        <v>0.10500000000000043</v>
      </c>
      <c r="FX60" s="340">
        <f t="shared" si="143"/>
        <v>0</v>
      </c>
      <c r="FY60" s="340">
        <f t="shared" si="144"/>
        <v>0</v>
      </c>
      <c r="FZ60" s="340">
        <f t="shared" si="145"/>
        <v>0</v>
      </c>
      <c r="GA60" s="340">
        <f t="shared" si="146"/>
        <v>0</v>
      </c>
      <c r="GB60" s="594">
        <f t="shared" si="147"/>
        <v>3.4851700135209572E-2</v>
      </c>
      <c r="GC60" s="340">
        <f t="shared" si="148"/>
        <v>0</v>
      </c>
      <c r="GD60" s="377">
        <f t="shared" si="149"/>
        <v>0</v>
      </c>
      <c r="GE60" s="340">
        <f t="shared" si="150"/>
        <v>0</v>
      </c>
      <c r="GF60" s="594">
        <f t="shared" si="151"/>
        <v>3.4851700135209572E-2</v>
      </c>
      <c r="GG60" s="341">
        <f t="shared" si="152"/>
        <v>7.0148299864790847E-2</v>
      </c>
      <c r="GH60" s="169">
        <v>5.2949999999999999</v>
      </c>
      <c r="GI60" s="73">
        <v>3.2000000000000001E-2</v>
      </c>
      <c r="GJ60" s="73">
        <v>0.11799999999999999</v>
      </c>
      <c r="GK60" s="85">
        <v>-2.1999999999999999E-2</v>
      </c>
      <c r="GL60" s="85">
        <v>0.13200000000000001</v>
      </c>
      <c r="GM60" s="85">
        <v>0.27300000000000002</v>
      </c>
      <c r="GN60" s="85">
        <v>8.0000000000000002E-3</v>
      </c>
      <c r="GO60" s="73">
        <f t="shared" si="153"/>
        <v>0.26500000000000001</v>
      </c>
      <c r="GP60" s="73">
        <v>4.7E-2</v>
      </c>
      <c r="GQ60" s="73">
        <v>1.4999999999999999E-2</v>
      </c>
      <c r="GR60" s="73">
        <f t="shared" si="154"/>
        <v>0.54800000000000004</v>
      </c>
      <c r="GS60" s="73">
        <f t="shared" si="155"/>
        <v>4.7469999999999999</v>
      </c>
      <c r="GT60" s="23">
        <f t="shared" si="156"/>
        <v>0.10349386213408877</v>
      </c>
      <c r="GU60" s="334">
        <f t="shared" ref="GU60:GU108" si="259">GH60-IF60</f>
        <v>4.7345173313540974</v>
      </c>
      <c r="GW60" s="899">
        <f t="shared" si="52"/>
        <v>2.44</v>
      </c>
      <c r="GX60" s="73">
        <f t="shared" si="224"/>
        <v>3.2000000000000001E-2</v>
      </c>
      <c r="GY60" s="73">
        <f t="shared" si="225"/>
        <v>0.11799999999999999</v>
      </c>
      <c r="GZ60" s="73">
        <f t="shared" si="226"/>
        <v>-2.1999999999999999E-2</v>
      </c>
      <c r="HA60" s="73">
        <f t="shared" si="227"/>
        <v>0.13200000000000001</v>
      </c>
      <c r="HB60" s="73">
        <f t="shared" si="228"/>
        <v>0.27300000000000002</v>
      </c>
      <c r="HC60" s="73">
        <f t="shared" si="229"/>
        <v>8.0000000000000002E-3</v>
      </c>
      <c r="HD60" s="73">
        <f t="shared" si="230"/>
        <v>4.7E-2</v>
      </c>
      <c r="HE60" s="73">
        <f t="shared" si="231"/>
        <v>1.4999999999999999E-2</v>
      </c>
      <c r="HF60" s="73">
        <f t="shared" si="158"/>
        <v>0.54800000000000004</v>
      </c>
      <c r="HG60" s="23">
        <f t="shared" si="232"/>
        <v>0.11574569520970981</v>
      </c>
      <c r="HH60" s="72">
        <f t="shared" si="233"/>
        <v>4.7865173313540907</v>
      </c>
      <c r="HI60" s="169">
        <v>2.855</v>
      </c>
      <c r="HT60" s="24"/>
      <c r="IF60" s="136">
        <f t="shared" si="234"/>
        <v>0.56048266864590257</v>
      </c>
      <c r="IG60" s="71">
        <v>0</v>
      </c>
      <c r="IH60" s="71">
        <v>0</v>
      </c>
      <c r="II60" s="71">
        <v>0</v>
      </c>
      <c r="IJ60" s="71">
        <v>0</v>
      </c>
      <c r="IK60" s="163">
        <f t="shared" si="159"/>
        <v>0</v>
      </c>
      <c r="IL60" s="71">
        <v>0</v>
      </c>
      <c r="IM60" s="74">
        <v>0</v>
      </c>
      <c r="IN60" s="71">
        <v>0</v>
      </c>
      <c r="IO60" s="76">
        <f t="shared" si="160"/>
        <v>0</v>
      </c>
      <c r="IP60" s="79">
        <f t="shared" si="235"/>
        <v>0.56048266864590257</v>
      </c>
      <c r="IQ60" s="174">
        <f t="shared" si="236"/>
        <v>0.56048266864590257</v>
      </c>
      <c r="IR60" s="337">
        <f t="shared" si="161"/>
        <v>61.906999999999996</v>
      </c>
      <c r="IS60" s="73">
        <f t="shared" si="237"/>
        <v>5.3469999999999942</v>
      </c>
      <c r="IT60" s="73">
        <f t="shared" si="238"/>
        <v>0</v>
      </c>
      <c r="IU60" s="79">
        <f t="shared" si="53"/>
        <v>2.44</v>
      </c>
      <c r="IV60" s="899">
        <f t="shared" ref="IV60:IV73" si="260">HI60-IW60</f>
        <v>2.2945173313540974</v>
      </c>
      <c r="IW60" s="899">
        <f t="shared" si="239"/>
        <v>0.56048266864590257</v>
      </c>
      <c r="IX60" s="73">
        <f t="shared" si="240"/>
        <v>5.1999999999994273E-2</v>
      </c>
      <c r="JB60" s="23">
        <f t="shared" si="162"/>
        <v>7.4398509794495846E-2</v>
      </c>
      <c r="JC60" s="23">
        <f t="shared" si="163"/>
        <v>6.149501261867564E-3</v>
      </c>
      <c r="JD60" s="23">
        <f t="shared" si="164"/>
        <v>6.8249008532628289E-2</v>
      </c>
      <c r="JE60" s="906">
        <f t="shared" si="54"/>
        <v>2.9323398629972357E-3</v>
      </c>
      <c r="JF60" s="1000"/>
      <c r="JG60" s="1001"/>
      <c r="JH60" s="5">
        <v>61.906999999999996</v>
      </c>
      <c r="JI60" s="192">
        <v>16.574000000000002</v>
      </c>
      <c r="JJ60" s="76">
        <v>0.125</v>
      </c>
      <c r="JK60" s="76">
        <v>1.093</v>
      </c>
      <c r="JL60" s="333">
        <v>0.157</v>
      </c>
      <c r="JM60" s="333">
        <v>2.1589999999999998</v>
      </c>
      <c r="JN60" s="333">
        <v>1.5369999999999999</v>
      </c>
      <c r="JO60" s="333">
        <v>0.19500000000000001</v>
      </c>
      <c r="JP60" s="76">
        <f t="shared" si="241"/>
        <v>1.3419999999999999</v>
      </c>
      <c r="JQ60" s="76">
        <v>0.155</v>
      </c>
      <c r="JR60" s="76">
        <v>4.5999999999999999E-2</v>
      </c>
      <c r="JS60" s="330">
        <f t="shared" si="165"/>
        <v>5.117</v>
      </c>
      <c r="JT60" s="330">
        <f t="shared" si="166"/>
        <v>56.79</v>
      </c>
      <c r="JU60" s="23">
        <f t="shared" si="167"/>
        <v>8.2656242428158375E-2</v>
      </c>
      <c r="JV60" s="23">
        <f t="shared" si="168"/>
        <v>2.0191577689114316E-3</v>
      </c>
      <c r="JW60" s="23">
        <f t="shared" si="169"/>
        <v>1.7655515531361559E-2</v>
      </c>
      <c r="JX60" s="23">
        <f t="shared" si="170"/>
        <v>2.5360621577527583E-3</v>
      </c>
      <c r="JY60" s="23">
        <f t="shared" si="171"/>
        <v>3.4874892984638244E-2</v>
      </c>
      <c r="JZ60" s="23">
        <f t="shared" si="172"/>
        <v>2.4827563926534964E-2</v>
      </c>
      <c r="KA60" s="23">
        <f t="shared" si="173"/>
        <v>7.4305005895940689E-4</v>
      </c>
      <c r="KB60" s="365">
        <f t="shared" si="174"/>
        <v>5.123488983307479</v>
      </c>
      <c r="KC60" s="162">
        <f t="shared" si="175"/>
        <v>11.340332962081913</v>
      </c>
      <c r="KD60" s="162">
        <f t="shared" si="176"/>
        <v>6.216843978774433</v>
      </c>
      <c r="KE60" s="6">
        <f t="shared" si="242"/>
        <v>0.54820647679052936</v>
      </c>
      <c r="KF60" s="1071">
        <v>0</v>
      </c>
      <c r="KG60" s="100">
        <f t="shared" si="243"/>
        <v>0</v>
      </c>
      <c r="KH60" s="100">
        <f t="shared" si="244"/>
        <v>0</v>
      </c>
      <c r="KI60" s="100">
        <f t="shared" si="245"/>
        <v>0</v>
      </c>
      <c r="KJ60" s="100">
        <f t="shared" si="246"/>
        <v>0</v>
      </c>
      <c r="KK60" s="594">
        <f t="shared" si="247"/>
        <v>0.92219999999999991</v>
      </c>
      <c r="KL60" s="71">
        <f t="shared" si="248"/>
        <v>0</v>
      </c>
      <c r="KM60" s="340"/>
      <c r="KN60" s="340"/>
      <c r="KO60" s="73">
        <f t="shared" si="249"/>
        <v>0</v>
      </c>
      <c r="KP60" s="71">
        <f t="shared" si="250"/>
        <v>0</v>
      </c>
      <c r="KQ60" s="73">
        <f t="shared" si="177"/>
        <v>0.92219999999999991</v>
      </c>
      <c r="KR60" s="84">
        <f t="shared" si="251"/>
        <v>4.2012889833074789</v>
      </c>
      <c r="KS60" s="23">
        <f t="shared" si="178"/>
        <v>5.049019328575266E-3</v>
      </c>
      <c r="KT60" s="23">
        <f t="shared" si="179"/>
        <v>0</v>
      </c>
      <c r="KU60" s="169">
        <f t="shared" si="180"/>
        <v>56.783511016692515</v>
      </c>
      <c r="KV60" s="174">
        <f t="shared" si="252"/>
        <v>16.574000000000002</v>
      </c>
      <c r="KW60" s="159">
        <f t="shared" si="181"/>
        <v>0.125</v>
      </c>
      <c r="KX60" s="159">
        <f t="shared" si="182"/>
        <v>1.093</v>
      </c>
      <c r="KY60" s="159">
        <f t="shared" si="183"/>
        <v>0.157</v>
      </c>
      <c r="KZ60" s="159">
        <f t="shared" si="184"/>
        <v>2.1589999999999998</v>
      </c>
      <c r="LA60" s="159">
        <f t="shared" si="185"/>
        <v>0.61480000000000001</v>
      </c>
      <c r="LB60" s="159">
        <f t="shared" si="186"/>
        <v>0.19500000000000001</v>
      </c>
      <c r="LC60" s="73">
        <f t="shared" si="187"/>
        <v>0.155</v>
      </c>
      <c r="LD60" s="159">
        <f t="shared" si="188"/>
        <v>4.5999999999999999E-2</v>
      </c>
      <c r="LE60" s="159">
        <f t="shared" si="189"/>
        <v>4.1947999999999999</v>
      </c>
      <c r="LF60" s="159">
        <f t="shared" si="190"/>
        <v>0</v>
      </c>
      <c r="LG60" s="159">
        <f t="shared" si="191"/>
        <v>52.588711016692521</v>
      </c>
      <c r="LH60" s="22">
        <f t="shared" si="192"/>
        <v>7.3873558096237912E-2</v>
      </c>
      <c r="LI60" s="23">
        <f t="shared" si="193"/>
        <v>2.2013432731071182E-3</v>
      </c>
      <c r="LJ60" s="23">
        <f t="shared" si="194"/>
        <v>1.924854558004864E-2</v>
      </c>
      <c r="LK60" s="23">
        <f t="shared" si="195"/>
        <v>2.7648871510225406E-3</v>
      </c>
      <c r="LL60" s="23">
        <f t="shared" si="196"/>
        <v>3.8021601013106143E-2</v>
      </c>
      <c r="LM60" s="23">
        <f t="shared" si="197"/>
        <v>1.0827086754450051E-2</v>
      </c>
      <c r="LN60" s="23">
        <f t="shared" si="198"/>
        <v>3.4340955060471043E-3</v>
      </c>
      <c r="LO60" s="23">
        <f t="shared" si="199"/>
        <v>2.7296656586528263E-3</v>
      </c>
      <c r="LP60" s="23">
        <f t="shared" si="200"/>
        <v>8.100943245034195E-4</v>
      </c>
      <c r="LQ60" s="23">
        <f t="shared" si="201"/>
        <v>6.8241210211143502E-2</v>
      </c>
      <c r="LR60" s="23">
        <f t="shared" si="202"/>
        <v>6.3199989204053023E-2</v>
      </c>
      <c r="LS60" s="23">
        <f t="shared" si="203"/>
        <v>5.0412210070904934E-3</v>
      </c>
      <c r="LT60" s="295"/>
      <c r="LU60" s="153"/>
      <c r="LV60" s="153">
        <f t="shared" si="204"/>
        <v>5.123488983307479</v>
      </c>
      <c r="LW60" s="153">
        <f t="shared" si="205"/>
        <v>6.216843978774433</v>
      </c>
      <c r="LX60" s="319">
        <f>LY60*Liabilities!GT60</f>
        <v>0.49531852022223682</v>
      </c>
      <c r="LY60" s="184">
        <f t="shared" si="206"/>
        <v>5.6670963373826537E-2</v>
      </c>
      <c r="LZ60" s="184">
        <f t="shared" si="253"/>
        <v>0.22280871553279108</v>
      </c>
      <c r="MA60" s="153"/>
      <c r="MB60" s="153"/>
      <c r="MC60" s="153">
        <f>Liabilities!EF60</f>
        <v>1.7277476602806532</v>
      </c>
      <c r="MD60" s="153"/>
      <c r="ME60" s="153"/>
      <c r="MF60" s="153">
        <f t="shared" si="207"/>
        <v>2.2230661805028902</v>
      </c>
      <c r="MG60" s="153">
        <f t="shared" si="208"/>
        <v>11.340332962081913</v>
      </c>
      <c r="MH60" s="326">
        <f t="shared" si="209"/>
        <v>56.783511016692515</v>
      </c>
      <c r="MI60" s="1008">
        <f>FoF_RoW!$BH30/1000</f>
        <v>73.668999999999997</v>
      </c>
      <c r="MJ60" s="1008"/>
      <c r="MK60" s="1008">
        <f>FoF_RoW!$AU30/1000</f>
        <v>5.2939999999999996</v>
      </c>
      <c r="ML60" s="1008">
        <f t="shared" si="254"/>
        <v>8.0589999999999975</v>
      </c>
      <c r="MM60" s="425">
        <f t="shared" si="210"/>
        <v>68.545511016692515</v>
      </c>
      <c r="MN60" s="23">
        <f t="shared" si="211"/>
        <v>1.2071375966262874</v>
      </c>
      <c r="MO60" s="153">
        <v>60.410362957393048</v>
      </c>
      <c r="MP60" s="425"/>
      <c r="MQ60" s="153"/>
      <c r="MR60" s="153"/>
      <c r="MS60" s="153">
        <f t="shared" si="212"/>
        <v>5.123488983307479</v>
      </c>
      <c r="MT60" s="153"/>
      <c r="MU60" s="153"/>
      <c r="MV60" s="153"/>
      <c r="MW60" s="153"/>
      <c r="MX60" s="153"/>
      <c r="MY60" s="425">
        <f t="shared" si="255"/>
        <v>74.085770474219615</v>
      </c>
      <c r="MZ60" s="23">
        <f t="shared" si="213"/>
        <v>8.9034695919023688E-2</v>
      </c>
      <c r="NA60" s="153">
        <v>172.42936295739304</v>
      </c>
      <c r="NB60" s="153">
        <v>87.451592483173428</v>
      </c>
      <c r="NC60" s="425">
        <v>38.162000000000006</v>
      </c>
      <c r="ND60" s="23">
        <f t="shared" si="214"/>
        <v>4.5862276168729725E-2</v>
      </c>
      <c r="NE60" s="153"/>
      <c r="NF60" s="153"/>
      <c r="NG60" s="153"/>
      <c r="NH60" s="153"/>
      <c r="NI60" s="153">
        <v>10.891999999999999</v>
      </c>
      <c r="NJ60" s="425">
        <f t="shared" si="63"/>
        <v>5.7149999999999999</v>
      </c>
      <c r="NK60" s="403">
        <f t="shared" si="64"/>
        <v>6.8681648840283613E-3</v>
      </c>
      <c r="NL60" s="153">
        <v>5.7149999999999999</v>
      </c>
      <c r="NM60" s="153">
        <v>6.5910000000000002</v>
      </c>
      <c r="NN60" s="153">
        <v>0.876</v>
      </c>
      <c r="NO60" s="425">
        <f t="shared" si="100"/>
        <v>5.99</v>
      </c>
      <c r="NP60" s="153">
        <v>9.3680000000000003</v>
      </c>
      <c r="NQ60" s="153">
        <v>3.3780000000000001</v>
      </c>
      <c r="NR60" s="403">
        <f t="shared" si="65"/>
        <v>7.1986540079317391E-3</v>
      </c>
      <c r="NS60" s="403">
        <f t="shared" si="66"/>
        <v>6.8681648840283613E-3</v>
      </c>
      <c r="NT60" s="403">
        <f t="shared" si="67"/>
        <v>3.3048912390337779E-4</v>
      </c>
      <c r="NU60" s="727" t="e">
        <f t="shared" si="215"/>
        <v>#DIV/0!</v>
      </c>
      <c r="NV60" s="688">
        <f t="shared" si="216"/>
        <v>9.4623264219600017E-2</v>
      </c>
      <c r="NW60" s="688">
        <f t="shared" si="217"/>
        <v>0.11422329975498215</v>
      </c>
      <c r="NX60" s="793" t="e">
        <f>(ER60-T.A2!B12*T.A1!M12)/MP60</f>
        <v>#DIV/0!</v>
      </c>
      <c r="NY60" s="688" t="e">
        <f>Liabilities!BU60/Liabilities!GY60</f>
        <v>#DIV/0!</v>
      </c>
      <c r="NZ60" s="688">
        <f>Liabilities!BU60/Liabilities!GT60</f>
        <v>0.10022593924652393</v>
      </c>
      <c r="OA60" s="688" t="e">
        <f>Liabilities!BU60/Liabilities!GR60</f>
        <v>#DIV/0!</v>
      </c>
      <c r="OB60" s="688" t="e">
        <f t="shared" si="256"/>
        <v>#DIV/0!</v>
      </c>
      <c r="OC60" s="688">
        <f t="shared" si="257"/>
        <v>-5.602675026923909E-3</v>
      </c>
      <c r="OD60" s="688"/>
      <c r="OE60" s="793">
        <f t="shared" si="218"/>
        <v>9.4623264219600017E-2</v>
      </c>
      <c r="OF60" s="793">
        <f>OE60/(1-'Assets(MOFA)'!GU13)</f>
        <v>0.19418198206939269</v>
      </c>
      <c r="OG60" s="793">
        <f>Liabilities!HV60</f>
        <v>0</v>
      </c>
      <c r="OH60" s="793"/>
      <c r="OI60" s="387">
        <f t="shared" si="219"/>
        <v>3.7791910795065685E-2</v>
      </c>
      <c r="OJ60" s="387">
        <f t="shared" si="220"/>
        <v>3.7791910795065685E-2</v>
      </c>
      <c r="OK60" s="387"/>
      <c r="OL60" s="387"/>
      <c r="OM60" s="319"/>
      <c r="OO60" s="97">
        <f t="shared" si="221"/>
        <v>9.4623264219600017E-2</v>
      </c>
      <c r="OP60" s="29"/>
      <c r="OQ60" s="29"/>
      <c r="OR60" s="29"/>
      <c r="OS60" s="71"/>
      <c r="OT60" s="71"/>
      <c r="OU60" s="71"/>
      <c r="OV60" s="71"/>
      <c r="OW60" s="71"/>
      <c r="OX60" s="71"/>
      <c r="OY60" s="71"/>
      <c r="OZ60" s="71"/>
      <c r="PA60" s="71"/>
      <c r="PG60" s="69"/>
      <c r="PH60" s="23">
        <f>'Assets(MOFA)'!GU13</f>
        <v>0.51270832025092039</v>
      </c>
      <c r="PI60" s="23">
        <f>'Assets(MOFA)'!HM13</f>
        <v>0.42593625885969699</v>
      </c>
      <c r="PJ60" s="11">
        <f t="shared" si="222"/>
        <v>7.0207324160086182E-2</v>
      </c>
      <c r="PL60" s="11">
        <f>'Assets(MOFA)'!GO13/MM60/1000</f>
        <v>4.2304739683008977E-2</v>
      </c>
    </row>
    <row r="61" spans="2:428">
      <c r="B61" s="71">
        <v>1969</v>
      </c>
      <c r="C61" s="43">
        <v>899.5</v>
      </c>
      <c r="D61" s="5">
        <v>98.4</v>
      </c>
      <c r="E61" s="6">
        <f t="shared" si="68"/>
        <v>0.1093941078376876</v>
      </c>
      <c r="F61" s="72">
        <f t="shared" si="69"/>
        <v>0</v>
      </c>
      <c r="G61" s="73">
        <f t="shared" si="70"/>
        <v>91.800000000000011</v>
      </c>
      <c r="H61" s="23">
        <f t="shared" si="71"/>
        <v>0.10205669816564759</v>
      </c>
      <c r="I61" s="74">
        <v>6.6</v>
      </c>
      <c r="J61" s="19">
        <f t="shared" si="72"/>
        <v>7.3374096720400222E-3</v>
      </c>
      <c r="K61" s="6">
        <f t="shared" si="73"/>
        <v>6.7073170731707307E-2</v>
      </c>
      <c r="L61" s="136">
        <v>8</v>
      </c>
      <c r="M61" s="19">
        <f t="shared" si="74"/>
        <v>8.8938299055030569E-3</v>
      </c>
      <c r="N61" s="63">
        <f t="shared" si="75"/>
        <v>8.1300813008130079E-2</v>
      </c>
      <c r="O61" s="5">
        <f t="shared" si="76"/>
        <v>98.4</v>
      </c>
      <c r="P61" s="75">
        <f t="shared" si="77"/>
        <v>0</v>
      </c>
      <c r="Q61" s="271">
        <v>82.1</v>
      </c>
      <c r="R61" s="202">
        <v>6.5</v>
      </c>
      <c r="S61" s="53">
        <f t="shared" si="78"/>
        <v>6.605691056910569E-2</v>
      </c>
      <c r="T61" s="74">
        <v>3.1</v>
      </c>
      <c r="U61" s="74">
        <v>1.6999999999999993</v>
      </c>
      <c r="V61" s="207">
        <v>7.8</v>
      </c>
      <c r="W61" s="53">
        <f t="shared" si="79"/>
        <v>7.9268292682926816E-2</v>
      </c>
      <c r="X61" s="75">
        <f t="shared" si="80"/>
        <v>12.800000000000011</v>
      </c>
      <c r="Y61" s="187"/>
      <c r="Z61" s="75"/>
      <c r="AA61" s="75"/>
      <c r="AB61" s="75"/>
      <c r="AC61" s="75">
        <f t="shared" si="103"/>
        <v>1.6676192732424993</v>
      </c>
      <c r="AD61" s="23">
        <f t="shared" si="81"/>
        <v>1.6947350337830278E-2</v>
      </c>
      <c r="AE61" s="76"/>
      <c r="AF61" s="76">
        <v>1.8192539810000032</v>
      </c>
      <c r="AG61" s="76"/>
      <c r="AH61" s="97">
        <v>40</v>
      </c>
      <c r="AI61" s="22">
        <f t="shared" si="82"/>
        <v>4.4469149527515288E-2</v>
      </c>
      <c r="AJ61" s="22">
        <f t="shared" si="83"/>
        <v>4.1133963312951639E-2</v>
      </c>
      <c r="AK61" s="99">
        <f t="shared" si="84"/>
        <v>0</v>
      </c>
      <c r="AL61" s="71">
        <v>33.1</v>
      </c>
      <c r="AM61" s="72">
        <f>(0.5*Fedtax!C40+0.5*Fedtax!C41)/1000</f>
        <v>34.753500000000003</v>
      </c>
      <c r="AN61" s="71">
        <v>3.6</v>
      </c>
      <c r="AO61" s="255">
        <v>0.3</v>
      </c>
      <c r="AP61" s="71">
        <v>3</v>
      </c>
      <c r="AQ61" s="6">
        <f t="shared" si="85"/>
        <v>6.4924958310172323E-2</v>
      </c>
      <c r="AR61" s="210">
        <v>4</v>
      </c>
      <c r="AS61" s="713">
        <v>3.988</v>
      </c>
      <c r="AT61" s="207"/>
      <c r="AU61" s="207"/>
      <c r="AV61" s="707">
        <f t="shared" si="56"/>
        <v>5.1859999999999999</v>
      </c>
      <c r="AW61" s="761">
        <f t="shared" si="101"/>
        <v>2.7350000000000003</v>
      </c>
      <c r="AX61" s="761">
        <f t="shared" si="104"/>
        <v>2.4509999999999996</v>
      </c>
      <c r="AY61" s="768">
        <f t="shared" si="102"/>
        <v>0.52738141149247986</v>
      </c>
      <c r="AZ61" s="707">
        <f>3.758+1.428</f>
        <v>5.1859999999999999</v>
      </c>
      <c r="BA61" s="210">
        <f>0.75+1.711+0.274</f>
        <v>2.7350000000000003</v>
      </c>
      <c r="BB61" s="205">
        <f>BA61/AZ61</f>
        <v>0.52738141149247986</v>
      </c>
      <c r="BC61" s="207">
        <v>2.706</v>
      </c>
      <c r="BD61" s="210">
        <f>'Assets(MOFA)'!FJ14/1000</f>
        <v>6.86435</v>
      </c>
      <c r="BE61" s="205">
        <f t="shared" si="105"/>
        <v>0.75549760720242998</v>
      </c>
      <c r="BF61" s="186">
        <v>0.52800000000000002</v>
      </c>
      <c r="BG61" s="435"/>
      <c r="BH61" s="140">
        <f t="shared" si="106"/>
        <v>0.37952430196483966</v>
      </c>
      <c r="BI61" s="248">
        <f t="shared" si="57"/>
        <v>0.37952430196483966</v>
      </c>
      <c r="BJ61" s="23">
        <f t="shared" si="107"/>
        <v>0.35119617224880378</v>
      </c>
      <c r="BK61" s="140">
        <f t="shared" si="108"/>
        <v>0.40417080436941405</v>
      </c>
      <c r="BL61" s="140">
        <f t="shared" si="109"/>
        <v>0.37062471423708049</v>
      </c>
      <c r="BM61" s="248">
        <f t="shared" si="110"/>
        <v>0.41097668965766149</v>
      </c>
      <c r="BN61" s="23">
        <f t="shared" si="111"/>
        <v>0.45066991473812429</v>
      </c>
      <c r="BO61" s="23">
        <f t="shared" si="112"/>
        <v>0.41760722347629797</v>
      </c>
      <c r="BP61" s="149">
        <f t="shared" si="86"/>
        <v>98.4</v>
      </c>
      <c r="BQ61" s="99">
        <f t="shared" si="87"/>
        <v>0</v>
      </c>
      <c r="BR61" s="153">
        <f t="shared" si="88"/>
        <v>40</v>
      </c>
      <c r="BS61" s="79">
        <v>24.2</v>
      </c>
      <c r="BT61" s="79">
        <v>34.200000000000003</v>
      </c>
      <c r="BU61" s="23">
        <f t="shared" si="223"/>
        <v>0.34756097560975613</v>
      </c>
      <c r="BV61" s="71">
        <v>31.4</v>
      </c>
      <c r="BW61" s="71">
        <f t="shared" si="89"/>
        <v>2.8000000000000043</v>
      </c>
      <c r="BX61" s="23">
        <f t="shared" si="90"/>
        <v>2.8455284552845569E-2</v>
      </c>
      <c r="BY61" s="23"/>
      <c r="BZ61" s="23"/>
      <c r="CA61" s="23"/>
      <c r="CB61" s="23">
        <f t="shared" si="47"/>
        <v>0.42424242424242492</v>
      </c>
      <c r="CC61" s="169">
        <f t="shared" si="91"/>
        <v>8</v>
      </c>
      <c r="CD61" s="174"/>
      <c r="CF61" s="79">
        <f t="shared" si="58"/>
        <v>7.4850000000000003</v>
      </c>
      <c r="CH61" s="23">
        <f t="shared" si="59"/>
        <v>0.93562500000000004</v>
      </c>
      <c r="CI61" s="169">
        <v>7.649</v>
      </c>
      <c r="CK61" s="79">
        <f t="shared" si="60"/>
        <v>7.4850000000000003</v>
      </c>
      <c r="CL61" s="159"/>
      <c r="CN61" s="159">
        <v>3.2</v>
      </c>
      <c r="CO61" s="159"/>
      <c r="CP61" s="79">
        <f t="shared" si="61"/>
        <v>0.1639999999999997</v>
      </c>
      <c r="CZ61" s="165">
        <f t="shared" si="49"/>
        <v>7.649</v>
      </c>
      <c r="DA61" s="606">
        <v>2.0259999999999998</v>
      </c>
      <c r="DB61" s="105">
        <f t="shared" si="50"/>
        <v>0.26487122499673155</v>
      </c>
      <c r="DC61" s="113"/>
      <c r="DD61" s="113"/>
      <c r="DE61" s="113"/>
      <c r="DF61" s="113"/>
      <c r="DG61" s="113">
        <v>321</v>
      </c>
      <c r="DH61" s="636"/>
      <c r="DI61" s="183">
        <v>7.649</v>
      </c>
      <c r="DJ61" s="134">
        <v>3.5000000000000003E-2</v>
      </c>
      <c r="DK61" s="134">
        <v>6.3E-2</v>
      </c>
      <c r="DL61" s="134">
        <v>2.5999999999999999E-2</v>
      </c>
      <c r="DM61" s="134">
        <v>0.313</v>
      </c>
      <c r="DN61" s="134">
        <v>0.22500000000000001</v>
      </c>
      <c r="DO61" s="134">
        <v>2.9000000000000001E-2</v>
      </c>
      <c r="DP61" s="134">
        <v>0</v>
      </c>
      <c r="DQ61" s="134">
        <v>8.0000000000000002E-3</v>
      </c>
      <c r="DR61" s="154">
        <f t="shared" si="113"/>
        <v>0.67</v>
      </c>
      <c r="DS61" s="154">
        <f t="shared" si="114"/>
        <v>6.9790000000000001</v>
      </c>
      <c r="DT61" s="154">
        <v>0.67700000000000005</v>
      </c>
      <c r="DU61" s="105">
        <f t="shared" si="115"/>
        <v>9.7005301619143156E-2</v>
      </c>
      <c r="DV61" s="105">
        <f t="shared" si="116"/>
        <v>4.5757615374558769E-3</v>
      </c>
      <c r="DW61" s="607">
        <f t="shared" si="117"/>
        <v>8.2363707674205783E-3</v>
      </c>
      <c r="DX61" s="607">
        <f t="shared" si="118"/>
        <v>3.3991371421100798E-3</v>
      </c>
      <c r="DY61" s="105">
        <f t="shared" si="119"/>
        <v>4.0920381749248266E-2</v>
      </c>
      <c r="DZ61" s="105">
        <f t="shared" si="120"/>
        <v>2.941560988364492E-2</v>
      </c>
      <c r="EA61" s="105">
        <f t="shared" si="121"/>
        <v>3.7913452738920122E-3</v>
      </c>
      <c r="EB61" s="105">
        <f t="shared" si="122"/>
        <v>0</v>
      </c>
      <c r="EC61" s="607">
        <f t="shared" si="123"/>
        <v>1.0458883514184861E-3</v>
      </c>
      <c r="ED61" s="105">
        <f t="shared" si="124"/>
        <v>8.7593149431298215E-2</v>
      </c>
      <c r="EE61" s="6"/>
      <c r="EF61" s="6"/>
      <c r="EG61" s="67">
        <v>2.83</v>
      </c>
      <c r="EN61" s="24"/>
      <c r="EO61" s="184">
        <v>0.5</v>
      </c>
      <c r="ER61" s="182">
        <v>7.4850000000000003</v>
      </c>
      <c r="ES61" s="136">
        <v>1.996</v>
      </c>
      <c r="ET61" s="136"/>
      <c r="EU61" s="136"/>
      <c r="EV61" s="136"/>
      <c r="EW61" s="153">
        <f t="shared" si="125"/>
        <v>3.5000000000000003E-2</v>
      </c>
      <c r="EX61" s="153">
        <f t="shared" si="126"/>
        <v>6.3E-2</v>
      </c>
      <c r="EY61" s="153">
        <f t="shared" si="127"/>
        <v>2.5999999999999999E-2</v>
      </c>
      <c r="EZ61" s="153">
        <f t="shared" si="128"/>
        <v>0.313</v>
      </c>
      <c r="FA61" s="153">
        <f t="shared" si="129"/>
        <v>0.18924129400570885</v>
      </c>
      <c r="FB61" s="153">
        <f t="shared" si="130"/>
        <v>2.9000000000000001E-2</v>
      </c>
      <c r="FC61" s="153">
        <f t="shared" si="131"/>
        <v>0</v>
      </c>
      <c r="FD61" s="153">
        <f t="shared" si="132"/>
        <v>8.0000000000000002E-3</v>
      </c>
      <c r="FE61" s="153">
        <f t="shared" si="133"/>
        <v>0.63424129400570883</v>
      </c>
      <c r="FF61" s="153">
        <f t="shared" si="134"/>
        <v>6.8507587059942914</v>
      </c>
      <c r="FG61" s="23">
        <f t="shared" si="135"/>
        <v>4.6760187040748163E-3</v>
      </c>
      <c r="FH61" s="23">
        <f t="shared" si="136"/>
        <v>8.4168336673346687E-3</v>
      </c>
      <c r="FI61" s="31">
        <f t="shared" si="137"/>
        <v>3.4736138944555777E-3</v>
      </c>
      <c r="FJ61" s="23">
        <f t="shared" si="138"/>
        <v>4.1816967267869071E-2</v>
      </c>
      <c r="FK61" s="23">
        <f t="shared" si="139"/>
        <v>2.5282738010114741E-2</v>
      </c>
      <c r="FL61" s="23">
        <f t="shared" si="140"/>
        <v>3.8744154976619906E-3</v>
      </c>
      <c r="FM61" s="23">
        <f t="shared" si="141"/>
        <v>0</v>
      </c>
      <c r="FN61" s="23">
        <f t="shared" si="142"/>
        <v>1.0688042752171009E-3</v>
      </c>
      <c r="FO61" s="23">
        <f t="shared" si="92"/>
        <v>8.4734975819065986E-2</v>
      </c>
      <c r="FP61" s="23">
        <f t="shared" si="93"/>
        <v>0.91526502418093403</v>
      </c>
      <c r="FQ61" s="105">
        <f t="shared" si="94"/>
        <v>6.8890224243143075E-3</v>
      </c>
      <c r="FR61" s="23">
        <f t="shared" si="95"/>
        <v>7.4411790583815779E-2</v>
      </c>
      <c r="FS61" s="23">
        <f t="shared" si="96"/>
        <v>7.5361846198168745E-4</v>
      </c>
      <c r="FT61" s="393">
        <f t="shared" si="97"/>
        <v>3.7680923099084372E-4</v>
      </c>
      <c r="FU61" s="393">
        <f t="shared" si="98"/>
        <v>3.7680923099084372E-4</v>
      </c>
      <c r="FV61" s="23">
        <f t="shared" si="99"/>
        <v>8.1402114435213703E-3</v>
      </c>
      <c r="FW61" s="632">
        <f t="shared" si="62"/>
        <v>0.1639999999999997</v>
      </c>
      <c r="FX61" s="340">
        <f t="shared" si="143"/>
        <v>0</v>
      </c>
      <c r="FY61" s="340">
        <f t="shared" si="144"/>
        <v>0</v>
      </c>
      <c r="FZ61" s="340">
        <f t="shared" si="145"/>
        <v>0</v>
      </c>
      <c r="GA61" s="340">
        <f t="shared" si="146"/>
        <v>0</v>
      </c>
      <c r="GB61" s="594">
        <f t="shared" si="147"/>
        <v>3.5758705994291151E-2</v>
      </c>
      <c r="GC61" s="340">
        <f t="shared" si="148"/>
        <v>0</v>
      </c>
      <c r="GD61" s="377">
        <f t="shared" si="149"/>
        <v>0</v>
      </c>
      <c r="GE61" s="340">
        <f t="shared" si="150"/>
        <v>0</v>
      </c>
      <c r="GF61" s="594">
        <f t="shared" si="151"/>
        <v>3.5758705994291151E-2</v>
      </c>
      <c r="GG61" s="341">
        <f t="shared" si="152"/>
        <v>0.12824129400570855</v>
      </c>
      <c r="GH61" s="169">
        <v>5.9610000000000003</v>
      </c>
      <c r="GI61" s="73">
        <v>3.9E-2</v>
      </c>
      <c r="GJ61" s="73">
        <v>0.154</v>
      </c>
      <c r="GK61" s="85">
        <v>2.7E-2</v>
      </c>
      <c r="GL61" s="85">
        <v>0.22900000000000001</v>
      </c>
      <c r="GM61" s="85">
        <v>4.1000000000000002E-2</v>
      </c>
      <c r="GN61" s="85">
        <v>7.0000000000000001E-3</v>
      </c>
      <c r="GO61" s="73">
        <f t="shared" si="153"/>
        <v>3.4000000000000002E-2</v>
      </c>
      <c r="GP61" s="73">
        <v>0</v>
      </c>
      <c r="GQ61" s="73">
        <v>2.1999999999999999E-2</v>
      </c>
      <c r="GR61" s="73">
        <f t="shared" si="154"/>
        <v>0.51200000000000012</v>
      </c>
      <c r="GS61" s="73">
        <f t="shared" si="155"/>
        <v>5.4489999999999998</v>
      </c>
      <c r="GT61" s="23">
        <f t="shared" si="156"/>
        <v>8.5891628921321947E-2</v>
      </c>
      <c r="GU61" s="334">
        <f t="shared" si="259"/>
        <v>5.3069760496406433</v>
      </c>
      <c r="GW61" s="899">
        <f t="shared" si="52"/>
        <v>2.83</v>
      </c>
      <c r="GX61" s="73">
        <f t="shared" si="224"/>
        <v>3.9E-2</v>
      </c>
      <c r="GY61" s="73">
        <f t="shared" si="225"/>
        <v>0.154</v>
      </c>
      <c r="GZ61" s="73">
        <f t="shared" si="226"/>
        <v>2.7E-2</v>
      </c>
      <c r="HA61" s="73">
        <f t="shared" si="227"/>
        <v>0.22900000000000001</v>
      </c>
      <c r="HB61" s="73">
        <f t="shared" si="228"/>
        <v>4.1000000000000002E-2</v>
      </c>
      <c r="HC61" s="73">
        <f t="shared" si="229"/>
        <v>7.0000000000000001E-3</v>
      </c>
      <c r="HD61" s="73">
        <f t="shared" si="230"/>
        <v>0</v>
      </c>
      <c r="HE61" s="73">
        <f t="shared" si="231"/>
        <v>2.1999999999999999E-2</v>
      </c>
      <c r="HF61" s="73">
        <f t="shared" si="158"/>
        <v>0.51200000000000012</v>
      </c>
      <c r="HG61" s="23">
        <f t="shared" si="232"/>
        <v>9.6476787385288781E-2</v>
      </c>
      <c r="HH61" s="72">
        <f t="shared" si="233"/>
        <v>5.5319760496406545</v>
      </c>
      <c r="HI61" s="169">
        <v>3.13</v>
      </c>
      <c r="HT61" s="24"/>
      <c r="IF61" s="136">
        <f t="shared" si="234"/>
        <v>0.65402395035935701</v>
      </c>
      <c r="IG61" s="71">
        <v>0</v>
      </c>
      <c r="IH61" s="71">
        <v>0</v>
      </c>
      <c r="II61" s="71">
        <v>0</v>
      </c>
      <c r="IJ61" s="71">
        <v>0</v>
      </c>
      <c r="IK61" s="163">
        <f t="shared" si="159"/>
        <v>0</v>
      </c>
      <c r="IL61" s="71">
        <v>0</v>
      </c>
      <c r="IM61" s="103">
        <v>0</v>
      </c>
      <c r="IN61" s="71">
        <v>0</v>
      </c>
      <c r="IO61" s="76">
        <f t="shared" si="160"/>
        <v>0</v>
      </c>
      <c r="IP61" s="79">
        <f t="shared" si="235"/>
        <v>0.65402395035935701</v>
      </c>
      <c r="IQ61" s="174">
        <f t="shared" si="236"/>
        <v>0.65402395035935701</v>
      </c>
      <c r="IR61" s="337">
        <f t="shared" si="161"/>
        <v>68.093000000000004</v>
      </c>
      <c r="IS61" s="73">
        <f t="shared" si="237"/>
        <v>6.186000000000007</v>
      </c>
      <c r="IT61" s="73">
        <f t="shared" si="238"/>
        <v>0</v>
      </c>
      <c r="IU61" s="79">
        <f t="shared" si="53"/>
        <v>2.83</v>
      </c>
      <c r="IV61" s="901">
        <f t="shared" si="260"/>
        <v>2.4759760496406429</v>
      </c>
      <c r="IW61" s="901">
        <f t="shared" si="239"/>
        <v>0.65402395035935701</v>
      </c>
      <c r="IX61" s="73">
        <f t="shared" si="240"/>
        <v>0.22600000000000708</v>
      </c>
      <c r="JB61" s="23">
        <f t="shared" si="162"/>
        <v>7.5700944969427461E-2</v>
      </c>
      <c r="JC61" s="23">
        <f t="shared" si="163"/>
        <v>6.2879377431906613E-3</v>
      </c>
      <c r="JD61" s="23">
        <f t="shared" si="164"/>
        <v>6.9413007226236806E-2</v>
      </c>
      <c r="JE61" s="905">
        <f t="shared" si="54"/>
        <v>3.1461923290717064E-3</v>
      </c>
      <c r="JF61" s="1002"/>
      <c r="JG61" s="1003"/>
      <c r="JH61" s="5">
        <v>68.093000000000004</v>
      </c>
      <c r="JI61" s="192">
        <v>17.611999999999998</v>
      </c>
      <c r="JJ61" s="76">
        <v>0.16400000000000001</v>
      </c>
      <c r="JK61" s="76">
        <v>1.2809999999999999</v>
      </c>
      <c r="JL61" s="333">
        <v>0.184</v>
      </c>
      <c r="JM61" s="333">
        <v>2.383</v>
      </c>
      <c r="JN61" s="333">
        <v>1.577</v>
      </c>
      <c r="JO61" s="333">
        <v>0.20200000000000001</v>
      </c>
      <c r="JP61" s="76">
        <f t="shared" si="241"/>
        <v>1.375</v>
      </c>
      <c r="JQ61" s="76">
        <v>0.13200000000000001</v>
      </c>
      <c r="JR61" s="76">
        <v>6.7000000000000004E-2</v>
      </c>
      <c r="JS61" s="330">
        <f t="shared" si="165"/>
        <v>5.6559999999999997</v>
      </c>
      <c r="JT61" s="330">
        <f t="shared" si="166"/>
        <v>62.437000000000005</v>
      </c>
      <c r="JU61" s="23">
        <f t="shared" si="167"/>
        <v>8.306286989852113E-2</v>
      </c>
      <c r="JV61" s="23">
        <f t="shared" si="168"/>
        <v>2.4084707679203443E-3</v>
      </c>
      <c r="JW61" s="23">
        <f t="shared" si="169"/>
        <v>1.8812506425036346E-2</v>
      </c>
      <c r="JX61" s="23">
        <f t="shared" si="170"/>
        <v>2.7021867152277031E-3</v>
      </c>
      <c r="JY61" s="23">
        <f t="shared" si="171"/>
        <v>3.4996255121671829E-2</v>
      </c>
      <c r="JZ61" s="23">
        <f t="shared" si="172"/>
        <v>2.3159502445185259E-2</v>
      </c>
      <c r="KA61" s="23">
        <f t="shared" si="173"/>
        <v>9.8394842347965293E-4</v>
      </c>
      <c r="KB61" s="365">
        <f t="shared" si="174"/>
        <v>5.777512933666836</v>
      </c>
      <c r="KC61" s="160">
        <f t="shared" si="175"/>
        <v>12.949704621491868</v>
      </c>
      <c r="KD61" s="160">
        <f t="shared" si="176"/>
        <v>7.1721916878250322</v>
      </c>
      <c r="KE61" s="6">
        <f t="shared" si="242"/>
        <v>0.55384982881553646</v>
      </c>
      <c r="KF61" s="1071">
        <v>0</v>
      </c>
      <c r="KG61" s="100">
        <f t="shared" si="243"/>
        <v>0</v>
      </c>
      <c r="KH61" s="100">
        <f t="shared" si="244"/>
        <v>0</v>
      </c>
      <c r="KI61" s="100">
        <f t="shared" si="245"/>
        <v>0</v>
      </c>
      <c r="KJ61" s="100">
        <f t="shared" si="246"/>
        <v>0</v>
      </c>
      <c r="KK61" s="594">
        <f t="shared" si="247"/>
        <v>0.94619999999999993</v>
      </c>
      <c r="KL61" s="71">
        <f t="shared" si="248"/>
        <v>0</v>
      </c>
      <c r="KM61" s="340"/>
      <c r="KN61" s="340"/>
      <c r="KO61" s="73">
        <f t="shared" si="249"/>
        <v>0</v>
      </c>
      <c r="KP61" s="71">
        <f t="shared" si="250"/>
        <v>0</v>
      </c>
      <c r="KQ61" s="73">
        <f t="shared" si="177"/>
        <v>0.94619999999999993</v>
      </c>
      <c r="KR61" s="84">
        <f t="shared" si="251"/>
        <v>4.8313129336668359</v>
      </c>
      <c r="KS61" s="23">
        <f t="shared" si="178"/>
        <v>5.3711094315362267E-3</v>
      </c>
      <c r="KT61" s="23">
        <f t="shared" si="179"/>
        <v>0</v>
      </c>
      <c r="KU61" s="169">
        <f t="shared" si="180"/>
        <v>62.315487066333169</v>
      </c>
      <c r="KV61" s="174">
        <f t="shared" si="252"/>
        <v>17.611999999999998</v>
      </c>
      <c r="KW61" s="159">
        <f t="shared" si="181"/>
        <v>0.16400000000000001</v>
      </c>
      <c r="KX61" s="159">
        <f t="shared" si="182"/>
        <v>1.2809999999999999</v>
      </c>
      <c r="KY61" s="159">
        <f t="shared" si="183"/>
        <v>0.184</v>
      </c>
      <c r="KZ61" s="159">
        <f t="shared" si="184"/>
        <v>2.383</v>
      </c>
      <c r="LA61" s="159">
        <f t="shared" si="185"/>
        <v>0.63080000000000003</v>
      </c>
      <c r="LB61" s="159">
        <f t="shared" si="186"/>
        <v>0.20200000000000001</v>
      </c>
      <c r="LC61" s="73">
        <f t="shared" si="187"/>
        <v>0.13200000000000001</v>
      </c>
      <c r="LD61" s="159">
        <f t="shared" si="188"/>
        <v>6.7000000000000004E-2</v>
      </c>
      <c r="LE61" s="159">
        <f t="shared" si="189"/>
        <v>4.7097999999999995</v>
      </c>
      <c r="LF61" s="159">
        <f t="shared" si="190"/>
        <v>0</v>
      </c>
      <c r="LG61" s="159">
        <f t="shared" si="191"/>
        <v>57.605687066333168</v>
      </c>
      <c r="LH61" s="22">
        <f t="shared" si="192"/>
        <v>7.5579927586645404E-2</v>
      </c>
      <c r="LI61" s="23">
        <f t="shared" si="193"/>
        <v>2.6317695282623145E-3</v>
      </c>
      <c r="LJ61" s="23">
        <f t="shared" si="194"/>
        <v>2.0556687595756247E-2</v>
      </c>
      <c r="LK61" s="23">
        <f t="shared" si="195"/>
        <v>2.9527170317089381E-3</v>
      </c>
      <c r="LL61" s="23">
        <f t="shared" si="196"/>
        <v>3.8240895035665218E-2</v>
      </c>
      <c r="LM61" s="23">
        <f t="shared" si="197"/>
        <v>1.0122684258706513E-2</v>
      </c>
      <c r="LN61" s="23">
        <f t="shared" si="198"/>
        <v>3.2415697848108996E-3</v>
      </c>
      <c r="LO61" s="23">
        <f t="shared" si="199"/>
        <v>2.1182535227477167E-3</v>
      </c>
      <c r="LP61" s="23">
        <f t="shared" si="200"/>
        <v>1.0751741365461894E-3</v>
      </c>
      <c r="LQ61" s="23">
        <f t="shared" si="201"/>
        <v>6.9277917805817865E-2</v>
      </c>
      <c r="LR61" s="23">
        <f t="shared" si="202"/>
        <v>6.404189779470057E-2</v>
      </c>
      <c r="LS61" s="23">
        <f t="shared" si="203"/>
        <v>5.2360200111172869E-3</v>
      </c>
      <c r="LT61" s="295"/>
      <c r="LU61" s="153"/>
      <c r="LV61" s="153">
        <f t="shared" si="204"/>
        <v>5.777512933666836</v>
      </c>
      <c r="LW61" s="153">
        <f t="shared" si="205"/>
        <v>7.1721916878250322</v>
      </c>
      <c r="LX61" s="319">
        <f>LY61*Liabilities!GT61</f>
        <v>0.55285647595305831</v>
      </c>
      <c r="LY61" s="184">
        <f t="shared" si="206"/>
        <v>5.6670963373826537E-2</v>
      </c>
      <c r="LZ61" s="184">
        <f t="shared" si="253"/>
        <v>0.22280871553279111</v>
      </c>
      <c r="MA61" s="153"/>
      <c r="MB61" s="153"/>
      <c r="MC61" s="153">
        <f>Liabilities!EF61</f>
        <v>1.9284489551699608</v>
      </c>
      <c r="MD61" s="153"/>
      <c r="ME61" s="153"/>
      <c r="MF61" s="153">
        <f t="shared" si="207"/>
        <v>2.4813054311230189</v>
      </c>
      <c r="MG61" s="153">
        <f t="shared" si="208"/>
        <v>12.949704621491868</v>
      </c>
      <c r="MH61" s="326">
        <f t="shared" si="209"/>
        <v>62.315487066333169</v>
      </c>
      <c r="MI61" s="1008">
        <f>FoF_RoW!$BH31/1000</f>
        <v>83.072999999999993</v>
      </c>
      <c r="MJ61" s="1008"/>
      <c r="MK61" s="1008">
        <f>FoF_RoW!$AU31/1000</f>
        <v>5.9589999999999996</v>
      </c>
      <c r="ML61" s="1008">
        <f t="shared" si="254"/>
        <v>9.4039999999999964</v>
      </c>
      <c r="MM61" s="425">
        <f t="shared" si="210"/>
        <v>77.295487066333152</v>
      </c>
      <c r="MN61" s="23">
        <f t="shared" si="211"/>
        <v>1.2403896800815208</v>
      </c>
      <c r="MO61" s="153">
        <v>66.780574180918052</v>
      </c>
      <c r="MP61" s="425"/>
      <c r="MQ61" s="153"/>
      <c r="MR61" s="153"/>
      <c r="MS61" s="153">
        <f t="shared" si="212"/>
        <v>5.777512933666836</v>
      </c>
      <c r="MT61" s="153"/>
      <c r="MU61" s="153"/>
      <c r="MV61" s="153"/>
      <c r="MW61" s="153"/>
      <c r="MX61" s="153"/>
      <c r="MY61" s="425">
        <f t="shared" si="255"/>
        <v>75.728975238925756</v>
      </c>
      <c r="MZ61" s="23">
        <f t="shared" si="213"/>
        <v>8.41900780866323E-2</v>
      </c>
      <c r="NA61" s="153">
        <v>183.38957418091806</v>
      </c>
      <c r="NB61" s="153">
        <v>95.80159894199231</v>
      </c>
      <c r="NC61" s="425">
        <v>39.449999999999989</v>
      </c>
      <c r="ND61" s="23">
        <f t="shared" si="214"/>
        <v>4.3857698721511941E-2</v>
      </c>
      <c r="NE61" s="153"/>
      <c r="NF61" s="153"/>
      <c r="NG61" s="153"/>
      <c r="NH61" s="153"/>
      <c r="NI61" s="153">
        <v>11.859</v>
      </c>
      <c r="NJ61" s="425">
        <f t="shared" si="63"/>
        <v>6.8010000000000002</v>
      </c>
      <c r="NK61" s="403">
        <f t="shared" si="64"/>
        <v>7.5608671484157864E-3</v>
      </c>
      <c r="NL61" s="153">
        <v>6.8010000000000002</v>
      </c>
      <c r="NM61" s="153">
        <v>7.649</v>
      </c>
      <c r="NN61" s="153">
        <v>0.84799999999999998</v>
      </c>
      <c r="NO61" s="425">
        <f t="shared" si="100"/>
        <v>6.0440000000000005</v>
      </c>
      <c r="NP61" s="153">
        <v>10.913</v>
      </c>
      <c r="NQ61" s="153">
        <v>4.8689999999999998</v>
      </c>
      <c r="NR61" s="403">
        <f t="shared" si="65"/>
        <v>6.7192884936075606E-3</v>
      </c>
      <c r="NS61" s="403">
        <f t="shared" si="66"/>
        <v>7.5608671484157864E-3</v>
      </c>
      <c r="NT61" s="403">
        <f t="shared" si="67"/>
        <v>-8.4157865480822582E-4</v>
      </c>
      <c r="NU61" s="727" t="e">
        <f t="shared" si="215"/>
        <v>#DIV/0!</v>
      </c>
      <c r="NV61" s="688">
        <f t="shared" si="216"/>
        <v>9.6836183897470632E-2</v>
      </c>
      <c r="NW61" s="688">
        <f t="shared" si="217"/>
        <v>0.12011460316489893</v>
      </c>
      <c r="NX61" s="793" t="e">
        <f>(ER61-T.A2!B13*T.A1!M13)/MP61</f>
        <v>#DIV/0!</v>
      </c>
      <c r="NY61" s="688" t="e">
        <f>Liabilities!BU61/Liabilities!GY61</f>
        <v>#DIV/0!</v>
      </c>
      <c r="NZ61" s="688">
        <f>Liabilities!BU61/Liabilities!GT61</f>
        <v>8.6924869349066472E-2</v>
      </c>
      <c r="OA61" s="688" t="e">
        <f>Liabilities!BU61/Liabilities!GR61</f>
        <v>#DIV/0!</v>
      </c>
      <c r="OB61" s="688" t="e">
        <f t="shared" si="256"/>
        <v>#DIV/0!</v>
      </c>
      <c r="OC61" s="688">
        <f t="shared" si="257"/>
        <v>9.9113145484041598E-3</v>
      </c>
      <c r="OD61" s="688"/>
      <c r="OE61" s="793">
        <f t="shared" si="218"/>
        <v>9.6836183897470632E-2</v>
      </c>
      <c r="OF61" s="793">
        <f>OE61/(1-'Assets(MOFA)'!GU14)</f>
        <v>0.19801370215328165</v>
      </c>
      <c r="OG61" s="793">
        <f>Liabilities!HV61</f>
        <v>0</v>
      </c>
      <c r="OH61" s="793"/>
      <c r="OI61" s="387">
        <f t="shared" si="219"/>
        <v>3.7791910795065685E-2</v>
      </c>
      <c r="OJ61" s="387">
        <f t="shared" si="220"/>
        <v>3.7791910795065685E-2</v>
      </c>
      <c r="OK61" s="387"/>
      <c r="OL61" s="387"/>
      <c r="OM61" s="319"/>
      <c r="OO61" s="97">
        <f t="shared" si="221"/>
        <v>9.6836183897470632E-2</v>
      </c>
      <c r="OP61" s="29"/>
      <c r="OQ61" s="29"/>
      <c r="OR61" s="29"/>
      <c r="OS61" s="71"/>
      <c r="OT61" s="71"/>
      <c r="OU61" s="71"/>
      <c r="OV61" s="71"/>
      <c r="OW61" s="71"/>
      <c r="OX61" s="71"/>
      <c r="OY61" s="71"/>
      <c r="OZ61" s="71"/>
      <c r="PA61" s="71"/>
      <c r="PG61" s="69"/>
      <c r="PH61" s="23">
        <f>'Assets(MOFA)'!GU14</f>
        <v>0.51096220693601235</v>
      </c>
      <c r="PI61" s="23">
        <f>'Assets(MOFA)'!HM14</f>
        <v>0.41076866865689782</v>
      </c>
      <c r="PJ61" s="11">
        <f t="shared" si="222"/>
        <v>6.7507052360419595E-2</v>
      </c>
      <c r="PL61" s="11">
        <f>'Assets(MOFA)'!GO14/MM61/1000</f>
        <v>4.2807803218322733E-2</v>
      </c>
    </row>
    <row r="62" spans="2:428" s="128" customFormat="1">
      <c r="B62" s="117">
        <v>1970</v>
      </c>
      <c r="C62" s="118">
        <v>940.1</v>
      </c>
      <c r="D62" s="119">
        <v>86.2</v>
      </c>
      <c r="E62" s="120">
        <f t="shared" si="68"/>
        <v>9.1692373151792364E-2</v>
      </c>
      <c r="F62" s="121">
        <f t="shared" si="69"/>
        <v>0</v>
      </c>
      <c r="G62" s="121">
        <f t="shared" si="70"/>
        <v>79.100000000000009</v>
      </c>
      <c r="H62" s="120">
        <f t="shared" si="71"/>
        <v>8.4139985107967247E-2</v>
      </c>
      <c r="I62" s="117">
        <v>7.1</v>
      </c>
      <c r="J62" s="122">
        <f t="shared" si="72"/>
        <v>7.5523880438251242E-3</v>
      </c>
      <c r="K62" s="120">
        <f t="shared" si="73"/>
        <v>8.2366589327146161E-2</v>
      </c>
      <c r="L62" s="137">
        <v>8.6</v>
      </c>
      <c r="M62" s="122">
        <f t="shared" si="74"/>
        <v>9.1479629826614183E-3</v>
      </c>
      <c r="N62" s="123">
        <f t="shared" si="75"/>
        <v>9.9767981438515077E-2</v>
      </c>
      <c r="O62" s="119">
        <f t="shared" si="76"/>
        <v>86.2</v>
      </c>
      <c r="P62" s="124">
        <f t="shared" si="77"/>
        <v>0</v>
      </c>
      <c r="Q62" s="272">
        <v>68</v>
      </c>
      <c r="R62" s="203">
        <v>7.6</v>
      </c>
      <c r="S62" s="125">
        <f t="shared" si="78"/>
        <v>8.8167053364269138E-2</v>
      </c>
      <c r="T62" s="117">
        <v>3.5</v>
      </c>
      <c r="U62" s="117">
        <v>-9.9999999999999645E-2</v>
      </c>
      <c r="V62" s="208">
        <v>5.2</v>
      </c>
      <c r="W62" s="125">
        <f t="shared" si="79"/>
        <v>6.0324825986078884E-2</v>
      </c>
      <c r="X62" s="124">
        <f t="shared" si="80"/>
        <v>12.400000000000006</v>
      </c>
      <c r="Y62" s="227"/>
      <c r="Z62" s="124"/>
      <c r="AA62" s="124"/>
      <c r="AB62" s="124"/>
      <c r="AC62" s="124">
        <f t="shared" si="103"/>
        <v>1.5487007684809952</v>
      </c>
      <c r="AD62" s="120">
        <f t="shared" si="81"/>
        <v>1.7966366223677439E-2</v>
      </c>
      <c r="AE62" s="124"/>
      <c r="AF62" s="124">
        <v>1.6895223529999985</v>
      </c>
      <c r="AG62" s="124"/>
      <c r="AH62" s="126">
        <v>34.799999999999997</v>
      </c>
      <c r="AI62" s="122">
        <f t="shared" si="82"/>
        <v>3.7017338581002014E-2</v>
      </c>
      <c r="AJ62" s="122">
        <f t="shared" si="83"/>
        <v>3.3294330390384E-2</v>
      </c>
      <c r="AK62" s="127">
        <f t="shared" si="84"/>
        <v>9.9999999999994316E-2</v>
      </c>
      <c r="AL62" s="117">
        <v>27.1</v>
      </c>
      <c r="AM62" s="121">
        <f>(0.5*Fedtax!C41+0.5*Fedtax!C42)/1000</f>
        <v>29.806999999999999</v>
      </c>
      <c r="AN62" s="117">
        <v>3.7</v>
      </c>
      <c r="AO62" s="278">
        <v>0.4</v>
      </c>
      <c r="AP62" s="117">
        <v>3.5</v>
      </c>
      <c r="AQ62" s="120">
        <f t="shared" si="85"/>
        <v>5.4675034570790343E-2</v>
      </c>
      <c r="AR62" s="208">
        <v>4.5</v>
      </c>
      <c r="AS62" s="758">
        <v>4.5490000000000004</v>
      </c>
      <c r="AT62" s="521">
        <f>(0.58+1.224)*AS62/4.096</f>
        <v>2.0035146484374997</v>
      </c>
      <c r="AU62" s="522">
        <f t="shared" si="258"/>
        <v>0.44042968749999989</v>
      </c>
      <c r="AV62" s="721">
        <f t="shared" si="56"/>
        <v>5.5280000000000005</v>
      </c>
      <c r="AW62" s="771">
        <f t="shared" si="101"/>
        <v>2.5979999999999999</v>
      </c>
      <c r="AX62" s="771">
        <f t="shared" si="104"/>
        <v>2.9300000000000006</v>
      </c>
      <c r="AY62" s="769">
        <f t="shared" si="102"/>
        <v>0.46997105643994203</v>
      </c>
      <c r="AZ62" s="721">
        <f>3.617+1.911</f>
        <v>5.5280000000000005</v>
      </c>
      <c r="BA62" s="733">
        <f>0.753+1.589+0.256</f>
        <v>2.5979999999999999</v>
      </c>
      <c r="BB62" s="522">
        <f>BA62/AZ62</f>
        <v>0.46997105643994203</v>
      </c>
      <c r="BC62" s="208">
        <v>2.931</v>
      </c>
      <c r="BD62" s="721">
        <f>'Assets(MOFA)'!FJ15/1000</f>
        <v>7.4661760670560033</v>
      </c>
      <c r="BE62" s="764">
        <f t="shared" si="105"/>
        <v>0.74040579144549323</v>
      </c>
      <c r="BF62" s="233">
        <v>0.49200000000000005</v>
      </c>
      <c r="BG62" s="436"/>
      <c r="BH62" s="142">
        <f t="shared" si="106"/>
        <v>0.36579572446555819</v>
      </c>
      <c r="BI62" s="249">
        <f t="shared" si="57"/>
        <v>0.36579572446555819</v>
      </c>
      <c r="BJ62" s="120">
        <f t="shared" si="107"/>
        <v>0.34563758389261739</v>
      </c>
      <c r="BK62" s="142">
        <f t="shared" si="108"/>
        <v>0.39909808342728292</v>
      </c>
      <c r="BL62" s="142">
        <f t="shared" si="109"/>
        <v>0.38013865406664182</v>
      </c>
      <c r="BM62" s="249">
        <f t="shared" si="110"/>
        <v>0.4061901579454284</v>
      </c>
      <c r="BN62" s="120">
        <f t="shared" si="111"/>
        <v>0.4602941176470588</v>
      </c>
      <c r="BO62" s="120">
        <f t="shared" si="112"/>
        <v>0.41402116402116401</v>
      </c>
      <c r="BP62" s="151">
        <f t="shared" si="86"/>
        <v>86.2</v>
      </c>
      <c r="BQ62" s="127">
        <f t="shared" si="87"/>
        <v>-9.9999999999994316E-2</v>
      </c>
      <c r="BR62" s="155">
        <f t="shared" si="88"/>
        <v>34.799999999999997</v>
      </c>
      <c r="BS62" s="137">
        <v>24.3</v>
      </c>
      <c r="BT62" s="137">
        <v>27.2</v>
      </c>
      <c r="BU62" s="120">
        <f t="shared" si="223"/>
        <v>0.31554524361948955</v>
      </c>
      <c r="BV62" s="117">
        <v>24</v>
      </c>
      <c r="BW62" s="117">
        <f t="shared" si="89"/>
        <v>3.1999999999999993</v>
      </c>
      <c r="BX62" s="120">
        <f t="shared" si="90"/>
        <v>3.7122969837586998E-2</v>
      </c>
      <c r="BY62" s="120"/>
      <c r="BZ62" s="120"/>
      <c r="CA62" s="120"/>
      <c r="CB62" s="120">
        <f t="shared" si="47"/>
        <v>0.45070422535211258</v>
      </c>
      <c r="CC62" s="171">
        <f t="shared" si="91"/>
        <v>8.6</v>
      </c>
      <c r="CD62" s="176"/>
      <c r="CF62" s="137">
        <f t="shared" si="58"/>
        <v>8.0229999999999997</v>
      </c>
      <c r="CH62" s="120">
        <f t="shared" si="59"/>
        <v>0.9329069767441861</v>
      </c>
      <c r="CI62" s="171">
        <v>8.1690000000000005</v>
      </c>
      <c r="CK62" s="137">
        <f t="shared" si="60"/>
        <v>8.0229999999999997</v>
      </c>
      <c r="CL62" s="161"/>
      <c r="CN62" s="161">
        <v>3.6</v>
      </c>
      <c r="CO62" s="161"/>
      <c r="CP62" s="137">
        <f t="shared" si="61"/>
        <v>0.1460000000000008</v>
      </c>
      <c r="CZ62" s="166">
        <f t="shared" si="49"/>
        <v>8.1690000000000005</v>
      </c>
      <c r="DA62" s="509">
        <v>2.456</v>
      </c>
      <c r="DB62" s="6">
        <f t="shared" si="50"/>
        <v>0.30064879422205898</v>
      </c>
      <c r="DC62" s="90"/>
      <c r="DD62" s="90"/>
      <c r="DE62" s="90"/>
      <c r="DF62" s="90"/>
      <c r="DG62" s="90">
        <v>327</v>
      </c>
      <c r="DH62" s="90"/>
      <c r="DI62" s="182">
        <v>8.1690000000000005</v>
      </c>
      <c r="DJ62" s="136">
        <v>2.4E-2</v>
      </c>
      <c r="DK62" s="136">
        <v>0.18</v>
      </c>
      <c r="DL62" s="136">
        <v>0.03</v>
      </c>
      <c r="DM62" s="136">
        <v>0.33300000000000002</v>
      </c>
      <c r="DN62" s="136">
        <v>0.215</v>
      </c>
      <c r="DO62" s="136">
        <f>(DO61+DO63)/2</f>
        <v>4.65E-2</v>
      </c>
      <c r="DP62" s="136">
        <v>0</v>
      </c>
      <c r="DQ62" s="136">
        <v>1.0999999999999999E-2</v>
      </c>
      <c r="DR62" s="156">
        <f t="shared" si="113"/>
        <v>0.79299999999999993</v>
      </c>
      <c r="DS62" s="156">
        <f t="shared" si="114"/>
        <v>7.3760000000000003</v>
      </c>
      <c r="DT62" s="156">
        <v>0.71099999999999997</v>
      </c>
      <c r="DU62" s="6">
        <f t="shared" si="115"/>
        <v>9.6393709327548802E-2</v>
      </c>
      <c r="DV62" s="6">
        <f t="shared" si="116"/>
        <v>2.9379360998898272E-3</v>
      </c>
      <c r="DW62" s="605">
        <f t="shared" si="117"/>
        <v>2.2034520749173704E-2</v>
      </c>
      <c r="DX62" s="605">
        <f t="shared" si="118"/>
        <v>3.6724201248622837E-3</v>
      </c>
      <c r="DY62" s="6">
        <f t="shared" si="119"/>
        <v>4.0763863385971356E-2</v>
      </c>
      <c r="DZ62" s="6">
        <f t="shared" si="120"/>
        <v>2.6319010894846367E-2</v>
      </c>
      <c r="EA62" s="6">
        <f t="shared" si="121"/>
        <v>5.6922511935365398E-3</v>
      </c>
      <c r="EB62" s="6">
        <f t="shared" si="122"/>
        <v>0</v>
      </c>
      <c r="EC62" s="605">
        <f t="shared" si="123"/>
        <v>1.3465540457828374E-3</v>
      </c>
      <c r="ED62" s="6">
        <f t="shared" si="124"/>
        <v>9.7074305300526381E-2</v>
      </c>
      <c r="EE62" s="6"/>
      <c r="EF62" s="6"/>
      <c r="EG62" s="179">
        <v>3.1760000000000002</v>
      </c>
      <c r="EN62" s="129"/>
      <c r="EO62" s="411">
        <v>0.5</v>
      </c>
      <c r="ER62" s="391">
        <v>8.0229999999999997</v>
      </c>
      <c r="ES62" s="137">
        <v>2.4049999999999998</v>
      </c>
      <c r="ET62" s="137"/>
      <c r="EU62" s="137"/>
      <c r="EV62" s="137"/>
      <c r="EW62" s="155">
        <f t="shared" si="125"/>
        <v>2.4E-2</v>
      </c>
      <c r="EX62" s="155">
        <f t="shared" si="126"/>
        <v>0.18</v>
      </c>
      <c r="EY62" s="155">
        <f t="shared" si="127"/>
        <v>0.03</v>
      </c>
      <c r="EZ62" s="155">
        <f t="shared" si="128"/>
        <v>0.33300000000000002</v>
      </c>
      <c r="FA62" s="155">
        <f t="shared" si="129"/>
        <v>0.17286957784566076</v>
      </c>
      <c r="FB62" s="155">
        <f t="shared" si="130"/>
        <v>4.65E-2</v>
      </c>
      <c r="FC62" s="155">
        <f t="shared" si="131"/>
        <v>0</v>
      </c>
      <c r="FD62" s="155">
        <f t="shared" si="132"/>
        <v>1.0999999999999999E-2</v>
      </c>
      <c r="FE62" s="155">
        <f t="shared" si="133"/>
        <v>0.75086957784566077</v>
      </c>
      <c r="FF62" s="155">
        <f t="shared" si="134"/>
        <v>7.2721304221543388</v>
      </c>
      <c r="FG62" s="120">
        <f t="shared" si="135"/>
        <v>2.9913997257883587E-3</v>
      </c>
      <c r="FH62" s="120">
        <f t="shared" si="136"/>
        <v>2.2435497943412687E-2</v>
      </c>
      <c r="FI62" s="120">
        <f t="shared" si="137"/>
        <v>3.739249657235448E-3</v>
      </c>
      <c r="FJ62" s="120">
        <f t="shared" si="138"/>
        <v>4.1505671195313475E-2</v>
      </c>
      <c r="FK62" s="120">
        <f t="shared" si="139"/>
        <v>2.1546750323527455E-2</v>
      </c>
      <c r="FL62" s="120">
        <f t="shared" si="140"/>
        <v>5.7958369687149446E-3</v>
      </c>
      <c r="FM62" s="120">
        <f t="shared" si="141"/>
        <v>0</v>
      </c>
      <c r="FN62" s="120">
        <f t="shared" si="142"/>
        <v>1.3710582076529975E-3</v>
      </c>
      <c r="FO62" s="120">
        <f t="shared" si="92"/>
        <v>9.3589627052930419E-2</v>
      </c>
      <c r="FP62" s="120">
        <f t="shared" si="93"/>
        <v>0.90641037294706961</v>
      </c>
      <c r="FQ62" s="6">
        <f t="shared" si="94"/>
        <v>9.3372481746543112E-3</v>
      </c>
      <c r="FR62" s="120">
        <f t="shared" si="95"/>
        <v>9.0430733263860766E-2</v>
      </c>
      <c r="FS62" s="120">
        <f t="shared" si="96"/>
        <v>8.5615444384129524E-4</v>
      </c>
      <c r="FT62" s="396">
        <f t="shared" si="97"/>
        <v>4.2807722192064762E-4</v>
      </c>
      <c r="FU62" s="396">
        <f t="shared" si="98"/>
        <v>4.2807722192064762E-4</v>
      </c>
      <c r="FV62" s="120">
        <f t="shared" si="99"/>
        <v>8.2918085388201234E-3</v>
      </c>
      <c r="FW62" s="633">
        <f t="shared" si="62"/>
        <v>0.1460000000000008</v>
      </c>
      <c r="FX62" s="343">
        <f t="shared" si="143"/>
        <v>0</v>
      </c>
      <c r="FY62" s="343">
        <f t="shared" si="144"/>
        <v>0</v>
      </c>
      <c r="FZ62" s="343">
        <f t="shared" si="145"/>
        <v>0</v>
      </c>
      <c r="GA62" s="343">
        <f t="shared" si="146"/>
        <v>0</v>
      </c>
      <c r="GB62" s="599">
        <f t="shared" si="147"/>
        <v>4.2130422154339223E-2</v>
      </c>
      <c r="GC62" s="343">
        <f t="shared" si="148"/>
        <v>0</v>
      </c>
      <c r="GD62" s="380">
        <f t="shared" si="149"/>
        <v>0</v>
      </c>
      <c r="GE62" s="343">
        <f t="shared" si="150"/>
        <v>0</v>
      </c>
      <c r="GF62" s="599">
        <f t="shared" si="151"/>
        <v>4.2130422154339223E-2</v>
      </c>
      <c r="GG62" s="342">
        <f t="shared" si="152"/>
        <v>0.10386957784566157</v>
      </c>
      <c r="GH62" s="171">
        <v>7.5890000000000004</v>
      </c>
      <c r="GI62" s="121">
        <v>1.9E-2</v>
      </c>
      <c r="GJ62" s="121">
        <v>0.26900000000000002</v>
      </c>
      <c r="GK62" s="121">
        <v>3.5000000000000003E-2</v>
      </c>
      <c r="GL62" s="121">
        <v>0.249</v>
      </c>
      <c r="GM62" s="121">
        <v>0.28199999999999997</v>
      </c>
      <c r="GN62" s="121">
        <v>0.04</v>
      </c>
      <c r="GO62" s="121">
        <f t="shared" si="153"/>
        <v>0.24199999999999997</v>
      </c>
      <c r="GP62" s="121">
        <v>0</v>
      </c>
      <c r="GQ62" s="121">
        <v>2.9000000000000001E-2</v>
      </c>
      <c r="GR62" s="121">
        <f t="shared" si="154"/>
        <v>0.88300000000000012</v>
      </c>
      <c r="GS62" s="121">
        <f t="shared" si="155"/>
        <v>6.7060000000000004</v>
      </c>
      <c r="GT62" s="120">
        <f t="shared" si="156"/>
        <v>0.11635261562788247</v>
      </c>
      <c r="GU62" s="335">
        <f t="shared" si="259"/>
        <v>6.804783276876635</v>
      </c>
      <c r="GW62" s="908">
        <f t="shared" si="52"/>
        <v>3.1760000000000002</v>
      </c>
      <c r="GX62" s="121">
        <f t="shared" si="224"/>
        <v>1.9E-2</v>
      </c>
      <c r="GY62" s="121">
        <f t="shared" si="225"/>
        <v>0.26900000000000002</v>
      </c>
      <c r="GZ62" s="121">
        <f t="shared" si="226"/>
        <v>3.5000000000000003E-2</v>
      </c>
      <c r="HA62" s="121">
        <f t="shared" si="227"/>
        <v>0.249</v>
      </c>
      <c r="HB62" s="121">
        <f t="shared" si="228"/>
        <v>0.28199999999999997</v>
      </c>
      <c r="HC62" s="121">
        <f t="shared" si="229"/>
        <v>0.04</v>
      </c>
      <c r="HD62" s="121">
        <f t="shared" si="230"/>
        <v>0</v>
      </c>
      <c r="HE62" s="121">
        <f t="shared" si="231"/>
        <v>2.9000000000000001E-2</v>
      </c>
      <c r="HF62" s="121">
        <f t="shared" si="158"/>
        <v>0.88300000000000012</v>
      </c>
      <c r="HG62" s="120">
        <f t="shared" si="232"/>
        <v>0.12976166382851992</v>
      </c>
      <c r="HH62" s="121">
        <f t="shared" si="233"/>
        <v>6.6027832768766288</v>
      </c>
      <c r="HI62" s="171">
        <v>4.415</v>
      </c>
      <c r="HT62" s="129"/>
      <c r="IF62" s="137">
        <f t="shared" si="234"/>
        <v>0.78421672312336543</v>
      </c>
      <c r="IG62" s="117">
        <v>0</v>
      </c>
      <c r="IH62" s="117">
        <v>0</v>
      </c>
      <c r="II62" s="117">
        <v>0</v>
      </c>
      <c r="IJ62" s="117">
        <v>0</v>
      </c>
      <c r="IK62" s="359">
        <f t="shared" si="159"/>
        <v>0</v>
      </c>
      <c r="IL62" s="117">
        <v>0</v>
      </c>
      <c r="IM62" s="74">
        <v>0</v>
      </c>
      <c r="IN62" s="117">
        <v>0</v>
      </c>
      <c r="IO62" s="124">
        <f t="shared" si="160"/>
        <v>0</v>
      </c>
      <c r="IP62" s="137">
        <f t="shared" si="235"/>
        <v>0.78421672312336543</v>
      </c>
      <c r="IQ62" s="176">
        <f t="shared" si="236"/>
        <v>0.78421672312336543</v>
      </c>
      <c r="IR62" s="338">
        <f t="shared" si="161"/>
        <v>75.48</v>
      </c>
      <c r="IS62" s="121">
        <f t="shared" si="237"/>
        <v>7.3870000000000005</v>
      </c>
      <c r="IT62" s="121">
        <f t="shared" si="238"/>
        <v>0</v>
      </c>
      <c r="IU62" s="137">
        <f t="shared" si="53"/>
        <v>3.1760000000000002</v>
      </c>
      <c r="IV62" s="908">
        <f t="shared" si="260"/>
        <v>3.6307832768766346</v>
      </c>
      <c r="IW62" s="908">
        <f t="shared" si="239"/>
        <v>0.78421672312336543</v>
      </c>
      <c r="IX62" s="121">
        <f t="shared" si="240"/>
        <v>-0.20399999999999974</v>
      </c>
      <c r="JB62" s="120">
        <f t="shared" si="162"/>
        <v>8.0289330922242316E-2</v>
      </c>
      <c r="JC62" s="120">
        <f t="shared" si="163"/>
        <v>6.9939368152324224E-3</v>
      </c>
      <c r="JD62" s="120">
        <f t="shared" si="164"/>
        <v>7.3295394107009887E-2</v>
      </c>
      <c r="JE62" s="907">
        <f t="shared" si="54"/>
        <v>3.37836400382938E-3</v>
      </c>
      <c r="JF62" s="1004"/>
      <c r="JG62" s="1005"/>
      <c r="JH62" s="119">
        <v>75.48</v>
      </c>
      <c r="JI62" s="1066">
        <v>19.754000000000001</v>
      </c>
      <c r="JJ62" s="124">
        <v>0.183</v>
      </c>
      <c r="JK62" s="124">
        <v>1.55</v>
      </c>
      <c r="JL62" s="124">
        <v>0.25600000000000001</v>
      </c>
      <c r="JM62" s="124">
        <v>2.6309999999999998</v>
      </c>
      <c r="JN62" s="124">
        <v>1.8580000000000001</v>
      </c>
      <c r="JO62" s="124">
        <v>0.24199999999999999</v>
      </c>
      <c r="JP62" s="124">
        <f t="shared" si="241"/>
        <v>1.6160000000000001</v>
      </c>
      <c r="JQ62" s="124">
        <v>0.20200000000000001</v>
      </c>
      <c r="JR62" s="124">
        <v>9.7000000000000003E-2</v>
      </c>
      <c r="JS62" s="331">
        <f t="shared" si="165"/>
        <v>6.5750000000000002</v>
      </c>
      <c r="JT62" s="331">
        <f t="shared" si="166"/>
        <v>68.905000000000001</v>
      </c>
      <c r="JU62" s="120">
        <f t="shared" si="167"/>
        <v>8.7109167991520936E-2</v>
      </c>
      <c r="JV62" s="120">
        <f t="shared" si="168"/>
        <v>2.4244833068362477E-3</v>
      </c>
      <c r="JW62" s="120">
        <f t="shared" si="169"/>
        <v>2.0535241123476416E-2</v>
      </c>
      <c r="JX62" s="120">
        <f t="shared" si="170"/>
        <v>3.3916269210386854E-3</v>
      </c>
      <c r="JY62" s="120">
        <f t="shared" si="171"/>
        <v>3.4856915739268676E-2</v>
      </c>
      <c r="JZ62" s="120">
        <f t="shared" si="172"/>
        <v>2.4615792262851086E-2</v>
      </c>
      <c r="KA62" s="120">
        <f t="shared" si="173"/>
        <v>1.2851086380498145E-3</v>
      </c>
      <c r="KB62" s="370">
        <f t="shared" si="174"/>
        <v>6.5617296567902015</v>
      </c>
      <c r="KC62" s="162">
        <f t="shared" si="175"/>
        <v>14.896774453352517</v>
      </c>
      <c r="KD62" s="162">
        <f t="shared" si="176"/>
        <v>8.3350447965623147</v>
      </c>
      <c r="KE62" s="120">
        <f t="shared" si="242"/>
        <v>0.55952010434624755</v>
      </c>
      <c r="KF62" s="1072">
        <v>0</v>
      </c>
      <c r="KG62" s="348">
        <f t="shared" si="243"/>
        <v>0</v>
      </c>
      <c r="KH62" s="348">
        <f t="shared" si="244"/>
        <v>0</v>
      </c>
      <c r="KI62" s="348">
        <f t="shared" si="245"/>
        <v>0</v>
      </c>
      <c r="KJ62" s="348">
        <f t="shared" si="246"/>
        <v>0</v>
      </c>
      <c r="KK62" s="599">
        <f t="shared" si="247"/>
        <v>1.1148</v>
      </c>
      <c r="KL62" s="117">
        <f t="shared" si="248"/>
        <v>0</v>
      </c>
      <c r="KM62" s="343"/>
      <c r="KN62" s="343"/>
      <c r="KO62" s="121">
        <f t="shared" si="249"/>
        <v>0</v>
      </c>
      <c r="KP62" s="117">
        <f t="shared" si="250"/>
        <v>0</v>
      </c>
      <c r="KQ62" s="121">
        <f t="shared" si="177"/>
        <v>1.1148</v>
      </c>
      <c r="KR62" s="355">
        <f t="shared" si="251"/>
        <v>5.4469296567902017</v>
      </c>
      <c r="KS62" s="120">
        <f t="shared" si="178"/>
        <v>5.7939896359857478E-3</v>
      </c>
      <c r="KT62" s="120">
        <f t="shared" si="179"/>
        <v>0</v>
      </c>
      <c r="KU62" s="171">
        <f t="shared" si="180"/>
        <v>68.918270343209798</v>
      </c>
      <c r="KV62" s="176">
        <f t="shared" si="252"/>
        <v>19.754000000000001</v>
      </c>
      <c r="KW62" s="161">
        <f t="shared" si="181"/>
        <v>0.183</v>
      </c>
      <c r="KX62" s="161">
        <f t="shared" si="182"/>
        <v>1.55</v>
      </c>
      <c r="KY62" s="161">
        <f t="shared" si="183"/>
        <v>0.25600000000000001</v>
      </c>
      <c r="KZ62" s="161">
        <f t="shared" si="184"/>
        <v>2.6309999999999998</v>
      </c>
      <c r="LA62" s="161">
        <f t="shared" si="185"/>
        <v>0.74320000000000008</v>
      </c>
      <c r="LB62" s="161">
        <f t="shared" si="186"/>
        <v>0.24199999999999999</v>
      </c>
      <c r="LC62" s="121">
        <f t="shared" si="187"/>
        <v>0.20200000000000001</v>
      </c>
      <c r="LD62" s="161">
        <f t="shared" si="188"/>
        <v>9.7000000000000003E-2</v>
      </c>
      <c r="LE62" s="161">
        <f t="shared" si="189"/>
        <v>5.4602000000000004</v>
      </c>
      <c r="LF62" s="161">
        <f t="shared" si="190"/>
        <v>0</v>
      </c>
      <c r="LG62" s="161">
        <f t="shared" si="191"/>
        <v>63.458070343209798</v>
      </c>
      <c r="LH62" s="122">
        <f t="shared" si="192"/>
        <v>7.9227176956247702E-2</v>
      </c>
      <c r="LI62" s="120">
        <f t="shared" si="193"/>
        <v>2.6553191060754784E-3</v>
      </c>
      <c r="LJ62" s="120">
        <f t="shared" si="194"/>
        <v>2.2490407729054598E-2</v>
      </c>
      <c r="LK62" s="120">
        <f t="shared" si="195"/>
        <v>3.7145447604115985E-3</v>
      </c>
      <c r="LL62" s="120">
        <f t="shared" si="196"/>
        <v>3.8175653377511387E-2</v>
      </c>
      <c r="LM62" s="120">
        <f t="shared" si="197"/>
        <v>1.0783787757569923E-2</v>
      </c>
      <c r="LN62" s="120">
        <f t="shared" si="198"/>
        <v>3.511405593826589E-3</v>
      </c>
      <c r="LO62" s="120">
        <f t="shared" si="199"/>
        <v>2.9310079750122769E-3</v>
      </c>
      <c r="LP62" s="120">
        <f t="shared" si="200"/>
        <v>1.4074642256247073E-3</v>
      </c>
      <c r="LQ62" s="120">
        <f t="shared" si="201"/>
        <v>7.3309509991713429E-2</v>
      </c>
      <c r="LR62" s="120">
        <f t="shared" si="202"/>
        <v>6.7501404471024137E-2</v>
      </c>
      <c r="LS62" s="120">
        <f t="shared" si="203"/>
        <v>5.8081055206892886E-3</v>
      </c>
      <c r="LT62" s="414"/>
      <c r="LU62" s="155"/>
      <c r="LV62" s="155">
        <f t="shared" si="204"/>
        <v>6.5617296567902015</v>
      </c>
      <c r="LW62" s="155">
        <f t="shared" si="205"/>
        <v>8.3350447965623147</v>
      </c>
      <c r="LX62" s="421">
        <f>LY62*Liabilities!GT62</f>
        <v>0.62572526857268429</v>
      </c>
      <c r="LY62" s="411">
        <f t="shared" si="206"/>
        <v>5.6670963373826537E-2</v>
      </c>
      <c r="LZ62" s="411">
        <f t="shared" si="253"/>
        <v>0.22280871553279108</v>
      </c>
      <c r="MA62" s="155"/>
      <c r="MB62" s="155"/>
      <c r="MC62" s="155">
        <f>Liabilities!EF62</f>
        <v>2.1826265819212227</v>
      </c>
      <c r="MD62" s="155"/>
      <c r="ME62" s="155"/>
      <c r="MF62" s="155">
        <f t="shared" si="207"/>
        <v>2.8083518504939069</v>
      </c>
      <c r="MG62" s="155">
        <f t="shared" si="208"/>
        <v>14.896774453352517</v>
      </c>
      <c r="MH62" s="1010">
        <f t="shared" si="209"/>
        <v>68.918270343209798</v>
      </c>
      <c r="MI62" s="1007">
        <f>FoF_RoW!$BH32/1000</f>
        <v>94.349000000000004</v>
      </c>
      <c r="MJ62" s="1007"/>
      <c r="MK62" s="1007">
        <f>FoF_RoW!$AU32/1000</f>
        <v>7.59</v>
      </c>
      <c r="ML62" s="1007">
        <f t="shared" si="254"/>
        <v>11.27600000000001</v>
      </c>
      <c r="MM62" s="736">
        <f t="shared" si="210"/>
        <v>87.787270343209798</v>
      </c>
      <c r="MN62" s="120">
        <f t="shared" si="211"/>
        <v>1.2737880667351815</v>
      </c>
      <c r="MO62" s="155">
        <v>71.595207749477339</v>
      </c>
      <c r="MP62" s="736"/>
      <c r="MQ62" s="155"/>
      <c r="MR62" s="155"/>
      <c r="MS62" s="155">
        <f t="shared" si="212"/>
        <v>6.5617296567902015</v>
      </c>
      <c r="MT62" s="155"/>
      <c r="MU62" s="155"/>
      <c r="MV62" s="155"/>
      <c r="MW62" s="155"/>
      <c r="MX62" s="155"/>
      <c r="MY62" s="736">
        <f t="shared" si="255"/>
        <v>75.585207607253992</v>
      </c>
      <c r="MZ62" s="120">
        <f t="shared" si="213"/>
        <v>8.040124200324858E-2</v>
      </c>
      <c r="NA62" s="155">
        <v>190.30620774947735</v>
      </c>
      <c r="NB62" s="155">
        <v>103.64900014222336</v>
      </c>
      <c r="NC62" s="736">
        <v>42.492000000000004</v>
      </c>
      <c r="ND62" s="120">
        <f t="shared" si="214"/>
        <v>4.519944686735454E-2</v>
      </c>
      <c r="NE62" s="155"/>
      <c r="NF62" s="155"/>
      <c r="NG62" s="155"/>
      <c r="NH62" s="155"/>
      <c r="NI62" s="155">
        <v>11.071999999999999</v>
      </c>
      <c r="NJ62" s="736">
        <f t="shared" si="63"/>
        <v>7.2939999999999996</v>
      </c>
      <c r="NK62" s="404">
        <f t="shared" si="64"/>
        <v>7.7587490692479517E-3</v>
      </c>
      <c r="NL62" s="155">
        <v>7.2939999999999996</v>
      </c>
      <c r="NM62" s="155">
        <v>8.1690000000000005</v>
      </c>
      <c r="NN62" s="155">
        <v>0.875</v>
      </c>
      <c r="NO62" s="736">
        <f t="shared" si="100"/>
        <v>6.2339999999999991</v>
      </c>
      <c r="NP62" s="155">
        <v>11.747999999999999</v>
      </c>
      <c r="NQ62" s="155">
        <v>5.5140000000000002</v>
      </c>
      <c r="NR62" s="404">
        <f t="shared" si="65"/>
        <v>6.6312094458036369E-3</v>
      </c>
      <c r="NS62" s="404">
        <f t="shared" si="66"/>
        <v>7.7587490692479517E-3</v>
      </c>
      <c r="NT62" s="404">
        <f t="shared" si="67"/>
        <v>-1.1275396234443147E-3</v>
      </c>
      <c r="NU62" s="737" t="e">
        <f t="shared" si="215"/>
        <v>#DIV/0!</v>
      </c>
      <c r="NV62" s="692">
        <f t="shared" si="216"/>
        <v>9.1391382470756663E-2</v>
      </c>
      <c r="NW62" s="692">
        <f t="shared" si="217"/>
        <v>0.11641325239368067</v>
      </c>
      <c r="NX62" s="797" t="e">
        <f>(ER62-T.A2!B14*T.A1!M14)/MP62</f>
        <v>#DIV/0!</v>
      </c>
      <c r="NY62" s="692" t="e">
        <f>Liabilities!BU62/Liabilities!GY62</f>
        <v>#DIV/0!</v>
      </c>
      <c r="NZ62" s="692">
        <f>Liabilities!BU62/Liabilities!GT62</f>
        <v>7.9247387699731636E-2</v>
      </c>
      <c r="OA62" s="692" t="e">
        <f>Liabilities!BU62/Liabilities!GR62</f>
        <v>#DIV/0!</v>
      </c>
      <c r="OB62" s="692" t="e">
        <f t="shared" si="256"/>
        <v>#DIV/0!</v>
      </c>
      <c r="OC62" s="692">
        <f t="shared" si="257"/>
        <v>1.2143994771025027E-2</v>
      </c>
      <c r="OD62" s="692"/>
      <c r="OE62" s="797">
        <f t="shared" si="218"/>
        <v>9.1391382470756663E-2</v>
      </c>
      <c r="OF62" s="797">
        <f>OE62/(1-'Assets(MOFA)'!GU15)</f>
        <v>0.18828728748747728</v>
      </c>
      <c r="OG62" s="797">
        <f>Liabilities!HV62</f>
        <v>0</v>
      </c>
      <c r="OH62" s="797"/>
      <c r="OI62" s="388">
        <f t="shared" si="219"/>
        <v>3.7791910795065685E-2</v>
      </c>
      <c r="OJ62" s="388">
        <f t="shared" si="220"/>
        <v>3.7791910795065685E-2</v>
      </c>
      <c r="OK62" s="388"/>
      <c r="OL62" s="388"/>
      <c r="OM62" s="421"/>
      <c r="OO62" s="126">
        <f t="shared" si="221"/>
        <v>9.1391382470756663E-2</v>
      </c>
      <c r="OP62" s="189"/>
      <c r="OQ62" s="189"/>
      <c r="OR62" s="189"/>
      <c r="OS62" s="117"/>
      <c r="OT62" s="117"/>
      <c r="OU62" s="117"/>
      <c r="OV62" s="117"/>
      <c r="OW62" s="117"/>
      <c r="OX62" s="117"/>
      <c r="OY62" s="117"/>
      <c r="OZ62" s="117"/>
      <c r="PA62" s="117"/>
      <c r="PG62" s="751"/>
      <c r="PH62" s="120">
        <f>'Assets(MOFA)'!GU15</f>
        <v>0.51461735048450907</v>
      </c>
      <c r="PI62" s="120">
        <f>'Assets(MOFA)'!HM15</f>
        <v>0.44439189259231543</v>
      </c>
      <c r="PJ62" s="803">
        <f t="shared" si="222"/>
        <v>7.3097546420442999E-2</v>
      </c>
      <c r="PL62" s="803">
        <f>'Assets(MOFA)'!GO15/MM62/1000</f>
        <v>4.407445466670986E-2</v>
      </c>
    </row>
    <row r="63" spans="2:428" s="90" customFormat="1">
      <c r="B63" s="74">
        <v>1971</v>
      </c>
      <c r="C63" s="43">
        <v>1017</v>
      </c>
      <c r="D63" s="5">
        <v>100.6</v>
      </c>
      <c r="E63" s="6">
        <f t="shared" si="68"/>
        <v>9.8918387413962625E-2</v>
      </c>
      <c r="F63" s="72">
        <f t="shared" si="69"/>
        <v>0</v>
      </c>
      <c r="G63" s="72">
        <f t="shared" si="70"/>
        <v>92.699999999999989</v>
      </c>
      <c r="H63" s="6">
        <f t="shared" si="71"/>
        <v>9.1150442477876098E-2</v>
      </c>
      <c r="I63" s="74">
        <v>7.9</v>
      </c>
      <c r="J63" s="19">
        <f t="shared" si="72"/>
        <v>7.7679449360865292E-3</v>
      </c>
      <c r="K63" s="6">
        <f t="shared" si="73"/>
        <v>7.8528827037773363E-2</v>
      </c>
      <c r="L63" s="136">
        <v>9.8000000000000007</v>
      </c>
      <c r="M63" s="19">
        <f t="shared" si="74"/>
        <v>9.6361848574237959E-3</v>
      </c>
      <c r="N63" s="63">
        <f t="shared" si="75"/>
        <v>9.7415506958250506E-2</v>
      </c>
      <c r="O63" s="5">
        <f t="shared" si="76"/>
        <v>100.6</v>
      </c>
      <c r="P63" s="75">
        <f t="shared" si="77"/>
        <v>0</v>
      </c>
      <c r="Q63" s="273">
        <v>81.900000000000006</v>
      </c>
      <c r="R63" s="202">
        <v>7.3</v>
      </c>
      <c r="S63" s="53">
        <f t="shared" si="78"/>
        <v>7.2564612326043734E-2</v>
      </c>
      <c r="T63" s="74">
        <v>3.3</v>
      </c>
      <c r="U63" s="74">
        <v>1.4000000000000004</v>
      </c>
      <c r="V63" s="207">
        <v>7.4</v>
      </c>
      <c r="W63" s="53">
        <f t="shared" si="79"/>
        <v>7.3558648111332017E-2</v>
      </c>
      <c r="X63" s="75">
        <f t="shared" si="80"/>
        <v>14.099999999999994</v>
      </c>
      <c r="Y63" s="187"/>
      <c r="Z63" s="75"/>
      <c r="AA63" s="75"/>
      <c r="AB63" s="75"/>
      <c r="AC63" s="75">
        <f t="shared" si="103"/>
        <v>1.8141238702750324</v>
      </c>
      <c r="AD63" s="6">
        <f t="shared" si="81"/>
        <v>1.8033040459990383E-2</v>
      </c>
      <c r="AE63" s="75"/>
      <c r="AF63" s="75">
        <v>1.9790800730000082</v>
      </c>
      <c r="AG63" s="75"/>
      <c r="AH63" s="97">
        <v>38.200000000000003</v>
      </c>
      <c r="AI63" s="19">
        <f t="shared" si="82"/>
        <v>3.7561455260570309E-2</v>
      </c>
      <c r="AJ63" s="19">
        <f t="shared" si="83"/>
        <v>3.4218289085545729E-2</v>
      </c>
      <c r="AK63" s="130">
        <f t="shared" si="84"/>
        <v>0</v>
      </c>
      <c r="AL63" s="74">
        <v>30.099999999999998</v>
      </c>
      <c r="AM63" s="72">
        <f>(0.5*Fedtax!C42+0.5*Fedtax!C43)/1000</f>
        <v>29.4755</v>
      </c>
      <c r="AN63" s="74">
        <v>4.3</v>
      </c>
      <c r="AO63" s="279">
        <v>0.4</v>
      </c>
      <c r="AP63" s="74">
        <v>3.4</v>
      </c>
      <c r="AQ63" s="6">
        <f t="shared" si="85"/>
        <v>6.1356932153392323E-2</v>
      </c>
      <c r="AR63" s="207">
        <v>5.7</v>
      </c>
      <c r="AS63" s="713">
        <f>AR63</f>
        <v>5.7</v>
      </c>
      <c r="AT63" s="207"/>
      <c r="AU63" s="207"/>
      <c r="AV63" s="707">
        <f t="shared" si="56"/>
        <v>7.4436371360127875</v>
      </c>
      <c r="AW63" s="761">
        <f t="shared" si="101"/>
        <v>4.0065000000000008</v>
      </c>
      <c r="AX63" s="761">
        <f t="shared" si="104"/>
        <v>3.4371371360127867</v>
      </c>
      <c r="AY63" s="768">
        <f t="shared" si="102"/>
        <v>0.5382449368221216</v>
      </c>
      <c r="AZ63" s="720">
        <f>BA63/BB63</f>
        <v>7.4436371360127875</v>
      </c>
      <c r="BA63" s="55">
        <f>(BA62+BA64)/2</f>
        <v>4.0065000000000008</v>
      </c>
      <c r="BB63" s="56">
        <f>(BB62+BB64)/2</f>
        <v>0.5382449368221216</v>
      </c>
      <c r="BC63" s="207"/>
      <c r="BD63" s="210">
        <f>'Assets(MOFA)'!FJ16/1000</f>
        <v>9.6767282768166236</v>
      </c>
      <c r="BE63" s="205">
        <f t="shared" si="105"/>
        <v>0.76923076923076927</v>
      </c>
      <c r="BF63" s="186">
        <v>0.48</v>
      </c>
      <c r="BG63" s="435"/>
      <c r="BH63" s="143">
        <f t="shared" si="106"/>
        <v>0.34677419354838712</v>
      </c>
      <c r="BI63" s="250">
        <f t="shared" si="57"/>
        <v>0.34677419354838712</v>
      </c>
      <c r="BJ63" s="6">
        <f t="shared" si="107"/>
        <v>0.32270168855534714</v>
      </c>
      <c r="BK63" s="143">
        <f t="shared" si="108"/>
        <v>0.38226882745471891</v>
      </c>
      <c r="BL63" s="143">
        <f t="shared" si="109"/>
        <v>0.38545420817547182</v>
      </c>
      <c r="BM63" s="250">
        <f t="shared" si="110"/>
        <v>0.38899606333594633</v>
      </c>
      <c r="BN63" s="6">
        <f t="shared" si="111"/>
        <v>0.42490842490842495</v>
      </c>
      <c r="BO63" s="6">
        <f t="shared" si="112"/>
        <v>0.39013452914798208</v>
      </c>
      <c r="BP63" s="149">
        <f t="shared" si="86"/>
        <v>100.6</v>
      </c>
      <c r="BQ63" s="130">
        <f t="shared" si="87"/>
        <v>-0.10000000000000853</v>
      </c>
      <c r="BR63" s="156">
        <f t="shared" si="88"/>
        <v>38.200000000000003</v>
      </c>
      <c r="BS63" s="136">
        <v>25</v>
      </c>
      <c r="BT63" s="136">
        <v>37.5</v>
      </c>
      <c r="BU63" s="6">
        <f t="shared" si="223"/>
        <v>0.37276341948310143</v>
      </c>
      <c r="BV63" s="74">
        <v>34.299999999999997</v>
      </c>
      <c r="BW63" s="74">
        <f t="shared" si="89"/>
        <v>3.2000000000000028</v>
      </c>
      <c r="BX63" s="6">
        <f t="shared" si="90"/>
        <v>3.1809145129224684E-2</v>
      </c>
      <c r="BY63" s="6"/>
      <c r="BZ63" s="6"/>
      <c r="CA63" s="6"/>
      <c r="CB63" s="6">
        <f t="shared" si="47"/>
        <v>0.40506329113924083</v>
      </c>
      <c r="CC63" s="169">
        <f t="shared" si="91"/>
        <v>9.8000000000000007</v>
      </c>
      <c r="CD63" s="174"/>
      <c r="CF63" s="136">
        <f t="shared" si="58"/>
        <v>9.0020000000000007</v>
      </c>
      <c r="CH63" s="6">
        <f t="shared" si="59"/>
        <v>0.91857142857142859</v>
      </c>
      <c r="CI63" s="169">
        <v>9.16</v>
      </c>
      <c r="CK63" s="136">
        <f t="shared" si="60"/>
        <v>9.0020000000000007</v>
      </c>
      <c r="CL63" s="162"/>
      <c r="CN63" s="162">
        <v>3.7</v>
      </c>
      <c r="CO63" s="162"/>
      <c r="CP63" s="136">
        <f t="shared" si="61"/>
        <v>0.15799999999999947</v>
      </c>
      <c r="CZ63" s="166">
        <f t="shared" si="49"/>
        <v>9.16</v>
      </c>
      <c r="DA63" s="509">
        <v>2.8780000000000001</v>
      </c>
      <c r="DB63" s="6">
        <f t="shared" si="50"/>
        <v>0.31419213973799126</v>
      </c>
      <c r="DG63" s="245">
        <v>364</v>
      </c>
      <c r="DI63" s="182">
        <v>9.1590000000000007</v>
      </c>
      <c r="DJ63" s="136">
        <v>2.1000000000000001E-2</v>
      </c>
      <c r="DK63" s="136">
        <v>0.17699999999999999</v>
      </c>
      <c r="DL63" s="136">
        <v>4.2000000000000003E-2</v>
      </c>
      <c r="DM63" s="136">
        <v>0.39600000000000002</v>
      </c>
      <c r="DN63" s="136">
        <v>0.26800000000000002</v>
      </c>
      <c r="DO63" s="136">
        <v>6.4000000000000001E-2</v>
      </c>
      <c r="DP63" s="136">
        <v>0</v>
      </c>
      <c r="DQ63" s="136">
        <v>8.9999999999999993E-3</v>
      </c>
      <c r="DR63" s="156">
        <f t="shared" si="113"/>
        <v>0.91300000000000003</v>
      </c>
      <c r="DS63" s="156">
        <f t="shared" si="114"/>
        <v>8.2460000000000004</v>
      </c>
      <c r="DT63" s="156">
        <v>1.0329999999999999</v>
      </c>
      <c r="DU63" s="6">
        <f t="shared" si="115"/>
        <v>0.12527285956827552</v>
      </c>
      <c r="DV63" s="6">
        <f t="shared" si="116"/>
        <v>2.2928267278087126E-3</v>
      </c>
      <c r="DW63" s="605">
        <f t="shared" si="117"/>
        <v>1.9325253848673434E-2</v>
      </c>
      <c r="DX63" s="605">
        <f t="shared" si="118"/>
        <v>4.5856534556174252E-3</v>
      </c>
      <c r="DY63" s="6">
        <f t="shared" si="119"/>
        <v>4.3236161152964296E-2</v>
      </c>
      <c r="DZ63" s="6">
        <f t="shared" si="120"/>
        <v>2.9260836335844524E-2</v>
      </c>
      <c r="EA63" s="6">
        <f t="shared" si="121"/>
        <v>6.987662408559886E-3</v>
      </c>
      <c r="EB63" s="6">
        <f t="shared" si="122"/>
        <v>0</v>
      </c>
      <c r="EC63" s="605">
        <f t="shared" si="123"/>
        <v>9.8264002620373396E-4</v>
      </c>
      <c r="ED63" s="6">
        <f t="shared" si="124"/>
        <v>9.9683371547112126E-2</v>
      </c>
      <c r="EE63" s="6"/>
      <c r="EF63" s="6"/>
      <c r="EG63" s="67">
        <v>3.1760000000000002</v>
      </c>
      <c r="EN63" s="131"/>
      <c r="EO63" s="56">
        <v>0.5</v>
      </c>
      <c r="ER63" s="182">
        <v>9.0020000000000007</v>
      </c>
      <c r="ES63" s="136">
        <v>2.8330000000000002</v>
      </c>
      <c r="ET63" s="136"/>
      <c r="EU63" s="136"/>
      <c r="EV63" s="136"/>
      <c r="EW63" s="156">
        <f t="shared" si="125"/>
        <v>2.1000000000000001E-2</v>
      </c>
      <c r="EX63" s="156">
        <f t="shared" si="126"/>
        <v>0.17699999999999999</v>
      </c>
      <c r="EY63" s="156">
        <f t="shared" si="127"/>
        <v>4.2000000000000003E-2</v>
      </c>
      <c r="EZ63" s="156">
        <f t="shared" si="128"/>
        <v>0.39600000000000002</v>
      </c>
      <c r="FA63" s="156">
        <f t="shared" si="129"/>
        <v>0.21852283038710002</v>
      </c>
      <c r="FB63" s="156">
        <f t="shared" si="130"/>
        <v>6.4000000000000001E-2</v>
      </c>
      <c r="FC63" s="156">
        <f t="shared" si="131"/>
        <v>0</v>
      </c>
      <c r="FD63" s="156">
        <f t="shared" si="132"/>
        <v>8.9999999999999993E-3</v>
      </c>
      <c r="FE63" s="156">
        <f t="shared" si="133"/>
        <v>0.86352283038709998</v>
      </c>
      <c r="FF63" s="156">
        <f t="shared" si="134"/>
        <v>8.1374771696129002</v>
      </c>
      <c r="FG63" s="6">
        <f t="shared" si="135"/>
        <v>2.3328149300155519E-3</v>
      </c>
      <c r="FH63" s="6">
        <f t="shared" si="136"/>
        <v>1.9662297267273938E-2</v>
      </c>
      <c r="FI63" s="6">
        <f t="shared" si="137"/>
        <v>4.6656298600311038E-3</v>
      </c>
      <c r="FJ63" s="6">
        <f t="shared" si="138"/>
        <v>4.3990224394578982E-2</v>
      </c>
      <c r="FK63" s="6">
        <f t="shared" si="139"/>
        <v>2.4274920060775383E-2</v>
      </c>
      <c r="FL63" s="6">
        <f t="shared" si="140"/>
        <v>7.1095312152854914E-3</v>
      </c>
      <c r="FM63" s="6">
        <f t="shared" si="141"/>
        <v>0</v>
      </c>
      <c r="FN63" s="6">
        <f t="shared" si="142"/>
        <v>9.9977782714952214E-4</v>
      </c>
      <c r="FO63" s="6">
        <f t="shared" si="92"/>
        <v>9.5925664339824482E-2</v>
      </c>
      <c r="FP63" s="6">
        <f t="shared" si="93"/>
        <v>0.90407433566017548</v>
      </c>
      <c r="FQ63" s="6">
        <f t="shared" si="94"/>
        <v>9.3446472219709739E-3</v>
      </c>
      <c r="FR63" s="6">
        <f t="shared" si="95"/>
        <v>8.8070859736279525E-2</v>
      </c>
      <c r="FS63" s="6">
        <f t="shared" si="96"/>
        <v>9.2435743414973439E-4</v>
      </c>
      <c r="FT63" s="397">
        <f t="shared" si="97"/>
        <v>4.621787170748672E-4</v>
      </c>
      <c r="FU63" s="397">
        <f t="shared" si="98"/>
        <v>4.621787170748672E-4</v>
      </c>
      <c r="FV63" s="6">
        <f t="shared" si="99"/>
        <v>8.71182742327406E-3</v>
      </c>
      <c r="FW63" s="632">
        <f t="shared" si="62"/>
        <v>0.15799999999999947</v>
      </c>
      <c r="FX63" s="345">
        <f t="shared" si="143"/>
        <v>0</v>
      </c>
      <c r="FY63" s="345">
        <f t="shared" si="144"/>
        <v>0</v>
      </c>
      <c r="FZ63" s="345">
        <f t="shared" si="145"/>
        <v>0</v>
      </c>
      <c r="GA63" s="345">
        <f t="shared" si="146"/>
        <v>0</v>
      </c>
      <c r="GB63" s="597">
        <f t="shared" si="147"/>
        <v>4.9477169612899989E-2</v>
      </c>
      <c r="GC63" s="345">
        <f t="shared" si="148"/>
        <v>0</v>
      </c>
      <c r="GD63" s="381">
        <f t="shared" si="149"/>
        <v>0</v>
      </c>
      <c r="GE63" s="345">
        <f t="shared" si="150"/>
        <v>0</v>
      </c>
      <c r="GF63" s="597">
        <f t="shared" si="151"/>
        <v>4.9477169612899989E-2</v>
      </c>
      <c r="GG63" s="344">
        <f t="shared" si="152"/>
        <v>0.10852283038709948</v>
      </c>
      <c r="GH63" s="169">
        <v>7.617</v>
      </c>
      <c r="GI63" s="72">
        <v>0.03</v>
      </c>
      <c r="GJ63" s="72">
        <v>0.16700000000000001</v>
      </c>
      <c r="GK63" s="85">
        <v>5.6000000000000001E-2</v>
      </c>
      <c r="GL63" s="85">
        <v>0.20899999999999999</v>
      </c>
      <c r="GM63" s="85">
        <v>0.32400000000000001</v>
      </c>
      <c r="GN63" s="85">
        <v>4.1000000000000002E-2</v>
      </c>
      <c r="GO63" s="72">
        <f t="shared" si="153"/>
        <v>0.28300000000000003</v>
      </c>
      <c r="GP63" s="72">
        <v>4.1000000000000002E-2</v>
      </c>
      <c r="GQ63" s="85">
        <v>2.5000000000000001E-2</v>
      </c>
      <c r="GR63" s="72">
        <f t="shared" si="154"/>
        <v>0.81100000000000017</v>
      </c>
      <c r="GS63" s="72">
        <f t="shared" si="155"/>
        <v>6.806</v>
      </c>
      <c r="GT63" s="6">
        <f t="shared" si="156"/>
        <v>0.1064723644479454</v>
      </c>
      <c r="GU63" s="334">
        <f t="shared" si="259"/>
        <v>6.9526134838597455</v>
      </c>
      <c r="GW63" s="903">
        <f t="shared" si="52"/>
        <v>3.1760000000000002</v>
      </c>
      <c r="GX63" s="72">
        <f t="shared" si="224"/>
        <v>0.03</v>
      </c>
      <c r="GY63" s="72">
        <f t="shared" si="225"/>
        <v>0.16700000000000001</v>
      </c>
      <c r="GZ63" s="72">
        <f t="shared" si="226"/>
        <v>5.6000000000000001E-2</v>
      </c>
      <c r="HA63" s="72">
        <f t="shared" si="227"/>
        <v>0.20899999999999999</v>
      </c>
      <c r="HB63" s="72">
        <f t="shared" si="228"/>
        <v>0.32400000000000001</v>
      </c>
      <c r="HC63" s="72">
        <f t="shared" si="229"/>
        <v>4.1000000000000002E-2</v>
      </c>
      <c r="HD63" s="72">
        <f t="shared" si="230"/>
        <v>4.1000000000000002E-2</v>
      </c>
      <c r="HE63" s="72">
        <f t="shared" si="231"/>
        <v>2.5000000000000001E-2</v>
      </c>
      <c r="HF63" s="72">
        <f t="shared" si="158"/>
        <v>0.81100000000000017</v>
      </c>
      <c r="HG63" s="6">
        <f t="shared" si="232"/>
        <v>0.11664678352718857</v>
      </c>
      <c r="HH63" s="72">
        <f t="shared" si="233"/>
        <v>6.6156134838597467</v>
      </c>
      <c r="HI63" s="169">
        <v>4.4409999999999998</v>
      </c>
      <c r="HT63" s="131"/>
      <c r="IF63" s="136">
        <f t="shared" si="234"/>
        <v>0.66438651614025446</v>
      </c>
      <c r="IG63" s="74">
        <v>0</v>
      </c>
      <c r="IH63" s="74">
        <v>0</v>
      </c>
      <c r="II63" s="74">
        <v>0</v>
      </c>
      <c r="IJ63" s="74">
        <v>0</v>
      </c>
      <c r="IK63" s="360">
        <f t="shared" si="159"/>
        <v>0</v>
      </c>
      <c r="IL63" s="74">
        <v>0</v>
      </c>
      <c r="IM63" s="74">
        <v>0</v>
      </c>
      <c r="IN63" s="74">
        <v>0</v>
      </c>
      <c r="IO63" s="75">
        <f t="shared" si="160"/>
        <v>0</v>
      </c>
      <c r="IP63" s="136">
        <f t="shared" si="235"/>
        <v>0.66438651614025446</v>
      </c>
      <c r="IQ63" s="174">
        <f t="shared" si="236"/>
        <v>0.66438651614025446</v>
      </c>
      <c r="IR63" s="337">
        <f t="shared" si="161"/>
        <v>82.76</v>
      </c>
      <c r="IS63" s="72">
        <f t="shared" si="237"/>
        <v>7.2800000000000011</v>
      </c>
      <c r="IT63" s="72">
        <f t="shared" si="238"/>
        <v>0</v>
      </c>
      <c r="IU63" s="136">
        <f t="shared" si="53"/>
        <v>3.1760000000000002</v>
      </c>
      <c r="IV63" s="903">
        <f t="shared" si="260"/>
        <v>3.7766134838597454</v>
      </c>
      <c r="IW63" s="903">
        <f t="shared" si="239"/>
        <v>0.66438651614025446</v>
      </c>
      <c r="IX63" s="72">
        <f t="shared" si="240"/>
        <v>-0.33699999999999886</v>
      </c>
      <c r="JB63" s="6">
        <f t="shared" si="162"/>
        <v>8.1376597836774839E-2</v>
      </c>
      <c r="JC63" s="6">
        <f t="shared" si="163"/>
        <v>7.2517207472959696E-3</v>
      </c>
      <c r="JD63" s="6">
        <f t="shared" si="164"/>
        <v>7.4124877089478861E-2</v>
      </c>
      <c r="JE63" s="902">
        <f t="shared" si="54"/>
        <v>3.1229105211406098E-3</v>
      </c>
      <c r="JF63" s="1006"/>
      <c r="JG63" s="1001"/>
      <c r="JH63" s="5">
        <v>82.76</v>
      </c>
      <c r="JI63" s="192">
        <v>21.794</v>
      </c>
      <c r="JJ63" s="333">
        <v>0.21299999999999999</v>
      </c>
      <c r="JK63" s="333">
        <v>1.7170000000000001</v>
      </c>
      <c r="JL63" s="333">
        <v>0.312</v>
      </c>
      <c r="JM63" s="333">
        <v>2.8479999999999999</v>
      </c>
      <c r="JN63" s="333">
        <v>2.1819999999999999</v>
      </c>
      <c r="JO63" s="333">
        <v>0.28299999999999997</v>
      </c>
      <c r="JP63" s="75">
        <f t="shared" si="241"/>
        <v>1.899</v>
      </c>
      <c r="JQ63" s="333">
        <v>0.24399999999999999</v>
      </c>
      <c r="JR63" s="333">
        <v>0.10299999999999999</v>
      </c>
      <c r="JS63" s="332">
        <f t="shared" si="165"/>
        <v>7.3750000000000009</v>
      </c>
      <c r="JT63" s="332">
        <f t="shared" si="166"/>
        <v>75.385000000000005</v>
      </c>
      <c r="JU63" s="6">
        <f t="shared" si="167"/>
        <v>8.9113098115031417E-2</v>
      </c>
      <c r="JV63" s="6">
        <f t="shared" si="168"/>
        <v>2.5737071048815849E-3</v>
      </c>
      <c r="JW63" s="6">
        <f t="shared" si="169"/>
        <v>2.0746737554374093E-2</v>
      </c>
      <c r="JX63" s="6">
        <f t="shared" si="170"/>
        <v>3.7699371677138711E-3</v>
      </c>
      <c r="JY63" s="6">
        <f t="shared" si="171"/>
        <v>3.4412759787336877E-2</v>
      </c>
      <c r="JZ63" s="6">
        <f t="shared" si="172"/>
        <v>2.6365393910101495E-2</v>
      </c>
      <c r="KA63" s="6">
        <f t="shared" si="173"/>
        <v>1.2445625906234894E-3</v>
      </c>
      <c r="KB63" s="365">
        <f t="shared" si="174"/>
        <v>7.2261161729304559</v>
      </c>
      <c r="KC63" s="162">
        <f t="shared" si="175"/>
        <v>16.611819155238408</v>
      </c>
      <c r="KD63" s="162">
        <f t="shared" si="176"/>
        <v>9.3857029823079507</v>
      </c>
      <c r="KE63" s="6">
        <f t="shared" si="242"/>
        <v>0.56500151456008607</v>
      </c>
      <c r="KF63" s="1071">
        <v>0</v>
      </c>
      <c r="KG63" s="222">
        <f t="shared" si="243"/>
        <v>0</v>
      </c>
      <c r="KH63" s="222">
        <f t="shared" si="244"/>
        <v>0</v>
      </c>
      <c r="KI63" s="222">
        <f t="shared" si="245"/>
        <v>0</v>
      </c>
      <c r="KJ63" s="222">
        <f t="shared" si="246"/>
        <v>0</v>
      </c>
      <c r="KK63" s="597">
        <f t="shared" si="247"/>
        <v>1.3091999999999999</v>
      </c>
      <c r="KL63" s="74">
        <f t="shared" si="248"/>
        <v>0</v>
      </c>
      <c r="KM63" s="345"/>
      <c r="KN63" s="345"/>
      <c r="KO63" s="72">
        <f t="shared" si="249"/>
        <v>0</v>
      </c>
      <c r="KP63" s="74">
        <f t="shared" si="250"/>
        <v>0</v>
      </c>
      <c r="KQ63" s="72">
        <f t="shared" si="177"/>
        <v>1.3091999999999999</v>
      </c>
      <c r="KR63" s="85">
        <f t="shared" si="251"/>
        <v>5.9169161729304562</v>
      </c>
      <c r="KS63" s="6">
        <f t="shared" si="178"/>
        <v>5.8180100028814713E-3</v>
      </c>
      <c r="KT63" s="6">
        <f t="shared" si="179"/>
        <v>0</v>
      </c>
      <c r="KU63" s="169">
        <f t="shared" si="180"/>
        <v>75.533883827069545</v>
      </c>
      <c r="KV63" s="174">
        <f t="shared" si="252"/>
        <v>21.794</v>
      </c>
      <c r="KW63" s="162">
        <f t="shared" si="181"/>
        <v>0.21299999999999999</v>
      </c>
      <c r="KX63" s="162">
        <f t="shared" si="182"/>
        <v>1.7170000000000001</v>
      </c>
      <c r="KY63" s="162">
        <f t="shared" si="183"/>
        <v>0.312</v>
      </c>
      <c r="KZ63" s="162">
        <f t="shared" si="184"/>
        <v>2.8479999999999999</v>
      </c>
      <c r="LA63" s="162">
        <f t="shared" si="185"/>
        <v>0.87280000000000002</v>
      </c>
      <c r="LB63" s="162">
        <f t="shared" si="186"/>
        <v>0.28299999999999997</v>
      </c>
      <c r="LC63" s="72">
        <f t="shared" si="187"/>
        <v>0.24399999999999999</v>
      </c>
      <c r="LD63" s="162">
        <f t="shared" si="188"/>
        <v>0.10299999999999999</v>
      </c>
      <c r="LE63" s="162">
        <f t="shared" si="189"/>
        <v>6.0658000000000012</v>
      </c>
      <c r="LF63" s="162">
        <f t="shared" si="190"/>
        <v>0</v>
      </c>
      <c r="LG63" s="162">
        <f t="shared" si="191"/>
        <v>69.468083827069549</v>
      </c>
      <c r="LH63" s="19">
        <f t="shared" si="192"/>
        <v>8.0305681273947188E-2</v>
      </c>
      <c r="LI63" s="6">
        <f t="shared" si="193"/>
        <v>2.8199264913697695E-3</v>
      </c>
      <c r="LJ63" s="6">
        <f t="shared" si="194"/>
        <v>2.2731520120572276E-2</v>
      </c>
      <c r="LK63" s="6">
        <f t="shared" si="195"/>
        <v>4.1305965507388177E-3</v>
      </c>
      <c r="LL63" s="6">
        <f t="shared" si="196"/>
        <v>3.7704932617000482E-2</v>
      </c>
      <c r="LM63" s="6">
        <f t="shared" si="197"/>
        <v>1.1555079068861666E-2</v>
      </c>
      <c r="LN63" s="6">
        <f t="shared" si="198"/>
        <v>3.7466628969842473E-3</v>
      </c>
      <c r="LO63" s="6">
        <f t="shared" si="199"/>
        <v>3.2303383281418957E-3</v>
      </c>
      <c r="LP63" s="6">
        <f t="shared" si="200"/>
        <v>1.3636264254041608E-3</v>
      </c>
      <c r="LQ63" s="6">
        <f t="shared" si="201"/>
        <v>7.4271272199675067E-2</v>
      </c>
      <c r="LR63" s="6">
        <f t="shared" si="202"/>
        <v>6.8306867086597389E-2</v>
      </c>
      <c r="LS63" s="6">
        <f t="shared" si="203"/>
        <v>5.9644051130776808E-3</v>
      </c>
      <c r="LT63" s="295"/>
      <c r="LU63" s="156"/>
      <c r="LV63" s="156">
        <f t="shared" si="204"/>
        <v>7.2261161729304559</v>
      </c>
      <c r="LW63" s="156">
        <f t="shared" si="205"/>
        <v>9.3857029823079507</v>
      </c>
      <c r="LX63" s="422">
        <f>LY63*Liabilities!GT63</f>
        <v>0.64455759289905523</v>
      </c>
      <c r="LY63" s="56">
        <f t="shared" si="206"/>
        <v>5.6670963373826537E-2</v>
      </c>
      <c r="LZ63" s="56">
        <f t="shared" si="253"/>
        <v>0.22280871553279108</v>
      </c>
      <c r="MA63" s="156"/>
      <c r="MB63" s="156"/>
      <c r="MC63" s="156">
        <f>Liabilities!EF63</f>
        <v>2.2483166438997957</v>
      </c>
      <c r="MD63" s="156"/>
      <c r="ME63" s="156"/>
      <c r="MF63" s="156">
        <f t="shared" si="207"/>
        <v>2.8928742367988507</v>
      </c>
      <c r="MG63" s="156">
        <f t="shared" si="208"/>
        <v>16.611819155238408</v>
      </c>
      <c r="MH63" s="326">
        <f t="shared" si="209"/>
        <v>75.533883827069545</v>
      </c>
      <c r="MI63" s="1008">
        <f>FoF_RoW!$BH33/1000</f>
        <v>103.902</v>
      </c>
      <c r="MJ63" s="1008"/>
      <c r="MK63" s="1008">
        <f>FoF_RoW!$AU33/1000</f>
        <v>7.6180000000000003</v>
      </c>
      <c r="ML63" s="1008">
        <f t="shared" si="254"/>
        <v>9.5529999999999973</v>
      </c>
      <c r="MM63" s="430">
        <f t="shared" si="210"/>
        <v>96.675883827069541</v>
      </c>
      <c r="MN63" s="6">
        <f t="shared" si="211"/>
        <v>1.2799008726785899</v>
      </c>
      <c r="MO63" s="156">
        <v>87.009149647416365</v>
      </c>
      <c r="MP63" s="430"/>
      <c r="MQ63" s="156"/>
      <c r="MR63" s="156"/>
      <c r="MS63" s="156">
        <f t="shared" si="212"/>
        <v>7.2261161729304559</v>
      </c>
      <c r="MT63" s="156"/>
      <c r="MU63" s="156"/>
      <c r="MV63" s="156"/>
      <c r="MW63" s="156"/>
      <c r="MX63" s="156"/>
      <c r="MY63" s="430">
        <f t="shared" si="255"/>
        <v>67.426309408230281</v>
      </c>
      <c r="MZ63" s="6">
        <f t="shared" si="213"/>
        <v>6.6299222623628598E-2</v>
      </c>
      <c r="NA63" s="156">
        <v>211.32114964741638</v>
      </c>
      <c r="NB63" s="156">
        <v>132.82284023918609</v>
      </c>
      <c r="NC63" s="430">
        <v>26.342999999999989</v>
      </c>
      <c r="ND63" s="6">
        <f t="shared" si="214"/>
        <v>2.5902654867256628E-2</v>
      </c>
      <c r="NE63" s="156"/>
      <c r="NF63" s="156"/>
      <c r="NG63" s="156"/>
      <c r="NH63" s="156"/>
      <c r="NI63" s="422">
        <f>NI62</f>
        <v>11.071999999999999</v>
      </c>
      <c r="NJ63" s="430">
        <f t="shared" si="63"/>
        <v>7.9960000000000004</v>
      </c>
      <c r="NK63" s="405">
        <f t="shared" si="64"/>
        <v>7.8623402163225178E-3</v>
      </c>
      <c r="NL63" s="156">
        <v>7.9960000000000004</v>
      </c>
      <c r="NM63" s="156">
        <v>9.16</v>
      </c>
      <c r="NN63" s="156">
        <v>1.1639999999999999</v>
      </c>
      <c r="NO63" s="430">
        <f t="shared" si="100"/>
        <v>7.27</v>
      </c>
      <c r="NP63" s="156">
        <v>12.706</v>
      </c>
      <c r="NQ63" s="156">
        <v>5.4359999999999999</v>
      </c>
      <c r="NR63" s="405">
        <f t="shared" si="65"/>
        <v>7.1484759095378561E-3</v>
      </c>
      <c r="NS63" s="405">
        <f t="shared" si="66"/>
        <v>7.8623402163225178E-3</v>
      </c>
      <c r="NT63" s="405">
        <f t="shared" si="67"/>
        <v>-7.1386430678466173E-4</v>
      </c>
      <c r="NU63" s="727" t="e">
        <f t="shared" si="215"/>
        <v>#DIV/0!</v>
      </c>
      <c r="NV63" s="688">
        <f t="shared" si="216"/>
        <v>9.3115259397084649E-2</v>
      </c>
      <c r="NW63" s="688">
        <f t="shared" si="217"/>
        <v>0.11917830176202192</v>
      </c>
      <c r="NX63" s="793" t="e">
        <f>(ER63-T.A2!B15*T.A1!M15)/MP63</f>
        <v>#DIV/0!</v>
      </c>
      <c r="NY63" s="688" t="e">
        <f>Liabilities!BU63/Liabilities!GY63</f>
        <v>#DIV/0!</v>
      </c>
      <c r="NZ63" s="688">
        <f>Liabilities!BU63/Liabilities!GT63</f>
        <v>0.10234151624906065</v>
      </c>
      <c r="OA63" s="688" t="e">
        <f>Liabilities!BU63/Liabilities!GR63</f>
        <v>#DIV/0!</v>
      </c>
      <c r="OB63" s="688" t="e">
        <f t="shared" si="256"/>
        <v>#DIV/0!</v>
      </c>
      <c r="OC63" s="688">
        <f t="shared" si="257"/>
        <v>-9.2262568519760058E-3</v>
      </c>
      <c r="OD63" s="688"/>
      <c r="OE63" s="793">
        <f t="shared" si="218"/>
        <v>9.3115259397084649E-2</v>
      </c>
      <c r="OF63" s="793">
        <f>OE63/(1-'Assets(MOFA)'!GU16)</f>
        <v>0.19422585933421282</v>
      </c>
      <c r="OG63" s="793">
        <f>Liabilities!HV63</f>
        <v>0</v>
      </c>
      <c r="OH63" s="793"/>
      <c r="OI63" s="389">
        <f t="shared" si="219"/>
        <v>3.7791910795065685E-2</v>
      </c>
      <c r="OJ63" s="389">
        <f t="shared" si="220"/>
        <v>3.7791910795065685E-2</v>
      </c>
      <c r="OK63" s="389"/>
      <c r="OL63" s="389"/>
      <c r="OM63" s="422"/>
      <c r="OO63" s="97">
        <f t="shared" si="221"/>
        <v>9.3115259397084649E-2</v>
      </c>
      <c r="OP63" s="190"/>
      <c r="OQ63" s="190"/>
      <c r="OR63" s="190"/>
      <c r="OS63" s="74"/>
      <c r="OT63" s="74"/>
      <c r="OU63" s="74"/>
      <c r="OV63" s="74"/>
      <c r="OW63" s="74"/>
      <c r="OX63" s="74"/>
      <c r="OY63" s="74"/>
      <c r="OZ63" s="74"/>
      <c r="PA63" s="74"/>
      <c r="PG63" s="69"/>
      <c r="PH63" s="6">
        <f>'Assets(MOFA)'!GU16</f>
        <v>0.52058258505703303</v>
      </c>
      <c r="PI63" s="6">
        <f>'Assets(MOFA)'!HM16</f>
        <v>0.41972542792980438</v>
      </c>
      <c r="PJ63" s="60">
        <f t="shared" si="222"/>
        <v>6.7352325913237254E-2</v>
      </c>
      <c r="PL63" s="60">
        <f>'Assets(MOFA)'!GO16/MM63/1000</f>
        <v>4.6219161386818294E-2</v>
      </c>
    </row>
    <row r="64" spans="2:428" s="90" customFormat="1">
      <c r="B64" s="74">
        <v>1972</v>
      </c>
      <c r="C64" s="43">
        <v>1123</v>
      </c>
      <c r="D64" s="5">
        <v>117.2</v>
      </c>
      <c r="E64" s="6">
        <f t="shared" si="68"/>
        <v>0.10436331255565449</v>
      </c>
      <c r="F64" s="72">
        <f t="shared" si="69"/>
        <v>0</v>
      </c>
      <c r="G64" s="72">
        <f t="shared" si="70"/>
        <v>107.7</v>
      </c>
      <c r="H64" s="6">
        <f t="shared" si="71"/>
        <v>9.5903829029385573E-2</v>
      </c>
      <c r="I64" s="74">
        <v>9.5</v>
      </c>
      <c r="J64" s="19">
        <f t="shared" si="72"/>
        <v>8.4594835262689228E-3</v>
      </c>
      <c r="K64" s="6">
        <f t="shared" si="73"/>
        <v>8.1058020477815698E-2</v>
      </c>
      <c r="L64" s="136">
        <v>11.7</v>
      </c>
      <c r="M64" s="19">
        <f t="shared" si="74"/>
        <v>1.0418521816562777E-2</v>
      </c>
      <c r="N64" s="63">
        <f t="shared" si="75"/>
        <v>9.9829351535836164E-2</v>
      </c>
      <c r="O64" s="5">
        <f t="shared" si="76"/>
        <v>117.2</v>
      </c>
      <c r="P64" s="75">
        <f t="shared" si="77"/>
        <v>0</v>
      </c>
      <c r="Q64" s="273">
        <v>99.5</v>
      </c>
      <c r="R64" s="202">
        <v>7.2</v>
      </c>
      <c r="S64" s="53">
        <f t="shared" si="78"/>
        <v>6.1433447098976107E-2</v>
      </c>
      <c r="T64" s="74">
        <v>3.3</v>
      </c>
      <c r="U64" s="74">
        <v>1.3000000000000007</v>
      </c>
      <c r="V64" s="207">
        <v>10.1</v>
      </c>
      <c r="W64" s="53">
        <f t="shared" si="79"/>
        <v>8.6177474402730367E-2</v>
      </c>
      <c r="X64" s="75">
        <f t="shared" si="80"/>
        <v>16</v>
      </c>
      <c r="Y64" s="187"/>
      <c r="Z64" s="75"/>
      <c r="AA64" s="75"/>
      <c r="AB64" s="75"/>
      <c r="AC64" s="75">
        <f t="shared" si="103"/>
        <v>2.0350358704821496</v>
      </c>
      <c r="AD64" s="6">
        <f t="shared" si="81"/>
        <v>1.7363787290803324E-2</v>
      </c>
      <c r="AE64" s="75"/>
      <c r="AF64" s="75">
        <v>2.2200793480000094</v>
      </c>
      <c r="AG64" s="75"/>
      <c r="AH64" s="97">
        <v>42.3</v>
      </c>
      <c r="AI64" s="19">
        <f t="shared" si="82"/>
        <v>3.7666963490650039E-2</v>
      </c>
      <c r="AJ64" s="19">
        <f t="shared" si="83"/>
        <v>3.4817453250222612E-2</v>
      </c>
      <c r="AK64" s="130">
        <f t="shared" si="84"/>
        <v>-0.10000000000000142</v>
      </c>
      <c r="AL64" s="74">
        <v>33.4</v>
      </c>
      <c r="AM64" s="72">
        <f>(0.5*Fedtax!C43+0.5*Fedtax!C44)/1000</f>
        <v>34.159500000000001</v>
      </c>
      <c r="AN64" s="74">
        <v>5.3</v>
      </c>
      <c r="AO64" s="279">
        <v>0.5</v>
      </c>
      <c r="AP64" s="74">
        <v>3.2</v>
      </c>
      <c r="AQ64" s="6">
        <f t="shared" si="85"/>
        <v>6.6696349065004462E-2</v>
      </c>
      <c r="AR64" s="207">
        <v>6.3</v>
      </c>
      <c r="AS64" s="714">
        <v>6.3150000000000004</v>
      </c>
      <c r="AT64" s="210">
        <f>(1.382+1.555)*AS64/5.819</f>
        <v>3.1873440453686199</v>
      </c>
      <c r="AU64" s="205">
        <f t="shared" ref="AU64" si="261">AT64/AS64</f>
        <v>0.50472589792060485</v>
      </c>
      <c r="AV64" s="707">
        <f t="shared" si="56"/>
        <v>8.927999999999999</v>
      </c>
      <c r="AW64" s="761">
        <f t="shared" si="101"/>
        <v>5.4150000000000009</v>
      </c>
      <c r="AX64" s="761">
        <f t="shared" si="104"/>
        <v>3.5129999999999981</v>
      </c>
      <c r="AY64" s="768">
        <f t="shared" si="102"/>
        <v>0.60651881720430123</v>
      </c>
      <c r="AZ64" s="707">
        <f>6.536+2.392</f>
        <v>8.927999999999999</v>
      </c>
      <c r="BA64" s="210">
        <f>2.013+2.938+0.464</f>
        <v>5.4150000000000009</v>
      </c>
      <c r="BB64" s="205">
        <f>BA64/AZ64</f>
        <v>0.60651881720430123</v>
      </c>
      <c r="BC64" s="756">
        <v>1.7530000000000001</v>
      </c>
      <c r="BD64" s="210">
        <f>'Assets(MOFA)'!FJ17/1000</f>
        <v>11.606399999999997</v>
      </c>
      <c r="BE64" s="205">
        <f t="shared" si="105"/>
        <v>0.76923076923076938</v>
      </c>
      <c r="BF64" s="186">
        <v>0.48</v>
      </c>
      <c r="BG64" s="435"/>
      <c r="BH64" s="143">
        <f t="shared" si="106"/>
        <v>0.33333333333333326</v>
      </c>
      <c r="BI64" s="250">
        <f t="shared" si="57"/>
        <v>0.33333333333333326</v>
      </c>
      <c r="BJ64" s="6">
        <f t="shared" si="107"/>
        <v>0.30586370839936605</v>
      </c>
      <c r="BK64" s="143">
        <f t="shared" si="108"/>
        <v>0.36683006535947704</v>
      </c>
      <c r="BL64" s="143">
        <f t="shared" si="109"/>
        <v>0.38813415056129658</v>
      </c>
      <c r="BM64" s="250">
        <f t="shared" si="110"/>
        <v>0.37303213875165259</v>
      </c>
      <c r="BN64" s="6">
        <f t="shared" si="111"/>
        <v>0.39296482412060296</v>
      </c>
      <c r="BO64" s="6">
        <f t="shared" si="112"/>
        <v>0.36644798500468595</v>
      </c>
      <c r="BP64" s="149">
        <f t="shared" si="86"/>
        <v>117.2</v>
      </c>
      <c r="BQ64" s="130">
        <f t="shared" si="87"/>
        <v>0.10000000000000853</v>
      </c>
      <c r="BR64" s="156">
        <f t="shared" si="88"/>
        <v>42.3</v>
      </c>
      <c r="BS64" s="136">
        <v>26.8</v>
      </c>
      <c r="BT64" s="136">
        <v>48</v>
      </c>
      <c r="BU64" s="6">
        <f t="shared" si="223"/>
        <v>0.40955631399317405</v>
      </c>
      <c r="BV64" s="74">
        <v>43.4</v>
      </c>
      <c r="BW64" s="74">
        <f t="shared" si="89"/>
        <v>4.6000000000000014</v>
      </c>
      <c r="BX64" s="6">
        <f t="shared" si="90"/>
        <v>3.9249146757679189E-2</v>
      </c>
      <c r="BY64" s="6"/>
      <c r="BZ64" s="6"/>
      <c r="CA64" s="6"/>
      <c r="CB64" s="6">
        <f t="shared" si="47"/>
        <v>0.48421052631578965</v>
      </c>
      <c r="CC64" s="169">
        <f t="shared" si="91"/>
        <v>11.7</v>
      </c>
      <c r="CD64" s="174"/>
      <c r="CF64" s="136">
        <f t="shared" si="58"/>
        <v>10.8</v>
      </c>
      <c r="CH64" s="6">
        <f t="shared" si="59"/>
        <v>0.92307692307692324</v>
      </c>
      <c r="CI64" s="169">
        <v>10.949</v>
      </c>
      <c r="CK64" s="136">
        <f t="shared" si="60"/>
        <v>10.8</v>
      </c>
      <c r="CL64" s="162"/>
      <c r="CN64" s="162">
        <v>5.2</v>
      </c>
      <c r="CO64" s="162"/>
      <c r="CP64" s="136">
        <f t="shared" si="61"/>
        <v>0.14899999999999913</v>
      </c>
      <c r="CZ64" s="166">
        <f t="shared" si="49"/>
        <v>10.949</v>
      </c>
      <c r="DA64" s="509">
        <v>3.0950000000000002</v>
      </c>
      <c r="DB64" s="6">
        <f t="shared" si="50"/>
        <v>0.28267421682345423</v>
      </c>
      <c r="DG64" s="245">
        <v>395</v>
      </c>
      <c r="DI64" s="182">
        <v>10.949</v>
      </c>
      <c r="DJ64" s="136">
        <v>3.9E-2</v>
      </c>
      <c r="DK64" s="136">
        <v>0.155</v>
      </c>
      <c r="DL64" s="136">
        <v>3.2000000000000001E-2</v>
      </c>
      <c r="DM64" s="136">
        <v>0.46700000000000003</v>
      </c>
      <c r="DN64" s="136">
        <v>0.313</v>
      </c>
      <c r="DO64" s="136">
        <v>0.09</v>
      </c>
      <c r="DP64" s="136">
        <v>0</v>
      </c>
      <c r="DQ64" s="136">
        <v>3.4000000000000002E-2</v>
      </c>
      <c r="DR64" s="156">
        <f t="shared" si="113"/>
        <v>1.04</v>
      </c>
      <c r="DS64" s="156">
        <f t="shared" si="114"/>
        <v>9.9089999999999989</v>
      </c>
      <c r="DT64" s="156">
        <v>1.3460000000000001</v>
      </c>
      <c r="DU64" s="6">
        <f t="shared" si="115"/>
        <v>0.1358361085881522</v>
      </c>
      <c r="DV64" s="6">
        <f t="shared" si="116"/>
        <v>3.5619691296008768E-3</v>
      </c>
      <c r="DW64" s="605">
        <f t="shared" si="117"/>
        <v>1.415654397661887E-2</v>
      </c>
      <c r="DX64" s="605">
        <f t="shared" si="118"/>
        <v>2.9226413371084116E-3</v>
      </c>
      <c r="DY64" s="6">
        <f t="shared" si="119"/>
        <v>4.2652297013425884E-2</v>
      </c>
      <c r="DZ64" s="6">
        <f t="shared" si="120"/>
        <v>2.8587085578591652E-2</v>
      </c>
      <c r="EA64" s="6">
        <f t="shared" si="121"/>
        <v>8.2199287606174072E-3</v>
      </c>
      <c r="EB64" s="6">
        <f t="shared" si="122"/>
        <v>0</v>
      </c>
      <c r="EC64" s="605">
        <f t="shared" si="123"/>
        <v>3.1053064206776875E-3</v>
      </c>
      <c r="ED64" s="6">
        <f t="shared" si="124"/>
        <v>9.49858434560234E-2</v>
      </c>
      <c r="EE64" s="6"/>
      <c r="EF64" s="6"/>
      <c r="EG64" s="67">
        <v>4.532</v>
      </c>
      <c r="EN64" s="131"/>
      <c r="EO64" s="56">
        <v>0.5</v>
      </c>
      <c r="ER64" s="182">
        <v>10.8</v>
      </c>
      <c r="ES64" s="136">
        <v>3.0630000000000002</v>
      </c>
      <c r="ET64" s="136"/>
      <c r="EU64" s="136"/>
      <c r="EV64" s="136"/>
      <c r="EW64" s="156">
        <f t="shared" si="125"/>
        <v>3.9E-2</v>
      </c>
      <c r="EX64" s="156">
        <f t="shared" si="126"/>
        <v>0.155</v>
      </c>
      <c r="EY64" s="156">
        <f t="shared" si="127"/>
        <v>3.2000000000000001E-2</v>
      </c>
      <c r="EZ64" s="156">
        <f t="shared" si="128"/>
        <v>0.46700000000000003</v>
      </c>
      <c r="FA64" s="156">
        <f t="shared" si="129"/>
        <v>0.25669761129751112</v>
      </c>
      <c r="FB64" s="156">
        <f t="shared" si="130"/>
        <v>0.09</v>
      </c>
      <c r="FC64" s="156">
        <f t="shared" si="131"/>
        <v>0</v>
      </c>
      <c r="FD64" s="156">
        <f t="shared" si="132"/>
        <v>3.4000000000000002E-2</v>
      </c>
      <c r="FE64" s="156">
        <f t="shared" si="133"/>
        <v>0.98369761129751121</v>
      </c>
      <c r="FF64" s="156">
        <f t="shared" si="134"/>
        <v>9.8163023887024892</v>
      </c>
      <c r="FG64" s="6">
        <f t="shared" si="135"/>
        <v>3.6111111111111109E-3</v>
      </c>
      <c r="FH64" s="6">
        <f t="shared" si="136"/>
        <v>1.435185185185185E-2</v>
      </c>
      <c r="FI64" s="6">
        <f t="shared" si="137"/>
        <v>2.9629629629629628E-3</v>
      </c>
      <c r="FJ64" s="6">
        <f t="shared" si="138"/>
        <v>4.3240740740740739E-2</v>
      </c>
      <c r="FK64" s="6">
        <f t="shared" si="139"/>
        <v>2.3768297342362139E-2</v>
      </c>
      <c r="FL64" s="6">
        <f t="shared" si="140"/>
        <v>8.3333333333333332E-3</v>
      </c>
      <c r="FM64" s="6">
        <f t="shared" si="141"/>
        <v>0</v>
      </c>
      <c r="FN64" s="6">
        <f t="shared" si="142"/>
        <v>3.1481481481481482E-3</v>
      </c>
      <c r="FO64" s="6">
        <f t="shared" si="92"/>
        <v>9.1083112157176946E-2</v>
      </c>
      <c r="FP64" s="6">
        <f t="shared" si="93"/>
        <v>0.9089168878428231</v>
      </c>
      <c r="FQ64" s="6">
        <f t="shared" si="94"/>
        <v>9.0927680225168107E-3</v>
      </c>
      <c r="FR64" s="6">
        <f t="shared" si="95"/>
        <v>9.0736583513319355E-2</v>
      </c>
      <c r="FS64" s="6">
        <f t="shared" si="96"/>
        <v>9.4895139112998231E-4</v>
      </c>
      <c r="FT64" s="397">
        <f t="shared" si="97"/>
        <v>4.7447569556499116E-4</v>
      </c>
      <c r="FU64" s="397">
        <f t="shared" si="98"/>
        <v>4.7447569556499116E-4</v>
      </c>
      <c r="FV64" s="6">
        <f t="shared" si="99"/>
        <v>9.469570425432795E-3</v>
      </c>
      <c r="FW64" s="632">
        <f t="shared" si="62"/>
        <v>0.14899999999999913</v>
      </c>
      <c r="FX64" s="345">
        <f t="shared" si="143"/>
        <v>0</v>
      </c>
      <c r="FY64" s="345">
        <f t="shared" si="144"/>
        <v>0</v>
      </c>
      <c r="FZ64" s="345">
        <f t="shared" si="145"/>
        <v>0</v>
      </c>
      <c r="GA64" s="345">
        <f t="shared" si="146"/>
        <v>0</v>
      </c>
      <c r="GB64" s="597">
        <f t="shared" si="147"/>
        <v>5.6302388702488861E-2</v>
      </c>
      <c r="GC64" s="345">
        <f t="shared" si="148"/>
        <v>0</v>
      </c>
      <c r="GD64" s="381">
        <f t="shared" si="149"/>
        <v>0</v>
      </c>
      <c r="GE64" s="345">
        <f t="shared" si="150"/>
        <v>0</v>
      </c>
      <c r="GF64" s="597">
        <f t="shared" si="151"/>
        <v>5.6302388702488861E-2</v>
      </c>
      <c r="GG64" s="344">
        <f t="shared" si="152"/>
        <v>9.269761129751028E-2</v>
      </c>
      <c r="GH64" s="169">
        <v>7.7460000000000004</v>
      </c>
      <c r="GI64" s="72">
        <v>5.5E-2</v>
      </c>
      <c r="GJ64" s="72">
        <v>0.21299999999999999</v>
      </c>
      <c r="GK64" s="85">
        <v>8.0000000000000002E-3</v>
      </c>
      <c r="GL64" s="85">
        <v>0.158</v>
      </c>
      <c r="GM64" s="85">
        <v>0.307</v>
      </c>
      <c r="GN64" s="85">
        <v>8.1000000000000003E-2</v>
      </c>
      <c r="GO64" s="72">
        <f t="shared" si="153"/>
        <v>0.22599999999999998</v>
      </c>
      <c r="GP64" s="72">
        <v>0.112</v>
      </c>
      <c r="GQ64" s="85">
        <v>5.8999999999999997E-2</v>
      </c>
      <c r="GR64" s="72">
        <f t="shared" si="154"/>
        <v>0.8</v>
      </c>
      <c r="GS64" s="72">
        <f t="shared" si="155"/>
        <v>6.9460000000000006</v>
      </c>
      <c r="GT64" s="6">
        <f t="shared" si="156"/>
        <v>0.10327911179963853</v>
      </c>
      <c r="GU64" s="334">
        <f t="shared" si="259"/>
        <v>6.2432193195060615</v>
      </c>
      <c r="GW64" s="903">
        <f t="shared" si="52"/>
        <v>4.532</v>
      </c>
      <c r="GX64" s="72">
        <f t="shared" si="224"/>
        <v>5.5E-2</v>
      </c>
      <c r="GY64" s="72">
        <f t="shared" si="225"/>
        <v>0.21299999999999999</v>
      </c>
      <c r="GZ64" s="72">
        <f t="shared" si="226"/>
        <v>8.0000000000000002E-3</v>
      </c>
      <c r="HA64" s="72">
        <f t="shared" si="227"/>
        <v>0.158</v>
      </c>
      <c r="HB64" s="72">
        <f t="shared" si="228"/>
        <v>0.307</v>
      </c>
      <c r="HC64" s="72">
        <f t="shared" si="229"/>
        <v>8.1000000000000003E-2</v>
      </c>
      <c r="HD64" s="72">
        <f t="shared" si="230"/>
        <v>0.112</v>
      </c>
      <c r="HE64" s="72">
        <f t="shared" si="231"/>
        <v>5.8999999999999997E-2</v>
      </c>
      <c r="HF64" s="72">
        <f t="shared" si="158"/>
        <v>0.8</v>
      </c>
      <c r="HG64" s="6">
        <f t="shared" si="232"/>
        <v>0.12813901915963652</v>
      </c>
      <c r="HH64" s="72">
        <f t="shared" si="233"/>
        <v>5.6152193195060676</v>
      </c>
      <c r="HI64" s="169">
        <v>3.214</v>
      </c>
      <c r="HT64" s="131"/>
      <c r="IF64" s="136">
        <f t="shared" si="234"/>
        <v>1.502780680493939</v>
      </c>
      <c r="IG64" s="74">
        <v>0</v>
      </c>
      <c r="IH64" s="74">
        <v>0</v>
      </c>
      <c r="II64" s="74">
        <v>0</v>
      </c>
      <c r="IJ64" s="74">
        <v>0</v>
      </c>
      <c r="IK64" s="360">
        <f t="shared" si="159"/>
        <v>0</v>
      </c>
      <c r="IL64" s="74">
        <v>0</v>
      </c>
      <c r="IM64" s="74">
        <v>0</v>
      </c>
      <c r="IN64" s="74">
        <v>0</v>
      </c>
      <c r="IO64" s="75">
        <f t="shared" si="160"/>
        <v>0</v>
      </c>
      <c r="IP64" s="136">
        <f t="shared" si="235"/>
        <v>1.502780680493939</v>
      </c>
      <c r="IQ64" s="174">
        <f t="shared" si="236"/>
        <v>1.502780680493939</v>
      </c>
      <c r="IR64" s="337">
        <f t="shared" si="161"/>
        <v>89.878</v>
      </c>
      <c r="IS64" s="72">
        <f t="shared" si="237"/>
        <v>7.117999999999995</v>
      </c>
      <c r="IT64" s="72">
        <f t="shared" si="238"/>
        <v>0</v>
      </c>
      <c r="IU64" s="136">
        <f t="shared" si="53"/>
        <v>4.532</v>
      </c>
      <c r="IV64" s="903">
        <f t="shared" si="260"/>
        <v>1.711219319506061</v>
      </c>
      <c r="IW64" s="903">
        <f t="shared" si="239"/>
        <v>1.502780680493939</v>
      </c>
      <c r="IX64" s="72">
        <f t="shared" si="240"/>
        <v>-0.628000000000005</v>
      </c>
      <c r="JB64" s="6">
        <f t="shared" si="162"/>
        <v>8.0033837934105082E-2</v>
      </c>
      <c r="JC64" s="6">
        <f t="shared" si="163"/>
        <v>7.2813891362422077E-3</v>
      </c>
      <c r="JD64" s="6">
        <f t="shared" si="164"/>
        <v>7.2752448797862856E-2</v>
      </c>
      <c r="JE64" s="902">
        <f t="shared" si="54"/>
        <v>4.0356188780053433E-3</v>
      </c>
      <c r="JF64" s="1006"/>
      <c r="JG64" s="1001"/>
      <c r="JH64" s="5">
        <v>89.878</v>
      </c>
      <c r="JI64" s="192">
        <v>23.385000000000002</v>
      </c>
      <c r="JJ64" s="333">
        <v>0.26900000000000002</v>
      </c>
      <c r="JK64" s="333">
        <v>1.9179999999999999</v>
      </c>
      <c r="JL64" s="333">
        <v>0.32</v>
      </c>
      <c r="JM64" s="333">
        <v>3.0059999999999998</v>
      </c>
      <c r="JN64" s="333">
        <v>2.4830000000000001</v>
      </c>
      <c r="JO64" s="333">
        <v>0.36399999999999999</v>
      </c>
      <c r="JP64" s="333">
        <f t="shared" si="241"/>
        <v>2.1190000000000002</v>
      </c>
      <c r="JQ64" s="333">
        <v>0.34899999999999998</v>
      </c>
      <c r="JR64" s="333">
        <v>0.18099999999999999</v>
      </c>
      <c r="JS64" s="332">
        <f t="shared" si="165"/>
        <v>8.1769999999999996</v>
      </c>
      <c r="JT64" s="332">
        <f t="shared" si="166"/>
        <v>81.700999999999993</v>
      </c>
      <c r="JU64" s="6">
        <f t="shared" si="167"/>
        <v>9.0978882485146531E-2</v>
      </c>
      <c r="JV64" s="6">
        <f t="shared" si="168"/>
        <v>2.9929459934577986E-3</v>
      </c>
      <c r="JW64" s="6">
        <f t="shared" si="169"/>
        <v>2.1340038719152628E-2</v>
      </c>
      <c r="JX64" s="6">
        <f t="shared" si="170"/>
        <v>3.5603818509535147E-3</v>
      </c>
      <c r="JY64" s="6">
        <f t="shared" si="171"/>
        <v>3.3445337012394577E-2</v>
      </c>
      <c r="JZ64" s="6">
        <f t="shared" si="172"/>
        <v>2.7626337924742429E-2</v>
      </c>
      <c r="KA64" s="6">
        <f t="shared" si="173"/>
        <v>2.0138409844455817E-3</v>
      </c>
      <c r="KB64" s="365">
        <f t="shared" si="174"/>
        <v>8.7288968534243949</v>
      </c>
      <c r="KC64" s="162">
        <f t="shared" si="175"/>
        <v>20.347189272628619</v>
      </c>
      <c r="KD64" s="162">
        <f t="shared" si="176"/>
        <v>11.618292419204224</v>
      </c>
      <c r="KE64" s="6">
        <f t="shared" si="242"/>
        <v>0.5710023268340727</v>
      </c>
      <c r="KF64" s="1071">
        <v>0</v>
      </c>
      <c r="KG64" s="222">
        <f t="shared" si="243"/>
        <v>0</v>
      </c>
      <c r="KH64" s="222">
        <f t="shared" si="244"/>
        <v>0</v>
      </c>
      <c r="KI64" s="222">
        <f t="shared" si="245"/>
        <v>0</v>
      </c>
      <c r="KJ64" s="222">
        <f t="shared" si="246"/>
        <v>0</v>
      </c>
      <c r="KK64" s="597">
        <f t="shared" si="247"/>
        <v>1.4898</v>
      </c>
      <c r="KL64" s="74">
        <f t="shared" si="248"/>
        <v>0</v>
      </c>
      <c r="KM64" s="345"/>
      <c r="KN64" s="345"/>
      <c r="KO64" s="72">
        <f t="shared" si="249"/>
        <v>0</v>
      </c>
      <c r="KP64" s="74">
        <f t="shared" si="250"/>
        <v>0</v>
      </c>
      <c r="KQ64" s="72">
        <f t="shared" si="177"/>
        <v>1.4898</v>
      </c>
      <c r="KR64" s="85">
        <f t="shared" si="251"/>
        <v>7.2390968534243951</v>
      </c>
      <c r="KS64" s="6">
        <f t="shared" si="178"/>
        <v>6.4462126922746176E-3</v>
      </c>
      <c r="KT64" s="6">
        <f t="shared" si="179"/>
        <v>0</v>
      </c>
      <c r="KU64" s="169">
        <f t="shared" si="180"/>
        <v>81.149103146575612</v>
      </c>
      <c r="KV64" s="174">
        <f t="shared" si="252"/>
        <v>23.385000000000002</v>
      </c>
      <c r="KW64" s="162">
        <f t="shared" si="181"/>
        <v>0.26900000000000002</v>
      </c>
      <c r="KX64" s="162">
        <f t="shared" si="182"/>
        <v>1.9179999999999999</v>
      </c>
      <c r="KY64" s="162">
        <f t="shared" si="183"/>
        <v>0.32</v>
      </c>
      <c r="KZ64" s="162">
        <f t="shared" si="184"/>
        <v>3.0059999999999998</v>
      </c>
      <c r="LA64" s="162">
        <f t="shared" si="185"/>
        <v>0.99320000000000008</v>
      </c>
      <c r="LB64" s="162">
        <f t="shared" si="186"/>
        <v>0.36399999999999999</v>
      </c>
      <c r="LC64" s="72">
        <f t="shared" si="187"/>
        <v>0.34899999999999998</v>
      </c>
      <c r="LD64" s="162">
        <f t="shared" si="188"/>
        <v>0.18099999999999999</v>
      </c>
      <c r="LE64" s="162">
        <f t="shared" si="189"/>
        <v>6.6871999999999998</v>
      </c>
      <c r="LF64" s="162">
        <f t="shared" si="190"/>
        <v>0</v>
      </c>
      <c r="LG64" s="162">
        <f t="shared" si="191"/>
        <v>74.461903146575594</v>
      </c>
      <c r="LH64" s="19">
        <f t="shared" si="192"/>
        <v>8.2406332796078369E-2</v>
      </c>
      <c r="LI64" s="6">
        <f t="shared" si="193"/>
        <v>3.3148856804260502E-3</v>
      </c>
      <c r="LJ64" s="6">
        <f t="shared" si="194"/>
        <v>2.363550459129057E-2</v>
      </c>
      <c r="LK64" s="6">
        <f t="shared" si="195"/>
        <v>3.9433584302466023E-3</v>
      </c>
      <c r="LL64" s="6">
        <f t="shared" si="196"/>
        <v>3.7042923254129015E-2</v>
      </c>
      <c r="LM64" s="6">
        <f t="shared" si="197"/>
        <v>1.2239198727877891E-2</v>
      </c>
      <c r="LN64" s="6">
        <f t="shared" si="198"/>
        <v>4.4855702144055093E-3</v>
      </c>
      <c r="LO64" s="6">
        <f t="shared" si="199"/>
        <v>4.3007252879876997E-3</v>
      </c>
      <c r="LP64" s="6">
        <f t="shared" si="200"/>
        <v>2.2304621121082341E-3</v>
      </c>
      <c r="LQ64" s="6">
        <f t="shared" si="201"/>
        <v>7.2261000130521474E-2</v>
      </c>
      <c r="LR64" s="6">
        <f t="shared" si="202"/>
        <v>6.6306236105588237E-2</v>
      </c>
      <c r="LS64" s="6">
        <f t="shared" si="203"/>
        <v>5.9547640249332148E-3</v>
      </c>
      <c r="LT64" s="295"/>
      <c r="LU64" s="156"/>
      <c r="LV64" s="156">
        <f t="shared" si="204"/>
        <v>8.7288968534243949</v>
      </c>
      <c r="LW64" s="156">
        <f t="shared" si="205"/>
        <v>11.618292419204224</v>
      </c>
      <c r="LX64" s="422">
        <f>LY64*Liabilities!GT64</f>
        <v>0.69731649145157659</v>
      </c>
      <c r="LY64" s="56">
        <f t="shared" si="206"/>
        <v>5.6670963373826537E-2</v>
      </c>
      <c r="LZ64" s="56">
        <f t="shared" si="253"/>
        <v>0.22280871553279105</v>
      </c>
      <c r="MA64" s="156"/>
      <c r="MB64" s="156"/>
      <c r="MC64" s="156">
        <f>Liabilities!EF64</f>
        <v>2.4323478476839884</v>
      </c>
      <c r="MD64" s="156"/>
      <c r="ME64" s="156"/>
      <c r="MF64" s="156">
        <f t="shared" si="207"/>
        <v>3.129664339135565</v>
      </c>
      <c r="MG64" s="156">
        <f t="shared" si="208"/>
        <v>20.347189272628619</v>
      </c>
      <c r="MH64" s="326">
        <f t="shared" si="209"/>
        <v>81.149103146575612</v>
      </c>
      <c r="MI64" s="1008">
        <f>FoF_RoW!$BH34/1000</f>
        <v>125.51</v>
      </c>
      <c r="MJ64" s="1008"/>
      <c r="MK64" s="1008">
        <f>FoF_RoW!$AU34/1000</f>
        <v>7.7469999999999999</v>
      </c>
      <c r="ML64" s="1008">
        <f t="shared" si="254"/>
        <v>21.608000000000004</v>
      </c>
      <c r="MM64" s="430">
        <f t="shared" si="210"/>
        <v>116.78110314657562</v>
      </c>
      <c r="MN64" s="6">
        <f t="shared" si="211"/>
        <v>1.4390929612079593</v>
      </c>
      <c r="MO64" s="156">
        <v>107.0739578583883</v>
      </c>
      <c r="MP64" s="430"/>
      <c r="MQ64" s="156"/>
      <c r="MR64" s="156"/>
      <c r="MS64" s="156">
        <f t="shared" si="212"/>
        <v>8.7288968534243949</v>
      </c>
      <c r="MT64" s="156"/>
      <c r="MU64" s="156"/>
      <c r="MV64" s="156"/>
      <c r="MW64" s="156"/>
      <c r="MX64" s="156"/>
      <c r="MY64" s="430">
        <f t="shared" si="255"/>
        <v>54.772662699231631</v>
      </c>
      <c r="MZ64" s="6">
        <f t="shared" si="213"/>
        <v>4.877351976779308E-2</v>
      </c>
      <c r="NA64" s="156">
        <v>240.89395785838832</v>
      </c>
      <c r="NB64" s="156">
        <v>175.04929515915669</v>
      </c>
      <c r="NC64" s="430">
        <v>17.662000000000006</v>
      </c>
      <c r="ND64" s="6">
        <f t="shared" si="214"/>
        <v>1.5727515583259133E-2</v>
      </c>
      <c r="NE64" s="156"/>
      <c r="NF64" s="156"/>
      <c r="NG64" s="156"/>
      <c r="NH64" s="156"/>
      <c r="NI64" s="422">
        <f>NI63</f>
        <v>11.071999999999999</v>
      </c>
      <c r="NJ64" s="430">
        <f t="shared" si="63"/>
        <v>9.6649999999999991</v>
      </c>
      <c r="NK64" s="405">
        <f t="shared" si="64"/>
        <v>8.6064113980409609E-3</v>
      </c>
      <c r="NL64" s="156">
        <v>9.6649999999999991</v>
      </c>
      <c r="NM64" s="156">
        <v>10.949</v>
      </c>
      <c r="NN64" s="156">
        <v>1.284</v>
      </c>
      <c r="NO64" s="430">
        <f t="shared" si="100"/>
        <v>8.1920000000000002</v>
      </c>
      <c r="NP64" s="156">
        <v>14.763999999999999</v>
      </c>
      <c r="NQ64" s="156">
        <v>6.5720000000000001</v>
      </c>
      <c r="NR64" s="405">
        <f t="shared" si="65"/>
        <v>7.2947462154942123E-3</v>
      </c>
      <c r="NS64" s="405">
        <f t="shared" si="66"/>
        <v>8.6064113980409609E-3</v>
      </c>
      <c r="NT64" s="405">
        <f t="shared" si="67"/>
        <v>-1.3116651825467486E-3</v>
      </c>
      <c r="NU64" s="727" t="e">
        <f t="shared" si="215"/>
        <v>#DIV/0!</v>
      </c>
      <c r="NV64" s="688">
        <f t="shared" si="216"/>
        <v>9.2480715706586392E-2</v>
      </c>
      <c r="NW64" s="688">
        <f t="shared" si="217"/>
        <v>0.13308834702082284</v>
      </c>
      <c r="NX64" s="793" t="e">
        <f>(ER64-T.A2!B16*T.A1!M16)/MP64</f>
        <v>#DIV/0!</v>
      </c>
      <c r="NY64" s="688" t="e">
        <f>Liabilities!BU64/Liabilities!GY64</f>
        <v>#DIV/0!</v>
      </c>
      <c r="NZ64" s="688">
        <f>Liabilities!BU64/Liabilities!GT64</f>
        <v>0.1043507759590199</v>
      </c>
      <c r="OA64" s="688" t="e">
        <f>Liabilities!BU64/Liabilities!GR64</f>
        <v>#DIV/0!</v>
      </c>
      <c r="OB64" s="688" t="e">
        <f t="shared" si="256"/>
        <v>#DIV/0!</v>
      </c>
      <c r="OC64" s="688">
        <f t="shared" si="257"/>
        <v>-1.1870060252433506E-2</v>
      </c>
      <c r="OD64" s="688"/>
      <c r="OE64" s="793">
        <f t="shared" si="218"/>
        <v>9.2480715706586392E-2</v>
      </c>
      <c r="OF64" s="793">
        <f>OE64/(1-'Assets(MOFA)'!GU17)</f>
        <v>0.19287552352874915</v>
      </c>
      <c r="OG64" s="793">
        <f>Liabilities!HV64</f>
        <v>0</v>
      </c>
      <c r="OH64" s="793"/>
      <c r="OI64" s="389">
        <f t="shared" si="219"/>
        <v>3.7791910795065685E-2</v>
      </c>
      <c r="OJ64" s="389">
        <f t="shared" si="220"/>
        <v>3.7791910795065685E-2</v>
      </c>
      <c r="OK64" s="389"/>
      <c r="OL64" s="389"/>
      <c r="OM64" s="422"/>
      <c r="OO64" s="97">
        <f t="shared" si="221"/>
        <v>9.2480715706586392E-2</v>
      </c>
      <c r="OP64" s="190"/>
      <c r="OQ64" s="190"/>
      <c r="OR64" s="190"/>
      <c r="OS64" s="74"/>
      <c r="OT64" s="74"/>
      <c r="OU64" s="74"/>
      <c r="OV64" s="74"/>
      <c r="OW64" s="74"/>
      <c r="OX64" s="74"/>
      <c r="OY64" s="74"/>
      <c r="OZ64" s="74"/>
      <c r="PA64" s="74"/>
      <c r="PG64" s="69"/>
      <c r="PH64" s="6">
        <f>'Assets(MOFA)'!GU17</f>
        <v>0.52051606126786931</v>
      </c>
      <c r="PI64" s="6">
        <f>'Assets(MOFA)'!HM17</f>
        <v>0.37546334737634868</v>
      </c>
      <c r="PJ64" s="60">
        <f t="shared" si="222"/>
        <v>5.5598208593659118E-2</v>
      </c>
      <c r="PL64" s="60">
        <f>'Assets(MOFA)'!GO17/MM64/1000</f>
        <v>3.9106498200037886E-2</v>
      </c>
    </row>
    <row r="65" spans="2:428" s="90" customFormat="1">
      <c r="B65" s="74">
        <v>1973</v>
      </c>
      <c r="C65" s="43">
        <v>1257</v>
      </c>
      <c r="D65" s="5">
        <v>133.4</v>
      </c>
      <c r="E65" s="6">
        <f t="shared" si="68"/>
        <v>0.10612569610182976</v>
      </c>
      <c r="F65" s="72">
        <f t="shared" si="69"/>
        <v>0</v>
      </c>
      <c r="G65" s="72">
        <f t="shared" si="70"/>
        <v>118.5</v>
      </c>
      <c r="H65" s="6">
        <f t="shared" si="71"/>
        <v>9.4272076372315036E-2</v>
      </c>
      <c r="I65" s="74">
        <v>14.9</v>
      </c>
      <c r="J65" s="19">
        <f t="shared" si="72"/>
        <v>1.1853619729514717E-2</v>
      </c>
      <c r="K65" s="6">
        <f t="shared" si="73"/>
        <v>0.11169415292353822</v>
      </c>
      <c r="L65" s="136">
        <v>17.600000000000001</v>
      </c>
      <c r="M65" s="19">
        <f t="shared" si="74"/>
        <v>1.400159108989658E-2</v>
      </c>
      <c r="N65" s="63">
        <f t="shared" si="75"/>
        <v>0.13193403298350825</v>
      </c>
      <c r="O65" s="5">
        <f t="shared" si="76"/>
        <v>133.4</v>
      </c>
      <c r="P65" s="75">
        <f t="shared" si="77"/>
        <v>0</v>
      </c>
      <c r="Q65" s="273">
        <v>122.6</v>
      </c>
      <c r="R65" s="202">
        <v>9.6</v>
      </c>
      <c r="S65" s="53">
        <f t="shared" si="78"/>
        <v>7.1964017991004492E-2</v>
      </c>
      <c r="T65" s="74">
        <v>4.5</v>
      </c>
      <c r="U65" s="74">
        <v>-12.8</v>
      </c>
      <c r="V65" s="207">
        <v>9.5</v>
      </c>
      <c r="W65" s="53">
        <f t="shared" si="79"/>
        <v>7.1214392803598203E-2</v>
      </c>
      <c r="X65" s="75">
        <f t="shared" si="80"/>
        <v>19.000000000000014</v>
      </c>
      <c r="Y65" s="187"/>
      <c r="Z65" s="75"/>
      <c r="AA65" s="75"/>
      <c r="AB65" s="75"/>
      <c r="AC65" s="75">
        <f t="shared" si="103"/>
        <v>2.0284704597495398</v>
      </c>
      <c r="AD65" s="6">
        <f t="shared" si="81"/>
        <v>1.5205925485378859E-2</v>
      </c>
      <c r="AE65" s="75"/>
      <c r="AF65" s="75">
        <v>2.2129169520000058</v>
      </c>
      <c r="AG65" s="75"/>
      <c r="AH65" s="97">
        <v>50</v>
      </c>
      <c r="AI65" s="19">
        <f t="shared" si="82"/>
        <v>3.9777247414478918E-2</v>
      </c>
      <c r="AJ65" s="19">
        <f t="shared" si="83"/>
        <v>3.6356404136833734E-2</v>
      </c>
      <c r="AK65" s="130">
        <f t="shared" si="84"/>
        <v>0.10000000000000142</v>
      </c>
      <c r="AL65" s="74">
        <v>38.9</v>
      </c>
      <c r="AM65" s="72">
        <f>(0.5*Fedtax!C44+0.5*Fedtax!C45)/1000</f>
        <v>37.386499999999998</v>
      </c>
      <c r="AN65" s="74">
        <v>6</v>
      </c>
      <c r="AO65" s="279">
        <v>0.7</v>
      </c>
      <c r="AP65" s="74">
        <v>4.3</v>
      </c>
      <c r="AQ65" s="6">
        <f t="shared" si="85"/>
        <v>6.6348448687350833E-2</v>
      </c>
      <c r="AR65" s="207">
        <v>9.6</v>
      </c>
      <c r="AS65" s="713">
        <f>AR65</f>
        <v>9.6</v>
      </c>
      <c r="AT65" s="207"/>
      <c r="AU65" s="207"/>
      <c r="AV65" s="707">
        <f t="shared" si="56"/>
        <v>13.572256532066504</v>
      </c>
      <c r="AW65" s="761">
        <f t="shared" si="101"/>
        <v>9.2318289786223282</v>
      </c>
      <c r="AX65" s="761">
        <f t="shared" si="104"/>
        <v>4.3404275534441759</v>
      </c>
      <c r="AY65" s="768">
        <f t="shared" si="102"/>
        <v>0.68019853270609343</v>
      </c>
      <c r="AZ65" s="720">
        <f>AZ64*AS65/AS64</f>
        <v>13.572256532066504</v>
      </c>
      <c r="BA65" s="55">
        <f>BA64*AZ65/AZ64+1</f>
        <v>9.2318289786223282</v>
      </c>
      <c r="BB65" s="205">
        <f>BA65/AZ65</f>
        <v>0.68019853270609343</v>
      </c>
      <c r="BC65" s="207"/>
      <c r="BD65" s="210">
        <f>'Assets(MOFA)'!FJ18/1000</f>
        <v>17.643933491686457</v>
      </c>
      <c r="BE65" s="205">
        <f t="shared" si="105"/>
        <v>0.76923076923076916</v>
      </c>
      <c r="BF65" s="186">
        <v>0.48</v>
      </c>
      <c r="BG65" s="435"/>
      <c r="BH65" s="143">
        <f t="shared" si="106"/>
        <v>0.34118541033434652</v>
      </c>
      <c r="BI65" s="250">
        <f t="shared" si="57"/>
        <v>0.34118541033434652</v>
      </c>
      <c r="BJ65" s="6">
        <f t="shared" si="107"/>
        <v>0.31892274982282071</v>
      </c>
      <c r="BK65" s="143">
        <f t="shared" si="108"/>
        <v>0.38668555240793206</v>
      </c>
      <c r="BL65" s="143">
        <f t="shared" si="109"/>
        <v>0.38781066660376501</v>
      </c>
      <c r="BM65" s="250">
        <f t="shared" si="110"/>
        <v>0.39232162052375003</v>
      </c>
      <c r="BN65" s="6">
        <f t="shared" si="111"/>
        <v>0.37275693311582386</v>
      </c>
      <c r="BO65" s="6">
        <f t="shared" si="112"/>
        <v>0.34568835098335859</v>
      </c>
      <c r="BP65" s="149">
        <f t="shared" si="86"/>
        <v>133.4</v>
      </c>
      <c r="BQ65" s="130">
        <f t="shared" si="87"/>
        <v>0</v>
      </c>
      <c r="BR65" s="156">
        <f t="shared" si="88"/>
        <v>50</v>
      </c>
      <c r="BS65" s="136">
        <v>29.9</v>
      </c>
      <c r="BT65" s="136">
        <v>53.5</v>
      </c>
      <c r="BU65" s="6">
        <f t="shared" si="223"/>
        <v>0.40104947526236878</v>
      </c>
      <c r="BV65" s="74">
        <v>45.4</v>
      </c>
      <c r="BW65" s="74">
        <f t="shared" si="89"/>
        <v>8.1000000000000014</v>
      </c>
      <c r="BX65" s="6">
        <f t="shared" si="90"/>
        <v>6.071964017991005E-2</v>
      </c>
      <c r="BY65" s="6"/>
      <c r="BZ65" s="6"/>
      <c r="CA65" s="6"/>
      <c r="CB65" s="6">
        <f t="shared" ref="CB65:CB96" si="262">BW65/I65</f>
        <v>0.54362416107382561</v>
      </c>
      <c r="CC65" s="169">
        <f t="shared" si="91"/>
        <v>17.600000000000001</v>
      </c>
      <c r="CD65" s="174"/>
      <c r="CF65" s="136">
        <f t="shared" si="58"/>
        <v>16.483000000000001</v>
      </c>
      <c r="CH65" s="6">
        <f t="shared" si="59"/>
        <v>0.9365340909090909</v>
      </c>
      <c r="CI65" s="169">
        <v>16.542000000000002</v>
      </c>
      <c r="CK65" s="136">
        <f t="shared" si="60"/>
        <v>16.483000000000001</v>
      </c>
      <c r="CL65" s="162"/>
      <c r="CN65" s="162">
        <v>9</v>
      </c>
      <c r="CO65" s="162"/>
      <c r="CP65" s="136">
        <f t="shared" si="61"/>
        <v>5.9000000000001052E-2</v>
      </c>
      <c r="CZ65" s="166">
        <f t="shared" si="49"/>
        <v>16.542000000000002</v>
      </c>
      <c r="DA65" s="509">
        <v>5.7169999999999996</v>
      </c>
      <c r="DB65" s="6">
        <f t="shared" si="50"/>
        <v>0.34560512634506102</v>
      </c>
      <c r="DG65" s="245">
        <v>517</v>
      </c>
      <c r="DI65" s="182">
        <v>16.542000000000002</v>
      </c>
      <c r="DJ65" s="136">
        <v>6.7000000000000004E-2</v>
      </c>
      <c r="DK65" s="136">
        <v>0.41299999999999998</v>
      </c>
      <c r="DL65" s="136">
        <v>8.5999999999999993E-2</v>
      </c>
      <c r="DM65" s="136">
        <v>0.77900000000000003</v>
      </c>
      <c r="DN65" s="136">
        <v>0.51200000000000001</v>
      </c>
      <c r="DO65" s="136">
        <v>0.106</v>
      </c>
      <c r="DP65" s="136">
        <v>0</v>
      </c>
      <c r="DQ65" s="136">
        <v>7.5999999999999998E-2</v>
      </c>
      <c r="DR65" s="156">
        <f t="shared" si="113"/>
        <v>1.9330000000000001</v>
      </c>
      <c r="DS65" s="156">
        <f t="shared" si="114"/>
        <v>14.609000000000002</v>
      </c>
      <c r="DT65" s="156">
        <v>1.73</v>
      </c>
      <c r="DU65" s="6">
        <f t="shared" si="115"/>
        <v>0.11842015196111984</v>
      </c>
      <c r="DV65" s="6">
        <f t="shared" si="116"/>
        <v>4.050296215693386E-3</v>
      </c>
      <c r="DW65" s="605">
        <f t="shared" si="117"/>
        <v>2.4966751299721916E-2</v>
      </c>
      <c r="DX65" s="605">
        <f t="shared" si="118"/>
        <v>5.1988876798452419E-3</v>
      </c>
      <c r="DY65" s="6">
        <f t="shared" si="119"/>
        <v>4.7092250030226088E-2</v>
      </c>
      <c r="DZ65" s="6">
        <f t="shared" si="120"/>
        <v>3.0951517349776324E-2</v>
      </c>
      <c r="EA65" s="6">
        <f t="shared" si="121"/>
        <v>6.4079313263208796E-3</v>
      </c>
      <c r="EB65" s="6">
        <f t="shared" si="122"/>
        <v>0</v>
      </c>
      <c r="EC65" s="605">
        <f t="shared" si="123"/>
        <v>4.5943658566074226E-3</v>
      </c>
      <c r="ED65" s="6">
        <f t="shared" si="124"/>
        <v>0.11685406843187038</v>
      </c>
      <c r="EE65" s="6"/>
      <c r="EF65" s="6"/>
      <c r="EG65" s="67">
        <v>8.1579999999999995</v>
      </c>
      <c r="EN65" s="131"/>
      <c r="EO65" s="56">
        <v>0.5</v>
      </c>
      <c r="ER65" s="182">
        <v>16.483000000000001</v>
      </c>
      <c r="ES65" s="136">
        <v>5.6710000000000003</v>
      </c>
      <c r="ET65" s="136"/>
      <c r="EU65" s="136"/>
      <c r="EV65" s="136"/>
      <c r="EW65" s="156">
        <f t="shared" si="125"/>
        <v>6.7000000000000004E-2</v>
      </c>
      <c r="EX65" s="156">
        <f t="shared" si="126"/>
        <v>0.41299999999999998</v>
      </c>
      <c r="EY65" s="156">
        <f t="shared" si="127"/>
        <v>8.5999999999999993E-2</v>
      </c>
      <c r="EZ65" s="156">
        <f t="shared" si="128"/>
        <v>0.77900000000000003</v>
      </c>
      <c r="FA65" s="156">
        <f t="shared" si="129"/>
        <v>0.44494959186739447</v>
      </c>
      <c r="FB65" s="156">
        <f t="shared" si="130"/>
        <v>0.106</v>
      </c>
      <c r="FC65" s="156">
        <f t="shared" si="131"/>
        <v>0</v>
      </c>
      <c r="FD65" s="156">
        <f t="shared" si="132"/>
        <v>7.5999999999999998E-2</v>
      </c>
      <c r="FE65" s="156">
        <f t="shared" si="133"/>
        <v>1.8659495918673945</v>
      </c>
      <c r="FF65" s="156">
        <f t="shared" si="134"/>
        <v>14.617050408132606</v>
      </c>
      <c r="FG65" s="6">
        <f t="shared" si="135"/>
        <v>4.0647940302129468E-3</v>
      </c>
      <c r="FH65" s="6">
        <f t="shared" si="136"/>
        <v>2.5056118425043981E-2</v>
      </c>
      <c r="FI65" s="6">
        <f t="shared" si="137"/>
        <v>5.2174968149001997E-3</v>
      </c>
      <c r="FJ65" s="6">
        <f t="shared" si="138"/>
        <v>4.7260814172177396E-2</v>
      </c>
      <c r="FK65" s="6">
        <f t="shared" si="139"/>
        <v>2.6994454399526448E-2</v>
      </c>
      <c r="FL65" s="6">
        <f t="shared" si="140"/>
        <v>6.4308681672025723E-3</v>
      </c>
      <c r="FM65" s="6">
        <f t="shared" si="141"/>
        <v>0</v>
      </c>
      <c r="FN65" s="6">
        <f t="shared" si="142"/>
        <v>4.6108111387490143E-3</v>
      </c>
      <c r="FO65" s="6">
        <f t="shared" si="92"/>
        <v>0.11320448898061</v>
      </c>
      <c r="FP65" s="6">
        <f t="shared" si="93"/>
        <v>0.88679551101939003</v>
      </c>
      <c r="FQ65" s="6">
        <f t="shared" si="94"/>
        <v>1.4935524783048996E-2</v>
      </c>
      <c r="FR65" s="6">
        <f t="shared" si="95"/>
        <v>0.11699850820045926</v>
      </c>
      <c r="FS65" s="6">
        <f t="shared" si="96"/>
        <v>1.5850429642472045E-3</v>
      </c>
      <c r="FT65" s="397">
        <f t="shared" si="97"/>
        <v>7.9252148212360224E-4</v>
      </c>
      <c r="FU65" s="397">
        <f t="shared" si="98"/>
        <v>7.9252148212360224E-4</v>
      </c>
      <c r="FV65" s="6">
        <f t="shared" si="99"/>
        <v>1.2416548125649376E-2</v>
      </c>
      <c r="FW65" s="632">
        <f t="shared" si="62"/>
        <v>5.9000000000001052E-2</v>
      </c>
      <c r="FX65" s="345">
        <f t="shared" si="143"/>
        <v>0</v>
      </c>
      <c r="FY65" s="345">
        <f t="shared" si="144"/>
        <v>0</v>
      </c>
      <c r="FZ65" s="345">
        <f t="shared" si="145"/>
        <v>0</v>
      </c>
      <c r="GA65" s="345">
        <f t="shared" si="146"/>
        <v>0</v>
      </c>
      <c r="GB65" s="597">
        <f t="shared" si="147"/>
        <v>6.705040813260553E-2</v>
      </c>
      <c r="GC65" s="345">
        <f t="shared" si="148"/>
        <v>0</v>
      </c>
      <c r="GD65" s="381">
        <f t="shared" si="149"/>
        <v>0</v>
      </c>
      <c r="GE65" s="345">
        <f t="shared" si="150"/>
        <v>0</v>
      </c>
      <c r="GF65" s="597">
        <f t="shared" si="151"/>
        <v>6.705040813260553E-2</v>
      </c>
      <c r="GG65" s="344">
        <f t="shared" si="152"/>
        <v>-8.050408132604478E-3</v>
      </c>
      <c r="GH65" s="169">
        <v>11.353</v>
      </c>
      <c r="GI65" s="72">
        <v>7.4999999999999997E-2</v>
      </c>
      <c r="GJ65" s="72">
        <v>0.434</v>
      </c>
      <c r="GK65" s="85">
        <v>-8.9999999999999993E-3</v>
      </c>
      <c r="GL65" s="85">
        <v>0.80600000000000005</v>
      </c>
      <c r="GM65" s="85">
        <v>0.46800000000000003</v>
      </c>
      <c r="GN65" s="85">
        <v>0.13900000000000001</v>
      </c>
      <c r="GO65" s="72">
        <f t="shared" si="153"/>
        <v>0.32900000000000001</v>
      </c>
      <c r="GP65" s="72">
        <v>2.9000000000000001E-2</v>
      </c>
      <c r="GQ65" s="85">
        <v>9.1999999999999998E-2</v>
      </c>
      <c r="GR65" s="72">
        <f t="shared" si="154"/>
        <v>1.8660000000000001</v>
      </c>
      <c r="GS65" s="72">
        <f t="shared" si="155"/>
        <v>9.4870000000000001</v>
      </c>
      <c r="GT65" s="6">
        <f t="shared" si="156"/>
        <v>0.16436184268475293</v>
      </c>
      <c r="GU65" s="334">
        <f t="shared" si="259"/>
        <v>11.301813097887655</v>
      </c>
      <c r="GW65" s="903">
        <f t="shared" si="52"/>
        <v>8.1579999999999995</v>
      </c>
      <c r="GX65" s="72">
        <f t="shared" si="224"/>
        <v>7.4999999999999997E-2</v>
      </c>
      <c r="GY65" s="72">
        <f t="shared" si="225"/>
        <v>0.434</v>
      </c>
      <c r="GZ65" s="72">
        <f t="shared" si="226"/>
        <v>-8.9999999999999993E-3</v>
      </c>
      <c r="HA65" s="72">
        <f t="shared" si="227"/>
        <v>0.80600000000000005</v>
      </c>
      <c r="HB65" s="72">
        <f t="shared" si="228"/>
        <v>0.46800000000000003</v>
      </c>
      <c r="HC65" s="72">
        <f t="shared" si="229"/>
        <v>0.13900000000000001</v>
      </c>
      <c r="HD65" s="72">
        <f t="shared" si="230"/>
        <v>2.9000000000000001E-2</v>
      </c>
      <c r="HE65" s="72">
        <f t="shared" si="231"/>
        <v>9.1999999999999998E-2</v>
      </c>
      <c r="HF65" s="72">
        <f t="shared" si="158"/>
        <v>1.8660000000000001</v>
      </c>
      <c r="HG65" s="6">
        <f t="shared" si="232"/>
        <v>0.16510625187641456</v>
      </c>
      <c r="HH65" s="72">
        <f t="shared" si="233"/>
        <v>11.383813097887653</v>
      </c>
      <c r="HI65" s="169">
        <v>3.1949999999999998</v>
      </c>
      <c r="HT65" s="131"/>
      <c r="IF65" s="136">
        <f t="shared" si="234"/>
        <v>5.1186902112345223E-2</v>
      </c>
      <c r="IG65" s="74">
        <v>0</v>
      </c>
      <c r="IH65" s="74">
        <v>0</v>
      </c>
      <c r="II65" s="74">
        <v>0</v>
      </c>
      <c r="IJ65" s="74">
        <v>0</v>
      </c>
      <c r="IK65" s="360">
        <f t="shared" si="159"/>
        <v>0</v>
      </c>
      <c r="IL65" s="74">
        <v>0</v>
      </c>
      <c r="IM65" s="74">
        <v>0</v>
      </c>
      <c r="IN65" s="74">
        <v>0</v>
      </c>
      <c r="IO65" s="75">
        <f t="shared" si="160"/>
        <v>0</v>
      </c>
      <c r="IP65" s="136">
        <f t="shared" si="235"/>
        <v>5.1186902112345223E-2</v>
      </c>
      <c r="IQ65" s="174">
        <f t="shared" si="236"/>
        <v>5.1186902112345223E-2</v>
      </c>
      <c r="IR65" s="337">
        <f t="shared" si="161"/>
        <v>101.313</v>
      </c>
      <c r="IS65" s="72">
        <f t="shared" si="237"/>
        <v>11.435000000000002</v>
      </c>
      <c r="IT65" s="72">
        <f t="shared" si="238"/>
        <v>0</v>
      </c>
      <c r="IU65" s="136">
        <f t="shared" si="53"/>
        <v>8.1579999999999995</v>
      </c>
      <c r="IV65" s="903">
        <f t="shared" si="260"/>
        <v>3.1438130978876546</v>
      </c>
      <c r="IW65" s="903">
        <f t="shared" si="239"/>
        <v>5.1186902112345223E-2</v>
      </c>
      <c r="IX65" s="72">
        <f t="shared" si="240"/>
        <v>8.2000000000002959E-2</v>
      </c>
      <c r="JB65" s="6">
        <f t="shared" si="162"/>
        <v>8.0599045346062048E-2</v>
      </c>
      <c r="JC65" s="6">
        <f t="shared" si="163"/>
        <v>7.9960222752585523E-3</v>
      </c>
      <c r="JD65" s="6">
        <f t="shared" si="164"/>
        <v>7.2603023070803505E-2</v>
      </c>
      <c r="JE65" s="902">
        <f t="shared" si="54"/>
        <v>6.4900556881463799E-3</v>
      </c>
      <c r="JF65" s="1006"/>
      <c r="JG65" s="1001"/>
      <c r="JH65" s="5">
        <v>101.313</v>
      </c>
      <c r="JI65" s="192">
        <v>24.951000000000001</v>
      </c>
      <c r="JJ65" s="333">
        <v>0.34399999999999997</v>
      </c>
      <c r="JK65" s="333">
        <v>2.3519999999999999</v>
      </c>
      <c r="JL65" s="333">
        <v>0.311</v>
      </c>
      <c r="JM65" s="333">
        <v>3.8140000000000001</v>
      </c>
      <c r="JN65" s="333">
        <v>2.9569999999999999</v>
      </c>
      <c r="JO65" s="333">
        <v>0.504</v>
      </c>
      <c r="JP65" s="333">
        <f t="shared" si="241"/>
        <v>2.4529999999999998</v>
      </c>
      <c r="JQ65" s="333">
        <v>0.378</v>
      </c>
      <c r="JR65" s="333">
        <v>0.27300000000000002</v>
      </c>
      <c r="JS65" s="332">
        <f t="shared" si="165"/>
        <v>10.051</v>
      </c>
      <c r="JT65" s="332">
        <f t="shared" si="166"/>
        <v>91.262</v>
      </c>
      <c r="JU65" s="6">
        <f t="shared" si="167"/>
        <v>9.9207406749380625E-2</v>
      </c>
      <c r="JV65" s="6">
        <f t="shared" si="168"/>
        <v>3.3954181595649124E-3</v>
      </c>
      <c r="JW65" s="6">
        <f t="shared" si="169"/>
        <v>2.3215184625862424E-2</v>
      </c>
      <c r="JX65" s="6">
        <f t="shared" si="170"/>
        <v>3.0696949058857206E-3</v>
      </c>
      <c r="JY65" s="6">
        <f t="shared" si="171"/>
        <v>3.7645711804013306E-2</v>
      </c>
      <c r="JZ65" s="6">
        <f t="shared" si="172"/>
        <v>2.9186777609980948E-2</v>
      </c>
      <c r="KA65" s="6">
        <f t="shared" si="173"/>
        <v>2.6946196440733173E-3</v>
      </c>
      <c r="KB65" s="365">
        <f t="shared" si="174"/>
        <v>8.7800837555367401</v>
      </c>
      <c r="KC65" s="162">
        <f t="shared" si="175"/>
        <v>20.706432421202983</v>
      </c>
      <c r="KD65" s="162">
        <f t="shared" si="176"/>
        <v>11.926348665666245</v>
      </c>
      <c r="KE65" s="6">
        <f t="shared" si="242"/>
        <v>0.57597312869086503</v>
      </c>
      <c r="KF65" s="1071">
        <v>0</v>
      </c>
      <c r="KG65" s="222">
        <f t="shared" si="243"/>
        <v>0</v>
      </c>
      <c r="KH65" s="222">
        <f t="shared" si="244"/>
        <v>0</v>
      </c>
      <c r="KI65" s="222">
        <f t="shared" si="245"/>
        <v>0</v>
      </c>
      <c r="KJ65" s="222">
        <f t="shared" si="246"/>
        <v>0</v>
      </c>
      <c r="KK65" s="597">
        <f t="shared" si="247"/>
        <v>1.7741999999999998</v>
      </c>
      <c r="KL65" s="74">
        <f t="shared" si="248"/>
        <v>0</v>
      </c>
      <c r="KM65" s="345"/>
      <c r="KN65" s="345"/>
      <c r="KO65" s="72">
        <f t="shared" si="249"/>
        <v>0</v>
      </c>
      <c r="KP65" s="74">
        <f t="shared" si="250"/>
        <v>0</v>
      </c>
      <c r="KQ65" s="72">
        <f t="shared" si="177"/>
        <v>1.7741999999999998</v>
      </c>
      <c r="KR65" s="85">
        <f t="shared" si="251"/>
        <v>7.0058837555367406</v>
      </c>
      <c r="KS65" s="6">
        <f t="shared" si="178"/>
        <v>5.5734954300212733E-3</v>
      </c>
      <c r="KT65" s="6">
        <f t="shared" si="179"/>
        <v>0</v>
      </c>
      <c r="KU65" s="169">
        <f t="shared" si="180"/>
        <v>92.532916244463266</v>
      </c>
      <c r="KV65" s="174">
        <f t="shared" si="252"/>
        <v>24.951000000000001</v>
      </c>
      <c r="KW65" s="162">
        <f t="shared" si="181"/>
        <v>0.34399999999999997</v>
      </c>
      <c r="KX65" s="162">
        <f t="shared" si="182"/>
        <v>2.3519999999999999</v>
      </c>
      <c r="KY65" s="162">
        <f t="shared" si="183"/>
        <v>0.311</v>
      </c>
      <c r="KZ65" s="162">
        <f t="shared" si="184"/>
        <v>3.8140000000000001</v>
      </c>
      <c r="LA65" s="162">
        <f t="shared" si="185"/>
        <v>1.1828000000000001</v>
      </c>
      <c r="LB65" s="162">
        <f t="shared" si="186"/>
        <v>0.504</v>
      </c>
      <c r="LC65" s="72">
        <f t="shared" si="187"/>
        <v>0.378</v>
      </c>
      <c r="LD65" s="162">
        <f t="shared" si="188"/>
        <v>0.27300000000000002</v>
      </c>
      <c r="LE65" s="162">
        <f t="shared" si="189"/>
        <v>8.2767999999999997</v>
      </c>
      <c r="LF65" s="162">
        <f t="shared" si="190"/>
        <v>0</v>
      </c>
      <c r="LG65" s="162">
        <f t="shared" si="191"/>
        <v>84.256116244463257</v>
      </c>
      <c r="LH65" s="19">
        <f t="shared" si="192"/>
        <v>8.944708905675762E-2</v>
      </c>
      <c r="LI65" s="6">
        <f t="shared" si="193"/>
        <v>3.717596007578366E-3</v>
      </c>
      <c r="LJ65" s="6">
        <f t="shared" si="194"/>
        <v>2.5417982005303246E-2</v>
      </c>
      <c r="LK65" s="6">
        <f t="shared" si="195"/>
        <v>3.3609661580141625E-3</v>
      </c>
      <c r="LL65" s="6">
        <f t="shared" si="196"/>
        <v>4.121776503751131E-2</v>
      </c>
      <c r="LM65" s="6">
        <f t="shared" si="197"/>
        <v>1.2782478365592128E-2</v>
      </c>
      <c r="LN65" s="6">
        <f t="shared" si="198"/>
        <v>5.4467104297078392E-3</v>
      </c>
      <c r="LO65" s="6">
        <f t="shared" si="199"/>
        <v>4.0850328222808794E-3</v>
      </c>
      <c r="LP65" s="6">
        <f t="shared" si="200"/>
        <v>2.9503014827584129E-3</v>
      </c>
      <c r="LQ65" s="6">
        <f t="shared" si="201"/>
        <v>7.3614094068785413E-2</v>
      </c>
      <c r="LR65" s="6">
        <f t="shared" si="202"/>
        <v>6.7029527640782224E-2</v>
      </c>
      <c r="LS65" s="6">
        <f t="shared" si="203"/>
        <v>6.5845664280031815E-3</v>
      </c>
      <c r="LT65" s="295"/>
      <c r="LU65" s="156"/>
      <c r="LV65" s="156">
        <f t="shared" si="204"/>
        <v>8.7800837555367401</v>
      </c>
      <c r="LW65" s="156">
        <f t="shared" si="205"/>
        <v>11.926348665666245</v>
      </c>
      <c r="LX65" s="422">
        <f>LY65*Liabilities!GT65</f>
        <v>0.84437896382936706</v>
      </c>
      <c r="LY65" s="56">
        <f t="shared" si="206"/>
        <v>5.6670963373826537E-2</v>
      </c>
      <c r="LZ65" s="56">
        <f t="shared" si="253"/>
        <v>0.22280871553279102</v>
      </c>
      <c r="MA65" s="156"/>
      <c r="MB65" s="156"/>
      <c r="MC65" s="156">
        <f>Liabilities!EF65</f>
        <v>2.9453245125819887</v>
      </c>
      <c r="MD65" s="156"/>
      <c r="ME65" s="156"/>
      <c r="MF65" s="156">
        <f t="shared" si="207"/>
        <v>3.789703476411356</v>
      </c>
      <c r="MG65" s="156">
        <f t="shared" si="208"/>
        <v>20.706432421202983</v>
      </c>
      <c r="MH65" s="326">
        <f t="shared" si="209"/>
        <v>92.532916244463266</v>
      </c>
      <c r="MI65" s="1008">
        <f>FoF_RoW!$BH35/1000</f>
        <v>126.246</v>
      </c>
      <c r="MJ65" s="1008"/>
      <c r="MK65" s="1008">
        <f>FoF_RoW!$AU35/1000</f>
        <v>11.353</v>
      </c>
      <c r="ML65" s="1008">
        <f t="shared" si="254"/>
        <v>0.73599999999999</v>
      </c>
      <c r="MM65" s="430">
        <f t="shared" si="210"/>
        <v>117.46591624446326</v>
      </c>
      <c r="MN65" s="6">
        <f t="shared" si="211"/>
        <v>1.2694500617934634</v>
      </c>
      <c r="MO65" s="156">
        <v>109.19525768106477</v>
      </c>
      <c r="MP65" s="430"/>
      <c r="MQ65" s="156"/>
      <c r="MR65" s="156"/>
      <c r="MS65" s="156">
        <f t="shared" si="212"/>
        <v>8.7800837555367401</v>
      </c>
      <c r="MT65" s="156"/>
      <c r="MU65" s="156"/>
      <c r="MV65" s="156"/>
      <c r="MW65" s="156"/>
      <c r="MX65" s="156"/>
      <c r="MY65" s="430">
        <f t="shared" si="255"/>
        <v>50.338055319832243</v>
      </c>
      <c r="MZ65" s="6">
        <f t="shared" si="213"/>
        <v>4.0046185616413876E-2</v>
      </c>
      <c r="NA65" s="156">
        <v>253.67825768106476</v>
      </c>
      <c r="NB65" s="156">
        <v>185.80020236123252</v>
      </c>
      <c r="NC65" s="430">
        <v>58.74199999999999</v>
      </c>
      <c r="ND65" s="6">
        <f t="shared" si="214"/>
        <v>4.6731901352426407E-2</v>
      </c>
      <c r="NE65" s="156"/>
      <c r="NF65" s="156"/>
      <c r="NG65" s="156"/>
      <c r="NH65" s="156"/>
      <c r="NI65" s="422">
        <f>NI64+(NI$68-NI$64)/4</f>
        <v>17.54</v>
      </c>
      <c r="NJ65" s="430">
        <f t="shared" si="63"/>
        <v>14.932</v>
      </c>
      <c r="NK65" s="405">
        <f t="shared" si="64"/>
        <v>1.1879077167859985E-2</v>
      </c>
      <c r="NL65" s="156">
        <v>14.932</v>
      </c>
      <c r="NM65" s="156">
        <v>16.542000000000002</v>
      </c>
      <c r="NN65" s="156">
        <v>1.61</v>
      </c>
      <c r="NO65" s="430">
        <f t="shared" si="100"/>
        <v>12.153</v>
      </c>
      <c r="NP65" s="156">
        <v>21.809000000000001</v>
      </c>
      <c r="NQ65" s="156">
        <v>9.6560000000000006</v>
      </c>
      <c r="NR65" s="405">
        <f t="shared" si="65"/>
        <v>9.6682577565632456E-3</v>
      </c>
      <c r="NS65" s="405">
        <f t="shared" si="66"/>
        <v>1.1879077167859985E-2</v>
      </c>
      <c r="NT65" s="405">
        <f t="shared" si="67"/>
        <v>-2.210819411296739E-3</v>
      </c>
      <c r="NU65" s="727" t="e">
        <f t="shared" si="215"/>
        <v>#DIV/0!</v>
      </c>
      <c r="NV65" s="688">
        <f t="shared" si="216"/>
        <v>0.14032155477080294</v>
      </c>
      <c r="NW65" s="688">
        <f t="shared" si="217"/>
        <v>0.17813120637475063</v>
      </c>
      <c r="NX65" s="793" t="e">
        <f>(ER65-T.A2!B17*T.A1!M17)/MP65</f>
        <v>#DIV/0!</v>
      </c>
      <c r="NY65" s="688" t="e">
        <f>Liabilities!BU65/Liabilities!GY65</f>
        <v>#DIV/0!</v>
      </c>
      <c r="NZ65" s="688">
        <f>Liabilities!BU65/Liabilities!GT65</f>
        <v>0.10805604466752046</v>
      </c>
      <c r="OA65" s="688" t="e">
        <f>Liabilities!BU65/Liabilities!GR65</f>
        <v>#DIV/0!</v>
      </c>
      <c r="OB65" s="688" t="e">
        <f t="shared" si="256"/>
        <v>#DIV/0!</v>
      </c>
      <c r="OC65" s="688">
        <f t="shared" si="257"/>
        <v>3.2265510103282477E-2</v>
      </c>
      <c r="OD65" s="688"/>
      <c r="OE65" s="793">
        <f t="shared" si="218"/>
        <v>0.14032155477080294</v>
      </c>
      <c r="OF65" s="793">
        <f>OE65/(1-'Assets(MOFA)'!GU18)</f>
        <v>0.29205098735066959</v>
      </c>
      <c r="OG65" s="793">
        <f>Liabilities!HV65</f>
        <v>0</v>
      </c>
      <c r="OH65" s="793"/>
      <c r="OI65" s="389">
        <f t="shared" si="219"/>
        <v>3.7791910795065685E-2</v>
      </c>
      <c r="OJ65" s="389">
        <f t="shared" si="220"/>
        <v>3.7791910795065685E-2</v>
      </c>
      <c r="OK65" s="389"/>
      <c r="OL65" s="389"/>
      <c r="OM65" s="422"/>
      <c r="OO65" s="97">
        <f t="shared" si="221"/>
        <v>0.14032155477080291</v>
      </c>
      <c r="OP65" s="190"/>
      <c r="OQ65" s="190"/>
      <c r="OR65" s="190"/>
      <c r="OS65" s="74"/>
      <c r="OT65" s="74"/>
      <c r="OU65" s="74"/>
      <c r="OV65" s="74"/>
      <c r="OW65" s="74"/>
      <c r="OX65" s="74"/>
      <c r="OY65" s="74"/>
      <c r="OZ65" s="74"/>
      <c r="PA65" s="74"/>
      <c r="PG65" s="69"/>
      <c r="PH65" s="6">
        <f>'Assets(MOFA)'!GU18</f>
        <v>0.51953062701918917</v>
      </c>
      <c r="PI65" s="6">
        <f>'Assets(MOFA)'!HM18</f>
        <v>0.36674817516573938</v>
      </c>
      <c r="PJ65" s="60">
        <f t="shared" si="222"/>
        <v>8.1267312829426924E-2</v>
      </c>
      <c r="PL65" s="60">
        <f>'Assets(MOFA)'!GO18/MM65/1000</f>
        <v>4.8035685583335236E-2</v>
      </c>
    </row>
    <row r="66" spans="2:428" s="90" customFormat="1">
      <c r="B66" s="74">
        <v>1974</v>
      </c>
      <c r="C66" s="43">
        <v>1350.8</v>
      </c>
      <c r="D66" s="5">
        <v>125.7</v>
      </c>
      <c r="E66" s="6">
        <f t="shared" si="68"/>
        <v>9.305596683446847E-2</v>
      </c>
      <c r="F66" s="72">
        <f t="shared" si="69"/>
        <v>0</v>
      </c>
      <c r="G66" s="72">
        <f t="shared" si="70"/>
        <v>108.2</v>
      </c>
      <c r="H66" s="6">
        <f t="shared" si="71"/>
        <v>8.0100681077879779E-2</v>
      </c>
      <c r="I66" s="74">
        <v>17.5</v>
      </c>
      <c r="J66" s="19">
        <f t="shared" si="72"/>
        <v>1.2955285756588688E-2</v>
      </c>
      <c r="K66" s="6">
        <f t="shared" si="73"/>
        <v>0.13922036595067622</v>
      </c>
      <c r="L66" s="136">
        <v>20.399999999999999</v>
      </c>
      <c r="M66" s="19">
        <f t="shared" si="74"/>
        <v>1.5102161681966242E-2</v>
      </c>
      <c r="N66" s="63">
        <f t="shared" si="75"/>
        <v>0.16229116945107397</v>
      </c>
      <c r="O66" s="5">
        <f t="shared" si="76"/>
        <v>125.7</v>
      </c>
      <c r="P66" s="75">
        <f t="shared" si="77"/>
        <v>0</v>
      </c>
      <c r="Q66" s="273">
        <v>148.19999999999999</v>
      </c>
      <c r="R66" s="202">
        <v>10.4</v>
      </c>
      <c r="S66" s="53">
        <f t="shared" si="78"/>
        <v>8.2736674622116146E-2</v>
      </c>
      <c r="T66" s="74">
        <v>5.7</v>
      </c>
      <c r="U66" s="74">
        <v>-35.800000000000004</v>
      </c>
      <c r="V66" s="207">
        <v>7.7</v>
      </c>
      <c r="W66" s="53">
        <f t="shared" si="79"/>
        <v>6.1256961018297536E-2</v>
      </c>
      <c r="X66" s="75">
        <f t="shared" si="80"/>
        <v>4.9000000000000341</v>
      </c>
      <c r="Y66" s="187"/>
      <c r="Z66" s="75"/>
      <c r="AA66" s="75"/>
      <c r="AB66" s="75"/>
      <c r="AC66" s="75">
        <f t="shared" si="103"/>
        <v>2.4859606522834303</v>
      </c>
      <c r="AD66" s="6">
        <f t="shared" si="81"/>
        <v>1.9776934385707479E-2</v>
      </c>
      <c r="AE66" s="75"/>
      <c r="AF66" s="75">
        <v>2.7120062029999912</v>
      </c>
      <c r="AG66" s="75"/>
      <c r="AH66" s="97">
        <v>52.8</v>
      </c>
      <c r="AI66" s="19">
        <f t="shared" si="82"/>
        <v>3.9087947882736153E-2</v>
      </c>
      <c r="AJ66" s="19">
        <f t="shared" si="83"/>
        <v>3.4942256440627775E-2</v>
      </c>
      <c r="AK66" s="130">
        <f t="shared" si="84"/>
        <v>0</v>
      </c>
      <c r="AL66" s="74">
        <v>39.5</v>
      </c>
      <c r="AM66" s="72">
        <f>(0.5*Fedtax!C45+0.5*Fedtax!C46)/1000</f>
        <v>39.6205</v>
      </c>
      <c r="AN66" s="74">
        <v>6.7</v>
      </c>
      <c r="AO66" s="279">
        <v>1</v>
      </c>
      <c r="AP66" s="74">
        <v>5.6</v>
      </c>
      <c r="AQ66" s="6">
        <f t="shared" si="85"/>
        <v>5.3968018951732311E-2</v>
      </c>
      <c r="AR66" s="207">
        <v>20.8</v>
      </c>
      <c r="AS66" s="714">
        <v>20.753</v>
      </c>
      <c r="AT66" s="210">
        <f>(10.836+4.608)*AS66/20.175</f>
        <v>15.88646007434944</v>
      </c>
      <c r="AU66" s="205">
        <f t="shared" ref="AU66" si="263">AT66/AS66</f>
        <v>0.76550185873605936</v>
      </c>
      <c r="AV66" s="709">
        <f t="shared" si="56"/>
        <v>32.616412589838909</v>
      </c>
      <c r="AW66" s="766">
        <f t="shared" si="101"/>
        <v>27.432020024783146</v>
      </c>
      <c r="AX66" s="766">
        <f t="shared" si="104"/>
        <v>5.184392565055763</v>
      </c>
      <c r="AY66" s="767">
        <f t="shared" si="102"/>
        <v>0.84104957739371766</v>
      </c>
      <c r="AZ66" s="707">
        <f>31.708*AS66/20.175</f>
        <v>32.616412589838909</v>
      </c>
      <c r="BA66" s="210">
        <f>(17.557+9.111)*AS66/20.175</f>
        <v>27.432020024783146</v>
      </c>
      <c r="BB66" s="205">
        <f>BA66/AZ66</f>
        <v>0.84104957739371766</v>
      </c>
      <c r="BC66" s="760">
        <f>4.729*AS66/20.175</f>
        <v>4.864482627013631</v>
      </c>
      <c r="BD66" s="210">
        <f>'Assets(MOFA)'!FJ19/1000</f>
        <v>42.401336366790581</v>
      </c>
      <c r="BE66" s="205">
        <f t="shared" si="105"/>
        <v>0.76923076923076927</v>
      </c>
      <c r="BF66" s="186">
        <v>0.48</v>
      </c>
      <c r="BG66" s="435"/>
      <c r="BH66" s="143">
        <f t="shared" si="106"/>
        <v>0.37591537835638733</v>
      </c>
      <c r="BI66" s="250">
        <f t="shared" si="57"/>
        <v>0.37591537835638733</v>
      </c>
      <c r="BJ66" s="6">
        <f t="shared" si="107"/>
        <v>0.35375191424196017</v>
      </c>
      <c r="BK66" s="143">
        <f t="shared" si="108"/>
        <v>0.46624913013221991</v>
      </c>
      <c r="BL66" s="143">
        <f t="shared" si="109"/>
        <v>0.4002263317563261</v>
      </c>
      <c r="BM66" s="250">
        <f t="shared" si="110"/>
        <v>0.47445707459032044</v>
      </c>
      <c r="BN66" s="6">
        <f t="shared" si="111"/>
        <v>0.31848852901484481</v>
      </c>
      <c r="BO66" s="6">
        <f t="shared" si="112"/>
        <v>0.29760403530895335</v>
      </c>
      <c r="BP66" s="149">
        <f t="shared" si="86"/>
        <v>125.7</v>
      </c>
      <c r="BQ66" s="130">
        <f t="shared" si="87"/>
        <v>0</v>
      </c>
      <c r="BR66" s="156">
        <f t="shared" si="88"/>
        <v>52.8</v>
      </c>
      <c r="BS66" s="136">
        <v>33.200000000000003</v>
      </c>
      <c r="BT66" s="136">
        <v>39.700000000000003</v>
      </c>
      <c r="BU66" s="6">
        <f t="shared" si="223"/>
        <v>0.31583134447096262</v>
      </c>
      <c r="BV66" s="74">
        <v>32</v>
      </c>
      <c r="BW66" s="74">
        <f t="shared" si="89"/>
        <v>7.7000000000000028</v>
      </c>
      <c r="BX66" s="6">
        <f t="shared" si="90"/>
        <v>6.1256961018297557E-2</v>
      </c>
      <c r="BY66" s="6"/>
      <c r="BZ66" s="6"/>
      <c r="CA66" s="6"/>
      <c r="CB66" s="6">
        <f t="shared" si="262"/>
        <v>0.44000000000000017</v>
      </c>
      <c r="CC66" s="169">
        <f t="shared" si="91"/>
        <v>20.399999999999999</v>
      </c>
      <c r="CD66" s="174"/>
      <c r="CF66" s="136">
        <f t="shared" si="58"/>
        <v>19.141999999999999</v>
      </c>
      <c r="CH66" s="6">
        <f t="shared" si="59"/>
        <v>0.93833333333333335</v>
      </c>
      <c r="CI66" s="169">
        <v>19.157</v>
      </c>
      <c r="CK66" s="136">
        <f t="shared" si="60"/>
        <v>19.141999999999999</v>
      </c>
      <c r="CL66" s="162"/>
      <c r="CN66" s="162">
        <v>8.8000000000000007</v>
      </c>
      <c r="CO66" s="162"/>
      <c r="CP66" s="136">
        <f t="shared" si="61"/>
        <v>1.5000000000000568E-2</v>
      </c>
      <c r="CZ66" s="166">
        <f t="shared" si="49"/>
        <v>19.157</v>
      </c>
      <c r="DA66" s="910">
        <f>DA65+(CZ66-CZ65)*0.8</f>
        <v>7.8089999999999984</v>
      </c>
      <c r="DB66" s="6">
        <f t="shared" si="50"/>
        <v>0.40763167510570542</v>
      </c>
      <c r="DG66" s="245">
        <v>599</v>
      </c>
      <c r="DI66" s="182">
        <v>19.155999999999999</v>
      </c>
      <c r="DJ66" s="136">
        <v>9.9000000000000005E-2</v>
      </c>
      <c r="DK66" s="136">
        <v>0.753</v>
      </c>
      <c r="DL66" s="136">
        <v>8.5000000000000006E-2</v>
      </c>
      <c r="DM66" s="136">
        <v>1.028</v>
      </c>
      <c r="DN66" s="136">
        <v>0.84799999999999998</v>
      </c>
      <c r="DO66" s="136">
        <v>0.33300000000000002</v>
      </c>
      <c r="DP66" s="136">
        <v>0</v>
      </c>
      <c r="DQ66" s="136">
        <v>0.121</v>
      </c>
      <c r="DR66" s="156">
        <f t="shared" si="113"/>
        <v>2.9339999999999997</v>
      </c>
      <c r="DS66" s="156">
        <f t="shared" si="114"/>
        <v>16.221999999999998</v>
      </c>
      <c r="DT66" s="156">
        <v>2.0920000000000001</v>
      </c>
      <c r="DU66" s="6">
        <f t="shared" si="115"/>
        <v>0.12896067069411912</v>
      </c>
      <c r="DV66" s="6">
        <f t="shared" si="116"/>
        <v>5.1680935477135103E-3</v>
      </c>
      <c r="DW66" s="605">
        <f t="shared" si="117"/>
        <v>3.9308832741699731E-2</v>
      </c>
      <c r="DX66" s="605">
        <f t="shared" si="118"/>
        <v>4.4372520359156403E-3</v>
      </c>
      <c r="DY66" s="6">
        <f t="shared" si="119"/>
        <v>5.3664648152015042E-2</v>
      </c>
      <c r="DZ66" s="6">
        <f t="shared" si="120"/>
        <v>4.4268114428899566E-2</v>
      </c>
      <c r="EA66" s="6">
        <f t="shared" si="121"/>
        <v>1.7383587387763626E-2</v>
      </c>
      <c r="EB66" s="6">
        <f t="shared" si="122"/>
        <v>0</v>
      </c>
      <c r="EC66" s="605">
        <f t="shared" si="123"/>
        <v>6.3165587805387351E-3</v>
      </c>
      <c r="ED66" s="6">
        <f t="shared" si="124"/>
        <v>0.1531634996867822</v>
      </c>
      <c r="EE66" s="6"/>
      <c r="EF66" s="6"/>
      <c r="EG66" s="67">
        <v>7.7770000000000001</v>
      </c>
      <c r="EN66" s="131"/>
      <c r="EO66" s="56">
        <v>0.5</v>
      </c>
      <c r="ER66" s="182">
        <v>19.141999999999999</v>
      </c>
      <c r="ES66" s="136">
        <v>6.9589999999999996</v>
      </c>
      <c r="ET66" s="136"/>
      <c r="EU66" s="136"/>
      <c r="EV66" s="136"/>
      <c r="EW66" s="156">
        <f t="shared" si="125"/>
        <v>9.9000000000000005E-2</v>
      </c>
      <c r="EX66" s="156">
        <f t="shared" si="126"/>
        <v>0.753</v>
      </c>
      <c r="EY66" s="156">
        <f t="shared" si="127"/>
        <v>8.5000000000000006E-2</v>
      </c>
      <c r="EZ66" s="156">
        <f t="shared" si="128"/>
        <v>1.028</v>
      </c>
      <c r="FA66" s="156">
        <f t="shared" si="129"/>
        <v>0.73621152786819566</v>
      </c>
      <c r="FB66" s="156">
        <f t="shared" si="130"/>
        <v>0.33300000000000002</v>
      </c>
      <c r="FC66" s="156">
        <f t="shared" si="131"/>
        <v>0</v>
      </c>
      <c r="FD66" s="156">
        <f t="shared" si="132"/>
        <v>0.121</v>
      </c>
      <c r="FE66" s="156">
        <f t="shared" si="133"/>
        <v>2.8222115278681956</v>
      </c>
      <c r="FF66" s="156">
        <f t="shared" si="134"/>
        <v>16.3187884721318</v>
      </c>
      <c r="FG66" s="6">
        <f t="shared" si="135"/>
        <v>5.1718733674642149E-3</v>
      </c>
      <c r="FH66" s="6">
        <f t="shared" si="136"/>
        <v>3.9337582279803572E-2</v>
      </c>
      <c r="FI66" s="6">
        <f t="shared" si="137"/>
        <v>4.4404973357015992E-3</v>
      </c>
      <c r="FJ66" s="6">
        <f t="shared" si="138"/>
        <v>5.3703897189426392E-2</v>
      </c>
      <c r="FK66" s="6">
        <f t="shared" si="139"/>
        <v>3.8460533270723837E-2</v>
      </c>
      <c r="FL66" s="6">
        <f t="shared" si="140"/>
        <v>1.7396301326925087E-2</v>
      </c>
      <c r="FM66" s="6">
        <f t="shared" si="141"/>
        <v>0</v>
      </c>
      <c r="FN66" s="6">
        <f t="shared" si="142"/>
        <v>6.3211785602340399E-3</v>
      </c>
      <c r="FO66" s="6">
        <f t="shared" si="92"/>
        <v>0.14743556200335364</v>
      </c>
      <c r="FP66" s="6">
        <f t="shared" si="93"/>
        <v>0.85256443799664638</v>
      </c>
      <c r="FQ66" s="6">
        <f t="shared" si="94"/>
        <v>2.392748977620059E-2</v>
      </c>
      <c r="FR66" s="6">
        <f t="shared" si="95"/>
        <v>0.1383636796748734</v>
      </c>
      <c r="FS66" s="6">
        <f t="shared" si="96"/>
        <v>2.2265956950462055E-3</v>
      </c>
      <c r="FT66" s="397">
        <f t="shared" si="97"/>
        <v>1.1132978475231028E-3</v>
      </c>
      <c r="FU66" s="397">
        <f t="shared" si="98"/>
        <v>1.1132978475231028E-3</v>
      </c>
      <c r="FV66" s="6">
        <f t="shared" si="99"/>
        <v>1.2875565986920037E-2</v>
      </c>
      <c r="FW66" s="632">
        <f t="shared" si="62"/>
        <v>1.5000000000000568E-2</v>
      </c>
      <c r="FX66" s="345">
        <f t="shared" si="143"/>
        <v>0</v>
      </c>
      <c r="FY66" s="345">
        <f t="shared" si="144"/>
        <v>0</v>
      </c>
      <c r="FZ66" s="345">
        <f t="shared" si="145"/>
        <v>0</v>
      </c>
      <c r="GA66" s="345">
        <f t="shared" si="146"/>
        <v>0</v>
      </c>
      <c r="GB66" s="597">
        <f t="shared" si="147"/>
        <v>0.11178847213180429</v>
      </c>
      <c r="GC66" s="345">
        <f t="shared" si="148"/>
        <v>0</v>
      </c>
      <c r="GD66" s="381">
        <f t="shared" si="149"/>
        <v>0</v>
      </c>
      <c r="GE66" s="345">
        <f t="shared" si="150"/>
        <v>0</v>
      </c>
      <c r="GF66" s="597">
        <f t="shared" si="151"/>
        <v>0.11178847213180429</v>
      </c>
      <c r="GG66" s="344">
        <f t="shared" si="152"/>
        <v>-9.6788472131803721E-2</v>
      </c>
      <c r="GH66" s="169">
        <v>9.0519999999999996</v>
      </c>
      <c r="GI66" s="72">
        <v>0.125</v>
      </c>
      <c r="GJ66" s="72">
        <v>0.77800000000000002</v>
      </c>
      <c r="GK66" s="85">
        <v>7.0000000000000001E-3</v>
      </c>
      <c r="GL66" s="85">
        <v>0.88800000000000001</v>
      </c>
      <c r="GM66" s="85">
        <v>1.984</v>
      </c>
      <c r="GN66" s="85">
        <v>1.8180000000000001</v>
      </c>
      <c r="GO66" s="72">
        <f t="shared" si="153"/>
        <v>0.16599999999999993</v>
      </c>
      <c r="GP66" s="72">
        <v>-0.125</v>
      </c>
      <c r="GQ66" s="85">
        <v>8.8999999999999996E-2</v>
      </c>
      <c r="GR66" s="72">
        <f t="shared" si="154"/>
        <v>3.871</v>
      </c>
      <c r="GS66" s="72">
        <f t="shared" si="155"/>
        <v>5.1809999999999992</v>
      </c>
      <c r="GT66" s="6">
        <f t="shared" si="156"/>
        <v>0.42764030048608043</v>
      </c>
      <c r="GU66" s="334">
        <f t="shared" si="259"/>
        <v>8.4224567419552407</v>
      </c>
      <c r="GW66" s="903">
        <f t="shared" si="52"/>
        <v>7.7770000000000001</v>
      </c>
      <c r="GX66" s="72">
        <f t="shared" si="224"/>
        <v>0.125</v>
      </c>
      <c r="GY66" s="72">
        <f t="shared" si="225"/>
        <v>0.77800000000000002</v>
      </c>
      <c r="GZ66" s="72">
        <f t="shared" si="226"/>
        <v>7.0000000000000001E-3</v>
      </c>
      <c r="HA66" s="72">
        <f t="shared" si="227"/>
        <v>0.88800000000000001</v>
      </c>
      <c r="HB66" s="72">
        <f t="shared" si="228"/>
        <v>1.984</v>
      </c>
      <c r="HC66" s="72">
        <f t="shared" si="229"/>
        <v>1.8180000000000001</v>
      </c>
      <c r="HD66" s="72">
        <f t="shared" si="230"/>
        <v>-0.125</v>
      </c>
      <c r="HE66" s="72">
        <f t="shared" si="231"/>
        <v>8.8999999999999996E-2</v>
      </c>
      <c r="HF66" s="72">
        <f t="shared" si="158"/>
        <v>3.871</v>
      </c>
      <c r="HG66" s="6">
        <f t="shared" si="232"/>
        <v>0.4596046163962087</v>
      </c>
      <c r="HH66" s="72">
        <f t="shared" si="233"/>
        <v>8.1354567419552382</v>
      </c>
      <c r="HI66" s="169">
        <v>1.2749999999999999</v>
      </c>
      <c r="HT66" s="131"/>
      <c r="IF66" s="136">
        <f t="shared" si="234"/>
        <v>0.62954325804475886</v>
      </c>
      <c r="IG66" s="74">
        <v>0</v>
      </c>
      <c r="IH66" s="74">
        <v>0</v>
      </c>
      <c r="II66" s="74">
        <v>0</v>
      </c>
      <c r="IJ66" s="74">
        <v>0</v>
      </c>
      <c r="IK66" s="360">
        <f t="shared" si="159"/>
        <v>0</v>
      </c>
      <c r="IL66" s="74">
        <v>0</v>
      </c>
      <c r="IM66" s="74">
        <v>0</v>
      </c>
      <c r="IN66" s="74">
        <v>0</v>
      </c>
      <c r="IO66" s="75">
        <f t="shared" si="160"/>
        <v>0</v>
      </c>
      <c r="IP66" s="136">
        <f t="shared" si="235"/>
        <v>0.62954325804475886</v>
      </c>
      <c r="IQ66" s="174">
        <f t="shared" si="236"/>
        <v>0.62954325804475886</v>
      </c>
      <c r="IR66" s="337">
        <f t="shared" si="161"/>
        <v>110.078</v>
      </c>
      <c r="IS66" s="72">
        <f t="shared" si="237"/>
        <v>8.7650000000000006</v>
      </c>
      <c r="IT66" s="72">
        <f t="shared" si="238"/>
        <v>0</v>
      </c>
      <c r="IU66" s="136">
        <f t="shared" si="53"/>
        <v>7.7770000000000001</v>
      </c>
      <c r="IV66" s="903">
        <f t="shared" si="260"/>
        <v>0.64545674195524105</v>
      </c>
      <c r="IW66" s="903">
        <f t="shared" si="239"/>
        <v>0.62954325804475886</v>
      </c>
      <c r="IX66" s="72">
        <f t="shared" si="240"/>
        <v>-0.28699999999999948</v>
      </c>
      <c r="JB66" s="6">
        <f t="shared" si="162"/>
        <v>8.1490968315072548E-2</v>
      </c>
      <c r="JC66" s="6">
        <f t="shared" si="163"/>
        <v>1.028279538051525E-2</v>
      </c>
      <c r="JD66" s="6">
        <f t="shared" si="164"/>
        <v>7.1208172934557307E-2</v>
      </c>
      <c r="JE66" s="902">
        <f t="shared" si="54"/>
        <v>5.7573289902280132E-3</v>
      </c>
      <c r="JF66" s="1006"/>
      <c r="JG66" s="1001"/>
      <c r="JH66" s="5">
        <v>110.078</v>
      </c>
      <c r="JI66" s="192">
        <v>21.417999999999999</v>
      </c>
      <c r="JJ66" s="333">
        <v>0.47199999999999998</v>
      </c>
      <c r="JK66" s="333">
        <v>3.1280000000000001</v>
      </c>
      <c r="JL66" s="333">
        <v>0.32</v>
      </c>
      <c r="JM66" s="333">
        <v>4.6790000000000003</v>
      </c>
      <c r="JN66" s="333">
        <v>4.93</v>
      </c>
      <c r="JO66" s="333">
        <v>2.286</v>
      </c>
      <c r="JP66" s="333">
        <f t="shared" si="241"/>
        <v>2.6439999999999997</v>
      </c>
      <c r="JQ66" s="333">
        <v>0.253</v>
      </c>
      <c r="JR66" s="333">
        <v>0.36099999999999999</v>
      </c>
      <c r="JS66" s="332">
        <f t="shared" si="165"/>
        <v>13.889999999999999</v>
      </c>
      <c r="JT66" s="332">
        <f t="shared" si="166"/>
        <v>96.188000000000002</v>
      </c>
      <c r="JU66" s="6">
        <f t="shared" si="167"/>
        <v>0.12618325187594251</v>
      </c>
      <c r="JV66" s="6">
        <f t="shared" si="168"/>
        <v>4.2878686022638493E-3</v>
      </c>
      <c r="JW66" s="6">
        <f t="shared" si="169"/>
        <v>2.8416213957375678E-2</v>
      </c>
      <c r="JX66" s="6">
        <f t="shared" si="170"/>
        <v>2.9070295608568469E-3</v>
      </c>
      <c r="JY66" s="6">
        <f t="shared" si="171"/>
        <v>4.2506222860153708E-2</v>
      </c>
      <c r="JZ66" s="6">
        <f t="shared" si="172"/>
        <v>4.4786424171950792E-2</v>
      </c>
      <c r="KA66" s="6">
        <f t="shared" si="173"/>
        <v>3.2794927233416303E-3</v>
      </c>
      <c r="KB66" s="365">
        <f t="shared" si="174"/>
        <v>9.409627013581499</v>
      </c>
      <c r="KC66" s="162">
        <f t="shared" si="175"/>
        <v>22.471069455783329</v>
      </c>
      <c r="KD66" s="162">
        <f t="shared" si="176"/>
        <v>13.06144244220183</v>
      </c>
      <c r="KE66" s="6">
        <f t="shared" si="242"/>
        <v>0.58125593300768497</v>
      </c>
      <c r="KF66" s="1071">
        <v>0</v>
      </c>
      <c r="KG66" s="222">
        <f t="shared" si="243"/>
        <v>0</v>
      </c>
      <c r="KH66" s="222">
        <f t="shared" si="244"/>
        <v>0</v>
      </c>
      <c r="KI66" s="222">
        <f t="shared" si="245"/>
        <v>0</v>
      </c>
      <c r="KJ66" s="222">
        <f t="shared" si="246"/>
        <v>0</v>
      </c>
      <c r="KK66" s="597">
        <f t="shared" si="247"/>
        <v>2.9579999999999997</v>
      </c>
      <c r="KL66" s="74">
        <f t="shared" si="248"/>
        <v>0</v>
      </c>
      <c r="KM66" s="345"/>
      <c r="KN66" s="345"/>
      <c r="KO66" s="72">
        <f t="shared" si="249"/>
        <v>0</v>
      </c>
      <c r="KP66" s="74">
        <f t="shared" si="250"/>
        <v>0</v>
      </c>
      <c r="KQ66" s="72">
        <f t="shared" si="177"/>
        <v>2.9579999999999997</v>
      </c>
      <c r="KR66" s="85">
        <f t="shared" si="251"/>
        <v>6.4516270135814988</v>
      </c>
      <c r="KS66" s="6">
        <f t="shared" si="178"/>
        <v>4.7761526603357259E-3</v>
      </c>
      <c r="KT66" s="6">
        <f t="shared" si="179"/>
        <v>0</v>
      </c>
      <c r="KU66" s="169">
        <f t="shared" si="180"/>
        <v>100.6683729864185</v>
      </c>
      <c r="KV66" s="174">
        <f t="shared" si="252"/>
        <v>21.417999999999999</v>
      </c>
      <c r="KW66" s="162">
        <f t="shared" si="181"/>
        <v>0.47199999999999998</v>
      </c>
      <c r="KX66" s="162">
        <f t="shared" si="182"/>
        <v>3.1280000000000001</v>
      </c>
      <c r="KY66" s="162">
        <f t="shared" si="183"/>
        <v>0.32</v>
      </c>
      <c r="KZ66" s="162">
        <f t="shared" si="184"/>
        <v>4.6790000000000003</v>
      </c>
      <c r="LA66" s="162">
        <f t="shared" si="185"/>
        <v>1.972</v>
      </c>
      <c r="LB66" s="162">
        <f t="shared" si="186"/>
        <v>2.286</v>
      </c>
      <c r="LC66" s="72">
        <f t="shared" si="187"/>
        <v>0.253</v>
      </c>
      <c r="LD66" s="162">
        <f t="shared" si="188"/>
        <v>0.36099999999999999</v>
      </c>
      <c r="LE66" s="162">
        <f t="shared" si="189"/>
        <v>10.931999999999999</v>
      </c>
      <c r="LF66" s="162">
        <f t="shared" si="190"/>
        <v>0</v>
      </c>
      <c r="LG66" s="162">
        <f t="shared" si="191"/>
        <v>89.736372986418502</v>
      </c>
      <c r="LH66" s="19">
        <f t="shared" si="192"/>
        <v>0.10859418579730964</v>
      </c>
      <c r="LI66" s="6">
        <f t="shared" si="193"/>
        <v>4.6886622481092351E-3</v>
      </c>
      <c r="LJ66" s="6">
        <f t="shared" si="194"/>
        <v>3.1072321000181542E-2</v>
      </c>
      <c r="LK66" s="6">
        <f t="shared" si="195"/>
        <v>3.1787540665147358E-3</v>
      </c>
      <c r="LL66" s="6">
        <f t="shared" si="196"/>
        <v>4.6479344616320153E-2</v>
      </c>
      <c r="LM66" s="6">
        <f t="shared" si="197"/>
        <v>1.9589071934897059E-2</v>
      </c>
      <c r="LN66" s="6">
        <f t="shared" si="198"/>
        <v>2.2708224362664644E-2</v>
      </c>
      <c r="LO66" s="6">
        <f t="shared" si="199"/>
        <v>2.5132024338382132E-3</v>
      </c>
      <c r="LP66" s="6">
        <f t="shared" si="200"/>
        <v>3.5860319312869364E-3</v>
      </c>
      <c r="LQ66" s="6">
        <f t="shared" si="201"/>
        <v>7.4525002210851718E-2</v>
      </c>
      <c r="LR66" s="6">
        <f t="shared" si="202"/>
        <v>6.643202027422157E-2</v>
      </c>
      <c r="LS66" s="6">
        <f t="shared" si="203"/>
        <v>8.0929819366301441E-3</v>
      </c>
      <c r="LT66" s="295"/>
      <c r="LU66" s="156"/>
      <c r="LV66" s="156">
        <f t="shared" si="204"/>
        <v>9.409627013581499</v>
      </c>
      <c r="LW66" s="156">
        <f t="shared" si="205"/>
        <v>13.06144244220183</v>
      </c>
      <c r="LX66" s="422">
        <f>LY66*Liabilities!GT66</f>
        <v>1.0696570947787434</v>
      </c>
      <c r="LY66" s="56">
        <f t="shared" si="206"/>
        <v>5.6670963373826537E-2</v>
      </c>
      <c r="LZ66" s="56">
        <f t="shared" si="253"/>
        <v>0.22280871553279105</v>
      </c>
      <c r="MA66" s="156"/>
      <c r="MB66" s="156"/>
      <c r="MC66" s="156">
        <f>Liabilities!EF66</f>
        <v>3.7311295002201428</v>
      </c>
      <c r="MD66" s="156"/>
      <c r="ME66" s="156"/>
      <c r="MF66" s="156">
        <f t="shared" si="207"/>
        <v>4.8007865949988862</v>
      </c>
      <c r="MG66" s="156">
        <f t="shared" si="208"/>
        <v>22.471069455783329</v>
      </c>
      <c r="MH66" s="326">
        <f t="shared" si="209"/>
        <v>100.6683729864185</v>
      </c>
      <c r="MI66" s="1008">
        <f>FoF_RoW!$BH36/1000</f>
        <v>135.298</v>
      </c>
      <c r="MJ66" s="1008"/>
      <c r="MK66" s="1008">
        <f>FoF_RoW!$AU36/1000</f>
        <v>9.0519999999999996</v>
      </c>
      <c r="ML66" s="1008">
        <f t="shared" si="254"/>
        <v>9.0520000000000067</v>
      </c>
      <c r="MM66" s="430">
        <f t="shared" si="210"/>
        <v>125.8883729864185</v>
      </c>
      <c r="MN66" s="6">
        <f t="shared" si="211"/>
        <v>1.2505255548671925</v>
      </c>
      <c r="MO66" s="156">
        <v>95.073827811840815</v>
      </c>
      <c r="MP66" s="430"/>
      <c r="MQ66" s="156"/>
      <c r="MR66" s="156"/>
      <c r="MS66" s="156">
        <f t="shared" si="212"/>
        <v>9.409627013581499</v>
      </c>
      <c r="MT66" s="156"/>
      <c r="MU66" s="156"/>
      <c r="MV66" s="156"/>
      <c r="MW66" s="156"/>
      <c r="MX66" s="156"/>
      <c r="MY66" s="430">
        <f t="shared" si="255"/>
        <v>33.914540121937833</v>
      </c>
      <c r="MZ66" s="6">
        <f t="shared" si="213"/>
        <v>2.5107003347599816E-2</v>
      </c>
      <c r="NA66" s="156">
        <v>264.15382781184081</v>
      </c>
      <c r="NB66" s="156">
        <v>206.23128768990298</v>
      </c>
      <c r="NC66" s="430">
        <v>38.479000000000013</v>
      </c>
      <c r="ND66" s="6">
        <f t="shared" si="214"/>
        <v>2.8486082321587218E-2</v>
      </c>
      <c r="NE66" s="156"/>
      <c r="NF66" s="156"/>
      <c r="NG66" s="156"/>
      <c r="NH66" s="156"/>
      <c r="NI66" s="422">
        <f t="shared" ref="NI66:NI67" si="264">NI65+(NI$68-NI$64)/4</f>
        <v>24.007999999999999</v>
      </c>
      <c r="NJ66" s="430">
        <f t="shared" si="63"/>
        <v>17.826000000000001</v>
      </c>
      <c r="NK66" s="405">
        <f t="shared" si="64"/>
        <v>1.3196624222682855E-2</v>
      </c>
      <c r="NL66" s="156">
        <v>17.826000000000001</v>
      </c>
      <c r="NM66" s="156">
        <v>19.157</v>
      </c>
      <c r="NN66" s="156">
        <v>1.331</v>
      </c>
      <c r="NO66" s="430">
        <f t="shared" si="100"/>
        <v>15.503</v>
      </c>
      <c r="NP66" s="156">
        <v>27.587</v>
      </c>
      <c r="NQ66" s="156">
        <v>12.084</v>
      </c>
      <c r="NR66" s="405">
        <f t="shared" si="65"/>
        <v>1.1476902576251112E-2</v>
      </c>
      <c r="NS66" s="405">
        <f t="shared" si="66"/>
        <v>1.3196624222682855E-2</v>
      </c>
      <c r="NT66" s="405">
        <f t="shared" si="67"/>
        <v>-1.7197216464317436E-3</v>
      </c>
      <c r="NU66" s="727" t="e">
        <f t="shared" si="215"/>
        <v>#DIV/0!</v>
      </c>
      <c r="NV66" s="688">
        <f t="shared" si="216"/>
        <v>0.1520553451116978</v>
      </c>
      <c r="NW66" s="688">
        <f t="shared" si="217"/>
        <v>0.19014909481632836</v>
      </c>
      <c r="NX66" s="793" t="e">
        <f>(ER66-T.A2!B18*T.A1!M18)/MP66</f>
        <v>#DIV/0!</v>
      </c>
      <c r="NY66" s="688" t="e">
        <f>Liabilities!BU66/Liabilities!GY66</f>
        <v>#DIV/0!</v>
      </c>
      <c r="NZ66" s="688">
        <f>Liabilities!BU66/Liabilities!GT66</f>
        <v>7.0517040104488324E-2</v>
      </c>
      <c r="OA66" s="688" t="e">
        <f>Liabilities!BU66/Liabilities!GR66</f>
        <v>#DIV/0!</v>
      </c>
      <c r="OB66" s="688" t="e">
        <f t="shared" si="256"/>
        <v>#DIV/0!</v>
      </c>
      <c r="OC66" s="688">
        <f t="shared" si="257"/>
        <v>8.1538305007209474E-2</v>
      </c>
      <c r="OD66" s="688"/>
      <c r="OE66" s="793">
        <f t="shared" si="218"/>
        <v>0.1520553451116978</v>
      </c>
      <c r="OF66" s="793">
        <f>OE66/(1-'Assets(MOFA)'!GU19)</f>
        <v>0.49229130762550899</v>
      </c>
      <c r="OG66" s="793">
        <f>Liabilities!HV66</f>
        <v>0</v>
      </c>
      <c r="OH66" s="793"/>
      <c r="OI66" s="389">
        <f t="shared" si="219"/>
        <v>3.7791910795065685E-2</v>
      </c>
      <c r="OJ66" s="389">
        <f>OI66</f>
        <v>3.7791910795065685E-2</v>
      </c>
      <c r="OK66" s="389"/>
      <c r="OL66" s="389"/>
      <c r="OM66" s="422"/>
      <c r="OO66" s="97">
        <f t="shared" si="221"/>
        <v>0.15205534511169783</v>
      </c>
      <c r="OP66" s="190"/>
      <c r="OQ66" s="190"/>
      <c r="OR66" s="190"/>
      <c r="OS66" s="74"/>
      <c r="OT66" s="74"/>
      <c r="OU66" s="74"/>
      <c r="OV66" s="74"/>
      <c r="OW66" s="74"/>
      <c r="OX66" s="74"/>
      <c r="OY66" s="74"/>
      <c r="OZ66" s="74"/>
      <c r="PA66" s="74"/>
      <c r="PG66" s="69"/>
      <c r="PH66" s="6">
        <f>'Assets(MOFA)'!GU19</f>
        <v>0.69112730053042526</v>
      </c>
      <c r="PI66" s="6">
        <f>'Assets(MOFA)'!HM19</f>
        <v>0.40335802357532574</v>
      </c>
      <c r="PJ66" s="60">
        <f t="shared" si="222"/>
        <v>0.10279656125747251</v>
      </c>
      <c r="PL66" s="60">
        <f>'Assets(MOFA)'!GO19/MM66/1000</f>
        <v>5.353719469628547E-2</v>
      </c>
    </row>
    <row r="67" spans="2:428" s="90" customFormat="1">
      <c r="B67" s="74">
        <v>1975</v>
      </c>
      <c r="C67" s="43">
        <v>1451.1</v>
      </c>
      <c r="D67" s="5">
        <v>138.9</v>
      </c>
      <c r="E67" s="6">
        <f t="shared" si="68"/>
        <v>9.5720487905726695E-2</v>
      </c>
      <c r="F67" s="72">
        <f t="shared" si="69"/>
        <v>0</v>
      </c>
      <c r="G67" s="72">
        <f t="shared" si="70"/>
        <v>124.30000000000001</v>
      </c>
      <c r="H67" s="6">
        <f t="shared" si="71"/>
        <v>8.5659155123699274E-2</v>
      </c>
      <c r="I67" s="74">
        <v>14.6</v>
      </c>
      <c r="J67" s="19">
        <f t="shared" si="72"/>
        <v>1.0061332782027428E-2</v>
      </c>
      <c r="K67" s="6">
        <f t="shared" si="73"/>
        <v>0.10511159107271417</v>
      </c>
      <c r="L67" s="136">
        <v>17.899999999999999</v>
      </c>
      <c r="M67" s="19">
        <f t="shared" si="74"/>
        <v>1.2335469643718558E-2</v>
      </c>
      <c r="N67" s="63">
        <f t="shared" si="75"/>
        <v>0.12886969042476601</v>
      </c>
      <c r="O67" s="5">
        <f t="shared" si="76"/>
        <v>138.9</v>
      </c>
      <c r="P67" s="75">
        <f t="shared" si="77"/>
        <v>0</v>
      </c>
      <c r="Q67" s="273">
        <v>146</v>
      </c>
      <c r="R67" s="202">
        <v>10</v>
      </c>
      <c r="S67" s="53">
        <f t="shared" si="78"/>
        <v>7.1994240460763137E-2</v>
      </c>
      <c r="T67" s="74">
        <v>5.6</v>
      </c>
      <c r="U67" s="74">
        <v>-15.9</v>
      </c>
      <c r="V67" s="207">
        <v>8.9</v>
      </c>
      <c r="W67" s="53">
        <f t="shared" si="79"/>
        <v>6.4074874010079191E-2</v>
      </c>
      <c r="X67" s="75">
        <f t="shared" si="80"/>
        <v>2.1000000000000227</v>
      </c>
      <c r="Y67" s="187"/>
      <c r="Z67" s="75"/>
      <c r="AA67" s="75"/>
      <c r="AB67" s="75"/>
      <c r="AC67" s="75">
        <f t="shared" si="103"/>
        <v>1.8552536881147497</v>
      </c>
      <c r="AD67" s="6">
        <f t="shared" si="81"/>
        <v>1.3356758013785094E-2</v>
      </c>
      <c r="AE67" s="75"/>
      <c r="AF67" s="75">
        <v>2.0239497780000111</v>
      </c>
      <c r="AG67" s="75"/>
      <c r="AH67" s="97">
        <v>51.6</v>
      </c>
      <c r="AI67" s="19">
        <f t="shared" si="82"/>
        <v>3.5559230928261319E-2</v>
      </c>
      <c r="AJ67" s="19">
        <f t="shared" si="83"/>
        <v>3.1837916063675836E-2</v>
      </c>
      <c r="AK67" s="130">
        <f t="shared" si="84"/>
        <v>0.10000000000000853</v>
      </c>
      <c r="AL67" s="74">
        <v>38.099999999999994</v>
      </c>
      <c r="AM67" s="72">
        <f>(0.5*Fedtax!C46+0.5*Fedtax!C47)/1000</f>
        <v>41.015000000000001</v>
      </c>
      <c r="AN67" s="74">
        <v>7.3</v>
      </c>
      <c r="AO67" s="279">
        <v>0.7</v>
      </c>
      <c r="AP67" s="74">
        <v>5.4</v>
      </c>
      <c r="AQ67" s="6">
        <f t="shared" si="85"/>
        <v>6.0161256977465383E-2</v>
      </c>
      <c r="AR67" s="210">
        <v>20</v>
      </c>
      <c r="AS67" s="714">
        <f>AR67</f>
        <v>20</v>
      </c>
      <c r="AT67" s="207"/>
      <c r="AU67" s="207"/>
      <c r="AV67" s="707">
        <f>AZ67</f>
        <v>32.616412589838909</v>
      </c>
      <c r="AW67" s="761">
        <f t="shared" si="101"/>
        <v>27.432020024783146</v>
      </c>
      <c r="AX67" s="761">
        <f t="shared" si="104"/>
        <v>5.184392565055763</v>
      </c>
      <c r="AY67" s="768">
        <f t="shared" si="102"/>
        <v>0.84104957739371766</v>
      </c>
      <c r="AZ67" s="720">
        <f>AZ66</f>
        <v>32.616412589838909</v>
      </c>
      <c r="BA67" s="720">
        <f>BA66</f>
        <v>27.432020024783146</v>
      </c>
      <c r="BB67" s="205">
        <f>BA67/AZ67</f>
        <v>0.84104957739371766</v>
      </c>
      <c r="BC67" s="207"/>
      <c r="BD67" s="210">
        <f>'Assets(MOFA)'!FJ20/1000</f>
        <v>42.401336366790581</v>
      </c>
      <c r="BE67" s="205">
        <f t="shared" si="105"/>
        <v>0.76923076923076927</v>
      </c>
      <c r="BF67" s="186">
        <v>0.48</v>
      </c>
      <c r="BG67" s="435"/>
      <c r="BH67" s="143">
        <f t="shared" si="106"/>
        <v>0.33235724743777439</v>
      </c>
      <c r="BI67" s="250">
        <f t="shared" si="57"/>
        <v>0.33235724743777439</v>
      </c>
      <c r="BJ67" s="6">
        <f t="shared" si="107"/>
        <v>0.31271477663230235</v>
      </c>
      <c r="BK67" s="143">
        <f t="shared" si="108"/>
        <v>0.41826309067688372</v>
      </c>
      <c r="BL67" s="143">
        <f t="shared" si="109"/>
        <v>0.40405933320624632</v>
      </c>
      <c r="BM67" s="250">
        <f t="shared" si="110"/>
        <v>0.42327769802269033</v>
      </c>
      <c r="BN67" s="6">
        <f t="shared" si="111"/>
        <v>0.31643835616438359</v>
      </c>
      <c r="BO67" s="6">
        <f t="shared" si="112"/>
        <v>0.29615384615384616</v>
      </c>
      <c r="BP67" s="149">
        <f t="shared" si="86"/>
        <v>138.9</v>
      </c>
      <c r="BQ67" s="130">
        <f t="shared" si="87"/>
        <v>0</v>
      </c>
      <c r="BR67" s="156">
        <f t="shared" si="88"/>
        <v>51.6</v>
      </c>
      <c r="BS67" s="136">
        <v>33</v>
      </c>
      <c r="BT67" s="136">
        <v>54.3</v>
      </c>
      <c r="BU67" s="6">
        <f t="shared" si="223"/>
        <v>0.39092872570194381</v>
      </c>
      <c r="BV67" s="74">
        <v>46.2</v>
      </c>
      <c r="BW67" s="74">
        <f t="shared" si="89"/>
        <v>8.0999999999999943</v>
      </c>
      <c r="BX67" s="6">
        <f t="shared" si="90"/>
        <v>5.8315334773218097E-2</v>
      </c>
      <c r="BY67" s="6"/>
      <c r="BZ67" s="6"/>
      <c r="CA67" s="6"/>
      <c r="CB67" s="6">
        <f t="shared" si="262"/>
        <v>0.55479452054794487</v>
      </c>
      <c r="CC67" s="169">
        <f t="shared" si="91"/>
        <v>17.899999999999999</v>
      </c>
      <c r="CD67" s="174"/>
      <c r="CF67" s="136">
        <f t="shared" si="58"/>
        <v>16.414000000000001</v>
      </c>
      <c r="CH67" s="6">
        <f t="shared" si="59"/>
        <v>0.91698324022346389</v>
      </c>
      <c r="CI67" s="169">
        <v>16.594999999999999</v>
      </c>
      <c r="CK67" s="136">
        <f t="shared" si="60"/>
        <v>16.414000000000001</v>
      </c>
      <c r="CL67" s="162"/>
      <c r="CN67" s="162">
        <v>9.3000000000000007</v>
      </c>
      <c r="CO67" s="162"/>
      <c r="CP67" s="136">
        <f t="shared" si="61"/>
        <v>0.18099999999999739</v>
      </c>
      <c r="CZ67" s="166">
        <f t="shared" si="49"/>
        <v>16.594999999999999</v>
      </c>
      <c r="DA67" s="509">
        <v>4.7949999999999999</v>
      </c>
      <c r="DB67" s="6">
        <f t="shared" si="50"/>
        <v>0.28894245254594758</v>
      </c>
      <c r="DG67" s="245">
        <v>800</v>
      </c>
      <c r="DI67" s="182">
        <v>16.594999999999999</v>
      </c>
      <c r="DJ67" s="136">
        <v>0.14399999999999999</v>
      </c>
      <c r="DK67" s="136">
        <v>0.54</v>
      </c>
      <c r="DL67" s="136">
        <v>6.5000000000000002E-2</v>
      </c>
      <c r="DM67" s="136">
        <v>0.85299999999999998</v>
      </c>
      <c r="DN67" s="136">
        <v>1.0469999999999999</v>
      </c>
      <c r="DO67" s="136">
        <v>0.42799999999999999</v>
      </c>
      <c r="DP67" s="136">
        <v>0</v>
      </c>
      <c r="DQ67" s="136">
        <v>0.129</v>
      </c>
      <c r="DR67" s="156">
        <f t="shared" si="113"/>
        <v>2.778</v>
      </c>
      <c r="DS67" s="156">
        <f t="shared" si="114"/>
        <v>13.816999999999998</v>
      </c>
      <c r="DT67" s="156">
        <v>1.643</v>
      </c>
      <c r="DU67" s="6">
        <f t="shared" si="115"/>
        <v>0.11891148585076357</v>
      </c>
      <c r="DV67" s="6">
        <f t="shared" si="116"/>
        <v>8.6773124435070795E-3</v>
      </c>
      <c r="DW67" s="605">
        <f t="shared" si="117"/>
        <v>3.2539921663151554E-2</v>
      </c>
      <c r="DX67" s="605">
        <f t="shared" si="118"/>
        <v>3.9168424224163912E-3</v>
      </c>
      <c r="DY67" s="6">
        <f t="shared" si="119"/>
        <v>5.1401024404941251E-2</v>
      </c>
      <c r="DZ67" s="6">
        <f t="shared" si="120"/>
        <v>6.3091292557999404E-2</v>
      </c>
      <c r="EA67" s="6">
        <f t="shared" si="121"/>
        <v>2.5790900873757155E-2</v>
      </c>
      <c r="EB67" s="6">
        <f t="shared" si="122"/>
        <v>0</v>
      </c>
      <c r="EC67" s="605">
        <f t="shared" si="123"/>
        <v>7.7734257306417602E-3</v>
      </c>
      <c r="ED67" s="6">
        <f t="shared" si="124"/>
        <v>0.16739981922265745</v>
      </c>
      <c r="EE67" s="6"/>
      <c r="EF67" s="6"/>
      <c r="EG67" s="67">
        <v>8.048</v>
      </c>
      <c r="EN67" s="131"/>
      <c r="EO67" s="56">
        <v>0.5</v>
      </c>
      <c r="ER67" s="182">
        <v>16.414000000000001</v>
      </c>
      <c r="ES67" s="136">
        <v>4.7460000000000004</v>
      </c>
      <c r="ET67" s="136"/>
      <c r="EU67" s="136"/>
      <c r="EV67" s="136"/>
      <c r="EW67" s="156">
        <f t="shared" si="125"/>
        <v>0.14399999999999999</v>
      </c>
      <c r="EX67" s="156">
        <f t="shared" si="126"/>
        <v>0.54</v>
      </c>
      <c r="EY67" s="156">
        <f t="shared" si="127"/>
        <v>6.5000000000000002E-2</v>
      </c>
      <c r="EZ67" s="156">
        <f t="shared" si="128"/>
        <v>0.85299999999999998</v>
      </c>
      <c r="FA67" s="156">
        <f t="shared" si="129"/>
        <v>0.90288771014999691</v>
      </c>
      <c r="FB67" s="156">
        <f t="shared" si="130"/>
        <v>0.42799999999999999</v>
      </c>
      <c r="FC67" s="156">
        <f t="shared" si="131"/>
        <v>0</v>
      </c>
      <c r="FD67" s="156">
        <f t="shared" si="132"/>
        <v>0.129</v>
      </c>
      <c r="FE67" s="156">
        <f t="shared" si="133"/>
        <v>2.6338877101499971</v>
      </c>
      <c r="FF67" s="156">
        <f t="shared" si="134"/>
        <v>13.780112289850004</v>
      </c>
      <c r="FG67" s="6">
        <f t="shared" si="135"/>
        <v>8.7729986596807585E-3</v>
      </c>
      <c r="FH67" s="6">
        <f t="shared" si="136"/>
        <v>3.2898744973802851E-2</v>
      </c>
      <c r="FI67" s="6">
        <f t="shared" si="137"/>
        <v>3.9600341172170098E-3</v>
      </c>
      <c r="FJ67" s="6">
        <f t="shared" si="138"/>
        <v>5.1967832338247831E-2</v>
      </c>
      <c r="FK67" s="6">
        <f t="shared" si="139"/>
        <v>5.5007171326306621E-2</v>
      </c>
      <c r="FL67" s="6">
        <f t="shared" si="140"/>
        <v>2.6075301571828923E-2</v>
      </c>
      <c r="FM67" s="6">
        <f t="shared" si="141"/>
        <v>0</v>
      </c>
      <c r="FN67" s="6">
        <f t="shared" si="142"/>
        <v>7.8591446326306807E-3</v>
      </c>
      <c r="FO67" s="6">
        <f t="shared" si="92"/>
        <v>0.16046592604788576</v>
      </c>
      <c r="FP67" s="6">
        <f t="shared" si="93"/>
        <v>0.83953407395211421</v>
      </c>
      <c r="FQ67" s="6">
        <f t="shared" si="94"/>
        <v>2.0679194213514433E-2</v>
      </c>
      <c r="FR67" s="6">
        <f t="shared" si="95"/>
        <v>0.10819049621125157</v>
      </c>
      <c r="FS67" s="6">
        <f t="shared" si="96"/>
        <v>1.9794225596148816E-3</v>
      </c>
      <c r="FT67" s="397">
        <f t="shared" si="97"/>
        <v>9.8971127980744078E-4</v>
      </c>
      <c r="FU67" s="397">
        <f t="shared" si="98"/>
        <v>9.8971127980744078E-4</v>
      </c>
      <c r="FV67" s="6">
        <f t="shared" si="99"/>
        <v>1.0356047084103676E-2</v>
      </c>
      <c r="FW67" s="632">
        <f t="shared" si="62"/>
        <v>0.18099999999999739</v>
      </c>
      <c r="FX67" s="345">
        <f t="shared" si="143"/>
        <v>0</v>
      </c>
      <c r="FY67" s="345">
        <f t="shared" si="144"/>
        <v>0</v>
      </c>
      <c r="FZ67" s="345">
        <f t="shared" si="145"/>
        <v>0</v>
      </c>
      <c r="GA67" s="345">
        <f t="shared" si="146"/>
        <v>0</v>
      </c>
      <c r="GB67" s="597">
        <f t="shared" si="147"/>
        <v>0.14411228985000299</v>
      </c>
      <c r="GC67" s="345">
        <f t="shared" si="148"/>
        <v>0</v>
      </c>
      <c r="GD67" s="381">
        <f t="shared" si="149"/>
        <v>0</v>
      </c>
      <c r="GE67" s="345">
        <f t="shared" si="150"/>
        <v>0</v>
      </c>
      <c r="GF67" s="597">
        <f t="shared" si="151"/>
        <v>0.14411228985000299</v>
      </c>
      <c r="GG67" s="344">
        <f t="shared" si="152"/>
        <v>3.6887710149994396E-2</v>
      </c>
      <c r="GH67" s="169">
        <v>14.244</v>
      </c>
      <c r="GI67" s="72">
        <v>0.17399999999999999</v>
      </c>
      <c r="GJ67" s="72">
        <v>-4.2999999999999997E-2</v>
      </c>
      <c r="GK67" s="85">
        <v>0.11</v>
      </c>
      <c r="GL67" s="85">
        <v>0.48499999999999999</v>
      </c>
      <c r="GM67" s="85">
        <v>0.81799999999999995</v>
      </c>
      <c r="GN67" s="85">
        <v>0.71799999999999997</v>
      </c>
      <c r="GO67" s="72">
        <f t="shared" si="153"/>
        <v>9.9999999999999978E-2</v>
      </c>
      <c r="GP67" s="72">
        <v>-5.6000000000000001E-2</v>
      </c>
      <c r="GQ67" s="85">
        <v>0.13300000000000001</v>
      </c>
      <c r="GR67" s="72">
        <f t="shared" si="154"/>
        <v>1.677</v>
      </c>
      <c r="GS67" s="72">
        <f t="shared" si="155"/>
        <v>12.567</v>
      </c>
      <c r="GT67" s="6">
        <f t="shared" si="156"/>
        <v>0.11773378264532436</v>
      </c>
      <c r="GU67" s="334">
        <f t="shared" si="259"/>
        <v>13.253366530314898</v>
      </c>
      <c r="GW67" s="903">
        <f t="shared" si="52"/>
        <v>8.048</v>
      </c>
      <c r="GX67" s="72">
        <f t="shared" si="224"/>
        <v>0.17399999999999999</v>
      </c>
      <c r="GY67" s="72">
        <f t="shared" si="225"/>
        <v>-4.2999999999999997E-2</v>
      </c>
      <c r="GZ67" s="72">
        <f t="shared" si="226"/>
        <v>0.11</v>
      </c>
      <c r="HA67" s="72">
        <f t="shared" si="227"/>
        <v>0.48499999999999999</v>
      </c>
      <c r="HB67" s="72">
        <f t="shared" si="228"/>
        <v>0.81799999999999995</v>
      </c>
      <c r="HC67" s="72">
        <f t="shared" si="229"/>
        <v>0.71799999999999997</v>
      </c>
      <c r="HD67" s="72">
        <f t="shared" si="230"/>
        <v>-5.6000000000000001E-2</v>
      </c>
      <c r="HE67" s="72">
        <f t="shared" si="231"/>
        <v>0.13300000000000001</v>
      </c>
      <c r="HF67" s="72">
        <f t="shared" si="158"/>
        <v>1.677</v>
      </c>
      <c r="HG67" s="6">
        <f t="shared" si="232"/>
        <v>0.12653388828899723</v>
      </c>
      <c r="HH67" s="72">
        <f t="shared" si="233"/>
        <v>12.981366530314887</v>
      </c>
      <c r="HI67" s="169">
        <v>6.1959999999999997</v>
      </c>
      <c r="HT67" s="131"/>
      <c r="IF67" s="136">
        <f t="shared" si="234"/>
        <v>0.99063346968510224</v>
      </c>
      <c r="IG67" s="74">
        <v>0</v>
      </c>
      <c r="IH67" s="74">
        <v>0</v>
      </c>
      <c r="II67" s="74">
        <v>0</v>
      </c>
      <c r="IJ67" s="74">
        <v>0</v>
      </c>
      <c r="IK67" s="360">
        <f t="shared" si="159"/>
        <v>0</v>
      </c>
      <c r="IL67" s="74">
        <v>0</v>
      </c>
      <c r="IM67" s="74">
        <v>0</v>
      </c>
      <c r="IN67" s="74">
        <v>0</v>
      </c>
      <c r="IO67" s="75">
        <f t="shared" si="160"/>
        <v>0</v>
      </c>
      <c r="IP67" s="136">
        <f t="shared" si="235"/>
        <v>0.99063346968510224</v>
      </c>
      <c r="IQ67" s="174">
        <f t="shared" si="236"/>
        <v>0.99063346968510224</v>
      </c>
      <c r="IR67" s="337">
        <f t="shared" si="161"/>
        <v>124.05</v>
      </c>
      <c r="IS67" s="72">
        <f t="shared" si="237"/>
        <v>13.971999999999994</v>
      </c>
      <c r="IT67" s="72">
        <f t="shared" si="238"/>
        <v>0</v>
      </c>
      <c r="IU67" s="136">
        <f t="shared" si="53"/>
        <v>8.048</v>
      </c>
      <c r="IV67" s="903">
        <f t="shared" si="260"/>
        <v>5.2053665303148975</v>
      </c>
      <c r="IW67" s="903">
        <f t="shared" si="239"/>
        <v>0.99063346968510224</v>
      </c>
      <c r="IX67" s="72">
        <f t="shared" si="240"/>
        <v>-0.27200000000000557</v>
      </c>
      <c r="JB67" s="6">
        <f t="shared" si="162"/>
        <v>8.5486872028116598E-2</v>
      </c>
      <c r="JC67" s="6">
        <f t="shared" si="163"/>
        <v>1.075528909103439E-2</v>
      </c>
      <c r="JD67" s="6">
        <f t="shared" si="164"/>
        <v>7.4731582937082222E-2</v>
      </c>
      <c r="JE67" s="902">
        <f t="shared" si="54"/>
        <v>5.5461374129970372E-3</v>
      </c>
      <c r="JF67" s="1006"/>
      <c r="JG67" s="1001"/>
      <c r="JH67" s="5">
        <v>124.05</v>
      </c>
      <c r="JI67" s="192">
        <v>25.972000000000001</v>
      </c>
      <c r="JJ67" s="333">
        <v>0.66400000000000003</v>
      </c>
      <c r="JK67" s="333">
        <v>3.097</v>
      </c>
      <c r="JL67" s="333">
        <v>0.435</v>
      </c>
      <c r="JM67" s="333">
        <v>5.1520000000000001</v>
      </c>
      <c r="JN67" s="333">
        <v>5.774</v>
      </c>
      <c r="JO67" s="333">
        <v>2.9990000000000001</v>
      </c>
      <c r="JP67" s="333">
        <f t="shared" si="241"/>
        <v>2.7749999999999999</v>
      </c>
      <c r="JQ67" s="333">
        <v>0.19700000000000001</v>
      </c>
      <c r="JR67" s="333">
        <v>0.48499999999999999</v>
      </c>
      <c r="JS67" s="332">
        <f t="shared" si="165"/>
        <v>15.607000000000001</v>
      </c>
      <c r="JT67" s="332">
        <f t="shared" si="166"/>
        <v>108.443</v>
      </c>
      <c r="JU67" s="6">
        <f t="shared" si="167"/>
        <v>0.12581217251108426</v>
      </c>
      <c r="JV67" s="6">
        <f t="shared" si="168"/>
        <v>5.3526803708182184E-3</v>
      </c>
      <c r="JW67" s="6">
        <f t="shared" si="169"/>
        <v>2.4965739621120517E-2</v>
      </c>
      <c r="JX67" s="6">
        <f t="shared" si="170"/>
        <v>3.5066505441354295E-3</v>
      </c>
      <c r="JY67" s="6">
        <f t="shared" si="171"/>
        <v>4.1531640467553407E-2</v>
      </c>
      <c r="JZ67" s="6">
        <f t="shared" si="172"/>
        <v>4.6545747682386139E-2</v>
      </c>
      <c r="KA67" s="6">
        <f t="shared" si="173"/>
        <v>3.9097138250705358E-3</v>
      </c>
      <c r="KB67" s="365">
        <f t="shared" si="174"/>
        <v>10.400260483266601</v>
      </c>
      <c r="KC67" s="162">
        <f t="shared" si="175"/>
        <v>25.163136700182953</v>
      </c>
      <c r="KD67" s="162">
        <f>KD68*(MI67/MI68-0.02)</f>
        <v>14.76287621691635</v>
      </c>
      <c r="KE67" s="6">
        <f t="shared" si="242"/>
        <v>0.5866866437525261</v>
      </c>
      <c r="KF67" s="1071">
        <v>0</v>
      </c>
      <c r="KG67" s="222">
        <f t="shared" si="243"/>
        <v>0</v>
      </c>
      <c r="KH67" s="222">
        <f t="shared" si="244"/>
        <v>0</v>
      </c>
      <c r="KI67" s="222">
        <f t="shared" si="245"/>
        <v>0</v>
      </c>
      <c r="KJ67" s="222">
        <f t="shared" si="246"/>
        <v>0</v>
      </c>
      <c r="KK67" s="597">
        <f t="shared" si="247"/>
        <v>3.4643999999999999</v>
      </c>
      <c r="KL67" s="74">
        <f t="shared" si="248"/>
        <v>0</v>
      </c>
      <c r="KM67" s="345"/>
      <c r="KN67" s="345"/>
      <c r="KO67" s="72">
        <f t="shared" si="249"/>
        <v>0</v>
      </c>
      <c r="KP67" s="74">
        <f t="shared" si="250"/>
        <v>0</v>
      </c>
      <c r="KQ67" s="72">
        <f t="shared" si="177"/>
        <v>3.4643999999999999</v>
      </c>
      <c r="KR67" s="85">
        <f t="shared" si="251"/>
        <v>6.9358604832666018</v>
      </c>
      <c r="KS67" s="6">
        <f t="shared" si="178"/>
        <v>4.7797260583464975E-3</v>
      </c>
      <c r="KT67" s="6">
        <f t="shared" si="179"/>
        <v>0</v>
      </c>
      <c r="KU67" s="169">
        <f t="shared" si="180"/>
        <v>113.64973951673339</v>
      </c>
      <c r="KV67" s="174">
        <f t="shared" si="252"/>
        <v>25.972000000000001</v>
      </c>
      <c r="KW67" s="162">
        <f t="shared" si="181"/>
        <v>0.66400000000000003</v>
      </c>
      <c r="KX67" s="162">
        <f t="shared" si="182"/>
        <v>3.097</v>
      </c>
      <c r="KY67" s="162">
        <f t="shared" si="183"/>
        <v>0.435</v>
      </c>
      <c r="KZ67" s="162">
        <f t="shared" si="184"/>
        <v>5.1520000000000001</v>
      </c>
      <c r="LA67" s="162">
        <f t="shared" si="185"/>
        <v>2.3096000000000001</v>
      </c>
      <c r="LB67" s="162">
        <f t="shared" si="186"/>
        <v>2.9990000000000001</v>
      </c>
      <c r="LC67" s="72">
        <f t="shared" si="187"/>
        <v>0.19700000000000001</v>
      </c>
      <c r="LD67" s="162">
        <f t="shared" si="188"/>
        <v>0.48499999999999999</v>
      </c>
      <c r="LE67" s="162">
        <f t="shared" si="189"/>
        <v>12.142600000000002</v>
      </c>
      <c r="LF67" s="162">
        <f t="shared" si="190"/>
        <v>0</v>
      </c>
      <c r="LG67" s="162">
        <f t="shared" si="191"/>
        <v>101.50713951673339</v>
      </c>
      <c r="LH67" s="19">
        <f t="shared" si="192"/>
        <v>0.1068423038331044</v>
      </c>
      <c r="LI67" s="6">
        <f t="shared" si="193"/>
        <v>5.842512291039919E-3</v>
      </c>
      <c r="LJ67" s="6">
        <f t="shared" si="194"/>
        <v>2.725039241769673E-2</v>
      </c>
      <c r="LK67" s="6">
        <f t="shared" si="195"/>
        <v>3.8275494677746458E-3</v>
      </c>
      <c r="LL67" s="6">
        <f t="shared" si="196"/>
        <v>4.5332264041321783E-2</v>
      </c>
      <c r="LM67" s="6">
        <f t="shared" si="197"/>
        <v>2.0322087932809936E-2</v>
      </c>
      <c r="LN67" s="6">
        <f t="shared" si="198"/>
        <v>2.6388093916910719E-2</v>
      </c>
      <c r="LO67" s="6">
        <f t="shared" si="199"/>
        <v>1.7333959658657591E-3</v>
      </c>
      <c r="LP67" s="6">
        <f t="shared" si="200"/>
        <v>4.2674976824613863E-3</v>
      </c>
      <c r="LQ67" s="6">
        <f t="shared" si="201"/>
        <v>7.8319715744423812E-2</v>
      </c>
      <c r="LR67" s="6">
        <f t="shared" si="202"/>
        <v>6.9951856878735716E-2</v>
      </c>
      <c r="LS67" s="6">
        <f t="shared" si="203"/>
        <v>8.3678588656880999E-3</v>
      </c>
      <c r="LT67" s="295"/>
      <c r="LU67" s="156"/>
      <c r="LV67" s="156">
        <f t="shared" si="204"/>
        <v>10.400260483266601</v>
      </c>
      <c r="LW67" s="156">
        <f t="shared" si="205"/>
        <v>14.76287621691635</v>
      </c>
      <c r="LX67" s="422">
        <f>LY67*Liabilities!GT67</f>
        <v>1.1928242812650331</v>
      </c>
      <c r="LY67" s="56">
        <f t="shared" si="206"/>
        <v>5.6670963373826537E-2</v>
      </c>
      <c r="LZ67" s="56">
        <f t="shared" si="253"/>
        <v>0.22280871553279105</v>
      </c>
      <c r="MA67" s="156"/>
      <c r="MB67" s="156"/>
      <c r="MC67" s="156">
        <f>Liabilities!EF67</f>
        <v>4.1607557095925669</v>
      </c>
      <c r="MD67" s="156"/>
      <c r="ME67" s="156"/>
      <c r="MF67" s="156">
        <f t="shared" si="207"/>
        <v>5.3535799908576003</v>
      </c>
      <c r="MG67" s="156">
        <f t="shared" si="208"/>
        <v>25.163136700182953</v>
      </c>
      <c r="MH67" s="326">
        <f t="shared" si="209"/>
        <v>113.64973951673339</v>
      </c>
      <c r="MI67" s="1008">
        <f>FoF_RoW!$BH37/1000</f>
        <v>149.542</v>
      </c>
      <c r="MJ67" s="1008"/>
      <c r="MK67" s="1008">
        <f>FoF_RoW!$AU37/1000</f>
        <v>14.244</v>
      </c>
      <c r="ML67" s="1008">
        <f t="shared" si="254"/>
        <v>14.244</v>
      </c>
      <c r="MM67" s="430">
        <f t="shared" si="210"/>
        <v>139.1417395167334</v>
      </c>
      <c r="MN67" s="6">
        <f t="shared" si="211"/>
        <v>1.224303197775888</v>
      </c>
      <c r="MO67" s="156">
        <v>130.70192303588541</v>
      </c>
      <c r="MP67" s="430"/>
      <c r="MQ67" s="156"/>
      <c r="MR67" s="156"/>
      <c r="MS67" s="156">
        <f t="shared" si="212"/>
        <v>10.400260483266601</v>
      </c>
      <c r="MT67" s="156"/>
      <c r="MU67" s="156"/>
      <c r="MV67" s="156"/>
      <c r="MW67" s="156"/>
      <c r="MX67" s="156"/>
      <c r="MY67" s="430">
        <f t="shared" si="255"/>
        <v>55.972453718538532</v>
      </c>
      <c r="MZ67" s="6">
        <f t="shared" si="213"/>
        <v>3.857243037594827E-2</v>
      </c>
      <c r="NA67" s="156">
        <v>324.06311116968277</v>
      </c>
      <c r="NB67" s="156">
        <v>237.61465745114424</v>
      </c>
      <c r="NC67" s="430">
        <v>55.676999999999992</v>
      </c>
      <c r="ND67" s="6">
        <f t="shared" si="214"/>
        <v>3.8368823651023357E-2</v>
      </c>
      <c r="NE67" s="156"/>
      <c r="NF67" s="156"/>
      <c r="NG67" s="156"/>
      <c r="NH67" s="156"/>
      <c r="NI67" s="422">
        <f t="shared" si="264"/>
        <v>30.475999999999999</v>
      </c>
      <c r="NJ67" s="430">
        <f t="shared" si="63"/>
        <v>14.361000000000001</v>
      </c>
      <c r="NK67" s="405">
        <f t="shared" si="64"/>
        <v>9.8966301426504037E-3</v>
      </c>
      <c r="NL67" s="156">
        <v>14.361000000000001</v>
      </c>
      <c r="NM67" s="156">
        <v>16.594999999999999</v>
      </c>
      <c r="NN67" s="156">
        <v>2.234</v>
      </c>
      <c r="NO67" s="430">
        <f t="shared" si="100"/>
        <v>12.786</v>
      </c>
      <c r="NP67" s="156">
        <v>25.350999999999999</v>
      </c>
      <c r="NQ67" s="156">
        <v>12.565</v>
      </c>
      <c r="NR67" s="405">
        <f t="shared" si="65"/>
        <v>8.8112466404796363E-3</v>
      </c>
      <c r="NS67" s="405">
        <f t="shared" si="66"/>
        <v>9.8966301426504037E-3</v>
      </c>
      <c r="NT67" s="405">
        <f t="shared" si="67"/>
        <v>-1.0853835021707673E-3</v>
      </c>
      <c r="NU67" s="727" t="e">
        <f t="shared" si="215"/>
        <v>#DIV/0!</v>
      </c>
      <c r="NV67" s="688">
        <f t="shared" si="216"/>
        <v>0.11796603993172033</v>
      </c>
      <c r="NW67" s="688">
        <f t="shared" si="217"/>
        <v>0.1444261999173633</v>
      </c>
      <c r="NX67" s="793" t="e">
        <f>(ER67-T.A2!B19*T.A1!M19)/MP67</f>
        <v>#DIV/0!</v>
      </c>
      <c r="NY67" s="688" t="e">
        <f>Liabilities!BU67/Liabilities!GY67</f>
        <v>#DIV/0!</v>
      </c>
      <c r="NZ67" s="688">
        <f>Liabilities!BU67/Liabilities!GT67</f>
        <v>0.10613711857278887</v>
      </c>
      <c r="OA67" s="688" t="e">
        <f>Liabilities!BU67/Liabilities!GR67</f>
        <v>#DIV/0!</v>
      </c>
      <c r="OB67" s="688" t="e">
        <f t="shared" si="256"/>
        <v>#DIV/0!</v>
      </c>
      <c r="OC67" s="688">
        <f t="shared" si="257"/>
        <v>1.182892135893146E-2</v>
      </c>
      <c r="OD67" s="688"/>
      <c r="OE67" s="793">
        <f t="shared" si="218"/>
        <v>0.11796603993172033</v>
      </c>
      <c r="OF67" s="793">
        <f>OE67/(1-'Assets(MOFA)'!GU20)</f>
        <v>0.42579424375535274</v>
      </c>
      <c r="OG67" s="793">
        <f>Liabilities!HV67</f>
        <v>0</v>
      </c>
      <c r="OH67" s="793"/>
      <c r="OI67" s="389">
        <f t="shared" si="219"/>
        <v>3.7791910795065685E-2</v>
      </c>
      <c r="OJ67" s="389">
        <f>OJ66+(OJ$74-OJ$66)/8</f>
        <v>4.1598051567371841E-2</v>
      </c>
      <c r="OK67" s="389"/>
      <c r="OL67" s="389"/>
      <c r="OM67" s="422"/>
      <c r="OO67" s="97">
        <f t="shared" si="221"/>
        <v>0.11796603993172033</v>
      </c>
      <c r="OP67" s="190"/>
      <c r="OQ67" s="190"/>
      <c r="OR67" s="190"/>
      <c r="OS67" s="74"/>
      <c r="OT67" s="74"/>
      <c r="OU67" s="74"/>
      <c r="OV67" s="74"/>
      <c r="OW67" s="74"/>
      <c r="OX67" s="74"/>
      <c r="OY67" s="74"/>
      <c r="OZ67" s="74"/>
      <c r="PA67" s="74"/>
      <c r="PG67" s="69"/>
      <c r="PH67" s="6">
        <f>'Assets(MOFA)'!GU20</f>
        <v>0.72295059958701624</v>
      </c>
      <c r="PI67" s="6">
        <f>'Assets(MOFA)'!HM20</f>
        <v>0.37538733331979784</v>
      </c>
      <c r="PJ67" s="60">
        <f t="shared" si="222"/>
        <v>7.0896668470762689E-2</v>
      </c>
      <c r="PL67" s="60">
        <f>'Assets(MOFA)'!GO20/MM67/1000</f>
        <v>4.8437732329499619E-2</v>
      </c>
    </row>
    <row r="68" spans="2:428" s="90" customFormat="1">
      <c r="B68" s="74">
        <v>1976</v>
      </c>
      <c r="C68" s="43">
        <v>1614.8</v>
      </c>
      <c r="D68" s="5">
        <v>174.3</v>
      </c>
      <c r="E68" s="6">
        <f t="shared" si="68"/>
        <v>0.10793906366113451</v>
      </c>
      <c r="F68" s="72">
        <f t="shared" si="69"/>
        <v>0</v>
      </c>
      <c r="G68" s="75">
        <f t="shared" si="70"/>
        <v>157.80000000000001</v>
      </c>
      <c r="H68" s="6">
        <f t="shared" si="71"/>
        <v>9.7721080009908354E-2</v>
      </c>
      <c r="I68" s="74">
        <v>16.5</v>
      </c>
      <c r="J68" s="19">
        <f t="shared" si="72"/>
        <v>1.0217983651226158E-2</v>
      </c>
      <c r="K68" s="6">
        <f t="shared" si="73"/>
        <v>9.4664371772805497E-2</v>
      </c>
      <c r="L68" s="136">
        <v>21</v>
      </c>
      <c r="M68" s="19">
        <f t="shared" si="74"/>
        <v>1.3004706465196929E-2</v>
      </c>
      <c r="N68" s="63">
        <f t="shared" si="75"/>
        <v>0.12048192771084336</v>
      </c>
      <c r="O68" s="5">
        <f t="shared" si="76"/>
        <v>174.3</v>
      </c>
      <c r="P68" s="75">
        <f t="shared" si="77"/>
        <v>0</v>
      </c>
      <c r="Q68" s="273">
        <v>186.6</v>
      </c>
      <c r="R68" s="202">
        <v>11.6</v>
      </c>
      <c r="S68" s="53">
        <f t="shared" si="78"/>
        <v>6.6551921973608708E-2</v>
      </c>
      <c r="T68" s="74">
        <v>5.9</v>
      </c>
      <c r="U68" s="74">
        <v>-21.9</v>
      </c>
      <c r="V68" s="207">
        <v>10.6</v>
      </c>
      <c r="W68" s="53">
        <f t="shared" si="79"/>
        <v>6.0814687320711408E-2</v>
      </c>
      <c r="X68" s="75">
        <f t="shared" si="80"/>
        <v>2.7000000000000171</v>
      </c>
      <c r="Y68" s="187"/>
      <c r="Z68" s="75"/>
      <c r="AA68" s="75"/>
      <c r="AB68" s="75"/>
      <c r="AC68" s="75">
        <f t="shared" si="103"/>
        <v>1.7193835020234705</v>
      </c>
      <c r="AD68" s="6">
        <f t="shared" si="81"/>
        <v>9.8645066094289746E-3</v>
      </c>
      <c r="AE68" s="75"/>
      <c r="AF68" s="75">
        <v>1.8757250717304843</v>
      </c>
      <c r="AG68" s="75"/>
      <c r="AH68" s="97">
        <v>65.3</v>
      </c>
      <c r="AI68" s="19">
        <f t="shared" si="82"/>
        <v>4.0438444389398066E-2</v>
      </c>
      <c r="AJ68" s="19">
        <f t="shared" si="83"/>
        <v>3.6784741144414171E-2</v>
      </c>
      <c r="AK68" s="130">
        <f t="shared" si="84"/>
        <v>9.9999999999994316E-2</v>
      </c>
      <c r="AL68" s="74">
        <v>48.6</v>
      </c>
      <c r="AM68" s="55">
        <f>AM67+(AM$70-AM$67)/3</f>
        <v>47.804416666666668</v>
      </c>
      <c r="AN68" s="74">
        <v>9.6</v>
      </c>
      <c r="AO68" s="279">
        <v>1.1000000000000001</v>
      </c>
      <c r="AP68" s="74">
        <v>5.9</v>
      </c>
      <c r="AQ68" s="6">
        <f t="shared" si="85"/>
        <v>6.7500619271736451E-2</v>
      </c>
      <c r="AR68" s="207">
        <v>24.3</v>
      </c>
      <c r="AS68" s="169">
        <v>23.579000000000001</v>
      </c>
      <c r="AT68" s="207"/>
      <c r="AU68" s="207"/>
      <c r="AV68" s="707">
        <f>48.863-BC68</f>
        <v>44.162999999999997</v>
      </c>
      <c r="AW68" s="761">
        <f>BA68+AV68-AZ68</f>
        <v>37.415458845972033</v>
      </c>
      <c r="AX68" s="761">
        <f t="shared" si="104"/>
        <v>6.7475411540279637</v>
      </c>
      <c r="AY68" s="768">
        <f t="shared" si="102"/>
        <v>0.84721279908457392</v>
      </c>
      <c r="AZ68" s="709">
        <f>38.31*AV70/39.587</f>
        <v>39.340645161290318</v>
      </c>
      <c r="BA68" s="210">
        <f>(25.747+6.528)*AW70/(23.974+6.87)</f>
        <v>32.593104007262355</v>
      </c>
      <c r="BB68" s="205">
        <f>BA68/AZ68</f>
        <v>0.82848422728289961</v>
      </c>
      <c r="BC68" s="207">
        <v>4.7</v>
      </c>
      <c r="BD68" s="210">
        <f>'Assets(MOFA)'!FJ21/1000</f>
        <v>57.411899999999996</v>
      </c>
      <c r="BE68" s="205">
        <f t="shared" si="105"/>
        <v>0.76923076923076927</v>
      </c>
      <c r="BF68" s="186">
        <v>0.48</v>
      </c>
      <c r="BG68" s="435"/>
      <c r="BH68" s="143">
        <f t="shared" si="106"/>
        <v>0.33661075766338927</v>
      </c>
      <c r="BI68" s="250">
        <f t="shared" si="57"/>
        <v>0.33661075766338927</v>
      </c>
      <c r="BJ68" s="6">
        <f t="shared" si="107"/>
        <v>0.31771117166212531</v>
      </c>
      <c r="BK68" s="143">
        <f t="shared" si="108"/>
        <v>0.41886409736308311</v>
      </c>
      <c r="BL68" s="143">
        <f t="shared" si="109"/>
        <v>0.41137838718791919</v>
      </c>
      <c r="BM68" s="250">
        <f t="shared" si="110"/>
        <v>0.42254828882665718</v>
      </c>
      <c r="BN68" s="6">
        <f t="shared" si="111"/>
        <v>0.31832797427652731</v>
      </c>
      <c r="BO68" s="6">
        <f t="shared" si="112"/>
        <v>0.29969727547931385</v>
      </c>
      <c r="BP68" s="149">
        <f t="shared" si="86"/>
        <v>174.3</v>
      </c>
      <c r="BQ68" s="130">
        <f t="shared" si="87"/>
        <v>0</v>
      </c>
      <c r="BR68" s="156">
        <f t="shared" si="88"/>
        <v>65.3</v>
      </c>
      <c r="BS68" s="136">
        <v>39</v>
      </c>
      <c r="BT68" s="136">
        <v>70</v>
      </c>
      <c r="BU68" s="6">
        <f t="shared" si="223"/>
        <v>0.40160642570281124</v>
      </c>
      <c r="BV68" s="74">
        <v>62.4</v>
      </c>
      <c r="BW68" s="74">
        <f t="shared" si="89"/>
        <v>7.6000000000000014</v>
      </c>
      <c r="BX68" s="6">
        <f t="shared" si="90"/>
        <v>4.360298336201951E-2</v>
      </c>
      <c r="BY68" s="6"/>
      <c r="BZ68" s="6"/>
      <c r="CA68" s="6"/>
      <c r="CB68" s="6">
        <f t="shared" si="262"/>
        <v>0.46060606060606069</v>
      </c>
      <c r="CC68" s="169">
        <f t="shared" si="91"/>
        <v>21</v>
      </c>
      <c r="CD68" s="174"/>
      <c r="CF68" s="136">
        <f t="shared" si="58"/>
        <v>19.027999999999999</v>
      </c>
      <c r="CH68" s="6">
        <f t="shared" si="59"/>
        <v>0.90609523809523806</v>
      </c>
      <c r="CI68" s="169">
        <v>18.998999999999999</v>
      </c>
      <c r="CK68" s="136">
        <f t="shared" si="60"/>
        <v>19.027999999999999</v>
      </c>
      <c r="CL68" s="162"/>
      <c r="CN68" s="162">
        <v>9.3000000000000007</v>
      </c>
      <c r="CO68" s="162"/>
      <c r="CP68" s="136">
        <f t="shared" si="61"/>
        <v>-2.8999999999999915E-2</v>
      </c>
      <c r="CZ68" s="166">
        <f t="shared" si="49"/>
        <v>18.998999999999999</v>
      </c>
      <c r="DA68" s="509">
        <v>5.1230000000000002</v>
      </c>
      <c r="DB68" s="6">
        <f t="shared" si="50"/>
        <v>0.26964577083004371</v>
      </c>
      <c r="DG68" s="245">
        <v>1108</v>
      </c>
      <c r="DI68" s="182">
        <v>18.998999999999999</v>
      </c>
      <c r="DJ68" s="136">
        <v>0.182</v>
      </c>
      <c r="DK68" s="136">
        <v>0.66400000000000003</v>
      </c>
      <c r="DL68" s="136">
        <v>7.4999999999999997E-2</v>
      </c>
      <c r="DM68" s="136">
        <v>0.874</v>
      </c>
      <c r="DN68" s="136">
        <v>1.573</v>
      </c>
      <c r="DO68" s="136">
        <f>(DO67+DO69)/2</f>
        <v>0.56599999999999995</v>
      </c>
      <c r="DP68" s="136">
        <v>0</v>
      </c>
      <c r="DQ68" s="136">
        <v>0.109</v>
      </c>
      <c r="DR68" s="156">
        <f t="shared" si="113"/>
        <v>3.4769999999999999</v>
      </c>
      <c r="DS68" s="156">
        <f t="shared" si="114"/>
        <v>15.521999999999998</v>
      </c>
      <c r="DT68" s="156">
        <v>1.9410000000000001</v>
      </c>
      <c r="DU68" s="6">
        <f t="shared" si="115"/>
        <v>0.1250483185156552</v>
      </c>
      <c r="DV68" s="6">
        <f t="shared" si="116"/>
        <v>9.5794515500815837E-3</v>
      </c>
      <c r="DW68" s="605">
        <f t="shared" si="117"/>
        <v>3.4949207853044902E-2</v>
      </c>
      <c r="DX68" s="605">
        <f t="shared" si="118"/>
        <v>3.9475761882204327E-3</v>
      </c>
      <c r="DY68" s="6">
        <f t="shared" si="119"/>
        <v>4.6002421180062113E-2</v>
      </c>
      <c r="DZ68" s="6">
        <f t="shared" si="120"/>
        <v>8.2793831254276543E-2</v>
      </c>
      <c r="EA68" s="6">
        <f t="shared" si="121"/>
        <v>2.9791041633770197E-2</v>
      </c>
      <c r="EB68" s="6">
        <f t="shared" si="122"/>
        <v>0</v>
      </c>
      <c r="EC68" s="605">
        <f t="shared" si="123"/>
        <v>5.7371440602136956E-3</v>
      </c>
      <c r="ED68" s="6">
        <f t="shared" si="124"/>
        <v>0.18300963208589924</v>
      </c>
      <c r="EE68" s="6"/>
      <c r="EF68" s="6"/>
      <c r="EG68" s="67">
        <v>7.6959999999999997</v>
      </c>
      <c r="EN68" s="131"/>
      <c r="EO68" s="56">
        <v>0.5</v>
      </c>
      <c r="ER68" s="182">
        <v>19.027999999999999</v>
      </c>
      <c r="ES68" s="136">
        <v>5.2329999999999997</v>
      </c>
      <c r="ET68" s="136"/>
      <c r="EU68" s="136"/>
      <c r="EV68" s="136"/>
      <c r="EW68" s="156">
        <f t="shared" si="125"/>
        <v>0.182</v>
      </c>
      <c r="EX68" s="156">
        <f t="shared" si="126"/>
        <v>0.66400000000000003</v>
      </c>
      <c r="EY68" s="156">
        <f t="shared" si="127"/>
        <v>7.4999999999999997E-2</v>
      </c>
      <c r="EZ68" s="156">
        <f t="shared" si="128"/>
        <v>0.874</v>
      </c>
      <c r="FA68" s="156">
        <f t="shared" si="129"/>
        <v>1.3875057126154795</v>
      </c>
      <c r="FB68" s="156">
        <f t="shared" si="130"/>
        <v>0.56599999999999995</v>
      </c>
      <c r="FC68" s="156">
        <f t="shared" si="131"/>
        <v>0</v>
      </c>
      <c r="FD68" s="156">
        <f t="shared" si="132"/>
        <v>0.109</v>
      </c>
      <c r="FE68" s="156">
        <f t="shared" si="133"/>
        <v>3.2915057126154794</v>
      </c>
      <c r="FF68" s="156">
        <f t="shared" si="134"/>
        <v>15.736494287384518</v>
      </c>
      <c r="FG68" s="6">
        <f t="shared" si="135"/>
        <v>9.5648517973512728E-3</v>
      </c>
      <c r="FH68" s="6">
        <f t="shared" si="136"/>
        <v>3.4895942821105745E-2</v>
      </c>
      <c r="FI68" s="6">
        <f t="shared" si="137"/>
        <v>3.941559806600799E-3</v>
      </c>
      <c r="FJ68" s="6">
        <f t="shared" si="138"/>
        <v>4.5932310279587982E-2</v>
      </c>
      <c r="FK68" s="6">
        <f t="shared" si="139"/>
        <v>7.2919156643655642E-2</v>
      </c>
      <c r="FL68" s="6">
        <f t="shared" si="140"/>
        <v>2.974563800714736E-2</v>
      </c>
      <c r="FM68" s="6">
        <f t="shared" si="141"/>
        <v>0</v>
      </c>
      <c r="FN68" s="6">
        <f t="shared" si="142"/>
        <v>5.7284002522598283E-3</v>
      </c>
      <c r="FO68" s="6">
        <f t="shared" si="92"/>
        <v>0.17298222160056129</v>
      </c>
      <c r="FP68" s="6">
        <f t="shared" si="93"/>
        <v>0.82701777839943869</v>
      </c>
      <c r="FQ68" s="6">
        <f t="shared" si="94"/>
        <v>2.0841231518139911E-2</v>
      </c>
      <c r="FR68" s="6">
        <f t="shared" si="95"/>
        <v>9.9640696192703437E-2</v>
      </c>
      <c r="FS68" s="6">
        <f t="shared" si="96"/>
        <v>2.249583015612947E-3</v>
      </c>
      <c r="FT68" s="397">
        <f t="shared" si="97"/>
        <v>1.1247915078064735E-3</v>
      </c>
      <c r="FU68" s="397">
        <f t="shared" si="98"/>
        <v>1.1247915078064735E-3</v>
      </c>
      <c r="FV68" s="6">
        <f t="shared" si="99"/>
        <v>1.075512344958398E-2</v>
      </c>
      <c r="FW68" s="632">
        <f t="shared" si="62"/>
        <v>-2.8999999999999915E-2</v>
      </c>
      <c r="FX68" s="345">
        <f t="shared" si="143"/>
        <v>0</v>
      </c>
      <c r="FY68" s="345">
        <f t="shared" si="144"/>
        <v>0</v>
      </c>
      <c r="FZ68" s="345">
        <f t="shared" si="145"/>
        <v>0</v>
      </c>
      <c r="GA68" s="345">
        <f t="shared" si="146"/>
        <v>0</v>
      </c>
      <c r="GB68" s="597">
        <f t="shared" si="147"/>
        <v>0.18549428738452048</v>
      </c>
      <c r="GC68" s="345">
        <f t="shared" si="148"/>
        <v>0</v>
      </c>
      <c r="GD68" s="381">
        <f t="shared" si="149"/>
        <v>0</v>
      </c>
      <c r="GE68" s="345">
        <f t="shared" si="150"/>
        <v>0</v>
      </c>
      <c r="GF68" s="597">
        <f t="shared" si="151"/>
        <v>0.18549428738452048</v>
      </c>
      <c r="GG68" s="344">
        <f t="shared" si="152"/>
        <v>-0.21449428738452039</v>
      </c>
      <c r="GH68" s="169">
        <v>11.949</v>
      </c>
      <c r="GI68" s="72">
        <v>0.23699999999999999</v>
      </c>
      <c r="GJ68" s="72">
        <v>0.35199999999999998</v>
      </c>
      <c r="GK68" s="85">
        <v>4.9000000000000002E-2</v>
      </c>
      <c r="GL68" s="85">
        <v>0.60299999999999998</v>
      </c>
      <c r="GM68" s="85">
        <v>1.0309999999999999</v>
      </c>
      <c r="GN68" s="85">
        <v>0.871</v>
      </c>
      <c r="GO68" s="72">
        <f t="shared" si="153"/>
        <v>0.15999999999999992</v>
      </c>
      <c r="GP68" s="72">
        <v>-7.0000000000000001E-3</v>
      </c>
      <c r="GQ68" s="85">
        <v>-2.4E-2</v>
      </c>
      <c r="GR68" s="72">
        <f t="shared" si="154"/>
        <v>2.2479999999999998</v>
      </c>
      <c r="GS68" s="72">
        <f t="shared" si="155"/>
        <v>9.7010000000000005</v>
      </c>
      <c r="GT68" s="6">
        <f t="shared" si="156"/>
        <v>0.18813289815047282</v>
      </c>
      <c r="GU68" s="334">
        <f t="shared" si="259"/>
        <v>6.8900510237037373</v>
      </c>
      <c r="GW68" s="903">
        <f t="shared" si="52"/>
        <v>7.6959999999999997</v>
      </c>
      <c r="GX68" s="72">
        <f t="shared" si="224"/>
        <v>0.23699999999999999</v>
      </c>
      <c r="GY68" s="72">
        <f t="shared" si="225"/>
        <v>0.35199999999999998</v>
      </c>
      <c r="GZ68" s="72">
        <f t="shared" si="226"/>
        <v>4.9000000000000002E-2</v>
      </c>
      <c r="HA68" s="72">
        <f t="shared" si="227"/>
        <v>0.60299999999999998</v>
      </c>
      <c r="HB68" s="72">
        <f t="shared" si="228"/>
        <v>1.0309999999999999</v>
      </c>
      <c r="HC68" s="72">
        <f t="shared" si="229"/>
        <v>0.871</v>
      </c>
      <c r="HD68" s="72">
        <f t="shared" si="230"/>
        <v>-7.0000000000000001E-3</v>
      </c>
      <c r="HE68" s="72">
        <f t="shared" si="231"/>
        <v>-2.4E-2</v>
      </c>
      <c r="HF68" s="72">
        <f t="shared" si="158"/>
        <v>2.2479999999999998</v>
      </c>
      <c r="HG68" s="6">
        <f t="shared" si="232"/>
        <v>0.32626754029342303</v>
      </c>
      <c r="HH68" s="72">
        <f t="shared" si="233"/>
        <v>7.7000510237037503</v>
      </c>
      <c r="HI68" s="169">
        <v>4.2530000000000001</v>
      </c>
      <c r="HT68" s="131"/>
      <c r="IF68" s="136">
        <f t="shared" si="234"/>
        <v>5.0589489762962625</v>
      </c>
      <c r="IG68" s="74">
        <v>0</v>
      </c>
      <c r="IH68" s="74">
        <v>0</v>
      </c>
      <c r="II68" s="74">
        <v>0</v>
      </c>
      <c r="IJ68" s="74">
        <v>0</v>
      </c>
      <c r="IK68" s="360">
        <f t="shared" si="159"/>
        <v>0</v>
      </c>
      <c r="IL68" s="74">
        <v>0</v>
      </c>
      <c r="IM68" s="74">
        <v>0</v>
      </c>
      <c r="IN68" s="74">
        <v>0</v>
      </c>
      <c r="IO68" s="75">
        <f t="shared" si="160"/>
        <v>0</v>
      </c>
      <c r="IP68" s="373">
        <f t="shared" si="235"/>
        <v>5.0589489762962625</v>
      </c>
      <c r="IQ68" s="174">
        <f t="shared" si="236"/>
        <v>5.0589489762962625</v>
      </c>
      <c r="IR68" s="337">
        <f t="shared" si="161"/>
        <v>136.809</v>
      </c>
      <c r="IS68" s="72">
        <f t="shared" si="237"/>
        <v>12.759</v>
      </c>
      <c r="IT68" s="72">
        <f t="shared" si="238"/>
        <v>0</v>
      </c>
      <c r="IU68" s="136">
        <f t="shared" si="53"/>
        <v>7.6959999999999997</v>
      </c>
      <c r="IV68" s="903">
        <f t="shared" si="260"/>
        <v>-0.80594897629626239</v>
      </c>
      <c r="IW68" s="903">
        <f t="shared" si="239"/>
        <v>5.0589489762962625</v>
      </c>
      <c r="IX68" s="72">
        <f t="shared" si="240"/>
        <v>0.8100000000000005</v>
      </c>
      <c r="JB68" s="6">
        <f t="shared" si="162"/>
        <v>8.4721946990339358E-2</v>
      </c>
      <c r="JC68" s="6">
        <f t="shared" si="163"/>
        <v>1.1120881842952688E-2</v>
      </c>
      <c r="JD68" s="6">
        <f t="shared" si="164"/>
        <v>7.3601065147386679E-2</v>
      </c>
      <c r="JE68" s="902">
        <f t="shared" si="54"/>
        <v>4.7659152836264556E-3</v>
      </c>
      <c r="JF68" s="1006"/>
      <c r="JG68" s="1001"/>
      <c r="JH68" s="5">
        <v>136.809</v>
      </c>
      <c r="JI68" s="192">
        <v>28.774999999999999</v>
      </c>
      <c r="JJ68" s="333">
        <v>0.90100000000000002</v>
      </c>
      <c r="JK68" s="333">
        <v>3.5089999999999999</v>
      </c>
      <c r="JL68" s="333">
        <v>0.51500000000000001</v>
      </c>
      <c r="JM68" s="333">
        <v>5.7619999999999996</v>
      </c>
      <c r="JN68" s="333">
        <v>6.8090000000000002</v>
      </c>
      <c r="JO68" s="333">
        <v>3.8690000000000002</v>
      </c>
      <c r="JP68" s="333">
        <f t="shared" si="241"/>
        <v>2.94</v>
      </c>
      <c r="JQ68" s="333">
        <v>0.191</v>
      </c>
      <c r="JR68" s="333">
        <v>0.46200000000000002</v>
      </c>
      <c r="JS68" s="332">
        <f t="shared" si="165"/>
        <v>17.957999999999998</v>
      </c>
      <c r="JT68" s="332">
        <f t="shared" si="166"/>
        <v>118.851</v>
      </c>
      <c r="JU68" s="6">
        <f t="shared" si="167"/>
        <v>0.1312632940815297</v>
      </c>
      <c r="JV68" s="6">
        <f t="shared" si="168"/>
        <v>6.5858240320446756E-3</v>
      </c>
      <c r="JW68" s="6">
        <f t="shared" si="169"/>
        <v>2.5648897367863226E-2</v>
      </c>
      <c r="JX68" s="6">
        <f t="shared" si="170"/>
        <v>3.7643722269733717E-3</v>
      </c>
      <c r="JY68" s="6">
        <f t="shared" si="171"/>
        <v>4.2117112178292358E-2</v>
      </c>
      <c r="JZ68" s="6">
        <f t="shared" si="172"/>
        <v>4.9770117463032407E-2</v>
      </c>
      <c r="KA68" s="6">
        <f t="shared" si="173"/>
        <v>3.3769708133236853E-3</v>
      </c>
      <c r="KB68" s="365">
        <f>KB69*MI68/MI69+KK68</f>
        <v>15.459209459562864</v>
      </c>
      <c r="KC68" s="162">
        <f t="shared" si="175"/>
        <v>38.075468519748782</v>
      </c>
      <c r="KD68" s="162">
        <f>KD69*MI68/MI69-KK68</f>
        <v>22.616259060185921</v>
      </c>
      <c r="KE68" s="6">
        <f t="shared" si="242"/>
        <v>0.59398504967720722</v>
      </c>
      <c r="KF68" s="1071">
        <v>0</v>
      </c>
      <c r="KG68" s="222">
        <f t="shared" si="243"/>
        <v>0</v>
      </c>
      <c r="KH68" s="222">
        <f t="shared" si="244"/>
        <v>0</v>
      </c>
      <c r="KI68" s="222">
        <f t="shared" si="245"/>
        <v>0</v>
      </c>
      <c r="KJ68" s="222">
        <f t="shared" si="246"/>
        <v>0</v>
      </c>
      <c r="KK68" s="597">
        <f t="shared" si="247"/>
        <v>4.0853999999999999</v>
      </c>
      <c r="KL68" s="74">
        <f t="shared" si="248"/>
        <v>0</v>
      </c>
      <c r="KM68" s="345"/>
      <c r="KN68" s="345"/>
      <c r="KO68" s="72">
        <f t="shared" si="249"/>
        <v>0</v>
      </c>
      <c r="KP68" s="74">
        <f t="shared" si="250"/>
        <v>0</v>
      </c>
      <c r="KQ68" s="72">
        <f t="shared" si="177"/>
        <v>4.0853999999999999</v>
      </c>
      <c r="KR68" s="85">
        <f t="shared" si="251"/>
        <v>11.373809459562864</v>
      </c>
      <c r="KS68" s="6">
        <f t="shared" si="178"/>
        <v>7.0434787339378651E-3</v>
      </c>
      <c r="KT68" s="6">
        <f t="shared" si="179"/>
        <v>0</v>
      </c>
      <c r="KU68" s="169">
        <f t="shared" si="180"/>
        <v>121.34979054043714</v>
      </c>
      <c r="KV68" s="174">
        <f t="shared" si="252"/>
        <v>28.774999999999999</v>
      </c>
      <c r="KW68" s="162">
        <f t="shared" si="181"/>
        <v>0.90100000000000002</v>
      </c>
      <c r="KX68" s="162">
        <f t="shared" si="182"/>
        <v>3.5089999999999999</v>
      </c>
      <c r="KY68" s="162">
        <f t="shared" si="183"/>
        <v>0.51500000000000001</v>
      </c>
      <c r="KZ68" s="162">
        <f t="shared" si="184"/>
        <v>5.7619999999999996</v>
      </c>
      <c r="LA68" s="162">
        <f t="shared" si="185"/>
        <v>2.7236000000000002</v>
      </c>
      <c r="LB68" s="162">
        <f t="shared" si="186"/>
        <v>3.8690000000000002</v>
      </c>
      <c r="LC68" s="72">
        <f t="shared" si="187"/>
        <v>0.191</v>
      </c>
      <c r="LD68" s="162">
        <f t="shared" si="188"/>
        <v>0.46200000000000002</v>
      </c>
      <c r="LE68" s="162">
        <f t="shared" si="189"/>
        <v>13.872599999999998</v>
      </c>
      <c r="LF68" s="162">
        <f t="shared" si="190"/>
        <v>0</v>
      </c>
      <c r="LG68" s="162">
        <f t="shared" si="191"/>
        <v>107.47719054043714</v>
      </c>
      <c r="LH68" s="19">
        <f t="shared" si="192"/>
        <v>0.11431910956102771</v>
      </c>
      <c r="LI68" s="6">
        <f t="shared" si="193"/>
        <v>7.4248171009389727E-3</v>
      </c>
      <c r="LJ68" s="6">
        <f t="shared" si="194"/>
        <v>2.8916407555155219E-2</v>
      </c>
      <c r="LK68" s="6">
        <f t="shared" si="195"/>
        <v>4.243929863466782E-3</v>
      </c>
      <c r="LL68" s="6">
        <f t="shared" si="196"/>
        <v>4.7482570627758437E-2</v>
      </c>
      <c r="LM68" s="6">
        <f t="shared" si="197"/>
        <v>2.2444208497355591E-2</v>
      </c>
      <c r="LN68" s="6">
        <f t="shared" si="198"/>
        <v>3.1883038139326178E-2</v>
      </c>
      <c r="LO68" s="6">
        <f t="shared" si="199"/>
        <v>1.5739623377129231E-3</v>
      </c>
      <c r="LP68" s="6">
        <f t="shared" si="200"/>
        <v>3.8071759163527249E-3</v>
      </c>
      <c r="LQ68" s="6">
        <f t="shared" si="201"/>
        <v>7.5148495504357898E-2</v>
      </c>
      <c r="LR68" s="6">
        <f t="shared" si="202"/>
        <v>6.6557586413448805E-2</v>
      </c>
      <c r="LS68" s="6">
        <f t="shared" si="203"/>
        <v>8.59090909090909E-3</v>
      </c>
      <c r="LT68" s="295"/>
      <c r="LU68" s="156"/>
      <c r="LV68" s="156">
        <f t="shared" si="204"/>
        <v>15.459209459562864</v>
      </c>
      <c r="LW68" s="156">
        <f>KD68</f>
        <v>22.616259060185921</v>
      </c>
      <c r="LX68" s="422">
        <f>LY68*Liabilities!GT68</f>
        <v>2.2489012828737556</v>
      </c>
      <c r="LY68" s="56">
        <f t="shared" si="206"/>
        <v>5.6670963373826537E-2</v>
      </c>
      <c r="LZ68" s="56">
        <f t="shared" si="253"/>
        <v>0.22280871553279105</v>
      </c>
      <c r="MA68" s="156"/>
      <c r="MB68" s="156"/>
      <c r="MC68" s="156">
        <f>Liabilities!EF68</f>
        <v>7.8445157430090653</v>
      </c>
      <c r="MD68" s="156"/>
      <c r="ME68" s="156"/>
      <c r="MF68" s="156">
        <f t="shared" si="207"/>
        <v>10.093417025882822</v>
      </c>
      <c r="MG68" s="156">
        <f t="shared" si="208"/>
        <v>38.075468519748782</v>
      </c>
      <c r="MH68" s="326">
        <f t="shared" si="209"/>
        <v>121.34979054043714</v>
      </c>
      <c r="MI68" s="1008">
        <f>FoF_RoW!$BH38/1000</f>
        <v>222.28299999999999</v>
      </c>
      <c r="MJ68" s="1008"/>
      <c r="MK68" s="1008">
        <f>FoF_RoW!$AU38/1000</f>
        <v>11.949</v>
      </c>
      <c r="ML68" s="1008">
        <f t="shared" si="254"/>
        <v>72.740999999999985</v>
      </c>
      <c r="MM68" s="430">
        <f t="shared" si="210"/>
        <v>206.82379054043713</v>
      </c>
      <c r="MN68" s="6">
        <f t="shared" si="211"/>
        <v>1.7043605070873005</v>
      </c>
      <c r="MO68" s="156">
        <f t="array" ref="MO68:MO108">TRANSPOSE(IIP_1.1!C14:AQ14)/1000</f>
        <v>136.74299999999999</v>
      </c>
      <c r="MP68" s="430"/>
      <c r="MQ68" s="156"/>
      <c r="MR68" s="156"/>
      <c r="MS68" s="156">
        <f t="shared" si="212"/>
        <v>15.459209459562864</v>
      </c>
      <c r="MT68" s="156"/>
      <c r="MU68" s="156"/>
      <c r="MV68" s="156"/>
      <c r="MW68" s="156"/>
      <c r="MX68" s="156"/>
      <c r="MY68" s="430">
        <f t="shared" si="255"/>
        <v>43.594999999999985</v>
      </c>
      <c r="MZ68" s="6">
        <f t="shared" si="213"/>
        <v>2.6997151350012377E-2</v>
      </c>
      <c r="NA68" s="156">
        <f t="array" ref="NA68:NA108">TRANSPOSE(IIP_1.1!C10:AQ10)/1000</f>
        <v>371.42399999999998</v>
      </c>
      <c r="NB68" s="156">
        <f t="array" ref="NB68:NB108">TRANSPOSE(IIP_1.1!C19:AQ19)/1000</f>
        <v>290.88499999999999</v>
      </c>
      <c r="NC68" s="430">
        <v>125.76499999999999</v>
      </c>
      <c r="ND68" s="6">
        <f t="shared" si="214"/>
        <v>7.7882709933118646E-2</v>
      </c>
      <c r="NE68" s="156"/>
      <c r="NF68" s="156"/>
      <c r="NG68" s="156"/>
      <c r="NH68" s="156"/>
      <c r="NI68" s="332">
        <f t="array" ref="NI68:NI108">TRANSPOSE(IIP_1.2!C34:AQ34)/1000</f>
        <v>36.944000000000003</v>
      </c>
      <c r="NJ68" s="430">
        <f t="shared" si="63"/>
        <v>15.888999999999999</v>
      </c>
      <c r="NK68" s="405">
        <f t="shared" si="64"/>
        <v>9.8396086202625719E-3</v>
      </c>
      <c r="NL68" s="156">
        <v>15.888999999999999</v>
      </c>
      <c r="NM68" s="156">
        <v>18.998999999999999</v>
      </c>
      <c r="NN68" s="156">
        <v>3.11</v>
      </c>
      <c r="NO68" s="430">
        <f t="shared" si="100"/>
        <v>16.061999999999998</v>
      </c>
      <c r="NP68" s="156">
        <v>29.373999999999999</v>
      </c>
      <c r="NQ68" s="156">
        <v>13.311999999999999</v>
      </c>
      <c r="NR68" s="405">
        <f t="shared" si="65"/>
        <v>9.9467426306663349E-3</v>
      </c>
      <c r="NS68" s="405">
        <f t="shared" si="66"/>
        <v>9.8396086202625719E-3</v>
      </c>
      <c r="NT68" s="405">
        <f t="shared" si="67"/>
        <v>1.0713401040376297E-4</v>
      </c>
      <c r="NU68" s="727" t="e">
        <f t="shared" si="215"/>
        <v>#DIV/0!</v>
      </c>
      <c r="NV68" s="688">
        <f t="shared" si="216"/>
        <v>9.2001021498925389E-2</v>
      </c>
      <c r="NW68" s="688">
        <f t="shared" si="217"/>
        <v>0.15680290765445812</v>
      </c>
      <c r="NX68" s="793" t="e">
        <f>(ER68-T.A2!B20*T.A1!M20)/MP68</f>
        <v>#DIV/0!</v>
      </c>
      <c r="NY68" s="688" t="e">
        <f>Liabilities!BU68/Liabilities!GY68</f>
        <v>#DIV/0!</v>
      </c>
      <c r="NZ68" s="688">
        <f>Liabilities!BU68/Liabilities!GT68</f>
        <v>7.8370134534044081E-2</v>
      </c>
      <c r="OA68" s="688" t="e">
        <f>Liabilities!BU68/Liabilities!GR68</f>
        <v>#DIV/0!</v>
      </c>
      <c r="OB68" s="688" t="e">
        <f t="shared" si="256"/>
        <v>#DIV/0!</v>
      </c>
      <c r="OC68" s="688">
        <f t="shared" si="257"/>
        <v>1.3630886964881309E-2</v>
      </c>
      <c r="OD68" s="688"/>
      <c r="OE68" s="793">
        <f t="shared" si="218"/>
        <v>9.2001021498925389E-2</v>
      </c>
      <c r="OF68" s="793">
        <f>OE68/(1-'Assets(MOFA)'!GU21)</f>
        <v>0.37240729033358033</v>
      </c>
      <c r="OG68" s="793">
        <f>Liabilities!HV68</f>
        <v>0</v>
      </c>
      <c r="OH68" s="793"/>
      <c r="OI68" s="389">
        <f t="shared" si="219"/>
        <v>3.7791910795065685E-2</v>
      </c>
      <c r="OJ68" s="389">
        <f t="shared" ref="OJ68:OJ73" si="265">OJ67+(OJ$74-OJ$66)/8</f>
        <v>4.5404192339677997E-2</v>
      </c>
      <c r="OK68" s="389"/>
      <c r="OL68" s="389"/>
      <c r="OM68" s="422"/>
      <c r="OO68" s="97">
        <f t="shared" si="221"/>
        <v>9.2001021498925389E-2</v>
      </c>
      <c r="OP68" s="190"/>
      <c r="OQ68" s="190"/>
      <c r="OR68" s="190"/>
      <c r="OS68" s="74"/>
      <c r="OT68" s="74"/>
      <c r="OU68" s="74"/>
      <c r="OV68" s="74"/>
      <c r="OW68" s="74"/>
      <c r="OX68" s="74"/>
      <c r="OY68" s="74"/>
      <c r="OZ68" s="74"/>
      <c r="PA68" s="74"/>
      <c r="PG68" s="69"/>
      <c r="PH68" s="6">
        <f>'Assets(MOFA)'!GU21</f>
        <v>0.75295590637735277</v>
      </c>
      <c r="PI68" s="6">
        <f>'Assets(MOFA)'!HM21</f>
        <v>0.39460296343022583</v>
      </c>
      <c r="PJ68" s="60">
        <f t="shared" si="222"/>
        <v>5.9967052246876547E-2</v>
      </c>
      <c r="PL68" s="60">
        <f>'Assets(MOFA)'!GO21/MM68/1000</f>
        <v>4.2411965651124331E-2</v>
      </c>
    </row>
    <row r="69" spans="2:428" s="90" customFormat="1">
      <c r="B69" s="74">
        <v>1977</v>
      </c>
      <c r="C69" s="43">
        <v>1798.7</v>
      </c>
      <c r="D69" s="5">
        <v>205.8</v>
      </c>
      <c r="E69" s="6">
        <f t="shared" si="68"/>
        <v>0.11441596708734086</v>
      </c>
      <c r="F69" s="72">
        <f t="shared" si="69"/>
        <v>0</v>
      </c>
      <c r="G69" s="75">
        <f t="shared" si="70"/>
        <v>186.70000000000002</v>
      </c>
      <c r="H69" s="6">
        <f t="shared" si="71"/>
        <v>0.10379718685717464</v>
      </c>
      <c r="I69" s="74">
        <v>19.100000000000001</v>
      </c>
      <c r="J69" s="19">
        <f t="shared" si="72"/>
        <v>1.0618780230166231E-2</v>
      </c>
      <c r="K69" s="6">
        <f t="shared" si="73"/>
        <v>9.2808551992225458E-2</v>
      </c>
      <c r="L69" s="136">
        <v>23.7</v>
      </c>
      <c r="M69" s="19">
        <f t="shared" si="74"/>
        <v>1.317618279868794E-2</v>
      </c>
      <c r="N69" s="63">
        <f t="shared" si="75"/>
        <v>0.11516034985422739</v>
      </c>
      <c r="O69" s="5">
        <f t="shared" si="76"/>
        <v>205.8</v>
      </c>
      <c r="P69" s="75">
        <f t="shared" si="77"/>
        <v>0</v>
      </c>
      <c r="Q69" s="273">
        <v>219.5</v>
      </c>
      <c r="R69" s="202">
        <v>12.2</v>
      </c>
      <c r="S69" s="53">
        <f t="shared" si="78"/>
        <v>5.9280855199222542E-2</v>
      </c>
      <c r="T69" s="74">
        <v>6.1</v>
      </c>
      <c r="U69" s="74">
        <v>-22.7</v>
      </c>
      <c r="V69" s="207">
        <v>14</v>
      </c>
      <c r="W69" s="53">
        <f t="shared" si="79"/>
        <v>6.8027210884353734E-2</v>
      </c>
      <c r="X69" s="75">
        <f t="shared" si="80"/>
        <v>4.7000000000000171</v>
      </c>
      <c r="Y69" s="187"/>
      <c r="Z69" s="75"/>
      <c r="AA69" s="75"/>
      <c r="AB69" s="75"/>
      <c r="AC69" s="75">
        <f t="shared" si="103"/>
        <v>1.8094899005145804</v>
      </c>
      <c r="AD69" s="6">
        <f t="shared" si="81"/>
        <v>8.7924679325295449E-3</v>
      </c>
      <c r="AE69" s="75"/>
      <c r="AF69" s="75">
        <v>1.9740247416843988</v>
      </c>
      <c r="AG69" s="75"/>
      <c r="AH69" s="97">
        <v>74.400000000000006</v>
      </c>
      <c r="AI69" s="19">
        <f t="shared" si="82"/>
        <v>4.1363206760438094E-2</v>
      </c>
      <c r="AJ69" s="19">
        <f t="shared" si="83"/>
        <v>3.8083059987768945E-2</v>
      </c>
      <c r="AK69" s="130">
        <f t="shared" si="84"/>
        <v>0</v>
      </c>
      <c r="AL69" s="74">
        <v>55.7</v>
      </c>
      <c r="AM69" s="55">
        <f>AM68+(AM$70-AM$67)/3</f>
        <v>54.593833333333336</v>
      </c>
      <c r="AN69" s="74">
        <v>11.4</v>
      </c>
      <c r="AO69" s="279">
        <v>1.4</v>
      </c>
      <c r="AP69" s="74">
        <v>5.9</v>
      </c>
      <c r="AQ69" s="6">
        <f t="shared" si="85"/>
        <v>7.3052760326902763E-2</v>
      </c>
      <c r="AR69" s="207">
        <v>26.8</v>
      </c>
      <c r="AS69" s="714">
        <v>26.006</v>
      </c>
      <c r="AT69" s="210">
        <f>13.898+4.041</f>
        <v>17.939</v>
      </c>
      <c r="AU69" s="205">
        <f t="shared" ref="AU69:AU71" si="266">AT69/AS69</f>
        <v>0.68980235330308393</v>
      </c>
      <c r="AV69" s="720">
        <f>(AV68+AV70)/2</f>
        <v>42.407499999999999</v>
      </c>
      <c r="AW69" s="799">
        <f>AV69*AY69</f>
        <v>33.926000000000002</v>
      </c>
      <c r="AX69" s="800">
        <f t="shared" si="104"/>
        <v>8.4814999999999969</v>
      </c>
      <c r="AY69" s="56">
        <v>0.8</v>
      </c>
      <c r="AZ69" s="720"/>
      <c r="BA69" s="55"/>
      <c r="BB69" s="56"/>
      <c r="BC69" s="207"/>
      <c r="BD69" s="707">
        <f>'Assets(MOFA)'!FJ22/1000</f>
        <v>50.064999999999998</v>
      </c>
      <c r="BE69" s="205">
        <f t="shared" si="105"/>
        <v>0.84704883651253371</v>
      </c>
      <c r="BF69" s="186">
        <v>0.48</v>
      </c>
      <c r="BG69" s="435"/>
      <c r="BH69" s="143">
        <f t="shared" si="106"/>
        <v>0.32843857072931965</v>
      </c>
      <c r="BI69" s="250">
        <f t="shared" si="57"/>
        <v>0.32843857072931965</v>
      </c>
      <c r="BJ69" s="6">
        <f t="shared" si="107"/>
        <v>0.3073751717819514</v>
      </c>
      <c r="BK69" s="143">
        <f t="shared" si="108"/>
        <v>0.40631761142362605</v>
      </c>
      <c r="BL69" s="143">
        <f t="shared" si="109"/>
        <v>0.41927589640074892</v>
      </c>
      <c r="BM69" s="250">
        <f t="shared" si="110"/>
        <v>0.40952414454160491</v>
      </c>
      <c r="BN69" s="6">
        <f t="shared" si="111"/>
        <v>0.3120728929384966</v>
      </c>
      <c r="BO69" s="6">
        <f t="shared" si="112"/>
        <v>0.29564091497626244</v>
      </c>
      <c r="BP69" s="149">
        <f t="shared" si="86"/>
        <v>205.8</v>
      </c>
      <c r="BQ69" s="130">
        <f t="shared" si="87"/>
        <v>0</v>
      </c>
      <c r="BR69" s="156">
        <f t="shared" si="88"/>
        <v>74.400000000000006</v>
      </c>
      <c r="BS69" s="136">
        <v>44.8</v>
      </c>
      <c r="BT69" s="136">
        <v>86.6</v>
      </c>
      <c r="BU69" s="6">
        <f t="shared" si="223"/>
        <v>0.42079689018464522</v>
      </c>
      <c r="BV69" s="74">
        <v>78.5</v>
      </c>
      <c r="BW69" s="74">
        <f t="shared" si="89"/>
        <v>8.0999999999999943</v>
      </c>
      <c r="BX69" s="6">
        <f t="shared" si="90"/>
        <v>3.9358600583090347E-2</v>
      </c>
      <c r="BY69" s="6"/>
      <c r="BZ69" s="6"/>
      <c r="CA69" s="6"/>
      <c r="CB69" s="6">
        <f t="shared" si="262"/>
        <v>0.42408376963350752</v>
      </c>
      <c r="CC69" s="169">
        <f t="shared" si="91"/>
        <v>23.7</v>
      </c>
      <c r="CD69" s="174"/>
      <c r="CF69" s="136">
        <f t="shared" si="58"/>
        <v>18.822143328158646</v>
      </c>
      <c r="CH69" s="6">
        <f t="shared" si="59"/>
        <v>0.79418326279150409</v>
      </c>
      <c r="CI69" s="169">
        <v>19.672999999999998</v>
      </c>
      <c r="CK69" s="136">
        <f t="shared" si="60"/>
        <v>18.822143328158646</v>
      </c>
      <c r="CL69" s="162"/>
      <c r="CN69" s="162">
        <v>9.6</v>
      </c>
      <c r="CO69" s="162"/>
      <c r="CP69" s="136">
        <f t="shared" si="61"/>
        <v>0.85085667184135416</v>
      </c>
      <c r="CZ69" s="166">
        <f t="shared" si="49"/>
        <v>19.672999999999998</v>
      </c>
      <c r="DA69" s="193">
        <v>5331</v>
      </c>
      <c r="DB69" s="6">
        <f t="shared" ref="DB69:DB74" si="267">DA69/CZ69/1000</f>
        <v>0.27098053169318359</v>
      </c>
      <c r="DG69" s="245">
        <v>1102</v>
      </c>
      <c r="DI69" s="182">
        <v>19.672999999999998</v>
      </c>
      <c r="DJ69" s="136">
        <v>0.14000000000000001</v>
      </c>
      <c r="DK69" s="136">
        <v>1.028</v>
      </c>
      <c r="DL69" s="136">
        <v>0.06</v>
      </c>
      <c r="DM69" s="136">
        <v>1.0209999999999999</v>
      </c>
      <c r="DN69" s="136">
        <v>1.601</v>
      </c>
      <c r="DO69" s="136">
        <v>0.70399999999999996</v>
      </c>
      <c r="DP69" s="136">
        <v>-0.14699999999999999</v>
      </c>
      <c r="DQ69" s="136">
        <v>9.7000000000000003E-2</v>
      </c>
      <c r="DR69" s="156">
        <f t="shared" si="113"/>
        <v>3.9470000000000001</v>
      </c>
      <c r="DS69" s="156">
        <f t="shared" si="114"/>
        <v>15.725999999999999</v>
      </c>
      <c r="DT69" s="156">
        <v>2.1160000000000001</v>
      </c>
      <c r="DU69" s="6">
        <f t="shared" si="115"/>
        <v>0.13455424138369582</v>
      </c>
      <c r="DV69" s="6">
        <f t="shared" si="116"/>
        <v>7.1163523611040523E-3</v>
      </c>
      <c r="DW69" s="605">
        <f t="shared" si="117"/>
        <v>5.2254358765821185E-2</v>
      </c>
      <c r="DX69" s="605">
        <f t="shared" si="118"/>
        <v>3.0498652976160222E-3</v>
      </c>
      <c r="DY69" s="6">
        <f t="shared" si="119"/>
        <v>5.1898541147765972E-2</v>
      </c>
      <c r="DZ69" s="6">
        <f t="shared" si="120"/>
        <v>8.1380572358054196E-2</v>
      </c>
      <c r="EA69" s="6">
        <f t="shared" si="121"/>
        <v>3.5785086158694655E-2</v>
      </c>
      <c r="EB69" s="6">
        <f t="shared" si="122"/>
        <v>-7.4721699791592544E-3</v>
      </c>
      <c r="EC69" s="605">
        <f t="shared" si="123"/>
        <v>4.9306155644792361E-3</v>
      </c>
      <c r="ED69" s="6">
        <f t="shared" si="124"/>
        <v>0.20063030549484068</v>
      </c>
      <c r="EE69" s="6"/>
      <c r="EF69" s="6"/>
      <c r="EG69" s="67">
        <v>6.3959999999999999</v>
      </c>
      <c r="EN69" s="131"/>
      <c r="EO69" s="56">
        <v>0.5</v>
      </c>
      <c r="ER69" s="182">
        <f t="shared" ref="ER69:ER108" si="268">DI69-FW69</f>
        <v>18.822143328158646</v>
      </c>
      <c r="ES69" s="136">
        <f>ES68*DA69/DA68/1000</f>
        <v>5.4454661331251222</v>
      </c>
      <c r="ET69" s="136"/>
      <c r="EU69" s="136"/>
      <c r="EV69" s="136"/>
      <c r="EW69" s="156">
        <f t="shared" si="125"/>
        <v>0.14000000000000001</v>
      </c>
      <c r="EX69" s="156">
        <f t="shared" si="126"/>
        <v>1.028</v>
      </c>
      <c r="EY69" s="156">
        <f t="shared" si="127"/>
        <v>0.06</v>
      </c>
      <c r="EZ69" s="156">
        <f t="shared" si="128"/>
        <v>1.0209999999999999</v>
      </c>
      <c r="FA69" s="156">
        <f t="shared" si="129"/>
        <v>1.00508</v>
      </c>
      <c r="FB69" s="156">
        <f t="shared" si="130"/>
        <v>0.70399999999999996</v>
      </c>
      <c r="FC69" s="156">
        <f t="shared" si="131"/>
        <v>-2.9039999999999982E-2</v>
      </c>
      <c r="FD69" s="156">
        <f t="shared" si="132"/>
        <v>9.7000000000000003E-2</v>
      </c>
      <c r="FE69" s="156">
        <f t="shared" si="133"/>
        <v>3.3510800000000001</v>
      </c>
      <c r="FF69" s="156">
        <f t="shared" si="134"/>
        <v>15.471063328158644</v>
      </c>
      <c r="FG69" s="6">
        <f t="shared" si="135"/>
        <v>7.4380477057867612E-3</v>
      </c>
      <c r="FH69" s="6">
        <f t="shared" si="136"/>
        <v>5.4616521725348505E-2</v>
      </c>
      <c r="FI69" s="6">
        <f t="shared" si="137"/>
        <v>3.1877347310514687E-3</v>
      </c>
      <c r="FJ69" s="6">
        <f t="shared" si="138"/>
        <v>5.4244619340059155E-2</v>
      </c>
      <c r="FK69" s="6">
        <f t="shared" si="139"/>
        <v>5.339880705808684E-2</v>
      </c>
      <c r="FL69" s="6">
        <f t="shared" si="140"/>
        <v>3.7402754177670569E-2</v>
      </c>
      <c r="FM69" s="6">
        <f t="shared" si="141"/>
        <v>-1.54286360982891E-3</v>
      </c>
      <c r="FN69" s="6">
        <f t="shared" si="142"/>
        <v>5.1535044818665412E-3</v>
      </c>
      <c r="FO69" s="6">
        <f t="shared" si="92"/>
        <v>0.17803923504219926</v>
      </c>
      <c r="FP69" s="6">
        <f t="shared" si="93"/>
        <v>0.82196076495780068</v>
      </c>
      <c r="FQ69" s="6">
        <f t="shared" si="94"/>
        <v>2.0503060595238688E-2</v>
      </c>
      <c r="FR69" s="6">
        <f t="shared" si="95"/>
        <v>9.4657289258988697E-2</v>
      </c>
      <c r="FS69" s="6">
        <f t="shared" si="96"/>
        <v>2.3458775062545852E-3</v>
      </c>
      <c r="FT69" s="397">
        <f t="shared" si="97"/>
        <v>1.1729387531272926E-3</v>
      </c>
      <c r="FU69" s="397">
        <f t="shared" si="98"/>
        <v>1.1729387531272926E-3</v>
      </c>
      <c r="FV69" s="6">
        <f t="shared" si="99"/>
        <v>1.0830305292433355E-2</v>
      </c>
      <c r="FW69" s="632">
        <f>GG69+GF69</f>
        <v>0.85085667184135416</v>
      </c>
      <c r="FX69" s="345">
        <f t="shared" ref="FX69:FX85" si="269">$OJ69*KG69</f>
        <v>0</v>
      </c>
      <c r="FY69" s="345">
        <f t="shared" ref="FY69:FY85" si="270">$OJ69*KH69</f>
        <v>0</v>
      </c>
      <c r="FZ69" s="345">
        <f t="shared" ref="FZ69:FZ85" si="271">$OJ69*KI69</f>
        <v>0</v>
      </c>
      <c r="GA69" s="345">
        <f t="shared" ref="GA69:GA85" si="272">$OJ69*KJ69</f>
        <v>0</v>
      </c>
      <c r="GB69" s="55">
        <f t="shared" ref="GB69:GB74" si="273">0.1*KK69</f>
        <v>0.59592000000000001</v>
      </c>
      <c r="GC69" s="345">
        <f t="shared" ref="GC69:GC85" si="274">$OJ69*KL69</f>
        <v>0</v>
      </c>
      <c r="GD69" s="55">
        <f t="shared" ref="GD69:GD82" si="275">0.1*KO69</f>
        <v>-0.11796000000000001</v>
      </c>
      <c r="GE69" s="345">
        <f t="shared" ref="GE69:GE85" si="276">$OJ69*KP69</f>
        <v>0</v>
      </c>
      <c r="GF69" s="344">
        <f t="shared" si="151"/>
        <v>0.59592000000000001</v>
      </c>
      <c r="GG69" s="603">
        <f t="shared" ref="GG69:GG108" si="277">KR69*OI69</f>
        <v>0.2549366718413541</v>
      </c>
      <c r="GH69" s="169">
        <v>11.893000000000001</v>
      </c>
      <c r="GI69" s="72">
        <v>0.27300000000000002</v>
      </c>
      <c r="GJ69" s="72">
        <v>0.45600000000000002</v>
      </c>
      <c r="GK69" s="85">
        <v>0.106</v>
      </c>
      <c r="GL69" s="85">
        <v>0.64600000000000002</v>
      </c>
      <c r="GM69" s="85">
        <v>2.7050000000000001</v>
      </c>
      <c r="GN69" s="85">
        <v>1.87</v>
      </c>
      <c r="GO69" s="72">
        <f t="shared" si="153"/>
        <v>0.83499999999999996</v>
      </c>
      <c r="GP69" s="72">
        <v>0.49299999999999999</v>
      </c>
      <c r="GQ69" s="85">
        <v>0.124</v>
      </c>
      <c r="GR69" s="72">
        <f t="shared" si="154"/>
        <v>4.3099999999999996</v>
      </c>
      <c r="GS69" s="72">
        <f t="shared" si="155"/>
        <v>7.5830000000000011</v>
      </c>
      <c r="GT69" s="6">
        <f t="shared" si="156"/>
        <v>0.36239804927268138</v>
      </c>
      <c r="GU69" s="334">
        <f t="shared" si="259"/>
        <v>11.893000000000001</v>
      </c>
      <c r="GW69" s="903">
        <f t="shared" si="52"/>
        <v>6.3959999999999999</v>
      </c>
      <c r="GX69" s="72">
        <f t="shared" si="224"/>
        <v>0.27300000000000002</v>
      </c>
      <c r="GY69" s="72">
        <f t="shared" si="225"/>
        <v>0.45600000000000002</v>
      </c>
      <c r="GZ69" s="72">
        <f t="shared" si="226"/>
        <v>0.106</v>
      </c>
      <c r="HA69" s="72">
        <f t="shared" si="227"/>
        <v>0.64600000000000002</v>
      </c>
      <c r="HB69" s="72">
        <f t="shared" si="228"/>
        <v>3.8845999999999998</v>
      </c>
      <c r="HC69" s="72">
        <f t="shared" si="229"/>
        <v>1.87</v>
      </c>
      <c r="HD69" s="72">
        <f t="shared" si="230"/>
        <v>1.6726000000000001</v>
      </c>
      <c r="HE69" s="72">
        <f t="shared" si="231"/>
        <v>0.124</v>
      </c>
      <c r="HF69" s="72">
        <f t="shared" si="158"/>
        <v>5.4895999999999994</v>
      </c>
      <c r="HG69" s="6">
        <f t="shared" si="232"/>
        <v>0.46158244345413263</v>
      </c>
      <c r="HH69" s="72">
        <f t="shared" si="233"/>
        <v>11.935209459562856</v>
      </c>
      <c r="HI69" s="169">
        <v>5.4969999999999999</v>
      </c>
      <c r="HT69" s="131"/>
      <c r="IF69" s="743">
        <v>0</v>
      </c>
      <c r="IG69" s="74">
        <v>0</v>
      </c>
      <c r="IH69" s="74">
        <v>0</v>
      </c>
      <c r="II69" s="74">
        <v>0</v>
      </c>
      <c r="IJ69" s="74">
        <v>0</v>
      </c>
      <c r="IK69" s="360">
        <f t="shared" si="159"/>
        <v>-1.1796</v>
      </c>
      <c r="IL69" s="74">
        <v>0</v>
      </c>
      <c r="IM69" s="371">
        <f>(JQ69-JQ68)*1.2</f>
        <v>-1.1796</v>
      </c>
      <c r="IN69" s="74">
        <v>0</v>
      </c>
      <c r="IO69" s="373">
        <f t="shared" si="160"/>
        <v>-1.1796</v>
      </c>
      <c r="IP69" s="373">
        <f t="shared" si="235"/>
        <v>1.1796</v>
      </c>
      <c r="IQ69" s="174">
        <f t="shared" si="236"/>
        <v>-2.7542094595628637</v>
      </c>
      <c r="IR69" s="337">
        <f t="shared" si="161"/>
        <v>145.99</v>
      </c>
      <c r="IS69" s="72">
        <f t="shared" si="237"/>
        <v>9.1810000000000116</v>
      </c>
      <c r="IT69" s="72">
        <f t="shared" si="238"/>
        <v>0</v>
      </c>
      <c r="IU69" s="136">
        <f t="shared" si="53"/>
        <v>6.3959999999999999</v>
      </c>
      <c r="IV69" s="903">
        <f t="shared" si="260"/>
        <v>5.4969999999999999</v>
      </c>
      <c r="IW69" s="903">
        <f t="shared" si="239"/>
        <v>0</v>
      </c>
      <c r="IX69" s="72">
        <f t="shared" si="240"/>
        <v>-2.7119999999999882</v>
      </c>
      <c r="JB69" s="6">
        <f t="shared" si="162"/>
        <v>8.1164174125757493E-2</v>
      </c>
      <c r="JC69" s="6">
        <f t="shared" si="163"/>
        <v>1.3246789347862345E-2</v>
      </c>
      <c r="JD69" s="6">
        <f t="shared" si="164"/>
        <v>6.7917384777895148E-2</v>
      </c>
      <c r="JE69" s="902">
        <f t="shared" si="54"/>
        <v>3.5559014844054036E-3</v>
      </c>
      <c r="JF69" s="1006"/>
      <c r="JG69" s="1001"/>
      <c r="JH69" s="5">
        <v>145.99</v>
      </c>
      <c r="JI69" s="192">
        <v>28.03</v>
      </c>
      <c r="JJ69" s="75">
        <v>0.98599999999999999</v>
      </c>
      <c r="JK69" s="75">
        <v>4.5339999999999998</v>
      </c>
      <c r="JL69" s="75">
        <v>0.67700000000000005</v>
      </c>
      <c r="JM69" s="75">
        <v>7.1820000000000004</v>
      </c>
      <c r="JN69" s="75">
        <v>9.9320000000000004</v>
      </c>
      <c r="JO69" s="75">
        <v>7.7080000000000002</v>
      </c>
      <c r="JP69" s="75">
        <f>JN69-JO69</f>
        <v>2.2240000000000002</v>
      </c>
      <c r="JQ69" s="75">
        <v>-0.79200000000000004</v>
      </c>
      <c r="JR69" s="75">
        <v>0.51600000000000001</v>
      </c>
      <c r="JS69" s="332">
        <f>JR69+JN69+JM69+JL69+JK69+JJ69</f>
        <v>23.827000000000002</v>
      </c>
      <c r="JT69" s="332">
        <f t="shared" ref="JT69:JT74" si="278">JH69-JS69</f>
        <v>122.16300000000001</v>
      </c>
      <c r="JU69" s="6">
        <f t="shared" ref="JU69:JU74" si="279">JS69/$JH69</f>
        <v>0.16320980889101994</v>
      </c>
      <c r="JV69" s="6">
        <f t="shared" ref="JV69:JZ74" si="280">JJ69/$JH69</f>
        <v>6.753887252551544E-3</v>
      </c>
      <c r="JW69" s="6">
        <f t="shared" si="280"/>
        <v>3.1056921706966226E-2</v>
      </c>
      <c r="JX69" s="6">
        <f t="shared" si="280"/>
        <v>4.6373039249263653E-3</v>
      </c>
      <c r="JY69" s="6">
        <f t="shared" si="280"/>
        <v>4.9195150352763888E-2</v>
      </c>
      <c r="JZ69" s="6">
        <f t="shared" si="280"/>
        <v>6.8032056990204801E-2</v>
      </c>
      <c r="KA69" s="6">
        <f t="shared" ref="KA69:KA74" si="281">JR69/$JH69</f>
        <v>3.534488663607096E-3</v>
      </c>
      <c r="KB69" s="365">
        <f>KB70-IF70</f>
        <v>12.705</v>
      </c>
      <c r="KC69" s="162">
        <f>KD69+KB69</f>
        <v>42.531820957900983</v>
      </c>
      <c r="KD69" s="162">
        <f t="shared" ref="KD69" si="282">KD70*MI69/MI70</f>
        <v>29.826820957900985</v>
      </c>
      <c r="KE69" s="6">
        <f t="shared" si="242"/>
        <v>0.70128248182517949</v>
      </c>
      <c r="KF69" s="1071">
        <v>0</v>
      </c>
      <c r="KG69" s="222">
        <f t="shared" si="243"/>
        <v>0</v>
      </c>
      <c r="KH69" s="222">
        <f t="shared" si="244"/>
        <v>0</v>
      </c>
      <c r="KI69" s="222">
        <f t="shared" si="245"/>
        <v>0</v>
      </c>
      <c r="KJ69" s="222">
        <f t="shared" si="246"/>
        <v>0</v>
      </c>
      <c r="KK69" s="597">
        <f t="shared" si="247"/>
        <v>5.9592000000000001</v>
      </c>
      <c r="KL69" s="74">
        <f t="shared" si="248"/>
        <v>0</v>
      </c>
      <c r="KM69" s="345"/>
      <c r="KN69" s="345"/>
      <c r="KO69" s="72">
        <f t="shared" si="249"/>
        <v>-1.1796</v>
      </c>
      <c r="KP69" s="74">
        <f t="shared" si="250"/>
        <v>0</v>
      </c>
      <c r="KQ69" s="72">
        <f t="shared" si="177"/>
        <v>5.9592000000000001</v>
      </c>
      <c r="KR69" s="85">
        <f t="shared" si="251"/>
        <v>6.7458</v>
      </c>
      <c r="KS69" s="6">
        <f t="shared" si="178"/>
        <v>3.7503752710290766E-3</v>
      </c>
      <c r="KT69" s="6">
        <f t="shared" si="179"/>
        <v>3.9548297878105897E-2</v>
      </c>
      <c r="KU69" s="169">
        <f t="shared" si="180"/>
        <v>133.285</v>
      </c>
      <c r="KV69" s="174">
        <f t="shared" si="252"/>
        <v>28.03</v>
      </c>
      <c r="KW69" s="162">
        <f t="shared" si="181"/>
        <v>0.98599999999999999</v>
      </c>
      <c r="KX69" s="162">
        <f t="shared" si="182"/>
        <v>4.5339999999999998</v>
      </c>
      <c r="KY69" s="162">
        <f t="shared" si="183"/>
        <v>0.67700000000000005</v>
      </c>
      <c r="KZ69" s="162">
        <f t="shared" si="184"/>
        <v>7.1820000000000004</v>
      </c>
      <c r="LA69" s="162">
        <f t="shared" si="185"/>
        <v>3.9728000000000003</v>
      </c>
      <c r="LB69" s="162">
        <f t="shared" si="186"/>
        <v>7.7080000000000002</v>
      </c>
      <c r="LC69" s="72">
        <f t="shared" si="187"/>
        <v>0.38759999999999994</v>
      </c>
      <c r="LD69" s="162">
        <f t="shared" si="188"/>
        <v>0.51600000000000001</v>
      </c>
      <c r="LE69" s="162">
        <f t="shared" si="189"/>
        <v>17.867800000000003</v>
      </c>
      <c r="LF69" s="162">
        <f t="shared" si="190"/>
        <v>0</v>
      </c>
      <c r="LG69" s="162">
        <f t="shared" si="191"/>
        <v>115.41720000000001</v>
      </c>
      <c r="LH69" s="19">
        <f t="shared" si="192"/>
        <v>0.13405709569719026</v>
      </c>
      <c r="LI69" s="6">
        <f t="shared" si="193"/>
        <v>7.3976816596016057E-3</v>
      </c>
      <c r="LJ69" s="6">
        <f t="shared" si="194"/>
        <v>3.4017331282589935E-2</v>
      </c>
      <c r="LK69" s="6">
        <f t="shared" si="195"/>
        <v>5.0793412612071881E-3</v>
      </c>
      <c r="LL69" s="6">
        <f t="shared" si="196"/>
        <v>5.388453314326444E-2</v>
      </c>
      <c r="LM69" s="6">
        <f t="shared" si="197"/>
        <v>2.9806804966800469E-2</v>
      </c>
      <c r="LN69" s="6">
        <f t="shared" si="198"/>
        <v>5.7830963724350079E-2</v>
      </c>
      <c r="LO69" s="6">
        <f t="shared" si="199"/>
        <v>2.908054169636493E-3</v>
      </c>
      <c r="LP69" s="6">
        <f t="shared" si="200"/>
        <v>3.8714033837266011E-3</v>
      </c>
      <c r="LQ69" s="6">
        <f t="shared" si="201"/>
        <v>7.4100739422916548E-2</v>
      </c>
      <c r="LR69" s="6">
        <f t="shared" si="202"/>
        <v>6.4167009506866074E-2</v>
      </c>
      <c r="LS69" s="6">
        <f t="shared" si="203"/>
        <v>9.9337299160504825E-3</v>
      </c>
      <c r="LT69" s="295"/>
      <c r="LU69" s="156"/>
      <c r="LV69" s="156">
        <f t="shared" si="204"/>
        <v>12.705</v>
      </c>
      <c r="LW69" s="156">
        <f t="shared" ref="LW69:LW89" si="283">KD69</f>
        <v>29.826820957900985</v>
      </c>
      <c r="LX69" s="422">
        <f>LY69*Liabilities!GT69</f>
        <v>2.6219989645658011</v>
      </c>
      <c r="LY69" s="56">
        <f t="shared" si="206"/>
        <v>5.6670963373826537E-2</v>
      </c>
      <c r="LZ69" s="56">
        <f t="shared" si="253"/>
        <v>0.22280871553279105</v>
      </c>
      <c r="MA69" s="156"/>
      <c r="MB69" s="156"/>
      <c r="MC69" s="156">
        <f>Liabilities!EF69</f>
        <v>9.1459382020569198</v>
      </c>
      <c r="MD69" s="156"/>
      <c r="ME69" s="156"/>
      <c r="MF69" s="156">
        <f t="shared" si="207"/>
        <v>11.767937166622721</v>
      </c>
      <c r="MG69" s="156">
        <f t="shared" si="208"/>
        <v>42.531820957900983</v>
      </c>
      <c r="MH69" s="326">
        <f t="shared" si="209"/>
        <v>133.285</v>
      </c>
      <c r="MI69" s="1008">
        <f>FoF_RoW!$BH39/1000</f>
        <v>248.29900000000001</v>
      </c>
      <c r="MJ69" s="1008"/>
      <c r="MK69" s="1008">
        <f>FoF_RoW!$AU39/1000</f>
        <v>11.840999999999999</v>
      </c>
      <c r="ML69" s="1008">
        <f t="shared" si="254"/>
        <v>26.01600000000002</v>
      </c>
      <c r="MM69" s="430">
        <f t="shared" si="210"/>
        <v>235.59399999999999</v>
      </c>
      <c r="MN69" s="6">
        <f t="shared" si="211"/>
        <v>1.7675957534606295</v>
      </c>
      <c r="MO69" s="156">
        <v>162.86000000000001</v>
      </c>
      <c r="MP69" s="430"/>
      <c r="MQ69" s="156"/>
      <c r="MR69" s="156"/>
      <c r="MS69" s="156">
        <f t="shared" si="212"/>
        <v>12.705</v>
      </c>
      <c r="MT69" s="156"/>
      <c r="MU69" s="156"/>
      <c r="MV69" s="156"/>
      <c r="MW69" s="156"/>
      <c r="MX69" s="156"/>
      <c r="MY69" s="430">
        <f t="shared" si="255"/>
        <v>52.803999999999981</v>
      </c>
      <c r="MZ69" s="62">
        <f t="shared" si="213"/>
        <v>2.9356757658308766E-2</v>
      </c>
      <c r="NA69" s="156">
        <v>429.06</v>
      </c>
      <c r="NB69" s="156">
        <v>330.47500000000002</v>
      </c>
      <c r="NC69" s="430">
        <v>123.827</v>
      </c>
      <c r="ND69" s="6">
        <f t="shared" si="214"/>
        <v>6.8842497359203864E-2</v>
      </c>
      <c r="NE69" s="156"/>
      <c r="NF69" s="156"/>
      <c r="NG69" s="156"/>
      <c r="NH69" s="156"/>
      <c r="NI69" s="332">
        <v>45.780999999999999</v>
      </c>
      <c r="NJ69" s="430">
        <f t="shared" si="63"/>
        <v>16.838999999999999</v>
      </c>
      <c r="NK69" s="405">
        <f t="shared" si="64"/>
        <v>9.3617612720297977E-3</v>
      </c>
      <c r="NL69" s="156">
        <v>16.838999999999999</v>
      </c>
      <c r="NM69" s="156">
        <v>19.672999999999998</v>
      </c>
      <c r="NN69" s="156">
        <v>2.8340000000000001</v>
      </c>
      <c r="NO69" s="430">
        <f t="shared" si="100"/>
        <v>18.136999999999997</v>
      </c>
      <c r="NP69" s="156">
        <v>32.354999999999997</v>
      </c>
      <c r="NQ69" s="156">
        <v>14.218</v>
      </c>
      <c r="NR69" s="405">
        <f t="shared" si="65"/>
        <v>1.0083393562017011E-2</v>
      </c>
      <c r="NS69" s="405">
        <f t="shared" si="66"/>
        <v>9.3617612720297977E-3</v>
      </c>
      <c r="NT69" s="405">
        <f t="shared" si="67"/>
        <v>7.2163228998721289E-4</v>
      </c>
      <c r="NU69" s="727" t="e">
        <f t="shared" si="215"/>
        <v>#DIV/0!</v>
      </c>
      <c r="NV69" s="688">
        <f t="shared" si="216"/>
        <v>7.9892286425624792E-2</v>
      </c>
      <c r="NW69" s="688">
        <f t="shared" si="217"/>
        <v>0.14121726622019468</v>
      </c>
      <c r="NX69" s="793" t="e">
        <f>(ER69-T.A2!B21*T.A1!M21)/MP69</f>
        <v>#DIV/0!</v>
      </c>
      <c r="NY69" s="688" t="e">
        <f>Liabilities!BU69/Liabilities!GY69</f>
        <v>#DIV/0!</v>
      </c>
      <c r="NZ69" s="688">
        <f>Liabilities!BU69/Liabilities!GT69</f>
        <v>6.1253079185719823E-2</v>
      </c>
      <c r="OA69" s="688" t="e">
        <f>Liabilities!BU69/Liabilities!GR69</f>
        <v>#DIV/0!</v>
      </c>
      <c r="OB69" s="688" t="e">
        <f t="shared" si="256"/>
        <v>#DIV/0!</v>
      </c>
      <c r="OC69" s="688">
        <f t="shared" si="257"/>
        <v>1.8639207239904969E-2</v>
      </c>
      <c r="OD69" s="688"/>
      <c r="OE69" s="793">
        <f t="shared" si="218"/>
        <v>7.9892286425624792E-2</v>
      </c>
      <c r="OF69" s="793">
        <f>OE69/(1-'Assets(MOFA)'!GU22)</f>
        <v>0.29455483780752278</v>
      </c>
      <c r="OG69" s="793">
        <f>Liabilities!HV69</f>
        <v>0</v>
      </c>
      <c r="OH69" s="793"/>
      <c r="OI69" s="389">
        <f t="shared" si="219"/>
        <v>3.7791910795065685E-2</v>
      </c>
      <c r="OJ69" s="389">
        <f t="shared" si="265"/>
        <v>4.9210333111984153E-2</v>
      </c>
      <c r="OK69" s="389"/>
      <c r="OL69" s="389"/>
      <c r="OM69" s="422"/>
      <c r="OO69" s="97">
        <f t="shared" si="221"/>
        <v>7.9892286425624792E-2</v>
      </c>
      <c r="OP69" s="190"/>
      <c r="OQ69" s="190"/>
      <c r="OR69" s="190"/>
      <c r="OS69" s="74"/>
      <c r="OT69" s="74"/>
      <c r="OU69" s="74"/>
      <c r="OV69" s="74"/>
      <c r="OW69" s="74"/>
      <c r="OX69" s="74"/>
      <c r="OY69" s="74"/>
      <c r="OZ69" s="74"/>
      <c r="PA69" s="74"/>
      <c r="PG69" s="69"/>
      <c r="PH69" s="6">
        <f>'Assets(MOFA)'!GU22</f>
        <v>0.72876939648898076</v>
      </c>
      <c r="PI69" s="6">
        <f>'Assets(MOFA)'!HM22</f>
        <v>0.43655723158828746</v>
      </c>
      <c r="PJ69" s="60">
        <f t="shared" si="222"/>
        <v>6.1900795151822674E-2</v>
      </c>
      <c r="PL69" s="60">
        <f>'Assets(MOFA)'!GO22/MM69/1000</f>
        <v>4.1766768253860456E-2</v>
      </c>
    </row>
    <row r="70" spans="2:428" s="90" customFormat="1">
      <c r="B70" s="74">
        <v>1978</v>
      </c>
      <c r="C70" s="43">
        <v>2029.9</v>
      </c>
      <c r="D70" s="5">
        <v>238.6</v>
      </c>
      <c r="E70" s="6">
        <f t="shared" si="68"/>
        <v>0.11754273609537415</v>
      </c>
      <c r="F70" s="72">
        <f t="shared" si="69"/>
        <v>0</v>
      </c>
      <c r="G70" s="75">
        <f t="shared" si="70"/>
        <v>215.7</v>
      </c>
      <c r="H70" s="6">
        <f t="shared" si="71"/>
        <v>0.10626139218680722</v>
      </c>
      <c r="I70" s="74">
        <v>22.9</v>
      </c>
      <c r="J70" s="19">
        <f t="shared" si="72"/>
        <v>1.1281343908566924E-2</v>
      </c>
      <c r="K70" s="6">
        <f t="shared" si="73"/>
        <v>9.5976529756915341E-2</v>
      </c>
      <c r="L70" s="136">
        <v>29</v>
      </c>
      <c r="M70" s="19">
        <f t="shared" si="74"/>
        <v>1.4286418050150252E-2</v>
      </c>
      <c r="N70" s="63">
        <f t="shared" si="75"/>
        <v>0.12154233025984912</v>
      </c>
      <c r="O70" s="5">
        <f t="shared" si="76"/>
        <v>238.6</v>
      </c>
      <c r="P70" s="75">
        <f t="shared" si="77"/>
        <v>0</v>
      </c>
      <c r="Q70" s="273">
        <v>247.4</v>
      </c>
      <c r="R70" s="202">
        <v>14.8</v>
      </c>
      <c r="S70" s="53">
        <f t="shared" si="78"/>
        <v>6.2028499580888519E-2</v>
      </c>
      <c r="T70" s="74">
        <v>7.6</v>
      </c>
      <c r="U70" s="74">
        <v>-31.799999999999997</v>
      </c>
      <c r="V70" s="207">
        <v>16.7</v>
      </c>
      <c r="W70" s="53">
        <f t="shared" si="79"/>
        <v>6.9991617770326905E-2</v>
      </c>
      <c r="X70" s="75">
        <f t="shared" si="80"/>
        <v>17.299999999999983</v>
      </c>
      <c r="Y70" s="187"/>
      <c r="Z70" s="75"/>
      <c r="AA70" s="75"/>
      <c r="AB70" s="75"/>
      <c r="AC70" s="75">
        <f t="shared" si="103"/>
        <v>2.0938779062091926</v>
      </c>
      <c r="AD70" s="6">
        <f t="shared" si="81"/>
        <v>8.775682758630313E-3</v>
      </c>
      <c r="AE70" s="75"/>
      <c r="AF70" s="75">
        <v>2.284271822543928</v>
      </c>
      <c r="AG70" s="75"/>
      <c r="AH70" s="97">
        <v>84.9</v>
      </c>
      <c r="AI70" s="19">
        <f t="shared" si="82"/>
        <v>4.1824720429577814E-2</v>
      </c>
      <c r="AJ70" s="19">
        <f t="shared" si="83"/>
        <v>3.8376274693334649E-2</v>
      </c>
      <c r="AK70" s="130">
        <f t="shared" si="84"/>
        <v>0</v>
      </c>
      <c r="AL70" s="74">
        <v>64.400000000000006</v>
      </c>
      <c r="AM70" s="72">
        <f>(0.25*Fedtax!C51+0.75*Fedtax!C50)/1000</f>
        <v>61.383249999999997</v>
      </c>
      <c r="AN70" s="74">
        <v>12.1</v>
      </c>
      <c r="AO70" s="279">
        <v>1.4</v>
      </c>
      <c r="AP70" s="74">
        <v>7</v>
      </c>
      <c r="AQ70" s="6">
        <f t="shared" si="85"/>
        <v>7.5718015665796334E-2</v>
      </c>
      <c r="AR70" s="207">
        <v>27.5</v>
      </c>
      <c r="AS70" s="714">
        <v>26.358000000000001</v>
      </c>
      <c r="AT70" s="210">
        <f>12.446+4.665</f>
        <v>17.111000000000001</v>
      </c>
      <c r="AU70" s="205">
        <f t="shared" si="266"/>
        <v>0.64917672054025344</v>
      </c>
      <c r="AV70" s="707">
        <v>40.652000000000001</v>
      </c>
      <c r="AW70" s="761">
        <f>24.257+5.436+0.021+1.434</f>
        <v>31.148000000000003</v>
      </c>
      <c r="AX70" s="761">
        <f t="shared" si="104"/>
        <v>9.5039999999999978</v>
      </c>
      <c r="AY70" s="768">
        <f>AW70/AV70</f>
        <v>0.76621076453803016</v>
      </c>
      <c r="AZ70" s="174">
        <f>AV70-7.848</f>
        <v>32.804000000000002</v>
      </c>
      <c r="BA70" s="210">
        <f>AW70-5.642-1.685</f>
        <v>23.821000000000005</v>
      </c>
      <c r="BB70" s="205">
        <f>BA70/AZ70</f>
        <v>0.72616144372637492</v>
      </c>
      <c r="BC70" s="207">
        <v>19.260000000000002</v>
      </c>
      <c r="BD70" s="210">
        <f>'Assets(MOFA)'!FJ23/1000</f>
        <v>48.782399999999996</v>
      </c>
      <c r="BE70" s="205">
        <f t="shared" si="105"/>
        <v>0.83333333333333348</v>
      </c>
      <c r="BF70" s="186">
        <v>0.48</v>
      </c>
      <c r="BG70" s="435"/>
      <c r="BH70" s="143">
        <f t="shared" si="106"/>
        <v>0.322648671446647</v>
      </c>
      <c r="BI70" s="250">
        <f t="shared" si="57"/>
        <v>0.322648671446647</v>
      </c>
      <c r="BJ70" s="6">
        <f t="shared" si="107"/>
        <v>0.3014184397163121</v>
      </c>
      <c r="BK70" s="143">
        <f t="shared" si="108"/>
        <v>0.3930461073318216</v>
      </c>
      <c r="BL70" s="143">
        <f t="shared" si="109"/>
        <v>0.42054800738552683</v>
      </c>
      <c r="BM70" s="250">
        <f t="shared" si="110"/>
        <v>0.39618123634785868</v>
      </c>
      <c r="BN70" s="6">
        <f t="shared" si="111"/>
        <v>0.31487469684721103</v>
      </c>
      <c r="BO70" s="6">
        <f t="shared" si="112"/>
        <v>0.29710144927536236</v>
      </c>
      <c r="BP70" s="149">
        <f t="shared" si="86"/>
        <v>238.6</v>
      </c>
      <c r="BQ70" s="130">
        <f t="shared" si="87"/>
        <v>0</v>
      </c>
      <c r="BR70" s="156">
        <f t="shared" si="88"/>
        <v>84.9</v>
      </c>
      <c r="BS70" s="136">
        <v>50.8</v>
      </c>
      <c r="BT70" s="136">
        <v>102.9</v>
      </c>
      <c r="BU70" s="6">
        <f t="shared" si="223"/>
        <v>0.43126571668063707</v>
      </c>
      <c r="BV70" s="74">
        <v>91.2</v>
      </c>
      <c r="BW70" s="74">
        <f t="shared" si="89"/>
        <v>11.700000000000003</v>
      </c>
      <c r="BX70" s="6">
        <f t="shared" si="90"/>
        <v>4.9036043587594315E-2</v>
      </c>
      <c r="BY70" s="6"/>
      <c r="BZ70" s="6"/>
      <c r="CA70" s="6"/>
      <c r="CB70" s="6">
        <f t="shared" si="262"/>
        <v>0.51091703056768578</v>
      </c>
      <c r="CC70" s="169">
        <f t="shared" si="91"/>
        <v>29</v>
      </c>
      <c r="CD70" s="174"/>
      <c r="CF70" s="136">
        <f t="shared" si="58"/>
        <v>24.609980017026388</v>
      </c>
      <c r="CH70" s="6">
        <f t="shared" si="59"/>
        <v>0.84862000058711684</v>
      </c>
      <c r="CI70" s="169">
        <v>25.457999999999998</v>
      </c>
      <c r="CK70" s="136">
        <f t="shared" si="60"/>
        <v>24.609980017026388</v>
      </c>
      <c r="CL70" s="162"/>
      <c r="CN70" s="162">
        <v>14.3</v>
      </c>
      <c r="CO70" s="162"/>
      <c r="CP70" s="136">
        <f t="shared" si="61"/>
        <v>0.84801998297360903</v>
      </c>
      <c r="CZ70" s="166">
        <f t="shared" si="49"/>
        <v>25.457999999999998</v>
      </c>
      <c r="DA70" s="193">
        <v>6010</v>
      </c>
      <c r="DB70" s="6">
        <f t="shared" si="267"/>
        <v>0.23607510409301596</v>
      </c>
      <c r="DG70" s="245">
        <v>1073</v>
      </c>
      <c r="DI70" s="182">
        <v>25.457999999999998</v>
      </c>
      <c r="DJ70" s="136">
        <v>0.318</v>
      </c>
      <c r="DK70" s="136">
        <v>1.171</v>
      </c>
      <c r="DL70" s="138">
        <v>9.6000000000000002E-2</v>
      </c>
      <c r="DM70" s="138">
        <v>1.363</v>
      </c>
      <c r="DN70" s="138">
        <v>2.2669999999999999</v>
      </c>
      <c r="DO70" s="138">
        <v>1.014</v>
      </c>
      <c r="DP70" s="136">
        <v>-6.0000000000000001E-3</v>
      </c>
      <c r="DQ70" s="136">
        <v>0.16</v>
      </c>
      <c r="DR70" s="156">
        <f t="shared" si="113"/>
        <v>5.375</v>
      </c>
      <c r="DS70" s="156">
        <f t="shared" si="114"/>
        <v>20.082999999999998</v>
      </c>
      <c r="DT70" s="156">
        <v>1.867</v>
      </c>
      <c r="DU70" s="6">
        <f t="shared" si="115"/>
        <v>9.2964198575909984E-2</v>
      </c>
      <c r="DV70" s="6">
        <f t="shared" si="116"/>
        <v>1.2491161913740279E-2</v>
      </c>
      <c r="DW70" s="6">
        <f t="shared" si="117"/>
        <v>4.5997328933930402E-2</v>
      </c>
      <c r="DX70" s="605">
        <f t="shared" si="118"/>
        <v>3.7709168041480086E-3</v>
      </c>
      <c r="DY70" s="6">
        <f t="shared" si="119"/>
        <v>5.3539162542226418E-2</v>
      </c>
      <c r="DZ70" s="6">
        <f t="shared" si="120"/>
        <v>8.9048629114620165E-2</v>
      </c>
      <c r="EA70" s="6">
        <f t="shared" si="121"/>
        <v>3.9830308743813346E-2</v>
      </c>
      <c r="EB70" s="6">
        <f t="shared" si="122"/>
        <v>-2.3568230025925054E-4</v>
      </c>
      <c r="EC70" s="605">
        <f t="shared" si="123"/>
        <v>6.2848613402466816E-3</v>
      </c>
      <c r="ED70" s="6">
        <f t="shared" si="124"/>
        <v>0.21113206064891196</v>
      </c>
      <c r="EE70" s="6"/>
      <c r="EF70" s="6"/>
      <c r="EG70" s="67">
        <v>11.343</v>
      </c>
      <c r="EN70" s="131"/>
      <c r="EO70" s="56">
        <v>0.5</v>
      </c>
      <c r="ER70" s="182">
        <f t="shared" si="268"/>
        <v>24.609980017026388</v>
      </c>
      <c r="ES70" s="136">
        <f t="shared" ref="ES70:ES74" si="284">ES69*DA70/DA69</f>
        <v>6.1390454811633814</v>
      </c>
      <c r="ET70" s="136"/>
      <c r="EU70" s="136"/>
      <c r="EV70" s="136"/>
      <c r="EW70" s="156">
        <f t="shared" si="125"/>
        <v>0.318</v>
      </c>
      <c r="EX70" s="156">
        <f t="shared" si="126"/>
        <v>1.171</v>
      </c>
      <c r="EY70" s="156">
        <f t="shared" si="127"/>
        <v>9.6000000000000002E-2</v>
      </c>
      <c r="EZ70" s="156">
        <f t="shared" si="128"/>
        <v>1.363</v>
      </c>
      <c r="FA70" s="156">
        <f t="shared" si="129"/>
        <v>1.67564</v>
      </c>
      <c r="FB70" s="156">
        <f t="shared" si="130"/>
        <v>1.014</v>
      </c>
      <c r="FC70" s="156">
        <f t="shared" si="131"/>
        <v>0.11651999999999998</v>
      </c>
      <c r="FD70" s="156">
        <f t="shared" si="132"/>
        <v>0.16</v>
      </c>
      <c r="FE70" s="156">
        <f t="shared" si="133"/>
        <v>4.7836400000000001</v>
      </c>
      <c r="FF70" s="156">
        <f t="shared" si="134"/>
        <v>19.826340017026389</v>
      </c>
      <c r="FG70" s="6">
        <f t="shared" si="135"/>
        <v>1.2921587087026972E-2</v>
      </c>
      <c r="FH70" s="6">
        <f t="shared" si="136"/>
        <v>4.7582322260718825E-2</v>
      </c>
      <c r="FI70" s="6">
        <f t="shared" si="137"/>
        <v>3.9008564791024824E-3</v>
      </c>
      <c r="FJ70" s="6">
        <f t="shared" si="138"/>
        <v>5.5384035218923787E-2</v>
      </c>
      <c r="FK70" s="6">
        <f t="shared" si="139"/>
        <v>6.8087824485867532E-2</v>
      </c>
      <c r="FL70" s="6">
        <f t="shared" si="140"/>
        <v>4.1202796560519971E-2</v>
      </c>
      <c r="FM70" s="6">
        <f t="shared" si="141"/>
        <v>4.734664551510637E-3</v>
      </c>
      <c r="FN70" s="6">
        <f t="shared" si="142"/>
        <v>6.5014274651708035E-3</v>
      </c>
      <c r="FO70" s="6">
        <f t="shared" si="92"/>
        <v>0.19437805299681041</v>
      </c>
      <c r="FP70" s="6">
        <f t="shared" si="93"/>
        <v>0.80562194700318956</v>
      </c>
      <c r="FQ70" s="6">
        <f t="shared" si="94"/>
        <v>2.3625161512604784E-2</v>
      </c>
      <c r="FR70" s="6">
        <f t="shared" si="95"/>
        <v>9.7917168747244335E-2</v>
      </c>
      <c r="FS70" s="6">
        <f t="shared" si="96"/>
        <v>2.7769661248866944E-3</v>
      </c>
      <c r="FT70" s="397">
        <f t="shared" si="97"/>
        <v>1.3884830624433472E-3</v>
      </c>
      <c r="FU70" s="397">
        <f t="shared" si="98"/>
        <v>1.3884830624433472E-3</v>
      </c>
      <c r="FV70" s="6">
        <f t="shared" si="99"/>
        <v>1.1509451925263559E-2</v>
      </c>
      <c r="FW70" s="632">
        <f>GG70+GF70</f>
        <v>0.84801998297360903</v>
      </c>
      <c r="FX70" s="345">
        <f t="shared" si="269"/>
        <v>0</v>
      </c>
      <c r="FY70" s="345">
        <f t="shared" si="270"/>
        <v>0</v>
      </c>
      <c r="FZ70" s="345">
        <f t="shared" si="271"/>
        <v>0</v>
      </c>
      <c r="GA70" s="345">
        <f t="shared" si="272"/>
        <v>0</v>
      </c>
      <c r="GB70" s="55">
        <f t="shared" si="273"/>
        <v>0.59136</v>
      </c>
      <c r="GC70" s="345">
        <f t="shared" si="274"/>
        <v>0</v>
      </c>
      <c r="GD70" s="55">
        <f t="shared" si="275"/>
        <v>-0.12251999999999999</v>
      </c>
      <c r="GE70" s="345">
        <f t="shared" si="276"/>
        <v>0</v>
      </c>
      <c r="GF70" s="344">
        <f t="shared" si="151"/>
        <v>0.59136</v>
      </c>
      <c r="GG70" s="344">
        <f t="shared" si="277"/>
        <v>0.25665998297360909</v>
      </c>
      <c r="GH70" s="169">
        <v>16.056000000000001</v>
      </c>
      <c r="GI70" s="72">
        <v>0.376</v>
      </c>
      <c r="GJ70" s="72">
        <v>0.70799999999999996</v>
      </c>
      <c r="GK70" s="85">
        <v>-0.107</v>
      </c>
      <c r="GL70" s="85">
        <v>1.2310000000000001</v>
      </c>
      <c r="GM70" s="85">
        <v>1.8049999999999999</v>
      </c>
      <c r="GN70" s="85">
        <v>1.3839999999999999</v>
      </c>
      <c r="GO70" s="72">
        <f t="shared" si="153"/>
        <v>0.42100000000000004</v>
      </c>
      <c r="GP70" s="72">
        <v>-3.3000000000000002E-2</v>
      </c>
      <c r="GQ70" s="85">
        <v>0.21099999999999999</v>
      </c>
      <c r="GR70" s="72">
        <f t="shared" si="154"/>
        <v>4.2240000000000002</v>
      </c>
      <c r="GS70" s="72">
        <f t="shared" si="155"/>
        <v>11.832000000000001</v>
      </c>
      <c r="GT70" s="6">
        <f t="shared" si="156"/>
        <v>0.26307922272047835</v>
      </c>
      <c r="GU70" s="334">
        <f t="shared" si="259"/>
        <v>16.056000000000001</v>
      </c>
      <c r="GW70" s="903">
        <f t="shared" si="52"/>
        <v>11.343</v>
      </c>
      <c r="GX70" s="72">
        <f t="shared" si="224"/>
        <v>0.376</v>
      </c>
      <c r="GY70" s="72">
        <f t="shared" si="225"/>
        <v>0.70799999999999996</v>
      </c>
      <c r="GZ70" s="72">
        <f t="shared" si="226"/>
        <v>-0.107</v>
      </c>
      <c r="HA70" s="72">
        <f t="shared" si="227"/>
        <v>1.2310000000000001</v>
      </c>
      <c r="HB70" s="72">
        <f t="shared" si="228"/>
        <v>1.8505999999999998</v>
      </c>
      <c r="HC70" s="72">
        <f t="shared" si="229"/>
        <v>1.3839999999999999</v>
      </c>
      <c r="HD70" s="72">
        <f t="shared" si="230"/>
        <v>1.2599999999999903E-2</v>
      </c>
      <c r="HE70" s="72">
        <f t="shared" si="231"/>
        <v>0.21099999999999999</v>
      </c>
      <c r="HF70" s="72">
        <f t="shared" si="158"/>
        <v>4.2696000000000005</v>
      </c>
      <c r="HG70" s="6">
        <f t="shared" si="232"/>
        <v>0.26591928251121077</v>
      </c>
      <c r="HH70" s="72">
        <f t="shared" si="233"/>
        <v>16.736999999999995</v>
      </c>
      <c r="HI70" s="169">
        <v>4.7130000000000001</v>
      </c>
      <c r="HT70" s="131"/>
      <c r="IF70" s="743">
        <v>0</v>
      </c>
      <c r="IG70" s="74">
        <v>0</v>
      </c>
      <c r="IH70" s="74">
        <v>0</v>
      </c>
      <c r="II70" s="74">
        <v>0</v>
      </c>
      <c r="IJ70" s="74">
        <v>0</v>
      </c>
      <c r="IK70" s="360">
        <f t="shared" si="159"/>
        <v>-4.5599999999999904E-2</v>
      </c>
      <c r="IL70" s="74">
        <v>0</v>
      </c>
      <c r="IM70" s="371">
        <f>(JQ70-JQ69)*1.2</f>
        <v>-4.5599999999999904E-2</v>
      </c>
      <c r="IN70" s="74">
        <v>0</v>
      </c>
      <c r="IO70" s="373">
        <f t="shared" si="160"/>
        <v>-4.5599999999999904E-2</v>
      </c>
      <c r="IP70" s="373">
        <f t="shared" si="235"/>
        <v>4.5599999999999904E-2</v>
      </c>
      <c r="IQ70" s="174">
        <f t="shared" si="236"/>
        <v>0</v>
      </c>
      <c r="IR70" s="337">
        <f t="shared" si="161"/>
        <v>162.727</v>
      </c>
      <c r="IS70" s="72">
        <f t="shared" si="237"/>
        <v>16.736999999999995</v>
      </c>
      <c r="IT70" s="72">
        <f t="shared" si="238"/>
        <v>0</v>
      </c>
      <c r="IU70" s="136">
        <f t="shared" si="53"/>
        <v>11.343</v>
      </c>
      <c r="IV70" s="903">
        <f t="shared" si="260"/>
        <v>4.7130000000000001</v>
      </c>
      <c r="IW70" s="903">
        <f t="shared" si="239"/>
        <v>0</v>
      </c>
      <c r="IX70" s="72">
        <f t="shared" si="240"/>
        <v>0.68099999999999472</v>
      </c>
      <c r="JB70" s="6">
        <f t="shared" si="162"/>
        <v>8.0165032760234498E-2</v>
      </c>
      <c r="JC70" s="6">
        <f t="shared" si="163"/>
        <v>1.3820877875757427E-2</v>
      </c>
      <c r="JD70" s="6">
        <f t="shared" si="164"/>
        <v>6.6344154884477063E-2</v>
      </c>
      <c r="JE70" s="902">
        <f t="shared" si="54"/>
        <v>5.5879599980294594E-3</v>
      </c>
      <c r="JF70" s="1006"/>
      <c r="JG70" s="1001"/>
      <c r="JH70" s="5">
        <v>162.727</v>
      </c>
      <c r="JI70" s="192">
        <v>30.532</v>
      </c>
      <c r="JJ70" s="75">
        <v>1.361</v>
      </c>
      <c r="JK70" s="75">
        <v>5.2450000000000001</v>
      </c>
      <c r="JL70" s="75">
        <v>0.56999999999999995</v>
      </c>
      <c r="JM70" s="75">
        <v>8.4190000000000005</v>
      </c>
      <c r="JN70" s="75">
        <v>11.734</v>
      </c>
      <c r="JO70" s="75">
        <v>9.0990000000000002</v>
      </c>
      <c r="JP70" s="75">
        <f>JN70-JO70</f>
        <v>2.6349999999999998</v>
      </c>
      <c r="JQ70" s="75">
        <v>-0.83</v>
      </c>
      <c r="JR70" s="75">
        <v>0.72599999999999998</v>
      </c>
      <c r="JS70" s="75">
        <f>JR70+JN70+JM70+JL70+JK70+JJ70</f>
        <v>28.055000000000003</v>
      </c>
      <c r="JT70" s="75">
        <f t="shared" si="278"/>
        <v>134.672</v>
      </c>
      <c r="JU70" s="6">
        <f t="shared" si="279"/>
        <v>0.17240531688041938</v>
      </c>
      <c r="JV70" s="6">
        <f t="shared" si="280"/>
        <v>8.3637011682142475E-3</v>
      </c>
      <c r="JW70" s="6">
        <f t="shared" si="280"/>
        <v>3.2231897595359098E-2</v>
      </c>
      <c r="JX70" s="6">
        <f t="shared" si="280"/>
        <v>3.5027991667025138E-3</v>
      </c>
      <c r="JY70" s="6">
        <f t="shared" si="280"/>
        <v>5.1736958218365728E-2</v>
      </c>
      <c r="JZ70" s="6">
        <f t="shared" si="280"/>
        <v>7.2108500740504039E-2</v>
      </c>
      <c r="KA70" s="6">
        <f t="shared" si="281"/>
        <v>4.4614599912737281E-3</v>
      </c>
      <c r="KB70" s="365">
        <f>KB71-IF71</f>
        <v>12.705</v>
      </c>
      <c r="KC70" s="162">
        <f>KD70+KB70</f>
        <v>47.242147231471208</v>
      </c>
      <c r="KD70" s="162">
        <f>KD71*MI70/MI71</f>
        <v>34.537147231471209</v>
      </c>
      <c r="KE70" s="6">
        <f t="shared" si="242"/>
        <v>0.73106641538223027</v>
      </c>
      <c r="KF70" s="1071">
        <v>0</v>
      </c>
      <c r="KG70" s="222">
        <f t="shared" si="243"/>
        <v>0</v>
      </c>
      <c r="KH70" s="222">
        <f t="shared" si="244"/>
        <v>0</v>
      </c>
      <c r="KI70" s="222">
        <f t="shared" si="245"/>
        <v>0</v>
      </c>
      <c r="KJ70" s="222">
        <f t="shared" si="246"/>
        <v>0</v>
      </c>
      <c r="KK70" s="72">
        <f t="shared" ref="KK70:KK98" si="285">KK69+IK70</f>
        <v>5.9135999999999997</v>
      </c>
      <c r="KL70" s="74">
        <f t="shared" si="248"/>
        <v>0</v>
      </c>
      <c r="KM70" s="345"/>
      <c r="KN70" s="345"/>
      <c r="KO70" s="72">
        <f t="shared" si="249"/>
        <v>-1.2251999999999998</v>
      </c>
      <c r="KP70" s="74">
        <f t="shared" si="250"/>
        <v>0</v>
      </c>
      <c r="KQ70" s="72">
        <f t="shared" si="177"/>
        <v>5.9135999999999997</v>
      </c>
      <c r="KR70" s="85">
        <f t="shared" si="251"/>
        <v>6.7914000000000003</v>
      </c>
      <c r="KS70" s="6">
        <f t="shared" si="178"/>
        <v>3.3456820533031184E-3</v>
      </c>
      <c r="KT70" s="6">
        <f t="shared" si="179"/>
        <v>3.5474846598898116E-2</v>
      </c>
      <c r="KU70" s="169">
        <f t="shared" si="180"/>
        <v>150.02199999999999</v>
      </c>
      <c r="KV70" s="174">
        <f t="shared" si="252"/>
        <v>30.532</v>
      </c>
      <c r="KW70" s="162">
        <f t="shared" si="181"/>
        <v>1.361</v>
      </c>
      <c r="KX70" s="162">
        <f t="shared" si="182"/>
        <v>5.2450000000000001</v>
      </c>
      <c r="KY70" s="162">
        <f t="shared" si="183"/>
        <v>0.56999999999999995</v>
      </c>
      <c r="KZ70" s="162">
        <f t="shared" si="184"/>
        <v>8.4190000000000005</v>
      </c>
      <c r="LA70" s="162">
        <f t="shared" si="185"/>
        <v>5.8204000000000002</v>
      </c>
      <c r="LB70" s="162">
        <f t="shared" si="186"/>
        <v>9.0990000000000002</v>
      </c>
      <c r="LC70" s="72">
        <f t="shared" si="187"/>
        <v>0.39519999999999988</v>
      </c>
      <c r="LD70" s="162">
        <f t="shared" si="188"/>
        <v>0.72599999999999998</v>
      </c>
      <c r="LE70" s="162">
        <f t="shared" si="189"/>
        <v>22.141400000000004</v>
      </c>
      <c r="LF70" s="162">
        <f t="shared" si="190"/>
        <v>0</v>
      </c>
      <c r="LG70" s="162">
        <f t="shared" si="191"/>
        <v>127.8806</v>
      </c>
      <c r="LH70" s="19">
        <f t="shared" si="192"/>
        <v>0.14758768713921963</v>
      </c>
      <c r="LI70" s="6">
        <f t="shared" si="193"/>
        <v>9.0720027729266385E-3</v>
      </c>
      <c r="LJ70" s="6">
        <f t="shared" si="194"/>
        <v>3.4961538974283772E-2</v>
      </c>
      <c r="LK70" s="6">
        <f t="shared" si="195"/>
        <v>3.7994427483969018E-3</v>
      </c>
      <c r="LL70" s="6">
        <f t="shared" si="196"/>
        <v>5.611843596272547E-2</v>
      </c>
      <c r="LM70" s="6">
        <f t="shared" si="197"/>
        <v>3.8796976443454964E-2</v>
      </c>
      <c r="LN70" s="6">
        <f t="shared" si="198"/>
        <v>6.0651104504672655E-2</v>
      </c>
      <c r="LO70" s="6">
        <f t="shared" si="199"/>
        <v>2.6342803055551846E-3</v>
      </c>
      <c r="LP70" s="6">
        <f t="shared" si="200"/>
        <v>4.8392902374318437E-3</v>
      </c>
      <c r="LQ70" s="6">
        <f t="shared" si="201"/>
        <v>7.3906103748953136E-2</v>
      </c>
      <c r="LR70" s="6">
        <f t="shared" si="202"/>
        <v>6.2998472831173949E-2</v>
      </c>
      <c r="LS70" s="6">
        <f t="shared" si="203"/>
        <v>1.0907630917779203E-2</v>
      </c>
      <c r="LT70" s="295"/>
      <c r="LU70" s="156"/>
      <c r="LV70" s="156">
        <f t="shared" si="204"/>
        <v>12.705</v>
      </c>
      <c r="LW70" s="156">
        <f t="shared" si="283"/>
        <v>34.537147231471209</v>
      </c>
      <c r="LX70" s="422">
        <f>LY70*Liabilities!GT70</f>
        <v>3.2637648309943641</v>
      </c>
      <c r="LY70" s="56">
        <f t="shared" si="206"/>
        <v>5.6670963373826537E-2</v>
      </c>
      <c r="LZ70" s="56">
        <f t="shared" si="253"/>
        <v>0.22280871553279108</v>
      </c>
      <c r="MA70" s="156"/>
      <c r="MB70" s="156"/>
      <c r="MC70" s="156">
        <f>Liabilities!EF70</f>
        <v>11.384516871944816</v>
      </c>
      <c r="MD70" s="156"/>
      <c r="ME70" s="156"/>
      <c r="MF70" s="156">
        <f t="shared" si="207"/>
        <v>14.64828170293918</v>
      </c>
      <c r="MG70" s="156">
        <f t="shared" si="208"/>
        <v>47.242147231471208</v>
      </c>
      <c r="MH70" s="326">
        <f t="shared" si="209"/>
        <v>150.02199999999999</v>
      </c>
      <c r="MI70" s="1008">
        <f>FoF_RoW!$BH40/1000</f>
        <v>287.51100000000002</v>
      </c>
      <c r="MJ70" s="1008"/>
      <c r="MK70" s="1008">
        <f>FoF_RoW!$AU40/1000</f>
        <v>15.699</v>
      </c>
      <c r="ML70" s="1008">
        <f t="shared" si="254"/>
        <v>39.212000000000018</v>
      </c>
      <c r="MM70" s="430">
        <f t="shared" si="210"/>
        <v>274.80600000000004</v>
      </c>
      <c r="MN70" s="6">
        <f t="shared" si="211"/>
        <v>1.8317713402034372</v>
      </c>
      <c r="MO70" s="156">
        <v>189.86799999999999</v>
      </c>
      <c r="MP70" s="430"/>
      <c r="MQ70" s="156"/>
      <c r="MR70" s="156"/>
      <c r="MS70" s="156">
        <f t="shared" si="212"/>
        <v>12.705</v>
      </c>
      <c r="MT70" s="156"/>
      <c r="MU70" s="156"/>
      <c r="MV70" s="156"/>
      <c r="MW70" s="156"/>
      <c r="MX70" s="156"/>
      <c r="MY70" s="430">
        <f t="shared" si="255"/>
        <v>65.802000000000021</v>
      </c>
      <c r="MZ70" s="62">
        <f t="shared" si="213"/>
        <v>3.2416375190896109E-2</v>
      </c>
      <c r="NA70" s="154">
        <v>526.09</v>
      </c>
      <c r="NB70" s="156">
        <v>397.81700000000001</v>
      </c>
      <c r="NC70" s="430">
        <v>142.59199999999998</v>
      </c>
      <c r="ND70" s="6">
        <f t="shared" si="214"/>
        <v>7.0245824917483615E-2</v>
      </c>
      <c r="NE70" s="156"/>
      <c r="NF70" s="156"/>
      <c r="NG70" s="156"/>
      <c r="NH70" s="156"/>
      <c r="NI70" s="332">
        <v>62.470999999999997</v>
      </c>
      <c r="NJ70" s="430">
        <f t="shared" si="63"/>
        <v>21.247</v>
      </c>
      <c r="NK70" s="405">
        <f t="shared" si="64"/>
        <v>1.046701807970836E-2</v>
      </c>
      <c r="NL70" s="156">
        <v>21.247</v>
      </c>
      <c r="NM70" s="156">
        <v>25.457999999999998</v>
      </c>
      <c r="NN70" s="156">
        <v>4.2110000000000003</v>
      </c>
      <c r="NO70" s="430">
        <f t="shared" si="100"/>
        <v>20.407000000000004</v>
      </c>
      <c r="NP70" s="156">
        <v>42.087000000000003</v>
      </c>
      <c r="NQ70" s="156">
        <v>21.68</v>
      </c>
      <c r="NR70" s="405">
        <f t="shared" si="65"/>
        <v>1.0053204591359182E-2</v>
      </c>
      <c r="NS70" s="405">
        <f t="shared" si="66"/>
        <v>1.046701807970836E-2</v>
      </c>
      <c r="NT70" s="405">
        <f t="shared" si="67"/>
        <v>-4.1381348834917779E-4</v>
      </c>
      <c r="NU70" s="727" t="e">
        <f t="shared" si="215"/>
        <v>#DIV/0!</v>
      </c>
      <c r="NV70" s="688">
        <f t="shared" si="216"/>
        <v>8.9554012710881079E-2</v>
      </c>
      <c r="NW70" s="688">
        <f t="shared" si="217"/>
        <v>0.16404247388400628</v>
      </c>
      <c r="NX70" s="793" t="e">
        <f>(ER70-T.A2!B22*T.A1!M22)/MP70</f>
        <v>#DIV/0!</v>
      </c>
      <c r="NY70" s="688" t="e">
        <f>Liabilities!BU70/Liabilities!GY70</f>
        <v>#DIV/0!</v>
      </c>
      <c r="NZ70" s="688">
        <f>Liabilities!BU70/Liabilities!GT70</f>
        <v>7.3392796476549713E-2</v>
      </c>
      <c r="OA70" s="688" t="e">
        <f>Liabilities!BU70/Liabilities!GR70</f>
        <v>#DIV/0!</v>
      </c>
      <c r="OB70" s="688" t="e">
        <f t="shared" si="256"/>
        <v>#DIV/0!</v>
      </c>
      <c r="OC70" s="688">
        <f t="shared" si="257"/>
        <v>1.6161216234331366E-2</v>
      </c>
      <c r="OD70" s="688"/>
      <c r="OE70" s="793">
        <f t="shared" si="218"/>
        <v>8.9554012710881079E-2</v>
      </c>
      <c r="OF70" s="793">
        <f>OE70/(1-'Assets(MOFA)'!GU23)</f>
        <v>0.27073463174182116</v>
      </c>
      <c r="OG70" s="793">
        <f>Liabilities!HV70</f>
        <v>0</v>
      </c>
      <c r="OH70" s="793"/>
      <c r="OI70" s="389">
        <f t="shared" si="219"/>
        <v>3.7791910795065685E-2</v>
      </c>
      <c r="OJ70" s="389">
        <f t="shared" si="265"/>
        <v>5.3016473884290309E-2</v>
      </c>
      <c r="OK70" s="389"/>
      <c r="OL70" s="389"/>
      <c r="OM70" s="422"/>
      <c r="OO70" s="97">
        <f t="shared" si="221"/>
        <v>8.9554012710881079E-2</v>
      </c>
      <c r="OP70" s="190"/>
      <c r="OQ70" s="190"/>
      <c r="OR70" s="190"/>
      <c r="OS70" s="74"/>
      <c r="OT70" s="74"/>
      <c r="OU70" s="74"/>
      <c r="OV70" s="74"/>
      <c r="OW70" s="74"/>
      <c r="OX70" s="74"/>
      <c r="OY70" s="74"/>
      <c r="OZ70" s="74"/>
      <c r="PA70" s="74"/>
      <c r="PG70" s="69"/>
      <c r="PH70" s="6">
        <f>'Assets(MOFA)'!GU23</f>
        <v>0.66921848108341797</v>
      </c>
      <c r="PI70" s="6">
        <f>'Assets(MOFA)'!HM23</f>
        <v>0.39048868820637556</v>
      </c>
      <c r="PJ70" s="60">
        <f t="shared" si="222"/>
        <v>5.7373552008710769E-2</v>
      </c>
      <c r="PL70" s="60">
        <f>'Assets(MOFA)'!GO23/MM70/1000</f>
        <v>4.1501277264688524E-2</v>
      </c>
    </row>
    <row r="71" spans="2:428" s="113" customFormat="1">
      <c r="B71" s="103">
        <v>1979</v>
      </c>
      <c r="C71" s="104">
        <v>2248.1999999999998</v>
      </c>
      <c r="D71" s="8">
        <v>249</v>
      </c>
      <c r="E71" s="105">
        <f t="shared" si="68"/>
        <v>0.11075527088337338</v>
      </c>
      <c r="F71" s="106">
        <f t="shared" si="69"/>
        <v>0</v>
      </c>
      <c r="G71" s="108">
        <f t="shared" si="70"/>
        <v>214.4</v>
      </c>
      <c r="H71" s="105">
        <f t="shared" si="71"/>
        <v>9.5365181033715871E-2</v>
      </c>
      <c r="I71" s="103">
        <v>34.6</v>
      </c>
      <c r="J71" s="107">
        <f t="shared" si="72"/>
        <v>1.5390089849657505E-2</v>
      </c>
      <c r="K71" s="105">
        <f t="shared" si="73"/>
        <v>0.13895582329317269</v>
      </c>
      <c r="L71" s="134">
        <v>42.599999999999994</v>
      </c>
      <c r="M71" s="107">
        <f t="shared" si="74"/>
        <v>1.894849212703496E-2</v>
      </c>
      <c r="N71" s="116">
        <f t="shared" si="75"/>
        <v>0.17108433734939757</v>
      </c>
      <c r="O71" s="8">
        <f t="shared" si="76"/>
        <v>249</v>
      </c>
      <c r="P71" s="108">
        <f t="shared" si="77"/>
        <v>0</v>
      </c>
      <c r="Q71" s="270">
        <v>283</v>
      </c>
      <c r="R71" s="201">
        <v>16.5</v>
      </c>
      <c r="S71" s="109">
        <f t="shared" si="78"/>
        <v>6.6265060240963861E-2</v>
      </c>
      <c r="T71" s="103">
        <v>9.4</v>
      </c>
      <c r="U71" s="103">
        <v>-52.1</v>
      </c>
      <c r="V71" s="206">
        <v>21</v>
      </c>
      <c r="W71" s="109">
        <f t="shared" si="79"/>
        <v>8.4337349397590355E-2</v>
      </c>
      <c r="X71" s="108">
        <f t="shared" si="80"/>
        <v>13.200000000000045</v>
      </c>
      <c r="Y71" s="188"/>
      <c r="Z71" s="108"/>
      <c r="AA71" s="108"/>
      <c r="AB71" s="108"/>
      <c r="AC71" s="108">
        <f t="shared" si="103"/>
        <v>2.0447713640314307</v>
      </c>
      <c r="AD71" s="105">
        <f t="shared" si="81"/>
        <v>8.2119331888812468E-3</v>
      </c>
      <c r="AE71" s="108"/>
      <c r="AF71" s="108">
        <v>2.2307000788111204</v>
      </c>
      <c r="AG71" s="108"/>
      <c r="AH71" s="110">
        <v>90</v>
      </c>
      <c r="AI71" s="107">
        <f t="shared" si="82"/>
        <v>4.0032025620496403E-2</v>
      </c>
      <c r="AJ71" s="107">
        <f t="shared" si="83"/>
        <v>3.5895382973045106E-2</v>
      </c>
      <c r="AK71" s="111">
        <f t="shared" si="84"/>
        <v>-9.9999999999994316E-2</v>
      </c>
      <c r="AL71" s="103">
        <v>65.2</v>
      </c>
      <c r="AM71" s="106">
        <f>(0.25*Fedtax!C52+0.75*Fedtax!C51)/1000</f>
        <v>65.407749999999993</v>
      </c>
      <c r="AN71" s="103">
        <v>13.6</v>
      </c>
      <c r="AO71" s="277">
        <v>2</v>
      </c>
      <c r="AP71" s="103">
        <v>9.3000000000000007</v>
      </c>
      <c r="AQ71" s="105">
        <f t="shared" si="85"/>
        <v>7.0723245262876974E-2</v>
      </c>
      <c r="AR71" s="206">
        <v>38.200000000000003</v>
      </c>
      <c r="AS71" s="715">
        <v>36.628</v>
      </c>
      <c r="AT71" s="434">
        <f>18.591+6.447</f>
        <v>25.038</v>
      </c>
      <c r="AU71" s="519">
        <f t="shared" si="266"/>
        <v>0.68357540679261763</v>
      </c>
      <c r="AV71" s="775">
        <f>AV70+AS71-AS70+5</f>
        <v>55.921999999999997</v>
      </c>
      <c r="AW71" s="523">
        <f>AW70+AT71-AT70+5</f>
        <v>44.075000000000003</v>
      </c>
      <c r="AX71" s="801">
        <f t="shared" si="104"/>
        <v>11.846999999999994</v>
      </c>
      <c r="AY71" s="770">
        <f>AW71/AV71</f>
        <v>0.78815135367118494</v>
      </c>
      <c r="AZ71" s="708"/>
      <c r="BA71" s="434"/>
      <c r="BB71" s="410"/>
      <c r="BC71" s="206"/>
      <c r="BD71" s="434">
        <f>'Assets(MOFA)'!FJ24/1000</f>
        <v>67.106399999999994</v>
      </c>
      <c r="BE71" s="519">
        <f t="shared" si="105"/>
        <v>0.83333333333333337</v>
      </c>
      <c r="BF71" s="232">
        <v>0.46</v>
      </c>
      <c r="BG71" s="135"/>
      <c r="BH71" s="141">
        <f t="shared" si="106"/>
        <v>0.3182552504038772</v>
      </c>
      <c r="BI71" s="247">
        <f t="shared" si="57"/>
        <v>0.3182552504038772</v>
      </c>
      <c r="BJ71" s="105">
        <f t="shared" si="107"/>
        <v>0.29300074460163811</v>
      </c>
      <c r="BK71" s="141">
        <f t="shared" si="108"/>
        <v>0.40902729181245628</v>
      </c>
      <c r="BL71" s="141">
        <f t="shared" si="109"/>
        <v>0.40910363972157421</v>
      </c>
      <c r="BM71" s="247">
        <f t="shared" si="110"/>
        <v>0.41197478743192345</v>
      </c>
      <c r="BN71" s="105">
        <f t="shared" si="111"/>
        <v>0.2851590106007067</v>
      </c>
      <c r="BO71" s="105">
        <f t="shared" si="112"/>
        <v>0.26944908180300503</v>
      </c>
      <c r="BP71" s="150">
        <f t="shared" si="86"/>
        <v>249</v>
      </c>
      <c r="BQ71" s="111">
        <f t="shared" si="87"/>
        <v>9.9999999999994316E-2</v>
      </c>
      <c r="BR71" s="154">
        <f t="shared" si="88"/>
        <v>90</v>
      </c>
      <c r="BS71" s="134">
        <v>57.5</v>
      </c>
      <c r="BT71" s="134">
        <v>101.4</v>
      </c>
      <c r="BU71" s="105">
        <f t="shared" si="223"/>
        <v>0.40722891566265063</v>
      </c>
      <c r="BV71" s="103">
        <v>82.9</v>
      </c>
      <c r="BW71" s="103">
        <f t="shared" si="89"/>
        <v>18.5</v>
      </c>
      <c r="BX71" s="105">
        <f t="shared" si="90"/>
        <v>7.4297188755020074E-2</v>
      </c>
      <c r="BY71" s="105"/>
      <c r="BZ71" s="105"/>
      <c r="CA71" s="105"/>
      <c r="CB71" s="105">
        <f t="shared" si="262"/>
        <v>0.53468208092485547</v>
      </c>
      <c r="CC71" s="170">
        <f t="shared" si="91"/>
        <v>42.599999999999994</v>
      </c>
      <c r="CD71" s="175"/>
      <c r="CF71" s="134">
        <f t="shared" si="58"/>
        <v>37.428814698783114</v>
      </c>
      <c r="CH71" s="105">
        <f t="shared" si="59"/>
        <v>0.87861067368035495</v>
      </c>
      <c r="CI71" s="170">
        <v>38.183</v>
      </c>
      <c r="CK71" s="134">
        <f t="shared" si="60"/>
        <v>37.428814698783114</v>
      </c>
      <c r="CL71" s="160"/>
      <c r="CN71" s="160">
        <v>22.7</v>
      </c>
      <c r="CO71" s="160"/>
      <c r="CP71" s="134">
        <f t="shared" si="61"/>
        <v>0.75418530121688621</v>
      </c>
      <c r="CZ71" s="165">
        <f t="shared" si="49"/>
        <v>38.183</v>
      </c>
      <c r="DA71" s="7">
        <v>13292</v>
      </c>
      <c r="DB71" s="105">
        <f t="shared" si="267"/>
        <v>0.34811303459654824</v>
      </c>
      <c r="DG71" s="113">
        <v>1374</v>
      </c>
      <c r="DI71" s="183">
        <v>38.183</v>
      </c>
      <c r="DJ71" s="134">
        <v>0.39700000000000002</v>
      </c>
      <c r="DK71" s="134">
        <v>1.9339999999999999</v>
      </c>
      <c r="DL71" s="300">
        <v>3.2000000000000001E-2</v>
      </c>
      <c r="DM71" s="300">
        <v>1.988</v>
      </c>
      <c r="DN71" s="300">
        <v>3.5550000000000002</v>
      </c>
      <c r="DO71" s="300">
        <v>1.627</v>
      </c>
      <c r="DP71" s="134">
        <v>0.107</v>
      </c>
      <c r="DQ71" s="134">
        <v>0.23699999999999999</v>
      </c>
      <c r="DR71" s="154">
        <f t="shared" si="113"/>
        <v>8.1430000000000007</v>
      </c>
      <c r="DS71" s="154">
        <f t="shared" si="114"/>
        <v>30.04</v>
      </c>
      <c r="DT71" s="154">
        <v>2.72</v>
      </c>
      <c r="DU71" s="105">
        <f t="shared" si="115"/>
        <v>9.0545938748335567E-2</v>
      </c>
      <c r="DV71" s="105">
        <f t="shared" si="116"/>
        <v>1.0397297226514418E-2</v>
      </c>
      <c r="DW71" s="105">
        <f t="shared" si="117"/>
        <v>5.0650813189115573E-2</v>
      </c>
      <c r="DX71" s="607">
        <f t="shared" si="118"/>
        <v>8.3806929785506645E-4</v>
      </c>
      <c r="DY71" s="105">
        <f t="shared" si="119"/>
        <v>5.2065055129246002E-2</v>
      </c>
      <c r="DZ71" s="105">
        <f t="shared" si="120"/>
        <v>9.3104261058586282E-2</v>
      </c>
      <c r="EA71" s="105">
        <f t="shared" si="121"/>
        <v>4.2610585862818531E-2</v>
      </c>
      <c r="EB71" s="105">
        <f t="shared" si="122"/>
        <v>2.8022942147028782E-3</v>
      </c>
      <c r="EC71" s="607">
        <f t="shared" si="123"/>
        <v>6.206950737239085E-3</v>
      </c>
      <c r="ED71" s="105">
        <f t="shared" si="124"/>
        <v>0.21326244663855642</v>
      </c>
      <c r="EE71" s="105"/>
      <c r="EF71" s="105"/>
      <c r="EG71" s="178">
        <v>18.963999999999999</v>
      </c>
      <c r="EN71" s="115"/>
      <c r="EO71" s="410">
        <v>0.5</v>
      </c>
      <c r="ER71" s="183">
        <f t="shared" si="268"/>
        <v>37.428814698783114</v>
      </c>
      <c r="ES71" s="134">
        <f t="shared" si="284"/>
        <v>13.577403084130394</v>
      </c>
      <c r="ET71" s="134"/>
      <c r="EU71" s="134"/>
      <c r="EV71" s="134"/>
      <c r="EW71" s="154">
        <f t="shared" si="125"/>
        <v>0.39700000000000002</v>
      </c>
      <c r="EX71" s="154">
        <f t="shared" si="126"/>
        <v>1.9339999999999999</v>
      </c>
      <c r="EY71" s="154">
        <f t="shared" si="127"/>
        <v>3.2000000000000001E-2</v>
      </c>
      <c r="EZ71" s="154">
        <f t="shared" si="128"/>
        <v>1.988</v>
      </c>
      <c r="FA71" s="154">
        <f t="shared" si="129"/>
        <v>3.1144800000000004</v>
      </c>
      <c r="FB71" s="154">
        <f t="shared" si="130"/>
        <v>1.627</v>
      </c>
      <c r="FC71" s="154">
        <f t="shared" si="131"/>
        <v>0.38035999999999998</v>
      </c>
      <c r="FD71" s="154">
        <f t="shared" si="132"/>
        <v>0.23699999999999999</v>
      </c>
      <c r="FE71" s="154">
        <f t="shared" si="133"/>
        <v>7.7024800000000004</v>
      </c>
      <c r="FF71" s="154">
        <f t="shared" si="134"/>
        <v>29.726334698783113</v>
      </c>
      <c r="FG71" s="105">
        <f t="shared" si="135"/>
        <v>1.0606801289192502E-2</v>
      </c>
      <c r="FH71" s="105">
        <f t="shared" si="136"/>
        <v>5.167141988236347E-2</v>
      </c>
      <c r="FI71" s="105">
        <f t="shared" si="137"/>
        <v>8.5495627519939564E-4</v>
      </c>
      <c r="FJ71" s="105">
        <f t="shared" si="138"/>
        <v>5.3114158596762454E-2</v>
      </c>
      <c r="FK71" s="105">
        <f t="shared" si="139"/>
        <v>8.3210756874469188E-2</v>
      </c>
      <c r="FL71" s="105">
        <f t="shared" si="140"/>
        <v>4.3469183117169269E-2</v>
      </c>
      <c r="FM71" s="105">
        <f t="shared" si="141"/>
        <v>1.0162224026088816E-2</v>
      </c>
      <c r="FN71" s="105">
        <f t="shared" si="142"/>
        <v>6.3320199131955239E-3</v>
      </c>
      <c r="FO71" s="105">
        <f t="shared" si="92"/>
        <v>0.20579011283118254</v>
      </c>
      <c r="FP71" s="105">
        <f t="shared" si="93"/>
        <v>0.79420988716881746</v>
      </c>
      <c r="FQ71" s="105">
        <f t="shared" si="94"/>
        <v>3.5207465086780625E-2</v>
      </c>
      <c r="FR71" s="105">
        <f t="shared" si="95"/>
        <v>0.13587687226261694</v>
      </c>
      <c r="FS71" s="105">
        <f t="shared" si="96"/>
        <v>3.8994123328032989E-3</v>
      </c>
      <c r="FT71" s="398">
        <f t="shared" si="97"/>
        <v>1.9497061664016495E-3</v>
      </c>
      <c r="FU71" s="398">
        <f t="shared" si="98"/>
        <v>1.9497061664016495E-3</v>
      </c>
      <c r="FV71" s="105">
        <f t="shared" si="99"/>
        <v>1.5049079794231661E-2</v>
      </c>
      <c r="FW71" s="634">
        <f>GG71+GF71</f>
        <v>0.75418530121688621</v>
      </c>
      <c r="FX71" s="347">
        <f t="shared" si="269"/>
        <v>0</v>
      </c>
      <c r="FY71" s="347">
        <f t="shared" si="270"/>
        <v>0</v>
      </c>
      <c r="FZ71" s="347">
        <f t="shared" si="271"/>
        <v>0</v>
      </c>
      <c r="GA71" s="347">
        <f t="shared" si="272"/>
        <v>0</v>
      </c>
      <c r="GB71" s="523">
        <f t="shared" si="273"/>
        <v>0.44052000000000002</v>
      </c>
      <c r="GC71" s="347">
        <f t="shared" si="274"/>
        <v>0</v>
      </c>
      <c r="GD71" s="523">
        <f t="shared" si="275"/>
        <v>-0.27335999999999999</v>
      </c>
      <c r="GE71" s="347">
        <f t="shared" si="276"/>
        <v>0</v>
      </c>
      <c r="GF71" s="346">
        <f t="shared" si="151"/>
        <v>0.44052000000000002</v>
      </c>
      <c r="GG71" s="346">
        <f t="shared" si="277"/>
        <v>0.31366530121688624</v>
      </c>
      <c r="GH71" s="170">
        <v>25.222000000000001</v>
      </c>
      <c r="GI71" s="106">
        <v>0.47799999999999998</v>
      </c>
      <c r="GJ71" s="106">
        <v>1.647</v>
      </c>
      <c r="GK71" s="106">
        <v>-2.4E-2</v>
      </c>
      <c r="GL71" s="106">
        <v>1.2609999999999999</v>
      </c>
      <c r="GM71" s="106">
        <v>0.65800000000000003</v>
      </c>
      <c r="GN71" s="106">
        <v>0.85799999999999998</v>
      </c>
      <c r="GO71" s="106">
        <f t="shared" si="153"/>
        <v>-0.19999999999999996</v>
      </c>
      <c r="GP71" s="106">
        <v>-1.2549999999999999</v>
      </c>
      <c r="GQ71" s="106">
        <v>0.127</v>
      </c>
      <c r="GR71" s="106">
        <f t="shared" si="154"/>
        <v>4.1469999999999994</v>
      </c>
      <c r="GS71" s="106">
        <f t="shared" si="155"/>
        <v>21.075000000000003</v>
      </c>
      <c r="GT71" s="105">
        <f t="shared" si="156"/>
        <v>0.16441995083657121</v>
      </c>
      <c r="GU71" s="336">
        <f t="shared" si="259"/>
        <v>25.222000000000001</v>
      </c>
      <c r="GW71" s="901">
        <f t="shared" si="52"/>
        <v>18.963999999999999</v>
      </c>
      <c r="GX71" s="106">
        <f t="shared" si="224"/>
        <v>0.47799999999999998</v>
      </c>
      <c r="GY71" s="106">
        <f t="shared" si="225"/>
        <v>1.647</v>
      </c>
      <c r="GZ71" s="106">
        <f t="shared" si="226"/>
        <v>-2.4E-2</v>
      </c>
      <c r="HA71" s="106">
        <f t="shared" si="227"/>
        <v>1.2609999999999999</v>
      </c>
      <c r="HB71" s="106">
        <f t="shared" si="228"/>
        <v>2.1664000000000003</v>
      </c>
      <c r="HC71" s="106">
        <f t="shared" si="229"/>
        <v>0.85799999999999998</v>
      </c>
      <c r="HD71" s="106">
        <f t="shared" si="230"/>
        <v>0.25340000000000029</v>
      </c>
      <c r="HE71" s="106">
        <f t="shared" si="231"/>
        <v>0.127</v>
      </c>
      <c r="HF71" s="106">
        <f t="shared" si="158"/>
        <v>5.6554000000000002</v>
      </c>
      <c r="HG71" s="105">
        <f t="shared" si="232"/>
        <v>0.22422488303861707</v>
      </c>
      <c r="HH71" s="106">
        <f>KU71-KU70</f>
        <v>25.131</v>
      </c>
      <c r="HI71" s="170">
        <v>6.258</v>
      </c>
      <c r="HT71" s="115"/>
      <c r="IF71" s="744">
        <v>0</v>
      </c>
      <c r="IG71" s="103">
        <v>0</v>
      </c>
      <c r="IH71" s="103">
        <v>0</v>
      </c>
      <c r="II71" s="103">
        <v>0</v>
      </c>
      <c r="IJ71" s="103">
        <v>0</v>
      </c>
      <c r="IK71" s="361">
        <f t="shared" si="159"/>
        <v>-1.5084000000000002</v>
      </c>
      <c r="IL71" s="103">
        <v>0</v>
      </c>
      <c r="IM71" s="372">
        <f>(JQ71-JQ70)*1.2</f>
        <v>-1.5084000000000002</v>
      </c>
      <c r="IN71" s="103">
        <v>0</v>
      </c>
      <c r="IO71" s="374">
        <f t="shared" si="160"/>
        <v>-1.5084000000000002</v>
      </c>
      <c r="IP71" s="374">
        <f t="shared" si="235"/>
        <v>1.5084000000000002</v>
      </c>
      <c r="IQ71" s="175">
        <f t="shared" si="236"/>
        <v>0</v>
      </c>
      <c r="IR71" s="339">
        <f t="shared" si="161"/>
        <v>187.858</v>
      </c>
      <c r="IS71" s="106">
        <f t="shared" si="237"/>
        <v>25.131</v>
      </c>
      <c r="IT71" s="106">
        <f t="shared" si="238"/>
        <v>0</v>
      </c>
      <c r="IU71" s="134">
        <f t="shared" si="53"/>
        <v>18.963999999999999</v>
      </c>
      <c r="IV71" s="901">
        <f t="shared" si="260"/>
        <v>6.258</v>
      </c>
      <c r="IW71" s="901">
        <f t="shared" si="239"/>
        <v>0</v>
      </c>
      <c r="IX71" s="106">
        <f t="shared" si="240"/>
        <v>-9.0999999999998415E-2</v>
      </c>
      <c r="JB71" s="105">
        <f t="shared" si="162"/>
        <v>8.3559291877946806E-2</v>
      </c>
      <c r="JC71" s="105">
        <f t="shared" si="163"/>
        <v>1.4343919580108531E-2</v>
      </c>
      <c r="JD71" s="105">
        <f t="shared" si="164"/>
        <v>6.9215372297838279E-2</v>
      </c>
      <c r="JE71" s="905">
        <f t="shared" si="54"/>
        <v>8.4351925985232633E-3</v>
      </c>
      <c r="JF71" s="1002"/>
      <c r="JG71" s="1003"/>
      <c r="JH71" s="8">
        <v>187.858</v>
      </c>
      <c r="JI71" s="1067">
        <v>39.128</v>
      </c>
      <c r="JJ71" s="108">
        <v>1.8420000000000001</v>
      </c>
      <c r="JK71" s="108">
        <v>6.891</v>
      </c>
      <c r="JL71" s="108">
        <v>0.53900000000000003</v>
      </c>
      <c r="JM71" s="108">
        <v>9.6820000000000004</v>
      </c>
      <c r="JN71" s="108">
        <v>12.429</v>
      </c>
      <c r="JO71" s="108">
        <v>9.9610000000000003</v>
      </c>
      <c r="JP71" s="108">
        <f>JN71-JO71</f>
        <v>2.468</v>
      </c>
      <c r="JQ71" s="108">
        <v>-2.0870000000000002</v>
      </c>
      <c r="JR71" s="108">
        <v>0.86499999999999999</v>
      </c>
      <c r="JS71" s="108">
        <f>JR71+JN71+JM71+JL71+JK71+JJ71</f>
        <v>32.247999999999998</v>
      </c>
      <c r="JT71" s="108">
        <f t="shared" si="278"/>
        <v>155.61000000000001</v>
      </c>
      <c r="JU71" s="105">
        <f t="shared" si="279"/>
        <v>0.1716615741677224</v>
      </c>
      <c r="JV71" s="105">
        <f t="shared" si="280"/>
        <v>9.8052784550032475E-3</v>
      </c>
      <c r="JW71" s="105">
        <f t="shared" si="280"/>
        <v>3.6681961907398142E-2</v>
      </c>
      <c r="JX71" s="105">
        <f t="shared" si="280"/>
        <v>2.8691884295584964E-3</v>
      </c>
      <c r="JY71" s="105">
        <f t="shared" si="280"/>
        <v>5.1538928339490468E-2</v>
      </c>
      <c r="JZ71" s="105">
        <f t="shared" si="280"/>
        <v>6.6161675307945367E-2</v>
      </c>
      <c r="KA71" s="105">
        <f t="shared" si="281"/>
        <v>4.6045417283267151E-3</v>
      </c>
      <c r="KB71" s="366">
        <f>KB72-IF72</f>
        <v>12.705</v>
      </c>
      <c r="KC71" s="160">
        <f>KD71+KB71</f>
        <v>53.616799999999998</v>
      </c>
      <c r="KD71" s="160">
        <f>KD72+IM72</f>
        <v>40.911799999999999</v>
      </c>
      <c r="KE71" s="105">
        <f t="shared" si="242"/>
        <v>0.76304068873935038</v>
      </c>
      <c r="KF71" s="1073">
        <v>0</v>
      </c>
      <c r="KG71" s="349">
        <f t="shared" si="243"/>
        <v>0</v>
      </c>
      <c r="KH71" s="349">
        <f t="shared" si="244"/>
        <v>0</v>
      </c>
      <c r="KI71" s="349">
        <f t="shared" si="245"/>
        <v>0</v>
      </c>
      <c r="KJ71" s="349">
        <f t="shared" si="246"/>
        <v>0</v>
      </c>
      <c r="KK71" s="106">
        <f t="shared" si="285"/>
        <v>4.4051999999999998</v>
      </c>
      <c r="KL71" s="103">
        <f t="shared" si="248"/>
        <v>0</v>
      </c>
      <c r="KM71" s="347"/>
      <c r="KN71" s="347"/>
      <c r="KO71" s="106">
        <f t="shared" si="249"/>
        <v>-2.7336</v>
      </c>
      <c r="KP71" s="103">
        <f t="shared" si="250"/>
        <v>0</v>
      </c>
      <c r="KQ71" s="106">
        <f t="shared" si="177"/>
        <v>4.4051999999999998</v>
      </c>
      <c r="KR71" s="356">
        <f t="shared" si="251"/>
        <v>8.2998000000000012</v>
      </c>
      <c r="KS71" s="105">
        <f t="shared" si="178"/>
        <v>3.6917534027221784E-3</v>
      </c>
      <c r="KT71" s="105">
        <f t="shared" si="179"/>
        <v>6.6816908569165862E-2</v>
      </c>
      <c r="KU71" s="170">
        <f t="shared" si="180"/>
        <v>175.15299999999999</v>
      </c>
      <c r="KV71" s="175">
        <f t="shared" si="252"/>
        <v>39.128</v>
      </c>
      <c r="KW71" s="160">
        <f t="shared" si="181"/>
        <v>1.8420000000000001</v>
      </c>
      <c r="KX71" s="160">
        <f t="shared" si="182"/>
        <v>6.891</v>
      </c>
      <c r="KY71" s="160">
        <f t="shared" si="183"/>
        <v>0.53900000000000003</v>
      </c>
      <c r="KZ71" s="160">
        <f t="shared" si="184"/>
        <v>9.6820000000000004</v>
      </c>
      <c r="LA71" s="160">
        <f t="shared" si="185"/>
        <v>8.0238000000000014</v>
      </c>
      <c r="LB71" s="160">
        <f t="shared" si="186"/>
        <v>9.9610000000000003</v>
      </c>
      <c r="LC71" s="106">
        <f t="shared" si="187"/>
        <v>0.64659999999999984</v>
      </c>
      <c r="LD71" s="160">
        <f t="shared" si="188"/>
        <v>0.86499999999999999</v>
      </c>
      <c r="LE71" s="160">
        <f t="shared" si="189"/>
        <v>27.842799999999997</v>
      </c>
      <c r="LF71" s="160">
        <f t="shared" si="190"/>
        <v>0</v>
      </c>
      <c r="LG71" s="160">
        <f t="shared" si="191"/>
        <v>147.31020000000001</v>
      </c>
      <c r="LH71" s="107">
        <f t="shared" si="192"/>
        <v>0.15896273543701792</v>
      </c>
      <c r="LI71" s="105">
        <f t="shared" si="193"/>
        <v>1.0516519842651855E-2</v>
      </c>
      <c r="LJ71" s="105">
        <f t="shared" si="194"/>
        <v>3.9342746056305063E-2</v>
      </c>
      <c r="LK71" s="105">
        <f t="shared" si="195"/>
        <v>3.0773095522200595E-3</v>
      </c>
      <c r="LL71" s="105">
        <f t="shared" si="196"/>
        <v>5.5277386056761808E-2</v>
      </c>
      <c r="LM71" s="105">
        <f t="shared" si="197"/>
        <v>4.5810234480711157E-2</v>
      </c>
      <c r="LN71" s="105">
        <f t="shared" si="198"/>
        <v>5.6870279127391482E-2</v>
      </c>
      <c r="LO71" s="105">
        <f t="shared" si="199"/>
        <v>3.6916296038320773E-3</v>
      </c>
      <c r="LP71" s="105">
        <f t="shared" si="200"/>
        <v>4.9385394483679986E-3</v>
      </c>
      <c r="LQ71" s="105">
        <f t="shared" si="201"/>
        <v>7.7908104261186731E-2</v>
      </c>
      <c r="LR71" s="105">
        <f t="shared" si="202"/>
        <v>6.5523618895116098E-2</v>
      </c>
      <c r="LS71" s="105">
        <f t="shared" si="203"/>
        <v>1.2384485366070635E-2</v>
      </c>
      <c r="LT71" s="294"/>
      <c r="LU71" s="154"/>
      <c r="LV71" s="154">
        <f t="shared" si="204"/>
        <v>12.705</v>
      </c>
      <c r="LW71" s="154">
        <f t="shared" si="283"/>
        <v>40.911799999999999</v>
      </c>
      <c r="LX71" s="320">
        <f>LY71*Liabilities!GT71</f>
        <v>4.191327780164837</v>
      </c>
      <c r="LY71" s="410">
        <f t="shared" si="206"/>
        <v>5.6670963373826537E-2</v>
      </c>
      <c r="LZ71" s="410">
        <f t="shared" si="253"/>
        <v>0.22280871553279108</v>
      </c>
      <c r="MA71" s="154"/>
      <c r="MB71" s="154"/>
      <c r="MC71" s="154">
        <f>Liabilities!EF71</f>
        <v>14.619999999999997</v>
      </c>
      <c r="MD71" s="154"/>
      <c r="ME71" s="154"/>
      <c r="MF71" s="154">
        <f t="shared" si="207"/>
        <v>18.811327780164834</v>
      </c>
      <c r="MG71" s="154">
        <f t="shared" si="208"/>
        <v>53.616799999999998</v>
      </c>
      <c r="MH71" s="327">
        <f t="shared" si="209"/>
        <v>175.15299999999999</v>
      </c>
      <c r="MI71" s="1009">
        <f>FoF_RoW!$BH41/1000</f>
        <v>340.57799999999997</v>
      </c>
      <c r="MJ71" s="1009"/>
      <c r="MK71" s="1009">
        <f>FoF_RoW!$AU41/1000</f>
        <v>26.821000000000002</v>
      </c>
      <c r="ML71" s="1009">
        <f t="shared" si="254"/>
        <v>53.06699999999995</v>
      </c>
      <c r="MM71" s="426">
        <f t="shared" si="210"/>
        <v>327.87299999999999</v>
      </c>
      <c r="MN71" s="105">
        <f t="shared" si="211"/>
        <v>1.87192340410955</v>
      </c>
      <c r="MO71" s="154">
        <v>230.06</v>
      </c>
      <c r="MP71" s="426"/>
      <c r="MQ71" s="154"/>
      <c r="MR71" s="154"/>
      <c r="MS71" s="154">
        <f t="shared" si="212"/>
        <v>12.705</v>
      </c>
      <c r="MT71" s="154"/>
      <c r="MU71" s="154"/>
      <c r="MV71" s="154"/>
      <c r="MW71" s="154"/>
      <c r="MX71" s="154"/>
      <c r="MY71" s="426">
        <f t="shared" si="255"/>
        <v>96.774000000000058</v>
      </c>
      <c r="MZ71" s="418">
        <f t="shared" si="213"/>
        <v>4.3045102748865791E-2</v>
      </c>
      <c r="NA71" s="154">
        <v>680.46</v>
      </c>
      <c r="NB71" s="154">
        <v>448.21</v>
      </c>
      <c r="NC71" s="426">
        <v>180.18700000000001</v>
      </c>
      <c r="ND71" s="105">
        <f t="shared" si="214"/>
        <v>8.0147228894226499E-2</v>
      </c>
      <c r="NE71" s="154"/>
      <c r="NF71" s="154"/>
      <c r="NG71" s="154"/>
      <c r="NH71" s="154"/>
      <c r="NI71" s="415">
        <v>135.476</v>
      </c>
      <c r="NJ71" s="426">
        <f t="shared" si="63"/>
        <v>31.826000000000001</v>
      </c>
      <c r="NK71" s="406">
        <f t="shared" si="64"/>
        <v>1.4156213859976872E-2</v>
      </c>
      <c r="NL71" s="154">
        <v>31.826000000000001</v>
      </c>
      <c r="NM71" s="154">
        <v>38.183</v>
      </c>
      <c r="NN71" s="154">
        <v>6.3570000000000002</v>
      </c>
      <c r="NO71" s="426">
        <f t="shared" si="100"/>
        <v>30.874000000000002</v>
      </c>
      <c r="NP71" s="154">
        <v>63.835000000000001</v>
      </c>
      <c r="NQ71" s="154">
        <v>32.960999999999999</v>
      </c>
      <c r="NR71" s="406">
        <f t="shared" si="65"/>
        <v>1.3732763988968956E-2</v>
      </c>
      <c r="NS71" s="406">
        <f t="shared" si="66"/>
        <v>1.4156213859976872E-2</v>
      </c>
      <c r="NT71" s="406">
        <f t="shared" si="67"/>
        <v>-4.2344987100791619E-4</v>
      </c>
      <c r="NU71" s="738" t="e">
        <f t="shared" si="215"/>
        <v>#DIV/0!</v>
      </c>
      <c r="NV71" s="691">
        <f t="shared" si="216"/>
        <v>0.11415644075231299</v>
      </c>
      <c r="NW71" s="691">
        <f t="shared" si="217"/>
        <v>0.21369211317409989</v>
      </c>
      <c r="NX71" s="795" t="e">
        <f>(ER71-T.A2!B23*T.A1!M23)/MP71</f>
        <v>#DIV/0!</v>
      </c>
      <c r="NY71" s="691" t="e">
        <f>Liabilities!BU71/Liabilities!GY71</f>
        <v>#DIV/0!</v>
      </c>
      <c r="NZ71" s="691">
        <f>Liabilities!BU71/Liabilities!GT71</f>
        <v>7.9945915980475665E-2</v>
      </c>
      <c r="OA71" s="691" t="e">
        <f>Liabilities!BU71/Liabilities!GR71</f>
        <v>#DIV/0!</v>
      </c>
      <c r="OB71" s="691" t="e">
        <f t="shared" si="256"/>
        <v>#DIV/0!</v>
      </c>
      <c r="OC71" s="691">
        <f t="shared" si="257"/>
        <v>3.4210524771837322E-2</v>
      </c>
      <c r="OD71" s="691"/>
      <c r="OE71" s="795">
        <f t="shared" si="218"/>
        <v>0.11415644075231299</v>
      </c>
      <c r="OF71" s="795">
        <f>OE71/(1-'Assets(MOFA)'!GU24)</f>
        <v>0.32598383375543938</v>
      </c>
      <c r="OG71" s="795">
        <f>Liabilities!HV71</f>
        <v>0</v>
      </c>
      <c r="OH71" s="795"/>
      <c r="OI71" s="390">
        <f t="shared" si="219"/>
        <v>3.7791910795065685E-2</v>
      </c>
      <c r="OJ71" s="390">
        <f t="shared" si="265"/>
        <v>5.6822614656596465E-2</v>
      </c>
      <c r="OK71" s="390"/>
      <c r="OL71" s="390"/>
      <c r="OM71" s="320"/>
      <c r="OO71" s="110">
        <f t="shared" si="221"/>
        <v>0.11415644075231299</v>
      </c>
      <c r="OP71" s="132"/>
      <c r="OQ71" s="132"/>
      <c r="OR71" s="132"/>
      <c r="OS71" s="103"/>
      <c r="OT71" s="103"/>
      <c r="OU71" s="103"/>
      <c r="OV71" s="103"/>
      <c r="OW71" s="103"/>
      <c r="OX71" s="103"/>
      <c r="OY71" s="103"/>
      <c r="OZ71" s="103"/>
      <c r="PA71" s="103"/>
      <c r="PG71" s="181"/>
      <c r="PH71" s="105">
        <f>'Assets(MOFA)'!GU24</f>
        <v>0.64980950301371143</v>
      </c>
      <c r="PI71" s="105">
        <f>'Assets(MOFA)'!HM24</f>
        <v>0.39030008347861644</v>
      </c>
      <c r="PJ71" s="112">
        <f t="shared" si="222"/>
        <v>7.3077373225598652E-2</v>
      </c>
      <c r="PL71" s="112">
        <f>'Assets(MOFA)'!GO24/MM71/1000</f>
        <v>4.3359471502685466E-2</v>
      </c>
    </row>
    <row r="72" spans="2:428">
      <c r="B72" s="71">
        <v>1980</v>
      </c>
      <c r="C72" s="43">
        <v>2426.8000000000002</v>
      </c>
      <c r="D72" s="5">
        <v>223.6</v>
      </c>
      <c r="E72" s="6">
        <f t="shared" si="68"/>
        <v>9.2137794626668851E-2</v>
      </c>
      <c r="F72" s="72">
        <f t="shared" si="69"/>
        <v>0</v>
      </c>
      <c r="G72" s="76">
        <f t="shared" si="70"/>
        <v>188.1</v>
      </c>
      <c r="H72" s="23">
        <f t="shared" si="71"/>
        <v>7.7509477501236185E-2</v>
      </c>
      <c r="I72" s="74">
        <v>35.5</v>
      </c>
      <c r="J72" s="19">
        <f t="shared" si="72"/>
        <v>1.4628317125432668E-2</v>
      </c>
      <c r="K72" s="6">
        <f t="shared" si="73"/>
        <v>0.15876565295169948</v>
      </c>
      <c r="L72" s="136">
        <v>43.9</v>
      </c>
      <c r="M72" s="19">
        <f t="shared" si="74"/>
        <v>1.8089665402999833E-2</v>
      </c>
      <c r="N72" s="63">
        <f t="shared" si="75"/>
        <v>0.19633273703041146</v>
      </c>
      <c r="O72" s="5">
        <f t="shared" si="76"/>
        <v>223.6</v>
      </c>
      <c r="P72" s="75">
        <f t="shared" si="77"/>
        <v>0</v>
      </c>
      <c r="Q72" s="271">
        <v>235.9</v>
      </c>
      <c r="R72" s="202">
        <v>20.100000000000001</v>
      </c>
      <c r="S72" s="53">
        <f t="shared" si="78"/>
        <v>8.9892665474060829E-2</v>
      </c>
      <c r="T72" s="74">
        <v>11.8</v>
      </c>
      <c r="U72" s="74">
        <v>-59.2</v>
      </c>
      <c r="V72" s="207">
        <v>27.1</v>
      </c>
      <c r="W72" s="53">
        <f t="shared" si="79"/>
        <v>0.12119856887298748</v>
      </c>
      <c r="X72" s="75">
        <f t="shared" si="80"/>
        <v>42.099999999999966</v>
      </c>
      <c r="Y72" s="187"/>
      <c r="Z72" s="75"/>
      <c r="AA72" s="75"/>
      <c r="AB72" s="75"/>
      <c r="AC72" s="75">
        <f t="shared" si="103"/>
        <v>0.61430886845127586</v>
      </c>
      <c r="AD72" s="23">
        <f t="shared" si="81"/>
        <v>2.7473562989770834E-3</v>
      </c>
      <c r="AE72" s="76"/>
      <c r="AF72" s="76">
        <v>0.67016726924759862</v>
      </c>
      <c r="AG72" s="76"/>
      <c r="AH72" s="97">
        <v>87.2</v>
      </c>
      <c r="AI72" s="22">
        <f t="shared" si="82"/>
        <v>3.5932091643316302E-2</v>
      </c>
      <c r="AJ72" s="22">
        <f t="shared" si="83"/>
        <v>3.1110927970990604E-2</v>
      </c>
      <c r="AK72" s="99">
        <f t="shared" si="84"/>
        <v>0</v>
      </c>
      <c r="AL72" s="71">
        <v>58.59999999999998</v>
      </c>
      <c r="AM72" s="72">
        <f>(0.25*Fedtax!C53+0.75*Fedtax!C52)/1000</f>
        <v>63.734250000000003</v>
      </c>
      <c r="AN72" s="71">
        <v>14.5</v>
      </c>
      <c r="AO72" s="255">
        <v>2.4</v>
      </c>
      <c r="AP72" s="71">
        <v>11.7</v>
      </c>
      <c r="AQ72" s="6">
        <f t="shared" si="85"/>
        <v>5.6205702983352548E-2</v>
      </c>
      <c r="AR72" s="207">
        <v>26.4</v>
      </c>
      <c r="AS72" s="714">
        <v>24.88</v>
      </c>
      <c r="AT72" s="210">
        <f>1.822+11.028+1.219</f>
        <v>14.069000000000001</v>
      </c>
      <c r="AU72" s="205">
        <f t="shared" ref="AU72:AU78" si="286">AT72/AS72</f>
        <v>0.56547427652733129</v>
      </c>
      <c r="AV72" s="709">
        <f>AZ72+4.088</f>
        <v>29.997</v>
      </c>
      <c r="AW72" s="766">
        <f>BA72+0.461+2.891+0.697</f>
        <v>18.457000000000001</v>
      </c>
      <c r="AX72" s="766">
        <f t="shared" si="104"/>
        <v>11.54</v>
      </c>
      <c r="AY72" s="767">
        <f>AW72/AV72</f>
        <v>0.61529486281961532</v>
      </c>
      <c r="AZ72" s="709">
        <f>17.352+12.645-4.088</f>
        <v>25.908999999999999</v>
      </c>
      <c r="BA72" s="518">
        <f>2.495+9.683+0.058+4.42+0.155+1.646-(0.461+2.891+0.697)</f>
        <v>14.408000000000001</v>
      </c>
      <c r="BB72" s="791">
        <f>BA72/AZ72</f>
        <v>0.55610019684279599</v>
      </c>
      <c r="BC72" s="209">
        <v>4.2110000000000003</v>
      </c>
      <c r="BD72" s="210">
        <f>'Assets(MOFA)'!FJ25/1000</f>
        <v>35.996399999999994</v>
      </c>
      <c r="BE72" s="753">
        <f t="shared" si="105"/>
        <v>0.83333333333333348</v>
      </c>
      <c r="BF72" s="186">
        <v>0.46</v>
      </c>
      <c r="BG72" s="435"/>
      <c r="BH72" s="140">
        <f t="shared" si="106"/>
        <v>0.33197093551316975</v>
      </c>
      <c r="BI72" s="248">
        <f t="shared" si="57"/>
        <v>0.33197093551316975</v>
      </c>
      <c r="BJ72" s="23">
        <f t="shared" si="107"/>
        <v>0.29559239789729075</v>
      </c>
      <c r="BK72" s="140">
        <f t="shared" si="108"/>
        <v>0.40348742903487428</v>
      </c>
      <c r="BL72" s="140">
        <f t="shared" si="109"/>
        <v>0.40614850739317221</v>
      </c>
      <c r="BM72" s="248">
        <f t="shared" si="110"/>
        <v>0.40449507262920098</v>
      </c>
      <c r="BN72" s="23">
        <f t="shared" si="111"/>
        <v>0.32005086901229335</v>
      </c>
      <c r="BO72" s="23">
        <f t="shared" si="112"/>
        <v>0.294921875</v>
      </c>
      <c r="BP72" s="149">
        <f t="shared" si="86"/>
        <v>223.6</v>
      </c>
      <c r="BQ72" s="99">
        <f t="shared" si="87"/>
        <v>0</v>
      </c>
      <c r="BR72" s="153">
        <f t="shared" si="88"/>
        <v>87.2</v>
      </c>
      <c r="BS72" s="79">
        <v>64.099999999999994</v>
      </c>
      <c r="BT72" s="79">
        <v>72.3</v>
      </c>
      <c r="BU72" s="23">
        <f t="shared" si="223"/>
        <v>0.323345259391771</v>
      </c>
      <c r="BV72" s="71">
        <v>53.6</v>
      </c>
      <c r="BW72" s="71">
        <f t="shared" si="89"/>
        <v>18.699999999999996</v>
      </c>
      <c r="BX72" s="23">
        <f t="shared" si="90"/>
        <v>8.3631484794275471E-2</v>
      </c>
      <c r="BY72" s="23"/>
      <c r="BZ72" s="23"/>
      <c r="CA72" s="23"/>
      <c r="CB72" s="23">
        <f t="shared" si="262"/>
        <v>0.52676056338028154</v>
      </c>
      <c r="CC72" s="169">
        <f t="shared" si="91"/>
        <v>43.9</v>
      </c>
      <c r="CD72" s="174"/>
      <c r="CF72" s="79">
        <f t="shared" si="58"/>
        <v>36.559701889929393</v>
      </c>
      <c r="CH72" s="23">
        <f t="shared" si="59"/>
        <v>0.83279503166126179</v>
      </c>
      <c r="CI72" s="169">
        <v>37.146000000000001</v>
      </c>
      <c r="CK72" s="79">
        <f t="shared" si="60"/>
        <v>36.559701889929393</v>
      </c>
      <c r="CL72" s="159"/>
      <c r="CN72" s="159">
        <v>22.4</v>
      </c>
      <c r="CO72" s="159"/>
      <c r="CP72" s="79">
        <f t="shared" si="61"/>
        <v>0.5862981100706095</v>
      </c>
      <c r="CZ72" s="166">
        <f t="shared" si="49"/>
        <v>37.146000000000001</v>
      </c>
      <c r="DA72" s="193">
        <v>13181</v>
      </c>
      <c r="DB72" s="23">
        <f t="shared" si="267"/>
        <v>0.35484305174177572</v>
      </c>
      <c r="DG72" s="245">
        <v>1765</v>
      </c>
      <c r="DI72" s="180">
        <v>37.146000000000001</v>
      </c>
      <c r="DJ72" s="138">
        <v>0.39200000000000002</v>
      </c>
      <c r="DK72" s="138">
        <v>1.853</v>
      </c>
      <c r="DL72" s="138">
        <v>8.1000000000000003E-2</v>
      </c>
      <c r="DM72" s="138">
        <v>1.865</v>
      </c>
      <c r="DN72" s="138">
        <v>3.28</v>
      </c>
      <c r="DO72" s="138">
        <v>1.5509999999999999</v>
      </c>
      <c r="DP72" s="73">
        <v>3.3000000000000002E-2</v>
      </c>
      <c r="DQ72" s="138">
        <v>0.33200000000000002</v>
      </c>
      <c r="DR72" s="156">
        <f t="shared" si="113"/>
        <v>7.8029999999999999</v>
      </c>
      <c r="DS72" s="156">
        <f t="shared" si="114"/>
        <v>29.343</v>
      </c>
      <c r="DT72" s="156">
        <v>-2.1999999999999999E-2</v>
      </c>
      <c r="DU72" s="6">
        <f t="shared" si="115"/>
        <v>-7.4975292233241315E-4</v>
      </c>
      <c r="DV72" s="6">
        <f t="shared" si="116"/>
        <v>1.0552953211651322E-2</v>
      </c>
      <c r="DW72" s="6">
        <f t="shared" si="117"/>
        <v>4.9884240564259948E-2</v>
      </c>
      <c r="DX72" s="605">
        <f t="shared" si="118"/>
        <v>2.1805847197544823E-3</v>
      </c>
      <c r="DY72" s="6">
        <f t="shared" si="119"/>
        <v>5.0207290152371721E-2</v>
      </c>
      <c r="DZ72" s="6">
        <f t="shared" si="120"/>
        <v>8.8300220750551869E-2</v>
      </c>
      <c r="EA72" s="6">
        <f t="shared" si="121"/>
        <v>4.1754159263446937E-2</v>
      </c>
      <c r="EB72" s="6">
        <f t="shared" si="122"/>
        <v>8.8838636730738168E-4</v>
      </c>
      <c r="EC72" s="605">
        <f t="shared" si="123"/>
        <v>8.937705271092446E-3</v>
      </c>
      <c r="ED72" s="6">
        <f t="shared" si="124"/>
        <v>0.21006299466968179</v>
      </c>
      <c r="EE72" s="6"/>
      <c r="EF72" s="6"/>
      <c r="EG72" s="67">
        <v>17.016999999999999</v>
      </c>
      <c r="EN72" s="24"/>
      <c r="EO72" s="184">
        <v>0.5</v>
      </c>
      <c r="ER72" s="182">
        <f t="shared" si="268"/>
        <v>36.559701889929393</v>
      </c>
      <c r="ES72" s="136">
        <f t="shared" si="284"/>
        <v>13.464019715010737</v>
      </c>
      <c r="ET72" s="136"/>
      <c r="EU72" s="136"/>
      <c r="EV72" s="136"/>
      <c r="EW72" s="153">
        <f t="shared" si="125"/>
        <v>0.39200000000000002</v>
      </c>
      <c r="EX72" s="153">
        <f t="shared" si="126"/>
        <v>1.853</v>
      </c>
      <c r="EY72" s="153">
        <f t="shared" si="127"/>
        <v>8.1000000000000003E-2</v>
      </c>
      <c r="EZ72" s="153">
        <f t="shared" si="128"/>
        <v>1.865</v>
      </c>
      <c r="FA72" s="153">
        <f t="shared" si="129"/>
        <v>3.1093599999999997</v>
      </c>
      <c r="FB72" s="153">
        <f t="shared" si="130"/>
        <v>1.5509999999999999</v>
      </c>
      <c r="FC72" s="153">
        <f t="shared" si="131"/>
        <v>0.57623999999999997</v>
      </c>
      <c r="FD72" s="153">
        <f t="shared" si="132"/>
        <v>0.33200000000000002</v>
      </c>
      <c r="FE72" s="153">
        <f t="shared" si="133"/>
        <v>7.6323599999999994</v>
      </c>
      <c r="FF72" s="153">
        <f t="shared" si="134"/>
        <v>28.927341889929391</v>
      </c>
      <c r="FG72" s="23">
        <f t="shared" si="135"/>
        <v>1.0722188085127109E-2</v>
      </c>
      <c r="FH72" s="23">
        <f t="shared" si="136"/>
        <v>5.0684220718725852E-2</v>
      </c>
      <c r="FI72" s="23">
        <f t="shared" si="137"/>
        <v>2.215554170651265E-3</v>
      </c>
      <c r="FJ72" s="23">
        <f t="shared" si="138"/>
        <v>5.1012450966229743E-2</v>
      </c>
      <c r="FK72" s="23">
        <f t="shared" si="139"/>
        <v>8.5048833531558232E-2</v>
      </c>
      <c r="FL72" s="23">
        <f t="shared" si="140"/>
        <v>4.2423759489877921E-2</v>
      </c>
      <c r="FM72" s="23">
        <f t="shared" si="141"/>
        <v>1.576161648513685E-2</v>
      </c>
      <c r="FN72" s="23">
        <f t="shared" si="142"/>
        <v>9.0810368476076549E-3</v>
      </c>
      <c r="FO72" s="23">
        <f t="shared" si="92"/>
        <v>0.20876428431989985</v>
      </c>
      <c r="FP72" s="23">
        <f t="shared" si="93"/>
        <v>0.7912357156801002</v>
      </c>
      <c r="FQ72" s="6">
        <f t="shared" si="94"/>
        <v>4.0987263334720948E-2</v>
      </c>
      <c r="FR72" s="23">
        <f t="shared" si="95"/>
        <v>0.15534547369569052</v>
      </c>
      <c r="FS72" s="23">
        <f t="shared" si="96"/>
        <v>3.776476051443713E-3</v>
      </c>
      <c r="FT72" s="393">
        <f t="shared" si="97"/>
        <v>1.8882380257218565E-3</v>
      </c>
      <c r="FU72" s="393">
        <f t="shared" si="98"/>
        <v>1.8882380257218565E-3</v>
      </c>
      <c r="FV72" s="23">
        <f t="shared" si="99"/>
        <v>1.4313189351556121E-2</v>
      </c>
      <c r="FW72" s="182">
        <f>GG72+GF72</f>
        <v>0.5862981100706095</v>
      </c>
      <c r="FX72" s="340">
        <f t="shared" si="269"/>
        <v>0</v>
      </c>
      <c r="FY72" s="340">
        <f t="shared" si="270"/>
        <v>0</v>
      </c>
      <c r="FZ72" s="340">
        <f t="shared" si="271"/>
        <v>0</v>
      </c>
      <c r="GA72" s="340">
        <f t="shared" si="272"/>
        <v>0</v>
      </c>
      <c r="GB72" s="225">
        <f t="shared" si="273"/>
        <v>0.17064000000000001</v>
      </c>
      <c r="GC72" s="340">
        <f t="shared" si="274"/>
        <v>0</v>
      </c>
      <c r="GD72" s="225">
        <f t="shared" si="275"/>
        <v>-0.54323999999999995</v>
      </c>
      <c r="GE72" s="340">
        <f t="shared" si="276"/>
        <v>0</v>
      </c>
      <c r="GF72" s="341">
        <f t="shared" si="151"/>
        <v>0.17064000000000001</v>
      </c>
      <c r="GG72" s="341">
        <f t="shared" si="277"/>
        <v>0.41565811007060943</v>
      </c>
      <c r="GH72" s="169">
        <v>19.222000000000001</v>
      </c>
      <c r="GI72" s="73">
        <v>0.46800000000000003</v>
      </c>
      <c r="GJ72" s="73">
        <v>1.103</v>
      </c>
      <c r="GK72" s="85">
        <v>8.5999999999999993E-2</v>
      </c>
      <c r="GL72" s="85">
        <v>1.5509999999999999</v>
      </c>
      <c r="GM72" s="85">
        <v>-0.71299999999999997</v>
      </c>
      <c r="GN72" s="85">
        <v>0.96699999999999997</v>
      </c>
      <c r="GO72" s="73">
        <f t="shared" si="153"/>
        <v>-1.68</v>
      </c>
      <c r="GP72" s="73">
        <v>-2.6360000000000001</v>
      </c>
      <c r="GQ72" s="73">
        <v>0.33800000000000002</v>
      </c>
      <c r="GR72" s="73">
        <f t="shared" si="154"/>
        <v>2.8330000000000002</v>
      </c>
      <c r="GS72" s="73">
        <f t="shared" si="155"/>
        <v>16.389000000000003</v>
      </c>
      <c r="GT72" s="23">
        <f t="shared" si="156"/>
        <v>0.14738320674227448</v>
      </c>
      <c r="GU72" s="334">
        <f t="shared" si="259"/>
        <v>19.222000000000001</v>
      </c>
      <c r="GW72" s="899">
        <f t="shared" si="52"/>
        <v>17.016999999999999</v>
      </c>
      <c r="GX72" s="73">
        <f t="shared" si="224"/>
        <v>0.46800000000000003</v>
      </c>
      <c r="GY72" s="73">
        <f t="shared" si="225"/>
        <v>1.103</v>
      </c>
      <c r="GZ72" s="73">
        <f t="shared" si="226"/>
        <v>8.5999999999999993E-2</v>
      </c>
      <c r="HA72" s="73">
        <f t="shared" si="227"/>
        <v>1.5509999999999999</v>
      </c>
      <c r="HB72" s="73">
        <f t="shared" si="228"/>
        <v>1.9857999999999998</v>
      </c>
      <c r="HC72" s="73">
        <f t="shared" si="229"/>
        <v>0.96699999999999997</v>
      </c>
      <c r="HD72" s="73">
        <f t="shared" si="230"/>
        <v>6.2799999999999745E-2</v>
      </c>
      <c r="HE72" s="73">
        <f t="shared" si="231"/>
        <v>0.33800000000000002</v>
      </c>
      <c r="HF72" s="73">
        <f t="shared" si="158"/>
        <v>5.5317999999999996</v>
      </c>
      <c r="HG72" s="23">
        <f t="shared" si="232"/>
        <v>0.28778482988242637</v>
      </c>
      <c r="HH72" s="72">
        <f>KU72-KU71</f>
        <v>27.516999999999996</v>
      </c>
      <c r="HI72" s="169">
        <v>2.2050000000000001</v>
      </c>
      <c r="HT72" s="29"/>
      <c r="IF72" s="743">
        <v>0</v>
      </c>
      <c r="IG72" s="71">
        <v>0</v>
      </c>
      <c r="IH72" s="71">
        <v>0</v>
      </c>
      <c r="II72" s="71">
        <v>0</v>
      </c>
      <c r="IJ72" s="71">
        <v>0</v>
      </c>
      <c r="IK72" s="163">
        <f t="shared" si="159"/>
        <v>-2.6987999999999999</v>
      </c>
      <c r="IL72" s="71">
        <v>0</v>
      </c>
      <c r="IM72" s="371">
        <f>(JQ72-JQ71)*1.2</f>
        <v>-2.6987999999999999</v>
      </c>
      <c r="IN72" s="71">
        <v>0</v>
      </c>
      <c r="IO72" s="282">
        <f t="shared" si="160"/>
        <v>-2.6987999999999999</v>
      </c>
      <c r="IP72" s="282">
        <f t="shared" si="235"/>
        <v>2.6987999999999999</v>
      </c>
      <c r="IQ72" s="174">
        <f t="shared" si="236"/>
        <v>0</v>
      </c>
      <c r="IR72" s="337">
        <f t="shared" si="161"/>
        <v>215.375</v>
      </c>
      <c r="IS72" s="73">
        <f t="shared" si="237"/>
        <v>27.516999999999996</v>
      </c>
      <c r="IT72" s="73">
        <f t="shared" si="238"/>
        <v>0</v>
      </c>
      <c r="IU72" s="79">
        <f t="shared" si="53"/>
        <v>17.016999999999999</v>
      </c>
      <c r="IV72" s="908">
        <f t="shared" si="260"/>
        <v>2.2050000000000001</v>
      </c>
      <c r="IW72" s="908">
        <f t="shared" si="239"/>
        <v>0</v>
      </c>
      <c r="IX72" s="73">
        <f t="shared" si="240"/>
        <v>8.2949999999999964</v>
      </c>
      <c r="JB72" s="23">
        <f t="shared" si="162"/>
        <v>8.8748557771551009E-2</v>
      </c>
      <c r="JC72" s="23">
        <f t="shared" si="163"/>
        <v>1.4718971485083238E-2</v>
      </c>
      <c r="JD72" s="23">
        <f t="shared" si="164"/>
        <v>7.4029586286467775E-2</v>
      </c>
      <c r="JE72" s="907">
        <f t="shared" si="54"/>
        <v>7.0121147189714846E-3</v>
      </c>
      <c r="JF72" s="1004"/>
      <c r="JG72" s="1005"/>
      <c r="JH72" s="5">
        <v>215.375</v>
      </c>
      <c r="JI72" s="192">
        <v>47.591000000000001</v>
      </c>
      <c r="JJ72" s="76">
        <v>2.319</v>
      </c>
      <c r="JK72" s="76">
        <v>8.0389999999999997</v>
      </c>
      <c r="JL72" s="76">
        <v>0.65200000000000002</v>
      </c>
      <c r="JM72" s="76">
        <v>11.28</v>
      </c>
      <c r="JN72" s="76">
        <v>12.226000000000001</v>
      </c>
      <c r="JO72" s="76">
        <v>11.045</v>
      </c>
      <c r="JP72" s="76">
        <f>JN72-JO72</f>
        <v>1.1810000000000009</v>
      </c>
      <c r="JQ72" s="76">
        <v>-4.3360000000000003</v>
      </c>
      <c r="JR72" s="76">
        <v>1.204</v>
      </c>
      <c r="JS72" s="76">
        <f t="shared" ref="JS72:JS90" si="287">JR72+JN72+JM72+JL72+JK72+JJ72</f>
        <v>35.720000000000006</v>
      </c>
      <c r="JT72" s="76">
        <f t="shared" si="278"/>
        <v>179.655</v>
      </c>
      <c r="JU72" s="23">
        <f t="shared" si="279"/>
        <v>0.16585026117237378</v>
      </c>
      <c r="JV72" s="23">
        <f t="shared" si="280"/>
        <v>1.0767266395821241E-2</v>
      </c>
      <c r="JW72" s="23">
        <f t="shared" si="280"/>
        <v>3.7325594892629134E-2</v>
      </c>
      <c r="JX72" s="23">
        <f t="shared" si="280"/>
        <v>3.0272780034822982E-3</v>
      </c>
      <c r="JY72" s="23">
        <f t="shared" si="280"/>
        <v>5.2373766686012763E-2</v>
      </c>
      <c r="JZ72" s="23">
        <f t="shared" si="280"/>
        <v>5.6766105629715617E-2</v>
      </c>
      <c r="KA72" s="23">
        <f t="shared" si="281"/>
        <v>5.59024956471271E-3</v>
      </c>
      <c r="KB72" s="365">
        <f>KB73-IF73</f>
        <v>12.705</v>
      </c>
      <c r="KC72" s="162">
        <f>KD72+KB72</f>
        <v>56.315599999999996</v>
      </c>
      <c r="KD72" s="162">
        <f>KD73+IM73</f>
        <v>43.610599999999998</v>
      </c>
      <c r="KE72" s="6">
        <f t="shared" si="242"/>
        <v>0.77439643722165796</v>
      </c>
      <c r="KF72" s="1071">
        <v>0</v>
      </c>
      <c r="KG72" s="66">
        <f t="shared" si="243"/>
        <v>0</v>
      </c>
      <c r="KH72" s="66">
        <f t="shared" si="244"/>
        <v>0</v>
      </c>
      <c r="KI72" s="66">
        <f t="shared" si="245"/>
        <v>0</v>
      </c>
      <c r="KJ72" s="100">
        <f t="shared" si="246"/>
        <v>0</v>
      </c>
      <c r="KK72" s="79">
        <f t="shared" si="285"/>
        <v>1.7063999999999999</v>
      </c>
      <c r="KL72" s="79">
        <f t="shared" si="248"/>
        <v>0</v>
      </c>
      <c r="KM72" s="79"/>
      <c r="KN72" s="79"/>
      <c r="KO72" s="73">
        <f t="shared" si="249"/>
        <v>-5.4323999999999995</v>
      </c>
      <c r="KP72" s="79">
        <f t="shared" si="250"/>
        <v>0</v>
      </c>
      <c r="KQ72" s="73">
        <f t="shared" si="177"/>
        <v>1.7063999999999999</v>
      </c>
      <c r="KR72" s="84">
        <f t="shared" si="251"/>
        <v>10.9986</v>
      </c>
      <c r="KS72" s="23">
        <f t="shared" si="178"/>
        <v>4.5321410911488376E-3</v>
      </c>
      <c r="KT72" s="23">
        <f t="shared" si="179"/>
        <v>0.12456604586958216</v>
      </c>
      <c r="KU72" s="169">
        <f t="shared" si="180"/>
        <v>202.67</v>
      </c>
      <c r="KV72" s="174">
        <f t="shared" si="252"/>
        <v>47.591000000000001</v>
      </c>
      <c r="KW72" s="159">
        <f t="shared" si="181"/>
        <v>2.319</v>
      </c>
      <c r="KX72" s="159">
        <f t="shared" si="182"/>
        <v>8.0389999999999997</v>
      </c>
      <c r="KY72" s="159">
        <f t="shared" si="183"/>
        <v>0.65200000000000002</v>
      </c>
      <c r="KZ72" s="159">
        <f t="shared" si="184"/>
        <v>11.28</v>
      </c>
      <c r="LA72" s="159">
        <f t="shared" si="185"/>
        <v>10.519600000000001</v>
      </c>
      <c r="LB72" s="159">
        <f t="shared" si="186"/>
        <v>11.045</v>
      </c>
      <c r="LC72" s="73">
        <f t="shared" si="187"/>
        <v>1.0963999999999992</v>
      </c>
      <c r="LD72" s="159">
        <f t="shared" si="188"/>
        <v>1.204</v>
      </c>
      <c r="LE72" s="159">
        <f t="shared" si="189"/>
        <v>34.013600000000004</v>
      </c>
      <c r="LF72" s="159">
        <f t="shared" si="190"/>
        <v>0</v>
      </c>
      <c r="LG72" s="159">
        <f t="shared" si="191"/>
        <v>168.65639999999999</v>
      </c>
      <c r="LH72" s="22">
        <f t="shared" si="192"/>
        <v>0.16782750283712441</v>
      </c>
      <c r="LI72" s="23">
        <f t="shared" si="193"/>
        <v>1.1442246015690532E-2</v>
      </c>
      <c r="LJ72" s="23">
        <f t="shared" si="194"/>
        <v>3.9665466028519267E-2</v>
      </c>
      <c r="LK72" s="23">
        <f t="shared" si="195"/>
        <v>3.2170523511126465E-3</v>
      </c>
      <c r="LL72" s="23">
        <f t="shared" si="196"/>
        <v>5.5656979325997925E-2</v>
      </c>
      <c r="LM72" s="23">
        <f t="shared" si="197"/>
        <v>5.1905067350865947E-2</v>
      </c>
      <c r="LN72" s="23">
        <f t="shared" si="198"/>
        <v>5.4497458923372974E-2</v>
      </c>
      <c r="LO72" s="23">
        <f t="shared" si="199"/>
        <v>5.4097794444170292E-3</v>
      </c>
      <c r="LP72" s="23">
        <f t="shared" si="200"/>
        <v>5.940691764938077E-3</v>
      </c>
      <c r="LQ72" s="23">
        <f t="shared" si="201"/>
        <v>8.3513268501730659E-2</v>
      </c>
      <c r="LR72" s="23">
        <f t="shared" si="202"/>
        <v>6.9497445195318933E-2</v>
      </c>
      <c r="LS72" s="23">
        <f t="shared" si="203"/>
        <v>1.4015823306411736E-2</v>
      </c>
      <c r="LT72" s="295"/>
      <c r="LU72" s="153"/>
      <c r="LV72" s="153">
        <f t="shared" si="204"/>
        <v>12.705</v>
      </c>
      <c r="LW72" s="153">
        <f t="shared" si="283"/>
        <v>43.610599999999998</v>
      </c>
      <c r="LX72" s="319">
        <f>LY72*Liabilities!GT72</f>
        <v>6.2208849914716868</v>
      </c>
      <c r="LY72" s="184">
        <f t="shared" si="206"/>
        <v>5.6670963373826537E-2</v>
      </c>
      <c r="LZ72" s="184">
        <f t="shared" si="253"/>
        <v>0.26411290509927027</v>
      </c>
      <c r="MA72" s="153"/>
      <c r="MB72" s="153"/>
      <c r="MC72" s="153">
        <f>Liabilities!EF72</f>
        <v>17.332999999999998</v>
      </c>
      <c r="MD72" s="153"/>
      <c r="ME72" s="153"/>
      <c r="MF72" s="153">
        <f t="shared" si="207"/>
        <v>23.553884991471683</v>
      </c>
      <c r="MG72" s="153">
        <f t="shared" si="208"/>
        <v>56.315599999999996</v>
      </c>
      <c r="MH72" s="326">
        <f t="shared" si="209"/>
        <v>202.67</v>
      </c>
      <c r="MI72" s="1008">
        <f>FoF_RoW!$BH42/1000</f>
        <v>396.06400000000002</v>
      </c>
      <c r="MJ72" s="1008"/>
      <c r="MK72" s="1008">
        <f>FoF_RoW!$AU42/1000</f>
        <v>22.937000000000001</v>
      </c>
      <c r="ML72" s="1008">
        <f t="shared" si="254"/>
        <v>55.486000000000047</v>
      </c>
      <c r="MM72" s="425">
        <f t="shared" si="210"/>
        <v>383.35900000000004</v>
      </c>
      <c r="MN72" s="23">
        <f t="shared" si="211"/>
        <v>1.8915429022548975</v>
      </c>
      <c r="MO72" s="153">
        <v>297.34899999999999</v>
      </c>
      <c r="MP72" s="425"/>
      <c r="MQ72" s="153"/>
      <c r="MR72" s="153"/>
      <c r="MS72" s="153">
        <f t="shared" si="212"/>
        <v>12.705</v>
      </c>
      <c r="MT72" s="153"/>
      <c r="MU72" s="153"/>
      <c r="MV72" s="153"/>
      <c r="MW72" s="153"/>
      <c r="MX72" s="153"/>
      <c r="MY72" s="425">
        <f t="shared" si="255"/>
        <v>141.04599999999996</v>
      </c>
      <c r="MZ72" s="31">
        <f t="shared" si="213"/>
        <v>5.8120158233064101E-2</v>
      </c>
      <c r="NA72" s="153">
        <v>839.08299999999997</v>
      </c>
      <c r="NB72" s="153">
        <v>542.221</v>
      </c>
      <c r="NC72" s="425">
        <v>204.53100000000006</v>
      </c>
      <c r="ND72" s="23">
        <f t="shared" si="214"/>
        <v>8.4280121971320274E-2</v>
      </c>
      <c r="NE72" s="153"/>
      <c r="NF72" s="153"/>
      <c r="NG72" s="153"/>
      <c r="NH72" s="153"/>
      <c r="NI72" s="330">
        <v>155.816</v>
      </c>
      <c r="NJ72" s="425">
        <f t="shared" si="63"/>
        <v>28.510999999999999</v>
      </c>
      <c r="NK72" s="403">
        <f t="shared" si="64"/>
        <v>1.1748392945442557E-2</v>
      </c>
      <c r="NL72" s="153">
        <v>28.510999999999999</v>
      </c>
      <c r="NM72" s="153">
        <v>37.146000000000001</v>
      </c>
      <c r="NN72" s="153">
        <v>8.6349999999999998</v>
      </c>
      <c r="NO72" s="425">
        <f t="shared" si="100"/>
        <v>30.072000000000003</v>
      </c>
      <c r="NP72" s="153">
        <v>72.605000000000004</v>
      </c>
      <c r="NQ72" s="153">
        <v>42.533000000000001</v>
      </c>
      <c r="NR72" s="403">
        <f t="shared" si="65"/>
        <v>1.2391626833690456E-2</v>
      </c>
      <c r="NS72" s="403">
        <f t="shared" si="66"/>
        <v>1.1748392945442557E-2</v>
      </c>
      <c r="NT72" s="403">
        <f t="shared" si="67"/>
        <v>6.4323388824789884E-4</v>
      </c>
      <c r="NU72" s="727" t="e">
        <f t="shared" si="215"/>
        <v>#DIV/0!</v>
      </c>
      <c r="NV72" s="688">
        <f t="shared" si="216"/>
        <v>9.5366749939167703E-2</v>
      </c>
      <c r="NW72" s="688">
        <f t="shared" si="217"/>
        <v>0.18039029895855033</v>
      </c>
      <c r="NX72" s="793" t="e">
        <f>(ER72-T.A2!B24*T.A1!M24)/MP72</f>
        <v>#DIV/0!</v>
      </c>
      <c r="NY72" s="688" t="e">
        <f>Liabilities!BU72/Liabilities!GY72</f>
        <v>#DIV/0!</v>
      </c>
      <c r="NZ72" s="688">
        <f>Liabilities!BU72/Liabilities!GT72</f>
        <v>5.2696133804613202E-2</v>
      </c>
      <c r="OA72" s="688" t="e">
        <f>Liabilities!BU72/Liabilities!GR72</f>
        <v>#DIV/0!</v>
      </c>
      <c r="OB72" s="688" t="e">
        <f t="shared" si="256"/>
        <v>#DIV/0!</v>
      </c>
      <c r="OC72" s="688">
        <f t="shared" si="257"/>
        <v>4.2670616134554501E-2</v>
      </c>
      <c r="OD72" s="688"/>
      <c r="OE72" s="793">
        <f t="shared" si="218"/>
        <v>9.5366749939167703E-2</v>
      </c>
      <c r="OF72" s="793">
        <f>OE72/(1-'Assets(MOFA)'!GU25)</f>
        <v>0.1929402322931153</v>
      </c>
      <c r="OG72" s="793">
        <f>Liabilities!HV72</f>
        <v>0</v>
      </c>
      <c r="OH72" s="793"/>
      <c r="OI72" s="387">
        <f t="shared" si="219"/>
        <v>3.7791910795065685E-2</v>
      </c>
      <c r="OJ72" s="387">
        <f t="shared" si="265"/>
        <v>6.0628755428902621E-2</v>
      </c>
      <c r="OK72" s="387"/>
      <c r="OL72" s="387"/>
      <c r="OM72" s="319"/>
      <c r="OO72" s="97">
        <f t="shared" si="221"/>
        <v>9.5366749939167703E-2</v>
      </c>
      <c r="OP72" s="29"/>
      <c r="OQ72" s="29"/>
      <c r="OR72" s="29"/>
      <c r="OS72" s="71"/>
      <c r="OT72" s="71"/>
      <c r="OU72" s="71"/>
      <c r="OV72" s="71"/>
      <c r="OW72" s="71"/>
      <c r="OX72" s="71"/>
      <c r="OY72" s="71"/>
      <c r="OZ72" s="71"/>
      <c r="PA72" s="71"/>
      <c r="PG72" s="69"/>
      <c r="PH72" s="23">
        <f>'Assets(MOFA)'!GU25</f>
        <v>0.50571869430380756</v>
      </c>
      <c r="PI72" s="23">
        <f>'Assets(MOFA)'!HM25</f>
        <v>0.37931047060875128</v>
      </c>
      <c r="PJ72" s="11">
        <f t="shared" si="222"/>
        <v>5.8279711654441235E-2</v>
      </c>
      <c r="PL72" s="11">
        <f>'Assets(MOFA)'!GO25/MM72/1000</f>
        <v>3.612279873434561E-2</v>
      </c>
    </row>
    <row r="73" spans="2:428">
      <c r="B73" s="71">
        <v>1981</v>
      </c>
      <c r="C73" s="43">
        <v>2722.1</v>
      </c>
      <c r="D73" s="5">
        <v>247.5</v>
      </c>
      <c r="E73" s="6">
        <f t="shared" si="68"/>
        <v>9.0922449579368875E-2</v>
      </c>
      <c r="F73" s="72">
        <f t="shared" si="69"/>
        <v>0</v>
      </c>
      <c r="G73" s="76">
        <f t="shared" si="70"/>
        <v>217.8</v>
      </c>
      <c r="H73" s="23">
        <f t="shared" si="71"/>
        <v>8.0011755629844611E-2</v>
      </c>
      <c r="I73" s="74">
        <v>29.7</v>
      </c>
      <c r="J73" s="19">
        <f t="shared" si="72"/>
        <v>1.0910693949524264E-2</v>
      </c>
      <c r="K73" s="6">
        <f t="shared" si="73"/>
        <v>0.12</v>
      </c>
      <c r="L73" s="136">
        <v>38</v>
      </c>
      <c r="M73" s="19">
        <f t="shared" si="74"/>
        <v>1.3959810440468757E-2</v>
      </c>
      <c r="N73" s="63">
        <f t="shared" si="75"/>
        <v>0.15353535353535352</v>
      </c>
      <c r="O73" s="5">
        <f t="shared" si="76"/>
        <v>247.5</v>
      </c>
      <c r="P73" s="75">
        <f t="shared" si="77"/>
        <v>0</v>
      </c>
      <c r="Q73" s="271">
        <v>212.5</v>
      </c>
      <c r="R73" s="202">
        <v>26.3</v>
      </c>
      <c r="S73" s="53">
        <f t="shared" si="78"/>
        <v>0.10626262626262627</v>
      </c>
      <c r="T73" s="74">
        <v>14.4</v>
      </c>
      <c r="U73" s="74">
        <v>-29.1</v>
      </c>
      <c r="V73" s="207">
        <v>28.8</v>
      </c>
      <c r="W73" s="53">
        <f t="shared" si="79"/>
        <v>0.11636363636363636</v>
      </c>
      <c r="X73" s="75">
        <f t="shared" si="80"/>
        <v>52.199999999999989</v>
      </c>
      <c r="Y73" s="187"/>
      <c r="Z73" s="75"/>
      <c r="AA73" s="75"/>
      <c r="AB73" s="75"/>
      <c r="AC73" s="75">
        <f t="shared" si="103"/>
        <v>-0.74822169282345263</v>
      </c>
      <c r="AD73" s="23">
        <f t="shared" si="81"/>
        <v>-3.0231179508018288E-3</v>
      </c>
      <c r="AE73" s="76"/>
      <c r="AF73" s="76">
        <v>-0.81625663314199759</v>
      </c>
      <c r="AG73" s="76"/>
      <c r="AH73" s="97">
        <v>84.3</v>
      </c>
      <c r="AI73" s="22">
        <f t="shared" si="82"/>
        <v>3.0968737371882004E-2</v>
      </c>
      <c r="AJ73" s="22">
        <f t="shared" si="83"/>
        <v>2.5825649314867197E-2</v>
      </c>
      <c r="AK73" s="99">
        <f t="shared" si="84"/>
        <v>9.9999999999994316E-2</v>
      </c>
      <c r="AL73" s="71">
        <v>51.6</v>
      </c>
      <c r="AM73" s="72">
        <f>(0.25*Fedtax!C54+0.75*Fedtax!C53)/1000</f>
        <v>58.154499999999999</v>
      </c>
      <c r="AN73" s="71">
        <v>15.4</v>
      </c>
      <c r="AO73" s="255">
        <v>3.2</v>
      </c>
      <c r="AP73" s="71">
        <v>14</v>
      </c>
      <c r="AQ73" s="6">
        <f t="shared" si="85"/>
        <v>5.9953712207486867E-2</v>
      </c>
      <c r="AR73" s="207">
        <v>23.8</v>
      </c>
      <c r="AS73" s="714">
        <v>20.931999999999999</v>
      </c>
      <c r="AT73" s="210">
        <f>1.901+9.094</f>
        <v>10.994999999999999</v>
      </c>
      <c r="AU73" s="205">
        <f t="shared" si="286"/>
        <v>0.52527231033823807</v>
      </c>
      <c r="AV73" s="774"/>
      <c r="AW73" s="774"/>
      <c r="AX73" s="774"/>
      <c r="AY73" s="520"/>
      <c r="AZ73" s="786"/>
      <c r="BA73" s="785"/>
      <c r="BB73" s="792"/>
      <c r="BC73" s="209"/>
      <c r="BD73" s="210">
        <f>'Assets(MOFA)'!FJ26/1000</f>
        <v>33.0762</v>
      </c>
      <c r="BE73" s="205">
        <f t="shared" si="105"/>
        <v>0</v>
      </c>
      <c r="BF73" s="186">
        <v>0.46</v>
      </c>
      <c r="BG73" s="435"/>
      <c r="BH73" s="140">
        <f t="shared" si="106"/>
        <v>0.27754763877381938</v>
      </c>
      <c r="BI73" s="248">
        <f t="shared" si="57"/>
        <v>0.27754763877381938</v>
      </c>
      <c r="BJ73" s="23">
        <f t="shared" si="107"/>
        <v>0.24833456698741671</v>
      </c>
      <c r="BK73" s="140">
        <f t="shared" si="108"/>
        <v>0.34276018099547512</v>
      </c>
      <c r="BL73" s="140">
        <f t="shared" si="109"/>
        <v>0.39092772411965065</v>
      </c>
      <c r="BM73" s="248">
        <f t="shared" si="110"/>
        <v>0.34179585567972576</v>
      </c>
      <c r="BN73" s="23">
        <f t="shared" si="111"/>
        <v>0.33082352941176468</v>
      </c>
      <c r="BO73" s="23">
        <f t="shared" si="112"/>
        <v>0.29438860971524283</v>
      </c>
      <c r="BP73" s="149">
        <f t="shared" si="86"/>
        <v>247.5</v>
      </c>
      <c r="BQ73" s="99">
        <f t="shared" si="87"/>
        <v>0</v>
      </c>
      <c r="BR73" s="153">
        <f t="shared" si="88"/>
        <v>84.3</v>
      </c>
      <c r="BS73" s="79">
        <v>73.8</v>
      </c>
      <c r="BT73" s="79">
        <v>89.4</v>
      </c>
      <c r="BU73" s="23">
        <f t="shared" si="223"/>
        <v>0.36121212121212126</v>
      </c>
      <c r="BV73" s="71">
        <v>75.2</v>
      </c>
      <c r="BW73" s="71">
        <f t="shared" si="89"/>
        <v>14.200000000000003</v>
      </c>
      <c r="BX73" s="23">
        <f t="shared" si="90"/>
        <v>5.7373737373737382E-2</v>
      </c>
      <c r="BY73" s="23"/>
      <c r="BZ73" s="23"/>
      <c r="CA73" s="23"/>
      <c r="CB73" s="23">
        <f t="shared" si="262"/>
        <v>0.47811447811447821</v>
      </c>
      <c r="CC73" s="169">
        <f t="shared" si="91"/>
        <v>38</v>
      </c>
      <c r="CD73" s="174"/>
      <c r="CF73" s="79">
        <f t="shared" si="58"/>
        <v>32.172243617607293</v>
      </c>
      <c r="CH73" s="23">
        <f t="shared" si="59"/>
        <v>0.84663798993703399</v>
      </c>
      <c r="CI73" s="169">
        <v>32.548999999999999</v>
      </c>
      <c r="CK73" s="79">
        <f t="shared" si="60"/>
        <v>32.172243617607293</v>
      </c>
      <c r="CL73" s="159"/>
      <c r="CN73" s="683">
        <v>17.3</v>
      </c>
      <c r="CO73" s="683"/>
      <c r="CP73" s="79">
        <f t="shared" si="61"/>
        <v>0.37675638239270876</v>
      </c>
      <c r="CU73" s="80"/>
      <c r="CZ73" s="166">
        <f t="shared" si="49"/>
        <v>32.548999999999999</v>
      </c>
      <c r="DA73" s="193">
        <v>13330</v>
      </c>
      <c r="DB73" s="23">
        <f t="shared" si="267"/>
        <v>0.40953639128698271</v>
      </c>
      <c r="DG73" s="245">
        <v>1586</v>
      </c>
      <c r="DI73" s="180">
        <v>32.548999999999999</v>
      </c>
      <c r="DJ73" s="138">
        <v>0.57299999999999995</v>
      </c>
      <c r="DK73" s="138">
        <v>1.218</v>
      </c>
      <c r="DL73" s="138">
        <v>0.09</v>
      </c>
      <c r="DM73" s="138">
        <v>1.8959999999999999</v>
      </c>
      <c r="DN73" s="138">
        <v>2.5369999999999999</v>
      </c>
      <c r="DO73" s="138">
        <v>1.264</v>
      </c>
      <c r="DP73" s="73">
        <v>-0.40500000000000003</v>
      </c>
      <c r="DQ73" s="138">
        <v>0.48199999999999998</v>
      </c>
      <c r="DR73" s="156">
        <f t="shared" si="113"/>
        <v>6.7960000000000003</v>
      </c>
      <c r="DS73" s="156">
        <f t="shared" si="114"/>
        <v>25.753</v>
      </c>
      <c r="DT73" s="156">
        <v>1.456</v>
      </c>
      <c r="DU73" s="6">
        <f t="shared" si="115"/>
        <v>5.6537102473498232E-2</v>
      </c>
      <c r="DV73" s="6">
        <f t="shared" si="116"/>
        <v>1.7604227472426189E-2</v>
      </c>
      <c r="DW73" s="6">
        <f t="shared" si="117"/>
        <v>3.7420504470183413E-2</v>
      </c>
      <c r="DX73" s="605">
        <f t="shared" si="118"/>
        <v>2.7650619066637992E-3</v>
      </c>
      <c r="DY73" s="6">
        <f t="shared" si="119"/>
        <v>5.8250637500384034E-2</v>
      </c>
      <c r="DZ73" s="6">
        <f t="shared" si="120"/>
        <v>7.7944022857845088E-2</v>
      </c>
      <c r="EA73" s="6">
        <f t="shared" si="121"/>
        <v>3.883375833358936E-2</v>
      </c>
      <c r="EB73" s="6">
        <f t="shared" si="122"/>
        <v>-1.2442778579987098E-2</v>
      </c>
      <c r="EC73" s="605">
        <f t="shared" si="123"/>
        <v>1.4808442655688347E-2</v>
      </c>
      <c r="ED73" s="6">
        <f t="shared" si="124"/>
        <v>0.20879289686319086</v>
      </c>
      <c r="EE73" s="6"/>
      <c r="EF73" s="6"/>
      <c r="EG73" s="67">
        <v>13.536</v>
      </c>
      <c r="EN73" s="24"/>
      <c r="EO73" s="184">
        <v>0.5</v>
      </c>
      <c r="ER73" s="182">
        <f t="shared" si="268"/>
        <v>32.172243617607293</v>
      </c>
      <c r="ES73" s="136">
        <f t="shared" si="284"/>
        <v>13.616219012297483</v>
      </c>
      <c r="ET73" s="136"/>
      <c r="EU73" s="136"/>
      <c r="EV73" s="136"/>
      <c r="EW73" s="153">
        <f t="shared" si="125"/>
        <v>0.57299999999999995</v>
      </c>
      <c r="EX73" s="153">
        <f t="shared" si="126"/>
        <v>1.218</v>
      </c>
      <c r="EY73" s="153">
        <f t="shared" si="127"/>
        <v>0.09</v>
      </c>
      <c r="EZ73" s="153">
        <f t="shared" si="128"/>
        <v>1.8959999999999999</v>
      </c>
      <c r="FA73" s="153">
        <f t="shared" si="129"/>
        <v>2.7031999999999998</v>
      </c>
      <c r="FB73" s="153">
        <f t="shared" si="130"/>
        <v>1.264</v>
      </c>
      <c r="FC73" s="153">
        <f t="shared" si="131"/>
        <v>0.47507999999999995</v>
      </c>
      <c r="FD73" s="153">
        <f t="shared" si="132"/>
        <v>0.48199999999999998</v>
      </c>
      <c r="FE73" s="153">
        <f t="shared" si="133"/>
        <v>6.9622000000000002</v>
      </c>
      <c r="FF73" s="153">
        <f t="shared" si="134"/>
        <v>25.21004361760729</v>
      </c>
      <c r="FG73" s="23">
        <f t="shared" si="135"/>
        <v>1.7810383596822178E-2</v>
      </c>
      <c r="FH73" s="23">
        <f t="shared" si="136"/>
        <v>3.7858721153454476E-2</v>
      </c>
      <c r="FI73" s="23">
        <f t="shared" si="137"/>
        <v>2.7974424497626458E-3</v>
      </c>
      <c r="FJ73" s="23">
        <f t="shared" si="138"/>
        <v>5.8932787608333072E-2</v>
      </c>
      <c r="FK73" s="23">
        <f t="shared" si="139"/>
        <v>8.4022738113315384E-2</v>
      </c>
      <c r="FL73" s="23">
        <f t="shared" si="140"/>
        <v>3.9288525072222052E-2</v>
      </c>
      <c r="FM73" s="23">
        <f t="shared" si="141"/>
        <v>1.4766766211480419E-2</v>
      </c>
      <c r="FN73" s="23">
        <f t="shared" si="142"/>
        <v>1.4981858453173281E-2</v>
      </c>
      <c r="FO73" s="23">
        <f t="shared" si="92"/>
        <v>0.21640393137486105</v>
      </c>
      <c r="FP73" s="23">
        <f t="shared" si="93"/>
        <v>0.78359606862513898</v>
      </c>
      <c r="FQ73" s="6">
        <f t="shared" si="94"/>
        <v>3.3225654110079675E-2</v>
      </c>
      <c r="FR73" s="23">
        <f t="shared" si="95"/>
        <v>0.12030969942527385</v>
      </c>
      <c r="FS73" s="23">
        <f t="shared" si="96"/>
        <v>3.0209578605652695E-3</v>
      </c>
      <c r="FT73" s="393">
        <f t="shared" si="97"/>
        <v>1.5104789302826348E-3</v>
      </c>
      <c r="FU73" s="393">
        <f t="shared" si="98"/>
        <v>1.5104789302826348E-3</v>
      </c>
      <c r="FV73" s="23">
        <f t="shared" si="99"/>
        <v>1.0938852579903485E-2</v>
      </c>
      <c r="FW73" s="182">
        <f>GG73+GF73</f>
        <v>0.37675638239270876</v>
      </c>
      <c r="FX73" s="340">
        <f t="shared" si="269"/>
        <v>0</v>
      </c>
      <c r="FY73" s="340">
        <f t="shared" si="270"/>
        <v>0</v>
      </c>
      <c r="FZ73" s="340">
        <f t="shared" si="271"/>
        <v>0</v>
      </c>
      <c r="GA73" s="340">
        <f t="shared" si="272"/>
        <v>0</v>
      </c>
      <c r="GB73" s="225">
        <f t="shared" si="273"/>
        <v>-0.16619999999999996</v>
      </c>
      <c r="GC73" s="340">
        <f t="shared" si="274"/>
        <v>0</v>
      </c>
      <c r="GD73" s="319">
        <f t="shared" si="275"/>
        <v>-0.88007999999999997</v>
      </c>
      <c r="GE73" s="340">
        <f t="shared" si="276"/>
        <v>0</v>
      </c>
      <c r="GF73" s="341">
        <f t="shared" si="151"/>
        <v>-0.16619999999999996</v>
      </c>
      <c r="GG73" s="341">
        <f t="shared" si="277"/>
        <v>0.54295638239270871</v>
      </c>
      <c r="GH73" s="169">
        <v>9.6240000000000006</v>
      </c>
      <c r="GI73" s="73">
        <v>0.315</v>
      </c>
      <c r="GJ73" s="73">
        <v>0.76900000000000002</v>
      </c>
      <c r="GK73" s="85">
        <v>8.9999999999999993E-3</v>
      </c>
      <c r="GL73" s="85">
        <v>1.1839999999999999</v>
      </c>
      <c r="GM73" s="85">
        <v>-3.62</v>
      </c>
      <c r="GN73" s="85">
        <v>-0.69299999999999995</v>
      </c>
      <c r="GO73" s="73">
        <f t="shared" si="153"/>
        <v>-2.927</v>
      </c>
      <c r="GP73" s="73">
        <v>-2.97</v>
      </c>
      <c r="GQ73" s="73">
        <v>0.63</v>
      </c>
      <c r="GR73" s="73">
        <f t="shared" si="154"/>
        <v>-0.71300000000000052</v>
      </c>
      <c r="GS73" s="73">
        <f t="shared" si="155"/>
        <v>10.337000000000002</v>
      </c>
      <c r="GT73" s="23">
        <f t="shared" si="156"/>
        <v>-7.4085619285120585E-2</v>
      </c>
      <c r="GU73" s="334">
        <f t="shared" si="259"/>
        <v>9.6240000000000006</v>
      </c>
      <c r="GW73" s="899">
        <f t="shared" si="52"/>
        <v>13.536</v>
      </c>
      <c r="GX73" s="73">
        <f t="shared" si="224"/>
        <v>0.315</v>
      </c>
      <c r="GY73" s="73">
        <f t="shared" si="225"/>
        <v>0.76900000000000002</v>
      </c>
      <c r="GZ73" s="73">
        <f t="shared" si="226"/>
        <v>8.9999999999999993E-3</v>
      </c>
      <c r="HA73" s="73">
        <f t="shared" si="227"/>
        <v>1.1839999999999999</v>
      </c>
      <c r="HB73" s="73">
        <f t="shared" si="228"/>
        <v>-0.25160000000000071</v>
      </c>
      <c r="HC73" s="73">
        <f t="shared" si="229"/>
        <v>-0.69299999999999995</v>
      </c>
      <c r="HD73" s="73">
        <f t="shared" si="230"/>
        <v>0.3983999999999992</v>
      </c>
      <c r="HE73" s="73">
        <f t="shared" si="231"/>
        <v>0.63</v>
      </c>
      <c r="HF73" s="73">
        <f t="shared" si="158"/>
        <v>2.6553999999999993</v>
      </c>
      <c r="HG73" s="23">
        <f t="shared" si="232"/>
        <v>0.27591438071487939</v>
      </c>
      <c r="HH73" s="72">
        <f>KU73-KU72</f>
        <v>12.973000000000013</v>
      </c>
      <c r="HI73" s="169">
        <v>-3.9119999999999999</v>
      </c>
      <c r="HJ73" s="71"/>
      <c r="HK73" s="71"/>
      <c r="HL73" s="71"/>
      <c r="HM73" s="71"/>
      <c r="HN73" s="71"/>
      <c r="HO73" s="71"/>
      <c r="HP73" s="71"/>
      <c r="HQ73" s="71"/>
      <c r="HR73" s="71"/>
      <c r="HT73" s="29"/>
      <c r="HU73" s="71"/>
      <c r="HV73" s="71"/>
      <c r="HW73" s="71"/>
      <c r="HX73" s="71"/>
      <c r="HY73" s="71"/>
      <c r="HZ73" s="71"/>
      <c r="IA73" s="71"/>
      <c r="IB73" s="71"/>
      <c r="IC73" s="71"/>
      <c r="ID73" s="71"/>
      <c r="IE73" s="71"/>
      <c r="IF73" s="743">
        <v>0</v>
      </c>
      <c r="IG73" s="71">
        <v>0</v>
      </c>
      <c r="IH73" s="71">
        <v>0</v>
      </c>
      <c r="II73" s="71">
        <v>0</v>
      </c>
      <c r="IJ73" s="71">
        <v>0</v>
      </c>
      <c r="IK73" s="163">
        <f>IM73</f>
        <v>-3.3683999999999994</v>
      </c>
      <c r="IL73" s="71">
        <v>0</v>
      </c>
      <c r="IM73" s="371">
        <f>(JQ73-JQ72)*1.2</f>
        <v>-3.3683999999999994</v>
      </c>
      <c r="IN73" s="71">
        <v>0</v>
      </c>
      <c r="IO73" s="282">
        <f t="shared" si="160"/>
        <v>-3.3683999999999994</v>
      </c>
      <c r="IP73" s="282">
        <f t="shared" si="235"/>
        <v>3.3683999999999994</v>
      </c>
      <c r="IQ73" s="174">
        <f t="shared" si="236"/>
        <v>0</v>
      </c>
      <c r="IR73" s="337">
        <f t="shared" si="161"/>
        <v>228.34800000000001</v>
      </c>
      <c r="IS73" s="73">
        <f t="shared" si="237"/>
        <v>12.973000000000013</v>
      </c>
      <c r="IT73" s="73">
        <f t="shared" ref="IT73:IT91" si="288">IU73+IV73+IW73+IX73-IS73</f>
        <v>0</v>
      </c>
      <c r="IU73" s="79">
        <f t="shared" si="53"/>
        <v>13.536</v>
      </c>
      <c r="IV73" s="899">
        <f t="shared" si="260"/>
        <v>-3.9119999999999999</v>
      </c>
      <c r="IW73" s="899">
        <f>IF73</f>
        <v>0</v>
      </c>
      <c r="IX73" s="73">
        <f t="shared" si="240"/>
        <v>3.3490000000000135</v>
      </c>
      <c r="JB73" s="23">
        <f t="shared" si="162"/>
        <v>8.3886705117372617E-2</v>
      </c>
      <c r="JC73" s="23">
        <f t="shared" si="163"/>
        <v>1.2974909077550422E-2</v>
      </c>
      <c r="JD73" s="23">
        <f t="shared" si="164"/>
        <v>7.09117960398222E-2</v>
      </c>
      <c r="JE73" s="906">
        <f t="shared" si="54"/>
        <v>4.9726314242680286E-3</v>
      </c>
      <c r="JF73" s="1000"/>
      <c r="JG73" s="1001"/>
      <c r="JH73" s="5">
        <v>228.34800000000001</v>
      </c>
      <c r="JI73" s="192">
        <v>53.244</v>
      </c>
      <c r="JJ73" s="76">
        <v>2.7010000000000001</v>
      </c>
      <c r="JK73" s="76">
        <v>8.8130000000000006</v>
      </c>
      <c r="JL73" s="76">
        <v>0.65500000000000003</v>
      </c>
      <c r="JM73" s="76">
        <v>12.499000000000001</v>
      </c>
      <c r="JN73" s="76">
        <v>8.8119999999999994</v>
      </c>
      <c r="JO73" s="76">
        <v>10.39</v>
      </c>
      <c r="JP73" s="76">
        <f>JN73-JO73</f>
        <v>-1.5780000000000012</v>
      </c>
      <c r="JQ73" s="76">
        <v>-7.1429999999999998</v>
      </c>
      <c r="JR73" s="76">
        <v>1.839</v>
      </c>
      <c r="JS73" s="76">
        <f t="shared" si="287"/>
        <v>35.319000000000003</v>
      </c>
      <c r="JT73" s="76">
        <f t="shared" si="278"/>
        <v>193.029</v>
      </c>
      <c r="JU73" s="23">
        <f t="shared" si="279"/>
        <v>0.15467181670082505</v>
      </c>
      <c r="JV73" s="23">
        <f t="shared" si="280"/>
        <v>1.1828437297458265E-2</v>
      </c>
      <c r="JW73" s="23">
        <f t="shared" si="280"/>
        <v>3.8594601222695188E-2</v>
      </c>
      <c r="JX73" s="23">
        <f t="shared" si="280"/>
        <v>2.8684288892392314E-3</v>
      </c>
      <c r="JY73" s="23">
        <f t="shared" si="280"/>
        <v>5.4736630055879622E-2</v>
      </c>
      <c r="JZ73" s="23">
        <f t="shared" si="280"/>
        <v>3.859022194194825E-2</v>
      </c>
      <c r="KA73" s="23">
        <f t="shared" si="281"/>
        <v>8.0534972936044981E-3</v>
      </c>
      <c r="KB73" s="365">
        <f>KB74-IF74</f>
        <v>12.705</v>
      </c>
      <c r="KC73" s="162">
        <f>KD73+KB73</f>
        <v>59.683999999999997</v>
      </c>
      <c r="KD73" s="162">
        <f>KD74+IM74</f>
        <v>46.978999999999999</v>
      </c>
      <c r="KE73" s="6">
        <f t="shared" si="242"/>
        <v>0.78712887876147708</v>
      </c>
      <c r="KF73" s="1071">
        <v>0</v>
      </c>
      <c r="KG73" s="66">
        <f t="shared" si="243"/>
        <v>0</v>
      </c>
      <c r="KH73" s="66">
        <f t="shared" si="244"/>
        <v>0</v>
      </c>
      <c r="KI73" s="357">
        <f t="shared" si="245"/>
        <v>0</v>
      </c>
      <c r="KJ73" s="100">
        <f t="shared" si="246"/>
        <v>0</v>
      </c>
      <c r="KK73" s="79">
        <f t="shared" si="285"/>
        <v>-1.6619999999999995</v>
      </c>
      <c r="KL73" s="79">
        <f t="shared" si="248"/>
        <v>0</v>
      </c>
      <c r="KM73" s="79"/>
      <c r="KN73" s="79"/>
      <c r="KO73" s="73">
        <f t="shared" si="249"/>
        <v>-8.8007999999999988</v>
      </c>
      <c r="KP73" s="79">
        <f t="shared" si="250"/>
        <v>0</v>
      </c>
      <c r="KQ73" s="73">
        <f t="shared" si="177"/>
        <v>-1.6619999999999995</v>
      </c>
      <c r="KR73" s="84">
        <f t="shared" si="251"/>
        <v>14.366999999999999</v>
      </c>
      <c r="KS73" s="23">
        <f t="shared" si="178"/>
        <v>5.2779104367951211E-3</v>
      </c>
      <c r="KT73" s="23">
        <f t="shared" si="179"/>
        <v>0.18733476659784157</v>
      </c>
      <c r="KU73" s="169">
        <f t="shared" si="180"/>
        <v>215.643</v>
      </c>
      <c r="KV73" s="174">
        <f t="shared" si="252"/>
        <v>53.244</v>
      </c>
      <c r="KW73" s="159">
        <f t="shared" si="181"/>
        <v>2.7010000000000001</v>
      </c>
      <c r="KX73" s="159">
        <f t="shared" si="182"/>
        <v>8.8130000000000006</v>
      </c>
      <c r="KY73" s="159">
        <f t="shared" si="183"/>
        <v>0.65500000000000003</v>
      </c>
      <c r="KZ73" s="159">
        <f t="shared" si="184"/>
        <v>12.499000000000001</v>
      </c>
      <c r="LA73" s="322">
        <f t="shared" si="185"/>
        <v>10.473999999999998</v>
      </c>
      <c r="LB73" s="159">
        <f t="shared" si="186"/>
        <v>10.39</v>
      </c>
      <c r="LC73" s="73">
        <f t="shared" si="187"/>
        <v>1.6577999999999991</v>
      </c>
      <c r="LD73" s="159">
        <f t="shared" si="188"/>
        <v>1.839</v>
      </c>
      <c r="LE73" s="159">
        <f t="shared" si="189"/>
        <v>36.981000000000002</v>
      </c>
      <c r="LF73" s="159">
        <f t="shared" si="190"/>
        <v>0</v>
      </c>
      <c r="LG73" s="159">
        <f t="shared" si="191"/>
        <v>178.66200000000001</v>
      </c>
      <c r="LH73" s="22">
        <f t="shared" si="192"/>
        <v>0.17149177112171507</v>
      </c>
      <c r="LI73" s="23">
        <f t="shared" si="193"/>
        <v>1.2525331218727249E-2</v>
      </c>
      <c r="LJ73" s="23">
        <f t="shared" si="194"/>
        <v>4.0868472428968253E-2</v>
      </c>
      <c r="LK73" s="23">
        <f t="shared" si="195"/>
        <v>3.037427600246704E-3</v>
      </c>
      <c r="LL73" s="23">
        <f t="shared" si="196"/>
        <v>5.7961538283180999E-2</v>
      </c>
      <c r="LM73" s="251">
        <f t="shared" si="197"/>
        <v>4.8571017839670189E-2</v>
      </c>
      <c r="LN73" s="251">
        <f t="shared" si="198"/>
        <v>4.818148513979123E-2</v>
      </c>
      <c r="LO73" s="251">
        <f t="shared" si="199"/>
        <v>7.6877060697541728E-3</v>
      </c>
      <c r="LP73" s="23">
        <f t="shared" si="200"/>
        <v>8.5279837509216628E-3</v>
      </c>
      <c r="LQ73" s="23">
        <f t="shared" si="201"/>
        <v>7.9219352705631685E-2</v>
      </c>
      <c r="LR73" s="23">
        <f t="shared" si="202"/>
        <v>6.5633885603027076E-2</v>
      </c>
      <c r="LS73" s="23">
        <f t="shared" si="203"/>
        <v>1.3585467102604607E-2</v>
      </c>
      <c r="LT73" s="295"/>
      <c r="LU73" s="153"/>
      <c r="LV73" s="153">
        <f t="shared" si="204"/>
        <v>12.705</v>
      </c>
      <c r="LW73" s="153">
        <f t="shared" si="283"/>
        <v>46.978999999999999</v>
      </c>
      <c r="LX73" s="319">
        <f>LY73*Liabilities!GT73</f>
        <v>7.9245841633790324</v>
      </c>
      <c r="LY73" s="184">
        <f>LY$74</f>
        <v>5.6670963373826537E-2</v>
      </c>
      <c r="LZ73" s="184">
        <f t="shared" si="253"/>
        <v>0.24224879709290645</v>
      </c>
      <c r="MA73" s="153"/>
      <c r="MB73" s="153"/>
      <c r="MC73" s="153">
        <f>Liabilities!EF73</f>
        <v>24.788</v>
      </c>
      <c r="MD73" s="153"/>
      <c r="ME73" s="153"/>
      <c r="MF73" s="153">
        <f>MC73+LX73</f>
        <v>32.712584163379034</v>
      </c>
      <c r="MG73" s="153">
        <f t="shared" si="208"/>
        <v>59.683999999999997</v>
      </c>
      <c r="MH73" s="326">
        <f t="shared" si="209"/>
        <v>215.643</v>
      </c>
      <c r="MI73" s="1008">
        <f>FoF_RoW!$BH43/1000</f>
        <v>421.75299999999999</v>
      </c>
      <c r="MJ73" s="1008"/>
      <c r="MK73" s="1008">
        <f>FoF_RoW!$AU43/1000</f>
        <v>15.456</v>
      </c>
      <c r="ML73" s="1008">
        <f t="shared" si="254"/>
        <v>25.688999999999965</v>
      </c>
      <c r="MM73" s="425">
        <f t="shared" si="210"/>
        <v>409.048</v>
      </c>
      <c r="MN73" s="23">
        <f t="shared" si="211"/>
        <v>1.8968758550010898</v>
      </c>
      <c r="MO73" s="153">
        <v>239.08</v>
      </c>
      <c r="MP73" s="425"/>
      <c r="MQ73" s="153"/>
      <c r="MR73" s="153"/>
      <c r="MS73" s="153">
        <f t="shared" si="212"/>
        <v>12.705</v>
      </c>
      <c r="MT73" s="153"/>
      <c r="MU73" s="153"/>
      <c r="MV73" s="153"/>
      <c r="MW73" s="153"/>
      <c r="MX73" s="153"/>
      <c r="MY73" s="425">
        <f t="shared" si="255"/>
        <v>121.34799999999996</v>
      </c>
      <c r="MZ73" s="31">
        <f t="shared" si="213"/>
        <v>4.4578817824473739E-2</v>
      </c>
      <c r="NA73" s="153">
        <v>832.94299999999998</v>
      </c>
      <c r="NB73" s="153">
        <v>605.95100000000002</v>
      </c>
      <c r="NC73" s="425">
        <v>234.74099999999999</v>
      </c>
      <c r="ND73" s="23">
        <f t="shared" si="214"/>
        <v>8.6235259542265158E-2</v>
      </c>
      <c r="NE73" s="153"/>
      <c r="NF73" s="153"/>
      <c r="NG73" s="153"/>
      <c r="NH73" s="153"/>
      <c r="NI73" s="330">
        <v>105.64400000000001</v>
      </c>
      <c r="NJ73" s="425">
        <f t="shared" si="63"/>
        <v>25.651</v>
      </c>
      <c r="NK73" s="403">
        <f t="shared" si="64"/>
        <v>9.4232394107490545E-3</v>
      </c>
      <c r="NL73" s="153">
        <v>25.651</v>
      </c>
      <c r="NM73" s="153">
        <v>32.548999999999999</v>
      </c>
      <c r="NN73" s="153">
        <v>6.8979999999999997</v>
      </c>
      <c r="NO73" s="425">
        <f t="shared" si="100"/>
        <v>32.902999999999999</v>
      </c>
      <c r="NP73" s="153">
        <v>86.528999999999996</v>
      </c>
      <c r="NQ73" s="153">
        <v>53.625999999999998</v>
      </c>
      <c r="NR73" s="403">
        <f t="shared" si="65"/>
        <v>1.2087359024282722E-2</v>
      </c>
      <c r="NS73" s="403">
        <f t="shared" si="66"/>
        <v>9.4232394107490545E-3</v>
      </c>
      <c r="NT73" s="403">
        <f t="shared" si="67"/>
        <v>2.6641196135336678E-3</v>
      </c>
      <c r="NU73" s="727" t="e">
        <f t="shared" si="215"/>
        <v>#DIV/0!</v>
      </c>
      <c r="NV73" s="688">
        <f t="shared" si="216"/>
        <v>7.8651511846060354E-2</v>
      </c>
      <c r="NW73" s="688">
        <f t="shared" si="217"/>
        <v>0.14919215378012407</v>
      </c>
      <c r="NX73" s="793" t="e">
        <f>(ER73-T.A2!B25*T.A1!M25)/MP73</f>
        <v>#DIV/0!</v>
      </c>
      <c r="NY73" s="688" t="e">
        <f>Liabilities!BU73/Liabilities!GY73</f>
        <v>#DIV/0!</v>
      </c>
      <c r="NZ73" s="688">
        <f>Liabilities!BU73/Liabilities!GT73</f>
        <v>3.9785747488110992E-2</v>
      </c>
      <c r="OA73" s="688" t="e">
        <f>Liabilities!BU73/Liabilities!GR73</f>
        <v>#DIV/0!</v>
      </c>
      <c r="OB73" s="688" t="e">
        <f t="shared" si="256"/>
        <v>#DIV/0!</v>
      </c>
      <c r="OC73" s="688">
        <f t="shared" si="257"/>
        <v>3.8865764357949362E-2</v>
      </c>
      <c r="OD73" s="688"/>
      <c r="OE73" s="793">
        <f t="shared" si="218"/>
        <v>7.8651511846060354E-2</v>
      </c>
      <c r="OF73" s="793">
        <f>OE73/(1-'Assets(MOFA)'!GU26)</f>
        <v>0.16303798610203357</v>
      </c>
      <c r="OG73" s="793">
        <f>Liabilities!HV73</f>
        <v>0</v>
      </c>
      <c r="OH73" s="793"/>
      <c r="OI73" s="387">
        <f>OI74</f>
        <v>3.7791910795065685E-2</v>
      </c>
      <c r="OJ73" s="387">
        <f t="shared" si="265"/>
        <v>6.4434896201208777E-2</v>
      </c>
      <c r="OK73" s="387"/>
      <c r="OL73" s="387"/>
      <c r="OM73" s="319"/>
      <c r="OO73" s="97">
        <f t="shared" si="221"/>
        <v>7.8651511846060354E-2</v>
      </c>
      <c r="OP73" s="29"/>
      <c r="OQ73" s="29"/>
      <c r="OR73" s="29"/>
      <c r="OS73" s="71"/>
      <c r="OT73" s="71"/>
      <c r="OU73" s="71"/>
      <c r="OV73" s="71"/>
      <c r="OW73" s="71"/>
      <c r="OX73" s="71"/>
      <c r="OY73" s="71"/>
      <c r="OZ73" s="71"/>
      <c r="PA73" s="71"/>
      <c r="PG73" s="69"/>
      <c r="PH73" s="23">
        <f>'Assets(MOFA)'!GU26</f>
        <v>0.51758781050669922</v>
      </c>
      <c r="PI73" s="23">
        <f>'Assets(MOFA)'!HM26</f>
        <v>0.39567317065839253</v>
      </c>
      <c r="PJ73" s="11">
        <f t="shared" si="222"/>
        <v>5.1495799223594402E-2</v>
      </c>
      <c r="PL73" s="11">
        <f>'Assets(MOFA)'!GO26/MM73/1000</f>
        <v>3.0141939332303299E-2</v>
      </c>
    </row>
    <row r="74" spans="2:428">
      <c r="B74" s="71">
        <v>1982</v>
      </c>
      <c r="C74" s="43">
        <v>2840.4</v>
      </c>
      <c r="D74" s="5">
        <v>229.9</v>
      </c>
      <c r="E74" s="19">
        <f t="shared" si="68"/>
        <v>8.0939304323334738E-2</v>
      </c>
      <c r="F74" s="72">
        <f t="shared" si="69"/>
        <v>0</v>
      </c>
      <c r="G74" s="76">
        <f t="shared" si="70"/>
        <v>197.3</v>
      </c>
      <c r="H74" s="23">
        <f t="shared" si="71"/>
        <v>6.9462047598929724E-2</v>
      </c>
      <c r="I74" s="74">
        <v>32.6</v>
      </c>
      <c r="J74" s="19">
        <f t="shared" si="72"/>
        <v>1.1477256724405013E-2</v>
      </c>
      <c r="K74" s="6">
        <f t="shared" si="73"/>
        <v>0.14180078294910831</v>
      </c>
      <c r="L74" s="136">
        <v>36.700000000000003</v>
      </c>
      <c r="M74" s="19">
        <f t="shared" si="74"/>
        <v>1.2920715392198282E-2</v>
      </c>
      <c r="N74" s="63">
        <f t="shared" si="75"/>
        <v>0.15963462374945631</v>
      </c>
      <c r="O74" s="5">
        <f t="shared" si="76"/>
        <v>229.9</v>
      </c>
      <c r="P74" s="75">
        <f t="shared" si="77"/>
        <v>0</v>
      </c>
      <c r="Q74" s="271">
        <v>154.80000000000001</v>
      </c>
      <c r="R74" s="202">
        <v>29.8</v>
      </c>
      <c r="S74" s="53">
        <f t="shared" si="78"/>
        <v>0.12962157459765114</v>
      </c>
      <c r="T74" s="74">
        <v>15.2</v>
      </c>
      <c r="U74" s="74">
        <v>-2.5</v>
      </c>
      <c r="V74" s="207">
        <v>29.1</v>
      </c>
      <c r="W74" s="53">
        <f t="shared" si="79"/>
        <v>0.12657677250978686</v>
      </c>
      <c r="X74" s="75">
        <f t="shared" si="80"/>
        <v>61.699999999999989</v>
      </c>
      <c r="Y74" s="187"/>
      <c r="Z74" s="75"/>
      <c r="AA74" s="75"/>
      <c r="AB74" s="75"/>
      <c r="AC74" s="75">
        <f t="shared" si="103"/>
        <v>-0.78325796472878984</v>
      </c>
      <c r="AD74" s="23">
        <f t="shared" si="81"/>
        <v>-3.4069506947750753E-3</v>
      </c>
      <c r="AE74" s="76"/>
      <c r="AF74" s="76">
        <v>-0.85447871306510159</v>
      </c>
      <c r="AG74" s="76"/>
      <c r="AH74" s="97">
        <v>66.5</v>
      </c>
      <c r="AI74" s="22">
        <f t="shared" si="82"/>
        <v>2.3412195465427405E-2</v>
      </c>
      <c r="AJ74" s="22">
        <f t="shared" si="83"/>
        <v>1.8060836501901139E-2</v>
      </c>
      <c r="AK74" s="99">
        <f t="shared" si="84"/>
        <v>0</v>
      </c>
      <c r="AL74" s="71">
        <v>33.899999999999991</v>
      </c>
      <c r="AM74" s="72">
        <f>(0.25*Fedtax!C55+0.75*Fedtax!C54)/1000</f>
        <v>46.16075</v>
      </c>
      <c r="AN74" s="71">
        <v>14</v>
      </c>
      <c r="AO74" s="255">
        <v>3.4</v>
      </c>
      <c r="AP74" s="71">
        <v>15.2</v>
      </c>
      <c r="AQ74" s="6">
        <f t="shared" si="85"/>
        <v>5.7527108857907336E-2</v>
      </c>
      <c r="AR74" s="207">
        <v>21.2</v>
      </c>
      <c r="AS74" s="714">
        <v>18.931999999999999</v>
      </c>
      <c r="AT74" s="210">
        <f>1.589+7.362</f>
        <v>8.9510000000000005</v>
      </c>
      <c r="AU74" s="205">
        <f t="shared" si="286"/>
        <v>0.47279738009719002</v>
      </c>
      <c r="AV74" s="709">
        <v>22.795000000000002</v>
      </c>
      <c r="AW74" s="799">
        <f>AV74*AY74</f>
        <v>13.677000000000001</v>
      </c>
      <c r="AX74" s="761">
        <f t="shared" si="104"/>
        <v>9.1180000000000003</v>
      </c>
      <c r="AY74" s="638">
        <v>0.6</v>
      </c>
      <c r="AZ74" s="84">
        <f>AV74-2.064*AV74/22</f>
        <v>20.656414545454545</v>
      </c>
      <c r="BA74" s="785"/>
      <c r="BB74" s="792"/>
      <c r="BC74" s="209"/>
      <c r="BD74" s="707">
        <f>'Assets(MOFA)'!FJ27/1000</f>
        <v>30.155999999999999</v>
      </c>
      <c r="BE74" s="205">
        <f t="shared" si="105"/>
        <v>0.75590263960737503</v>
      </c>
      <c r="BF74" s="186">
        <v>0.46</v>
      </c>
      <c r="BG74" s="435"/>
      <c r="BH74" s="140">
        <f t="shared" si="106"/>
        <v>0.21892138939670927</v>
      </c>
      <c r="BI74" s="248">
        <f t="shared" si="57"/>
        <v>0.21892138939670927</v>
      </c>
      <c r="BJ74" s="23">
        <f t="shared" si="107"/>
        <v>0.19322307382008874</v>
      </c>
      <c r="BK74" s="140">
        <f t="shared" si="108"/>
        <v>0.28791666666666665</v>
      </c>
      <c r="BL74" s="140">
        <f t="shared" si="109"/>
        <v>0.36724753516825881</v>
      </c>
      <c r="BM74" s="248">
        <f t="shared" si="110"/>
        <v>0.28698008567573302</v>
      </c>
      <c r="BN74" s="23">
        <f t="shared" si="111"/>
        <v>0.33139534883720928</v>
      </c>
      <c r="BO74" s="23">
        <f t="shared" si="112"/>
        <v>0.27789815817984825</v>
      </c>
      <c r="BP74" s="149">
        <f t="shared" si="86"/>
        <v>229.9</v>
      </c>
      <c r="BQ74" s="99">
        <f t="shared" si="87"/>
        <v>0.10000000000002274</v>
      </c>
      <c r="BR74" s="153">
        <f t="shared" si="88"/>
        <v>66.5</v>
      </c>
      <c r="BS74" s="79">
        <v>77.7</v>
      </c>
      <c r="BT74" s="79">
        <v>85.6</v>
      </c>
      <c r="BU74" s="23">
        <f t="shared" si="223"/>
        <v>0.37233579817311874</v>
      </c>
      <c r="BV74" s="71">
        <v>69.400000000000006</v>
      </c>
      <c r="BW74" s="71">
        <f t="shared" si="89"/>
        <v>16.199999999999989</v>
      </c>
      <c r="BX74" s="23">
        <f t="shared" si="90"/>
        <v>7.0465419747716349E-2</v>
      </c>
      <c r="BY74" s="23">
        <f t="shared" ref="BY74:BY108" si="289">EN74/(D74)</f>
        <v>1.3471074380165288E-2</v>
      </c>
      <c r="BZ74" s="23">
        <f t="shared" ref="BZ74:BZ108" si="290">EN74/CF74</f>
        <v>9.8809941613757446E-2</v>
      </c>
      <c r="CA74" s="23">
        <f t="shared" ref="CA74:CA108" si="291">ED74*EO74</f>
        <v>9.7630422549590659E-2</v>
      </c>
      <c r="CB74" s="23">
        <f t="shared" si="262"/>
        <v>0.49693251533742294</v>
      </c>
      <c r="CC74" s="169">
        <f t="shared" si="91"/>
        <v>36.700000000000003</v>
      </c>
      <c r="CD74" s="174"/>
      <c r="CF74" s="76">
        <f t="shared" si="58"/>
        <v>31.343</v>
      </c>
      <c r="CH74" s="23">
        <f t="shared" si="59"/>
        <v>0.85403269754768385</v>
      </c>
      <c r="CI74" s="182">
        <f t="array" ref="CI74:CI108">TRANSPOSE(ITA_4.2!C18:AK18)/1000</f>
        <v>29.469000000000001</v>
      </c>
      <c r="CJ74" s="79">
        <f t="shared" ref="CJ74:CJ108" si="292">CI74-CK74-CP74</f>
        <v>0</v>
      </c>
      <c r="CK74" s="79">
        <f t="shared" si="60"/>
        <v>31.343</v>
      </c>
      <c r="CL74" s="159">
        <f t="array" ref="CL74:CL108">TRANSPOSE(ITA_4.2!C20:AK20)/1000</f>
        <v>23.058</v>
      </c>
      <c r="CM74" s="683">
        <f t="array" ref="CM74:CM108">TRANSPOSE(ITA_4.2!C21:AK21)/1000</f>
        <v>8.2850000000000001</v>
      </c>
      <c r="CN74" s="683">
        <v>12.8</v>
      </c>
      <c r="CO74" s="159">
        <f>CN74-CM74</f>
        <v>4.5150000000000006</v>
      </c>
      <c r="CP74" s="79">
        <f t="array" ref="CP74:CP108">TRANSPOSE(ITA_4.2!C24:AK24)/1000</f>
        <v>-1.8740000000000001</v>
      </c>
      <c r="CQ74" s="79">
        <f t="array" ref="CQ74:CQ108">TRANSPOSE(ITA_4.2!C25:AK25)/1000</f>
        <v>2.2639999999999998</v>
      </c>
      <c r="CR74" s="79">
        <f t="array" ref="CR74:CR108">TRANSPOSE(ITA_4.2!C26:AK26)/1000</f>
        <v>4.1379999999999999</v>
      </c>
      <c r="CS74" s="23">
        <f t="shared" ref="CS74:CS108" si="293">CM74/CK74</f>
        <v>0.26433334396835018</v>
      </c>
      <c r="CT74" s="23">
        <f t="shared" ref="CT74:CT108" si="294">CR74/D74</f>
        <v>1.7999130056546325E-2</v>
      </c>
      <c r="CU74" s="73">
        <f t="array" ref="CU74:CU108">TRANSPOSE(ITA_4.2!C23:AK23)/1000</f>
        <v>3.4780000000000002</v>
      </c>
      <c r="CV74" s="378">
        <f t="shared" ref="CV74:CV108" si="295">CU74/IR74</f>
        <v>1.674111440563749E-2</v>
      </c>
      <c r="CW74" s="378">
        <f t="shared" ref="CW74:CW108" si="296">CU74/CI74</f>
        <v>0.11802232854864433</v>
      </c>
      <c r="CX74" s="79">
        <f t="shared" ref="CX74:CX108" si="297">CI74-CU74</f>
        <v>25.991</v>
      </c>
      <c r="CY74" s="79">
        <f t="shared" ref="CY74:CY108" si="298">CX74-DI74</f>
        <v>1.1630000000000003</v>
      </c>
      <c r="CZ74" s="293">
        <f t="shared" ref="CZ74:CZ108" si="299">CI74</f>
        <v>29.469000000000001</v>
      </c>
      <c r="DA74" s="193">
        <f>8859+255</f>
        <v>9114</v>
      </c>
      <c r="DB74" s="23">
        <f t="shared" si="267"/>
        <v>0.30927415249923651</v>
      </c>
      <c r="DC74" s="79"/>
      <c r="DD74" s="79"/>
      <c r="DE74" s="79"/>
      <c r="DF74" s="79"/>
      <c r="DG74" s="79"/>
      <c r="DH74" s="79"/>
      <c r="DI74" s="182">
        <f t="array" ref="DI74:DI108">TRANSPOSE(USDIA_inc!B8:AJ8)/1000</f>
        <v>24.827999999999999</v>
      </c>
      <c r="DJ74" s="79">
        <f t="array" ref="DJ74:DJ108">TRANSPOSE(USDIA_inc!$B20:$AJ20)/1000</f>
        <v>0.42099999999999999</v>
      </c>
      <c r="DK74" s="79">
        <f t="array" ref="DK74:DK108">TRANSPOSE(USDIA_inc!$B23:$AJ23)/1000</f>
        <v>1.073</v>
      </c>
      <c r="DL74" s="79">
        <f t="array" ref="DL74:DL108">TRANSPOSE(USDIA_inc!B22:AJ22)/1000</f>
        <v>0.161</v>
      </c>
      <c r="DM74" s="79">
        <f t="array" ref="DM74:DM108">TRANSPOSE(USDIA_inc!$B30:$AJ30)/1000</f>
        <v>1.4339999999999999</v>
      </c>
      <c r="DN74" s="79">
        <f t="array" ref="DN74:DN108">TRANSPOSE(USDIA_inc!$B103:$AJ103)/1000</f>
        <v>2.105</v>
      </c>
      <c r="DO74" s="79">
        <f t="array" ref="DO74:DO108">TRANSPOSE(USDIA_inc!$B106:$AJ106)/1000</f>
        <v>1.395</v>
      </c>
      <c r="DP74" s="79">
        <f t="array" ref="DP74:DP108">TRANSPOSE(USDIA_inc!$B125:$AJ125)/1000</f>
        <v>-1.8</v>
      </c>
      <c r="DQ74" s="79">
        <f t="array" ref="DQ74:DQ108">TRANSPOSE(USDIA_inc!$B221:$AJ221)/1000</f>
        <v>0.47299999999999998</v>
      </c>
      <c r="DR74" s="153">
        <f t="shared" si="113"/>
        <v>5.6669999999999998</v>
      </c>
      <c r="DS74" s="153">
        <f t="shared" si="114"/>
        <v>19.161000000000001</v>
      </c>
      <c r="DT74" s="153">
        <f t="array" ref="DT74:DT108">TRANSPOSE(USDIA_inc!B192:AJ192)/1000</f>
        <v>1.266</v>
      </c>
      <c r="DU74" s="23">
        <f t="shared" si="115"/>
        <v>6.6071708157194292E-2</v>
      </c>
      <c r="DV74" s="23">
        <f t="shared" si="116"/>
        <v>1.6956661833413888E-2</v>
      </c>
      <c r="DW74" s="23">
        <f t="shared" si="117"/>
        <v>4.3217335266634446E-2</v>
      </c>
      <c r="DX74" s="602">
        <f t="shared" si="118"/>
        <v>6.4846141453198001E-3</v>
      </c>
      <c r="DY74" s="23">
        <f t="shared" si="119"/>
        <v>5.7757370710488157E-2</v>
      </c>
      <c r="DZ74" s="23">
        <f t="shared" si="120"/>
        <v>8.4783309167069443E-2</v>
      </c>
      <c r="EA74" s="23">
        <f t="shared" si="121"/>
        <v>5.6186563557274048E-2</v>
      </c>
      <c r="EB74" s="23">
        <f t="shared" si="122"/>
        <v>-7.2498791686805217E-2</v>
      </c>
      <c r="EC74" s="602">
        <f t="shared" si="123"/>
        <v>1.9051071371032704E-2</v>
      </c>
      <c r="ED74" s="23">
        <f t="shared" si="124"/>
        <v>0.22825036249395847</v>
      </c>
      <c r="EE74" s="153">
        <f t="array" ref="EE74:EE108">(TRANSPOSE(USDIA_inc!B9:AJ9)+TRANSPOSE(USDIA_inc!B16:AJ16)+TRANSPOSE(USDIA_inc!B17:AJ17)+TRANSPOSE(USDIA_inc!B32:AJ32)+TRANSPOSE(USDIA_inc!B216:AJ216))/1000</f>
        <v>7.8310000000000004</v>
      </c>
      <c r="EF74" s="23">
        <f t="shared" ref="EF74:EF108" si="300">EE74/DI74</f>
        <v>0.31541002094409543</v>
      </c>
      <c r="EG74" s="182">
        <f t="array" ref="EG74:EG108">TRANSPOSE(ITA_4.2!C22:AK22)/1000</f>
        <v>4.8070000000000004</v>
      </c>
      <c r="EH74" s="79">
        <f t="array" ref="EH74:EH108">TRANSPOSE(USDIA_ret!$B20:$AJ20)/1000</f>
        <v>0.20200000000000001</v>
      </c>
      <c r="EI74" s="79">
        <f t="array" ref="EI74:EI108">TRANSPOSE(USDIA_ret!$B23:$AJ23)/1000</f>
        <v>-0.16</v>
      </c>
      <c r="EJ74" s="79">
        <f t="array" ref="EJ74:EJ108">TRANSPOSE(USDIA_ret!$B22:$AJ22)/1000</f>
        <v>0.125</v>
      </c>
      <c r="EK74" s="79">
        <f t="array" ref="EK74:EK108">TRANSPOSE(USDIA_ret!$B30:$AJ30)/1000</f>
        <v>0.80700000000000005</v>
      </c>
      <c r="EL74" s="79">
        <f t="array" ref="EL74:EL108">TRANSPOSE(USDIA_ret!$B51:$AJ51)/1000</f>
        <v>1.8759999999999999</v>
      </c>
      <c r="EM74" s="79">
        <f t="array" ref="EM74:EM108">TRANSPOSE(USDIA_ret!$B82:$AJ82)/1000</f>
        <v>0.247</v>
      </c>
      <c r="EN74" s="28">
        <f t="shared" ref="EN74:EN108" si="301">EM74+EL74+EK74+EJ74+EI74+EH74</f>
        <v>3.0969999999999995</v>
      </c>
      <c r="EO74" s="23">
        <f t="shared" ref="EO74:EO108" si="302">EN74/FE74</f>
        <v>0.42773392113309272</v>
      </c>
      <c r="EP74" s="79">
        <f t="shared" ref="EP74:EP108" si="303">EG74-EN74</f>
        <v>1.7100000000000009</v>
      </c>
      <c r="EQ74" s="23">
        <f t="shared" ref="EQ74:EQ108" si="304">EN74/EG74</f>
        <v>0.64426877470355715</v>
      </c>
      <c r="ER74" s="182">
        <f t="shared" si="268"/>
        <v>26.701999999999998</v>
      </c>
      <c r="ES74" s="136">
        <f t="shared" si="284"/>
        <v>9.3096939293382786</v>
      </c>
      <c r="ET74" s="136"/>
      <c r="EU74" s="136"/>
      <c r="EV74" s="136"/>
      <c r="EW74" s="153">
        <f t="shared" si="125"/>
        <v>0.41820211748408587</v>
      </c>
      <c r="EX74" s="153">
        <f t="shared" si="126"/>
        <v>1.1057556977472871</v>
      </c>
      <c r="EY74" s="153">
        <f t="shared" si="127"/>
        <v>0.15888452785382104</v>
      </c>
      <c r="EZ74" s="153">
        <f t="shared" si="128"/>
        <v>1.4474434842837824</v>
      </c>
      <c r="FA74" s="153">
        <f t="shared" si="129"/>
        <v>3.62</v>
      </c>
      <c r="FB74" s="153">
        <f t="shared" si="130"/>
        <v>1.3818294798641115</v>
      </c>
      <c r="FC74" s="153">
        <f t="shared" si="131"/>
        <v>0.44598000000000027</v>
      </c>
      <c r="FD74" s="153">
        <f t="shared" si="132"/>
        <v>0.49019674131732577</v>
      </c>
      <c r="FE74" s="153">
        <f t="shared" si="133"/>
        <v>7.2404825686863026</v>
      </c>
      <c r="FF74" s="153">
        <f t="shared" si="134"/>
        <v>18.583690770694577</v>
      </c>
      <c r="FG74" s="23">
        <f t="shared" si="135"/>
        <v>1.5661827484236609E-2</v>
      </c>
      <c r="FH74" s="23">
        <f t="shared" si="136"/>
        <v>4.1410969131424134E-2</v>
      </c>
      <c r="FI74" s="23">
        <f t="shared" si="137"/>
        <v>5.9502856660108251E-3</v>
      </c>
      <c r="FJ74" s="23">
        <f t="shared" si="138"/>
        <v>5.4207305980218057E-2</v>
      </c>
      <c r="FK74" s="31">
        <f t="shared" si="139"/>
        <v>0.13557036926072955</v>
      </c>
      <c r="FL74" s="23">
        <f t="shared" si="140"/>
        <v>5.1750036696281615E-2</v>
      </c>
      <c r="FM74" s="23">
        <f t="shared" si="141"/>
        <v>1.6702119691408893E-2</v>
      </c>
      <c r="FN74" s="23">
        <f t="shared" si="142"/>
        <v>1.8358053378672978E-2</v>
      </c>
      <c r="FO74" s="23">
        <f t="shared" si="92"/>
        <v>0.27115881090129212</v>
      </c>
      <c r="FP74" s="23">
        <f t="shared" si="93"/>
        <v>0.72884118909870788</v>
      </c>
      <c r="FQ74" s="23">
        <f t="shared" si="94"/>
        <v>4.3286334754577736E-2</v>
      </c>
      <c r="FR74" s="23">
        <f t="shared" si="95"/>
        <v>0.11634828899487856</v>
      </c>
      <c r="FS74" s="23">
        <f t="shared" si="96"/>
        <v>3.5035658217425084E-3</v>
      </c>
      <c r="FT74" s="393">
        <f t="shared" si="97"/>
        <v>1.4985939468818092E-3</v>
      </c>
      <c r="FU74" s="393">
        <f t="shared" si="98"/>
        <v>2.004971874860699E-3</v>
      </c>
      <c r="FV74" s="23">
        <f t="shared" si="99"/>
        <v>9.4171495704557743E-3</v>
      </c>
      <c r="FW74" s="182">
        <f t="shared" ref="FW74:FW108" si="305">CP74</f>
        <v>-1.8740000000000001</v>
      </c>
      <c r="FX74" s="79">
        <f t="shared" si="269"/>
        <v>2.7978825159141133E-3</v>
      </c>
      <c r="FY74" s="79">
        <f t="shared" si="270"/>
        <v>-3.2755697747287177E-2</v>
      </c>
      <c r="FZ74" s="79">
        <f t="shared" si="271"/>
        <v>2.1154721461789637E-3</v>
      </c>
      <c r="GA74" s="79">
        <f t="shared" si="272"/>
        <v>-1.3443484283782446E-2</v>
      </c>
      <c r="GB74" s="225">
        <f t="shared" si="273"/>
        <v>-1.5149999999999999</v>
      </c>
      <c r="GC74" s="79">
        <f t="shared" si="274"/>
        <v>1.3170520135888387E-2</v>
      </c>
      <c r="GD74" s="319">
        <f t="shared" si="275"/>
        <v>-2.2459800000000003</v>
      </c>
      <c r="GE74" s="79">
        <f t="shared" si="276"/>
        <v>-1.7196741317325768E-2</v>
      </c>
      <c r="GF74" s="79">
        <f t="shared" si="151"/>
        <v>-1.5734825686863021</v>
      </c>
      <c r="GG74" s="153">
        <f t="shared" si="277"/>
        <v>0.57730922930542328</v>
      </c>
      <c r="GH74" s="182">
        <f t="array" ref="GH74:GH108">TRANSPOSE(USDIA_flow!$B8:$AJ8)/1000</f>
        <v>1.0780000000000001</v>
      </c>
      <c r="GI74" s="79">
        <f t="array" ref="GI74:GI108">TRANSPOSE(USDIA_flow!$B20:$AJ20)/1000</f>
        <v>0.33300000000000002</v>
      </c>
      <c r="GJ74" s="79">
        <f t="array" ref="GJ74:GJ108">TRANSPOSE(USDIA_flow!$B23:$AJ23)/1000</f>
        <v>-0.105</v>
      </c>
      <c r="GK74" s="79">
        <f t="array" ref="GK74:GK108">TRANSPOSE(USDIA_flow!$B22:$AJ22)/1000</f>
        <v>0.17899999999999999</v>
      </c>
      <c r="GL74" s="79">
        <f t="array" ref="GL74:GL108">TRANSPOSE(USDIA_flow!$B30:$AJ30)/1000</f>
        <v>0.77500000000000002</v>
      </c>
      <c r="GM74" s="79">
        <f>GN74+GO74</f>
        <v>-6.9589999999999996</v>
      </c>
      <c r="GN74" s="79">
        <f t="array" ref="GN74:GN108">TRANSPOSE(USDIA_flow!$B99:$AJ99)/1000</f>
        <v>0.94499999999999995</v>
      </c>
      <c r="GO74" s="79">
        <f t="array" ref="GO74:GO108">(TRANSPOSE(USDIA_flow!B97:AJ97)-TRANSPOSE(USDIA_flow!B99:AJ99))/1000</f>
        <v>-7.9039999999999999</v>
      </c>
      <c r="GP74" s="79">
        <f t="array" ref="GP74:GP108">TRANSPOSE(USDIA_flow!B115:AJ115)/1000</f>
        <v>-8.6199999999999992</v>
      </c>
      <c r="GQ74" s="79">
        <f t="array" ref="GQ74:GQ108">TRANSPOSE(USDIA_flow!$B207:$AJ207)/1000</f>
        <v>4.2000000000000003E-2</v>
      </c>
      <c r="GR74" s="79">
        <f t="shared" ref="GR74:GR90" si="306">GQ74+GM74+GL74+GK74+GJ74+GI74</f>
        <v>-5.7349999999999994</v>
      </c>
      <c r="GS74" s="79">
        <f t="shared" si="155"/>
        <v>6.8129999999999997</v>
      </c>
      <c r="GT74" s="23">
        <f t="shared" ref="GT74:GT90" si="307">GR74/GH74</f>
        <v>-5.3200371057513909</v>
      </c>
      <c r="GU74" s="362">
        <f t="shared" si="259"/>
        <v>14.513999999999999</v>
      </c>
      <c r="GV74" s="153">
        <f>HT74</f>
        <v>9.7080000000000002</v>
      </c>
      <c r="GW74" s="153">
        <f t="shared" ref="GW74:GW108" si="308">EG74</f>
        <v>4.8070000000000004</v>
      </c>
      <c r="GX74" s="153">
        <f t="shared" ref="GX74:GX108" si="309">GI74-IG74</f>
        <v>0.29200000000000004</v>
      </c>
      <c r="GY74" s="153">
        <f t="shared" ref="GY74:GY108" si="310">GJ74-IH74</f>
        <v>0.375</v>
      </c>
      <c r="GZ74" s="153">
        <f t="shared" si="226"/>
        <v>0.14799999999999999</v>
      </c>
      <c r="HA74" s="153">
        <f t="shared" si="227"/>
        <v>0.97199999999999998</v>
      </c>
      <c r="HB74" s="153">
        <f t="shared" si="228"/>
        <v>6.5289999999999999</v>
      </c>
      <c r="HC74" s="153">
        <f t="shared" si="229"/>
        <v>0.752</v>
      </c>
      <c r="HD74" s="352">
        <f t="shared" si="230"/>
        <v>5.0390000000000015</v>
      </c>
      <c r="HE74" s="153">
        <f t="shared" si="231"/>
        <v>0.29399999999999998</v>
      </c>
      <c r="HF74" s="352">
        <f t="shared" ref="HF74:HF108" si="311">HE74+HB74+HA74+GZ74+GY74+GX74</f>
        <v>8.61</v>
      </c>
      <c r="HG74" s="23">
        <f>HF74/GU74</f>
        <v>0.59322033898305082</v>
      </c>
      <c r="HH74" s="332">
        <f>KU74-KU73</f>
        <v>-7.1599999999999966</v>
      </c>
      <c r="HI74" s="182">
        <f t="shared" ref="HI74:HI108" si="312">GH74-EG74</f>
        <v>-3.7290000000000001</v>
      </c>
      <c r="HJ74" s="79">
        <f t="array" ref="HJ74:HJ108">(TRANSPOSE(USDIA_eqflow!B8:AJ8)+TRANSPOSE(USDIA_debtflow!B8:AJ8))/1000-HI74:HI108</f>
        <v>9.9999999999988987E-4</v>
      </c>
      <c r="HK74" s="79">
        <f t="shared" ref="HK74:HK108" si="313">GI74-EH74</f>
        <v>0.13100000000000001</v>
      </c>
      <c r="HL74" s="79">
        <f t="shared" ref="HL74:HL108" si="314">GJ74-EI74</f>
        <v>5.5000000000000007E-2</v>
      </c>
      <c r="HM74" s="79">
        <f t="shared" ref="HM74:HM108" si="315">GK74-EJ74</f>
        <v>5.3999999999999992E-2</v>
      </c>
      <c r="HN74" s="79">
        <f t="shared" ref="HN74:HN108" si="316">GL74-EK74</f>
        <v>-3.2000000000000028E-2</v>
      </c>
      <c r="HO74" s="79">
        <f t="shared" ref="HO74:HO108" si="317">GM74-EL74</f>
        <v>-8.8349999999999991</v>
      </c>
      <c r="HP74" s="79">
        <f t="shared" ref="HP74:HP108" si="318">GQ74-EM74</f>
        <v>-0.20499999999999999</v>
      </c>
      <c r="HQ74" s="79">
        <f t="shared" ref="HQ74:HQ90" si="319">HP74+HO74+HN74+HM74+HL74+HK74</f>
        <v>-8.831999999999999</v>
      </c>
      <c r="HR74" s="79">
        <f t="shared" ref="HR74:HR80" si="320">HI74-HQ74</f>
        <v>5.1029999999999989</v>
      </c>
      <c r="HS74" s="23">
        <f t="shared" ref="HS74:HS103" si="321">HQ74/HI74</f>
        <v>2.3684633950120673</v>
      </c>
      <c r="HT74" s="28">
        <f t="array" ref="HT74:HT108">TRANSPOSE(USDIA_eqflow!B8:AJ8)/1000</f>
        <v>9.7080000000000002</v>
      </c>
      <c r="HU74" s="79">
        <f t="array" ref="HU74:HU108">TRANSPOSE(USDIA_eqflow!B20:AJ20)/1000</f>
        <v>0.09</v>
      </c>
      <c r="HV74" s="79">
        <f t="array" ref="HV74:HV108">TRANSPOSE(USDIA_eqflow!B23:AJ23)/1000</f>
        <v>0.53500000000000003</v>
      </c>
      <c r="HW74" s="79">
        <f t="array" ref="HW74:HW108">TRANSPOSE(USDIA_eqflow!B22:AJ22)/1000</f>
        <v>2.3E-2</v>
      </c>
      <c r="HX74" s="79">
        <f t="array" ref="HX74:HX108">TRANSPOSE(USDIA_eqflow!B30:AJ30)/1000</f>
        <v>0.16600000000000001</v>
      </c>
      <c r="HY74" s="79">
        <f t="array" ref="HY74:HY108">TRANSPOSE(USDIA_eqflow!B51:AJ51)/1000</f>
        <v>4.6529999999999996</v>
      </c>
      <c r="HZ74" s="79">
        <f t="array" ref="HZ74:HZ108">TRANSPOSE(USDIA_eqflow!B54:AJ54)/1000</f>
        <v>0.12</v>
      </c>
      <c r="IA74" s="79">
        <f t="array" ref="IA74:IA90">TRANSPOSE(USDIA_eqflow!B57:R57)/1000</f>
        <v>4.1769999999999996</v>
      </c>
      <c r="IB74" s="79">
        <f t="array" ref="IB74:IB108">TRANSPOSE(USDIA_eqflow!B82:AJ82)/1000</f>
        <v>4.7E-2</v>
      </c>
      <c r="IC74" s="79">
        <f t="shared" ref="IC74:IC90" si="322">IB74+HY74+HX74+HW74+HV74+HU74</f>
        <v>5.5139999999999993</v>
      </c>
      <c r="ID74" s="79">
        <f>HT74-IC74</f>
        <v>4.1940000000000008</v>
      </c>
      <c r="IE74" s="23">
        <f>IC74/HT74</f>
        <v>0.5679851668726823</v>
      </c>
      <c r="IF74" s="316">
        <f t="array" ref="IF74:IF108">TRANSPOSE(USDIA_debtflow!B8:AJ8)/1000</f>
        <v>-13.436</v>
      </c>
      <c r="IG74" s="153">
        <f t="array" ref="IG74:IG108">TRANSPOSE(USDIA_debtflow!B20:AJ20)/1000</f>
        <v>4.1000000000000002E-2</v>
      </c>
      <c r="IH74" s="153">
        <f t="array" ref="IH74:IH108">TRANSPOSE(USDIA_debtflow!B23:AJ23)/1000</f>
        <v>-0.48</v>
      </c>
      <c r="II74" s="153">
        <f t="array" ref="II74:II108">TRANSPOSE(USDIA_debtflow!B22:AJ22)/1000</f>
        <v>3.1E-2</v>
      </c>
      <c r="IJ74" s="153">
        <f t="array" ref="IJ74:IJ108">TRANSPOSE(USDIA_debtflow!B30:AJ30)/1000</f>
        <v>-0.19700000000000001</v>
      </c>
      <c r="IK74" s="153">
        <f t="array" ref="IK74:IK108">TRANSPOSE(USDIA_debtflow!B51:AJ51)/1000</f>
        <v>-13.488</v>
      </c>
      <c r="IL74" s="153">
        <f t="array" ref="IL74:IL108">TRANSPOSE(USDIA_debtflow!B54:AJ54)/1000</f>
        <v>0.193</v>
      </c>
      <c r="IM74" s="153">
        <f t="array" ref="IM74:IM87">TRANSPOSE(USDIA_debtflow!B57:O57)/1000</f>
        <v>-13.659000000000001</v>
      </c>
      <c r="IN74" s="153">
        <f t="array" ref="IN74:IN108">TRANSPOSE(USDIA_debtflow!B82:AJ82)/1000</f>
        <v>-0.252</v>
      </c>
      <c r="IO74" s="330">
        <f>IG74+IH74+II74+IJ74+IK74+IN74</f>
        <v>-14.345000000000001</v>
      </c>
      <c r="IP74" s="322">
        <f t="shared" si="235"/>
        <v>0.9090000000000007</v>
      </c>
      <c r="IQ74" s="258">
        <f t="shared" si="236"/>
        <v>-13.436</v>
      </c>
      <c r="IR74" s="337">
        <f t="shared" ref="IR74:IR107" si="323">JH74</f>
        <v>207.75200000000001</v>
      </c>
      <c r="IS74" s="73">
        <f t="shared" si="237"/>
        <v>-20.596000000000004</v>
      </c>
      <c r="IT74" s="79">
        <f t="shared" si="288"/>
        <v>0</v>
      </c>
      <c r="IU74" s="79">
        <f>EG74</f>
        <v>4.8070000000000004</v>
      </c>
      <c r="IV74" s="79">
        <f t="shared" ref="IV74:IV108" si="324">HT74</f>
        <v>9.7080000000000002</v>
      </c>
      <c r="IW74" s="79">
        <f t="array" ref="IW74:IW108">TRANSPOSE(USDIA_debtflow!B8:AJ8)/1000</f>
        <v>-13.436</v>
      </c>
      <c r="IX74" s="79">
        <f t="shared" si="240"/>
        <v>-21.675000000000004</v>
      </c>
      <c r="IY74" s="79"/>
      <c r="IZ74" s="79"/>
      <c r="JA74" s="79"/>
      <c r="JB74" s="23">
        <f t="shared" si="162"/>
        <v>7.3141811012533448E-2</v>
      </c>
      <c r="JC74" s="23">
        <f t="shared" si="163"/>
        <v>7.9654274045909031E-3</v>
      </c>
      <c r="JD74" s="23">
        <f t="shared" si="164"/>
        <v>6.5176383607942548E-2</v>
      </c>
      <c r="JE74" s="906">
        <f t="shared" ref="JE74:JE89" si="325">IU74/C74</f>
        <v>1.6923672722151811E-3</v>
      </c>
      <c r="JF74" s="22">
        <f t="shared" ref="JF74:JF108" si="326">IV74/C74</f>
        <v>3.4178284748626955E-3</v>
      </c>
      <c r="JG74" s="22">
        <f t="shared" ref="JG74:JG108" si="327">IW74/C74</f>
        <v>-4.7303196732854528E-3</v>
      </c>
      <c r="JH74" s="5">
        <f t="array" ref="JH74:JH108">TRANSPOSE(USDIA_assets!$B8:$AJ8)/1000</f>
        <v>207.75200000000001</v>
      </c>
      <c r="JI74" s="192">
        <v>57.817</v>
      </c>
      <c r="JJ74" s="76">
        <f t="array" ref="JJ74:JJ108">TRANSPOSE(USDIA_assets!$B20:$AJ20)/1000</f>
        <v>2.0310000000000001</v>
      </c>
      <c r="JK74" s="76">
        <f t="array" ref="JK74:JK108">TRANSPOSE(USDIA_assets!$B23:$AJ23)/1000</f>
        <v>6.76</v>
      </c>
      <c r="JL74" s="76">
        <f t="array" ref="JL74:JL108">TRANSPOSE(USDIA_assets!$B22:$AJ22)/1000</f>
        <v>1.0980000000000001</v>
      </c>
      <c r="JM74" s="76">
        <f t="array" ref="JM74:JM108">TRANSPOSE(USDIA_assets!$B30:$AJ30)/1000</f>
        <v>12.863</v>
      </c>
      <c r="JN74" s="76">
        <f>JO74+JP74</f>
        <v>-1.8469999999999995</v>
      </c>
      <c r="JO74" s="76">
        <f t="array" ref="JO74:JO108">TRANSPOSE(USDIA_assets!$B99:$AJ99)/1000</f>
        <v>11.519</v>
      </c>
      <c r="JP74" s="76">
        <f t="array" ref="JP74:JP108">(TRANSPOSE(USDIA_assets!B97:AJ97)-TRANSPOSE(USDIA_assets!B99:AJ99))/1000</f>
        <v>-13.366</v>
      </c>
      <c r="JQ74" s="76">
        <f t="array" ref="JQ74:JQ108">TRANSPOSE(USDIA_assets!B115:AJ115)/1000</f>
        <v>-19.756</v>
      </c>
      <c r="JR74" s="76">
        <f t="array" ref="JR74:JR108">TRANSPOSE(USDIA_assets!$B207:$AJ207)/1000</f>
        <v>1.72</v>
      </c>
      <c r="JS74" s="76">
        <f t="shared" si="287"/>
        <v>22.625</v>
      </c>
      <c r="JT74" s="76">
        <f t="shared" si="278"/>
        <v>185.12700000000001</v>
      </c>
      <c r="JU74" s="23">
        <f t="shared" si="279"/>
        <v>0.10890388540182525</v>
      </c>
      <c r="JV74" s="23">
        <f t="shared" si="280"/>
        <v>9.7760791713196512E-3</v>
      </c>
      <c r="JW74" s="23">
        <f t="shared" si="280"/>
        <v>3.2538796257075744E-2</v>
      </c>
      <c r="JX74" s="23">
        <f t="shared" si="280"/>
        <v>5.2851476760753212E-3</v>
      </c>
      <c r="JY74" s="23">
        <f t="shared" si="280"/>
        <v>6.1915168085024445E-2</v>
      </c>
      <c r="JZ74" s="23">
        <f t="shared" si="280"/>
        <v>-8.8904077939081193E-3</v>
      </c>
      <c r="KA74" s="23">
        <f t="shared" si="281"/>
        <v>8.2791020062382061E-3</v>
      </c>
      <c r="KB74" s="149">
        <f t="array" ref="KB74:KB108">TRANSPOSE(IIP_2.1!C24:AK24)/1000</f>
        <v>-0.73099999999999998</v>
      </c>
      <c r="KC74" s="316">
        <f t="array" ref="KC74:KC108">TRANSPOSE(IIP_2.1!C11:AK11)/1000</f>
        <v>59.906999999999996</v>
      </c>
      <c r="KD74" s="316">
        <f t="array" ref="KD74:KD108">TRANSPOSE(IIP_2.1!C20:AK20)/1000</f>
        <v>60.637999999999998</v>
      </c>
      <c r="KE74" s="589">
        <f t="shared" si="242"/>
        <v>1.012202246815898</v>
      </c>
      <c r="KF74" s="1071">
        <v>0</v>
      </c>
      <c r="KG74" s="319">
        <f t="shared" si="243"/>
        <v>4.1000000000000002E-2</v>
      </c>
      <c r="KH74" s="319">
        <f t="shared" si="244"/>
        <v>-0.48</v>
      </c>
      <c r="KI74" s="321">
        <f t="shared" si="245"/>
        <v>3.1E-2</v>
      </c>
      <c r="KJ74" s="225">
        <f t="shared" si="246"/>
        <v>-0.19700000000000001</v>
      </c>
      <c r="KK74" s="321">
        <f t="shared" si="285"/>
        <v>-15.149999999999999</v>
      </c>
      <c r="KL74" s="319">
        <f t="shared" si="248"/>
        <v>0.193</v>
      </c>
      <c r="KM74" s="79"/>
      <c r="KN74" s="319"/>
      <c r="KO74" s="319">
        <f t="shared" si="249"/>
        <v>-22.459800000000001</v>
      </c>
      <c r="KP74" s="319">
        <f t="shared" si="250"/>
        <v>-0.252</v>
      </c>
      <c r="KQ74" s="153">
        <f t="shared" ref="KQ74:KQ108" si="328">KG74+KH74+KI74+KJ74+KK74+KP74</f>
        <v>-16.006999999999998</v>
      </c>
      <c r="KR74" s="153">
        <f t="shared" ref="KR74:KR108" si="329">KB74-KQ74</f>
        <v>15.275999999999998</v>
      </c>
      <c r="KS74" s="23">
        <f t="shared" si="178"/>
        <v>5.3781157583438948E-3</v>
      </c>
      <c r="KT74" s="23">
        <f t="shared" si="179"/>
        <v>0.37039150367756196</v>
      </c>
      <c r="KU74" s="326">
        <f t="array" ref="KU74:KU108">TRANSPOSE(IIP_2.1!C23:AK23)/1000</f>
        <v>208.483</v>
      </c>
      <c r="KV74" s="430">
        <f t="shared" si="252"/>
        <v>57.817</v>
      </c>
      <c r="KW74" s="322">
        <f t="shared" si="181"/>
        <v>1.9900000000000002</v>
      </c>
      <c r="KX74" s="322">
        <f t="shared" si="182"/>
        <v>7.24</v>
      </c>
      <c r="KY74" s="322">
        <f t="shared" si="183"/>
        <v>1.0670000000000002</v>
      </c>
      <c r="KZ74" s="322">
        <f t="shared" si="184"/>
        <v>13.059999999999999</v>
      </c>
      <c r="LA74" s="322">
        <f t="shared" si="185"/>
        <v>13.302999999999999</v>
      </c>
      <c r="LB74" s="322">
        <f t="shared" si="186"/>
        <v>11.326000000000001</v>
      </c>
      <c r="LC74" s="322">
        <f t="shared" si="187"/>
        <v>2.7038000000000011</v>
      </c>
      <c r="LD74" s="322">
        <f t="shared" si="188"/>
        <v>1.972</v>
      </c>
      <c r="LE74" s="322">
        <f t="shared" si="189"/>
        <v>38.631999999999998</v>
      </c>
      <c r="LF74" s="322">
        <f t="shared" si="190"/>
        <v>0</v>
      </c>
      <c r="LG74" s="322">
        <f t="shared" si="191"/>
        <v>169.851</v>
      </c>
      <c r="LH74" s="367">
        <f t="shared" si="192"/>
        <v>0.18530048013507094</v>
      </c>
      <c r="LI74" s="248">
        <f t="shared" si="193"/>
        <v>9.5451427694344393E-3</v>
      </c>
      <c r="LJ74" s="248">
        <f t="shared" si="194"/>
        <v>3.4727052085781578E-2</v>
      </c>
      <c r="LK74" s="248">
        <f t="shared" si="195"/>
        <v>5.1179232839128376E-3</v>
      </c>
      <c r="LL74" s="248">
        <f t="shared" si="196"/>
        <v>6.2642997270760684E-2</v>
      </c>
      <c r="LM74" s="251">
        <f t="shared" si="197"/>
        <v>6.3808559930545891E-2</v>
      </c>
      <c r="LN74" s="251">
        <f t="shared" si="198"/>
        <v>5.4325772365132891E-2</v>
      </c>
      <c r="LO74" s="251">
        <f t="shared" si="199"/>
        <v>1.2968923125626555E-2</v>
      </c>
      <c r="LP74" s="248">
        <f t="shared" si="200"/>
        <v>9.4588047946355339E-3</v>
      </c>
      <c r="LQ74" s="248">
        <f t="shared" si="201"/>
        <v>7.3399169131108291E-2</v>
      </c>
      <c r="LR74" s="23">
        <f t="shared" si="202"/>
        <v>5.9798267849598644E-2</v>
      </c>
      <c r="LS74" s="23">
        <f t="shared" si="203"/>
        <v>1.3600901281509646E-2</v>
      </c>
      <c r="LT74" s="326">
        <f t="array" ref="LT74:LT108">TRANSPOSE(IIP_2.1!C10:AK10)/1000</f>
        <v>68.611999999999995</v>
      </c>
      <c r="LU74" s="153">
        <f>LT74-LV74-LW74-LX74</f>
        <v>0</v>
      </c>
      <c r="LV74" s="153">
        <f t="shared" si="204"/>
        <v>-0.73099999999999998</v>
      </c>
      <c r="LW74" s="153">
        <f t="shared" si="283"/>
        <v>60.637999999999998</v>
      </c>
      <c r="LX74" s="153">
        <f t="array" ref="LX74:LX108">TRANSPOSE(IIP_2.1!C12:AK12)/1000</f>
        <v>8.7050000000000001</v>
      </c>
      <c r="LY74" s="23">
        <f>LX74/Liabilities!GT74</f>
        <v>5.6670963373826537E-2</v>
      </c>
      <c r="LZ74" s="23">
        <f t="shared" si="253"/>
        <v>0.21794647104479106</v>
      </c>
      <c r="MA74" s="425">
        <f t="array" ref="MA74:MA108">TRANSPOSE(IIP_2.1!C28:AK28)/1000</f>
        <v>100.57899999999999</v>
      </c>
      <c r="MB74" s="153">
        <f>MA74-MC74-MD74-ME74</f>
        <v>0</v>
      </c>
      <c r="MC74" s="153">
        <f t="array" ref="MC74:MC108">TRANSPOSE(IIP_2.1!C36:AK36)/1000</f>
        <v>31.236000000000001</v>
      </c>
      <c r="MD74" s="153">
        <f>LX74</f>
        <v>8.7050000000000001</v>
      </c>
      <c r="ME74" s="153">
        <f>LW74</f>
        <v>60.637999999999998</v>
      </c>
      <c r="MF74" s="153">
        <f t="array" ref="MF74:MF108">TRANSPOSE(IIP_2.1!C29:AK29)/1000</f>
        <v>39.941000000000003</v>
      </c>
      <c r="MG74" s="153">
        <f t="shared" si="208"/>
        <v>59.906999999999996</v>
      </c>
      <c r="MH74" s="326">
        <f t="shared" si="209"/>
        <v>208.483</v>
      </c>
      <c r="MI74" s="1008">
        <f>FoF_RoW!$BH44/1000</f>
        <v>406.63299999999998</v>
      </c>
      <c r="MJ74" s="1008">
        <f t="array" ref="MJ74:MJ108">TRANSPOSE(IIP_2.1!C44:AK44)/1000</f>
        <v>443.40199999999999</v>
      </c>
      <c r="MK74" s="1008">
        <f>FoF_RoW!$AU44/1000</f>
        <v>18.18</v>
      </c>
      <c r="ML74" s="1008">
        <f t="shared" si="254"/>
        <v>-15.120000000000005</v>
      </c>
      <c r="MM74" s="425">
        <f t="shared" si="210"/>
        <v>407.36399999999998</v>
      </c>
      <c r="MN74" s="23">
        <f t="shared" si="211"/>
        <v>1.9539434869989398</v>
      </c>
      <c r="MO74" s="153">
        <v>295.98099999999999</v>
      </c>
      <c r="MP74" s="425">
        <f t="array" ref="MP74:MP108">TRANSPOSE(IIP_2.1!C9:AK9)/1000</f>
        <v>227.369</v>
      </c>
      <c r="MQ74" s="23">
        <f>MP74/MH74</f>
        <v>1.0905877217806728</v>
      </c>
      <c r="MR74" s="23">
        <f>MP74/MM74</f>
        <v>0.55814701348180007</v>
      </c>
      <c r="MS74" s="153">
        <f t="shared" si="212"/>
        <v>-0.73099999999999998</v>
      </c>
      <c r="MT74" s="153">
        <f t="array" ref="MT74:MT108">TRANSPOSE(IIP_2.1!C10:AK10)/1000</f>
        <v>68.611999999999995</v>
      </c>
      <c r="MU74" s="153">
        <f t="array" ref="MU74:MU108">TRANSPOSE(IIP_2.1!C28:AK28)/1000</f>
        <v>100.57899999999999</v>
      </c>
      <c r="MV74" s="153">
        <f t="array" ref="MV74:MV108">TRANSPOSE(IIP_2.1!C27:AK27)/1000</f>
        <v>99.191999999999993</v>
      </c>
      <c r="MW74" s="153">
        <f t="array" ref="MW74:MW108">TRANSPOSE(IIP_2.1!C50:AK50)/1000</f>
        <v>153.60599999999999</v>
      </c>
      <c r="MX74" s="23">
        <f>MV74/MW74</f>
        <v>0.64575602515526731</v>
      </c>
      <c r="MY74" s="425">
        <f t="shared" si="255"/>
        <v>117.73099999999998</v>
      </c>
      <c r="MZ74" s="23">
        <f t="shared" si="213"/>
        <v>4.1448739614138842E-2</v>
      </c>
      <c r="NA74" s="153">
        <v>1030.3579999999999</v>
      </c>
      <c r="NB74" s="153">
        <v>791.99199999999996</v>
      </c>
      <c r="NC74" s="425">
        <f t="shared" ref="NC74:NC108" si="330">MY74-(MP74-MM74)-(MW74-MV74)</f>
        <v>243.31199999999995</v>
      </c>
      <c r="ND74" s="23">
        <f t="shared" ref="ND74:ND108" si="331">NC74/$C74</f>
        <v>8.5661174482467239E-2</v>
      </c>
      <c r="NE74" s="330">
        <f t="shared" ref="NE74:NE108" si="332">MM74+MT74-MW74-MU74</f>
        <v>221.791</v>
      </c>
      <c r="NF74" s="23">
        <f t="shared" ref="NF74:NF108" si="333">NE74/$C74</f>
        <v>7.8084424728911417E-2</v>
      </c>
      <c r="NG74" s="330">
        <f t="shared" ref="NG74:NG108" si="334">MP74+MT74-MV74-MU74</f>
        <v>96.21</v>
      </c>
      <c r="NH74" s="23">
        <f t="shared" ref="NH74:NH108" si="335">NG74/$C74</f>
        <v>3.3871989860583013E-2</v>
      </c>
      <c r="NI74" s="330">
        <v>120.63500000000001</v>
      </c>
      <c r="NJ74" s="425">
        <f t="shared" si="63"/>
        <v>27.355</v>
      </c>
      <c r="NK74" s="403">
        <f t="shared" si="64"/>
        <v>9.6306858188987474E-3</v>
      </c>
      <c r="NL74" s="153">
        <v>27.355</v>
      </c>
      <c r="NM74" s="153">
        <v>29.469000000000001</v>
      </c>
      <c r="NN74" s="153">
        <v>2.1139999999999999</v>
      </c>
      <c r="NO74" s="425">
        <f t="shared" si="100"/>
        <v>35.163000000000004</v>
      </c>
      <c r="NP74" s="153">
        <v>96.522000000000006</v>
      </c>
      <c r="NQ74" s="153">
        <v>61.359000000000002</v>
      </c>
      <c r="NR74" s="403">
        <f t="shared" si="65"/>
        <v>1.237959442332066E-2</v>
      </c>
      <c r="NS74" s="403">
        <f t="shared" si="66"/>
        <v>9.6306858188987474E-3</v>
      </c>
      <c r="NT74" s="403">
        <f t="shared" si="67"/>
        <v>2.7489086044219131E-3</v>
      </c>
      <c r="NU74" s="727">
        <f t="shared" si="215"/>
        <v>0.11743905281722662</v>
      </c>
      <c r="NV74" s="688">
        <f t="shared" si="216"/>
        <v>6.5548256596066418E-2</v>
      </c>
      <c r="NW74" s="688">
        <f t="shared" si="217"/>
        <v>0.12807758906001926</v>
      </c>
      <c r="NX74" s="793">
        <f>(ER74-T.A2!B26*T.A1!M26)/MP74</f>
        <v>7.6945421513622506E-2</v>
      </c>
      <c r="NY74" s="688">
        <f>Liabilities!BU74/Liabilities!GY74</f>
        <v>1.0172191305750464E-2</v>
      </c>
      <c r="NZ74" s="688">
        <f>Liabilities!BU74/Liabilities!GT74</f>
        <v>6.5687538247203867E-3</v>
      </c>
      <c r="OA74" s="688">
        <f>Liabilities!BU74/Liabilities!GR74</f>
        <v>1.0798257724125383E-2</v>
      </c>
      <c r="OB74" s="688">
        <f t="shared" si="256"/>
        <v>0.10726686151147616</v>
      </c>
      <c r="OC74" s="688">
        <f t="shared" si="257"/>
        <v>5.8979502771346032E-2</v>
      </c>
      <c r="OD74" s="688"/>
      <c r="OE74" s="793">
        <f t="shared" si="218"/>
        <v>7.6941015897330156E-2</v>
      </c>
      <c r="OF74" s="793">
        <f>OE74/(1-'Assets(MOFA)'!GU27)</f>
        <v>0.17601583870786383</v>
      </c>
      <c r="OG74" s="793">
        <f>Liabilities!HV74</f>
        <v>0</v>
      </c>
      <c r="OH74" s="793"/>
      <c r="OI74" s="403">
        <f t="shared" ref="OI74:OI108" si="336">CQ74/KC74</f>
        <v>3.7791910795065685E-2</v>
      </c>
      <c r="OJ74" s="22">
        <f t="shared" ref="OJ74:OJ108" si="337">CR74/KD74</f>
        <v>6.8241036973514954E-2</v>
      </c>
      <c r="OK74" s="403">
        <f>Liabilities!CT74/LX74</f>
        <v>7.3061458931648476E-2</v>
      </c>
      <c r="OL74" s="403">
        <f>Liabilities!CU74/MF74</f>
        <v>7.0128439448186072E-2</v>
      </c>
      <c r="OM74" s="153"/>
      <c r="OO74" s="97">
        <f t="shared" si="221"/>
        <v>7.3102161050709186E-2</v>
      </c>
      <c r="OP74" s="308"/>
      <c r="OQ74" s="308"/>
      <c r="OR74" s="308"/>
      <c r="OS74" s="71"/>
      <c r="OT74" s="71"/>
      <c r="OU74" s="71"/>
      <c r="OV74" s="71"/>
      <c r="OW74" s="71"/>
      <c r="OX74" s="71"/>
      <c r="OY74" s="71"/>
      <c r="OZ74" s="71"/>
      <c r="PA74" s="71"/>
      <c r="PG74" s="69"/>
      <c r="PH74" s="23">
        <f>'Assets(MOFA)'!GU27</f>
        <v>0.56287447503499766</v>
      </c>
      <c r="PI74" s="23">
        <f>'Assets(MOFA)'!HM27</f>
        <v>0.41334352896195758</v>
      </c>
      <c r="PJ74" s="11">
        <f t="shared" si="222"/>
        <v>4.6183668017470945E-2</v>
      </c>
      <c r="PL74" s="11">
        <f>'Assets(MOFA)'!GO27/MM74/1000</f>
        <v>2.6538918510226731E-2</v>
      </c>
    </row>
    <row r="75" spans="2:428">
      <c r="B75" s="71">
        <v>1983</v>
      </c>
      <c r="C75" s="43">
        <v>3060.5</v>
      </c>
      <c r="D75" s="5">
        <v>279.8</v>
      </c>
      <c r="E75" s="19">
        <f t="shared" si="68"/>
        <v>9.1422970102924356E-2</v>
      </c>
      <c r="F75" s="72">
        <f t="shared" si="69"/>
        <v>0</v>
      </c>
      <c r="G75" s="76">
        <f t="shared" si="70"/>
        <v>244.70000000000002</v>
      </c>
      <c r="H75" s="23">
        <f t="shared" si="71"/>
        <v>7.9954255840548938E-2</v>
      </c>
      <c r="I75" s="74">
        <v>35.1</v>
      </c>
      <c r="J75" s="19">
        <f t="shared" si="72"/>
        <v>1.146871426237543E-2</v>
      </c>
      <c r="K75" s="6">
        <f t="shared" si="73"/>
        <v>0.12544674767691208</v>
      </c>
      <c r="L75" s="136">
        <v>41.1</v>
      </c>
      <c r="M75" s="19">
        <f t="shared" si="74"/>
        <v>1.3429178238849862E-2</v>
      </c>
      <c r="N75" s="63">
        <f t="shared" si="75"/>
        <v>0.14689063616869191</v>
      </c>
      <c r="O75" s="5">
        <f t="shared" si="76"/>
        <v>279.8</v>
      </c>
      <c r="P75" s="75">
        <f t="shared" si="77"/>
        <v>0</v>
      </c>
      <c r="Q75" s="271">
        <v>190</v>
      </c>
      <c r="R75" s="202">
        <v>41.4</v>
      </c>
      <c r="S75" s="53">
        <f t="shared" si="78"/>
        <v>0.14796283059328091</v>
      </c>
      <c r="T75" s="74">
        <v>14.6</v>
      </c>
      <c r="U75" s="74">
        <v>15.9</v>
      </c>
      <c r="V75" s="207">
        <v>42</v>
      </c>
      <c r="W75" s="53">
        <f t="shared" si="79"/>
        <v>0.15010721944245889</v>
      </c>
      <c r="X75" s="75">
        <f t="shared" si="80"/>
        <v>59.900000000000034</v>
      </c>
      <c r="Y75" s="187"/>
      <c r="Z75" s="75"/>
      <c r="AA75" s="75"/>
      <c r="AB75" s="75"/>
      <c r="AC75" s="75">
        <f t="shared" si="103"/>
        <v>1.9149687151312365</v>
      </c>
      <c r="AD75" s="23">
        <f t="shared" si="81"/>
        <v>6.8440625987535256E-3</v>
      </c>
      <c r="AE75" s="76"/>
      <c r="AF75" s="76">
        <v>2.0890946239300021</v>
      </c>
      <c r="AG75" s="76"/>
      <c r="AH75" s="97">
        <v>80.599999999999994</v>
      </c>
      <c r="AI75" s="22">
        <f t="shared" si="82"/>
        <v>2.6335566083973205E-2</v>
      </c>
      <c r="AJ75" s="22">
        <f t="shared" si="83"/>
        <v>2.1695801339650381E-2</v>
      </c>
      <c r="AK75" s="99">
        <f t="shared" si="84"/>
        <v>-0.10000000000000853</v>
      </c>
      <c r="AL75" s="71">
        <v>47.199999999999996</v>
      </c>
      <c r="AM75" s="72">
        <f>(0.25*Fedtax!C56+0.75*Fedtax!C55)/1000</f>
        <v>41.989750000000001</v>
      </c>
      <c r="AN75" s="71">
        <v>15.9</v>
      </c>
      <c r="AO75" s="255">
        <v>3.4</v>
      </c>
      <c r="AP75" s="71">
        <v>14.2</v>
      </c>
      <c r="AQ75" s="6">
        <f t="shared" si="85"/>
        <v>6.5087404018951162E-2</v>
      </c>
      <c r="AR75" s="207">
        <v>21.5</v>
      </c>
      <c r="AS75" s="714">
        <v>19.951000000000001</v>
      </c>
      <c r="AT75" s="210">
        <f>1.047+8.725</f>
        <v>9.7720000000000002</v>
      </c>
      <c r="AU75" s="205">
        <f t="shared" si="286"/>
        <v>0.4898000100245602</v>
      </c>
      <c r="AV75" s="774"/>
      <c r="AW75" s="774"/>
      <c r="AX75" s="774"/>
      <c r="AY75" s="520"/>
      <c r="AZ75" s="786"/>
      <c r="BA75" s="785"/>
      <c r="BB75" s="792"/>
      <c r="BC75" s="209"/>
      <c r="BD75" s="707">
        <f>'Assets(MOFA)'!FJ28/1000</f>
        <v>30.122</v>
      </c>
      <c r="BE75" s="205">
        <f t="shared" si="105"/>
        <v>0</v>
      </c>
      <c r="BF75" s="186">
        <v>0.46</v>
      </c>
      <c r="BG75" s="435"/>
      <c r="BH75" s="140">
        <f t="shared" si="106"/>
        <v>0.23266961651917403</v>
      </c>
      <c r="BI75" s="248">
        <f t="shared" si="57"/>
        <v>0.23266961651917403</v>
      </c>
      <c r="BJ75" s="23">
        <f t="shared" si="107"/>
        <v>0.2011494252873563</v>
      </c>
      <c r="BK75" s="140">
        <f t="shared" si="108"/>
        <v>0.28869149299624192</v>
      </c>
      <c r="BL75" s="140">
        <f t="shared" si="109"/>
        <v>0.34637661230114281</v>
      </c>
      <c r="BM75" s="248">
        <f t="shared" si="110"/>
        <v>0.29059267468695538</v>
      </c>
      <c r="BN75" s="23">
        <f t="shared" si="111"/>
        <v>0.34947368421052627</v>
      </c>
      <c r="BO75" s="23">
        <f t="shared" si="112"/>
        <v>0.28694900605012963</v>
      </c>
      <c r="BP75" s="149">
        <f t="shared" si="86"/>
        <v>279.8</v>
      </c>
      <c r="BQ75" s="99">
        <f t="shared" si="87"/>
        <v>0</v>
      </c>
      <c r="BR75" s="153">
        <f t="shared" si="88"/>
        <v>80.599999999999994</v>
      </c>
      <c r="BS75" s="79">
        <v>83.5</v>
      </c>
      <c r="BT75" s="79">
        <v>115.7</v>
      </c>
      <c r="BU75" s="23">
        <f t="shared" si="223"/>
        <v>0.4135096497498213</v>
      </c>
      <c r="BV75" s="71">
        <v>92.7</v>
      </c>
      <c r="BW75" s="71">
        <f t="shared" si="89"/>
        <v>23</v>
      </c>
      <c r="BX75" s="23">
        <f t="shared" si="90"/>
        <v>8.2201572551822727E-2</v>
      </c>
      <c r="BY75" s="23">
        <f t="shared" si="289"/>
        <v>2.0385989992852033E-2</v>
      </c>
      <c r="BZ75" s="23">
        <f t="shared" si="290"/>
        <v>0.1615360652487893</v>
      </c>
      <c r="CA75" s="23">
        <f t="shared" si="291"/>
        <v>0.13965400139361045</v>
      </c>
      <c r="CB75" s="23">
        <f t="shared" si="262"/>
        <v>0.6552706552706552</v>
      </c>
      <c r="CC75" s="169">
        <f t="shared" si="91"/>
        <v>41.1</v>
      </c>
      <c r="CD75" s="174"/>
      <c r="CF75" s="76">
        <f t="shared" si="58"/>
        <v>35.311</v>
      </c>
      <c r="CH75" s="23">
        <f t="shared" si="59"/>
        <v>0.85914841849148416</v>
      </c>
      <c r="CI75" s="182">
        <v>31.75</v>
      </c>
      <c r="CJ75" s="79">
        <f t="shared" si="292"/>
        <v>0</v>
      </c>
      <c r="CK75" s="79">
        <f t="shared" si="60"/>
        <v>35.311</v>
      </c>
      <c r="CL75" s="159">
        <v>18.629000000000001</v>
      </c>
      <c r="CM75" s="683">
        <v>16.681999999999999</v>
      </c>
      <c r="CN75" s="683">
        <v>21.6</v>
      </c>
      <c r="CO75" s="159">
        <f t="shared" ref="CO75:CO108" si="338">CN75-CM75</f>
        <v>4.9180000000000028</v>
      </c>
      <c r="CP75" s="79">
        <v>-3.5609999999999999</v>
      </c>
      <c r="CQ75" s="79">
        <v>1.911</v>
      </c>
      <c r="CR75" s="79">
        <v>5.4720000000000004</v>
      </c>
      <c r="CS75" s="23">
        <f t="shared" si="293"/>
        <v>0.47243068732123128</v>
      </c>
      <c r="CT75" s="23">
        <f t="shared" si="294"/>
        <v>1.9556826304503217E-2</v>
      </c>
      <c r="CU75" s="73">
        <v>3.0030000000000001</v>
      </c>
      <c r="CV75" s="378">
        <f t="shared" si="295"/>
        <v>1.4155078953570587E-2</v>
      </c>
      <c r="CW75" s="378">
        <f t="shared" si="296"/>
        <v>9.4582677165354331E-2</v>
      </c>
      <c r="CX75" s="79">
        <f t="shared" si="297"/>
        <v>28.747</v>
      </c>
      <c r="CY75" s="79">
        <f t="shared" si="298"/>
        <v>1.4869999999999983</v>
      </c>
      <c r="CZ75" s="293">
        <f t="shared" si="299"/>
        <v>31.75</v>
      </c>
      <c r="DA75" s="65">
        <f>DB75*CZ75*1000</f>
        <v>8255</v>
      </c>
      <c r="DB75" s="184">
        <v>0.26</v>
      </c>
      <c r="DC75" s="79"/>
      <c r="DD75" s="79"/>
      <c r="DE75" s="79"/>
      <c r="DF75" s="79"/>
      <c r="DG75" s="79"/>
      <c r="DH75" s="79"/>
      <c r="DI75" s="182">
        <v>27.26</v>
      </c>
      <c r="DJ75" s="79">
        <v>0.51500000000000001</v>
      </c>
      <c r="DK75" s="79">
        <v>1.431</v>
      </c>
      <c r="DL75" s="79">
        <v>0.17</v>
      </c>
      <c r="DM75" s="79">
        <v>1.4019999999999999</v>
      </c>
      <c r="DN75" s="79">
        <v>0.52700000000000002</v>
      </c>
      <c r="DO75" s="79">
        <v>1.3420000000000001</v>
      </c>
      <c r="DP75" s="79">
        <v>-3.1890000000000001</v>
      </c>
      <c r="DQ75" s="79">
        <v>0.52400000000000002</v>
      </c>
      <c r="DR75" s="79">
        <f t="shared" si="113"/>
        <v>4.569</v>
      </c>
      <c r="DS75" s="79">
        <f t="shared" si="114"/>
        <v>22.691000000000003</v>
      </c>
      <c r="DT75" s="79">
        <v>1.002</v>
      </c>
      <c r="DU75" s="23">
        <f t="shared" si="115"/>
        <v>4.4158476929178965E-2</v>
      </c>
      <c r="DV75" s="23">
        <f t="shared" si="116"/>
        <v>1.8892149669845929E-2</v>
      </c>
      <c r="DW75" s="23">
        <f t="shared" si="117"/>
        <v>5.2494497432134996E-2</v>
      </c>
      <c r="DX75" s="602">
        <f t="shared" si="118"/>
        <v>6.2362435803374906E-3</v>
      </c>
      <c r="DY75" s="23">
        <f t="shared" si="119"/>
        <v>5.1430667644900945E-2</v>
      </c>
      <c r="DZ75" s="23">
        <f t="shared" si="120"/>
        <v>1.9332355099046222E-2</v>
      </c>
      <c r="EA75" s="23">
        <f t="shared" si="121"/>
        <v>4.9229640498899489E-2</v>
      </c>
      <c r="EB75" s="23">
        <f t="shared" si="122"/>
        <v>-0.11698459280997799</v>
      </c>
      <c r="EC75" s="23">
        <f t="shared" si="123"/>
        <v>1.9222303741746147E-2</v>
      </c>
      <c r="ED75" s="23">
        <f t="shared" si="124"/>
        <v>0.16760821716801172</v>
      </c>
      <c r="EE75" s="153">
        <v>12.038</v>
      </c>
      <c r="EF75" s="23">
        <f t="shared" si="300"/>
        <v>0.44159941305942774</v>
      </c>
      <c r="EG75" s="182">
        <v>13.679</v>
      </c>
      <c r="EH75" s="79">
        <v>0.39400000000000002</v>
      </c>
      <c r="EI75" s="79">
        <v>0.73299999999999998</v>
      </c>
      <c r="EJ75" s="79">
        <v>0.159</v>
      </c>
      <c r="EK75" s="79">
        <v>1.073</v>
      </c>
      <c r="EL75" s="79">
        <v>2.9889999999999999</v>
      </c>
      <c r="EM75" s="79">
        <v>0.35599999999999998</v>
      </c>
      <c r="EN75" s="28">
        <f t="shared" si="301"/>
        <v>5.7039999999999988</v>
      </c>
      <c r="EO75" s="23">
        <f t="shared" si="302"/>
        <v>0.83321691354559446</v>
      </c>
      <c r="EP75" s="79">
        <f t="shared" si="303"/>
        <v>7.9750000000000014</v>
      </c>
      <c r="EQ75" s="23">
        <f t="shared" si="304"/>
        <v>0.41698954601944577</v>
      </c>
      <c r="ER75" s="182">
        <f t="shared" si="268"/>
        <v>30.821000000000002</v>
      </c>
      <c r="ES75" s="185"/>
      <c r="ET75" s="136">
        <f>'Assets(MOFA)'!W28/1000</f>
        <v>58.033999999999999</v>
      </c>
      <c r="EU75" s="136">
        <f t="shared" ref="EU75:EU107" si="339">ET75-BD75</f>
        <v>27.911999999999999</v>
      </c>
      <c r="EV75" s="589">
        <f t="shared" ref="EV75:EV107" si="340">EU75/ER75</f>
        <v>0.90561630057428366</v>
      </c>
      <c r="EW75" s="153">
        <f t="shared" si="125"/>
        <v>0.5122728426012626</v>
      </c>
      <c r="EX75" s="153">
        <f t="shared" si="126"/>
        <v>1.5153765970942701</v>
      </c>
      <c r="EY75" s="153">
        <f t="shared" si="127"/>
        <v>0.16636379013501679</v>
      </c>
      <c r="EZ75" s="153">
        <f t="shared" si="128"/>
        <v>1.4148920167940313</v>
      </c>
      <c r="FA75" s="153">
        <f t="shared" si="129"/>
        <v>2.6712000000000002</v>
      </c>
      <c r="FB75" s="153">
        <f t="shared" si="130"/>
        <v>1.3873699821789955</v>
      </c>
      <c r="FC75" s="153">
        <f t="shared" si="131"/>
        <v>-0.41181999999999963</v>
      </c>
      <c r="FD75" s="153">
        <f t="shared" si="132"/>
        <v>0.56565113118071708</v>
      </c>
      <c r="FE75" s="153">
        <f t="shared" si="133"/>
        <v>6.8457563778052979</v>
      </c>
      <c r="FF75" s="153">
        <f t="shared" si="134"/>
        <v>22.286555370904711</v>
      </c>
      <c r="FG75" s="23">
        <f t="shared" si="135"/>
        <v>1.6620902715721832E-2</v>
      </c>
      <c r="FH75" s="23">
        <f t="shared" si="136"/>
        <v>4.916701590130982E-2</v>
      </c>
      <c r="FI75" s="23">
        <f t="shared" si="137"/>
        <v>5.3977414793490407E-3</v>
      </c>
      <c r="FJ75" s="23">
        <f t="shared" si="138"/>
        <v>4.5906752434834407E-2</v>
      </c>
      <c r="FK75" s="31">
        <f t="shared" si="139"/>
        <v>8.6668180785827845E-2</v>
      </c>
      <c r="FL75" s="23">
        <f t="shared" si="140"/>
        <v>4.5013788721293774E-2</v>
      </c>
      <c r="FM75" s="23">
        <f t="shared" si="141"/>
        <v>-1.336166899192108E-2</v>
      </c>
      <c r="FN75" s="23">
        <f t="shared" si="142"/>
        <v>1.8352783205629834E-2</v>
      </c>
      <c r="FO75" s="23">
        <f t="shared" si="92"/>
        <v>0.22211337652267277</v>
      </c>
      <c r="FP75" s="23">
        <f t="shared" si="93"/>
        <v>0.77788662347732718</v>
      </c>
      <c r="FQ75" s="23">
        <f t="shared" si="94"/>
        <v>3.2626375178991598E-2</v>
      </c>
      <c r="FR75" s="23">
        <f t="shared" si="95"/>
        <v>0.1142642609897003</v>
      </c>
      <c r="FS75" s="23">
        <f t="shared" si="96"/>
        <v>2.9828001225557423E-3</v>
      </c>
      <c r="FT75" s="393">
        <f t="shared" si="97"/>
        <v>2.4853195118393163E-3</v>
      </c>
      <c r="FU75" s="393">
        <f t="shared" si="98"/>
        <v>4.9748061071642601E-4</v>
      </c>
      <c r="FV75" s="23">
        <f t="shared" si="99"/>
        <v>1.0446378116294116E-2</v>
      </c>
      <c r="FW75" s="326">
        <f t="shared" si="305"/>
        <v>-3.5609999999999999</v>
      </c>
      <c r="FX75" s="384">
        <f t="shared" si="269"/>
        <v>2.7271573987374272E-3</v>
      </c>
      <c r="FY75" s="384">
        <f t="shared" si="270"/>
        <v>-8.4376597094270089E-2</v>
      </c>
      <c r="FZ75" s="384">
        <f t="shared" si="271"/>
        <v>3.6362098649832361E-3</v>
      </c>
      <c r="GA75" s="384">
        <f t="shared" si="272"/>
        <v>-1.2892016794031475E-2</v>
      </c>
      <c r="GB75" s="225">
        <f t="shared" ref="GB75:GB78" si="341">0.1*KK75</f>
        <v>-2.1442000000000001</v>
      </c>
      <c r="GC75" s="384">
        <f t="shared" si="274"/>
        <v>-4.5369982178995377E-2</v>
      </c>
      <c r="GD75" s="319">
        <f t="shared" si="275"/>
        <v>-2.7771800000000004</v>
      </c>
      <c r="GE75" s="153">
        <f t="shared" si="276"/>
        <v>-4.1651131180717074E-2</v>
      </c>
      <c r="GF75" s="153">
        <f t="shared" si="151"/>
        <v>-2.2767563778052984</v>
      </c>
      <c r="GG75" s="153">
        <f t="shared" si="277"/>
        <v>0.40444462909529205</v>
      </c>
      <c r="GH75" s="182">
        <v>9.5250000000000004</v>
      </c>
      <c r="GI75" s="79">
        <v>0.47899999999999998</v>
      </c>
      <c r="GJ75" s="79">
        <v>0.443</v>
      </c>
      <c r="GK75" s="79">
        <v>0.20499999999999999</v>
      </c>
      <c r="GL75" s="79">
        <v>1.577</v>
      </c>
      <c r="GM75" s="79">
        <f t="shared" ref="GM75:GM108" si="342">GN75+GO75</f>
        <v>-2.0430000000000001</v>
      </c>
      <c r="GN75" s="79">
        <v>-6.2E-2</v>
      </c>
      <c r="GO75" s="79">
        <v>-1.9810000000000001</v>
      </c>
      <c r="GP75" s="79">
        <v>-3.03</v>
      </c>
      <c r="GQ75" s="79">
        <v>0.13900000000000001</v>
      </c>
      <c r="GR75" s="79">
        <f t="shared" si="306"/>
        <v>0.79999999999999982</v>
      </c>
      <c r="GS75" s="79">
        <f t="shared" ref="GS75:GS108" si="343">GH75-GR75</f>
        <v>8.7250000000000014</v>
      </c>
      <c r="GT75" s="23">
        <f t="shared" si="307"/>
        <v>8.3989501312335943E-2</v>
      </c>
      <c r="GU75" s="362">
        <f t="shared" si="259"/>
        <v>20.929000000000002</v>
      </c>
      <c r="GV75" s="153">
        <f t="shared" ref="GV75:GV108" si="344">HT75</f>
        <v>7.2489999999999997</v>
      </c>
      <c r="GW75" s="153">
        <f t="shared" si="308"/>
        <v>13.679</v>
      </c>
      <c r="GX75" s="153">
        <f t="shared" si="309"/>
        <v>0.48699999999999999</v>
      </c>
      <c r="GY75" s="153">
        <f t="shared" si="310"/>
        <v>0.98399999999999999</v>
      </c>
      <c r="GZ75" s="153">
        <f t="shared" si="226"/>
        <v>0.19199999999999998</v>
      </c>
      <c r="HA75" s="153">
        <f t="shared" si="227"/>
        <v>1.536</v>
      </c>
      <c r="HB75" s="153">
        <f t="shared" si="228"/>
        <v>4.2489999999999997</v>
      </c>
      <c r="HC75" s="153">
        <f t="shared" si="229"/>
        <v>0.67999999999999994</v>
      </c>
      <c r="HD75" s="352">
        <f t="shared" si="230"/>
        <v>2.2820000000000005</v>
      </c>
      <c r="HE75" s="153">
        <f t="shared" si="231"/>
        <v>0.39100000000000001</v>
      </c>
      <c r="HF75" s="153">
        <f t="shared" si="311"/>
        <v>7.8390000000000004</v>
      </c>
      <c r="HG75" s="23">
        <f t="shared" ref="HG75:HG108" si="345">HF75/GU75</f>
        <v>0.37455205695446508</v>
      </c>
      <c r="HH75" s="332">
        <f t="shared" ref="HH75:HH108" si="346">KU75-KU74</f>
        <v>15.123999999999995</v>
      </c>
      <c r="HI75" s="182">
        <f t="shared" si="312"/>
        <v>-4.1539999999999999</v>
      </c>
      <c r="HJ75" s="79">
        <v>-1.000000000000334E-3</v>
      </c>
      <c r="HK75" s="79">
        <f t="shared" si="313"/>
        <v>8.4999999999999964E-2</v>
      </c>
      <c r="HL75" s="79">
        <f t="shared" si="314"/>
        <v>-0.28999999999999998</v>
      </c>
      <c r="HM75" s="79">
        <f t="shared" si="315"/>
        <v>4.5999999999999985E-2</v>
      </c>
      <c r="HN75" s="79">
        <f t="shared" si="316"/>
        <v>0.504</v>
      </c>
      <c r="HO75" s="79">
        <f t="shared" si="317"/>
        <v>-5.032</v>
      </c>
      <c r="HP75" s="79">
        <f t="shared" si="318"/>
        <v>-0.21699999999999997</v>
      </c>
      <c r="HQ75" s="79">
        <f t="shared" si="319"/>
        <v>-4.903999999999999</v>
      </c>
      <c r="HR75" s="79">
        <f t="shared" si="320"/>
        <v>0.74999999999999911</v>
      </c>
      <c r="HS75" s="23">
        <f t="shared" si="321"/>
        <v>1.1805488685604235</v>
      </c>
      <c r="HT75" s="28">
        <v>7.2489999999999997</v>
      </c>
      <c r="HU75" s="79">
        <v>9.2999999999999999E-2</v>
      </c>
      <c r="HV75" s="79">
        <v>0.252</v>
      </c>
      <c r="HW75" s="26">
        <v>2.0500000000000001E-2</v>
      </c>
      <c r="HX75" s="79">
        <v>0.46300000000000002</v>
      </c>
      <c r="HY75" s="79">
        <v>1.26</v>
      </c>
      <c r="HZ75" s="79">
        <v>-0.21099999999999999</v>
      </c>
      <c r="IA75" s="79">
        <v>1.3069999999999999</v>
      </c>
      <c r="IB75" s="79">
        <v>3.5000000000000003E-2</v>
      </c>
      <c r="IC75" s="79">
        <f t="shared" si="322"/>
        <v>2.1234999999999999</v>
      </c>
      <c r="ID75" s="79">
        <f t="shared" ref="ID75:ID104" si="347">HT75-IC75</f>
        <v>5.1254999999999997</v>
      </c>
      <c r="IE75" s="23">
        <f t="shared" ref="IE75:IE104" si="348">IC75/HT75</f>
        <v>0.29293695682163057</v>
      </c>
      <c r="IF75" s="316">
        <v>-11.404</v>
      </c>
      <c r="IG75" s="153">
        <v>-8.0000000000000002E-3</v>
      </c>
      <c r="IH75" s="153">
        <v>-0.54100000000000004</v>
      </c>
      <c r="II75" s="153">
        <v>1.2999999999999999E-2</v>
      </c>
      <c r="IJ75" s="153">
        <v>4.1000000000000002E-2</v>
      </c>
      <c r="IK75" s="153">
        <v>-6.2919999999999998</v>
      </c>
      <c r="IL75" s="153">
        <v>-0.74199999999999999</v>
      </c>
      <c r="IM75" s="153">
        <v>-5.3120000000000003</v>
      </c>
      <c r="IN75" s="153">
        <v>-0.252</v>
      </c>
      <c r="IO75" s="153">
        <f t="shared" ref="IO75:IO108" si="349">IG75+IH75+II75+IJ75+IK75+IN75</f>
        <v>-7.0389999999999997</v>
      </c>
      <c r="IP75" s="153">
        <f t="shared" si="235"/>
        <v>-4.3650000000000002</v>
      </c>
      <c r="IQ75" s="258">
        <f t="shared" ref="IQ75:IQ108" si="350">KB75-KB74</f>
        <v>-10.726000000000001</v>
      </c>
      <c r="IR75" s="5">
        <f t="shared" si="323"/>
        <v>212.15</v>
      </c>
      <c r="IS75" s="73">
        <f t="shared" ref="IS75:IS107" si="351">IR75-IR74</f>
        <v>4.3979999999999961</v>
      </c>
      <c r="IT75" s="79">
        <f t="shared" si="288"/>
        <v>0</v>
      </c>
      <c r="IU75" s="79">
        <f t="shared" ref="IU75:IU108" si="352">EG75</f>
        <v>13.679</v>
      </c>
      <c r="IV75" s="79">
        <f t="shared" si="324"/>
        <v>7.2489999999999997</v>
      </c>
      <c r="IW75" s="79">
        <v>-11.404</v>
      </c>
      <c r="IX75" s="79">
        <f t="shared" ref="IX75:IX90" si="353">IS75-IU75-IV75-IW75</f>
        <v>-5.1260000000000048</v>
      </c>
      <c r="IY75" s="79"/>
      <c r="IZ75" s="79"/>
      <c r="JA75" s="79"/>
      <c r="JB75" s="23">
        <f t="shared" si="162"/>
        <v>6.9318738768175139E-2</v>
      </c>
      <c r="JC75" s="23">
        <f t="shared" si="163"/>
        <v>7.6654141480150297E-3</v>
      </c>
      <c r="JD75" s="23">
        <f t="shared" si="164"/>
        <v>6.1653324620160106E-2</v>
      </c>
      <c r="JE75" s="22">
        <f t="shared" si="325"/>
        <v>4.4695311223656269E-3</v>
      </c>
      <c r="JF75" s="22">
        <f t="shared" si="326"/>
        <v>2.368567227577193E-3</v>
      </c>
      <c r="JG75" s="22">
        <f t="shared" si="327"/>
        <v>-3.7261885312857377E-3</v>
      </c>
      <c r="JH75" s="5">
        <v>212.15</v>
      </c>
      <c r="JI75" s="192">
        <v>58.524000000000001</v>
      </c>
      <c r="JJ75" s="76">
        <v>2.5169999999999999</v>
      </c>
      <c r="JK75" s="76">
        <v>6.9169999999999998</v>
      </c>
      <c r="JL75" s="76">
        <v>1.24</v>
      </c>
      <c r="JM75" s="76">
        <v>14.257</v>
      </c>
      <c r="JN75" s="76">
        <f t="shared" ref="JN75:JN108" si="354">JO75+JP75</f>
        <v>-3.3520000000000003</v>
      </c>
      <c r="JO75" s="76">
        <v>11.4</v>
      </c>
      <c r="JP75" s="76">
        <v>-14.752000000000001</v>
      </c>
      <c r="JQ75" s="76">
        <v>-22.169</v>
      </c>
      <c r="JR75" s="76">
        <v>1.881</v>
      </c>
      <c r="JS75" s="76">
        <f t="shared" si="287"/>
        <v>23.459999999999997</v>
      </c>
      <c r="JT75" s="76">
        <f t="shared" ref="JT75:JT108" si="355">JH75-JS75</f>
        <v>188.69</v>
      </c>
      <c r="JU75" s="23">
        <f t="shared" ref="JU75:JU108" si="356">JS75/$JH75</f>
        <v>0.11058213528164033</v>
      </c>
      <c r="JV75" s="23">
        <f t="shared" ref="JV75:JV108" si="357">JJ75/$JH75</f>
        <v>1.186424699505067E-2</v>
      </c>
      <c r="JW75" s="23">
        <f t="shared" ref="JW75:JW108" si="358">JK75/$JH75</f>
        <v>3.2604289417864717E-2</v>
      </c>
      <c r="JX75" s="23">
        <f t="shared" ref="JX75:JX108" si="359">JL75/$JH75</f>
        <v>5.8449210464294127E-3</v>
      </c>
      <c r="JY75" s="23">
        <f t="shared" ref="JY75:JY108" si="360">JM75/$JH75</f>
        <v>6.7202451095922697E-2</v>
      </c>
      <c r="JZ75" s="23">
        <f t="shared" ref="JZ75:JZ108" si="361">JN75/$JH75</f>
        <v>-1.5800141409380155E-2</v>
      </c>
      <c r="KA75" s="23">
        <f t="shared" ref="KA75:KA108" si="362">JR75/$JH75</f>
        <v>8.8663681357530055E-3</v>
      </c>
      <c r="KB75" s="149">
        <v>-11.457000000000001</v>
      </c>
      <c r="KC75" s="316">
        <v>54.758000000000003</v>
      </c>
      <c r="KD75" s="316">
        <v>66.213999999999999</v>
      </c>
      <c r="KE75" s="589">
        <f t="shared" si="242"/>
        <v>1.2092114394243763</v>
      </c>
      <c r="KF75" s="1071">
        <v>0</v>
      </c>
      <c r="KG75" s="319">
        <f t="shared" si="243"/>
        <v>3.3000000000000002E-2</v>
      </c>
      <c r="KH75" s="319">
        <f t="shared" si="244"/>
        <v>-1.0209999999999999</v>
      </c>
      <c r="KI75" s="321">
        <f t="shared" si="245"/>
        <v>4.3999999999999997E-2</v>
      </c>
      <c r="KJ75" s="225">
        <f t="shared" si="246"/>
        <v>-0.156</v>
      </c>
      <c r="KK75" s="319">
        <f t="shared" si="285"/>
        <v>-21.442</v>
      </c>
      <c r="KL75" s="319">
        <f t="shared" si="248"/>
        <v>-0.54899999999999993</v>
      </c>
      <c r="KM75" s="79"/>
      <c r="KN75" s="319"/>
      <c r="KO75" s="319">
        <f t="shared" si="249"/>
        <v>-27.771800000000002</v>
      </c>
      <c r="KP75" s="319">
        <f t="shared" si="250"/>
        <v>-0.504</v>
      </c>
      <c r="KQ75" s="153">
        <f t="shared" si="328"/>
        <v>-23.046000000000003</v>
      </c>
      <c r="KR75" s="153">
        <f t="shared" si="329"/>
        <v>11.589000000000002</v>
      </c>
      <c r="KS75" s="23">
        <f t="shared" si="178"/>
        <v>3.7866361705603665E-3</v>
      </c>
      <c r="KT75" s="23">
        <f t="shared" si="179"/>
        <v>0.41942489503730335</v>
      </c>
      <c r="KU75" s="326">
        <v>223.607</v>
      </c>
      <c r="KV75" s="430">
        <f t="shared" si="252"/>
        <v>58.524000000000001</v>
      </c>
      <c r="KW75" s="322">
        <f t="shared" si="181"/>
        <v>2.484</v>
      </c>
      <c r="KX75" s="322">
        <f t="shared" si="182"/>
        <v>7.9379999999999997</v>
      </c>
      <c r="KY75" s="322">
        <f t="shared" si="183"/>
        <v>1.196</v>
      </c>
      <c r="KZ75" s="322">
        <f t="shared" si="184"/>
        <v>14.413</v>
      </c>
      <c r="LA75" s="322">
        <f t="shared" si="185"/>
        <v>18.09</v>
      </c>
      <c r="LB75" s="322">
        <f t="shared" si="186"/>
        <v>11.949</v>
      </c>
      <c r="LC75" s="322">
        <f t="shared" si="187"/>
        <v>5.602800000000002</v>
      </c>
      <c r="LD75" s="322">
        <f t="shared" si="188"/>
        <v>2.3849999999999998</v>
      </c>
      <c r="LE75" s="322">
        <f t="shared" si="189"/>
        <v>46.506</v>
      </c>
      <c r="LF75" s="322">
        <f t="shared" si="190"/>
        <v>0</v>
      </c>
      <c r="LG75" s="322">
        <f t="shared" si="191"/>
        <v>177.101</v>
      </c>
      <c r="LH75" s="367">
        <f t="shared" si="192"/>
        <v>0.20798096660659102</v>
      </c>
      <c r="LI75" s="248">
        <f t="shared" si="193"/>
        <v>1.1108775664446999E-2</v>
      </c>
      <c r="LJ75" s="248">
        <f t="shared" si="194"/>
        <v>3.5499783101602365E-2</v>
      </c>
      <c r="LK75" s="248">
        <f t="shared" si="195"/>
        <v>5.3486697643633698E-3</v>
      </c>
      <c r="LL75" s="248">
        <f t="shared" si="196"/>
        <v>6.4456837218870605E-2</v>
      </c>
      <c r="LM75" s="251">
        <f t="shared" si="197"/>
        <v>8.0900866251950962E-2</v>
      </c>
      <c r="LN75" s="251">
        <f t="shared" si="198"/>
        <v>5.3437504192623664E-2</v>
      </c>
      <c r="LO75" s="251">
        <f t="shared" si="199"/>
        <v>2.5056460665363794E-2</v>
      </c>
      <c r="LP75" s="248">
        <f t="shared" si="200"/>
        <v>1.0666034605356719E-2</v>
      </c>
      <c r="LQ75" s="248">
        <f t="shared" si="201"/>
        <v>7.3062244731253057E-2</v>
      </c>
      <c r="LR75" s="23">
        <f t="shared" si="202"/>
        <v>5.7866688449599739E-2</v>
      </c>
      <c r="LS75" s="23">
        <f t="shared" si="203"/>
        <v>1.5195556281653325E-2</v>
      </c>
      <c r="LT75" s="326">
        <v>65.525999999999996</v>
      </c>
      <c r="LU75" s="153">
        <f t="shared" ref="LU75:LU108" si="363">LT75-LV75-LW75-LX75</f>
        <v>1.0000000000047748E-3</v>
      </c>
      <c r="LV75" s="153">
        <f t="shared" si="204"/>
        <v>-11.457000000000001</v>
      </c>
      <c r="LW75" s="153">
        <f t="shared" si="283"/>
        <v>66.213999999999999</v>
      </c>
      <c r="LX75" s="153">
        <v>10.768000000000001</v>
      </c>
      <c r="LY75" s="23">
        <f>LX75/Liabilities!GT75</f>
        <v>6.7590215487750543E-2</v>
      </c>
      <c r="LZ75" s="23">
        <f t="shared" si="253"/>
        <v>0.23842525961517175</v>
      </c>
      <c r="MA75" s="425">
        <v>111.377</v>
      </c>
      <c r="MB75" s="153">
        <f t="shared" ref="MB75:MB108" si="364">MA75-MC75-MD75-ME75</f>
        <v>0</v>
      </c>
      <c r="MC75" s="153">
        <v>34.395000000000003</v>
      </c>
      <c r="MD75" s="153">
        <f t="shared" ref="MD75:MD108" si="365">LX75</f>
        <v>10.768000000000001</v>
      </c>
      <c r="ME75" s="153">
        <f t="shared" ref="ME75:ME108" si="366">LW75</f>
        <v>66.213999999999999</v>
      </c>
      <c r="MF75" s="153">
        <v>45.162999999999997</v>
      </c>
      <c r="MG75" s="153">
        <f t="shared" si="208"/>
        <v>54.758000000000003</v>
      </c>
      <c r="MH75" s="326">
        <f t="shared" si="209"/>
        <v>223.607</v>
      </c>
      <c r="MI75" s="1008">
        <f>FoF_RoW!$BH45/1000</f>
        <v>393.16300000000001</v>
      </c>
      <c r="MJ75" s="1008">
        <v>432.62599999999998</v>
      </c>
      <c r="MK75" s="1008">
        <f>FoF_RoW!$AU45/1000</f>
        <v>17.971</v>
      </c>
      <c r="ML75" s="1008">
        <f t="shared" si="254"/>
        <v>-13.46999999999997</v>
      </c>
      <c r="MM75" s="425">
        <f t="shared" si="210"/>
        <v>404.62</v>
      </c>
      <c r="MN75" s="23">
        <f t="shared" si="211"/>
        <v>1.80951401342534</v>
      </c>
      <c r="MO75" s="153">
        <v>351.32499999999999</v>
      </c>
      <c r="MP75" s="425">
        <v>285.79899999999998</v>
      </c>
      <c r="MQ75" s="23">
        <f t="shared" ref="MQ75:MQ108" si="367">MP75/MH75</f>
        <v>1.2781308277468952</v>
      </c>
      <c r="MR75" s="23">
        <f t="shared" ref="MR75:MR108" si="368">MP75/MM75</f>
        <v>0.70633928130097368</v>
      </c>
      <c r="MS75" s="153">
        <f t="shared" si="212"/>
        <v>-11.457000000000001</v>
      </c>
      <c r="MT75" s="153">
        <v>65.525999999999996</v>
      </c>
      <c r="MU75" s="153">
        <v>111.377</v>
      </c>
      <c r="MV75" s="153">
        <v>118.923</v>
      </c>
      <c r="MW75" s="153">
        <v>159.31299999999999</v>
      </c>
      <c r="MX75" s="23">
        <f t="shared" ref="MX75:MX108" si="369">MV75/MW75</f>
        <v>0.74647392240432364</v>
      </c>
      <c r="MY75" s="425">
        <f t="shared" si="255"/>
        <v>161.00999999999993</v>
      </c>
      <c r="MZ75" s="23">
        <f t="shared" si="213"/>
        <v>5.2609050808691368E-2</v>
      </c>
      <c r="NA75" s="153">
        <v>1206.6559999999999</v>
      </c>
      <c r="NB75" s="153">
        <v>945.16200000000003</v>
      </c>
      <c r="NC75" s="425">
        <f t="shared" si="330"/>
        <v>239.44099999999997</v>
      </c>
      <c r="ND75" s="23">
        <f t="shared" si="331"/>
        <v>7.8235909165169079E-2</v>
      </c>
      <c r="NE75" s="330">
        <f t="shared" si="332"/>
        <v>199.45600000000002</v>
      </c>
      <c r="NF75" s="23">
        <f t="shared" si="333"/>
        <v>6.5171050481947407E-2</v>
      </c>
      <c r="NG75" s="330">
        <f t="shared" si="334"/>
        <v>121.02499999999999</v>
      </c>
      <c r="NH75" s="23">
        <f t="shared" si="335"/>
        <v>3.9544192125469689E-2</v>
      </c>
      <c r="NI75" s="330">
        <v>100.48399999999999</v>
      </c>
      <c r="NJ75" s="425">
        <f t="shared" si="63"/>
        <v>27.63</v>
      </c>
      <c r="NK75" s="403">
        <f t="shared" si="64"/>
        <v>9.0279366116647608E-3</v>
      </c>
      <c r="NL75" s="153">
        <v>27.63</v>
      </c>
      <c r="NM75" s="153">
        <v>31.75</v>
      </c>
      <c r="NN75" s="153">
        <v>4.12</v>
      </c>
      <c r="NO75" s="425">
        <f t="shared" si="100"/>
        <v>36.388000000000005</v>
      </c>
      <c r="NP75" s="153">
        <v>96.031000000000006</v>
      </c>
      <c r="NQ75" s="153">
        <v>59.643000000000001</v>
      </c>
      <c r="NR75" s="403">
        <f t="shared" si="65"/>
        <v>1.1889560529325275E-2</v>
      </c>
      <c r="NS75" s="403">
        <f t="shared" si="66"/>
        <v>9.0279366116647608E-3</v>
      </c>
      <c r="NT75" s="403">
        <f t="shared" si="67"/>
        <v>2.8616239176605142E-3</v>
      </c>
      <c r="NU75" s="727">
        <f t="shared" si="215"/>
        <v>0.10784152498784112</v>
      </c>
      <c r="NV75" s="688">
        <f t="shared" si="216"/>
        <v>7.6172705254312689E-2</v>
      </c>
      <c r="NW75" s="688">
        <f t="shared" si="217"/>
        <v>0.13783557759819684</v>
      </c>
      <c r="NX75" s="793">
        <f>(ER75-T.A2!B27*T.A1!M27)/MP75</f>
        <v>7.1419124011186691E-2</v>
      </c>
      <c r="NY75" s="688">
        <f>Liabilities!BU75/Liabilities!GY75</f>
        <v>2.4452797188096495E-2</v>
      </c>
      <c r="NZ75" s="688">
        <f>Liabilities!BU75/Liabilities!GT75</f>
        <v>1.8253375430755805E-2</v>
      </c>
      <c r="OA75" s="688">
        <f>Liabilities!BU75/Liabilities!GR75</f>
        <v>2.8324859252332805E-2</v>
      </c>
      <c r="OB75" s="688">
        <f t="shared" si="256"/>
        <v>8.3388727799744627E-2</v>
      </c>
      <c r="OC75" s="688">
        <f t="shared" si="257"/>
        <v>5.7919329823556881E-2</v>
      </c>
      <c r="OD75" s="688"/>
      <c r="OE75" s="793">
        <f t="shared" si="218"/>
        <v>8.7269536849389553E-2</v>
      </c>
      <c r="OF75" s="793">
        <f>OE75/(1-'Assets(MOFA)'!GU28)</f>
        <v>0.18144885001137406</v>
      </c>
      <c r="OG75" s="793">
        <f>Liabilities!HV75</f>
        <v>6.388163721370581E-3</v>
      </c>
      <c r="OH75" s="793"/>
      <c r="OI75" s="22">
        <f t="shared" si="336"/>
        <v>3.4899010190291825E-2</v>
      </c>
      <c r="OJ75" s="22">
        <f t="shared" si="337"/>
        <v>8.2641133295073554E-2</v>
      </c>
      <c r="OK75" s="403">
        <f>Liabilities!CT75/LX75</f>
        <v>5.1913075780089156E-2</v>
      </c>
      <c r="OL75" s="403">
        <f>Liabilities!CU75/MF75</f>
        <v>6.24404933241813E-2</v>
      </c>
      <c r="OM75" s="153"/>
      <c r="OO75" s="186">
        <f t="shared" si="221"/>
        <v>8.2935555120641352E-2</v>
      </c>
      <c r="OP75" s="308">
        <f t="shared" ref="OP75:OP108" si="370">MM75/C75</f>
        <v>0.13220715569351413</v>
      </c>
      <c r="OQ75" s="308">
        <f t="shared" ref="OQ75:OQ108" si="371">(ER75*(1+$CU75/($CK75-$CY75)))/C75</f>
        <v>1.0964673848362654E-2</v>
      </c>
      <c r="OR75" s="313">
        <f t="shared" ref="OR75:OR108" si="372">OO75*OP75-OQ75</f>
        <v>0</v>
      </c>
      <c r="OS75" s="23">
        <f t="shared" ref="OS75:OS108" si="373">(EW75*(1+$CU75/($CK75-$CY75)))/(KW75*$MN75)</f>
        <v>0.12408782344450976</v>
      </c>
      <c r="OT75" s="23">
        <f t="shared" ref="OT75:OT108" si="374">(EX75*(1+$CU75/($CK75-$CY75)))/(KX75*$MN75)</f>
        <v>0.11486531469023187</v>
      </c>
      <c r="OU75" s="23">
        <f t="shared" ref="OU75:OU108" si="375">(EY75*(1+$CU75/($CK75-$CY75)))/(KY75*$MN75)</f>
        <v>8.3696452708706029E-2</v>
      </c>
      <c r="OV75" s="23">
        <f t="shared" ref="OV75:OV108" si="376">(EZ75*(1+$CU75/($CK75-$CY75)))/(KZ75*$MN75)</f>
        <v>5.906746531854664E-2</v>
      </c>
      <c r="OW75" s="23">
        <f t="shared" ref="OW75:OW108" si="377">(FA75*(1+$CU75/($CK75-$CY75)))/(LA75*$MN75)</f>
        <v>8.8847919902160455E-2</v>
      </c>
      <c r="OX75" s="23">
        <f t="shared" ref="OX75:OX108" si="378">(FB75*(1+$CU75/($CK75-$CY75)))/(LB75*$MN75)</f>
        <v>6.9861862227448279E-2</v>
      </c>
      <c r="OY75" s="23">
        <f t="shared" ref="OY75:OY108" si="379">(FD75*(1+$CU75/($CK75-$CY75)))/(LD75*$MN75)</f>
        <v>0.14270516827343335</v>
      </c>
      <c r="OZ75" s="23">
        <f t="shared" ref="OZ75:OZ108" si="380">(FE75*(1+$CU75/($CK75-$CY75)))/(LE75*$MN75)</f>
        <v>8.8571067257671457E-2</v>
      </c>
      <c r="PA75" s="23">
        <f t="shared" ref="PA75:PA108" si="381">(FF75*(1+$CU75/($CK75-$CY75)))/(LG75*$MN75)</f>
        <v>7.5718388209900192E-2</v>
      </c>
      <c r="PB75" s="23">
        <f>OZ75-PA75</f>
        <v>1.2852679047771265E-2</v>
      </c>
      <c r="PC75" s="23"/>
      <c r="PD75" s="23"/>
      <c r="PE75" s="23"/>
      <c r="PF75" s="23"/>
      <c r="PG75" s="69"/>
      <c r="PH75" s="23">
        <f>'Assets(MOFA)'!GU28</f>
        <v>0.51904056242892094</v>
      </c>
      <c r="PI75" s="23">
        <f>'Assets(MOFA)'!HM28</f>
        <v>0.368077396417339</v>
      </c>
      <c r="PJ75" s="11">
        <f t="shared" si="222"/>
        <v>4.436848890847632E-2</v>
      </c>
      <c r="PL75" s="11">
        <f>'Assets(MOFA)'!GO28/MM75/1000</f>
        <v>2.6610152735900349E-2</v>
      </c>
    </row>
    <row r="76" spans="2:428">
      <c r="B76" s="71">
        <v>1984</v>
      </c>
      <c r="C76" s="43">
        <v>3444</v>
      </c>
      <c r="D76" s="5">
        <v>337.9</v>
      </c>
      <c r="E76" s="19">
        <f t="shared" si="68"/>
        <v>9.8112659698025545E-2</v>
      </c>
      <c r="F76" s="72">
        <f t="shared" si="69"/>
        <v>0</v>
      </c>
      <c r="G76" s="76">
        <f t="shared" si="70"/>
        <v>301.29999999999995</v>
      </c>
      <c r="H76" s="23">
        <f t="shared" si="71"/>
        <v>8.7485481997677111E-2</v>
      </c>
      <c r="I76" s="74">
        <v>36.6</v>
      </c>
      <c r="J76" s="19">
        <f t="shared" si="72"/>
        <v>1.0627177700348432E-2</v>
      </c>
      <c r="K76" s="6">
        <f t="shared" si="73"/>
        <v>0.10831606984314887</v>
      </c>
      <c r="L76" s="136">
        <v>46.2</v>
      </c>
      <c r="M76" s="19">
        <f t="shared" si="74"/>
        <v>1.3414634146341465E-2</v>
      </c>
      <c r="N76" s="63">
        <f t="shared" si="75"/>
        <v>0.136726842261024</v>
      </c>
      <c r="O76" s="5">
        <f t="shared" si="76"/>
        <v>337.9</v>
      </c>
      <c r="P76" s="75">
        <f t="shared" si="77"/>
        <v>0</v>
      </c>
      <c r="Q76" s="271">
        <v>232.5</v>
      </c>
      <c r="R76" s="202">
        <v>41.2</v>
      </c>
      <c r="S76" s="53">
        <f t="shared" si="78"/>
        <v>0.12192956496004737</v>
      </c>
      <c r="T76" s="74">
        <v>16.399999999999999</v>
      </c>
      <c r="U76" s="74">
        <v>39.6</v>
      </c>
      <c r="V76" s="207">
        <v>46.7</v>
      </c>
      <c r="W76" s="53">
        <f t="shared" si="79"/>
        <v>0.13820656999112166</v>
      </c>
      <c r="X76" s="75">
        <f t="shared" si="80"/>
        <v>54.899999999999977</v>
      </c>
      <c r="Y76" s="187"/>
      <c r="Z76" s="75"/>
      <c r="AA76" s="75"/>
      <c r="AB76" s="75"/>
      <c r="AC76" s="75">
        <f t="shared" si="103"/>
        <v>6.0226233600719477</v>
      </c>
      <c r="AD76" s="23">
        <f t="shared" si="81"/>
        <v>1.7823685587664836E-2</v>
      </c>
      <c r="AE76" s="76"/>
      <c r="AF76" s="76">
        <v>6.5702535942574363</v>
      </c>
      <c r="AG76" s="76"/>
      <c r="AH76" s="97">
        <v>97.5</v>
      </c>
      <c r="AI76" s="22">
        <f t="shared" si="82"/>
        <v>2.8310104529616725E-2</v>
      </c>
      <c r="AJ76" s="22">
        <f t="shared" si="83"/>
        <v>2.3635307781649247E-2</v>
      </c>
      <c r="AK76" s="99">
        <f t="shared" si="84"/>
        <v>-9.9999999999994316E-2</v>
      </c>
      <c r="AL76" s="71">
        <v>59.199999999999996</v>
      </c>
      <c r="AM76" s="72">
        <f>(0.25*Fedtax!C57+0.75*Fedtax!C56)/1000</f>
        <v>58.002499999999998</v>
      </c>
      <c r="AN76" s="71">
        <v>18.8</v>
      </c>
      <c r="AO76" s="255">
        <v>3.5</v>
      </c>
      <c r="AP76" s="71">
        <v>16.100000000000001</v>
      </c>
      <c r="AQ76" s="6">
        <f t="shared" si="85"/>
        <v>6.9802555168408817E-2</v>
      </c>
      <c r="AR76" s="210">
        <v>23.1</v>
      </c>
      <c r="AS76" s="714">
        <v>21.42</v>
      </c>
      <c r="AT76" s="210">
        <f>1.069+8.496+0.169</f>
        <v>9.7340000000000018</v>
      </c>
      <c r="AU76" s="205">
        <f t="shared" si="286"/>
        <v>0.4544351073762839</v>
      </c>
      <c r="AV76" s="709">
        <f>11.233+12.094</f>
        <v>23.326999999999998</v>
      </c>
      <c r="AW76" s="518">
        <f>0.72+5.874+0.01+0.628+4.085+0.116</f>
        <v>11.433</v>
      </c>
      <c r="AX76" s="761">
        <f t="shared" si="104"/>
        <v>11.893999999999998</v>
      </c>
      <c r="AY76" s="520">
        <f>AW76/AV76</f>
        <v>0.49011874651691179</v>
      </c>
      <c r="AZ76" s="790">
        <f>27.008-BC76</f>
        <v>21.731999999999999</v>
      </c>
      <c r="BA76" s="84">
        <f>AW76-1.324-0.11</f>
        <v>9.9990000000000006</v>
      </c>
      <c r="BB76" s="520">
        <f>BA76/AZ76</f>
        <v>0.46010491441192714</v>
      </c>
      <c r="BC76" s="209">
        <v>5.2759999999999998</v>
      </c>
      <c r="BD76" s="707">
        <f>'Assets(MOFA)'!FJ29/1000</f>
        <v>33.587000000000003</v>
      </c>
      <c r="BE76" s="768">
        <f t="shared" si="105"/>
        <v>0.69452466728198403</v>
      </c>
      <c r="BF76" s="186">
        <v>0.46</v>
      </c>
      <c r="BG76" s="435"/>
      <c r="BH76" s="140">
        <f t="shared" si="106"/>
        <v>0.23557837511325885</v>
      </c>
      <c r="BI76" s="248">
        <f t="shared" si="57"/>
        <v>0.23557837511325885</v>
      </c>
      <c r="BJ76" s="23">
        <f t="shared" si="107"/>
        <v>0.20619375330862894</v>
      </c>
      <c r="BK76" s="140">
        <f t="shared" si="108"/>
        <v>0.28514963297571994</v>
      </c>
      <c r="BL76" s="140">
        <f t="shared" si="109"/>
        <v>0.32160108053379555</v>
      </c>
      <c r="BM76" s="248">
        <f t="shared" si="110"/>
        <v>0.29008202938024436</v>
      </c>
      <c r="BN76" s="23">
        <f t="shared" si="111"/>
        <v>0.35010752688172048</v>
      </c>
      <c r="BO76" s="23">
        <f t="shared" si="112"/>
        <v>0.29740591888929491</v>
      </c>
      <c r="BP76" s="149">
        <f t="shared" si="86"/>
        <v>337.9</v>
      </c>
      <c r="BQ76" s="99">
        <f t="shared" si="87"/>
        <v>9.9999999999965894E-2</v>
      </c>
      <c r="BR76" s="153">
        <f t="shared" si="88"/>
        <v>97.5</v>
      </c>
      <c r="BS76" s="79">
        <v>90.8</v>
      </c>
      <c r="BT76" s="79">
        <v>149.5</v>
      </c>
      <c r="BU76" s="23">
        <f t="shared" si="223"/>
        <v>0.44243859129920099</v>
      </c>
      <c r="BV76" s="71">
        <v>125.3</v>
      </c>
      <c r="BW76" s="71">
        <f t="shared" si="89"/>
        <v>24.200000000000003</v>
      </c>
      <c r="BX76" s="23">
        <f t="shared" si="90"/>
        <v>7.1618822136726851E-2</v>
      </c>
      <c r="BY76" s="23">
        <f t="shared" si="289"/>
        <v>1.6424977804084053E-2</v>
      </c>
      <c r="BZ76" s="23">
        <f t="shared" si="290"/>
        <v>0.1399571302483924</v>
      </c>
      <c r="CA76" s="23">
        <f t="shared" si="291"/>
        <v>0.11060087877403188</v>
      </c>
      <c r="CB76" s="23">
        <f t="shared" si="262"/>
        <v>0.66120218579234979</v>
      </c>
      <c r="CC76" s="169">
        <f t="shared" si="91"/>
        <v>46.2</v>
      </c>
      <c r="CD76" s="174"/>
      <c r="CF76" s="76">
        <f t="shared" si="58"/>
        <v>39.655000000000001</v>
      </c>
      <c r="CH76" s="23">
        <f t="shared" si="59"/>
        <v>0.85833333333333328</v>
      </c>
      <c r="CI76" s="182">
        <v>35.326000000000001</v>
      </c>
      <c r="CJ76" s="79">
        <f t="shared" si="292"/>
        <v>0</v>
      </c>
      <c r="CK76" s="79">
        <f t="shared" si="60"/>
        <v>39.655000000000001</v>
      </c>
      <c r="CL76" s="159">
        <v>18.687999999999999</v>
      </c>
      <c r="CM76" s="159">
        <v>20.969000000000001</v>
      </c>
      <c r="CN76" s="159">
        <v>26.5</v>
      </c>
      <c r="CO76" s="159">
        <f t="shared" si="338"/>
        <v>5.5309999999999988</v>
      </c>
      <c r="CP76" s="79">
        <v>-4.3289999999999997</v>
      </c>
      <c r="CQ76" s="79">
        <v>1.8540000000000001</v>
      </c>
      <c r="CR76" s="79">
        <v>6.1829999999999998</v>
      </c>
      <c r="CS76" s="23">
        <f t="shared" si="293"/>
        <v>0.52878577732946663</v>
      </c>
      <c r="CT76" s="23">
        <f t="shared" si="294"/>
        <v>1.8298313110387689E-2</v>
      </c>
      <c r="CU76" s="73">
        <v>3.3620000000000001</v>
      </c>
      <c r="CV76" s="378">
        <f t="shared" si="295"/>
        <v>1.5415442036195569E-2</v>
      </c>
      <c r="CW76" s="378">
        <f t="shared" si="296"/>
        <v>9.5170695804789679E-2</v>
      </c>
      <c r="CX76" s="79">
        <f t="shared" si="297"/>
        <v>31.963999999999999</v>
      </c>
      <c r="CY76" s="79">
        <f t="shared" si="298"/>
        <v>1.218</v>
      </c>
      <c r="CZ76" s="293">
        <f t="shared" si="299"/>
        <v>35.326000000000001</v>
      </c>
      <c r="DA76" s="136"/>
      <c r="DB76" s="79"/>
      <c r="DC76" s="79"/>
      <c r="DD76" s="79"/>
      <c r="DE76" s="79"/>
      <c r="DF76" s="79"/>
      <c r="DG76" s="79"/>
      <c r="DH76" s="79"/>
      <c r="DI76" s="182">
        <v>30.745999999999999</v>
      </c>
      <c r="DJ76" s="79">
        <v>0.52700000000000002</v>
      </c>
      <c r="DK76" s="79">
        <v>1.2130000000000001</v>
      </c>
      <c r="DL76" s="79">
        <v>0.123</v>
      </c>
      <c r="DM76" s="79">
        <v>1.64</v>
      </c>
      <c r="DN76" s="79">
        <v>0.30599999999999999</v>
      </c>
      <c r="DO76" s="79">
        <v>1.5069999999999999</v>
      </c>
      <c r="DP76" s="79">
        <v>-3.306</v>
      </c>
      <c r="DQ76" s="79">
        <v>0.52400000000000002</v>
      </c>
      <c r="DR76" s="79">
        <f t="shared" si="113"/>
        <v>4.3330000000000002</v>
      </c>
      <c r="DS76" s="79">
        <f t="shared" si="114"/>
        <v>26.412999999999997</v>
      </c>
      <c r="DT76" s="79">
        <v>0.86</v>
      </c>
      <c r="DU76" s="23">
        <f t="shared" si="115"/>
        <v>3.255972437814713E-2</v>
      </c>
      <c r="DV76" s="23">
        <f t="shared" si="116"/>
        <v>1.7140441032979903E-2</v>
      </c>
      <c r="DW76" s="23">
        <f t="shared" si="117"/>
        <v>3.9452286476289601E-2</v>
      </c>
      <c r="DX76" s="602">
        <f t="shared" si="118"/>
        <v>4.0005203928966367E-3</v>
      </c>
      <c r="DY76" s="23">
        <f t="shared" si="119"/>
        <v>5.3340271905288492E-2</v>
      </c>
      <c r="DZ76" s="23">
        <f t="shared" si="120"/>
        <v>9.9525141481818773E-3</v>
      </c>
      <c r="EA76" s="23">
        <f t="shared" si="121"/>
        <v>4.9014505951993755E-2</v>
      </c>
      <c r="EB76" s="23">
        <f t="shared" si="122"/>
        <v>-0.10752618226761206</v>
      </c>
      <c r="EC76" s="23">
        <f t="shared" si="123"/>
        <v>1.7042867364860471E-2</v>
      </c>
      <c r="ED76" s="23">
        <f t="shared" si="124"/>
        <v>0.14092890132049699</v>
      </c>
      <c r="EE76" s="153">
        <v>13.74</v>
      </c>
      <c r="EF76" s="23">
        <f t="shared" si="300"/>
        <v>0.44688739998699023</v>
      </c>
      <c r="EG76" s="182">
        <v>17.606999999999999</v>
      </c>
      <c r="EH76" s="79">
        <v>0.44700000000000001</v>
      </c>
      <c r="EI76" s="79">
        <v>0.42899999999999999</v>
      </c>
      <c r="EJ76" s="79">
        <v>0.109</v>
      </c>
      <c r="EK76" s="79">
        <v>1.0760000000000001</v>
      </c>
      <c r="EL76" s="79">
        <v>3.2320000000000002</v>
      </c>
      <c r="EM76" s="79">
        <v>0.25700000000000001</v>
      </c>
      <c r="EN76" s="28">
        <f t="shared" si="301"/>
        <v>5.5500000000000007</v>
      </c>
      <c r="EO76" s="23">
        <f t="shared" si="302"/>
        <v>0.78479912734511514</v>
      </c>
      <c r="EP76" s="79">
        <f t="shared" si="303"/>
        <v>12.056999999999999</v>
      </c>
      <c r="EQ76" s="23">
        <f t="shared" si="304"/>
        <v>0.31521553927415236</v>
      </c>
      <c r="ER76" s="182">
        <f t="shared" si="268"/>
        <v>35.074999999999996</v>
      </c>
      <c r="ES76" s="185"/>
      <c r="ET76" s="136">
        <f>'Assets(MOFA)'!W29/1000</f>
        <v>64.459999999999994</v>
      </c>
      <c r="EU76" s="136">
        <f t="shared" si="339"/>
        <v>30.87299999999999</v>
      </c>
      <c r="EV76" s="589">
        <f t="shared" si="340"/>
        <v>0.88019957234497492</v>
      </c>
      <c r="EW76" s="153">
        <f t="shared" si="125"/>
        <v>0.5303648756271736</v>
      </c>
      <c r="EX76" s="153">
        <f t="shared" si="126"/>
        <v>1.3468563938517084</v>
      </c>
      <c r="EY76" s="153">
        <f t="shared" si="127"/>
        <v>0.11979926464732273</v>
      </c>
      <c r="EZ76" s="153">
        <f t="shared" si="128"/>
        <v>1.6676576362526214</v>
      </c>
      <c r="FA76" s="153">
        <f t="shared" si="129"/>
        <v>2.8374000000000001</v>
      </c>
      <c r="FB76" s="153">
        <f t="shared" si="130"/>
        <v>1.5608380100347765</v>
      </c>
      <c r="FC76" s="153">
        <f t="shared" si="131"/>
        <v>-0.14751999999999965</v>
      </c>
      <c r="FD76" s="153">
        <f t="shared" si="132"/>
        <v>0.56979513658445935</v>
      </c>
      <c r="FE76" s="153">
        <f t="shared" si="133"/>
        <v>7.071873306963286</v>
      </c>
      <c r="FF76" s="153">
        <f t="shared" si="134"/>
        <v>26.105905296442685</v>
      </c>
      <c r="FG76" s="23">
        <f t="shared" si="135"/>
        <v>1.5120880274473947E-2</v>
      </c>
      <c r="FH76" s="23">
        <f t="shared" si="136"/>
        <v>3.8399326980804234E-2</v>
      </c>
      <c r="FI76" s="23">
        <f t="shared" si="137"/>
        <v>3.4155171674218887E-3</v>
      </c>
      <c r="FJ76" s="23">
        <f t="shared" si="138"/>
        <v>4.7545477868927204E-2</v>
      </c>
      <c r="FK76" s="23">
        <f t="shared" si="139"/>
        <v>8.0895224518888115E-2</v>
      </c>
      <c r="FL76" s="23">
        <f t="shared" si="140"/>
        <v>4.4500014541262345E-2</v>
      </c>
      <c r="FM76" s="23">
        <f t="shared" si="141"/>
        <v>-4.2058446186742596E-3</v>
      </c>
      <c r="FN76" s="23">
        <f t="shared" si="142"/>
        <v>1.6245050223363061E-2</v>
      </c>
      <c r="FO76" s="23">
        <f t="shared" si="92"/>
        <v>0.20162147703387845</v>
      </c>
      <c r="FP76" s="23">
        <f t="shared" si="93"/>
        <v>0.79837852296612155</v>
      </c>
      <c r="FQ76" s="23">
        <f t="shared" si="94"/>
        <v>2.7567067886845771E-2</v>
      </c>
      <c r="FR76" s="23">
        <f t="shared" si="95"/>
        <v>0.10915977437417823</v>
      </c>
      <c r="FS76" s="23">
        <f t="shared" si="96"/>
        <v>2.7046783504544674E-3</v>
      </c>
      <c r="FT76" s="393">
        <f t="shared" si="97"/>
        <v>2.1226292091858917E-3</v>
      </c>
      <c r="FU76" s="393">
        <f t="shared" si="98"/>
        <v>5.8204914126857568E-4</v>
      </c>
      <c r="FV76" s="23">
        <f t="shared" si="99"/>
        <v>1.0709955795886999E-2</v>
      </c>
      <c r="FW76" s="326">
        <f t="shared" si="305"/>
        <v>-4.3289999999999997</v>
      </c>
      <c r="FX76" s="384">
        <f t="shared" si="269"/>
        <v>-3.3648756271735373E-3</v>
      </c>
      <c r="FY76" s="384">
        <f t="shared" si="270"/>
        <v>-0.13385639385170828</v>
      </c>
      <c r="FZ76" s="384">
        <f t="shared" si="271"/>
        <v>3.2007353526772677E-3</v>
      </c>
      <c r="GA76" s="384">
        <f t="shared" si="272"/>
        <v>-2.7657636252621517E-2</v>
      </c>
      <c r="GB76" s="225">
        <f t="shared" si="341"/>
        <v>-2.5314000000000001</v>
      </c>
      <c r="GC76" s="384">
        <f t="shared" si="274"/>
        <v>-5.3838010034776597E-2</v>
      </c>
      <c r="GD76" s="319">
        <f t="shared" si="275"/>
        <v>-3.1584800000000004</v>
      </c>
      <c r="GE76" s="153">
        <f t="shared" si="276"/>
        <v>-4.579513658445937E-2</v>
      </c>
      <c r="GF76" s="153">
        <f t="shared" si="151"/>
        <v>-2.7388733069632853</v>
      </c>
      <c r="GG76" s="153">
        <f t="shared" si="277"/>
        <v>0.30709470355731228</v>
      </c>
      <c r="GH76" s="182">
        <v>13.045</v>
      </c>
      <c r="GI76" s="79">
        <v>0.46300000000000002</v>
      </c>
      <c r="GJ76" s="79">
        <v>-5.0999999999999997E-2</v>
      </c>
      <c r="GK76" s="79">
        <v>0.122</v>
      </c>
      <c r="GL76" s="79">
        <v>0.755</v>
      </c>
      <c r="GM76" s="79">
        <f t="shared" si="342"/>
        <v>0.3899999999999999</v>
      </c>
      <c r="GN76" s="79">
        <v>1.1779999999999999</v>
      </c>
      <c r="GO76" s="79">
        <v>-0.78800000000000003</v>
      </c>
      <c r="GP76" s="79">
        <v>-1.931</v>
      </c>
      <c r="GQ76" s="79">
        <v>0.22500000000000001</v>
      </c>
      <c r="GR76" s="79">
        <f t="shared" si="306"/>
        <v>1.9040000000000001</v>
      </c>
      <c r="GS76" s="79">
        <f t="shared" si="343"/>
        <v>11.141</v>
      </c>
      <c r="GT76" s="23">
        <f t="shared" si="307"/>
        <v>0.1459563050977386</v>
      </c>
      <c r="GU76" s="362">
        <f t="shared" si="259"/>
        <v>20.001000000000001</v>
      </c>
      <c r="GV76" s="153">
        <f t="shared" si="344"/>
        <v>2.3940000000000001</v>
      </c>
      <c r="GW76" s="153">
        <f t="shared" si="308"/>
        <v>17.606999999999999</v>
      </c>
      <c r="GX76" s="153">
        <f t="shared" si="309"/>
        <v>0.53700000000000003</v>
      </c>
      <c r="GY76" s="153">
        <f t="shared" si="310"/>
        <v>0.55899999999999994</v>
      </c>
      <c r="GZ76" s="153">
        <f t="shared" si="226"/>
        <v>0.127</v>
      </c>
      <c r="HA76" s="153">
        <f t="shared" si="227"/>
        <v>0.93599999999999994</v>
      </c>
      <c r="HB76" s="153">
        <f t="shared" si="228"/>
        <v>4.2619999999999996</v>
      </c>
      <c r="HC76" s="153">
        <f t="shared" si="229"/>
        <v>1.2849999999999999</v>
      </c>
      <c r="HD76" s="352">
        <f t="shared" si="230"/>
        <v>1.8820000000000001</v>
      </c>
      <c r="HE76" s="153">
        <f t="shared" si="231"/>
        <v>0.27900000000000003</v>
      </c>
      <c r="HF76" s="153">
        <f t="shared" si="311"/>
        <v>6.6999999999999993</v>
      </c>
      <c r="HG76" s="23">
        <f t="shared" si="345"/>
        <v>0.33498325083745806</v>
      </c>
      <c r="HH76" s="156">
        <f t="shared" si="346"/>
        <v>12.899000000000001</v>
      </c>
      <c r="HI76" s="182">
        <f t="shared" si="312"/>
        <v>-4.5619999999999994</v>
      </c>
      <c r="HJ76" s="79">
        <v>-8.8817841970012523E-16</v>
      </c>
      <c r="HK76" s="79">
        <f t="shared" si="313"/>
        <v>1.6000000000000014E-2</v>
      </c>
      <c r="HL76" s="79">
        <f t="shared" si="314"/>
        <v>-0.48</v>
      </c>
      <c r="HM76" s="79">
        <f t="shared" si="315"/>
        <v>1.2999999999999998E-2</v>
      </c>
      <c r="HN76" s="79">
        <f t="shared" si="316"/>
        <v>-0.32100000000000006</v>
      </c>
      <c r="HO76" s="79">
        <f t="shared" si="317"/>
        <v>-2.8420000000000005</v>
      </c>
      <c r="HP76" s="79">
        <f t="shared" si="318"/>
        <v>-3.2000000000000001E-2</v>
      </c>
      <c r="HQ76" s="79">
        <f t="shared" si="319"/>
        <v>-3.6460000000000008</v>
      </c>
      <c r="HR76" s="79">
        <f t="shared" si="320"/>
        <v>-0.91599999999999859</v>
      </c>
      <c r="HS76" s="23">
        <f t="shared" si="321"/>
        <v>0.79921087242437561</v>
      </c>
      <c r="HT76" s="28">
        <v>2.3940000000000001</v>
      </c>
      <c r="HU76" s="79">
        <v>0.09</v>
      </c>
      <c r="HV76" s="79">
        <v>0.129</v>
      </c>
      <c r="HW76" s="79">
        <v>1.7999999999999999E-2</v>
      </c>
      <c r="HX76" s="79">
        <v>-0.14000000000000001</v>
      </c>
      <c r="HY76" s="79">
        <v>1.03</v>
      </c>
      <c r="HZ76" s="79">
        <v>0.185</v>
      </c>
      <c r="IA76" s="79">
        <v>0.88400000000000001</v>
      </c>
      <c r="IB76" s="79">
        <v>2.1999999999999999E-2</v>
      </c>
      <c r="IC76" s="79">
        <f t="shared" si="322"/>
        <v>1.1490000000000002</v>
      </c>
      <c r="ID76" s="79">
        <f t="shared" si="347"/>
        <v>1.2449999999999999</v>
      </c>
      <c r="IE76" s="23">
        <f t="shared" si="348"/>
        <v>0.47994987468671685</v>
      </c>
      <c r="IF76" s="316">
        <v>-6.9560000000000004</v>
      </c>
      <c r="IG76" s="153">
        <v>-7.3999999999999996E-2</v>
      </c>
      <c r="IH76" s="153">
        <v>-0.61</v>
      </c>
      <c r="II76" s="153">
        <v>-5.0000000000000001E-3</v>
      </c>
      <c r="IJ76" s="153">
        <v>-0.18099999999999999</v>
      </c>
      <c r="IK76" s="153">
        <v>-3.8719999999999999</v>
      </c>
      <c r="IL76" s="153">
        <v>-0.107</v>
      </c>
      <c r="IM76" s="153">
        <v>-3.8130000000000002</v>
      </c>
      <c r="IN76" s="153">
        <v>-5.3999999999999999E-2</v>
      </c>
      <c r="IO76" s="153">
        <f t="shared" si="349"/>
        <v>-4.7960000000000003</v>
      </c>
      <c r="IP76" s="153">
        <f t="shared" si="235"/>
        <v>-2.16</v>
      </c>
      <c r="IQ76" s="258">
        <f t="shared" si="350"/>
        <v>-6.9559999999999995</v>
      </c>
      <c r="IR76" s="5">
        <f t="shared" si="323"/>
        <v>218.09299999999999</v>
      </c>
      <c r="IS76" s="79">
        <f t="shared" si="351"/>
        <v>5.9429999999999836</v>
      </c>
      <c r="IT76" s="79">
        <f t="shared" si="288"/>
        <v>0</v>
      </c>
      <c r="IU76" s="79">
        <f t="shared" si="352"/>
        <v>17.606999999999999</v>
      </c>
      <c r="IV76" s="79">
        <f t="shared" si="324"/>
        <v>2.3940000000000001</v>
      </c>
      <c r="IW76" s="79">
        <v>-6.9560000000000004</v>
      </c>
      <c r="IX76" s="79">
        <f t="shared" si="353"/>
        <v>-7.1020000000000154</v>
      </c>
      <c r="IY76" s="79"/>
      <c r="IZ76" s="79"/>
      <c r="JA76" s="79"/>
      <c r="JB76" s="23">
        <f t="shared" si="162"/>
        <v>6.3325493612078981E-2</v>
      </c>
      <c r="JC76" s="23">
        <f t="shared" si="163"/>
        <v>6.9407665505226467E-3</v>
      </c>
      <c r="JD76" s="23">
        <f t="shared" si="164"/>
        <v>5.6384727061556325E-2</v>
      </c>
      <c r="JE76" s="22">
        <f t="shared" si="325"/>
        <v>5.1123693379790938E-3</v>
      </c>
      <c r="JF76" s="22">
        <f t="shared" si="326"/>
        <v>6.9512195121951227E-4</v>
      </c>
      <c r="JG76" s="22">
        <f t="shared" si="327"/>
        <v>-2.0197444831591173E-3</v>
      </c>
      <c r="JH76" s="5">
        <v>218.09299999999999</v>
      </c>
      <c r="JI76" s="192">
        <v>59.11</v>
      </c>
      <c r="JJ76" s="76">
        <v>2.964</v>
      </c>
      <c r="JK76" s="76">
        <v>6.2069999999999999</v>
      </c>
      <c r="JL76" s="76">
        <v>0.49299999999999999</v>
      </c>
      <c r="JM76" s="76">
        <v>14.877000000000001</v>
      </c>
      <c r="JN76" s="76">
        <f t="shared" si="354"/>
        <v>-2.6550000000000011</v>
      </c>
      <c r="JO76" s="76">
        <v>13.321999999999999</v>
      </c>
      <c r="JP76" s="76">
        <v>-15.977</v>
      </c>
      <c r="JQ76" s="76">
        <v>-23.890999999999998</v>
      </c>
      <c r="JR76" s="76">
        <v>2.0179999999999998</v>
      </c>
      <c r="JS76" s="76">
        <f t="shared" si="287"/>
        <v>23.903999999999996</v>
      </c>
      <c r="JT76" s="76">
        <f t="shared" si="355"/>
        <v>194.18899999999999</v>
      </c>
      <c r="JU76" s="23">
        <f t="shared" si="356"/>
        <v>0.10960461821333099</v>
      </c>
      <c r="JV76" s="23">
        <f t="shared" si="357"/>
        <v>1.3590532479263433E-2</v>
      </c>
      <c r="JW76" s="23">
        <f t="shared" si="358"/>
        <v>2.8460335728336079E-2</v>
      </c>
      <c r="JX76" s="23">
        <f t="shared" si="359"/>
        <v>2.2605035466521164E-3</v>
      </c>
      <c r="JY76" s="23">
        <f t="shared" si="360"/>
        <v>6.821401879014917E-2</v>
      </c>
      <c r="JZ76" s="23">
        <f t="shared" si="361"/>
        <v>-1.2173705712700551E-2</v>
      </c>
      <c r="KA76" s="23">
        <f t="shared" si="362"/>
        <v>9.2529333816307718E-3</v>
      </c>
      <c r="KB76" s="149">
        <v>-18.413</v>
      </c>
      <c r="KC76" s="316">
        <v>56.924999999999997</v>
      </c>
      <c r="KD76" s="316">
        <v>75.337999999999994</v>
      </c>
      <c r="KE76" s="589">
        <f t="shared" si="242"/>
        <v>1.3234606938954765</v>
      </c>
      <c r="KF76" s="1071">
        <v>0</v>
      </c>
      <c r="KG76" s="319">
        <f t="shared" si="243"/>
        <v>-4.0999999999999995E-2</v>
      </c>
      <c r="KH76" s="319">
        <f t="shared" si="244"/>
        <v>-1.6309999999999998</v>
      </c>
      <c r="KI76" s="321">
        <f t="shared" si="245"/>
        <v>3.9E-2</v>
      </c>
      <c r="KJ76" s="319">
        <f t="shared" si="246"/>
        <v>-0.33699999999999997</v>
      </c>
      <c r="KK76" s="319">
        <f t="shared" si="285"/>
        <v>-25.314</v>
      </c>
      <c r="KL76" s="319">
        <f t="shared" si="248"/>
        <v>-0.65599999999999992</v>
      </c>
      <c r="KM76" s="79"/>
      <c r="KN76" s="319"/>
      <c r="KO76" s="319">
        <f t="shared" si="249"/>
        <v>-31.584800000000001</v>
      </c>
      <c r="KP76" s="319">
        <f t="shared" si="250"/>
        <v>-0.55800000000000005</v>
      </c>
      <c r="KQ76" s="153">
        <f t="shared" si="328"/>
        <v>-27.841999999999999</v>
      </c>
      <c r="KR76" s="153">
        <f t="shared" si="329"/>
        <v>9.4289999999999985</v>
      </c>
      <c r="KS76" s="23">
        <f t="shared" si="178"/>
        <v>2.7378048780487799E-3</v>
      </c>
      <c r="KT76" s="23">
        <f t="shared" si="179"/>
        <v>0.41924128593803928</v>
      </c>
      <c r="KU76" s="326">
        <v>236.506</v>
      </c>
      <c r="KV76" s="430">
        <f t="shared" si="252"/>
        <v>59.11</v>
      </c>
      <c r="KW76" s="322">
        <f t="shared" si="181"/>
        <v>3.0049999999999999</v>
      </c>
      <c r="KX76" s="322">
        <f t="shared" si="182"/>
        <v>7.8379999999999992</v>
      </c>
      <c r="KY76" s="322">
        <f t="shared" si="183"/>
        <v>0.45400000000000001</v>
      </c>
      <c r="KZ76" s="322">
        <f t="shared" si="184"/>
        <v>15.214</v>
      </c>
      <c r="LA76" s="322">
        <f t="shared" si="185"/>
        <v>22.658999999999999</v>
      </c>
      <c r="LB76" s="322">
        <f t="shared" si="186"/>
        <v>13.978</v>
      </c>
      <c r="LC76" s="322">
        <f t="shared" si="187"/>
        <v>7.6938000000000031</v>
      </c>
      <c r="LD76" s="322">
        <f t="shared" si="188"/>
        <v>2.5759999999999996</v>
      </c>
      <c r="LE76" s="322">
        <f t="shared" si="189"/>
        <v>51.745999999999995</v>
      </c>
      <c r="LF76" s="322">
        <f t="shared" si="190"/>
        <v>0</v>
      </c>
      <c r="LG76" s="322">
        <f t="shared" si="191"/>
        <v>184.76</v>
      </c>
      <c r="LH76" s="367">
        <f t="shared" si="192"/>
        <v>0.21879360354494176</v>
      </c>
      <c r="LI76" s="248">
        <f t="shared" si="193"/>
        <v>1.2705808732125189E-2</v>
      </c>
      <c r="LJ76" s="248">
        <f t="shared" si="194"/>
        <v>3.3140808267020705E-2</v>
      </c>
      <c r="LK76" s="248">
        <f t="shared" si="195"/>
        <v>1.9196130330731568E-3</v>
      </c>
      <c r="LL76" s="248">
        <f t="shared" si="196"/>
        <v>6.432817772064979E-2</v>
      </c>
      <c r="LM76" s="251">
        <f t="shared" si="197"/>
        <v>9.5807294529525674E-2</v>
      </c>
      <c r="LN76" s="251">
        <f t="shared" si="198"/>
        <v>5.9102094661446218E-2</v>
      </c>
      <c r="LO76" s="251">
        <f t="shared" si="199"/>
        <v>3.2531098576780305E-2</v>
      </c>
      <c r="LP76" s="248">
        <f t="shared" si="200"/>
        <v>1.0891901262547249E-2</v>
      </c>
      <c r="LQ76" s="248">
        <f t="shared" si="201"/>
        <v>6.867189314750291E-2</v>
      </c>
      <c r="LR76" s="23">
        <f t="shared" si="202"/>
        <v>5.3646922183507549E-2</v>
      </c>
      <c r="LS76" s="23">
        <f t="shared" si="203"/>
        <v>1.5024970963995353E-2</v>
      </c>
      <c r="LT76" s="326">
        <v>68.933000000000007</v>
      </c>
      <c r="LU76" s="153">
        <f t="shared" si="363"/>
        <v>0</v>
      </c>
      <c r="LV76" s="153">
        <f t="shared" si="204"/>
        <v>-18.413</v>
      </c>
      <c r="LW76" s="153">
        <f t="shared" si="283"/>
        <v>75.337999999999994</v>
      </c>
      <c r="LX76" s="153">
        <v>12.007999999999999</v>
      </c>
      <c r="LY76" s="23">
        <f>LX76/Liabilities!GT76</f>
        <v>6.6077864905764186E-2</v>
      </c>
      <c r="LZ76" s="23">
        <f t="shared" si="253"/>
        <v>0.22310993849984206</v>
      </c>
      <c r="MA76" s="425">
        <v>129.15899999999999</v>
      </c>
      <c r="MB76" s="153">
        <f t="shared" si="364"/>
        <v>0</v>
      </c>
      <c r="MC76" s="153">
        <v>41.813000000000002</v>
      </c>
      <c r="MD76" s="153">
        <f t="shared" si="365"/>
        <v>12.007999999999999</v>
      </c>
      <c r="ME76" s="153">
        <f t="shared" si="366"/>
        <v>75.337999999999994</v>
      </c>
      <c r="MF76" s="153">
        <v>53.820999999999998</v>
      </c>
      <c r="MG76" s="153">
        <f t="shared" si="208"/>
        <v>56.924999999999997</v>
      </c>
      <c r="MH76" s="326">
        <f t="shared" si="209"/>
        <v>236.506</v>
      </c>
      <c r="MI76" s="1008">
        <f>FoF_RoW!$BH46/1000</f>
        <v>389.54300000000001</v>
      </c>
      <c r="MJ76" s="1008">
        <v>435.68799999999999</v>
      </c>
      <c r="MK76" s="1008">
        <f>FoF_RoW!$AU46/1000</f>
        <v>20.271999999999998</v>
      </c>
      <c r="ML76" s="1008">
        <f t="shared" si="254"/>
        <v>-3.6200000000000045</v>
      </c>
      <c r="MM76" s="425">
        <f t="shared" si="210"/>
        <v>407.95600000000002</v>
      </c>
      <c r="MN76" s="23">
        <f t="shared" si="211"/>
        <v>1.7249287544502043</v>
      </c>
      <c r="MO76" s="153">
        <v>357.92</v>
      </c>
      <c r="MP76" s="425">
        <v>288.98700000000002</v>
      </c>
      <c r="MQ76" s="23">
        <f t="shared" si="367"/>
        <v>1.2219013471117013</v>
      </c>
      <c r="MR76" s="23">
        <f t="shared" si="368"/>
        <v>0.70837786427948113</v>
      </c>
      <c r="MS76" s="153">
        <f t="shared" si="212"/>
        <v>-18.413</v>
      </c>
      <c r="MT76" s="153">
        <v>68.933000000000007</v>
      </c>
      <c r="MU76" s="153">
        <v>129.15899999999999</v>
      </c>
      <c r="MV76" s="153">
        <v>130.56399999999999</v>
      </c>
      <c r="MW76" s="153">
        <v>181.726</v>
      </c>
      <c r="MX76" s="23">
        <f t="shared" si="369"/>
        <v>0.71846626239503419</v>
      </c>
      <c r="MY76" s="425">
        <f t="shared" si="255"/>
        <v>58.938000000000102</v>
      </c>
      <c r="MZ76" s="23">
        <f t="shared" si="213"/>
        <v>1.7113240418118496E-2</v>
      </c>
      <c r="NA76" s="153">
        <v>1214.4780000000001</v>
      </c>
      <c r="NB76" s="153">
        <v>1074.338</v>
      </c>
      <c r="NC76" s="425">
        <f t="shared" si="330"/>
        <v>126.74500000000009</v>
      </c>
      <c r="ND76" s="23">
        <f t="shared" si="331"/>
        <v>3.6801684088269483E-2</v>
      </c>
      <c r="NE76" s="330">
        <f t="shared" si="332"/>
        <v>166.00400000000002</v>
      </c>
      <c r="NF76" s="23">
        <f t="shared" si="333"/>
        <v>4.8200929152148672E-2</v>
      </c>
      <c r="NG76" s="330">
        <f t="shared" si="334"/>
        <v>98.197000000000031</v>
      </c>
      <c r="NH76" s="23">
        <f t="shared" si="335"/>
        <v>2.8512485481997685E-2</v>
      </c>
      <c r="NI76" s="330">
        <v>81.201999999999998</v>
      </c>
      <c r="NJ76" s="425">
        <f t="shared" si="63"/>
        <v>26.882000000000001</v>
      </c>
      <c r="NK76" s="403">
        <f t="shared" si="64"/>
        <v>7.8054587688734037E-3</v>
      </c>
      <c r="NL76" s="153">
        <v>26.882000000000001</v>
      </c>
      <c r="NM76" s="153">
        <v>35.325000000000003</v>
      </c>
      <c r="NN76" s="153">
        <v>8.4429999999999996</v>
      </c>
      <c r="NO76" s="425">
        <f t="shared" si="100"/>
        <v>35.064999999999998</v>
      </c>
      <c r="NP76" s="153">
        <v>115.639</v>
      </c>
      <c r="NQ76" s="153">
        <v>80.573999999999998</v>
      </c>
      <c r="NR76" s="403">
        <f t="shared" si="65"/>
        <v>1.0181475029036003E-2</v>
      </c>
      <c r="NS76" s="403">
        <f t="shared" si="66"/>
        <v>7.8054587688734037E-3</v>
      </c>
      <c r="NT76" s="403">
        <f t="shared" si="67"/>
        <v>2.3760162601625997E-3</v>
      </c>
      <c r="NU76" s="727">
        <f t="shared" si="215"/>
        <v>0.12137224165792923</v>
      </c>
      <c r="NV76" s="688">
        <f t="shared" si="216"/>
        <v>8.5977409328456975E-2</v>
      </c>
      <c r="NW76" s="688">
        <f t="shared" si="217"/>
        <v>0.14830490558379067</v>
      </c>
      <c r="NX76" s="793">
        <f>(ER76-T.A2!B28*T.A1!M28)/MP76</f>
        <v>8.4724295661906285E-2</v>
      </c>
      <c r="NY76" s="688">
        <f>Liabilities!BU76/Liabilities!GY76</f>
        <v>4.9837627523666557E-2</v>
      </c>
      <c r="NZ76" s="688">
        <f>Liabilities!BU76/Liabilities!GT76</f>
        <v>3.5806851011143205E-2</v>
      </c>
      <c r="OA76" s="688">
        <f>Liabilities!BU76/Liabilities!GR76</f>
        <v>5.3001115898705715E-2</v>
      </c>
      <c r="OB76" s="688">
        <f t="shared" si="256"/>
        <v>7.1534614134262681E-2</v>
      </c>
      <c r="OC76" s="688">
        <f t="shared" si="257"/>
        <v>5.017055831731377E-2</v>
      </c>
      <c r="OD76" s="688"/>
      <c r="OE76" s="793">
        <f t="shared" si="218"/>
        <v>9.720411024718352E-2</v>
      </c>
      <c r="OF76" s="793">
        <f>OE76/(1-'Assets(MOFA)'!GU29)</f>
        <v>0.2029532907891507</v>
      </c>
      <c r="OG76" s="793">
        <f>Liabilities!HV76</f>
        <v>2.8530273854847642E-2</v>
      </c>
      <c r="OH76" s="793"/>
      <c r="OI76" s="22">
        <f t="shared" si="336"/>
        <v>3.2569169960474313E-2</v>
      </c>
      <c r="OJ76" s="22">
        <f t="shared" si="337"/>
        <v>8.2070137248135069E-2</v>
      </c>
      <c r="OK76" s="403">
        <f>Liabilities!CT76/LX76</f>
        <v>5.2881412391738845E-2</v>
      </c>
      <c r="OL76" s="403">
        <f>Liabilities!CU76/MF76</f>
        <v>6.6238085505657643E-2</v>
      </c>
      <c r="OM76" s="153"/>
      <c r="OO76" s="186">
        <f t="shared" si="221"/>
        <v>9.3497664555510909E-2</v>
      </c>
      <c r="OP76" s="308">
        <f t="shared" si="370"/>
        <v>0.11845412311265971</v>
      </c>
      <c r="OQ76" s="308">
        <f t="shared" si="371"/>
        <v>1.1075183868004648E-2</v>
      </c>
      <c r="OR76" s="313">
        <f t="shared" si="372"/>
        <v>0</v>
      </c>
      <c r="OS76" s="23">
        <f t="shared" si="373"/>
        <v>0.11126934314005989</v>
      </c>
      <c r="OT76" s="23">
        <f t="shared" si="374"/>
        <v>0.1083331270704512</v>
      </c>
      <c r="OU76" s="23">
        <f t="shared" si="375"/>
        <v>0.16635794449257124</v>
      </c>
      <c r="OV76" s="23">
        <f t="shared" si="376"/>
        <v>6.9104882159492953E-2</v>
      </c>
      <c r="OW76" s="23">
        <f t="shared" si="377"/>
        <v>7.8945080365241241E-2</v>
      </c>
      <c r="OX76" s="23">
        <f t="shared" si="378"/>
        <v>7.0397630678365769E-2</v>
      </c>
      <c r="OY76" s="23">
        <f t="shared" si="379"/>
        <v>0.13944987379698423</v>
      </c>
      <c r="OZ76" s="23">
        <f t="shared" si="380"/>
        <v>8.6159453116864348E-2</v>
      </c>
      <c r="PA76" s="23">
        <f t="shared" si="381"/>
        <v>8.9079147234193135E-2</v>
      </c>
      <c r="PB76" s="23">
        <f t="shared" ref="PB76:PB108" si="382">OZ76-PA76</f>
        <v>-2.919694117328786E-3</v>
      </c>
      <c r="PC76" s="23"/>
      <c r="PD76" s="23"/>
      <c r="PE76" s="23"/>
      <c r="PF76" s="23"/>
      <c r="PG76" s="69"/>
      <c r="PH76" s="23">
        <f>'Assets(MOFA)'!GU29</f>
        <v>0.5210518150791188</v>
      </c>
      <c r="PI76" s="23">
        <f>'Assets(MOFA)'!HM29</f>
        <v>0.35599450155390866</v>
      </c>
      <c r="PJ76" s="11">
        <f t="shared" si="222"/>
        <v>4.7526744806733232E-2</v>
      </c>
      <c r="PL76" s="11">
        <f>'Assets(MOFA)'!GO29/MM76/1000</f>
        <v>2.9201678612399376E-2</v>
      </c>
    </row>
    <row r="77" spans="2:428">
      <c r="B77" s="71">
        <v>1985</v>
      </c>
      <c r="C77" s="43">
        <v>3684.2</v>
      </c>
      <c r="D77" s="5">
        <v>354.5</v>
      </c>
      <c r="E77" s="19">
        <f t="shared" si="68"/>
        <v>9.6221703490581401E-2</v>
      </c>
      <c r="F77" s="72">
        <f t="shared" si="69"/>
        <v>0</v>
      </c>
      <c r="G77" s="76">
        <f t="shared" si="70"/>
        <v>316.39999999999998</v>
      </c>
      <c r="H77" s="23">
        <f t="shared" si="71"/>
        <v>8.5880245372129627E-2</v>
      </c>
      <c r="I77" s="74">
        <v>38.1</v>
      </c>
      <c r="J77" s="19">
        <f t="shared" si="72"/>
        <v>1.0341458118451767E-2</v>
      </c>
      <c r="K77" s="6">
        <f t="shared" si="73"/>
        <v>0.10747531734837801</v>
      </c>
      <c r="L77" s="136">
        <v>46.8</v>
      </c>
      <c r="M77" s="19">
        <f t="shared" si="74"/>
        <v>1.2702893436838392E-2</v>
      </c>
      <c r="N77" s="63">
        <f t="shared" si="75"/>
        <v>0.13201692524682651</v>
      </c>
      <c r="O77" s="5">
        <f t="shared" si="76"/>
        <v>354.5</v>
      </c>
      <c r="P77" s="75">
        <f t="shared" si="77"/>
        <v>0</v>
      </c>
      <c r="Q77" s="271">
        <v>240.1</v>
      </c>
      <c r="R77" s="202">
        <v>48.8</v>
      </c>
      <c r="S77" s="53">
        <f t="shared" si="78"/>
        <v>0.13765867418899858</v>
      </c>
      <c r="T77" s="74">
        <v>16.3</v>
      </c>
      <c r="U77" s="74">
        <v>64.8</v>
      </c>
      <c r="V77" s="207">
        <v>75.2</v>
      </c>
      <c r="W77" s="53">
        <f t="shared" si="79"/>
        <v>0.21212976022566996</v>
      </c>
      <c r="X77" s="75">
        <f t="shared" si="80"/>
        <v>59.699999999999989</v>
      </c>
      <c r="Y77" s="187"/>
      <c r="Z77" s="75"/>
      <c r="AA77" s="75"/>
      <c r="AB77" s="75"/>
      <c r="AC77" s="75">
        <f t="shared" si="103"/>
        <v>6.0727120521928697</v>
      </c>
      <c r="AD77" s="23">
        <f t="shared" si="81"/>
        <v>1.7130358398287363E-2</v>
      </c>
      <c r="AE77" s="76"/>
      <c r="AF77" s="76">
        <v>6.6248967937012093</v>
      </c>
      <c r="AG77" s="76"/>
      <c r="AH77" s="97">
        <v>99.4</v>
      </c>
      <c r="AI77" s="22">
        <f t="shared" si="82"/>
        <v>2.6980077085934535E-2</v>
      </c>
      <c r="AJ77" s="22">
        <f t="shared" si="83"/>
        <v>2.214863471038489E-2</v>
      </c>
      <c r="AK77" s="99">
        <f t="shared" si="84"/>
        <v>0.10000000000000853</v>
      </c>
      <c r="AL77" s="71">
        <v>58.399999999999991</v>
      </c>
      <c r="AM77" s="72">
        <f>(0.25*Fedtax!C58+0.75*Fedtax!C57)/1000</f>
        <v>61.783999999999999</v>
      </c>
      <c r="AN77" s="71">
        <v>20.2</v>
      </c>
      <c r="AO77" s="255">
        <v>2.9</v>
      </c>
      <c r="AP77" s="71">
        <v>17.8</v>
      </c>
      <c r="AQ77" s="6">
        <f t="shared" si="85"/>
        <v>6.9241626404646872E-2</v>
      </c>
      <c r="AR77" s="207">
        <v>26.7</v>
      </c>
      <c r="AS77" s="714">
        <v>24.263000000000002</v>
      </c>
      <c r="AT77" s="210">
        <f>0.99+10.137</f>
        <v>11.127000000000001</v>
      </c>
      <c r="AU77" s="205">
        <f t="shared" si="286"/>
        <v>0.45859951366277873</v>
      </c>
      <c r="AV77" s="774"/>
      <c r="AW77" s="774"/>
      <c r="AX77" s="774"/>
      <c r="AY77" s="520"/>
      <c r="AZ77" s="786"/>
      <c r="BA77" s="785"/>
      <c r="BB77" s="638"/>
      <c r="BC77" s="209"/>
      <c r="BD77" s="707">
        <f>'Assets(MOFA)'!FJ30/1000</f>
        <v>33.104999999999997</v>
      </c>
      <c r="BE77" s="768">
        <f t="shared" si="105"/>
        <v>0</v>
      </c>
      <c r="BF77" s="234">
        <v>0.46</v>
      </c>
      <c r="BG77" s="437"/>
      <c r="BH77" s="140">
        <f t="shared" si="106"/>
        <v>0.22657826462957625</v>
      </c>
      <c r="BI77" s="248">
        <f t="shared" si="57"/>
        <v>0.22657826462957625</v>
      </c>
      <c r="BJ77" s="23">
        <f t="shared" si="107"/>
        <v>0.18644870883676856</v>
      </c>
      <c r="BK77" s="140">
        <f t="shared" si="108"/>
        <v>0.2821199143468951</v>
      </c>
      <c r="BL77" s="140">
        <f t="shared" si="109"/>
        <v>0.29732757759619977</v>
      </c>
      <c r="BM77" s="248">
        <f t="shared" si="110"/>
        <v>0.28678142673032747</v>
      </c>
      <c r="BN77" s="23">
        <f t="shared" si="111"/>
        <v>0.33985839233652648</v>
      </c>
      <c r="BO77" s="23">
        <f t="shared" si="112"/>
        <v>0.28245067497403953</v>
      </c>
      <c r="BP77" s="149">
        <f t="shared" si="86"/>
        <v>354.5</v>
      </c>
      <c r="BQ77" s="99">
        <f t="shared" si="87"/>
        <v>0.10000000000002274</v>
      </c>
      <c r="BR77" s="153">
        <f t="shared" si="88"/>
        <v>99.4</v>
      </c>
      <c r="BS77" s="79">
        <v>97.5</v>
      </c>
      <c r="BT77" s="79">
        <v>157.5</v>
      </c>
      <c r="BU77" s="23">
        <f t="shared" si="223"/>
        <v>0.44428772919605075</v>
      </c>
      <c r="BV77" s="71">
        <v>131.30000000000001</v>
      </c>
      <c r="BW77" s="71">
        <f t="shared" si="89"/>
        <v>26.199999999999989</v>
      </c>
      <c r="BX77" s="23">
        <f t="shared" si="90"/>
        <v>7.3906911142454124E-2</v>
      </c>
      <c r="BY77" s="23">
        <f t="shared" si="289"/>
        <v>1.2434414668547248E-2</v>
      </c>
      <c r="BZ77" s="23">
        <f t="shared" si="290"/>
        <v>0.11164015803869923</v>
      </c>
      <c r="CA77" s="23">
        <f t="shared" si="291"/>
        <v>0.10026125867983729</v>
      </c>
      <c r="CB77" s="23">
        <f t="shared" si="262"/>
        <v>0.68766404199475029</v>
      </c>
      <c r="CC77" s="169">
        <f t="shared" si="91"/>
        <v>46.8</v>
      </c>
      <c r="CD77" s="174"/>
      <c r="CF77" s="76">
        <f t="shared" si="58"/>
        <v>39.483999999999995</v>
      </c>
      <c r="CH77" s="23">
        <f t="shared" si="59"/>
        <v>0.84367521367521359</v>
      </c>
      <c r="CI77" s="182">
        <v>35.409999999999997</v>
      </c>
      <c r="CJ77" s="79">
        <f t="shared" si="292"/>
        <v>0</v>
      </c>
      <c r="CK77" s="79">
        <f t="shared" si="60"/>
        <v>39.483999999999995</v>
      </c>
      <c r="CL77" s="159">
        <v>19.78</v>
      </c>
      <c r="CM77" s="159">
        <v>19.704999999999998</v>
      </c>
      <c r="CN77" s="159">
        <v>25.8</v>
      </c>
      <c r="CO77" s="159">
        <f t="shared" si="338"/>
        <v>6.0950000000000024</v>
      </c>
      <c r="CP77" s="79">
        <v>-4.0739999999999998</v>
      </c>
      <c r="CQ77" s="79">
        <v>1.706</v>
      </c>
      <c r="CR77" s="79">
        <v>5.78</v>
      </c>
      <c r="CS77" s="23">
        <f t="shared" si="293"/>
        <v>0.49906291155911259</v>
      </c>
      <c r="CT77" s="23">
        <f t="shared" si="294"/>
        <v>1.6304654442877292E-2</v>
      </c>
      <c r="CU77" s="73">
        <v>5.5389999999999997</v>
      </c>
      <c r="CV77" s="378">
        <f t="shared" si="295"/>
        <v>2.3237082003112818E-2</v>
      </c>
      <c r="CW77" s="378">
        <f t="shared" si="296"/>
        <v>0.15642473877435753</v>
      </c>
      <c r="CX77" s="79">
        <f t="shared" si="297"/>
        <v>29.870999999999995</v>
      </c>
      <c r="CY77" s="79">
        <f t="shared" si="298"/>
        <v>1.0929999999999964</v>
      </c>
      <c r="CZ77" s="293">
        <f t="shared" si="299"/>
        <v>35.409999999999997</v>
      </c>
      <c r="DA77" s="136"/>
      <c r="DB77" s="79"/>
      <c r="DC77" s="79"/>
      <c r="DD77" s="79"/>
      <c r="DE77" s="79"/>
      <c r="DF77" s="79"/>
      <c r="DG77" s="79"/>
      <c r="DH77" s="79"/>
      <c r="DI77" s="182">
        <v>28.777999999999999</v>
      </c>
      <c r="DJ77" s="79">
        <v>0.70799999999999996</v>
      </c>
      <c r="DK77" s="79">
        <v>1.514</v>
      </c>
      <c r="DL77" s="79">
        <v>7.3999999999999996E-2</v>
      </c>
      <c r="DM77" s="79">
        <v>1.4790000000000001</v>
      </c>
      <c r="DN77" s="79">
        <v>0.34699999999999998</v>
      </c>
      <c r="DO77" s="79">
        <v>1.3109999999999999</v>
      </c>
      <c r="DP77" s="79">
        <v>-3.1339999999999999</v>
      </c>
      <c r="DQ77" s="79">
        <v>0.40200000000000002</v>
      </c>
      <c r="DR77" s="79">
        <f t="shared" si="113"/>
        <v>4.524</v>
      </c>
      <c r="DS77" s="79">
        <f t="shared" si="114"/>
        <v>24.253999999999998</v>
      </c>
      <c r="DT77" s="79">
        <v>0.40600000000000003</v>
      </c>
      <c r="DU77" s="23">
        <f t="shared" si="115"/>
        <v>1.6739506885462194E-2</v>
      </c>
      <c r="DV77" s="23">
        <f t="shared" si="116"/>
        <v>2.4602126624504828E-2</v>
      </c>
      <c r="DW77" s="23">
        <f t="shared" si="117"/>
        <v>5.2609632358051293E-2</v>
      </c>
      <c r="DX77" s="602">
        <f t="shared" si="118"/>
        <v>2.5714087149906178E-3</v>
      </c>
      <c r="DY77" s="23">
        <f t="shared" si="119"/>
        <v>5.1393425533393572E-2</v>
      </c>
      <c r="DZ77" s="23">
        <f t="shared" si="120"/>
        <v>1.2057821947320869E-2</v>
      </c>
      <c r="EA77" s="23">
        <f t="shared" si="121"/>
        <v>4.5555632775036485E-2</v>
      </c>
      <c r="EB77" s="23">
        <f t="shared" si="122"/>
        <v>-0.10890263395649455</v>
      </c>
      <c r="EC77" s="23">
        <f t="shared" si="123"/>
        <v>1.3969004100354438E-2</v>
      </c>
      <c r="ED77" s="23">
        <f t="shared" si="124"/>
        <v>0.15720341927861564</v>
      </c>
      <c r="EE77" s="153">
        <v>13.41</v>
      </c>
      <c r="EF77" s="23">
        <f t="shared" si="300"/>
        <v>0.46598095767600251</v>
      </c>
      <c r="EG77" s="182">
        <v>14.166</v>
      </c>
      <c r="EH77" s="79">
        <v>0.58899999999999997</v>
      </c>
      <c r="EI77" s="79">
        <v>0.749</v>
      </c>
      <c r="EJ77" s="79">
        <v>1.0999999999999999E-2</v>
      </c>
      <c r="EK77" s="79">
        <v>0.95699999999999996</v>
      </c>
      <c r="EL77" s="79">
        <v>1.9490000000000001</v>
      </c>
      <c r="EM77" s="79">
        <v>0.153</v>
      </c>
      <c r="EN77" s="28">
        <f t="shared" si="301"/>
        <v>4.4079999999999995</v>
      </c>
      <c r="EO77" s="23">
        <f t="shared" si="302"/>
        <v>0.63778039396294361</v>
      </c>
      <c r="EP77" s="79">
        <f t="shared" si="303"/>
        <v>9.7580000000000009</v>
      </c>
      <c r="EQ77" s="23">
        <f t="shared" si="304"/>
        <v>0.31116758435691089</v>
      </c>
      <c r="ER77" s="182">
        <f t="shared" si="268"/>
        <v>32.851999999999997</v>
      </c>
      <c r="ES77" s="185"/>
      <c r="ET77" s="136">
        <f>'Assets(MOFA)'!W30/1000</f>
        <v>62.680999999999997</v>
      </c>
      <c r="EU77" s="136">
        <f t="shared" si="339"/>
        <v>29.576000000000001</v>
      </c>
      <c r="EV77" s="589">
        <f t="shared" si="340"/>
        <v>0.90028004383294791</v>
      </c>
      <c r="EW77" s="153">
        <f t="shared" si="125"/>
        <v>0.70980679007311964</v>
      </c>
      <c r="EX77" s="153">
        <f t="shared" si="126"/>
        <v>1.6477810215009923</v>
      </c>
      <c r="EY77" s="153">
        <f t="shared" si="127"/>
        <v>6.9522302862268612E-2</v>
      </c>
      <c r="EZ77" s="153">
        <f t="shared" si="128"/>
        <v>1.5491505884911252</v>
      </c>
      <c r="FA77" s="153">
        <f t="shared" si="129"/>
        <v>2.4706000000000001</v>
      </c>
      <c r="FB77" s="153">
        <f t="shared" si="130"/>
        <v>1.3597833319742314</v>
      </c>
      <c r="FC77" s="153">
        <f t="shared" si="131"/>
        <v>-0.38051999999999975</v>
      </c>
      <c r="FD77" s="153">
        <f t="shared" si="132"/>
        <v>0.46460920383810378</v>
      </c>
      <c r="FE77" s="153">
        <f t="shared" si="133"/>
        <v>6.9114699067656096</v>
      </c>
      <c r="FF77" s="153">
        <f t="shared" si="134"/>
        <v>24.039349443175325</v>
      </c>
      <c r="FG77" s="23">
        <f t="shared" si="135"/>
        <v>2.1606197189611584E-2</v>
      </c>
      <c r="FH77" s="23">
        <f t="shared" si="136"/>
        <v>5.0157707947795949E-2</v>
      </c>
      <c r="FI77" s="23">
        <f t="shared" si="137"/>
        <v>2.1162274096636008E-3</v>
      </c>
      <c r="FJ77" s="23">
        <f t="shared" si="138"/>
        <v>4.7155442240689315E-2</v>
      </c>
      <c r="FK77" s="23">
        <f t="shared" si="139"/>
        <v>7.5203944965298933E-2</v>
      </c>
      <c r="FL77" s="23">
        <f t="shared" si="140"/>
        <v>4.1391188724407391E-2</v>
      </c>
      <c r="FM77" s="23">
        <f t="shared" si="141"/>
        <v>-1.1582856447096061E-2</v>
      </c>
      <c r="FN77" s="23">
        <f t="shared" si="142"/>
        <v>1.414249372452526E-2</v>
      </c>
      <c r="FO77" s="23">
        <f t="shared" si="92"/>
        <v>0.21038201347758467</v>
      </c>
      <c r="FP77" s="23">
        <f t="shared" si="93"/>
        <v>0.78961798652241533</v>
      </c>
      <c r="FQ77" s="23">
        <f t="shared" si="94"/>
        <v>2.7773986546547145E-2</v>
      </c>
      <c r="FR77" s="23">
        <f t="shared" si="95"/>
        <v>0.10424293870027937</v>
      </c>
      <c r="FS77" s="23">
        <f t="shared" si="96"/>
        <v>2.6724602982332564E-3</v>
      </c>
      <c r="FT77" s="393">
        <f t="shared" si="97"/>
        <v>1.7044427818575321E-3</v>
      </c>
      <c r="FU77" s="393">
        <f t="shared" si="98"/>
        <v>9.6801751637572435E-4</v>
      </c>
      <c r="FV77" s="23">
        <f t="shared" si="99"/>
        <v>1.0030433138605134E-2</v>
      </c>
      <c r="FW77" s="326">
        <f t="shared" si="305"/>
        <v>-4.0739999999999998</v>
      </c>
      <c r="FX77" s="384">
        <f t="shared" si="269"/>
        <v>-1.8067900731196821E-3</v>
      </c>
      <c r="FY77" s="384">
        <f t="shared" si="270"/>
        <v>-0.13378102150099214</v>
      </c>
      <c r="FZ77" s="384">
        <f t="shared" si="271"/>
        <v>4.4776971377313872E-3</v>
      </c>
      <c r="GA77" s="384">
        <f t="shared" si="272"/>
        <v>-7.0150588491125071E-2</v>
      </c>
      <c r="GB77" s="225">
        <f t="shared" si="341"/>
        <v>-2.1236000000000002</v>
      </c>
      <c r="GC77" s="384">
        <f t="shared" si="274"/>
        <v>-4.8783331974231417E-2</v>
      </c>
      <c r="GD77" s="319">
        <f t="shared" si="275"/>
        <v>-2.7534800000000001</v>
      </c>
      <c r="GE77" s="153">
        <f t="shared" si="276"/>
        <v>-6.2609203838103783E-2</v>
      </c>
      <c r="GF77" s="153">
        <f t="shared" si="151"/>
        <v>-2.3874699067656096</v>
      </c>
      <c r="GG77" s="153">
        <f t="shared" si="277"/>
        <v>0.21465055682467166</v>
      </c>
      <c r="GH77" s="182">
        <v>13.388</v>
      </c>
      <c r="GI77" s="79">
        <v>0.64500000000000002</v>
      </c>
      <c r="GJ77" s="79">
        <v>0.64100000000000001</v>
      </c>
      <c r="GK77" s="79">
        <v>5.2999999999999999E-2</v>
      </c>
      <c r="GL77" s="79">
        <v>0.308</v>
      </c>
      <c r="GM77" s="79">
        <f t="shared" si="342"/>
        <v>4.6850000000000005</v>
      </c>
      <c r="GN77" s="79">
        <v>0.32500000000000001</v>
      </c>
      <c r="GO77" s="79">
        <v>4.3600000000000003</v>
      </c>
      <c r="GP77" s="79">
        <v>3.8820000000000001</v>
      </c>
      <c r="GQ77" s="79">
        <v>-0.03</v>
      </c>
      <c r="GR77" s="79">
        <f t="shared" si="306"/>
        <v>6.3019999999999996</v>
      </c>
      <c r="GS77" s="79">
        <f t="shared" si="343"/>
        <v>7.0860000000000003</v>
      </c>
      <c r="GT77" s="23">
        <f t="shared" si="307"/>
        <v>0.47072004780400356</v>
      </c>
      <c r="GU77" s="362">
        <f t="shared" si="259"/>
        <v>12.493</v>
      </c>
      <c r="GV77" s="153">
        <f t="shared" si="344"/>
        <v>-1.6719999999999999</v>
      </c>
      <c r="GW77" s="153">
        <f t="shared" si="308"/>
        <v>14.166</v>
      </c>
      <c r="GX77" s="153">
        <f t="shared" si="309"/>
        <v>0.627</v>
      </c>
      <c r="GY77" s="153">
        <f t="shared" si="310"/>
        <v>0.71299999999999997</v>
      </c>
      <c r="GZ77" s="153">
        <f t="shared" si="226"/>
        <v>3.5000000000000003E-2</v>
      </c>
      <c r="HA77" s="153">
        <f t="shared" si="227"/>
        <v>0.8640000000000001</v>
      </c>
      <c r="HB77" s="153">
        <f t="shared" si="228"/>
        <v>0.60700000000000021</v>
      </c>
      <c r="HC77" s="153">
        <f t="shared" si="229"/>
        <v>0.29000000000000004</v>
      </c>
      <c r="HD77" s="352">
        <f t="shared" si="230"/>
        <v>-0.16799999999999971</v>
      </c>
      <c r="HE77" s="153">
        <f t="shared" si="231"/>
        <v>0.20899999999999999</v>
      </c>
      <c r="HF77" s="153">
        <f t="shared" si="311"/>
        <v>3.0549999999999997</v>
      </c>
      <c r="HG77" s="23">
        <f t="shared" si="345"/>
        <v>0.24453694068678458</v>
      </c>
      <c r="HH77" s="156">
        <f t="shared" si="346"/>
        <v>19.407999999999987</v>
      </c>
      <c r="HI77" s="182">
        <f t="shared" si="312"/>
        <v>-0.77800000000000047</v>
      </c>
      <c r="HJ77" s="79">
        <v>1.000000000000445E-3</v>
      </c>
      <c r="HK77" s="79">
        <f t="shared" si="313"/>
        <v>5.600000000000005E-2</v>
      </c>
      <c r="HL77" s="79">
        <f t="shared" si="314"/>
        <v>-0.10799999999999998</v>
      </c>
      <c r="HM77" s="79">
        <f t="shared" si="315"/>
        <v>4.1999999999999996E-2</v>
      </c>
      <c r="HN77" s="79">
        <f t="shared" si="316"/>
        <v>-0.64900000000000002</v>
      </c>
      <c r="HO77" s="79">
        <f t="shared" si="317"/>
        <v>2.7360000000000007</v>
      </c>
      <c r="HP77" s="79">
        <f t="shared" si="318"/>
        <v>-0.183</v>
      </c>
      <c r="HQ77" s="79">
        <f t="shared" si="319"/>
        <v>1.894000000000001</v>
      </c>
      <c r="HR77" s="79">
        <f t="shared" si="320"/>
        <v>-2.6720000000000015</v>
      </c>
      <c r="HS77" s="23">
        <f t="shared" si="321"/>
        <v>-2.434447300771208</v>
      </c>
      <c r="HT77" s="28">
        <v>-1.6719999999999999</v>
      </c>
      <c r="HU77" s="79">
        <v>3.9E-2</v>
      </c>
      <c r="HV77" s="79">
        <v>-3.5000000000000003E-2</v>
      </c>
      <c r="HW77" s="79">
        <v>2.4E-2</v>
      </c>
      <c r="HX77" s="79">
        <v>-9.2999999999999999E-2</v>
      </c>
      <c r="HY77" s="79">
        <v>-1.3420000000000001</v>
      </c>
      <c r="HZ77" s="79">
        <v>-9.5000000000000001E-2</v>
      </c>
      <c r="IA77" s="79">
        <v>-1.0669999999999999</v>
      </c>
      <c r="IB77" s="79">
        <v>5.6000000000000001E-2</v>
      </c>
      <c r="IC77" s="79">
        <f t="shared" si="322"/>
        <v>-1.351</v>
      </c>
      <c r="ID77" s="79">
        <f t="shared" si="347"/>
        <v>-0.32099999999999995</v>
      </c>
      <c r="IE77" s="23">
        <f t="shared" si="348"/>
        <v>0.80801435406698563</v>
      </c>
      <c r="IF77" s="316">
        <v>0.89500000000000002</v>
      </c>
      <c r="IG77" s="153">
        <v>1.7999999999999999E-2</v>
      </c>
      <c r="IH77" s="153">
        <v>-7.1999999999999995E-2</v>
      </c>
      <c r="II77" s="153">
        <v>1.7999999999999999E-2</v>
      </c>
      <c r="IJ77" s="153">
        <v>-0.55600000000000005</v>
      </c>
      <c r="IK77" s="153">
        <v>4.0780000000000003</v>
      </c>
      <c r="IL77" s="153">
        <v>3.5000000000000003E-2</v>
      </c>
      <c r="IM77" s="153">
        <v>4.05</v>
      </c>
      <c r="IN77" s="153">
        <v>-0.23899999999999999</v>
      </c>
      <c r="IO77" s="153">
        <f t="shared" si="349"/>
        <v>3.2470000000000003</v>
      </c>
      <c r="IP77" s="153">
        <f t="shared" si="235"/>
        <v>-2.3520000000000003</v>
      </c>
      <c r="IQ77" s="258">
        <f t="shared" si="350"/>
        <v>0.86799999999999855</v>
      </c>
      <c r="IR77" s="5">
        <f t="shared" si="323"/>
        <v>238.369</v>
      </c>
      <c r="IS77" s="79">
        <f t="shared" si="351"/>
        <v>20.27600000000001</v>
      </c>
      <c r="IT77" s="79">
        <f t="shared" si="288"/>
        <v>0</v>
      </c>
      <c r="IU77" s="79">
        <f t="shared" si="352"/>
        <v>14.166</v>
      </c>
      <c r="IV77" s="79">
        <f t="shared" si="324"/>
        <v>-1.6719999999999999</v>
      </c>
      <c r="IW77" s="79">
        <v>0.89500000000000002</v>
      </c>
      <c r="IX77" s="79">
        <f t="shared" si="353"/>
        <v>6.8870000000000093</v>
      </c>
      <c r="IY77" s="79"/>
      <c r="IZ77" s="79"/>
      <c r="JA77" s="79"/>
      <c r="JB77" s="23">
        <f t="shared" si="162"/>
        <v>6.4700342000977143E-2</v>
      </c>
      <c r="JC77" s="23">
        <f t="shared" si="163"/>
        <v>8.7416535475815654E-3</v>
      </c>
      <c r="JD77" s="23">
        <f t="shared" si="164"/>
        <v>5.5958688453395584E-2</v>
      </c>
      <c r="JE77" s="22">
        <f t="shared" si="325"/>
        <v>3.8450681287660825E-3</v>
      </c>
      <c r="JF77" s="22">
        <f t="shared" si="326"/>
        <v>-4.5382986808533739E-4</v>
      </c>
      <c r="JG77" s="22">
        <f t="shared" si="327"/>
        <v>2.4292926551218721E-4</v>
      </c>
      <c r="JH77" s="5">
        <v>238.369</v>
      </c>
      <c r="JI77" s="192">
        <v>58.723999999999997</v>
      </c>
      <c r="JJ77" s="76">
        <v>3.762</v>
      </c>
      <c r="JK77" s="76">
        <v>7.5519999999999996</v>
      </c>
      <c r="JL77" s="76">
        <v>0.79500000000000004</v>
      </c>
      <c r="JM77" s="76">
        <v>15.888</v>
      </c>
      <c r="JN77" s="76">
        <f t="shared" si="354"/>
        <v>2.2010000000000005</v>
      </c>
      <c r="JO77" s="76">
        <v>13.343</v>
      </c>
      <c r="JP77" s="76">
        <v>-11.141999999999999</v>
      </c>
      <c r="JQ77" s="76">
        <v>-19.878</v>
      </c>
      <c r="JR77" s="76">
        <v>2.008</v>
      </c>
      <c r="JS77" s="76">
        <f t="shared" si="287"/>
        <v>32.206000000000003</v>
      </c>
      <c r="JT77" s="76">
        <f t="shared" si="355"/>
        <v>206.16300000000001</v>
      </c>
      <c r="JU77" s="23">
        <f t="shared" si="356"/>
        <v>0.13510985069367243</v>
      </c>
      <c r="JV77" s="23">
        <f t="shared" si="357"/>
        <v>1.5782253564851134E-2</v>
      </c>
      <c r="JW77" s="23">
        <f t="shared" si="358"/>
        <v>3.1681972068515619E-2</v>
      </c>
      <c r="JX77" s="23">
        <f t="shared" si="359"/>
        <v>3.3351652270219704E-3</v>
      </c>
      <c r="JY77" s="23">
        <f t="shared" si="360"/>
        <v>6.6652962423805112E-2</v>
      </c>
      <c r="JZ77" s="23">
        <f t="shared" si="361"/>
        <v>9.2335832260067394E-3</v>
      </c>
      <c r="KA77" s="23">
        <f t="shared" si="362"/>
        <v>8.4239141834718447E-3</v>
      </c>
      <c r="KB77" s="149">
        <v>-17.545000000000002</v>
      </c>
      <c r="KC77" s="316">
        <v>56.031999999999996</v>
      </c>
      <c r="KD77" s="316">
        <v>73.578000000000003</v>
      </c>
      <c r="KE77" s="589">
        <f t="shared" si="242"/>
        <v>1.3131424900057111</v>
      </c>
      <c r="KF77" s="1071">
        <v>0</v>
      </c>
      <c r="KG77" s="319">
        <f t="shared" si="243"/>
        <v>-2.2999999999999996E-2</v>
      </c>
      <c r="KH77" s="319">
        <f t="shared" si="244"/>
        <v>-1.7029999999999998</v>
      </c>
      <c r="KI77" s="321">
        <f t="shared" si="245"/>
        <v>5.6999999999999995E-2</v>
      </c>
      <c r="KJ77" s="319">
        <f t="shared" si="246"/>
        <v>-0.89300000000000002</v>
      </c>
      <c r="KK77" s="319">
        <f t="shared" si="285"/>
        <v>-21.236000000000001</v>
      </c>
      <c r="KL77" s="319">
        <f t="shared" si="248"/>
        <v>-0.62099999999999989</v>
      </c>
      <c r="KM77" s="79"/>
      <c r="KN77" s="319"/>
      <c r="KO77" s="319">
        <f t="shared" si="249"/>
        <v>-27.534800000000001</v>
      </c>
      <c r="KP77" s="319">
        <f t="shared" si="250"/>
        <v>-0.79700000000000004</v>
      </c>
      <c r="KQ77" s="153">
        <f t="shared" si="328"/>
        <v>-24.595000000000002</v>
      </c>
      <c r="KR77" s="153">
        <f t="shared" si="329"/>
        <v>7.0500000000000007</v>
      </c>
      <c r="KS77" s="23">
        <f t="shared" si="178"/>
        <v>1.9135768959339886E-3</v>
      </c>
      <c r="KT77" s="23">
        <f t="shared" si="179"/>
        <v>0.37422599146484004</v>
      </c>
      <c r="KU77" s="326">
        <v>255.91399999999999</v>
      </c>
      <c r="KV77" s="430">
        <f t="shared" si="252"/>
        <v>58.723999999999997</v>
      </c>
      <c r="KW77" s="322">
        <f t="shared" si="181"/>
        <v>3.7850000000000001</v>
      </c>
      <c r="KX77" s="322">
        <f t="shared" si="182"/>
        <v>9.254999999999999</v>
      </c>
      <c r="KY77" s="322">
        <f t="shared" si="183"/>
        <v>0.73799999999999999</v>
      </c>
      <c r="KZ77" s="322">
        <f t="shared" si="184"/>
        <v>16.780999999999999</v>
      </c>
      <c r="LA77" s="322">
        <f t="shared" si="185"/>
        <v>23.437000000000001</v>
      </c>
      <c r="LB77" s="322">
        <f t="shared" si="186"/>
        <v>13.964</v>
      </c>
      <c r="LC77" s="322">
        <f t="shared" si="187"/>
        <v>7.6568000000000005</v>
      </c>
      <c r="LD77" s="322">
        <f t="shared" si="188"/>
        <v>2.8050000000000002</v>
      </c>
      <c r="LE77" s="322">
        <f t="shared" si="189"/>
        <v>56.801000000000002</v>
      </c>
      <c r="LF77" s="322">
        <f t="shared" si="190"/>
        <v>0</v>
      </c>
      <c r="LG77" s="322">
        <f t="shared" si="191"/>
        <v>199.113</v>
      </c>
      <c r="LH77" s="367">
        <f t="shared" si="192"/>
        <v>0.22195346874340602</v>
      </c>
      <c r="LI77" s="248">
        <f t="shared" si="193"/>
        <v>1.4790124807552539E-2</v>
      </c>
      <c r="LJ77" s="248">
        <f t="shared" si="194"/>
        <v>3.6164492759286321E-2</v>
      </c>
      <c r="LK77" s="248">
        <f t="shared" si="195"/>
        <v>2.8837812702704815E-3</v>
      </c>
      <c r="LL77" s="248">
        <f t="shared" si="196"/>
        <v>6.5572809615730282E-2</v>
      </c>
      <c r="LM77" s="251">
        <f t="shared" si="197"/>
        <v>9.1581546925920437E-2</v>
      </c>
      <c r="LN77" s="251">
        <f t="shared" si="198"/>
        <v>5.4565205498722229E-2</v>
      </c>
      <c r="LO77" s="251">
        <f t="shared" si="199"/>
        <v>2.9919426057191091E-2</v>
      </c>
      <c r="LP77" s="248">
        <f t="shared" si="200"/>
        <v>1.0960713364645937E-2</v>
      </c>
      <c r="LQ77" s="248">
        <f t="shared" si="201"/>
        <v>6.9462569893056839E-2</v>
      </c>
      <c r="LR77" s="23">
        <f t="shared" si="202"/>
        <v>5.4045111557461598E-2</v>
      </c>
      <c r="LS77" s="23">
        <f t="shared" si="203"/>
        <v>1.5417458335595246E-2</v>
      </c>
      <c r="LT77" s="326">
        <v>71.796000000000006</v>
      </c>
      <c r="LU77" s="153">
        <f t="shared" si="363"/>
        <v>-9.9999999999411671E-4</v>
      </c>
      <c r="LV77" s="153">
        <f t="shared" si="204"/>
        <v>-17.545000000000002</v>
      </c>
      <c r="LW77" s="153">
        <f t="shared" si="283"/>
        <v>73.578000000000003</v>
      </c>
      <c r="LX77" s="153">
        <v>15.763999999999999</v>
      </c>
      <c r="LY77" s="23">
        <f>LX77/Liabilities!GT77</f>
        <v>7.8731820361195456E-2</v>
      </c>
      <c r="LZ77" s="23">
        <f t="shared" si="253"/>
        <v>0.2511670888899511</v>
      </c>
      <c r="MA77" s="425">
        <v>136.34100000000001</v>
      </c>
      <c r="MB77" s="153">
        <f t="shared" si="364"/>
        <v>0</v>
      </c>
      <c r="MC77" s="153">
        <v>46.999000000000002</v>
      </c>
      <c r="MD77" s="153">
        <f t="shared" si="365"/>
        <v>15.763999999999999</v>
      </c>
      <c r="ME77" s="153">
        <f t="shared" si="366"/>
        <v>73.578000000000003</v>
      </c>
      <c r="MF77" s="153">
        <v>62.762999999999998</v>
      </c>
      <c r="MG77" s="153">
        <f t="shared" si="208"/>
        <v>56.031999999999996</v>
      </c>
      <c r="MH77" s="326">
        <f t="shared" si="209"/>
        <v>255.91399999999999</v>
      </c>
      <c r="MI77" s="1008">
        <f>FoF_RoW!$BH47/1000</f>
        <v>407.815</v>
      </c>
      <c r="MJ77" s="1008">
        <v>460.37700000000001</v>
      </c>
      <c r="MK77" s="1008">
        <f>FoF_RoW!$AU47/1000</f>
        <v>14.817</v>
      </c>
      <c r="ML77" s="1008">
        <f t="shared" si="254"/>
        <v>18.271999999999991</v>
      </c>
      <c r="MM77" s="425">
        <f t="shared" si="210"/>
        <v>425.36</v>
      </c>
      <c r="MN77" s="23">
        <f t="shared" si="211"/>
        <v>1.662120868729339</v>
      </c>
      <c r="MO77" s="153">
        <v>475.69299999999998</v>
      </c>
      <c r="MP77" s="425">
        <v>403.89699999999999</v>
      </c>
      <c r="MQ77" s="23">
        <f t="shared" si="367"/>
        <v>1.5782528505669875</v>
      </c>
      <c r="MR77" s="23">
        <f t="shared" si="368"/>
        <v>0.949541564792176</v>
      </c>
      <c r="MS77" s="153">
        <f t="shared" si="212"/>
        <v>-17.545000000000002</v>
      </c>
      <c r="MT77" s="153">
        <v>71.796000000000006</v>
      </c>
      <c r="MU77" s="153">
        <v>136.34100000000001</v>
      </c>
      <c r="MV77" s="153">
        <v>172.99700000000001</v>
      </c>
      <c r="MW77" s="153">
        <v>200.22499999999999</v>
      </c>
      <c r="MX77" s="23">
        <f t="shared" si="369"/>
        <v>0.86401298539143478</v>
      </c>
      <c r="MY77" s="425">
        <f t="shared" si="255"/>
        <v>18.447000000000173</v>
      </c>
      <c r="MZ77" s="23">
        <f t="shared" si="213"/>
        <v>5.0070571630205134E-3</v>
      </c>
      <c r="NA77" s="153">
        <v>1392.0530000000001</v>
      </c>
      <c r="NB77" s="153">
        <v>1287.7719999999999</v>
      </c>
      <c r="NC77" s="425">
        <f t="shared" si="330"/>
        <v>12.682000000000215</v>
      </c>
      <c r="ND77" s="23">
        <f t="shared" si="331"/>
        <v>3.4422669779057098E-3</v>
      </c>
      <c r="NE77" s="330">
        <f t="shared" si="332"/>
        <v>160.59000000000003</v>
      </c>
      <c r="NF77" s="23">
        <f t="shared" si="333"/>
        <v>4.3588838825253801E-2</v>
      </c>
      <c r="NG77" s="330">
        <f t="shared" si="334"/>
        <v>166.35499999999996</v>
      </c>
      <c r="NH77" s="23">
        <f t="shared" si="335"/>
        <v>4.5153629010368596E-2</v>
      </c>
      <c r="NI77" s="330">
        <v>85.834000000000003</v>
      </c>
      <c r="NJ77" s="425">
        <f t="shared" si="63"/>
        <v>28.465</v>
      </c>
      <c r="NK77" s="403">
        <f t="shared" si="64"/>
        <v>7.7262363606753169E-3</v>
      </c>
      <c r="NL77" s="153">
        <v>28.465</v>
      </c>
      <c r="NM77" s="153">
        <v>35.409999999999997</v>
      </c>
      <c r="NN77" s="153">
        <v>6.9450000000000003</v>
      </c>
      <c r="NO77" s="425">
        <f t="shared" si="100"/>
        <v>25.722000000000008</v>
      </c>
      <c r="NP77" s="153">
        <v>105.04600000000001</v>
      </c>
      <c r="NQ77" s="153">
        <v>79.323999999999998</v>
      </c>
      <c r="NR77" s="403">
        <f t="shared" si="65"/>
        <v>6.9817056620161801E-3</v>
      </c>
      <c r="NS77" s="403">
        <f t="shared" si="66"/>
        <v>7.7262363606753169E-3</v>
      </c>
      <c r="NT77" s="403">
        <f t="shared" si="67"/>
        <v>-7.4453069865913681E-4</v>
      </c>
      <c r="NU77" s="727">
        <f t="shared" si="215"/>
        <v>8.1337568736583821E-2</v>
      </c>
      <c r="NV77" s="688">
        <f t="shared" si="216"/>
        <v>7.7233402294526979E-2</v>
      </c>
      <c r="NW77" s="688">
        <f t="shared" si="217"/>
        <v>0.12837124971670169</v>
      </c>
      <c r="NX77" s="793">
        <f>(ER77-T.A2!B29*T.A1!M29)/MP77</f>
        <v>5.8387811801677417E-2</v>
      </c>
      <c r="NY77" s="688">
        <f>Liabilities!BU77/Liabilities!GY77</f>
        <v>2.6121840263125948E-2</v>
      </c>
      <c r="NZ77" s="688">
        <f>Liabilities!BU77/Liabilities!GT77</f>
        <v>2.2569721911459166E-2</v>
      </c>
      <c r="OA77" s="688">
        <f>Liabilities!BU77/Liabilities!GR77</f>
        <v>3.2837512807283989E-2</v>
      </c>
      <c r="OB77" s="688">
        <f t="shared" si="256"/>
        <v>5.5215728473457876E-2</v>
      </c>
      <c r="OC77" s="688">
        <f t="shared" si="257"/>
        <v>5.4663680383067813E-2</v>
      </c>
      <c r="OD77" s="688"/>
      <c r="OE77" s="793">
        <f t="shared" si="218"/>
        <v>9.2824901260109074E-2</v>
      </c>
      <c r="OF77" s="793">
        <f>OE77/(1-'Assets(MOFA)'!GU30)</f>
        <v>0.1967256436260785</v>
      </c>
      <c r="OG77" s="793">
        <f>Liabilities!HV77</f>
        <v>1.8091697510989286E-2</v>
      </c>
      <c r="OH77" s="793"/>
      <c r="OI77" s="22">
        <f t="shared" si="336"/>
        <v>3.0446887492861223E-2</v>
      </c>
      <c r="OJ77" s="22">
        <f t="shared" si="337"/>
        <v>7.8556090135638371E-2</v>
      </c>
      <c r="OK77" s="403">
        <f>Liabilities!CT77/LX77</f>
        <v>4.5927429586399393E-2</v>
      </c>
      <c r="OL77" s="403">
        <f>Liabilities!CU77/MF77</f>
        <v>5.9796376846231063E-2</v>
      </c>
      <c r="OM77" s="153"/>
      <c r="OO77" s="186">
        <f t="shared" si="221"/>
        <v>8.8376529988762206E-2</v>
      </c>
      <c r="OP77" s="308">
        <f t="shared" si="370"/>
        <v>0.11545518701482005</v>
      </c>
      <c r="OQ77" s="308">
        <f t="shared" si="371"/>
        <v>1.0203528797573394E-2</v>
      </c>
      <c r="OR77" s="313">
        <f t="shared" si="372"/>
        <v>0</v>
      </c>
      <c r="OS77" s="23">
        <f t="shared" si="373"/>
        <v>0.12910511295318797</v>
      </c>
      <c r="OT77" s="23">
        <f t="shared" si="374"/>
        <v>0.1225722757988281</v>
      </c>
      <c r="OU77" s="23">
        <f t="shared" si="375"/>
        <v>6.4854029347251416E-2</v>
      </c>
      <c r="OV77" s="23">
        <f t="shared" si="376"/>
        <v>6.3554305202714642E-2</v>
      </c>
      <c r="OW77" s="23">
        <f t="shared" si="377"/>
        <v>7.2572083794075579E-2</v>
      </c>
      <c r="OX77" s="23">
        <f t="shared" si="378"/>
        <v>6.7039234950902291E-2</v>
      </c>
      <c r="OY77" s="23">
        <f t="shared" si="379"/>
        <v>0.11403131157437782</v>
      </c>
      <c r="OZ77" s="23">
        <f t="shared" si="380"/>
        <v>8.3769054966618114E-2</v>
      </c>
      <c r="PA77" s="23">
        <f t="shared" si="381"/>
        <v>8.3117461513000715E-2</v>
      </c>
      <c r="PB77" s="23">
        <f t="shared" si="382"/>
        <v>6.5159345361739951E-4</v>
      </c>
      <c r="PC77" s="23"/>
      <c r="PD77" s="23"/>
      <c r="PE77" s="23"/>
      <c r="PF77" s="23"/>
      <c r="PG77" s="69"/>
      <c r="PH77" s="23">
        <f>'Assets(MOFA)'!GU30</f>
        <v>0.52815047622086442</v>
      </c>
      <c r="PI77" s="23">
        <f>'Assets(MOFA)'!HM30</f>
        <v>0.37219823762493348</v>
      </c>
      <c r="PJ77" s="11">
        <f t="shared" si="222"/>
        <v>4.5788556105751554E-2</v>
      </c>
      <c r="PL77" s="11">
        <f>'Assets(MOFA)'!GO30/MM77/1000</f>
        <v>2.9591404927590746E-2</v>
      </c>
    </row>
    <row r="78" spans="2:428">
      <c r="B78" s="71">
        <v>1986</v>
      </c>
      <c r="C78" s="43">
        <v>3848.2</v>
      </c>
      <c r="D78" s="5">
        <v>324.39999999999998</v>
      </c>
      <c r="E78" s="19">
        <f t="shared" si="68"/>
        <v>8.4299152850683429E-2</v>
      </c>
      <c r="F78" s="72">
        <f t="shared" si="69"/>
        <v>0</v>
      </c>
      <c r="G78" s="76">
        <f t="shared" si="70"/>
        <v>284.89999999999998</v>
      </c>
      <c r="H78" s="23">
        <f t="shared" si="71"/>
        <v>7.4034613585572479E-2</v>
      </c>
      <c r="I78" s="74">
        <v>39.5</v>
      </c>
      <c r="J78" s="19">
        <f t="shared" si="72"/>
        <v>1.0264539265110962E-2</v>
      </c>
      <c r="K78" s="6">
        <f t="shared" si="73"/>
        <v>0.1217632552404439</v>
      </c>
      <c r="L78" s="136">
        <v>48.7</v>
      </c>
      <c r="M78" s="19">
        <f t="shared" si="74"/>
        <v>1.2655267397744401E-2</v>
      </c>
      <c r="N78" s="63">
        <f t="shared" si="75"/>
        <v>0.15012330456226883</v>
      </c>
      <c r="O78" s="5">
        <f t="shared" si="76"/>
        <v>324.39999999999998</v>
      </c>
      <c r="P78" s="75">
        <f t="shared" si="77"/>
        <v>0</v>
      </c>
      <c r="Q78" s="271">
        <v>274.39999999999998</v>
      </c>
      <c r="R78" s="202">
        <v>53.8</v>
      </c>
      <c r="S78" s="53">
        <f t="shared" si="78"/>
        <v>0.16584463625154131</v>
      </c>
      <c r="T78" s="74">
        <v>15.5</v>
      </c>
      <c r="U78" s="74">
        <v>58.2</v>
      </c>
      <c r="V78" s="207">
        <v>124</v>
      </c>
      <c r="W78" s="53">
        <f t="shared" si="79"/>
        <v>0.38224414303329224</v>
      </c>
      <c r="X78" s="75">
        <f t="shared" si="80"/>
        <v>46.5</v>
      </c>
      <c r="Y78" s="187"/>
      <c r="Z78" s="75"/>
      <c r="AA78" s="75"/>
      <c r="AB78" s="75"/>
      <c r="AC78" s="75">
        <f t="shared" si="103"/>
        <v>7.0384889445678605</v>
      </c>
      <c r="AD78" s="23">
        <f t="shared" si="81"/>
        <v>2.1696944958593898E-2</v>
      </c>
      <c r="AE78" s="76"/>
      <c r="AF78" s="76">
        <v>7.6784906711542655</v>
      </c>
      <c r="AG78" s="76"/>
      <c r="AH78" s="97">
        <v>109.7</v>
      </c>
      <c r="AI78" s="22">
        <f t="shared" si="82"/>
        <v>2.8506834364118293E-2</v>
      </c>
      <c r="AJ78" s="22">
        <f t="shared" si="83"/>
        <v>2.388129515097968E-2</v>
      </c>
      <c r="AK78" s="99">
        <f t="shared" si="84"/>
        <v>0.10000000000002274</v>
      </c>
      <c r="AL78" s="71">
        <v>65.899999999999977</v>
      </c>
      <c r="AM78" s="72">
        <f>(0.25*Fedtax!C59+0.75*Fedtax!C58)/1000</f>
        <v>68.338750000000005</v>
      </c>
      <c r="AN78" s="71">
        <v>22.7</v>
      </c>
      <c r="AO78" s="255">
        <v>3.2</v>
      </c>
      <c r="AP78" s="71">
        <v>17.8</v>
      </c>
      <c r="AQ78" s="6">
        <f t="shared" si="85"/>
        <v>5.579231848656515E-2</v>
      </c>
      <c r="AR78" s="207">
        <v>24.4</v>
      </c>
      <c r="AS78" s="714">
        <v>22.260999999999999</v>
      </c>
      <c r="AT78" s="210">
        <f>0.568+7.071+0.143</f>
        <v>7.7819999999999991</v>
      </c>
      <c r="AU78" s="205">
        <f t="shared" si="286"/>
        <v>0.34957998292978748</v>
      </c>
      <c r="AV78" s="709">
        <f>8.467+14.635</f>
        <v>23.102</v>
      </c>
      <c r="AW78" s="518">
        <f>0.525+2.903+0.106+0.223+4.178+0.043</f>
        <v>7.9779999999999998</v>
      </c>
      <c r="AX78" s="761">
        <f t="shared" si="104"/>
        <v>15.124000000000001</v>
      </c>
      <c r="AY78" s="520">
        <f>AW78/AV78</f>
        <v>0.3453380659683144</v>
      </c>
      <c r="AZ78" s="790">
        <f>AV78-1.06</f>
        <v>22.042000000000002</v>
      </c>
      <c r="BA78" s="776">
        <f>AW78-0.175-0.829</f>
        <v>6.9740000000000002</v>
      </c>
      <c r="BB78" s="520">
        <f>BA78/AZ78</f>
        <v>0.31639597132746572</v>
      </c>
      <c r="BC78" s="209">
        <v>5.3639999999999999</v>
      </c>
      <c r="BD78" s="707">
        <f>'Assets(MOFA)'!FJ31/1000</f>
        <v>24.454000000000001</v>
      </c>
      <c r="BE78" s="768">
        <f t="shared" si="105"/>
        <v>0.9447125214688803</v>
      </c>
      <c r="BF78" s="234">
        <v>0.46</v>
      </c>
      <c r="BG78" s="437"/>
      <c r="BH78" s="140">
        <f t="shared" si="106"/>
        <v>0.27852876453945297</v>
      </c>
      <c r="BI78" s="248">
        <f t="shared" si="57"/>
        <v>0.27852876453945297</v>
      </c>
      <c r="BJ78" s="23">
        <f t="shared" si="107"/>
        <v>0.20063334087310566</v>
      </c>
      <c r="BK78" s="140">
        <f t="shared" si="108"/>
        <v>0.33021897810218981</v>
      </c>
      <c r="BL78" s="140">
        <f t="shared" si="109"/>
        <v>0.2948193370175427</v>
      </c>
      <c r="BM78" s="248">
        <f t="shared" si="110"/>
        <v>0.33714747079080321</v>
      </c>
      <c r="BN78" s="23">
        <f t="shared" si="111"/>
        <v>0.33491253644314872</v>
      </c>
      <c r="BO78" s="23">
        <f t="shared" si="112"/>
        <v>0.28001218769043268</v>
      </c>
      <c r="BP78" s="149">
        <f t="shared" si="86"/>
        <v>324.39999999999998</v>
      </c>
      <c r="BQ78" s="99">
        <f t="shared" si="87"/>
        <v>0</v>
      </c>
      <c r="BR78" s="153">
        <f t="shared" si="88"/>
        <v>109.7</v>
      </c>
      <c r="BS78" s="79">
        <v>106.2</v>
      </c>
      <c r="BT78" s="79">
        <v>108.5</v>
      </c>
      <c r="BU78" s="23">
        <f t="shared" si="223"/>
        <v>0.33446362515413075</v>
      </c>
      <c r="BV78" s="71">
        <v>86.9</v>
      </c>
      <c r="BW78" s="71">
        <f t="shared" si="89"/>
        <v>21.599999999999994</v>
      </c>
      <c r="BX78" s="23">
        <f t="shared" si="90"/>
        <v>6.6584463625154119E-2</v>
      </c>
      <c r="BY78" s="23">
        <f t="shared" si="289"/>
        <v>1.3159679408138102E-2</v>
      </c>
      <c r="BZ78" s="23">
        <f t="shared" si="290"/>
        <v>0.10646150776827351</v>
      </c>
      <c r="CA78" s="23">
        <f t="shared" si="291"/>
        <v>0.10516551211389011</v>
      </c>
      <c r="CB78" s="23">
        <f t="shared" si="262"/>
        <v>0.54683544303797449</v>
      </c>
      <c r="CC78" s="169">
        <f t="shared" si="91"/>
        <v>48.7</v>
      </c>
      <c r="CD78" s="174"/>
      <c r="CF78" s="76">
        <f t="shared" si="58"/>
        <v>40.099000000000004</v>
      </c>
      <c r="CH78" s="23">
        <f t="shared" si="59"/>
        <v>0.82338809034907601</v>
      </c>
      <c r="CI78" s="182">
        <v>36.938000000000002</v>
      </c>
      <c r="CJ78" s="79">
        <f t="shared" si="292"/>
        <v>0</v>
      </c>
      <c r="CK78" s="79">
        <f t="shared" si="60"/>
        <v>40.099000000000004</v>
      </c>
      <c r="CL78" s="159">
        <v>26.077000000000002</v>
      </c>
      <c r="CM78" s="159">
        <v>14.023</v>
      </c>
      <c r="CN78" s="159">
        <v>20.8</v>
      </c>
      <c r="CO78" s="159">
        <f t="shared" si="338"/>
        <v>6.777000000000001</v>
      </c>
      <c r="CP78" s="79">
        <v>-3.161</v>
      </c>
      <c r="CQ78" s="79">
        <v>1.6850000000000001</v>
      </c>
      <c r="CR78" s="79">
        <v>4.8460000000000001</v>
      </c>
      <c r="CS78" s="23">
        <f t="shared" si="293"/>
        <v>0.34970946906406641</v>
      </c>
      <c r="CT78" s="23">
        <f t="shared" si="294"/>
        <v>1.49383477188656E-2</v>
      </c>
      <c r="CU78" s="73">
        <v>4.3540000000000001</v>
      </c>
      <c r="CV78" s="378">
        <f t="shared" si="295"/>
        <v>1.6097784613564436E-2</v>
      </c>
      <c r="CW78" s="378">
        <f t="shared" si="296"/>
        <v>0.11787319291786236</v>
      </c>
      <c r="CX78" s="79">
        <f t="shared" si="297"/>
        <v>32.584000000000003</v>
      </c>
      <c r="CY78" s="79">
        <f t="shared" si="298"/>
        <v>1.544000000000004</v>
      </c>
      <c r="CZ78" s="293">
        <f t="shared" si="299"/>
        <v>36.938000000000002</v>
      </c>
      <c r="DA78" s="136"/>
      <c r="DB78" s="79"/>
      <c r="DC78" s="79"/>
      <c r="DD78" s="79"/>
      <c r="DE78" s="79"/>
      <c r="DF78" s="79"/>
      <c r="DG78" s="79"/>
      <c r="DH78" s="79"/>
      <c r="DI78" s="182">
        <v>31.04</v>
      </c>
      <c r="DJ78" s="79">
        <v>0.77400000000000002</v>
      </c>
      <c r="DK78" s="79">
        <v>2.3319999999999999</v>
      </c>
      <c r="DL78" s="79">
        <v>0.114</v>
      </c>
      <c r="DM78" s="79">
        <v>1.6659999999999999</v>
      </c>
      <c r="DN78" s="79">
        <v>0.59799999999999998</v>
      </c>
      <c r="DO78" s="79">
        <v>1.579</v>
      </c>
      <c r="DP78" s="79">
        <v>-2.7080000000000002</v>
      </c>
      <c r="DQ78" s="79">
        <v>0.51900000000000002</v>
      </c>
      <c r="DR78" s="79">
        <f t="shared" si="113"/>
        <v>6.0029999999999992</v>
      </c>
      <c r="DS78" s="79">
        <f t="shared" si="114"/>
        <v>25.036999999999999</v>
      </c>
      <c r="DT78" s="79">
        <v>0.154</v>
      </c>
      <c r="DU78" s="23">
        <f t="shared" si="115"/>
        <v>6.1508966729240727E-3</v>
      </c>
      <c r="DV78" s="23">
        <f t="shared" si="116"/>
        <v>2.493556701030928E-2</v>
      </c>
      <c r="DW78" s="23">
        <f t="shared" si="117"/>
        <v>7.512886597938144E-2</v>
      </c>
      <c r="DX78" s="602">
        <f t="shared" si="118"/>
        <v>3.6726804123711344E-3</v>
      </c>
      <c r="DY78" s="23">
        <f t="shared" si="119"/>
        <v>5.3672680412371131E-2</v>
      </c>
      <c r="DZ78" s="23">
        <f t="shared" si="120"/>
        <v>1.9265463917525774E-2</v>
      </c>
      <c r="EA78" s="23">
        <f t="shared" si="121"/>
        <v>5.0869845360824742E-2</v>
      </c>
      <c r="EB78" s="23">
        <f t="shared" si="122"/>
        <v>-8.7242268041237123E-2</v>
      </c>
      <c r="EC78" s="23">
        <f t="shared" si="123"/>
        <v>1.6720360824742268E-2</v>
      </c>
      <c r="ED78" s="23">
        <f t="shared" si="124"/>
        <v>0.19339561855670101</v>
      </c>
      <c r="EE78" s="153">
        <v>14.664</v>
      </c>
      <c r="EF78" s="23">
        <f t="shared" si="300"/>
        <v>0.47242268041237112</v>
      </c>
      <c r="EG78" s="182">
        <v>9.6690000000000005</v>
      </c>
      <c r="EH78" s="79">
        <v>0.65400000000000003</v>
      </c>
      <c r="EI78" s="79">
        <v>1.835</v>
      </c>
      <c r="EJ78" s="79">
        <v>9.4E-2</v>
      </c>
      <c r="EK78" s="79">
        <v>0.42699999999999999</v>
      </c>
      <c r="EL78" s="79">
        <v>0.998</v>
      </c>
      <c r="EM78" s="79">
        <v>0.26100000000000001</v>
      </c>
      <c r="EN78" s="28">
        <f t="shared" si="301"/>
        <v>4.2690000000000001</v>
      </c>
      <c r="EO78" s="23">
        <f t="shared" si="302"/>
        <v>0.54378435715727957</v>
      </c>
      <c r="EP78" s="79">
        <f t="shared" si="303"/>
        <v>5.4</v>
      </c>
      <c r="EQ78" s="23">
        <f t="shared" si="304"/>
        <v>0.44151411728203538</v>
      </c>
      <c r="ER78" s="182">
        <f t="shared" si="268"/>
        <v>34.201000000000001</v>
      </c>
      <c r="ES78" s="185"/>
      <c r="ET78" s="136">
        <f>'Assets(MOFA)'!W31/1000</f>
        <v>56.36</v>
      </c>
      <c r="EU78" s="136">
        <f t="shared" si="339"/>
        <v>31.905999999999999</v>
      </c>
      <c r="EV78" s="589">
        <f t="shared" si="340"/>
        <v>0.93289669892693194</v>
      </c>
      <c r="EW78" s="153">
        <f t="shared" si="125"/>
        <v>0.77969803682259964</v>
      </c>
      <c r="EX78" s="153">
        <f t="shared" si="126"/>
        <v>2.4568879842826736</v>
      </c>
      <c r="EY78" s="153">
        <f t="shared" si="127"/>
        <v>0.11623593850000745</v>
      </c>
      <c r="EZ78" s="153">
        <f t="shared" si="128"/>
        <v>1.7239901469034187</v>
      </c>
      <c r="FA78" s="153">
        <f t="shared" si="129"/>
        <v>2.1989000000000001</v>
      </c>
      <c r="FB78" s="153">
        <f t="shared" si="130"/>
        <v>1.5934975367258546</v>
      </c>
      <c r="FC78" s="153">
        <f t="shared" si="131"/>
        <v>-0.43922000000000017</v>
      </c>
      <c r="FD78" s="153">
        <f t="shared" si="132"/>
        <v>0.57482633545179873</v>
      </c>
      <c r="FE78" s="153">
        <f t="shared" si="133"/>
        <v>7.8505384419604978</v>
      </c>
      <c r="FF78" s="153">
        <f t="shared" si="134"/>
        <v>24.721801057057259</v>
      </c>
      <c r="FG78" s="23">
        <f t="shared" si="135"/>
        <v>2.2797521616987795E-2</v>
      </c>
      <c r="FH78" s="23">
        <f t="shared" si="136"/>
        <v>7.1836729460620266E-2</v>
      </c>
      <c r="FI78" s="23">
        <f t="shared" si="137"/>
        <v>3.3986122774190067E-3</v>
      </c>
      <c r="FJ78" s="23">
        <f t="shared" si="138"/>
        <v>5.0407594716628715E-2</v>
      </c>
      <c r="FK78" s="23">
        <f t="shared" si="139"/>
        <v>6.4293441712230642E-2</v>
      </c>
      <c r="FL78" s="23">
        <f t="shared" si="140"/>
        <v>4.6592132882835431E-2</v>
      </c>
      <c r="FM78" s="23">
        <f t="shared" si="141"/>
        <v>-1.284231455220608E-2</v>
      </c>
      <c r="FN78" s="23">
        <f t="shared" si="142"/>
        <v>1.6807296144902159E-2</v>
      </c>
      <c r="FO78" s="23">
        <f t="shared" si="92"/>
        <v>0.22954119592878858</v>
      </c>
      <c r="FP78" s="23">
        <f t="shared" si="93"/>
        <v>0.77045880407121148</v>
      </c>
      <c r="FQ78" s="23">
        <f t="shared" si="94"/>
        <v>3.4459482866004948E-2</v>
      </c>
      <c r="FR78" s="23">
        <f t="shared" si="95"/>
        <v>0.11566382169626389</v>
      </c>
      <c r="FS78" s="23">
        <f t="shared" si="96"/>
        <v>2.9049052132768577E-3</v>
      </c>
      <c r="FT78" s="393">
        <f t="shared" si="97"/>
        <v>1.5796420140045861E-3</v>
      </c>
      <c r="FU78" s="393">
        <f t="shared" si="98"/>
        <v>1.3252631992722716E-3</v>
      </c>
      <c r="FV78" s="23">
        <f t="shared" si="99"/>
        <v>9.7503621844675439E-3</v>
      </c>
      <c r="FW78" s="326">
        <f t="shared" si="305"/>
        <v>-3.161</v>
      </c>
      <c r="FX78" s="384">
        <f t="shared" si="269"/>
        <v>-5.6980368225996109E-3</v>
      </c>
      <c r="FY78" s="384">
        <f t="shared" si="270"/>
        <v>-0.12488798428267373</v>
      </c>
      <c r="FZ78" s="384">
        <f t="shared" si="271"/>
        <v>-2.2359385000074419E-3</v>
      </c>
      <c r="GA78" s="384">
        <f t="shared" si="272"/>
        <v>-5.7990146903418825E-2</v>
      </c>
      <c r="GB78" s="225">
        <f t="shared" si="341"/>
        <v>-1.6009000000000002</v>
      </c>
      <c r="GC78" s="384">
        <f t="shared" si="274"/>
        <v>-1.4497536725854698E-2</v>
      </c>
      <c r="GD78" s="319">
        <f t="shared" si="275"/>
        <v>-2.26878</v>
      </c>
      <c r="GE78" s="153">
        <f t="shared" si="276"/>
        <v>-5.5826335451798714E-2</v>
      </c>
      <c r="GF78" s="153">
        <f t="shared" si="151"/>
        <v>-1.8475384419604985</v>
      </c>
      <c r="GG78" s="153">
        <f t="shared" si="277"/>
        <v>0.31519894294273848</v>
      </c>
      <c r="GH78" s="182">
        <v>19.640999999999998</v>
      </c>
      <c r="GI78" s="79">
        <v>0.60599999999999998</v>
      </c>
      <c r="GJ78" s="79">
        <v>3.3959999999999999</v>
      </c>
      <c r="GK78" s="79">
        <v>2.7E-2</v>
      </c>
      <c r="GL78" s="79">
        <v>0.23499999999999999</v>
      </c>
      <c r="GM78" s="79">
        <f t="shared" si="342"/>
        <v>6.141</v>
      </c>
      <c r="GN78" s="79">
        <v>1.3380000000000001</v>
      </c>
      <c r="GO78" s="79">
        <v>4.8029999999999999</v>
      </c>
      <c r="GP78" s="79">
        <v>5.1909999999999998</v>
      </c>
      <c r="GQ78" s="79">
        <v>0.28999999999999998</v>
      </c>
      <c r="GR78" s="79">
        <f t="shared" si="306"/>
        <v>10.695</v>
      </c>
      <c r="GS78" s="79">
        <f t="shared" si="343"/>
        <v>8.945999999999998</v>
      </c>
      <c r="GT78" s="23">
        <f t="shared" si="307"/>
        <v>0.54452420956163139</v>
      </c>
      <c r="GU78" s="362">
        <f t="shared" si="259"/>
        <v>10.815999999999999</v>
      </c>
      <c r="GV78" s="153">
        <f t="shared" si="344"/>
        <v>1.147</v>
      </c>
      <c r="GW78" s="153">
        <f t="shared" si="308"/>
        <v>9.6690000000000005</v>
      </c>
      <c r="GX78" s="153">
        <f t="shared" si="309"/>
        <v>0.66200000000000003</v>
      </c>
      <c r="GY78" s="153">
        <f t="shared" si="310"/>
        <v>3.4245000000000001</v>
      </c>
      <c r="GZ78" s="153">
        <f t="shared" si="226"/>
        <v>0.11499999999999999</v>
      </c>
      <c r="HA78" s="153">
        <f t="shared" si="227"/>
        <v>0.14599999999999999</v>
      </c>
      <c r="HB78" s="153">
        <f t="shared" si="228"/>
        <v>0.9139999999999997</v>
      </c>
      <c r="HC78" s="153">
        <f t="shared" si="229"/>
        <v>0.91800000000000015</v>
      </c>
      <c r="HD78" s="352">
        <f t="shared" si="230"/>
        <v>0.34399999999999942</v>
      </c>
      <c r="HE78" s="153">
        <f t="shared" si="231"/>
        <v>0.26699999999999996</v>
      </c>
      <c r="HF78" s="153">
        <f t="shared" si="311"/>
        <v>5.5284999999999993</v>
      </c>
      <c r="HG78" s="23">
        <f t="shared" si="345"/>
        <v>0.51114090236686394</v>
      </c>
      <c r="HH78" s="156">
        <f t="shared" si="346"/>
        <v>22.997000000000014</v>
      </c>
      <c r="HI78" s="182">
        <f t="shared" si="312"/>
        <v>9.9719999999999978</v>
      </c>
      <c r="HJ78" s="79">
        <v>1.7763568394002505E-15</v>
      </c>
      <c r="HK78" s="79">
        <f t="shared" si="313"/>
        <v>-4.8000000000000043E-2</v>
      </c>
      <c r="HL78" s="79">
        <f t="shared" si="314"/>
        <v>1.5609999999999999</v>
      </c>
      <c r="HM78" s="79">
        <f t="shared" si="315"/>
        <v>-6.7000000000000004E-2</v>
      </c>
      <c r="HN78" s="79">
        <f t="shared" si="316"/>
        <v>-0.192</v>
      </c>
      <c r="HO78" s="79">
        <f t="shared" si="317"/>
        <v>5.1429999999999998</v>
      </c>
      <c r="HP78" s="79">
        <f t="shared" si="318"/>
        <v>2.899999999999997E-2</v>
      </c>
      <c r="HQ78" s="79">
        <f t="shared" si="319"/>
        <v>6.4259999999999993</v>
      </c>
      <c r="HR78" s="79">
        <f t="shared" si="320"/>
        <v>3.5459999999999985</v>
      </c>
      <c r="HS78" s="23">
        <f t="shared" si="321"/>
        <v>0.64440433212996395</v>
      </c>
      <c r="HT78" s="28">
        <v>1.147</v>
      </c>
      <c r="HU78" s="79">
        <v>8.0000000000000002E-3</v>
      </c>
      <c r="HV78" s="26">
        <v>0</v>
      </c>
      <c r="HW78" s="79">
        <v>2.1000000000000001E-2</v>
      </c>
      <c r="HX78" s="79">
        <v>-0.28100000000000003</v>
      </c>
      <c r="HY78" s="79">
        <v>-8.3000000000000004E-2</v>
      </c>
      <c r="HZ78" s="79">
        <v>-0.26500000000000001</v>
      </c>
      <c r="IA78" s="79">
        <v>0.70499999999999996</v>
      </c>
      <c r="IB78" s="79">
        <v>7.0000000000000001E-3</v>
      </c>
      <c r="IC78" s="79">
        <f t="shared" si="322"/>
        <v>-0.32800000000000001</v>
      </c>
      <c r="ID78" s="79">
        <f t="shared" si="347"/>
        <v>1.4750000000000001</v>
      </c>
      <c r="IE78" s="23">
        <f t="shared" si="348"/>
        <v>-0.28596338273757627</v>
      </c>
      <c r="IF78" s="316">
        <v>8.8249999999999993</v>
      </c>
      <c r="IG78" s="153">
        <v>-5.6000000000000001E-2</v>
      </c>
      <c r="IH78" s="153">
        <v>-2.8500000000000001E-2</v>
      </c>
      <c r="II78" s="153">
        <v>-8.7999999999999995E-2</v>
      </c>
      <c r="IJ78" s="153">
        <v>8.8999999999999996E-2</v>
      </c>
      <c r="IK78" s="153">
        <v>5.2270000000000003</v>
      </c>
      <c r="IL78" s="153">
        <v>0.42</v>
      </c>
      <c r="IM78" s="153">
        <v>4.8470000000000004</v>
      </c>
      <c r="IN78" s="153">
        <v>2.3E-2</v>
      </c>
      <c r="IO78" s="153">
        <f t="shared" si="349"/>
        <v>5.1665000000000001</v>
      </c>
      <c r="IP78" s="153">
        <f t="shared" si="235"/>
        <v>3.6584999999999992</v>
      </c>
      <c r="IQ78" s="258">
        <f t="shared" si="350"/>
        <v>9.1060000000000016</v>
      </c>
      <c r="IR78" s="5">
        <f t="shared" si="323"/>
        <v>270.47199999999998</v>
      </c>
      <c r="IS78" s="79">
        <f t="shared" si="351"/>
        <v>32.10299999999998</v>
      </c>
      <c r="IT78" s="79">
        <f t="shared" si="288"/>
        <v>0</v>
      </c>
      <c r="IU78" s="79">
        <f t="shared" si="352"/>
        <v>9.6690000000000005</v>
      </c>
      <c r="IV78" s="79">
        <f t="shared" si="324"/>
        <v>1.147</v>
      </c>
      <c r="IW78" s="79">
        <v>8.8249999999999993</v>
      </c>
      <c r="IX78" s="79">
        <f t="shared" si="353"/>
        <v>12.461999999999982</v>
      </c>
      <c r="IY78" s="79"/>
      <c r="IZ78" s="79"/>
      <c r="JA78" s="79"/>
      <c r="JB78" s="23">
        <f t="shared" si="162"/>
        <v>7.0285328205394723E-2</v>
      </c>
      <c r="JC78" s="23">
        <f t="shared" si="163"/>
        <v>1.1620757756873344E-2</v>
      </c>
      <c r="JD78" s="23">
        <f t="shared" si="164"/>
        <v>5.8664570448521386E-2</v>
      </c>
      <c r="JE78" s="22">
        <f t="shared" si="325"/>
        <v>2.5126032950470354E-3</v>
      </c>
      <c r="JF78" s="22">
        <f t="shared" si="326"/>
        <v>2.9806143131853857E-4</v>
      </c>
      <c r="JG78" s="22">
        <f t="shared" si="327"/>
        <v>2.2932799750532717E-3</v>
      </c>
      <c r="JH78" s="5">
        <v>270.47199999999998</v>
      </c>
      <c r="JI78" s="192">
        <v>59.625</v>
      </c>
      <c r="JJ78" s="76">
        <v>4.4119999999999999</v>
      </c>
      <c r="JK78" s="76">
        <v>12.202999999999999</v>
      </c>
      <c r="JL78" s="76">
        <v>0.95699999999999996</v>
      </c>
      <c r="JM78" s="76">
        <v>16.608000000000001</v>
      </c>
      <c r="JN78" s="76">
        <f t="shared" si="354"/>
        <v>8.0579999999999998</v>
      </c>
      <c r="JO78" s="76">
        <v>15.717000000000001</v>
      </c>
      <c r="JP78" s="76">
        <v>-7.6589999999999998</v>
      </c>
      <c r="JQ78" s="76">
        <v>-16.074000000000002</v>
      </c>
      <c r="JR78" s="76">
        <v>2.4809999999999999</v>
      </c>
      <c r="JS78" s="76">
        <f t="shared" si="287"/>
        <v>44.719000000000001</v>
      </c>
      <c r="JT78" s="76">
        <f t="shared" si="355"/>
        <v>225.75299999999999</v>
      </c>
      <c r="JU78" s="23">
        <f t="shared" si="356"/>
        <v>0.16533689254340561</v>
      </c>
      <c r="JV78" s="23">
        <f t="shared" si="357"/>
        <v>1.6312224555591708E-2</v>
      </c>
      <c r="JW78" s="23">
        <f t="shared" si="358"/>
        <v>4.5117424354461831E-2</v>
      </c>
      <c r="JX78" s="23">
        <f t="shared" si="359"/>
        <v>3.5382590434499691E-3</v>
      </c>
      <c r="JY78" s="23">
        <f t="shared" si="360"/>
        <v>6.1403768227395079E-2</v>
      </c>
      <c r="JZ78" s="23">
        <f t="shared" si="361"/>
        <v>2.9792362980271526E-2</v>
      </c>
      <c r="KA78" s="23">
        <f t="shared" si="362"/>
        <v>9.1728533822355001E-3</v>
      </c>
      <c r="KB78" s="149">
        <v>-8.4390000000000001</v>
      </c>
      <c r="KC78" s="316">
        <v>58.747999999999998</v>
      </c>
      <c r="KD78" s="316">
        <v>67.186999999999998</v>
      </c>
      <c r="KE78" s="589">
        <f t="shared" si="242"/>
        <v>1.1436474433172192</v>
      </c>
      <c r="KF78" s="1071">
        <v>0</v>
      </c>
      <c r="KG78" s="319">
        <f t="shared" si="243"/>
        <v>-7.9000000000000001E-2</v>
      </c>
      <c r="KH78" s="319">
        <f t="shared" si="244"/>
        <v>-1.7314999999999998</v>
      </c>
      <c r="KI78" s="321">
        <f t="shared" si="245"/>
        <v>-3.1E-2</v>
      </c>
      <c r="KJ78" s="319">
        <f t="shared" si="246"/>
        <v>-0.80400000000000005</v>
      </c>
      <c r="KK78" s="319">
        <f t="shared" si="285"/>
        <v>-16.009</v>
      </c>
      <c r="KL78" s="319">
        <f t="shared" si="248"/>
        <v>-0.2009999999999999</v>
      </c>
      <c r="KM78" s="79"/>
      <c r="KN78" s="319"/>
      <c r="KO78" s="319">
        <f t="shared" si="249"/>
        <v>-22.687799999999999</v>
      </c>
      <c r="KP78" s="319">
        <f t="shared" si="250"/>
        <v>-0.77400000000000002</v>
      </c>
      <c r="KQ78" s="153">
        <f t="shared" si="328"/>
        <v>-19.4285</v>
      </c>
      <c r="KR78" s="153">
        <f t="shared" si="329"/>
        <v>10.9895</v>
      </c>
      <c r="KS78" s="23">
        <f t="shared" si="178"/>
        <v>2.8557507406059978E-3</v>
      </c>
      <c r="KT78" s="23">
        <f t="shared" si="179"/>
        <v>0.33768139669876612</v>
      </c>
      <c r="KU78" s="326">
        <v>278.911</v>
      </c>
      <c r="KV78" s="430">
        <f t="shared" si="252"/>
        <v>59.625</v>
      </c>
      <c r="KW78" s="322">
        <f t="shared" si="181"/>
        <v>4.4909999999999997</v>
      </c>
      <c r="KX78" s="322">
        <f t="shared" si="182"/>
        <v>13.9345</v>
      </c>
      <c r="KY78" s="322">
        <f t="shared" si="183"/>
        <v>0.98799999999999999</v>
      </c>
      <c r="KZ78" s="322">
        <f t="shared" si="184"/>
        <v>17.411999999999999</v>
      </c>
      <c r="LA78" s="322">
        <f t="shared" si="185"/>
        <v>24.067</v>
      </c>
      <c r="LB78" s="322">
        <f t="shared" si="186"/>
        <v>15.918000000000001</v>
      </c>
      <c r="LC78" s="322">
        <f t="shared" si="187"/>
        <v>6.6137999999999977</v>
      </c>
      <c r="LD78" s="322">
        <f t="shared" si="188"/>
        <v>3.2549999999999999</v>
      </c>
      <c r="LE78" s="322">
        <f t="shared" si="189"/>
        <v>64.147500000000008</v>
      </c>
      <c r="LF78" s="322">
        <f t="shared" si="190"/>
        <v>0</v>
      </c>
      <c r="LG78" s="322">
        <f t="shared" si="191"/>
        <v>214.76349999999999</v>
      </c>
      <c r="LH78" s="367">
        <f t="shared" si="192"/>
        <v>0.22999272169258297</v>
      </c>
      <c r="LI78" s="248">
        <f t="shared" si="193"/>
        <v>1.6101910645331306E-2</v>
      </c>
      <c r="LJ78" s="248">
        <f t="shared" si="194"/>
        <v>4.9960381627114026E-2</v>
      </c>
      <c r="LK78" s="248">
        <f t="shared" si="195"/>
        <v>3.5423486345106505E-3</v>
      </c>
      <c r="LL78" s="248">
        <f t="shared" si="196"/>
        <v>6.2428516623582432E-2</v>
      </c>
      <c r="LM78" s="251">
        <f t="shared" si="197"/>
        <v>8.6289174682963377E-2</v>
      </c>
      <c r="LN78" s="251">
        <f t="shared" si="198"/>
        <v>5.7071969194474229E-2</v>
      </c>
      <c r="LO78" s="251">
        <f t="shared" si="199"/>
        <v>2.3712940687172602E-2</v>
      </c>
      <c r="LP78" s="248">
        <f t="shared" si="200"/>
        <v>1.1670389479081141E-2</v>
      </c>
      <c r="LQ78" s="248">
        <f t="shared" si="201"/>
        <v>7.2478301543578816E-2</v>
      </c>
      <c r="LR78" s="23">
        <f t="shared" si="202"/>
        <v>5.5808819707915389E-2</v>
      </c>
      <c r="LS78" s="23">
        <f t="shared" si="203"/>
        <v>1.6669481835663431E-2</v>
      </c>
      <c r="LT78" s="326">
        <v>76.625</v>
      </c>
      <c r="LU78" s="153">
        <f t="shared" si="363"/>
        <v>0</v>
      </c>
      <c r="LV78" s="153">
        <f t="shared" si="204"/>
        <v>-8.4390000000000001</v>
      </c>
      <c r="LW78" s="153">
        <f t="shared" si="283"/>
        <v>67.186999999999998</v>
      </c>
      <c r="LX78" s="153">
        <v>17.876999999999999</v>
      </c>
      <c r="LY78" s="23">
        <f>LX78/Liabilities!GT78</f>
        <v>7.8960619070334429E-2</v>
      </c>
      <c r="LZ78" s="23">
        <f t="shared" si="253"/>
        <v>0.23468637592879457</v>
      </c>
      <c r="MA78" s="425">
        <v>143.36099999999999</v>
      </c>
      <c r="MB78" s="153">
        <f t="shared" si="364"/>
        <v>0</v>
      </c>
      <c r="MC78" s="153">
        <v>58.296999999999997</v>
      </c>
      <c r="MD78" s="153">
        <f t="shared" si="365"/>
        <v>17.876999999999999</v>
      </c>
      <c r="ME78" s="153">
        <f t="shared" si="366"/>
        <v>67.186999999999998</v>
      </c>
      <c r="MF78" s="153">
        <v>76.174000000000007</v>
      </c>
      <c r="MG78" s="153">
        <f t="shared" si="208"/>
        <v>58.747999999999998</v>
      </c>
      <c r="MH78" s="326">
        <f t="shared" si="209"/>
        <v>278.911</v>
      </c>
      <c r="MI78" s="1008">
        <f>FoF_RoW!$BH48/1000</f>
        <v>437.49200000000002</v>
      </c>
      <c r="MJ78" s="1008">
        <v>489.88200000000001</v>
      </c>
      <c r="MK78" s="1008">
        <f>FoF_RoW!$AU48/1000</f>
        <v>19.100000000000001</v>
      </c>
      <c r="ML78" s="1008">
        <f t="shared" si="254"/>
        <v>29.677000000000021</v>
      </c>
      <c r="MM78" s="425">
        <f t="shared" si="210"/>
        <v>445.93100000000004</v>
      </c>
      <c r="MN78" s="23">
        <f t="shared" si="211"/>
        <v>1.598829017141669</v>
      </c>
      <c r="MO78" s="153">
        <v>615.13800000000003</v>
      </c>
      <c r="MP78" s="425">
        <v>538.51300000000003</v>
      </c>
      <c r="MQ78" s="23">
        <f t="shared" si="367"/>
        <v>1.9307700305832327</v>
      </c>
      <c r="MR78" s="23">
        <f t="shared" si="368"/>
        <v>1.2076150794629663</v>
      </c>
      <c r="MS78" s="153">
        <f t="shared" si="212"/>
        <v>-8.4390000000000001</v>
      </c>
      <c r="MT78" s="153">
        <v>76.625</v>
      </c>
      <c r="MU78" s="153">
        <v>143.36099999999999</v>
      </c>
      <c r="MV78" s="153">
        <v>214.66900000000001</v>
      </c>
      <c r="MW78" s="153">
        <v>226.404</v>
      </c>
      <c r="MX78" s="23">
        <f t="shared" si="369"/>
        <v>0.94816787689263449</v>
      </c>
      <c r="MY78" s="425">
        <f t="shared" si="255"/>
        <v>6.8039999999999736</v>
      </c>
      <c r="MZ78" s="23">
        <f t="shared" si="213"/>
        <v>1.7680993711345497E-3</v>
      </c>
      <c r="NA78" s="153">
        <v>1679.7159999999999</v>
      </c>
      <c r="NB78" s="153">
        <v>1570.4839999999999</v>
      </c>
      <c r="NC78" s="425">
        <f t="shared" si="330"/>
        <v>-97.513000000000005</v>
      </c>
      <c r="ND78" s="23">
        <f t="shared" si="331"/>
        <v>-2.5339899173639626E-2</v>
      </c>
      <c r="NE78" s="330">
        <f t="shared" si="332"/>
        <v>152.79100000000005</v>
      </c>
      <c r="NF78" s="23">
        <f t="shared" si="333"/>
        <v>3.970453718621695E-2</v>
      </c>
      <c r="NG78" s="330">
        <f t="shared" si="334"/>
        <v>257.10800000000006</v>
      </c>
      <c r="NH78" s="23">
        <f t="shared" si="335"/>
        <v>6.6812535730991135E-2</v>
      </c>
      <c r="NI78" s="330">
        <v>102.428</v>
      </c>
      <c r="NJ78" s="425">
        <f t="shared" si="63"/>
        <v>30.082000000000001</v>
      </c>
      <c r="NK78" s="403">
        <f t="shared" si="64"/>
        <v>7.8171612702042526E-3</v>
      </c>
      <c r="NL78" s="153">
        <v>30.082000000000001</v>
      </c>
      <c r="NM78" s="153">
        <v>36.938000000000002</v>
      </c>
      <c r="NN78" s="153">
        <v>6.8559999999999999</v>
      </c>
      <c r="NO78" s="425">
        <f t="shared" si="100"/>
        <v>17.263999999999996</v>
      </c>
      <c r="NP78" s="153">
        <v>101.89</v>
      </c>
      <c r="NQ78" s="153">
        <v>84.626000000000005</v>
      </c>
      <c r="NR78" s="403">
        <f t="shared" si="65"/>
        <v>4.486253313237357E-3</v>
      </c>
      <c r="NS78" s="403">
        <f t="shared" si="66"/>
        <v>7.8171612702042526E-3</v>
      </c>
      <c r="NT78" s="403">
        <f t="shared" si="67"/>
        <v>-3.3309079569668956E-3</v>
      </c>
      <c r="NU78" s="727">
        <f t="shared" si="215"/>
        <v>6.351007310872718E-2</v>
      </c>
      <c r="NV78" s="688">
        <f t="shared" si="216"/>
        <v>7.6695721983894363E-2</v>
      </c>
      <c r="NW78" s="688">
        <f t="shared" si="217"/>
        <v>0.12262334579848053</v>
      </c>
      <c r="NX78" s="793">
        <f>(ER78-T.A2!B30*T.A1!M30)/MP78</f>
        <v>5.2016712545516784E-2</v>
      </c>
      <c r="NY78" s="688">
        <f>Liabilities!BU78/Liabilities!GY78</f>
        <v>2.0096054856546589E-2</v>
      </c>
      <c r="NZ78" s="688">
        <f>Liabilities!BU78/Liabilities!GT78</f>
        <v>1.9054433667249692E-2</v>
      </c>
      <c r="OA78" s="688">
        <f>Liabilities!BU78/Liabilities!GR78</f>
        <v>2.6610410999463353E-2</v>
      </c>
      <c r="OB78" s="688">
        <f t="shared" si="256"/>
        <v>4.3414018252180595E-2</v>
      </c>
      <c r="OC78" s="688">
        <f t="shared" si="257"/>
        <v>5.7641288316644668E-2</v>
      </c>
      <c r="OD78" s="688"/>
      <c r="OE78" s="793">
        <f t="shared" si="218"/>
        <v>8.9921983445869422E-2</v>
      </c>
      <c r="OF78" s="793">
        <f>OE78/(1-'Assets(MOFA)'!GU31)</f>
        <v>0.15884169081079424</v>
      </c>
      <c r="OG78" s="793">
        <f>Liabilities!HV78</f>
        <v>1.5204248492011112E-2</v>
      </c>
      <c r="OH78" s="793"/>
      <c r="OI78" s="22">
        <f t="shared" si="336"/>
        <v>2.8681827466466945E-2</v>
      </c>
      <c r="OJ78" s="22">
        <f t="shared" si="337"/>
        <v>7.2127048387336842E-2</v>
      </c>
      <c r="OK78" s="403">
        <f>Liabilities!CT78/LX78</f>
        <v>4.9672763886558148E-2</v>
      </c>
      <c r="OL78" s="403">
        <f>Liabilities!CU78/MF78</f>
        <v>5.2603250452910436E-2</v>
      </c>
      <c r="OM78" s="153"/>
      <c r="OO78" s="186">
        <f t="shared" si="221"/>
        <v>8.5356937741069214E-2</v>
      </c>
      <c r="OP78" s="308">
        <f t="shared" si="370"/>
        <v>0.11588041162101763</v>
      </c>
      <c r="OQ78" s="308">
        <f t="shared" si="371"/>
        <v>9.8911970801446748E-3</v>
      </c>
      <c r="OR78" s="313">
        <f t="shared" si="372"/>
        <v>0</v>
      </c>
      <c r="OS78" s="23">
        <f t="shared" si="373"/>
        <v>0.12085066649380033</v>
      </c>
      <c r="OT78" s="23">
        <f t="shared" si="374"/>
        <v>0.12273251413204626</v>
      </c>
      <c r="OU78" s="23">
        <f t="shared" si="375"/>
        <v>8.1893445987639812E-2</v>
      </c>
      <c r="OV78" s="23">
        <f t="shared" si="376"/>
        <v>6.8921034114063848E-2</v>
      </c>
      <c r="OW78" s="23">
        <f t="shared" si="377"/>
        <v>6.3598838690404599E-2</v>
      </c>
      <c r="OX78" s="23">
        <f t="shared" si="378"/>
        <v>6.9683276078177828E-2</v>
      </c>
      <c r="OY78" s="23">
        <f t="shared" si="379"/>
        <v>0.12292814504671355</v>
      </c>
      <c r="OZ78" s="23">
        <f t="shared" si="380"/>
        <v>8.5189363496871159E-2</v>
      </c>
      <c r="PA78" s="23">
        <f t="shared" si="381"/>
        <v>8.0128183680161433E-2</v>
      </c>
      <c r="PB78" s="23">
        <f t="shared" si="382"/>
        <v>5.0611798167097266E-3</v>
      </c>
      <c r="PC78" s="23"/>
      <c r="PD78" s="23"/>
      <c r="PE78" s="23"/>
      <c r="PF78" s="23"/>
      <c r="PG78" s="69"/>
      <c r="PH78" s="23">
        <f>'Assets(MOFA)'!GU31</f>
        <v>0.43388928317955999</v>
      </c>
      <c r="PI78" s="23">
        <f>'Assets(MOFA)'!HM31</f>
        <v>0.36452507173775595</v>
      </c>
      <c r="PJ78" s="11">
        <f t="shared" si="222"/>
        <v>4.3994675973464584E-2</v>
      </c>
      <c r="PL78" s="11">
        <f>'Assets(MOFA)'!GO31/MM78/1000</f>
        <v>3.3615066007969839E-2</v>
      </c>
    </row>
    <row r="79" spans="2:428">
      <c r="B79" s="71">
        <v>1987</v>
      </c>
      <c r="C79" s="43">
        <v>4119.2</v>
      </c>
      <c r="D79" s="5">
        <v>366</v>
      </c>
      <c r="E79" s="19">
        <f t="shared" si="68"/>
        <v>8.8852204311516803E-2</v>
      </c>
      <c r="F79" s="72">
        <f t="shared" si="69"/>
        <v>0</v>
      </c>
      <c r="G79" s="76">
        <f t="shared" si="70"/>
        <v>318</v>
      </c>
      <c r="H79" s="23">
        <f t="shared" si="71"/>
        <v>7.7199456205088376E-2</v>
      </c>
      <c r="I79" s="74">
        <v>48</v>
      </c>
      <c r="J79" s="19">
        <f t="shared" si="72"/>
        <v>1.1652748106428433E-2</v>
      </c>
      <c r="K79" s="6">
        <f t="shared" si="73"/>
        <v>0.13114754098360656</v>
      </c>
      <c r="L79" s="136">
        <v>58.9</v>
      </c>
      <c r="M79" s="19">
        <f t="shared" si="74"/>
        <v>1.429889298892989E-2</v>
      </c>
      <c r="N79" s="63">
        <f t="shared" si="75"/>
        <v>0.16092896174863389</v>
      </c>
      <c r="O79" s="5">
        <f t="shared" si="76"/>
        <v>366</v>
      </c>
      <c r="P79" s="75">
        <f t="shared" si="77"/>
        <v>0</v>
      </c>
      <c r="Q79" s="271">
        <v>336.8</v>
      </c>
      <c r="R79" s="202">
        <v>56.6</v>
      </c>
      <c r="S79" s="53">
        <f t="shared" si="78"/>
        <v>0.15464480874316941</v>
      </c>
      <c r="T79" s="74">
        <v>16.2</v>
      </c>
      <c r="U79" s="74">
        <v>35.200000000000003</v>
      </c>
      <c r="V79" s="207">
        <v>82.9</v>
      </c>
      <c r="W79" s="53">
        <f t="shared" si="79"/>
        <v>0.22650273224043718</v>
      </c>
      <c r="X79" s="75">
        <f t="shared" si="80"/>
        <v>4.1000000000000227</v>
      </c>
      <c r="Y79" s="187"/>
      <c r="Z79" s="75"/>
      <c r="AA79" s="75"/>
      <c r="AB79" s="75"/>
      <c r="AC79" s="75">
        <f t="shared" si="103"/>
        <v>16.824837334932063</v>
      </c>
      <c r="AD79" s="23">
        <f t="shared" si="81"/>
        <v>4.5969500915114925E-2</v>
      </c>
      <c r="AE79" s="76"/>
      <c r="AF79" s="76">
        <v>18.354700495717783</v>
      </c>
      <c r="AG79" s="76"/>
      <c r="AH79" s="97">
        <v>130.4</v>
      </c>
      <c r="AI79" s="22">
        <f t="shared" si="82"/>
        <v>3.1656632355797243E-2</v>
      </c>
      <c r="AJ79" s="22">
        <f t="shared" si="83"/>
        <v>2.7359681491551758E-2</v>
      </c>
      <c r="AK79" s="99">
        <f t="shared" si="84"/>
        <v>-9.9999999999994316E-2</v>
      </c>
      <c r="AL79" s="71">
        <v>85.5</v>
      </c>
      <c r="AM79" s="72">
        <f>(0.25*Fedtax!C60+0.75*Fedtax!C59)/1000</f>
        <v>86.5715</v>
      </c>
      <c r="AN79" s="71">
        <v>23.9</v>
      </c>
      <c r="AO79" s="255">
        <v>3.4</v>
      </c>
      <c r="AP79" s="71">
        <v>17.7</v>
      </c>
      <c r="AQ79" s="6">
        <f t="shared" si="85"/>
        <v>5.719557195571956E-2</v>
      </c>
      <c r="AR79" s="207">
        <v>23.5</v>
      </c>
      <c r="AS79" s="714"/>
      <c r="AT79" s="210"/>
      <c r="AU79" s="207"/>
      <c r="AV79" s="518"/>
      <c r="AW79" s="518"/>
      <c r="AX79" s="518"/>
      <c r="AY79" s="520"/>
      <c r="AZ79" s="786"/>
      <c r="BA79" s="518"/>
      <c r="BB79" s="638"/>
      <c r="BC79" s="209"/>
      <c r="BD79" s="707">
        <f>'Assets(MOFA)'!FJ32/1000</f>
        <v>27.928000000000001</v>
      </c>
      <c r="BE79" s="768">
        <f t="shared" si="105"/>
        <v>0</v>
      </c>
      <c r="BF79" s="234">
        <v>0.4</v>
      </c>
      <c r="BG79" s="437"/>
      <c r="BH79" s="140">
        <f t="shared" si="106"/>
        <v>0.30329914056002222</v>
      </c>
      <c r="BI79" s="248">
        <f t="shared" si="57"/>
        <v>0.30329914056002222</v>
      </c>
      <c r="BJ79" s="23">
        <f t="shared" si="107"/>
        <v>0.24639314697926057</v>
      </c>
      <c r="BK79" s="140">
        <f t="shared" si="108"/>
        <v>0.34565330557001567</v>
      </c>
      <c r="BL79" s="140">
        <f t="shared" si="109"/>
        <v>0.30636666479821251</v>
      </c>
      <c r="BM79" s="248">
        <f t="shared" si="110"/>
        <v>0.36148333773198593</v>
      </c>
      <c r="BN79" s="23">
        <f t="shared" si="111"/>
        <v>0.33461995249406173</v>
      </c>
      <c r="BO79" s="23">
        <f t="shared" si="112"/>
        <v>0.2864768683274021</v>
      </c>
      <c r="BP79" s="149">
        <f t="shared" si="86"/>
        <v>366</v>
      </c>
      <c r="BQ79" s="99">
        <f t="shared" si="87"/>
        <v>0.10000000000002274</v>
      </c>
      <c r="BR79" s="153">
        <f t="shared" si="88"/>
        <v>130.4</v>
      </c>
      <c r="BS79" s="79">
        <v>112.3</v>
      </c>
      <c r="BT79" s="79">
        <v>123.2</v>
      </c>
      <c r="BU79" s="23">
        <f t="shared" si="223"/>
        <v>0.33661202185792349</v>
      </c>
      <c r="BV79" s="71">
        <v>91.9</v>
      </c>
      <c r="BW79" s="71">
        <f t="shared" si="89"/>
        <v>31.299999999999997</v>
      </c>
      <c r="BX79" s="23">
        <f t="shared" si="90"/>
        <v>8.5519125683060096E-2</v>
      </c>
      <c r="BY79" s="23">
        <f t="shared" si="289"/>
        <v>1.4314207650273227E-2</v>
      </c>
      <c r="BZ79" s="23">
        <f t="shared" si="290"/>
        <v>0.10780722693225782</v>
      </c>
      <c r="CA79" s="23">
        <f t="shared" si="291"/>
        <v>0.10057107028274707</v>
      </c>
      <c r="CB79" s="23">
        <f t="shared" si="262"/>
        <v>0.65208333333333324</v>
      </c>
      <c r="CC79" s="169">
        <f t="shared" si="91"/>
        <v>58.9</v>
      </c>
      <c r="CD79" s="174"/>
      <c r="CF79" s="76">
        <f t="shared" si="58"/>
        <v>48.595999999999997</v>
      </c>
      <c r="CH79" s="23">
        <f t="shared" si="59"/>
        <v>0.82505942275042443</v>
      </c>
      <c r="CI79" s="182">
        <v>46.286999999999999</v>
      </c>
      <c r="CJ79" s="79">
        <f t="shared" si="292"/>
        <v>0</v>
      </c>
      <c r="CK79" s="79">
        <f t="shared" si="60"/>
        <v>48.595999999999997</v>
      </c>
      <c r="CL79" s="159">
        <v>25.263999999999999</v>
      </c>
      <c r="CM79" s="159">
        <v>23.332999999999998</v>
      </c>
      <c r="CN79" s="159">
        <v>31</v>
      </c>
      <c r="CO79" s="159">
        <f t="shared" si="338"/>
        <v>7.6670000000000016</v>
      </c>
      <c r="CP79" s="79">
        <v>-2.3090000000000002</v>
      </c>
      <c r="CQ79" s="79">
        <v>1.86</v>
      </c>
      <c r="CR79" s="79">
        <v>4.1689999999999996</v>
      </c>
      <c r="CS79" s="23">
        <f t="shared" si="293"/>
        <v>0.48014239855132107</v>
      </c>
      <c r="CT79" s="23">
        <f t="shared" si="294"/>
        <v>1.139071038251366E-2</v>
      </c>
      <c r="CU79" s="73">
        <v>4.88</v>
      </c>
      <c r="CV79" s="378">
        <f t="shared" si="295"/>
        <v>1.4957716863906232E-2</v>
      </c>
      <c r="CW79" s="378">
        <f t="shared" si="296"/>
        <v>0.10542917017737162</v>
      </c>
      <c r="CX79" s="79">
        <f t="shared" si="297"/>
        <v>41.406999999999996</v>
      </c>
      <c r="CY79" s="79">
        <f t="shared" si="298"/>
        <v>1.3789999999999978</v>
      </c>
      <c r="CZ79" s="293">
        <f t="shared" si="299"/>
        <v>46.286999999999999</v>
      </c>
      <c r="DA79" s="136"/>
      <c r="DB79" s="79"/>
      <c r="DC79" s="79"/>
      <c r="DD79" s="79"/>
      <c r="DE79" s="79"/>
      <c r="DF79" s="79"/>
      <c r="DG79" s="79"/>
      <c r="DH79" s="79"/>
      <c r="DI79" s="182">
        <v>40.027999999999999</v>
      </c>
      <c r="DJ79" s="79">
        <v>1.046</v>
      </c>
      <c r="DK79" s="79">
        <v>2.976</v>
      </c>
      <c r="DL79" s="79">
        <v>8.4000000000000005E-2</v>
      </c>
      <c r="DM79" s="79">
        <v>2.7050000000000001</v>
      </c>
      <c r="DN79" s="79">
        <v>0.438</v>
      </c>
      <c r="DO79" s="79">
        <v>1.702</v>
      </c>
      <c r="DP79" s="79">
        <v>-2.1760000000000002</v>
      </c>
      <c r="DQ79" s="79">
        <v>0.72899999999999998</v>
      </c>
      <c r="DR79" s="79">
        <f t="shared" si="113"/>
        <v>7.9779999999999998</v>
      </c>
      <c r="DS79" s="79">
        <f t="shared" si="114"/>
        <v>32.049999999999997</v>
      </c>
      <c r="DT79" s="79">
        <v>0.55600000000000005</v>
      </c>
      <c r="DU79" s="23">
        <f t="shared" si="115"/>
        <v>1.7347893915756633E-2</v>
      </c>
      <c r="DV79" s="23">
        <f t="shared" si="116"/>
        <v>2.6131707804536827E-2</v>
      </c>
      <c r="DW79" s="23">
        <f t="shared" si="117"/>
        <v>7.4347956430498657E-2</v>
      </c>
      <c r="DX79" s="602">
        <f t="shared" si="118"/>
        <v>2.098531028280204E-3</v>
      </c>
      <c r="DY79" s="23">
        <f t="shared" si="119"/>
        <v>6.7577695613070851E-2</v>
      </c>
      <c r="DZ79" s="23">
        <f t="shared" si="120"/>
        <v>1.0942340361746778E-2</v>
      </c>
      <c r="EA79" s="23">
        <f t="shared" si="121"/>
        <v>4.2520235834915557E-2</v>
      </c>
      <c r="EB79" s="23">
        <f t="shared" si="122"/>
        <v>-5.4361946637353858E-2</v>
      </c>
      <c r="EC79" s="23">
        <f t="shared" si="123"/>
        <v>1.8212251424003199E-2</v>
      </c>
      <c r="ED79" s="23">
        <f t="shared" si="124"/>
        <v>0.19931048266213652</v>
      </c>
      <c r="EE79" s="153">
        <v>18.134</v>
      </c>
      <c r="EF79" s="23">
        <f t="shared" si="300"/>
        <v>0.45303287698610972</v>
      </c>
      <c r="EG79" s="182">
        <v>18.452999999999999</v>
      </c>
      <c r="EH79" s="79">
        <v>0.76700000000000002</v>
      </c>
      <c r="EI79" s="79">
        <v>1.212</v>
      </c>
      <c r="EJ79" s="79">
        <v>-6.0000000000000001E-3</v>
      </c>
      <c r="EK79" s="79">
        <v>1.508</v>
      </c>
      <c r="EL79" s="79">
        <v>1.3460000000000001</v>
      </c>
      <c r="EM79" s="79">
        <v>0.41199999999999998</v>
      </c>
      <c r="EN79" s="28">
        <f t="shared" si="301"/>
        <v>5.2390000000000008</v>
      </c>
      <c r="EO79" s="23">
        <f t="shared" si="302"/>
        <v>0.50459498637224864</v>
      </c>
      <c r="EP79" s="79">
        <f t="shared" si="303"/>
        <v>13.213999999999999</v>
      </c>
      <c r="EQ79" s="23">
        <f t="shared" si="304"/>
        <v>0.28391047526147517</v>
      </c>
      <c r="ER79" s="182">
        <f t="shared" si="268"/>
        <v>42.336999999999996</v>
      </c>
      <c r="ES79" s="185"/>
      <c r="ET79" s="136">
        <f>'Assets(MOFA)'!W32/1000</f>
        <v>70.626000000000005</v>
      </c>
      <c r="EU79" s="136">
        <f t="shared" si="339"/>
        <v>42.698000000000008</v>
      </c>
      <c r="EV79" s="589">
        <f t="shared" si="340"/>
        <v>1.0085268205116096</v>
      </c>
      <c r="EW79" s="153">
        <f t="shared" si="125"/>
        <v>1.0504140933258177</v>
      </c>
      <c r="EX79" s="153">
        <f t="shared" si="126"/>
        <v>3.029064388111089</v>
      </c>
      <c r="EY79" s="153">
        <f t="shared" si="127"/>
        <v>9.3082235188373122E-2</v>
      </c>
      <c r="EZ79" s="153">
        <f t="shared" si="128"/>
        <v>2.7363114821529226</v>
      </c>
      <c r="FA79" s="153">
        <f t="shared" si="129"/>
        <v>2.6812000000000005</v>
      </c>
      <c r="FB79" s="153">
        <f t="shared" si="130"/>
        <v>1.7152740360445453</v>
      </c>
      <c r="FC79" s="153">
        <f t="shared" si="131"/>
        <v>-0.32242000000000015</v>
      </c>
      <c r="FD79" s="153">
        <f t="shared" si="132"/>
        <v>0.79251213418442734</v>
      </c>
      <c r="FE79" s="153">
        <f t="shared" si="133"/>
        <v>10.38258433296263</v>
      </c>
      <c r="FF79" s="153">
        <f t="shared" si="134"/>
        <v>31.697007511282536</v>
      </c>
      <c r="FG79" s="23">
        <f t="shared" si="135"/>
        <v>2.4810782373002757E-2</v>
      </c>
      <c r="FH79" s="23">
        <f t="shared" si="136"/>
        <v>7.1546505139974237E-2</v>
      </c>
      <c r="FI79" s="23">
        <f t="shared" si="137"/>
        <v>2.1986025270655249E-3</v>
      </c>
      <c r="FJ79" s="23">
        <f t="shared" si="138"/>
        <v>6.4631681086352907E-2</v>
      </c>
      <c r="FK79" s="23">
        <f t="shared" si="139"/>
        <v>6.3329947799796879E-2</v>
      </c>
      <c r="FL79" s="23">
        <f t="shared" si="140"/>
        <v>4.0514775162258675E-2</v>
      </c>
      <c r="FM79" s="23">
        <f t="shared" si="141"/>
        <v>-7.6155608569336555E-3</v>
      </c>
      <c r="FN79" s="23">
        <f t="shared" si="142"/>
        <v>1.8719137732584438E-2</v>
      </c>
      <c r="FO79" s="23">
        <f t="shared" si="92"/>
        <v>0.24523665665877675</v>
      </c>
      <c r="FP79" s="23">
        <f t="shared" si="93"/>
        <v>0.7547633433412233</v>
      </c>
      <c r="FQ79" s="23">
        <f t="shared" si="94"/>
        <v>3.9465680538803144E-2</v>
      </c>
      <c r="FR79" s="23">
        <f t="shared" si="95"/>
        <v>0.12146328120983076</v>
      </c>
      <c r="FS79" s="23">
        <f t="shared" si="96"/>
        <v>3.5066127105267894E-3</v>
      </c>
      <c r="FT79" s="393">
        <f t="shared" si="97"/>
        <v>1.7694191928810193E-3</v>
      </c>
      <c r="FU79" s="393">
        <f t="shared" si="98"/>
        <v>1.7371935176457702E-3</v>
      </c>
      <c r="FV79" s="23">
        <f t="shared" si="99"/>
        <v>1.0792280278403102E-2</v>
      </c>
      <c r="FW79" s="326">
        <f t="shared" si="305"/>
        <v>-2.3090000000000002</v>
      </c>
      <c r="FX79" s="384">
        <f t="shared" si="269"/>
        <v>-4.4140933258177044E-3</v>
      </c>
      <c r="FY79" s="384">
        <f t="shared" si="270"/>
        <v>-5.3064388111089079E-2</v>
      </c>
      <c r="FZ79" s="384">
        <f t="shared" si="271"/>
        <v>-9.0822351883731202E-3</v>
      </c>
      <c r="GA79" s="384">
        <f t="shared" si="272"/>
        <v>-3.1311482152922711E-2</v>
      </c>
      <c r="GB79" s="673">
        <f>0.2*KK79</f>
        <v>-2.2432000000000003</v>
      </c>
      <c r="GC79" s="384">
        <f t="shared" si="274"/>
        <v>-1.3274036044545322E-2</v>
      </c>
      <c r="GD79" s="319">
        <f t="shared" si="275"/>
        <v>-1.85358</v>
      </c>
      <c r="GE79" s="153">
        <f t="shared" si="276"/>
        <v>-6.3512134184427402E-2</v>
      </c>
      <c r="GF79" s="153">
        <f t="shared" si="151"/>
        <v>-2.4045843329626302</v>
      </c>
      <c r="GG79" s="153">
        <f t="shared" si="277"/>
        <v>0.35299248871746031</v>
      </c>
      <c r="GH79" s="182">
        <v>30.154</v>
      </c>
      <c r="GI79" s="79">
        <v>0.90900000000000003</v>
      </c>
      <c r="GJ79" s="79">
        <v>2.1040000000000001</v>
      </c>
      <c r="GK79" s="79">
        <v>-4.7E-2</v>
      </c>
      <c r="GL79" s="79">
        <v>1.458</v>
      </c>
      <c r="GM79" s="79">
        <f t="shared" si="342"/>
        <v>6.0289999999999999</v>
      </c>
      <c r="GN79" s="79">
        <v>2.7949999999999999</v>
      </c>
      <c r="GO79" s="79">
        <v>3.234</v>
      </c>
      <c r="GP79" s="79">
        <v>3.1139999999999999</v>
      </c>
      <c r="GQ79" s="79">
        <v>0.28999999999999998</v>
      </c>
      <c r="GR79" s="79">
        <f t="shared" si="306"/>
        <v>10.743</v>
      </c>
      <c r="GS79" s="79">
        <f t="shared" si="343"/>
        <v>19.411000000000001</v>
      </c>
      <c r="GT79" s="23">
        <f t="shared" si="307"/>
        <v>0.35627114147376798</v>
      </c>
      <c r="GU79" s="362">
        <f t="shared" si="259"/>
        <v>23.321999999999999</v>
      </c>
      <c r="GV79" s="153">
        <f t="shared" si="344"/>
        <v>4.8680000000000003</v>
      </c>
      <c r="GW79" s="153">
        <f t="shared" si="308"/>
        <v>18.452999999999999</v>
      </c>
      <c r="GX79" s="153">
        <f t="shared" si="309"/>
        <v>0.89950000000000008</v>
      </c>
      <c r="GY79" s="153">
        <f t="shared" si="310"/>
        <v>1.2080000000000002</v>
      </c>
      <c r="GZ79" s="153">
        <f t="shared" si="226"/>
        <v>6.5000000000000002E-2</v>
      </c>
      <c r="HA79" s="153">
        <f t="shared" si="227"/>
        <v>1.147</v>
      </c>
      <c r="HB79" s="153">
        <f t="shared" si="228"/>
        <v>1.2359999999999998</v>
      </c>
      <c r="HC79" s="153">
        <f t="shared" si="229"/>
        <v>2.8029999999999999</v>
      </c>
      <c r="HD79" s="352">
        <f t="shared" si="230"/>
        <v>-1.0380000000000003</v>
      </c>
      <c r="HE79" s="153">
        <f t="shared" si="231"/>
        <v>0.51600000000000001</v>
      </c>
      <c r="HF79" s="153">
        <f t="shared" si="311"/>
        <v>5.0715000000000003</v>
      </c>
      <c r="HG79" s="23">
        <f t="shared" si="345"/>
        <v>0.21745562130177518</v>
      </c>
      <c r="HH79" s="156">
        <f t="shared" si="346"/>
        <v>48.946000000000026</v>
      </c>
      <c r="HI79" s="182">
        <f t="shared" si="312"/>
        <v>11.701000000000001</v>
      </c>
      <c r="HJ79" s="79">
        <v>-1.0000000000012221E-3</v>
      </c>
      <c r="HK79" s="79">
        <f t="shared" si="313"/>
        <v>0.14200000000000002</v>
      </c>
      <c r="HL79" s="79">
        <f t="shared" si="314"/>
        <v>0.89200000000000013</v>
      </c>
      <c r="HM79" s="79">
        <f t="shared" si="315"/>
        <v>-4.1000000000000002E-2</v>
      </c>
      <c r="HN79" s="79">
        <f t="shared" si="316"/>
        <v>-5.0000000000000044E-2</v>
      </c>
      <c r="HO79" s="79">
        <f t="shared" si="317"/>
        <v>4.6829999999999998</v>
      </c>
      <c r="HP79" s="79">
        <f t="shared" si="318"/>
        <v>-0.122</v>
      </c>
      <c r="HQ79" s="79">
        <f t="shared" si="319"/>
        <v>5.5040000000000004</v>
      </c>
      <c r="HR79" s="79">
        <f t="shared" si="320"/>
        <v>6.1970000000000001</v>
      </c>
      <c r="HS79" s="23">
        <f t="shared" si="321"/>
        <v>0.47038714639774382</v>
      </c>
      <c r="HT79" s="28">
        <v>4.8680000000000003</v>
      </c>
      <c r="HU79" s="282">
        <v>-5.0000000000000001E-3</v>
      </c>
      <c r="HV79" s="79">
        <v>-5.0000000000000001E-3</v>
      </c>
      <c r="HW79" s="79">
        <v>7.0000000000000007E-2</v>
      </c>
      <c r="HX79" s="79">
        <v>-0.36099999999999999</v>
      </c>
      <c r="HY79" s="79">
        <v>-0.11</v>
      </c>
      <c r="HZ79" s="79">
        <v>-0.35099999999999998</v>
      </c>
      <c r="IA79" s="79">
        <v>-1.5860000000000001</v>
      </c>
      <c r="IB79" s="79">
        <v>0.10299999999999999</v>
      </c>
      <c r="IC79" s="79">
        <f t="shared" si="322"/>
        <v>-0.308</v>
      </c>
      <c r="ID79" s="79">
        <f t="shared" si="347"/>
        <v>5.1760000000000002</v>
      </c>
      <c r="IE79" s="23">
        <f t="shared" si="348"/>
        <v>-6.3270336894001633E-2</v>
      </c>
      <c r="IF79" s="316">
        <v>6.8319999999999999</v>
      </c>
      <c r="IG79" s="153">
        <v>9.4999999999999998E-3</v>
      </c>
      <c r="IH79" s="153">
        <v>0.89600000000000002</v>
      </c>
      <c r="II79" s="153">
        <v>-0.112</v>
      </c>
      <c r="IJ79" s="153">
        <v>0.311</v>
      </c>
      <c r="IK79" s="153">
        <v>4.7930000000000001</v>
      </c>
      <c r="IL79" s="153">
        <v>-8.0000000000000002E-3</v>
      </c>
      <c r="IM79" s="153">
        <v>4.1520000000000001</v>
      </c>
      <c r="IN79" s="153">
        <v>-0.22600000000000001</v>
      </c>
      <c r="IO79" s="153">
        <f t="shared" si="349"/>
        <v>5.6715</v>
      </c>
      <c r="IP79" s="153">
        <f t="shared" si="235"/>
        <v>1.1604999999999999</v>
      </c>
      <c r="IQ79" s="258">
        <f t="shared" si="350"/>
        <v>6.835</v>
      </c>
      <c r="IR79" s="5">
        <f t="shared" si="323"/>
        <v>326.25299999999999</v>
      </c>
      <c r="IS79" s="79">
        <f t="shared" si="351"/>
        <v>55.781000000000006</v>
      </c>
      <c r="IT79" s="79">
        <f t="shared" si="288"/>
        <v>0</v>
      </c>
      <c r="IU79" s="79">
        <f t="shared" si="352"/>
        <v>18.452999999999999</v>
      </c>
      <c r="IV79" s="79">
        <f t="shared" si="324"/>
        <v>4.8680000000000003</v>
      </c>
      <c r="IW79" s="79">
        <v>6.8319999999999999</v>
      </c>
      <c r="IX79" s="79">
        <f t="shared" si="353"/>
        <v>25.628</v>
      </c>
      <c r="IY79" s="79"/>
      <c r="IZ79" s="79"/>
      <c r="JA79" s="79"/>
      <c r="JB79" s="23">
        <f t="shared" si="162"/>
        <v>7.9203000582637406E-2</v>
      </c>
      <c r="JC79" s="23">
        <f t="shared" si="163"/>
        <v>1.4596280831229366E-2</v>
      </c>
      <c r="JD79" s="23">
        <f t="shared" si="164"/>
        <v>6.460671975140804E-2</v>
      </c>
      <c r="JE79" s="22">
        <f t="shared" si="325"/>
        <v>4.4797533501650805E-3</v>
      </c>
      <c r="JF79" s="22">
        <f t="shared" si="326"/>
        <v>1.1817828704602836E-3</v>
      </c>
      <c r="JG79" s="22">
        <f t="shared" si="327"/>
        <v>1.658574480481647E-3</v>
      </c>
      <c r="JH79" s="5">
        <v>326.25299999999999</v>
      </c>
      <c r="JI79" s="192">
        <v>60.807000000000002</v>
      </c>
      <c r="JJ79" s="76">
        <v>5.53</v>
      </c>
      <c r="JK79" s="76">
        <v>15.507</v>
      </c>
      <c r="JL79" s="76">
        <v>0.874</v>
      </c>
      <c r="JM79" s="76">
        <v>19.690999999999999</v>
      </c>
      <c r="JN79" s="76">
        <f t="shared" si="354"/>
        <v>15.801</v>
      </c>
      <c r="JO79" s="76">
        <v>19.166</v>
      </c>
      <c r="JP79" s="76">
        <v>-3.3650000000000002</v>
      </c>
      <c r="JQ79" s="76">
        <v>-13.137</v>
      </c>
      <c r="JR79" s="76">
        <v>2.722</v>
      </c>
      <c r="JS79" s="76">
        <f t="shared" si="287"/>
        <v>60.125</v>
      </c>
      <c r="JT79" s="76">
        <f t="shared" si="355"/>
        <v>266.12799999999999</v>
      </c>
      <c r="JU79" s="23">
        <f t="shared" si="356"/>
        <v>0.1842894931234349</v>
      </c>
      <c r="JV79" s="23">
        <f t="shared" si="357"/>
        <v>1.6950035708483909E-2</v>
      </c>
      <c r="JW79" s="23">
        <f t="shared" si="358"/>
        <v>4.7530597419793839E-2</v>
      </c>
      <c r="JX79" s="23">
        <f t="shared" si="359"/>
        <v>2.6789025694782882E-3</v>
      </c>
      <c r="JY79" s="23">
        <f t="shared" si="360"/>
        <v>6.0355000567044591E-2</v>
      </c>
      <c r="JZ79" s="23">
        <f t="shared" si="361"/>
        <v>4.8431738558725901E-2</v>
      </c>
      <c r="KA79" s="23">
        <f t="shared" si="362"/>
        <v>8.3432182999083528E-3</v>
      </c>
      <c r="KB79" s="149">
        <v>-1.6040000000000001</v>
      </c>
      <c r="KC79" s="316">
        <v>64.037000000000006</v>
      </c>
      <c r="KD79" s="316">
        <v>65.641000000000005</v>
      </c>
      <c r="KE79" s="589">
        <f t="shared" si="242"/>
        <v>1.0250480191139497</v>
      </c>
      <c r="KF79" s="1071">
        <v>0</v>
      </c>
      <c r="KG79" s="319">
        <f t="shared" si="243"/>
        <v>-6.9500000000000006E-2</v>
      </c>
      <c r="KH79" s="319">
        <f t="shared" si="244"/>
        <v>-0.8354999999999998</v>
      </c>
      <c r="KI79" s="321">
        <f t="shared" si="245"/>
        <v>-0.14300000000000002</v>
      </c>
      <c r="KJ79" s="319">
        <f t="shared" si="246"/>
        <v>-0.49300000000000005</v>
      </c>
      <c r="KK79" s="319">
        <f t="shared" si="285"/>
        <v>-11.216000000000001</v>
      </c>
      <c r="KL79" s="319">
        <f t="shared" si="248"/>
        <v>-0.20899999999999991</v>
      </c>
      <c r="KM79" s="319"/>
      <c r="KN79" s="319"/>
      <c r="KO79" s="319">
        <f t="shared" si="249"/>
        <v>-18.535799999999998</v>
      </c>
      <c r="KP79" s="319">
        <f t="shared" si="250"/>
        <v>-1</v>
      </c>
      <c r="KQ79" s="153">
        <f t="shared" si="328"/>
        <v>-13.757000000000001</v>
      </c>
      <c r="KR79" s="153">
        <f t="shared" si="329"/>
        <v>12.153000000000002</v>
      </c>
      <c r="KS79" s="23">
        <f t="shared" si="178"/>
        <v>2.9503301611963494E-3</v>
      </c>
      <c r="KT79" s="23">
        <f t="shared" si="179"/>
        <v>0.28238143843024932</v>
      </c>
      <c r="KU79" s="326">
        <v>327.85700000000003</v>
      </c>
      <c r="KV79" s="430">
        <f t="shared" si="252"/>
        <v>60.807000000000002</v>
      </c>
      <c r="KW79" s="322">
        <f t="shared" si="181"/>
        <v>5.5994999999999999</v>
      </c>
      <c r="KX79" s="322">
        <f t="shared" si="182"/>
        <v>16.342500000000001</v>
      </c>
      <c r="KY79" s="322">
        <f t="shared" si="183"/>
        <v>1.0169999999999999</v>
      </c>
      <c r="KZ79" s="322">
        <f t="shared" si="184"/>
        <v>20.183999999999997</v>
      </c>
      <c r="LA79" s="322">
        <f t="shared" si="185"/>
        <v>27.017000000000003</v>
      </c>
      <c r="LB79" s="322">
        <f t="shared" si="186"/>
        <v>19.375</v>
      </c>
      <c r="LC79" s="322">
        <f t="shared" si="187"/>
        <v>5.3987999999999978</v>
      </c>
      <c r="LD79" s="322">
        <f t="shared" si="188"/>
        <v>3.722</v>
      </c>
      <c r="LE79" s="322">
        <f t="shared" si="189"/>
        <v>73.882000000000005</v>
      </c>
      <c r="LF79" s="322">
        <f t="shared" si="190"/>
        <v>0</v>
      </c>
      <c r="LG79" s="322">
        <f t="shared" si="191"/>
        <v>253.97499999999999</v>
      </c>
      <c r="LH79" s="367">
        <f t="shared" si="192"/>
        <v>0.22534824633910516</v>
      </c>
      <c r="LI79" s="248">
        <f t="shared" si="193"/>
        <v>1.7079092409190592E-2</v>
      </c>
      <c r="LJ79" s="248">
        <f t="shared" si="194"/>
        <v>4.9846426948334181E-2</v>
      </c>
      <c r="LK79" s="248">
        <f t="shared" si="195"/>
        <v>3.1019621359312135E-3</v>
      </c>
      <c r="LL79" s="248">
        <f t="shared" si="196"/>
        <v>6.1563425517832455E-2</v>
      </c>
      <c r="LM79" s="251">
        <f t="shared" si="197"/>
        <v>8.2404828934565993E-2</v>
      </c>
      <c r="LN79" s="251">
        <f t="shared" si="198"/>
        <v>5.9095886316290328E-2</v>
      </c>
      <c r="LO79" s="251">
        <f t="shared" si="199"/>
        <v>1.6466935279710354E-2</v>
      </c>
      <c r="LP79" s="248">
        <f t="shared" si="200"/>
        <v>1.1352510393250715E-2</v>
      </c>
      <c r="LQ79" s="248">
        <f t="shared" si="201"/>
        <v>7.9592396581860569E-2</v>
      </c>
      <c r="LR79" s="23">
        <f t="shared" si="202"/>
        <v>6.1656389590211691E-2</v>
      </c>
      <c r="LS79" s="23">
        <f t="shared" si="203"/>
        <v>1.7936006991648865E-2</v>
      </c>
      <c r="LT79" s="326">
        <v>89.900999999999996</v>
      </c>
      <c r="LU79" s="153">
        <f t="shared" si="363"/>
        <v>0</v>
      </c>
      <c r="LV79" s="153">
        <f t="shared" si="204"/>
        <v>-1.6040000000000001</v>
      </c>
      <c r="LW79" s="153">
        <f t="shared" si="283"/>
        <v>65.641000000000005</v>
      </c>
      <c r="LX79" s="153">
        <v>25.864000000000001</v>
      </c>
      <c r="LY79" s="23">
        <f>LX79/Liabilities!GT79</f>
        <v>9.9910380419666864E-2</v>
      </c>
      <c r="LZ79" s="23">
        <f t="shared" si="253"/>
        <v>0.25470481067507017</v>
      </c>
      <c r="MA79" s="425">
        <v>167.18600000000001</v>
      </c>
      <c r="MB79" s="153">
        <f t="shared" si="364"/>
        <v>9.9999999999056399E-4</v>
      </c>
      <c r="MC79" s="153">
        <v>75.680000000000007</v>
      </c>
      <c r="MD79" s="153">
        <f t="shared" si="365"/>
        <v>25.864000000000001</v>
      </c>
      <c r="ME79" s="153">
        <f t="shared" si="366"/>
        <v>65.641000000000005</v>
      </c>
      <c r="MF79" s="153">
        <v>101.545</v>
      </c>
      <c r="MG79" s="153">
        <f t="shared" si="208"/>
        <v>64.037000000000006</v>
      </c>
      <c r="MH79" s="326">
        <f t="shared" si="209"/>
        <v>327.85700000000003</v>
      </c>
      <c r="MI79" s="1008">
        <f>FoF_RoW!$BH49/1000</f>
        <v>506.62400000000002</v>
      </c>
      <c r="MJ79" s="1008">
        <v>569.56700000000001</v>
      </c>
      <c r="MK79" s="1008">
        <f>FoF_RoW!$AU49/1000</f>
        <v>31.234999999999999</v>
      </c>
      <c r="ML79" s="1008">
        <f t="shared" si="254"/>
        <v>69.132000000000005</v>
      </c>
      <c r="MM79" s="425">
        <f t="shared" si="210"/>
        <v>508.22800000000001</v>
      </c>
      <c r="MN79" s="23">
        <f t="shared" si="211"/>
        <v>1.5501514379744827</v>
      </c>
      <c r="MO79" s="153">
        <v>681.75099999999998</v>
      </c>
      <c r="MP79" s="425">
        <v>591.85</v>
      </c>
      <c r="MQ79" s="23">
        <f t="shared" si="367"/>
        <v>1.8052077582604611</v>
      </c>
      <c r="MR79" s="23">
        <f t="shared" si="368"/>
        <v>1.1645363891796596</v>
      </c>
      <c r="MS79" s="153">
        <f t="shared" si="212"/>
        <v>-1.6040000000000001</v>
      </c>
      <c r="MT79" s="153">
        <v>89.900999999999996</v>
      </c>
      <c r="MU79" s="153">
        <v>167.18600000000001</v>
      </c>
      <c r="MV79" s="153">
        <v>240.52</v>
      </c>
      <c r="MW79" s="153">
        <v>258.87200000000001</v>
      </c>
      <c r="MX79" s="23">
        <f t="shared" si="369"/>
        <v>0.92910782162613181</v>
      </c>
      <c r="MY79" s="425">
        <f t="shared" si="255"/>
        <v>-68.032000000000011</v>
      </c>
      <c r="MZ79" s="23">
        <f t="shared" si="213"/>
        <v>-1.6515828316177903E-2</v>
      </c>
      <c r="NA79" s="153">
        <v>1850.2159999999999</v>
      </c>
      <c r="NB79" s="153">
        <v>1790.6</v>
      </c>
      <c r="NC79" s="425">
        <f t="shared" si="330"/>
        <v>-170.00600000000003</v>
      </c>
      <c r="ND79" s="23">
        <f t="shared" si="331"/>
        <v>-4.127160613711401E-2</v>
      </c>
      <c r="NE79" s="330">
        <f t="shared" si="332"/>
        <v>172.071</v>
      </c>
      <c r="NF79" s="23">
        <f t="shared" si="333"/>
        <v>4.1772917071275978E-2</v>
      </c>
      <c r="NG79" s="330">
        <f t="shared" si="334"/>
        <v>274.04499999999996</v>
      </c>
      <c r="NH79" s="23">
        <f t="shared" si="335"/>
        <v>6.6528694892212067E-2</v>
      </c>
      <c r="NI79" s="330">
        <v>127.648</v>
      </c>
      <c r="NJ79" s="425">
        <f t="shared" si="63"/>
        <v>38.612000000000002</v>
      </c>
      <c r="NK79" s="403">
        <f t="shared" si="64"/>
        <v>9.3736647892794719E-3</v>
      </c>
      <c r="NL79" s="153">
        <v>38.612000000000002</v>
      </c>
      <c r="NM79" s="153">
        <v>46.287999999999997</v>
      </c>
      <c r="NN79" s="153">
        <v>7.6760000000000002</v>
      </c>
      <c r="NO79" s="425">
        <f t="shared" si="100"/>
        <v>15.637999999999991</v>
      </c>
      <c r="NP79" s="153">
        <v>112.60899999999999</v>
      </c>
      <c r="NQ79" s="153">
        <v>96.971000000000004</v>
      </c>
      <c r="NR79" s="403">
        <f t="shared" si="65"/>
        <v>3.7963682268401613E-3</v>
      </c>
      <c r="NS79" s="403">
        <f t="shared" si="66"/>
        <v>9.3736647892794719E-3</v>
      </c>
      <c r="NT79" s="403">
        <f t="shared" si="67"/>
        <v>-5.5772965624393111E-3</v>
      </c>
      <c r="NU79" s="727">
        <f t="shared" si="215"/>
        <v>7.1533327701275656E-2</v>
      </c>
      <c r="NV79" s="688">
        <f t="shared" si="216"/>
        <v>8.3303163147248865E-2</v>
      </c>
      <c r="NW79" s="688">
        <f t="shared" si="217"/>
        <v>0.12913251814053076</v>
      </c>
      <c r="NX79" s="793">
        <f>(ER79-T.A2!B31*T.A1!M31)/MP79</f>
        <v>6.1682375270634852E-2</v>
      </c>
      <c r="NY79" s="688">
        <f>Liabilities!BU79/Liabilities!GY79</f>
        <v>2.176534175952104E-2</v>
      </c>
      <c r="NZ79" s="688">
        <f>Liabilities!BU79/Liabilities!GT79</f>
        <v>2.0222349269136873E-2</v>
      </c>
      <c r="OA79" s="688">
        <f>Liabilities!BU79/Liabilities!GR79</f>
        <v>2.788817030162908E-2</v>
      </c>
      <c r="OB79" s="688">
        <f t="shared" si="256"/>
        <v>4.9767985941754619E-2</v>
      </c>
      <c r="OC79" s="688">
        <f t="shared" si="257"/>
        <v>6.3080813878111985E-2</v>
      </c>
      <c r="OD79" s="688"/>
      <c r="OE79" s="793">
        <f t="shared" si="218"/>
        <v>9.5618501932203642E-2</v>
      </c>
      <c r="OF79" s="793">
        <f>OE79/(1-'Assets(MOFA)'!GU32)</f>
        <v>0.15816085806042002</v>
      </c>
      <c r="OG79" s="793">
        <f>Liabilities!HV79</f>
        <v>1.4774475836059505E-2</v>
      </c>
      <c r="OH79" s="793"/>
      <c r="OI79" s="22">
        <f t="shared" si="336"/>
        <v>2.9045707950091353E-2</v>
      </c>
      <c r="OJ79" s="22">
        <f t="shared" si="337"/>
        <v>6.3512134184427402E-2</v>
      </c>
      <c r="OK79" s="403">
        <f>Liabilities!CT79/LX79</f>
        <v>4.832972471388803E-2</v>
      </c>
      <c r="OL79" s="403">
        <f>Liabilities!CU79/MF79</f>
        <v>4.6028854202570295E-2</v>
      </c>
      <c r="OM79" s="153"/>
      <c r="OO79" s="186">
        <f t="shared" si="221"/>
        <v>9.1912762150967331E-2</v>
      </c>
      <c r="OP79" s="308">
        <f t="shared" si="370"/>
        <v>0.12338026801320645</v>
      </c>
      <c r="OQ79" s="308">
        <f t="shared" si="371"/>
        <v>1.1340221228020447E-2</v>
      </c>
      <c r="OR79" s="313">
        <f t="shared" si="372"/>
        <v>0</v>
      </c>
      <c r="OS79" s="23">
        <f t="shared" si="373"/>
        <v>0.13352158793883409</v>
      </c>
      <c r="OT79" s="23">
        <f t="shared" si="374"/>
        <v>0.13192594358828313</v>
      </c>
      <c r="OU79" s="23">
        <f t="shared" si="375"/>
        <v>6.5145743977311529E-2</v>
      </c>
      <c r="OV79" s="23">
        <f t="shared" si="376"/>
        <v>9.6493596338079163E-2</v>
      </c>
      <c r="OW79" s="23">
        <f t="shared" si="377"/>
        <v>7.0637006403811237E-2</v>
      </c>
      <c r="OX79" s="23">
        <f t="shared" si="378"/>
        <v>6.3013267508301885E-2</v>
      </c>
      <c r="OY79" s="23">
        <f t="shared" si="379"/>
        <v>0.15155481866892789</v>
      </c>
      <c r="OZ79" s="23">
        <f t="shared" si="380"/>
        <v>0.10002464567777336</v>
      </c>
      <c r="PA79" s="23">
        <f t="shared" si="381"/>
        <v>8.8831601405030769E-2</v>
      </c>
      <c r="PB79" s="23">
        <f t="shared" si="382"/>
        <v>1.1193044272742592E-2</v>
      </c>
      <c r="PC79" s="23"/>
      <c r="PD79" s="23"/>
      <c r="PE79" s="23"/>
      <c r="PF79" s="23"/>
      <c r="PG79" s="69"/>
      <c r="PH79" s="23">
        <f>'Assets(MOFA)'!GU32</f>
        <v>0.39543510888341404</v>
      </c>
      <c r="PI79" s="23">
        <f>'Assets(MOFA)'!HM32</f>
        <v>0.33646914648212228</v>
      </c>
      <c r="PJ79" s="11">
        <f t="shared" si="222"/>
        <v>4.224211135746473E-2</v>
      </c>
      <c r="PL79" s="11">
        <f>'Assets(MOFA)'!GO32/MM79/1000</f>
        <v>3.6735480925883655E-2</v>
      </c>
    </row>
    <row r="80" spans="2:428">
      <c r="B80" s="71">
        <v>1988</v>
      </c>
      <c r="C80" s="43">
        <v>4493.3999999999996</v>
      </c>
      <c r="D80" s="5">
        <v>414.9</v>
      </c>
      <c r="E80" s="19">
        <f t="shared" si="68"/>
        <v>9.233542529042596E-2</v>
      </c>
      <c r="F80" s="72">
        <f t="shared" si="69"/>
        <v>0</v>
      </c>
      <c r="G80" s="76">
        <f t="shared" si="70"/>
        <v>357.9</v>
      </c>
      <c r="H80" s="23">
        <f t="shared" si="71"/>
        <v>7.9650153558552539E-2</v>
      </c>
      <c r="I80" s="74">
        <v>57</v>
      </c>
      <c r="J80" s="19">
        <f t="shared" si="72"/>
        <v>1.2685271731873416E-2</v>
      </c>
      <c r="K80" s="6">
        <f t="shared" si="73"/>
        <v>0.13738250180766451</v>
      </c>
      <c r="L80" s="136">
        <v>71.599999999999994</v>
      </c>
      <c r="M80" s="19">
        <f t="shared" si="74"/>
        <v>1.5934481684248009E-2</v>
      </c>
      <c r="N80" s="63">
        <f t="shared" si="75"/>
        <v>0.17257170402506627</v>
      </c>
      <c r="O80" s="5">
        <f t="shared" si="76"/>
        <v>414.9</v>
      </c>
      <c r="P80" s="75">
        <f t="shared" si="77"/>
        <v>0</v>
      </c>
      <c r="Q80" s="271">
        <v>412.1</v>
      </c>
      <c r="R80" s="202">
        <v>60.9</v>
      </c>
      <c r="S80" s="53">
        <f t="shared" si="78"/>
        <v>0.14678235719450469</v>
      </c>
      <c r="T80" s="74">
        <v>18.100000000000001</v>
      </c>
      <c r="U80" s="74">
        <v>26.500000000000004</v>
      </c>
      <c r="V80" s="207">
        <v>80.099999999999994</v>
      </c>
      <c r="W80" s="53">
        <f t="shared" si="79"/>
        <v>0.19305856832971799</v>
      </c>
      <c r="X80" s="75">
        <f t="shared" si="80"/>
        <v>-22.600000000000023</v>
      </c>
      <c r="Y80" s="187"/>
      <c r="Z80" s="75"/>
      <c r="AA80" s="75"/>
      <c r="AB80" s="75"/>
      <c r="AC80" s="75">
        <f t="shared" si="103"/>
        <v>32.386685320990004</v>
      </c>
      <c r="AD80" s="23">
        <f t="shared" si="81"/>
        <v>7.8059014993950362E-2</v>
      </c>
      <c r="AE80" s="76"/>
      <c r="AF80" s="76">
        <v>35.331569469716442</v>
      </c>
      <c r="AG80" s="76"/>
      <c r="AH80" s="97">
        <v>141.6</v>
      </c>
      <c r="AI80" s="22">
        <f t="shared" si="82"/>
        <v>3.1512885565496064E-2</v>
      </c>
      <c r="AJ80" s="22">
        <f t="shared" si="83"/>
        <v>2.7640539457871545E-2</v>
      </c>
      <c r="AK80" s="99">
        <f t="shared" si="84"/>
        <v>0</v>
      </c>
      <c r="AL80" s="71">
        <v>93.699999999999989</v>
      </c>
      <c r="AM80" s="72">
        <f>(0.25*Fedtax!C61+0.75*Fedtax!C60)/1000</f>
        <v>96.703749999999999</v>
      </c>
      <c r="AN80" s="71">
        <v>26</v>
      </c>
      <c r="AO80" s="255">
        <v>4.5</v>
      </c>
      <c r="AP80" s="71">
        <v>17.399999999999999</v>
      </c>
      <c r="AQ80" s="6">
        <f t="shared" si="85"/>
        <v>6.0822539724929889E-2</v>
      </c>
      <c r="AR80" s="207">
        <v>29.4</v>
      </c>
      <c r="AS80" s="714">
        <v>27.11</v>
      </c>
      <c r="AT80" s="210">
        <f>0.575+4.566+0.105</f>
        <v>5.2460000000000004</v>
      </c>
      <c r="AU80" s="205">
        <f>AT80/AS80</f>
        <v>0.19350793065289562</v>
      </c>
      <c r="AV80" s="709">
        <f>9.392+20.034</f>
        <v>29.425999999999998</v>
      </c>
      <c r="AW80" s="518">
        <f>0.404+0.317+1.993+3.516+0.108+0.075</f>
        <v>6.4130000000000003</v>
      </c>
      <c r="AX80" s="761">
        <f t="shared" si="104"/>
        <v>23.012999999999998</v>
      </c>
      <c r="AY80" s="520">
        <f>AW80/AV80</f>
        <v>0.21793651872493716</v>
      </c>
      <c r="AZ80" s="790">
        <f>AV80-1.704</f>
        <v>27.721999999999998</v>
      </c>
      <c r="BA80" s="84">
        <f>AW80-1.474-0.125-0.06</f>
        <v>4.7540000000000004</v>
      </c>
      <c r="BB80" s="520">
        <f>BA80/AZ80</f>
        <v>0.17148834860399687</v>
      </c>
      <c r="BC80" s="209">
        <v>3.9319999999999999</v>
      </c>
      <c r="BD80" s="707">
        <f>'Assets(MOFA)'!FJ33/1000</f>
        <v>30.841999999999999</v>
      </c>
      <c r="BE80" s="768">
        <f t="shared" si="105"/>
        <v>0.95408858050710066</v>
      </c>
      <c r="BF80" s="234">
        <v>0.34</v>
      </c>
      <c r="BG80" s="437"/>
      <c r="BH80" s="140">
        <f t="shared" si="106"/>
        <v>0.29095770539620808</v>
      </c>
      <c r="BI80" s="248">
        <f t="shared" si="57"/>
        <v>0.29095770539620808</v>
      </c>
      <c r="BJ80" s="23">
        <f t="shared" si="107"/>
        <v>0.24354018311291961</v>
      </c>
      <c r="BK80" s="140">
        <f t="shared" si="108"/>
        <v>0.3382486388384755</v>
      </c>
      <c r="BL80" s="140">
        <f t="shared" si="109"/>
        <v>0.31627809396665924</v>
      </c>
      <c r="BM80" s="248">
        <f t="shared" si="110"/>
        <v>0.36507134963801136</v>
      </c>
      <c r="BN80" s="23">
        <f t="shared" si="111"/>
        <v>0.30138315942732341</v>
      </c>
      <c r="BO80" s="23">
        <f t="shared" si="112"/>
        <v>0.26257928118393231</v>
      </c>
      <c r="BP80" s="149">
        <f t="shared" si="86"/>
        <v>414.9</v>
      </c>
      <c r="BQ80" s="99">
        <f t="shared" si="87"/>
        <v>9.9999999999965894E-2</v>
      </c>
      <c r="BR80" s="153">
        <f t="shared" si="88"/>
        <v>141.6</v>
      </c>
      <c r="BS80" s="79">
        <v>129.9</v>
      </c>
      <c r="BT80" s="79">
        <v>143.30000000000001</v>
      </c>
      <c r="BU80" s="23">
        <f t="shared" si="223"/>
        <v>0.34538442998312852</v>
      </c>
      <c r="BV80" s="71">
        <v>118.2</v>
      </c>
      <c r="BW80" s="71">
        <f t="shared" si="89"/>
        <v>25.100000000000009</v>
      </c>
      <c r="BX80" s="23">
        <f t="shared" si="90"/>
        <v>6.0496505181971583E-2</v>
      </c>
      <c r="BY80" s="23">
        <f t="shared" si="289"/>
        <v>5.5362738009158844E-3</v>
      </c>
      <c r="BZ80" s="23">
        <f t="shared" si="290"/>
        <v>3.8445444959579564E-2</v>
      </c>
      <c r="CA80" s="23">
        <f t="shared" si="291"/>
        <v>3.9350112875987664E-2</v>
      </c>
      <c r="CB80" s="23">
        <f t="shared" si="262"/>
        <v>0.4403508771929826</v>
      </c>
      <c r="CC80" s="169">
        <f t="shared" si="91"/>
        <v>71.599999999999994</v>
      </c>
      <c r="CD80" s="174"/>
      <c r="CF80" s="76">
        <f t="shared" si="58"/>
        <v>59.747</v>
      </c>
      <c r="CH80" s="23">
        <f t="shared" si="59"/>
        <v>0.83445530726256989</v>
      </c>
      <c r="CI80" s="182">
        <v>58.445</v>
      </c>
      <c r="CJ80" s="79">
        <f t="shared" si="292"/>
        <v>0</v>
      </c>
      <c r="CK80" s="79">
        <f t="shared" si="60"/>
        <v>59.747</v>
      </c>
      <c r="CL80" s="159">
        <v>41.744</v>
      </c>
      <c r="CM80" s="159">
        <v>18.001999999999999</v>
      </c>
      <c r="CN80" s="159">
        <v>26.5</v>
      </c>
      <c r="CO80" s="159">
        <f t="shared" si="338"/>
        <v>8.4980000000000011</v>
      </c>
      <c r="CP80" s="79">
        <v>-1.302</v>
      </c>
      <c r="CQ80" s="79">
        <v>2.335</v>
      </c>
      <c r="CR80" s="79">
        <v>3.637</v>
      </c>
      <c r="CS80" s="23">
        <f t="shared" si="293"/>
        <v>0.30130383115470233</v>
      </c>
      <c r="CT80" s="23">
        <f t="shared" si="294"/>
        <v>8.7659677030609787E-3</v>
      </c>
      <c r="CU80" s="73">
        <v>3.9289999999999998</v>
      </c>
      <c r="CV80" s="378">
        <f t="shared" si="295"/>
        <v>1.1316928731288471E-2</v>
      </c>
      <c r="CW80" s="378">
        <f t="shared" si="296"/>
        <v>6.7225596714860128E-2</v>
      </c>
      <c r="CX80" s="79">
        <f t="shared" si="297"/>
        <v>54.515999999999998</v>
      </c>
      <c r="CY80" s="79">
        <f t="shared" si="298"/>
        <v>2.4589999999999961</v>
      </c>
      <c r="CZ80" s="293">
        <f t="shared" si="299"/>
        <v>58.445</v>
      </c>
      <c r="DA80" s="136"/>
      <c r="DB80" s="79"/>
      <c r="DC80" s="79"/>
      <c r="DD80" s="79"/>
      <c r="DE80" s="79"/>
      <c r="DF80" s="79"/>
      <c r="DG80" s="79"/>
      <c r="DH80" s="79"/>
      <c r="DI80" s="182">
        <v>52.057000000000002</v>
      </c>
      <c r="DJ80" s="79">
        <v>1.1719999999999999</v>
      </c>
      <c r="DK80" s="79">
        <v>2.9769999999999999</v>
      </c>
      <c r="DL80" s="79">
        <v>0.104</v>
      </c>
      <c r="DM80" s="79">
        <v>2.7130000000000001</v>
      </c>
      <c r="DN80" s="79">
        <v>1.9690000000000001</v>
      </c>
      <c r="DO80" s="79">
        <v>2.214</v>
      </c>
      <c r="DP80" s="79">
        <v>-1.9079999999999999</v>
      </c>
      <c r="DQ80" s="79">
        <v>0.82499999999999996</v>
      </c>
      <c r="DR80" s="79">
        <f t="shared" si="113"/>
        <v>9.76</v>
      </c>
      <c r="DS80" s="79">
        <f t="shared" si="114"/>
        <v>42.297000000000004</v>
      </c>
      <c r="DT80" s="79">
        <v>0.82499999999999996</v>
      </c>
      <c r="DU80" s="23">
        <f t="shared" si="115"/>
        <v>1.9504929427618976E-2</v>
      </c>
      <c r="DV80" s="23">
        <f t="shared" si="116"/>
        <v>2.2513782968668957E-2</v>
      </c>
      <c r="DW80" s="23">
        <f t="shared" si="117"/>
        <v>5.7187313905910822E-2</v>
      </c>
      <c r="DX80" s="602">
        <f t="shared" si="118"/>
        <v>1.9978100927829107E-3</v>
      </c>
      <c r="DY80" s="23">
        <f t="shared" si="119"/>
        <v>5.2115949824231129E-2</v>
      </c>
      <c r="DZ80" s="23">
        <f t="shared" si="120"/>
        <v>3.7823923775861072E-2</v>
      </c>
      <c r="EA80" s="23">
        <f t="shared" si="121"/>
        <v>4.2530303321359278E-2</v>
      </c>
      <c r="EB80" s="23">
        <f t="shared" si="122"/>
        <v>-3.6652131317594171E-2</v>
      </c>
      <c r="EC80" s="23">
        <f t="shared" si="123"/>
        <v>1.5848012755249052E-2</v>
      </c>
      <c r="ED80" s="23">
        <f t="shared" si="124"/>
        <v>0.18748679332270396</v>
      </c>
      <c r="EE80" s="153">
        <v>23.838999999999999</v>
      </c>
      <c r="EF80" s="23">
        <f t="shared" si="300"/>
        <v>0.4579403346331905</v>
      </c>
      <c r="EG80" s="182">
        <v>14.073</v>
      </c>
      <c r="EH80" s="79">
        <v>0.66800000000000004</v>
      </c>
      <c r="EI80" s="79">
        <v>1.2170000000000001</v>
      </c>
      <c r="EJ80" s="79">
        <v>7.4999999999999997E-2</v>
      </c>
      <c r="EK80" s="79">
        <v>-0.84299999999999997</v>
      </c>
      <c r="EL80" s="79">
        <v>1.3580000000000001</v>
      </c>
      <c r="EM80" s="79">
        <v>-0.17799999999999999</v>
      </c>
      <c r="EN80" s="28">
        <f t="shared" si="301"/>
        <v>2.2970000000000002</v>
      </c>
      <c r="EO80" s="23">
        <f t="shared" si="302"/>
        <v>0.2098820518427551</v>
      </c>
      <c r="EP80" s="79">
        <f t="shared" si="303"/>
        <v>11.776</v>
      </c>
      <c r="EQ80" s="23">
        <f t="shared" si="304"/>
        <v>0.16322035102678889</v>
      </c>
      <c r="ER80" s="182">
        <f t="shared" si="268"/>
        <v>53.359000000000002</v>
      </c>
      <c r="ES80" s="185"/>
      <c r="ET80" s="136">
        <f>'Assets(MOFA)'!W33/1000</f>
        <v>80.266999999999996</v>
      </c>
      <c r="EU80" s="136">
        <f t="shared" si="339"/>
        <v>49.424999999999997</v>
      </c>
      <c r="EV80" s="589">
        <f t="shared" si="340"/>
        <v>0.92627298112783218</v>
      </c>
      <c r="EW80" s="153">
        <f t="shared" si="125"/>
        <v>1.171657497774125</v>
      </c>
      <c r="EX80" s="153">
        <f t="shared" si="126"/>
        <v>2.9927239658242586</v>
      </c>
      <c r="EY80" s="153">
        <f t="shared" si="127"/>
        <v>8.7746712553934653E-2</v>
      </c>
      <c r="EZ80" s="153">
        <f t="shared" si="128"/>
        <v>2.7818740839668519</v>
      </c>
      <c r="FA80" s="153">
        <f t="shared" si="129"/>
        <v>3.0310000000000006</v>
      </c>
      <c r="FB80" s="153">
        <f t="shared" si="130"/>
        <v>2.2541661701253339</v>
      </c>
      <c r="FC80" s="153">
        <f t="shared" si="131"/>
        <v>-0.68592000000000009</v>
      </c>
      <c r="FD80" s="153">
        <f t="shared" si="132"/>
        <v>0.87923989795219504</v>
      </c>
      <c r="FE80" s="153">
        <f t="shared" si="133"/>
        <v>10.944242158071365</v>
      </c>
      <c r="FF80" s="153">
        <f t="shared" si="134"/>
        <v>41.718557598940713</v>
      </c>
      <c r="FG80" s="23">
        <f t="shared" si="135"/>
        <v>2.1958010790571879E-2</v>
      </c>
      <c r="FH80" s="23">
        <f t="shared" si="136"/>
        <v>5.6086582691284664E-2</v>
      </c>
      <c r="FI80" s="23">
        <f t="shared" si="137"/>
        <v>1.6444594642690952E-3</v>
      </c>
      <c r="FJ80" s="23">
        <f t="shared" si="138"/>
        <v>5.2135049082007758E-2</v>
      </c>
      <c r="FK80" s="23">
        <f t="shared" si="139"/>
        <v>5.6803913116812543E-2</v>
      </c>
      <c r="FL80" s="23">
        <f t="shared" si="140"/>
        <v>4.2245285146373317E-2</v>
      </c>
      <c r="FM80" s="23">
        <f t="shared" si="141"/>
        <v>-1.2854813620944922E-2</v>
      </c>
      <c r="FN80" s="23">
        <f t="shared" si="142"/>
        <v>1.6477818136625407E-2</v>
      </c>
      <c r="FO80" s="23">
        <f t="shared" si="92"/>
        <v>0.20510583328157134</v>
      </c>
      <c r="FP80" s="23">
        <f t="shared" si="93"/>
        <v>0.79489416671842861</v>
      </c>
      <c r="FQ80" s="23">
        <f t="shared" si="94"/>
        <v>3.5395463154881915E-2</v>
      </c>
      <c r="FR80" s="23">
        <f t="shared" si="95"/>
        <v>0.13717624087018435</v>
      </c>
      <c r="FS80" s="23">
        <f t="shared" si="96"/>
        <v>3.2682551437576237E-3</v>
      </c>
      <c r="FT80" s="393">
        <f t="shared" si="97"/>
        <v>6.8594809551748858E-4</v>
      </c>
      <c r="FU80" s="393">
        <f t="shared" si="98"/>
        <v>2.5823070482401352E-3</v>
      </c>
      <c r="FV80" s="23">
        <f t="shared" si="99"/>
        <v>1.2666226540490383E-2</v>
      </c>
      <c r="FW80" s="326">
        <f t="shared" si="305"/>
        <v>-1.302</v>
      </c>
      <c r="FX80" s="384">
        <f t="shared" si="269"/>
        <v>3.4250222587493953E-4</v>
      </c>
      <c r="FY80" s="384">
        <f t="shared" si="270"/>
        <v>-1.5723965824258602E-2</v>
      </c>
      <c r="FZ80" s="384">
        <f t="shared" si="271"/>
        <v>1.6253287446065339E-2</v>
      </c>
      <c r="GA80" s="384">
        <f t="shared" si="272"/>
        <v>-6.8874083966851588E-2</v>
      </c>
      <c r="GB80" s="225">
        <f>0.2*KK80</f>
        <v>-1.0620000000000003</v>
      </c>
      <c r="GC80" s="384">
        <f t="shared" si="274"/>
        <v>-4.0166170125333876E-2</v>
      </c>
      <c r="GD80" s="319">
        <f t="shared" si="275"/>
        <v>-1.2220799999999998</v>
      </c>
      <c r="GE80" s="153">
        <f t="shared" si="276"/>
        <v>-5.4239897952195054E-2</v>
      </c>
      <c r="GF80" s="153">
        <f t="shared" si="151"/>
        <v>-1.1842421580713651</v>
      </c>
      <c r="GG80" s="153">
        <f t="shared" si="277"/>
        <v>0.5784424010592909</v>
      </c>
      <c r="GH80" s="182">
        <v>18.599</v>
      </c>
      <c r="GI80" s="79">
        <v>0.72499999999999998</v>
      </c>
      <c r="GJ80" s="79">
        <v>1.446</v>
      </c>
      <c r="GK80" s="79">
        <v>0.42699999999999999</v>
      </c>
      <c r="GL80" s="79">
        <v>-1.145</v>
      </c>
      <c r="GM80" s="79">
        <f t="shared" si="342"/>
        <v>4.4580000000000002</v>
      </c>
      <c r="GN80" s="79">
        <v>0.621</v>
      </c>
      <c r="GO80" s="79">
        <v>3.8370000000000002</v>
      </c>
      <c r="GP80" s="79">
        <v>3.5259999999999998</v>
      </c>
      <c r="GQ80" s="79">
        <v>-0.191</v>
      </c>
      <c r="GR80" s="79">
        <f t="shared" si="306"/>
        <v>5.72</v>
      </c>
      <c r="GS80" s="79">
        <f t="shared" si="343"/>
        <v>12.879000000000001</v>
      </c>
      <c r="GT80" s="23">
        <f t="shared" si="307"/>
        <v>0.30754341631270499</v>
      </c>
      <c r="GU80" s="362">
        <f t="shared" si="259"/>
        <v>7.4120000000000008</v>
      </c>
      <c r="GV80" s="153">
        <f t="shared" si="344"/>
        <v>-6.6619999999999999</v>
      </c>
      <c r="GW80" s="153">
        <f t="shared" si="308"/>
        <v>14.073</v>
      </c>
      <c r="GX80" s="153">
        <f t="shared" si="309"/>
        <v>0.65</v>
      </c>
      <c r="GY80" s="153">
        <f t="shared" si="310"/>
        <v>0.86299999999999999</v>
      </c>
      <c r="GZ80" s="153">
        <f t="shared" si="226"/>
        <v>2.2999999999999965E-2</v>
      </c>
      <c r="HA80" s="153">
        <f t="shared" si="227"/>
        <v>-0.53200000000000003</v>
      </c>
      <c r="HB80" s="153">
        <f t="shared" si="228"/>
        <v>-1.4479999999999995</v>
      </c>
      <c r="HC80" s="153">
        <f t="shared" si="229"/>
        <v>1.0569999999999999</v>
      </c>
      <c r="HD80" s="352">
        <f t="shared" si="230"/>
        <v>-2.7890000000000006</v>
      </c>
      <c r="HE80" s="153">
        <f t="shared" si="231"/>
        <v>-0.32</v>
      </c>
      <c r="HF80" s="153">
        <f t="shared" si="311"/>
        <v>-0.76399999999999968</v>
      </c>
      <c r="HG80" s="23">
        <f t="shared" si="345"/>
        <v>-0.10307609282245003</v>
      </c>
      <c r="HH80" s="156">
        <f t="shared" si="346"/>
        <v>9.7569999999999482</v>
      </c>
      <c r="HI80" s="182">
        <f t="shared" si="312"/>
        <v>4.5259999999999998</v>
      </c>
      <c r="HJ80" s="79">
        <v>-9.9999999999944578E-4</v>
      </c>
      <c r="HK80" s="79">
        <f t="shared" si="313"/>
        <v>5.699999999999994E-2</v>
      </c>
      <c r="HL80" s="79">
        <f t="shared" si="314"/>
        <v>0.22899999999999987</v>
      </c>
      <c r="HM80" s="79">
        <f t="shared" si="315"/>
        <v>0.35199999999999998</v>
      </c>
      <c r="HN80" s="79">
        <f t="shared" si="316"/>
        <v>-0.30200000000000005</v>
      </c>
      <c r="HO80" s="79">
        <f t="shared" si="317"/>
        <v>3.1</v>
      </c>
      <c r="HP80" s="79">
        <f t="shared" si="318"/>
        <v>-1.3000000000000012E-2</v>
      </c>
      <c r="HQ80" s="79">
        <f t="shared" si="319"/>
        <v>3.4229999999999996</v>
      </c>
      <c r="HR80" s="79">
        <f t="shared" si="320"/>
        <v>1.1030000000000002</v>
      </c>
      <c r="HS80" s="23">
        <f t="shared" si="321"/>
        <v>0.75629695095006622</v>
      </c>
      <c r="HT80" s="28">
        <v>-6.6619999999999999</v>
      </c>
      <c r="HU80" s="79">
        <v>-1.7999999999999999E-2</v>
      </c>
      <c r="HV80" s="79">
        <v>-0.35399999999999998</v>
      </c>
      <c r="HW80" s="79">
        <v>-5.1999999999999998E-2</v>
      </c>
      <c r="HX80" s="79">
        <v>0.311</v>
      </c>
      <c r="HY80" s="79">
        <v>-2.8069999999999999</v>
      </c>
      <c r="HZ80" s="79">
        <v>-0.437</v>
      </c>
      <c r="IA80" s="79">
        <v>-2.8439999999999999</v>
      </c>
      <c r="IB80" s="79">
        <v>-0.14199999999999999</v>
      </c>
      <c r="IC80" s="79">
        <f t="shared" si="322"/>
        <v>-3.0619999999999998</v>
      </c>
      <c r="ID80" s="79">
        <f t="shared" si="347"/>
        <v>-3.6</v>
      </c>
      <c r="IE80" s="23">
        <f t="shared" si="348"/>
        <v>0.45962173521465022</v>
      </c>
      <c r="IF80" s="316">
        <v>11.186999999999999</v>
      </c>
      <c r="IG80" s="153">
        <v>7.4999999999999997E-2</v>
      </c>
      <c r="IH80" s="153">
        <v>0.58299999999999996</v>
      </c>
      <c r="II80" s="153">
        <v>0.40400000000000003</v>
      </c>
      <c r="IJ80" s="153">
        <v>-0.61299999999999999</v>
      </c>
      <c r="IK80" s="153">
        <v>5.9059999999999997</v>
      </c>
      <c r="IL80" s="153">
        <v>-0.436</v>
      </c>
      <c r="IM80" s="153">
        <v>6.3150000000000004</v>
      </c>
      <c r="IN80" s="153">
        <v>0.129</v>
      </c>
      <c r="IO80" s="153">
        <f t="shared" si="349"/>
        <v>6.484</v>
      </c>
      <c r="IP80" s="153">
        <f t="shared" si="235"/>
        <v>4.7029999999999994</v>
      </c>
      <c r="IQ80" s="258">
        <f t="shared" si="350"/>
        <v>11.169</v>
      </c>
      <c r="IR80" s="5">
        <f t="shared" si="323"/>
        <v>347.17899999999997</v>
      </c>
      <c r="IS80" s="79">
        <f t="shared" si="351"/>
        <v>20.925999999999988</v>
      </c>
      <c r="IT80" s="79">
        <f t="shared" si="288"/>
        <v>0</v>
      </c>
      <c r="IU80" s="79">
        <f t="shared" si="352"/>
        <v>14.073</v>
      </c>
      <c r="IV80" s="79">
        <f t="shared" si="324"/>
        <v>-6.6619999999999999</v>
      </c>
      <c r="IW80" s="79">
        <v>11.186999999999999</v>
      </c>
      <c r="IX80" s="79">
        <f t="shared" si="353"/>
        <v>2.327999999999987</v>
      </c>
      <c r="IY80" s="79"/>
      <c r="IZ80" s="79"/>
      <c r="JA80" s="79"/>
      <c r="JB80" s="23">
        <f t="shared" si="162"/>
        <v>7.7264209729825964E-2</v>
      </c>
      <c r="JC80" s="23">
        <f t="shared" si="163"/>
        <v>1.4384207949436954E-2</v>
      </c>
      <c r="JD80" s="23">
        <f t="shared" si="164"/>
        <v>6.2880001780389008E-2</v>
      </c>
      <c r="JE80" s="22">
        <f t="shared" si="325"/>
        <v>3.1319268260114838E-3</v>
      </c>
      <c r="JF80" s="22">
        <f t="shared" si="326"/>
        <v>-1.4826189522410649E-3</v>
      </c>
      <c r="JG80" s="22">
        <f t="shared" si="327"/>
        <v>2.4896514888503138E-3</v>
      </c>
      <c r="JH80" s="5">
        <v>347.17899999999997</v>
      </c>
      <c r="JI80" s="192">
        <v>58.444000000000003</v>
      </c>
      <c r="JJ80" s="76">
        <v>6.0629999999999997</v>
      </c>
      <c r="JK80" s="76">
        <v>16.765000000000001</v>
      </c>
      <c r="JL80" s="76">
        <v>1.1220000000000001</v>
      </c>
      <c r="JM80" s="76">
        <v>18.709</v>
      </c>
      <c r="JN80" s="76">
        <f t="shared" si="354"/>
        <v>19.312999999999999</v>
      </c>
      <c r="JO80" s="76">
        <v>18.916</v>
      </c>
      <c r="JP80" s="76">
        <v>0.39700000000000002</v>
      </c>
      <c r="JQ80" s="76">
        <v>-10.077999999999999</v>
      </c>
      <c r="JR80" s="76">
        <v>2.6619999999999999</v>
      </c>
      <c r="JS80" s="76">
        <f t="shared" si="287"/>
        <v>64.634</v>
      </c>
      <c r="JT80" s="76">
        <f t="shared" si="355"/>
        <v>282.54499999999996</v>
      </c>
      <c r="JU80" s="23">
        <f t="shared" si="356"/>
        <v>0.18616909432886208</v>
      </c>
      <c r="JV80" s="23">
        <f t="shared" si="357"/>
        <v>1.7463613870654621E-2</v>
      </c>
      <c r="JW80" s="23">
        <f t="shared" si="358"/>
        <v>4.828921104099039E-2</v>
      </c>
      <c r="JX80" s="23">
        <f t="shared" si="359"/>
        <v>3.231762289769831E-3</v>
      </c>
      <c r="JY80" s="23">
        <f t="shared" si="360"/>
        <v>5.3888628056420466E-2</v>
      </c>
      <c r="JZ80" s="23">
        <f t="shared" si="361"/>
        <v>5.5628364618827753E-2</v>
      </c>
      <c r="KA80" s="23">
        <f t="shared" si="362"/>
        <v>7.6675144521990103E-3</v>
      </c>
      <c r="KB80" s="149">
        <v>9.5649999999999995</v>
      </c>
      <c r="KC80" s="316">
        <v>67.97</v>
      </c>
      <c r="KD80" s="316">
        <v>58.404000000000003</v>
      </c>
      <c r="KE80" s="589">
        <f t="shared" si="242"/>
        <v>0.85926143887008977</v>
      </c>
      <c r="KF80" s="1071">
        <v>0</v>
      </c>
      <c r="KG80" s="319">
        <f t="shared" si="243"/>
        <v>5.499999999999991E-3</v>
      </c>
      <c r="KH80" s="319">
        <f t="shared" si="244"/>
        <v>-0.25249999999999984</v>
      </c>
      <c r="KI80" s="321">
        <f t="shared" si="245"/>
        <v>0.26100000000000001</v>
      </c>
      <c r="KJ80" s="319">
        <f t="shared" si="246"/>
        <v>-1.1060000000000001</v>
      </c>
      <c r="KK80" s="319">
        <f t="shared" si="285"/>
        <v>-5.3100000000000014</v>
      </c>
      <c r="KL80" s="319">
        <f t="shared" si="248"/>
        <v>-0.64499999999999991</v>
      </c>
      <c r="KM80" s="319"/>
      <c r="KN80" s="319"/>
      <c r="KO80" s="319">
        <f t="shared" si="249"/>
        <v>-12.220799999999997</v>
      </c>
      <c r="KP80" s="319">
        <f t="shared" si="250"/>
        <v>-0.871</v>
      </c>
      <c r="KQ80" s="153">
        <f t="shared" si="328"/>
        <v>-7.2730000000000015</v>
      </c>
      <c r="KR80" s="153">
        <f t="shared" si="329"/>
        <v>16.838000000000001</v>
      </c>
      <c r="KS80" s="23">
        <f t="shared" si="178"/>
        <v>3.7472737793207821E-3</v>
      </c>
      <c r="KT80" s="23">
        <f t="shared" si="179"/>
        <v>0.20924594205876304</v>
      </c>
      <c r="KU80" s="326">
        <v>337.61399999999998</v>
      </c>
      <c r="KV80" s="430">
        <f t="shared" si="252"/>
        <v>58.444000000000003</v>
      </c>
      <c r="KW80" s="322">
        <f t="shared" si="181"/>
        <v>6.0575000000000001</v>
      </c>
      <c r="KX80" s="322">
        <f t="shared" si="182"/>
        <v>17.017500000000002</v>
      </c>
      <c r="KY80" s="322">
        <f t="shared" si="183"/>
        <v>0.8610000000000001</v>
      </c>
      <c r="KZ80" s="322">
        <f t="shared" si="184"/>
        <v>19.815000000000001</v>
      </c>
      <c r="LA80" s="322">
        <f t="shared" si="185"/>
        <v>24.623000000000001</v>
      </c>
      <c r="LB80" s="322">
        <f t="shared" si="186"/>
        <v>19.561</v>
      </c>
      <c r="LC80" s="322">
        <f t="shared" si="187"/>
        <v>2.1427999999999976</v>
      </c>
      <c r="LD80" s="322">
        <f t="shared" si="188"/>
        <v>3.5329999999999999</v>
      </c>
      <c r="LE80" s="322">
        <f t="shared" si="189"/>
        <v>71.906999999999996</v>
      </c>
      <c r="LF80" s="322">
        <f t="shared" si="190"/>
        <v>0</v>
      </c>
      <c r="LG80" s="322">
        <f t="shared" si="191"/>
        <v>265.70699999999994</v>
      </c>
      <c r="LH80" s="367">
        <f t="shared" si="192"/>
        <v>0.21298583589543088</v>
      </c>
      <c r="LI80" s="248">
        <f t="shared" si="193"/>
        <v>1.7942087709632897E-2</v>
      </c>
      <c r="LJ80" s="248">
        <f t="shared" si="194"/>
        <v>5.0405196466971162E-2</v>
      </c>
      <c r="LK80" s="248">
        <f t="shared" si="195"/>
        <v>2.550249693436884E-3</v>
      </c>
      <c r="LL80" s="248">
        <f t="shared" si="196"/>
        <v>5.8691286498782642E-2</v>
      </c>
      <c r="LM80" s="251">
        <f t="shared" si="197"/>
        <v>7.2932402092330303E-2</v>
      </c>
      <c r="LN80" s="251">
        <f t="shared" si="198"/>
        <v>5.793894802940637E-2</v>
      </c>
      <c r="LO80" s="251">
        <f t="shared" si="199"/>
        <v>6.3468931975569666E-3</v>
      </c>
      <c r="LP80" s="248">
        <f t="shared" si="200"/>
        <v>1.0464613434277015E-2</v>
      </c>
      <c r="LQ80" s="248">
        <f t="shared" si="201"/>
        <v>7.5135532113766862E-2</v>
      </c>
      <c r="LR80" s="23">
        <f t="shared" si="202"/>
        <v>5.9132728001068224E-2</v>
      </c>
      <c r="LS80" s="23">
        <f t="shared" si="203"/>
        <v>1.6002804112698624E-2</v>
      </c>
      <c r="LT80" s="326">
        <v>100.051</v>
      </c>
      <c r="LU80" s="153">
        <f t="shared" si="363"/>
        <v>9.9999999999766942E-4</v>
      </c>
      <c r="LV80" s="153">
        <f t="shared" si="204"/>
        <v>9.5649999999999995</v>
      </c>
      <c r="LW80" s="153">
        <f t="shared" si="283"/>
        <v>58.404000000000003</v>
      </c>
      <c r="LX80" s="153">
        <v>32.081000000000003</v>
      </c>
      <c r="LY80" s="23">
        <f>LX80/Liabilities!GT80</f>
        <v>0.10199857562538948</v>
      </c>
      <c r="LZ80" s="23">
        <f t="shared" si="253"/>
        <v>0.26885847657199369</v>
      </c>
      <c r="MA80" s="425">
        <v>177.727</v>
      </c>
      <c r="MB80" s="153">
        <f t="shared" si="364"/>
        <v>0</v>
      </c>
      <c r="MC80" s="153">
        <v>87.242000000000004</v>
      </c>
      <c r="MD80" s="153">
        <f t="shared" si="365"/>
        <v>32.081000000000003</v>
      </c>
      <c r="ME80" s="153">
        <f t="shared" si="366"/>
        <v>58.404000000000003</v>
      </c>
      <c r="MF80" s="153">
        <v>119.32299999999999</v>
      </c>
      <c r="MG80" s="153">
        <f t="shared" si="208"/>
        <v>67.97</v>
      </c>
      <c r="MH80" s="326">
        <f t="shared" si="209"/>
        <v>337.61399999999998</v>
      </c>
      <c r="MI80" s="1008">
        <f>FoF_RoW!$BH50/1000</f>
        <v>535.91999999999996</v>
      </c>
      <c r="MJ80" s="1008">
        <v>604.24699999999996</v>
      </c>
      <c r="MK80" s="1008">
        <f>FoF_RoW!$AU50/1000</f>
        <v>16.126999999999999</v>
      </c>
      <c r="ML80" s="1008">
        <f t="shared" si="254"/>
        <v>29.295999999999935</v>
      </c>
      <c r="MM80" s="425">
        <f t="shared" si="210"/>
        <v>526.3549999999999</v>
      </c>
      <c r="MN80" s="23">
        <f t="shared" si="211"/>
        <v>1.5590437600336478</v>
      </c>
      <c r="MO80" s="153">
        <v>782.947</v>
      </c>
      <c r="MP80" s="425">
        <v>682.89599999999996</v>
      </c>
      <c r="MQ80" s="23">
        <f t="shared" si="367"/>
        <v>2.0227123282802255</v>
      </c>
      <c r="MR80" s="23">
        <f t="shared" si="368"/>
        <v>1.2974057432721264</v>
      </c>
      <c r="MS80" s="153">
        <f t="shared" si="212"/>
        <v>9.5649999999999995</v>
      </c>
      <c r="MT80" s="153">
        <v>100.051</v>
      </c>
      <c r="MU80" s="153">
        <v>177.727</v>
      </c>
      <c r="MV80" s="153">
        <v>304.28800000000001</v>
      </c>
      <c r="MW80" s="153">
        <v>314.524</v>
      </c>
      <c r="MX80" s="23">
        <f t="shared" si="369"/>
        <v>0.96745558367564954</v>
      </c>
      <c r="MY80" s="425">
        <f t="shared" si="255"/>
        <v>-85.954999999999728</v>
      </c>
      <c r="MZ80" s="23">
        <f t="shared" si="213"/>
        <v>-1.9129167223038174E-2</v>
      </c>
      <c r="NA80" s="154">
        <v>2098.8510000000001</v>
      </c>
      <c r="NB80" s="153">
        <v>2077.3719999999998</v>
      </c>
      <c r="NC80" s="425">
        <f t="shared" si="330"/>
        <v>-252.73199999999977</v>
      </c>
      <c r="ND80" s="23">
        <f t="shared" si="331"/>
        <v>-5.6245159567365421E-2</v>
      </c>
      <c r="NE80" s="330">
        <f t="shared" si="332"/>
        <v>134.15499999999994</v>
      </c>
      <c r="NF80" s="23">
        <f t="shared" si="333"/>
        <v>2.9856011038411883E-2</v>
      </c>
      <c r="NG80" s="330">
        <f t="shared" si="334"/>
        <v>300.93200000000002</v>
      </c>
      <c r="NH80" s="23">
        <f t="shared" si="335"/>
        <v>6.6972003382739134E-2</v>
      </c>
      <c r="NI80" s="330">
        <v>107.434</v>
      </c>
      <c r="NJ80" s="425">
        <f t="shared" si="63"/>
        <v>46.295000000000002</v>
      </c>
      <c r="NK80" s="403">
        <f t="shared" si="64"/>
        <v>1.0302888681176839E-2</v>
      </c>
      <c r="NL80" s="153">
        <v>46.295000000000002</v>
      </c>
      <c r="NM80" s="153">
        <v>58.445</v>
      </c>
      <c r="NN80" s="153">
        <v>12.15</v>
      </c>
      <c r="NO80" s="425">
        <f t="shared" si="100"/>
        <v>19.536999999999992</v>
      </c>
      <c r="NP80" s="153">
        <v>140.67099999999999</v>
      </c>
      <c r="NQ80" s="153">
        <v>121.134</v>
      </c>
      <c r="NR80" s="403">
        <f t="shared" si="65"/>
        <v>4.3479325232563303E-3</v>
      </c>
      <c r="NS80" s="403">
        <f t="shared" si="66"/>
        <v>1.0302888681176839E-2</v>
      </c>
      <c r="NT80" s="403">
        <f t="shared" si="67"/>
        <v>-5.9549561579205082E-3</v>
      </c>
      <c r="NU80" s="727">
        <f t="shared" si="215"/>
        <v>7.8136348726599664E-2</v>
      </c>
      <c r="NV80" s="688">
        <f t="shared" si="216"/>
        <v>0.10137454759620411</v>
      </c>
      <c r="NW80" s="688">
        <f t="shared" si="217"/>
        <v>0.15804735585609603</v>
      </c>
      <c r="NX80" s="793">
        <f>(ER80-T.A2!B32*T.A1!M32)/MP80</f>
        <v>6.9906144751472138E-2</v>
      </c>
      <c r="NY80" s="688">
        <f>Liabilities!BU80/Liabilities!GY80</f>
        <v>2.5837364601956039E-2</v>
      </c>
      <c r="NZ80" s="688">
        <f>Liabilities!BU80/Liabilities!GT80</f>
        <v>2.4996502651625948E-2</v>
      </c>
      <c r="OA80" s="688">
        <f>Liabilities!BU80/Liabilities!GR80</f>
        <v>3.4556419002074609E-2</v>
      </c>
      <c r="OB80" s="688">
        <f t="shared" si="256"/>
        <v>5.2298984124643622E-2</v>
      </c>
      <c r="OC80" s="688">
        <f t="shared" si="257"/>
        <v>7.6378044944578158E-2</v>
      </c>
      <c r="OD80" s="688"/>
      <c r="OE80" s="793">
        <f t="shared" si="218"/>
        <v>0.11351084344216358</v>
      </c>
      <c r="OF80" s="793">
        <f>OE80/(1-'Assets(MOFA)'!GU33)</f>
        <v>0.18434344705254718</v>
      </c>
      <c r="OG80" s="793">
        <f>Liabilities!HV80</f>
        <v>2.2023522680540544E-2</v>
      </c>
      <c r="OH80" s="793"/>
      <c r="OI80" s="22">
        <f t="shared" si="336"/>
        <v>3.4353391202000885E-2</v>
      </c>
      <c r="OJ80" s="22">
        <f t="shared" si="337"/>
        <v>6.2273131977261829E-2</v>
      </c>
      <c r="OK80" s="403">
        <f>Liabilities!CT80/LX80</f>
        <v>4.1052336273806923E-2</v>
      </c>
      <c r="OL80" s="403">
        <f>Liabilities!CU80/MF80</f>
        <v>5.220284438037931E-2</v>
      </c>
      <c r="OM80" s="153"/>
      <c r="OO80" s="186">
        <f t="shared" si="221"/>
        <v>0.10832714844639063</v>
      </c>
      <c r="OP80" s="308">
        <f t="shared" si="370"/>
        <v>0.11713958249877597</v>
      </c>
      <c r="OQ80" s="308">
        <f t="shared" si="371"/>
        <v>1.2689396942293128E-2</v>
      </c>
      <c r="OR80" s="313">
        <f t="shared" si="372"/>
        <v>0</v>
      </c>
      <c r="OS80" s="23">
        <f t="shared" si="373"/>
        <v>0.13257368557064064</v>
      </c>
      <c r="OT80" s="23">
        <f t="shared" si="374"/>
        <v>0.12053716669928584</v>
      </c>
      <c r="OU80" s="23">
        <f t="shared" si="375"/>
        <v>6.9851828610506622E-2</v>
      </c>
      <c r="OV80" s="23">
        <f t="shared" si="376"/>
        <v>9.6226229446915557E-2</v>
      </c>
      <c r="OW80" s="23">
        <f t="shared" si="377"/>
        <v>8.4371359670161336E-2</v>
      </c>
      <c r="OX80" s="23">
        <f t="shared" si="378"/>
        <v>7.8985059806205321E-2</v>
      </c>
      <c r="OY80" s="23">
        <f t="shared" si="379"/>
        <v>0.17057438983002154</v>
      </c>
      <c r="OZ80" s="23">
        <f t="shared" si="380"/>
        <v>0.10431928468718454</v>
      </c>
      <c r="PA80" s="23">
        <f t="shared" si="381"/>
        <v>0.1076158809451678</v>
      </c>
      <c r="PB80" s="23">
        <f t="shared" si="382"/>
        <v>-3.2965962579832586E-3</v>
      </c>
      <c r="PC80" s="23"/>
      <c r="PD80" s="23"/>
      <c r="PE80" s="23"/>
      <c r="PF80" s="23"/>
      <c r="PG80" s="69"/>
      <c r="PH80" s="23">
        <f>'Assets(MOFA)'!GU33</f>
        <v>0.38424259035469122</v>
      </c>
      <c r="PI80" s="23">
        <f>'Assets(MOFA)'!HM33</f>
        <v>0.34595985741543284</v>
      </c>
      <c r="PJ80" s="11">
        <f t="shared" si="222"/>
        <v>5.3622892156656943E-2</v>
      </c>
      <c r="PL80" s="11">
        <f>'Assets(MOFA)'!GO33/MM80/1000</f>
        <v>4.4437689392140295E-2</v>
      </c>
    </row>
    <row r="81" spans="2:429" s="113" customFormat="1">
      <c r="B81" s="103">
        <v>1989</v>
      </c>
      <c r="C81" s="104">
        <v>4782.2</v>
      </c>
      <c r="D81" s="8">
        <v>414.2</v>
      </c>
      <c r="E81" s="107">
        <f t="shared" si="68"/>
        <v>8.6612856007695208E-2</v>
      </c>
      <c r="F81" s="106">
        <f t="shared" si="69"/>
        <v>0</v>
      </c>
      <c r="G81" s="108">
        <f t="shared" si="70"/>
        <v>347.1</v>
      </c>
      <c r="H81" s="105">
        <f t="shared" si="71"/>
        <v>7.2581656977959944E-2</v>
      </c>
      <c r="I81" s="103">
        <v>67.099999999999994</v>
      </c>
      <c r="J81" s="107">
        <f t="shared" si="72"/>
        <v>1.4031199029735267E-2</v>
      </c>
      <c r="K81" s="105">
        <f t="shared" si="73"/>
        <v>0.16199903428295509</v>
      </c>
      <c r="L81" s="134">
        <v>75.5</v>
      </c>
      <c r="M81" s="107">
        <f t="shared" si="74"/>
        <v>1.578771276818201E-2</v>
      </c>
      <c r="N81" s="116">
        <f t="shared" si="75"/>
        <v>0.1822790922259778</v>
      </c>
      <c r="O81" s="8">
        <f t="shared" si="76"/>
        <v>414.2</v>
      </c>
      <c r="P81" s="108">
        <f t="shared" si="77"/>
        <v>0</v>
      </c>
      <c r="Q81" s="270">
        <v>391.6</v>
      </c>
      <c r="R81" s="201">
        <v>66.7</v>
      </c>
      <c r="S81" s="109">
        <f t="shared" si="78"/>
        <v>0.16103331723804926</v>
      </c>
      <c r="T81" s="103">
        <v>20.7</v>
      </c>
      <c r="U81" s="103">
        <v>24.900000000000002</v>
      </c>
      <c r="V81" s="206">
        <v>82.9</v>
      </c>
      <c r="W81" s="109">
        <f t="shared" si="79"/>
        <v>0.20014485755673589</v>
      </c>
      <c r="X81" s="108">
        <f t="shared" si="80"/>
        <v>-6.8000000000000114</v>
      </c>
      <c r="Y81" s="188"/>
      <c r="Z81" s="108"/>
      <c r="AA81" s="108"/>
      <c r="AB81" s="108"/>
      <c r="AC81" s="108">
        <f t="shared" si="103"/>
        <v>33.734095965683103</v>
      </c>
      <c r="AD81" s="105">
        <f t="shared" si="81"/>
        <v>8.1443978671373984E-2</v>
      </c>
      <c r="AE81" s="108"/>
      <c r="AF81" s="108">
        <v>36.801498618852172</v>
      </c>
      <c r="AG81" s="108"/>
      <c r="AH81" s="110">
        <v>146.1</v>
      </c>
      <c r="AI81" s="107">
        <f t="shared" si="82"/>
        <v>3.0550792522270085E-2</v>
      </c>
      <c r="AJ81" s="107">
        <f t="shared" si="83"/>
        <v>2.6034042909121327E-2</v>
      </c>
      <c r="AK81" s="111">
        <f t="shared" si="84"/>
        <v>9.9999999999994316E-2</v>
      </c>
      <c r="AL81" s="103">
        <v>95.600000000000009</v>
      </c>
      <c r="AM81" s="106">
        <f>(0.25*Fedtax!C62+0.75*Fedtax!C61)/1000</f>
        <v>100.845</v>
      </c>
      <c r="AN81" s="103">
        <v>24.2</v>
      </c>
      <c r="AO81" s="277">
        <v>4.5999999999999996</v>
      </c>
      <c r="AP81" s="103">
        <v>21.6</v>
      </c>
      <c r="AQ81" s="105">
        <f t="shared" si="85"/>
        <v>5.6062063485425126E-2</v>
      </c>
      <c r="AR81" s="206">
        <v>26.8</v>
      </c>
      <c r="AS81" s="715"/>
      <c r="AT81" s="206"/>
      <c r="AU81" s="206"/>
      <c r="AV81" s="781"/>
      <c r="AW81" s="781"/>
      <c r="AX81" s="781"/>
      <c r="AY81" s="782"/>
      <c r="AZ81" s="780"/>
      <c r="BA81" s="781"/>
      <c r="BB81" s="788"/>
      <c r="BC81" s="789"/>
      <c r="BD81" s="708">
        <f>'Assets(MOFA)'!FJ34/1000</f>
        <v>33.290999999999997</v>
      </c>
      <c r="BE81" s="770">
        <f t="shared" si="105"/>
        <v>0</v>
      </c>
      <c r="BF81" s="235">
        <v>0.34</v>
      </c>
      <c r="BG81" s="438"/>
      <c r="BH81" s="141">
        <f t="shared" si="106"/>
        <v>0.29808410052251805</v>
      </c>
      <c r="BI81" s="247">
        <f t="shared" si="57"/>
        <v>0.29808410052251805</v>
      </c>
      <c r="BJ81" s="105">
        <f t="shared" si="107"/>
        <v>0.24731848184818481</v>
      </c>
      <c r="BK81" s="141">
        <f t="shared" si="108"/>
        <v>0.34219734079776065</v>
      </c>
      <c r="BL81" s="141">
        <f t="shared" si="109"/>
        <v>0.32768763553106739</v>
      </c>
      <c r="BM81" s="247">
        <f t="shared" si="110"/>
        <v>0.37142446601480278</v>
      </c>
      <c r="BN81" s="105">
        <f t="shared" si="111"/>
        <v>0.31792645556690496</v>
      </c>
      <c r="BO81" s="105">
        <f t="shared" si="112"/>
        <v>0.27165612044512327</v>
      </c>
      <c r="BP81" s="150">
        <f t="shared" si="86"/>
        <v>414.2</v>
      </c>
      <c r="BQ81" s="111">
        <f t="shared" si="87"/>
        <v>-0.10000000000002274</v>
      </c>
      <c r="BR81" s="154">
        <f t="shared" si="88"/>
        <v>146.1</v>
      </c>
      <c r="BS81" s="134">
        <v>158</v>
      </c>
      <c r="BT81" s="134">
        <v>110.2</v>
      </c>
      <c r="BU81" s="105">
        <f t="shared" si="223"/>
        <v>0.26605504587155965</v>
      </c>
      <c r="BV81" s="103">
        <v>74.7</v>
      </c>
      <c r="BW81" s="103">
        <f t="shared" si="89"/>
        <v>35.5</v>
      </c>
      <c r="BX81" s="105">
        <f t="shared" si="90"/>
        <v>8.5707387735393534E-2</v>
      </c>
      <c r="BY81" s="105">
        <f t="shared" si="289"/>
        <v>6.880733944954128E-3</v>
      </c>
      <c r="BZ81" s="105">
        <f t="shared" si="290"/>
        <v>4.6119489934623593E-2</v>
      </c>
      <c r="CA81" s="105">
        <f t="shared" si="291"/>
        <v>5.2267029453879954E-2</v>
      </c>
      <c r="CB81" s="105">
        <f t="shared" si="262"/>
        <v>0.52906110283159469</v>
      </c>
      <c r="CC81" s="170">
        <f t="shared" si="91"/>
        <v>75.5</v>
      </c>
      <c r="CD81" s="175"/>
      <c r="CF81" s="108">
        <f t="shared" si="58"/>
        <v>61.795999999999999</v>
      </c>
      <c r="CH81" s="105">
        <f t="shared" si="59"/>
        <v>0.81849006622516551</v>
      </c>
      <c r="CI81" s="183">
        <v>61.981000000000002</v>
      </c>
      <c r="CJ81" s="134">
        <f t="shared" si="292"/>
        <v>2.2759572004815709E-15</v>
      </c>
      <c r="CK81" s="134">
        <f t="shared" si="60"/>
        <v>61.795999999999999</v>
      </c>
      <c r="CL81" s="160">
        <v>43.256999999999998</v>
      </c>
      <c r="CM81" s="160">
        <v>18.539000000000001</v>
      </c>
      <c r="CN81" s="160">
        <v>27.6</v>
      </c>
      <c r="CO81" s="160">
        <f t="shared" si="338"/>
        <v>9.0609999999999999</v>
      </c>
      <c r="CP81" s="134">
        <v>0.185</v>
      </c>
      <c r="CQ81" s="134">
        <v>3.379</v>
      </c>
      <c r="CR81" s="134">
        <v>3.194</v>
      </c>
      <c r="CS81" s="105">
        <f t="shared" si="293"/>
        <v>0.30000323645543403</v>
      </c>
      <c r="CT81" s="105">
        <f t="shared" si="294"/>
        <v>7.7112506035731535E-3</v>
      </c>
      <c r="CU81" s="106">
        <v>5.843</v>
      </c>
      <c r="CV81" s="379">
        <f t="shared" si="295"/>
        <v>1.5304585613218048E-2</v>
      </c>
      <c r="CW81" s="379">
        <f t="shared" si="296"/>
        <v>9.4270824930220543E-2</v>
      </c>
      <c r="CX81" s="134">
        <f t="shared" si="297"/>
        <v>56.138000000000005</v>
      </c>
      <c r="CY81" s="134">
        <f t="shared" si="298"/>
        <v>2.2090000000000032</v>
      </c>
      <c r="CZ81" s="515">
        <f t="shared" si="299"/>
        <v>61.981000000000002</v>
      </c>
      <c r="DA81" s="134"/>
      <c r="DB81" s="134"/>
      <c r="DC81" s="134"/>
      <c r="DD81" s="134"/>
      <c r="DE81" s="134"/>
      <c r="DF81" s="134"/>
      <c r="DG81" s="134"/>
      <c r="DH81" s="134"/>
      <c r="DI81" s="183">
        <v>53.929000000000002</v>
      </c>
      <c r="DJ81" s="134">
        <v>1.286</v>
      </c>
      <c r="DK81" s="134">
        <v>3.129</v>
      </c>
      <c r="DL81" s="134">
        <v>0.182</v>
      </c>
      <c r="DM81" s="134">
        <v>3.8050000000000002</v>
      </c>
      <c r="DN81" s="134">
        <v>2.7610000000000001</v>
      </c>
      <c r="DO81" s="134">
        <v>2.6520000000000001</v>
      </c>
      <c r="DP81" s="134">
        <v>-1.3089999999999999</v>
      </c>
      <c r="DQ81" s="134">
        <v>0.72699999999999998</v>
      </c>
      <c r="DR81" s="134">
        <f t="shared" si="113"/>
        <v>11.89</v>
      </c>
      <c r="DS81" s="134">
        <f t="shared" si="114"/>
        <v>42.039000000000001</v>
      </c>
      <c r="DT81" s="134">
        <v>0.64600000000000002</v>
      </c>
      <c r="DU81" s="105">
        <f t="shared" si="115"/>
        <v>1.5366683317871501E-2</v>
      </c>
      <c r="DV81" s="105">
        <f t="shared" si="116"/>
        <v>2.3846168109922305E-2</v>
      </c>
      <c r="DW81" s="105">
        <f t="shared" si="117"/>
        <v>5.8020730961078452E-2</v>
      </c>
      <c r="DX81" s="105">
        <f t="shared" si="118"/>
        <v>3.3748076174229076E-3</v>
      </c>
      <c r="DY81" s="105">
        <f t="shared" si="119"/>
        <v>7.055573068293497E-2</v>
      </c>
      <c r="DZ81" s="105">
        <f t="shared" si="120"/>
        <v>5.1196944130245323E-2</v>
      </c>
      <c r="EA81" s="105">
        <f t="shared" si="121"/>
        <v>4.9175768139590945E-2</v>
      </c>
      <c r="EB81" s="105">
        <f t="shared" si="122"/>
        <v>-2.4272654786849375E-2</v>
      </c>
      <c r="EC81" s="105">
        <f t="shared" si="123"/>
        <v>1.3480687570694802E-2</v>
      </c>
      <c r="ED81" s="105">
        <f t="shared" si="124"/>
        <v>0.22047506907229875</v>
      </c>
      <c r="EE81" s="154">
        <v>21.936</v>
      </c>
      <c r="EF81" s="105">
        <f t="shared" si="300"/>
        <v>0.40675703239444455</v>
      </c>
      <c r="EG81" s="183">
        <v>12.696</v>
      </c>
      <c r="EH81" s="134">
        <v>0.59899999999999998</v>
      </c>
      <c r="EI81" s="134">
        <v>1.335</v>
      </c>
      <c r="EJ81" s="134">
        <v>9.6000000000000002E-2</v>
      </c>
      <c r="EK81" s="134">
        <v>1.5209999999999999</v>
      </c>
      <c r="EL81" s="134">
        <v>-0.95799999999999996</v>
      </c>
      <c r="EM81" s="134">
        <v>0.25700000000000001</v>
      </c>
      <c r="EN81" s="133">
        <f t="shared" si="301"/>
        <v>2.8499999999999996</v>
      </c>
      <c r="EO81" s="105">
        <f t="shared" si="302"/>
        <v>0.23706548624207674</v>
      </c>
      <c r="EP81" s="134">
        <f t="shared" si="303"/>
        <v>9.8460000000000001</v>
      </c>
      <c r="EQ81" s="105">
        <f t="shared" si="304"/>
        <v>0.22448015122873344</v>
      </c>
      <c r="ER81" s="183">
        <f t="shared" si="268"/>
        <v>53.744</v>
      </c>
      <c r="ES81" s="133"/>
      <c r="ET81" s="134">
        <f>'Assets(MOFA)'!W34/1000</f>
        <v>85.593999999999994</v>
      </c>
      <c r="EU81" s="134">
        <f t="shared" si="339"/>
        <v>52.302999999999997</v>
      </c>
      <c r="EV81" s="728">
        <f t="shared" si="340"/>
        <v>0.97318770467401006</v>
      </c>
      <c r="EW81" s="154">
        <f t="shared" si="125"/>
        <v>1.2864746210758475</v>
      </c>
      <c r="EX81" s="154">
        <f t="shared" si="126"/>
        <v>3.0806635904334359</v>
      </c>
      <c r="EY81" s="154">
        <f t="shared" si="127"/>
        <v>0.17005953293394441</v>
      </c>
      <c r="EZ81" s="154">
        <f t="shared" si="128"/>
        <v>3.8776919647745225</v>
      </c>
      <c r="FA81" s="154">
        <f t="shared" si="129"/>
        <v>2.8301947568472263</v>
      </c>
      <c r="FB81" s="154">
        <f t="shared" si="130"/>
        <v>2.7384309959174735</v>
      </c>
      <c r="FC81" s="154">
        <f t="shared" si="131"/>
        <v>-0.55312000000000017</v>
      </c>
      <c r="FD81" s="154">
        <f t="shared" si="132"/>
        <v>0.77691015313384737</v>
      </c>
      <c r="FE81" s="154">
        <f t="shared" si="133"/>
        <v>12.021994619198825</v>
      </c>
      <c r="FF81" s="154">
        <f t="shared" si="134"/>
        <v>40.90898495938491</v>
      </c>
      <c r="FG81" s="105">
        <f t="shared" si="135"/>
        <v>2.3937083601441044E-2</v>
      </c>
      <c r="FH81" s="105">
        <f t="shared" si="136"/>
        <v>5.7321070081003199E-2</v>
      </c>
      <c r="FI81" s="105">
        <f t="shared" si="137"/>
        <v>3.1642515059159054E-3</v>
      </c>
      <c r="FJ81" s="105">
        <f t="shared" si="138"/>
        <v>7.2151160404408346E-2</v>
      </c>
      <c r="FK81" s="105">
        <f t="shared" si="139"/>
        <v>5.2660664573668248E-2</v>
      </c>
      <c r="FL81" s="105">
        <f t="shared" si="140"/>
        <v>5.0953241216088747E-2</v>
      </c>
      <c r="FM81" s="105">
        <f t="shared" si="141"/>
        <v>-1.0291753498064904E-2</v>
      </c>
      <c r="FN81" s="105">
        <f t="shared" si="142"/>
        <v>1.4455756049677124E-2</v>
      </c>
      <c r="FO81" s="105">
        <f t="shared" si="92"/>
        <v>0.22368998621611386</v>
      </c>
      <c r="FP81" s="105">
        <f t="shared" si="93"/>
        <v>0.77631001378388609</v>
      </c>
      <c r="FQ81" s="105">
        <f t="shared" si="94"/>
        <v>4.0774007627514722E-2</v>
      </c>
      <c r="FR81" s="105">
        <f t="shared" si="95"/>
        <v>0.14150508459846306</v>
      </c>
      <c r="FS81" s="105">
        <f t="shared" si="96"/>
        <v>3.5315532514985986E-3</v>
      </c>
      <c r="FT81" s="398">
        <f t="shared" si="97"/>
        <v>8.3720938875630243E-4</v>
      </c>
      <c r="FU81" s="398">
        <f t="shared" si="98"/>
        <v>2.6943438627422961E-3</v>
      </c>
      <c r="FV81" s="105">
        <f t="shared" si="99"/>
        <v>1.225615951668341E-2</v>
      </c>
      <c r="FW81" s="327">
        <f t="shared" si="305"/>
        <v>0.185</v>
      </c>
      <c r="FX81" s="385">
        <f t="shared" si="269"/>
        <v>-4.746210758473984E-4</v>
      </c>
      <c r="FY81" s="385">
        <f t="shared" si="270"/>
        <v>4.8336409566563959E-2</v>
      </c>
      <c r="FZ81" s="385">
        <f t="shared" si="271"/>
        <v>1.1940467066055593E-2</v>
      </c>
      <c r="GA81" s="385">
        <f t="shared" si="272"/>
        <v>-7.2691964774522541E-2</v>
      </c>
      <c r="GB81" s="385">
        <f>$OJ81*KK81</f>
        <v>-6.9194756847225994E-2</v>
      </c>
      <c r="GC81" s="385">
        <f t="shared" si="274"/>
        <v>-8.6430995917473524E-2</v>
      </c>
      <c r="GD81" s="320">
        <f t="shared" si="275"/>
        <v>-0.75587999999999977</v>
      </c>
      <c r="GE81" s="154">
        <f t="shared" si="276"/>
        <v>-4.9910153133847432E-2</v>
      </c>
      <c r="GF81" s="154">
        <f t="shared" si="151"/>
        <v>-0.13199461919882383</v>
      </c>
      <c r="GG81" s="154">
        <f t="shared" si="277"/>
        <v>1.1300150406150906</v>
      </c>
      <c r="GH81" s="183">
        <v>37.603999999999999</v>
      </c>
      <c r="GI81" s="134">
        <v>0.79300000000000004</v>
      </c>
      <c r="GJ81" s="134">
        <v>3.1120000000000001</v>
      </c>
      <c r="GK81" s="134">
        <v>6.5000000000000002E-2</v>
      </c>
      <c r="GL81" s="134">
        <v>1.2689999999999999</v>
      </c>
      <c r="GM81" s="134">
        <f t="shared" si="342"/>
        <v>4.3920000000000003</v>
      </c>
      <c r="GN81" s="134">
        <v>-0.502</v>
      </c>
      <c r="GO81" s="134">
        <v>4.8940000000000001</v>
      </c>
      <c r="GP81" s="134">
        <v>3.8140000000000001</v>
      </c>
      <c r="GQ81" s="134">
        <v>0.16500000000000001</v>
      </c>
      <c r="GR81" s="134">
        <f t="shared" si="306"/>
        <v>9.7959999999999994</v>
      </c>
      <c r="GS81" s="134">
        <f t="shared" si="343"/>
        <v>27.808</v>
      </c>
      <c r="GT81" s="105">
        <f t="shared" si="307"/>
        <v>0.26050420168067223</v>
      </c>
      <c r="GU81" s="363">
        <f t="shared" si="259"/>
        <v>19.091999999999999</v>
      </c>
      <c r="GV81" s="154">
        <f t="shared" si="344"/>
        <v>6.3949999999999996</v>
      </c>
      <c r="GW81" s="154">
        <f t="shared" si="308"/>
        <v>12.696</v>
      </c>
      <c r="GX81" s="154">
        <f t="shared" si="309"/>
        <v>0.80800000000000005</v>
      </c>
      <c r="GY81" s="154">
        <f t="shared" si="310"/>
        <v>1.8920000000000001</v>
      </c>
      <c r="GZ81" s="154">
        <f t="shared" si="226"/>
        <v>8.6999999999999994E-2</v>
      </c>
      <c r="HA81" s="154">
        <f t="shared" si="227"/>
        <v>1.6179999999999999</v>
      </c>
      <c r="HB81" s="154">
        <f t="shared" si="228"/>
        <v>0.46700000000000053</v>
      </c>
      <c r="HC81" s="154">
        <f t="shared" si="229"/>
        <v>0.58299999999999996</v>
      </c>
      <c r="HD81" s="353">
        <f t="shared" si="230"/>
        <v>-0.84799999999999986</v>
      </c>
      <c r="HE81" s="154">
        <f t="shared" si="231"/>
        <v>0.29300000000000004</v>
      </c>
      <c r="HF81" s="154">
        <f t="shared" si="311"/>
        <v>5.1650000000000009</v>
      </c>
      <c r="HG81" s="105">
        <f t="shared" si="345"/>
        <v>0.27053216006704384</v>
      </c>
      <c r="HH81" s="154">
        <f t="shared" si="346"/>
        <v>16.01400000000001</v>
      </c>
      <c r="HI81" s="183">
        <f t="shared" si="312"/>
        <v>24.908000000000001</v>
      </c>
      <c r="HJ81" s="134">
        <v>-1.0000000000012221E-3</v>
      </c>
      <c r="HK81" s="134">
        <f t="shared" si="313"/>
        <v>0.19400000000000006</v>
      </c>
      <c r="HL81" s="134">
        <f t="shared" si="314"/>
        <v>1.7770000000000001</v>
      </c>
      <c r="HM81" s="134">
        <f t="shared" si="315"/>
        <v>-3.1E-2</v>
      </c>
      <c r="HN81" s="134">
        <f t="shared" si="316"/>
        <v>-0.252</v>
      </c>
      <c r="HO81" s="134">
        <f t="shared" si="317"/>
        <v>5.3500000000000005</v>
      </c>
      <c r="HP81" s="134">
        <f t="shared" si="318"/>
        <v>-9.1999999999999998E-2</v>
      </c>
      <c r="HQ81" s="134">
        <f t="shared" si="319"/>
        <v>6.9460000000000015</v>
      </c>
      <c r="HR81" s="134">
        <f t="shared" ref="HR81:HR103" si="383">HI81-HQ81</f>
        <v>17.962</v>
      </c>
      <c r="HS81" s="105">
        <f t="shared" si="321"/>
        <v>0.27886622771800229</v>
      </c>
      <c r="HT81" s="133">
        <v>6.3949999999999996</v>
      </c>
      <c r="HU81" s="134">
        <v>0.20899999999999999</v>
      </c>
      <c r="HV81" s="134">
        <v>0.55600000000000005</v>
      </c>
      <c r="HW81" s="134">
        <v>-8.9999999999999993E-3</v>
      </c>
      <c r="HX81" s="134">
        <v>9.8000000000000004E-2</v>
      </c>
      <c r="HY81" s="134">
        <v>1.425</v>
      </c>
      <c r="HZ81" s="134">
        <v>1.4730000000000001</v>
      </c>
      <c r="IA81" s="134">
        <v>-1.125</v>
      </c>
      <c r="IB81" s="134">
        <v>3.6999999999999998E-2</v>
      </c>
      <c r="IC81" s="134">
        <f t="shared" si="322"/>
        <v>2.3160000000000003</v>
      </c>
      <c r="ID81" s="134">
        <f t="shared" si="347"/>
        <v>4.0789999999999988</v>
      </c>
      <c r="IE81" s="105">
        <f t="shared" si="348"/>
        <v>0.36215793588741213</v>
      </c>
      <c r="IF81" s="317">
        <v>18.512</v>
      </c>
      <c r="IG81" s="154">
        <v>-1.4999999999999999E-2</v>
      </c>
      <c r="IH81" s="154">
        <v>1.22</v>
      </c>
      <c r="II81" s="154">
        <v>-2.1999999999999999E-2</v>
      </c>
      <c r="IJ81" s="154">
        <v>-0.34899999999999998</v>
      </c>
      <c r="IK81" s="154">
        <v>3.9249999999999998</v>
      </c>
      <c r="IL81" s="154">
        <v>-1.085</v>
      </c>
      <c r="IM81" s="154">
        <v>4.6619999999999999</v>
      </c>
      <c r="IN81" s="154">
        <v>-0.128</v>
      </c>
      <c r="IO81" s="154">
        <f t="shared" si="349"/>
        <v>4.6310000000000002</v>
      </c>
      <c r="IP81" s="154">
        <f t="shared" si="235"/>
        <v>13.881</v>
      </c>
      <c r="IQ81" s="350">
        <f t="shared" si="350"/>
        <v>18.588000000000001</v>
      </c>
      <c r="IR81" s="8">
        <f t="shared" si="323"/>
        <v>381.78100000000001</v>
      </c>
      <c r="IS81" s="134">
        <f t="shared" si="351"/>
        <v>34.602000000000032</v>
      </c>
      <c r="IT81" s="134">
        <f t="shared" si="288"/>
        <v>0</v>
      </c>
      <c r="IU81" s="134">
        <f t="shared" si="352"/>
        <v>12.696</v>
      </c>
      <c r="IV81" s="134">
        <f t="shared" si="324"/>
        <v>6.3949999999999996</v>
      </c>
      <c r="IW81" s="134">
        <v>18.512</v>
      </c>
      <c r="IX81" s="134">
        <f t="shared" si="353"/>
        <v>-3.0009999999999657</v>
      </c>
      <c r="IY81" s="134"/>
      <c r="IZ81" s="134"/>
      <c r="JA81" s="134"/>
      <c r="JB81" s="105">
        <f t="shared" si="162"/>
        <v>7.9833758521182727E-2</v>
      </c>
      <c r="JC81" s="105">
        <f t="shared" si="163"/>
        <v>1.5060014219396933E-2</v>
      </c>
      <c r="JD81" s="105">
        <f t="shared" si="164"/>
        <v>6.4773744301785785E-2</v>
      </c>
      <c r="JE81" s="107">
        <f t="shared" si="325"/>
        <v>2.6548450503952156E-3</v>
      </c>
      <c r="JF81" s="107">
        <f t="shared" si="326"/>
        <v>1.3372506377817741E-3</v>
      </c>
      <c r="JG81" s="107">
        <f t="shared" si="327"/>
        <v>3.8710217054911968E-3</v>
      </c>
      <c r="JH81" s="8">
        <v>381.78100000000001</v>
      </c>
      <c r="JI81" s="1067">
        <v>48.325000000000003</v>
      </c>
      <c r="JJ81" s="108">
        <v>4.665</v>
      </c>
      <c r="JK81" s="108">
        <v>19.16</v>
      </c>
      <c r="JL81" s="108">
        <v>1.56</v>
      </c>
      <c r="JM81" s="108">
        <v>21.143999999999998</v>
      </c>
      <c r="JN81" s="108">
        <f t="shared" si="354"/>
        <v>22.493000000000002</v>
      </c>
      <c r="JO81" s="108">
        <v>18.297000000000001</v>
      </c>
      <c r="JP81" s="108">
        <v>4.1959999999999997</v>
      </c>
      <c r="JQ81" s="108">
        <v>-8.3780000000000001</v>
      </c>
      <c r="JR81" s="108">
        <v>2.9980000000000002</v>
      </c>
      <c r="JS81" s="108">
        <f t="shared" si="287"/>
        <v>72.02000000000001</v>
      </c>
      <c r="JT81" s="108">
        <f t="shared" si="355"/>
        <v>309.76099999999997</v>
      </c>
      <c r="JU81" s="105">
        <f t="shared" si="356"/>
        <v>0.18864217967892591</v>
      </c>
      <c r="JV81" s="105">
        <f t="shared" si="357"/>
        <v>1.2219047045295601E-2</v>
      </c>
      <c r="JW81" s="105">
        <f t="shared" si="358"/>
        <v>5.018583952580144E-2</v>
      </c>
      <c r="JX81" s="105">
        <f t="shared" si="359"/>
        <v>4.0861121952113907E-3</v>
      </c>
      <c r="JY81" s="105">
        <f t="shared" si="360"/>
        <v>5.5382536061249772E-2</v>
      </c>
      <c r="JZ81" s="105">
        <f t="shared" si="361"/>
        <v>5.8915975389031934E-2</v>
      </c>
      <c r="KA81" s="105">
        <f t="shared" si="362"/>
        <v>7.852669462335737E-3</v>
      </c>
      <c r="KB81" s="150">
        <v>28.152999999999999</v>
      </c>
      <c r="KC81" s="317">
        <v>92.084000000000003</v>
      </c>
      <c r="KD81" s="317">
        <v>63.930999999999997</v>
      </c>
      <c r="KE81" s="728">
        <f t="shared" si="242"/>
        <v>0.6942682767907562</v>
      </c>
      <c r="KF81" s="1073">
        <v>0</v>
      </c>
      <c r="KG81" s="320">
        <f t="shared" si="243"/>
        <v>-9.5000000000000084E-3</v>
      </c>
      <c r="KH81" s="320">
        <f t="shared" si="244"/>
        <v>0.96750000000000014</v>
      </c>
      <c r="KI81" s="325">
        <f t="shared" si="245"/>
        <v>0.23900000000000002</v>
      </c>
      <c r="KJ81" s="320">
        <f t="shared" si="246"/>
        <v>-1.4550000000000001</v>
      </c>
      <c r="KK81" s="320">
        <f t="shared" si="285"/>
        <v>-1.3850000000000016</v>
      </c>
      <c r="KL81" s="320">
        <f t="shared" si="248"/>
        <v>-1.73</v>
      </c>
      <c r="KM81" s="320"/>
      <c r="KN81" s="320"/>
      <c r="KO81" s="320">
        <f t="shared" si="249"/>
        <v>-7.5587999999999971</v>
      </c>
      <c r="KP81" s="320">
        <f t="shared" si="250"/>
        <v>-0.999</v>
      </c>
      <c r="KQ81" s="154">
        <f t="shared" si="328"/>
        <v>-2.6420000000000012</v>
      </c>
      <c r="KR81" s="154">
        <f t="shared" si="329"/>
        <v>30.795000000000002</v>
      </c>
      <c r="KS81" s="105">
        <f t="shared" si="178"/>
        <v>6.4395048304127815E-3</v>
      </c>
      <c r="KT81" s="105">
        <f t="shared" si="179"/>
        <v>0.11823372073016217</v>
      </c>
      <c r="KU81" s="327">
        <v>353.62799999999999</v>
      </c>
      <c r="KV81" s="426">
        <f t="shared" si="252"/>
        <v>48.325000000000003</v>
      </c>
      <c r="KW81" s="323">
        <f t="shared" si="181"/>
        <v>4.6745000000000001</v>
      </c>
      <c r="KX81" s="323">
        <f t="shared" si="182"/>
        <v>18.192499999999999</v>
      </c>
      <c r="KY81" s="323">
        <f t="shared" si="183"/>
        <v>1.321</v>
      </c>
      <c r="KZ81" s="323">
        <f t="shared" si="184"/>
        <v>22.598999999999997</v>
      </c>
      <c r="LA81" s="323">
        <f t="shared" si="185"/>
        <v>23.878000000000004</v>
      </c>
      <c r="LB81" s="323">
        <f t="shared" si="186"/>
        <v>20.027000000000001</v>
      </c>
      <c r="LC81" s="323">
        <f t="shared" si="187"/>
        <v>-0.81920000000000304</v>
      </c>
      <c r="LD81" s="323">
        <f t="shared" si="188"/>
        <v>3.9970000000000003</v>
      </c>
      <c r="LE81" s="323">
        <f t="shared" si="189"/>
        <v>74.662000000000006</v>
      </c>
      <c r="LF81" s="323">
        <f t="shared" si="190"/>
        <v>0</v>
      </c>
      <c r="LG81" s="323">
        <f t="shared" si="191"/>
        <v>278.96599999999995</v>
      </c>
      <c r="LH81" s="368">
        <f t="shared" si="192"/>
        <v>0.21113147148981418</v>
      </c>
      <c r="LI81" s="247">
        <f t="shared" si="193"/>
        <v>1.3218693089913695E-2</v>
      </c>
      <c r="LJ81" s="247">
        <f t="shared" si="194"/>
        <v>5.1445304104878575E-2</v>
      </c>
      <c r="LK81" s="247">
        <f t="shared" si="195"/>
        <v>3.735563925933467E-3</v>
      </c>
      <c r="LL81" s="247">
        <f t="shared" si="196"/>
        <v>6.3906138654178962E-2</v>
      </c>
      <c r="LM81" s="247">
        <f t="shared" si="197"/>
        <v>6.7522933704344687E-2</v>
      </c>
      <c r="LN81" s="247">
        <f t="shared" si="198"/>
        <v>5.6632958928591631E-2</v>
      </c>
      <c r="LO81" s="247">
        <f t="shared" si="199"/>
        <v>-2.3165586435463341E-3</v>
      </c>
      <c r="LP81" s="247">
        <f t="shared" si="200"/>
        <v>1.1302838010564776E-2</v>
      </c>
      <c r="LQ81" s="247">
        <f t="shared" si="201"/>
        <v>7.394671908326711E-2</v>
      </c>
      <c r="LR81" s="105">
        <f t="shared" si="202"/>
        <v>5.8334239471372999E-2</v>
      </c>
      <c r="LS81" s="105">
        <f t="shared" si="203"/>
        <v>1.5612479611894109E-2</v>
      </c>
      <c r="LT81" s="327">
        <v>125.658</v>
      </c>
      <c r="LU81" s="154">
        <f t="shared" si="363"/>
        <v>0</v>
      </c>
      <c r="LV81" s="154">
        <f t="shared" si="204"/>
        <v>28.152999999999999</v>
      </c>
      <c r="LW81" s="154">
        <f t="shared" si="283"/>
        <v>63.930999999999997</v>
      </c>
      <c r="LX81" s="154">
        <v>33.573999999999998</v>
      </c>
      <c r="LY81" s="105">
        <f>LX81/Liabilities!GT81</f>
        <v>9.4303690803887411E-2</v>
      </c>
      <c r="LZ81" s="105">
        <f t="shared" si="253"/>
        <v>0.23084433443344332</v>
      </c>
      <c r="MA81" s="426">
        <v>209.37100000000001</v>
      </c>
      <c r="MB81" s="154">
        <f t="shared" si="364"/>
        <v>0</v>
      </c>
      <c r="MC81" s="154">
        <v>111.866</v>
      </c>
      <c r="MD81" s="154">
        <f t="shared" si="365"/>
        <v>33.573999999999998</v>
      </c>
      <c r="ME81" s="154">
        <f t="shared" si="366"/>
        <v>63.930999999999997</v>
      </c>
      <c r="MF81" s="154">
        <v>145.44</v>
      </c>
      <c r="MG81" s="154">
        <f t="shared" si="208"/>
        <v>92.084000000000003</v>
      </c>
      <c r="MH81" s="327">
        <f t="shared" si="209"/>
        <v>353.62799999999999</v>
      </c>
      <c r="MI81" s="1009">
        <f>FoF_RoW!$BH51/1000</f>
        <v>570.65499999999997</v>
      </c>
      <c r="MJ81" s="1009">
        <v>650.59799999999996</v>
      </c>
      <c r="MK81" s="1009">
        <f>FoF_RoW!$AU51/1000</f>
        <v>38.817</v>
      </c>
      <c r="ML81" s="1009">
        <f t="shared" si="254"/>
        <v>34.735000000000014</v>
      </c>
      <c r="MM81" s="426">
        <f t="shared" si="210"/>
        <v>542.50199999999995</v>
      </c>
      <c r="MN81" s="105">
        <f t="shared" si="211"/>
        <v>1.5341036343275984</v>
      </c>
      <c r="MO81" s="154">
        <v>929.96500000000003</v>
      </c>
      <c r="MP81" s="426">
        <v>804.30700000000002</v>
      </c>
      <c r="MQ81" s="105">
        <f t="shared" si="367"/>
        <v>2.2744437657651546</v>
      </c>
      <c r="MR81" s="23">
        <f t="shared" si="368"/>
        <v>1.4825880826245803</v>
      </c>
      <c r="MS81" s="154">
        <f t="shared" si="212"/>
        <v>28.152999999999999</v>
      </c>
      <c r="MT81" s="154">
        <v>125.658</v>
      </c>
      <c r="MU81" s="154">
        <v>209.37100000000001</v>
      </c>
      <c r="MV81" s="154">
        <v>422.86799999999999</v>
      </c>
      <c r="MW81" s="154">
        <v>356.02</v>
      </c>
      <c r="MX81" s="23">
        <f t="shared" si="369"/>
        <v>1.1877647323184091</v>
      </c>
      <c r="MY81" s="426">
        <f t="shared" si="255"/>
        <v>-138.87700000000018</v>
      </c>
      <c r="MZ81" s="105">
        <f t="shared" si="213"/>
        <v>-2.9040399815984313E-2</v>
      </c>
      <c r="NA81" s="153">
        <v>2447.7399999999998</v>
      </c>
      <c r="NB81" s="154">
        <v>2481.453</v>
      </c>
      <c r="NC81" s="426">
        <f t="shared" si="330"/>
        <v>-333.83400000000023</v>
      </c>
      <c r="ND81" s="105">
        <f t="shared" si="331"/>
        <v>-6.9807619923884456E-2</v>
      </c>
      <c r="NE81" s="415">
        <f t="shared" si="332"/>
        <v>102.76899999999998</v>
      </c>
      <c r="NF81" s="105">
        <f t="shared" si="333"/>
        <v>2.1489900046003926E-2</v>
      </c>
      <c r="NG81" s="415">
        <f t="shared" si="334"/>
        <v>297.726</v>
      </c>
      <c r="NH81" s="105">
        <f t="shared" si="335"/>
        <v>6.2257120153904062E-2</v>
      </c>
      <c r="NI81" s="415">
        <v>105.164</v>
      </c>
      <c r="NJ81" s="426">
        <f t="shared" si="63"/>
        <v>54.936</v>
      </c>
      <c r="NK81" s="406">
        <f t="shared" si="64"/>
        <v>1.148759984944168E-2</v>
      </c>
      <c r="NL81" s="154">
        <v>54.936</v>
      </c>
      <c r="NM81" s="154">
        <v>61.981000000000002</v>
      </c>
      <c r="NN81" s="154">
        <v>7.0449999999999999</v>
      </c>
      <c r="NO81" s="426">
        <f t="shared" si="100"/>
        <v>21.092999999999989</v>
      </c>
      <c r="NP81" s="154">
        <v>165.36699999999999</v>
      </c>
      <c r="NQ81" s="154">
        <v>144.274</v>
      </c>
      <c r="NR81" s="406">
        <f t="shared" si="65"/>
        <v>4.4107314625067943E-3</v>
      </c>
      <c r="NS81" s="406">
        <f t="shared" si="66"/>
        <v>1.148759984944168E-2</v>
      </c>
      <c r="NT81" s="406">
        <f t="shared" si="67"/>
        <v>-7.0768683869348852E-3</v>
      </c>
      <c r="NU81" s="738">
        <f t="shared" si="215"/>
        <v>6.6820256444367634E-2</v>
      </c>
      <c r="NV81" s="691">
        <f t="shared" si="216"/>
        <v>9.9066915882337764E-2</v>
      </c>
      <c r="NW81" s="691">
        <f t="shared" si="217"/>
        <v>0.15197891569672084</v>
      </c>
      <c r="NX81" s="795">
        <f>(ER81-T.A2!B33*T.A1!M33)/MP81</f>
        <v>6.0004470196337853E-2</v>
      </c>
      <c r="NY81" s="691">
        <f>Liabilities!BU81/Liabilities!GY81</f>
        <v>6.5505074869699113E-4</v>
      </c>
      <c r="NZ81" s="691">
        <f>Liabilities!BU81/Liabilities!GT81</f>
        <v>7.78046177181055E-4</v>
      </c>
      <c r="OA81" s="691">
        <f>Liabilities!BU81/Liabilities!GR81</f>
        <v>1.0775778229037776E-3</v>
      </c>
      <c r="OB81" s="691">
        <f t="shared" si="256"/>
        <v>6.6165205695670637E-2</v>
      </c>
      <c r="OC81" s="691">
        <f t="shared" si="257"/>
        <v>9.8288869705156712E-2</v>
      </c>
      <c r="OD81" s="691"/>
      <c r="OE81" s="795">
        <f t="shared" si="218"/>
        <v>0.11390925747739179</v>
      </c>
      <c r="OF81" s="795">
        <f>OE81/(1-'Assets(MOFA)'!GU34)</f>
        <v>0.18641280585281672</v>
      </c>
      <c r="OG81" s="795">
        <f>Liabilities!HV81</f>
        <v>2.0256322042077565E-3</v>
      </c>
      <c r="OH81" s="795"/>
      <c r="OI81" s="107">
        <f t="shared" si="336"/>
        <v>3.6694756961035573E-2</v>
      </c>
      <c r="OJ81" s="107">
        <f t="shared" si="337"/>
        <v>4.9960113247094526E-2</v>
      </c>
      <c r="OK81" s="406">
        <f>Liabilities!CT81/LX81</f>
        <v>5.6680764877583847E-2</v>
      </c>
      <c r="OL81" s="406">
        <f>Liabilities!CU81/MF81</f>
        <v>6.2685643564356436E-2</v>
      </c>
      <c r="OM81" s="154"/>
      <c r="OO81" s="232">
        <f t="shared" si="221"/>
        <v>0.10878124936951618</v>
      </c>
      <c r="OP81" s="310">
        <f t="shared" si="370"/>
        <v>0.11344193049224206</v>
      </c>
      <c r="OQ81" s="310">
        <f t="shared" si="371"/>
        <v>1.2340354929835906E-2</v>
      </c>
      <c r="OR81" s="314">
        <f t="shared" si="372"/>
        <v>0</v>
      </c>
      <c r="OS81" s="105">
        <f t="shared" si="373"/>
        <v>0.19698663420926099</v>
      </c>
      <c r="OT81" s="105">
        <f t="shared" si="374"/>
        <v>0.12120557409666106</v>
      </c>
      <c r="OU81" s="105">
        <f t="shared" si="375"/>
        <v>9.2144382737846323E-2</v>
      </c>
      <c r="OV81" s="105">
        <f t="shared" si="376"/>
        <v>0.12281595379630504</v>
      </c>
      <c r="OW81" s="105">
        <f t="shared" si="377"/>
        <v>8.483773690929039E-2</v>
      </c>
      <c r="OX81" s="105">
        <f t="shared" si="378"/>
        <v>9.7871581209473965E-2</v>
      </c>
      <c r="OY81" s="105">
        <f t="shared" si="379"/>
        <v>0.13912569588230742</v>
      </c>
      <c r="OZ81" s="105">
        <f t="shared" si="380"/>
        <v>0.11525177180045683</v>
      </c>
      <c r="PA81" s="105">
        <f t="shared" si="381"/>
        <v>0.10496345783650494</v>
      </c>
      <c r="PB81" s="105">
        <f t="shared" si="382"/>
        <v>1.0288313963951884E-2</v>
      </c>
      <c r="PC81" s="105"/>
      <c r="PD81" s="105"/>
      <c r="PE81" s="105"/>
      <c r="PF81" s="105"/>
      <c r="PG81" s="181"/>
      <c r="PH81" s="23">
        <f>'Assets(MOFA)'!GU34</f>
        <v>0.38894081360843052</v>
      </c>
      <c r="PI81" s="105">
        <f>'Assets(MOFA)'!HM34</f>
        <v>0.34921228748389244</v>
      </c>
      <c r="PJ81" s="112">
        <f t="shared" si="222"/>
        <v>5.3159246316269775E-2</v>
      </c>
      <c r="PL81" s="112">
        <f>'Assets(MOFA)'!GO34/MM81/1000</f>
        <v>4.645697158720153E-2</v>
      </c>
    </row>
    <row r="82" spans="2:429">
      <c r="B82" s="71">
        <v>1990</v>
      </c>
      <c r="C82" s="43">
        <v>5036.1000000000004</v>
      </c>
      <c r="D82" s="5">
        <v>417.2</v>
      </c>
      <c r="E82" s="6">
        <f t="shared" si="68"/>
        <v>8.2841881614741555E-2</v>
      </c>
      <c r="F82" s="72">
        <f t="shared" si="69"/>
        <v>0</v>
      </c>
      <c r="G82" s="76">
        <f t="shared" si="70"/>
        <v>341.1</v>
      </c>
      <c r="H82" s="23">
        <f t="shared" si="71"/>
        <v>6.7730982307738136E-2</v>
      </c>
      <c r="I82" s="74">
        <v>76.099999999999994</v>
      </c>
      <c r="J82" s="19">
        <f t="shared" si="72"/>
        <v>1.5110899307003434E-2</v>
      </c>
      <c r="K82" s="6">
        <f t="shared" si="73"/>
        <v>0.18240651965484178</v>
      </c>
      <c r="L82" s="136">
        <v>81</v>
      </c>
      <c r="M82" s="19">
        <f t="shared" si="74"/>
        <v>1.6083874426639659E-2</v>
      </c>
      <c r="N82" s="63">
        <f t="shared" si="75"/>
        <v>0.19415148609779484</v>
      </c>
      <c r="O82" s="5">
        <f t="shared" si="76"/>
        <v>417.2</v>
      </c>
      <c r="P82" s="75">
        <f t="shared" si="77"/>
        <v>0</v>
      </c>
      <c r="Q82" s="271">
        <v>378.8</v>
      </c>
      <c r="R82" s="202">
        <v>65.2</v>
      </c>
      <c r="S82" s="53">
        <f t="shared" si="78"/>
        <v>0.15627996164908917</v>
      </c>
      <c r="T82" s="74">
        <v>21.9</v>
      </c>
      <c r="U82" s="74">
        <v>13.1</v>
      </c>
      <c r="V82" s="207">
        <v>62.8</v>
      </c>
      <c r="W82" s="53">
        <f t="shared" si="79"/>
        <v>0.15052732502396932</v>
      </c>
      <c r="X82" s="75">
        <f t="shared" si="80"/>
        <v>1</v>
      </c>
      <c r="Y82" s="187"/>
      <c r="Z82" s="75"/>
      <c r="AA82" s="75"/>
      <c r="AB82" s="75"/>
      <c r="AC82" s="75">
        <f t="shared" si="103"/>
        <v>33.91537910795418</v>
      </c>
      <c r="AD82" s="23">
        <f t="shared" si="81"/>
        <v>8.1292855004684042E-2</v>
      </c>
      <c r="AE82" s="76"/>
      <c r="AF82" s="76">
        <v>36.999265629318288</v>
      </c>
      <c r="AG82" s="76"/>
      <c r="AH82" s="97">
        <v>145.4</v>
      </c>
      <c r="AI82" s="22">
        <f t="shared" si="82"/>
        <v>2.8871547427572922E-2</v>
      </c>
      <c r="AJ82" s="22">
        <f t="shared" si="83"/>
        <v>2.4185381545243342E-2</v>
      </c>
      <c r="AK82" s="99">
        <f t="shared" si="84"/>
        <v>0</v>
      </c>
      <c r="AL82" s="71">
        <v>94.500000000000014</v>
      </c>
      <c r="AM82" s="72">
        <f>(0.25*Fedtax!C63+0.75*Fedtax!C62)/1000</f>
        <v>94.651750000000007</v>
      </c>
      <c r="AN82" s="71">
        <v>22.5</v>
      </c>
      <c r="AO82" s="255">
        <v>4.8</v>
      </c>
      <c r="AP82" s="71">
        <v>23.6</v>
      </c>
      <c r="AQ82" s="6">
        <f t="shared" si="85"/>
        <v>5.397033418716863E-2</v>
      </c>
      <c r="AR82" s="207">
        <v>28.2</v>
      </c>
      <c r="AS82" s="714">
        <v>24.986999999999998</v>
      </c>
      <c r="AT82" s="207"/>
      <c r="AU82" s="207"/>
      <c r="AV82" s="709">
        <v>27.513999999999999</v>
      </c>
      <c r="AW82" s="785"/>
      <c r="AX82" s="785"/>
      <c r="AY82" s="520"/>
      <c r="AZ82" s="82"/>
      <c r="BA82" s="82"/>
      <c r="BB82" s="638"/>
      <c r="BC82" s="209"/>
      <c r="BD82" s="722">
        <f>'Assets(MOFA)'!FJ35/1000</f>
        <v>31.693000000000001</v>
      </c>
      <c r="BE82" s="753">
        <f t="shared" si="105"/>
        <v>0.86814122992458898</v>
      </c>
      <c r="BF82" s="234">
        <v>0.34</v>
      </c>
      <c r="BG82" s="437"/>
      <c r="BH82" s="140">
        <f t="shared" si="106"/>
        <v>0.29235382308845576</v>
      </c>
      <c r="BI82" s="248">
        <f t="shared" ref="BI82:BI108" si="384">(AL82+AN82)/(G82+L82-T82-AE82)</f>
        <v>0.29235382308845576</v>
      </c>
      <c r="BJ82" s="23">
        <f t="shared" si="107"/>
        <v>0.25269978401727861</v>
      </c>
      <c r="BK82" s="140">
        <f t="shared" si="108"/>
        <v>0.33893557422969189</v>
      </c>
      <c r="BL82" s="140">
        <f t="shared" si="109"/>
        <v>0.33905076750762675</v>
      </c>
      <c r="BM82" s="248">
        <f t="shared" si="110"/>
        <v>0.36807518547024737</v>
      </c>
      <c r="BN82" s="23">
        <f t="shared" si="111"/>
        <v>0.32154171066525872</v>
      </c>
      <c r="BO82" s="23">
        <f t="shared" si="112"/>
        <v>0.27432432432432435</v>
      </c>
      <c r="BP82" s="149">
        <f t="shared" si="86"/>
        <v>417.2</v>
      </c>
      <c r="BQ82" s="99">
        <f t="shared" si="87"/>
        <v>0</v>
      </c>
      <c r="BR82" s="153">
        <f t="shared" si="88"/>
        <v>145.4</v>
      </c>
      <c r="BS82" s="79">
        <v>169.1</v>
      </c>
      <c r="BT82" s="79">
        <v>102.7</v>
      </c>
      <c r="BU82" s="23">
        <f t="shared" si="223"/>
        <v>0.24616490891658679</v>
      </c>
      <c r="BV82" s="71">
        <v>51.6</v>
      </c>
      <c r="BW82" s="71">
        <f t="shared" si="89"/>
        <v>51.1</v>
      </c>
      <c r="BX82" s="23">
        <f t="shared" si="90"/>
        <v>0.12248322147651007</v>
      </c>
      <c r="BY82" s="23">
        <f t="shared" si="289"/>
        <v>1.8406040268456381E-2</v>
      </c>
      <c r="BZ82" s="23">
        <f t="shared" si="290"/>
        <v>0.11962922573609598</v>
      </c>
      <c r="CA82" s="23">
        <f t="shared" si="291"/>
        <v>0.13161046720351169</v>
      </c>
      <c r="CB82" s="23">
        <f t="shared" si="262"/>
        <v>0.67148488830486208</v>
      </c>
      <c r="CC82" s="169">
        <f t="shared" si="91"/>
        <v>81</v>
      </c>
      <c r="CD82" s="174"/>
      <c r="CF82" s="76">
        <f t="shared" si="58"/>
        <v>64.19</v>
      </c>
      <c r="CH82" s="23">
        <f t="shared" si="59"/>
        <v>0.79246913580246914</v>
      </c>
      <c r="CI82" s="182">
        <v>65.972999999999999</v>
      </c>
      <c r="CJ82" s="79">
        <f t="shared" si="292"/>
        <v>0</v>
      </c>
      <c r="CK82" s="79">
        <f t="shared" si="60"/>
        <v>64.19</v>
      </c>
      <c r="CL82" s="159">
        <v>36.552999999999997</v>
      </c>
      <c r="CM82" s="159">
        <v>27.638000000000002</v>
      </c>
      <c r="CN82" s="159">
        <v>37.299999999999997</v>
      </c>
      <c r="CO82" s="159">
        <f t="shared" si="338"/>
        <v>9.6619999999999955</v>
      </c>
      <c r="CP82" s="79">
        <v>1.7829999999999999</v>
      </c>
      <c r="CQ82" s="79">
        <v>4.9619999999999997</v>
      </c>
      <c r="CR82" s="79">
        <v>3.1789999999999998</v>
      </c>
      <c r="CS82" s="23">
        <f t="shared" si="293"/>
        <v>0.43056550864620663</v>
      </c>
      <c r="CT82" s="23">
        <f t="shared" si="294"/>
        <v>7.6198465963566633E-3</v>
      </c>
      <c r="CU82" s="73">
        <v>6.2009999999999996</v>
      </c>
      <c r="CV82" s="378">
        <f t="shared" si="295"/>
        <v>1.4403478575957966E-2</v>
      </c>
      <c r="CW82" s="378">
        <f t="shared" si="296"/>
        <v>9.3992997135191658E-2</v>
      </c>
      <c r="CX82" s="79">
        <f t="shared" si="297"/>
        <v>59.771999999999998</v>
      </c>
      <c r="CY82" s="79">
        <f t="shared" si="298"/>
        <v>1.7680000000000007</v>
      </c>
      <c r="CZ82" s="293">
        <f t="shared" si="299"/>
        <v>65.972999999999999</v>
      </c>
      <c r="DA82" s="136"/>
      <c r="DB82" s="79"/>
      <c r="DC82" s="79"/>
      <c r="DD82" s="79"/>
      <c r="DE82" s="79"/>
      <c r="DF82" s="79"/>
      <c r="DG82" s="79"/>
      <c r="DH82" s="79"/>
      <c r="DI82" s="182">
        <v>58.003999999999998</v>
      </c>
      <c r="DJ82" s="79">
        <v>1.4330000000000001</v>
      </c>
      <c r="DK82" s="79">
        <v>4.117</v>
      </c>
      <c r="DL82" s="79">
        <v>0.17699999999999999</v>
      </c>
      <c r="DM82" s="79">
        <v>4.423</v>
      </c>
      <c r="DN82" s="79">
        <v>3.0190000000000001</v>
      </c>
      <c r="DO82" s="79">
        <v>2.0670000000000002</v>
      </c>
      <c r="DP82" s="79">
        <v>-0.93200000000000005</v>
      </c>
      <c r="DQ82" s="79">
        <v>1.127</v>
      </c>
      <c r="DR82" s="79">
        <f t="shared" si="113"/>
        <v>14.295999999999999</v>
      </c>
      <c r="DS82" s="79">
        <f t="shared" si="114"/>
        <v>43.707999999999998</v>
      </c>
      <c r="DT82" s="79">
        <v>1.071</v>
      </c>
      <c r="DU82" s="23">
        <f t="shared" si="115"/>
        <v>2.450352338244715E-2</v>
      </c>
      <c r="DV82" s="23">
        <f t="shared" si="116"/>
        <v>2.4705192745327911E-2</v>
      </c>
      <c r="DW82" s="23">
        <f t="shared" si="117"/>
        <v>7.0977863595614102E-2</v>
      </c>
      <c r="DX82" s="23">
        <f t="shared" si="118"/>
        <v>3.0515136887111233E-3</v>
      </c>
      <c r="DY82" s="23">
        <f t="shared" si="119"/>
        <v>7.6253361837114689E-2</v>
      </c>
      <c r="DZ82" s="23">
        <f t="shared" si="120"/>
        <v>5.2048134611406116E-2</v>
      </c>
      <c r="EA82" s="23">
        <f t="shared" si="121"/>
        <v>3.5635473415626513E-2</v>
      </c>
      <c r="EB82" s="23">
        <f t="shared" si="122"/>
        <v>-1.6067857389145578E-2</v>
      </c>
      <c r="EC82" s="23">
        <f t="shared" si="123"/>
        <v>1.9429694503827324E-2</v>
      </c>
      <c r="ED82" s="23">
        <f t="shared" si="124"/>
        <v>0.24646576098200124</v>
      </c>
      <c r="EE82" s="153">
        <v>21.754999999999999</v>
      </c>
      <c r="EF82" s="23">
        <f t="shared" si="300"/>
        <v>0.37506034066616095</v>
      </c>
      <c r="EG82" s="182">
        <v>21.437000000000001</v>
      </c>
      <c r="EH82" s="79">
        <v>0.78100000000000003</v>
      </c>
      <c r="EI82" s="79">
        <v>2.403</v>
      </c>
      <c r="EJ82" s="79">
        <v>-0.09</v>
      </c>
      <c r="EK82" s="79">
        <v>2.1230000000000002</v>
      </c>
      <c r="EL82" s="79">
        <v>1.798</v>
      </c>
      <c r="EM82" s="79">
        <v>0.66400000000000003</v>
      </c>
      <c r="EN82" s="28">
        <f t="shared" si="301"/>
        <v>7.6790000000000012</v>
      </c>
      <c r="EO82" s="23">
        <f t="shared" si="302"/>
        <v>0.53399087434754422</v>
      </c>
      <c r="EP82" s="79">
        <f t="shared" si="303"/>
        <v>13.757999999999999</v>
      </c>
      <c r="EQ82" s="23">
        <f t="shared" si="304"/>
        <v>0.35821243644166634</v>
      </c>
      <c r="ER82" s="182">
        <f t="shared" si="268"/>
        <v>56.220999999999997</v>
      </c>
      <c r="ES82" s="185"/>
      <c r="ET82" s="136">
        <f>'Assets(MOFA)'!W35/1000</f>
        <v>84.575000000000003</v>
      </c>
      <c r="EU82" s="136">
        <f t="shared" si="339"/>
        <v>52.882000000000005</v>
      </c>
      <c r="EV82" s="589">
        <f t="shared" si="340"/>
        <v>0.94060938083634249</v>
      </c>
      <c r="EW82" s="153">
        <f t="shared" si="125"/>
        <v>1.4192857210581209</v>
      </c>
      <c r="EX82" s="153">
        <f t="shared" si="126"/>
        <v>4.2515807812648143</v>
      </c>
      <c r="EY82" s="153">
        <f t="shared" si="127"/>
        <v>0.16025006433786182</v>
      </c>
      <c r="EZ82" s="153">
        <f t="shared" si="128"/>
        <v>4.477426526161806</v>
      </c>
      <c r="FA82" s="153">
        <f t="shared" si="129"/>
        <v>2.8992960896124833</v>
      </c>
      <c r="FB82" s="153">
        <f t="shared" si="130"/>
        <v>2.1545819258015144</v>
      </c>
      <c r="FC82" s="153">
        <f t="shared" si="131"/>
        <v>-0.62332000000000032</v>
      </c>
      <c r="FD82" s="153">
        <f t="shared" si="132"/>
        <v>1.1725563802841701</v>
      </c>
      <c r="FE82" s="153">
        <f t="shared" si="133"/>
        <v>14.380395562719258</v>
      </c>
      <c r="FF82" s="153">
        <f t="shared" si="134"/>
        <v>42.260996579764424</v>
      </c>
      <c r="FG82" s="23">
        <f t="shared" si="135"/>
        <v>2.524476122904468E-2</v>
      </c>
      <c r="FH82" s="23">
        <f t="shared" si="136"/>
        <v>7.5622646008872391E-2</v>
      </c>
      <c r="FI82" s="23">
        <f t="shared" si="137"/>
        <v>2.8503595513751415E-3</v>
      </c>
      <c r="FJ82" s="23">
        <f t="shared" si="138"/>
        <v>7.9639752515284434E-2</v>
      </c>
      <c r="FK82" s="23">
        <f t="shared" si="139"/>
        <v>5.1569628601634325E-2</v>
      </c>
      <c r="FL82" s="23">
        <f t="shared" si="140"/>
        <v>3.8323436541532779E-2</v>
      </c>
      <c r="FM82" s="23">
        <f t="shared" si="141"/>
        <v>-1.1086960388466949E-2</v>
      </c>
      <c r="FN82" s="23">
        <f t="shared" si="142"/>
        <v>2.0856199290019212E-2</v>
      </c>
      <c r="FO82" s="23">
        <f t="shared" si="92"/>
        <v>0.25578334719623019</v>
      </c>
      <c r="FP82" s="23">
        <f t="shared" si="93"/>
        <v>0.74421665280376981</v>
      </c>
      <c r="FQ82" s="23">
        <f t="shared" si="94"/>
        <v>4.9660716977216315E-2</v>
      </c>
      <c r="FR82" s="23">
        <f t="shared" si="95"/>
        <v>0.14449076912057851</v>
      </c>
      <c r="FS82" s="23">
        <f t="shared" si="96"/>
        <v>4.1139872367297404E-3</v>
      </c>
      <c r="FT82" s="393">
        <f t="shared" si="97"/>
        <v>2.1968316415959515E-3</v>
      </c>
      <c r="FU82" s="393">
        <f t="shared" si="98"/>
        <v>1.9171555951337889E-3</v>
      </c>
      <c r="FV82" s="23">
        <f t="shared" si="99"/>
        <v>1.196988718990992E-2</v>
      </c>
      <c r="FW82" s="326">
        <f t="shared" si="305"/>
        <v>1.7829999999999999</v>
      </c>
      <c r="FX82" s="384">
        <f t="shared" si="269"/>
        <v>1.3714278941879208E-2</v>
      </c>
      <c r="FY82" s="384">
        <f t="shared" si="270"/>
        <v>-0.13458078126481463</v>
      </c>
      <c r="FZ82" s="384">
        <f t="shared" si="271"/>
        <v>1.6749935662138185E-2</v>
      </c>
      <c r="GA82" s="384">
        <f t="shared" si="272"/>
        <v>-5.4426526161806342E-2</v>
      </c>
      <c r="GB82" s="384">
        <f>$OJ82*KK82</f>
        <v>0.11970391038751704</v>
      </c>
      <c r="GC82" s="384">
        <f t="shared" si="274"/>
        <v>-8.7581925801514304E-2</v>
      </c>
      <c r="GD82" s="319">
        <f t="shared" si="275"/>
        <v>-0.30867999999999968</v>
      </c>
      <c r="GE82" s="153">
        <f t="shared" si="276"/>
        <v>-4.5556380284170181E-2</v>
      </c>
      <c r="GF82" s="153">
        <f t="shared" si="151"/>
        <v>-8.4395562719256703E-2</v>
      </c>
      <c r="GG82" s="153">
        <f t="shared" si="277"/>
        <v>1.4470034202355724</v>
      </c>
      <c r="GH82" s="182">
        <v>30.981999999999999</v>
      </c>
      <c r="GI82" s="79">
        <v>0.92600000000000005</v>
      </c>
      <c r="GJ82" s="79">
        <v>-2.004</v>
      </c>
      <c r="GK82" s="79">
        <v>-0.129</v>
      </c>
      <c r="GL82" s="79">
        <v>5.3140000000000001</v>
      </c>
      <c r="GM82" s="79">
        <f t="shared" si="342"/>
        <v>5.58</v>
      </c>
      <c r="GN82" s="79">
        <v>1.431</v>
      </c>
      <c r="GO82" s="79">
        <v>4.149</v>
      </c>
      <c r="GP82" s="79">
        <v>3.8849999999999998</v>
      </c>
      <c r="GQ82" s="79">
        <v>0.62</v>
      </c>
      <c r="GR82" s="79">
        <f t="shared" si="306"/>
        <v>10.307</v>
      </c>
      <c r="GS82" s="79">
        <f t="shared" si="343"/>
        <v>20.674999999999997</v>
      </c>
      <c r="GT82" s="23">
        <f t="shared" si="307"/>
        <v>0.33267703828029183</v>
      </c>
      <c r="GU82" s="362">
        <f t="shared" si="259"/>
        <v>30.175000000000001</v>
      </c>
      <c r="GV82" s="153">
        <f t="shared" si="344"/>
        <v>8.7390000000000008</v>
      </c>
      <c r="GW82" s="153">
        <f t="shared" si="308"/>
        <v>21.437000000000001</v>
      </c>
      <c r="GX82" s="153">
        <f t="shared" si="309"/>
        <v>0.59800000000000009</v>
      </c>
      <c r="GY82" s="153">
        <f t="shared" si="310"/>
        <v>2.089</v>
      </c>
      <c r="GZ82" s="153">
        <f t="shared" si="226"/>
        <v>-0.27900000000000003</v>
      </c>
      <c r="HA82" s="153">
        <f t="shared" si="227"/>
        <v>5.1230000000000002</v>
      </c>
      <c r="HB82" s="153">
        <f t="shared" si="228"/>
        <v>1.415</v>
      </c>
      <c r="HC82" s="153">
        <f t="shared" si="229"/>
        <v>1.7350000000000001</v>
      </c>
      <c r="HD82" s="352">
        <f t="shared" si="230"/>
        <v>-0.58700000000000063</v>
      </c>
      <c r="HE82" s="153">
        <f t="shared" si="231"/>
        <v>0.67900000000000005</v>
      </c>
      <c r="HF82" s="153">
        <f t="shared" si="311"/>
        <v>9.6250000000000018</v>
      </c>
      <c r="HG82" s="23">
        <f t="shared" si="345"/>
        <v>0.3189726594863298</v>
      </c>
      <c r="HH82" s="156">
        <f t="shared" si="346"/>
        <v>49.266999999999996</v>
      </c>
      <c r="HI82" s="182">
        <f t="shared" si="312"/>
        <v>9.5449999999999982</v>
      </c>
      <c r="HJ82" s="79">
        <v>1.0000000000012221E-3</v>
      </c>
      <c r="HK82" s="79">
        <f t="shared" si="313"/>
        <v>0.14500000000000002</v>
      </c>
      <c r="HL82" s="79">
        <f t="shared" si="314"/>
        <v>-4.407</v>
      </c>
      <c r="HM82" s="79">
        <f t="shared" si="315"/>
        <v>-3.9000000000000007E-2</v>
      </c>
      <c r="HN82" s="79">
        <f t="shared" si="316"/>
        <v>3.1909999999999998</v>
      </c>
      <c r="HO82" s="79">
        <f t="shared" si="317"/>
        <v>3.782</v>
      </c>
      <c r="HP82" s="79">
        <f t="shared" si="318"/>
        <v>-4.4000000000000039E-2</v>
      </c>
      <c r="HQ82" s="79">
        <f t="shared" si="319"/>
        <v>2.6280000000000006</v>
      </c>
      <c r="HR82" s="79">
        <f t="shared" si="383"/>
        <v>6.916999999999998</v>
      </c>
      <c r="HS82" s="23">
        <f t="shared" si="321"/>
        <v>0.27532739654269262</v>
      </c>
      <c r="HT82" s="28">
        <v>8.7390000000000008</v>
      </c>
      <c r="HU82" s="79">
        <v>-0.184</v>
      </c>
      <c r="HV82" s="79">
        <v>-0.314</v>
      </c>
      <c r="HW82" s="79">
        <v>-0.188</v>
      </c>
      <c r="HX82" s="79">
        <v>2.9990000000000001</v>
      </c>
      <c r="HY82" s="79">
        <v>-0.38200000000000001</v>
      </c>
      <c r="HZ82" s="79">
        <v>0.28399999999999997</v>
      </c>
      <c r="IA82" s="79">
        <v>-0.61699999999999999</v>
      </c>
      <c r="IB82" s="79">
        <v>1.4999999999999999E-2</v>
      </c>
      <c r="IC82" s="79">
        <f t="shared" si="322"/>
        <v>1.946</v>
      </c>
      <c r="ID82" s="79">
        <f t="shared" si="347"/>
        <v>6.793000000000001</v>
      </c>
      <c r="IE82" s="23">
        <f t="shared" si="348"/>
        <v>0.22267994049662429</v>
      </c>
      <c r="IF82" s="316">
        <v>0.80700000000000005</v>
      </c>
      <c r="IG82" s="153">
        <v>0.32800000000000001</v>
      </c>
      <c r="IH82" s="153">
        <v>-4.093</v>
      </c>
      <c r="II82" s="153">
        <v>0.15</v>
      </c>
      <c r="IJ82" s="153">
        <v>0.191</v>
      </c>
      <c r="IK82" s="153">
        <v>4.165</v>
      </c>
      <c r="IL82" s="153">
        <v>-0.30399999999999999</v>
      </c>
      <c r="IM82" s="153">
        <v>4.4720000000000004</v>
      </c>
      <c r="IN82" s="153">
        <v>-5.8999999999999997E-2</v>
      </c>
      <c r="IO82" s="153">
        <f t="shared" si="349"/>
        <v>0.68199999999999972</v>
      </c>
      <c r="IP82" s="153">
        <f t="shared" si="235"/>
        <v>0.12500000000000033</v>
      </c>
      <c r="IQ82" s="258">
        <f t="shared" si="350"/>
        <v>-0.52699999999999747</v>
      </c>
      <c r="IR82" s="5">
        <f t="shared" si="323"/>
        <v>430.52100000000002</v>
      </c>
      <c r="IS82" s="79">
        <f t="shared" si="351"/>
        <v>48.740000000000009</v>
      </c>
      <c r="IT82" s="79">
        <f t="shared" si="288"/>
        <v>0</v>
      </c>
      <c r="IU82" s="79">
        <f t="shared" si="352"/>
        <v>21.437000000000001</v>
      </c>
      <c r="IV82" s="79">
        <f t="shared" si="324"/>
        <v>8.7390000000000008</v>
      </c>
      <c r="IW82" s="79">
        <v>0.80700000000000005</v>
      </c>
      <c r="IX82" s="79">
        <f t="shared" si="353"/>
        <v>17.757000000000009</v>
      </c>
      <c r="IY82" s="79"/>
      <c r="IZ82" s="79"/>
      <c r="JA82" s="79"/>
      <c r="JB82" s="23">
        <f t="shared" si="162"/>
        <v>8.5486983975695471E-2</v>
      </c>
      <c r="JC82" s="23">
        <f t="shared" si="163"/>
        <v>1.6649788526836243E-2</v>
      </c>
      <c r="JD82" s="23">
        <f t="shared" si="164"/>
        <v>6.8837195448859231E-2</v>
      </c>
      <c r="JE82" s="22">
        <f t="shared" si="325"/>
        <v>4.2566668652330173E-3</v>
      </c>
      <c r="JF82" s="22">
        <f t="shared" si="326"/>
        <v>1.7352713409185679E-3</v>
      </c>
      <c r="JG82" s="22">
        <f t="shared" si="327"/>
        <v>1.6024304521355812E-4</v>
      </c>
      <c r="JH82" s="5">
        <v>430.52100000000002</v>
      </c>
      <c r="JI82" s="725">
        <f>JI81+(JI$91-JI$81)/10</f>
        <v>50.857400000000005</v>
      </c>
      <c r="JJ82" s="76">
        <v>5.8940000000000001</v>
      </c>
      <c r="JK82" s="76">
        <v>19.12</v>
      </c>
      <c r="JL82" s="76">
        <v>1.6970000000000001</v>
      </c>
      <c r="JM82" s="76">
        <v>25.099</v>
      </c>
      <c r="JN82" s="76">
        <f t="shared" si="354"/>
        <v>28.065000000000001</v>
      </c>
      <c r="JO82" s="76">
        <v>20.169</v>
      </c>
      <c r="JP82" s="76">
        <v>7.8959999999999999</v>
      </c>
      <c r="JQ82" s="76">
        <v>-4.5010000000000003</v>
      </c>
      <c r="JR82" s="76">
        <v>3.9750000000000001</v>
      </c>
      <c r="JS82" s="76">
        <f t="shared" si="287"/>
        <v>83.850000000000009</v>
      </c>
      <c r="JT82" s="76">
        <f t="shared" si="355"/>
        <v>346.67099999999999</v>
      </c>
      <c r="JU82" s="23">
        <f t="shared" si="356"/>
        <v>0.1947640184799348</v>
      </c>
      <c r="JV82" s="23">
        <f t="shared" si="357"/>
        <v>1.3690389086711217E-2</v>
      </c>
      <c r="JW82" s="23">
        <f t="shared" si="358"/>
        <v>4.4411306300970219E-2</v>
      </c>
      <c r="JX82" s="23">
        <f t="shared" si="359"/>
        <v>3.9417357109177023E-3</v>
      </c>
      <c r="JY82" s="23">
        <f t="shared" si="360"/>
        <v>5.8299130588287215E-2</v>
      </c>
      <c r="JZ82" s="23">
        <f t="shared" si="361"/>
        <v>6.5188457705895875E-2</v>
      </c>
      <c r="KA82" s="23">
        <f t="shared" si="362"/>
        <v>9.2329990871525425E-3</v>
      </c>
      <c r="KB82" s="149">
        <v>27.626000000000001</v>
      </c>
      <c r="KC82" s="316">
        <v>101.455</v>
      </c>
      <c r="KD82" s="316">
        <v>73.828999999999994</v>
      </c>
      <c r="KE82" s="589">
        <f t="shared" si="242"/>
        <v>0.72770193681927942</v>
      </c>
      <c r="KF82" s="1071">
        <v>0</v>
      </c>
      <c r="KG82" s="319">
        <f t="shared" si="243"/>
        <v>0.31850000000000001</v>
      </c>
      <c r="KH82" s="319">
        <f t="shared" si="244"/>
        <v>-3.1254999999999997</v>
      </c>
      <c r="KI82" s="321">
        <f t="shared" si="245"/>
        <v>0.38900000000000001</v>
      </c>
      <c r="KJ82" s="319">
        <f t="shared" si="246"/>
        <v>-1.264</v>
      </c>
      <c r="KK82" s="319">
        <f t="shared" si="285"/>
        <v>2.7799999999999985</v>
      </c>
      <c r="KL82" s="319">
        <f t="shared" si="248"/>
        <v>-2.0339999999999998</v>
      </c>
      <c r="KM82" s="319"/>
      <c r="KN82" s="319"/>
      <c r="KO82" s="319">
        <f t="shared" si="249"/>
        <v>-3.0867999999999967</v>
      </c>
      <c r="KP82" s="319">
        <f t="shared" si="250"/>
        <v>-1.0580000000000001</v>
      </c>
      <c r="KQ82" s="153">
        <f t="shared" si="328"/>
        <v>-1.9600000000000011</v>
      </c>
      <c r="KR82" s="153">
        <f t="shared" si="329"/>
        <v>29.586000000000002</v>
      </c>
      <c r="KS82" s="23">
        <f t="shared" si="178"/>
        <v>5.8747840590933458E-3</v>
      </c>
      <c r="KT82" s="23">
        <f t="shared" si="179"/>
        <v>4.1810128811171722E-2</v>
      </c>
      <c r="KU82" s="326">
        <v>402.89499999999998</v>
      </c>
      <c r="KV82" s="430">
        <f t="shared" si="252"/>
        <v>50.857400000000005</v>
      </c>
      <c r="KW82" s="322">
        <f t="shared" si="181"/>
        <v>5.5754999999999999</v>
      </c>
      <c r="KX82" s="322">
        <f t="shared" si="182"/>
        <v>22.2455</v>
      </c>
      <c r="KY82" s="322">
        <f t="shared" si="183"/>
        <v>1.3080000000000001</v>
      </c>
      <c r="KZ82" s="322">
        <f t="shared" si="184"/>
        <v>26.363</v>
      </c>
      <c r="LA82" s="322">
        <f t="shared" si="185"/>
        <v>25.285000000000004</v>
      </c>
      <c r="LB82" s="322">
        <f t="shared" si="186"/>
        <v>22.202999999999999</v>
      </c>
      <c r="LC82" s="322">
        <f t="shared" si="187"/>
        <v>-1.4142000000000037</v>
      </c>
      <c r="LD82" s="322">
        <f t="shared" si="188"/>
        <v>5.0330000000000004</v>
      </c>
      <c r="LE82" s="322">
        <f t="shared" si="189"/>
        <v>85.810000000000016</v>
      </c>
      <c r="LF82" s="322">
        <f t="shared" si="190"/>
        <v>0</v>
      </c>
      <c r="LG82" s="322">
        <f t="shared" si="191"/>
        <v>317.08499999999998</v>
      </c>
      <c r="LH82" s="367">
        <f t="shared" si="192"/>
        <v>0.21298353168939804</v>
      </c>
      <c r="LI82" s="248">
        <f t="shared" si="193"/>
        <v>1.3838593181846387E-2</v>
      </c>
      <c r="LJ82" s="248">
        <f t="shared" si="194"/>
        <v>5.5214137678551482E-2</v>
      </c>
      <c r="LK82" s="248">
        <f t="shared" si="195"/>
        <v>3.2465034314151332E-3</v>
      </c>
      <c r="LL82" s="248">
        <f t="shared" si="196"/>
        <v>6.5433921989600269E-2</v>
      </c>
      <c r="LM82" s="248">
        <f t="shared" si="197"/>
        <v>6.2758286898571602E-2</v>
      </c>
      <c r="LN82" s="248">
        <f t="shared" si="198"/>
        <v>5.5108651137393119E-2</v>
      </c>
      <c r="LO82" s="248">
        <f t="shared" si="199"/>
        <v>-3.5100956824979305E-3</v>
      </c>
      <c r="LP82" s="248">
        <f t="shared" si="200"/>
        <v>1.2492088509413125E-2</v>
      </c>
      <c r="LQ82" s="248">
        <f t="shared" si="201"/>
        <v>8.0001389964456618E-2</v>
      </c>
      <c r="LR82" s="23">
        <f t="shared" si="202"/>
        <v>6.2962411389765882E-2</v>
      </c>
      <c r="LS82" s="23">
        <f t="shared" si="203"/>
        <v>1.7038978574690736E-2</v>
      </c>
      <c r="LT82" s="326">
        <v>149.19499999999999</v>
      </c>
      <c r="LU82" s="153">
        <f t="shared" si="363"/>
        <v>0</v>
      </c>
      <c r="LV82" s="153">
        <f t="shared" si="204"/>
        <v>27.626000000000001</v>
      </c>
      <c r="LW82" s="153">
        <f t="shared" si="283"/>
        <v>73.828999999999994</v>
      </c>
      <c r="LX82" s="153">
        <v>47.74</v>
      </c>
      <c r="LY82" s="23">
        <f>LX82/Liabilities!GT82</f>
        <v>0.12331424468087854</v>
      </c>
      <c r="LZ82" s="23">
        <f t="shared" si="253"/>
        <v>0.28768567899002684</v>
      </c>
      <c r="MA82" s="425">
        <v>239.774</v>
      </c>
      <c r="MB82" s="153">
        <f t="shared" si="364"/>
        <v>0</v>
      </c>
      <c r="MC82" s="153">
        <v>118.205</v>
      </c>
      <c r="MD82" s="153">
        <f t="shared" si="365"/>
        <v>47.74</v>
      </c>
      <c r="ME82" s="153">
        <f t="shared" si="366"/>
        <v>73.828999999999994</v>
      </c>
      <c r="MF82" s="153">
        <v>165.94499999999999</v>
      </c>
      <c r="MG82" s="153">
        <f t="shared" si="208"/>
        <v>101.455</v>
      </c>
      <c r="MH82" s="326">
        <f t="shared" si="209"/>
        <v>402.89499999999998</v>
      </c>
      <c r="MI82" s="1008">
        <f>FoF_RoW!$BH52/1000</f>
        <v>629.80399999999997</v>
      </c>
      <c r="MJ82" s="1008">
        <v>738.22400000000005</v>
      </c>
      <c r="MK82" s="1008">
        <f>FoF_RoW!$AU52/1000</f>
        <v>32.765000000000001</v>
      </c>
      <c r="ML82" s="1008">
        <f t="shared" si="254"/>
        <v>59.149000000000001</v>
      </c>
      <c r="MM82" s="425">
        <f t="shared" si="210"/>
        <v>602.178</v>
      </c>
      <c r="MN82" s="23">
        <f t="shared" si="211"/>
        <v>1.494627632509711</v>
      </c>
      <c r="MO82" s="153">
        <v>853.33100000000002</v>
      </c>
      <c r="MP82" s="425">
        <v>704.13599999999997</v>
      </c>
      <c r="MQ82" s="23">
        <f t="shared" si="367"/>
        <v>1.7476910857667631</v>
      </c>
      <c r="MR82" s="23">
        <f t="shared" si="368"/>
        <v>1.1693153851518985</v>
      </c>
      <c r="MS82" s="153">
        <f t="shared" si="212"/>
        <v>27.626000000000001</v>
      </c>
      <c r="MT82" s="153">
        <v>149.19499999999999</v>
      </c>
      <c r="MU82" s="153">
        <v>239.774</v>
      </c>
      <c r="MV82" s="153">
        <v>421.39600000000002</v>
      </c>
      <c r="MW82" s="153">
        <v>387.14100000000002</v>
      </c>
      <c r="MX82" s="23">
        <f t="shared" si="369"/>
        <v>1.0884819742677732</v>
      </c>
      <c r="MY82" s="425">
        <f t="shared" si="255"/>
        <v>-251.92900000000014</v>
      </c>
      <c r="MZ82" s="23">
        <f t="shared" si="213"/>
        <v>-5.002462222751735E-2</v>
      </c>
      <c r="NA82" s="153">
        <v>2415.654</v>
      </c>
      <c r="NB82" s="153">
        <v>2565.1770000000001</v>
      </c>
      <c r="NC82" s="425">
        <f t="shared" si="330"/>
        <v>-319.63200000000012</v>
      </c>
      <c r="ND82" s="23">
        <f t="shared" si="331"/>
        <v>-6.3468159885625805E-2</v>
      </c>
      <c r="NE82" s="330">
        <f t="shared" si="332"/>
        <v>124.45800000000003</v>
      </c>
      <c r="NF82" s="23">
        <f t="shared" si="333"/>
        <v>2.4713170906058263E-2</v>
      </c>
      <c r="NG82" s="330">
        <f t="shared" si="334"/>
        <v>192.16099999999989</v>
      </c>
      <c r="NH82" s="23">
        <f t="shared" si="335"/>
        <v>3.815670856416669E-2</v>
      </c>
      <c r="NI82" s="330">
        <v>102.40600000000001</v>
      </c>
      <c r="NJ82" s="425">
        <f t="shared" si="63"/>
        <v>62.523000000000003</v>
      </c>
      <c r="NK82" s="403">
        <f t="shared" si="64"/>
        <v>1.2414963960207304E-2</v>
      </c>
      <c r="NL82" s="153">
        <v>62.523000000000003</v>
      </c>
      <c r="NM82" s="153">
        <v>65.972999999999999</v>
      </c>
      <c r="NN82" s="153">
        <v>3.45</v>
      </c>
      <c r="NO82" s="425">
        <f t="shared" si="100"/>
        <v>30.841000000000008</v>
      </c>
      <c r="NP82" s="153">
        <v>175.72200000000001</v>
      </c>
      <c r="NQ82" s="153">
        <v>144.881</v>
      </c>
      <c r="NR82" s="403">
        <f t="shared" si="65"/>
        <v>6.1239848295307885E-3</v>
      </c>
      <c r="NS82" s="403">
        <f t="shared" si="66"/>
        <v>1.2414963960207304E-2</v>
      </c>
      <c r="NT82" s="403">
        <f t="shared" si="67"/>
        <v>-6.2909791306765151E-3</v>
      </c>
      <c r="NU82" s="727">
        <f t="shared" si="215"/>
        <v>7.9843950600452185E-2</v>
      </c>
      <c r="NV82" s="688">
        <f t="shared" si="216"/>
        <v>9.336275984841691E-2</v>
      </c>
      <c r="NW82" s="688">
        <f t="shared" si="217"/>
        <v>0.13954256071681206</v>
      </c>
      <c r="NX82" s="793">
        <f>(ER82-T.A2!B34*T.A1!M34)/MP82</f>
        <v>6.5683056294608216E-2</v>
      </c>
      <c r="NY82" s="688">
        <f>Liabilities!BU82/Liabilities!GY82</f>
        <v>-1.2415874854056515E-2</v>
      </c>
      <c r="NZ82" s="688">
        <f>Liabilities!BU82/Liabilities!GT82</f>
        <v>-1.3514455973405035E-2</v>
      </c>
      <c r="OA82" s="688">
        <f>Liabilities!BU82/Liabilities!GR82</f>
        <v>-1.8908155226124476E-2</v>
      </c>
      <c r="OB82" s="688">
        <f t="shared" si="256"/>
        <v>9.2259825454508698E-2</v>
      </c>
      <c r="OC82" s="688">
        <f t="shared" si="257"/>
        <v>0.10687721582182194</v>
      </c>
      <c r="OD82" s="688"/>
      <c r="OE82" s="793">
        <f t="shared" si="218"/>
        <v>0.10659638844328422</v>
      </c>
      <c r="OF82" s="793">
        <f>OE82/(1-'Assets(MOFA)'!GU35)</f>
        <v>0.17048125170361866</v>
      </c>
      <c r="OG82" s="793">
        <f>Liabilities!HV82</f>
        <v>-1.3325845616730263E-2</v>
      </c>
      <c r="OH82" s="793"/>
      <c r="OI82" s="22">
        <f t="shared" si="336"/>
        <v>4.8908383026957762E-2</v>
      </c>
      <c r="OJ82" s="22">
        <f t="shared" si="337"/>
        <v>4.3058960571049319E-2</v>
      </c>
      <c r="OK82" s="403">
        <f>Liabilities!CT82/LX82</f>
        <v>4.1328026811897782E-2</v>
      </c>
      <c r="OL82" s="403">
        <f>Liabilities!CU82/MF82</f>
        <v>6.1110608936695898E-2</v>
      </c>
      <c r="OM82" s="153"/>
      <c r="OO82" s="186">
        <f t="shared" si="221"/>
        <v>0.10263741419816592</v>
      </c>
      <c r="OP82" s="308">
        <f t="shared" si="370"/>
        <v>0.11957228808006194</v>
      </c>
      <c r="OQ82" s="308">
        <f t="shared" si="371"/>
        <v>1.2272590458295736E-2</v>
      </c>
      <c r="OR82" s="313">
        <f t="shared" si="372"/>
        <v>0</v>
      </c>
      <c r="OS82" s="23">
        <f t="shared" si="373"/>
        <v>0.18723413431924821</v>
      </c>
      <c r="OT82" s="23">
        <f t="shared" si="374"/>
        <v>0.14057473624529743</v>
      </c>
      <c r="OU82" s="23">
        <f t="shared" si="375"/>
        <v>9.0113422045781197E-2</v>
      </c>
      <c r="OV82" s="23">
        <f t="shared" si="376"/>
        <v>0.12492019455672873</v>
      </c>
      <c r="OW82" s="23">
        <f t="shared" si="377"/>
        <v>8.4339034610455513E-2</v>
      </c>
      <c r="OX82" s="23">
        <f t="shared" si="378"/>
        <v>7.137569780112922E-2</v>
      </c>
      <c r="OY82" s="23">
        <f t="shared" si="379"/>
        <v>0.17135856534447194</v>
      </c>
      <c r="OZ82" s="23">
        <f t="shared" si="380"/>
        <v>0.12326277596644619</v>
      </c>
      <c r="PA82" s="23">
        <f t="shared" si="381"/>
        <v>9.8030913602589476E-2</v>
      </c>
      <c r="PB82" s="23">
        <f t="shared" si="382"/>
        <v>2.5231862363856716E-2</v>
      </c>
      <c r="PC82" s="409" t="s">
        <v>1235</v>
      </c>
      <c r="PD82" s="23"/>
      <c r="PE82" s="23"/>
      <c r="PF82" s="23"/>
      <c r="PG82" s="69"/>
      <c r="PH82" s="23">
        <f>'Assets(MOFA)'!GU35</f>
        <v>0.37473248595920783</v>
      </c>
      <c r="PI82" s="23">
        <f>'Assets(MOFA)'!HM35</f>
        <v>0.35475593657762416</v>
      </c>
      <c r="PJ82" s="11">
        <f t="shared" si="222"/>
        <v>5.1330953958449652E-2</v>
      </c>
      <c r="PL82" s="11">
        <f>'Assets(MOFA)'!GO35/MM82/1000</f>
        <v>3.9719152808637977E-2</v>
      </c>
    </row>
    <row r="83" spans="2:429">
      <c r="B83" s="71">
        <v>1991</v>
      </c>
      <c r="C83" s="43">
        <v>5186.1000000000004</v>
      </c>
      <c r="D83" s="5">
        <v>451.3</v>
      </c>
      <c r="E83" s="6">
        <f t="shared" si="68"/>
        <v>8.7021075567382034E-2</v>
      </c>
      <c r="F83" s="72">
        <f t="shared" si="69"/>
        <v>0</v>
      </c>
      <c r="G83" s="76">
        <f t="shared" si="70"/>
        <v>374.8</v>
      </c>
      <c r="H83" s="23">
        <f t="shared" si="71"/>
        <v>7.2270106631187214E-2</v>
      </c>
      <c r="I83" s="74">
        <v>76.5</v>
      </c>
      <c r="J83" s="19">
        <f t="shared" si="72"/>
        <v>1.4750968936194828E-2</v>
      </c>
      <c r="K83" s="6">
        <f t="shared" si="73"/>
        <v>0.16951030356747174</v>
      </c>
      <c r="L83" s="136">
        <v>75.400000000000006</v>
      </c>
      <c r="M83" s="19">
        <f t="shared" si="74"/>
        <v>1.4538863500510981E-2</v>
      </c>
      <c r="N83" s="63">
        <f t="shared" si="75"/>
        <v>0.16707290050963883</v>
      </c>
      <c r="O83" s="5">
        <f t="shared" si="76"/>
        <v>451.3</v>
      </c>
      <c r="P83" s="75">
        <f t="shared" si="77"/>
        <v>0</v>
      </c>
      <c r="Q83" s="271">
        <v>352.1</v>
      </c>
      <c r="R83" s="202">
        <v>67.599999999999994</v>
      </c>
      <c r="S83" s="53">
        <f t="shared" si="78"/>
        <v>0.14978949700864169</v>
      </c>
      <c r="T83" s="74">
        <v>20.8</v>
      </c>
      <c r="U83" s="74">
        <v>22</v>
      </c>
      <c r="V83" s="207">
        <v>62.2</v>
      </c>
      <c r="W83" s="53">
        <f t="shared" si="79"/>
        <v>0.13782406381564369</v>
      </c>
      <c r="X83" s="75">
        <f t="shared" si="80"/>
        <v>50.999999999999943</v>
      </c>
      <c r="Y83" s="187"/>
      <c r="Z83" s="75"/>
      <c r="AA83" s="75"/>
      <c r="AB83" s="75"/>
      <c r="AC83" s="75">
        <f t="shared" si="103"/>
        <v>29.560139552981063</v>
      </c>
      <c r="AD83" s="23">
        <f t="shared" si="81"/>
        <v>6.5499976851276454E-2</v>
      </c>
      <c r="AE83" s="76">
        <f>NIPA_Scorp!C4/1000</f>
        <v>36.686999999999998</v>
      </c>
      <c r="AF83" s="76">
        <v>32.248009137068962</v>
      </c>
      <c r="AG83" s="23">
        <f t="shared" ref="AG83:AG108" si="385">AE83/D83</f>
        <v>8.1291823620651446E-2</v>
      </c>
      <c r="AH83" s="97">
        <v>138.6</v>
      </c>
      <c r="AI83" s="22">
        <f t="shared" si="82"/>
        <v>2.6725284896164745E-2</v>
      </c>
      <c r="AJ83" s="22">
        <f t="shared" si="83"/>
        <v>2.2714563930506543E-2</v>
      </c>
      <c r="AK83" s="99">
        <f t="shared" si="84"/>
        <v>9.9999999999994316E-2</v>
      </c>
      <c r="AL83" s="71">
        <v>89.1</v>
      </c>
      <c r="AM83" s="72">
        <f>(0.25*Fedtax!C64+0.75*Fedtax!C63)/1000</f>
        <v>98.632000000000005</v>
      </c>
      <c r="AN83" s="71">
        <v>23.6</v>
      </c>
      <c r="AO83" s="255">
        <v>5</v>
      </c>
      <c r="AP83" s="71">
        <v>20.8</v>
      </c>
      <c r="AQ83" s="6">
        <f t="shared" si="85"/>
        <v>6.0295790671217299E-2</v>
      </c>
      <c r="AR83" s="207">
        <v>24.6</v>
      </c>
      <c r="AS83" s="714">
        <v>21.096</v>
      </c>
      <c r="AT83" s="210">
        <f>0.541+4.807+0.41</f>
        <v>5.7580000000000009</v>
      </c>
      <c r="AU83" s="205">
        <f t="shared" ref="AU83:AU105" si="386">AT83/AS83</f>
        <v>0.27294273795980284</v>
      </c>
      <c r="AV83" s="787">
        <v>23.695</v>
      </c>
      <c r="AW83" s="518">
        <f>0.875+5.843+0.433</f>
        <v>7.1509999999999998</v>
      </c>
      <c r="AX83" s="761">
        <f t="shared" ref="AX83:AX106" si="387">AV83-AW83</f>
        <v>16.544</v>
      </c>
      <c r="AY83" s="520">
        <f t="shared" ref="AY83:AY105" si="388">AW83/AV83</f>
        <v>0.30179362734754167</v>
      </c>
      <c r="AZ83" s="777">
        <f>AV83-1.264</f>
        <v>22.431000000000001</v>
      </c>
      <c r="BA83" s="774">
        <f t="shared" ref="BA83:BA96" si="389">AW83+AZ83-AV83</f>
        <v>5.8870000000000005</v>
      </c>
      <c r="BB83" s="520">
        <f t="shared" ref="BB83:BB102" si="390">BA83/AZ83</f>
        <v>0.26244928893049796</v>
      </c>
      <c r="BC83" s="518">
        <v>5.3819999999999997</v>
      </c>
      <c r="BD83" s="722">
        <f>'Assets(MOFA)'!FJ36/1000</f>
        <v>26.876999999999999</v>
      </c>
      <c r="BE83" s="753">
        <f t="shared" si="105"/>
        <v>0.88160881050712514</v>
      </c>
      <c r="BF83" s="234">
        <v>0.34</v>
      </c>
      <c r="BG83" s="437"/>
      <c r="BH83" s="140">
        <f t="shared" si="106"/>
        <v>0.26245924545877963</v>
      </c>
      <c r="BI83" s="248">
        <f t="shared" si="384"/>
        <v>0.28697802211793338</v>
      </c>
      <c r="BJ83" s="23">
        <f t="shared" si="107"/>
        <v>0.22945484133441821</v>
      </c>
      <c r="BK83" s="140">
        <f t="shared" si="108"/>
        <v>0.3026431718061674</v>
      </c>
      <c r="BL83" s="140">
        <f t="shared" si="109"/>
        <v>0.33353560624842221</v>
      </c>
      <c r="BM83" s="248">
        <f t="shared" si="110"/>
        <v>0.32372077366930307</v>
      </c>
      <c r="BN83" s="23">
        <f t="shared" si="111"/>
        <v>0.334564044305595</v>
      </c>
      <c r="BO83" s="23">
        <f t="shared" si="112"/>
        <v>0.28067667381462946</v>
      </c>
      <c r="BP83" s="149">
        <f t="shared" si="86"/>
        <v>451.3</v>
      </c>
      <c r="BQ83" s="99">
        <f t="shared" si="87"/>
        <v>0</v>
      </c>
      <c r="BR83" s="153">
        <f t="shared" si="88"/>
        <v>138.6</v>
      </c>
      <c r="BS83" s="79">
        <v>180.5</v>
      </c>
      <c r="BT83" s="79">
        <v>132.19999999999999</v>
      </c>
      <c r="BU83" s="23">
        <f t="shared" si="223"/>
        <v>0.29293153113228448</v>
      </c>
      <c r="BV83" s="71">
        <v>80.099999999999994</v>
      </c>
      <c r="BW83" s="71">
        <f t="shared" si="89"/>
        <v>52.099999999999994</v>
      </c>
      <c r="BX83" s="23">
        <f t="shared" si="90"/>
        <v>0.11544427210281408</v>
      </c>
      <c r="BY83" s="23">
        <f t="shared" si="289"/>
        <v>1.4797252382007532E-2</v>
      </c>
      <c r="BZ83" s="23">
        <f t="shared" si="290"/>
        <v>0.11621391156048237</v>
      </c>
      <c r="CA83" s="23">
        <f t="shared" si="291"/>
        <v>0.12480718122259962</v>
      </c>
      <c r="CB83" s="23">
        <f t="shared" si="262"/>
        <v>0.68104575163398684</v>
      </c>
      <c r="CC83" s="169">
        <f t="shared" si="91"/>
        <v>75.400000000000006</v>
      </c>
      <c r="CD83" s="174"/>
      <c r="CF83" s="76">
        <f t="shared" si="58"/>
        <v>57.463000000000001</v>
      </c>
      <c r="CH83" s="23">
        <f t="shared" si="59"/>
        <v>0.76210875331564987</v>
      </c>
      <c r="CI83" s="182">
        <v>58.716999999999999</v>
      </c>
      <c r="CJ83" s="79">
        <f t="shared" si="292"/>
        <v>-2.2204460492503131E-15</v>
      </c>
      <c r="CK83" s="79">
        <f t="shared" si="60"/>
        <v>57.463000000000001</v>
      </c>
      <c r="CL83" s="159">
        <v>33.945</v>
      </c>
      <c r="CM83" s="159">
        <v>23.521000000000001</v>
      </c>
      <c r="CN83" s="159">
        <v>34</v>
      </c>
      <c r="CO83" s="159">
        <f t="shared" si="338"/>
        <v>10.478999999999999</v>
      </c>
      <c r="CP83" s="79">
        <v>1.254</v>
      </c>
      <c r="CQ83" s="79">
        <v>4.74</v>
      </c>
      <c r="CR83" s="79">
        <v>3.4860000000000002</v>
      </c>
      <c r="CS83" s="23">
        <f t="shared" si="293"/>
        <v>0.40932426082870715</v>
      </c>
      <c r="CT83" s="23">
        <f t="shared" si="294"/>
        <v>7.7243518723687128E-3</v>
      </c>
      <c r="CU83" s="73">
        <v>5.1929999999999996</v>
      </c>
      <c r="CV83" s="378">
        <f t="shared" si="295"/>
        <v>1.1099853797419653E-2</v>
      </c>
      <c r="CW83" s="378">
        <f t="shared" si="296"/>
        <v>8.8441166953352524E-2</v>
      </c>
      <c r="CX83" s="79">
        <f t="shared" si="297"/>
        <v>53.524000000000001</v>
      </c>
      <c r="CY83" s="79">
        <f t="shared" si="298"/>
        <v>1.4369999999999976</v>
      </c>
      <c r="CZ83" s="293">
        <f t="shared" si="299"/>
        <v>58.716999999999999</v>
      </c>
      <c r="DA83" s="136"/>
      <c r="DB83" s="79"/>
      <c r="DC83" s="79"/>
      <c r="DD83" s="79"/>
      <c r="DE83" s="79"/>
      <c r="DF83" s="79"/>
      <c r="DG83" s="79"/>
      <c r="DH83" s="79"/>
      <c r="DI83" s="182">
        <v>52.087000000000003</v>
      </c>
      <c r="DJ83" s="79">
        <v>1.556</v>
      </c>
      <c r="DK83" s="79">
        <v>3.609</v>
      </c>
      <c r="DL83" s="79">
        <v>0.192</v>
      </c>
      <c r="DM83" s="79">
        <v>3.2160000000000002</v>
      </c>
      <c r="DN83" s="79">
        <v>3.2010000000000001</v>
      </c>
      <c r="DO83" s="79">
        <v>2.016</v>
      </c>
      <c r="DP83" s="79">
        <v>-0.88800000000000001</v>
      </c>
      <c r="DQ83" s="79">
        <v>1.1379999999999999</v>
      </c>
      <c r="DR83" s="79">
        <f t="shared" si="113"/>
        <v>12.912000000000001</v>
      </c>
      <c r="DS83" s="79">
        <f t="shared" si="114"/>
        <v>39.175000000000004</v>
      </c>
      <c r="DT83" s="79">
        <v>0.97799999999999998</v>
      </c>
      <c r="DU83" s="23">
        <f t="shared" si="115"/>
        <v>2.4964901084875556E-2</v>
      </c>
      <c r="DV83" s="23">
        <f t="shared" si="116"/>
        <v>2.9873096933975846E-2</v>
      </c>
      <c r="DW83" s="23">
        <f t="shared" si="117"/>
        <v>6.9287922130282023E-2</v>
      </c>
      <c r="DX83" s="23">
        <f t="shared" si="118"/>
        <v>3.6861404957091019E-3</v>
      </c>
      <c r="DY83" s="23">
        <f t="shared" si="119"/>
        <v>6.1742853303127461E-2</v>
      </c>
      <c r="DZ83" s="23">
        <f t="shared" si="120"/>
        <v>6.1454873576900181E-2</v>
      </c>
      <c r="EA83" s="23">
        <f t="shared" si="121"/>
        <v>3.870447520494557E-2</v>
      </c>
      <c r="EB83" s="23">
        <f t="shared" si="122"/>
        <v>-1.7048399792654597E-2</v>
      </c>
      <c r="EC83" s="23">
        <f t="shared" si="123"/>
        <v>2.1848061896442488E-2</v>
      </c>
      <c r="ED83" s="23">
        <f t="shared" si="124"/>
        <v>0.24789294833643707</v>
      </c>
      <c r="EE83" s="153">
        <v>17.792000000000002</v>
      </c>
      <c r="EF83" s="23">
        <f t="shared" si="300"/>
        <v>0.34158235260237679</v>
      </c>
      <c r="EG83" s="182">
        <v>18.327999999999999</v>
      </c>
      <c r="EH83" s="79">
        <v>1.145</v>
      </c>
      <c r="EI83" s="79">
        <v>1.9139999999999999</v>
      </c>
      <c r="EJ83" s="79">
        <v>0.126</v>
      </c>
      <c r="EK83" s="79">
        <v>1.18</v>
      </c>
      <c r="EL83" s="79">
        <v>1.8009999999999999</v>
      </c>
      <c r="EM83" s="79">
        <v>0.51200000000000001</v>
      </c>
      <c r="EN83" s="28">
        <f t="shared" si="301"/>
        <v>6.677999999999999</v>
      </c>
      <c r="EO83" s="23">
        <f t="shared" si="302"/>
        <v>0.50347209172409757</v>
      </c>
      <c r="EP83" s="79">
        <f t="shared" si="303"/>
        <v>11.65</v>
      </c>
      <c r="EQ83" s="23">
        <f t="shared" si="304"/>
        <v>0.36436054124836315</v>
      </c>
      <c r="ER83" s="182">
        <f t="shared" si="268"/>
        <v>50.833000000000006</v>
      </c>
      <c r="ES83" s="185"/>
      <c r="ET83" s="136">
        <f>'Assets(MOFA)'!W36/1000</f>
        <v>73.301000000000002</v>
      </c>
      <c r="EU83" s="136">
        <f t="shared" si="339"/>
        <v>46.424000000000007</v>
      </c>
      <c r="EV83" s="589">
        <f t="shared" si="340"/>
        <v>0.91326500501642638</v>
      </c>
      <c r="EW83" s="153">
        <f t="shared" si="125"/>
        <v>1.5728478603138552</v>
      </c>
      <c r="EX83" s="153">
        <f t="shared" si="126"/>
        <v>3.7910873554614906</v>
      </c>
      <c r="EY83" s="153">
        <f t="shared" si="127"/>
        <v>0.17899858042535619</v>
      </c>
      <c r="EZ83" s="153">
        <f t="shared" si="128"/>
        <v>3.2900046200702047</v>
      </c>
      <c r="FA83" s="153">
        <f t="shared" si="129"/>
        <v>3.2610134730538922</v>
      </c>
      <c r="FB83" s="153">
        <f t="shared" si="130"/>
        <v>2.1767407340491429</v>
      </c>
      <c r="FC83" s="153">
        <f t="shared" si="131"/>
        <v>-0.70270502787528411</v>
      </c>
      <c r="FD83" s="153">
        <f t="shared" si="132"/>
        <v>1.1699412037992978</v>
      </c>
      <c r="FE83" s="153">
        <f t="shared" si="133"/>
        <v>13.263893093124096</v>
      </c>
      <c r="FF83" s="153">
        <f t="shared" si="134"/>
        <v>37.686157735135723</v>
      </c>
      <c r="FG83" s="23">
        <f t="shared" si="135"/>
        <v>3.094147227812356E-2</v>
      </c>
      <c r="FH83" s="23">
        <f t="shared" si="136"/>
        <v>7.457925669272894E-2</v>
      </c>
      <c r="FI83" s="23">
        <f t="shared" si="137"/>
        <v>3.5213066398866125E-3</v>
      </c>
      <c r="FJ83" s="23">
        <f t="shared" si="138"/>
        <v>6.4721826767458232E-2</v>
      </c>
      <c r="FK83" s="23">
        <f t="shared" si="139"/>
        <v>6.4151505381423321E-2</v>
      </c>
      <c r="FL83" s="23">
        <f t="shared" si="140"/>
        <v>4.2821409990540453E-2</v>
      </c>
      <c r="FM83" s="23">
        <f t="shared" si="141"/>
        <v>-1.3823796114242401E-2</v>
      </c>
      <c r="FN83" s="23">
        <f t="shared" si="142"/>
        <v>2.3015387716626947E-2</v>
      </c>
      <c r="FO83" s="23">
        <f t="shared" si="92"/>
        <v>0.26093075547624761</v>
      </c>
      <c r="FP83" s="23">
        <f t="shared" si="93"/>
        <v>0.73906924452375233</v>
      </c>
      <c r="FQ83" s="23">
        <f t="shared" si="94"/>
        <v>4.3594458149588011E-2</v>
      </c>
      <c r="FR83" s="23">
        <f t="shared" si="95"/>
        <v>0.1234784423600508</v>
      </c>
      <c r="FS83" s="23">
        <f t="shared" si="96"/>
        <v>3.793636636954372E-3</v>
      </c>
      <c r="FT83" s="393">
        <f t="shared" si="97"/>
        <v>1.9099901728485886E-3</v>
      </c>
      <c r="FU83" s="393">
        <f t="shared" si="98"/>
        <v>1.8836464641057834E-3</v>
      </c>
      <c r="FV83" s="23">
        <f t="shared" si="99"/>
        <v>1.0745226863556608E-2</v>
      </c>
      <c r="FW83" s="326">
        <f t="shared" si="305"/>
        <v>1.254</v>
      </c>
      <c r="FX83" s="384">
        <f t="shared" si="269"/>
        <v>-1.6847860313855045E-2</v>
      </c>
      <c r="FY83" s="384">
        <f t="shared" si="270"/>
        <v>-0.1820873554614908</v>
      </c>
      <c r="FZ83" s="384">
        <f t="shared" si="271"/>
        <v>1.3001419574643817E-2</v>
      </c>
      <c r="GA83" s="384">
        <f t="shared" si="272"/>
        <v>-7.4004620070204419E-2</v>
      </c>
      <c r="GB83" s="384">
        <f>$OJ83*KK83</f>
        <v>-6.0013473053892284E-2</v>
      </c>
      <c r="GC83" s="384">
        <f t="shared" si="274"/>
        <v>-0.16074073404914307</v>
      </c>
      <c r="GD83" s="322">
        <f>$OJ83*KO83</f>
        <v>-0.18529497212471593</v>
      </c>
      <c r="GE83" s="153">
        <f t="shared" si="276"/>
        <v>-3.1941203799297962E-2</v>
      </c>
      <c r="GF83" s="153">
        <f t="shared" si="151"/>
        <v>-0.35189309312409667</v>
      </c>
      <c r="GG83" s="153">
        <f t="shared" si="277"/>
        <v>1.4888422648642796</v>
      </c>
      <c r="GH83" s="182">
        <v>32.695999999999998</v>
      </c>
      <c r="GI83" s="79">
        <v>0.53700000000000003</v>
      </c>
      <c r="GJ83" s="79">
        <v>1.6539999999999999</v>
      </c>
      <c r="GK83" s="79">
        <v>-3.0000000000000001E-3</v>
      </c>
      <c r="GL83" s="79">
        <v>0.93</v>
      </c>
      <c r="GM83" s="79">
        <f t="shared" si="342"/>
        <v>1.5410000000000001</v>
      </c>
      <c r="GN83" s="79">
        <v>2.7970000000000002</v>
      </c>
      <c r="GO83" s="79">
        <v>-1.256</v>
      </c>
      <c r="GP83" s="79">
        <v>-0.69499999999999995</v>
      </c>
      <c r="GQ83" s="79">
        <v>1.0669999999999999</v>
      </c>
      <c r="GR83" s="79">
        <f t="shared" si="306"/>
        <v>5.726</v>
      </c>
      <c r="GS83" s="79">
        <f t="shared" si="343"/>
        <v>26.97</v>
      </c>
      <c r="GT83" s="23">
        <f t="shared" si="307"/>
        <v>0.17512845608025449</v>
      </c>
      <c r="GU83" s="362">
        <f t="shared" si="259"/>
        <v>36.009</v>
      </c>
      <c r="GV83" s="153">
        <f t="shared" si="344"/>
        <v>17.681999999999999</v>
      </c>
      <c r="GW83" s="153">
        <f t="shared" si="308"/>
        <v>18.327999999999999</v>
      </c>
      <c r="GX83" s="153">
        <f t="shared" si="309"/>
        <v>1.23</v>
      </c>
      <c r="GY83" s="153">
        <f t="shared" si="310"/>
        <v>2.5760000000000001</v>
      </c>
      <c r="GZ83" s="153">
        <f t="shared" si="226"/>
        <v>9.7000000000000003E-2</v>
      </c>
      <c r="HA83" s="153">
        <f t="shared" si="227"/>
        <v>1.3109999999999999</v>
      </c>
      <c r="HB83" s="153">
        <f t="shared" si="228"/>
        <v>5.6550000000000002</v>
      </c>
      <c r="HC83" s="153">
        <f t="shared" si="229"/>
        <v>4.3360000000000003</v>
      </c>
      <c r="HD83" s="352">
        <f t="shared" si="230"/>
        <v>0.33700000000000008</v>
      </c>
      <c r="HE83" s="153">
        <f t="shared" si="231"/>
        <v>0.71899999999999997</v>
      </c>
      <c r="HF83" s="153">
        <f t="shared" si="311"/>
        <v>11.588000000000001</v>
      </c>
      <c r="HG83" s="23">
        <f t="shared" si="345"/>
        <v>0.32180843677969401</v>
      </c>
      <c r="HH83" s="156">
        <f t="shared" si="346"/>
        <v>40.867999999999995</v>
      </c>
      <c r="HI83" s="182">
        <f t="shared" si="312"/>
        <v>14.367999999999999</v>
      </c>
      <c r="HJ83" s="79">
        <v>1.0000000000012221E-3</v>
      </c>
      <c r="HK83" s="79">
        <f t="shared" si="313"/>
        <v>-0.60799999999999998</v>
      </c>
      <c r="HL83" s="79">
        <f t="shared" si="314"/>
        <v>-0.26</v>
      </c>
      <c r="HM83" s="79">
        <f t="shared" si="315"/>
        <v>-0.129</v>
      </c>
      <c r="HN83" s="79">
        <f t="shared" si="316"/>
        <v>-0.24999999999999989</v>
      </c>
      <c r="HO83" s="79">
        <f t="shared" si="317"/>
        <v>-0.25999999999999979</v>
      </c>
      <c r="HP83" s="79">
        <f t="shared" si="318"/>
        <v>0.55499999999999994</v>
      </c>
      <c r="HQ83" s="79">
        <f t="shared" si="319"/>
        <v>-0.95199999999999974</v>
      </c>
      <c r="HR83" s="79">
        <f t="shared" si="383"/>
        <v>15.319999999999999</v>
      </c>
      <c r="HS83" s="23">
        <f t="shared" si="321"/>
        <v>-6.6258351893095757E-2</v>
      </c>
      <c r="HT83" s="28">
        <v>17.681999999999999</v>
      </c>
      <c r="HU83" s="79">
        <v>8.5000000000000006E-2</v>
      </c>
      <c r="HV83" s="79">
        <v>0.66200000000000003</v>
      </c>
      <c r="HW83" s="79">
        <v>-0.03</v>
      </c>
      <c r="HX83" s="79">
        <v>0.13100000000000001</v>
      </c>
      <c r="HY83" s="79">
        <v>3.8540000000000001</v>
      </c>
      <c r="HZ83" s="79">
        <v>2.9740000000000002</v>
      </c>
      <c r="IA83" s="79">
        <v>8.6999999999999994E-2</v>
      </c>
      <c r="IB83" s="79">
        <v>0.20699999999999999</v>
      </c>
      <c r="IC83" s="79">
        <f t="shared" si="322"/>
        <v>4.9089999999999998</v>
      </c>
      <c r="ID83" s="79">
        <f t="shared" si="347"/>
        <v>12.773</v>
      </c>
      <c r="IE83" s="23">
        <f t="shared" si="348"/>
        <v>0.27762696527542136</v>
      </c>
      <c r="IF83" s="316">
        <v>-3.3130000000000002</v>
      </c>
      <c r="IG83" s="153">
        <v>-0.69299999999999995</v>
      </c>
      <c r="IH83" s="153">
        <v>-0.92200000000000004</v>
      </c>
      <c r="II83" s="153">
        <v>-0.1</v>
      </c>
      <c r="IJ83" s="153">
        <v>-0.38100000000000001</v>
      </c>
      <c r="IK83" s="153">
        <v>-4.1139999999999999</v>
      </c>
      <c r="IL83" s="153">
        <v>-1.5389999999999999</v>
      </c>
      <c r="IM83" s="153">
        <v>-1.032</v>
      </c>
      <c r="IN83" s="153">
        <v>0.34799999999999998</v>
      </c>
      <c r="IO83" s="153">
        <f t="shared" si="349"/>
        <v>-5.8620000000000001</v>
      </c>
      <c r="IP83" s="153">
        <f t="shared" si="235"/>
        <v>2.5489999999999999</v>
      </c>
      <c r="IQ83" s="258">
        <f t="shared" si="350"/>
        <v>-3.5450000000000017</v>
      </c>
      <c r="IR83" s="5">
        <f t="shared" si="323"/>
        <v>467.84399999999999</v>
      </c>
      <c r="IS83" s="79">
        <f t="shared" si="351"/>
        <v>37.322999999999979</v>
      </c>
      <c r="IT83" s="79">
        <f t="shared" si="288"/>
        <v>0</v>
      </c>
      <c r="IU83" s="79">
        <f t="shared" si="352"/>
        <v>18.327999999999999</v>
      </c>
      <c r="IV83" s="79">
        <f t="shared" si="324"/>
        <v>17.681999999999999</v>
      </c>
      <c r="IW83" s="79">
        <v>-3.3130000000000002</v>
      </c>
      <c r="IX83" s="79">
        <f t="shared" si="353"/>
        <v>4.6259999999999817</v>
      </c>
      <c r="IY83" s="79"/>
      <c r="IZ83" s="79"/>
      <c r="JA83" s="79"/>
      <c r="JB83" s="23">
        <f t="shared" si="162"/>
        <v>9.0211141320067093E-2</v>
      </c>
      <c r="JC83" s="23">
        <f t="shared" si="163"/>
        <v>1.709839763984497E-2</v>
      </c>
      <c r="JD83" s="23">
        <f t="shared" si="164"/>
        <v>7.3112743680222123E-2</v>
      </c>
      <c r="JE83" s="22">
        <f t="shared" si="325"/>
        <v>3.5340622047395922E-3</v>
      </c>
      <c r="JF83" s="22">
        <f t="shared" si="326"/>
        <v>3.4094984670561689E-3</v>
      </c>
      <c r="JG83" s="22">
        <f t="shared" si="327"/>
        <v>-6.3882300765507802E-4</v>
      </c>
      <c r="JH83" s="5">
        <v>467.84399999999999</v>
      </c>
      <c r="JI83" s="725">
        <f t="shared" ref="JI83:JI90" si="391">JI82+(JI$91-JI$81)/10</f>
        <v>53.389800000000008</v>
      </c>
      <c r="JJ83" s="76">
        <v>6.4710000000000001</v>
      </c>
      <c r="JK83" s="76">
        <v>20.292999999999999</v>
      </c>
      <c r="JL83" s="76">
        <v>1.734</v>
      </c>
      <c r="JM83" s="76">
        <v>25.681999999999999</v>
      </c>
      <c r="JN83" s="76">
        <f t="shared" si="354"/>
        <v>29.131</v>
      </c>
      <c r="JO83" s="76">
        <v>22.262</v>
      </c>
      <c r="JP83" s="76">
        <v>6.8689999999999998</v>
      </c>
      <c r="JQ83" s="76">
        <v>-5.0720000000000001</v>
      </c>
      <c r="JR83" s="76">
        <v>5.3630000000000004</v>
      </c>
      <c r="JS83" s="76">
        <f t="shared" si="287"/>
        <v>88.674000000000007</v>
      </c>
      <c r="JT83" s="76">
        <f t="shared" si="355"/>
        <v>379.16999999999996</v>
      </c>
      <c r="JU83" s="23">
        <f t="shared" si="356"/>
        <v>0.18953753815374358</v>
      </c>
      <c r="JV83" s="23">
        <f t="shared" si="357"/>
        <v>1.3831533588119118E-2</v>
      </c>
      <c r="JW83" s="23">
        <f t="shared" si="358"/>
        <v>4.3375569634322549E-2</v>
      </c>
      <c r="JX83" s="23">
        <f t="shared" si="359"/>
        <v>3.7063636596814322E-3</v>
      </c>
      <c r="JY83" s="23">
        <f t="shared" si="360"/>
        <v>5.4894366498234454E-2</v>
      </c>
      <c r="JZ83" s="23">
        <f t="shared" si="361"/>
        <v>6.2266481989723073E-2</v>
      </c>
      <c r="KA83" s="23">
        <f t="shared" si="362"/>
        <v>1.1463222783662932E-2</v>
      </c>
      <c r="KB83" s="149">
        <v>24.081</v>
      </c>
      <c r="KC83" s="316">
        <v>101.569</v>
      </c>
      <c r="KD83" s="316">
        <v>77.488</v>
      </c>
      <c r="KE83" s="589">
        <f t="shared" si="242"/>
        <v>0.76290994299441761</v>
      </c>
      <c r="KF83" s="1071">
        <v>0</v>
      </c>
      <c r="KG83" s="319">
        <f t="shared" si="243"/>
        <v>-0.37449999999999994</v>
      </c>
      <c r="KH83" s="319">
        <f t="shared" si="244"/>
        <v>-4.0474999999999994</v>
      </c>
      <c r="KI83" s="321">
        <f t="shared" si="245"/>
        <v>0.28900000000000003</v>
      </c>
      <c r="KJ83" s="319">
        <f t="shared" si="246"/>
        <v>-1.645</v>
      </c>
      <c r="KK83" s="319">
        <f t="shared" si="285"/>
        <v>-1.3340000000000014</v>
      </c>
      <c r="KL83" s="319">
        <f t="shared" si="248"/>
        <v>-3.5729999999999995</v>
      </c>
      <c r="KM83" s="319"/>
      <c r="KN83" s="319"/>
      <c r="KO83" s="319">
        <f t="shared" si="249"/>
        <v>-4.1187999999999967</v>
      </c>
      <c r="KP83" s="319">
        <f t="shared" si="250"/>
        <v>-0.71000000000000008</v>
      </c>
      <c r="KQ83" s="153">
        <f t="shared" si="328"/>
        <v>-7.8220000000000018</v>
      </c>
      <c r="KR83" s="153">
        <f t="shared" si="329"/>
        <v>31.903000000000002</v>
      </c>
      <c r="KS83" s="23">
        <f t="shared" si="178"/>
        <v>6.1516361042016155E-3</v>
      </c>
      <c r="KT83" s="23">
        <f t="shared" si="179"/>
        <v>5.315403675407801E-2</v>
      </c>
      <c r="KU83" s="326">
        <v>443.76299999999998</v>
      </c>
      <c r="KV83" s="430">
        <f t="shared" si="252"/>
        <v>53.389800000000008</v>
      </c>
      <c r="KW83" s="322">
        <f t="shared" si="181"/>
        <v>6.8455000000000004</v>
      </c>
      <c r="KX83" s="322">
        <f t="shared" si="182"/>
        <v>24.340499999999999</v>
      </c>
      <c r="KY83" s="322">
        <f t="shared" si="183"/>
        <v>1.4449999999999998</v>
      </c>
      <c r="KZ83" s="322">
        <f t="shared" si="184"/>
        <v>27.326999999999998</v>
      </c>
      <c r="LA83" s="322">
        <f t="shared" si="185"/>
        <v>30.465000000000003</v>
      </c>
      <c r="LB83" s="322">
        <f t="shared" si="186"/>
        <v>25.835000000000001</v>
      </c>
      <c r="LC83" s="322">
        <f t="shared" si="187"/>
        <v>-0.95320000000000338</v>
      </c>
      <c r="LD83" s="322">
        <f t="shared" si="188"/>
        <v>6.0730000000000004</v>
      </c>
      <c r="LE83" s="322">
        <f t="shared" si="189"/>
        <v>96.496000000000009</v>
      </c>
      <c r="LF83" s="322">
        <f t="shared" si="190"/>
        <v>0</v>
      </c>
      <c r="LG83" s="322">
        <f t="shared" si="191"/>
        <v>347.26699999999994</v>
      </c>
      <c r="LH83" s="367">
        <f t="shared" si="192"/>
        <v>0.2174494042991417</v>
      </c>
      <c r="LI83" s="248">
        <f t="shared" si="193"/>
        <v>1.5426026955830029E-2</v>
      </c>
      <c r="LJ83" s="248">
        <f t="shared" si="194"/>
        <v>5.4850224106110693E-2</v>
      </c>
      <c r="LK83" s="248">
        <f t="shared" si="195"/>
        <v>3.2562426340186088E-3</v>
      </c>
      <c r="LL83" s="248">
        <f t="shared" si="196"/>
        <v>6.1580167792267493E-2</v>
      </c>
      <c r="LM83" s="248">
        <f t="shared" si="197"/>
        <v>6.8651509927596499E-2</v>
      </c>
      <c r="LN83" s="248">
        <f t="shared" si="198"/>
        <v>5.8218012768076657E-2</v>
      </c>
      <c r="LO83" s="248">
        <f t="shared" si="199"/>
        <v>-2.1479934108972658E-3</v>
      </c>
      <c r="LP83" s="248">
        <f t="shared" si="200"/>
        <v>1.3685232883318349E-2</v>
      </c>
      <c r="LQ83" s="248">
        <f t="shared" si="201"/>
        <v>8.5567767686700977E-2</v>
      </c>
      <c r="LR83" s="23">
        <f t="shared" si="202"/>
        <v>6.6961107576020501E-2</v>
      </c>
      <c r="LS83" s="23">
        <f t="shared" si="203"/>
        <v>1.8606660110680472E-2</v>
      </c>
      <c r="LT83" s="326">
        <v>159.126</v>
      </c>
      <c r="LU83" s="153">
        <f t="shared" si="363"/>
        <v>0</v>
      </c>
      <c r="LV83" s="153">
        <f t="shared" si="204"/>
        <v>24.081</v>
      </c>
      <c r="LW83" s="153">
        <f t="shared" si="283"/>
        <v>77.488</v>
      </c>
      <c r="LX83" s="153">
        <v>57.557000000000002</v>
      </c>
      <c r="LY83" s="23">
        <f>LX83/Liabilities!GT83</f>
        <v>0.13719531089849021</v>
      </c>
      <c r="LZ83" s="23">
        <f t="shared" si="253"/>
        <v>0.33573657654504624</v>
      </c>
      <c r="MA83" s="425">
        <v>248.923</v>
      </c>
      <c r="MB83" s="153">
        <f t="shared" si="364"/>
        <v>0</v>
      </c>
      <c r="MC83" s="153">
        <v>113.878</v>
      </c>
      <c r="MD83" s="153">
        <f t="shared" si="365"/>
        <v>57.557000000000002</v>
      </c>
      <c r="ME83" s="153">
        <f t="shared" si="366"/>
        <v>77.488</v>
      </c>
      <c r="MF83" s="153">
        <v>171.435</v>
      </c>
      <c r="MG83" s="153">
        <f t="shared" si="208"/>
        <v>101.569</v>
      </c>
      <c r="MH83" s="326">
        <f t="shared" si="209"/>
        <v>443.76299999999998</v>
      </c>
      <c r="MI83" s="1008">
        <f>FoF_RoW!$BH53/1000</f>
        <v>657.71699999999998</v>
      </c>
      <c r="MJ83" s="1008">
        <v>778.40899999999999</v>
      </c>
      <c r="MK83" s="1008">
        <f>FoF_RoW!$AU53/1000</f>
        <v>39.119</v>
      </c>
      <c r="ML83" s="1008">
        <f t="shared" si="254"/>
        <v>27.913000000000011</v>
      </c>
      <c r="MM83" s="425">
        <f t="shared" si="210"/>
        <v>633.63599999999997</v>
      </c>
      <c r="MN83" s="23">
        <f t="shared" si="211"/>
        <v>1.4278702821100453</v>
      </c>
      <c r="MO83" s="153">
        <v>962.58199999999999</v>
      </c>
      <c r="MP83" s="425">
        <v>803.45600000000002</v>
      </c>
      <c r="MQ83" s="23">
        <f t="shared" si="367"/>
        <v>1.8105520288983086</v>
      </c>
      <c r="MR83" s="23">
        <f t="shared" si="368"/>
        <v>1.2680087621284146</v>
      </c>
      <c r="MS83" s="153">
        <f t="shared" si="212"/>
        <v>24.081</v>
      </c>
      <c r="MT83" s="153">
        <v>159.126</v>
      </c>
      <c r="MU83" s="153">
        <v>248.923</v>
      </c>
      <c r="MV83" s="153">
        <v>555.25900000000001</v>
      </c>
      <c r="MW83" s="153">
        <v>419.52600000000001</v>
      </c>
      <c r="MX83" s="23">
        <f t="shared" si="369"/>
        <v>1.3235389463346729</v>
      </c>
      <c r="MY83" s="425">
        <f t="shared" si="255"/>
        <v>-335.87499999999989</v>
      </c>
      <c r="MZ83" s="23">
        <f t="shared" si="213"/>
        <v>-6.4764466554829231E-2</v>
      </c>
      <c r="NA83" s="153">
        <v>2605.674</v>
      </c>
      <c r="NB83" s="153">
        <v>2848.9879999999998</v>
      </c>
      <c r="NC83" s="425">
        <f t="shared" si="330"/>
        <v>-369.96199999999993</v>
      </c>
      <c r="ND83" s="23">
        <f t="shared" si="331"/>
        <v>-7.133722836042497E-2</v>
      </c>
      <c r="NE83" s="330">
        <f t="shared" si="332"/>
        <v>124.31299999999993</v>
      </c>
      <c r="NF83" s="23">
        <f t="shared" si="333"/>
        <v>2.3970420932878257E-2</v>
      </c>
      <c r="NG83" s="330">
        <f t="shared" si="334"/>
        <v>158.39999999999998</v>
      </c>
      <c r="NH83" s="23">
        <f t="shared" si="335"/>
        <v>3.0543182738473992E-2</v>
      </c>
      <c r="NI83" s="330">
        <v>92.561000000000007</v>
      </c>
      <c r="NJ83" s="425">
        <f t="shared" si="63"/>
        <v>60.984000000000002</v>
      </c>
      <c r="NK83" s="403">
        <f t="shared" si="64"/>
        <v>1.1759125354312488E-2</v>
      </c>
      <c r="NL83" s="153">
        <v>60.984000000000002</v>
      </c>
      <c r="NM83" s="153">
        <v>58.718000000000004</v>
      </c>
      <c r="NN83" s="153">
        <v>-2.266</v>
      </c>
      <c r="NO83" s="425">
        <f t="shared" si="100"/>
        <v>26.865000000000009</v>
      </c>
      <c r="NP83" s="153">
        <v>154.03700000000001</v>
      </c>
      <c r="NQ83" s="153">
        <v>127.172</v>
      </c>
      <c r="NR83" s="403">
        <f t="shared" si="65"/>
        <v>5.1801932087695967E-3</v>
      </c>
      <c r="NS83" s="403">
        <f t="shared" si="66"/>
        <v>1.1759125354312488E-2</v>
      </c>
      <c r="NT83" s="403">
        <f t="shared" si="67"/>
        <v>-6.5789321455428911E-3</v>
      </c>
      <c r="NU83" s="727">
        <f t="shared" si="215"/>
        <v>6.326793253146408E-2</v>
      </c>
      <c r="NV83" s="688">
        <f t="shared" si="216"/>
        <v>8.0224292811645823E-2</v>
      </c>
      <c r="NW83" s="688">
        <f t="shared" si="217"/>
        <v>0.11454988360904358</v>
      </c>
      <c r="NX83" s="793">
        <f>(ER83-T.A2!B35*T.A1!M35)/MP83</f>
        <v>5.0770798693071745E-2</v>
      </c>
      <c r="NY83" s="688">
        <f>Liabilities!BU83/Liabilities!GY83</f>
        <v>-2.0354465213530983E-2</v>
      </c>
      <c r="NZ83" s="688">
        <f>Liabilities!BU83/Liabilities!GT83</f>
        <v>-2.693992744192255E-2</v>
      </c>
      <c r="OA83" s="688">
        <f>Liabilities!BU83/Liabilities!GR83</f>
        <v>-3.7027815090259798E-2</v>
      </c>
      <c r="OB83" s="688">
        <f t="shared" si="256"/>
        <v>8.3622397744995067E-2</v>
      </c>
      <c r="OC83" s="688">
        <f t="shared" si="257"/>
        <v>0.10716422025356837</v>
      </c>
      <c r="OD83" s="688"/>
      <c r="OE83" s="793">
        <f t="shared" si="218"/>
        <v>9.0687713450624652E-2</v>
      </c>
      <c r="OF83" s="793">
        <f>OE83/(1-'Assets(MOFA)'!GU36)</f>
        <v>0.14319102368697736</v>
      </c>
      <c r="OG83" s="793">
        <f>Liabilities!HV83</f>
        <v>-2.6025581720492373E-2</v>
      </c>
      <c r="OH83" s="793"/>
      <c r="OI83" s="22">
        <f t="shared" si="336"/>
        <v>4.6667782492689699E-2</v>
      </c>
      <c r="OJ83" s="22">
        <f t="shared" si="337"/>
        <v>4.49876109849267E-2</v>
      </c>
      <c r="OK83" s="403">
        <f>Liabilities!CT83/LX83</f>
        <v>4.5641711694494151E-2</v>
      </c>
      <c r="OL83" s="403">
        <f>Liabilities!CU83/MF83</f>
        <v>6.4590077872079793E-2</v>
      </c>
      <c r="OM83" s="153"/>
      <c r="OO83" s="186">
        <f t="shared" si="221"/>
        <v>8.7660211002679927E-2</v>
      </c>
      <c r="OP83" s="308">
        <f t="shared" si="370"/>
        <v>0.12217967258633654</v>
      </c>
      <c r="OQ83" s="308">
        <f t="shared" si="371"/>
        <v>1.0710295879156609E-2</v>
      </c>
      <c r="OR83" s="313">
        <f t="shared" si="372"/>
        <v>0</v>
      </c>
      <c r="OS83" s="23">
        <f t="shared" si="373"/>
        <v>0.17582855238100029</v>
      </c>
      <c r="OT83" s="23">
        <f t="shared" si="374"/>
        <v>0.11919064114415004</v>
      </c>
      <c r="OU83" s="23">
        <f t="shared" si="375"/>
        <v>9.4795909811134241E-2</v>
      </c>
      <c r="OV83" s="23">
        <f t="shared" si="376"/>
        <v>9.2132405518172367E-2</v>
      </c>
      <c r="OW83" s="23">
        <f t="shared" si="377"/>
        <v>8.1914214323996676E-2</v>
      </c>
      <c r="OX83" s="23">
        <f t="shared" si="378"/>
        <v>6.4477189390795719E-2</v>
      </c>
      <c r="OY83" s="23">
        <f t="shared" si="379"/>
        <v>0.14742414402076301</v>
      </c>
      <c r="OZ83" s="23">
        <f t="shared" si="380"/>
        <v>0.10518881463878457</v>
      </c>
      <c r="PA83" s="23">
        <f t="shared" si="381"/>
        <v>8.3047431620680193E-2</v>
      </c>
      <c r="PB83" s="23">
        <f t="shared" si="382"/>
        <v>2.214138301810438E-2</v>
      </c>
      <c r="PC83" s="23"/>
      <c r="PD83" s="23"/>
      <c r="PE83" s="23"/>
      <c r="PF83" s="23"/>
      <c r="PG83" s="69"/>
      <c r="PH83" s="23">
        <f>'Assets(MOFA)'!GU36</f>
        <v>0.36666621192071047</v>
      </c>
      <c r="PI83" s="23">
        <f>'Assets(MOFA)'!HM36</f>
        <v>0.36156429942418428</v>
      </c>
      <c r="PJ83" s="11">
        <f t="shared" si="222"/>
        <v>4.5433299236057968E-2</v>
      </c>
      <c r="PL83" s="11">
        <f>'Assets(MOFA)'!GO36/MM83/1000</f>
        <v>3.32967192520627E-2</v>
      </c>
    </row>
    <row r="84" spans="2:429">
      <c r="B84" s="71">
        <v>1992</v>
      </c>
      <c r="C84" s="43">
        <v>5499.7</v>
      </c>
      <c r="D84" s="5">
        <v>475.3</v>
      </c>
      <c r="E84" s="6">
        <f t="shared" si="68"/>
        <v>8.6422895794316057E-2</v>
      </c>
      <c r="F84" s="72">
        <f t="shared" si="69"/>
        <v>0</v>
      </c>
      <c r="G84" s="76">
        <f t="shared" si="70"/>
        <v>402.20000000000005</v>
      </c>
      <c r="H84" s="23">
        <f t="shared" si="71"/>
        <v>7.3131261705183928E-2</v>
      </c>
      <c r="I84" s="74">
        <v>73.099999999999994</v>
      </c>
      <c r="J84" s="19">
        <f t="shared" si="72"/>
        <v>1.3291634089132134E-2</v>
      </c>
      <c r="K84" s="6">
        <f t="shared" si="73"/>
        <v>0.15379760151483271</v>
      </c>
      <c r="L84" s="136">
        <v>78.300000000000011</v>
      </c>
      <c r="M84" s="19">
        <f t="shared" si="74"/>
        <v>1.4237140207647693E-2</v>
      </c>
      <c r="N84" s="63">
        <f t="shared" si="75"/>
        <v>0.16473806017252263</v>
      </c>
      <c r="O84" s="5">
        <f t="shared" si="76"/>
        <v>475.3</v>
      </c>
      <c r="P84" s="75">
        <f t="shared" si="77"/>
        <v>0</v>
      </c>
      <c r="Q84" s="271">
        <v>415</v>
      </c>
      <c r="R84" s="202">
        <v>70.7</v>
      </c>
      <c r="S84" s="53">
        <f t="shared" si="78"/>
        <v>0.14874815905743741</v>
      </c>
      <c r="T84" s="74">
        <v>18.399999999999999</v>
      </c>
      <c r="U84" s="74">
        <v>12.7</v>
      </c>
      <c r="V84" s="207">
        <v>70.900000000000006</v>
      </c>
      <c r="W84" s="53">
        <f t="shared" si="79"/>
        <v>0.14916894592888702</v>
      </c>
      <c r="X84" s="75">
        <f t="shared" si="80"/>
        <v>29.400000000000034</v>
      </c>
      <c r="Y84" s="187"/>
      <c r="Z84" s="75"/>
      <c r="AA84" s="75"/>
      <c r="AB84" s="75"/>
      <c r="AC84" s="75">
        <f t="shared" si="103"/>
        <v>45.293177848896796</v>
      </c>
      <c r="AD84" s="23">
        <f t="shared" si="81"/>
        <v>9.5293873025240464E-2</v>
      </c>
      <c r="AE84" s="76">
        <f>NIPA_Scorp!C5/1000</f>
        <v>42.594000000000001</v>
      </c>
      <c r="AF84" s="76">
        <v>49.411634559445588</v>
      </c>
      <c r="AG84" s="23">
        <f t="shared" si="385"/>
        <v>8.9614980012623607E-2</v>
      </c>
      <c r="AH84" s="97">
        <v>148.69999999999999</v>
      </c>
      <c r="AI84" s="22">
        <f t="shared" si="82"/>
        <v>2.7037838427550594E-2</v>
      </c>
      <c r="AJ84" s="22">
        <f t="shared" si="83"/>
        <v>2.3983126352346489E-2</v>
      </c>
      <c r="AK84" s="99">
        <f t="shared" si="84"/>
        <v>9.9999999999965894E-2</v>
      </c>
      <c r="AL84" s="71">
        <v>101.90000000000002</v>
      </c>
      <c r="AM84" s="72">
        <f>(0.25*Fedtax!C65+0.75*Fedtax!C64)/1000</f>
        <v>104.5825</v>
      </c>
      <c r="AN84" s="71">
        <v>24.4</v>
      </c>
      <c r="AO84" s="255">
        <v>5.5</v>
      </c>
      <c r="AP84" s="71">
        <v>16.8</v>
      </c>
      <c r="AQ84" s="6">
        <f t="shared" si="85"/>
        <v>5.9385057366765463E-2</v>
      </c>
      <c r="AR84" s="207">
        <v>25.3</v>
      </c>
      <c r="AS84" s="714">
        <v>21.532736</v>
      </c>
      <c r="AT84" s="210">
        <v>5.1789880000000004</v>
      </c>
      <c r="AU84" s="205">
        <f t="shared" si="386"/>
        <v>0.24051695056308683</v>
      </c>
      <c r="AV84" s="707">
        <v>22.574362000000001</v>
      </c>
      <c r="AW84" s="210">
        <v>6.1726960000000002</v>
      </c>
      <c r="AX84" s="210">
        <f t="shared" si="387"/>
        <v>16.401665999999999</v>
      </c>
      <c r="AY84" s="205">
        <f t="shared" si="388"/>
        <v>0.27343833681766955</v>
      </c>
      <c r="AZ84" s="777">
        <v>21.310760000000002</v>
      </c>
      <c r="BA84" s="772">
        <f t="shared" si="389"/>
        <v>4.9090940000000032</v>
      </c>
      <c r="BB84" s="205">
        <f t="shared" si="390"/>
        <v>0.23035752830964276</v>
      </c>
      <c r="BC84" s="210">
        <v>7.1574150000000003</v>
      </c>
      <c r="BD84" s="722">
        <f>'Assets(MOFA)'!FJ37/1000</f>
        <v>26.686</v>
      </c>
      <c r="BE84" s="753">
        <f t="shared" si="105"/>
        <v>0.84592527917259985</v>
      </c>
      <c r="BF84" s="234">
        <v>0.34</v>
      </c>
      <c r="BG84" s="437"/>
      <c r="BH84" s="140">
        <f t="shared" si="106"/>
        <v>0.27331746375243454</v>
      </c>
      <c r="BI84" s="248">
        <f t="shared" si="384"/>
        <v>0.30106839949845765</v>
      </c>
      <c r="BJ84" s="23">
        <f t="shared" si="107"/>
        <v>0.23714821763602242</v>
      </c>
      <c r="BK84" s="140">
        <f t="shared" si="108"/>
        <v>0.31124333196553133</v>
      </c>
      <c r="BL84" s="140">
        <f t="shared" si="109"/>
        <v>0.32665361152752526</v>
      </c>
      <c r="BM84" s="248">
        <f t="shared" si="110"/>
        <v>0.3431297424045448</v>
      </c>
      <c r="BN84" s="23">
        <f t="shared" si="111"/>
        <v>0.31783132530120478</v>
      </c>
      <c r="BO84" s="23">
        <f t="shared" si="112"/>
        <v>0.27156681078855255</v>
      </c>
      <c r="BP84" s="149">
        <f t="shared" si="86"/>
        <v>475.3</v>
      </c>
      <c r="BQ84" s="99">
        <f t="shared" si="87"/>
        <v>0</v>
      </c>
      <c r="BR84" s="153">
        <f t="shared" si="88"/>
        <v>148.69999999999999</v>
      </c>
      <c r="BS84" s="79">
        <v>189.5</v>
      </c>
      <c r="BT84" s="79">
        <v>137.1</v>
      </c>
      <c r="BU84" s="23">
        <f t="shared" si="223"/>
        <v>0.28844940037870814</v>
      </c>
      <c r="BV84" s="71">
        <v>92</v>
      </c>
      <c r="BW84" s="71">
        <f t="shared" si="89"/>
        <v>45.099999999999994</v>
      </c>
      <c r="BX84" s="23">
        <f t="shared" si="90"/>
        <v>9.4887439511887217E-2</v>
      </c>
      <c r="BY84" s="23">
        <f t="shared" si="289"/>
        <v>1.4950557542604669E-2</v>
      </c>
      <c r="BZ84" s="23">
        <f t="shared" si="290"/>
        <v>0.12609575185434929</v>
      </c>
      <c r="CA84" s="23">
        <f t="shared" si="291"/>
        <v>0.1396808684465527</v>
      </c>
      <c r="CB84" s="23">
        <f t="shared" si="262"/>
        <v>0.61696306429548564</v>
      </c>
      <c r="CC84" s="169">
        <f t="shared" si="91"/>
        <v>78.300000000000011</v>
      </c>
      <c r="CD84" s="174"/>
      <c r="CF84" s="76">
        <f t="shared" si="58"/>
        <v>56.353999999999999</v>
      </c>
      <c r="CH84" s="23">
        <f t="shared" ref="CH84:CH108" si="392">CF84/CC84</f>
        <v>0.71971902937420162</v>
      </c>
      <c r="CI84" s="182">
        <v>57.539000000000001</v>
      </c>
      <c r="CJ84" s="79">
        <f t="shared" si="292"/>
        <v>2.2204460492503131E-15</v>
      </c>
      <c r="CK84" s="79">
        <f t="shared" si="60"/>
        <v>56.353999999999999</v>
      </c>
      <c r="CL84" s="159">
        <v>34.441000000000003</v>
      </c>
      <c r="CM84" s="159">
        <v>21.911999999999999</v>
      </c>
      <c r="CN84" s="159">
        <v>33.6</v>
      </c>
      <c r="CO84" s="159">
        <f t="shared" si="338"/>
        <v>11.688000000000002</v>
      </c>
      <c r="CP84" s="79">
        <v>1.1850000000000001</v>
      </c>
      <c r="CQ84" s="79">
        <v>3.93</v>
      </c>
      <c r="CR84" s="79">
        <v>2.7450000000000001</v>
      </c>
      <c r="CS84" s="23">
        <f t="shared" si="293"/>
        <v>0.38882776732796254</v>
      </c>
      <c r="CT84" s="23">
        <f t="shared" si="294"/>
        <v>5.7752998106459083E-3</v>
      </c>
      <c r="CU84" s="73">
        <v>5.6189999999999998</v>
      </c>
      <c r="CV84" s="378">
        <f t="shared" si="295"/>
        <v>1.1191822540199138E-2</v>
      </c>
      <c r="CW84" s="378">
        <f t="shared" si="296"/>
        <v>9.7655503223900306E-2</v>
      </c>
      <c r="CX84" s="79">
        <f t="shared" si="297"/>
        <v>51.92</v>
      </c>
      <c r="CY84" s="79">
        <f t="shared" si="298"/>
        <v>1.355000000000004</v>
      </c>
      <c r="CZ84" s="293">
        <f t="shared" si="299"/>
        <v>57.539000000000001</v>
      </c>
      <c r="DA84" s="136"/>
      <c r="DB84" s="79"/>
      <c r="DC84" s="79"/>
      <c r="DD84" s="79"/>
      <c r="DE84" s="79"/>
      <c r="DF84" s="79"/>
      <c r="DG84" s="79"/>
      <c r="DH84" s="79"/>
      <c r="DI84" s="182">
        <v>50.564999999999998</v>
      </c>
      <c r="DJ84" s="79">
        <v>1.8169999999999999</v>
      </c>
      <c r="DK84" s="79">
        <v>3.0619999999999998</v>
      </c>
      <c r="DL84" s="79">
        <v>0.20200000000000001</v>
      </c>
      <c r="DM84" s="79">
        <v>2.7109999999999999</v>
      </c>
      <c r="DN84" s="79">
        <v>4.2080000000000002</v>
      </c>
      <c r="DO84" s="79">
        <v>2.09</v>
      </c>
      <c r="DP84" s="79">
        <v>-0.41699999999999998</v>
      </c>
      <c r="DQ84" s="79">
        <v>1.5389999999999999</v>
      </c>
      <c r="DR84" s="79">
        <f t="shared" si="113"/>
        <v>13.539</v>
      </c>
      <c r="DS84" s="79">
        <f t="shared" si="114"/>
        <v>37.025999999999996</v>
      </c>
      <c r="DT84" s="79">
        <v>1.028</v>
      </c>
      <c r="DU84" s="23">
        <f t="shared" si="115"/>
        <v>2.776427375357857E-2</v>
      </c>
      <c r="DV84" s="23">
        <f t="shared" si="116"/>
        <v>3.5933946405616535E-2</v>
      </c>
      <c r="DW84" s="23">
        <f t="shared" si="117"/>
        <v>6.0555720359932758E-2</v>
      </c>
      <c r="DX84" s="23">
        <f t="shared" si="118"/>
        <v>3.9948581034312276E-3</v>
      </c>
      <c r="DY84" s="23">
        <f t="shared" si="119"/>
        <v>5.3614159992089391E-2</v>
      </c>
      <c r="DZ84" s="23">
        <f t="shared" si="120"/>
        <v>8.3219618313062405E-2</v>
      </c>
      <c r="EA84" s="23">
        <f t="shared" si="121"/>
        <v>4.133293780282804E-2</v>
      </c>
      <c r="EB84" s="23">
        <f t="shared" si="122"/>
        <v>-8.2468110353010968E-3</v>
      </c>
      <c r="EC84" s="23">
        <f t="shared" si="123"/>
        <v>3.0436072382082468E-2</v>
      </c>
      <c r="ED84" s="23">
        <f t="shared" si="124"/>
        <v>0.26775437555621479</v>
      </c>
      <c r="EE84" s="153">
        <v>13.590999999999999</v>
      </c>
      <c r="EF84" s="23">
        <f t="shared" si="300"/>
        <v>0.26878275486996933</v>
      </c>
      <c r="EG84" s="182">
        <v>16.292999999999999</v>
      </c>
      <c r="EH84" s="79">
        <v>1.28</v>
      </c>
      <c r="EI84" s="79">
        <v>1.34</v>
      </c>
      <c r="EJ84" s="79">
        <v>0.14499999999999999</v>
      </c>
      <c r="EK84" s="79">
        <v>1.633</v>
      </c>
      <c r="EL84" s="79">
        <v>1.7789999999999999</v>
      </c>
      <c r="EM84" s="79">
        <v>0.92900000000000005</v>
      </c>
      <c r="EN84" s="28">
        <f t="shared" si="301"/>
        <v>7.1059999999999999</v>
      </c>
      <c r="EO84" s="23">
        <f t="shared" si="302"/>
        <v>0.52167539057537016</v>
      </c>
      <c r="EP84" s="79">
        <f t="shared" si="303"/>
        <v>9.1869999999999994</v>
      </c>
      <c r="EQ84" s="23">
        <f t="shared" si="304"/>
        <v>0.43613821886699811</v>
      </c>
      <c r="ER84" s="182">
        <f t="shared" si="268"/>
        <v>49.379999999999995</v>
      </c>
      <c r="ES84" s="185"/>
      <c r="ET84" s="136">
        <f>'Assets(MOFA)'!W37/1000</f>
        <v>69.447000000000003</v>
      </c>
      <c r="EU84" s="136">
        <f t="shared" si="339"/>
        <v>42.761000000000003</v>
      </c>
      <c r="EV84" s="589">
        <f t="shared" si="340"/>
        <v>0.8659578776832727</v>
      </c>
      <c r="EW84" s="153">
        <f t="shared" si="125"/>
        <v>1.8372287763657802</v>
      </c>
      <c r="EX84" s="153">
        <f t="shared" si="126"/>
        <v>3.2033856609458926</v>
      </c>
      <c r="EY84" s="153">
        <f t="shared" si="127"/>
        <v>0.19311731953360409</v>
      </c>
      <c r="EZ84" s="153">
        <f t="shared" si="128"/>
        <v>2.7144523778330929</v>
      </c>
      <c r="FA84" s="153">
        <f t="shared" si="129"/>
        <v>4.1178785536486311</v>
      </c>
      <c r="FB84" s="153">
        <f t="shared" si="130"/>
        <v>2.2422103039434034</v>
      </c>
      <c r="FC84" s="153">
        <f t="shared" si="131"/>
        <v>-0.40183111489584711</v>
      </c>
      <c r="FD84" s="153">
        <f t="shared" si="132"/>
        <v>1.5554347569762872</v>
      </c>
      <c r="FE84" s="153">
        <f t="shared" si="133"/>
        <v>13.621497445303289</v>
      </c>
      <c r="FF84" s="153">
        <f t="shared" si="134"/>
        <v>35.676635399297545</v>
      </c>
      <c r="FG84" s="23">
        <f t="shared" si="135"/>
        <v>3.7205929047504666E-2</v>
      </c>
      <c r="FH84" s="23">
        <f t="shared" si="136"/>
        <v>6.4872127601172391E-2</v>
      </c>
      <c r="FI84" s="23">
        <f t="shared" si="137"/>
        <v>3.9108408168004073E-3</v>
      </c>
      <c r="FJ84" s="23">
        <f t="shared" si="138"/>
        <v>5.4970684038742265E-2</v>
      </c>
      <c r="FK84" s="23">
        <f t="shared" si="139"/>
        <v>8.3391627250883588E-2</v>
      </c>
      <c r="FL84" s="23">
        <f t="shared" si="140"/>
        <v>4.540725605393689E-2</v>
      </c>
      <c r="FM84" s="23">
        <f t="shared" si="141"/>
        <v>-8.1375276406611408E-3</v>
      </c>
      <c r="FN84" s="23">
        <f t="shared" si="142"/>
        <v>3.1499286289515739E-2</v>
      </c>
      <c r="FO84" s="23">
        <f t="shared" si="92"/>
        <v>0.27585049504461906</v>
      </c>
      <c r="FP84" s="23">
        <f t="shared" si="93"/>
        <v>0.724149504955381</v>
      </c>
      <c r="FQ84" s="23">
        <f t="shared" si="94"/>
        <v>4.544307545128061E-2</v>
      </c>
      <c r="FR84" s="23">
        <f t="shared" si="95"/>
        <v>0.11929498472124203</v>
      </c>
      <c r="FS84" s="23">
        <f t="shared" si="96"/>
        <v>3.9273221742992664E-3</v>
      </c>
      <c r="FT84" s="393">
        <f t="shared" si="97"/>
        <v>2.048787329192882E-3</v>
      </c>
      <c r="FU84" s="393">
        <f t="shared" si="98"/>
        <v>1.8785348451063845E-3</v>
      </c>
      <c r="FV84" s="23">
        <f t="shared" si="99"/>
        <v>1.0309818033348427E-2</v>
      </c>
      <c r="FW84" s="326">
        <f t="shared" si="305"/>
        <v>1.1850000000000001</v>
      </c>
      <c r="FX84" s="384">
        <f t="shared" si="269"/>
        <v>-2.0228776365780163E-2</v>
      </c>
      <c r="FY84" s="384">
        <f t="shared" si="270"/>
        <v>-0.1413856609458928</v>
      </c>
      <c r="FZ84" s="384">
        <f t="shared" si="271"/>
        <v>8.8826804663959136E-3</v>
      </c>
      <c r="GA84" s="384">
        <f t="shared" si="272"/>
        <v>-3.4523778330931513E-3</v>
      </c>
      <c r="GB84" s="384">
        <f>$OJ84*KK84</f>
        <v>9.0121446351368997E-2</v>
      </c>
      <c r="GC84" s="384">
        <f t="shared" si="274"/>
        <v>-0.15221030394340362</v>
      </c>
      <c r="GD84" s="153">
        <f>$OJ84*KO84</f>
        <v>-1.5168885104152898E-2</v>
      </c>
      <c r="GE84" s="153">
        <f t="shared" si="276"/>
        <v>-1.6434756976287178E-2</v>
      </c>
      <c r="GF84" s="153">
        <f t="shared" si="151"/>
        <v>-8.2497445303288369E-2</v>
      </c>
      <c r="GG84" s="153">
        <f t="shared" si="277"/>
        <v>1.3493646007024518</v>
      </c>
      <c r="GH84" s="182">
        <v>42.646999999999998</v>
      </c>
      <c r="GI84" s="79">
        <v>1.1910000000000001</v>
      </c>
      <c r="GJ84" s="79">
        <v>-1.5620000000000001</v>
      </c>
      <c r="GK84" s="79">
        <v>0.217</v>
      </c>
      <c r="GL84" s="79">
        <v>3.26</v>
      </c>
      <c r="GM84" s="79">
        <f t="shared" si="342"/>
        <v>6.9239999999999995</v>
      </c>
      <c r="GN84" s="79">
        <v>2.8279999999999998</v>
      </c>
      <c r="GO84" s="79">
        <v>4.0960000000000001</v>
      </c>
      <c r="GP84" s="79">
        <v>3.5720000000000001</v>
      </c>
      <c r="GQ84" s="79">
        <v>1.282</v>
      </c>
      <c r="GR84" s="79">
        <f t="shared" si="306"/>
        <v>11.312000000000001</v>
      </c>
      <c r="GS84" s="79">
        <f t="shared" si="343"/>
        <v>31.334999999999997</v>
      </c>
      <c r="GT84" s="23">
        <f t="shared" si="307"/>
        <v>0.26524726241001717</v>
      </c>
      <c r="GU84" s="362">
        <f t="shared" si="259"/>
        <v>30.942</v>
      </c>
      <c r="GV84" s="153">
        <f t="shared" si="344"/>
        <v>14.647</v>
      </c>
      <c r="GW84" s="153">
        <f t="shared" si="308"/>
        <v>16.292999999999999</v>
      </c>
      <c r="GX84" s="153">
        <f t="shared" si="309"/>
        <v>1.379</v>
      </c>
      <c r="GY84" s="153">
        <f t="shared" si="310"/>
        <v>-1.6780000000000002</v>
      </c>
      <c r="GZ84" s="153">
        <f t="shared" si="226"/>
        <v>0.25900000000000001</v>
      </c>
      <c r="HA84" s="153">
        <f t="shared" si="227"/>
        <v>1.7109999999999999</v>
      </c>
      <c r="HB84" s="153">
        <f t="shared" si="228"/>
        <v>3.0839999999999996</v>
      </c>
      <c r="HC84" s="153">
        <f t="shared" si="229"/>
        <v>3.4874999999999998</v>
      </c>
      <c r="HD84" s="352">
        <f t="shared" si="230"/>
        <v>-0.125</v>
      </c>
      <c r="HE84" s="153">
        <f t="shared" si="231"/>
        <v>1.0289999999999999</v>
      </c>
      <c r="HF84" s="153">
        <f t="shared" si="311"/>
        <v>5.7840000000000007</v>
      </c>
      <c r="HG84" s="23">
        <f t="shared" si="345"/>
        <v>0.18693038588326549</v>
      </c>
      <c r="HH84" s="156">
        <f t="shared" si="346"/>
        <v>21.882000000000005</v>
      </c>
      <c r="HI84" s="182">
        <f t="shared" si="312"/>
        <v>26.353999999999999</v>
      </c>
      <c r="HJ84" s="79">
        <v>-1.9999999999988916E-3</v>
      </c>
      <c r="HK84" s="79">
        <f t="shared" si="313"/>
        <v>-8.8999999999999968E-2</v>
      </c>
      <c r="HL84" s="79">
        <f t="shared" si="314"/>
        <v>-2.9020000000000001</v>
      </c>
      <c r="HM84" s="79">
        <f t="shared" si="315"/>
        <v>7.2000000000000008E-2</v>
      </c>
      <c r="HN84" s="79">
        <f t="shared" si="316"/>
        <v>1.6269999999999998</v>
      </c>
      <c r="HO84" s="79">
        <f t="shared" si="317"/>
        <v>5.1449999999999996</v>
      </c>
      <c r="HP84" s="79">
        <f t="shared" si="318"/>
        <v>0.35299999999999998</v>
      </c>
      <c r="HQ84" s="79">
        <f t="shared" si="319"/>
        <v>4.2059999999999995</v>
      </c>
      <c r="HR84" s="79">
        <f t="shared" si="383"/>
        <v>22.148</v>
      </c>
      <c r="HS84" s="23">
        <f t="shared" si="321"/>
        <v>0.15959626622144646</v>
      </c>
      <c r="HT84" s="28">
        <v>14.647</v>
      </c>
      <c r="HU84" s="79">
        <v>0.1</v>
      </c>
      <c r="HV84" s="26">
        <v>0.82699999999999996</v>
      </c>
      <c r="HW84" s="79">
        <v>0.114</v>
      </c>
      <c r="HX84" s="79">
        <v>7.8E-2</v>
      </c>
      <c r="HY84" s="79">
        <v>1.3049999999999999</v>
      </c>
      <c r="HZ84" s="79">
        <v>2.2869999999999999</v>
      </c>
      <c r="IA84" s="79">
        <v>-0.23499999999999999</v>
      </c>
      <c r="IB84" s="79">
        <v>0.10100000000000001</v>
      </c>
      <c r="IC84" s="79">
        <f t="shared" si="322"/>
        <v>2.5249999999999999</v>
      </c>
      <c r="ID84" s="79">
        <f t="shared" si="347"/>
        <v>12.122</v>
      </c>
      <c r="IE84" s="23">
        <f t="shared" si="348"/>
        <v>0.17239025056325527</v>
      </c>
      <c r="IF84" s="316">
        <v>11.705</v>
      </c>
      <c r="IG84" s="153">
        <v>-0.188</v>
      </c>
      <c r="IH84" s="153">
        <v>0.11600000000000001</v>
      </c>
      <c r="II84" s="153">
        <v>-4.2000000000000003E-2</v>
      </c>
      <c r="IJ84" s="153">
        <v>1.5489999999999999</v>
      </c>
      <c r="IK84" s="153">
        <v>3.84</v>
      </c>
      <c r="IL84" s="153">
        <v>-0.65949999999999998</v>
      </c>
      <c r="IM84" s="153">
        <v>3.6970000000000001</v>
      </c>
      <c r="IN84" s="153">
        <v>0.253</v>
      </c>
      <c r="IO84" s="153">
        <f t="shared" si="349"/>
        <v>5.5280000000000005</v>
      </c>
      <c r="IP84" s="153">
        <f t="shared" si="235"/>
        <v>6.1769999999999996</v>
      </c>
      <c r="IQ84" s="258">
        <f t="shared" si="350"/>
        <v>12.337</v>
      </c>
      <c r="IR84" s="5">
        <f t="shared" si="323"/>
        <v>502.06299999999999</v>
      </c>
      <c r="IS84" s="79">
        <f t="shared" si="351"/>
        <v>34.218999999999994</v>
      </c>
      <c r="IT84" s="79">
        <f t="shared" si="288"/>
        <v>0</v>
      </c>
      <c r="IU84" s="79">
        <f t="shared" si="352"/>
        <v>16.292999999999999</v>
      </c>
      <c r="IV84" s="79">
        <f t="shared" si="324"/>
        <v>14.647</v>
      </c>
      <c r="IW84" s="79">
        <v>11.705</v>
      </c>
      <c r="IX84" s="79">
        <f t="shared" si="353"/>
        <v>-8.4260000000000055</v>
      </c>
      <c r="IY84" s="79"/>
      <c r="IZ84" s="79"/>
      <c r="JA84" s="79"/>
      <c r="JB84" s="23">
        <f t="shared" si="162"/>
        <v>9.1289161226976015E-2</v>
      </c>
      <c r="JC84" s="23">
        <f t="shared" si="163"/>
        <v>1.8677382402676513E-2</v>
      </c>
      <c r="JD84" s="23">
        <f t="shared" si="164"/>
        <v>7.2611778824299505E-2</v>
      </c>
      <c r="JE84" s="22">
        <f t="shared" si="325"/>
        <v>2.9625252286488352E-3</v>
      </c>
      <c r="JF84" s="22">
        <f t="shared" si="326"/>
        <v>2.6632361765187192E-3</v>
      </c>
      <c r="JG84" s="22">
        <f t="shared" si="327"/>
        <v>2.1282979071585726E-3</v>
      </c>
      <c r="JH84" s="5">
        <v>502.06299999999999</v>
      </c>
      <c r="JI84" s="725">
        <f t="shared" si="391"/>
        <v>55.922200000000011</v>
      </c>
      <c r="JJ84" s="76">
        <v>7.6070000000000002</v>
      </c>
      <c r="JK84" s="76">
        <v>20.7</v>
      </c>
      <c r="JL84" s="76">
        <v>2.0310000000000001</v>
      </c>
      <c r="JM84" s="76">
        <v>28.698</v>
      </c>
      <c r="JN84" s="76">
        <f t="shared" si="354"/>
        <v>36.969000000000001</v>
      </c>
      <c r="JO84" s="76">
        <v>26.736000000000001</v>
      </c>
      <c r="JP84" s="76">
        <v>10.233000000000001</v>
      </c>
      <c r="JQ84" s="76">
        <v>-1.9890000000000001</v>
      </c>
      <c r="JR84" s="76">
        <v>6.7149999999999999</v>
      </c>
      <c r="JS84" s="76">
        <f t="shared" si="287"/>
        <v>102.72000000000001</v>
      </c>
      <c r="JT84" s="76">
        <f t="shared" si="355"/>
        <v>399.34299999999996</v>
      </c>
      <c r="JU84" s="23">
        <f t="shared" si="356"/>
        <v>0.20459583757416902</v>
      </c>
      <c r="JV84" s="23">
        <f t="shared" si="357"/>
        <v>1.5151484973001396E-2</v>
      </c>
      <c r="JW84" s="23">
        <f t="shared" si="358"/>
        <v>4.1229885492458117E-2</v>
      </c>
      <c r="JX84" s="23">
        <f t="shared" si="359"/>
        <v>4.0453090548397313E-3</v>
      </c>
      <c r="JY84" s="23">
        <f t="shared" si="360"/>
        <v>5.7160157191428168E-2</v>
      </c>
      <c r="JZ84" s="23">
        <f t="shared" si="361"/>
        <v>7.3634185351240791E-2</v>
      </c>
      <c r="KA84" s="23">
        <f t="shared" si="362"/>
        <v>1.3374815511200785E-2</v>
      </c>
      <c r="KB84" s="149">
        <v>36.417999999999999</v>
      </c>
      <c r="KC84" s="316">
        <v>112.748</v>
      </c>
      <c r="KD84" s="316">
        <v>76.33</v>
      </c>
      <c r="KE84" s="589">
        <f t="shared" si="242"/>
        <v>0.67699648774257637</v>
      </c>
      <c r="KF84" s="1071">
        <v>0</v>
      </c>
      <c r="KG84" s="319">
        <f t="shared" si="243"/>
        <v>-0.5625</v>
      </c>
      <c r="KH84" s="319">
        <f t="shared" si="244"/>
        <v>-3.9314999999999993</v>
      </c>
      <c r="KI84" s="321">
        <f t="shared" si="245"/>
        <v>0.24700000000000003</v>
      </c>
      <c r="KJ84" s="319">
        <f t="shared" si="246"/>
        <v>-9.6000000000000085E-2</v>
      </c>
      <c r="KK84" s="319">
        <f t="shared" si="285"/>
        <v>2.5059999999999985</v>
      </c>
      <c r="KL84" s="319">
        <f t="shared" si="248"/>
        <v>-4.2324999999999999</v>
      </c>
      <c r="KM84" s="319"/>
      <c r="KN84" s="319"/>
      <c r="KO84" s="319">
        <f t="shared" si="249"/>
        <v>-0.42179999999999662</v>
      </c>
      <c r="KP84" s="319">
        <f t="shared" si="250"/>
        <v>-0.45700000000000007</v>
      </c>
      <c r="KQ84" s="153">
        <f t="shared" si="328"/>
        <v>-2.2940000000000014</v>
      </c>
      <c r="KR84" s="153">
        <f t="shared" si="329"/>
        <v>38.712000000000003</v>
      </c>
      <c r="KS84" s="23">
        <f t="shared" si="178"/>
        <v>7.0389293961488813E-3</v>
      </c>
      <c r="KT84" s="23">
        <f t="shared" si="179"/>
        <v>5.5260055024236423E-3</v>
      </c>
      <c r="KU84" s="326">
        <v>465.64499999999998</v>
      </c>
      <c r="KV84" s="430">
        <f t="shared" si="252"/>
        <v>55.922200000000011</v>
      </c>
      <c r="KW84" s="322">
        <f t="shared" si="181"/>
        <v>8.1694999999999993</v>
      </c>
      <c r="KX84" s="322">
        <f t="shared" si="182"/>
        <v>24.631499999999999</v>
      </c>
      <c r="KY84" s="322">
        <f t="shared" si="183"/>
        <v>1.784</v>
      </c>
      <c r="KZ84" s="322">
        <f t="shared" si="184"/>
        <v>28.794</v>
      </c>
      <c r="LA84" s="322">
        <f t="shared" si="185"/>
        <v>34.463000000000001</v>
      </c>
      <c r="LB84" s="322">
        <f t="shared" si="186"/>
        <v>30.968499999999999</v>
      </c>
      <c r="LC84" s="322">
        <f t="shared" si="187"/>
        <v>-1.5672000000000035</v>
      </c>
      <c r="LD84" s="322">
        <f t="shared" si="188"/>
        <v>7.1719999999999997</v>
      </c>
      <c r="LE84" s="322">
        <f t="shared" si="189"/>
        <v>105.01400000000001</v>
      </c>
      <c r="LF84" s="322">
        <f t="shared" si="190"/>
        <v>0</v>
      </c>
      <c r="LG84" s="322">
        <f t="shared" si="191"/>
        <v>360.63099999999997</v>
      </c>
      <c r="LH84" s="367">
        <f t="shared" si="192"/>
        <v>0.22552373589322341</v>
      </c>
      <c r="LI84" s="248">
        <f t="shared" si="193"/>
        <v>1.7544481310869869E-2</v>
      </c>
      <c r="LJ84" s="248">
        <f t="shared" si="194"/>
        <v>5.2897593660406535E-2</v>
      </c>
      <c r="LK84" s="248">
        <f t="shared" si="195"/>
        <v>3.8312448324367278E-3</v>
      </c>
      <c r="LL84" s="248">
        <f t="shared" si="196"/>
        <v>6.1836807009631803E-2</v>
      </c>
      <c r="LM84" s="248">
        <f t="shared" si="197"/>
        <v>7.4011317634678789E-2</v>
      </c>
      <c r="LN84" s="248">
        <f t="shared" si="198"/>
        <v>6.6506673538854713E-2</v>
      </c>
      <c r="LO84" s="248">
        <f t="shared" si="199"/>
        <v>-3.3656540927101196E-3</v>
      </c>
      <c r="LP84" s="248">
        <f t="shared" si="200"/>
        <v>1.5402291445199669E-2</v>
      </c>
      <c r="LQ84" s="248">
        <f t="shared" si="201"/>
        <v>8.4667345491572274E-2</v>
      </c>
      <c r="LR84" s="23">
        <f t="shared" si="202"/>
        <v>6.5572849428150629E-2</v>
      </c>
      <c r="LS84" s="23">
        <f t="shared" si="203"/>
        <v>1.9094496063421642E-2</v>
      </c>
      <c r="LT84" s="326">
        <v>181.15199999999999</v>
      </c>
      <c r="LU84" s="153">
        <f t="shared" si="363"/>
        <v>0</v>
      </c>
      <c r="LV84" s="153">
        <f t="shared" si="204"/>
        <v>36.417999999999999</v>
      </c>
      <c r="LW84" s="153">
        <f t="shared" si="283"/>
        <v>76.33</v>
      </c>
      <c r="LX84" s="153">
        <v>68.403999999999996</v>
      </c>
      <c r="LY84" s="23">
        <f>LX84/Liabilities!GT84</f>
        <v>0.16091689034531592</v>
      </c>
      <c r="LZ84" s="23">
        <f t="shared" si="253"/>
        <v>0.37260124737859845</v>
      </c>
      <c r="MA84" s="425">
        <v>259.91500000000002</v>
      </c>
      <c r="MB84" s="153">
        <f t="shared" si="364"/>
        <v>0</v>
      </c>
      <c r="MC84" s="153">
        <v>115.181</v>
      </c>
      <c r="MD84" s="153">
        <f t="shared" si="365"/>
        <v>68.403999999999996</v>
      </c>
      <c r="ME84" s="153">
        <f t="shared" si="366"/>
        <v>76.33</v>
      </c>
      <c r="MF84" s="153">
        <v>183.58500000000001</v>
      </c>
      <c r="MG84" s="153">
        <f t="shared" si="208"/>
        <v>112.748</v>
      </c>
      <c r="MH84" s="326">
        <f t="shared" si="209"/>
        <v>465.64499999999998</v>
      </c>
      <c r="MI84" s="1008">
        <f>FoF_RoW!$BH54/1000</f>
        <v>674.38599999999997</v>
      </c>
      <c r="MJ84" s="1008">
        <v>808.56399999999996</v>
      </c>
      <c r="MK84" s="1008">
        <f>FoF_RoW!$AU54/1000</f>
        <v>44.453000000000003</v>
      </c>
      <c r="ML84" s="1008">
        <f t="shared" si="254"/>
        <v>16.668999999999983</v>
      </c>
      <c r="MM84" s="425">
        <f t="shared" si="210"/>
        <v>637.96799999999996</v>
      </c>
      <c r="MN84" s="23">
        <f t="shared" si="211"/>
        <v>1.3700737686434945</v>
      </c>
      <c r="MO84" s="153">
        <v>943.36400000000003</v>
      </c>
      <c r="MP84" s="425">
        <v>762.21199999999999</v>
      </c>
      <c r="MQ84" s="23">
        <f t="shared" si="367"/>
        <v>1.6368950595410667</v>
      </c>
      <c r="MR84" s="23">
        <f t="shared" si="368"/>
        <v>1.1947495799162342</v>
      </c>
      <c r="MS84" s="153">
        <f t="shared" si="212"/>
        <v>36.417999999999999</v>
      </c>
      <c r="MT84" s="153">
        <v>181.15199999999999</v>
      </c>
      <c r="MU84" s="153">
        <v>259.91500000000002</v>
      </c>
      <c r="MV84" s="153">
        <v>580.99699999999996</v>
      </c>
      <c r="MW84" s="153">
        <v>425.089</v>
      </c>
      <c r="MX84" s="23">
        <f t="shared" si="369"/>
        <v>1.3667655479205529</v>
      </c>
      <c r="MY84" s="425">
        <f t="shared" si="255"/>
        <v>-519.29699999999991</v>
      </c>
      <c r="MZ84" s="23">
        <f t="shared" si="213"/>
        <v>-9.4422786697456212E-2</v>
      </c>
      <c r="NA84" s="153">
        <v>2611.23</v>
      </c>
      <c r="NB84" s="153">
        <v>3043.3589999999999</v>
      </c>
      <c r="NC84" s="425">
        <f t="shared" si="330"/>
        <v>-487.63299999999998</v>
      </c>
      <c r="ND84" s="23">
        <f t="shared" si="331"/>
        <v>-8.8665381748095351E-2</v>
      </c>
      <c r="NE84" s="330">
        <f t="shared" si="332"/>
        <v>134.11599999999987</v>
      </c>
      <c r="NF84" s="23">
        <f t="shared" si="333"/>
        <v>2.4386057421313868E-2</v>
      </c>
      <c r="NG84" s="330">
        <f t="shared" si="334"/>
        <v>102.45200000000006</v>
      </c>
      <c r="NH84" s="23">
        <f t="shared" si="335"/>
        <v>1.8628652471953028E-2</v>
      </c>
      <c r="NI84" s="330">
        <v>87.168000000000006</v>
      </c>
      <c r="NJ84" s="425">
        <f t="shared" si="63"/>
        <v>55.348999999999997</v>
      </c>
      <c r="NK84" s="403">
        <f t="shared" ref="NK84:NK108" si="393">NJ84/$C84</f>
        <v>1.0064003491099514E-2</v>
      </c>
      <c r="NL84" s="153">
        <v>55.348999999999997</v>
      </c>
      <c r="NM84" s="153">
        <v>57.537999999999997</v>
      </c>
      <c r="NN84" s="153">
        <v>2.1890000000000001</v>
      </c>
      <c r="NO84" s="425">
        <f t="shared" si="100"/>
        <v>27.192999999999998</v>
      </c>
      <c r="NP84" s="153">
        <v>137.286</v>
      </c>
      <c r="NQ84" s="153">
        <v>110.093</v>
      </c>
      <c r="NR84" s="403">
        <f t="shared" ref="NR84:NR108" si="394">NO84/C84</f>
        <v>4.9444515155372109E-3</v>
      </c>
      <c r="NS84" s="403">
        <f t="shared" ref="NS84:NS108" si="395">NK84</f>
        <v>1.0064003491099514E-2</v>
      </c>
      <c r="NT84" s="403">
        <f t="shared" ref="NT84:NT108" si="396">NR84-NS84</f>
        <v>-5.1195519755623028E-3</v>
      </c>
      <c r="NU84" s="727">
        <f t="shared" si="215"/>
        <v>6.478512539818318E-2</v>
      </c>
      <c r="NV84" s="688">
        <f t="shared" si="216"/>
        <v>7.7402001354299893E-2</v>
      </c>
      <c r="NW84" s="688">
        <f t="shared" si="217"/>
        <v>0.10604645169603452</v>
      </c>
      <c r="NX84" s="793">
        <f>(ER84-T.A2!B36*T.A1!M36)/MP84</f>
        <v>5.5232724480628749E-2</v>
      </c>
      <c r="NY84" s="688">
        <f>Liabilities!BU84/Liabilities!GY84</f>
        <v>-9.2289633165059375E-3</v>
      </c>
      <c r="NZ84" s="688">
        <f>Liabilities!BU84/Liabilities!GT84</f>
        <v>-1.2613829104022922E-2</v>
      </c>
      <c r="OA84" s="688">
        <f>Liabilities!BU84/Liabilities!GR84</f>
        <v>-1.7411917519077773E-2</v>
      </c>
      <c r="OB84" s="688">
        <f t="shared" si="256"/>
        <v>7.4014088714689119E-2</v>
      </c>
      <c r="OC84" s="688">
        <f t="shared" si="257"/>
        <v>9.0015830458322815E-2</v>
      </c>
      <c r="OD84" s="688"/>
      <c r="OE84" s="793">
        <f t="shared" si="218"/>
        <v>8.8333584129611523E-2</v>
      </c>
      <c r="OF84" s="793">
        <f>OE84/(1-'Assets(MOFA)'!GU37)</f>
        <v>0.14346021882203719</v>
      </c>
      <c r="OG84" s="793">
        <f>Liabilities!HV84</f>
        <v>-1.1021535196961849E-2</v>
      </c>
      <c r="OH84" s="793"/>
      <c r="OI84" s="22">
        <f t="shared" si="336"/>
        <v>3.4856494128498956E-2</v>
      </c>
      <c r="OJ84" s="22">
        <f t="shared" si="337"/>
        <v>3.5962269094720292E-2</v>
      </c>
      <c r="OK84" s="403">
        <f>Liabilities!CT84/LX84</f>
        <v>3.755628325828899E-2</v>
      </c>
      <c r="OL84" s="403">
        <f>Liabilities!CU84/MF84</f>
        <v>5.0832039654655881E-2</v>
      </c>
      <c r="OM84" s="153"/>
      <c r="OO84" s="186">
        <f t="shared" si="221"/>
        <v>8.530981505290916E-2</v>
      </c>
      <c r="OP84" s="308">
        <f t="shared" si="370"/>
        <v>0.11600050911867919</v>
      </c>
      <c r="OQ84" s="308">
        <f t="shared" si="371"/>
        <v>9.8959819789578244E-3</v>
      </c>
      <c r="OR84" s="313">
        <f t="shared" si="372"/>
        <v>0</v>
      </c>
      <c r="OS84" s="23">
        <f t="shared" si="373"/>
        <v>0.18091335216321155</v>
      </c>
      <c r="OT84" s="23">
        <f t="shared" si="374"/>
        <v>0.10462156829426951</v>
      </c>
      <c r="OU84" s="23">
        <f t="shared" si="375"/>
        <v>8.708216816580093E-2</v>
      </c>
      <c r="OV84" s="23">
        <f t="shared" si="376"/>
        <v>7.5837338883725972E-2</v>
      </c>
      <c r="OW84" s="23">
        <f t="shared" si="377"/>
        <v>9.6122113821151864E-2</v>
      </c>
      <c r="OX84" s="23">
        <f t="shared" si="378"/>
        <v>5.8245051359520357E-2</v>
      </c>
      <c r="OY84" s="23">
        <f t="shared" si="379"/>
        <v>0.1744674353954474</v>
      </c>
      <c r="OZ84" s="23">
        <f t="shared" si="380"/>
        <v>0.10434713056390535</v>
      </c>
      <c r="PA84" s="23">
        <f t="shared" si="381"/>
        <v>7.9583620519158987E-2</v>
      </c>
      <c r="PB84" s="23">
        <f t="shared" si="382"/>
        <v>2.4763510044746362E-2</v>
      </c>
      <c r="PC84" s="23"/>
      <c r="PD84" s="23"/>
      <c r="PE84" s="23"/>
      <c r="PF84" s="23"/>
      <c r="PG84" s="69"/>
      <c r="PH84" s="23">
        <f>'Assets(MOFA)'!GU37</f>
        <v>0.38426425907526601</v>
      </c>
      <c r="PI84" s="23">
        <f>'Assets(MOFA)'!HM37</f>
        <v>0.34215132540556148</v>
      </c>
      <c r="PJ84" s="11">
        <f t="shared" si="222"/>
        <v>4.0257278573592285E-2</v>
      </c>
      <c r="PK84" s="11">
        <f>Liabilities!JA84/MW84/1000</f>
        <v>1.9457101924538155E-2</v>
      </c>
      <c r="PL84" s="11">
        <f>'Assets(MOFA)'!GO37/MM84/1000</f>
        <v>2.972092644145161E-2</v>
      </c>
      <c r="PM84" s="11">
        <f>PK84-PL84</f>
        <v>-1.0263824516913454E-2</v>
      </c>
    </row>
    <row r="85" spans="2:429">
      <c r="B85" s="71">
        <v>1993</v>
      </c>
      <c r="C85" s="43">
        <v>5754.8</v>
      </c>
      <c r="D85" s="5">
        <v>522</v>
      </c>
      <c r="E85" s="6">
        <f t="shared" ref="E85:E108" si="397">D85/C85</f>
        <v>9.0706888162924854E-2</v>
      </c>
      <c r="F85" s="72">
        <f t="shared" ref="F85:F108" si="398">D85-(G85+I85)</f>
        <v>0</v>
      </c>
      <c r="G85" s="76">
        <f t="shared" ref="G85:G108" si="399">D85-I85</f>
        <v>445.1</v>
      </c>
      <c r="H85" s="23">
        <f t="shared" ref="H85:H108" si="400">G85/C85</f>
        <v>7.7344130117467158E-2</v>
      </c>
      <c r="I85" s="74">
        <v>76.900000000000006</v>
      </c>
      <c r="J85" s="19">
        <f t="shared" ref="J85:J108" si="401">I85/C85</f>
        <v>1.3362758045457706E-2</v>
      </c>
      <c r="K85" s="6">
        <f t="shared" ref="K85:K108" si="402">I85/D85</f>
        <v>0.14731800766283526</v>
      </c>
      <c r="L85" s="136">
        <v>89</v>
      </c>
      <c r="M85" s="19">
        <f t="shared" ref="M85:M108" si="403">L85/C85</f>
        <v>1.5465350663793702E-2</v>
      </c>
      <c r="N85" s="63">
        <f t="shared" ref="N85:N108" si="404">L85/D85</f>
        <v>0.17049808429118773</v>
      </c>
      <c r="O85" s="5">
        <f t="shared" ref="O85:O108" si="405">D85</f>
        <v>522</v>
      </c>
      <c r="P85" s="75">
        <f t="shared" ref="P85:P108" si="406">O85-(Q85+R85+T85+U85+X85-V85)</f>
        <v>0</v>
      </c>
      <c r="Q85" s="271">
        <v>507.9</v>
      </c>
      <c r="R85" s="202">
        <v>72.5</v>
      </c>
      <c r="S85" s="53">
        <f t="shared" ref="S85:S106" si="407">R85/D85</f>
        <v>0.1388888888888889</v>
      </c>
      <c r="T85" s="74">
        <v>16.8</v>
      </c>
      <c r="U85" s="74">
        <v>16.100000000000001</v>
      </c>
      <c r="V85" s="207">
        <v>90.8</v>
      </c>
      <c r="W85" s="53">
        <f t="shared" ref="W85:W106" si="408">V85/D85</f>
        <v>0.17394636015325671</v>
      </c>
      <c r="X85" s="75">
        <f t="shared" ref="X85:X108" si="409">O85-(Q85+R85+T85+U85-V85)</f>
        <v>-0.5</v>
      </c>
      <c r="Y85" s="187"/>
      <c r="Z85" s="75"/>
      <c r="AA85" s="75"/>
      <c r="AB85" s="75"/>
      <c r="AC85" s="75">
        <f t="shared" si="103"/>
        <v>46.04634422724412</v>
      </c>
      <c r="AD85" s="23">
        <f t="shared" ref="AD85:AD104" si="410">AC85/D85</f>
        <v>8.8211387408513642E-2</v>
      </c>
      <c r="AE85" s="76">
        <f>NIPA_Scorp!C6/1000</f>
        <v>50.241</v>
      </c>
      <c r="AF85" s="76">
        <v>50.233285492694584</v>
      </c>
      <c r="AG85" s="23">
        <f t="shared" si="385"/>
        <v>9.6247126436781613E-2</v>
      </c>
      <c r="AH85" s="97">
        <v>171</v>
      </c>
      <c r="AI85" s="22">
        <f t="shared" ref="AI85:AI108" si="411">AH85/C85</f>
        <v>2.9714325432682282E-2</v>
      </c>
      <c r="AJ85" s="22">
        <f t="shared" ref="AJ85:AJ108" si="412">(AH85-AP85)/C85</f>
        <v>2.6934037672899144E-2</v>
      </c>
      <c r="AK85" s="99">
        <f t="shared" ref="AK85:AK108" si="413">AH85-(AL85+AN85+AO85+AP85)</f>
        <v>-9.9999999999994316E-2</v>
      </c>
      <c r="AL85" s="71">
        <v>122.5</v>
      </c>
      <c r="AM85" s="72">
        <f>(0.25*Fedtax!C66+0.75*Fedtax!C65)/1000</f>
        <v>123.23625</v>
      </c>
      <c r="AN85" s="71">
        <v>26.9</v>
      </c>
      <c r="AO85" s="255">
        <v>5.7</v>
      </c>
      <c r="AP85" s="71">
        <v>16</v>
      </c>
      <c r="AQ85" s="6">
        <f t="shared" ref="AQ85:AQ108" si="414">(O85-AH85)/C85</f>
        <v>6.0992562730242575E-2</v>
      </c>
      <c r="AR85" s="207">
        <v>27.6</v>
      </c>
      <c r="AS85" s="714">
        <v>22.89461</v>
      </c>
      <c r="AT85" s="210">
        <v>4.764805</v>
      </c>
      <c r="AU85" s="205">
        <f t="shared" si="386"/>
        <v>0.20811907256773537</v>
      </c>
      <c r="AV85" s="707">
        <v>23.715717000000001</v>
      </c>
      <c r="AW85" s="210">
        <v>5.5814450000000004</v>
      </c>
      <c r="AX85" s="210">
        <f t="shared" si="387"/>
        <v>18.134272000000003</v>
      </c>
      <c r="AY85" s="205">
        <f t="shared" si="388"/>
        <v>0.23534793403041537</v>
      </c>
      <c r="AZ85" s="777">
        <v>22.501502000000002</v>
      </c>
      <c r="BA85" s="772">
        <f t="shared" si="389"/>
        <v>4.3672300000000028</v>
      </c>
      <c r="BB85" s="205">
        <f t="shared" si="390"/>
        <v>0.1940861547820231</v>
      </c>
      <c r="BC85" s="210">
        <v>7.8304739999999997</v>
      </c>
      <c r="BD85" s="722">
        <f>'Assets(MOFA)'!FJ38/1000</f>
        <v>24.315999999999999</v>
      </c>
      <c r="BE85" s="753">
        <f t="shared" si="105"/>
        <v>0.97531325053462747</v>
      </c>
      <c r="BF85" s="234">
        <v>0.35</v>
      </c>
      <c r="BG85" s="437"/>
      <c r="BH85" s="140">
        <f t="shared" si="106"/>
        <v>0.28880726850956889</v>
      </c>
      <c r="BI85" s="248">
        <f t="shared" si="384"/>
        <v>0.31987393455644786</v>
      </c>
      <c r="BJ85" s="23">
        <f t="shared" si="107"/>
        <v>0.24551882913994411</v>
      </c>
      <c r="BK85" s="140">
        <f t="shared" si="108"/>
        <v>0.32464672416957235</v>
      </c>
      <c r="BL85" s="140">
        <f t="shared" si="109"/>
        <v>0.32393322859374474</v>
      </c>
      <c r="BM85" s="248">
        <f t="shared" si="110"/>
        <v>0.35461301717027749</v>
      </c>
      <c r="BN85" s="23">
        <f t="shared" si="111"/>
        <v>0.30517818468202401</v>
      </c>
      <c r="BO85" s="23">
        <f t="shared" si="112"/>
        <v>0.26705720192970367</v>
      </c>
      <c r="BP85" s="149">
        <f t="shared" ref="BP85:BP108" si="415">D85</f>
        <v>522</v>
      </c>
      <c r="BQ85" s="99">
        <f t="shared" ref="BQ85:BQ108" si="416">BP85-(BR85+BS85+BT85)</f>
        <v>0.10000000000002274</v>
      </c>
      <c r="BR85" s="153">
        <f t="shared" ref="BR85:BR108" si="417">AH85</f>
        <v>171</v>
      </c>
      <c r="BS85" s="79">
        <v>205.3</v>
      </c>
      <c r="BT85" s="79">
        <v>145.6</v>
      </c>
      <c r="BU85" s="23">
        <f t="shared" si="223"/>
        <v>0.27892720306513408</v>
      </c>
      <c r="BV85" s="71">
        <v>89.3</v>
      </c>
      <c r="BW85" s="71">
        <f t="shared" ref="BW85:BW108" si="418">BT85-BV85</f>
        <v>56.3</v>
      </c>
      <c r="BX85" s="23">
        <f t="shared" ref="BX85:BX108" si="419">BW85/D85</f>
        <v>0.1078544061302682</v>
      </c>
      <c r="BY85" s="23">
        <f t="shared" si="289"/>
        <v>1.7371647509578543E-2</v>
      </c>
      <c r="BZ85" s="23">
        <f t="shared" si="290"/>
        <v>0.13830971737107819</v>
      </c>
      <c r="CA85" s="23">
        <f t="shared" si="291"/>
        <v>0.15378277511926916</v>
      </c>
      <c r="CB85" s="23">
        <f t="shared" si="262"/>
        <v>0.73211963589076712</v>
      </c>
      <c r="CC85" s="169">
        <f t="shared" ref="CC85:CC108" si="420">L85</f>
        <v>89</v>
      </c>
      <c r="CD85" s="174"/>
      <c r="CF85" s="76">
        <f t="shared" si="58"/>
        <v>65.563000000000002</v>
      </c>
      <c r="CH85" s="23">
        <f t="shared" si="392"/>
        <v>0.73666292134831468</v>
      </c>
      <c r="CI85" s="182">
        <v>67.245000000000005</v>
      </c>
      <c r="CJ85" s="79">
        <f t="shared" si="292"/>
        <v>2.2204460492503131E-15</v>
      </c>
      <c r="CK85" s="79">
        <f t="shared" si="60"/>
        <v>65.563000000000002</v>
      </c>
      <c r="CL85" s="159">
        <v>28.847000000000001</v>
      </c>
      <c r="CM85" s="159">
        <v>36.718000000000004</v>
      </c>
      <c r="CN85" s="159">
        <v>49.5</v>
      </c>
      <c r="CO85" s="159">
        <f t="shared" si="338"/>
        <v>12.781999999999996</v>
      </c>
      <c r="CP85" s="79">
        <v>1.6819999999999999</v>
      </c>
      <c r="CQ85" s="79">
        <v>4.2569999999999997</v>
      </c>
      <c r="CR85" s="79">
        <v>2.5750000000000002</v>
      </c>
      <c r="CS85" s="23">
        <f t="shared" si="293"/>
        <v>0.56004148681420929</v>
      </c>
      <c r="CT85" s="23">
        <f t="shared" si="294"/>
        <v>4.9329501915708817E-3</v>
      </c>
      <c r="CU85" s="73">
        <v>6.7030000000000003</v>
      </c>
      <c r="CV85" s="378">
        <f t="shared" si="295"/>
        <v>1.1878791315705062E-2</v>
      </c>
      <c r="CW85" s="378">
        <f t="shared" si="296"/>
        <v>9.9680273626291921E-2</v>
      </c>
      <c r="CX85" s="79">
        <f t="shared" si="297"/>
        <v>60.542000000000002</v>
      </c>
      <c r="CY85" s="79">
        <f t="shared" si="298"/>
        <v>1.1610000000000014</v>
      </c>
      <c r="CZ85" s="293">
        <f t="shared" si="299"/>
        <v>67.245000000000005</v>
      </c>
      <c r="DA85" s="136"/>
      <c r="DB85" s="79"/>
      <c r="DC85" s="79"/>
      <c r="DD85" s="79"/>
      <c r="DE85" s="79"/>
      <c r="DF85" s="79"/>
      <c r="DG85" s="79"/>
      <c r="DH85" s="79"/>
      <c r="DI85" s="182">
        <v>59.381</v>
      </c>
      <c r="DJ85" s="79">
        <v>1.7549999999999999</v>
      </c>
      <c r="DK85" s="79">
        <v>2.3889999999999998</v>
      </c>
      <c r="DL85" s="79">
        <v>0.40300000000000002</v>
      </c>
      <c r="DM85" s="79">
        <v>4.2960000000000003</v>
      </c>
      <c r="DN85" s="79">
        <v>3.843</v>
      </c>
      <c r="DO85" s="79">
        <v>3.04</v>
      </c>
      <c r="DP85" s="79">
        <v>-0.38700000000000001</v>
      </c>
      <c r="DQ85" s="79">
        <v>1.9319999999999999</v>
      </c>
      <c r="DR85" s="79">
        <f t="shared" si="113"/>
        <v>14.618</v>
      </c>
      <c r="DS85" s="79">
        <f t="shared" si="114"/>
        <v>44.762999999999998</v>
      </c>
      <c r="DT85" s="79">
        <v>0.875</v>
      </c>
      <c r="DU85" s="23">
        <f t="shared" si="115"/>
        <v>1.9547394053124233E-2</v>
      </c>
      <c r="DV85" s="23">
        <f t="shared" si="116"/>
        <v>2.9554908135598926E-2</v>
      </c>
      <c r="DW85" s="23">
        <f t="shared" si="117"/>
        <v>4.0231723952105891E-2</v>
      </c>
      <c r="DX85" s="23">
        <f t="shared" si="118"/>
        <v>6.7866826089153101E-3</v>
      </c>
      <c r="DY85" s="23">
        <f t="shared" si="119"/>
        <v>7.2346373419107129E-2</v>
      </c>
      <c r="DZ85" s="23">
        <f t="shared" si="120"/>
        <v>6.4717670635388427E-2</v>
      </c>
      <c r="EA85" s="23">
        <f t="shared" si="121"/>
        <v>5.119482662804601E-2</v>
      </c>
      <c r="EB85" s="23">
        <f t="shared" si="122"/>
        <v>-6.5172361529782256E-3</v>
      </c>
      <c r="EC85" s="23">
        <f t="shared" si="123"/>
        <v>3.2535659554402921E-2</v>
      </c>
      <c r="ED85" s="23">
        <f t="shared" si="124"/>
        <v>0.24617301830551863</v>
      </c>
      <c r="EE85" s="153">
        <v>19.823</v>
      </c>
      <c r="EF85" s="23">
        <f t="shared" si="300"/>
        <v>0.33382731850255132</v>
      </c>
      <c r="EG85" s="182">
        <v>30.015000000000001</v>
      </c>
      <c r="EH85" s="79">
        <v>1.2170000000000001</v>
      </c>
      <c r="EI85" s="79">
        <v>1.101</v>
      </c>
      <c r="EJ85" s="79">
        <v>0.33400000000000002</v>
      </c>
      <c r="EK85" s="79">
        <v>3.2250000000000001</v>
      </c>
      <c r="EL85" s="79">
        <v>1.839</v>
      </c>
      <c r="EM85" s="79">
        <v>1.3520000000000001</v>
      </c>
      <c r="EN85" s="28">
        <f t="shared" si="301"/>
        <v>9.0679999999999996</v>
      </c>
      <c r="EO85" s="23">
        <f t="shared" si="302"/>
        <v>0.6246938684743002</v>
      </c>
      <c r="EP85" s="79">
        <f t="shared" si="303"/>
        <v>20.947000000000003</v>
      </c>
      <c r="EQ85" s="23">
        <f t="shared" si="304"/>
        <v>0.30211560886223554</v>
      </c>
      <c r="ER85" s="182">
        <f t="shared" si="268"/>
        <v>57.698999999999998</v>
      </c>
      <c r="ES85" s="185"/>
      <c r="ET85" s="136">
        <f>'Assets(MOFA)'!W38/1000</f>
        <v>73.787000000000006</v>
      </c>
      <c r="EU85" s="136">
        <f t="shared" si="339"/>
        <v>49.471000000000004</v>
      </c>
      <c r="EV85" s="589">
        <f t="shared" si="340"/>
        <v>0.85739787517981259</v>
      </c>
      <c r="EW85" s="153">
        <f t="shared" si="125"/>
        <v>1.7743191061997847</v>
      </c>
      <c r="EX85" s="153">
        <f t="shared" si="126"/>
        <v>2.5381228756288636</v>
      </c>
      <c r="EY85" s="153">
        <f t="shared" si="127"/>
        <v>0.39149554476509901</v>
      </c>
      <c r="EZ85" s="153">
        <f t="shared" si="128"/>
        <v>4.2639357620203739</v>
      </c>
      <c r="FA85" s="153">
        <f t="shared" si="129"/>
        <v>3.6104939929417066</v>
      </c>
      <c r="FB85" s="153">
        <f t="shared" si="130"/>
        <v>3.1693042762746226</v>
      </c>
      <c r="FC85" s="153">
        <f t="shared" si="131"/>
        <v>-0.46744095562285698</v>
      </c>
      <c r="FD85" s="153">
        <f t="shared" si="132"/>
        <v>1.9375427627462267</v>
      </c>
      <c r="FE85" s="153">
        <f t="shared" si="133"/>
        <v>14.515910044302053</v>
      </c>
      <c r="FF85" s="153">
        <f t="shared" si="134"/>
        <v>43.051937670079042</v>
      </c>
      <c r="FG85" s="23">
        <f t="shared" si="135"/>
        <v>3.0751297356969527E-2</v>
      </c>
      <c r="FH85" s="23">
        <f t="shared" si="136"/>
        <v>4.3989027117088055E-2</v>
      </c>
      <c r="FI85" s="23">
        <f t="shared" si="137"/>
        <v>6.7851357001871612E-3</v>
      </c>
      <c r="FJ85" s="23">
        <f t="shared" si="138"/>
        <v>7.3899647515907968E-2</v>
      </c>
      <c r="FK85" s="23">
        <f t="shared" si="139"/>
        <v>6.2574637219738757E-2</v>
      </c>
      <c r="FL85" s="23">
        <f t="shared" si="140"/>
        <v>5.4928235780076308E-2</v>
      </c>
      <c r="FM85" s="23">
        <f t="shared" si="141"/>
        <v>-8.1013701385267856E-3</v>
      </c>
      <c r="FN85" s="23">
        <f t="shared" si="142"/>
        <v>3.3580179253474528E-2</v>
      </c>
      <c r="FO85" s="23">
        <f t="shared" ref="FO85:FO108" si="421">FN85+FK85+FJ85+FI85+FH85+FG85</f>
        <v>0.251579924163366</v>
      </c>
      <c r="FP85" s="23">
        <f t="shared" ref="FP85:FP108" si="422">1-FO85</f>
        <v>0.74842007583663395</v>
      </c>
      <c r="FQ85" s="23">
        <f t="shared" ref="FQ85:FQ108" si="423">FO85*N85</f>
        <v>4.2893895115976195E-2</v>
      </c>
      <c r="FR85" s="23">
        <f t="shared" ref="FR85:FR108" si="424">FP85*N85</f>
        <v>0.12760418917521152</v>
      </c>
      <c r="FS85" s="23">
        <f t="shared" ref="FS85:FS108" si="425">FQ85*$E85</f>
        <v>3.8907717471570813E-3</v>
      </c>
      <c r="FT85" s="393">
        <f t="shared" ref="FT85:FT108" si="426">FS85*$EO85</f>
        <v>2.4305412540820688E-3</v>
      </c>
      <c r="FU85" s="393">
        <f t="shared" ref="FU85:FU108" si="427">FS85-FT85</f>
        <v>1.4602304930750125E-3</v>
      </c>
      <c r="FV85" s="23">
        <f t="shared" ref="FV85:FV108" si="428">FR85*$E85</f>
        <v>1.1574578916636618E-2</v>
      </c>
      <c r="FW85" s="326">
        <f t="shared" si="305"/>
        <v>1.6819999999999999</v>
      </c>
      <c r="FX85" s="384">
        <f t="shared" si="269"/>
        <v>-1.9319106199784747E-2</v>
      </c>
      <c r="FY85" s="384">
        <f t="shared" si="270"/>
        <v>-0.14912287562886389</v>
      </c>
      <c r="FZ85" s="384">
        <f t="shared" si="271"/>
        <v>1.150445523490101E-2</v>
      </c>
      <c r="GA85" s="384">
        <f t="shared" si="272"/>
        <v>3.2064237979626056E-2</v>
      </c>
      <c r="GB85" s="384">
        <f>$OJ85*KK85</f>
        <v>0.23250600705829344</v>
      </c>
      <c r="GC85" s="384">
        <f t="shared" si="274"/>
        <v>-0.12930427627462268</v>
      </c>
      <c r="GD85" s="153">
        <f>$OJ85*KO85</f>
        <v>8.0440955622856969E-2</v>
      </c>
      <c r="GE85" s="153">
        <f t="shared" si="276"/>
        <v>-5.5427627462268196E-3</v>
      </c>
      <c r="GF85" s="153">
        <f t="shared" si="151"/>
        <v>0.10208995569794505</v>
      </c>
      <c r="GG85" s="153">
        <f t="shared" si="277"/>
        <v>1.7110623299209535</v>
      </c>
      <c r="GH85" s="182">
        <v>77.247</v>
      </c>
      <c r="GI85" s="79">
        <v>1.506</v>
      </c>
      <c r="GJ85" s="79">
        <v>1.3979999999999999</v>
      </c>
      <c r="GK85" s="79">
        <v>3.6859999999999999</v>
      </c>
      <c r="GL85" s="79">
        <v>4.5659999999999998</v>
      </c>
      <c r="GM85" s="79">
        <f t="shared" si="342"/>
        <v>8.1790000000000003</v>
      </c>
      <c r="GN85" s="79">
        <v>3.9950000000000001</v>
      </c>
      <c r="GO85" s="79">
        <v>4.1840000000000002</v>
      </c>
      <c r="GP85" s="79">
        <v>2.3340000000000001</v>
      </c>
      <c r="GQ85" s="79">
        <v>1.7430000000000001</v>
      </c>
      <c r="GR85" s="79">
        <f t="shared" si="306"/>
        <v>21.077999999999999</v>
      </c>
      <c r="GS85" s="79">
        <f t="shared" si="343"/>
        <v>56.168999999999997</v>
      </c>
      <c r="GT85" s="23">
        <f t="shared" si="307"/>
        <v>0.27286496562973317</v>
      </c>
      <c r="GU85" s="362">
        <f t="shared" si="259"/>
        <v>54.579000000000001</v>
      </c>
      <c r="GV85" s="153">
        <f t="shared" si="344"/>
        <v>24.565000000000001</v>
      </c>
      <c r="GW85" s="153">
        <f t="shared" si="308"/>
        <v>30.015000000000001</v>
      </c>
      <c r="GX85" s="153">
        <f t="shared" si="309"/>
        <v>1.5429999999999999</v>
      </c>
      <c r="GY85" s="153">
        <f t="shared" si="310"/>
        <v>2.0939999999999999</v>
      </c>
      <c r="GZ85" s="153">
        <f t="shared" si="226"/>
        <v>3.5760000000000001</v>
      </c>
      <c r="HA85" s="153">
        <f t="shared" si="227"/>
        <v>3.4749999999999996</v>
      </c>
      <c r="HB85" s="153">
        <f t="shared" si="228"/>
        <v>3.4700000000000006</v>
      </c>
      <c r="HC85" s="153">
        <f t="shared" si="229"/>
        <v>3.7749999999999999</v>
      </c>
      <c r="HD85" s="352">
        <f t="shared" si="230"/>
        <v>-0.58400000000000007</v>
      </c>
      <c r="HE85" s="153">
        <f t="shared" si="231"/>
        <v>1.4580000000000002</v>
      </c>
      <c r="HF85" s="153">
        <f t="shared" si="311"/>
        <v>15.616</v>
      </c>
      <c r="HG85" s="23">
        <f t="shared" si="345"/>
        <v>0.28611737115007602</v>
      </c>
      <c r="HH85" s="156">
        <f t="shared" si="346"/>
        <v>39.63900000000001</v>
      </c>
      <c r="HI85" s="182">
        <f t="shared" si="312"/>
        <v>47.231999999999999</v>
      </c>
      <c r="HJ85" s="79">
        <v>9.9999999999766942E-4</v>
      </c>
      <c r="HK85" s="79">
        <f t="shared" si="313"/>
        <v>0.28899999999999992</v>
      </c>
      <c r="HL85" s="79">
        <f t="shared" si="314"/>
        <v>0.29699999999999993</v>
      </c>
      <c r="HM85" s="79">
        <f t="shared" si="315"/>
        <v>3.3519999999999999</v>
      </c>
      <c r="HN85" s="79">
        <f t="shared" si="316"/>
        <v>1.3409999999999997</v>
      </c>
      <c r="HO85" s="79">
        <f t="shared" si="317"/>
        <v>6.34</v>
      </c>
      <c r="HP85" s="79">
        <f t="shared" si="318"/>
        <v>0.39100000000000001</v>
      </c>
      <c r="HQ85" s="79">
        <f t="shared" si="319"/>
        <v>12.01</v>
      </c>
      <c r="HR85" s="79">
        <f t="shared" si="383"/>
        <v>35.222000000000001</v>
      </c>
      <c r="HS85" s="23">
        <f t="shared" si="321"/>
        <v>0.25427676151761519</v>
      </c>
      <c r="HT85" s="28">
        <v>24.565000000000001</v>
      </c>
      <c r="HU85" s="79">
        <v>0.32600000000000001</v>
      </c>
      <c r="HV85" s="79">
        <v>0.99199999999999999</v>
      </c>
      <c r="HW85" s="26">
        <v>7.3499999999999996E-2</v>
      </c>
      <c r="HX85" s="79">
        <v>0.249</v>
      </c>
      <c r="HY85" s="79">
        <v>1.631</v>
      </c>
      <c r="HZ85" s="79">
        <v>1.6</v>
      </c>
      <c r="IA85" s="79">
        <v>-0.52200000000000002</v>
      </c>
      <c r="IB85" s="79">
        <v>0.107</v>
      </c>
      <c r="IC85" s="79">
        <f t="shared" si="322"/>
        <v>3.3785000000000003</v>
      </c>
      <c r="ID85" s="79">
        <f t="shared" si="347"/>
        <v>21.186500000000002</v>
      </c>
      <c r="IE85" s="23">
        <f t="shared" si="348"/>
        <v>0.13753307551394262</v>
      </c>
      <c r="IF85" s="316">
        <v>22.667999999999999</v>
      </c>
      <c r="IG85" s="153">
        <v>-3.6999999999999998E-2</v>
      </c>
      <c r="IH85" s="153">
        <v>-0.69599999999999995</v>
      </c>
      <c r="II85" s="153">
        <v>0.11</v>
      </c>
      <c r="IJ85" s="153">
        <v>1.091</v>
      </c>
      <c r="IK85" s="153">
        <v>4.7089999999999996</v>
      </c>
      <c r="IL85" s="153">
        <v>0.22</v>
      </c>
      <c r="IM85" s="153">
        <v>2.9180000000000001</v>
      </c>
      <c r="IN85" s="153">
        <v>0.28499999999999998</v>
      </c>
      <c r="IO85" s="153">
        <f t="shared" si="349"/>
        <v>5.4619999999999997</v>
      </c>
      <c r="IP85" s="153">
        <f t="shared" si="235"/>
        <v>17.206</v>
      </c>
      <c r="IQ85" s="258">
        <f t="shared" si="350"/>
        <v>22.582000000000001</v>
      </c>
      <c r="IR85" s="5">
        <f t="shared" si="323"/>
        <v>564.28300000000002</v>
      </c>
      <c r="IS85" s="79">
        <f t="shared" si="351"/>
        <v>62.220000000000027</v>
      </c>
      <c r="IT85" s="79">
        <f t="shared" si="288"/>
        <v>0</v>
      </c>
      <c r="IU85" s="79">
        <f t="shared" si="352"/>
        <v>30.015000000000001</v>
      </c>
      <c r="IV85" s="79">
        <f t="shared" si="324"/>
        <v>24.565000000000001</v>
      </c>
      <c r="IW85" s="79">
        <v>22.667999999999999</v>
      </c>
      <c r="IX85" s="79">
        <f t="shared" si="353"/>
        <v>-15.027999999999974</v>
      </c>
      <c r="IY85" s="79"/>
      <c r="IZ85" s="79"/>
      <c r="JA85" s="79"/>
      <c r="JB85" s="23">
        <f t="shared" si="162"/>
        <v>9.8054319872106763E-2</v>
      </c>
      <c r="JC85" s="23">
        <f t="shared" si="163"/>
        <v>2.0617918954611802E-2</v>
      </c>
      <c r="JD85" s="23">
        <f t="shared" si="164"/>
        <v>7.7436400917494957E-2</v>
      </c>
      <c r="JE85" s="22">
        <f t="shared" si="325"/>
        <v>5.2156460693681796E-3</v>
      </c>
      <c r="JF85" s="22">
        <f t="shared" si="326"/>
        <v>4.2686105511920485E-3</v>
      </c>
      <c r="JG85" s="22">
        <f t="shared" si="327"/>
        <v>3.9389726836727597E-3</v>
      </c>
      <c r="JH85" s="5">
        <v>564.28300000000002</v>
      </c>
      <c r="JI85" s="725">
        <f t="shared" si="391"/>
        <v>58.454600000000013</v>
      </c>
      <c r="JJ85" s="76">
        <v>9.0190000000000001</v>
      </c>
      <c r="JK85" s="76">
        <v>20.911000000000001</v>
      </c>
      <c r="JL85" s="76">
        <v>5.6109999999999998</v>
      </c>
      <c r="JM85" s="76">
        <v>33.055999999999997</v>
      </c>
      <c r="JN85" s="76">
        <f t="shared" si="354"/>
        <v>41.18</v>
      </c>
      <c r="JO85" s="76">
        <v>28.666</v>
      </c>
      <c r="JP85" s="76">
        <v>12.513999999999999</v>
      </c>
      <c r="JQ85" s="76">
        <v>-6.2E-2</v>
      </c>
      <c r="JR85" s="76">
        <v>8.875</v>
      </c>
      <c r="JS85" s="76">
        <f t="shared" si="287"/>
        <v>118.652</v>
      </c>
      <c r="JT85" s="76">
        <f t="shared" si="355"/>
        <v>445.63100000000003</v>
      </c>
      <c r="JU85" s="23">
        <f t="shared" si="356"/>
        <v>0.21027037851574476</v>
      </c>
      <c r="JV85" s="23">
        <f t="shared" si="357"/>
        <v>1.5983114855489179E-2</v>
      </c>
      <c r="JW85" s="23">
        <f t="shared" si="358"/>
        <v>3.7057646606401401E-2</v>
      </c>
      <c r="JX85" s="23">
        <f t="shared" si="359"/>
        <v>9.9435921337343129E-3</v>
      </c>
      <c r="JY85" s="23">
        <f t="shared" si="360"/>
        <v>5.8580534944345293E-2</v>
      </c>
      <c r="JZ85" s="23">
        <f t="shared" si="361"/>
        <v>7.2977566221204604E-2</v>
      </c>
      <c r="KA85" s="23">
        <f t="shared" si="362"/>
        <v>1.572792375456996E-2</v>
      </c>
      <c r="KB85" s="149">
        <v>59</v>
      </c>
      <c r="KC85" s="316">
        <v>138.90600000000001</v>
      </c>
      <c r="KD85" s="316">
        <v>79.906000000000006</v>
      </c>
      <c r="KE85" s="589">
        <f t="shared" si="242"/>
        <v>0.57525232891307798</v>
      </c>
      <c r="KF85" s="1071">
        <v>0</v>
      </c>
      <c r="KG85" s="319">
        <f t="shared" si="243"/>
        <v>-0.59950000000000003</v>
      </c>
      <c r="KH85" s="319">
        <f t="shared" si="244"/>
        <v>-4.6274999999999995</v>
      </c>
      <c r="KI85" s="321">
        <f t="shared" si="245"/>
        <v>0.35700000000000004</v>
      </c>
      <c r="KJ85" s="319">
        <f t="shared" si="246"/>
        <v>0.99499999999999988</v>
      </c>
      <c r="KK85" s="319">
        <f t="shared" si="285"/>
        <v>7.2149999999999981</v>
      </c>
      <c r="KL85" s="319">
        <f t="shared" si="248"/>
        <v>-4.0125000000000002</v>
      </c>
      <c r="KM85" s="319"/>
      <c r="KN85" s="319"/>
      <c r="KO85" s="319">
        <f t="shared" si="249"/>
        <v>2.4962000000000035</v>
      </c>
      <c r="KP85" s="319">
        <f t="shared" si="250"/>
        <v>-0.1720000000000001</v>
      </c>
      <c r="KQ85" s="153">
        <f t="shared" si="328"/>
        <v>3.1679999999999988</v>
      </c>
      <c r="KR85" s="153">
        <f t="shared" si="329"/>
        <v>55.832000000000001</v>
      </c>
      <c r="KS85" s="23">
        <f t="shared" si="178"/>
        <v>9.7018141377632587E-3</v>
      </c>
      <c r="KT85" s="23">
        <f t="shared" si="179"/>
        <v>-3.1239206067128919E-2</v>
      </c>
      <c r="KU85" s="326">
        <v>505.28399999999999</v>
      </c>
      <c r="KV85" s="430">
        <f t="shared" si="252"/>
        <v>58.454600000000013</v>
      </c>
      <c r="KW85" s="322">
        <f t="shared" si="181"/>
        <v>9.6185000000000009</v>
      </c>
      <c r="KX85" s="322">
        <f t="shared" si="182"/>
        <v>25.538499999999999</v>
      </c>
      <c r="KY85" s="322">
        <f t="shared" si="183"/>
        <v>5.2539999999999996</v>
      </c>
      <c r="KZ85" s="322">
        <f t="shared" si="184"/>
        <v>32.061</v>
      </c>
      <c r="LA85" s="322">
        <f t="shared" si="185"/>
        <v>33.965000000000003</v>
      </c>
      <c r="LB85" s="322">
        <f t="shared" si="186"/>
        <v>32.6785</v>
      </c>
      <c r="LC85" s="322">
        <f t="shared" si="187"/>
        <v>-2.5582000000000034</v>
      </c>
      <c r="LD85" s="322">
        <f t="shared" si="188"/>
        <v>9.0470000000000006</v>
      </c>
      <c r="LE85" s="322">
        <f t="shared" si="189"/>
        <v>115.48400000000001</v>
      </c>
      <c r="LF85" s="322">
        <f t="shared" si="190"/>
        <v>0</v>
      </c>
      <c r="LG85" s="322">
        <f t="shared" si="191"/>
        <v>389.79900000000004</v>
      </c>
      <c r="LH85" s="367">
        <f t="shared" si="192"/>
        <v>0.22855265553629248</v>
      </c>
      <c r="LI85" s="248">
        <f t="shared" si="193"/>
        <v>1.9035829355372427E-2</v>
      </c>
      <c r="LJ85" s="248">
        <f t="shared" si="194"/>
        <v>5.054286302356694E-2</v>
      </c>
      <c r="LK85" s="248">
        <f t="shared" si="195"/>
        <v>1.0398112744515955E-2</v>
      </c>
      <c r="LL85" s="248">
        <f t="shared" si="196"/>
        <v>6.3451445127888473E-2</v>
      </c>
      <c r="LM85" s="248">
        <f t="shared" si="197"/>
        <v>6.721962302388361E-2</v>
      </c>
      <c r="LN85" s="248">
        <f t="shared" si="198"/>
        <v>6.4673530133548665E-2</v>
      </c>
      <c r="LO85" s="248">
        <f t="shared" si="199"/>
        <v>-5.0628953222346309E-3</v>
      </c>
      <c r="LP85" s="248">
        <f t="shared" si="200"/>
        <v>1.7904782261065066E-2</v>
      </c>
      <c r="LQ85" s="248">
        <f t="shared" si="201"/>
        <v>8.780218252589142E-2</v>
      </c>
      <c r="LR85" s="23">
        <f t="shared" si="202"/>
        <v>6.7734586779731709E-2</v>
      </c>
      <c r="LS85" s="23">
        <f t="shared" si="203"/>
        <v>2.0067421978174741E-2</v>
      </c>
      <c r="LT85" s="326">
        <v>202.31200000000001</v>
      </c>
      <c r="LU85" s="153">
        <f t="shared" si="363"/>
        <v>0</v>
      </c>
      <c r="LV85" s="153">
        <f t="shared" si="204"/>
        <v>59</v>
      </c>
      <c r="LW85" s="153">
        <f t="shared" si="283"/>
        <v>79.906000000000006</v>
      </c>
      <c r="LX85" s="153">
        <v>63.405999999999999</v>
      </c>
      <c r="LY85" s="23">
        <f>LX85/Liabilities!GT85</f>
        <v>0.14109599405405648</v>
      </c>
      <c r="LZ85" s="23">
        <f t="shared" si="253"/>
        <v>0.30581131201859774</v>
      </c>
      <c r="MA85" s="425">
        <v>287.24299999999999</v>
      </c>
      <c r="MB85" s="153">
        <f t="shared" si="364"/>
        <v>0</v>
      </c>
      <c r="MC85" s="153">
        <v>143.93100000000001</v>
      </c>
      <c r="MD85" s="153">
        <f t="shared" si="365"/>
        <v>63.405999999999999</v>
      </c>
      <c r="ME85" s="153">
        <f t="shared" si="366"/>
        <v>79.906000000000006</v>
      </c>
      <c r="MF85" s="153">
        <v>207.33699999999999</v>
      </c>
      <c r="MG85" s="153">
        <f t="shared" si="208"/>
        <v>138.90600000000001</v>
      </c>
      <c r="MH85" s="326">
        <f t="shared" si="209"/>
        <v>505.28399999999999</v>
      </c>
      <c r="MI85" s="1008">
        <f>FoF_RoW!$BH55/1000</f>
        <v>723.52599999999995</v>
      </c>
      <c r="MJ85" s="1008">
        <v>866.83900000000006</v>
      </c>
      <c r="MK85" s="1008">
        <f>FoF_RoW!$AU55/1000</f>
        <v>83.950999999999993</v>
      </c>
      <c r="ML85" s="1008">
        <f t="shared" si="254"/>
        <v>49.139999999999986</v>
      </c>
      <c r="MM85" s="425">
        <f t="shared" si="210"/>
        <v>664.52599999999995</v>
      </c>
      <c r="MN85" s="23">
        <f t="shared" si="211"/>
        <v>1.3151534582531803</v>
      </c>
      <c r="MO85" s="153">
        <v>1204.6110000000001</v>
      </c>
      <c r="MP85" s="425">
        <v>1002.299</v>
      </c>
      <c r="MQ85" s="23">
        <f t="shared" si="367"/>
        <v>1.9836349458918152</v>
      </c>
      <c r="MR85" s="23">
        <f t="shared" si="368"/>
        <v>1.5082916244059676</v>
      </c>
      <c r="MS85" s="153">
        <f t="shared" si="212"/>
        <v>59</v>
      </c>
      <c r="MT85" s="153">
        <v>202.31200000000001</v>
      </c>
      <c r="MU85" s="153">
        <v>287.24299999999999</v>
      </c>
      <c r="MV85" s="153">
        <v>624.46699999999998</v>
      </c>
      <c r="MW85" s="153">
        <v>449.38299999999998</v>
      </c>
      <c r="MX85" s="23">
        <f t="shared" si="369"/>
        <v>1.3896097538180128</v>
      </c>
      <c r="MY85" s="425">
        <f t="shared" si="255"/>
        <v>-224.32799999999992</v>
      </c>
      <c r="MZ85" s="23">
        <f t="shared" si="213"/>
        <v>-3.8981024536039466E-2</v>
      </c>
      <c r="NA85" s="153">
        <v>3234.7330000000002</v>
      </c>
      <c r="NB85" s="153">
        <v>3356.5050000000001</v>
      </c>
      <c r="NC85" s="425">
        <f t="shared" si="330"/>
        <v>-387.01699999999988</v>
      </c>
      <c r="ND85" s="23">
        <f t="shared" si="331"/>
        <v>-6.7251164245499387E-2</v>
      </c>
      <c r="NE85" s="330">
        <f t="shared" si="332"/>
        <v>130.21199999999999</v>
      </c>
      <c r="NF85" s="23">
        <f t="shared" si="333"/>
        <v>2.2626676861055118E-2</v>
      </c>
      <c r="NG85" s="330">
        <f t="shared" si="334"/>
        <v>292.9009999999999</v>
      </c>
      <c r="NH85" s="23">
        <f t="shared" si="335"/>
        <v>5.0896816570515029E-2</v>
      </c>
      <c r="NI85" s="330">
        <v>102.556</v>
      </c>
      <c r="NJ85" s="425">
        <f t="shared" si="63"/>
        <v>59.302999999999997</v>
      </c>
      <c r="NK85" s="403">
        <f t="shared" si="393"/>
        <v>1.0304962813651211E-2</v>
      </c>
      <c r="NL85" s="153">
        <v>59.302999999999997</v>
      </c>
      <c r="NM85" s="153">
        <v>67.245999999999995</v>
      </c>
      <c r="NN85" s="153">
        <v>7.9429999999999996</v>
      </c>
      <c r="NO85" s="425">
        <f t="shared" si="100"/>
        <v>28.631</v>
      </c>
      <c r="NP85" s="153">
        <v>139.786</v>
      </c>
      <c r="NQ85" s="153">
        <v>111.155</v>
      </c>
      <c r="NR85" s="403">
        <f t="shared" si="394"/>
        <v>4.9751511781469379E-3</v>
      </c>
      <c r="NS85" s="403">
        <f t="shared" si="395"/>
        <v>1.0304962813651211E-2</v>
      </c>
      <c r="NT85" s="403">
        <f t="shared" si="396"/>
        <v>-5.3298116355042736E-3</v>
      </c>
      <c r="NU85" s="727">
        <f t="shared" si="215"/>
        <v>5.7566654261852E-2</v>
      </c>
      <c r="NV85" s="688">
        <f t="shared" si="216"/>
        <v>8.6827302468225481E-2</v>
      </c>
      <c r="NW85" s="688">
        <f t="shared" si="217"/>
        <v>0.11419122711188164</v>
      </c>
      <c r="NX85" s="793">
        <f>(ER85-T.A2!B37*T.A1!M37)/MP85</f>
        <v>4.7348692403928722E-2</v>
      </c>
      <c r="NY85" s="688">
        <f>Liabilities!BU85/Liabilities!GY85</f>
        <v>1.506885071589051E-3</v>
      </c>
      <c r="NZ85" s="688">
        <f>Liabilities!BU85/Liabilities!GT85</f>
        <v>2.0939868530559743E-3</v>
      </c>
      <c r="OA85" s="688">
        <f>Liabilities!BU85/Liabilities!GR85</f>
        <v>2.9089717511329833E-3</v>
      </c>
      <c r="OB85" s="688">
        <f t="shared" si="256"/>
        <v>5.6059769190262947E-2</v>
      </c>
      <c r="OC85" s="688">
        <f t="shared" si="257"/>
        <v>8.4733315615169502E-2</v>
      </c>
      <c r="OD85" s="688"/>
      <c r="OE85" s="793">
        <f t="shared" si="218"/>
        <v>9.8661301438920379E-2</v>
      </c>
      <c r="OF85" s="793">
        <f>OE85/(1-'Assets(MOFA)'!GU38)</f>
        <v>0.14715533240228859</v>
      </c>
      <c r="OG85" s="793">
        <f>Liabilities!HV85</f>
        <v>2.9853978215615327E-3</v>
      </c>
      <c r="OH85" s="793"/>
      <c r="OI85" s="22">
        <f t="shared" si="336"/>
        <v>3.0646624335881816E-2</v>
      </c>
      <c r="OJ85" s="22">
        <f t="shared" si="337"/>
        <v>3.2225364803644282E-2</v>
      </c>
      <c r="OK85" s="403">
        <f>Liabilities!CT85/LX85</f>
        <v>4.6872535722171406E-2</v>
      </c>
      <c r="OL85" s="403">
        <f>Liabilities!CU85/MF85</f>
        <v>4.3899545184892232E-2</v>
      </c>
      <c r="OM85" s="153"/>
      <c r="OO85" s="186">
        <f t="shared" si="221"/>
        <v>9.5864341821731813E-2</v>
      </c>
      <c r="OP85" s="308">
        <f t="shared" si="370"/>
        <v>0.11547334399110307</v>
      </c>
      <c r="OQ85" s="308">
        <f t="shared" si="371"/>
        <v>1.1069776119661527E-2</v>
      </c>
      <c r="OR85" s="313">
        <f t="shared" si="372"/>
        <v>0</v>
      </c>
      <c r="OS85" s="23">
        <f t="shared" si="373"/>
        <v>0.15486338032643968</v>
      </c>
      <c r="OT85" s="23">
        <f t="shared" si="374"/>
        <v>8.3433720998188854E-2</v>
      </c>
      <c r="OU85" s="23">
        <f t="shared" si="375"/>
        <v>6.2554867796815475E-2</v>
      </c>
      <c r="OV85" s="23">
        <f t="shared" si="376"/>
        <v>0.11164979860886974</v>
      </c>
      <c r="OW85" s="23">
        <f t="shared" si="377"/>
        <v>8.9239959136226149E-2</v>
      </c>
      <c r="OX85" s="23">
        <f t="shared" si="378"/>
        <v>8.1419077629016179E-2</v>
      </c>
      <c r="OY85" s="23">
        <f t="shared" si="379"/>
        <v>0.17979228875574269</v>
      </c>
      <c r="OZ85" s="23">
        <f t="shared" si="380"/>
        <v>0.10552292113557438</v>
      </c>
      <c r="PA85" s="23">
        <f t="shared" si="381"/>
        <v>9.2720622162647481E-2</v>
      </c>
      <c r="PB85" s="23">
        <f t="shared" si="382"/>
        <v>1.2802298972926895E-2</v>
      </c>
      <c r="PC85" s="23"/>
      <c r="PD85" s="23"/>
      <c r="PE85" s="23"/>
      <c r="PF85" s="23"/>
      <c r="PG85" s="69"/>
      <c r="PH85" s="23">
        <f>'Assets(MOFA)'!GU38</f>
        <v>0.32954314445634053</v>
      </c>
      <c r="PI85" s="23">
        <f>'Assets(MOFA)'!HM38</f>
        <v>0.29309775716196729</v>
      </c>
      <c r="PJ85" s="11">
        <f t="shared" si="222"/>
        <v>3.6000575569954084E-2</v>
      </c>
      <c r="PK85" s="11">
        <f>Liabilities!JA85/MW85/1000</f>
        <v>1.9353202057042659E-2</v>
      </c>
      <c r="PL85" s="11">
        <f>'Assets(MOFA)'!GO38/MM85/1000</f>
        <v>2.5388020935223004E-2</v>
      </c>
      <c r="PM85" s="11">
        <f t="shared" ref="PM85:PM108" si="429">PK85-PL85</f>
        <v>-6.0348188781803452E-3</v>
      </c>
    </row>
    <row r="86" spans="2:429">
      <c r="B86" s="71">
        <v>1994</v>
      </c>
      <c r="C86" s="43">
        <v>6140.2</v>
      </c>
      <c r="D86" s="5">
        <v>621.9</v>
      </c>
      <c r="E86" s="6">
        <f t="shared" si="397"/>
        <v>0.10128334581935441</v>
      </c>
      <c r="F86" s="72">
        <f t="shared" si="398"/>
        <v>0</v>
      </c>
      <c r="G86" s="76">
        <f t="shared" si="399"/>
        <v>543.9</v>
      </c>
      <c r="H86" s="23">
        <f t="shared" si="400"/>
        <v>8.8580176541480732E-2</v>
      </c>
      <c r="I86" s="74">
        <v>78</v>
      </c>
      <c r="J86" s="19">
        <f t="shared" si="401"/>
        <v>1.2703169277873686E-2</v>
      </c>
      <c r="K86" s="6">
        <f t="shared" si="402"/>
        <v>0.12542209358417752</v>
      </c>
      <c r="L86" s="136">
        <v>104.6</v>
      </c>
      <c r="M86" s="19">
        <f t="shared" si="403"/>
        <v>1.7035275723917786E-2</v>
      </c>
      <c r="N86" s="63">
        <f t="shared" si="404"/>
        <v>0.16819424344749959</v>
      </c>
      <c r="O86" s="5">
        <f t="shared" si="405"/>
        <v>621.9</v>
      </c>
      <c r="P86" s="75">
        <f t="shared" si="406"/>
        <v>0</v>
      </c>
      <c r="Q86" s="271">
        <v>585.1</v>
      </c>
      <c r="R86" s="202">
        <v>78.099999999999994</v>
      </c>
      <c r="S86" s="53">
        <f t="shared" si="407"/>
        <v>0.12558289114005466</v>
      </c>
      <c r="T86" s="74">
        <v>18.600000000000001</v>
      </c>
      <c r="U86" s="74">
        <v>20.200000000000003</v>
      </c>
      <c r="V86" s="207">
        <v>71</v>
      </c>
      <c r="W86" s="53">
        <f t="shared" si="408"/>
        <v>0.11416626467277698</v>
      </c>
      <c r="X86" s="75">
        <f t="shared" si="409"/>
        <v>-9.1000000000001364</v>
      </c>
      <c r="Y86" s="187"/>
      <c r="Z86" s="75"/>
      <c r="AA86" s="75"/>
      <c r="AB86" s="75"/>
      <c r="AC86" s="231">
        <f t="shared" si="103"/>
        <v>65.879271573084836</v>
      </c>
      <c r="AD86" s="23">
        <f t="shared" si="410"/>
        <v>0.10593225851919093</v>
      </c>
      <c r="AE86" s="76">
        <f>NIPA_Scorp!C7/1000</f>
        <v>67.444000000000003</v>
      </c>
      <c r="AF86" s="76">
        <v>71.869598173735255</v>
      </c>
      <c r="AG86" s="23">
        <f t="shared" si="385"/>
        <v>0.1084483035857855</v>
      </c>
      <c r="AH86" s="97">
        <v>193.1</v>
      </c>
      <c r="AI86" s="22">
        <f t="shared" si="411"/>
        <v>3.1448487019966775E-2</v>
      </c>
      <c r="AJ86" s="22">
        <f t="shared" si="412"/>
        <v>2.8109833555910232E-2</v>
      </c>
      <c r="AK86" s="99">
        <f t="shared" si="413"/>
        <v>0</v>
      </c>
      <c r="AL86" s="71">
        <v>136.20000000000002</v>
      </c>
      <c r="AM86" s="72">
        <f>(0.25*Fedtax!C67+0.75*Fedtax!C66)/1000</f>
        <v>144.53975</v>
      </c>
      <c r="AN86" s="71">
        <v>30</v>
      </c>
      <c r="AO86" s="255">
        <v>6.4</v>
      </c>
      <c r="AP86" s="71">
        <v>20.5</v>
      </c>
      <c r="AQ86" s="6">
        <f t="shared" si="414"/>
        <v>6.9834858799387639E-2</v>
      </c>
      <c r="AR86" s="207">
        <v>29.2</v>
      </c>
      <c r="AS86" s="714">
        <v>25.418683999999999</v>
      </c>
      <c r="AT86" s="210">
        <v>5.3621080000000001</v>
      </c>
      <c r="AU86" s="205">
        <f t="shared" si="386"/>
        <v>0.2109514402869952</v>
      </c>
      <c r="AV86" s="707">
        <v>26.469622999999999</v>
      </c>
      <c r="AW86" s="210">
        <v>6.3770239999999996</v>
      </c>
      <c r="AX86" s="210">
        <f t="shared" si="387"/>
        <v>20.092599</v>
      </c>
      <c r="AY86" s="205">
        <f t="shared" si="388"/>
        <v>0.24091858051775047</v>
      </c>
      <c r="AZ86" s="777">
        <v>25.150243999999997</v>
      </c>
      <c r="BA86" s="772">
        <f t="shared" si="389"/>
        <v>5.0576449999999973</v>
      </c>
      <c r="BB86" s="205">
        <f t="shared" si="390"/>
        <v>0.20109725376819398</v>
      </c>
      <c r="BC86" s="210">
        <v>7.3605809999999998</v>
      </c>
      <c r="BD86" s="722">
        <f>'Assets(MOFA)'!FJ39/1000</f>
        <v>29.277000000000001</v>
      </c>
      <c r="BE86" s="753">
        <f t="shared" si="105"/>
        <v>0.90410981316391703</v>
      </c>
      <c r="BF86" s="234">
        <v>0.35</v>
      </c>
      <c r="BG86" s="437"/>
      <c r="BH86" s="140">
        <f t="shared" si="106"/>
        <v>0.26385140498491827</v>
      </c>
      <c r="BI86" s="248">
        <f t="shared" si="384"/>
        <v>0.29548978053394404</v>
      </c>
      <c r="BJ86" s="23">
        <f t="shared" si="107"/>
        <v>0.23712369810243972</v>
      </c>
      <c r="BK86" s="140">
        <f t="shared" si="108"/>
        <v>0.29646487634653312</v>
      </c>
      <c r="BL86" s="140">
        <f t="shared" si="109"/>
        <v>0.31478673570349924</v>
      </c>
      <c r="BM86" s="248">
        <f t="shared" si="110"/>
        <v>0.32938835518805248</v>
      </c>
      <c r="BN86" s="23">
        <f t="shared" si="111"/>
        <v>0.29499230900700735</v>
      </c>
      <c r="BO86" s="23">
        <f t="shared" si="112"/>
        <v>0.26025331724969841</v>
      </c>
      <c r="BP86" s="149">
        <f t="shared" si="415"/>
        <v>621.9</v>
      </c>
      <c r="BQ86" s="99">
        <f t="shared" si="416"/>
        <v>0</v>
      </c>
      <c r="BR86" s="153">
        <f t="shared" si="417"/>
        <v>193.1</v>
      </c>
      <c r="BS86" s="79">
        <v>236</v>
      </c>
      <c r="BT86" s="79">
        <v>192.8</v>
      </c>
      <c r="BU86" s="23">
        <f t="shared" si="223"/>
        <v>0.31001768773114652</v>
      </c>
      <c r="BV86" s="71">
        <v>153</v>
      </c>
      <c r="BW86" s="71">
        <f t="shared" si="418"/>
        <v>39.800000000000011</v>
      </c>
      <c r="BX86" s="23">
        <f t="shared" si="419"/>
        <v>6.3997427239105981E-2</v>
      </c>
      <c r="BY86" s="23">
        <f t="shared" si="289"/>
        <v>1.7128155652034089E-2</v>
      </c>
      <c r="BZ86" s="23">
        <f t="shared" si="290"/>
        <v>0.14195474293024868</v>
      </c>
      <c r="CA86" s="23">
        <f t="shared" si="291"/>
        <v>0.15500396920513151</v>
      </c>
      <c r="CB86" s="23">
        <f t="shared" si="262"/>
        <v>0.51025641025641044</v>
      </c>
      <c r="CC86" s="169">
        <f t="shared" si="420"/>
        <v>104.6</v>
      </c>
      <c r="CD86" s="174"/>
      <c r="CF86" s="76">
        <f t="shared" si="58"/>
        <v>75.037999999999997</v>
      </c>
      <c r="CH86" s="23">
        <f t="shared" si="392"/>
        <v>0.71738049713193119</v>
      </c>
      <c r="CI86" s="182">
        <v>77.343999999999994</v>
      </c>
      <c r="CJ86" s="79">
        <f t="shared" si="292"/>
        <v>0</v>
      </c>
      <c r="CK86" s="79">
        <f t="shared" si="60"/>
        <v>75.037999999999997</v>
      </c>
      <c r="CL86" s="159">
        <v>44.031999999999996</v>
      </c>
      <c r="CM86" s="159">
        <v>31.004000000000001</v>
      </c>
      <c r="CN86" s="159">
        <v>44.9</v>
      </c>
      <c r="CO86" s="159">
        <f t="shared" si="338"/>
        <v>13.895999999999997</v>
      </c>
      <c r="CP86" s="79">
        <v>2.306</v>
      </c>
      <c r="CQ86" s="79">
        <v>3.8679999999999999</v>
      </c>
      <c r="CR86" s="79">
        <v>1.5620000000000001</v>
      </c>
      <c r="CS86" s="23">
        <f t="shared" si="293"/>
        <v>0.41317732348943204</v>
      </c>
      <c r="CT86" s="23">
        <f t="shared" si="294"/>
        <v>2.5116578228010938E-3</v>
      </c>
      <c r="CU86" s="73">
        <v>6.9160000000000004</v>
      </c>
      <c r="CV86" s="378">
        <f t="shared" si="295"/>
        <v>1.1284188267772678E-2</v>
      </c>
      <c r="CW86" s="378">
        <f t="shared" si="296"/>
        <v>8.9418700868845694E-2</v>
      </c>
      <c r="CX86" s="79">
        <f t="shared" si="297"/>
        <v>70.427999999999997</v>
      </c>
      <c r="CY86" s="79">
        <f t="shared" si="298"/>
        <v>1.4410000000000025</v>
      </c>
      <c r="CZ86" s="293">
        <f t="shared" si="299"/>
        <v>77.343999999999994</v>
      </c>
      <c r="DA86" s="136"/>
      <c r="DB86" s="79"/>
      <c r="DC86" s="79"/>
      <c r="DD86" s="79"/>
      <c r="DE86" s="79"/>
      <c r="DF86" s="79"/>
      <c r="DG86" s="79"/>
      <c r="DH86" s="79"/>
      <c r="DI86" s="182">
        <v>68.986999999999995</v>
      </c>
      <c r="DJ86" s="79">
        <v>1.5429999999999999</v>
      </c>
      <c r="DK86" s="79">
        <v>5.7050000000000001</v>
      </c>
      <c r="DL86" s="79">
        <v>1.23</v>
      </c>
      <c r="DM86" s="79">
        <v>4.468</v>
      </c>
      <c r="DN86" s="79">
        <v>5.52</v>
      </c>
      <c r="DO86" s="79">
        <v>3.2719999999999998</v>
      </c>
      <c r="DP86" s="79">
        <v>0.46100000000000002</v>
      </c>
      <c r="DQ86" s="79">
        <v>2.1349999999999998</v>
      </c>
      <c r="DR86" s="79">
        <f t="shared" si="113"/>
        <v>20.600999999999999</v>
      </c>
      <c r="DS86" s="79">
        <f t="shared" si="114"/>
        <v>48.385999999999996</v>
      </c>
      <c r="DT86" s="79">
        <v>1.0209999999999999</v>
      </c>
      <c r="DU86" s="23">
        <f t="shared" si="115"/>
        <v>2.1101144959285743E-2</v>
      </c>
      <c r="DV86" s="23">
        <f t="shared" si="116"/>
        <v>2.2366532825025005E-2</v>
      </c>
      <c r="DW86" s="23">
        <f t="shared" si="117"/>
        <v>8.2696739965500754E-2</v>
      </c>
      <c r="DX86" s="23">
        <f t="shared" si="118"/>
        <v>1.7829446127531276E-2</v>
      </c>
      <c r="DY86" s="23">
        <f t="shared" si="119"/>
        <v>6.4765825445373765E-2</v>
      </c>
      <c r="DZ86" s="23">
        <f t="shared" si="120"/>
        <v>8.0015075304042796E-2</v>
      </c>
      <c r="EA86" s="23">
        <f t="shared" si="121"/>
        <v>4.7429225796164494E-2</v>
      </c>
      <c r="EB86" s="23">
        <f t="shared" si="122"/>
        <v>6.682418426660096E-3</v>
      </c>
      <c r="EC86" s="23">
        <f t="shared" si="123"/>
        <v>3.0947859741690464E-2</v>
      </c>
      <c r="ED86" s="23">
        <f t="shared" si="124"/>
        <v>0.29862147940916406</v>
      </c>
      <c r="EE86" s="153">
        <v>19.978999999999999</v>
      </c>
      <c r="EF86" s="23">
        <f t="shared" si="300"/>
        <v>0.28960528795280271</v>
      </c>
      <c r="EG86" s="182">
        <v>24.088000000000001</v>
      </c>
      <c r="EH86" s="79">
        <v>0.91</v>
      </c>
      <c r="EI86" s="79">
        <v>3.1320000000000001</v>
      </c>
      <c r="EJ86" s="79">
        <v>0.60899999999999999</v>
      </c>
      <c r="EK86" s="79">
        <v>2.2559999999999998</v>
      </c>
      <c r="EL86" s="79">
        <v>2.5059999999999998</v>
      </c>
      <c r="EM86" s="79">
        <v>1.2390000000000001</v>
      </c>
      <c r="EN86" s="28">
        <f t="shared" si="301"/>
        <v>10.651999999999999</v>
      </c>
      <c r="EO86" s="23">
        <f t="shared" si="302"/>
        <v>0.51906503682124205</v>
      </c>
      <c r="EP86" s="79">
        <f t="shared" si="303"/>
        <v>13.436000000000002</v>
      </c>
      <c r="EQ86" s="23">
        <f t="shared" si="304"/>
        <v>0.44221188973762865</v>
      </c>
      <c r="ER86" s="182">
        <f t="shared" si="268"/>
        <v>66.680999999999997</v>
      </c>
      <c r="ES86" s="185"/>
      <c r="ET86" s="136">
        <f>'Assets(MOFA)'!W39/1000</f>
        <v>84.9</v>
      </c>
      <c r="EU86" s="136">
        <f t="shared" si="339"/>
        <v>55.623000000000005</v>
      </c>
      <c r="EV86" s="589">
        <f t="shared" si="340"/>
        <v>0.83416565438430745</v>
      </c>
      <c r="EW86" s="153">
        <f t="shared" si="125"/>
        <v>1.6011278277401575</v>
      </c>
      <c r="EX86" s="153">
        <f t="shared" si="126"/>
        <v>5.8149622611952525</v>
      </c>
      <c r="EY86" s="153">
        <f t="shared" si="127"/>
        <v>1.2236102079906579</v>
      </c>
      <c r="EZ86" s="153">
        <f t="shared" si="128"/>
        <v>4.4256400857311711</v>
      </c>
      <c r="FA86" s="153">
        <f t="shared" si="129"/>
        <v>5.3253867657844332</v>
      </c>
      <c r="FB86" s="153">
        <f t="shared" si="130"/>
        <v>3.4109917473066598</v>
      </c>
      <c r="FC86" s="153">
        <f t="shared" si="131"/>
        <v>0.37376832218970507</v>
      </c>
      <c r="FD86" s="153">
        <f t="shared" si="132"/>
        <v>2.1307860423386664</v>
      </c>
      <c r="FE86" s="153">
        <f t="shared" si="133"/>
        <v>20.521513190780336</v>
      </c>
      <c r="FF86" s="153">
        <f t="shared" si="134"/>
        <v>46.798246854506225</v>
      </c>
      <c r="FG86" s="23">
        <f t="shared" si="135"/>
        <v>2.4011754888801272E-2</v>
      </c>
      <c r="FH86" s="23">
        <f t="shared" si="136"/>
        <v>8.720568469571921E-2</v>
      </c>
      <c r="FI86" s="23">
        <f t="shared" si="137"/>
        <v>1.8350207825177454E-2</v>
      </c>
      <c r="FJ86" s="23">
        <f t="shared" si="138"/>
        <v>6.6370331664659665E-2</v>
      </c>
      <c r="FK86" s="23">
        <f t="shared" si="139"/>
        <v>7.9863630806143185E-2</v>
      </c>
      <c r="FL86" s="23">
        <f t="shared" si="140"/>
        <v>5.1153878125802854E-2</v>
      </c>
      <c r="FM86" s="23">
        <f t="shared" si="141"/>
        <v>5.6053196891124174E-3</v>
      </c>
      <c r="FN86" s="23">
        <f t="shared" si="142"/>
        <v>3.1954920327209646E-2</v>
      </c>
      <c r="FO86" s="23">
        <f t="shared" si="421"/>
        <v>0.30775653020771043</v>
      </c>
      <c r="FP86" s="23">
        <f t="shared" si="422"/>
        <v>0.69224346979228957</v>
      </c>
      <c r="FQ86" s="23">
        <f t="shared" si="423"/>
        <v>5.1762876764313411E-2</v>
      </c>
      <c r="FR86" s="23">
        <f t="shared" si="424"/>
        <v>0.11643136668318618</v>
      </c>
      <c r="FS86" s="23">
        <f t="shared" si="425"/>
        <v>5.2427173479245807E-3</v>
      </c>
      <c r="FT86" s="393">
        <f t="shared" si="426"/>
        <v>2.721311273243837E-3</v>
      </c>
      <c r="FU86" s="393">
        <f t="shared" si="427"/>
        <v>2.5214060746807437E-3</v>
      </c>
      <c r="FV86" s="23">
        <f t="shared" si="428"/>
        <v>1.1792558375993207E-2</v>
      </c>
      <c r="FW86" s="326">
        <f t="shared" si="305"/>
        <v>2.306</v>
      </c>
      <c r="FX86" s="384">
        <f t="shared" ref="FX86:FX108" si="430">$OI86*KG86</f>
        <v>-5.812782774015765E-2</v>
      </c>
      <c r="FY86" s="384">
        <f t="shared" ref="FY86:FY108" si="431">$OI86*KH86</f>
        <v>-0.10996226119525203</v>
      </c>
      <c r="FZ86" s="384">
        <f t="shared" ref="FZ86:FZ108" si="432">$OI86*KI86</f>
        <v>6.3897920093421356E-3</v>
      </c>
      <c r="GA86" s="384">
        <f t="shared" ref="GA86:GA108" si="433">$OI86*KJ86</f>
        <v>4.2359914268828458E-2</v>
      </c>
      <c r="GB86" s="384">
        <f t="shared" ref="GB86:GB108" si="434">$OI86*KK86</f>
        <v>0.19461323421556687</v>
      </c>
      <c r="GC86" s="384">
        <f t="shared" ref="GC86:GC108" si="435">$OI86*KL86</f>
        <v>-0.13899174730665984</v>
      </c>
      <c r="GD86" s="153">
        <f>$OI86*KO86</f>
        <v>8.7231677810294964E-2</v>
      </c>
      <c r="GE86" s="153">
        <f>$OI86*KP86</f>
        <v>4.2139576613333882E-3</v>
      </c>
      <c r="GF86" s="153">
        <f t="shared" si="151"/>
        <v>7.9486809219661198E-2</v>
      </c>
      <c r="GG86" s="153">
        <f t="shared" si="277"/>
        <v>1.5877531454937732</v>
      </c>
      <c r="GH86" s="182">
        <v>73.251999999999995</v>
      </c>
      <c r="GI86" s="79">
        <v>-0.33700000000000002</v>
      </c>
      <c r="GJ86" s="79">
        <v>7.6050000000000004</v>
      </c>
      <c r="GK86" s="79">
        <v>0.51700000000000002</v>
      </c>
      <c r="GL86" s="79">
        <v>0.94</v>
      </c>
      <c r="GM86" s="79">
        <f t="shared" si="342"/>
        <v>3.5979999999999999</v>
      </c>
      <c r="GN86" s="79">
        <v>0.89700000000000002</v>
      </c>
      <c r="GO86" s="79">
        <v>2.7010000000000001</v>
      </c>
      <c r="GP86" s="79">
        <v>1.1120000000000001</v>
      </c>
      <c r="GQ86" s="79">
        <v>1.8360000000000001</v>
      </c>
      <c r="GR86" s="79">
        <f t="shared" si="306"/>
        <v>14.159000000000002</v>
      </c>
      <c r="GS86" s="79">
        <f t="shared" si="343"/>
        <v>59.092999999999989</v>
      </c>
      <c r="GT86" s="23">
        <f t="shared" si="307"/>
        <v>0.19329165073991159</v>
      </c>
      <c r="GU86" s="362">
        <f t="shared" si="259"/>
        <v>57.746999999999993</v>
      </c>
      <c r="GV86" s="153">
        <f t="shared" si="344"/>
        <v>33.658999999999999</v>
      </c>
      <c r="GW86" s="153">
        <f t="shared" si="308"/>
        <v>24.088000000000001</v>
      </c>
      <c r="GX86" s="153">
        <f t="shared" si="309"/>
        <v>1.1739999999999999</v>
      </c>
      <c r="GY86" s="153">
        <f t="shared" si="310"/>
        <v>6.9700000000000006</v>
      </c>
      <c r="GZ86" s="153">
        <f t="shared" si="226"/>
        <v>0.64200000000000002</v>
      </c>
      <c r="HA86" s="153">
        <f t="shared" si="227"/>
        <v>0.39699999999999991</v>
      </c>
      <c r="HB86" s="153">
        <f t="shared" si="228"/>
        <v>3.7469999999999999</v>
      </c>
      <c r="HC86" s="153">
        <f t="shared" si="229"/>
        <v>1.931</v>
      </c>
      <c r="HD86" s="352">
        <f t="shared" si="230"/>
        <v>0.44100000000000006</v>
      </c>
      <c r="HE86" s="153">
        <f t="shared" si="231"/>
        <v>1.5110000000000001</v>
      </c>
      <c r="HF86" s="153">
        <f t="shared" si="311"/>
        <v>14.441000000000001</v>
      </c>
      <c r="HG86" s="23">
        <f t="shared" si="345"/>
        <v>0.25007359689680853</v>
      </c>
      <c r="HH86" s="156">
        <f t="shared" si="346"/>
        <v>47.075000000000045</v>
      </c>
      <c r="HI86" s="182">
        <f t="shared" si="312"/>
        <v>49.163999999999994</v>
      </c>
      <c r="HJ86" s="79">
        <v>7.1054273576010019E-15</v>
      </c>
      <c r="HK86" s="79">
        <f t="shared" si="313"/>
        <v>-1.2470000000000001</v>
      </c>
      <c r="HL86" s="79">
        <f t="shared" si="314"/>
        <v>4.4730000000000008</v>
      </c>
      <c r="HM86" s="79">
        <f t="shared" si="315"/>
        <v>-9.1999999999999971E-2</v>
      </c>
      <c r="HN86" s="79">
        <f t="shared" si="316"/>
        <v>-1.3159999999999998</v>
      </c>
      <c r="HO86" s="79">
        <f t="shared" si="317"/>
        <v>1.0920000000000001</v>
      </c>
      <c r="HP86" s="79">
        <f t="shared" si="318"/>
        <v>0.59699999999999998</v>
      </c>
      <c r="HQ86" s="79">
        <f t="shared" si="319"/>
        <v>3.5070000000000014</v>
      </c>
      <c r="HR86" s="79">
        <f t="shared" si="383"/>
        <v>45.656999999999996</v>
      </c>
      <c r="HS86" s="23">
        <f t="shared" si="321"/>
        <v>7.1332682450573628E-2</v>
      </c>
      <c r="HT86" s="28">
        <v>33.658999999999999</v>
      </c>
      <c r="HU86" s="79">
        <v>0.26500000000000001</v>
      </c>
      <c r="HV86" s="79">
        <v>3.8380000000000001</v>
      </c>
      <c r="HW86" s="79">
        <v>3.3000000000000002E-2</v>
      </c>
      <c r="HX86" s="26">
        <v>0.45300000000000001</v>
      </c>
      <c r="HY86" s="79">
        <v>1.2410000000000001</v>
      </c>
      <c r="HZ86" s="79">
        <v>-0.154</v>
      </c>
      <c r="IA86" s="79">
        <v>0.128</v>
      </c>
      <c r="IB86" s="79">
        <v>0.27200000000000002</v>
      </c>
      <c r="IC86" s="79">
        <f t="shared" si="322"/>
        <v>6.1019999999999994</v>
      </c>
      <c r="ID86" s="79">
        <f t="shared" si="347"/>
        <v>27.556999999999999</v>
      </c>
      <c r="IE86" s="23">
        <f t="shared" si="348"/>
        <v>0.18128880834249383</v>
      </c>
      <c r="IF86" s="316">
        <v>15.505000000000001</v>
      </c>
      <c r="IG86" s="153">
        <v>-1.5109999999999999</v>
      </c>
      <c r="IH86" s="153">
        <v>0.63500000000000001</v>
      </c>
      <c r="II86" s="153">
        <v>-0.125</v>
      </c>
      <c r="IJ86" s="153">
        <v>0.54300000000000004</v>
      </c>
      <c r="IK86" s="153">
        <v>-0.14899999999999999</v>
      </c>
      <c r="IL86" s="153">
        <v>-1.034</v>
      </c>
      <c r="IM86" s="153">
        <v>0.67100000000000004</v>
      </c>
      <c r="IN86" s="153">
        <v>0.32500000000000001</v>
      </c>
      <c r="IO86" s="153">
        <f t="shared" si="349"/>
        <v>-0.28199999999999986</v>
      </c>
      <c r="IP86" s="153">
        <f t="shared" si="235"/>
        <v>15.787000000000001</v>
      </c>
      <c r="IQ86" s="258">
        <f t="shared" si="350"/>
        <v>1.5339999999999989</v>
      </c>
      <c r="IR86" s="5">
        <f t="shared" si="323"/>
        <v>612.89300000000003</v>
      </c>
      <c r="IS86" s="79">
        <f t="shared" si="351"/>
        <v>48.610000000000014</v>
      </c>
      <c r="IT86" s="79">
        <f t="shared" si="288"/>
        <v>0</v>
      </c>
      <c r="IU86" s="79">
        <f t="shared" si="352"/>
        <v>24.088000000000001</v>
      </c>
      <c r="IV86" s="79">
        <f t="shared" si="324"/>
        <v>33.658999999999999</v>
      </c>
      <c r="IW86" s="79">
        <v>15.505000000000001</v>
      </c>
      <c r="IX86" s="79">
        <f t="shared" si="353"/>
        <v>-24.641999999999989</v>
      </c>
      <c r="IY86" s="79"/>
      <c r="IZ86" s="79"/>
      <c r="JA86" s="79"/>
      <c r="JB86" s="23">
        <f t="shared" si="162"/>
        <v>9.9816455490049194E-2</v>
      </c>
      <c r="JC86" s="23">
        <f t="shared" si="163"/>
        <v>2.1336112830200968E-2</v>
      </c>
      <c r="JD86" s="23">
        <f t="shared" si="164"/>
        <v>7.8480342659848226E-2</v>
      </c>
      <c r="JE86" s="22">
        <f t="shared" si="325"/>
        <v>3.9229992508387351E-3</v>
      </c>
      <c r="JF86" s="22">
        <f t="shared" si="326"/>
        <v>5.4817432656916716E-3</v>
      </c>
      <c r="JG86" s="22">
        <f t="shared" si="327"/>
        <v>2.5251620468388653E-3</v>
      </c>
      <c r="JH86" s="5">
        <v>612.89300000000003</v>
      </c>
      <c r="JI86" s="725">
        <f t="shared" si="391"/>
        <v>60.987000000000016</v>
      </c>
      <c r="JJ86" s="76">
        <v>7.2389999999999999</v>
      </c>
      <c r="JK86" s="76">
        <v>29.888999999999999</v>
      </c>
      <c r="JL86" s="76">
        <v>6.31</v>
      </c>
      <c r="JM86" s="76">
        <v>27.908000000000001</v>
      </c>
      <c r="JN86" s="76">
        <f t="shared" si="354"/>
        <v>48.722000000000001</v>
      </c>
      <c r="JO86" s="76">
        <v>28.355</v>
      </c>
      <c r="JP86" s="76">
        <v>20.367000000000001</v>
      </c>
      <c r="JQ86" s="76">
        <v>6.7389999999999999</v>
      </c>
      <c r="JR86" s="76">
        <v>10.94</v>
      </c>
      <c r="JS86" s="76">
        <f t="shared" si="287"/>
        <v>131.00799999999998</v>
      </c>
      <c r="JT86" s="76">
        <f t="shared" si="355"/>
        <v>481.88500000000005</v>
      </c>
      <c r="JU86" s="23">
        <f t="shared" si="356"/>
        <v>0.21375346104458687</v>
      </c>
      <c r="JV86" s="23">
        <f t="shared" si="357"/>
        <v>1.1811197060498324E-2</v>
      </c>
      <c r="JW86" s="23">
        <f t="shared" si="358"/>
        <v>4.8767076798070783E-2</v>
      </c>
      <c r="JX86" s="23">
        <f t="shared" si="359"/>
        <v>1.0295434929098552E-2</v>
      </c>
      <c r="JY86" s="23">
        <f t="shared" si="360"/>
        <v>4.5534864976431451E-2</v>
      </c>
      <c r="JZ86" s="23">
        <f t="shared" si="361"/>
        <v>7.9495115786931816E-2</v>
      </c>
      <c r="KA86" s="23">
        <f t="shared" si="362"/>
        <v>1.7849771493555971E-2</v>
      </c>
      <c r="KB86" s="149">
        <v>60.533999999999999</v>
      </c>
      <c r="KC86" s="316">
        <v>140.43899999999999</v>
      </c>
      <c r="KD86" s="316">
        <v>79.903999999999996</v>
      </c>
      <c r="KE86" s="589">
        <f t="shared" si="242"/>
        <v>0.56895876501541598</v>
      </c>
      <c r="KF86" s="1071">
        <v>0</v>
      </c>
      <c r="KG86" s="319">
        <f t="shared" si="243"/>
        <v>-2.1105</v>
      </c>
      <c r="KH86" s="319">
        <f t="shared" si="244"/>
        <v>-3.9924999999999997</v>
      </c>
      <c r="KI86" s="321">
        <f t="shared" si="245"/>
        <v>0.23200000000000004</v>
      </c>
      <c r="KJ86" s="319">
        <f t="shared" si="246"/>
        <v>1.5379999999999998</v>
      </c>
      <c r="KK86" s="319">
        <f t="shared" si="285"/>
        <v>7.0659999999999981</v>
      </c>
      <c r="KL86" s="319">
        <f t="shared" si="248"/>
        <v>-5.0465</v>
      </c>
      <c r="KM86" s="319"/>
      <c r="KN86" s="319"/>
      <c r="KO86" s="319">
        <f t="shared" si="249"/>
        <v>3.1672000000000038</v>
      </c>
      <c r="KP86" s="319">
        <f t="shared" si="250"/>
        <v>0.15299999999999991</v>
      </c>
      <c r="KQ86" s="153">
        <f t="shared" si="328"/>
        <v>2.8859999999999979</v>
      </c>
      <c r="KR86" s="153">
        <f t="shared" si="329"/>
        <v>57.648000000000003</v>
      </c>
      <c r="KS86" s="23">
        <f t="shared" si="178"/>
        <v>9.3886192632161823E-3</v>
      </c>
      <c r="KT86" s="23">
        <f t="shared" si="179"/>
        <v>-3.963756507809376E-2</v>
      </c>
      <c r="KU86" s="326">
        <v>552.35900000000004</v>
      </c>
      <c r="KV86" s="430">
        <f t="shared" si="252"/>
        <v>60.987000000000016</v>
      </c>
      <c r="KW86" s="322">
        <f t="shared" si="181"/>
        <v>9.349499999999999</v>
      </c>
      <c r="KX86" s="322">
        <f t="shared" si="182"/>
        <v>33.881500000000003</v>
      </c>
      <c r="KY86" s="322">
        <f t="shared" si="183"/>
        <v>6.0779999999999994</v>
      </c>
      <c r="KZ86" s="322">
        <f t="shared" si="184"/>
        <v>26.37</v>
      </c>
      <c r="LA86" s="322">
        <f t="shared" si="185"/>
        <v>41.656000000000006</v>
      </c>
      <c r="LB86" s="322">
        <f t="shared" si="186"/>
        <v>33.401499999999999</v>
      </c>
      <c r="LC86" s="322">
        <f t="shared" si="187"/>
        <v>3.5717999999999961</v>
      </c>
      <c r="LD86" s="322">
        <f t="shared" si="188"/>
        <v>10.786999999999999</v>
      </c>
      <c r="LE86" s="322">
        <f t="shared" si="189"/>
        <v>128.12199999999999</v>
      </c>
      <c r="LF86" s="322">
        <f t="shared" si="190"/>
        <v>0</v>
      </c>
      <c r="LG86" s="322">
        <f t="shared" si="191"/>
        <v>424.23700000000002</v>
      </c>
      <c r="LH86" s="367">
        <f t="shared" si="192"/>
        <v>0.2319542181805673</v>
      </c>
      <c r="LI86" s="248">
        <f t="shared" si="193"/>
        <v>1.6926491647642202E-2</v>
      </c>
      <c r="LJ86" s="248">
        <f t="shared" si="194"/>
        <v>6.1339635997603011E-2</v>
      </c>
      <c r="LK86" s="248">
        <f t="shared" si="195"/>
        <v>1.1003713164807669E-2</v>
      </c>
      <c r="LL86" s="248">
        <f t="shared" si="196"/>
        <v>4.7740690384333373E-2</v>
      </c>
      <c r="LM86" s="248">
        <f t="shared" si="197"/>
        <v>7.5414721222972741E-2</v>
      </c>
      <c r="LN86" s="248">
        <f t="shared" si="198"/>
        <v>6.0470635945100916E-2</v>
      </c>
      <c r="LO86" s="248">
        <f t="shared" si="199"/>
        <v>6.4664466406811434E-3</v>
      </c>
      <c r="LP86" s="248">
        <f t="shared" si="200"/>
        <v>1.9528965763208346E-2</v>
      </c>
      <c r="LQ86" s="248">
        <f t="shared" si="201"/>
        <v>8.9957818963551678E-2</v>
      </c>
      <c r="LR86" s="23">
        <f t="shared" si="202"/>
        <v>6.909172339663204E-2</v>
      </c>
      <c r="LS86" s="23">
        <f t="shared" si="203"/>
        <v>2.0866095566919641E-2</v>
      </c>
      <c r="LT86" s="326">
        <v>180.036</v>
      </c>
      <c r="LU86" s="153">
        <f t="shared" si="363"/>
        <v>1.0000000000118803E-3</v>
      </c>
      <c r="LV86" s="153">
        <f t="shared" si="204"/>
        <v>60.533999999999999</v>
      </c>
      <c r="LW86" s="153">
        <f t="shared" si="283"/>
        <v>79.903999999999996</v>
      </c>
      <c r="LX86" s="153">
        <v>39.597000000000001</v>
      </c>
      <c r="LY86" s="23">
        <f>LX86/Liabilities!GT86</f>
        <v>8.1812490573288682E-2</v>
      </c>
      <c r="LZ86" s="23">
        <f t="shared" si="253"/>
        <v>0.22811697065363923</v>
      </c>
      <c r="MA86" s="425">
        <v>253.48599999999999</v>
      </c>
      <c r="MB86" s="153">
        <f t="shared" si="364"/>
        <v>0</v>
      </c>
      <c r="MC86" s="153">
        <v>133.98500000000001</v>
      </c>
      <c r="MD86" s="153">
        <f t="shared" si="365"/>
        <v>39.597000000000001</v>
      </c>
      <c r="ME86" s="153">
        <f t="shared" si="366"/>
        <v>79.903999999999996</v>
      </c>
      <c r="MF86" s="153">
        <v>173.58199999999999</v>
      </c>
      <c r="MG86" s="153">
        <f t="shared" si="208"/>
        <v>140.43899999999999</v>
      </c>
      <c r="MH86" s="326">
        <f t="shared" si="209"/>
        <v>552.35900000000004</v>
      </c>
      <c r="MI86" s="1008">
        <f>FoF_RoW!$BH56/1000</f>
        <v>786.56500000000005</v>
      </c>
      <c r="MJ86" s="1008">
        <v>906.06700000000001</v>
      </c>
      <c r="MK86" s="1008">
        <f>FoF_RoW!$AU56/1000</f>
        <v>80.167000000000002</v>
      </c>
      <c r="ML86" s="1008">
        <f t="shared" si="254"/>
        <v>63.039000000000101</v>
      </c>
      <c r="MM86" s="425">
        <f t="shared" si="210"/>
        <v>726.03100000000006</v>
      </c>
      <c r="MN86" s="23">
        <f t="shared" si="211"/>
        <v>1.3144187023294633</v>
      </c>
      <c r="MO86" s="153">
        <v>1234.0840000000001</v>
      </c>
      <c r="MP86" s="425">
        <v>1054.048</v>
      </c>
      <c r="MQ86" s="23">
        <f t="shared" si="367"/>
        <v>1.9082661819577484</v>
      </c>
      <c r="MR86" s="23">
        <f t="shared" si="368"/>
        <v>1.4517947580750683</v>
      </c>
      <c r="MS86" s="153">
        <f t="shared" si="212"/>
        <v>60.533999999999999</v>
      </c>
      <c r="MT86" s="153">
        <v>180.036</v>
      </c>
      <c r="MU86" s="153">
        <v>253.48599999999999</v>
      </c>
      <c r="MV86" s="153">
        <v>623.86800000000005</v>
      </c>
      <c r="MW86" s="153">
        <v>483.99700000000001</v>
      </c>
      <c r="MX86" s="23">
        <f t="shared" si="369"/>
        <v>1.2889914606908721</v>
      </c>
      <c r="MY86" s="425">
        <f t="shared" si="255"/>
        <v>-210.42099999999971</v>
      </c>
      <c r="MZ86" s="23">
        <f t="shared" si="213"/>
        <v>-3.426940490537763E-2</v>
      </c>
      <c r="NA86" s="153">
        <v>3434.6370000000002</v>
      </c>
      <c r="NB86" s="153">
        <v>3544.9479999999999</v>
      </c>
      <c r="NC86" s="425">
        <f t="shared" si="330"/>
        <v>-398.56699999999961</v>
      </c>
      <c r="ND86" s="23">
        <f t="shared" si="331"/>
        <v>-6.4911077815054827E-2</v>
      </c>
      <c r="NE86" s="330">
        <f t="shared" si="332"/>
        <v>168.584</v>
      </c>
      <c r="NF86" s="23">
        <f t="shared" si="333"/>
        <v>2.7455783199244327E-2</v>
      </c>
      <c r="NG86" s="330">
        <f t="shared" si="334"/>
        <v>356.73</v>
      </c>
      <c r="NH86" s="23">
        <f t="shared" si="335"/>
        <v>5.8097456108921537E-2</v>
      </c>
      <c r="NI86" s="330">
        <v>100.11</v>
      </c>
      <c r="NJ86" s="425">
        <f t="shared" si="63"/>
        <v>55.194000000000003</v>
      </c>
      <c r="NK86" s="403">
        <f t="shared" si="393"/>
        <v>8.9889580143969264E-3</v>
      </c>
      <c r="NL86" s="153">
        <v>55.194000000000003</v>
      </c>
      <c r="NM86" s="153">
        <v>77.343999999999994</v>
      </c>
      <c r="NN86" s="153">
        <v>22.15</v>
      </c>
      <c r="NO86" s="425">
        <f t="shared" si="100"/>
        <v>21.153999999999996</v>
      </c>
      <c r="NP86" s="153">
        <v>167.50399999999999</v>
      </c>
      <c r="NQ86" s="153">
        <v>146.35</v>
      </c>
      <c r="NR86" s="403">
        <f t="shared" si="394"/>
        <v>3.4451646526171783E-3</v>
      </c>
      <c r="NS86" s="403">
        <f t="shared" si="395"/>
        <v>8.9889580143969264E-3</v>
      </c>
      <c r="NT86" s="403">
        <f t="shared" si="396"/>
        <v>-5.5437933617797485E-3</v>
      </c>
      <c r="NU86" s="727">
        <f t="shared" si="215"/>
        <v>6.3261824888430129E-2</v>
      </c>
      <c r="NV86" s="688">
        <f t="shared" si="216"/>
        <v>9.1843185759285753E-2</v>
      </c>
      <c r="NW86" s="688">
        <f t="shared" si="217"/>
        <v>0.12072040104352422</v>
      </c>
      <c r="NX86" s="793">
        <f>(ER86-T.A2!B38*T.A1!M38)/MP86</f>
        <v>5.4602178075052438E-2</v>
      </c>
      <c r="NY86" s="688">
        <f>Liabilities!BU86/Liabilities!GY86</f>
        <v>2.225631062981271E-2</v>
      </c>
      <c r="NZ86" s="688">
        <f>Liabilities!BU86/Liabilities!GT86</f>
        <v>2.8688194348312074E-2</v>
      </c>
      <c r="OA86" s="688">
        <f>Liabilities!BU86/Liabilities!GR86</f>
        <v>4.0051113123842588E-2</v>
      </c>
      <c r="OB86" s="688">
        <f t="shared" si="256"/>
        <v>4.1005514258617419E-2</v>
      </c>
      <c r="OC86" s="688">
        <f t="shared" si="257"/>
        <v>6.3154991410973679E-2</v>
      </c>
      <c r="OD86" s="688"/>
      <c r="OE86" s="793">
        <f t="shared" si="218"/>
        <v>0.10335371354666673</v>
      </c>
      <c r="OF86" s="793">
        <f>OE86/(1-'Assets(MOFA)'!GU39)</f>
        <v>0.1577536321326071</v>
      </c>
      <c r="OG86" s="793">
        <f>Liabilities!HV86</f>
        <v>3.0662179151569283E-2</v>
      </c>
      <c r="OH86" s="793">
        <f>OE86-OG86</f>
        <v>7.2691534395097443E-2</v>
      </c>
      <c r="OI86" s="22">
        <f t="shared" si="336"/>
        <v>2.7542206936819545E-2</v>
      </c>
      <c r="OJ86" s="22">
        <f t="shared" si="337"/>
        <v>1.9548458149779738E-2</v>
      </c>
      <c r="OK86" s="403">
        <f>Liabilities!CT86/LX86</f>
        <v>3.447230850822032E-2</v>
      </c>
      <c r="OL86" s="403">
        <f>Liabilities!CU86/MF86</f>
        <v>4.8161675749789724E-2</v>
      </c>
      <c r="OM86" s="153"/>
      <c r="OO86" s="186">
        <f t="shared" si="221"/>
        <v>0.10047380212559445</v>
      </c>
      <c r="OP86" s="308">
        <f t="shared" si="370"/>
        <v>0.11824223966646039</v>
      </c>
      <c r="OQ86" s="308">
        <f t="shared" si="371"/>
        <v>1.1880247391135057E-2</v>
      </c>
      <c r="OR86" s="313">
        <f t="shared" si="372"/>
        <v>0</v>
      </c>
      <c r="OS86" s="23">
        <f t="shared" si="373"/>
        <v>0.14253114937269082</v>
      </c>
      <c r="OT86" s="23">
        <f t="shared" si="374"/>
        <v>0.14284216992560997</v>
      </c>
      <c r="OU86" s="23">
        <f t="shared" si="375"/>
        <v>0.16755390861032501</v>
      </c>
      <c r="OV86" s="23">
        <f t="shared" si="376"/>
        <v>0.13968125548669116</v>
      </c>
      <c r="OW86" s="23">
        <f t="shared" si="377"/>
        <v>0.10640101174574965</v>
      </c>
      <c r="OX86" s="23">
        <f t="shared" si="378"/>
        <v>8.4993725441134219E-2</v>
      </c>
      <c r="OY86" s="23">
        <f t="shared" si="379"/>
        <v>0.16440360338712243</v>
      </c>
      <c r="OZ86" s="23">
        <f t="shared" si="380"/>
        <v>0.13330849924392352</v>
      </c>
      <c r="PA86" s="23">
        <f t="shared" si="381"/>
        <v>9.1810680951704082E-2</v>
      </c>
      <c r="PB86" s="23">
        <f t="shared" si="382"/>
        <v>4.1497818292219435E-2</v>
      </c>
      <c r="PC86" s="23"/>
      <c r="PD86" s="23"/>
      <c r="PE86" s="23"/>
      <c r="PF86" s="23"/>
      <c r="PG86" s="69"/>
      <c r="PH86" s="23">
        <f>'Assets(MOFA)'!GU39</f>
        <v>0.34484098939929331</v>
      </c>
      <c r="PI86" s="23">
        <f>'Assets(MOFA)'!HM39</f>
        <v>0.31977386721074558</v>
      </c>
      <c r="PJ86" s="11">
        <f t="shared" si="222"/>
        <v>4.3175422512473083E-2</v>
      </c>
      <c r="PK86" s="11">
        <f>Liabilities!JA86/MW86/1000</f>
        <v>3.0958869579770121E-2</v>
      </c>
      <c r="PL86" s="11">
        <f>'Assets(MOFA)'!GO39/MM86/1000</f>
        <v>3.1085449519373136E-2</v>
      </c>
      <c r="PM86" s="11">
        <f t="shared" si="429"/>
        <v>-1.2657993960301511E-4</v>
      </c>
    </row>
    <row r="87" spans="2:429">
      <c r="B87" s="71">
        <v>1995</v>
      </c>
      <c r="C87" s="43">
        <v>6479.5</v>
      </c>
      <c r="D87" s="5">
        <v>703</v>
      </c>
      <c r="E87" s="6">
        <f t="shared" si="397"/>
        <v>0.10849602592792654</v>
      </c>
      <c r="F87" s="72">
        <f t="shared" si="398"/>
        <v>0</v>
      </c>
      <c r="G87" s="76">
        <f t="shared" si="399"/>
        <v>610.1</v>
      </c>
      <c r="H87" s="23">
        <f t="shared" si="400"/>
        <v>9.4158499884250332E-2</v>
      </c>
      <c r="I87" s="74">
        <v>92.9</v>
      </c>
      <c r="J87" s="19">
        <f t="shared" si="401"/>
        <v>1.433752604367621E-2</v>
      </c>
      <c r="K87" s="6">
        <f t="shared" si="402"/>
        <v>0.13214793741109532</v>
      </c>
      <c r="L87" s="136">
        <v>127.4</v>
      </c>
      <c r="M87" s="19">
        <f t="shared" si="403"/>
        <v>1.9662010957635621E-2</v>
      </c>
      <c r="N87" s="63">
        <f t="shared" si="404"/>
        <v>0.18122332859174967</v>
      </c>
      <c r="O87" s="5">
        <f t="shared" si="405"/>
        <v>703</v>
      </c>
      <c r="P87" s="75">
        <f t="shared" si="406"/>
        <v>0</v>
      </c>
      <c r="Q87" s="271">
        <v>717.8</v>
      </c>
      <c r="R87" s="202">
        <v>85.7</v>
      </c>
      <c r="S87" s="53">
        <f t="shared" si="407"/>
        <v>0.12190611664295875</v>
      </c>
      <c r="T87" s="74">
        <v>23.1</v>
      </c>
      <c r="U87" s="74">
        <v>17.7</v>
      </c>
      <c r="V87" s="207">
        <v>115.5</v>
      </c>
      <c r="W87" s="53">
        <f t="shared" si="408"/>
        <v>0.1642958748221906</v>
      </c>
      <c r="X87" s="75">
        <f t="shared" si="409"/>
        <v>-25.800000000000068</v>
      </c>
      <c r="Y87" s="187">
        <v>77.511418000000006</v>
      </c>
      <c r="Z87" s="75">
        <f t="shared" ref="Z87:Z101" si="436">Z88*Y87/Y88</f>
        <v>-5.9190352273905242</v>
      </c>
      <c r="AA87" s="75">
        <v>-5.4453279999999999</v>
      </c>
      <c r="AB87" s="75">
        <f>Z87-AA87</f>
        <v>-0.47370722739052429</v>
      </c>
      <c r="AC87" s="75">
        <f t="shared" ref="AC87:AC103" si="437">Y87+Z87</f>
        <v>71.592382772609483</v>
      </c>
      <c r="AD87" s="23">
        <f t="shared" si="410"/>
        <v>0.10183838232234635</v>
      </c>
      <c r="AE87" s="76">
        <f>NIPA_Scorp!C8/1000</f>
        <v>80.754999999999995</v>
      </c>
      <c r="AF87" s="76">
        <v>78.102196021697111</v>
      </c>
      <c r="AG87" s="23">
        <f t="shared" si="385"/>
        <v>0.11487197724039828</v>
      </c>
      <c r="AH87" s="97">
        <v>217.8</v>
      </c>
      <c r="AI87" s="22">
        <f t="shared" si="411"/>
        <v>3.3613704761169844E-2</v>
      </c>
      <c r="AJ87" s="22">
        <f t="shared" si="412"/>
        <v>3.0002314993440853E-2</v>
      </c>
      <c r="AK87" s="99">
        <f t="shared" si="413"/>
        <v>-9.9999999999994316E-2</v>
      </c>
      <c r="AL87" s="71">
        <v>155.9</v>
      </c>
      <c r="AM87" s="72">
        <f>(0.25*Fedtax!C68+0.75*Fedtax!C67)/1000</f>
        <v>160.709</v>
      </c>
      <c r="AN87" s="71">
        <v>31.7</v>
      </c>
      <c r="AO87" s="255">
        <v>6.9</v>
      </c>
      <c r="AP87" s="71">
        <v>23.4</v>
      </c>
      <c r="AQ87" s="6">
        <f t="shared" si="414"/>
        <v>7.4882321166756693E-2</v>
      </c>
      <c r="AR87" s="207">
        <v>33.5</v>
      </c>
      <c r="AS87" s="714">
        <f>30.416</f>
        <v>30.416</v>
      </c>
      <c r="AT87" s="210">
        <v>6.4412339999999997</v>
      </c>
      <c r="AU87" s="205">
        <f t="shared" si="386"/>
        <v>0.21177123882167279</v>
      </c>
      <c r="AV87" s="707">
        <v>30.93</v>
      </c>
      <c r="AW87" s="55">
        <f>AY87*AV87</f>
        <v>7.2616038579652109</v>
      </c>
      <c r="AX87" s="55">
        <f t="shared" si="387"/>
        <v>23.668396142034787</v>
      </c>
      <c r="AY87" s="56">
        <f>(AY86+AY88)/2</f>
        <v>0.23477542379454286</v>
      </c>
      <c r="AZ87" s="777">
        <f>AV87-1.3</f>
        <v>29.63</v>
      </c>
      <c r="BA87" s="772">
        <f t="shared" si="389"/>
        <v>5.9616038579652084</v>
      </c>
      <c r="BB87" s="767">
        <f t="shared" si="390"/>
        <v>0.20120161518613597</v>
      </c>
      <c r="BC87" s="210">
        <v>7.774</v>
      </c>
      <c r="BD87" s="722">
        <f>'Assets(MOFA)'!FJ40/1000</f>
        <v>38.801000000000002</v>
      </c>
      <c r="BE87" s="753">
        <f t="shared" si="105"/>
        <v>0.79714440349475524</v>
      </c>
      <c r="BF87" s="234">
        <v>0.35</v>
      </c>
      <c r="BG87" s="437"/>
      <c r="BH87" s="140">
        <f t="shared" si="106"/>
        <v>0.26259798432250842</v>
      </c>
      <c r="BI87" s="248">
        <f t="shared" si="384"/>
        <v>0.29606483125409339</v>
      </c>
      <c r="BJ87" s="23">
        <f t="shared" si="107"/>
        <v>0.22593083504036632</v>
      </c>
      <c r="BK87" s="140">
        <f t="shared" si="108"/>
        <v>0.29549405000668538</v>
      </c>
      <c r="BL87" s="140">
        <f t="shared" si="109"/>
        <v>0.30609843085889793</v>
      </c>
      <c r="BM87" s="248">
        <f t="shared" si="110"/>
        <v>0.32677437658623121</v>
      </c>
      <c r="BN87" s="23">
        <f t="shared" si="111"/>
        <v>0.27082752855948733</v>
      </c>
      <c r="BO87" s="23">
        <f t="shared" si="112"/>
        <v>0.2419415059116366</v>
      </c>
      <c r="BP87" s="149">
        <f t="shared" si="415"/>
        <v>703</v>
      </c>
      <c r="BQ87" s="99">
        <f t="shared" si="416"/>
        <v>0</v>
      </c>
      <c r="BR87" s="153">
        <f t="shared" si="417"/>
        <v>217.8</v>
      </c>
      <c r="BS87" s="79">
        <v>259</v>
      </c>
      <c r="BT87" s="79">
        <v>226.2</v>
      </c>
      <c r="BU87" s="23">
        <f t="shared" si="223"/>
        <v>0.32176386913229016</v>
      </c>
      <c r="BV87" s="71">
        <v>166.1</v>
      </c>
      <c r="BW87" s="71">
        <f t="shared" si="418"/>
        <v>60.099999999999994</v>
      </c>
      <c r="BX87" s="23">
        <f t="shared" si="419"/>
        <v>8.5490753911806536E-2</v>
      </c>
      <c r="BY87" s="23">
        <f t="shared" si="289"/>
        <v>1.944381223328592E-2</v>
      </c>
      <c r="BZ87" s="23">
        <f t="shared" si="290"/>
        <v>0.14729367140440297</v>
      </c>
      <c r="CA87" s="23">
        <f t="shared" si="291"/>
        <v>0.15625267663473455</v>
      </c>
      <c r="CB87" s="23">
        <f t="shared" si="262"/>
        <v>0.64693218514531747</v>
      </c>
      <c r="CC87" s="169">
        <f t="shared" si="420"/>
        <v>127.4</v>
      </c>
      <c r="CD87" s="174"/>
      <c r="CF87" s="76">
        <f t="shared" si="58"/>
        <v>92.801000000000002</v>
      </c>
      <c r="CH87" s="23">
        <f t="shared" si="392"/>
        <v>0.72842229199372055</v>
      </c>
      <c r="CI87" s="182">
        <v>95.26</v>
      </c>
      <c r="CJ87" s="79">
        <f t="shared" si="292"/>
        <v>0</v>
      </c>
      <c r="CK87" s="79">
        <f t="shared" si="60"/>
        <v>92.801000000000002</v>
      </c>
      <c r="CL87" s="159">
        <v>38.890999999999998</v>
      </c>
      <c r="CM87" s="159">
        <v>53.908000000000001</v>
      </c>
      <c r="CN87" s="159">
        <v>68.8</v>
      </c>
      <c r="CO87" s="159">
        <f t="shared" si="338"/>
        <v>14.891999999999996</v>
      </c>
      <c r="CP87" s="79">
        <v>2.4590000000000001</v>
      </c>
      <c r="CQ87" s="79">
        <v>4.3419999999999996</v>
      </c>
      <c r="CR87" s="79">
        <v>1.883</v>
      </c>
      <c r="CS87" s="23">
        <f t="shared" si="293"/>
        <v>0.5808989127272336</v>
      </c>
      <c r="CT87" s="23">
        <f t="shared" si="294"/>
        <v>2.678520625889047E-3</v>
      </c>
      <c r="CU87" s="73">
        <v>6.6760000000000002</v>
      </c>
      <c r="CV87" s="378">
        <f t="shared" si="295"/>
        <v>9.550581890231254E-3</v>
      </c>
      <c r="CW87" s="378">
        <f t="shared" si="296"/>
        <v>7.0081881167331508E-2</v>
      </c>
      <c r="CX87" s="79">
        <f t="shared" si="297"/>
        <v>88.584000000000003</v>
      </c>
      <c r="CY87" s="79">
        <f t="shared" si="298"/>
        <v>1.2379999999999995</v>
      </c>
      <c r="CZ87" s="293">
        <f t="shared" si="299"/>
        <v>95.26</v>
      </c>
      <c r="DA87" s="136"/>
      <c r="DB87" s="79"/>
      <c r="DC87" s="79"/>
      <c r="DD87" s="79"/>
      <c r="DE87" s="79"/>
      <c r="DF87" s="79"/>
      <c r="DG87" s="79"/>
      <c r="DH87" s="79"/>
      <c r="DI87" s="182">
        <v>87.346000000000004</v>
      </c>
      <c r="DJ87" s="79">
        <v>2.1520000000000001</v>
      </c>
      <c r="DK87" s="79">
        <v>7.4560000000000004</v>
      </c>
      <c r="DL87" s="79">
        <v>1.2909999999999999</v>
      </c>
      <c r="DM87" s="79">
        <v>4.2009999999999996</v>
      </c>
      <c r="DN87" s="79">
        <v>5.3410000000000002</v>
      </c>
      <c r="DO87" s="79">
        <v>3.0230000000000001</v>
      </c>
      <c r="DP87" s="79">
        <v>0.29499999999999998</v>
      </c>
      <c r="DQ87" s="79">
        <v>2.4660000000000002</v>
      </c>
      <c r="DR87" s="79">
        <f t="shared" si="113"/>
        <v>22.907000000000004</v>
      </c>
      <c r="DS87" s="79">
        <f t="shared" si="114"/>
        <v>64.438999999999993</v>
      </c>
      <c r="DT87" s="79">
        <v>1.373</v>
      </c>
      <c r="DU87" s="23">
        <f t="shared" si="115"/>
        <v>2.1306972485606545E-2</v>
      </c>
      <c r="DV87" s="23">
        <f t="shared" si="116"/>
        <v>2.4637647974721223E-2</v>
      </c>
      <c r="DW87" s="23">
        <f t="shared" si="117"/>
        <v>8.5361665102008114E-2</v>
      </c>
      <c r="DX87" s="23">
        <f t="shared" si="118"/>
        <v>1.4780299040597163E-2</v>
      </c>
      <c r="DY87" s="23">
        <f t="shared" si="119"/>
        <v>4.8096077668124466E-2</v>
      </c>
      <c r="DZ87" s="23">
        <f t="shared" si="120"/>
        <v>6.1147619810867124E-2</v>
      </c>
      <c r="EA87" s="23">
        <f t="shared" si="121"/>
        <v>3.4609484120623729E-2</v>
      </c>
      <c r="EB87" s="23">
        <f t="shared" si="122"/>
        <v>3.377372747464108E-3</v>
      </c>
      <c r="EC87" s="23">
        <f t="shared" si="123"/>
        <v>2.8232546424564377E-2</v>
      </c>
      <c r="ED87" s="23">
        <f t="shared" si="124"/>
        <v>0.26225585602088247</v>
      </c>
      <c r="EE87" s="153">
        <v>30.733000000000001</v>
      </c>
      <c r="EF87" s="23">
        <f t="shared" si="300"/>
        <v>0.351853547958693</v>
      </c>
      <c r="EG87" s="182">
        <v>47.231999999999999</v>
      </c>
      <c r="EH87" s="79">
        <v>1.7330000000000001</v>
      </c>
      <c r="EI87" s="79">
        <v>5.2930000000000001</v>
      </c>
      <c r="EJ87" s="79">
        <v>0.66900000000000004</v>
      </c>
      <c r="EK87" s="79">
        <v>1.1990000000000001</v>
      </c>
      <c r="EL87" s="79">
        <v>3.012</v>
      </c>
      <c r="EM87" s="79">
        <v>1.7629999999999999</v>
      </c>
      <c r="EN87" s="28">
        <f t="shared" si="301"/>
        <v>13.669</v>
      </c>
      <c r="EO87" s="23">
        <f t="shared" si="302"/>
        <v>0.59580243128028654</v>
      </c>
      <c r="EP87" s="79">
        <f t="shared" si="303"/>
        <v>33.563000000000002</v>
      </c>
      <c r="EQ87" s="23">
        <f t="shared" si="304"/>
        <v>0.28940125338753386</v>
      </c>
      <c r="ER87" s="182">
        <f t="shared" si="268"/>
        <v>84.887</v>
      </c>
      <c r="ES87" s="185"/>
      <c r="ET87" s="136">
        <f>'Assets(MOFA)'!W40/1000</f>
        <v>114.88</v>
      </c>
      <c r="EU87" s="136">
        <f t="shared" si="339"/>
        <v>76.078999999999994</v>
      </c>
      <c r="EV87" s="589">
        <f t="shared" si="340"/>
        <v>0.89623852886778888</v>
      </c>
      <c r="EW87" s="153">
        <f t="shared" si="125"/>
        <v>2.2522696750608158</v>
      </c>
      <c r="EX87" s="153">
        <f t="shared" si="126"/>
        <v>7.4895609108082031</v>
      </c>
      <c r="EY87" s="153">
        <f t="shared" si="127"/>
        <v>1.313511626326733</v>
      </c>
      <c r="EZ87" s="153">
        <f t="shared" si="128"/>
        <v>4.155770218664637</v>
      </c>
      <c r="FA87" s="153">
        <f t="shared" si="129"/>
        <v>5.2491832488482393</v>
      </c>
      <c r="FB87" s="153">
        <f t="shared" si="130"/>
        <v>3.2664235557125969</v>
      </c>
      <c r="FC87" s="153">
        <f t="shared" si="131"/>
        <v>0.20615726186755082</v>
      </c>
      <c r="FD87" s="153">
        <f t="shared" si="132"/>
        <v>2.4818732044086271</v>
      </c>
      <c r="FE87" s="153">
        <f t="shared" si="133"/>
        <v>22.942168884117258</v>
      </c>
      <c r="FF87" s="153">
        <f t="shared" si="134"/>
        <v>62.6881973553674</v>
      </c>
      <c r="FG87" s="23">
        <f t="shared" si="135"/>
        <v>2.6532562996228113E-2</v>
      </c>
      <c r="FH87" s="23">
        <f t="shared" si="136"/>
        <v>8.8229775004514274E-2</v>
      </c>
      <c r="FI87" s="23">
        <f t="shared" si="137"/>
        <v>1.5473648807552783E-2</v>
      </c>
      <c r="FJ87" s="23">
        <f t="shared" si="138"/>
        <v>4.8956497681207217E-2</v>
      </c>
      <c r="FK87" s="23">
        <f t="shared" si="139"/>
        <v>6.1837304285087699E-2</v>
      </c>
      <c r="FL87" s="23">
        <f t="shared" si="140"/>
        <v>3.8479667743147913E-2</v>
      </c>
      <c r="FM87" s="23">
        <f t="shared" si="141"/>
        <v>2.4286081716582142E-3</v>
      </c>
      <c r="FN87" s="23">
        <f t="shared" si="142"/>
        <v>2.9237376799847174E-2</v>
      </c>
      <c r="FO87" s="23">
        <f t="shared" si="421"/>
        <v>0.27026716557443725</v>
      </c>
      <c r="FP87" s="23">
        <f t="shared" si="422"/>
        <v>0.72973283442556269</v>
      </c>
      <c r="FQ87" s="23">
        <f t="shared" si="423"/>
        <v>4.8978715354457053E-2</v>
      </c>
      <c r="FR87" s="23">
        <f t="shared" si="424"/>
        <v>0.13224461323729261</v>
      </c>
      <c r="FS87" s="23">
        <f t="shared" si="425"/>
        <v>5.3139959710137063E-3</v>
      </c>
      <c r="FT87" s="393">
        <f t="shared" si="426"/>
        <v>3.1660917193436131E-3</v>
      </c>
      <c r="FU87" s="393">
        <f t="shared" si="427"/>
        <v>2.1479042516700931E-3</v>
      </c>
      <c r="FV87" s="23">
        <f t="shared" si="428"/>
        <v>1.4348014986621917E-2</v>
      </c>
      <c r="FW87" s="326">
        <f t="shared" si="305"/>
        <v>2.4590000000000001</v>
      </c>
      <c r="FX87" s="384">
        <f t="shared" si="430"/>
        <v>-0.10026967506081567</v>
      </c>
      <c r="FY87" s="384">
        <f t="shared" si="431"/>
        <v>-3.3560910808202969E-2</v>
      </c>
      <c r="FZ87" s="384">
        <f t="shared" si="432"/>
        <v>-2.2511626326733071E-2</v>
      </c>
      <c r="GA87" s="384">
        <f t="shared" si="433"/>
        <v>4.5229781335362783E-2</v>
      </c>
      <c r="GB87" s="384">
        <f t="shared" si="434"/>
        <v>9.1816751151760523E-2</v>
      </c>
      <c r="GC87" s="384">
        <f t="shared" si="435"/>
        <v>-0.24342355571259666</v>
      </c>
      <c r="GD87" s="153">
        <f>$OI87*KO87</f>
        <v>8.8842738132449167E-2</v>
      </c>
      <c r="GE87" s="153">
        <f>$OI87*KP87</f>
        <v>-1.5873204408626992E-2</v>
      </c>
      <c r="GF87" s="153">
        <f t="shared" si="151"/>
        <v>-3.5168884117255383E-2</v>
      </c>
      <c r="GG87" s="153">
        <f t="shared" si="277"/>
        <v>1.7508026446325917</v>
      </c>
      <c r="GH87" s="182">
        <v>92.073999999999998</v>
      </c>
      <c r="GI87" s="79">
        <v>0.69499999999999995</v>
      </c>
      <c r="GJ87" s="79">
        <v>9.3859999999999992</v>
      </c>
      <c r="GK87" s="79">
        <v>-0.47699999999999998</v>
      </c>
      <c r="GL87" s="79">
        <v>1.85</v>
      </c>
      <c r="GM87" s="79">
        <f t="shared" si="342"/>
        <v>0.24500000000000002</v>
      </c>
      <c r="GN87" s="79">
        <v>0.27500000000000002</v>
      </c>
      <c r="GO87" s="79">
        <v>-0.03</v>
      </c>
      <c r="GP87" s="79">
        <v>4.2999999999999997E-2</v>
      </c>
      <c r="GQ87" s="79">
        <v>0.94699999999999995</v>
      </c>
      <c r="GR87" s="79">
        <f t="shared" si="306"/>
        <v>12.645999999999999</v>
      </c>
      <c r="GS87" s="79">
        <f t="shared" si="343"/>
        <v>79.427999999999997</v>
      </c>
      <c r="GT87" s="23">
        <f t="shared" si="307"/>
        <v>0.13734604774420575</v>
      </c>
      <c r="GU87" s="362">
        <f t="shared" si="259"/>
        <v>87.716999999999999</v>
      </c>
      <c r="GV87" s="153">
        <f t="shared" si="344"/>
        <v>40.484999999999999</v>
      </c>
      <c r="GW87" s="153">
        <f t="shared" si="308"/>
        <v>47.231999999999999</v>
      </c>
      <c r="GX87" s="153">
        <f t="shared" si="309"/>
        <v>1.9830000000000001</v>
      </c>
      <c r="GY87" s="153">
        <f t="shared" si="310"/>
        <v>6.5309999999999988</v>
      </c>
      <c r="GZ87" s="153">
        <f t="shared" si="226"/>
        <v>0.51800000000000002</v>
      </c>
      <c r="HA87" s="153">
        <f t="shared" si="227"/>
        <v>1.855</v>
      </c>
      <c r="HB87" s="153">
        <f t="shared" si="228"/>
        <v>4.1989999999999998</v>
      </c>
      <c r="HC87" s="153">
        <f t="shared" si="229"/>
        <v>3.4790000000000001</v>
      </c>
      <c r="HD87" s="352">
        <f t="shared" si="230"/>
        <v>0.19900000000000001</v>
      </c>
      <c r="HE87" s="153">
        <f t="shared" si="231"/>
        <v>1.6379999999999999</v>
      </c>
      <c r="HF87" s="153">
        <f t="shared" si="311"/>
        <v>16.724</v>
      </c>
      <c r="HG87" s="23">
        <f t="shared" si="345"/>
        <v>0.19065859525519568</v>
      </c>
      <c r="HH87" s="156">
        <f t="shared" si="346"/>
        <v>88.506999999999948</v>
      </c>
      <c r="HI87" s="182">
        <f t="shared" si="312"/>
        <v>44.841999999999999</v>
      </c>
      <c r="HJ87" s="79">
        <v>0</v>
      </c>
      <c r="HK87" s="79">
        <f t="shared" si="313"/>
        <v>-1.0380000000000003</v>
      </c>
      <c r="HL87" s="79">
        <f t="shared" si="314"/>
        <v>4.0929999999999991</v>
      </c>
      <c r="HM87" s="79">
        <f t="shared" si="315"/>
        <v>-1.1459999999999999</v>
      </c>
      <c r="HN87" s="79">
        <f t="shared" si="316"/>
        <v>0.65100000000000002</v>
      </c>
      <c r="HO87" s="79">
        <f t="shared" si="317"/>
        <v>-2.7669999999999999</v>
      </c>
      <c r="HP87" s="79">
        <f t="shared" si="318"/>
        <v>-0.81599999999999995</v>
      </c>
      <c r="HQ87" s="79">
        <f t="shared" si="319"/>
        <v>-1.0230000000000006</v>
      </c>
      <c r="HR87" s="79">
        <f t="shared" si="383"/>
        <v>45.865000000000002</v>
      </c>
      <c r="HS87" s="23">
        <f t="shared" si="321"/>
        <v>-2.2813433834351738E-2</v>
      </c>
      <c r="HT87" s="28">
        <v>40.484999999999999</v>
      </c>
      <c r="HU87" s="79">
        <v>0.249</v>
      </c>
      <c r="HV87" s="79">
        <v>1.238</v>
      </c>
      <c r="HW87" s="79">
        <v>-0.15</v>
      </c>
      <c r="HX87" s="79">
        <v>0.65700000000000003</v>
      </c>
      <c r="HY87" s="79">
        <v>1.1870000000000001</v>
      </c>
      <c r="HZ87" s="79">
        <v>1.1359999999999999</v>
      </c>
      <c r="IA87" s="79">
        <v>-9.8000000000000004E-2</v>
      </c>
      <c r="IB87" s="79">
        <v>-0.125</v>
      </c>
      <c r="IC87" s="79">
        <f t="shared" si="322"/>
        <v>3.0560000000000005</v>
      </c>
      <c r="ID87" s="79">
        <f t="shared" si="347"/>
        <v>37.429000000000002</v>
      </c>
      <c r="IE87" s="23">
        <f t="shared" si="348"/>
        <v>7.5484747437322475E-2</v>
      </c>
      <c r="IF87" s="316">
        <v>4.3570000000000002</v>
      </c>
      <c r="IG87" s="153">
        <v>-1.288</v>
      </c>
      <c r="IH87" s="153">
        <v>2.855</v>
      </c>
      <c r="II87" s="153">
        <v>-0.995</v>
      </c>
      <c r="IJ87" s="153">
        <v>-5.0000000000000001E-3</v>
      </c>
      <c r="IK87" s="153">
        <v>-3.9540000000000002</v>
      </c>
      <c r="IL87" s="153">
        <v>-3.2040000000000002</v>
      </c>
      <c r="IM87" s="153">
        <v>-0.156</v>
      </c>
      <c r="IN87" s="153">
        <v>-0.69099999999999995</v>
      </c>
      <c r="IO87" s="153">
        <f t="shared" si="349"/>
        <v>-4.0780000000000003</v>
      </c>
      <c r="IP87" s="153">
        <f t="shared" si="235"/>
        <v>8.4350000000000005</v>
      </c>
      <c r="IQ87" s="258">
        <f t="shared" si="350"/>
        <v>-2.384999999999998</v>
      </c>
      <c r="IR87" s="5">
        <f t="shared" si="323"/>
        <v>699.01499999999999</v>
      </c>
      <c r="IS87" s="79">
        <f t="shared" si="351"/>
        <v>86.121999999999957</v>
      </c>
      <c r="IT87" s="79">
        <f t="shared" si="288"/>
        <v>0</v>
      </c>
      <c r="IU87" s="79">
        <f t="shared" si="352"/>
        <v>47.231999999999999</v>
      </c>
      <c r="IV87" s="79">
        <f t="shared" si="324"/>
        <v>40.484999999999999</v>
      </c>
      <c r="IW87" s="79">
        <v>4.3570000000000002</v>
      </c>
      <c r="IX87" s="79">
        <f t="shared" si="353"/>
        <v>-5.9520000000000417</v>
      </c>
      <c r="IY87" s="79"/>
      <c r="IZ87" s="79"/>
      <c r="JA87" s="79"/>
      <c r="JB87" s="23">
        <f t="shared" si="162"/>
        <v>0.1078810093371402</v>
      </c>
      <c r="JC87" s="23">
        <f t="shared" si="163"/>
        <v>2.2843892275638555E-2</v>
      </c>
      <c r="JD87" s="23">
        <f t="shared" si="164"/>
        <v>8.5037117061501646E-2</v>
      </c>
      <c r="JE87" s="22">
        <f t="shared" si="325"/>
        <v>7.2894513465545183E-3</v>
      </c>
      <c r="JF87" s="22">
        <f t="shared" si="326"/>
        <v>6.2481672968593251E-3</v>
      </c>
      <c r="JG87" s="22">
        <f t="shared" si="327"/>
        <v>6.7242842811945371E-4</v>
      </c>
      <c r="JH87" s="5">
        <v>699.01499999999999</v>
      </c>
      <c r="JI87" s="725">
        <f t="shared" si="391"/>
        <v>63.519400000000019</v>
      </c>
      <c r="JJ87" s="76">
        <v>7.9960000000000004</v>
      </c>
      <c r="JK87" s="76">
        <v>42.113</v>
      </c>
      <c r="JL87" s="76">
        <v>5.9290000000000003</v>
      </c>
      <c r="JM87" s="76">
        <v>31.125</v>
      </c>
      <c r="JN87" s="76">
        <f t="shared" si="354"/>
        <v>48.713999999999999</v>
      </c>
      <c r="JO87" s="76">
        <v>28.373999999999999</v>
      </c>
      <c r="JP87" s="76">
        <v>20.34</v>
      </c>
      <c r="JQ87" s="76">
        <v>6.835</v>
      </c>
      <c r="JR87" s="76">
        <v>12.14</v>
      </c>
      <c r="JS87" s="76">
        <f t="shared" si="287"/>
        <v>148.01700000000002</v>
      </c>
      <c r="JT87" s="76">
        <f t="shared" si="355"/>
        <v>550.99799999999993</v>
      </c>
      <c r="JU87" s="23">
        <f t="shared" si="356"/>
        <v>0.211750820797837</v>
      </c>
      <c r="JV87" s="23">
        <f t="shared" si="357"/>
        <v>1.14389533844052E-2</v>
      </c>
      <c r="JW87" s="23">
        <f t="shared" si="358"/>
        <v>6.0246203586475255E-2</v>
      </c>
      <c r="JX87" s="23">
        <f t="shared" si="359"/>
        <v>8.4819352946646359E-3</v>
      </c>
      <c r="JY87" s="23">
        <f t="shared" si="360"/>
        <v>4.4526941481942452E-2</v>
      </c>
      <c r="JZ87" s="23">
        <f t="shared" si="361"/>
        <v>6.9689491641810264E-2</v>
      </c>
      <c r="KA87" s="23">
        <f t="shared" si="362"/>
        <v>1.7367295408539159E-2</v>
      </c>
      <c r="KB87" s="149">
        <v>58.149000000000001</v>
      </c>
      <c r="KC87" s="316">
        <v>147.166</v>
      </c>
      <c r="KD87" s="316">
        <v>89.016000000000005</v>
      </c>
      <c r="KE87" s="589">
        <f t="shared" si="242"/>
        <v>0.60486797222184474</v>
      </c>
      <c r="KF87" s="1071">
        <v>0</v>
      </c>
      <c r="KG87" s="319">
        <f t="shared" si="243"/>
        <v>-3.3985000000000003</v>
      </c>
      <c r="KH87" s="319">
        <f t="shared" si="244"/>
        <v>-1.1374999999999997</v>
      </c>
      <c r="KI87" s="321">
        <f t="shared" si="245"/>
        <v>-0.7629999999999999</v>
      </c>
      <c r="KJ87" s="319">
        <f t="shared" si="246"/>
        <v>1.5329999999999999</v>
      </c>
      <c r="KK87" s="319">
        <f t="shared" si="285"/>
        <v>3.1119999999999979</v>
      </c>
      <c r="KL87" s="319">
        <f t="shared" si="248"/>
        <v>-8.2505000000000006</v>
      </c>
      <c r="KM87" s="319"/>
      <c r="KN87" s="319"/>
      <c r="KO87" s="319">
        <f t="shared" si="249"/>
        <v>3.0112000000000037</v>
      </c>
      <c r="KP87" s="319">
        <f t="shared" si="250"/>
        <v>-0.53800000000000003</v>
      </c>
      <c r="KQ87" s="153">
        <f t="shared" si="328"/>
        <v>-1.1920000000000017</v>
      </c>
      <c r="KR87" s="153">
        <f t="shared" si="329"/>
        <v>59.341000000000001</v>
      </c>
      <c r="KS87" s="23">
        <f t="shared" si="178"/>
        <v>9.158268384906243E-3</v>
      </c>
      <c r="KT87" s="23"/>
      <c r="KU87" s="326">
        <v>640.86599999999999</v>
      </c>
      <c r="KV87" s="430">
        <f t="shared" si="252"/>
        <v>63.519400000000019</v>
      </c>
      <c r="KW87" s="322">
        <f t="shared" si="181"/>
        <v>11.394500000000001</v>
      </c>
      <c r="KX87" s="322">
        <f t="shared" si="182"/>
        <v>43.250500000000002</v>
      </c>
      <c r="KY87" s="322">
        <f t="shared" si="183"/>
        <v>6.6920000000000002</v>
      </c>
      <c r="KZ87" s="322">
        <f t="shared" si="184"/>
        <v>29.591999999999999</v>
      </c>
      <c r="LA87" s="322">
        <f t="shared" si="185"/>
        <v>45.602000000000004</v>
      </c>
      <c r="LB87" s="322">
        <f t="shared" si="186"/>
        <v>36.624499999999998</v>
      </c>
      <c r="LC87" s="322">
        <f t="shared" si="187"/>
        <v>3.8237999999999963</v>
      </c>
      <c r="LD87" s="322">
        <f t="shared" si="188"/>
        <v>12.678000000000001</v>
      </c>
      <c r="LE87" s="322">
        <f t="shared" si="189"/>
        <v>149.20900000000003</v>
      </c>
      <c r="LF87" s="322">
        <f t="shared" si="190"/>
        <v>0</v>
      </c>
      <c r="LG87" s="322">
        <f t="shared" si="191"/>
        <v>491.65699999999993</v>
      </c>
      <c r="LH87" s="367">
        <f t="shared" si="192"/>
        <v>0.23282402249456211</v>
      </c>
      <c r="LI87" s="248">
        <f t="shared" si="193"/>
        <v>1.7779847893319354E-2</v>
      </c>
      <c r="LJ87" s="248">
        <f t="shared" si="194"/>
        <v>6.7487587108693556E-2</v>
      </c>
      <c r="LK87" s="248">
        <f t="shared" si="195"/>
        <v>1.0442120505690738E-2</v>
      </c>
      <c r="LL87" s="248">
        <f t="shared" si="196"/>
        <v>4.6175019426838056E-2</v>
      </c>
      <c r="LM87" s="248">
        <f t="shared" si="197"/>
        <v>7.1156840899657653E-2</v>
      </c>
      <c r="LN87" s="248">
        <f t="shared" si="198"/>
        <v>5.7148452250548473E-2</v>
      </c>
      <c r="LO87" s="248">
        <f t="shared" si="199"/>
        <v>5.9666139255320086E-3</v>
      </c>
      <c r="LP87" s="248">
        <f t="shared" si="200"/>
        <v>1.97826066603627E-2</v>
      </c>
      <c r="LQ87" s="248">
        <f t="shared" si="201"/>
        <v>9.8906705764333663E-2</v>
      </c>
      <c r="LR87" s="23">
        <f t="shared" si="202"/>
        <v>7.5878848676595403E-2</v>
      </c>
      <c r="LS87" s="23">
        <f t="shared" si="203"/>
        <v>2.3027857087738256E-2</v>
      </c>
      <c r="LT87" s="326">
        <v>187.96600000000001</v>
      </c>
      <c r="LU87" s="153">
        <f t="shared" si="363"/>
        <v>1.0000000000047748E-3</v>
      </c>
      <c r="LV87" s="153">
        <f t="shared" si="204"/>
        <v>58.149000000000001</v>
      </c>
      <c r="LW87" s="153">
        <f t="shared" si="283"/>
        <v>89.016000000000005</v>
      </c>
      <c r="LX87" s="153">
        <v>40.799999999999997</v>
      </c>
      <c r="LY87" s="23">
        <f>LX87/Liabilities!GT87</f>
        <v>7.4914619367632468E-2</v>
      </c>
      <c r="LZ87" s="23">
        <f t="shared" si="253"/>
        <v>0.23149461548063499</v>
      </c>
      <c r="MA87" s="425">
        <v>265.262</v>
      </c>
      <c r="MB87" s="153">
        <f t="shared" si="364"/>
        <v>0</v>
      </c>
      <c r="MC87" s="153">
        <v>135.446</v>
      </c>
      <c r="MD87" s="153">
        <f t="shared" si="365"/>
        <v>40.799999999999997</v>
      </c>
      <c r="ME87" s="153">
        <f t="shared" si="366"/>
        <v>89.016000000000005</v>
      </c>
      <c r="MF87" s="153">
        <v>176.24600000000001</v>
      </c>
      <c r="MG87" s="153">
        <f t="shared" si="208"/>
        <v>147.166</v>
      </c>
      <c r="MH87" s="326">
        <f t="shared" si="209"/>
        <v>640.86599999999999</v>
      </c>
      <c r="MI87" s="1008">
        <f>FoF_RoW!$BH57/1000</f>
        <v>885.50599999999997</v>
      </c>
      <c r="MJ87" s="1008">
        <v>1015.323</v>
      </c>
      <c r="MK87" s="1008">
        <f>FoF_RoW!$AU57/1000</f>
        <v>98.75</v>
      </c>
      <c r="ML87" s="1008">
        <f t="shared" si="254"/>
        <v>98.940999999999917</v>
      </c>
      <c r="MM87" s="425">
        <f t="shared" si="210"/>
        <v>827.35699999999997</v>
      </c>
      <c r="MN87" s="23">
        <f t="shared" si="211"/>
        <v>1.2909984302490691</v>
      </c>
      <c r="MO87" s="153">
        <v>1493.6089999999999</v>
      </c>
      <c r="MP87" s="425">
        <v>1305.643</v>
      </c>
      <c r="MQ87" s="23">
        <f t="shared" si="367"/>
        <v>2.037310451794915</v>
      </c>
      <c r="MR87" s="23">
        <f t="shared" si="368"/>
        <v>1.5780890232390614</v>
      </c>
      <c r="MS87" s="153">
        <f t="shared" si="212"/>
        <v>58.149000000000001</v>
      </c>
      <c r="MT87" s="153">
        <v>187.96600000000001</v>
      </c>
      <c r="MU87" s="153">
        <v>265.262</v>
      </c>
      <c r="MV87" s="153">
        <v>870.28</v>
      </c>
      <c r="MW87" s="153">
        <v>544.62</v>
      </c>
      <c r="MX87" s="23">
        <f t="shared" si="369"/>
        <v>1.5979582093937057</v>
      </c>
      <c r="MY87" s="425">
        <f t="shared" si="255"/>
        <v>-378.846</v>
      </c>
      <c r="MZ87" s="23">
        <f t="shared" si="213"/>
        <v>-5.8468400339532371E-2</v>
      </c>
      <c r="NA87" s="153">
        <v>4094.375</v>
      </c>
      <c r="NB87" s="153">
        <v>4371.942</v>
      </c>
      <c r="NC87" s="425">
        <f t="shared" si="330"/>
        <v>-531.47200000000009</v>
      </c>
      <c r="ND87" s="23">
        <f t="shared" si="331"/>
        <v>-8.2023612933096707E-2</v>
      </c>
      <c r="NE87" s="330">
        <f t="shared" si="332"/>
        <v>205.44099999999997</v>
      </c>
      <c r="NF87" s="23">
        <f t="shared" si="333"/>
        <v>3.1706304498803919E-2</v>
      </c>
      <c r="NG87" s="330">
        <f t="shared" si="334"/>
        <v>358.06699999999995</v>
      </c>
      <c r="NH87" s="23">
        <f t="shared" si="335"/>
        <v>5.5261517092368227E-2</v>
      </c>
      <c r="NI87" s="330">
        <v>101.279</v>
      </c>
      <c r="NJ87" s="425">
        <f t="shared" si="63"/>
        <v>64.941999999999993</v>
      </c>
      <c r="NK87" s="403">
        <f t="shared" si="393"/>
        <v>1.0022686935720348E-2</v>
      </c>
      <c r="NL87" s="153">
        <v>64.941999999999993</v>
      </c>
      <c r="NM87" s="153">
        <v>95.26</v>
      </c>
      <c r="NN87" s="153">
        <v>30.318000000000001</v>
      </c>
      <c r="NO87" s="425">
        <f t="shared" si="100"/>
        <v>24.97399999999999</v>
      </c>
      <c r="NP87" s="153">
        <v>211.482</v>
      </c>
      <c r="NQ87" s="153">
        <v>186.50800000000001</v>
      </c>
      <c r="NR87" s="403">
        <f t="shared" si="394"/>
        <v>3.8543097461223846E-3</v>
      </c>
      <c r="NS87" s="403">
        <f t="shared" si="395"/>
        <v>1.0022686935720348E-2</v>
      </c>
      <c r="NT87" s="403">
        <f t="shared" si="396"/>
        <v>-6.1683771895979633E-3</v>
      </c>
      <c r="NU87" s="727">
        <f t="shared" si="215"/>
        <v>6.5015475133708062E-2</v>
      </c>
      <c r="NV87" s="688">
        <f t="shared" si="216"/>
        <v>0.10260020764917684</v>
      </c>
      <c r="NW87" s="688">
        <f t="shared" si="217"/>
        <v>0.13245670701831586</v>
      </c>
      <c r="NX87" s="793">
        <f>(ER87-T.A2!B39*T.A1!M39)/MP87</f>
        <v>5.744134618734896E-2</v>
      </c>
      <c r="NY87" s="688">
        <f>Liabilities!BU87/Liabilities!GY87</f>
        <v>2.6192719584501544E-2</v>
      </c>
      <c r="NZ87" s="688">
        <f>Liabilities!BU87/Liabilities!GT87</f>
        <v>4.1854871286401529E-2</v>
      </c>
      <c r="OA87" s="688">
        <f>Liabilities!BU87/Liabilities!GR87</f>
        <v>5.6972259920471273E-2</v>
      </c>
      <c r="OB87" s="688">
        <f t="shared" si="256"/>
        <v>3.8822755549206514E-2</v>
      </c>
      <c r="OC87" s="688">
        <f t="shared" si="257"/>
        <v>6.0745336362775307E-2</v>
      </c>
      <c r="OD87" s="688"/>
      <c r="OE87" s="793">
        <f t="shared" si="218"/>
        <v>0.11216560686620165</v>
      </c>
      <c r="OF87" s="793">
        <f>OE87/(1-'Assets(MOFA)'!GU40)</f>
        <v>0.16937111314277589</v>
      </c>
      <c r="OG87" s="793">
        <f>Liabilities!HV87</f>
        <v>3.9942515132391901E-2</v>
      </c>
      <c r="OH87" s="793">
        <f t="shared" ref="OH87:OH108" si="438">OE87-OG87</f>
        <v>7.2223091733809752E-2</v>
      </c>
      <c r="OI87" s="22">
        <f t="shared" si="336"/>
        <v>2.9504097413804817E-2</v>
      </c>
      <c r="OJ87" s="22">
        <f t="shared" si="337"/>
        <v>2.1153500494293161E-2</v>
      </c>
      <c r="OK87" s="403">
        <f>Liabilities!CT87/LX87</f>
        <v>3.7622549019607841E-2</v>
      </c>
      <c r="OL87" s="403">
        <f>Liabilities!CU87/MF87</f>
        <v>5.4872167311598552E-2</v>
      </c>
      <c r="OM87" s="153"/>
      <c r="OO87" s="186">
        <f t="shared" si="221"/>
        <v>0.11008094753609518</v>
      </c>
      <c r="OP87" s="308">
        <f t="shared" si="370"/>
        <v>0.12768840188286132</v>
      </c>
      <c r="OQ87" s="308">
        <f t="shared" si="371"/>
        <v>1.4056060268635096E-2</v>
      </c>
      <c r="OR87" s="313">
        <f t="shared" si="372"/>
        <v>0</v>
      </c>
      <c r="OS87" s="23">
        <f t="shared" si="373"/>
        <v>0.16427191575037997</v>
      </c>
      <c r="OT87" s="23">
        <f t="shared" si="374"/>
        <v>0.14391412776027804</v>
      </c>
      <c r="OU87" s="23">
        <f t="shared" si="375"/>
        <v>0.16312337342284908</v>
      </c>
      <c r="OV87" s="23">
        <f t="shared" si="376"/>
        <v>0.11671197369683432</v>
      </c>
      <c r="OW87" s="23">
        <f t="shared" si="377"/>
        <v>9.5663452209456393E-2</v>
      </c>
      <c r="OX87" s="23">
        <f t="shared" si="378"/>
        <v>7.4120612531535124E-2</v>
      </c>
      <c r="OY87" s="23">
        <f t="shared" si="379"/>
        <v>0.16269231840138174</v>
      </c>
      <c r="OZ87" s="23">
        <f t="shared" si="380"/>
        <v>0.12778434697400551</v>
      </c>
      <c r="PA87" s="23">
        <f t="shared" si="381"/>
        <v>0.10596483347111973</v>
      </c>
      <c r="PB87" s="23">
        <f t="shared" si="382"/>
        <v>2.1819513502885773E-2</v>
      </c>
      <c r="PC87" s="23"/>
      <c r="PD87" s="23"/>
      <c r="PE87" s="23"/>
      <c r="PF87" s="23"/>
      <c r="PG87" s="69"/>
      <c r="PH87" s="23">
        <f>'Assets(MOFA)'!GU40</f>
        <v>0.33775243732590532</v>
      </c>
      <c r="PI87" s="23">
        <f>'Assets(MOFA)'!HM40</f>
        <v>0.31223460314536838</v>
      </c>
      <c r="PJ87" s="11">
        <f t="shared" si="222"/>
        <v>4.6578870156132934E-2</v>
      </c>
      <c r="PK87" s="11">
        <f>Liabilities!JA87/MW87/1000</f>
        <v>3.3146046784914257E-2</v>
      </c>
      <c r="PL87" s="11">
        <f>'Assets(MOFA)'!GO40/MM87/1000</f>
        <v>3.6882506584219391E-2</v>
      </c>
      <c r="PM87" s="11">
        <f t="shared" si="429"/>
        <v>-3.7364597993051335E-3</v>
      </c>
    </row>
    <row r="88" spans="2:429">
      <c r="B88" s="71">
        <v>1996</v>
      </c>
      <c r="C88" s="43">
        <v>6899.4</v>
      </c>
      <c r="D88" s="5">
        <v>786.1</v>
      </c>
      <c r="E88" s="6">
        <f t="shared" si="397"/>
        <v>0.11393744383569587</v>
      </c>
      <c r="F88" s="72">
        <f t="shared" si="398"/>
        <v>0</v>
      </c>
      <c r="G88" s="76">
        <f t="shared" si="399"/>
        <v>684.1</v>
      </c>
      <c r="H88" s="23">
        <f t="shared" si="400"/>
        <v>9.9153549584021811E-2</v>
      </c>
      <c r="I88" s="74">
        <v>102</v>
      </c>
      <c r="J88" s="19">
        <f t="shared" si="401"/>
        <v>1.4783894251674059E-2</v>
      </c>
      <c r="K88" s="6">
        <f t="shared" si="402"/>
        <v>0.1297544841623203</v>
      </c>
      <c r="L88" s="136">
        <v>139.39999999999998</v>
      </c>
      <c r="M88" s="19">
        <f t="shared" si="403"/>
        <v>2.0204655477287878E-2</v>
      </c>
      <c r="N88" s="63">
        <f t="shared" si="404"/>
        <v>0.17733112835517106</v>
      </c>
      <c r="O88" s="5">
        <f t="shared" si="405"/>
        <v>786.1</v>
      </c>
      <c r="P88" s="75">
        <f t="shared" si="406"/>
        <v>0</v>
      </c>
      <c r="Q88" s="271">
        <v>797.6</v>
      </c>
      <c r="R88" s="202">
        <v>94.1</v>
      </c>
      <c r="S88" s="53">
        <f t="shared" si="407"/>
        <v>0.11970487215367001</v>
      </c>
      <c r="T88" s="74">
        <v>22.7</v>
      </c>
      <c r="U88" s="74">
        <v>47.300000000000004</v>
      </c>
      <c r="V88" s="207">
        <v>132.80000000000001</v>
      </c>
      <c r="W88" s="53">
        <f t="shared" si="408"/>
        <v>0.16893524996819745</v>
      </c>
      <c r="X88" s="75">
        <f t="shared" si="409"/>
        <v>-42.800000000000068</v>
      </c>
      <c r="Y88" s="187">
        <v>93.858492999999996</v>
      </c>
      <c r="Z88" s="75">
        <f t="shared" si="436"/>
        <v>-7.1673534143935651</v>
      </c>
      <c r="AA88" s="75"/>
      <c r="AB88" s="75"/>
      <c r="AC88" s="75">
        <f t="shared" si="437"/>
        <v>86.691139585606436</v>
      </c>
      <c r="AD88" s="23">
        <f t="shared" si="410"/>
        <v>0.11028004018013794</v>
      </c>
      <c r="AE88" s="76">
        <f>NIPA_Scorp!C9/1000</f>
        <v>102.563</v>
      </c>
      <c r="AF88" s="76">
        <v>88.092103986650486</v>
      </c>
      <c r="AG88" s="23">
        <f t="shared" si="385"/>
        <v>0.13047067803078488</v>
      </c>
      <c r="AH88" s="97">
        <v>231.5</v>
      </c>
      <c r="AI88" s="22">
        <f t="shared" si="411"/>
        <v>3.3553642345711225E-2</v>
      </c>
      <c r="AJ88" s="22">
        <f t="shared" si="412"/>
        <v>3.0640345537293102E-2</v>
      </c>
      <c r="AK88" s="99">
        <f t="shared" si="413"/>
        <v>9.9999999999994316E-2</v>
      </c>
      <c r="AL88" s="71">
        <v>170.5</v>
      </c>
      <c r="AM88" s="72">
        <f>(0.25*Fedtax!C69+0.75*Fedtax!C68)/1000</f>
        <v>174.44125</v>
      </c>
      <c r="AN88" s="71">
        <v>33</v>
      </c>
      <c r="AO88" s="255">
        <v>7.8</v>
      </c>
      <c r="AP88" s="71">
        <v>20.100000000000001</v>
      </c>
      <c r="AQ88" s="6">
        <f t="shared" si="414"/>
        <v>8.0383801489984641E-2</v>
      </c>
      <c r="AR88" s="207">
        <v>43.3</v>
      </c>
      <c r="AS88" s="714">
        <v>40.254936999999998</v>
      </c>
      <c r="AT88" s="210">
        <v>8.3496930000000003</v>
      </c>
      <c r="AU88" s="205">
        <f t="shared" si="386"/>
        <v>0.20742034697508036</v>
      </c>
      <c r="AV88" s="707">
        <v>41.177402999999998</v>
      </c>
      <c r="AW88" s="210">
        <v>9.4144830000000006</v>
      </c>
      <c r="AX88" s="210">
        <f t="shared" si="387"/>
        <v>31.762919999999998</v>
      </c>
      <c r="AY88" s="205">
        <f t="shared" si="388"/>
        <v>0.22863226707133524</v>
      </c>
      <c r="AZ88" s="777">
        <v>39.405367999999996</v>
      </c>
      <c r="BA88" s="772">
        <f t="shared" si="389"/>
        <v>7.6424480000000017</v>
      </c>
      <c r="BB88" s="205">
        <f t="shared" si="390"/>
        <v>0.19394433773591463</v>
      </c>
      <c r="BC88" s="210">
        <v>8.6800789999999992</v>
      </c>
      <c r="BD88" s="722">
        <f>'Assets(MOFA)'!FJ41/1000</f>
        <v>45.192</v>
      </c>
      <c r="BE88" s="753">
        <f t="shared" si="105"/>
        <v>0.91116575942644706</v>
      </c>
      <c r="BF88" s="234">
        <v>0.35</v>
      </c>
      <c r="BG88" s="437"/>
      <c r="BH88" s="140">
        <f t="shared" si="106"/>
        <v>0.25412087912087916</v>
      </c>
      <c r="BI88" s="248">
        <f t="shared" si="384"/>
        <v>0.29144831912373592</v>
      </c>
      <c r="BJ88" s="23">
        <f t="shared" si="107"/>
        <v>0.21808054841473867</v>
      </c>
      <c r="BK88" s="140">
        <f t="shared" si="108"/>
        <v>0.29250088852031753</v>
      </c>
      <c r="BL88" s="140">
        <f t="shared" si="109"/>
        <v>0.30406997420172799</v>
      </c>
      <c r="BM88" s="248">
        <f t="shared" si="110"/>
        <v>0.32597981473957943</v>
      </c>
      <c r="BN88" s="23">
        <f t="shared" si="111"/>
        <v>0.26504513540621866</v>
      </c>
      <c r="BO88" s="23">
        <f t="shared" si="112"/>
        <v>0.2370752495233823</v>
      </c>
      <c r="BP88" s="149">
        <f t="shared" si="415"/>
        <v>786.1</v>
      </c>
      <c r="BQ88" s="99">
        <f t="shared" si="416"/>
        <v>0</v>
      </c>
      <c r="BR88" s="153">
        <f t="shared" si="417"/>
        <v>231.5</v>
      </c>
      <c r="BS88" s="79">
        <v>303.5</v>
      </c>
      <c r="BT88" s="79">
        <v>251.1</v>
      </c>
      <c r="BU88" s="23">
        <f t="shared" si="223"/>
        <v>0.31942500954077085</v>
      </c>
      <c r="BV88" s="71">
        <v>189.5</v>
      </c>
      <c r="BW88" s="71">
        <f t="shared" si="418"/>
        <v>61.599999999999994</v>
      </c>
      <c r="BX88" s="23">
        <f t="shared" si="419"/>
        <v>7.8361531611754215E-2</v>
      </c>
      <c r="BY88" s="23">
        <f t="shared" si="289"/>
        <v>2.005724462536573E-2</v>
      </c>
      <c r="BZ88" s="23">
        <f t="shared" si="290"/>
        <v>0.15717489906793602</v>
      </c>
      <c r="CA88" s="23">
        <f t="shared" si="291"/>
        <v>0.16831827893443638</v>
      </c>
      <c r="CB88" s="23">
        <f t="shared" si="262"/>
        <v>0.60392156862745094</v>
      </c>
      <c r="CC88" s="169">
        <f t="shared" si="420"/>
        <v>139.39999999999998</v>
      </c>
      <c r="CD88" s="174"/>
      <c r="CF88" s="76">
        <f t="shared" si="58"/>
        <v>100.315</v>
      </c>
      <c r="CH88" s="23">
        <f t="shared" si="392"/>
        <v>0.71961979913916796</v>
      </c>
      <c r="CI88" s="182">
        <v>102.505</v>
      </c>
      <c r="CJ88" s="79">
        <f t="shared" si="292"/>
        <v>0</v>
      </c>
      <c r="CK88" s="79">
        <f t="shared" si="60"/>
        <v>100.315</v>
      </c>
      <c r="CL88" s="159">
        <v>45.622999999999998</v>
      </c>
      <c r="CM88" s="159">
        <v>54.691000000000003</v>
      </c>
      <c r="CN88" s="159">
        <v>70.3</v>
      </c>
      <c r="CO88" s="159">
        <f t="shared" si="338"/>
        <v>15.608999999999995</v>
      </c>
      <c r="CP88" s="79">
        <v>2.19</v>
      </c>
      <c r="CQ88" s="79">
        <v>4.1440000000000001</v>
      </c>
      <c r="CR88" s="79">
        <v>1.954</v>
      </c>
      <c r="CS88" s="23">
        <f t="shared" si="293"/>
        <v>0.54519264317400196</v>
      </c>
      <c r="CT88" s="23">
        <f t="shared" si="294"/>
        <v>2.4856888436585673E-3</v>
      </c>
      <c r="CU88" s="73">
        <v>7.4580000000000002</v>
      </c>
      <c r="CV88" s="378">
        <f t="shared" si="295"/>
        <v>9.3788316073415944E-3</v>
      </c>
      <c r="CW88" s="378">
        <f t="shared" si="296"/>
        <v>7.2757426467001618E-2</v>
      </c>
      <c r="CX88" s="79">
        <f t="shared" si="297"/>
        <v>95.046999999999997</v>
      </c>
      <c r="CY88" s="79">
        <f t="shared" si="298"/>
        <v>1.453000000000003</v>
      </c>
      <c r="CZ88" s="293">
        <f t="shared" si="299"/>
        <v>102.505</v>
      </c>
      <c r="DA88" s="136"/>
      <c r="DB88" s="79"/>
      <c r="DC88" s="79"/>
      <c r="DD88" s="79"/>
      <c r="DE88" s="79"/>
      <c r="DF88" s="79"/>
      <c r="DG88" s="79"/>
      <c r="DH88" s="79"/>
      <c r="DI88" s="182">
        <v>93.593999999999994</v>
      </c>
      <c r="DJ88" s="79">
        <v>1.982</v>
      </c>
      <c r="DK88" s="79">
        <v>9.6319999999999997</v>
      </c>
      <c r="DL88" s="79">
        <v>1.504</v>
      </c>
      <c r="DM88" s="79">
        <v>4.42</v>
      </c>
      <c r="DN88" s="79">
        <v>5.4669999999999996</v>
      </c>
      <c r="DO88" s="79">
        <v>3.3620000000000001</v>
      </c>
      <c r="DP88" s="79">
        <v>0.28599999999999998</v>
      </c>
      <c r="DQ88" s="79">
        <v>2.7509999999999999</v>
      </c>
      <c r="DR88" s="79">
        <f t="shared" si="113"/>
        <v>25.755999999999997</v>
      </c>
      <c r="DS88" s="79">
        <f t="shared" si="114"/>
        <v>67.837999999999994</v>
      </c>
      <c r="DT88" s="79">
        <v>1.4119999999999999</v>
      </c>
      <c r="DU88" s="23">
        <f t="shared" si="115"/>
        <v>2.0814292874200301E-2</v>
      </c>
      <c r="DV88" s="23">
        <f t="shared" si="116"/>
        <v>2.1176571147723144E-2</v>
      </c>
      <c r="DW88" s="23">
        <f t="shared" si="117"/>
        <v>0.10291257986623074</v>
      </c>
      <c r="DX88" s="23">
        <f t="shared" si="118"/>
        <v>1.6069406158514436E-2</v>
      </c>
      <c r="DY88" s="23">
        <f t="shared" si="119"/>
        <v>4.7225249481804392E-2</v>
      </c>
      <c r="DZ88" s="23">
        <f t="shared" si="120"/>
        <v>5.8411864008376606E-2</v>
      </c>
      <c r="EA88" s="23">
        <f t="shared" si="121"/>
        <v>3.592110605380687E-2</v>
      </c>
      <c r="EB88" s="23">
        <f t="shared" si="122"/>
        <v>3.0557514370579309E-3</v>
      </c>
      <c r="EC88" s="23">
        <f t="shared" si="123"/>
        <v>2.939290980191038E-2</v>
      </c>
      <c r="ED88" s="23">
        <f t="shared" si="124"/>
        <v>0.27518858046455968</v>
      </c>
      <c r="EE88" s="153">
        <v>31.974</v>
      </c>
      <c r="EF88" s="23">
        <f t="shared" si="300"/>
        <v>0.34162446310660943</v>
      </c>
      <c r="EG88" s="182">
        <v>47.232999999999997</v>
      </c>
      <c r="EH88" s="79">
        <v>1.403</v>
      </c>
      <c r="EI88" s="79">
        <v>6.8120000000000003</v>
      </c>
      <c r="EJ88" s="79">
        <v>1.0189999999999999</v>
      </c>
      <c r="EK88" s="79">
        <v>1.7130000000000001</v>
      </c>
      <c r="EL88" s="79">
        <v>2.96</v>
      </c>
      <c r="EM88" s="79">
        <v>1.86</v>
      </c>
      <c r="EN88" s="28">
        <f t="shared" si="301"/>
        <v>15.767000000000001</v>
      </c>
      <c r="EO88" s="23">
        <f t="shared" si="302"/>
        <v>0.61164703364612671</v>
      </c>
      <c r="EP88" s="79">
        <f t="shared" si="303"/>
        <v>31.465999999999994</v>
      </c>
      <c r="EQ88" s="23">
        <f t="shared" si="304"/>
        <v>0.33381322380539036</v>
      </c>
      <c r="ER88" s="182">
        <f t="shared" si="268"/>
        <v>91.403999999999996</v>
      </c>
      <c r="ES88" s="185"/>
      <c r="ET88" s="136">
        <f>'Assets(MOFA)'!W41/1000</f>
        <v>130.28700000000001</v>
      </c>
      <c r="EU88" s="136">
        <f t="shared" si="339"/>
        <v>85.094999999999999</v>
      </c>
      <c r="EV88" s="589">
        <f t="shared" si="340"/>
        <v>0.93097676250492323</v>
      </c>
      <c r="EW88" s="153">
        <f t="shared" ref="EW88:EW108" si="439">DJ88-FX88</f>
        <v>2.0636737338629594</v>
      </c>
      <c r="EX88" s="153">
        <f t="shared" ref="EX88:EX108" si="440">DK88-FY88</f>
        <v>9.710947418073486</v>
      </c>
      <c r="EY88" s="153">
        <f t="shared" ref="EY88:EY108" si="441">DL88-FZ88</f>
        <v>1.5219782522343595</v>
      </c>
      <c r="EZ88" s="153">
        <f t="shared" ref="EZ88:EZ108" si="442">DM88-GA88</f>
        <v>4.402458987090367</v>
      </c>
      <c r="FA88" s="153">
        <f t="shared" ref="FA88:FA108" si="443">DN88-GB88</f>
        <v>5.3313272095332671</v>
      </c>
      <c r="FB88" s="153">
        <f t="shared" ref="FB88:FB108" si="444">DO88-GC88</f>
        <v>3.5823557596822244</v>
      </c>
      <c r="FC88" s="153"/>
      <c r="FD88" s="153">
        <f t="shared" ref="FD88:FD108" si="445">DQ88-GE88</f>
        <v>2.7475535253227408</v>
      </c>
      <c r="FE88" s="153">
        <f t="shared" si="133"/>
        <v>25.777939126117179</v>
      </c>
      <c r="FF88" s="153">
        <f t="shared" si="134"/>
        <v>66.071990367428</v>
      </c>
      <c r="FG88" s="23">
        <f t="shared" ref="FG88:FG108" si="446">EW88/$ER88</f>
        <v>2.2577499167027257E-2</v>
      </c>
      <c r="FH88" s="23">
        <f t="shared" ref="FH88:FH108" si="447">EX88/$ER88</f>
        <v>0.10624203993341086</v>
      </c>
      <c r="FI88" s="23">
        <f t="shared" ref="FI88:FI108" si="448">EY88/$ER88</f>
        <v>1.665111212019561E-2</v>
      </c>
      <c r="FJ88" s="23">
        <f t="shared" ref="FJ88:FJ108" si="449">EZ88/$ER88</f>
        <v>4.8164839471908964E-2</v>
      </c>
      <c r="FK88" s="23">
        <f t="shared" ref="FK88:FK108" si="450">FA88/$ER88</f>
        <v>5.8327066753460104E-2</v>
      </c>
      <c r="FL88" s="23">
        <f t="shared" ref="FL88:FL108" si="451">FB88/$ER88</f>
        <v>3.9192549119100091E-2</v>
      </c>
      <c r="FM88" s="23"/>
      <c r="FN88" s="23">
        <f t="shared" ref="FN88:FN108" si="452">FD88/$ER88</f>
        <v>3.0059445159103988E-2</v>
      </c>
      <c r="FO88" s="23">
        <f t="shared" si="421"/>
        <v>0.28202200260510679</v>
      </c>
      <c r="FP88" s="23">
        <f t="shared" si="422"/>
        <v>0.71797799739489321</v>
      </c>
      <c r="FQ88" s="23">
        <f t="shared" si="423"/>
        <v>5.0011279942948579E-2</v>
      </c>
      <c r="FR88" s="23">
        <f t="shared" si="424"/>
        <v>0.12731984841222249</v>
      </c>
      <c r="FS88" s="23">
        <f t="shared" si="425"/>
        <v>5.6981573996509674E-3</v>
      </c>
      <c r="FT88" s="393">
        <f t="shared" si="426"/>
        <v>3.4852610707452412E-3</v>
      </c>
      <c r="FU88" s="393">
        <f t="shared" si="427"/>
        <v>2.2128963289057262E-3</v>
      </c>
      <c r="FV88" s="23">
        <f t="shared" si="428"/>
        <v>1.4506498077636912E-2</v>
      </c>
      <c r="FW88" s="326">
        <f t="shared" si="305"/>
        <v>2.19</v>
      </c>
      <c r="FX88" s="384">
        <f t="shared" si="430"/>
        <v>-8.16737338629593E-2</v>
      </c>
      <c r="FY88" s="384">
        <f t="shared" si="431"/>
        <v>-7.8947418073485598E-2</v>
      </c>
      <c r="FZ88" s="384">
        <f t="shared" si="432"/>
        <v>-1.797825223435948E-2</v>
      </c>
      <c r="GA88" s="384">
        <f t="shared" si="433"/>
        <v>1.7541012909632572E-2</v>
      </c>
      <c r="GB88" s="384">
        <f t="shared" si="434"/>
        <v>0.13567279046673281</v>
      </c>
      <c r="GC88" s="384">
        <f t="shared" si="435"/>
        <v>-0.22035575968222446</v>
      </c>
      <c r="GD88" s="153"/>
      <c r="GE88" s="153">
        <f t="shared" ref="GE88:GE108" si="453">$OI88*KP88</f>
        <v>3.446474677259186E-3</v>
      </c>
      <c r="GF88" s="153">
        <f t="shared" si="151"/>
        <v>-2.1939126117179783E-2</v>
      </c>
      <c r="GG88" s="153">
        <f t="shared" si="277"/>
        <v>1.7660096325719963</v>
      </c>
      <c r="GH88" s="182">
        <v>84.426000000000002</v>
      </c>
      <c r="GI88" s="79">
        <v>1.954</v>
      </c>
      <c r="GJ88" s="79">
        <v>6.3079999999999998</v>
      </c>
      <c r="GK88" s="79">
        <v>1.0409999999999999</v>
      </c>
      <c r="GL88" s="79">
        <v>1.264</v>
      </c>
      <c r="GM88" s="79">
        <f t="shared" si="342"/>
        <v>6.3710000000000004</v>
      </c>
      <c r="GN88" s="79">
        <v>3.17</v>
      </c>
      <c r="GO88" s="79">
        <v>3.2010000000000001</v>
      </c>
      <c r="GP88" s="79">
        <v>0.751</v>
      </c>
      <c r="GQ88" s="79">
        <v>2.76</v>
      </c>
      <c r="GR88" s="79">
        <f t="shared" si="306"/>
        <v>19.698</v>
      </c>
      <c r="GS88" s="79">
        <f t="shared" si="343"/>
        <v>64.728000000000009</v>
      </c>
      <c r="GT88" s="23">
        <f t="shared" si="307"/>
        <v>0.23331675076398267</v>
      </c>
      <c r="GU88" s="362">
        <f t="shared" si="259"/>
        <v>74.765000000000001</v>
      </c>
      <c r="GV88" s="153">
        <f t="shared" si="344"/>
        <v>27.533000000000001</v>
      </c>
      <c r="GW88" s="153">
        <f t="shared" si="308"/>
        <v>47.232999999999997</v>
      </c>
      <c r="GX88" s="153">
        <f t="shared" si="309"/>
        <v>1.7309999999999999</v>
      </c>
      <c r="GY88" s="153">
        <f t="shared" si="310"/>
        <v>8.24</v>
      </c>
      <c r="GZ88" s="153">
        <f t="shared" si="226"/>
        <v>0.97699999999999987</v>
      </c>
      <c r="HA88" s="153">
        <f t="shared" si="227"/>
        <v>2.1150000000000002</v>
      </c>
      <c r="HB88" s="153">
        <f t="shared" si="228"/>
        <v>4.2080000000000002</v>
      </c>
      <c r="HC88" s="153">
        <f t="shared" si="229"/>
        <v>3.4870000000000001</v>
      </c>
      <c r="HD88" s="352"/>
      <c r="HE88" s="153">
        <f t="shared" si="231"/>
        <v>2.0879999999999996</v>
      </c>
      <c r="HF88" s="153">
        <f t="shared" si="311"/>
        <v>19.359000000000002</v>
      </c>
      <c r="HG88" s="23">
        <f t="shared" si="345"/>
        <v>0.25893131813014114</v>
      </c>
      <c r="HH88" s="156">
        <f t="shared" si="346"/>
        <v>86.518000000000029</v>
      </c>
      <c r="HI88" s="182">
        <f t="shared" si="312"/>
        <v>37.193000000000005</v>
      </c>
      <c r="HJ88" s="79">
        <v>9.9999999999766942E-4</v>
      </c>
      <c r="HK88" s="79">
        <f t="shared" si="313"/>
        <v>0.55099999999999993</v>
      </c>
      <c r="HL88" s="79">
        <f t="shared" si="314"/>
        <v>-0.50400000000000045</v>
      </c>
      <c r="HM88" s="79">
        <f t="shared" si="315"/>
        <v>2.200000000000002E-2</v>
      </c>
      <c r="HN88" s="79">
        <f t="shared" si="316"/>
        <v>-0.44900000000000007</v>
      </c>
      <c r="HO88" s="79">
        <f t="shared" si="317"/>
        <v>3.4110000000000005</v>
      </c>
      <c r="HP88" s="79">
        <f t="shared" si="318"/>
        <v>0.89999999999999969</v>
      </c>
      <c r="HQ88" s="79">
        <f t="shared" si="319"/>
        <v>3.931</v>
      </c>
      <c r="HR88" s="79">
        <f t="shared" si="383"/>
        <v>33.262000000000008</v>
      </c>
      <c r="HS88" s="23">
        <f t="shared" si="321"/>
        <v>0.10569193127739089</v>
      </c>
      <c r="HT88" s="28">
        <v>27.533000000000001</v>
      </c>
      <c r="HU88" s="79">
        <v>0.32800000000000001</v>
      </c>
      <c r="HV88" s="79">
        <v>1.4279999999999999</v>
      </c>
      <c r="HW88" s="79">
        <v>-4.2000000000000003E-2</v>
      </c>
      <c r="HX88" s="79">
        <v>0.40200000000000002</v>
      </c>
      <c r="HY88" s="79">
        <v>1.2470000000000001</v>
      </c>
      <c r="HZ88" s="79">
        <v>0.874</v>
      </c>
      <c r="IA88" s="79">
        <v>-0.8075</v>
      </c>
      <c r="IB88" s="79">
        <v>0.22700000000000001</v>
      </c>
      <c r="IC88" s="79">
        <f t="shared" si="322"/>
        <v>3.5900000000000003</v>
      </c>
      <c r="ID88" s="79">
        <f t="shared" si="347"/>
        <v>23.943000000000001</v>
      </c>
      <c r="IE88" s="23">
        <f t="shared" si="348"/>
        <v>0.13038898776014238</v>
      </c>
      <c r="IF88" s="316">
        <v>9.6609999999999996</v>
      </c>
      <c r="IG88" s="153">
        <v>0.223</v>
      </c>
      <c r="IH88" s="153">
        <v>-1.9319999999999999</v>
      </c>
      <c r="II88" s="153">
        <v>6.4000000000000001E-2</v>
      </c>
      <c r="IJ88" s="153">
        <v>-0.85099999999999998</v>
      </c>
      <c r="IK88" s="153">
        <v>2.1629999999999998</v>
      </c>
      <c r="IL88" s="153">
        <v>-0.317</v>
      </c>
      <c r="IM88" s="153"/>
      <c r="IN88" s="153">
        <v>0.67200000000000004</v>
      </c>
      <c r="IO88" s="153">
        <f t="shared" si="349"/>
        <v>0.3390000000000003</v>
      </c>
      <c r="IP88" s="153">
        <f t="shared" si="235"/>
        <v>9.3219999999999992</v>
      </c>
      <c r="IQ88" s="258">
        <f t="shared" si="350"/>
        <v>9.6610000000000014</v>
      </c>
      <c r="IR88" s="5">
        <f t="shared" si="323"/>
        <v>795.19500000000005</v>
      </c>
      <c r="IS88" s="79">
        <f t="shared" si="351"/>
        <v>96.180000000000064</v>
      </c>
      <c r="IT88" s="79">
        <f t="shared" si="288"/>
        <v>0</v>
      </c>
      <c r="IU88" s="79">
        <f t="shared" si="352"/>
        <v>47.232999999999997</v>
      </c>
      <c r="IV88" s="79">
        <f t="shared" si="324"/>
        <v>27.533000000000001</v>
      </c>
      <c r="IW88" s="79">
        <v>9.6609999999999996</v>
      </c>
      <c r="IX88" s="79">
        <f t="shared" si="353"/>
        <v>11.753000000000066</v>
      </c>
      <c r="IY88" s="79"/>
      <c r="IZ88" s="79"/>
      <c r="JA88" s="79"/>
      <c r="JB88" s="23">
        <f t="shared" si="162"/>
        <v>0.11525567440647014</v>
      </c>
      <c r="JC88" s="23">
        <f t="shared" si="163"/>
        <v>2.5878482186856833E-2</v>
      </c>
      <c r="JD88" s="23">
        <f t="shared" si="164"/>
        <v>8.9377192219613308E-2</v>
      </c>
      <c r="JE88" s="22">
        <f t="shared" si="325"/>
        <v>6.8459576195031447E-3</v>
      </c>
      <c r="JF88" s="22">
        <f t="shared" si="326"/>
        <v>3.9906368669739402E-3</v>
      </c>
      <c r="JG88" s="22">
        <f t="shared" si="327"/>
        <v>1.400266689857089E-3</v>
      </c>
      <c r="JH88" s="5">
        <v>795.19500000000005</v>
      </c>
      <c r="JI88" s="725">
        <f t="shared" si="391"/>
        <v>66.051800000000014</v>
      </c>
      <c r="JJ88" s="76">
        <v>10.132999999999999</v>
      </c>
      <c r="JK88" s="76">
        <v>54.118000000000002</v>
      </c>
      <c r="JL88" s="76">
        <v>7.7530000000000001</v>
      </c>
      <c r="JM88" s="76">
        <v>30.744</v>
      </c>
      <c r="JN88" s="76">
        <f t="shared" si="354"/>
        <v>60.886000000000003</v>
      </c>
      <c r="JO88" s="76">
        <v>37.091000000000001</v>
      </c>
      <c r="JP88" s="76">
        <v>23.795000000000002</v>
      </c>
      <c r="JQ88" s="76">
        <v>7.5970000000000004</v>
      </c>
      <c r="JR88" s="76">
        <v>14.912000000000001</v>
      </c>
      <c r="JS88" s="76">
        <f t="shared" si="287"/>
        <v>178.54600000000002</v>
      </c>
      <c r="JT88" s="76">
        <f t="shared" si="355"/>
        <v>616.649</v>
      </c>
      <c r="JU88" s="23">
        <f t="shared" si="356"/>
        <v>0.2245310898584624</v>
      </c>
      <c r="JV88" s="23">
        <f t="shared" si="357"/>
        <v>1.2742786360578221E-2</v>
      </c>
      <c r="JW88" s="23">
        <f t="shared" si="358"/>
        <v>6.8056262929218611E-2</v>
      </c>
      <c r="JX88" s="23">
        <f t="shared" si="359"/>
        <v>9.7498097950817087E-3</v>
      </c>
      <c r="JY88" s="23">
        <f t="shared" si="360"/>
        <v>3.8662214928413784E-2</v>
      </c>
      <c r="JZ88" s="23">
        <f t="shared" si="361"/>
        <v>7.6567382843201984E-2</v>
      </c>
      <c r="KA88" s="23">
        <f t="shared" si="362"/>
        <v>1.8752633001968069E-2</v>
      </c>
      <c r="KB88" s="149">
        <v>67.81</v>
      </c>
      <c r="KC88" s="316">
        <v>161.12</v>
      </c>
      <c r="KD88" s="316">
        <v>93.308999999999997</v>
      </c>
      <c r="KE88" s="589">
        <f t="shared" si="242"/>
        <v>0.57912735849056596</v>
      </c>
      <c r="KF88" s="1071">
        <v>0</v>
      </c>
      <c r="KG88" s="319">
        <f t="shared" si="243"/>
        <v>-3.1755000000000004</v>
      </c>
      <c r="KH88" s="319">
        <f t="shared" si="244"/>
        <v>-3.0694999999999997</v>
      </c>
      <c r="KI88" s="321">
        <f t="shared" si="245"/>
        <v>-0.69899999999999984</v>
      </c>
      <c r="KJ88" s="319">
        <f t="shared" si="246"/>
        <v>0.68199999999999994</v>
      </c>
      <c r="KK88" s="319">
        <f t="shared" si="285"/>
        <v>5.2749999999999977</v>
      </c>
      <c r="KL88" s="319">
        <f t="shared" si="248"/>
        <v>-8.5675000000000008</v>
      </c>
      <c r="KM88" s="319"/>
      <c r="KN88" s="319"/>
      <c r="KO88" s="319"/>
      <c r="KP88" s="319">
        <f t="shared" ref="KP88:KP98" si="454">KP87+IN88</f>
        <v>0.13400000000000001</v>
      </c>
      <c r="KQ88" s="153">
        <f t="shared" si="328"/>
        <v>-0.85300000000000276</v>
      </c>
      <c r="KR88" s="153">
        <f t="shared" si="329"/>
        <v>68.663000000000011</v>
      </c>
      <c r="KS88" s="23">
        <f t="shared" si="178"/>
        <v>9.952024813751922E-3</v>
      </c>
      <c r="KT88" s="23"/>
      <c r="KU88" s="326">
        <v>727.38400000000001</v>
      </c>
      <c r="KV88" s="430">
        <f t="shared" si="252"/>
        <v>66.051800000000014</v>
      </c>
      <c r="KW88" s="322">
        <f t="shared" si="181"/>
        <v>13.308499999999999</v>
      </c>
      <c r="KX88" s="322">
        <f t="shared" si="182"/>
        <v>57.1875</v>
      </c>
      <c r="KY88" s="322">
        <f t="shared" si="183"/>
        <v>8.452</v>
      </c>
      <c r="KZ88" s="322">
        <f t="shared" si="184"/>
        <v>30.062000000000001</v>
      </c>
      <c r="LA88" s="322">
        <f t="shared" si="185"/>
        <v>55.611000000000004</v>
      </c>
      <c r="LB88" s="322">
        <f t="shared" si="186"/>
        <v>45.658500000000004</v>
      </c>
      <c r="LC88" s="322"/>
      <c r="LD88" s="322">
        <f t="shared" ref="LD88:LD108" si="455">JR88-KP88</f>
        <v>14.778</v>
      </c>
      <c r="LE88" s="322">
        <f t="shared" ref="LE88:LE108" si="456">JS88-KQ88</f>
        <v>179.39900000000003</v>
      </c>
      <c r="LF88" s="322">
        <f t="shared" si="190"/>
        <v>0</v>
      </c>
      <c r="LG88" s="322">
        <f t="shared" si="191"/>
        <v>547.98599999999999</v>
      </c>
      <c r="LH88" s="367">
        <f t="shared" si="192"/>
        <v>0.24663588970887457</v>
      </c>
      <c r="LI88" s="248">
        <f t="shared" ref="LI88:LI108" si="457">KW88/$KU88</f>
        <v>1.8296388152612648E-2</v>
      </c>
      <c r="LJ88" s="248">
        <f t="shared" ref="LJ88:LJ108" si="458">KX88/$KU88</f>
        <v>7.8620783520121418E-2</v>
      </c>
      <c r="LK88" s="248">
        <f t="shared" ref="LK88:LK108" si="459">KY88/$KU88</f>
        <v>1.1619722182506077E-2</v>
      </c>
      <c r="LL88" s="248">
        <f t="shared" ref="LL88:LL108" si="460">KZ88/$KU88</f>
        <v>4.1328926674218842E-2</v>
      </c>
      <c r="LM88" s="248">
        <f t="shared" ref="LM88:LM108" si="461">LA88/$KU88</f>
        <v>7.6453427625573292E-2</v>
      </c>
      <c r="LN88" s="248">
        <f t="shared" ref="LN88:LN108" si="462">LB88/$KU88</f>
        <v>6.2770833562464948E-2</v>
      </c>
      <c r="LO88" s="248"/>
      <c r="LP88" s="248">
        <f t="shared" ref="LP88:LP108" si="463">LD88/$KU88</f>
        <v>2.0316641553842264E-2</v>
      </c>
      <c r="LQ88" s="248">
        <f t="shared" si="201"/>
        <v>0.10542713859176162</v>
      </c>
      <c r="LR88" s="23">
        <f t="shared" si="202"/>
        <v>7.9425167405861377E-2</v>
      </c>
      <c r="LS88" s="23">
        <f t="shared" si="203"/>
        <v>2.6002116126039952E-2</v>
      </c>
      <c r="LT88" s="326">
        <v>208.76900000000001</v>
      </c>
      <c r="LU88" s="153">
        <f t="shared" si="363"/>
        <v>1.0000000000047748E-3</v>
      </c>
      <c r="LV88" s="153">
        <f t="shared" si="204"/>
        <v>67.81</v>
      </c>
      <c r="LW88" s="153">
        <f t="shared" si="283"/>
        <v>93.308999999999997</v>
      </c>
      <c r="LX88" s="153">
        <v>47.649000000000001</v>
      </c>
      <c r="LY88" s="23">
        <f>LX88/Liabilities!GT88</f>
        <v>7.9959926901836009E-2</v>
      </c>
      <c r="LZ88" s="23">
        <f t="shared" si="253"/>
        <v>0.24143557107171268</v>
      </c>
      <c r="MA88" s="425">
        <v>290.666</v>
      </c>
      <c r="MB88" s="153">
        <f t="shared" si="364"/>
        <v>0</v>
      </c>
      <c r="MC88" s="153">
        <v>149.708</v>
      </c>
      <c r="MD88" s="153">
        <f t="shared" si="365"/>
        <v>47.649000000000001</v>
      </c>
      <c r="ME88" s="153">
        <f t="shared" si="366"/>
        <v>93.308999999999997</v>
      </c>
      <c r="MF88" s="153">
        <v>197.357</v>
      </c>
      <c r="MG88" s="153">
        <f t="shared" si="208"/>
        <v>161.12</v>
      </c>
      <c r="MH88" s="326">
        <f t="shared" si="209"/>
        <v>727.38400000000001</v>
      </c>
      <c r="MI88" s="1008">
        <f>FoF_RoW!$BH58/1000</f>
        <v>989.81</v>
      </c>
      <c r="MJ88" s="1008">
        <v>1130.768</v>
      </c>
      <c r="MK88" s="1008">
        <f>FoF_RoW!$AU58/1000</f>
        <v>91.882999999999996</v>
      </c>
      <c r="ML88" s="1008">
        <f t="shared" si="254"/>
        <v>104.30399999999997</v>
      </c>
      <c r="MM88" s="425">
        <f t="shared" si="210"/>
        <v>922</v>
      </c>
      <c r="MN88" s="23">
        <f t="shared" si="211"/>
        <v>1.2675560639222199</v>
      </c>
      <c r="MO88" s="153">
        <v>1749.299</v>
      </c>
      <c r="MP88" s="425">
        <v>1540.53</v>
      </c>
      <c r="MQ88" s="23">
        <f t="shared" si="367"/>
        <v>2.1179047105792814</v>
      </c>
      <c r="MR88" s="23">
        <f t="shared" si="368"/>
        <v>1.6708568329718003</v>
      </c>
      <c r="MS88" s="153">
        <f t="shared" si="212"/>
        <v>67.81</v>
      </c>
      <c r="MT88" s="153">
        <v>208.76900000000001</v>
      </c>
      <c r="MU88" s="153">
        <v>290.666</v>
      </c>
      <c r="MV88" s="153">
        <v>1079.4100000000001</v>
      </c>
      <c r="MW88" s="153">
        <v>595.91099999999994</v>
      </c>
      <c r="MX88" s="23">
        <f t="shared" si="369"/>
        <v>1.8113610925121373</v>
      </c>
      <c r="MY88" s="425">
        <f t="shared" si="255"/>
        <v>-425.00399999999956</v>
      </c>
      <c r="MZ88" s="23">
        <f t="shared" si="213"/>
        <v>-6.1600139142534073E-2</v>
      </c>
      <c r="NA88" s="153">
        <v>4791.7960000000003</v>
      </c>
      <c r="NB88" s="153">
        <v>5120.1019999999999</v>
      </c>
      <c r="NC88" s="425">
        <f t="shared" si="330"/>
        <v>-560.03499999999951</v>
      </c>
      <c r="ND88" s="23">
        <f t="shared" si="331"/>
        <v>-8.1171551149375243E-2</v>
      </c>
      <c r="NE88" s="330">
        <f t="shared" si="332"/>
        <v>244.19200000000006</v>
      </c>
      <c r="NF88" s="23">
        <f t="shared" si="333"/>
        <v>3.5393222599066597E-2</v>
      </c>
      <c r="NG88" s="330">
        <f t="shared" si="334"/>
        <v>379.2229999999999</v>
      </c>
      <c r="NH88" s="23">
        <f t="shared" si="335"/>
        <v>5.4964634605907746E-2</v>
      </c>
      <c r="NI88" s="330">
        <v>96.697999999999993</v>
      </c>
      <c r="NJ88" s="425">
        <f t="shared" si="63"/>
        <v>69.412000000000006</v>
      </c>
      <c r="NK88" s="403">
        <f t="shared" si="393"/>
        <v>1.0060584978403921E-2</v>
      </c>
      <c r="NL88" s="153">
        <v>69.412000000000006</v>
      </c>
      <c r="NM88" s="153">
        <v>102.505</v>
      </c>
      <c r="NN88" s="153">
        <v>33.093000000000004</v>
      </c>
      <c r="NO88" s="425">
        <f t="shared" si="100"/>
        <v>26.436999999999983</v>
      </c>
      <c r="NP88" s="153">
        <v>227.34899999999999</v>
      </c>
      <c r="NQ88" s="153">
        <v>200.91200000000001</v>
      </c>
      <c r="NR88" s="403">
        <f t="shared" si="394"/>
        <v>3.8317824738383025E-3</v>
      </c>
      <c r="NS88" s="403">
        <f t="shared" si="395"/>
        <v>1.0060584978403921E-2</v>
      </c>
      <c r="NT88" s="403">
        <f t="shared" si="396"/>
        <v>-6.2288025045656188E-3</v>
      </c>
      <c r="NU88" s="727">
        <f t="shared" si="215"/>
        <v>5.9332827014079569E-2</v>
      </c>
      <c r="NV88" s="688">
        <f t="shared" si="216"/>
        <v>9.9136659436008676E-2</v>
      </c>
      <c r="NW88" s="688">
        <f t="shared" si="217"/>
        <v>0.12566127382510475</v>
      </c>
      <c r="NX88" s="793">
        <f>(ER88-T.A2!B40*T.A1!M40)/MP88</f>
        <v>5.0703611817813646E-2</v>
      </c>
      <c r="NY88" s="688">
        <f>Liabilities!BU88/Liabilities!GY88</f>
        <v>1.9739487312513317E-2</v>
      </c>
      <c r="NZ88" s="688">
        <f>Liabilities!BU88/Liabilities!GT88</f>
        <v>3.5755339304023588E-2</v>
      </c>
      <c r="OA88" s="688">
        <f>Liabilities!BU88/Liabilities!GR88</f>
        <v>4.7527062565662838E-2</v>
      </c>
      <c r="OB88" s="688">
        <f t="shared" si="256"/>
        <v>3.9593339701566255E-2</v>
      </c>
      <c r="OC88" s="688">
        <f t="shared" si="257"/>
        <v>6.3381320131985081E-2</v>
      </c>
      <c r="OD88" s="688"/>
      <c r="OE88" s="793">
        <f t="shared" si="218"/>
        <v>0.10880151843817787</v>
      </c>
      <c r="OF88" s="793">
        <f>OE88/(1-'Assets(MOFA)'!GU41)</f>
        <v>0.16658350587878112</v>
      </c>
      <c r="OG88" s="793">
        <f>Liabilities!HV88</f>
        <v>3.8889194134052972E-2</v>
      </c>
      <c r="OH88" s="793">
        <f t="shared" si="438"/>
        <v>6.991232430412489E-2</v>
      </c>
      <c r="OI88" s="22">
        <f t="shared" si="336"/>
        <v>2.5719960278053625E-2</v>
      </c>
      <c r="OJ88" s="22">
        <f t="shared" si="337"/>
        <v>2.0941173948922399E-2</v>
      </c>
      <c r="OK88" s="403">
        <f>Liabilities!CT88/LX88</f>
        <v>3.0388885391089002E-2</v>
      </c>
      <c r="OL88" s="403">
        <f>Liabilities!CU88/MF88</f>
        <v>5.3446292758807641E-2</v>
      </c>
      <c r="OM88" s="153"/>
      <c r="OO88" s="186">
        <f t="shared" si="221"/>
        <v>0.10661537932912991</v>
      </c>
      <c r="OP88" s="308">
        <f t="shared" si="370"/>
        <v>0.1336348088239557</v>
      </c>
      <c r="OQ88" s="308">
        <f t="shared" si="371"/>
        <v>1.4247525834341796E-2</v>
      </c>
      <c r="OR88" s="313">
        <f t="shared" si="372"/>
        <v>0</v>
      </c>
      <c r="OS88" s="23">
        <f t="shared" si="373"/>
        <v>0.13156195736107623</v>
      </c>
      <c r="OT88" s="23">
        <f t="shared" si="374"/>
        <v>0.14407176933440557</v>
      </c>
      <c r="OU88" s="23">
        <f t="shared" si="375"/>
        <v>0.15278029948248284</v>
      </c>
      <c r="OV88" s="23">
        <f t="shared" si="376"/>
        <v>0.12424984251593275</v>
      </c>
      <c r="OW88" s="23">
        <f t="shared" si="377"/>
        <v>8.1337914338265108E-2</v>
      </c>
      <c r="OX88" s="23">
        <f t="shared" si="378"/>
        <v>6.6567994306627243E-2</v>
      </c>
      <c r="OY88" s="23">
        <f t="shared" si="379"/>
        <v>0.15774256486082275</v>
      </c>
      <c r="OZ88" s="23">
        <f t="shared" si="380"/>
        <v>0.12191203325029465</v>
      </c>
      <c r="PA88" s="23">
        <f t="shared" si="381"/>
        <v>0.10229780735321277</v>
      </c>
      <c r="PB88" s="23">
        <f t="shared" si="382"/>
        <v>1.961422589708188E-2</v>
      </c>
      <c r="PC88" s="23"/>
      <c r="PD88" s="23"/>
      <c r="PE88" s="23"/>
      <c r="PF88" s="23"/>
      <c r="PG88" s="69"/>
      <c r="PH88" s="23">
        <f>'Assets(MOFA)'!GU41</f>
        <v>0.34686499804278248</v>
      </c>
      <c r="PI88" s="23">
        <f>'Assets(MOFA)'!HM41</f>
        <v>0.31240189867433199</v>
      </c>
      <c r="PJ88" s="11">
        <f t="shared" si="222"/>
        <v>4.5041544728424358E-2</v>
      </c>
      <c r="PK88" s="11">
        <f>Liabilities!JA88/MW88/1000</f>
        <v>4.0751051751016509E-2</v>
      </c>
      <c r="PL88" s="11">
        <f>'Assets(MOFA)'!GO41/MM88/1000</f>
        <v>3.583405639913232E-2</v>
      </c>
      <c r="PM88" s="11">
        <f t="shared" si="429"/>
        <v>4.9169953518841888E-3</v>
      </c>
    </row>
    <row r="89" spans="2:429">
      <c r="B89" s="71">
        <v>1997</v>
      </c>
      <c r="C89" s="43">
        <v>7380.4</v>
      </c>
      <c r="D89" s="5">
        <v>865.8</v>
      </c>
      <c r="E89" s="6">
        <f t="shared" si="397"/>
        <v>0.1173107148664029</v>
      </c>
      <c r="F89" s="72">
        <f t="shared" si="398"/>
        <v>0</v>
      </c>
      <c r="G89" s="76">
        <f t="shared" si="399"/>
        <v>758.19999999999993</v>
      </c>
      <c r="H89" s="23">
        <f t="shared" si="400"/>
        <v>0.10273155926508049</v>
      </c>
      <c r="I89" s="74">
        <v>107.6</v>
      </c>
      <c r="J89" s="19">
        <f t="shared" si="401"/>
        <v>1.4579155601322422E-2</v>
      </c>
      <c r="K89" s="6">
        <f t="shared" si="402"/>
        <v>0.12427812427812428</v>
      </c>
      <c r="L89" s="136">
        <v>155.5</v>
      </c>
      <c r="M89" s="19">
        <f t="shared" si="403"/>
        <v>2.1069318736111866E-2</v>
      </c>
      <c r="N89" s="63">
        <f t="shared" si="404"/>
        <v>0.17960267960267962</v>
      </c>
      <c r="O89" s="5">
        <f t="shared" si="405"/>
        <v>865.8</v>
      </c>
      <c r="P89" s="75">
        <f t="shared" si="406"/>
        <v>0</v>
      </c>
      <c r="Q89" s="271">
        <v>905.5</v>
      </c>
      <c r="R89" s="202">
        <v>107.7</v>
      </c>
      <c r="S89" s="53">
        <f t="shared" si="407"/>
        <v>0.12439362439362441</v>
      </c>
      <c r="T89" s="74">
        <v>24.4</v>
      </c>
      <c r="U89" s="74">
        <v>68.899999999999991</v>
      </c>
      <c r="V89" s="207">
        <v>200.8</v>
      </c>
      <c r="W89" s="53">
        <f t="shared" si="408"/>
        <v>0.23192423192423195</v>
      </c>
      <c r="X89" s="75">
        <f t="shared" si="409"/>
        <v>-39.900000000000318</v>
      </c>
      <c r="Y89" s="187">
        <v>112.665933</v>
      </c>
      <c r="Z89" s="75">
        <f t="shared" si="436"/>
        <v>-8.603553432009468</v>
      </c>
      <c r="AA89" s="75"/>
      <c r="AB89" s="75"/>
      <c r="AC89" s="75">
        <f t="shared" si="437"/>
        <v>104.06237956799053</v>
      </c>
      <c r="AD89" s="23">
        <f t="shared" si="410"/>
        <v>0.12019216859319766</v>
      </c>
      <c r="AE89" s="76">
        <f>NIPA_Scorp!C10/1000</f>
        <v>118.07299999999999</v>
      </c>
      <c r="AF89" s="76">
        <v>102.5831710744001</v>
      </c>
      <c r="AG89" s="23">
        <f t="shared" si="385"/>
        <v>0.13637445137445137</v>
      </c>
      <c r="AH89" s="97">
        <v>245.4</v>
      </c>
      <c r="AI89" s="22">
        <f t="shared" si="411"/>
        <v>3.3250230339818984E-2</v>
      </c>
      <c r="AJ89" s="22">
        <f t="shared" si="412"/>
        <v>3.044550430870956E-2</v>
      </c>
      <c r="AK89" s="99">
        <f t="shared" si="413"/>
        <v>-9.9999999999965894E-2</v>
      </c>
      <c r="AL89" s="71">
        <v>182.39999999999998</v>
      </c>
      <c r="AM89" s="72">
        <f>(0.25*Fedtax!C70+0.75*Fedtax!C69)/1000</f>
        <v>183.88900000000001</v>
      </c>
      <c r="AN89" s="71">
        <v>34.1</v>
      </c>
      <c r="AO89" s="255">
        <v>8.3000000000000007</v>
      </c>
      <c r="AP89" s="71">
        <v>20.7</v>
      </c>
      <c r="AQ89" s="6">
        <f t="shared" si="414"/>
        <v>8.406048452658392E-2</v>
      </c>
      <c r="AR89" s="207">
        <v>44.9</v>
      </c>
      <c r="AS89" s="714">
        <v>42.222743000000001</v>
      </c>
      <c r="AT89" s="210">
        <v>7.4845309999999996</v>
      </c>
      <c r="AU89" s="205">
        <f t="shared" si="386"/>
        <v>0.17726302149531117</v>
      </c>
      <c r="AV89" s="707">
        <v>45.079797999999997</v>
      </c>
      <c r="AW89" s="210">
        <v>8.3546960000000006</v>
      </c>
      <c r="AX89" s="210">
        <f t="shared" si="387"/>
        <v>36.725101999999993</v>
      </c>
      <c r="AY89" s="205">
        <f t="shared" si="388"/>
        <v>0.18533126523770141</v>
      </c>
      <c r="AZ89" s="777">
        <v>42.563457999999997</v>
      </c>
      <c r="BA89" s="772">
        <f t="shared" si="389"/>
        <v>5.8383560000000045</v>
      </c>
      <c r="BB89" s="205">
        <f t="shared" si="390"/>
        <v>0.13716827237110304</v>
      </c>
      <c r="BC89" s="210">
        <v>7.4160079999999997</v>
      </c>
      <c r="BD89" s="722">
        <f>'Assets(MOFA)'!FJ42/1000</f>
        <v>47.58</v>
      </c>
      <c r="BE89" s="753">
        <f t="shared" si="105"/>
        <v>0.94745266918873472</v>
      </c>
      <c r="BF89" s="234">
        <v>0.35</v>
      </c>
      <c r="BG89" s="437"/>
      <c r="BH89" s="140">
        <f t="shared" si="106"/>
        <v>0.24344990441920611</v>
      </c>
      <c r="BI89" s="248">
        <f t="shared" si="384"/>
        <v>0.28072149963629384</v>
      </c>
      <c r="BJ89" s="23">
        <f t="shared" si="107"/>
        <v>0.19851389780754061</v>
      </c>
      <c r="BK89" s="140">
        <f t="shared" si="108"/>
        <v>0.27970456005138089</v>
      </c>
      <c r="BL89" s="140">
        <f t="shared" si="109"/>
        <v>0.29776221981889783</v>
      </c>
      <c r="BM89" s="248">
        <f t="shared" si="110"/>
        <v>0.31476708628626865</v>
      </c>
      <c r="BN89" s="23">
        <f t="shared" si="111"/>
        <v>0.24815019326339041</v>
      </c>
      <c r="BO89" s="23">
        <f t="shared" si="112"/>
        <v>0.22177260165811291</v>
      </c>
      <c r="BP89" s="149">
        <f t="shared" si="415"/>
        <v>865.8</v>
      </c>
      <c r="BQ89" s="99">
        <f t="shared" si="416"/>
        <v>0</v>
      </c>
      <c r="BR89" s="153">
        <f t="shared" si="417"/>
        <v>245.4</v>
      </c>
      <c r="BS89" s="79">
        <v>339.5</v>
      </c>
      <c r="BT89" s="79">
        <v>280.89999999999998</v>
      </c>
      <c r="BU89" s="23">
        <f t="shared" si="223"/>
        <v>0.32443982443982444</v>
      </c>
      <c r="BV89" s="71">
        <v>220.6</v>
      </c>
      <c r="BW89" s="71">
        <f t="shared" si="418"/>
        <v>60.299999999999983</v>
      </c>
      <c r="BX89" s="23">
        <f t="shared" si="419"/>
        <v>6.9646569646569637E-2</v>
      </c>
      <c r="BY89" s="23">
        <f t="shared" si="289"/>
        <v>2.0359205359205362E-2</v>
      </c>
      <c r="BZ89" s="23">
        <f t="shared" si="290"/>
        <v>0.15570454384849131</v>
      </c>
      <c r="CA89" s="23">
        <f t="shared" si="291"/>
        <v>0.16784942805877559</v>
      </c>
      <c r="CB89" s="23">
        <f t="shared" si="262"/>
        <v>0.56040892193308534</v>
      </c>
      <c r="CC89" s="169">
        <f t="shared" si="420"/>
        <v>155.5</v>
      </c>
      <c r="CD89" s="174"/>
      <c r="CF89" s="76">
        <f t="shared" si="58"/>
        <v>113.208</v>
      </c>
      <c r="CH89" s="23">
        <f t="shared" si="392"/>
        <v>0.72802572347266881</v>
      </c>
      <c r="CI89" s="182">
        <v>115.32299999999999</v>
      </c>
      <c r="CJ89" s="79">
        <f t="shared" si="292"/>
        <v>-5.3290705182007514E-15</v>
      </c>
      <c r="CK89" s="79">
        <f t="shared" si="60"/>
        <v>113.208</v>
      </c>
      <c r="CL89" s="159">
        <v>55.195999999999998</v>
      </c>
      <c r="CM89" s="159">
        <v>58.012</v>
      </c>
      <c r="CN89" s="159">
        <v>75.5</v>
      </c>
      <c r="CO89" s="159">
        <f t="shared" si="338"/>
        <v>17.488</v>
      </c>
      <c r="CP89" s="79">
        <v>2.1150000000000002</v>
      </c>
      <c r="CQ89" s="79">
        <v>4.8659999999999997</v>
      </c>
      <c r="CR89" s="79">
        <v>2.7509999999999999</v>
      </c>
      <c r="CS89" s="23">
        <f t="shared" si="293"/>
        <v>0.51243728358419904</v>
      </c>
      <c r="CT89" s="23">
        <f t="shared" si="294"/>
        <v>3.1774081774081776E-3</v>
      </c>
      <c r="CU89" s="73">
        <v>9.0340000000000007</v>
      </c>
      <c r="CV89" s="378">
        <f t="shared" si="295"/>
        <v>1.0368224616557025E-2</v>
      </c>
      <c r="CW89" s="378">
        <f t="shared" si="296"/>
        <v>7.83364983567892E-2</v>
      </c>
      <c r="CX89" s="79">
        <f t="shared" si="297"/>
        <v>106.28899999999999</v>
      </c>
      <c r="CY89" s="79">
        <f t="shared" si="298"/>
        <v>1.4949999999999903</v>
      </c>
      <c r="CZ89" s="293">
        <f t="shared" si="299"/>
        <v>115.32299999999999</v>
      </c>
      <c r="DA89" s="136"/>
      <c r="DB89" s="79"/>
      <c r="DC89" s="79"/>
      <c r="DD89" s="79"/>
      <c r="DE89" s="79"/>
      <c r="DF89" s="79"/>
      <c r="DG89" s="79"/>
      <c r="DH89" s="79"/>
      <c r="DI89" s="182">
        <v>104.794</v>
      </c>
      <c r="DJ89" s="79">
        <v>2.3479999999999999</v>
      </c>
      <c r="DK89" s="79">
        <v>11.587999999999999</v>
      </c>
      <c r="DL89" s="79">
        <v>1.5580000000000001</v>
      </c>
      <c r="DM89" s="79">
        <v>5.0709999999999997</v>
      </c>
      <c r="DN89" s="79">
        <v>7.0759999999999996</v>
      </c>
      <c r="DO89" s="79">
        <v>3.9649999999999999</v>
      </c>
      <c r="DP89" s="79">
        <v>0.20100000000000001</v>
      </c>
      <c r="DQ89" s="79">
        <v>3.4649999999999999</v>
      </c>
      <c r="DR89" s="79">
        <f t="shared" si="113"/>
        <v>31.105999999999998</v>
      </c>
      <c r="DS89" s="79">
        <f t="shared" si="114"/>
        <v>73.688000000000002</v>
      </c>
      <c r="DT89" s="79">
        <v>1.34</v>
      </c>
      <c r="DU89" s="23">
        <f t="shared" si="115"/>
        <v>1.818477906850505E-2</v>
      </c>
      <c r="DV89" s="23">
        <f t="shared" si="116"/>
        <v>2.2405862931083841E-2</v>
      </c>
      <c r="DW89" s="23">
        <f t="shared" si="117"/>
        <v>0.11057884993415654</v>
      </c>
      <c r="DX89" s="23">
        <f t="shared" si="118"/>
        <v>1.4867263392942346E-2</v>
      </c>
      <c r="DY89" s="23">
        <f t="shared" si="119"/>
        <v>4.8390175010019659E-2</v>
      </c>
      <c r="DZ89" s="23">
        <f t="shared" si="120"/>
        <v>6.7522949787201553E-2</v>
      </c>
      <c r="EA89" s="23">
        <f t="shared" si="121"/>
        <v>3.7836135656621563E-2</v>
      </c>
      <c r="EB89" s="23">
        <f t="shared" si="122"/>
        <v>1.9180487432486593E-3</v>
      </c>
      <c r="EC89" s="23">
        <f t="shared" si="123"/>
        <v>3.3064870126152258E-2</v>
      </c>
      <c r="ED89" s="23">
        <f t="shared" si="124"/>
        <v>0.29682997118155618</v>
      </c>
      <c r="EE89" s="153">
        <v>34.399000000000001</v>
      </c>
      <c r="EF89" s="23">
        <f t="shared" si="300"/>
        <v>0.32825352596522706</v>
      </c>
      <c r="EG89" s="182">
        <v>48.978000000000002</v>
      </c>
      <c r="EH89" s="79">
        <v>1.0880000000000001</v>
      </c>
      <c r="EI89" s="79">
        <v>8.7850000000000001</v>
      </c>
      <c r="EJ89" s="79">
        <v>1.2490000000000001</v>
      </c>
      <c r="EK89" s="79">
        <v>0.42299999999999999</v>
      </c>
      <c r="EL89" s="79">
        <v>3.7080000000000002</v>
      </c>
      <c r="EM89" s="79">
        <v>2.3740000000000001</v>
      </c>
      <c r="EN89" s="28">
        <f t="shared" si="301"/>
        <v>17.627000000000002</v>
      </c>
      <c r="EO89" s="23">
        <f t="shared" si="302"/>
        <v>0.56547331588733141</v>
      </c>
      <c r="EP89" s="79">
        <f t="shared" si="303"/>
        <v>31.350999999999999</v>
      </c>
      <c r="EQ89" s="23">
        <f t="shared" si="304"/>
        <v>0.35989627996243218</v>
      </c>
      <c r="ER89" s="182">
        <f t="shared" si="268"/>
        <v>102.679</v>
      </c>
      <c r="ES89" s="185"/>
      <c r="ET89" s="136">
        <f>'Assets(MOFA)'!W42/1000</f>
        <v>144.27699999999999</v>
      </c>
      <c r="EU89" s="136">
        <f t="shared" si="339"/>
        <v>96.696999999999989</v>
      </c>
      <c r="EV89" s="589">
        <f t="shared" si="340"/>
        <v>0.94174076490811154</v>
      </c>
      <c r="EW89" s="153">
        <f t="shared" si="439"/>
        <v>2.4265063445363997</v>
      </c>
      <c r="EX89" s="153">
        <f t="shared" si="440"/>
        <v>11.652026315789472</v>
      </c>
      <c r="EY89" s="153">
        <f t="shared" si="441"/>
        <v>1.5483284336294116</v>
      </c>
      <c r="EZ89" s="153">
        <f t="shared" si="442"/>
        <v>5.1083748666524427</v>
      </c>
      <c r="FA89" s="153">
        <f t="shared" si="443"/>
        <v>6.9993651308771181</v>
      </c>
      <c r="FB89" s="153">
        <f t="shared" si="444"/>
        <v>4.2840660673980659</v>
      </c>
      <c r="FC89" s="153"/>
      <c r="FD89" s="153">
        <f t="shared" si="445"/>
        <v>3.4375152661897967</v>
      </c>
      <c r="FE89" s="153">
        <f t="shared" si="133"/>
        <v>31.172116357674639</v>
      </c>
      <c r="FF89" s="153">
        <f t="shared" si="134"/>
        <v>71.605580620529352</v>
      </c>
      <c r="FG89" s="23">
        <f t="shared" si="446"/>
        <v>2.36319631525083E-2</v>
      </c>
      <c r="FH89" s="23">
        <f t="shared" si="447"/>
        <v>0.1134801304627964</v>
      </c>
      <c r="FI89" s="23">
        <f t="shared" si="448"/>
        <v>1.507930963127233E-2</v>
      </c>
      <c r="FJ89" s="23">
        <f t="shared" si="449"/>
        <v>4.9750921480073262E-2</v>
      </c>
      <c r="FK89" s="23">
        <f t="shared" si="450"/>
        <v>6.816744544529181E-2</v>
      </c>
      <c r="FL89" s="23">
        <f t="shared" si="451"/>
        <v>4.1722904073842423E-2</v>
      </c>
      <c r="FM89" s="23"/>
      <c r="FN89" s="23">
        <f t="shared" si="452"/>
        <v>3.3478269813591845E-2</v>
      </c>
      <c r="FO89" s="23">
        <f t="shared" si="421"/>
        <v>0.30358803998553396</v>
      </c>
      <c r="FP89" s="23">
        <f t="shared" si="422"/>
        <v>0.69641196001446604</v>
      </c>
      <c r="FQ89" s="23">
        <f t="shared" si="423"/>
        <v>5.4525225476727342E-2</v>
      </c>
      <c r="FR89" s="23">
        <f t="shared" si="424"/>
        <v>0.12507745412595228</v>
      </c>
      <c r="FS89" s="23">
        <f t="shared" si="425"/>
        <v>6.3963931789266888E-3</v>
      </c>
      <c r="FT89" s="393">
        <f t="shared" si="426"/>
        <v>3.6169896606067834E-3</v>
      </c>
      <c r="FU89" s="393">
        <f t="shared" si="427"/>
        <v>2.7794035183199054E-3</v>
      </c>
      <c r="FV89" s="23">
        <f t="shared" si="428"/>
        <v>1.4672925557185178E-2</v>
      </c>
      <c r="FW89" s="326">
        <f t="shared" si="305"/>
        <v>2.1150000000000002</v>
      </c>
      <c r="FX89" s="384">
        <f t="shared" si="430"/>
        <v>-7.850634453639968E-2</v>
      </c>
      <c r="FY89" s="384">
        <f t="shared" si="431"/>
        <v>-6.4026315789473681E-2</v>
      </c>
      <c r="FZ89" s="384">
        <f t="shared" si="432"/>
        <v>9.6715663705883043E-3</v>
      </c>
      <c r="GA89" s="384">
        <f t="shared" si="433"/>
        <v>-3.7374866652442926E-2</v>
      </c>
      <c r="GB89" s="384">
        <f t="shared" si="434"/>
        <v>7.663486912288181E-2</v>
      </c>
      <c r="GC89" s="384">
        <f t="shared" si="435"/>
        <v>-0.31906606739806637</v>
      </c>
      <c r="GD89" s="153"/>
      <c r="GE89" s="153">
        <f t="shared" si="453"/>
        <v>2.7484733810202912E-2</v>
      </c>
      <c r="GF89" s="153">
        <f t="shared" si="151"/>
        <v>-6.6116357674643272E-2</v>
      </c>
      <c r="GG89" s="153">
        <f t="shared" si="277"/>
        <v>2.0824193794706525</v>
      </c>
      <c r="GH89" s="182">
        <v>95.769000000000005</v>
      </c>
      <c r="GI89" s="79">
        <v>2.266</v>
      </c>
      <c r="GJ89" s="79">
        <v>12.45</v>
      </c>
      <c r="GK89" s="79">
        <v>2.444</v>
      </c>
      <c r="GL89" s="79">
        <v>-0.79200000000000004</v>
      </c>
      <c r="GM89" s="79">
        <f t="shared" si="342"/>
        <v>3.4630000000000001</v>
      </c>
      <c r="GN89" s="79">
        <v>0.58899999999999997</v>
      </c>
      <c r="GO89" s="79">
        <v>2.8740000000000001</v>
      </c>
      <c r="GP89" s="79">
        <v>-1.1759999999999999</v>
      </c>
      <c r="GQ89" s="79">
        <v>3.6970000000000001</v>
      </c>
      <c r="GR89" s="79">
        <f t="shared" si="306"/>
        <v>23.527999999999999</v>
      </c>
      <c r="GS89" s="79">
        <f t="shared" si="343"/>
        <v>72.241000000000014</v>
      </c>
      <c r="GT89" s="23">
        <f t="shared" si="307"/>
        <v>0.24567448756904633</v>
      </c>
      <c r="GU89" s="362">
        <f t="shared" si="259"/>
        <v>89.77000000000001</v>
      </c>
      <c r="GV89" s="153">
        <f t="shared" si="344"/>
        <v>40.792000000000002</v>
      </c>
      <c r="GW89" s="153">
        <f t="shared" si="308"/>
        <v>48.978000000000002</v>
      </c>
      <c r="GX89" s="153">
        <f t="shared" si="309"/>
        <v>1.964</v>
      </c>
      <c r="GY89" s="153">
        <f t="shared" si="310"/>
        <v>11.724</v>
      </c>
      <c r="GZ89" s="153">
        <f t="shared" si="226"/>
        <v>1.391</v>
      </c>
      <c r="HA89" s="153">
        <f t="shared" si="227"/>
        <v>1.2579999999999998</v>
      </c>
      <c r="HB89" s="153">
        <f t="shared" si="228"/>
        <v>5.9329999999999998</v>
      </c>
      <c r="HC89" s="153">
        <f t="shared" si="229"/>
        <v>3.7</v>
      </c>
      <c r="HD89" s="352"/>
      <c r="HE89" s="153">
        <f t="shared" si="231"/>
        <v>2.8250000000000002</v>
      </c>
      <c r="HF89" s="153">
        <f t="shared" si="311"/>
        <v>25.094999999999999</v>
      </c>
      <c r="HG89" s="23">
        <f t="shared" si="345"/>
        <v>0.27954773309568892</v>
      </c>
      <c r="HH89" s="156">
        <f t="shared" si="346"/>
        <v>70.13</v>
      </c>
      <c r="HI89" s="182">
        <f t="shared" si="312"/>
        <v>46.791000000000004</v>
      </c>
      <c r="HJ89" s="79">
        <v>-7.1054273576010019E-15</v>
      </c>
      <c r="HK89" s="79">
        <f t="shared" si="313"/>
        <v>1.1779999999999999</v>
      </c>
      <c r="HL89" s="79">
        <f t="shared" si="314"/>
        <v>3.6649999999999991</v>
      </c>
      <c r="HM89" s="79">
        <f t="shared" si="315"/>
        <v>1.1949999999999998</v>
      </c>
      <c r="HN89" s="79">
        <f t="shared" si="316"/>
        <v>-1.2150000000000001</v>
      </c>
      <c r="HO89" s="79">
        <f t="shared" si="317"/>
        <v>-0.24500000000000011</v>
      </c>
      <c r="HP89" s="79">
        <f t="shared" si="318"/>
        <v>1.323</v>
      </c>
      <c r="HQ89" s="79">
        <f t="shared" si="319"/>
        <v>5.9009999999999989</v>
      </c>
      <c r="HR89" s="79">
        <f t="shared" si="383"/>
        <v>40.890000000000008</v>
      </c>
      <c r="HS89" s="23">
        <f t="shared" si="321"/>
        <v>0.12611399628133613</v>
      </c>
      <c r="HT89" s="28">
        <v>40.792000000000002</v>
      </c>
      <c r="HU89" s="79">
        <v>0.877</v>
      </c>
      <c r="HV89" s="79">
        <v>2.9390000000000001</v>
      </c>
      <c r="HW89" s="79">
        <v>0.14199999999999999</v>
      </c>
      <c r="HX89" s="79">
        <v>0.83499999999999996</v>
      </c>
      <c r="HY89" s="79">
        <v>2.226</v>
      </c>
      <c r="HZ89" s="79">
        <v>0.93300000000000005</v>
      </c>
      <c r="IA89" s="79">
        <v>-1.5169999999999999</v>
      </c>
      <c r="IB89" s="79">
        <v>0.45100000000000001</v>
      </c>
      <c r="IC89" s="79">
        <f t="shared" si="322"/>
        <v>7.47</v>
      </c>
      <c r="ID89" s="79">
        <f t="shared" si="347"/>
        <v>33.322000000000003</v>
      </c>
      <c r="IE89" s="23">
        <f t="shared" si="348"/>
        <v>0.1831241419886252</v>
      </c>
      <c r="IF89" s="316">
        <v>5.9989999999999997</v>
      </c>
      <c r="IG89" s="153">
        <v>0.30199999999999999</v>
      </c>
      <c r="IH89" s="153">
        <v>0.72599999999999998</v>
      </c>
      <c r="II89" s="153">
        <v>1.0529999999999999</v>
      </c>
      <c r="IJ89" s="153">
        <v>-2.0499999999999998</v>
      </c>
      <c r="IK89" s="153">
        <v>-2.4700000000000002</v>
      </c>
      <c r="IL89" s="153">
        <v>-3.1110000000000002</v>
      </c>
      <c r="IM89" s="153"/>
      <c r="IN89" s="153">
        <v>0.872</v>
      </c>
      <c r="IO89" s="153">
        <f t="shared" si="349"/>
        <v>-1.5670000000000002</v>
      </c>
      <c r="IP89" s="153">
        <f t="shared" si="235"/>
        <v>7.5659999999999998</v>
      </c>
      <c r="IQ89" s="258">
        <f t="shared" si="350"/>
        <v>5.9909999999999997</v>
      </c>
      <c r="IR89" s="5">
        <f t="shared" si="323"/>
        <v>871.31600000000003</v>
      </c>
      <c r="IS89" s="79">
        <f t="shared" si="351"/>
        <v>76.120999999999981</v>
      </c>
      <c r="IT89" s="79">
        <f t="shared" si="288"/>
        <v>0</v>
      </c>
      <c r="IU89" s="79">
        <f t="shared" si="352"/>
        <v>48.978000000000002</v>
      </c>
      <c r="IV89" s="79">
        <f t="shared" si="324"/>
        <v>40.792000000000002</v>
      </c>
      <c r="IW89" s="79">
        <v>5.9989999999999997</v>
      </c>
      <c r="IX89" s="79">
        <f t="shared" si="353"/>
        <v>-19.648000000000021</v>
      </c>
      <c r="IY89" s="79"/>
      <c r="IZ89" s="79"/>
      <c r="JA89" s="79"/>
      <c r="JB89" s="23">
        <f t="shared" si="162"/>
        <v>0.11805809983198744</v>
      </c>
      <c r="JC89" s="23">
        <f t="shared" si="163"/>
        <v>2.732060592921793E-2</v>
      </c>
      <c r="JD89" s="23">
        <f t="shared" si="164"/>
        <v>9.0737493902769514E-2</v>
      </c>
      <c r="JE89" s="22">
        <f t="shared" si="325"/>
        <v>6.6362256788249962E-3</v>
      </c>
      <c r="JF89" s="22">
        <f t="shared" si="326"/>
        <v>5.5270717034307092E-3</v>
      </c>
      <c r="JG89" s="22">
        <f t="shared" si="327"/>
        <v>8.1282857297707446E-4</v>
      </c>
      <c r="JH89" s="5">
        <v>871.31600000000003</v>
      </c>
      <c r="JI89" s="725">
        <f t="shared" si="391"/>
        <v>68.58420000000001</v>
      </c>
      <c r="JJ89" s="76">
        <v>11.339</v>
      </c>
      <c r="JK89" s="76">
        <v>68.619</v>
      </c>
      <c r="JL89" s="76">
        <v>10.257999999999999</v>
      </c>
      <c r="JM89" s="76">
        <v>30.634</v>
      </c>
      <c r="JN89" s="76">
        <f t="shared" si="354"/>
        <v>62.760999999999996</v>
      </c>
      <c r="JO89" s="76">
        <v>38.070999999999998</v>
      </c>
      <c r="JP89" s="76">
        <v>24.69</v>
      </c>
      <c r="JQ89" s="76">
        <v>4.415</v>
      </c>
      <c r="JR89" s="76">
        <v>18.026</v>
      </c>
      <c r="JS89" s="76">
        <f t="shared" si="287"/>
        <v>201.637</v>
      </c>
      <c r="JT89" s="76">
        <f t="shared" si="355"/>
        <v>669.67900000000009</v>
      </c>
      <c r="JU89" s="23">
        <f t="shared" si="356"/>
        <v>0.23141661578577691</v>
      </c>
      <c r="JV89" s="23">
        <f t="shared" si="357"/>
        <v>1.3013648320471563E-2</v>
      </c>
      <c r="JW89" s="23">
        <f t="shared" si="358"/>
        <v>7.8753288129679702E-2</v>
      </c>
      <c r="JX89" s="23">
        <f t="shared" si="359"/>
        <v>1.1772996249351554E-2</v>
      </c>
      <c r="JY89" s="23">
        <f t="shared" si="360"/>
        <v>3.5158312254107579E-2</v>
      </c>
      <c r="JZ89" s="23">
        <f t="shared" si="361"/>
        <v>7.203012454723659E-2</v>
      </c>
      <c r="KA89" s="23">
        <f t="shared" si="362"/>
        <v>2.068824628492992E-2</v>
      </c>
      <c r="KB89" s="149">
        <v>73.801000000000002</v>
      </c>
      <c r="KC89" s="316">
        <v>178.10599999999999</v>
      </c>
      <c r="KD89" s="316">
        <v>104.30500000000001</v>
      </c>
      <c r="KE89" s="589">
        <f t="shared" si="242"/>
        <v>0.58563439749362745</v>
      </c>
      <c r="KF89" s="1071">
        <v>0</v>
      </c>
      <c r="KG89" s="319">
        <f t="shared" si="243"/>
        <v>-2.8735000000000004</v>
      </c>
      <c r="KH89" s="319">
        <f t="shared" si="244"/>
        <v>-2.3434999999999997</v>
      </c>
      <c r="KI89" s="321">
        <f t="shared" si="245"/>
        <v>0.35400000000000009</v>
      </c>
      <c r="KJ89" s="319">
        <f t="shared" si="246"/>
        <v>-1.3679999999999999</v>
      </c>
      <c r="KK89" s="319">
        <f t="shared" si="285"/>
        <v>2.8049999999999975</v>
      </c>
      <c r="KL89" s="319">
        <f t="shared" si="248"/>
        <v>-11.678500000000001</v>
      </c>
      <c r="KM89" s="319"/>
      <c r="KN89" s="319"/>
      <c r="KO89" s="319"/>
      <c r="KP89" s="319">
        <f t="shared" si="454"/>
        <v>1.006</v>
      </c>
      <c r="KQ89" s="153">
        <f t="shared" si="328"/>
        <v>-2.4200000000000026</v>
      </c>
      <c r="KR89" s="153">
        <f t="shared" si="329"/>
        <v>76.221000000000004</v>
      </c>
      <c r="KS89" s="23">
        <f t="shared" si="178"/>
        <v>1.0327489024985096E-2</v>
      </c>
      <c r="KT89" s="23"/>
      <c r="KU89" s="326">
        <v>797.51400000000001</v>
      </c>
      <c r="KV89" s="430">
        <f t="shared" si="252"/>
        <v>68.58420000000001</v>
      </c>
      <c r="KW89" s="322">
        <f t="shared" si="181"/>
        <v>14.2125</v>
      </c>
      <c r="KX89" s="322">
        <f t="shared" si="182"/>
        <v>70.962500000000006</v>
      </c>
      <c r="KY89" s="322">
        <f t="shared" si="183"/>
        <v>9.9039999999999999</v>
      </c>
      <c r="KZ89" s="322">
        <f t="shared" si="184"/>
        <v>32.002000000000002</v>
      </c>
      <c r="LA89" s="322">
        <f t="shared" si="185"/>
        <v>59.955999999999996</v>
      </c>
      <c r="LB89" s="322">
        <f t="shared" si="186"/>
        <v>49.749499999999998</v>
      </c>
      <c r="LC89" s="322"/>
      <c r="LD89" s="322">
        <f t="shared" si="455"/>
        <v>17.02</v>
      </c>
      <c r="LE89" s="322">
        <f t="shared" si="456"/>
        <v>204.05700000000002</v>
      </c>
      <c r="LF89" s="322">
        <f t="shared" si="190"/>
        <v>0</v>
      </c>
      <c r="LG89" s="322">
        <f t="shared" si="191"/>
        <v>593.45800000000008</v>
      </c>
      <c r="LH89" s="367">
        <f t="shared" si="192"/>
        <v>0.25586635469722163</v>
      </c>
      <c r="LI89" s="248">
        <f t="shared" si="457"/>
        <v>1.7821003769212831E-2</v>
      </c>
      <c r="LJ89" s="248">
        <f t="shared" si="458"/>
        <v>8.897962919773196E-2</v>
      </c>
      <c r="LK89" s="248">
        <f t="shared" si="459"/>
        <v>1.2418590770820324E-2</v>
      </c>
      <c r="LL89" s="248">
        <f t="shared" si="460"/>
        <v>4.0127195259268181E-2</v>
      </c>
      <c r="LM89" s="248">
        <f t="shared" si="461"/>
        <v>7.5178617554049199E-2</v>
      </c>
      <c r="LN89" s="248">
        <f t="shared" si="462"/>
        <v>6.2380723097023999E-2</v>
      </c>
      <c r="LO89" s="248"/>
      <c r="LP89" s="248">
        <f t="shared" si="463"/>
        <v>2.1341318146139127E-2</v>
      </c>
      <c r="LQ89" s="248">
        <f t="shared" si="201"/>
        <v>0.10805837082000976</v>
      </c>
      <c r="LR89" s="23">
        <f t="shared" si="202"/>
        <v>8.0410004877784422E-2</v>
      </c>
      <c r="LS89" s="23">
        <f t="shared" si="203"/>
        <v>2.7648501436236522E-2</v>
      </c>
      <c r="LT89" s="326">
        <v>231.18700000000001</v>
      </c>
      <c r="LU89" s="153">
        <f t="shared" si="363"/>
        <v>0</v>
      </c>
      <c r="LV89" s="153">
        <f t="shared" si="204"/>
        <v>73.801000000000002</v>
      </c>
      <c r="LW89" s="153">
        <f t="shared" si="283"/>
        <v>104.30500000000001</v>
      </c>
      <c r="LX89" s="153">
        <v>53.081000000000003</v>
      </c>
      <c r="LY89" s="23">
        <f>LX89/Liabilities!GT89</f>
        <v>8.233825057781502E-2</v>
      </c>
      <c r="LZ89" s="23">
        <f t="shared" si="253"/>
        <v>0.22825923361729028</v>
      </c>
      <c r="MA89" s="425">
        <v>336.85300000000001</v>
      </c>
      <c r="MB89" s="153">
        <f t="shared" si="364"/>
        <v>9.9999999999056399E-4</v>
      </c>
      <c r="MC89" s="153">
        <v>179.46600000000001</v>
      </c>
      <c r="MD89" s="153">
        <f t="shared" si="365"/>
        <v>53.081000000000003</v>
      </c>
      <c r="ME89" s="153">
        <f t="shared" si="366"/>
        <v>104.30500000000001</v>
      </c>
      <c r="MF89" s="153">
        <v>232.547</v>
      </c>
      <c r="MG89" s="153">
        <f t="shared" si="208"/>
        <v>178.10599999999999</v>
      </c>
      <c r="MH89" s="326">
        <f t="shared" si="209"/>
        <v>797.51400000000001</v>
      </c>
      <c r="MI89" s="1008">
        <f>FoF_RoW!$BH59/1000</f>
        <v>1068.0630000000001</v>
      </c>
      <c r="MJ89" s="1008">
        <v>1225.4480000000001</v>
      </c>
      <c r="MK89" s="1008">
        <f>FoF_RoW!$AU59/1000</f>
        <v>104.80800000000001</v>
      </c>
      <c r="ML89" s="1008">
        <f t="shared" si="254"/>
        <v>78.253000000000156</v>
      </c>
      <c r="MM89" s="425">
        <f t="shared" si="210"/>
        <v>994.26200000000006</v>
      </c>
      <c r="MN89" s="23">
        <f t="shared" si="211"/>
        <v>1.2467016253006218</v>
      </c>
      <c r="MO89" s="153">
        <v>2036.671</v>
      </c>
      <c r="MP89" s="425">
        <v>1805.4839999999999</v>
      </c>
      <c r="MQ89" s="23">
        <f t="shared" si="367"/>
        <v>2.2638900382939986</v>
      </c>
      <c r="MR89" s="23">
        <f t="shared" si="368"/>
        <v>1.8159036551733847</v>
      </c>
      <c r="MS89" s="153">
        <f t="shared" si="212"/>
        <v>73.801000000000002</v>
      </c>
      <c r="MT89" s="153">
        <v>231.18700000000001</v>
      </c>
      <c r="MU89" s="153">
        <v>336.85300000000001</v>
      </c>
      <c r="MV89" s="153">
        <v>1457.942</v>
      </c>
      <c r="MW89" s="153">
        <v>644.66999999999996</v>
      </c>
      <c r="MX89" s="23">
        <f t="shared" si="369"/>
        <v>2.2615322568135636</v>
      </c>
      <c r="MY89" s="425">
        <f t="shared" si="255"/>
        <v>-864.15399999999943</v>
      </c>
      <c r="MZ89" s="23">
        <f t="shared" si="213"/>
        <v>-0.11708769172402572</v>
      </c>
      <c r="NA89" s="153">
        <v>5536.5140000000001</v>
      </c>
      <c r="NB89" s="153">
        <v>6324.7389999999996</v>
      </c>
      <c r="NC89" s="425">
        <f t="shared" si="330"/>
        <v>-862.10399999999925</v>
      </c>
      <c r="ND89" s="23">
        <f t="shared" si="331"/>
        <v>-0.11680992900113805</v>
      </c>
      <c r="NE89" s="330">
        <f t="shared" si="332"/>
        <v>243.9260000000001</v>
      </c>
      <c r="NF89" s="23">
        <f t="shared" si="333"/>
        <v>3.3050512167362218E-2</v>
      </c>
      <c r="NG89" s="330">
        <f t="shared" si="334"/>
        <v>241.87599999999981</v>
      </c>
      <c r="NH89" s="23">
        <f t="shared" si="335"/>
        <v>3.277274944447453E-2</v>
      </c>
      <c r="NI89" s="330">
        <v>75.929000000000002</v>
      </c>
      <c r="NJ89" s="425">
        <f t="shared" si="63"/>
        <v>72.373000000000005</v>
      </c>
      <c r="NK89" s="403">
        <f t="shared" si="393"/>
        <v>9.8061080700233057E-3</v>
      </c>
      <c r="NL89" s="153">
        <v>72.373000000000005</v>
      </c>
      <c r="NM89" s="153">
        <v>115.32299999999999</v>
      </c>
      <c r="NN89" s="153">
        <v>42.95</v>
      </c>
      <c r="NO89" s="425">
        <f t="shared" si="100"/>
        <v>17.002999999999986</v>
      </c>
      <c r="NP89" s="153">
        <v>259.08699999999999</v>
      </c>
      <c r="NQ89" s="153">
        <v>242.084</v>
      </c>
      <c r="NR89" s="403">
        <f t="shared" si="394"/>
        <v>2.3038046718335033E-3</v>
      </c>
      <c r="NS89" s="403">
        <f t="shared" si="395"/>
        <v>9.8061080700233057E-3</v>
      </c>
      <c r="NT89" s="403">
        <f t="shared" si="396"/>
        <v>-7.5023033981898024E-3</v>
      </c>
      <c r="NU89" s="727">
        <f t="shared" si="215"/>
        <v>5.6870623057307626E-2</v>
      </c>
      <c r="NV89" s="688">
        <f t="shared" si="216"/>
        <v>0.1032715722817527</v>
      </c>
      <c r="NW89" s="688">
        <f t="shared" si="217"/>
        <v>0.12874883701101172</v>
      </c>
      <c r="NX89" s="793">
        <f>(ER89-T.A2!B41*T.A1!M41)/MP89</f>
        <v>4.8656180083467532E-2</v>
      </c>
      <c r="NY89" s="688">
        <f>Liabilities!BU89/Liabilities!GY89</f>
        <v>2.1100290683717184E-2</v>
      </c>
      <c r="NZ89" s="688">
        <f>Liabilities!BU89/Liabilities!GT89</f>
        <v>4.7718988009369134E-2</v>
      </c>
      <c r="OA89" s="688">
        <f>Liabilities!BU89/Liabilities!GR89</f>
        <v>6.1235011226650954E-2</v>
      </c>
      <c r="OB89" s="688">
        <f t="shared" si="256"/>
        <v>3.5770332373590438E-2</v>
      </c>
      <c r="OC89" s="688">
        <f t="shared" si="257"/>
        <v>5.5552584272383562E-2</v>
      </c>
      <c r="OD89" s="688"/>
      <c r="OE89" s="793">
        <f t="shared" si="218"/>
        <v>0.11386133634796461</v>
      </c>
      <c r="OF89" s="793">
        <f>OE89/(1-'Assets(MOFA)'!GU42)</f>
        <v>0.16988709085364895</v>
      </c>
      <c r="OG89" s="793">
        <f>Liabilities!HV89</f>
        <v>5.0909325010298871E-2</v>
      </c>
      <c r="OH89" s="793">
        <f t="shared" si="438"/>
        <v>6.2952011337665731E-2</v>
      </c>
      <c r="OI89" s="22">
        <f t="shared" si="336"/>
        <v>2.7320808956464129E-2</v>
      </c>
      <c r="OJ89" s="22">
        <f t="shared" si="337"/>
        <v>2.6374574564977708E-2</v>
      </c>
      <c r="OK89" s="403">
        <f>Liabilities!CT89/LX89</f>
        <v>3.3948117028692E-2</v>
      </c>
      <c r="OL89" s="403">
        <f>Liabilities!CU89/MF89</f>
        <v>4.7233462482852928E-2</v>
      </c>
      <c r="OM89" s="153"/>
      <c r="OO89" s="186">
        <f t="shared" si="221"/>
        <v>0.11162293142521276</v>
      </c>
      <c r="OP89" s="308">
        <f t="shared" si="370"/>
        <v>0.13471654652864345</v>
      </c>
      <c r="OQ89" s="308">
        <f t="shared" si="371"/>
        <v>1.5037455835008252E-2</v>
      </c>
      <c r="OR89" s="313">
        <f t="shared" si="372"/>
        <v>0</v>
      </c>
      <c r="OS89" s="23">
        <f t="shared" si="373"/>
        <v>0.14802022582884541</v>
      </c>
      <c r="OT89" s="23">
        <f t="shared" si="374"/>
        <v>0.14235825587252274</v>
      </c>
      <c r="OU89" s="23">
        <f t="shared" si="375"/>
        <v>0.13553846615720927</v>
      </c>
      <c r="OV89" s="23">
        <f t="shared" si="376"/>
        <v>0.13839351743450615</v>
      </c>
      <c r="OW89" s="23">
        <f t="shared" si="377"/>
        <v>0.10121295570381113</v>
      </c>
      <c r="OX89" s="23">
        <f t="shared" si="378"/>
        <v>7.4658205757756363E-2</v>
      </c>
      <c r="OY89" s="23">
        <f t="shared" si="379"/>
        <v>0.17510364589702651</v>
      </c>
      <c r="OZ89" s="23">
        <f t="shared" si="380"/>
        <v>0.13244174682099372</v>
      </c>
      <c r="PA89" s="23">
        <f t="shared" si="381"/>
        <v>0.10460850390538898</v>
      </c>
      <c r="PB89" s="23">
        <f t="shared" si="382"/>
        <v>2.7833242915604739E-2</v>
      </c>
      <c r="PC89" s="23"/>
      <c r="PD89" s="23"/>
      <c r="PE89" s="23"/>
      <c r="PF89" s="23"/>
      <c r="PG89" s="69"/>
      <c r="PH89" s="23">
        <f>'Assets(MOFA)'!GU42</f>
        <v>0.32978229378209972</v>
      </c>
      <c r="PI89" s="23">
        <f>'Assets(MOFA)'!HM42</f>
        <v>0.30755388156518099</v>
      </c>
      <c r="PJ89" s="11">
        <f t="shared" si="222"/>
        <v>4.5868656152459844E-2</v>
      </c>
      <c r="PK89" s="11">
        <f>Liabilities!JA89/MW89/1000</f>
        <v>4.0133711821552114E-2</v>
      </c>
      <c r="PL89" s="11">
        <f>'Assets(MOFA)'!GO42/MM89/1000</f>
        <v>3.6957059608030883E-2</v>
      </c>
      <c r="PM89" s="11">
        <f t="shared" si="429"/>
        <v>3.1766522135212305E-3</v>
      </c>
    </row>
    <row r="90" spans="2:429">
      <c r="B90" s="71">
        <v>1998</v>
      </c>
      <c r="C90" s="43">
        <v>7857.3</v>
      </c>
      <c r="D90" s="5">
        <v>804.1</v>
      </c>
      <c r="E90" s="6">
        <f t="shared" si="397"/>
        <v>0.10233795324093518</v>
      </c>
      <c r="F90" s="72">
        <f t="shared" si="398"/>
        <v>0</v>
      </c>
      <c r="G90" s="76">
        <f t="shared" si="399"/>
        <v>701.30000000000007</v>
      </c>
      <c r="H90" s="23">
        <f t="shared" si="400"/>
        <v>8.9254578544792754E-2</v>
      </c>
      <c r="I90" s="74">
        <v>102.8</v>
      </c>
      <c r="J90" s="19">
        <f t="shared" si="401"/>
        <v>1.3083374696142441E-2</v>
      </c>
      <c r="K90" s="6">
        <f t="shared" si="402"/>
        <v>0.12784479542345478</v>
      </c>
      <c r="L90" s="136">
        <v>146.69999999999999</v>
      </c>
      <c r="M90" s="19">
        <f t="shared" si="403"/>
        <v>1.8670535680195485E-2</v>
      </c>
      <c r="N90" s="63">
        <f t="shared" si="404"/>
        <v>0.18243999502549432</v>
      </c>
      <c r="O90" s="5">
        <f t="shared" si="405"/>
        <v>804.1</v>
      </c>
      <c r="P90" s="75">
        <f t="shared" si="406"/>
        <v>0</v>
      </c>
      <c r="Q90" s="271">
        <v>834.5</v>
      </c>
      <c r="R90" s="202">
        <v>119.5</v>
      </c>
      <c r="S90" s="53">
        <f t="shared" si="407"/>
        <v>0.14861335654769306</v>
      </c>
      <c r="T90" s="74">
        <v>25.8</v>
      </c>
      <c r="U90" s="74">
        <v>76</v>
      </c>
      <c r="V90" s="207">
        <v>201</v>
      </c>
      <c r="W90" s="53">
        <f t="shared" si="408"/>
        <v>0.24996890933963437</v>
      </c>
      <c r="X90" s="75">
        <f t="shared" si="409"/>
        <v>-50.699999999999932</v>
      </c>
      <c r="Y90" s="187">
        <v>125.848938</v>
      </c>
      <c r="Z90" s="75">
        <f t="shared" si="436"/>
        <v>-9.6102524837267964</v>
      </c>
      <c r="AA90" s="75"/>
      <c r="AB90" s="75"/>
      <c r="AC90" s="75">
        <f t="shared" si="437"/>
        <v>116.23868551627321</v>
      </c>
      <c r="AD90" s="23">
        <f t="shared" si="410"/>
        <v>0.14455749970933118</v>
      </c>
      <c r="AE90" s="76">
        <f>NIPA_Scorp!C11/1000</f>
        <v>149.95400000000001</v>
      </c>
      <c r="AF90" s="76">
        <v>114.47283901051873</v>
      </c>
      <c r="AG90" s="23">
        <f t="shared" si="385"/>
        <v>0.18648675537868425</v>
      </c>
      <c r="AH90" s="97">
        <v>248.4</v>
      </c>
      <c r="AI90" s="22">
        <f t="shared" si="411"/>
        <v>3.1613913176281927E-2</v>
      </c>
      <c r="AJ90" s="22">
        <f t="shared" si="412"/>
        <v>2.8228526338564139E-2</v>
      </c>
      <c r="AK90" s="99">
        <f t="shared" si="413"/>
        <v>0.10000000000002274</v>
      </c>
      <c r="AL90" s="71">
        <v>177.6</v>
      </c>
      <c r="AM90" s="72">
        <f>(0.25*Fedtax!C71+0.75*Fedtax!C70)/1000</f>
        <v>187.67775</v>
      </c>
      <c r="AN90" s="71">
        <v>34.9</v>
      </c>
      <c r="AO90" s="255">
        <v>9.1999999999999993</v>
      </c>
      <c r="AP90" s="71">
        <v>26.6</v>
      </c>
      <c r="AQ90" s="6">
        <f t="shared" si="414"/>
        <v>7.0724040064653257E-2</v>
      </c>
      <c r="AR90" s="207">
        <v>39.799999999999997</v>
      </c>
      <c r="AS90" s="714">
        <v>37.338380000000001</v>
      </c>
      <c r="AT90" s="210">
        <v>4.6633069999999996</v>
      </c>
      <c r="AU90" s="205">
        <f t="shared" si="386"/>
        <v>0.12489312605421016</v>
      </c>
      <c r="AV90" s="707">
        <v>40.684297999999998</v>
      </c>
      <c r="AW90" s="210">
        <v>5.4077780000000004</v>
      </c>
      <c r="AX90" s="210">
        <f t="shared" si="387"/>
        <v>35.276519999999998</v>
      </c>
      <c r="AY90" s="205">
        <f t="shared" si="388"/>
        <v>0.13292051886946657</v>
      </c>
      <c r="AZ90" s="777">
        <v>38.207327999999997</v>
      </c>
      <c r="BA90" s="772">
        <f t="shared" si="389"/>
        <v>2.930807999999999</v>
      </c>
      <c r="BB90" s="205">
        <f t="shared" si="390"/>
        <v>7.6708007427266287E-2</v>
      </c>
      <c r="BC90" s="210">
        <v>9.3686589999999992</v>
      </c>
      <c r="BD90" s="722">
        <f>'Assets(MOFA)'!FJ43/1000</f>
        <v>40.536000000000001</v>
      </c>
      <c r="BE90" s="753">
        <f t="shared" si="105"/>
        <v>1.0036584270771658</v>
      </c>
      <c r="BF90" s="234">
        <v>0.35</v>
      </c>
      <c r="BG90" s="437"/>
      <c r="BH90" s="140">
        <f t="shared" ref="BH90:BH108" si="464">(AL90+AN90)/(G90+L90-T90)</f>
        <v>0.2584529311603016</v>
      </c>
      <c r="BI90" s="248">
        <f t="shared" si="384"/>
        <v>0.31610452126156197</v>
      </c>
      <c r="BJ90" s="23">
        <f t="shared" ref="BJ90:BJ108" si="465">(AH90-AP90-AO90)/(G90+L90-T90+V90)</f>
        <v>0.20777951524628618</v>
      </c>
      <c r="BK90" s="32">
        <f t="shared" ref="BK90:BK108" si="466">(AH90-AP90-AO90+AR90)/(G90+L90-T90+AR90)</f>
        <v>0.29280742459396758</v>
      </c>
      <c r="BL90" s="32">
        <f t="shared" ref="BL90:BL108" si="467">AVERAGE(BK86:BK90)</f>
        <v>0.29139435990377688</v>
      </c>
      <c r="BM90" s="248">
        <f t="shared" ref="BM90:BM105" si="468">(AH90-AP90-AO90+AR90)/(G90+L90-T90+AR90-AC90)</f>
        <v>0.33844608871235254</v>
      </c>
      <c r="BN90" s="23">
        <f t="shared" ref="BN90:BN108" si="469">(AH90-AP90)/Q90</f>
        <v>0.26578789694427801</v>
      </c>
      <c r="BO90" s="23">
        <f t="shared" ref="BO90:BO108" si="470">(AH90-AP90)/(Q90+R90)</f>
        <v>0.23249475890985327</v>
      </c>
      <c r="BP90" s="149">
        <f t="shared" si="415"/>
        <v>804.1</v>
      </c>
      <c r="BQ90" s="99">
        <f t="shared" si="416"/>
        <v>-0.10000000000002274</v>
      </c>
      <c r="BR90" s="153">
        <f t="shared" si="417"/>
        <v>248.4</v>
      </c>
      <c r="BS90" s="79">
        <v>357.1</v>
      </c>
      <c r="BT90" s="79">
        <v>198.7</v>
      </c>
      <c r="BU90" s="23">
        <f t="shared" si="223"/>
        <v>0.24710856858599675</v>
      </c>
      <c r="BV90" s="71">
        <v>138.19999999999999</v>
      </c>
      <c r="BW90" s="71">
        <f t="shared" si="418"/>
        <v>60.5</v>
      </c>
      <c r="BX90" s="23">
        <f t="shared" si="419"/>
        <v>7.523939808481532E-2</v>
      </c>
      <c r="BY90" s="23">
        <f t="shared" si="289"/>
        <v>2.1392861584380054E-2</v>
      </c>
      <c r="BZ90" s="23">
        <f t="shared" si="290"/>
        <v>0.17047887100610484</v>
      </c>
      <c r="CA90" s="23">
        <f t="shared" si="291"/>
        <v>0.19164015088892522</v>
      </c>
      <c r="CB90" s="23">
        <f t="shared" si="262"/>
        <v>0.58852140077821014</v>
      </c>
      <c r="CC90" s="169">
        <f t="shared" si="420"/>
        <v>146.69999999999999</v>
      </c>
      <c r="CD90" s="174"/>
      <c r="CE90" s="76"/>
      <c r="CF90" s="76">
        <f t="shared" si="58"/>
        <v>100.904</v>
      </c>
      <c r="CG90" s="76"/>
      <c r="CH90" s="23">
        <f t="shared" si="392"/>
        <v>0.68782549420586236</v>
      </c>
      <c r="CI90" s="182">
        <v>103.96299999999999</v>
      </c>
      <c r="CJ90" s="79">
        <f t="shared" si="292"/>
        <v>0</v>
      </c>
      <c r="CK90" s="79">
        <f t="shared" si="60"/>
        <v>100.904</v>
      </c>
      <c r="CL90" s="159">
        <v>56.741999999999997</v>
      </c>
      <c r="CM90" s="159">
        <v>44.161999999999999</v>
      </c>
      <c r="CN90" s="159">
        <v>63.5</v>
      </c>
      <c r="CO90" s="159">
        <f t="shared" si="338"/>
        <v>19.338000000000001</v>
      </c>
      <c r="CP90" s="79">
        <v>3.0590000000000002</v>
      </c>
      <c r="CQ90" s="79">
        <v>5.6580000000000004</v>
      </c>
      <c r="CR90" s="79">
        <v>2.5990000000000002</v>
      </c>
      <c r="CS90" s="23">
        <f t="shared" si="293"/>
        <v>0.43766352176326012</v>
      </c>
      <c r="CT90" s="23">
        <f t="shared" si="294"/>
        <v>3.2321850516104965E-3</v>
      </c>
      <c r="CU90" s="73">
        <v>11.64</v>
      </c>
      <c r="CV90" s="378">
        <f t="shared" si="295"/>
        <v>1.1631822828551529E-2</v>
      </c>
      <c r="CW90" s="378">
        <f t="shared" si="296"/>
        <v>0.11196290988140012</v>
      </c>
      <c r="CX90" s="79">
        <f t="shared" si="297"/>
        <v>92.322999999999993</v>
      </c>
      <c r="CY90" s="79">
        <f t="shared" si="298"/>
        <v>1.6469999999999914</v>
      </c>
      <c r="CZ90" s="293">
        <f t="shared" si="299"/>
        <v>103.96299999999999</v>
      </c>
      <c r="DA90" s="136"/>
      <c r="DB90" s="79"/>
      <c r="DC90" s="79"/>
      <c r="DD90" s="79"/>
      <c r="DE90" s="79"/>
      <c r="DF90" s="79"/>
      <c r="DG90" s="79"/>
      <c r="DH90" s="79"/>
      <c r="DI90" s="182">
        <v>90.676000000000002</v>
      </c>
      <c r="DJ90" s="79">
        <v>4.5650000000000004</v>
      </c>
      <c r="DK90" s="79">
        <v>10.077999999999999</v>
      </c>
      <c r="DL90" s="79">
        <v>1.7430000000000001</v>
      </c>
      <c r="DM90" s="79">
        <v>6.1520000000000001</v>
      </c>
      <c r="DN90" s="79">
        <v>6.8380000000000001</v>
      </c>
      <c r="DO90" s="79">
        <v>3.6579999999999999</v>
      </c>
      <c r="DP90" s="79">
        <v>7.8E-2</v>
      </c>
      <c r="DQ90" s="79">
        <v>1.7709999999999999</v>
      </c>
      <c r="DR90" s="79">
        <f t="shared" ref="DR90:DR108" si="471">DJ90+DK90+DL90+DM90+DN90+DQ90</f>
        <v>31.147000000000002</v>
      </c>
      <c r="DS90" s="79">
        <f t="shared" ref="DS90:DS108" si="472">DI90-DR90</f>
        <v>59.528999999999996</v>
      </c>
      <c r="DT90" s="79">
        <v>1.0209999999999999</v>
      </c>
      <c r="DU90" s="23">
        <f t="shared" ref="DU90:DU108" si="473">DT90/DS90</f>
        <v>1.7151304406255775E-2</v>
      </c>
      <c r="DV90" s="23">
        <f t="shared" ref="DV90:DV108" si="474">DJ90/$DI90</f>
        <v>5.0344082226829595E-2</v>
      </c>
      <c r="DW90" s="23">
        <f t="shared" ref="DW90:DW108" si="475">DK90/$DI90</f>
        <v>0.11114297057655828</v>
      </c>
      <c r="DX90" s="23">
        <f t="shared" ref="DX90:DX108" si="476">DL90/$DI90</f>
        <v>1.9222285941153116E-2</v>
      </c>
      <c r="DY90" s="23">
        <f t="shared" ref="DY90:DY108" si="477">DM90/$DI90</f>
        <v>6.7845957033834753E-2</v>
      </c>
      <c r="DZ90" s="23">
        <f t="shared" ref="DZ90:DZ108" si="478">DN90/$DI90</f>
        <v>7.5411354713485382E-2</v>
      </c>
      <c r="EA90" s="23">
        <f t="shared" ref="EA90:EA108" si="479">DO90/$DI90</f>
        <v>4.0341435440469364E-2</v>
      </c>
      <c r="EB90" s="23">
        <f t="shared" ref="EB90:EB108" si="480">DP90/DI90</f>
        <v>8.6020556707397768E-4</v>
      </c>
      <c r="EC90" s="23">
        <f t="shared" ref="EC90:EC108" si="481">DQ90/$DI90</f>
        <v>1.953107768317967E-2</v>
      </c>
      <c r="ED90" s="23">
        <f t="shared" ref="ED90:ED108" si="482">EC90+DZ90+DY90+DX90+DW90+DV90</f>
        <v>0.34349772817504076</v>
      </c>
      <c r="EE90" s="153">
        <v>28.707999999999998</v>
      </c>
      <c r="EF90" s="23">
        <f t="shared" si="300"/>
        <v>0.31659976178922755</v>
      </c>
      <c r="EG90" s="182">
        <v>32.521999999999998</v>
      </c>
      <c r="EH90" s="79">
        <v>3.6960000000000002</v>
      </c>
      <c r="EI90" s="79">
        <v>7.7759999999999998</v>
      </c>
      <c r="EJ90" s="79">
        <v>0.80300000000000005</v>
      </c>
      <c r="EK90" s="79">
        <v>4.5410000000000004</v>
      </c>
      <c r="EL90" s="79">
        <v>0.13500000000000001</v>
      </c>
      <c r="EM90" s="79">
        <v>0.251</v>
      </c>
      <c r="EN90" s="28">
        <f t="shared" si="301"/>
        <v>17.202000000000002</v>
      </c>
      <c r="EO90" s="23">
        <f t="shared" si="302"/>
        <v>0.55790805926747955</v>
      </c>
      <c r="EP90" s="79">
        <f t="shared" si="303"/>
        <v>15.319999999999997</v>
      </c>
      <c r="EQ90" s="23">
        <f t="shared" si="304"/>
        <v>0.52893425988561593</v>
      </c>
      <c r="ER90" s="182">
        <f t="shared" si="268"/>
        <v>87.617000000000004</v>
      </c>
      <c r="ES90" s="185"/>
      <c r="ET90" s="136">
        <f>'Assets(MOFA)'!W43/1000</f>
        <v>124.176</v>
      </c>
      <c r="EU90" s="136">
        <f t="shared" si="339"/>
        <v>83.64</v>
      </c>
      <c r="EV90" s="589">
        <f t="shared" si="340"/>
        <v>0.95460926532522228</v>
      </c>
      <c r="EW90" s="153">
        <f t="shared" si="439"/>
        <v>4.5681567527275195</v>
      </c>
      <c r="EX90" s="153">
        <f t="shared" si="440"/>
        <v>9.8909592058006357</v>
      </c>
      <c r="EY90" s="153">
        <f t="shared" si="441"/>
        <v>1.6560167649251203</v>
      </c>
      <c r="EZ90" s="153">
        <f t="shared" si="442"/>
        <v>6.1231674730636305</v>
      </c>
      <c r="FA90" s="153">
        <f t="shared" si="443"/>
        <v>6.8357762146777805</v>
      </c>
      <c r="FB90" s="153">
        <f t="shared" si="444"/>
        <v>4.0091663752795288</v>
      </c>
      <c r="FC90" s="153"/>
      <c r="FD90" s="153">
        <f t="shared" si="445"/>
        <v>1.758960886359016</v>
      </c>
      <c r="FE90" s="153">
        <f t="shared" ref="FE90:FE108" si="483">EW90+EX90+EY90+EZ90+FA90+FD90</f>
        <v>30.833037297553705</v>
      </c>
      <c r="FF90" s="153">
        <f t="shared" ref="FF90:FF108" si="484">DS90-GG90</f>
        <v>57.292153134105845</v>
      </c>
      <c r="FG90" s="23">
        <f t="shared" si="446"/>
        <v>5.2137790071875544E-2</v>
      </c>
      <c r="FH90" s="23">
        <f t="shared" si="447"/>
        <v>0.11288858561467108</v>
      </c>
      <c r="FI90" s="23">
        <f t="shared" si="448"/>
        <v>1.8900633038395748E-2</v>
      </c>
      <c r="FJ90" s="23">
        <f t="shared" si="449"/>
        <v>6.988560979106373E-2</v>
      </c>
      <c r="FK90" s="23">
        <f t="shared" si="450"/>
        <v>7.8018834412017984E-2</v>
      </c>
      <c r="FL90" s="23">
        <f t="shared" si="451"/>
        <v>4.5757859493928445E-2</v>
      </c>
      <c r="FM90" s="23"/>
      <c r="FN90" s="23">
        <f t="shared" si="452"/>
        <v>2.0075566229830009E-2</v>
      </c>
      <c r="FO90" s="23">
        <f t="shared" si="421"/>
        <v>0.35190701915785411</v>
      </c>
      <c r="FP90" s="23">
        <f t="shared" si="422"/>
        <v>0.64809298084214584</v>
      </c>
      <c r="FQ90" s="23">
        <f t="shared" si="423"/>
        <v>6.4201914824595432E-2</v>
      </c>
      <c r="FR90" s="23">
        <f t="shared" si="424"/>
        <v>0.11823808020089888</v>
      </c>
      <c r="FS90" s="23">
        <f t="shared" si="425"/>
        <v>6.570292557297951E-3</v>
      </c>
      <c r="FT90" s="393">
        <f t="shared" si="426"/>
        <v>3.6656191694616649E-3</v>
      </c>
      <c r="FU90" s="393">
        <f t="shared" si="427"/>
        <v>2.9046733878362861E-3</v>
      </c>
      <c r="FV90" s="23">
        <f t="shared" si="428"/>
        <v>1.2100243122897533E-2</v>
      </c>
      <c r="FW90" s="326">
        <f t="shared" si="305"/>
        <v>3.0590000000000002</v>
      </c>
      <c r="FX90" s="384">
        <f t="shared" si="430"/>
        <v>-3.1567527275191539E-3</v>
      </c>
      <c r="FY90" s="384">
        <f t="shared" si="431"/>
        <v>0.18704079419936304</v>
      </c>
      <c r="FZ90" s="384">
        <f t="shared" si="432"/>
        <v>8.6983235074879733E-2</v>
      </c>
      <c r="GA90" s="384">
        <f t="shared" si="433"/>
        <v>2.8832526936369188E-2</v>
      </c>
      <c r="GB90" s="384">
        <f t="shared" si="434"/>
        <v>2.2237853222199003E-3</v>
      </c>
      <c r="GC90" s="384">
        <f t="shared" si="435"/>
        <v>-0.35116637527952849</v>
      </c>
      <c r="GD90" s="153"/>
      <c r="GE90" s="153">
        <f t="shared" si="453"/>
        <v>1.2039113640983942E-2</v>
      </c>
      <c r="GF90" s="153">
        <f t="shared" ref="GF90:GF108" si="485">FX90+FY90+FZ90+GA90+GB90+GE90</f>
        <v>0.31396270244629659</v>
      </c>
      <c r="GG90" s="153">
        <f t="shared" si="277"/>
        <v>2.2368468658941523</v>
      </c>
      <c r="GH90" s="182">
        <v>131.00399999999999</v>
      </c>
      <c r="GI90" s="79">
        <v>7.891</v>
      </c>
      <c r="GJ90" s="79">
        <v>22.213000000000001</v>
      </c>
      <c r="GK90" s="79">
        <v>4.0839999999999996</v>
      </c>
      <c r="GL90" s="79">
        <v>8.2230000000000008</v>
      </c>
      <c r="GM90" s="79">
        <f t="shared" si="342"/>
        <v>3.6840000000000002</v>
      </c>
      <c r="GN90" s="79">
        <v>2.3580000000000001</v>
      </c>
      <c r="GO90" s="79">
        <v>1.3260000000000001</v>
      </c>
      <c r="GP90" s="79">
        <v>-0.11600000000000001</v>
      </c>
      <c r="GQ90" s="79">
        <v>0.26100000000000001</v>
      </c>
      <c r="GR90" s="79">
        <f t="shared" si="306"/>
        <v>46.356000000000002</v>
      </c>
      <c r="GS90" s="79">
        <f t="shared" si="343"/>
        <v>84.647999999999996</v>
      </c>
      <c r="GT90" s="23">
        <f t="shared" si="307"/>
        <v>0.35385179078501422</v>
      </c>
      <c r="GU90" s="362">
        <f t="shared" si="259"/>
        <v>104.96899999999999</v>
      </c>
      <c r="GV90" s="153">
        <f t="shared" si="344"/>
        <v>72.447000000000003</v>
      </c>
      <c r="GW90" s="153">
        <f t="shared" si="308"/>
        <v>32.521999999999998</v>
      </c>
      <c r="GX90" s="153">
        <f t="shared" si="309"/>
        <v>5.141</v>
      </c>
      <c r="GY90" s="153">
        <f t="shared" si="310"/>
        <v>12.552000000000001</v>
      </c>
      <c r="GZ90" s="153">
        <f t="shared" si="226"/>
        <v>1.0349999999999997</v>
      </c>
      <c r="HA90" s="153">
        <f t="shared" si="227"/>
        <v>5.7270000000000003</v>
      </c>
      <c r="HB90" s="153">
        <f t="shared" si="228"/>
        <v>6.4020000000000001</v>
      </c>
      <c r="HC90" s="153">
        <f t="shared" si="229"/>
        <v>4.4180000000000001</v>
      </c>
      <c r="HD90" s="352"/>
      <c r="HE90" s="153">
        <f t="shared" si="231"/>
        <v>0.79600000000000004</v>
      </c>
      <c r="HF90" s="153">
        <f t="shared" si="311"/>
        <v>31.652999999999999</v>
      </c>
      <c r="HG90" s="23">
        <f t="shared" si="345"/>
        <v>0.30154617077422857</v>
      </c>
      <c r="HH90" s="156">
        <f t="shared" si="346"/>
        <v>103.39499999999998</v>
      </c>
      <c r="HI90" s="182">
        <f t="shared" si="312"/>
        <v>98.481999999999999</v>
      </c>
      <c r="HJ90" s="79">
        <v>0</v>
      </c>
      <c r="HK90" s="79">
        <f t="shared" si="313"/>
        <v>4.1950000000000003</v>
      </c>
      <c r="HL90" s="79">
        <f t="shared" si="314"/>
        <v>14.437000000000001</v>
      </c>
      <c r="HM90" s="79">
        <f t="shared" si="315"/>
        <v>3.2809999999999997</v>
      </c>
      <c r="HN90" s="79">
        <f t="shared" si="316"/>
        <v>3.6820000000000004</v>
      </c>
      <c r="HO90" s="79">
        <f t="shared" si="317"/>
        <v>3.5490000000000004</v>
      </c>
      <c r="HP90" s="79">
        <f t="shared" si="318"/>
        <v>1.0000000000000009E-2</v>
      </c>
      <c r="HQ90" s="79">
        <f t="shared" si="319"/>
        <v>29.154000000000003</v>
      </c>
      <c r="HR90" s="79">
        <f t="shared" si="383"/>
        <v>69.328000000000003</v>
      </c>
      <c r="HS90" s="23">
        <f t="shared" si="321"/>
        <v>0.2960337929773969</v>
      </c>
      <c r="HT90" s="28">
        <v>72.447000000000003</v>
      </c>
      <c r="HU90" s="79">
        <v>1.4450000000000001</v>
      </c>
      <c r="HV90" s="79">
        <v>4.7759999999999998</v>
      </c>
      <c r="HW90" s="79">
        <v>0.23100000000000001</v>
      </c>
      <c r="HX90" s="79">
        <v>1.1859999999999999</v>
      </c>
      <c r="HY90" s="79">
        <v>6.2670000000000003</v>
      </c>
      <c r="HZ90" s="79">
        <v>2.262</v>
      </c>
      <c r="IA90" s="79">
        <v>-2.7E-2</v>
      </c>
      <c r="IB90" s="79">
        <v>0.54600000000000004</v>
      </c>
      <c r="IC90" s="79">
        <f t="shared" si="322"/>
        <v>14.451000000000001</v>
      </c>
      <c r="ID90" s="79">
        <f t="shared" si="347"/>
        <v>57.996000000000002</v>
      </c>
      <c r="IE90" s="23">
        <f t="shared" si="348"/>
        <v>0.19946995734813036</v>
      </c>
      <c r="IF90" s="316">
        <v>26.035</v>
      </c>
      <c r="IG90" s="153">
        <v>2.75</v>
      </c>
      <c r="IH90" s="153">
        <v>9.6609999999999996</v>
      </c>
      <c r="II90" s="153">
        <v>3.0489999999999999</v>
      </c>
      <c r="IJ90" s="153">
        <v>2.496</v>
      </c>
      <c r="IK90" s="153">
        <v>-2.718</v>
      </c>
      <c r="IL90" s="153">
        <v>-2.06</v>
      </c>
      <c r="IM90" s="153"/>
      <c r="IN90" s="153">
        <v>-0.53500000000000003</v>
      </c>
      <c r="IO90" s="153">
        <f t="shared" si="349"/>
        <v>14.702999999999999</v>
      </c>
      <c r="IP90" s="153">
        <f t="shared" si="235"/>
        <v>11.332000000000001</v>
      </c>
      <c r="IQ90" s="258">
        <f t="shared" si="350"/>
        <v>25.992999999999995</v>
      </c>
      <c r="IR90" s="5">
        <f t="shared" si="323"/>
        <v>1000.703</v>
      </c>
      <c r="IS90" s="79">
        <f t="shared" si="351"/>
        <v>129.38699999999994</v>
      </c>
      <c r="IT90" s="79">
        <f t="shared" si="288"/>
        <v>0</v>
      </c>
      <c r="IU90" s="79">
        <f t="shared" si="352"/>
        <v>32.521999999999998</v>
      </c>
      <c r="IV90" s="79">
        <f t="shared" si="324"/>
        <v>72.447000000000003</v>
      </c>
      <c r="IW90" s="79">
        <v>26.035</v>
      </c>
      <c r="IX90" s="79">
        <f t="shared" si="353"/>
        <v>-1.6170000000000506</v>
      </c>
      <c r="IY90" s="79"/>
      <c r="IZ90" s="79"/>
      <c r="JA90" s="79"/>
      <c r="JB90" s="23">
        <f t="shared" ref="JB90:JB108" si="486">IR90/C90</f>
        <v>0.12735965280694386</v>
      </c>
      <c r="JC90" s="23">
        <f t="shared" ref="JC90:JC108" si="487">JS90/C90</f>
        <v>3.1852672037468339E-2</v>
      </c>
      <c r="JD90" s="23">
        <f t="shared" ref="JD90:JD108" si="488">JT90/C90</f>
        <v>9.5506980769475502E-2</v>
      </c>
      <c r="JE90" s="22">
        <f t="shared" ref="JE90:JE108" si="489">IU90/C90</f>
        <v>4.1390808547465407E-3</v>
      </c>
      <c r="JF90" s="22">
        <f t="shared" si="326"/>
        <v>9.220342865869955E-3</v>
      </c>
      <c r="JG90" s="22">
        <f t="shared" si="327"/>
        <v>3.3134791849617554E-3</v>
      </c>
      <c r="JH90" s="5">
        <v>1000.703</v>
      </c>
      <c r="JI90" s="725">
        <f t="shared" si="391"/>
        <v>71.116600000000005</v>
      </c>
      <c r="JJ90" s="76">
        <v>21.824999999999999</v>
      </c>
      <c r="JK90" s="76">
        <v>89.977999999999994</v>
      </c>
      <c r="JL90" s="76">
        <v>14.571</v>
      </c>
      <c r="JM90" s="76">
        <v>38.225000000000001</v>
      </c>
      <c r="JN90" s="76">
        <f t="shared" si="354"/>
        <v>68.12700000000001</v>
      </c>
      <c r="JO90" s="76">
        <v>41.908000000000001</v>
      </c>
      <c r="JP90" s="76">
        <v>26.219000000000001</v>
      </c>
      <c r="JQ90" s="76">
        <v>3.8969999999999998</v>
      </c>
      <c r="JR90" s="76">
        <v>17.55</v>
      </c>
      <c r="JS90" s="76">
        <f t="shared" si="287"/>
        <v>250.27600000000001</v>
      </c>
      <c r="JT90" s="76">
        <f t="shared" si="355"/>
        <v>750.42699999999991</v>
      </c>
      <c r="JU90" s="23">
        <f t="shared" si="356"/>
        <v>0.25010017957375968</v>
      </c>
      <c r="JV90" s="23">
        <f t="shared" si="357"/>
        <v>2.1809667803534116E-2</v>
      </c>
      <c r="JW90" s="23">
        <f t="shared" si="358"/>
        <v>8.9914789902698397E-2</v>
      </c>
      <c r="JX90" s="23">
        <f t="shared" si="359"/>
        <v>1.4560763783060508E-2</v>
      </c>
      <c r="JY90" s="23">
        <f t="shared" si="360"/>
        <v>3.8198146702867884E-2</v>
      </c>
      <c r="JZ90" s="23">
        <f t="shared" si="361"/>
        <v>6.8079140364323887E-2</v>
      </c>
      <c r="KA90" s="23">
        <f t="shared" si="362"/>
        <v>1.7537671017274856E-2</v>
      </c>
      <c r="KB90" s="149">
        <v>99.793999999999997</v>
      </c>
      <c r="KC90" s="316">
        <v>221.35499999999999</v>
      </c>
      <c r="KD90" s="316">
        <v>121.56100000000001</v>
      </c>
      <c r="KE90" s="589">
        <f t="shared" si="242"/>
        <v>0.54916762666305263</v>
      </c>
      <c r="KF90" s="1071">
        <v>0</v>
      </c>
      <c r="KG90" s="319">
        <f t="shared" si="243"/>
        <v>-0.12350000000000039</v>
      </c>
      <c r="KH90" s="319">
        <f t="shared" si="244"/>
        <v>7.3174999999999999</v>
      </c>
      <c r="KI90" s="321">
        <f t="shared" si="245"/>
        <v>3.403</v>
      </c>
      <c r="KJ90" s="319">
        <f t="shared" si="246"/>
        <v>1.1280000000000001</v>
      </c>
      <c r="KK90" s="319">
        <f t="shared" si="285"/>
        <v>8.6999999999997524E-2</v>
      </c>
      <c r="KL90" s="319">
        <f t="shared" si="248"/>
        <v>-13.738500000000002</v>
      </c>
      <c r="KM90" s="319"/>
      <c r="KN90" s="319"/>
      <c r="KO90" s="319"/>
      <c r="KP90" s="319">
        <f t="shared" si="454"/>
        <v>0.47099999999999997</v>
      </c>
      <c r="KQ90" s="153">
        <f t="shared" si="328"/>
        <v>12.282999999999998</v>
      </c>
      <c r="KR90" s="153">
        <f t="shared" si="329"/>
        <v>87.510999999999996</v>
      </c>
      <c r="KS90" s="23">
        <f t="shared" ref="KS90:KS108" si="490">KR90/C90</f>
        <v>1.1137540885545924E-2</v>
      </c>
      <c r="KT90" s="23"/>
      <c r="KU90" s="326">
        <v>900.90899999999999</v>
      </c>
      <c r="KV90" s="430">
        <f t="shared" si="252"/>
        <v>71.116600000000005</v>
      </c>
      <c r="KW90" s="322">
        <f t="shared" ref="KW90:KW108" si="491">JJ90-KG90</f>
        <v>21.948499999999999</v>
      </c>
      <c r="KX90" s="322">
        <f t="shared" ref="KX90:KX108" si="492">JK90-KH90</f>
        <v>82.660499999999999</v>
      </c>
      <c r="KY90" s="322">
        <f t="shared" ref="KY90:KY108" si="493">JL90-KI90</f>
        <v>11.167999999999999</v>
      </c>
      <c r="KZ90" s="322">
        <f t="shared" ref="KZ90:KZ108" si="494">JM90-KJ90</f>
        <v>37.097000000000001</v>
      </c>
      <c r="LA90" s="322">
        <f t="shared" ref="LA90:LA108" si="495">JN90-KK90</f>
        <v>68.040000000000006</v>
      </c>
      <c r="LB90" s="322">
        <f t="shared" ref="LB90:LB108" si="496">JO90-KL90</f>
        <v>55.646500000000003</v>
      </c>
      <c r="LC90" s="322"/>
      <c r="LD90" s="322">
        <f t="shared" si="455"/>
        <v>17.079000000000001</v>
      </c>
      <c r="LE90" s="322">
        <f t="shared" si="456"/>
        <v>237.99300000000002</v>
      </c>
      <c r="LF90" s="322">
        <f t="shared" ref="LF90:LF108" si="497">KW90+KX90+KY90+KZ90+LA90+LD90-LE90</f>
        <v>0</v>
      </c>
      <c r="LG90" s="322">
        <f t="shared" ref="LG90:LG108" si="498">JT90-KR90</f>
        <v>662.91599999999994</v>
      </c>
      <c r="LH90" s="367">
        <f t="shared" ref="LH90:LH108" si="499">LE90/$KU90</f>
        <v>0.26416985511300256</v>
      </c>
      <c r="LI90" s="248">
        <f t="shared" si="457"/>
        <v>2.4362615980082339E-2</v>
      </c>
      <c r="LJ90" s="248">
        <f t="shared" si="458"/>
        <v>9.1752330146551986E-2</v>
      </c>
      <c r="LK90" s="248">
        <f t="shared" si="459"/>
        <v>1.2396368556646675E-2</v>
      </c>
      <c r="LL90" s="248">
        <f t="shared" si="460"/>
        <v>4.1177299816074653E-2</v>
      </c>
      <c r="LM90" s="248">
        <f t="shared" si="461"/>
        <v>7.5523721041747843E-2</v>
      </c>
      <c r="LN90" s="248">
        <f t="shared" si="462"/>
        <v>6.1767059714133175E-2</v>
      </c>
      <c r="LO90" s="248"/>
      <c r="LP90" s="248">
        <f t="shared" si="463"/>
        <v>1.8957519571899048E-2</v>
      </c>
      <c r="LQ90" s="248">
        <f t="shared" ref="LQ90:LQ108" si="500">KU90/C90</f>
        <v>0.1146588522774999</v>
      </c>
      <c r="LR90" s="23">
        <f t="shared" ref="LR90:LR108" si="501">LG90/C90</f>
        <v>8.4369439883929587E-2</v>
      </c>
      <c r="LS90" s="23">
        <f t="shared" ref="LS90:LS108" si="502">LE90/C90</f>
        <v>3.0289412393570313E-2</v>
      </c>
      <c r="LT90" s="326">
        <v>289.28800000000001</v>
      </c>
      <c r="LU90" s="153">
        <f t="shared" si="363"/>
        <v>-9.9999999997635314E-4</v>
      </c>
      <c r="LV90" s="153">
        <f t="shared" ref="LV90:LV108" si="503">KB90</f>
        <v>99.793999999999997</v>
      </c>
      <c r="LW90" s="153">
        <f t="shared" ref="LW90:LW108" si="504">KD90</f>
        <v>121.56100000000001</v>
      </c>
      <c r="LX90" s="153">
        <v>67.933999999999997</v>
      </c>
      <c r="LY90" s="23">
        <f>LX90/Liabilities!GT90</f>
        <v>9.548453474937664E-2</v>
      </c>
      <c r="LZ90" s="23">
        <f t="shared" si="253"/>
        <v>0.2456819233884967</v>
      </c>
      <c r="MA90" s="425">
        <v>398.07299999999998</v>
      </c>
      <c r="MB90" s="153">
        <f t="shared" si="364"/>
        <v>0</v>
      </c>
      <c r="MC90" s="153">
        <v>208.578</v>
      </c>
      <c r="MD90" s="153">
        <f t="shared" si="365"/>
        <v>67.933999999999997</v>
      </c>
      <c r="ME90" s="153">
        <f t="shared" si="366"/>
        <v>121.56100000000001</v>
      </c>
      <c r="MF90" s="153">
        <v>276.512</v>
      </c>
      <c r="MG90" s="153">
        <f t="shared" ref="MG90:MG108" si="505">KC90</f>
        <v>221.35499999999999</v>
      </c>
      <c r="MH90" s="326">
        <f t="shared" ref="MH90:MH108" si="506">KU90</f>
        <v>900.90899999999999</v>
      </c>
      <c r="MI90" s="1008">
        <f>FoF_RoW!$BH60/1000</f>
        <v>1196.021</v>
      </c>
      <c r="MJ90" s="1008">
        <v>1385.5150000000001</v>
      </c>
      <c r="MK90" s="1008">
        <f>FoF_RoW!$AU60/1000</f>
        <v>142.64699999999999</v>
      </c>
      <c r="ML90" s="1008">
        <f t="shared" si="254"/>
        <v>127.95799999999986</v>
      </c>
      <c r="MM90" s="425">
        <f t="shared" ref="MM90:MM108" si="507">MI90-MS90</f>
        <v>1096.2269999999999</v>
      </c>
      <c r="MN90" s="23">
        <f t="shared" ref="MN90:MN108" si="508">MM90/MH90</f>
        <v>1.2168010309587316</v>
      </c>
      <c r="MO90" s="153">
        <v>2469.0949999999998</v>
      </c>
      <c r="MP90" s="425">
        <v>2179.8069999999998</v>
      </c>
      <c r="MQ90" s="23">
        <f t="shared" si="367"/>
        <v>2.4195640181194769</v>
      </c>
      <c r="MR90" s="23">
        <f t="shared" si="368"/>
        <v>1.9884631558974557</v>
      </c>
      <c r="MS90" s="153">
        <f t="shared" ref="MS90:MS108" si="509">KB90</f>
        <v>99.793999999999997</v>
      </c>
      <c r="MT90" s="153">
        <v>289.28800000000001</v>
      </c>
      <c r="MU90" s="153">
        <v>398.07299999999998</v>
      </c>
      <c r="MV90" s="153">
        <v>1970.4570000000001</v>
      </c>
      <c r="MW90" s="153">
        <v>711.46699999999998</v>
      </c>
      <c r="MX90" s="23">
        <f t="shared" si="369"/>
        <v>2.7695690734777583</v>
      </c>
      <c r="MY90" s="425">
        <f t="shared" si="255"/>
        <v>-1109.0660000000005</v>
      </c>
      <c r="MZ90" s="23">
        <f t="shared" ref="MZ90:MZ108" si="510">MY90/$C90</f>
        <v>-0.14115103152482411</v>
      </c>
      <c r="NA90" s="154">
        <v>6368.62</v>
      </c>
      <c r="NB90" s="153">
        <v>7402.3950000000004</v>
      </c>
      <c r="NC90" s="425">
        <f t="shared" si="330"/>
        <v>-933.6560000000004</v>
      </c>
      <c r="ND90" s="23">
        <f t="shared" si="331"/>
        <v>-0.11882656892316704</v>
      </c>
      <c r="NE90" s="330">
        <f t="shared" si="332"/>
        <v>275.97499999999991</v>
      </c>
      <c r="NF90" s="23">
        <f t="shared" si="333"/>
        <v>3.5123388441322068E-2</v>
      </c>
      <c r="NG90" s="330">
        <f t="shared" si="334"/>
        <v>100.56499999999971</v>
      </c>
      <c r="NH90" s="23">
        <f t="shared" si="335"/>
        <v>1.2798925839664988E-2</v>
      </c>
      <c r="NI90" s="330">
        <v>75.290999999999997</v>
      </c>
      <c r="NJ90" s="425">
        <f t="shared" si="63"/>
        <v>65.545000000000002</v>
      </c>
      <c r="NK90" s="403">
        <f t="shared" si="393"/>
        <v>8.3419240706094962E-3</v>
      </c>
      <c r="NL90" s="153">
        <v>65.545000000000002</v>
      </c>
      <c r="NM90" s="153">
        <v>103.96299999999999</v>
      </c>
      <c r="NN90" s="153">
        <v>38.417999999999999</v>
      </c>
      <c r="NO90" s="425">
        <f t="shared" si="100"/>
        <v>8.8230000000000075</v>
      </c>
      <c r="NP90" s="153">
        <v>263.80700000000002</v>
      </c>
      <c r="NQ90" s="153">
        <v>254.98400000000001</v>
      </c>
      <c r="NR90" s="403">
        <f t="shared" si="394"/>
        <v>1.122904814630981E-3</v>
      </c>
      <c r="NS90" s="403">
        <f t="shared" si="395"/>
        <v>8.3419240706094962E-3</v>
      </c>
      <c r="NT90" s="403">
        <f t="shared" si="396"/>
        <v>-7.2190192559785154E-3</v>
      </c>
      <c r="NU90" s="727">
        <f t="shared" ref="NU90:NU108" si="511">ER90/MP90</f>
        <v>4.0194842937929832E-2</v>
      </c>
      <c r="NV90" s="688">
        <f t="shared" ref="NV90:NV108" si="512">ER90/MM90</f>
        <v>7.9925964239158515E-2</v>
      </c>
      <c r="NW90" s="688">
        <f t="shared" ref="NW90:NW108" si="513">ER90/MH90</f>
        <v>9.725399568657879E-2</v>
      </c>
      <c r="NX90" s="793">
        <f>(ER90-T.A2!B42*T.A1!M42)/MP90</f>
        <v>3.6392576111950625E-2</v>
      </c>
      <c r="NY90" s="688">
        <f>Liabilities!BU90/Liabilities!GY90</f>
        <v>1.1184715017886714E-2</v>
      </c>
      <c r="NZ90" s="688">
        <f>Liabilities!BU90/Liabilities!GT90</f>
        <v>3.0976884348654751E-2</v>
      </c>
      <c r="OA90" s="688">
        <f>Liabilities!BU90/Liabilities!GR90</f>
        <v>3.8675700765652174E-2</v>
      </c>
      <c r="OB90" s="688">
        <f t="shared" si="256"/>
        <v>2.9010127920043118E-2</v>
      </c>
      <c r="OC90" s="688">
        <f t="shared" si="257"/>
        <v>4.8949079890503761E-2</v>
      </c>
      <c r="OD90" s="688"/>
      <c r="OE90" s="793">
        <f t="shared" ref="OE90:OE108" si="514">CK90/MM90</f>
        <v>9.2046629028476781E-2</v>
      </c>
      <c r="OF90" s="793">
        <f>OE90/(1-'Assets(MOFA)'!GU43)</f>
        <v>0.1366568891229093</v>
      </c>
      <c r="OG90" s="793">
        <f>Liabilities!HV90</f>
        <v>3.6336323534112973E-2</v>
      </c>
      <c r="OH90" s="793">
        <f t="shared" si="438"/>
        <v>5.5710305494363808E-2</v>
      </c>
      <c r="OI90" s="22">
        <f t="shared" si="336"/>
        <v>2.5560750830114526E-2</v>
      </c>
      <c r="OJ90" s="22">
        <f t="shared" si="337"/>
        <v>2.1380212403649197E-2</v>
      </c>
      <c r="OK90" s="403">
        <f>Liabilities!CT90/LX90</f>
        <v>2.6864309476845174E-2</v>
      </c>
      <c r="OL90" s="403">
        <f>Liabilities!CU90/MF90</f>
        <v>4.4077653049415577E-2</v>
      </c>
      <c r="OM90" s="153"/>
      <c r="OO90" s="186">
        <f t="shared" ref="OO90:OO108" si="515">(ER90*(1+$CU90/($CK90-$CY90)))/(KU90*$MN90)</f>
        <v>8.9298988043462535E-2</v>
      </c>
      <c r="OP90" s="308">
        <f t="shared" si="370"/>
        <v>0.13951700965980679</v>
      </c>
      <c r="OQ90" s="308">
        <f t="shared" si="371"/>
        <v>1.2458727777470733E-2</v>
      </c>
      <c r="OR90" s="313">
        <f t="shared" si="372"/>
        <v>0</v>
      </c>
      <c r="OS90" s="23">
        <f t="shared" si="373"/>
        <v>0.19110640236858661</v>
      </c>
      <c r="OT90" s="23">
        <f t="shared" si="374"/>
        <v>0.10987008657923161</v>
      </c>
      <c r="OU90" s="23">
        <f t="shared" si="375"/>
        <v>0.13615337394955135</v>
      </c>
      <c r="OV90" s="23">
        <f t="shared" si="376"/>
        <v>0.15155715068781803</v>
      </c>
      <c r="OW90" s="23">
        <f t="shared" si="377"/>
        <v>9.2249201512098075E-2</v>
      </c>
      <c r="OX90" s="23">
        <f t="shared" si="378"/>
        <v>6.6153878244390368E-2</v>
      </c>
      <c r="OY90" s="23">
        <f t="shared" si="379"/>
        <v>9.4565522769166035E-2</v>
      </c>
      <c r="OZ90" s="23">
        <f t="shared" si="380"/>
        <v>0.11895733024778803</v>
      </c>
      <c r="PA90" s="23">
        <f t="shared" si="381"/>
        <v>7.9355261458725276E-2</v>
      </c>
      <c r="PB90" s="23">
        <f t="shared" si="382"/>
        <v>3.960206878906275E-2</v>
      </c>
      <c r="PC90" s="23"/>
      <c r="PD90" s="23"/>
      <c r="PE90" s="23"/>
      <c r="PF90" s="23"/>
      <c r="PG90" s="69"/>
      <c r="PH90" s="23">
        <f>'Assets(MOFA)'!GU43</f>
        <v>0.32643989176652494</v>
      </c>
      <c r="PI90" s="23">
        <f>'Assets(MOFA)'!HM43</f>
        <v>0.32064841976837027</v>
      </c>
      <c r="PJ90" s="11">
        <f t="shared" ref="PJ90:PJ107" si="516">((PI90/(1-PI90))*ER90)/MM90</f>
        <v>3.7724404973064694E-2</v>
      </c>
      <c r="PK90" s="11">
        <f>Liabilities!JA90/MW90/1000</f>
        <v>3.7001013399075432E-2</v>
      </c>
      <c r="PL90" s="11">
        <f>'Assets(MOFA)'!GO43/MM90/1000</f>
        <v>3.2605473136494548E-2</v>
      </c>
      <c r="PM90" s="11">
        <f t="shared" si="429"/>
        <v>4.395540262580884E-3</v>
      </c>
    </row>
    <row r="91" spans="2:429" s="113" customFormat="1">
      <c r="B91" s="103">
        <v>1999</v>
      </c>
      <c r="C91" s="104">
        <v>8324.4</v>
      </c>
      <c r="D91" s="8">
        <v>830.2</v>
      </c>
      <c r="E91" s="105">
        <f t="shared" si="397"/>
        <v>9.9730911537167857E-2</v>
      </c>
      <c r="F91" s="106">
        <f t="shared" si="398"/>
        <v>0</v>
      </c>
      <c r="G91" s="108">
        <f t="shared" si="399"/>
        <v>708.2</v>
      </c>
      <c r="H91" s="105">
        <f t="shared" si="400"/>
        <v>8.5075200615059354E-2</v>
      </c>
      <c r="I91" s="106">
        <v>122</v>
      </c>
      <c r="J91" s="107">
        <f t="shared" si="401"/>
        <v>1.4655710922108501E-2</v>
      </c>
      <c r="K91" s="105">
        <f t="shared" si="402"/>
        <v>0.14695254155625151</v>
      </c>
      <c r="L91" s="134">
        <v>177.3</v>
      </c>
      <c r="M91" s="107">
        <f t="shared" si="403"/>
        <v>2.1298832348277355E-2</v>
      </c>
      <c r="N91" s="116">
        <f t="shared" si="404"/>
        <v>0.21356299686822452</v>
      </c>
      <c r="O91" s="8">
        <f t="shared" si="405"/>
        <v>830.2</v>
      </c>
      <c r="P91" s="108">
        <f t="shared" si="406"/>
        <v>0</v>
      </c>
      <c r="Q91" s="270">
        <v>925.4</v>
      </c>
      <c r="R91" s="201">
        <v>136.1</v>
      </c>
      <c r="S91" s="109">
        <f t="shared" si="407"/>
        <v>0.16393640086726088</v>
      </c>
      <c r="T91" s="103">
        <v>26.8</v>
      </c>
      <c r="U91" s="103">
        <v>64</v>
      </c>
      <c r="V91" s="206">
        <v>269.39999999999998</v>
      </c>
      <c r="W91" s="109">
        <f t="shared" si="408"/>
        <v>0.32450012045290288</v>
      </c>
      <c r="X91" s="108">
        <f t="shared" si="409"/>
        <v>-52.699999999999932</v>
      </c>
      <c r="Y91" s="188">
        <v>138.69934799999999</v>
      </c>
      <c r="Z91" s="108">
        <f t="shared" si="436"/>
        <v>-10.591553451236013</v>
      </c>
      <c r="AA91" s="108"/>
      <c r="AB91" s="108"/>
      <c r="AC91" s="108">
        <f t="shared" si="437"/>
        <v>128.10779454876396</v>
      </c>
      <c r="AD91" s="105">
        <f t="shared" si="410"/>
        <v>0.1543095573943194</v>
      </c>
      <c r="AE91" s="108">
        <f>NIPA_Scorp!C12/1000</f>
        <v>157.31899999999999</v>
      </c>
      <c r="AF91" s="108">
        <v>124.98620277758366</v>
      </c>
      <c r="AG91" s="105">
        <f t="shared" si="385"/>
        <v>0.1894953023367863</v>
      </c>
      <c r="AH91" s="110">
        <v>258.8</v>
      </c>
      <c r="AI91" s="107">
        <f t="shared" si="411"/>
        <v>3.1089327759358035E-2</v>
      </c>
      <c r="AJ91" s="107">
        <f t="shared" si="412"/>
        <v>2.8038056796886264E-2</v>
      </c>
      <c r="AK91" s="111">
        <f t="shared" si="413"/>
        <v>0.10000000000002274</v>
      </c>
      <c r="AL91" s="103">
        <v>187.5</v>
      </c>
      <c r="AM91" s="106">
        <f>(0.25*Fedtax!C72+0.75*Fedtax!C71)/1000</f>
        <v>190.33224999999999</v>
      </c>
      <c r="AN91" s="103">
        <v>35.799999999999997</v>
      </c>
      <c r="AO91" s="277">
        <v>10</v>
      </c>
      <c r="AP91" s="103">
        <v>25.4</v>
      </c>
      <c r="AQ91" s="105">
        <f t="shared" si="414"/>
        <v>6.8641583777809823E-2</v>
      </c>
      <c r="AR91" s="206">
        <v>39.9</v>
      </c>
      <c r="AS91" s="715">
        <v>38.271293999999997</v>
      </c>
      <c r="AT91" s="210">
        <v>6.3986700000000001</v>
      </c>
      <c r="AU91" s="205">
        <f t="shared" si="386"/>
        <v>0.16719241319616734</v>
      </c>
      <c r="AV91" s="707">
        <v>41.308619</v>
      </c>
      <c r="AW91" s="210">
        <v>6.8605939999999999</v>
      </c>
      <c r="AX91" s="210">
        <f t="shared" si="387"/>
        <v>34.448025000000001</v>
      </c>
      <c r="AY91" s="205">
        <f t="shared" si="388"/>
        <v>0.16608141753661626</v>
      </c>
      <c r="AZ91" s="777">
        <v>38.476427999999999</v>
      </c>
      <c r="BA91" s="772">
        <f t="shared" si="389"/>
        <v>4.0284029999999973</v>
      </c>
      <c r="BB91" s="205">
        <f t="shared" si="390"/>
        <v>0.10469794649336985</v>
      </c>
      <c r="BC91" s="210">
        <v>9.2992439999999998</v>
      </c>
      <c r="BD91" s="175">
        <f>'Assets(MOFA)'!FJ44/1000</f>
        <v>45.067999999999998</v>
      </c>
      <c r="BE91" s="762">
        <f t="shared" si="105"/>
        <v>0.91658425046596259</v>
      </c>
      <c r="BF91" s="235">
        <v>0.35</v>
      </c>
      <c r="BG91" s="438"/>
      <c r="BH91" s="141">
        <f t="shared" si="464"/>
        <v>0.26004425294049144</v>
      </c>
      <c r="BI91" s="247">
        <f t="shared" si="384"/>
        <v>0.31837189772748331</v>
      </c>
      <c r="BJ91" s="105">
        <f t="shared" si="465"/>
        <v>0.19803208935378072</v>
      </c>
      <c r="BK91" s="257">
        <f t="shared" si="466"/>
        <v>0.29301135099042958</v>
      </c>
      <c r="BL91" s="257">
        <f t="shared" si="467"/>
        <v>0.29070365483255617</v>
      </c>
      <c r="BM91" s="247">
        <f t="shared" si="468"/>
        <v>0.34172960886190834</v>
      </c>
      <c r="BN91" s="105">
        <f t="shared" si="469"/>
        <v>0.2522152582666955</v>
      </c>
      <c r="BO91" s="105">
        <f t="shared" si="470"/>
        <v>0.21987753179463024</v>
      </c>
      <c r="BP91" s="150">
        <f t="shared" si="415"/>
        <v>830.2</v>
      </c>
      <c r="BQ91" s="111">
        <f t="shared" si="416"/>
        <v>0</v>
      </c>
      <c r="BR91" s="154">
        <f t="shared" si="417"/>
        <v>258.8</v>
      </c>
      <c r="BS91" s="134">
        <v>347.9</v>
      </c>
      <c r="BT91" s="134">
        <v>223.5</v>
      </c>
      <c r="BU91" s="105">
        <f t="shared" ref="BU91:BU108" si="517">BT91/D91</f>
        <v>0.26921223801493616</v>
      </c>
      <c r="BV91" s="103">
        <v>143.1</v>
      </c>
      <c r="BW91" s="103">
        <f t="shared" si="418"/>
        <v>80.400000000000006</v>
      </c>
      <c r="BX91" s="105">
        <f t="shared" si="419"/>
        <v>9.684413394362805E-2</v>
      </c>
      <c r="BY91" s="105">
        <f t="shared" si="289"/>
        <v>3.2324741026258728E-2</v>
      </c>
      <c r="BZ91" s="105">
        <f t="shared" si="290"/>
        <v>0.21300103182792285</v>
      </c>
      <c r="CA91" s="105">
        <f t="shared" si="291"/>
        <v>0.23822669564807283</v>
      </c>
      <c r="CB91" s="105">
        <f t="shared" si="262"/>
        <v>0.65901639344262297</v>
      </c>
      <c r="CC91" s="170">
        <f t="shared" si="420"/>
        <v>177.3</v>
      </c>
      <c r="CD91" s="106">
        <f t="shared" ref="CD91:CD108" si="518">CC91-(CG91+CE91+CF91)</f>
        <v>0</v>
      </c>
      <c r="CE91" s="108">
        <f t="array" ref="CE91:CE108">TRANSPOSE(ITA_4.1!C17:T17)/1000</f>
        <v>30.123000000000001</v>
      </c>
      <c r="CF91" s="108">
        <f t="array" ref="CF91:CF108">TRANSPOSE(ITA_4.1!C10:T10)/1000</f>
        <v>125.99</v>
      </c>
      <c r="CG91" s="108">
        <f t="shared" ref="CG91:CG108" si="519">CC91-CE91-CF91</f>
        <v>21.187000000000026</v>
      </c>
      <c r="CH91" s="105">
        <f t="shared" si="392"/>
        <v>0.71060349689791302</v>
      </c>
      <c r="CI91" s="327">
        <v>130.512</v>
      </c>
      <c r="CJ91" s="154">
        <f t="shared" si="292"/>
        <v>1.000000000005663E-3</v>
      </c>
      <c r="CK91" s="134">
        <f t="shared" ref="CK91:CK108" si="520">CF91</f>
        <v>125.99</v>
      </c>
      <c r="CL91" s="160">
        <v>62.536000000000001</v>
      </c>
      <c r="CM91" s="160">
        <v>63.454000000000001</v>
      </c>
      <c r="CN91" s="160">
        <v>84.8</v>
      </c>
      <c r="CO91" s="160">
        <f t="shared" si="338"/>
        <v>21.345999999999997</v>
      </c>
      <c r="CP91" s="134">
        <v>4.5209999999999999</v>
      </c>
      <c r="CQ91" s="134">
        <v>7.7569999999999997</v>
      </c>
      <c r="CR91" s="134">
        <v>3.2349999999999999</v>
      </c>
      <c r="CS91" s="105">
        <f t="shared" si="293"/>
        <v>0.5036431462814509</v>
      </c>
      <c r="CT91" s="105">
        <f t="shared" si="294"/>
        <v>3.8966514092989638E-3</v>
      </c>
      <c r="CU91" s="106">
        <v>14.747999999999999</v>
      </c>
      <c r="CV91" s="379">
        <f t="shared" si="295"/>
        <v>1.2128688443698805E-2</v>
      </c>
      <c r="CW91" s="379">
        <f t="shared" si="296"/>
        <v>0.11300110334681868</v>
      </c>
      <c r="CX91" s="154">
        <f t="shared" si="297"/>
        <v>115.764</v>
      </c>
      <c r="CY91" s="154">
        <f t="shared" si="298"/>
        <v>1.4159999999999968</v>
      </c>
      <c r="CZ91" s="294">
        <f t="shared" si="299"/>
        <v>130.512</v>
      </c>
      <c r="DA91" s="426">
        <f>DB91+DC91+DD91+DE91+DF91</f>
        <v>10.572582892690512</v>
      </c>
      <c r="DB91" s="154">
        <f t="array" ref="DB91:DB108">TRANSPOSE(USDIA_inc_Ind!B10:S10)/1000</f>
        <v>7.0570000000000004</v>
      </c>
      <c r="DC91" s="154">
        <f t="array" ref="DC91:DC108">TRANSPOSE(USDIA_inc_Ind!B20:S20)/1000</f>
        <v>0.46</v>
      </c>
      <c r="DD91" s="154">
        <f t="array" ref="DD91:DD92">TRANSPOSE(USDIA_inc_Ind!B50:C50)/1000</f>
        <v>1.1080000000000001</v>
      </c>
      <c r="DE91" s="154">
        <f t="array" ref="DE91:DE108">TRANSPOSE(USDIA_inc_Ind!B166:S166)/1000</f>
        <v>1.389</v>
      </c>
      <c r="DF91" s="320">
        <f>DF92*(DB91+DC91+DD91+DE91)/(DB92+DC92+DD92+DE92)</f>
        <v>0.55858289269051298</v>
      </c>
      <c r="DG91" s="426">
        <f t="array" ref="DG91:DG92">TRANSPOSE(USDIA_inc_Ind!B312:C312)/1000</f>
        <v>33.362000000000002</v>
      </c>
      <c r="DH91" s="141">
        <f t="shared" ref="DH91:DH108" si="521">DG91/CZ91</f>
        <v>0.25562400392301093</v>
      </c>
      <c r="DI91" s="183">
        <v>114.348</v>
      </c>
      <c r="DJ91" s="134">
        <v>4.1669999999999998</v>
      </c>
      <c r="DK91" s="134">
        <v>13.646000000000001</v>
      </c>
      <c r="DL91" s="134">
        <v>3.5609999999999999</v>
      </c>
      <c r="DM91" s="134">
        <v>6.6859999999999999</v>
      </c>
      <c r="DN91" s="134">
        <v>9.423</v>
      </c>
      <c r="DO91" s="134">
        <v>4.6550000000000002</v>
      </c>
      <c r="DP91" s="134">
        <v>9.4E-2</v>
      </c>
      <c r="DQ91" s="134">
        <v>2.6040000000000001</v>
      </c>
      <c r="DR91" s="134">
        <f t="shared" si="471"/>
        <v>40.087000000000003</v>
      </c>
      <c r="DS91" s="134">
        <f t="shared" si="472"/>
        <v>74.260999999999996</v>
      </c>
      <c r="DT91" s="134">
        <v>1.3340000000000001</v>
      </c>
      <c r="DU91" s="105">
        <f t="shared" si="473"/>
        <v>1.7963668682080772E-2</v>
      </c>
      <c r="DV91" s="105">
        <f t="shared" si="474"/>
        <v>3.6441389442753699E-2</v>
      </c>
      <c r="DW91" s="105">
        <f t="shared" si="475"/>
        <v>0.11933746108370939</v>
      </c>
      <c r="DX91" s="105">
        <f t="shared" si="476"/>
        <v>3.1141777731136529E-2</v>
      </c>
      <c r="DY91" s="105">
        <f t="shared" si="477"/>
        <v>5.8470633504739918E-2</v>
      </c>
      <c r="DZ91" s="105">
        <f t="shared" si="478"/>
        <v>8.2406338545492702E-2</v>
      </c>
      <c r="EA91" s="105">
        <f t="shared" si="479"/>
        <v>4.070906356035961E-2</v>
      </c>
      <c r="EB91" s="105">
        <f t="shared" si="480"/>
        <v>8.2205198166998984E-4</v>
      </c>
      <c r="EC91" s="105">
        <f t="shared" si="481"/>
        <v>2.277258893902823E-2</v>
      </c>
      <c r="ED91" s="105">
        <f t="shared" si="482"/>
        <v>0.35057018924686045</v>
      </c>
      <c r="EE91" s="154">
        <v>38.170999999999999</v>
      </c>
      <c r="EF91" s="105">
        <f t="shared" si="300"/>
        <v>0.33381432119494875</v>
      </c>
      <c r="EG91" s="183">
        <v>48.706000000000003</v>
      </c>
      <c r="EH91" s="134">
        <v>3.073</v>
      </c>
      <c r="EI91" s="134">
        <v>11.724</v>
      </c>
      <c r="EJ91" s="134">
        <v>2.73</v>
      </c>
      <c r="EK91" s="134">
        <v>4.1379999999999999</v>
      </c>
      <c r="EL91" s="134">
        <v>3.8279999999999998</v>
      </c>
      <c r="EM91" s="134">
        <v>1.343</v>
      </c>
      <c r="EN91" s="133">
        <f t="shared" si="301"/>
        <v>26.835999999999999</v>
      </c>
      <c r="EO91" s="105">
        <f t="shared" si="302"/>
        <v>0.67954065392685492</v>
      </c>
      <c r="EP91" s="134">
        <f t="shared" si="303"/>
        <v>21.870000000000005</v>
      </c>
      <c r="EQ91" s="105">
        <f t="shared" si="304"/>
        <v>0.55097934546051819</v>
      </c>
      <c r="ER91" s="183">
        <f t="shared" si="268"/>
        <v>109.827</v>
      </c>
      <c r="ES91" s="133"/>
      <c r="ET91" s="134">
        <f>'Assets(MOFA)'!W44/1000</f>
        <v>141.95599999999999</v>
      </c>
      <c r="EU91" s="134">
        <f t="shared" si="339"/>
        <v>96.887999999999991</v>
      </c>
      <c r="EV91" s="728">
        <f t="shared" si="340"/>
        <v>0.88218744024693374</v>
      </c>
      <c r="EW91" s="154">
        <f t="shared" si="439"/>
        <v>4.1641357140964752</v>
      </c>
      <c r="EX91" s="154">
        <f t="shared" si="440"/>
        <v>13.449468885157735</v>
      </c>
      <c r="EY91" s="154">
        <f t="shared" si="441"/>
        <v>3.4857322179612003</v>
      </c>
      <c r="EZ91" s="154">
        <f t="shared" si="442"/>
        <v>6.5029682774653761</v>
      </c>
      <c r="FA91" s="154">
        <f t="shared" si="443"/>
        <v>9.3471670673793383</v>
      </c>
      <c r="FB91" s="154">
        <f t="shared" si="444"/>
        <v>5.057425747279459</v>
      </c>
      <c r="FC91" s="154"/>
      <c r="FD91" s="154">
        <f t="shared" si="445"/>
        <v>2.5419105019836934</v>
      </c>
      <c r="FE91" s="154">
        <f t="shared" si="483"/>
        <v>39.491382664043819</v>
      </c>
      <c r="FF91" s="154">
        <f t="shared" si="484"/>
        <v>70.72480143196826</v>
      </c>
      <c r="FG91" s="105">
        <f t="shared" si="446"/>
        <v>3.7915409818136479E-2</v>
      </c>
      <c r="FH91" s="105">
        <f t="shared" si="447"/>
        <v>0.12246049591774096</v>
      </c>
      <c r="FI91" s="105">
        <f t="shared" si="448"/>
        <v>3.1738390541134698E-2</v>
      </c>
      <c r="FJ91" s="105">
        <f t="shared" si="449"/>
        <v>5.9211016211545217E-2</v>
      </c>
      <c r="FK91" s="105">
        <f t="shared" si="450"/>
        <v>8.5108097893772369E-2</v>
      </c>
      <c r="FL91" s="105">
        <f t="shared" si="451"/>
        <v>4.6049020252574131E-2</v>
      </c>
      <c r="FM91" s="105"/>
      <c r="FN91" s="105">
        <f t="shared" si="452"/>
        <v>2.3144677556372235E-2</v>
      </c>
      <c r="FO91" s="105">
        <f t="shared" si="421"/>
        <v>0.35957808793870194</v>
      </c>
      <c r="FP91" s="105">
        <f t="shared" si="422"/>
        <v>0.64042191206129806</v>
      </c>
      <c r="FQ91" s="105">
        <f t="shared" si="423"/>
        <v>7.6792574068335159E-2</v>
      </c>
      <c r="FR91" s="105">
        <f t="shared" si="424"/>
        <v>0.13677042279988935</v>
      </c>
      <c r="FS91" s="105">
        <f t="shared" si="425"/>
        <v>7.6585934111205439E-3</v>
      </c>
      <c r="FT91" s="398">
        <f t="shared" si="426"/>
        <v>5.2043255747527568E-3</v>
      </c>
      <c r="FU91" s="398">
        <f t="shared" si="427"/>
        <v>2.4542678363677871E-3</v>
      </c>
      <c r="FV91" s="105">
        <f t="shared" si="428"/>
        <v>1.3640238937156811E-2</v>
      </c>
      <c r="FW91" s="327">
        <f t="shared" si="305"/>
        <v>4.5209999999999999</v>
      </c>
      <c r="FX91" s="385">
        <f t="shared" si="430"/>
        <v>2.8642859035242743E-3</v>
      </c>
      <c r="FY91" s="385">
        <f t="shared" si="431"/>
        <v>0.1965311148422649</v>
      </c>
      <c r="FZ91" s="385">
        <f t="shared" si="432"/>
        <v>7.526778203879958E-2</v>
      </c>
      <c r="GA91" s="385">
        <f t="shared" si="433"/>
        <v>0.18303172253462355</v>
      </c>
      <c r="GB91" s="385">
        <f t="shared" si="434"/>
        <v>7.583293262066082E-2</v>
      </c>
      <c r="GC91" s="385">
        <f t="shared" si="435"/>
        <v>-0.40242574727945901</v>
      </c>
      <c r="GD91" s="154"/>
      <c r="GE91" s="154">
        <f t="shared" si="453"/>
        <v>6.2089498016306678E-2</v>
      </c>
      <c r="GF91" s="154">
        <f t="shared" si="485"/>
        <v>0.59561733595617983</v>
      </c>
      <c r="GG91" s="154">
        <f t="shared" si="277"/>
        <v>3.5361985680317392</v>
      </c>
      <c r="GH91" s="183">
        <v>209.392</v>
      </c>
      <c r="GI91" s="134">
        <v>4.7409999999999997</v>
      </c>
      <c r="GJ91" s="134">
        <v>13.32</v>
      </c>
      <c r="GK91" s="134">
        <v>4.5350000000000001</v>
      </c>
      <c r="GL91" s="134">
        <v>6.9290000000000003</v>
      </c>
      <c r="GM91" s="134">
        <f t="shared" si="342"/>
        <v>21.838000000000001</v>
      </c>
      <c r="GN91" s="134">
        <v>6.8710000000000004</v>
      </c>
      <c r="GO91" s="134">
        <v>14.967000000000001</v>
      </c>
      <c r="GP91" s="134">
        <v>-1.4E-2</v>
      </c>
      <c r="GQ91" s="134">
        <v>3.863</v>
      </c>
      <c r="GR91" s="134">
        <f>GQ91+GM91+GL91+GK91+GJ91+GI91</f>
        <v>55.226000000000006</v>
      </c>
      <c r="GS91" s="134">
        <f t="shared" si="343"/>
        <v>154.166</v>
      </c>
      <c r="GT91" s="105">
        <f>GR91/GH91</f>
        <v>0.26374455566592808</v>
      </c>
      <c r="GU91" s="363">
        <f t="shared" si="259"/>
        <v>147.636</v>
      </c>
      <c r="GV91" s="154">
        <f t="shared" si="344"/>
        <v>98.929000000000002</v>
      </c>
      <c r="GW91" s="154">
        <f t="shared" si="308"/>
        <v>48.706000000000003</v>
      </c>
      <c r="GX91" s="154">
        <f t="shared" si="309"/>
        <v>4.5059999999999993</v>
      </c>
      <c r="GY91" s="154">
        <f t="shared" si="310"/>
        <v>12.987</v>
      </c>
      <c r="GZ91" s="154">
        <f t="shared" si="226"/>
        <v>5.008</v>
      </c>
      <c r="HA91" s="154">
        <f t="shared" si="227"/>
        <v>0.93200000000000038</v>
      </c>
      <c r="HB91" s="154">
        <f t="shared" si="228"/>
        <v>18.972999999999999</v>
      </c>
      <c r="HC91" s="154">
        <f t="shared" si="229"/>
        <v>8.798</v>
      </c>
      <c r="HD91" s="353"/>
      <c r="HE91" s="154">
        <f t="shared" si="231"/>
        <v>1.917</v>
      </c>
      <c r="HF91" s="154">
        <f t="shared" si="311"/>
        <v>44.323</v>
      </c>
      <c r="HG91" s="105">
        <f t="shared" si="345"/>
        <v>0.30021810398547782</v>
      </c>
      <c r="HH91" s="154">
        <f t="shared" si="346"/>
        <v>154.20899999999995</v>
      </c>
      <c r="HI91" s="183">
        <f t="shared" si="312"/>
        <v>160.68599999999998</v>
      </c>
      <c r="HJ91" s="300">
        <v>-9.9999999997635314E-4</v>
      </c>
      <c r="HK91" s="134">
        <f t="shared" si="313"/>
        <v>1.6679999999999997</v>
      </c>
      <c r="HL91" s="134">
        <f t="shared" si="314"/>
        <v>1.5960000000000001</v>
      </c>
      <c r="HM91" s="134">
        <f t="shared" si="315"/>
        <v>1.8050000000000002</v>
      </c>
      <c r="HN91" s="134">
        <f t="shared" si="316"/>
        <v>2.7910000000000004</v>
      </c>
      <c r="HO91" s="134">
        <f t="shared" si="317"/>
        <v>18.010000000000002</v>
      </c>
      <c r="HP91" s="134">
        <f t="shared" si="318"/>
        <v>2.52</v>
      </c>
      <c r="HQ91" s="134">
        <f>HP91+HO91+HN91+HM91+HL91+HK91</f>
        <v>28.39</v>
      </c>
      <c r="HR91" s="134">
        <f t="shared" si="383"/>
        <v>132.29599999999999</v>
      </c>
      <c r="HS91" s="105">
        <f t="shared" si="321"/>
        <v>0.17667998456617257</v>
      </c>
      <c r="HT91" s="133">
        <v>98.929000000000002</v>
      </c>
      <c r="HU91" s="134">
        <v>1.4330000000000001</v>
      </c>
      <c r="HV91" s="134">
        <v>1.262</v>
      </c>
      <c r="HW91" s="134">
        <v>2.278</v>
      </c>
      <c r="HX91" s="134">
        <v>-3.206</v>
      </c>
      <c r="HY91" s="134">
        <v>15.145</v>
      </c>
      <c r="HZ91" s="134">
        <v>5.7770000000000001</v>
      </c>
      <c r="IA91" s="134"/>
      <c r="IB91" s="134">
        <v>0.57399999999999995</v>
      </c>
      <c r="IC91" s="134">
        <f>IB91+HY91+HX91+HW91+HV91+HU91</f>
        <v>17.486000000000001</v>
      </c>
      <c r="ID91" s="134">
        <f t="shared" si="347"/>
        <v>81.442999999999998</v>
      </c>
      <c r="IE91" s="105">
        <f t="shared" si="348"/>
        <v>0.17675302489664305</v>
      </c>
      <c r="IF91" s="317">
        <v>61.756</v>
      </c>
      <c r="IG91" s="154">
        <v>0.23499999999999999</v>
      </c>
      <c r="IH91" s="154">
        <v>0.33300000000000002</v>
      </c>
      <c r="II91" s="154">
        <v>-0.47299999999999998</v>
      </c>
      <c r="IJ91" s="154">
        <v>5.9969999999999999</v>
      </c>
      <c r="IK91" s="154">
        <v>2.8650000000000002</v>
      </c>
      <c r="IL91" s="154">
        <v>-1.927</v>
      </c>
      <c r="IM91" s="154"/>
      <c r="IN91" s="154">
        <v>1.946</v>
      </c>
      <c r="IO91" s="154">
        <f t="shared" si="349"/>
        <v>10.903</v>
      </c>
      <c r="IP91" s="154">
        <f t="shared" ref="IP91:IP108" si="522">IF91-IO91</f>
        <v>50.853000000000002</v>
      </c>
      <c r="IQ91" s="350">
        <f t="shared" si="350"/>
        <v>61.048000000000016</v>
      </c>
      <c r="IR91" s="150">
        <f t="shared" si="323"/>
        <v>1215.96</v>
      </c>
      <c r="IS91" s="154">
        <f t="shared" si="351"/>
        <v>215.25700000000006</v>
      </c>
      <c r="IT91" s="154">
        <f t="shared" si="288"/>
        <v>0</v>
      </c>
      <c r="IU91" s="154">
        <f t="shared" si="352"/>
        <v>48.706000000000003</v>
      </c>
      <c r="IV91" s="154">
        <f t="shared" si="324"/>
        <v>98.929000000000002</v>
      </c>
      <c r="IW91" s="154">
        <v>61.756</v>
      </c>
      <c r="IX91" s="154">
        <f>IS91-IU91-IV91-IW91</f>
        <v>5.8660000000000423</v>
      </c>
      <c r="IY91" s="154"/>
      <c r="IZ91" s="154"/>
      <c r="JA91" s="154"/>
      <c r="JB91" s="105">
        <f t="shared" si="486"/>
        <v>0.14607178895776274</v>
      </c>
      <c r="JC91" s="105">
        <f t="shared" si="487"/>
        <v>3.9222886934794102E-2</v>
      </c>
      <c r="JD91" s="105">
        <f t="shared" si="488"/>
        <v>0.10684890202296862</v>
      </c>
      <c r="JE91" s="107">
        <f t="shared" si="489"/>
        <v>5.8509922637066938E-3</v>
      </c>
      <c r="JF91" s="107">
        <f t="shared" si="326"/>
        <v>1.1884219883715344E-2</v>
      </c>
      <c r="JG91" s="107">
        <f t="shared" si="327"/>
        <v>7.4186728172601028E-3</v>
      </c>
      <c r="JH91" s="8">
        <v>1215.96</v>
      </c>
      <c r="JI91" s="1067">
        <f t="array" ref="JI91:JI108">(TRANSPOSE(USDIA_assets99!B10:S10)+TRANSPOSE(USDIA_assets99!B50:S50)+TRANSPOSE(USDIA_assets99!B166:S166))/1000</f>
        <v>73.649000000000001</v>
      </c>
      <c r="JJ91" s="108">
        <v>25.157</v>
      </c>
      <c r="JK91" s="108">
        <v>121.315</v>
      </c>
      <c r="JL91" s="108">
        <v>22.148</v>
      </c>
      <c r="JM91" s="108">
        <v>40.531999999999996</v>
      </c>
      <c r="JN91" s="108">
        <f t="shared" si="354"/>
        <v>96.69</v>
      </c>
      <c r="JO91" s="108">
        <v>50.847000000000001</v>
      </c>
      <c r="JP91" s="108">
        <v>45.843000000000004</v>
      </c>
      <c r="JQ91" s="108">
        <v>3.4510000000000001</v>
      </c>
      <c r="JR91" s="108">
        <v>20.664999999999999</v>
      </c>
      <c r="JS91" s="108">
        <f>JR91+JN91+JM91+JL91+JK91+JJ91</f>
        <v>326.50700000000001</v>
      </c>
      <c r="JT91" s="108">
        <f t="shared" si="355"/>
        <v>889.45299999999997</v>
      </c>
      <c r="JU91" s="105">
        <f t="shared" si="356"/>
        <v>0.26851787887759465</v>
      </c>
      <c r="JV91" s="105">
        <f t="shared" si="357"/>
        <v>2.0689002927727886E-2</v>
      </c>
      <c r="JW91" s="105">
        <f t="shared" si="358"/>
        <v>9.9768906871936569E-2</v>
      </c>
      <c r="JX91" s="105">
        <f t="shared" si="359"/>
        <v>1.8214414947860125E-2</v>
      </c>
      <c r="JY91" s="105">
        <f t="shared" si="360"/>
        <v>3.3333333333333333E-2</v>
      </c>
      <c r="JZ91" s="105">
        <f t="shared" si="361"/>
        <v>7.9517418336129478E-2</v>
      </c>
      <c r="KA91" s="105">
        <f t="shared" si="362"/>
        <v>1.6994802460607257E-2</v>
      </c>
      <c r="KB91" s="150">
        <v>160.84200000000001</v>
      </c>
      <c r="KC91" s="317">
        <v>301.96199999999999</v>
      </c>
      <c r="KD91" s="317">
        <v>141.12</v>
      </c>
      <c r="KE91" s="728">
        <f t="shared" si="242"/>
        <v>0.46734357303236834</v>
      </c>
      <c r="KF91" s="1073">
        <v>0</v>
      </c>
      <c r="KG91" s="320">
        <f t="shared" si="243"/>
        <v>0.1114999999999996</v>
      </c>
      <c r="KH91" s="320">
        <f t="shared" si="244"/>
        <v>7.6505000000000001</v>
      </c>
      <c r="KI91" s="325">
        <f t="shared" si="245"/>
        <v>2.93</v>
      </c>
      <c r="KJ91" s="320">
        <f t="shared" si="246"/>
        <v>7.125</v>
      </c>
      <c r="KK91" s="320">
        <f t="shared" si="285"/>
        <v>2.9519999999999977</v>
      </c>
      <c r="KL91" s="320">
        <f t="shared" si="248"/>
        <v>-15.665500000000002</v>
      </c>
      <c r="KM91" s="320"/>
      <c r="KN91" s="320"/>
      <c r="KO91" s="320"/>
      <c r="KP91" s="320">
        <f t="shared" si="454"/>
        <v>2.4169999999999998</v>
      </c>
      <c r="KQ91" s="154">
        <f t="shared" si="328"/>
        <v>23.186</v>
      </c>
      <c r="KR91" s="154">
        <f t="shared" si="329"/>
        <v>137.65600000000001</v>
      </c>
      <c r="KS91" s="105">
        <f t="shared" si="490"/>
        <v>1.6536447071260393E-2</v>
      </c>
      <c r="KT91" s="105"/>
      <c r="KU91" s="327">
        <v>1055.1179999999999</v>
      </c>
      <c r="KV91" s="426">
        <f t="shared" si="252"/>
        <v>73.649000000000001</v>
      </c>
      <c r="KW91" s="323">
        <f t="shared" si="491"/>
        <v>25.045500000000001</v>
      </c>
      <c r="KX91" s="323">
        <f t="shared" si="492"/>
        <v>113.6645</v>
      </c>
      <c r="KY91" s="323">
        <f t="shared" si="493"/>
        <v>19.218</v>
      </c>
      <c r="KZ91" s="323">
        <f t="shared" si="494"/>
        <v>33.406999999999996</v>
      </c>
      <c r="LA91" s="323">
        <f t="shared" si="495"/>
        <v>93.738</v>
      </c>
      <c r="LB91" s="323">
        <f t="shared" si="496"/>
        <v>66.512500000000003</v>
      </c>
      <c r="LC91" s="323"/>
      <c r="LD91" s="323">
        <f t="shared" si="455"/>
        <v>18.247999999999998</v>
      </c>
      <c r="LE91" s="323">
        <f t="shared" si="456"/>
        <v>303.32100000000003</v>
      </c>
      <c r="LF91" s="323">
        <f t="shared" si="497"/>
        <v>0</v>
      </c>
      <c r="LG91" s="323">
        <f t="shared" si="498"/>
        <v>751.79700000000003</v>
      </c>
      <c r="LH91" s="368">
        <f t="shared" si="499"/>
        <v>0.28747590316912425</v>
      </c>
      <c r="LI91" s="247">
        <f t="shared" si="457"/>
        <v>2.3737155465075946E-2</v>
      </c>
      <c r="LJ91" s="247">
        <f t="shared" si="458"/>
        <v>0.10772681349384619</v>
      </c>
      <c r="LK91" s="247">
        <f t="shared" si="459"/>
        <v>1.8214076529828892E-2</v>
      </c>
      <c r="LL91" s="247">
        <f t="shared" si="460"/>
        <v>3.1661861516910902E-2</v>
      </c>
      <c r="LM91" s="247">
        <f t="shared" si="461"/>
        <v>8.8841248087891594E-2</v>
      </c>
      <c r="LN91" s="247">
        <f t="shared" si="462"/>
        <v>6.3037973003967337E-2</v>
      </c>
      <c r="LO91" s="247"/>
      <c r="LP91" s="247">
        <f t="shared" si="463"/>
        <v>1.7294748075570694E-2</v>
      </c>
      <c r="LQ91" s="247">
        <f t="shared" si="500"/>
        <v>0.12675003603863341</v>
      </c>
      <c r="LR91" s="105">
        <f t="shared" si="501"/>
        <v>9.031245495170824E-2</v>
      </c>
      <c r="LS91" s="105">
        <f t="shared" si="502"/>
        <v>3.6437581086925186E-2</v>
      </c>
      <c r="LT91" s="327">
        <v>372.60700000000003</v>
      </c>
      <c r="LU91" s="154">
        <f t="shared" si="363"/>
        <v>0</v>
      </c>
      <c r="LV91" s="154">
        <f t="shared" si="503"/>
        <v>160.84200000000001</v>
      </c>
      <c r="LW91" s="154">
        <f t="shared" si="504"/>
        <v>141.12</v>
      </c>
      <c r="LX91" s="154">
        <v>70.644999999999996</v>
      </c>
      <c r="LY91" s="105">
        <f>LX91/Liabilities!GT91</f>
        <v>8.3210050459601698E-2</v>
      </c>
      <c r="LZ91" s="105">
        <f t="shared" si="253"/>
        <v>0.20597591092114048</v>
      </c>
      <c r="MA91" s="426">
        <v>484.09699999999998</v>
      </c>
      <c r="MB91" s="154">
        <f t="shared" si="364"/>
        <v>0</v>
      </c>
      <c r="MC91" s="154">
        <v>272.33199999999999</v>
      </c>
      <c r="MD91" s="154">
        <f t="shared" si="365"/>
        <v>70.644999999999996</v>
      </c>
      <c r="ME91" s="154">
        <f t="shared" si="366"/>
        <v>141.12</v>
      </c>
      <c r="MF91" s="154">
        <v>342.97699999999998</v>
      </c>
      <c r="MG91" s="154">
        <f t="shared" si="505"/>
        <v>301.96199999999999</v>
      </c>
      <c r="MH91" s="327">
        <f t="shared" si="506"/>
        <v>1055.1179999999999</v>
      </c>
      <c r="MI91" s="1009">
        <f>FoF_RoW!$BH61/1000</f>
        <v>1425.037</v>
      </c>
      <c r="MJ91" s="1009">
        <v>1636.8019999999999</v>
      </c>
      <c r="MK91" s="1009">
        <f>FoF_RoW!$AU61/1000</f>
        <v>224.14</v>
      </c>
      <c r="ML91" s="1009">
        <f t="shared" si="254"/>
        <v>229.01600000000008</v>
      </c>
      <c r="MM91" s="426">
        <f t="shared" si="507"/>
        <v>1264.1949999999999</v>
      </c>
      <c r="MN91" s="105">
        <f t="shared" si="508"/>
        <v>1.1981550878669496</v>
      </c>
      <c r="MO91" s="154">
        <v>3051.404</v>
      </c>
      <c r="MP91" s="426">
        <v>2678.797</v>
      </c>
      <c r="MQ91" s="105">
        <f t="shared" si="367"/>
        <v>2.5388601085376235</v>
      </c>
      <c r="MR91" s="23">
        <f t="shared" si="368"/>
        <v>2.1189745252907977</v>
      </c>
      <c r="MS91" s="154">
        <f t="shared" si="509"/>
        <v>160.84200000000001</v>
      </c>
      <c r="MT91" s="154">
        <v>372.60700000000003</v>
      </c>
      <c r="MU91" s="154">
        <v>484.09699999999998</v>
      </c>
      <c r="MV91" s="154">
        <v>2525.8609999999999</v>
      </c>
      <c r="MW91" s="154">
        <v>848.99599999999998</v>
      </c>
      <c r="MX91" s="23">
        <f t="shared" si="369"/>
        <v>2.9751153126752068</v>
      </c>
      <c r="MY91" s="426">
        <f t="shared" si="255"/>
        <v>-1078.2179999999992</v>
      </c>
      <c r="MZ91" s="105">
        <f t="shared" si="510"/>
        <v>-0.12952501081158993</v>
      </c>
      <c r="NA91" s="153">
        <v>7611.4430000000002</v>
      </c>
      <c r="NB91" s="154">
        <v>8613.7109999999993</v>
      </c>
      <c r="NC91" s="426">
        <f t="shared" si="330"/>
        <v>-815.95499999999947</v>
      </c>
      <c r="ND91" s="105">
        <f t="shared" si="331"/>
        <v>-9.8019677093844543E-2</v>
      </c>
      <c r="NE91" s="415">
        <f t="shared" si="332"/>
        <v>303.70899999999995</v>
      </c>
      <c r="NF91" s="105">
        <f t="shared" si="333"/>
        <v>3.6484191052808604E-2</v>
      </c>
      <c r="NG91" s="415">
        <f t="shared" si="334"/>
        <v>41.44600000000014</v>
      </c>
      <c r="NH91" s="105">
        <f t="shared" si="335"/>
        <v>4.9788573350632052E-3</v>
      </c>
      <c r="NI91" s="415">
        <v>75.95</v>
      </c>
      <c r="NJ91" s="426">
        <f t="array" ref="NJ91:NJ108">(TRANSPOSE(ITA_4.1!C9:T9)-TRANSPOSE(ITA_4.1!C31:T31))/1000</f>
        <v>77.39</v>
      </c>
      <c r="NK91" s="406">
        <f t="shared" si="393"/>
        <v>9.2967661332948922E-3</v>
      </c>
      <c r="NL91" s="154">
        <v>78.188999999999993</v>
      </c>
      <c r="NM91" s="154">
        <v>131.626</v>
      </c>
      <c r="NN91" s="154">
        <v>53.436999999999998</v>
      </c>
      <c r="NO91" s="426">
        <f t="shared" si="100"/>
        <v>18.296999999999969</v>
      </c>
      <c r="NP91" s="154">
        <v>294.86799999999999</v>
      </c>
      <c r="NQ91" s="154">
        <v>276.57100000000003</v>
      </c>
      <c r="NR91" s="406">
        <f t="shared" si="394"/>
        <v>2.1979962519821212E-3</v>
      </c>
      <c r="NS91" s="406">
        <f t="shared" si="395"/>
        <v>9.2967661332948922E-3</v>
      </c>
      <c r="NT91" s="406">
        <f t="shared" si="396"/>
        <v>-7.0987698813127706E-3</v>
      </c>
      <c r="NU91" s="738">
        <f t="shared" si="511"/>
        <v>4.0998627368927169E-2</v>
      </c>
      <c r="NV91" s="691">
        <f t="shared" si="512"/>
        <v>8.687504696664676E-2</v>
      </c>
      <c r="NW91" s="691">
        <f t="shared" si="513"/>
        <v>0.10408977953176801</v>
      </c>
      <c r="NX91" s="795">
        <f>(ER91-T.A2!B43*T.A1!M43)/MP91</f>
        <v>3.6073528038288255E-2</v>
      </c>
      <c r="NY91" s="691">
        <f>Liabilities!BU91/Liabilities!GY91</f>
        <v>1.2256414743329107E-2</v>
      </c>
      <c r="NZ91" s="691">
        <f>Liabilities!BU91/Liabilities!GT91</f>
        <v>3.6464247181376593E-2</v>
      </c>
      <c r="OA91" s="691">
        <f>Liabilities!BU91/Liabilities!GR91</f>
        <v>4.5300302167853142E-2</v>
      </c>
      <c r="OB91" s="691">
        <f t="shared" si="256"/>
        <v>2.8742212625598063E-2</v>
      </c>
      <c r="OC91" s="691">
        <f t="shared" si="257"/>
        <v>5.0410799785270168E-2</v>
      </c>
      <c r="OD91" s="691"/>
      <c r="OE91" s="795">
        <f t="shared" si="514"/>
        <v>9.9660258108915156E-2</v>
      </c>
      <c r="OF91" s="795">
        <f>OE91/(1-'Assets(MOFA)'!GU44)</f>
        <v>0.1460177896138754</v>
      </c>
      <c r="OG91" s="795">
        <f>Liabilities!HV91</f>
        <v>4.2158617570683309E-2</v>
      </c>
      <c r="OH91" s="795">
        <f t="shared" si="438"/>
        <v>5.7501640538231848E-2</v>
      </c>
      <c r="OI91" s="107">
        <f t="shared" si="336"/>
        <v>2.568866281187699E-2</v>
      </c>
      <c r="OJ91" s="107">
        <f t="shared" si="337"/>
        <v>2.2923752834467119E-2</v>
      </c>
      <c r="OK91" s="406">
        <f>Liabilities!CT91/LX91</f>
        <v>2.2209639748035956E-2</v>
      </c>
      <c r="OL91" s="406">
        <f>Liabilities!CU91/MF91</f>
        <v>4.9557258941561683E-2</v>
      </c>
      <c r="OM91" s="154"/>
      <c r="OO91" s="232">
        <f t="shared" si="515"/>
        <v>9.7159963503517258E-2</v>
      </c>
      <c r="OP91" s="310">
        <f t="shared" si="370"/>
        <v>0.15186620056700784</v>
      </c>
      <c r="OQ91" s="310">
        <f t="shared" si="371"/>
        <v>1.4755314504508314E-2</v>
      </c>
      <c r="OR91" s="314">
        <f t="shared" si="372"/>
        <v>0</v>
      </c>
      <c r="OS91" s="105">
        <f t="shared" si="373"/>
        <v>0.15519382006706903</v>
      </c>
      <c r="OT91" s="105">
        <f t="shared" si="374"/>
        <v>0.11044842902245516</v>
      </c>
      <c r="OU91" s="105">
        <f t="shared" si="375"/>
        <v>0.16930316843606638</v>
      </c>
      <c r="OV91" s="105">
        <f t="shared" si="376"/>
        <v>0.18169936631954509</v>
      </c>
      <c r="OW91" s="105">
        <f t="shared" si="377"/>
        <v>9.3077257053300166E-2</v>
      </c>
      <c r="OX91" s="105">
        <f t="shared" si="378"/>
        <v>7.0975015754888696E-2</v>
      </c>
      <c r="OY91" s="105">
        <f t="shared" si="379"/>
        <v>0.13002421410544873</v>
      </c>
      <c r="OZ91" s="105">
        <f t="shared" si="380"/>
        <v>0.12152877342291656</v>
      </c>
      <c r="PA91" s="105">
        <f t="shared" si="381"/>
        <v>8.781129920398506E-2</v>
      </c>
      <c r="PB91" s="105">
        <f t="shared" si="382"/>
        <v>3.3717474218931495E-2</v>
      </c>
      <c r="PC91" s="105"/>
      <c r="PD91" s="105"/>
      <c r="PE91" s="105"/>
      <c r="PF91" s="105"/>
      <c r="PG91" s="181"/>
      <c r="PH91" s="23">
        <f>'Assets(MOFA)'!GU44</f>
        <v>0.31747865535799824</v>
      </c>
      <c r="PI91" s="105">
        <f>'Assets(MOFA)'!HM44</f>
        <v>0.30824596708753937</v>
      </c>
      <c r="PJ91" s="112">
        <f t="shared" si="516"/>
        <v>3.871156739811623E-2</v>
      </c>
      <c r="PK91" s="112">
        <f>Liabilities!JA91/MW91/1000</f>
        <v>3.2573769487724329E-2</v>
      </c>
      <c r="PL91" s="112">
        <f>'Assets(MOFA)'!GO44/MM91/1000</f>
        <v>3.0048370702304629E-2</v>
      </c>
      <c r="PM91" s="112">
        <f t="shared" si="429"/>
        <v>2.5253987854196996E-3</v>
      </c>
    </row>
    <row r="92" spans="2:429">
      <c r="B92" s="71">
        <v>2000</v>
      </c>
      <c r="C92" s="43">
        <v>8907</v>
      </c>
      <c r="D92" s="5">
        <v>781.2</v>
      </c>
      <c r="E92" s="6">
        <f t="shared" si="397"/>
        <v>8.7706298416975415E-2</v>
      </c>
      <c r="F92" s="72">
        <f t="shared" si="398"/>
        <v>0</v>
      </c>
      <c r="G92" s="76">
        <f t="shared" si="399"/>
        <v>635</v>
      </c>
      <c r="H92" s="23">
        <f t="shared" si="400"/>
        <v>7.1292242056809257E-2</v>
      </c>
      <c r="I92" s="72">
        <v>146.19999999999999</v>
      </c>
      <c r="J92" s="19">
        <f t="shared" si="401"/>
        <v>1.6414056360166161E-2</v>
      </c>
      <c r="K92" s="6">
        <f t="shared" si="402"/>
        <v>0.18714797747055809</v>
      </c>
      <c r="L92" s="136">
        <v>203.10000000000002</v>
      </c>
      <c r="M92" s="19">
        <f t="shared" si="403"/>
        <v>2.2802290333445607E-2</v>
      </c>
      <c r="N92" s="63">
        <f t="shared" si="404"/>
        <v>0.25998463901689711</v>
      </c>
      <c r="O92" s="5">
        <f t="shared" si="405"/>
        <v>781.2</v>
      </c>
      <c r="P92" s="75">
        <f t="shared" si="406"/>
        <v>0</v>
      </c>
      <c r="Q92" s="271">
        <v>914.2</v>
      </c>
      <c r="R92" s="202">
        <v>146.80000000000001</v>
      </c>
      <c r="S92" s="53">
        <f t="shared" si="407"/>
        <v>0.18791602662570406</v>
      </c>
      <c r="T92" s="74">
        <v>31.4</v>
      </c>
      <c r="U92" s="74">
        <v>34.099999999999994</v>
      </c>
      <c r="V92" s="207">
        <v>286.3</v>
      </c>
      <c r="W92" s="53">
        <f t="shared" si="408"/>
        <v>0.36648745519713261</v>
      </c>
      <c r="X92" s="75">
        <f t="shared" si="409"/>
        <v>-59</v>
      </c>
      <c r="Y92" s="187">
        <v>140.44535400000001</v>
      </c>
      <c r="Z92" s="75">
        <f t="shared" si="436"/>
        <v>-10.724884401538528</v>
      </c>
      <c r="AA92" s="75">
        <v>-9.6084849999999999</v>
      </c>
      <c r="AB92" s="75">
        <f>Z92-AA92</f>
        <v>-1.1163994015385281</v>
      </c>
      <c r="AC92" s="75">
        <f t="shared" si="437"/>
        <v>129.72046959846148</v>
      </c>
      <c r="AD92" s="23">
        <f t="shared" si="410"/>
        <v>0.16605282846705258</v>
      </c>
      <c r="AE92" s="76">
        <f>NIPA_Scorp!C13/1000</f>
        <v>179.07300000000001</v>
      </c>
      <c r="AF92" s="76">
        <v>128.3492177152535</v>
      </c>
      <c r="AG92" s="23">
        <f t="shared" si="385"/>
        <v>0.22922811059907833</v>
      </c>
      <c r="AH92" s="97">
        <v>265.10000000000002</v>
      </c>
      <c r="AI92" s="22">
        <f t="shared" si="411"/>
        <v>2.9763107668126194E-2</v>
      </c>
      <c r="AJ92" s="22">
        <f t="shared" si="412"/>
        <v>2.692264511058718E-2</v>
      </c>
      <c r="AK92" s="99">
        <f t="shared" si="413"/>
        <v>0</v>
      </c>
      <c r="AL92" s="71">
        <v>194.20000000000002</v>
      </c>
      <c r="AM92" s="72">
        <f>(0.25*Fedtax!C73+0.75*Fedtax!C72)/1000</f>
        <v>193.2355</v>
      </c>
      <c r="AN92" s="71">
        <v>35.200000000000003</v>
      </c>
      <c r="AO92" s="255">
        <v>10.4</v>
      </c>
      <c r="AP92" s="71">
        <v>25.3</v>
      </c>
      <c r="AQ92" s="6">
        <f t="shared" si="414"/>
        <v>5.7943190748849224E-2</v>
      </c>
      <c r="AR92" s="207">
        <v>49.9</v>
      </c>
      <c r="AS92" s="714">
        <v>48.355432999999998</v>
      </c>
      <c r="AT92" s="521">
        <v>11.398548999999999</v>
      </c>
      <c r="AU92" s="522">
        <f t="shared" si="386"/>
        <v>0.23572426701256091</v>
      </c>
      <c r="AV92" s="721">
        <v>52.513722000000001</v>
      </c>
      <c r="AW92" s="521">
        <v>13.691656</v>
      </c>
      <c r="AX92" s="521">
        <f t="shared" si="387"/>
        <v>38.822066</v>
      </c>
      <c r="AY92" s="522">
        <f t="shared" si="388"/>
        <v>0.26072530147453649</v>
      </c>
      <c r="AZ92" s="778">
        <v>49.100971999999999</v>
      </c>
      <c r="BA92" s="773">
        <f t="shared" si="389"/>
        <v>10.278905999999999</v>
      </c>
      <c r="BB92" s="522">
        <f t="shared" si="390"/>
        <v>0.20934221017050333</v>
      </c>
      <c r="BC92" s="521">
        <v>12.405727000000001</v>
      </c>
      <c r="BD92" s="722">
        <f>'Assets(MOFA)'!FJ45/1000</f>
        <v>59.801000000000002</v>
      </c>
      <c r="BE92" s="753">
        <f t="shared" si="105"/>
        <v>0.87814120165214626</v>
      </c>
      <c r="BF92" s="234">
        <v>0.35</v>
      </c>
      <c r="BG92" s="437"/>
      <c r="BH92" s="140">
        <f t="shared" si="464"/>
        <v>0.28436841452832529</v>
      </c>
      <c r="BI92" s="248">
        <f t="shared" si="384"/>
        <v>0.36550371478601146</v>
      </c>
      <c r="BJ92" s="23">
        <f t="shared" si="465"/>
        <v>0.20988106129917658</v>
      </c>
      <c r="BK92" s="32">
        <f t="shared" si="466"/>
        <v>0.32605650245155265</v>
      </c>
      <c r="BL92" s="32">
        <f t="shared" si="467"/>
        <v>0.29681614532152967</v>
      </c>
      <c r="BM92" s="248">
        <f t="shared" si="468"/>
        <v>0.38424524053622855</v>
      </c>
      <c r="BN92" s="23">
        <f t="shared" si="469"/>
        <v>0.26230584117260991</v>
      </c>
      <c r="BO92" s="23">
        <f t="shared" si="470"/>
        <v>0.22601319509896325</v>
      </c>
      <c r="BP92" s="149">
        <f t="shared" si="415"/>
        <v>781.2</v>
      </c>
      <c r="BQ92" s="99">
        <f t="shared" si="416"/>
        <v>0</v>
      </c>
      <c r="BR92" s="153">
        <f t="shared" si="417"/>
        <v>265.10000000000002</v>
      </c>
      <c r="BS92" s="79">
        <v>384.7</v>
      </c>
      <c r="BT92" s="79">
        <v>131.4</v>
      </c>
      <c r="BU92" s="23">
        <f t="shared" si="517"/>
        <v>0.16820276497695852</v>
      </c>
      <c r="BV92" s="71">
        <v>14.5</v>
      </c>
      <c r="BW92" s="71">
        <f t="shared" si="418"/>
        <v>116.9</v>
      </c>
      <c r="BX92" s="23">
        <f t="shared" si="419"/>
        <v>0.1496415770609319</v>
      </c>
      <c r="BY92" s="23">
        <f t="shared" si="289"/>
        <v>3.5051203277009724E-2</v>
      </c>
      <c r="BZ92" s="23">
        <f t="shared" si="290"/>
        <v>0.18905781791568277</v>
      </c>
      <c r="CA92" s="23">
        <f t="shared" si="291"/>
        <v>0.20671920699660487</v>
      </c>
      <c r="CB92" s="23">
        <f t="shared" si="262"/>
        <v>0.79958960328317386</v>
      </c>
      <c r="CC92" s="169">
        <f t="shared" si="420"/>
        <v>203.10000000000002</v>
      </c>
      <c r="CD92" s="72">
        <f t="shared" si="518"/>
        <v>0</v>
      </c>
      <c r="CE92" s="76">
        <v>33.472999999999999</v>
      </c>
      <c r="CF92" s="76">
        <v>144.834</v>
      </c>
      <c r="CG92" s="76">
        <f t="shared" si="519"/>
        <v>24.793000000000006</v>
      </c>
      <c r="CH92" s="23">
        <f t="shared" si="392"/>
        <v>0.71311669128508115</v>
      </c>
      <c r="CI92" s="326">
        <v>149.839</v>
      </c>
      <c r="CJ92" s="153">
        <f t="shared" si="292"/>
        <v>0</v>
      </c>
      <c r="CK92" s="79">
        <f t="shared" si="520"/>
        <v>144.834</v>
      </c>
      <c r="CL92" s="159">
        <v>52.863</v>
      </c>
      <c r="CM92" s="159">
        <v>91.971000000000004</v>
      </c>
      <c r="CN92" s="159">
        <v>116.9</v>
      </c>
      <c r="CO92" s="159">
        <f t="shared" si="338"/>
        <v>24.929000000000002</v>
      </c>
      <c r="CP92" s="79">
        <v>5.0049999999999999</v>
      </c>
      <c r="CQ92" s="79">
        <v>8.69</v>
      </c>
      <c r="CR92" s="79">
        <v>3.6850000000000001</v>
      </c>
      <c r="CS92" s="23">
        <f t="shared" si="293"/>
        <v>0.63500973528315174</v>
      </c>
      <c r="CT92" s="23">
        <f t="shared" si="294"/>
        <v>4.7171018945212492E-3</v>
      </c>
      <c r="CU92" s="73">
        <v>14.952999999999999</v>
      </c>
      <c r="CV92" s="378">
        <f t="shared" si="295"/>
        <v>1.1360329786126767E-2</v>
      </c>
      <c r="CW92" s="378">
        <f t="shared" si="296"/>
        <v>9.979377865575717E-2</v>
      </c>
      <c r="CX92" s="153">
        <f t="shared" si="297"/>
        <v>134.886</v>
      </c>
      <c r="CY92" s="153">
        <f t="shared" si="298"/>
        <v>1.1939999999999884</v>
      </c>
      <c r="CZ92" s="295">
        <f t="shared" si="299"/>
        <v>149.839</v>
      </c>
      <c r="DA92" s="430">
        <f>DB92+DC92+DD92+DE92+DF92</f>
        <v>16.975889787454641</v>
      </c>
      <c r="DB92" s="153">
        <v>12.013</v>
      </c>
      <c r="DC92" s="153">
        <v>0.28100000000000003</v>
      </c>
      <c r="DD92" s="153">
        <v>2.536</v>
      </c>
      <c r="DE92" s="153">
        <v>1.2490000000000001</v>
      </c>
      <c r="DF92" s="319">
        <f>DF93*(DB92+DC92+DD92+DE92)/(DB93+DC93+DD93+DE93)</f>
        <v>0.89688978745463932</v>
      </c>
      <c r="DG92" s="425">
        <v>37.045999999999999</v>
      </c>
      <c r="DH92" s="140">
        <f t="shared" si="521"/>
        <v>0.24723870287441854</v>
      </c>
      <c r="DI92" s="182">
        <v>133.69200000000001</v>
      </c>
      <c r="DJ92" s="79">
        <v>5.7729999999999997</v>
      </c>
      <c r="DK92" s="79">
        <v>13.401999999999999</v>
      </c>
      <c r="DL92" s="79">
        <v>2.891</v>
      </c>
      <c r="DM92" s="79">
        <v>5.0270000000000001</v>
      </c>
      <c r="DN92" s="79">
        <v>10.807</v>
      </c>
      <c r="DO92" s="79">
        <v>6.4459999999999997</v>
      </c>
      <c r="DP92" s="79">
        <v>0.222</v>
      </c>
      <c r="DQ92" s="79">
        <v>4.0449999999999999</v>
      </c>
      <c r="DR92" s="79">
        <f t="shared" si="471"/>
        <v>41.945</v>
      </c>
      <c r="DS92" s="79">
        <f t="shared" si="472"/>
        <v>91.747000000000014</v>
      </c>
      <c r="DT92" s="79">
        <v>2.2719999999999998</v>
      </c>
      <c r="DU92" s="23">
        <f t="shared" si="473"/>
        <v>2.4763752493269529E-2</v>
      </c>
      <c r="DV92" s="23">
        <f t="shared" si="474"/>
        <v>4.3181342189510211E-2</v>
      </c>
      <c r="DW92" s="23">
        <f t="shared" si="475"/>
        <v>0.10024534003530503</v>
      </c>
      <c r="DX92" s="23">
        <f t="shared" si="476"/>
        <v>2.1624330550818298E-2</v>
      </c>
      <c r="DY92" s="23">
        <f t="shared" si="477"/>
        <v>3.7601352362145825E-2</v>
      </c>
      <c r="DZ92" s="23">
        <f t="shared" si="478"/>
        <v>8.0835053705532123E-2</v>
      </c>
      <c r="EA92" s="23">
        <f t="shared" si="479"/>
        <v>4.8215300840738412E-2</v>
      </c>
      <c r="EB92" s="23">
        <f t="shared" si="480"/>
        <v>1.6605331657840409E-3</v>
      </c>
      <c r="EC92" s="23">
        <f t="shared" si="481"/>
        <v>3.0256111061245247E-2</v>
      </c>
      <c r="ED92" s="23">
        <f t="shared" si="482"/>
        <v>0.31374352990455673</v>
      </c>
      <c r="EE92" s="153">
        <v>48.374000000000002</v>
      </c>
      <c r="EF92" s="23">
        <f t="shared" si="300"/>
        <v>0.36183167280016754</v>
      </c>
      <c r="EG92" s="182">
        <v>77.018000000000001</v>
      </c>
      <c r="EH92" s="79">
        <v>4.3449999999999998</v>
      </c>
      <c r="EI92" s="79">
        <v>10.077999999999999</v>
      </c>
      <c r="EJ92" s="79">
        <v>2.5350000000000001</v>
      </c>
      <c r="EK92" s="79">
        <v>2.9489999999999998</v>
      </c>
      <c r="EL92" s="79">
        <v>4.2679999999999998</v>
      </c>
      <c r="EM92" s="79">
        <v>3.2069999999999999</v>
      </c>
      <c r="EN92" s="28">
        <f t="shared" si="301"/>
        <v>27.381999999999998</v>
      </c>
      <c r="EO92" s="23">
        <f t="shared" si="302"/>
        <v>0.6588795856905495</v>
      </c>
      <c r="EP92" s="79">
        <f t="shared" si="303"/>
        <v>49.636000000000003</v>
      </c>
      <c r="EQ92" s="23">
        <f t="shared" si="304"/>
        <v>0.35552727933729772</v>
      </c>
      <c r="ER92" s="182">
        <f t="shared" si="268"/>
        <v>128.68700000000001</v>
      </c>
      <c r="ES92" s="185"/>
      <c r="ET92" s="136">
        <f>'Assets(MOFA)'!W45/1000</f>
        <v>172.155</v>
      </c>
      <c r="EU92" s="136">
        <f t="shared" si="339"/>
        <v>112.354</v>
      </c>
      <c r="EV92" s="589">
        <f t="shared" si="340"/>
        <v>0.87307964285436745</v>
      </c>
      <c r="EW92" s="153">
        <f t="shared" si="439"/>
        <v>5.6333252560486864</v>
      </c>
      <c r="EX92" s="153">
        <f t="shared" si="440"/>
        <v>13.483952092919697</v>
      </c>
      <c r="EY92" s="153">
        <f t="shared" si="441"/>
        <v>2.9029461555588543</v>
      </c>
      <c r="EZ92" s="153">
        <f t="shared" si="442"/>
        <v>4.8046695858690818</v>
      </c>
      <c r="FA92" s="153">
        <f t="shared" si="443"/>
        <v>10.785159789223691</v>
      </c>
      <c r="FB92" s="153">
        <f t="shared" si="444"/>
        <v>6.8977112587204985</v>
      </c>
      <c r="FC92" s="153"/>
      <c r="FD92" s="153">
        <f t="shared" si="445"/>
        <v>3.9483753896393052</v>
      </c>
      <c r="FE92" s="153">
        <f t="shared" si="483"/>
        <v>41.558428269259316</v>
      </c>
      <c r="FF92" s="153">
        <f t="shared" si="484"/>
        <v>87.782796534065625</v>
      </c>
      <c r="FG92" s="23">
        <f t="shared" si="446"/>
        <v>4.3775402768334686E-2</v>
      </c>
      <c r="FH92" s="23">
        <f t="shared" si="447"/>
        <v>0.10478099647143609</v>
      </c>
      <c r="FI92" s="23">
        <f t="shared" si="448"/>
        <v>2.2558192789938796E-2</v>
      </c>
      <c r="FJ92" s="23">
        <f t="shared" si="449"/>
        <v>3.733609133688004E-2</v>
      </c>
      <c r="FK92" s="23">
        <f t="shared" si="450"/>
        <v>8.3809240942936666E-2</v>
      </c>
      <c r="FL92" s="23">
        <f t="shared" si="451"/>
        <v>5.3600684286062288E-2</v>
      </c>
      <c r="FM92" s="23"/>
      <c r="FN92" s="23">
        <f t="shared" si="452"/>
        <v>3.0682006648995664E-2</v>
      </c>
      <c r="FO92" s="23">
        <f t="shared" si="421"/>
        <v>0.32294193095852192</v>
      </c>
      <c r="FP92" s="23">
        <f t="shared" si="422"/>
        <v>0.67705806904147803</v>
      </c>
      <c r="FQ92" s="23">
        <f t="shared" si="423"/>
        <v>8.3959941343671032E-2</v>
      </c>
      <c r="FR92" s="23">
        <f t="shared" si="424"/>
        <v>0.17602469767322607</v>
      </c>
      <c r="FS92" s="23">
        <f t="shared" si="425"/>
        <v>7.3638156705597632E-3</v>
      </c>
      <c r="FT92" s="393">
        <f t="shared" si="426"/>
        <v>4.8518678181199929E-3</v>
      </c>
      <c r="FU92" s="393">
        <f t="shared" si="427"/>
        <v>2.5119478524397703E-3</v>
      </c>
      <c r="FV92" s="23">
        <f t="shared" si="428"/>
        <v>1.5438474662885844E-2</v>
      </c>
      <c r="FW92" s="326">
        <f t="shared" si="305"/>
        <v>5.0049999999999999</v>
      </c>
      <c r="FX92" s="384">
        <f t="shared" si="430"/>
        <v>0.1396747439513136</v>
      </c>
      <c r="FY92" s="384">
        <f t="shared" si="431"/>
        <v>-8.1952092919697184E-2</v>
      </c>
      <c r="FZ92" s="384">
        <f t="shared" si="432"/>
        <v>-1.1946155558854081E-2</v>
      </c>
      <c r="GA92" s="384">
        <f t="shared" si="433"/>
        <v>0.22233041413091878</v>
      </c>
      <c r="GB92" s="384">
        <f t="shared" si="434"/>
        <v>2.1840210776309866E-2</v>
      </c>
      <c r="GC92" s="384">
        <f t="shared" si="435"/>
        <v>-0.45171125872049878</v>
      </c>
      <c r="GD92" s="153"/>
      <c r="GE92" s="153">
        <f t="shared" si="453"/>
        <v>9.6624610360694668E-2</v>
      </c>
      <c r="GF92" s="153">
        <f t="shared" si="485"/>
        <v>0.38657173074068563</v>
      </c>
      <c r="GG92" s="153">
        <f t="shared" si="277"/>
        <v>3.9642034659343923</v>
      </c>
      <c r="GH92" s="182">
        <v>142.62700000000001</v>
      </c>
      <c r="GI92" s="79">
        <v>9.8230000000000004</v>
      </c>
      <c r="GJ92" s="79">
        <v>0.96099999999999997</v>
      </c>
      <c r="GK92" s="79">
        <v>2.4740000000000002</v>
      </c>
      <c r="GL92" s="79">
        <v>8.6869999999999994</v>
      </c>
      <c r="GM92" s="79">
        <f t="shared" si="342"/>
        <v>8.9589999999999996</v>
      </c>
      <c r="GN92" s="79">
        <v>9.3629999999999995</v>
      </c>
      <c r="GO92" s="79">
        <v>-0.40400000000000003</v>
      </c>
      <c r="GP92" s="79">
        <v>0.17899999999999999</v>
      </c>
      <c r="GQ92" s="79">
        <v>3.6880000000000002</v>
      </c>
      <c r="GR92" s="79">
        <f t="shared" ref="GR92:GR108" si="523">GQ92+GM92+GL92+GK92+GJ92+GI92</f>
        <v>34.591999999999999</v>
      </c>
      <c r="GS92" s="79">
        <f t="shared" si="343"/>
        <v>108.03500000000001</v>
      </c>
      <c r="GT92" s="23">
        <f t="shared" ref="GT92:GT108" si="524">GR92/GH92</f>
        <v>0.24253472343946095</v>
      </c>
      <c r="GU92" s="362">
        <f t="shared" si="259"/>
        <v>155.05800000000002</v>
      </c>
      <c r="GV92" s="153">
        <f t="shared" si="344"/>
        <v>78.040999999999997</v>
      </c>
      <c r="GW92" s="153">
        <f t="shared" si="308"/>
        <v>77.018000000000001</v>
      </c>
      <c r="GX92" s="153">
        <f t="shared" si="309"/>
        <v>5.1700000000000008</v>
      </c>
      <c r="GY92" s="153">
        <f t="shared" si="310"/>
        <v>11.407</v>
      </c>
      <c r="GZ92" s="153">
        <f t="shared" si="226"/>
        <v>5.8115000000000006</v>
      </c>
      <c r="HA92" s="153">
        <f t="shared" si="227"/>
        <v>8.2279999999999998</v>
      </c>
      <c r="HB92" s="153">
        <f t="shared" si="228"/>
        <v>11.166</v>
      </c>
      <c r="HC92" s="153">
        <f t="shared" si="229"/>
        <v>9.1059999999999999</v>
      </c>
      <c r="HD92" s="352"/>
      <c r="HE92" s="153">
        <f t="shared" si="231"/>
        <v>2.8090000000000002</v>
      </c>
      <c r="HF92" s="153">
        <f t="shared" si="311"/>
        <v>44.591500000000011</v>
      </c>
      <c r="HG92" s="23">
        <f t="shared" si="345"/>
        <v>0.28757948638573955</v>
      </c>
      <c r="HH92" s="156">
        <f t="shared" si="346"/>
        <v>112.71800000000007</v>
      </c>
      <c r="HI92" s="182">
        <f t="shared" si="312"/>
        <v>65.609000000000009</v>
      </c>
      <c r="HJ92" s="88">
        <v>9.9999999999056399E-4</v>
      </c>
      <c r="HK92" s="79">
        <f t="shared" si="313"/>
        <v>5.4780000000000006</v>
      </c>
      <c r="HL92" s="79">
        <f t="shared" si="314"/>
        <v>-9.1169999999999991</v>
      </c>
      <c r="HM92" s="79">
        <f t="shared" si="315"/>
        <v>-6.0999999999999943E-2</v>
      </c>
      <c r="HN92" s="79">
        <f t="shared" si="316"/>
        <v>5.7379999999999995</v>
      </c>
      <c r="HO92" s="79">
        <f t="shared" si="317"/>
        <v>4.6909999999999998</v>
      </c>
      <c r="HP92" s="79">
        <f t="shared" si="318"/>
        <v>0.48100000000000032</v>
      </c>
      <c r="HQ92" s="79">
        <f t="shared" ref="HQ92:HQ104" si="525">HP92+HO92+HN92+HM92+HL92+HK92</f>
        <v>7.2100000000000017</v>
      </c>
      <c r="HR92" s="79">
        <f t="shared" si="383"/>
        <v>58.399000000000008</v>
      </c>
      <c r="HS92" s="23">
        <f t="shared" si="321"/>
        <v>0.10989345973875536</v>
      </c>
      <c r="HT92" s="28">
        <v>78.040999999999997</v>
      </c>
      <c r="HU92" s="79">
        <v>0.82499999999999996</v>
      </c>
      <c r="HV92" s="79">
        <v>1.329</v>
      </c>
      <c r="HW92" s="26">
        <v>1.5489999999999999</v>
      </c>
      <c r="HX92" s="79">
        <v>5.2789999999999999</v>
      </c>
      <c r="HY92" s="79">
        <v>6.899</v>
      </c>
      <c r="HZ92" s="79">
        <v>4.9950000000000001</v>
      </c>
      <c r="IA92" s="79"/>
      <c r="IB92" s="79">
        <v>-0.39800000000000002</v>
      </c>
      <c r="IC92" s="79">
        <f t="shared" ref="IC92:IC108" si="526">IB92+HY92+HX92+HW92+HV92+HU92</f>
        <v>15.483000000000001</v>
      </c>
      <c r="ID92" s="79">
        <f t="shared" si="347"/>
        <v>62.557999999999993</v>
      </c>
      <c r="IE92" s="23">
        <f t="shared" si="348"/>
        <v>0.19839571507284634</v>
      </c>
      <c r="IF92" s="316">
        <v>-12.430999999999999</v>
      </c>
      <c r="IG92" s="153">
        <v>4.6529999999999996</v>
      </c>
      <c r="IH92" s="153">
        <v>-10.446</v>
      </c>
      <c r="II92" s="153">
        <v>-3.3374999999999999</v>
      </c>
      <c r="IJ92" s="153">
        <v>0.45900000000000002</v>
      </c>
      <c r="IK92" s="153">
        <v>-2.2069999999999999</v>
      </c>
      <c r="IL92" s="153">
        <v>0.25700000000000001</v>
      </c>
      <c r="IM92" s="153"/>
      <c r="IN92" s="153">
        <v>0.879</v>
      </c>
      <c r="IO92" s="153">
        <f t="shared" si="349"/>
        <v>-9.9994999999999994</v>
      </c>
      <c r="IP92" s="153">
        <f t="shared" si="522"/>
        <v>-2.4314999999999998</v>
      </c>
      <c r="IQ92" s="258">
        <f t="shared" si="350"/>
        <v>-12.431000000000012</v>
      </c>
      <c r="IR92" s="149">
        <f t="shared" si="323"/>
        <v>1316.2470000000001</v>
      </c>
      <c r="IS92" s="153">
        <f t="shared" si="351"/>
        <v>100.28700000000003</v>
      </c>
      <c r="IT92" s="153">
        <f>IU92+IV92+IW92+IX92-IS92</f>
        <v>0</v>
      </c>
      <c r="IU92" s="153">
        <f t="shared" si="352"/>
        <v>77.018000000000001</v>
      </c>
      <c r="IV92" s="153">
        <f t="shared" si="324"/>
        <v>78.040999999999997</v>
      </c>
      <c r="IW92" s="153">
        <v>-12.430999999999999</v>
      </c>
      <c r="IX92" s="153">
        <f>IY92+IZ92+JA92</f>
        <v>-42.341000000000001</v>
      </c>
      <c r="IY92" s="153">
        <v>-19.388000000000002</v>
      </c>
      <c r="IZ92" s="153">
        <v>11.456</v>
      </c>
      <c r="JA92" s="153">
        <v>-34.408999999999999</v>
      </c>
      <c r="JB92" s="23">
        <f t="shared" si="486"/>
        <v>0.14777669248905356</v>
      </c>
      <c r="JC92" s="23">
        <f t="shared" si="487"/>
        <v>4.1226675648366455E-2</v>
      </c>
      <c r="JD92" s="23">
        <f t="shared" si="488"/>
        <v>0.1065500168406871</v>
      </c>
      <c r="JE92" s="22">
        <f t="shared" si="489"/>
        <v>8.6469069271359611E-3</v>
      </c>
      <c r="JF92" s="22">
        <f t="shared" si="326"/>
        <v>8.7617604131581903E-3</v>
      </c>
      <c r="JG92" s="22">
        <f t="shared" si="327"/>
        <v>-1.3956438756034578E-3</v>
      </c>
      <c r="JH92" s="5">
        <v>1316.2470000000001</v>
      </c>
      <c r="JI92" s="192">
        <v>73.459000000000003</v>
      </c>
      <c r="JJ92" s="76">
        <v>35.902999999999999</v>
      </c>
      <c r="JK92" s="76">
        <v>115.429</v>
      </c>
      <c r="JL92" s="76">
        <v>27.849</v>
      </c>
      <c r="JM92" s="76">
        <v>55.377000000000002</v>
      </c>
      <c r="JN92" s="76">
        <f t="shared" si="354"/>
        <v>108.515</v>
      </c>
      <c r="JO92" s="76">
        <v>60.113999999999997</v>
      </c>
      <c r="JP92" s="76">
        <v>48.401000000000003</v>
      </c>
      <c r="JQ92" s="76">
        <v>3.5790000000000002</v>
      </c>
      <c r="JR92" s="76">
        <v>24.132999999999999</v>
      </c>
      <c r="JS92" s="76">
        <f t="shared" ref="JS92:JS108" si="527">JR92+JN92+JM92+JL92+JK92+JJ92</f>
        <v>367.20600000000002</v>
      </c>
      <c r="JT92" s="76">
        <f t="shared" si="355"/>
        <v>949.04100000000005</v>
      </c>
      <c r="JU92" s="23">
        <f t="shared" si="356"/>
        <v>0.27897955322975093</v>
      </c>
      <c r="JV92" s="23">
        <f t="shared" si="357"/>
        <v>2.7276795312733852E-2</v>
      </c>
      <c r="JW92" s="23">
        <f t="shared" si="358"/>
        <v>8.7695546504569427E-2</v>
      </c>
      <c r="JX92" s="23">
        <f t="shared" si="359"/>
        <v>2.1157882980929871E-2</v>
      </c>
      <c r="JY92" s="23">
        <f t="shared" si="360"/>
        <v>4.2071890762144189E-2</v>
      </c>
      <c r="JZ92" s="23">
        <f t="shared" si="361"/>
        <v>8.2442733012876759E-2</v>
      </c>
      <c r="KA92" s="23">
        <f t="shared" si="362"/>
        <v>1.833470465649684E-2</v>
      </c>
      <c r="KB92" s="149">
        <v>148.411</v>
      </c>
      <c r="KC92" s="316">
        <v>296.428</v>
      </c>
      <c r="KD92" s="316">
        <v>148.017</v>
      </c>
      <c r="KE92" s="589">
        <f t="shared" si="242"/>
        <v>0.49933542040562967</v>
      </c>
      <c r="KF92" s="1071">
        <v>0</v>
      </c>
      <c r="KG92" s="319">
        <f t="shared" si="243"/>
        <v>4.7644999999999991</v>
      </c>
      <c r="KH92" s="319">
        <f t="shared" si="244"/>
        <v>-2.7954999999999997</v>
      </c>
      <c r="KI92" s="321">
        <f t="shared" si="245"/>
        <v>-0.40749999999999975</v>
      </c>
      <c r="KJ92" s="319">
        <f t="shared" si="246"/>
        <v>7.5839999999999996</v>
      </c>
      <c r="KK92" s="319">
        <f t="shared" si="285"/>
        <v>0.74499999999999789</v>
      </c>
      <c r="KL92" s="319">
        <f t="shared" si="248"/>
        <v>-15.408500000000002</v>
      </c>
      <c r="KM92" s="319"/>
      <c r="KN92" s="319"/>
      <c r="KO92" s="319"/>
      <c r="KP92" s="319">
        <f t="shared" si="454"/>
        <v>3.2959999999999998</v>
      </c>
      <c r="KQ92" s="153">
        <f t="shared" si="328"/>
        <v>13.186499999999995</v>
      </c>
      <c r="KR92" s="153">
        <f t="shared" si="329"/>
        <v>135.22450000000001</v>
      </c>
      <c r="KS92" s="23">
        <f t="shared" si="490"/>
        <v>1.5181823285056698E-2</v>
      </c>
      <c r="KT92" s="23"/>
      <c r="KU92" s="326">
        <v>1167.836</v>
      </c>
      <c r="KV92" s="430">
        <f t="shared" si="252"/>
        <v>73.459000000000003</v>
      </c>
      <c r="KW92" s="322">
        <f t="shared" si="491"/>
        <v>31.138500000000001</v>
      </c>
      <c r="KX92" s="322">
        <f t="shared" si="492"/>
        <v>118.22450000000001</v>
      </c>
      <c r="KY92" s="322">
        <f t="shared" si="493"/>
        <v>28.256499999999999</v>
      </c>
      <c r="KZ92" s="322">
        <f t="shared" si="494"/>
        <v>47.793000000000006</v>
      </c>
      <c r="LA92" s="322">
        <f t="shared" si="495"/>
        <v>107.77</v>
      </c>
      <c r="LB92" s="322">
        <f t="shared" si="496"/>
        <v>75.522499999999994</v>
      </c>
      <c r="LC92" s="322"/>
      <c r="LD92" s="322">
        <f t="shared" si="455"/>
        <v>20.837</v>
      </c>
      <c r="LE92" s="322">
        <f t="shared" si="456"/>
        <v>354.01949999999999</v>
      </c>
      <c r="LF92" s="322">
        <f t="shared" si="497"/>
        <v>0</v>
      </c>
      <c r="LG92" s="322">
        <f t="shared" si="498"/>
        <v>813.81650000000002</v>
      </c>
      <c r="LH92" s="367">
        <f t="shared" si="499"/>
        <v>0.30314145136817156</v>
      </c>
      <c r="LI92" s="248">
        <f t="shared" si="457"/>
        <v>2.6663418493692609E-2</v>
      </c>
      <c r="LJ92" s="248">
        <f t="shared" si="458"/>
        <v>0.1012338205021938</v>
      </c>
      <c r="LK92" s="248">
        <f t="shared" si="459"/>
        <v>2.4195606232381942E-2</v>
      </c>
      <c r="LL92" s="248">
        <f t="shared" si="460"/>
        <v>4.0924410619299287E-2</v>
      </c>
      <c r="LM92" s="248">
        <f t="shared" si="461"/>
        <v>9.2281792991481676E-2</v>
      </c>
      <c r="LN92" s="248">
        <f t="shared" si="462"/>
        <v>6.4668754859415187E-2</v>
      </c>
      <c r="LO92" s="248"/>
      <c r="LP92" s="248">
        <f t="shared" si="463"/>
        <v>1.7842402529122239E-2</v>
      </c>
      <c r="LQ92" s="248">
        <f t="shared" si="500"/>
        <v>0.13111440440103289</v>
      </c>
      <c r="LR92" s="23">
        <f t="shared" si="501"/>
        <v>9.1368193555630403E-2</v>
      </c>
      <c r="LS92" s="23">
        <f t="shared" si="502"/>
        <v>3.9746210845402495E-2</v>
      </c>
      <c r="LT92" s="326">
        <v>388.96699999999998</v>
      </c>
      <c r="LU92" s="153">
        <f t="shared" si="363"/>
        <v>0</v>
      </c>
      <c r="LV92" s="153">
        <f t="shared" si="503"/>
        <v>148.411</v>
      </c>
      <c r="LW92" s="153">
        <f t="shared" si="504"/>
        <v>148.017</v>
      </c>
      <c r="LX92" s="153">
        <v>92.539000000000001</v>
      </c>
      <c r="LY92" s="23">
        <f>LX92/Liabilities!GT92</f>
        <v>8.2266760900196897E-2</v>
      </c>
      <c r="LZ92" s="23">
        <f t="shared" si="253"/>
        <v>0.21683729060588097</v>
      </c>
      <c r="MA92" s="425">
        <v>574.78399999999999</v>
      </c>
      <c r="MB92" s="153">
        <f t="shared" si="364"/>
        <v>1.0000000000331966E-3</v>
      </c>
      <c r="MC92" s="153">
        <v>334.22699999999998</v>
      </c>
      <c r="MD92" s="153">
        <f t="shared" si="365"/>
        <v>92.539000000000001</v>
      </c>
      <c r="ME92" s="153">
        <f t="shared" si="366"/>
        <v>148.017</v>
      </c>
      <c r="MF92" s="153">
        <v>426.767</v>
      </c>
      <c r="MG92" s="153">
        <f t="shared" si="505"/>
        <v>296.428</v>
      </c>
      <c r="MH92" s="326">
        <f t="shared" si="506"/>
        <v>1167.836</v>
      </c>
      <c r="MI92" s="1008">
        <f>FoF_RoW!$BH62/1000</f>
        <v>1550.873</v>
      </c>
      <c r="MJ92" s="1008">
        <v>1791.4290000000001</v>
      </c>
      <c r="MK92" s="1008">
        <f>FoF_RoW!$AU62/1000</f>
        <v>157.58199999999999</v>
      </c>
      <c r="ML92" s="1008">
        <f t="shared" si="254"/>
        <v>125.83600000000001</v>
      </c>
      <c r="MM92" s="425">
        <f t="shared" si="507"/>
        <v>1402.462</v>
      </c>
      <c r="MN92" s="23">
        <f t="shared" si="508"/>
        <v>1.2009066341506855</v>
      </c>
      <c r="MO92" s="153">
        <v>2934.57</v>
      </c>
      <c r="MP92" s="425">
        <v>2545.6030000000001</v>
      </c>
      <c r="MQ92" s="23">
        <f t="shared" si="367"/>
        <v>2.1797606855757143</v>
      </c>
      <c r="MR92" s="23">
        <f t="shared" si="368"/>
        <v>1.8150958813857345</v>
      </c>
      <c r="MS92" s="153">
        <f t="shared" si="509"/>
        <v>148.411</v>
      </c>
      <c r="MT92" s="153">
        <v>388.96699999999998</v>
      </c>
      <c r="MU92" s="153">
        <v>574.78399999999999</v>
      </c>
      <c r="MV92" s="153">
        <v>2449.0079999999998</v>
      </c>
      <c r="MW92" s="153">
        <v>1124.864</v>
      </c>
      <c r="MX92" s="23">
        <f t="shared" si="369"/>
        <v>2.1771591943559399</v>
      </c>
      <c r="MY92" s="425">
        <f t="shared" si="255"/>
        <v>-1608.6250000000009</v>
      </c>
      <c r="MZ92" s="23">
        <f t="shared" si="510"/>
        <v>-0.18060233524194463</v>
      </c>
      <c r="NA92" s="153">
        <v>7641.7479999999996</v>
      </c>
      <c r="NB92" s="153">
        <v>9178.5740000000005</v>
      </c>
      <c r="NC92" s="425">
        <f t="shared" si="330"/>
        <v>-1427.6220000000012</v>
      </c>
      <c r="ND92" s="23">
        <f t="shared" si="331"/>
        <v>-0.1602809026608287</v>
      </c>
      <c r="NE92" s="330">
        <f t="shared" si="332"/>
        <v>91.781000000000063</v>
      </c>
      <c r="NF92" s="23">
        <f t="shared" si="333"/>
        <v>1.0304367351521283E-2</v>
      </c>
      <c r="NG92" s="330">
        <f t="shared" si="334"/>
        <v>-89.221999999999639</v>
      </c>
      <c r="NH92" s="23">
        <f t="shared" si="335"/>
        <v>-1.001706522959466E-2</v>
      </c>
      <c r="NI92" s="330">
        <v>71.799000000000007</v>
      </c>
      <c r="NJ92" s="425">
        <v>93.82</v>
      </c>
      <c r="NK92" s="403">
        <f t="shared" si="393"/>
        <v>1.0533288424834399E-2</v>
      </c>
      <c r="NL92" s="153">
        <v>94.929000000000002</v>
      </c>
      <c r="NM92" s="153">
        <v>151.839</v>
      </c>
      <c r="NN92" s="153">
        <v>56.91</v>
      </c>
      <c r="NO92" s="425">
        <f t="shared" si="100"/>
        <v>24.628999999999962</v>
      </c>
      <c r="NP92" s="153">
        <v>352.31099999999998</v>
      </c>
      <c r="NQ92" s="153">
        <v>327.68200000000002</v>
      </c>
      <c r="NR92" s="403">
        <f t="shared" si="394"/>
        <v>2.7651285505781928E-3</v>
      </c>
      <c r="NS92" s="403">
        <f t="shared" si="395"/>
        <v>1.0533288424834399E-2</v>
      </c>
      <c r="NT92" s="403">
        <f t="shared" si="396"/>
        <v>-7.7681598742562058E-3</v>
      </c>
      <c r="NU92" s="727">
        <f t="shared" si="511"/>
        <v>5.0552658839575541E-2</v>
      </c>
      <c r="NV92" s="688">
        <f t="shared" si="512"/>
        <v>9.1757922852811702E-2</v>
      </c>
      <c r="NW92" s="688">
        <f t="shared" si="513"/>
        <v>0.11019269828982838</v>
      </c>
      <c r="NX92" s="793">
        <f>(ER92-T.A2!B44*T.A1!M44)/MP92</f>
        <v>4.00010950105451E-2</v>
      </c>
      <c r="NY92" s="688">
        <f>Liabilities!BU92/Liabilities!GY92</f>
        <v>1.1422175836093635E-2</v>
      </c>
      <c r="NZ92" s="688">
        <f>Liabilities!BU92/Liabilities!GT92</f>
        <v>2.4867873033652919E-2</v>
      </c>
      <c r="OA92" s="688">
        <f>Liabilities!BU92/Liabilities!GR92</f>
        <v>3.0318434058787827E-2</v>
      </c>
      <c r="OB92" s="688">
        <f t="shared" si="256"/>
        <v>3.9130483003481903E-2</v>
      </c>
      <c r="OC92" s="688">
        <f t="shared" si="257"/>
        <v>6.6890049819158776E-2</v>
      </c>
      <c r="OD92" s="688"/>
      <c r="OE92" s="793">
        <f t="shared" si="514"/>
        <v>0.10327124727800112</v>
      </c>
      <c r="OF92" s="793">
        <f>OE92/(1-'Assets(MOFA)'!GU45)</f>
        <v>0.1582379049712897</v>
      </c>
      <c r="OG92" s="793">
        <f>Liabilities!HV92</f>
        <v>2.9453834224913482E-2</v>
      </c>
      <c r="OH92" s="793">
        <f t="shared" si="438"/>
        <v>7.3817413053087644E-2</v>
      </c>
      <c r="OI92" s="22">
        <f t="shared" si="336"/>
        <v>2.931571916283212E-2</v>
      </c>
      <c r="OJ92" s="22">
        <f t="shared" si="337"/>
        <v>2.4895788997209782E-2</v>
      </c>
      <c r="OK92" s="403">
        <f>Liabilities!CT92/LX92</f>
        <v>2.7480305600881792E-2</v>
      </c>
      <c r="OL92" s="403">
        <f>Liabilities!CU92/MF92</f>
        <v>5.2700888306734119E-2</v>
      </c>
      <c r="OM92" s="153"/>
      <c r="OO92" s="186">
        <f t="shared" si="515"/>
        <v>0.10130997117095492</v>
      </c>
      <c r="OP92" s="308">
        <f t="shared" si="370"/>
        <v>0.15745615807791624</v>
      </c>
      <c r="OQ92" s="308">
        <f t="shared" si="371"/>
        <v>1.5951878835563017E-2</v>
      </c>
      <c r="OR92" s="313">
        <f t="shared" si="372"/>
        <v>0</v>
      </c>
      <c r="OS92" s="23">
        <f t="shared" si="373"/>
        <v>0.16632843959997201</v>
      </c>
      <c r="OT92" s="23">
        <f t="shared" si="374"/>
        <v>0.10485981541667765</v>
      </c>
      <c r="OU92" s="23">
        <f t="shared" si="375"/>
        <v>9.4453920239408642E-2</v>
      </c>
      <c r="OV92" s="23">
        <f t="shared" si="376"/>
        <v>9.2426947138285281E-2</v>
      </c>
      <c r="OW92" s="23">
        <f t="shared" si="377"/>
        <v>9.2008526368492702E-2</v>
      </c>
      <c r="OX92" s="23">
        <f t="shared" si="378"/>
        <v>8.397074895858811E-2</v>
      </c>
      <c r="OY92" s="23">
        <f t="shared" si="379"/>
        <v>0.1742138259689692</v>
      </c>
      <c r="OZ92" s="23">
        <f t="shared" si="380"/>
        <v>0.10792729785925784</v>
      </c>
      <c r="PA92" s="23">
        <f t="shared" si="381"/>
        <v>9.9170452618597527E-2</v>
      </c>
      <c r="PB92" s="23">
        <f t="shared" si="382"/>
        <v>8.7568452406603103E-3</v>
      </c>
      <c r="PC92" s="23"/>
      <c r="PD92" s="23"/>
      <c r="PE92" s="23"/>
      <c r="PF92" s="23"/>
      <c r="PG92" s="69"/>
      <c r="PH92" s="23">
        <f>'Assets(MOFA)'!GU45</f>
        <v>0.34736719816444483</v>
      </c>
      <c r="PI92" s="23">
        <f>'Assets(MOFA)'!HM45</f>
        <v>0.32241149346442588</v>
      </c>
      <c r="PJ92" s="11">
        <f t="shared" si="516"/>
        <v>4.3660434996790218E-2</v>
      </c>
      <c r="PK92" s="11">
        <f>Liabilities!JA92/MW92/1000</f>
        <v>3.0937073281747836E-5</v>
      </c>
      <c r="PL92" s="11">
        <f>'Assets(MOFA)'!GO45/MM92/1000</f>
        <v>3.0162671074153879E-2</v>
      </c>
      <c r="PM92" s="11">
        <f t="shared" si="429"/>
        <v>-3.0131734000872133E-2</v>
      </c>
    </row>
    <row r="93" spans="2:429">
      <c r="B93" s="71">
        <v>2001</v>
      </c>
      <c r="C93" s="43">
        <v>9184.6</v>
      </c>
      <c r="D93" s="5">
        <v>754</v>
      </c>
      <c r="E93" s="6">
        <f t="shared" si="397"/>
        <v>8.2093939855845649E-2</v>
      </c>
      <c r="F93" s="72">
        <f t="shared" si="398"/>
        <v>0</v>
      </c>
      <c r="G93" s="76">
        <f t="shared" si="399"/>
        <v>583.6</v>
      </c>
      <c r="H93" s="23">
        <f t="shared" si="400"/>
        <v>6.3541144960041804E-2</v>
      </c>
      <c r="I93" s="72">
        <v>170.4</v>
      </c>
      <c r="J93" s="19">
        <f t="shared" si="401"/>
        <v>1.8552794895803845E-2</v>
      </c>
      <c r="K93" s="6">
        <f t="shared" si="402"/>
        <v>0.22599469496021221</v>
      </c>
      <c r="L93" s="136">
        <v>183.3</v>
      </c>
      <c r="M93" s="19">
        <f t="shared" si="403"/>
        <v>1.9957319861507308E-2</v>
      </c>
      <c r="N93" s="63">
        <f t="shared" si="404"/>
        <v>0.24310344827586208</v>
      </c>
      <c r="O93" s="5">
        <f t="shared" si="405"/>
        <v>754</v>
      </c>
      <c r="P93" s="75">
        <f t="shared" si="406"/>
        <v>0</v>
      </c>
      <c r="Q93" s="271">
        <v>590</v>
      </c>
      <c r="R93" s="202">
        <v>168.2</v>
      </c>
      <c r="S93" s="53">
        <f t="shared" si="407"/>
        <v>0.22307692307692306</v>
      </c>
      <c r="T93" s="74">
        <v>29.2</v>
      </c>
      <c r="U93" s="74">
        <v>63.4</v>
      </c>
      <c r="V93" s="207">
        <v>156.6</v>
      </c>
      <c r="W93" s="53">
        <f t="shared" si="408"/>
        <v>0.20769230769230768</v>
      </c>
      <c r="X93" s="75">
        <f t="shared" si="409"/>
        <v>59.799999999999955</v>
      </c>
      <c r="Y93" s="187">
        <v>143.92514600000001</v>
      </c>
      <c r="Z93" s="75">
        <f t="shared" si="436"/>
        <v>-10.990613141425493</v>
      </c>
      <c r="AA93" s="75"/>
      <c r="AB93" s="75"/>
      <c r="AC93" s="75">
        <f t="shared" si="437"/>
        <v>132.93453285857453</v>
      </c>
      <c r="AD93" s="23">
        <f t="shared" si="410"/>
        <v>0.17630574649678318</v>
      </c>
      <c r="AE93" s="76">
        <f>NIPA_Scorp!C14/1000</f>
        <v>180.27500000000001</v>
      </c>
      <c r="AF93" s="76">
        <v>129.06788698837997</v>
      </c>
      <c r="AG93" s="23">
        <f t="shared" si="385"/>
        <v>0.23909151193633954</v>
      </c>
      <c r="AH93" s="97">
        <v>203.3</v>
      </c>
      <c r="AI93" s="22">
        <f t="shared" si="411"/>
        <v>2.2134877947869259E-2</v>
      </c>
      <c r="AJ93" s="22">
        <f t="shared" si="412"/>
        <v>1.9184286740848815E-2</v>
      </c>
      <c r="AK93" s="99">
        <f t="shared" si="413"/>
        <v>-0.19999999999998863</v>
      </c>
      <c r="AL93" s="71">
        <v>137.69999999999999</v>
      </c>
      <c r="AM93" s="72">
        <f>(0.25*Fedtax!C74+0.75*Fedtax!C73)/1000</f>
        <v>150.31725</v>
      </c>
      <c r="AN93" s="71">
        <v>28.9</v>
      </c>
      <c r="AO93" s="255">
        <v>9.8000000000000007</v>
      </c>
      <c r="AP93" s="71">
        <v>27.1</v>
      </c>
      <c r="AQ93" s="6">
        <f t="shared" si="414"/>
        <v>5.9959061907976396E-2</v>
      </c>
      <c r="AR93" s="207">
        <v>42.3</v>
      </c>
      <c r="AS93" s="714">
        <v>41.358457999999999</v>
      </c>
      <c r="AT93" s="210">
        <v>10.505368000000001</v>
      </c>
      <c r="AU93" s="205">
        <f t="shared" si="386"/>
        <v>0.25400772920499115</v>
      </c>
      <c r="AV93" s="707">
        <v>44.505155999999999</v>
      </c>
      <c r="AW93" s="210">
        <v>13.22513</v>
      </c>
      <c r="AX93" s="210">
        <f t="shared" si="387"/>
        <v>31.280025999999999</v>
      </c>
      <c r="AY93" s="205">
        <f t="shared" si="388"/>
        <v>0.2971595021484702</v>
      </c>
      <c r="AZ93" s="777">
        <v>41.609932999999998</v>
      </c>
      <c r="BA93" s="772">
        <f t="shared" si="389"/>
        <v>10.329906999999999</v>
      </c>
      <c r="BB93" s="205">
        <f t="shared" si="390"/>
        <v>0.24825579507662268</v>
      </c>
      <c r="BC93" s="210">
        <v>12.90028</v>
      </c>
      <c r="BD93" s="722">
        <f>'Assets(MOFA)'!FJ46/1000</f>
        <v>55.213999999999999</v>
      </c>
      <c r="BE93" s="753">
        <f t="shared" si="105"/>
        <v>0.80604839352338176</v>
      </c>
      <c r="BF93" s="234">
        <v>0.35</v>
      </c>
      <c r="BG93" s="437"/>
      <c r="BH93" s="140">
        <f t="shared" si="464"/>
        <v>0.22583706113596311</v>
      </c>
      <c r="BI93" s="248">
        <f t="shared" si="384"/>
        <v>0.29887428802080995</v>
      </c>
      <c r="BJ93" s="23">
        <f t="shared" si="465"/>
        <v>0.18606731521860673</v>
      </c>
      <c r="BK93" s="32">
        <f t="shared" si="466"/>
        <v>0.26756410256410257</v>
      </c>
      <c r="BL93" s="32">
        <f t="shared" si="467"/>
        <v>0.29182878813028668</v>
      </c>
      <c r="BM93" s="248">
        <f t="shared" si="468"/>
        <v>0.3225330520603808</v>
      </c>
      <c r="BN93" s="23">
        <f t="shared" si="469"/>
        <v>0.29864406779661018</v>
      </c>
      <c r="BO93" s="23">
        <f t="shared" si="470"/>
        <v>0.23239250857293592</v>
      </c>
      <c r="BP93" s="149">
        <f t="shared" si="415"/>
        <v>754</v>
      </c>
      <c r="BQ93" s="99">
        <f t="shared" si="416"/>
        <v>-0.10000000000013642</v>
      </c>
      <c r="BR93" s="153">
        <f t="shared" si="417"/>
        <v>203.3</v>
      </c>
      <c r="BS93" s="79">
        <v>370.6</v>
      </c>
      <c r="BT93" s="79">
        <v>180.2</v>
      </c>
      <c r="BU93" s="23">
        <f t="shared" si="517"/>
        <v>0.2389920424403183</v>
      </c>
      <c r="BV93" s="71">
        <v>50.4</v>
      </c>
      <c r="BW93" s="71">
        <f t="shared" si="418"/>
        <v>129.79999999999998</v>
      </c>
      <c r="BX93" s="23">
        <f t="shared" si="419"/>
        <v>0.17214854111405833</v>
      </c>
      <c r="BY93" s="23">
        <f t="shared" si="289"/>
        <v>3.1058355437665781E-2</v>
      </c>
      <c r="BZ93" s="23">
        <f t="shared" si="290"/>
        <v>0.19154574751754486</v>
      </c>
      <c r="CA93" s="23">
        <f t="shared" si="291"/>
        <v>0.21698289955545111</v>
      </c>
      <c r="CB93" s="23">
        <f t="shared" si="262"/>
        <v>0.76173708920187777</v>
      </c>
      <c r="CC93" s="169">
        <f t="shared" si="420"/>
        <v>183.3</v>
      </c>
      <c r="CD93" s="72">
        <f t="shared" si="518"/>
        <v>0</v>
      </c>
      <c r="CE93" s="76">
        <v>34.164000000000001</v>
      </c>
      <c r="CF93" s="76">
        <v>122.258</v>
      </c>
      <c r="CG93" s="76">
        <f t="shared" si="519"/>
        <v>26.878000000000029</v>
      </c>
      <c r="CH93" s="23">
        <f t="shared" si="392"/>
        <v>0.66698308783415161</v>
      </c>
      <c r="CI93" s="326">
        <v>127.523</v>
      </c>
      <c r="CJ93" s="153">
        <f t="shared" si="292"/>
        <v>-9.9999999999944578E-4</v>
      </c>
      <c r="CK93" s="79">
        <f t="shared" si="520"/>
        <v>122.258</v>
      </c>
      <c r="CL93" s="159">
        <v>53.234999999999999</v>
      </c>
      <c r="CM93" s="159">
        <v>69.022999999999996</v>
      </c>
      <c r="CN93" s="159">
        <v>96.1</v>
      </c>
      <c r="CO93" s="159">
        <f t="shared" si="338"/>
        <v>27.076999999999998</v>
      </c>
      <c r="CP93" s="79">
        <v>5.266</v>
      </c>
      <c r="CQ93" s="79">
        <v>8.9380000000000006</v>
      </c>
      <c r="CR93" s="79">
        <v>3.6720000000000002</v>
      </c>
      <c r="CS93" s="23">
        <f t="shared" si="293"/>
        <v>0.56456837180389008</v>
      </c>
      <c r="CT93" s="23">
        <f t="shared" si="294"/>
        <v>4.8700265251989394E-3</v>
      </c>
      <c r="CU93" s="73">
        <v>16.716000000000001</v>
      </c>
      <c r="CV93" s="378">
        <f t="shared" si="295"/>
        <v>1.1446555351038654E-2</v>
      </c>
      <c r="CW93" s="378">
        <f t="shared" si="296"/>
        <v>0.13108223614563649</v>
      </c>
      <c r="CX93" s="153">
        <f t="shared" si="297"/>
        <v>110.80699999999999</v>
      </c>
      <c r="CY93" s="153">
        <f t="shared" si="298"/>
        <v>0.77799999999999159</v>
      </c>
      <c r="CZ93" s="295">
        <f t="shared" si="299"/>
        <v>127.523</v>
      </c>
      <c r="DA93" s="430">
        <f t="array" ref="DA93:DA108">TRANSPOSE(USDIA_inc_Ind!D343:S343)/1000</f>
        <v>10.183</v>
      </c>
      <c r="DB93" s="153">
        <v>7.665</v>
      </c>
      <c r="DC93" s="153">
        <v>0.59899999999999998</v>
      </c>
      <c r="DD93" s="153">
        <f t="array" ref="DD93:DD108">TRANSPOSE(USDIA_inc_Ind!D134:S134)/1000</f>
        <v>1.35</v>
      </c>
      <c r="DE93" s="153">
        <v>3.1E-2</v>
      </c>
      <c r="DF93" s="153">
        <f t="shared" ref="DF93:DF108" si="528">DA93-DB93-DC93-DD93-DE93</f>
        <v>0.5379999999999997</v>
      </c>
      <c r="DG93" s="425">
        <f t="array" ref="DG93:DG108">TRANSPOSE(USDIA_inc_Ind!D256:S256)/1000</f>
        <v>41.482999999999997</v>
      </c>
      <c r="DH93" s="140">
        <f t="shared" si="521"/>
        <v>0.3252981815045129</v>
      </c>
      <c r="DI93" s="182">
        <v>110.029</v>
      </c>
      <c r="DJ93" s="79">
        <v>5.1609999999999996</v>
      </c>
      <c r="DK93" s="79">
        <v>10.922000000000001</v>
      </c>
      <c r="DL93" s="79">
        <v>5.0789999999999997</v>
      </c>
      <c r="DM93" s="79">
        <v>6.6360000000000001</v>
      </c>
      <c r="DN93" s="79">
        <v>11.741</v>
      </c>
      <c r="DO93" s="79">
        <v>5.25</v>
      </c>
      <c r="DP93" s="79">
        <v>0.309</v>
      </c>
      <c r="DQ93" s="79">
        <v>3.3340000000000001</v>
      </c>
      <c r="DR93" s="79">
        <f t="shared" si="471"/>
        <v>42.873000000000005</v>
      </c>
      <c r="DS93" s="79">
        <f t="shared" si="472"/>
        <v>67.155999999999992</v>
      </c>
      <c r="DT93" s="79">
        <v>1.5449999999999999</v>
      </c>
      <c r="DU93" s="23">
        <f t="shared" si="473"/>
        <v>2.3006134969325156E-2</v>
      </c>
      <c r="DV93" s="23">
        <f t="shared" si="474"/>
        <v>4.6905815739486857E-2</v>
      </c>
      <c r="DW93" s="23">
        <f t="shared" si="475"/>
        <v>9.9264739296003796E-2</v>
      </c>
      <c r="DX93" s="23">
        <f t="shared" si="476"/>
        <v>4.6160557671159418E-2</v>
      </c>
      <c r="DY93" s="23">
        <f t="shared" si="477"/>
        <v>6.0311372456352416E-2</v>
      </c>
      <c r="DZ93" s="23">
        <f t="shared" si="478"/>
        <v>0.1067082314662498</v>
      </c>
      <c r="EA93" s="23">
        <f t="shared" si="479"/>
        <v>4.7714693399012992E-2</v>
      </c>
      <c r="EB93" s="23">
        <f t="shared" si="480"/>
        <v>2.8083505257704786E-3</v>
      </c>
      <c r="EC93" s="23">
        <f t="shared" si="481"/>
        <v>3.0301102436630343E-2</v>
      </c>
      <c r="ED93" s="23">
        <f t="shared" si="482"/>
        <v>0.38965181906588264</v>
      </c>
      <c r="EE93" s="153">
        <v>31.443999999999999</v>
      </c>
      <c r="EF93" s="23">
        <f t="shared" si="300"/>
        <v>0.28577920366448845</v>
      </c>
      <c r="EG93" s="182">
        <v>52.307000000000002</v>
      </c>
      <c r="EH93" s="79">
        <v>3.8559999999999999</v>
      </c>
      <c r="EI93" s="79">
        <v>7.52</v>
      </c>
      <c r="EJ93" s="79">
        <v>3.0939999999999999</v>
      </c>
      <c r="EK93" s="79">
        <v>2.7050000000000001</v>
      </c>
      <c r="EL93" s="79">
        <v>3.8940000000000001</v>
      </c>
      <c r="EM93" s="79">
        <v>2.3490000000000002</v>
      </c>
      <c r="EN93" s="28">
        <f t="shared" si="301"/>
        <v>23.417999999999999</v>
      </c>
      <c r="EO93" s="23">
        <f t="shared" si="302"/>
        <v>0.55686356110341539</v>
      </c>
      <c r="EP93" s="79">
        <f t="shared" si="303"/>
        <v>28.889000000000003</v>
      </c>
      <c r="EQ93" s="23">
        <f t="shared" si="304"/>
        <v>0.44770298430420397</v>
      </c>
      <c r="ER93" s="182">
        <f t="shared" si="268"/>
        <v>104.76299999999999</v>
      </c>
      <c r="ES93" s="185"/>
      <c r="ET93" s="136">
        <f>'Assets(MOFA)'!W46/1000</f>
        <v>141.19800000000001</v>
      </c>
      <c r="EU93" s="136">
        <f t="shared" si="339"/>
        <v>85.984000000000009</v>
      </c>
      <c r="EV93" s="589">
        <f t="shared" si="340"/>
        <v>0.82074778309135876</v>
      </c>
      <c r="EW93" s="153">
        <f t="shared" si="439"/>
        <v>5.1221615453028022</v>
      </c>
      <c r="EX93" s="153">
        <f t="shared" si="440"/>
        <v>10.930366756462393</v>
      </c>
      <c r="EY93" s="153">
        <f t="shared" si="441"/>
        <v>4.6158330669536687</v>
      </c>
      <c r="EZ93" s="153">
        <f t="shared" si="442"/>
        <v>6.4166786558997728</v>
      </c>
      <c r="FA93" s="153">
        <f t="shared" si="443"/>
        <v>11.742584067488577</v>
      </c>
      <c r="FB93" s="153">
        <f t="shared" si="444"/>
        <v>5.6262736309911254</v>
      </c>
      <c r="FC93" s="153"/>
      <c r="FD93" s="153">
        <f t="shared" si="445"/>
        <v>3.2257649886896056</v>
      </c>
      <c r="FE93" s="153">
        <f t="shared" si="483"/>
        <v>42.053389080796819</v>
      </c>
      <c r="FF93" s="153">
        <f t="shared" si="484"/>
        <v>63.481957068835506</v>
      </c>
      <c r="FG93" s="23">
        <f t="shared" si="446"/>
        <v>4.8892849052650296E-2</v>
      </c>
      <c r="FH93" s="23">
        <f t="shared" si="447"/>
        <v>0.10433422827202728</v>
      </c>
      <c r="FI93" s="23">
        <f t="shared" si="448"/>
        <v>4.4059764105205741E-2</v>
      </c>
      <c r="FJ93" s="23">
        <f t="shared" si="449"/>
        <v>6.1249474107268533E-2</v>
      </c>
      <c r="FK93" s="23">
        <f t="shared" si="450"/>
        <v>0.1120871306423888</v>
      </c>
      <c r="FL93" s="23">
        <f t="shared" si="451"/>
        <v>5.3704777745875225E-2</v>
      </c>
      <c r="FM93" s="23"/>
      <c r="FN93" s="23">
        <f t="shared" si="452"/>
        <v>3.0791071167202217E-2</v>
      </c>
      <c r="FO93" s="23">
        <f t="shared" si="421"/>
        <v>0.40141451734674283</v>
      </c>
      <c r="FP93" s="23">
        <f t="shared" si="422"/>
        <v>0.59858548265325717</v>
      </c>
      <c r="FQ93" s="23">
        <f t="shared" si="423"/>
        <v>9.7585253354984039E-2</v>
      </c>
      <c r="FR93" s="23">
        <f t="shared" si="424"/>
        <v>0.14551819492087806</v>
      </c>
      <c r="FS93" s="23">
        <f t="shared" si="425"/>
        <v>8.0111579197415187E-3</v>
      </c>
      <c r="FT93" s="393">
        <f t="shared" si="426"/>
        <v>4.4611219277490913E-3</v>
      </c>
      <c r="FU93" s="393">
        <f t="shared" si="427"/>
        <v>3.5500359919924274E-3</v>
      </c>
      <c r="FV93" s="23">
        <f t="shared" si="428"/>
        <v>1.1946161941765787E-2</v>
      </c>
      <c r="FW93" s="326">
        <f t="shared" si="305"/>
        <v>5.266</v>
      </c>
      <c r="FX93" s="384">
        <f t="shared" si="430"/>
        <v>3.883845469719719E-2</v>
      </c>
      <c r="FY93" s="384">
        <f t="shared" si="431"/>
        <v>-8.3667564623921258E-3</v>
      </c>
      <c r="FZ93" s="384">
        <f t="shared" si="432"/>
        <v>0.46316693304633078</v>
      </c>
      <c r="GA93" s="384">
        <f t="shared" si="433"/>
        <v>0.21932134410022747</v>
      </c>
      <c r="GB93" s="384">
        <f t="shared" si="434"/>
        <v>-1.584067488576886E-3</v>
      </c>
      <c r="GC93" s="384">
        <f t="shared" si="435"/>
        <v>-0.37627363099112576</v>
      </c>
      <c r="GD93" s="153"/>
      <c r="GE93" s="153">
        <f t="shared" si="453"/>
        <v>0.1082350113103946</v>
      </c>
      <c r="GF93" s="153">
        <f t="shared" si="485"/>
        <v>0.81961091920318108</v>
      </c>
      <c r="GG93" s="153">
        <f t="shared" si="277"/>
        <v>3.6740429311644873</v>
      </c>
      <c r="GH93" s="182">
        <v>124.873</v>
      </c>
      <c r="GI93" s="79">
        <v>2.4369999999999998</v>
      </c>
      <c r="GJ93" s="79">
        <v>12.025</v>
      </c>
      <c r="GK93" s="79">
        <v>20.402000000000001</v>
      </c>
      <c r="GL93" s="79">
        <v>4.17</v>
      </c>
      <c r="GM93" s="79">
        <f t="shared" si="342"/>
        <v>8.4510000000000005</v>
      </c>
      <c r="GN93" s="79">
        <v>7.0069999999999997</v>
      </c>
      <c r="GO93" s="79">
        <v>1.444</v>
      </c>
      <c r="GP93" s="79">
        <v>1.026</v>
      </c>
      <c r="GQ93" s="79">
        <v>5.593</v>
      </c>
      <c r="GR93" s="79">
        <f t="shared" si="523"/>
        <v>53.077999999999996</v>
      </c>
      <c r="GS93" s="79">
        <f t="shared" si="343"/>
        <v>71.795000000000016</v>
      </c>
      <c r="GT93" s="23">
        <f t="shared" si="524"/>
        <v>0.42505585675045843</v>
      </c>
      <c r="GU93" s="362">
        <f t="shared" si="259"/>
        <v>113.24900000000001</v>
      </c>
      <c r="GV93" s="153">
        <f t="shared" si="344"/>
        <v>60.942</v>
      </c>
      <c r="GW93" s="153">
        <f t="shared" si="308"/>
        <v>52.307000000000002</v>
      </c>
      <c r="GX93" s="153">
        <f t="shared" si="309"/>
        <v>5.8529999999999998</v>
      </c>
      <c r="GY93" s="153">
        <f t="shared" si="310"/>
        <v>9.52</v>
      </c>
      <c r="GZ93" s="153">
        <f t="shared" si="226"/>
        <v>3.9130000000000003</v>
      </c>
      <c r="HA93" s="153">
        <f t="shared" si="227"/>
        <v>4.1390000000000002</v>
      </c>
      <c r="HB93" s="153">
        <f t="shared" si="228"/>
        <v>9.2510000000000012</v>
      </c>
      <c r="HC93" s="153">
        <f t="shared" si="229"/>
        <v>4.6630000000000003</v>
      </c>
      <c r="HD93" s="352"/>
      <c r="HE93" s="153">
        <f t="shared" si="231"/>
        <v>5.1310000000000002</v>
      </c>
      <c r="HF93" s="153">
        <f t="shared" si="311"/>
        <v>37.807000000000002</v>
      </c>
      <c r="HG93" s="23">
        <f t="shared" si="345"/>
        <v>0.33383959240258193</v>
      </c>
      <c r="HH93" s="156">
        <f t="shared" si="346"/>
        <v>136.49299999999994</v>
      </c>
      <c r="HI93" s="182">
        <f t="shared" si="312"/>
        <v>72.566000000000003</v>
      </c>
      <c r="HJ93" s="88">
        <v>0</v>
      </c>
      <c r="HK93" s="79">
        <f t="shared" si="313"/>
        <v>-1.419</v>
      </c>
      <c r="HL93" s="79">
        <f t="shared" si="314"/>
        <v>4.5050000000000008</v>
      </c>
      <c r="HM93" s="79">
        <f t="shared" si="315"/>
        <v>17.308</v>
      </c>
      <c r="HN93" s="79">
        <f t="shared" si="316"/>
        <v>1.4649999999999999</v>
      </c>
      <c r="HO93" s="79">
        <f t="shared" si="317"/>
        <v>4.5570000000000004</v>
      </c>
      <c r="HP93" s="79">
        <f t="shared" si="318"/>
        <v>3.2439999999999998</v>
      </c>
      <c r="HQ93" s="79">
        <f t="shared" si="525"/>
        <v>29.66</v>
      </c>
      <c r="HR93" s="79">
        <f t="shared" si="383"/>
        <v>42.906000000000006</v>
      </c>
      <c r="HS93" s="23">
        <f t="shared" si="321"/>
        <v>0.40873136179477992</v>
      </c>
      <c r="HT93" s="28">
        <v>60.942</v>
      </c>
      <c r="HU93" s="79">
        <v>1.998</v>
      </c>
      <c r="HV93" s="79">
        <v>2</v>
      </c>
      <c r="HW93" s="79">
        <v>0.82</v>
      </c>
      <c r="HX93" s="79">
        <v>1.4339999999999999</v>
      </c>
      <c r="HY93" s="26">
        <v>5.8330000000000002</v>
      </c>
      <c r="HZ93" s="282">
        <v>2.1779999999999999</v>
      </c>
      <c r="IA93" s="26"/>
      <c r="IB93" s="79">
        <v>2.782</v>
      </c>
      <c r="IC93" s="79">
        <f t="shared" si="526"/>
        <v>14.866999999999999</v>
      </c>
      <c r="ID93" s="79">
        <f t="shared" si="347"/>
        <v>46.075000000000003</v>
      </c>
      <c r="IE93" s="23">
        <f t="shared" si="348"/>
        <v>0.24395326704079287</v>
      </c>
      <c r="IF93" s="316">
        <v>11.624000000000001</v>
      </c>
      <c r="IG93" s="153">
        <v>-3.4159999999999999</v>
      </c>
      <c r="IH93" s="153">
        <v>2.5049999999999999</v>
      </c>
      <c r="II93" s="153">
        <v>16.489000000000001</v>
      </c>
      <c r="IJ93" s="153">
        <v>3.1E-2</v>
      </c>
      <c r="IK93" s="153">
        <v>-0.8</v>
      </c>
      <c r="IL93" s="153">
        <v>2.3439999999999999</v>
      </c>
      <c r="IM93" s="153"/>
      <c r="IN93" s="153">
        <v>0.46200000000000002</v>
      </c>
      <c r="IO93" s="153">
        <f t="shared" si="349"/>
        <v>15.271000000000001</v>
      </c>
      <c r="IP93" s="153">
        <f t="shared" si="522"/>
        <v>-3.6470000000000002</v>
      </c>
      <c r="IQ93" s="258">
        <f t="shared" si="350"/>
        <v>7.6119999999999948</v>
      </c>
      <c r="IR93" s="149">
        <f t="shared" si="323"/>
        <v>1460.3520000000001</v>
      </c>
      <c r="IS93" s="153">
        <f t="shared" si="351"/>
        <v>144.10500000000002</v>
      </c>
      <c r="IT93" s="153">
        <f t="shared" ref="IT93:IT108" si="529">IU93+IV93+IW93+IX93-IS93</f>
        <v>-1.0000000000331966E-3</v>
      </c>
      <c r="IU93" s="153">
        <f t="shared" si="352"/>
        <v>52.307000000000002</v>
      </c>
      <c r="IV93" s="153">
        <f t="shared" si="324"/>
        <v>60.942</v>
      </c>
      <c r="IW93" s="153">
        <v>11.624000000000001</v>
      </c>
      <c r="IX93" s="153">
        <f t="shared" ref="IX93:IX108" si="530">IY93+IZ93+JA93</f>
        <v>19.231000000000002</v>
      </c>
      <c r="IY93" s="153">
        <v>-13.247</v>
      </c>
      <c r="IZ93" s="153">
        <v>-1.25</v>
      </c>
      <c r="JA93" s="153">
        <v>33.728000000000002</v>
      </c>
      <c r="JB93" s="23">
        <f t="shared" si="486"/>
        <v>0.1590000653267426</v>
      </c>
      <c r="JC93" s="23">
        <f t="shared" si="487"/>
        <v>5.2764083356923543E-2</v>
      </c>
      <c r="JD93" s="23">
        <f t="shared" si="488"/>
        <v>0.10623598196981905</v>
      </c>
      <c r="JE93" s="22">
        <f t="shared" si="489"/>
        <v>5.6950765411667359E-3</v>
      </c>
      <c r="JF93" s="22">
        <f t="shared" si="326"/>
        <v>6.6352372449535093E-3</v>
      </c>
      <c r="JG93" s="22">
        <f t="shared" si="327"/>
        <v>1.2655967597935676E-3</v>
      </c>
      <c r="JH93" s="5">
        <v>1460.3520000000001</v>
      </c>
      <c r="JI93" s="192">
        <v>74.403999999999996</v>
      </c>
      <c r="JJ93" s="76">
        <v>39.540999999999997</v>
      </c>
      <c r="JK93" s="76">
        <v>147.68700000000001</v>
      </c>
      <c r="JL93" s="76">
        <v>50.771000000000001</v>
      </c>
      <c r="JM93" s="76">
        <v>63.768000000000001</v>
      </c>
      <c r="JN93" s="76">
        <f t="shared" si="354"/>
        <v>142.08599999999998</v>
      </c>
      <c r="JO93" s="76">
        <v>84.968999999999994</v>
      </c>
      <c r="JP93" s="76">
        <v>57.116999999999997</v>
      </c>
      <c r="JQ93" s="76">
        <v>5.6950000000000003</v>
      </c>
      <c r="JR93" s="76">
        <v>40.764000000000003</v>
      </c>
      <c r="JS93" s="76">
        <f t="shared" si="527"/>
        <v>484.61700000000002</v>
      </c>
      <c r="JT93" s="76">
        <f t="shared" si="355"/>
        <v>975.73500000000013</v>
      </c>
      <c r="JU93" s="23">
        <f t="shared" si="356"/>
        <v>0.33184944451748621</v>
      </c>
      <c r="JV93" s="23">
        <f t="shared" si="357"/>
        <v>2.707634871592602E-2</v>
      </c>
      <c r="JW93" s="23">
        <f t="shared" si="358"/>
        <v>0.10113109716013674</v>
      </c>
      <c r="JX93" s="23">
        <f t="shared" si="359"/>
        <v>3.4766275528091854E-2</v>
      </c>
      <c r="JY93" s="23">
        <f t="shared" si="360"/>
        <v>4.3666184591112281E-2</v>
      </c>
      <c r="JZ93" s="23">
        <f t="shared" si="361"/>
        <v>9.7295720483828535E-2</v>
      </c>
      <c r="KA93" s="23">
        <f t="shared" si="362"/>
        <v>2.7913818038390745E-2</v>
      </c>
      <c r="KB93" s="149">
        <v>156.023</v>
      </c>
      <c r="KC93" s="316">
        <v>310.334</v>
      </c>
      <c r="KD93" s="316">
        <v>154.31100000000001</v>
      </c>
      <c r="KE93" s="589">
        <f t="shared" si="242"/>
        <v>0.49724168154311166</v>
      </c>
      <c r="KF93" s="1071">
        <v>0</v>
      </c>
      <c r="KG93" s="319">
        <f t="shared" si="243"/>
        <v>1.3484999999999991</v>
      </c>
      <c r="KH93" s="319">
        <f t="shared" si="244"/>
        <v>-0.29049999999999976</v>
      </c>
      <c r="KI93" s="321">
        <f t="shared" si="245"/>
        <v>16.081500000000002</v>
      </c>
      <c r="KJ93" s="319">
        <f t="shared" si="246"/>
        <v>7.6149999999999993</v>
      </c>
      <c r="KK93" s="319">
        <f t="shared" si="285"/>
        <v>-5.5000000000002158E-2</v>
      </c>
      <c r="KL93" s="319">
        <f t="shared" si="248"/>
        <v>-13.064500000000002</v>
      </c>
      <c r="KM93" s="319"/>
      <c r="KN93" s="319"/>
      <c r="KO93" s="319"/>
      <c r="KP93" s="319">
        <f t="shared" si="454"/>
        <v>3.758</v>
      </c>
      <c r="KQ93" s="153">
        <f t="shared" si="328"/>
        <v>28.457499999999996</v>
      </c>
      <c r="KR93" s="153">
        <f t="shared" si="329"/>
        <v>127.5655</v>
      </c>
      <c r="KS93" s="23">
        <f t="shared" si="490"/>
        <v>1.388906430329029E-2</v>
      </c>
      <c r="KT93" s="23"/>
      <c r="KU93" s="326">
        <v>1304.329</v>
      </c>
      <c r="KV93" s="430">
        <f t="shared" si="252"/>
        <v>74.403999999999996</v>
      </c>
      <c r="KW93" s="322">
        <f t="shared" si="491"/>
        <v>38.192499999999995</v>
      </c>
      <c r="KX93" s="322">
        <f t="shared" si="492"/>
        <v>147.97750000000002</v>
      </c>
      <c r="KY93" s="322">
        <f t="shared" si="493"/>
        <v>34.689499999999995</v>
      </c>
      <c r="KZ93" s="322">
        <f t="shared" si="494"/>
        <v>56.152999999999999</v>
      </c>
      <c r="LA93" s="322">
        <f t="shared" si="495"/>
        <v>142.14099999999999</v>
      </c>
      <c r="LB93" s="322">
        <f t="shared" si="496"/>
        <v>98.033500000000004</v>
      </c>
      <c r="LC93" s="322"/>
      <c r="LD93" s="322">
        <f t="shared" si="455"/>
        <v>37.006</v>
      </c>
      <c r="LE93" s="322">
        <f t="shared" si="456"/>
        <v>456.15950000000004</v>
      </c>
      <c r="LF93" s="322">
        <f t="shared" si="497"/>
        <v>0</v>
      </c>
      <c r="LG93" s="322">
        <f t="shared" si="498"/>
        <v>848.16950000000008</v>
      </c>
      <c r="LH93" s="367">
        <f t="shared" si="499"/>
        <v>0.3497273310644784</v>
      </c>
      <c r="LI93" s="248">
        <f t="shared" si="457"/>
        <v>2.9281339293997143E-2</v>
      </c>
      <c r="LJ93" s="248">
        <f t="shared" si="458"/>
        <v>0.11345105414354816</v>
      </c>
      <c r="LK93" s="248">
        <f t="shared" si="459"/>
        <v>2.6595667197463216E-2</v>
      </c>
      <c r="LL93" s="248">
        <f t="shared" si="460"/>
        <v>4.3051254706442929E-2</v>
      </c>
      <c r="LM93" s="248">
        <f t="shared" si="461"/>
        <v>0.10897633955850096</v>
      </c>
      <c r="LN93" s="248">
        <f t="shared" si="462"/>
        <v>7.5160101477464658E-2</v>
      </c>
      <c r="LO93" s="248"/>
      <c r="LP93" s="248">
        <f t="shared" si="463"/>
        <v>2.8371676164525975E-2</v>
      </c>
      <c r="LQ93" s="248">
        <f t="shared" si="500"/>
        <v>0.14201260806132002</v>
      </c>
      <c r="LR93" s="23">
        <f t="shared" si="501"/>
        <v>9.2346917666528763E-2</v>
      </c>
      <c r="LS93" s="23">
        <f t="shared" si="502"/>
        <v>4.9665690394791281E-2</v>
      </c>
      <c r="LT93" s="326">
        <v>395.55200000000002</v>
      </c>
      <c r="LU93" s="153">
        <f t="shared" si="363"/>
        <v>0</v>
      </c>
      <c r="LV93" s="153">
        <f t="shared" si="503"/>
        <v>156.023</v>
      </c>
      <c r="LW93" s="153">
        <f t="shared" si="504"/>
        <v>154.31100000000001</v>
      </c>
      <c r="LX93" s="153">
        <v>85.218000000000004</v>
      </c>
      <c r="LY93" s="23">
        <f>LX93/Liabilities!GT93</f>
        <v>7.2378367176379049E-2</v>
      </c>
      <c r="LZ93" s="23">
        <f t="shared" si="253"/>
        <v>0.17775413785551139</v>
      </c>
      <c r="MA93" s="425">
        <v>633.726</v>
      </c>
      <c r="MB93" s="153">
        <f t="shared" si="364"/>
        <v>0</v>
      </c>
      <c r="MC93" s="153">
        <v>394.197</v>
      </c>
      <c r="MD93" s="153">
        <f t="shared" si="365"/>
        <v>85.218000000000004</v>
      </c>
      <c r="ME93" s="153">
        <f t="shared" si="366"/>
        <v>154.31100000000001</v>
      </c>
      <c r="MF93" s="153">
        <v>479.41500000000002</v>
      </c>
      <c r="MG93" s="153">
        <f t="shared" si="505"/>
        <v>310.334</v>
      </c>
      <c r="MH93" s="326">
        <f t="shared" si="506"/>
        <v>1304.329</v>
      </c>
      <c r="MI93" s="1008">
        <f>FoF_RoW!$BH63/1000</f>
        <v>1728.009</v>
      </c>
      <c r="MJ93" s="1008">
        <v>1967.538</v>
      </c>
      <c r="MK93" s="1008">
        <f>FoF_RoW!$AU63/1000</f>
        <v>141.59</v>
      </c>
      <c r="ML93" s="1008">
        <f t="shared" si="254"/>
        <v>177.13599999999997</v>
      </c>
      <c r="MM93" s="425">
        <f t="shared" si="507"/>
        <v>1571.9860000000001</v>
      </c>
      <c r="MN93" s="23">
        <f t="shared" si="508"/>
        <v>1.2052066618161523</v>
      </c>
      <c r="MO93" s="153">
        <v>2554.4630000000002</v>
      </c>
      <c r="MP93" s="425">
        <v>2158.9110000000001</v>
      </c>
      <c r="MQ93" s="23">
        <f t="shared" si="367"/>
        <v>1.655188989894421</v>
      </c>
      <c r="MR93" s="23">
        <f t="shared" si="368"/>
        <v>1.3733652844236526</v>
      </c>
      <c r="MS93" s="153">
        <f t="shared" si="509"/>
        <v>156.023</v>
      </c>
      <c r="MT93" s="153">
        <v>395.55200000000002</v>
      </c>
      <c r="MU93" s="153">
        <v>633.726</v>
      </c>
      <c r="MV93" s="153">
        <v>2166.0970000000002</v>
      </c>
      <c r="MW93" s="153">
        <v>1177.396</v>
      </c>
      <c r="MX93" s="23">
        <f t="shared" si="369"/>
        <v>1.8397353142018491</v>
      </c>
      <c r="MY93" s="425">
        <f t="shared" si="255"/>
        <v>-2367.3780000000002</v>
      </c>
      <c r="MZ93" s="23">
        <f t="shared" si="510"/>
        <v>-0.25775515536876947</v>
      </c>
      <c r="NA93" s="153">
        <v>7170.0129999999999</v>
      </c>
      <c r="NB93" s="153">
        <v>9465.0630000000001</v>
      </c>
      <c r="NC93" s="425">
        <f t="shared" si="330"/>
        <v>-1965.6019999999996</v>
      </c>
      <c r="ND93" s="23">
        <f t="shared" si="331"/>
        <v>-0.21401062648346139</v>
      </c>
      <c r="NE93" s="330">
        <f t="shared" si="332"/>
        <v>156.41600000000005</v>
      </c>
      <c r="NF93" s="23">
        <f t="shared" si="333"/>
        <v>1.7030246281819574E-2</v>
      </c>
      <c r="NG93" s="330">
        <f t="shared" si="334"/>
        <v>-245.36</v>
      </c>
      <c r="NH93" s="23">
        <f t="shared" si="335"/>
        <v>-2.6714282603488449E-2</v>
      </c>
      <c r="NI93" s="330">
        <v>72.328000000000003</v>
      </c>
      <c r="NJ93" s="425">
        <v>113.684</v>
      </c>
      <c r="NK93" s="403">
        <f t="shared" si="393"/>
        <v>1.2377675674498616E-2</v>
      </c>
      <c r="NL93" s="153">
        <v>115.88200000000001</v>
      </c>
      <c r="NM93" s="153">
        <v>128.66499999999999</v>
      </c>
      <c r="NN93" s="153">
        <v>12.782999999999999</v>
      </c>
      <c r="NO93" s="425">
        <f t="shared" si="100"/>
        <v>34.730999999999995</v>
      </c>
      <c r="NP93" s="153">
        <v>292.46499999999997</v>
      </c>
      <c r="NQ93" s="153">
        <v>257.73399999999998</v>
      </c>
      <c r="NR93" s="403">
        <f t="shared" si="394"/>
        <v>3.7814384948718499E-3</v>
      </c>
      <c r="NS93" s="403">
        <f t="shared" si="395"/>
        <v>1.2377675674498616E-2</v>
      </c>
      <c r="NT93" s="403">
        <f t="shared" si="396"/>
        <v>-8.5962371796267662E-3</v>
      </c>
      <c r="NU93" s="727">
        <f t="shared" si="511"/>
        <v>4.8525854006950718E-2</v>
      </c>
      <c r="NV93" s="688">
        <f t="shared" si="512"/>
        <v>6.6643723290156512E-2</v>
      </c>
      <c r="NW93" s="688">
        <f t="shared" si="513"/>
        <v>8.0319459277528898E-2</v>
      </c>
      <c r="NX93" s="793">
        <f>(ER93-T.A2!B45*T.A1!M45)/MP93</f>
        <v>3.735662279356728E-2</v>
      </c>
      <c r="NY93" s="688">
        <f>Liabilities!BU93/Liabilities!GY93</f>
        <v>-8.0033350307026872E-3</v>
      </c>
      <c r="NZ93" s="688">
        <f>Liabilities!BU93/Liabilities!GT93</f>
        <v>-1.4724018087372469E-2</v>
      </c>
      <c r="OA93" s="688">
        <f>Liabilities!BU93/Liabilities!GR93</f>
        <v>-1.8252436588681087E-2</v>
      </c>
      <c r="OB93" s="688">
        <f t="shared" si="256"/>
        <v>5.6529189037653402E-2</v>
      </c>
      <c r="OC93" s="688">
        <f t="shared" si="257"/>
        <v>8.1367741377528974E-2</v>
      </c>
      <c r="OD93" s="688"/>
      <c r="OE93" s="793">
        <f t="shared" si="514"/>
        <v>7.7772957265522719E-2</v>
      </c>
      <c r="OF93" s="793">
        <f>OE93/(1-'Assets(MOFA)'!GU46)</f>
        <v>0.12771429591525488</v>
      </c>
      <c r="OG93" s="793">
        <f>Liabilities!HV93</f>
        <v>-2.7930373700192385E-4</v>
      </c>
      <c r="OH93" s="793">
        <f t="shared" si="438"/>
        <v>7.8052261002524645E-2</v>
      </c>
      <c r="OI93" s="22">
        <f t="shared" si="336"/>
        <v>2.8801227065033158E-2</v>
      </c>
      <c r="OJ93" s="22">
        <f t="shared" si="337"/>
        <v>2.3796100083597411E-2</v>
      </c>
      <c r="OK93" s="403">
        <f>Liabilities!CT93/LX93</f>
        <v>2.3656973878758009E-2</v>
      </c>
      <c r="OL93" s="403">
        <f>Liabilities!CU93/MF93</f>
        <v>4.854040862300929E-2</v>
      </c>
      <c r="OM93" s="153"/>
      <c r="OO93" s="186">
        <f t="shared" si="515"/>
        <v>7.5814092721488882E-2</v>
      </c>
      <c r="OP93" s="308">
        <f t="shared" si="370"/>
        <v>0.17115454129738911</v>
      </c>
      <c r="OQ93" s="308">
        <f t="shared" si="371"/>
        <v>1.2975926263624158E-2</v>
      </c>
      <c r="OR93" s="313">
        <f t="shared" si="372"/>
        <v>0</v>
      </c>
      <c r="OS93" s="23">
        <f t="shared" si="373"/>
        <v>0.1265914429076439</v>
      </c>
      <c r="OT93" s="23">
        <f t="shared" si="374"/>
        <v>6.9721739616734071E-2</v>
      </c>
      <c r="OU93" s="23">
        <f t="shared" si="375"/>
        <v>0.12559756506043249</v>
      </c>
      <c r="OV93" s="23">
        <f t="shared" si="376"/>
        <v>0.1078615092817712</v>
      </c>
      <c r="OW93" s="23">
        <f t="shared" si="377"/>
        <v>7.7978248763309763E-2</v>
      </c>
      <c r="OX93" s="23">
        <f t="shared" si="378"/>
        <v>5.4172079595096387E-2</v>
      </c>
      <c r="OY93" s="23">
        <f t="shared" si="379"/>
        <v>8.2279140327387645E-2</v>
      </c>
      <c r="OZ93" s="23">
        <f t="shared" si="380"/>
        <v>8.7018870802141671E-2</v>
      </c>
      <c r="PA93" s="23">
        <f t="shared" si="381"/>
        <v>7.0647503851750948E-2</v>
      </c>
      <c r="PB93" s="23">
        <f t="shared" si="382"/>
        <v>1.6371366950390723E-2</v>
      </c>
      <c r="PC93" s="23"/>
      <c r="PD93" s="23"/>
      <c r="PE93" s="23"/>
      <c r="PF93" s="23"/>
      <c r="PG93" s="69"/>
      <c r="PH93" s="23">
        <f>'Assets(MOFA)'!GU46</f>
        <v>0.39103953313786316</v>
      </c>
      <c r="PI93" s="23">
        <f>'Assets(MOFA)'!HM46</f>
        <v>0.37808991403203834</v>
      </c>
      <c r="PJ93" s="11">
        <f t="shared" si="516"/>
        <v>4.0516016990353641E-2</v>
      </c>
      <c r="PK93" s="11">
        <f>Liabilities!JA93/MW93/1000</f>
        <v>1.6061715854308999E-2</v>
      </c>
      <c r="PL93" s="11">
        <f>'Assets(MOFA)'!GO46/MM93/1000</f>
        <v>2.5599464626275294E-2</v>
      </c>
      <c r="PM93" s="11">
        <f t="shared" si="429"/>
        <v>-9.5377487719662951E-3</v>
      </c>
    </row>
    <row r="94" spans="2:429">
      <c r="B94" s="71">
        <v>2002</v>
      </c>
      <c r="C94" s="43">
        <v>9436.7999999999993</v>
      </c>
      <c r="D94" s="5">
        <v>907.2</v>
      </c>
      <c r="E94" s="6">
        <f t="shared" si="397"/>
        <v>9.6134282807731453E-2</v>
      </c>
      <c r="F94" s="72">
        <f t="shared" si="398"/>
        <v>0</v>
      </c>
      <c r="G94" s="76">
        <f t="shared" si="399"/>
        <v>748.40000000000009</v>
      </c>
      <c r="H94" s="23">
        <f t="shared" si="400"/>
        <v>7.9306544591386932E-2</v>
      </c>
      <c r="I94" s="72">
        <v>158.80000000000001</v>
      </c>
      <c r="J94" s="19">
        <f t="shared" si="401"/>
        <v>1.6827738216344527E-2</v>
      </c>
      <c r="K94" s="6">
        <f t="shared" si="402"/>
        <v>0.17504409171075838</v>
      </c>
      <c r="L94" s="136">
        <v>205.3</v>
      </c>
      <c r="M94" s="19">
        <f t="shared" si="403"/>
        <v>2.1755256018989491E-2</v>
      </c>
      <c r="N94" s="63">
        <f t="shared" si="404"/>
        <v>0.22630070546737213</v>
      </c>
      <c r="O94" s="5">
        <f t="shared" si="405"/>
        <v>907.2</v>
      </c>
      <c r="P94" s="75">
        <f t="shared" si="406"/>
        <v>0</v>
      </c>
      <c r="Q94" s="271">
        <v>550.5</v>
      </c>
      <c r="R94" s="202">
        <v>186.5</v>
      </c>
      <c r="S94" s="53">
        <f t="shared" si="407"/>
        <v>0.20557760141093473</v>
      </c>
      <c r="T94" s="74">
        <v>23.9</v>
      </c>
      <c r="U94" s="74">
        <v>118.19999999999999</v>
      </c>
      <c r="V94" s="207">
        <v>96.4</v>
      </c>
      <c r="W94" s="53">
        <f t="shared" si="408"/>
        <v>0.10626102292768959</v>
      </c>
      <c r="X94" s="75">
        <f t="shared" si="409"/>
        <v>124.50000000000011</v>
      </c>
      <c r="Y94" s="187">
        <v>151.84824699999999</v>
      </c>
      <c r="Z94" s="75">
        <f t="shared" si="436"/>
        <v>-11.595648052916506</v>
      </c>
      <c r="AA94" s="75"/>
      <c r="AB94" s="75"/>
      <c r="AC94" s="75">
        <f t="shared" si="437"/>
        <v>140.25259894708347</v>
      </c>
      <c r="AD94" s="23">
        <f t="shared" si="410"/>
        <v>0.15459942564713786</v>
      </c>
      <c r="AE94" s="76">
        <f>NIPA_Scorp!C15/1000</f>
        <v>178.56399999999999</v>
      </c>
      <c r="AF94" s="76">
        <v>138.39049039770941</v>
      </c>
      <c r="AG94" s="23">
        <f t="shared" si="385"/>
        <v>0.19682980599647265</v>
      </c>
      <c r="AH94" s="97">
        <v>192.3</v>
      </c>
      <c r="AI94" s="22">
        <f t="shared" si="411"/>
        <v>2.0377670396744662E-2</v>
      </c>
      <c r="AJ94" s="22">
        <f t="shared" si="412"/>
        <v>1.77814513394371E-2</v>
      </c>
      <c r="AK94" s="99">
        <f t="shared" si="413"/>
        <v>0</v>
      </c>
      <c r="AL94" s="71">
        <v>125.9</v>
      </c>
      <c r="AM94" s="72">
        <f>(0.25*Fedtax!C75+0.75*Fedtax!C74)/1000</f>
        <v>143.97749999999999</v>
      </c>
      <c r="AN94" s="71">
        <v>30.9</v>
      </c>
      <c r="AO94" s="255">
        <v>11</v>
      </c>
      <c r="AP94" s="71">
        <v>24.5</v>
      </c>
      <c r="AQ94" s="6">
        <f t="shared" si="414"/>
        <v>7.5756612410986787E-2</v>
      </c>
      <c r="AR94" s="207">
        <v>43.2</v>
      </c>
      <c r="AS94" s="714">
        <v>42.419114999999998</v>
      </c>
      <c r="AT94" s="210">
        <v>8.834028</v>
      </c>
      <c r="AU94" s="205">
        <f t="shared" si="386"/>
        <v>0.20825582994836173</v>
      </c>
      <c r="AV94" s="707">
        <v>41.483105999999999</v>
      </c>
      <c r="AW94" s="210">
        <v>9.3061570000000007</v>
      </c>
      <c r="AX94" s="210">
        <f t="shared" si="387"/>
        <v>32.176949</v>
      </c>
      <c r="AY94" s="205">
        <f t="shared" si="388"/>
        <v>0.22433607068863168</v>
      </c>
      <c r="AZ94" s="777">
        <v>39.638941000000003</v>
      </c>
      <c r="BA94" s="772">
        <f t="shared" si="389"/>
        <v>7.4619920000000022</v>
      </c>
      <c r="BB94" s="205">
        <f t="shared" si="390"/>
        <v>0.18824902511901118</v>
      </c>
      <c r="BC94" s="210">
        <v>17.496759000000001</v>
      </c>
      <c r="BD94" s="722">
        <f>'Assets(MOFA)'!FJ47/1000</f>
        <v>50.915999999999997</v>
      </c>
      <c r="BE94" s="753">
        <f t="shared" si="105"/>
        <v>0.81473615366485985</v>
      </c>
      <c r="BF94" s="234">
        <v>0.35</v>
      </c>
      <c r="BG94" s="437"/>
      <c r="BH94" s="140">
        <f t="shared" si="464"/>
        <v>0.16863841686384168</v>
      </c>
      <c r="BI94" s="248">
        <f t="shared" si="384"/>
        <v>0.20872269167079319</v>
      </c>
      <c r="BJ94" s="23">
        <f t="shared" si="465"/>
        <v>0.15279672578444747</v>
      </c>
      <c r="BK94" s="32">
        <f t="shared" si="466"/>
        <v>0.2055498458376156</v>
      </c>
      <c r="BL94" s="32">
        <f t="shared" si="467"/>
        <v>0.27699784528753357</v>
      </c>
      <c r="BM94" s="248">
        <f t="shared" si="468"/>
        <v>0.24016886723047373</v>
      </c>
      <c r="BN94" s="23">
        <f t="shared" si="469"/>
        <v>0.30481380563124433</v>
      </c>
      <c r="BO94" s="23">
        <f t="shared" si="470"/>
        <v>0.2276797829036635</v>
      </c>
      <c r="BP94" s="149">
        <f t="shared" si="415"/>
        <v>907.2</v>
      </c>
      <c r="BQ94" s="99">
        <f t="shared" si="416"/>
        <v>0</v>
      </c>
      <c r="BR94" s="153">
        <f t="shared" si="417"/>
        <v>192.3</v>
      </c>
      <c r="BS94" s="79">
        <v>400.2</v>
      </c>
      <c r="BT94" s="79">
        <v>314.7</v>
      </c>
      <c r="BU94" s="23">
        <f t="shared" si="517"/>
        <v>0.34689153439153436</v>
      </c>
      <c r="BV94" s="71">
        <v>203.8</v>
      </c>
      <c r="BW94" s="71">
        <f t="shared" si="418"/>
        <v>110.89999999999998</v>
      </c>
      <c r="BX94" s="23">
        <f t="shared" si="419"/>
        <v>0.12224426807760137</v>
      </c>
      <c r="BY94" s="23">
        <f t="shared" si="289"/>
        <v>3.908950617283951E-2</v>
      </c>
      <c r="BZ94" s="23">
        <f t="shared" si="290"/>
        <v>0.25457286432160803</v>
      </c>
      <c r="CA94" s="23">
        <f t="shared" si="291"/>
        <v>0.28845250427506763</v>
      </c>
      <c r="CB94" s="23">
        <f t="shared" si="262"/>
        <v>0.6983627204030225</v>
      </c>
      <c r="CC94" s="169">
        <f t="shared" si="420"/>
        <v>205.3</v>
      </c>
      <c r="CD94" s="72">
        <f t="shared" si="518"/>
        <v>0</v>
      </c>
      <c r="CE94" s="76">
        <v>38.228999999999999</v>
      </c>
      <c r="CF94" s="76">
        <v>139.30000000000001</v>
      </c>
      <c r="CG94" s="76">
        <f t="shared" si="519"/>
        <v>27.771000000000015</v>
      </c>
      <c r="CH94" s="23">
        <f t="shared" si="392"/>
        <v>0.67851924013638576</v>
      </c>
      <c r="CI94" s="326">
        <v>144.67500000000001</v>
      </c>
      <c r="CJ94" s="153">
        <f t="shared" si="292"/>
        <v>1.000000000000334E-3</v>
      </c>
      <c r="CK94" s="79">
        <f t="shared" si="520"/>
        <v>139.30000000000001</v>
      </c>
      <c r="CL94" s="159">
        <v>54.600999999999999</v>
      </c>
      <c r="CM94" s="159">
        <v>84.697999999999993</v>
      </c>
      <c r="CN94" s="159">
        <v>112.6</v>
      </c>
      <c r="CO94" s="159">
        <f t="shared" si="338"/>
        <v>27.902000000000001</v>
      </c>
      <c r="CP94" s="79">
        <v>5.3739999999999997</v>
      </c>
      <c r="CQ94" s="79">
        <v>8.4670000000000005</v>
      </c>
      <c r="CR94" s="79">
        <v>3.093</v>
      </c>
      <c r="CS94" s="23">
        <f t="shared" si="293"/>
        <v>0.6080258435032303</v>
      </c>
      <c r="CT94" s="23">
        <f t="shared" si="294"/>
        <v>3.4093915343915344E-3</v>
      </c>
      <c r="CU94" s="73">
        <v>18.943000000000001</v>
      </c>
      <c r="CV94" s="378">
        <f t="shared" si="295"/>
        <v>1.1718179726181964E-2</v>
      </c>
      <c r="CW94" s="378">
        <f t="shared" si="296"/>
        <v>0.13093485398306548</v>
      </c>
      <c r="CX94" s="153">
        <f t="shared" si="297"/>
        <v>125.73200000000001</v>
      </c>
      <c r="CY94" s="153">
        <f t="shared" si="298"/>
        <v>0.7920000000000158</v>
      </c>
      <c r="CZ94" s="295">
        <f t="shared" si="299"/>
        <v>144.67500000000001</v>
      </c>
      <c r="DA94" s="430">
        <v>8.9380000000000006</v>
      </c>
      <c r="DB94" s="153">
        <v>7.06</v>
      </c>
      <c r="DC94" s="153">
        <v>0.46800000000000003</v>
      </c>
      <c r="DD94" s="153">
        <v>1.0760000000000001</v>
      </c>
      <c r="DE94" s="153">
        <v>0.161</v>
      </c>
      <c r="DF94" s="153">
        <f t="shared" si="528"/>
        <v>0.17300000000000096</v>
      </c>
      <c r="DG94" s="425">
        <v>48.277000000000001</v>
      </c>
      <c r="DH94" s="140">
        <f t="shared" si="521"/>
        <v>0.33369275963366163</v>
      </c>
      <c r="DI94" s="182">
        <v>124.94</v>
      </c>
      <c r="DJ94" s="79">
        <v>6.3550000000000004</v>
      </c>
      <c r="DK94" s="79">
        <v>11.756</v>
      </c>
      <c r="DL94" s="79">
        <v>7.5369999999999999</v>
      </c>
      <c r="DM94" s="79">
        <v>10.920999999999999</v>
      </c>
      <c r="DN94" s="79">
        <v>10.46</v>
      </c>
      <c r="DO94" s="79">
        <v>4.569</v>
      </c>
      <c r="DP94" s="79">
        <v>0.16800000000000001</v>
      </c>
      <c r="DQ94" s="79">
        <v>4.4379999999999997</v>
      </c>
      <c r="DR94" s="79">
        <f t="shared" si="471"/>
        <v>51.467000000000006</v>
      </c>
      <c r="DS94" s="79">
        <f t="shared" si="472"/>
        <v>73.472999999999985</v>
      </c>
      <c r="DT94" s="79">
        <v>1.891</v>
      </c>
      <c r="DU94" s="23">
        <f t="shared" si="473"/>
        <v>2.5737345691614611E-2</v>
      </c>
      <c r="DV94" s="23">
        <f t="shared" si="474"/>
        <v>5.0864414919161202E-2</v>
      </c>
      <c r="DW94" s="23">
        <f t="shared" si="475"/>
        <v>9.4093164719065162E-2</v>
      </c>
      <c r="DX94" s="23">
        <f t="shared" si="476"/>
        <v>6.032495597886986E-2</v>
      </c>
      <c r="DY94" s="23">
        <f t="shared" si="477"/>
        <v>8.7409956779254033E-2</v>
      </c>
      <c r="DZ94" s="23">
        <f t="shared" si="478"/>
        <v>8.3720185689130797E-2</v>
      </c>
      <c r="EA94" s="23">
        <f t="shared" si="479"/>
        <v>3.6569553385625099E-2</v>
      </c>
      <c r="EB94" s="23">
        <f t="shared" si="480"/>
        <v>1.3446454298063071E-3</v>
      </c>
      <c r="EC94" s="23">
        <f t="shared" si="481"/>
        <v>3.5521050104049941E-2</v>
      </c>
      <c r="ED94" s="23">
        <f t="shared" si="482"/>
        <v>0.411933728189531</v>
      </c>
      <c r="EE94" s="153">
        <v>37.161999999999999</v>
      </c>
      <c r="EF94" s="23">
        <f t="shared" si="300"/>
        <v>0.29743877060989277</v>
      </c>
      <c r="EG94" s="182">
        <v>65.754999999999995</v>
      </c>
      <c r="EH94" s="79">
        <v>4.9269999999999996</v>
      </c>
      <c r="EI94" s="79">
        <v>9.0150000000000006</v>
      </c>
      <c r="EJ94" s="79">
        <v>6.125</v>
      </c>
      <c r="EK94" s="79">
        <v>7.7249999999999996</v>
      </c>
      <c r="EL94" s="79">
        <v>4.92</v>
      </c>
      <c r="EM94" s="79">
        <v>2.75</v>
      </c>
      <c r="EN94" s="28">
        <f t="shared" si="301"/>
        <v>35.462000000000003</v>
      </c>
      <c r="EO94" s="23">
        <f t="shared" si="302"/>
        <v>0.70024007391390497</v>
      </c>
      <c r="EP94" s="79">
        <f t="shared" si="303"/>
        <v>30.292999999999992</v>
      </c>
      <c r="EQ94" s="23">
        <f t="shared" si="304"/>
        <v>0.53930499581780866</v>
      </c>
      <c r="ER94" s="182">
        <f t="shared" si="268"/>
        <v>119.566</v>
      </c>
      <c r="ES94" s="185"/>
      <c r="ET94" s="136">
        <f>'Assets(MOFA)'!W47/1000</f>
        <v>152.87100000000001</v>
      </c>
      <c r="EU94" s="136">
        <f t="shared" si="339"/>
        <v>101.95500000000001</v>
      </c>
      <c r="EV94" s="589">
        <f t="shared" si="340"/>
        <v>0.85270896408678065</v>
      </c>
      <c r="EW94" s="153">
        <f t="shared" si="439"/>
        <v>6.2687512545428037</v>
      </c>
      <c r="EX94" s="153">
        <f t="shared" si="440"/>
        <v>11.692339347037278</v>
      </c>
      <c r="EY94" s="153">
        <f t="shared" si="441"/>
        <v>7.0680610315415651</v>
      </c>
      <c r="EZ94" s="153">
        <f t="shared" si="442"/>
        <v>10.762374938881248</v>
      </c>
      <c r="FA94" s="153">
        <f t="shared" si="443"/>
        <v>10.446635983861791</v>
      </c>
      <c r="FB94" s="153">
        <f t="shared" si="444"/>
        <v>4.9590864312081644</v>
      </c>
      <c r="FC94" s="153"/>
      <c r="FD94" s="153">
        <f t="shared" si="445"/>
        <v>4.4044689087836577</v>
      </c>
      <c r="FE94" s="153">
        <f t="shared" si="483"/>
        <v>50.642631464648339</v>
      </c>
      <c r="FF94" s="153">
        <f t="shared" si="484"/>
        <v>69.879544374358417</v>
      </c>
      <c r="FG94" s="23">
        <f t="shared" si="446"/>
        <v>5.2429212774056197E-2</v>
      </c>
      <c r="FH94" s="23">
        <f t="shared" si="447"/>
        <v>9.7789834459940758E-2</v>
      </c>
      <c r="FI94" s="23">
        <f t="shared" si="448"/>
        <v>5.911430533380363E-2</v>
      </c>
      <c r="FJ94" s="23">
        <f t="shared" si="449"/>
        <v>9.0012001228453306E-2</v>
      </c>
      <c r="FK94" s="23">
        <f t="shared" si="450"/>
        <v>8.7371292707473625E-2</v>
      </c>
      <c r="FL94" s="23">
        <f t="shared" si="451"/>
        <v>4.147572412900126E-2</v>
      </c>
      <c r="FM94" s="23"/>
      <c r="FN94" s="23">
        <f t="shared" si="452"/>
        <v>3.6837135212214656E-2</v>
      </c>
      <c r="FO94" s="23">
        <f t="shared" si="421"/>
        <v>0.42355378171594221</v>
      </c>
      <c r="FP94" s="23">
        <f t="shared" si="422"/>
        <v>0.57644621828405773</v>
      </c>
      <c r="FQ94" s="23">
        <f t="shared" si="423"/>
        <v>9.5850519605691062E-2</v>
      </c>
      <c r="FR94" s="23">
        <f t="shared" si="424"/>
        <v>0.13045018586168106</v>
      </c>
      <c r="FS94" s="23">
        <f t="shared" si="425"/>
        <v>9.2145209590415132E-3</v>
      </c>
      <c r="FT94" s="393">
        <f t="shared" si="426"/>
        <v>6.4523768374404556E-3</v>
      </c>
      <c r="FU94" s="393">
        <f t="shared" si="427"/>
        <v>2.7621441216010576E-3</v>
      </c>
      <c r="FV94" s="23">
        <f t="shared" si="428"/>
        <v>1.2540735059947978E-2</v>
      </c>
      <c r="FW94" s="326">
        <f t="shared" si="305"/>
        <v>5.3739999999999997</v>
      </c>
      <c r="FX94" s="384">
        <f t="shared" si="430"/>
        <v>8.6248745457196851E-2</v>
      </c>
      <c r="FY94" s="384">
        <f t="shared" si="431"/>
        <v>6.366065296272258E-2</v>
      </c>
      <c r="FZ94" s="384">
        <f t="shared" si="432"/>
        <v>0.46893896845843508</v>
      </c>
      <c r="GA94" s="384">
        <f t="shared" si="433"/>
        <v>0.15862506111875196</v>
      </c>
      <c r="GB94" s="384">
        <f t="shared" si="434"/>
        <v>1.336401613820982E-2</v>
      </c>
      <c r="GC94" s="384">
        <f t="shared" si="435"/>
        <v>-0.39008643120816416</v>
      </c>
      <c r="GD94" s="153"/>
      <c r="GE94" s="153">
        <f t="shared" si="453"/>
        <v>3.3531091216341791E-2</v>
      </c>
      <c r="GF94" s="153">
        <f t="shared" si="485"/>
        <v>0.8243685353516581</v>
      </c>
      <c r="GG94" s="153">
        <f t="shared" si="277"/>
        <v>3.5934556256415688</v>
      </c>
      <c r="GH94" s="182">
        <v>134.946</v>
      </c>
      <c r="GI94" s="79">
        <v>10.7</v>
      </c>
      <c r="GJ94" s="79">
        <v>14.79</v>
      </c>
      <c r="GK94" s="79">
        <v>10.484999999999999</v>
      </c>
      <c r="GL94" s="79">
        <v>7.9240000000000004</v>
      </c>
      <c r="GM94" s="79">
        <f t="shared" si="342"/>
        <v>10.294</v>
      </c>
      <c r="GN94" s="79">
        <v>4.3129999999999997</v>
      </c>
      <c r="GO94" s="79">
        <v>5.9809999999999999</v>
      </c>
      <c r="GP94" s="79">
        <v>-1.109</v>
      </c>
      <c r="GQ94" s="79">
        <v>0.53</v>
      </c>
      <c r="GR94" s="79">
        <f t="shared" si="523"/>
        <v>54.722999999999999</v>
      </c>
      <c r="GS94" s="79">
        <f t="shared" si="343"/>
        <v>80.222999999999999</v>
      </c>
      <c r="GT94" s="23">
        <f t="shared" si="524"/>
        <v>0.40551776266061978</v>
      </c>
      <c r="GU94" s="362">
        <f t="shared" si="259"/>
        <v>108.46299999999999</v>
      </c>
      <c r="GV94" s="153">
        <f t="shared" si="344"/>
        <v>42.707000000000001</v>
      </c>
      <c r="GW94" s="153">
        <f t="shared" si="308"/>
        <v>65.754999999999995</v>
      </c>
      <c r="GX94" s="153">
        <f t="shared" si="309"/>
        <v>8.4859999999999989</v>
      </c>
      <c r="GY94" s="153">
        <f t="shared" si="310"/>
        <v>11.87</v>
      </c>
      <c r="GZ94" s="153">
        <f t="shared" si="226"/>
        <v>7.1969999999999992</v>
      </c>
      <c r="HA94" s="153">
        <f t="shared" si="227"/>
        <v>8.9870000000000001</v>
      </c>
      <c r="HB94" s="153">
        <f t="shared" si="228"/>
        <v>9.6870000000000012</v>
      </c>
      <c r="HC94" s="153">
        <f t="shared" si="229"/>
        <v>7.3609999999999998</v>
      </c>
      <c r="HD94" s="352"/>
      <c r="HE94" s="153">
        <f t="shared" si="231"/>
        <v>2.9030000000000005</v>
      </c>
      <c r="HF94" s="153">
        <f t="shared" si="311"/>
        <v>49.129999999999995</v>
      </c>
      <c r="HG94" s="23">
        <f t="shared" si="345"/>
        <v>0.45296552741487878</v>
      </c>
      <c r="HH94" s="156">
        <f t="shared" si="346"/>
        <v>129.74099999999999</v>
      </c>
      <c r="HI94" s="182">
        <f t="shared" si="312"/>
        <v>69.191000000000003</v>
      </c>
      <c r="HJ94" s="88">
        <v>-1.0000000000047748E-3</v>
      </c>
      <c r="HK94" s="79">
        <f t="shared" si="313"/>
        <v>5.7729999999999997</v>
      </c>
      <c r="HL94" s="79">
        <f t="shared" si="314"/>
        <v>5.7749999999999986</v>
      </c>
      <c r="HM94" s="79">
        <f t="shared" si="315"/>
        <v>4.3599999999999994</v>
      </c>
      <c r="HN94" s="79">
        <f t="shared" si="316"/>
        <v>0.19900000000000073</v>
      </c>
      <c r="HO94" s="79">
        <f t="shared" si="317"/>
        <v>5.3740000000000006</v>
      </c>
      <c r="HP94" s="79">
        <f t="shared" si="318"/>
        <v>-2.2199999999999998</v>
      </c>
      <c r="HQ94" s="79">
        <f t="shared" si="525"/>
        <v>19.260999999999999</v>
      </c>
      <c r="HR94" s="79">
        <f t="shared" si="383"/>
        <v>49.930000000000007</v>
      </c>
      <c r="HS94" s="23">
        <f t="shared" si="321"/>
        <v>0.27837435504617652</v>
      </c>
      <c r="HT94" s="28">
        <v>42.707000000000001</v>
      </c>
      <c r="HU94" s="79">
        <v>3.5579999999999998</v>
      </c>
      <c r="HV94" s="79">
        <v>2.855</v>
      </c>
      <c r="HW94" s="79">
        <v>1.073</v>
      </c>
      <c r="HX94" s="79">
        <v>1.2609999999999999</v>
      </c>
      <c r="HY94" s="79">
        <v>4.7670000000000003</v>
      </c>
      <c r="HZ94" s="79">
        <v>5.2949999999999999</v>
      </c>
      <c r="IA94" s="79"/>
      <c r="IB94" s="79">
        <v>0.153</v>
      </c>
      <c r="IC94" s="79">
        <f t="shared" si="526"/>
        <v>13.667</v>
      </c>
      <c r="ID94" s="79">
        <f t="shared" si="347"/>
        <v>29.04</v>
      </c>
      <c r="IE94" s="23">
        <f t="shared" si="348"/>
        <v>0.32001779567752359</v>
      </c>
      <c r="IF94" s="316">
        <v>26.483000000000001</v>
      </c>
      <c r="IG94" s="153">
        <v>2.214</v>
      </c>
      <c r="IH94" s="153">
        <v>2.92</v>
      </c>
      <c r="II94" s="153">
        <v>3.2879999999999998</v>
      </c>
      <c r="IJ94" s="153">
        <v>-1.0629999999999999</v>
      </c>
      <c r="IK94" s="153">
        <v>0.60699999999999998</v>
      </c>
      <c r="IL94" s="153">
        <v>-3.048</v>
      </c>
      <c r="IM94" s="153"/>
      <c r="IN94" s="153">
        <v>-2.3730000000000002</v>
      </c>
      <c r="IO94" s="153">
        <f t="shared" si="349"/>
        <v>5.5930000000000009</v>
      </c>
      <c r="IP94" s="153">
        <f t="shared" si="522"/>
        <v>20.89</v>
      </c>
      <c r="IQ94" s="258">
        <f t="shared" si="350"/>
        <v>26.455000000000013</v>
      </c>
      <c r="IR94" s="149">
        <f t="shared" si="323"/>
        <v>1616.548</v>
      </c>
      <c r="IS94" s="153">
        <f t="shared" si="351"/>
        <v>156.19599999999991</v>
      </c>
      <c r="IT94" s="153">
        <f t="shared" si="529"/>
        <v>1.00000000009004E-3</v>
      </c>
      <c r="IU94" s="153">
        <f t="shared" si="352"/>
        <v>65.754999999999995</v>
      </c>
      <c r="IV94" s="153">
        <f t="shared" si="324"/>
        <v>42.707000000000001</v>
      </c>
      <c r="IW94" s="153">
        <v>26.483000000000001</v>
      </c>
      <c r="IX94" s="153">
        <f t="shared" si="530"/>
        <v>21.251999999999999</v>
      </c>
      <c r="IY94" s="153">
        <v>13.66</v>
      </c>
      <c r="IZ94" s="153">
        <v>-9.5289999999999999</v>
      </c>
      <c r="JA94" s="153">
        <v>17.120999999999999</v>
      </c>
      <c r="JB94" s="23">
        <f t="shared" si="486"/>
        <v>0.1713025601898949</v>
      </c>
      <c r="JC94" s="23">
        <f t="shared" si="487"/>
        <v>5.9002416073245162E-2</v>
      </c>
      <c r="JD94" s="23">
        <f t="shared" si="488"/>
        <v>0.11230014411664974</v>
      </c>
      <c r="JE94" s="22">
        <f t="shared" si="489"/>
        <v>6.9679340454391319E-3</v>
      </c>
      <c r="JF94" s="22">
        <f t="shared" si="326"/>
        <v>4.5255807053238388E-3</v>
      </c>
      <c r="JG94" s="22">
        <f t="shared" si="327"/>
        <v>2.8063538487622924E-3</v>
      </c>
      <c r="JH94" s="5">
        <v>1616.548</v>
      </c>
      <c r="JI94" s="192">
        <v>74.787999999999997</v>
      </c>
      <c r="JJ94" s="76">
        <v>51.597999999999999</v>
      </c>
      <c r="JK94" s="76">
        <v>158.41499999999999</v>
      </c>
      <c r="JL94" s="76">
        <v>62.180999999999997</v>
      </c>
      <c r="JM94" s="76">
        <v>74.228999999999999</v>
      </c>
      <c r="JN94" s="76">
        <f t="shared" si="354"/>
        <v>159.416</v>
      </c>
      <c r="JO94" s="76">
        <v>89.472999999999999</v>
      </c>
      <c r="JP94" s="76">
        <v>69.942999999999998</v>
      </c>
      <c r="JQ94" s="76">
        <v>4.7530000000000001</v>
      </c>
      <c r="JR94" s="76">
        <v>50.954999999999998</v>
      </c>
      <c r="JS94" s="76">
        <f t="shared" si="527"/>
        <v>556.79399999999987</v>
      </c>
      <c r="JT94" s="76">
        <f t="shared" si="355"/>
        <v>1059.7540000000001</v>
      </c>
      <c r="JU94" s="23">
        <f t="shared" si="356"/>
        <v>0.34443394195532695</v>
      </c>
      <c r="JV94" s="23">
        <f t="shared" si="357"/>
        <v>3.1918631553161429E-2</v>
      </c>
      <c r="JW94" s="23">
        <f t="shared" si="358"/>
        <v>9.7995852891469962E-2</v>
      </c>
      <c r="JX94" s="23">
        <f t="shared" si="359"/>
        <v>3.8465297658962179E-2</v>
      </c>
      <c r="JY94" s="23">
        <f t="shared" si="360"/>
        <v>4.5918215852545054E-2</v>
      </c>
      <c r="JZ94" s="23">
        <f t="shared" si="361"/>
        <v>9.8615073601278774E-2</v>
      </c>
      <c r="KA94" s="23">
        <f t="shared" si="362"/>
        <v>3.1520870397909621E-2</v>
      </c>
      <c r="KB94" s="149">
        <v>182.47800000000001</v>
      </c>
      <c r="KC94" s="316">
        <v>349.72899999999998</v>
      </c>
      <c r="KD94" s="316">
        <v>167.251</v>
      </c>
      <c r="KE94" s="589">
        <f t="shared" si="242"/>
        <v>0.47823028687926938</v>
      </c>
      <c r="KF94" s="1071">
        <v>0</v>
      </c>
      <c r="KG94" s="319">
        <f t="shared" si="243"/>
        <v>3.5624999999999991</v>
      </c>
      <c r="KH94" s="319">
        <f t="shared" si="244"/>
        <v>2.6295000000000002</v>
      </c>
      <c r="KI94" s="321">
        <f t="shared" si="245"/>
        <v>19.369500000000002</v>
      </c>
      <c r="KJ94" s="319">
        <f t="shared" si="246"/>
        <v>6.5519999999999996</v>
      </c>
      <c r="KK94" s="319">
        <f t="shared" si="285"/>
        <v>0.55199999999999783</v>
      </c>
      <c r="KL94" s="319">
        <f t="shared" si="248"/>
        <v>-16.112500000000004</v>
      </c>
      <c r="KM94" s="319"/>
      <c r="KN94" s="319"/>
      <c r="KO94" s="319"/>
      <c r="KP94" s="319">
        <f t="shared" si="454"/>
        <v>1.3849999999999998</v>
      </c>
      <c r="KQ94" s="153">
        <f t="shared" si="328"/>
        <v>34.0505</v>
      </c>
      <c r="KR94" s="153">
        <f t="shared" si="329"/>
        <v>148.42750000000001</v>
      </c>
      <c r="KS94" s="23">
        <f t="shared" si="490"/>
        <v>1.5728583841980334E-2</v>
      </c>
      <c r="KT94" s="23"/>
      <c r="KU94" s="326">
        <v>1434.07</v>
      </c>
      <c r="KV94" s="430">
        <f t="shared" si="252"/>
        <v>74.787999999999997</v>
      </c>
      <c r="KW94" s="322">
        <f t="shared" si="491"/>
        <v>48.035499999999999</v>
      </c>
      <c r="KX94" s="322">
        <f t="shared" si="492"/>
        <v>155.78549999999998</v>
      </c>
      <c r="KY94" s="322">
        <f t="shared" si="493"/>
        <v>42.811499999999995</v>
      </c>
      <c r="KZ94" s="322">
        <f t="shared" si="494"/>
        <v>67.676999999999992</v>
      </c>
      <c r="LA94" s="322">
        <f t="shared" si="495"/>
        <v>158.864</v>
      </c>
      <c r="LB94" s="322">
        <f t="shared" si="496"/>
        <v>105.5855</v>
      </c>
      <c r="LC94" s="322"/>
      <c r="LD94" s="322">
        <f t="shared" si="455"/>
        <v>49.57</v>
      </c>
      <c r="LE94" s="322">
        <f t="shared" si="456"/>
        <v>522.74349999999981</v>
      </c>
      <c r="LF94" s="322">
        <f t="shared" si="497"/>
        <v>0</v>
      </c>
      <c r="LG94" s="322">
        <f t="shared" si="498"/>
        <v>911.32650000000012</v>
      </c>
      <c r="LH94" s="367">
        <f t="shared" si="499"/>
        <v>0.36451742244102436</v>
      </c>
      <c r="LI94" s="248">
        <f t="shared" si="457"/>
        <v>3.3495924187801153E-2</v>
      </c>
      <c r="LJ94" s="248">
        <f t="shared" si="458"/>
        <v>0.10863172648476015</v>
      </c>
      <c r="LK94" s="248">
        <f t="shared" si="459"/>
        <v>2.9853145243956013E-2</v>
      </c>
      <c r="LL94" s="248">
        <f t="shared" si="460"/>
        <v>4.7192257002796237E-2</v>
      </c>
      <c r="LM94" s="248">
        <f t="shared" si="461"/>
        <v>0.11077841388495681</v>
      </c>
      <c r="LN94" s="248">
        <f t="shared" si="462"/>
        <v>7.3626461748729138E-2</v>
      </c>
      <c r="LO94" s="248"/>
      <c r="LP94" s="248">
        <f t="shared" si="463"/>
        <v>3.4565955636754138E-2</v>
      </c>
      <c r="LQ94" s="248">
        <f t="shared" si="500"/>
        <v>0.1519657087148186</v>
      </c>
      <c r="LR94" s="23">
        <f t="shared" si="501"/>
        <v>9.6571560274669399E-2</v>
      </c>
      <c r="LS94" s="23">
        <f t="shared" si="502"/>
        <v>5.5394148440149185E-2</v>
      </c>
      <c r="LT94" s="326">
        <v>443.03100000000001</v>
      </c>
      <c r="LU94" s="153">
        <f t="shared" si="363"/>
        <v>0</v>
      </c>
      <c r="LV94" s="153">
        <f t="shared" si="503"/>
        <v>182.47800000000001</v>
      </c>
      <c r="LW94" s="153">
        <f t="shared" si="504"/>
        <v>167.251</v>
      </c>
      <c r="LX94" s="153">
        <v>93.302000000000007</v>
      </c>
      <c r="LY94" s="23">
        <f>LX94/Liabilities!GT94</f>
        <v>7.681199986827808E-2</v>
      </c>
      <c r="LZ94" s="23">
        <f t="shared" si="253"/>
        <v>0.20435554913079571</v>
      </c>
      <c r="MA94" s="425">
        <v>623.81799999999998</v>
      </c>
      <c r="MB94" s="153">
        <f t="shared" si="364"/>
        <v>0</v>
      </c>
      <c r="MC94" s="153">
        <v>363.26499999999999</v>
      </c>
      <c r="MD94" s="153">
        <f t="shared" si="365"/>
        <v>93.302000000000007</v>
      </c>
      <c r="ME94" s="153">
        <f t="shared" si="366"/>
        <v>167.251</v>
      </c>
      <c r="MF94" s="153">
        <v>456.56700000000001</v>
      </c>
      <c r="MG94" s="153">
        <f t="shared" si="505"/>
        <v>349.72899999999998</v>
      </c>
      <c r="MH94" s="326">
        <f t="shared" si="506"/>
        <v>1434.07</v>
      </c>
      <c r="MI94" s="1008">
        <f>FoF_RoW!$BH64/1000</f>
        <v>1928.4110000000001</v>
      </c>
      <c r="MJ94" s="1008">
        <v>2188.9639999999999</v>
      </c>
      <c r="MK94" s="1008">
        <f>FoF_RoW!$AU64/1000</f>
        <v>153.893</v>
      </c>
      <c r="ML94" s="1008">
        <f t="shared" si="254"/>
        <v>200.40200000000004</v>
      </c>
      <c r="MM94" s="425">
        <f t="shared" si="507"/>
        <v>1745.933</v>
      </c>
      <c r="MN94" s="23">
        <f t="shared" si="508"/>
        <v>1.217467069250455</v>
      </c>
      <c r="MO94" s="153">
        <v>2283.1410000000001</v>
      </c>
      <c r="MP94" s="425">
        <v>1840.11</v>
      </c>
      <c r="MQ94" s="23">
        <f t="shared" si="367"/>
        <v>1.2831382010641041</v>
      </c>
      <c r="MR94" s="23">
        <f t="shared" si="368"/>
        <v>1.0539407869603243</v>
      </c>
      <c r="MS94" s="153">
        <f t="shared" si="509"/>
        <v>182.47800000000001</v>
      </c>
      <c r="MT94" s="153">
        <v>443.03100000000001</v>
      </c>
      <c r="MU94" s="153">
        <v>623.81799999999998</v>
      </c>
      <c r="MV94" s="153">
        <v>1658.5519999999999</v>
      </c>
      <c r="MW94" s="153">
        <v>1214.68</v>
      </c>
      <c r="MX94" s="23">
        <f t="shared" si="369"/>
        <v>1.3654229920637533</v>
      </c>
      <c r="MY94" s="425">
        <f t="shared" si="255"/>
        <v>-2501.757000000001</v>
      </c>
      <c r="MZ94" s="23">
        <f t="shared" si="510"/>
        <v>-0.26510649796541214</v>
      </c>
      <c r="NA94" s="153">
        <v>7065.1769999999997</v>
      </c>
      <c r="NB94" s="153">
        <v>9476.1280000000006</v>
      </c>
      <c r="NC94" s="425">
        <f t="shared" si="330"/>
        <v>-2152.0620000000013</v>
      </c>
      <c r="ND94" s="23">
        <f t="shared" si="331"/>
        <v>-0.22804997456765019</v>
      </c>
      <c r="NE94" s="330">
        <f t="shared" si="332"/>
        <v>350.46599999999989</v>
      </c>
      <c r="NF94" s="23">
        <f t="shared" si="333"/>
        <v>3.7138224821973542E-2</v>
      </c>
      <c r="NG94" s="330">
        <f t="shared" si="334"/>
        <v>0.77100000000018554</v>
      </c>
      <c r="NH94" s="23">
        <f t="shared" si="335"/>
        <v>8.1701424211616825E-5</v>
      </c>
      <c r="NI94" s="330">
        <v>90.805999999999997</v>
      </c>
      <c r="NJ94" s="425">
        <v>99.835999999999999</v>
      </c>
      <c r="NK94" s="403">
        <f t="shared" si="393"/>
        <v>1.0579433706341134E-2</v>
      </c>
      <c r="NL94" s="153">
        <v>102.346</v>
      </c>
      <c r="NM94" s="153">
        <v>145.59</v>
      </c>
      <c r="NN94" s="153">
        <v>43.244</v>
      </c>
      <c r="NO94" s="425">
        <f t="shared" si="100"/>
        <v>30.456999999999994</v>
      </c>
      <c r="NP94" s="153">
        <v>281.95499999999998</v>
      </c>
      <c r="NQ94" s="153">
        <v>251.49799999999999</v>
      </c>
      <c r="NR94" s="403">
        <f t="shared" si="394"/>
        <v>3.227471176670057E-3</v>
      </c>
      <c r="NS94" s="403">
        <f t="shared" si="395"/>
        <v>1.0579433706341134E-2</v>
      </c>
      <c r="NT94" s="403">
        <f t="shared" si="396"/>
        <v>-7.351962529671077E-3</v>
      </c>
      <c r="NU94" s="727">
        <f t="shared" si="511"/>
        <v>6.4977637206471359E-2</v>
      </c>
      <c r="NV94" s="688">
        <f t="shared" si="512"/>
        <v>6.8482582092210878E-2</v>
      </c>
      <c r="NW94" s="688">
        <f t="shared" si="513"/>
        <v>8.3375288514507664E-2</v>
      </c>
      <c r="NX94" s="793">
        <f>(ER94-T.A2!B46*T.A1!M46)/MP94</f>
        <v>5.416109600036835E-2</v>
      </c>
      <c r="NY94" s="688">
        <f>Liabilities!BU94/Liabilities!GY94</f>
        <v>7.1273014050810581E-3</v>
      </c>
      <c r="NZ94" s="688">
        <f>Liabilities!BU94/Liabilities!GT94</f>
        <v>9.7317812098659719E-3</v>
      </c>
      <c r="OA94" s="688">
        <f>Liabilities!BU94/Liabilities!GR94</f>
        <v>1.22636566881591E-2</v>
      </c>
      <c r="OB94" s="688">
        <f t="shared" si="256"/>
        <v>5.7850335801390304E-2</v>
      </c>
      <c r="OC94" s="688">
        <f t="shared" si="257"/>
        <v>5.8750800882344904E-2</v>
      </c>
      <c r="OD94" s="688"/>
      <c r="OE94" s="793">
        <f t="shared" si="514"/>
        <v>7.9785421319145705E-2</v>
      </c>
      <c r="OF94" s="793">
        <f>OE94/(1-'Assets(MOFA)'!GU47)</f>
        <v>0.11963000483035774</v>
      </c>
      <c r="OG94" s="793">
        <f>Liabilities!HV94</f>
        <v>1.4531335828673235E-2</v>
      </c>
      <c r="OH94" s="793">
        <f t="shared" si="438"/>
        <v>6.5254085490472472E-2</v>
      </c>
      <c r="OI94" s="22">
        <f t="shared" si="336"/>
        <v>2.4210174163423682E-2</v>
      </c>
      <c r="OJ94" s="22">
        <f t="shared" si="337"/>
        <v>1.8493162970624987E-2</v>
      </c>
      <c r="OK94" s="403">
        <f>Liabilities!CT94/LX94</f>
        <v>1.764163683522325E-2</v>
      </c>
      <c r="OL94" s="403">
        <f>Liabilities!CU94/MF94</f>
        <v>4.845510078476982E-2</v>
      </c>
      <c r="OM94" s="153"/>
      <c r="OO94" s="186">
        <f t="shared" si="515"/>
        <v>7.7848579381701366E-2</v>
      </c>
      <c r="OP94" s="308">
        <f t="shared" si="370"/>
        <v>0.18501324601559851</v>
      </c>
      <c r="OQ94" s="308">
        <f t="shared" si="371"/>
        <v>1.4403018369111566E-2</v>
      </c>
      <c r="OR94" s="313">
        <f t="shared" si="372"/>
        <v>0</v>
      </c>
      <c r="OS94" s="23">
        <f t="shared" si="373"/>
        <v>0.12185183217149977</v>
      </c>
      <c r="OT94" s="23">
        <f t="shared" si="374"/>
        <v>7.0078971742625548E-2</v>
      </c>
      <c r="OU94" s="23">
        <f t="shared" si="375"/>
        <v>0.15415342851703195</v>
      </c>
      <c r="OV94" s="23">
        <f t="shared" si="376"/>
        <v>0.14848424016939585</v>
      </c>
      <c r="OW94" s="23">
        <f t="shared" si="377"/>
        <v>6.1399425912373254E-2</v>
      </c>
      <c r="OX94" s="23">
        <f t="shared" si="378"/>
        <v>4.3854154139436607E-2</v>
      </c>
      <c r="OY94" s="23">
        <f t="shared" si="379"/>
        <v>8.2963673126783197E-2</v>
      </c>
      <c r="OZ94" s="23">
        <f t="shared" si="380"/>
        <v>9.0456746834009227E-2</v>
      </c>
      <c r="PA94" s="23">
        <f t="shared" si="381"/>
        <v>7.1596106857327757E-2</v>
      </c>
      <c r="PB94" s="23">
        <f t="shared" si="382"/>
        <v>1.886063997668147E-2</v>
      </c>
      <c r="PC94" s="23"/>
      <c r="PD94" s="23"/>
      <c r="PE94" s="23"/>
      <c r="PF94" s="23"/>
      <c r="PG94" s="69"/>
      <c r="PH94" s="23">
        <f>'Assets(MOFA)'!GU47</f>
        <v>0.33306513334772453</v>
      </c>
      <c r="PI94" s="23">
        <f>'Assets(MOFA)'!HM47</f>
        <v>0.30230858906786201</v>
      </c>
      <c r="PJ94" s="11">
        <f t="shared" si="516"/>
        <v>2.9673394918765885E-2</v>
      </c>
      <c r="PK94" s="11">
        <f>Liabilities!IP94/MW94/1000</f>
        <v>1.4955379194520366E-2</v>
      </c>
      <c r="PL94" s="11">
        <f>'Assets(MOFA)'!GO47/MM94/1000</f>
        <v>2.1090729140236197E-2</v>
      </c>
      <c r="PM94" s="11">
        <f t="shared" si="429"/>
        <v>-6.1353499457158303E-3</v>
      </c>
    </row>
    <row r="95" spans="2:429">
      <c r="B95" s="71">
        <v>2003</v>
      </c>
      <c r="C95" s="43">
        <v>9864.2000000000007</v>
      </c>
      <c r="D95" s="5">
        <v>1056.4000000000001</v>
      </c>
      <c r="E95" s="19">
        <f t="shared" si="397"/>
        <v>0.10709434115285578</v>
      </c>
      <c r="F95" s="72">
        <f t="shared" si="398"/>
        <v>0</v>
      </c>
      <c r="G95" s="76">
        <f t="shared" si="399"/>
        <v>889.80000000000007</v>
      </c>
      <c r="H95" s="23">
        <f t="shared" si="400"/>
        <v>9.0204983678352016E-2</v>
      </c>
      <c r="I95" s="72">
        <v>166.6</v>
      </c>
      <c r="J95" s="19">
        <f t="shared" si="401"/>
        <v>1.688935747450376E-2</v>
      </c>
      <c r="K95" s="6">
        <f t="shared" si="402"/>
        <v>0.15770541461567586</v>
      </c>
      <c r="L95" s="136">
        <v>250</v>
      </c>
      <c r="M95" s="19">
        <f t="shared" si="403"/>
        <v>2.5344173881308163E-2</v>
      </c>
      <c r="N95" s="63">
        <f t="shared" si="404"/>
        <v>0.23665278303672849</v>
      </c>
      <c r="O95" s="5">
        <f t="shared" si="405"/>
        <v>1056.4000000000001</v>
      </c>
      <c r="P95" s="75">
        <f t="shared" si="406"/>
        <v>0</v>
      </c>
      <c r="Q95" s="271">
        <v>749</v>
      </c>
      <c r="R95" s="202">
        <v>187.1</v>
      </c>
      <c r="S95" s="53">
        <f t="shared" si="407"/>
        <v>0.17711094282468759</v>
      </c>
      <c r="T95" s="74">
        <v>20.5</v>
      </c>
      <c r="U95" s="74">
        <v>86.9</v>
      </c>
      <c r="V95" s="207">
        <v>123.3</v>
      </c>
      <c r="W95" s="53">
        <f t="shared" si="408"/>
        <v>0.11671715259371448</v>
      </c>
      <c r="X95" s="75">
        <f t="shared" si="409"/>
        <v>136.20000000000005</v>
      </c>
      <c r="Y95" s="187">
        <v>172.93795800000001</v>
      </c>
      <c r="Z95" s="75">
        <f t="shared" si="436"/>
        <v>-13.206130038222019</v>
      </c>
      <c r="AA95" s="75"/>
      <c r="AB95" s="75"/>
      <c r="AC95" s="75">
        <f t="shared" si="437"/>
        <v>159.73182796177798</v>
      </c>
      <c r="AD95" s="23">
        <f t="shared" si="410"/>
        <v>0.15120392650679473</v>
      </c>
      <c r="AE95" s="76">
        <f>NIPA_Scorp!C16/1000</f>
        <v>189.86199999999999</v>
      </c>
      <c r="AF95" s="76">
        <v>147.13503761571775</v>
      </c>
      <c r="AG95" s="23">
        <f t="shared" si="385"/>
        <v>0.17972548277167738</v>
      </c>
      <c r="AH95" s="97">
        <v>243.8</v>
      </c>
      <c r="AI95" s="22">
        <f t="shared" si="411"/>
        <v>2.4715638369051721E-2</v>
      </c>
      <c r="AJ95" s="22">
        <f t="shared" si="412"/>
        <v>2.2485351067496603E-2</v>
      </c>
      <c r="AK95" s="99">
        <f t="shared" si="413"/>
        <v>0</v>
      </c>
      <c r="AL95" s="71">
        <v>175.80000000000004</v>
      </c>
      <c r="AM95" s="72">
        <f>(0.25*Fedtax!C76+0.75*Fedtax!C75)/1000</f>
        <v>146.17625000000001</v>
      </c>
      <c r="AN95" s="71">
        <v>34</v>
      </c>
      <c r="AO95" s="255">
        <v>12</v>
      </c>
      <c r="AP95" s="71">
        <v>22</v>
      </c>
      <c r="AQ95" s="6">
        <f t="shared" si="414"/>
        <v>8.2378702783804061E-2</v>
      </c>
      <c r="AR95" s="207">
        <v>51.1</v>
      </c>
      <c r="AS95" s="714">
        <v>49.963270000000001</v>
      </c>
      <c r="AT95" s="210">
        <v>14.224030000000001</v>
      </c>
      <c r="AU95" s="205">
        <f t="shared" si="386"/>
        <v>0.28468973307791906</v>
      </c>
      <c r="AV95" s="707">
        <v>51.637430000000002</v>
      </c>
      <c r="AW95" s="210">
        <v>15.792128999999999</v>
      </c>
      <c r="AX95" s="210">
        <f t="shared" si="387"/>
        <v>35.845301000000006</v>
      </c>
      <c r="AY95" s="205">
        <f t="shared" si="388"/>
        <v>0.30582716839315977</v>
      </c>
      <c r="AZ95" s="777">
        <v>49.029740000000004</v>
      </c>
      <c r="BA95" s="772">
        <f t="shared" si="389"/>
        <v>13.184439000000005</v>
      </c>
      <c r="BB95" s="205">
        <f t="shared" si="390"/>
        <v>0.26890697360418397</v>
      </c>
      <c r="BC95" s="210">
        <v>15.475018</v>
      </c>
      <c r="BD95" s="722">
        <f>'Assets(MOFA)'!FJ48/1000</f>
        <v>59.228000000000002</v>
      </c>
      <c r="BE95" s="753">
        <f t="shared" si="105"/>
        <v>0.87184152765583844</v>
      </c>
      <c r="BF95" s="234">
        <v>0.35</v>
      </c>
      <c r="BG95" s="437"/>
      <c r="BH95" s="140">
        <f t="shared" si="464"/>
        <v>0.18743857768248012</v>
      </c>
      <c r="BI95" s="248">
        <f t="shared" si="384"/>
        <v>0.22572780540498666</v>
      </c>
      <c r="BJ95" s="23">
        <f t="shared" si="465"/>
        <v>0.1688395300177048</v>
      </c>
      <c r="BK95" s="32">
        <f t="shared" si="466"/>
        <v>0.22291524265208476</v>
      </c>
      <c r="BL95" s="32">
        <f t="shared" si="467"/>
        <v>0.26301940889915704</v>
      </c>
      <c r="BM95" s="248">
        <f t="shared" si="468"/>
        <v>0.25814605349037661</v>
      </c>
      <c r="BN95" s="23">
        <f t="shared" si="469"/>
        <v>0.29612817089452603</v>
      </c>
      <c r="BO95" s="23">
        <f t="shared" si="470"/>
        <v>0.23694049781006304</v>
      </c>
      <c r="BP95" s="149">
        <f t="shared" si="415"/>
        <v>1056.4000000000001</v>
      </c>
      <c r="BQ95" s="99">
        <f t="shared" si="416"/>
        <v>0</v>
      </c>
      <c r="BR95" s="153">
        <f t="shared" si="417"/>
        <v>243.8</v>
      </c>
      <c r="BS95" s="79">
        <v>434</v>
      </c>
      <c r="BT95" s="79">
        <v>378.6</v>
      </c>
      <c r="BU95" s="23">
        <f t="shared" si="517"/>
        <v>0.35838697463082164</v>
      </c>
      <c r="BV95" s="71">
        <v>244.1</v>
      </c>
      <c r="BW95" s="71">
        <f t="shared" si="418"/>
        <v>134.50000000000003</v>
      </c>
      <c r="BX95" s="23">
        <f t="shared" si="419"/>
        <v>0.12731919727375995</v>
      </c>
      <c r="BY95" s="23">
        <f t="shared" si="289"/>
        <v>4.2499053388867843E-2</v>
      </c>
      <c r="BZ95" s="23">
        <f t="shared" si="290"/>
        <v>0.25193315601045979</v>
      </c>
      <c r="CA95" s="23">
        <f t="shared" si="291"/>
        <v>0.27463894456807703</v>
      </c>
      <c r="CB95" s="23">
        <f t="shared" si="262"/>
        <v>0.80732292917166881</v>
      </c>
      <c r="CC95" s="169">
        <f t="shared" si="420"/>
        <v>250</v>
      </c>
      <c r="CD95" s="72">
        <f t="shared" si="518"/>
        <v>0</v>
      </c>
      <c r="CE95" s="76">
        <v>41.554000000000002</v>
      </c>
      <c r="CF95" s="76">
        <v>178.20599999999999</v>
      </c>
      <c r="CG95" s="76">
        <f t="shared" si="519"/>
        <v>30.240000000000009</v>
      </c>
      <c r="CH95" s="23">
        <f t="shared" si="392"/>
        <v>0.7128239999999999</v>
      </c>
      <c r="CI95" s="326">
        <v>184.137</v>
      </c>
      <c r="CJ95" s="153">
        <f t="shared" si="292"/>
        <v>-9.9999999998878764E-4</v>
      </c>
      <c r="CK95" s="79">
        <f t="shared" si="520"/>
        <v>178.20599999999999</v>
      </c>
      <c r="CL95" s="159">
        <v>59.459000000000003</v>
      </c>
      <c r="CM95" s="159">
        <v>118.747</v>
      </c>
      <c r="CN95" s="159">
        <v>149</v>
      </c>
      <c r="CO95" s="159">
        <f t="shared" si="338"/>
        <v>30.253</v>
      </c>
      <c r="CP95" s="79">
        <v>5.9320000000000004</v>
      </c>
      <c r="CQ95" s="79">
        <v>8.657</v>
      </c>
      <c r="CR95" s="79">
        <v>2.7250000000000001</v>
      </c>
      <c r="CS95" s="23">
        <f t="shared" si="293"/>
        <v>0.66634681211631486</v>
      </c>
      <c r="CT95" s="23">
        <f t="shared" si="294"/>
        <v>2.5795153351003408E-3</v>
      </c>
      <c r="CU95" s="73">
        <v>18.268999999999998</v>
      </c>
      <c r="CV95" s="378">
        <f t="shared" si="295"/>
        <v>1.0323726148033495E-2</v>
      </c>
      <c r="CW95" s="378">
        <f t="shared" si="296"/>
        <v>9.9214172056675182E-2</v>
      </c>
      <c r="CX95" s="153">
        <f t="shared" si="297"/>
        <v>165.86799999999999</v>
      </c>
      <c r="CY95" s="153">
        <f t="shared" si="298"/>
        <v>0.66499999999999204</v>
      </c>
      <c r="CZ95" s="295">
        <f t="shared" si="299"/>
        <v>184.137</v>
      </c>
      <c r="DA95" s="430">
        <v>12.29</v>
      </c>
      <c r="DB95" s="153">
        <v>9.5190000000000001</v>
      </c>
      <c r="DC95" s="153">
        <v>0.30199999999999999</v>
      </c>
      <c r="DD95" s="153">
        <v>1.621</v>
      </c>
      <c r="DE95" s="153">
        <v>0.43099999999999999</v>
      </c>
      <c r="DF95" s="153">
        <f t="shared" si="528"/>
        <v>0.41699999999999898</v>
      </c>
      <c r="DG95" s="425">
        <v>59.247999999999998</v>
      </c>
      <c r="DH95" s="140">
        <f t="shared" si="521"/>
        <v>0.32176042837669777</v>
      </c>
      <c r="DI95" s="182">
        <v>165.203</v>
      </c>
      <c r="DJ95" s="79">
        <v>9.1340000000000003</v>
      </c>
      <c r="DK95" s="79">
        <v>16.594999999999999</v>
      </c>
      <c r="DL95" s="79">
        <v>9.3770000000000007</v>
      </c>
      <c r="DM95" s="79">
        <v>12.643000000000001</v>
      </c>
      <c r="DN95" s="79">
        <v>13.856999999999999</v>
      </c>
      <c r="DO95" s="79">
        <v>7.0890000000000004</v>
      </c>
      <c r="DP95" s="79">
        <v>0.16800000000000001</v>
      </c>
      <c r="DQ95" s="79">
        <v>5.9870000000000001</v>
      </c>
      <c r="DR95" s="79">
        <f t="shared" si="471"/>
        <v>67.593000000000004</v>
      </c>
      <c r="DS95" s="79">
        <f t="shared" si="472"/>
        <v>97.61</v>
      </c>
      <c r="DT95" s="79">
        <v>2.64</v>
      </c>
      <c r="DU95" s="23">
        <f t="shared" si="473"/>
        <v>2.704640917938736E-2</v>
      </c>
      <c r="DV95" s="23">
        <f t="shared" si="474"/>
        <v>5.5289552853156419E-2</v>
      </c>
      <c r="DW95" s="23">
        <f t="shared" si="475"/>
        <v>0.10045217096541829</v>
      </c>
      <c r="DX95" s="23">
        <f t="shared" si="476"/>
        <v>5.6760470451505118E-2</v>
      </c>
      <c r="DY95" s="23">
        <f t="shared" si="477"/>
        <v>7.6530087226018895E-2</v>
      </c>
      <c r="DZ95" s="23">
        <f t="shared" si="478"/>
        <v>8.3878622058921437E-2</v>
      </c>
      <c r="EA95" s="23">
        <f t="shared" si="479"/>
        <v>4.2910843023431781E-2</v>
      </c>
      <c r="EB95" s="23">
        <f t="shared" si="480"/>
        <v>1.0169306852781123E-3</v>
      </c>
      <c r="EC95" s="23">
        <f t="shared" si="481"/>
        <v>3.6240261980714637E-2</v>
      </c>
      <c r="ED95" s="23">
        <f t="shared" si="482"/>
        <v>0.40915116553573477</v>
      </c>
      <c r="EE95" s="153">
        <v>46.375999999999998</v>
      </c>
      <c r="EF95" s="23">
        <f t="shared" si="300"/>
        <v>0.28072129440748655</v>
      </c>
      <c r="EG95" s="182">
        <v>100.47799999999999</v>
      </c>
      <c r="EH95" s="79">
        <v>7.3940000000000001</v>
      </c>
      <c r="EI95" s="79">
        <v>14.712999999999999</v>
      </c>
      <c r="EJ95" s="79">
        <v>3.169</v>
      </c>
      <c r="EK95" s="79">
        <v>9.0649999999999995</v>
      </c>
      <c r="EL95" s="79">
        <v>6.7619999999999996</v>
      </c>
      <c r="EM95" s="79">
        <v>3.7930000000000001</v>
      </c>
      <c r="EN95" s="28">
        <f t="shared" si="301"/>
        <v>44.895999999999994</v>
      </c>
      <c r="EO95" s="23">
        <f t="shared" si="302"/>
        <v>0.67124077285340256</v>
      </c>
      <c r="EP95" s="79">
        <f t="shared" si="303"/>
        <v>55.582000000000001</v>
      </c>
      <c r="EQ95" s="23">
        <f t="shared" si="304"/>
        <v>0.4468241804176038</v>
      </c>
      <c r="ER95" s="182">
        <f t="shared" si="268"/>
        <v>159.27100000000002</v>
      </c>
      <c r="ES95" s="185"/>
      <c r="ET95" s="136">
        <f>'Assets(MOFA)'!W48/1000</f>
        <v>207.07499999999999</v>
      </c>
      <c r="EU95" s="136">
        <f t="shared" si="339"/>
        <v>147.84699999999998</v>
      </c>
      <c r="EV95" s="589">
        <f t="shared" si="340"/>
        <v>0.92827319474355008</v>
      </c>
      <c r="EW95" s="153">
        <f t="shared" si="439"/>
        <v>9.0823129042072566</v>
      </c>
      <c r="EX95" s="153">
        <f t="shared" si="440"/>
        <v>16.531052515306698</v>
      </c>
      <c r="EY95" s="153">
        <f t="shared" si="441"/>
        <v>8.8129638387640483</v>
      </c>
      <c r="EZ95" s="153">
        <f t="shared" si="442"/>
        <v>12.498917121694319</v>
      </c>
      <c r="FA95" s="153">
        <f t="shared" si="443"/>
        <v>14.066778517309897</v>
      </c>
      <c r="FB95" s="153">
        <f t="shared" si="444"/>
        <v>7.6602385569969256</v>
      </c>
      <c r="FC95" s="153"/>
      <c r="FD95" s="153">
        <f t="shared" si="445"/>
        <v>5.8930658416934572</v>
      </c>
      <c r="FE95" s="153">
        <f t="shared" si="483"/>
        <v>66.885090738975677</v>
      </c>
      <c r="FF95" s="153">
        <f t="shared" si="484"/>
        <v>94.106209277717639</v>
      </c>
      <c r="FG95" s="23">
        <f t="shared" si="446"/>
        <v>5.7024272492840852E-2</v>
      </c>
      <c r="FH95" s="23">
        <f t="shared" si="447"/>
        <v>0.1037919804315079</v>
      </c>
      <c r="FI95" s="23">
        <f t="shared" si="448"/>
        <v>5.5333135591313219E-2</v>
      </c>
      <c r="FJ95" s="23">
        <f t="shared" si="449"/>
        <v>7.8475787316550527E-2</v>
      </c>
      <c r="FK95" s="23">
        <f t="shared" si="450"/>
        <v>8.8319772697540017E-2</v>
      </c>
      <c r="FL95" s="23">
        <f t="shared" si="451"/>
        <v>4.8095626680292866E-2</v>
      </c>
      <c r="FM95" s="23"/>
      <c r="FN95" s="23">
        <f t="shared" si="452"/>
        <v>3.7000243871724646E-2</v>
      </c>
      <c r="FO95" s="23">
        <f t="shared" si="421"/>
        <v>0.41994519240147715</v>
      </c>
      <c r="FP95" s="23">
        <f t="shared" si="422"/>
        <v>0.58005480759852279</v>
      </c>
      <c r="FQ95" s="23">
        <f t="shared" si="423"/>
        <v>9.9381198504703977E-2</v>
      </c>
      <c r="FR95" s="23">
        <f t="shared" si="424"/>
        <v>0.13727158453202451</v>
      </c>
      <c r="FS95" s="23">
        <f t="shared" si="425"/>
        <v>1.0643163976842448E-2</v>
      </c>
      <c r="FT95" s="393">
        <f t="shared" si="426"/>
        <v>7.1441256134212178E-3</v>
      </c>
      <c r="FU95" s="393">
        <f t="shared" si="427"/>
        <v>3.4990383634212301E-3</v>
      </c>
      <c r="FV95" s="23">
        <f t="shared" si="428"/>
        <v>1.4701009904465713E-2</v>
      </c>
      <c r="FW95" s="326">
        <f t="shared" si="305"/>
        <v>5.9320000000000004</v>
      </c>
      <c r="FX95" s="384">
        <f t="shared" si="430"/>
        <v>5.168709579274431E-2</v>
      </c>
      <c r="FY95" s="384">
        <f t="shared" si="431"/>
        <v>6.3947484693300596E-2</v>
      </c>
      <c r="FZ95" s="384">
        <f t="shared" si="432"/>
        <v>0.56403616123595213</v>
      </c>
      <c r="GA95" s="384">
        <f t="shared" si="433"/>
        <v>0.14408287830568164</v>
      </c>
      <c r="GB95" s="384">
        <f t="shared" si="434"/>
        <v>-0.2097785173098981</v>
      </c>
      <c r="GC95" s="384">
        <f t="shared" si="435"/>
        <v>-0.57123855699692527</v>
      </c>
      <c r="GD95" s="153"/>
      <c r="GE95" s="153">
        <f t="shared" si="453"/>
        <v>9.3934158306543225E-2</v>
      </c>
      <c r="GF95" s="153">
        <f t="shared" si="485"/>
        <v>0.70790926102432383</v>
      </c>
      <c r="GG95" s="153">
        <f t="shared" si="277"/>
        <v>3.5037907222823539</v>
      </c>
      <c r="GH95" s="182">
        <v>129.352</v>
      </c>
      <c r="GI95" s="79">
        <v>7.4080000000000004</v>
      </c>
      <c r="GJ95" s="79">
        <v>15.502000000000001</v>
      </c>
      <c r="GK95" s="79">
        <v>8.08</v>
      </c>
      <c r="GL95" s="79">
        <v>14.462</v>
      </c>
      <c r="GM95" s="79">
        <f t="shared" si="342"/>
        <v>-0.75700000000000012</v>
      </c>
      <c r="GN95" s="79">
        <v>-3.778</v>
      </c>
      <c r="GO95" s="79">
        <v>3.0209999999999999</v>
      </c>
      <c r="GP95" s="79">
        <v>-1.7000000000000001E-2</v>
      </c>
      <c r="GQ95" s="79">
        <v>5.4459999999999997</v>
      </c>
      <c r="GR95" s="79">
        <f t="shared" si="523"/>
        <v>50.141000000000005</v>
      </c>
      <c r="GS95" s="79">
        <f t="shared" si="343"/>
        <v>79.210999999999999</v>
      </c>
      <c r="GT95" s="23">
        <f t="shared" si="524"/>
        <v>0.38763219741480615</v>
      </c>
      <c r="GU95" s="362">
        <f t="shared" si="259"/>
        <v>135.96100000000001</v>
      </c>
      <c r="GV95" s="153">
        <f t="shared" si="344"/>
        <v>35.484000000000002</v>
      </c>
      <c r="GW95" s="153">
        <f t="shared" si="308"/>
        <v>100.47799999999999</v>
      </c>
      <c r="GX95" s="153">
        <f t="shared" si="309"/>
        <v>8.7530000000000001</v>
      </c>
      <c r="GY95" s="153">
        <f t="shared" si="310"/>
        <v>15.388</v>
      </c>
      <c r="GZ95" s="153">
        <f t="shared" si="226"/>
        <v>3.2510000000000003</v>
      </c>
      <c r="HA95" s="153">
        <f t="shared" si="227"/>
        <v>14.8325</v>
      </c>
      <c r="HB95" s="153">
        <f t="shared" si="228"/>
        <v>8.7949999999999999</v>
      </c>
      <c r="HC95" s="153">
        <f t="shared" si="229"/>
        <v>4.6169999999999991</v>
      </c>
      <c r="HD95" s="352"/>
      <c r="HE95" s="153">
        <f t="shared" si="231"/>
        <v>2.8009999999999997</v>
      </c>
      <c r="HF95" s="153">
        <f t="shared" si="311"/>
        <v>53.820500000000003</v>
      </c>
      <c r="HG95" s="23">
        <f t="shared" si="345"/>
        <v>0.39585248711027426</v>
      </c>
      <c r="HH95" s="156">
        <f t="shared" si="346"/>
        <v>154.85100000000011</v>
      </c>
      <c r="HI95" s="182">
        <f t="shared" si="312"/>
        <v>28.874000000000009</v>
      </c>
      <c r="HJ95" s="88">
        <v>9.9999999999056399E-4</v>
      </c>
      <c r="HK95" s="79">
        <f t="shared" si="313"/>
        <v>1.4000000000000234E-2</v>
      </c>
      <c r="HL95" s="79">
        <f t="shared" si="314"/>
        <v>0.78900000000000148</v>
      </c>
      <c r="HM95" s="79">
        <f t="shared" si="315"/>
        <v>4.9109999999999996</v>
      </c>
      <c r="HN95" s="79">
        <f t="shared" si="316"/>
        <v>5.3970000000000002</v>
      </c>
      <c r="HO95" s="79">
        <f t="shared" si="317"/>
        <v>-7.5190000000000001</v>
      </c>
      <c r="HP95" s="79">
        <f t="shared" si="318"/>
        <v>1.6529999999999996</v>
      </c>
      <c r="HQ95" s="79">
        <f t="shared" si="525"/>
        <v>5.245000000000001</v>
      </c>
      <c r="HR95" s="79">
        <f t="shared" si="383"/>
        <v>23.629000000000008</v>
      </c>
      <c r="HS95" s="23">
        <f t="shared" si="321"/>
        <v>0.18165131259957051</v>
      </c>
      <c r="HT95" s="28">
        <v>35.484000000000002</v>
      </c>
      <c r="HU95" s="79">
        <v>1.359</v>
      </c>
      <c r="HV95" s="79">
        <v>0.67500000000000004</v>
      </c>
      <c r="HW95" s="79">
        <v>8.3000000000000004E-2</v>
      </c>
      <c r="HX95" s="26">
        <v>1.407</v>
      </c>
      <c r="HY95" s="79">
        <v>2.032</v>
      </c>
      <c r="HZ95" s="79">
        <v>1.155</v>
      </c>
      <c r="IA95" s="79"/>
      <c r="IB95" s="79">
        <v>-0.99099999999999999</v>
      </c>
      <c r="IC95" s="79">
        <f t="shared" si="526"/>
        <v>4.5650000000000004</v>
      </c>
      <c r="ID95" s="79">
        <f t="shared" si="347"/>
        <v>30.919</v>
      </c>
      <c r="IE95" s="23">
        <f t="shared" si="348"/>
        <v>0.12864953218351935</v>
      </c>
      <c r="IF95" s="316">
        <v>-6.609</v>
      </c>
      <c r="IG95" s="153">
        <v>-1.345</v>
      </c>
      <c r="IH95" s="153">
        <v>0.114</v>
      </c>
      <c r="II95" s="153">
        <v>4.8289999999999997</v>
      </c>
      <c r="IJ95" s="153">
        <v>-0.3705</v>
      </c>
      <c r="IK95" s="153">
        <v>-9.5519999999999996</v>
      </c>
      <c r="IL95" s="153">
        <v>-8.3949999999999996</v>
      </c>
      <c r="IM95" s="153"/>
      <c r="IN95" s="153">
        <v>2.645</v>
      </c>
      <c r="IO95" s="153">
        <f t="shared" si="349"/>
        <v>-3.6794999999999995</v>
      </c>
      <c r="IP95" s="153">
        <f t="shared" si="522"/>
        <v>-2.9295000000000004</v>
      </c>
      <c r="IQ95" s="258">
        <f t="shared" si="350"/>
        <v>-1.7860000000000014</v>
      </c>
      <c r="IR95" s="149">
        <f t="shared" si="323"/>
        <v>1769.6130000000001</v>
      </c>
      <c r="IS95" s="153">
        <f t="shared" si="351"/>
        <v>153.06500000000005</v>
      </c>
      <c r="IT95" s="153">
        <f t="shared" si="529"/>
        <v>0</v>
      </c>
      <c r="IU95" s="153">
        <f t="shared" si="352"/>
        <v>100.47799999999999</v>
      </c>
      <c r="IV95" s="153">
        <f t="shared" si="324"/>
        <v>35.484000000000002</v>
      </c>
      <c r="IW95" s="153">
        <v>-6.609</v>
      </c>
      <c r="IX95" s="153">
        <f t="shared" si="530"/>
        <v>23.712000000000003</v>
      </c>
      <c r="IY95" s="153">
        <v>42</v>
      </c>
      <c r="IZ95" s="153">
        <v>9.6059999999999999</v>
      </c>
      <c r="JA95" s="153">
        <v>-27.893999999999998</v>
      </c>
      <c r="JB95" s="23">
        <f t="shared" si="486"/>
        <v>0.17939751829849354</v>
      </c>
      <c r="JC95" s="23">
        <f t="shared" si="487"/>
        <v>6.3399971614525263E-2</v>
      </c>
      <c r="JD95" s="23">
        <f t="shared" si="488"/>
        <v>0.11599754668396828</v>
      </c>
      <c r="JE95" s="22">
        <f t="shared" si="489"/>
        <v>1.0186127612984326E-2</v>
      </c>
      <c r="JF95" s="22">
        <f t="shared" si="326"/>
        <v>3.5972506640173556E-3</v>
      </c>
      <c r="JG95" s="22">
        <f t="shared" si="327"/>
        <v>-6.6999858072626264E-4</v>
      </c>
      <c r="JH95" s="5">
        <v>1769.6130000000001</v>
      </c>
      <c r="JI95" s="192">
        <v>76.646000000000001</v>
      </c>
      <c r="JJ95" s="76">
        <v>60.603999999999999</v>
      </c>
      <c r="JK95" s="76">
        <v>186.36600000000001</v>
      </c>
      <c r="JL95" s="76">
        <v>68.298000000000002</v>
      </c>
      <c r="JM95" s="76">
        <v>92.75</v>
      </c>
      <c r="JN95" s="76">
        <f t="shared" si="354"/>
        <v>166.31900000000002</v>
      </c>
      <c r="JO95" s="76">
        <v>84.507999999999996</v>
      </c>
      <c r="JP95" s="76">
        <v>81.811000000000007</v>
      </c>
      <c r="JQ95" s="76">
        <v>2.9260000000000002</v>
      </c>
      <c r="JR95" s="76">
        <v>51.052999999999997</v>
      </c>
      <c r="JS95" s="76">
        <f t="shared" si="527"/>
        <v>625.3900000000001</v>
      </c>
      <c r="JT95" s="76">
        <f t="shared" si="355"/>
        <v>1144.223</v>
      </c>
      <c r="JU95" s="23">
        <f t="shared" si="356"/>
        <v>0.35340495351243467</v>
      </c>
      <c r="JV95" s="23">
        <f t="shared" si="357"/>
        <v>3.424703593384542E-2</v>
      </c>
      <c r="JW95" s="23">
        <f t="shared" si="358"/>
        <v>0.10531455182573818</v>
      </c>
      <c r="JX95" s="23">
        <f t="shared" si="359"/>
        <v>3.8594879219354741E-2</v>
      </c>
      <c r="JY95" s="23">
        <f t="shared" si="360"/>
        <v>5.241258964530663E-2</v>
      </c>
      <c r="JZ95" s="23">
        <f t="shared" si="361"/>
        <v>9.3986086223372012E-2</v>
      </c>
      <c r="KA95" s="23">
        <f t="shared" si="362"/>
        <v>2.8849810664817673E-2</v>
      </c>
      <c r="KB95" s="149">
        <v>180.69200000000001</v>
      </c>
      <c r="KC95" s="316">
        <v>371.40600000000001</v>
      </c>
      <c r="KD95" s="316">
        <v>190.714</v>
      </c>
      <c r="KE95" s="589">
        <f t="shared" si="242"/>
        <v>0.5134919737430198</v>
      </c>
      <c r="KF95" s="1071">
        <v>0</v>
      </c>
      <c r="KG95" s="319">
        <f t="shared" si="243"/>
        <v>2.2174999999999994</v>
      </c>
      <c r="KH95" s="319">
        <f t="shared" si="244"/>
        <v>2.7435</v>
      </c>
      <c r="KI95" s="321">
        <f t="shared" si="245"/>
        <v>24.198500000000003</v>
      </c>
      <c r="KJ95" s="319">
        <f t="shared" si="246"/>
        <v>6.1814999999999998</v>
      </c>
      <c r="KK95" s="319">
        <f t="shared" si="285"/>
        <v>-9.0000000000000018</v>
      </c>
      <c r="KL95" s="319">
        <f t="shared" si="248"/>
        <v>-24.507500000000004</v>
      </c>
      <c r="KM95" s="319"/>
      <c r="KN95" s="319"/>
      <c r="KO95" s="319"/>
      <c r="KP95" s="319">
        <f t="shared" si="454"/>
        <v>4.0299999999999994</v>
      </c>
      <c r="KQ95" s="153">
        <f t="shared" si="328"/>
        <v>30.371000000000002</v>
      </c>
      <c r="KR95" s="153">
        <f t="shared" si="329"/>
        <v>150.321</v>
      </c>
      <c r="KS95" s="23">
        <f t="shared" si="490"/>
        <v>1.5239046248048498E-2</v>
      </c>
      <c r="KT95" s="23"/>
      <c r="KU95" s="326">
        <v>1588.921</v>
      </c>
      <c r="KV95" s="430">
        <f t="shared" si="252"/>
        <v>76.646000000000001</v>
      </c>
      <c r="KW95" s="322">
        <f t="shared" si="491"/>
        <v>58.386499999999998</v>
      </c>
      <c r="KX95" s="322">
        <f t="shared" si="492"/>
        <v>183.6225</v>
      </c>
      <c r="KY95" s="322">
        <f t="shared" si="493"/>
        <v>44.099499999999999</v>
      </c>
      <c r="KZ95" s="322">
        <f t="shared" si="494"/>
        <v>86.5685</v>
      </c>
      <c r="LA95" s="322">
        <f t="shared" si="495"/>
        <v>175.31900000000002</v>
      </c>
      <c r="LB95" s="322">
        <f t="shared" si="496"/>
        <v>109.0155</v>
      </c>
      <c r="LC95" s="322"/>
      <c r="LD95" s="322">
        <f t="shared" si="455"/>
        <v>47.022999999999996</v>
      </c>
      <c r="LE95" s="322">
        <f t="shared" si="456"/>
        <v>595.01900000000012</v>
      </c>
      <c r="LF95" s="322">
        <f t="shared" si="497"/>
        <v>0</v>
      </c>
      <c r="LG95" s="322">
        <f t="shared" si="498"/>
        <v>993.90199999999993</v>
      </c>
      <c r="LH95" s="367">
        <f t="shared" si="499"/>
        <v>0.37447991435697564</v>
      </c>
      <c r="LI95" s="248">
        <f t="shared" si="457"/>
        <v>3.674600562268357E-2</v>
      </c>
      <c r="LJ95" s="248">
        <f t="shared" si="458"/>
        <v>0.1155642728618981</v>
      </c>
      <c r="LK95" s="248">
        <f t="shared" si="459"/>
        <v>2.7754369159951942E-2</v>
      </c>
      <c r="LL95" s="248">
        <f t="shared" si="460"/>
        <v>5.4482570247356539E-2</v>
      </c>
      <c r="LM95" s="248">
        <f t="shared" si="461"/>
        <v>0.11033839945472432</v>
      </c>
      <c r="LN95" s="248">
        <f t="shared" si="462"/>
        <v>6.8609767257151233E-2</v>
      </c>
      <c r="LO95" s="248"/>
      <c r="LP95" s="248">
        <f t="shared" si="463"/>
        <v>2.9594297010361117E-2</v>
      </c>
      <c r="LQ95" s="248">
        <f t="shared" si="500"/>
        <v>0.16107956043064819</v>
      </c>
      <c r="LR95" s="23">
        <f t="shared" si="501"/>
        <v>0.10075850043591977</v>
      </c>
      <c r="LS95" s="23">
        <f t="shared" si="502"/>
        <v>6.0321059994728421E-2</v>
      </c>
      <c r="LT95" s="326">
        <v>488.87700000000001</v>
      </c>
      <c r="LU95" s="153">
        <f t="shared" si="363"/>
        <v>0</v>
      </c>
      <c r="LV95" s="153">
        <f t="shared" si="503"/>
        <v>180.69200000000001</v>
      </c>
      <c r="LW95" s="153">
        <f t="shared" si="504"/>
        <v>190.714</v>
      </c>
      <c r="LX95" s="153">
        <v>117.471</v>
      </c>
      <c r="LY95" s="23">
        <f>LX95/Liabilities!GT95</f>
        <v>8.766891627156162E-2</v>
      </c>
      <c r="LZ95" s="23">
        <f t="shared" si="253"/>
        <v>0.26954883594994106</v>
      </c>
      <c r="MA95" s="425">
        <v>626.52</v>
      </c>
      <c r="MB95" s="153">
        <f t="shared" si="364"/>
        <v>-1.0000000000331966E-3</v>
      </c>
      <c r="MC95" s="153">
        <v>318.33600000000001</v>
      </c>
      <c r="MD95" s="153">
        <f t="shared" si="365"/>
        <v>117.471</v>
      </c>
      <c r="ME95" s="153">
        <f t="shared" si="366"/>
        <v>190.714</v>
      </c>
      <c r="MF95" s="153">
        <v>435.80599999999998</v>
      </c>
      <c r="MG95" s="153">
        <f t="shared" si="505"/>
        <v>371.40600000000001</v>
      </c>
      <c r="MH95" s="326">
        <f t="shared" si="506"/>
        <v>1588.921</v>
      </c>
      <c r="MI95" s="1008">
        <f>FoF_RoW!$BH65/1000</f>
        <v>2122.8589999999999</v>
      </c>
      <c r="MJ95" s="1008">
        <v>2431.0439999999999</v>
      </c>
      <c r="MK95" s="1008">
        <f>FoF_RoW!$AU65/1000</f>
        <v>147.61799999999999</v>
      </c>
      <c r="ML95" s="1008">
        <f t="shared" si="254"/>
        <v>194.44799999999987</v>
      </c>
      <c r="MM95" s="425">
        <f t="shared" si="507"/>
        <v>1942.1669999999999</v>
      </c>
      <c r="MN95" s="23">
        <f t="shared" si="508"/>
        <v>1.222318164339196</v>
      </c>
      <c r="MO95" s="153">
        <v>3037.3119999999999</v>
      </c>
      <c r="MP95" s="425">
        <v>2548.4349999999999</v>
      </c>
      <c r="MQ95" s="23">
        <f t="shared" si="367"/>
        <v>1.6038777258277785</v>
      </c>
      <c r="MR95" s="23">
        <f t="shared" si="368"/>
        <v>1.3121605917513788</v>
      </c>
      <c r="MS95" s="153">
        <f t="shared" si="509"/>
        <v>180.69200000000001</v>
      </c>
      <c r="MT95" s="153">
        <v>488.87700000000001</v>
      </c>
      <c r="MU95" s="153">
        <v>626.52</v>
      </c>
      <c r="MV95" s="153">
        <v>2136.5410000000002</v>
      </c>
      <c r="MW95" s="153">
        <v>1339.94</v>
      </c>
      <c r="MX95" s="23">
        <f t="shared" si="369"/>
        <v>1.5945049778348286</v>
      </c>
      <c r="MY95" s="425">
        <f t="shared" si="255"/>
        <v>-2401.8790000000008</v>
      </c>
      <c r="MZ95" s="23">
        <f t="shared" si="510"/>
        <v>-0.24349455607145035</v>
      </c>
      <c r="NA95" s="153">
        <v>8620.9339999999993</v>
      </c>
      <c r="NB95" s="153">
        <v>10913.947</v>
      </c>
      <c r="NC95" s="425">
        <f t="shared" si="330"/>
        <v>-2211.5460000000007</v>
      </c>
      <c r="ND95" s="23">
        <f t="shared" si="331"/>
        <v>-0.22419922548204624</v>
      </c>
      <c r="NE95" s="330">
        <f t="shared" si="332"/>
        <v>464.58399999999983</v>
      </c>
      <c r="NF95" s="23">
        <f t="shared" si="333"/>
        <v>4.7097990713894672E-2</v>
      </c>
      <c r="NG95" s="330">
        <f t="shared" si="334"/>
        <v>274.25099999999975</v>
      </c>
      <c r="NH95" s="23">
        <f t="shared" si="335"/>
        <v>2.7802660124490553E-2</v>
      </c>
      <c r="NI95" s="330">
        <v>108.866</v>
      </c>
      <c r="NJ95" s="425">
        <v>104.623</v>
      </c>
      <c r="NK95" s="403">
        <f t="shared" si="393"/>
        <v>1.0606334015936416E-2</v>
      </c>
      <c r="NL95" s="153">
        <v>112.667</v>
      </c>
      <c r="NM95" s="153">
        <v>186.417</v>
      </c>
      <c r="NN95" s="153">
        <v>73.75</v>
      </c>
      <c r="NO95" s="425">
        <f t="shared" si="100"/>
        <v>42.952999999999975</v>
      </c>
      <c r="NP95" s="153">
        <v>319.702</v>
      </c>
      <c r="NQ95" s="153">
        <v>276.74900000000002</v>
      </c>
      <c r="NR95" s="403">
        <f t="shared" si="394"/>
        <v>4.3544332028953156E-3</v>
      </c>
      <c r="NS95" s="403">
        <f t="shared" si="395"/>
        <v>1.0606334015936416E-2</v>
      </c>
      <c r="NT95" s="403">
        <f t="shared" si="396"/>
        <v>-6.2519008130411001E-3</v>
      </c>
      <c r="NU95" s="727">
        <f t="shared" si="511"/>
        <v>6.249757203931041E-2</v>
      </c>
      <c r="NV95" s="688">
        <f t="shared" si="512"/>
        <v>8.200685111012597E-2</v>
      </c>
      <c r="NW95" s="688">
        <f t="shared" si="513"/>
        <v>0.10023846371216694</v>
      </c>
      <c r="NX95" s="793">
        <f>(ER95-T.A2!B47*T.A1!M47)/MP95</f>
        <v>5.1831976930016066E-2</v>
      </c>
      <c r="NY95" s="688">
        <f>Liabilities!BU95/Liabilities!GY95</f>
        <v>2.094694180921405E-2</v>
      </c>
      <c r="NZ95" s="688">
        <f>Liabilities!BU95/Liabilities!GT95</f>
        <v>3.3400027911718366E-2</v>
      </c>
      <c r="OA95" s="688">
        <f>Liabilities!BU95/Liabilities!GR95</f>
        <v>4.1561147932389998E-2</v>
      </c>
      <c r="OB95" s="688">
        <f t="shared" si="256"/>
        <v>4.1550630230096364E-2</v>
      </c>
      <c r="OC95" s="688">
        <f t="shared" si="257"/>
        <v>4.8606823198407603E-2</v>
      </c>
      <c r="OD95" s="688"/>
      <c r="OE95" s="793">
        <f t="shared" si="514"/>
        <v>9.175627018685828E-2</v>
      </c>
      <c r="OF95" s="793">
        <f>OE95/(1-'Assets(MOFA)'!GU48)</f>
        <v>0.12851413724285024</v>
      </c>
      <c r="OG95" s="793">
        <f>Liabilities!HV95</f>
        <v>4.2343243605544589E-2</v>
      </c>
      <c r="OH95" s="793">
        <f t="shared" si="438"/>
        <v>4.941302658131369E-2</v>
      </c>
      <c r="OI95" s="22">
        <f t="shared" si="336"/>
        <v>2.3308724145544229E-2</v>
      </c>
      <c r="OJ95" s="22">
        <f t="shared" si="337"/>
        <v>1.4288410918967669E-2</v>
      </c>
      <c r="OK95" s="403">
        <f>Liabilities!CT95/LX95</f>
        <v>1.2922338279234875E-2</v>
      </c>
      <c r="OL95" s="403">
        <f>Liabilities!CU95/MF95</f>
        <v>4.0678650592236E-2</v>
      </c>
      <c r="OM95" s="153"/>
      <c r="OO95" s="186">
        <f t="shared" si="515"/>
        <v>9.044537045456412E-2</v>
      </c>
      <c r="OP95" s="308">
        <f t="shared" si="370"/>
        <v>0.19689047261815451</v>
      </c>
      <c r="OQ95" s="308">
        <f t="shared" si="371"/>
        <v>1.7807831734923198E-2</v>
      </c>
      <c r="OR95" s="313">
        <f t="shared" si="372"/>
        <v>0</v>
      </c>
      <c r="OS95" s="23">
        <f t="shared" si="373"/>
        <v>0.14035760793911134</v>
      </c>
      <c r="OT95" s="23">
        <f t="shared" si="374"/>
        <v>8.1231888436306604E-2</v>
      </c>
      <c r="OU95" s="23">
        <f t="shared" si="375"/>
        <v>0.18031849032945618</v>
      </c>
      <c r="OV95" s="23">
        <f t="shared" si="376"/>
        <v>0.13027600613066478</v>
      </c>
      <c r="OW95" s="23">
        <f t="shared" si="377"/>
        <v>7.2396505655039037E-2</v>
      </c>
      <c r="OX95" s="23">
        <f t="shared" si="378"/>
        <v>6.3402441754968938E-2</v>
      </c>
      <c r="OY95" s="23">
        <f t="shared" si="379"/>
        <v>0.11307924505575262</v>
      </c>
      <c r="OZ95" s="23">
        <f t="shared" si="380"/>
        <v>0.10142626357566964</v>
      </c>
      <c r="PA95" s="23">
        <f t="shared" si="381"/>
        <v>8.5433196390324082E-2</v>
      </c>
      <c r="PB95" s="23">
        <f t="shared" si="382"/>
        <v>1.5993067185345558E-2</v>
      </c>
      <c r="PC95" s="23"/>
      <c r="PD95" s="23"/>
      <c r="PE95" s="23"/>
      <c r="PF95" s="23"/>
      <c r="PG95" s="69"/>
      <c r="PH95" s="23">
        <f>'Assets(MOFA)'!GU48</f>
        <v>0.2860219727151998</v>
      </c>
      <c r="PI95" s="23">
        <f>'Assets(MOFA)'!HM48</f>
        <v>0.24834946576022657</v>
      </c>
      <c r="PJ95" s="11">
        <f t="shared" si="516"/>
        <v>2.7095514117444156E-2</v>
      </c>
      <c r="PK95" s="11">
        <f>Liabilities!IP95/MW95/1000</f>
        <v>1.810155678612475E-2</v>
      </c>
      <c r="PL95" s="11">
        <f>'Assets(MOFA)'!GO48/MM95/1000</f>
        <v>2.0859689202833744E-2</v>
      </c>
      <c r="PM95" s="11">
        <f t="shared" si="429"/>
        <v>-2.7581324167089936E-3</v>
      </c>
    </row>
    <row r="96" spans="2:429">
      <c r="B96" s="71">
        <v>2004</v>
      </c>
      <c r="C96" s="43">
        <v>10540.9</v>
      </c>
      <c r="D96" s="5">
        <v>1283.3</v>
      </c>
      <c r="E96" s="19">
        <f t="shared" si="397"/>
        <v>0.12174482254835925</v>
      </c>
      <c r="F96" s="72">
        <f t="shared" si="398"/>
        <v>0</v>
      </c>
      <c r="G96" s="76">
        <f t="shared" si="399"/>
        <v>1078.3</v>
      </c>
      <c r="H96" s="23">
        <f t="shared" si="400"/>
        <v>0.10229676782817407</v>
      </c>
      <c r="I96" s="72">
        <v>205</v>
      </c>
      <c r="J96" s="19">
        <f t="shared" si="401"/>
        <v>1.9448054720185185E-2</v>
      </c>
      <c r="K96" s="6">
        <f t="shared" si="402"/>
        <v>0.15974440894568689</v>
      </c>
      <c r="L96" s="136">
        <v>328.1</v>
      </c>
      <c r="M96" s="19">
        <f t="shared" si="403"/>
        <v>3.1126374408257364E-2</v>
      </c>
      <c r="N96" s="63">
        <f t="shared" si="404"/>
        <v>0.25566897841502378</v>
      </c>
      <c r="O96" s="5">
        <f t="shared" si="405"/>
        <v>1283.3</v>
      </c>
      <c r="P96" s="75">
        <f t="shared" si="406"/>
        <v>0</v>
      </c>
      <c r="Q96" s="271">
        <v>1075.7</v>
      </c>
      <c r="R96" s="202">
        <v>217.1</v>
      </c>
      <c r="S96" s="53">
        <f t="shared" si="407"/>
        <v>0.16917322527857867</v>
      </c>
      <c r="T96" s="74">
        <v>20.5</v>
      </c>
      <c r="U96" s="74">
        <v>28.700000000000003</v>
      </c>
      <c r="V96" s="207">
        <v>170.8</v>
      </c>
      <c r="W96" s="53">
        <f t="shared" si="408"/>
        <v>0.13309436608743086</v>
      </c>
      <c r="X96" s="75">
        <f t="shared" si="409"/>
        <v>112.09999999999991</v>
      </c>
      <c r="Y96" s="187">
        <v>218.70493999999999</v>
      </c>
      <c r="Z96" s="75">
        <f t="shared" si="436"/>
        <v>-16.701052279347163</v>
      </c>
      <c r="AA96" s="75"/>
      <c r="AB96" s="75"/>
      <c r="AC96" s="75">
        <f t="shared" si="437"/>
        <v>202.00388772065284</v>
      </c>
      <c r="AD96" s="23">
        <f t="shared" si="410"/>
        <v>0.15740971535934922</v>
      </c>
      <c r="AE96" s="76">
        <f>NIPA_Scorp!C17/1000</f>
        <v>226.816</v>
      </c>
      <c r="AF96" s="76">
        <v>193.8174093045711</v>
      </c>
      <c r="AG96" s="23">
        <f t="shared" si="385"/>
        <v>0.17674433102158499</v>
      </c>
      <c r="AH96" s="97">
        <v>306.10000000000002</v>
      </c>
      <c r="AI96" s="22">
        <f t="shared" si="411"/>
        <v>2.9039266096822856E-2</v>
      </c>
      <c r="AJ96" s="22">
        <f t="shared" si="412"/>
        <v>2.7322145167869918E-2</v>
      </c>
      <c r="AK96" s="99">
        <f t="shared" si="413"/>
        <v>-0.10000000000002274</v>
      </c>
      <c r="AL96" s="71">
        <v>232.3</v>
      </c>
      <c r="AM96" s="72">
        <f>(0.25*Fedtax!C77+0.75*Fedtax!C76)/1000</f>
        <v>211.59875</v>
      </c>
      <c r="AN96" s="71">
        <v>41.7</v>
      </c>
      <c r="AO96" s="255">
        <v>14.1</v>
      </c>
      <c r="AP96" s="71">
        <v>18.100000000000001</v>
      </c>
      <c r="AQ96" s="6">
        <f t="shared" si="414"/>
        <v>9.2705556451536386E-2</v>
      </c>
      <c r="AR96" s="207">
        <v>57.8</v>
      </c>
      <c r="AS96" s="714">
        <v>56.593276000000003</v>
      </c>
      <c r="AT96" s="210">
        <v>20.049686000000001</v>
      </c>
      <c r="AU96" s="205">
        <f t="shared" si="386"/>
        <v>0.35427682256810861</v>
      </c>
      <c r="AV96" s="707">
        <v>61.156799999999997</v>
      </c>
      <c r="AW96" s="210">
        <v>23.843330000000002</v>
      </c>
      <c r="AX96" s="210">
        <f t="shared" si="387"/>
        <v>37.313469999999995</v>
      </c>
      <c r="AY96" s="205">
        <f t="shared" si="388"/>
        <v>0.38987209925960814</v>
      </c>
      <c r="AZ96" s="777">
        <v>56.706831999999999</v>
      </c>
      <c r="BA96" s="772">
        <f t="shared" si="389"/>
        <v>19.393362000000003</v>
      </c>
      <c r="BB96" s="205">
        <f t="shared" si="390"/>
        <v>0.34199339508156623</v>
      </c>
      <c r="BC96" s="210">
        <v>16.854198</v>
      </c>
      <c r="BD96" s="722">
        <f>'Assets(MOFA)'!FJ49/1000</f>
        <v>74.067999999999998</v>
      </c>
      <c r="BE96" s="753">
        <f t="shared" si="105"/>
        <v>0.82568450612950262</v>
      </c>
      <c r="BF96" s="234">
        <v>0.35</v>
      </c>
      <c r="BG96" s="437"/>
      <c r="BH96" s="140">
        <f t="shared" si="464"/>
        <v>0.19770546215455659</v>
      </c>
      <c r="BI96" s="248">
        <f t="shared" si="384"/>
        <v>0.2363935659538049</v>
      </c>
      <c r="BJ96" s="23">
        <f t="shared" si="465"/>
        <v>0.17594912314511466</v>
      </c>
      <c r="BK96" s="30">
        <f t="shared" si="466"/>
        <v>0.22975687469695918</v>
      </c>
      <c r="BL96" s="30">
        <f t="shared" si="467"/>
        <v>0.25036851364046292</v>
      </c>
      <c r="BM96" s="248">
        <f t="shared" si="468"/>
        <v>0.26713460461038852</v>
      </c>
      <c r="BN96" s="23">
        <f t="shared" si="469"/>
        <v>0.26773263921167612</v>
      </c>
      <c r="BO96" s="23">
        <f t="shared" si="470"/>
        <v>0.22277227722772278</v>
      </c>
      <c r="BP96" s="149">
        <f t="shared" si="415"/>
        <v>1283.3</v>
      </c>
      <c r="BQ96" s="99">
        <f t="shared" si="416"/>
        <v>-0.10000000000013642</v>
      </c>
      <c r="BR96" s="153">
        <f t="shared" si="417"/>
        <v>306.10000000000002</v>
      </c>
      <c r="BS96" s="79">
        <v>564.1</v>
      </c>
      <c r="BT96" s="79">
        <v>413.2</v>
      </c>
      <c r="BU96" s="23">
        <f t="shared" si="517"/>
        <v>0.32198238915296501</v>
      </c>
      <c r="BV96" s="71">
        <v>270.39999999999998</v>
      </c>
      <c r="BW96" s="71">
        <f t="shared" si="418"/>
        <v>142.80000000000001</v>
      </c>
      <c r="BX96" s="23">
        <f t="shared" si="419"/>
        <v>0.11127561754850776</v>
      </c>
      <c r="BY96" s="23">
        <f t="shared" si="289"/>
        <v>4.8919192706304064E-2</v>
      </c>
      <c r="BZ96" s="23">
        <f t="shared" si="290"/>
        <v>0.261211480689374</v>
      </c>
      <c r="CA96" s="23">
        <f t="shared" si="291"/>
        <v>0.27686292449958677</v>
      </c>
      <c r="CB96" s="23">
        <f t="shared" si="262"/>
        <v>0.6965853658536586</v>
      </c>
      <c r="CC96" s="169">
        <f t="shared" si="420"/>
        <v>328.1</v>
      </c>
      <c r="CD96" s="72">
        <f t="shared" si="518"/>
        <v>0</v>
      </c>
      <c r="CE96" s="76">
        <v>54.087000000000003</v>
      </c>
      <c r="CF96" s="76">
        <v>240.334</v>
      </c>
      <c r="CG96" s="76">
        <f t="shared" si="519"/>
        <v>33.67900000000003</v>
      </c>
      <c r="CH96" s="23">
        <f t="shared" si="392"/>
        <v>0.73250228588844857</v>
      </c>
      <c r="CI96" s="326">
        <v>246.184</v>
      </c>
      <c r="CJ96" s="153">
        <f t="shared" si="292"/>
        <v>0</v>
      </c>
      <c r="CK96" s="79">
        <f t="shared" si="520"/>
        <v>240.334</v>
      </c>
      <c r="CL96" s="159">
        <v>81.555000000000007</v>
      </c>
      <c r="CM96" s="159">
        <v>158.779</v>
      </c>
      <c r="CN96" s="159">
        <v>192.5</v>
      </c>
      <c r="CO96" s="159">
        <f t="shared" si="338"/>
        <v>33.721000000000004</v>
      </c>
      <c r="CP96" s="79">
        <v>5.85</v>
      </c>
      <c r="CQ96" s="79">
        <v>8.3529999999999998</v>
      </c>
      <c r="CR96" s="79">
        <v>2.5030000000000001</v>
      </c>
      <c r="CS96" s="23">
        <f t="shared" si="293"/>
        <v>0.66065974851664766</v>
      </c>
      <c r="CT96" s="23">
        <f t="shared" si="294"/>
        <v>1.9504402711758748E-3</v>
      </c>
      <c r="CU96" s="73">
        <v>17.190000000000001</v>
      </c>
      <c r="CV96" s="378">
        <f t="shared" si="295"/>
        <v>7.9552249028620303E-3</v>
      </c>
      <c r="CW96" s="378">
        <f t="shared" si="296"/>
        <v>6.9825821336886237E-2</v>
      </c>
      <c r="CX96" s="153">
        <f t="shared" si="297"/>
        <v>228.994</v>
      </c>
      <c r="CY96" s="153">
        <f t="shared" si="298"/>
        <v>0.82900000000000773</v>
      </c>
      <c r="CZ96" s="295">
        <f t="shared" si="299"/>
        <v>246.184</v>
      </c>
      <c r="DA96" s="430">
        <v>19.132999999999999</v>
      </c>
      <c r="DB96" s="153">
        <v>14.551</v>
      </c>
      <c r="DC96" s="153">
        <v>0.40600000000000003</v>
      </c>
      <c r="DD96" s="153">
        <v>2.8119999999999998</v>
      </c>
      <c r="DE96" s="153">
        <v>0.65700000000000003</v>
      </c>
      <c r="DF96" s="153">
        <f t="shared" si="528"/>
        <v>0.70699999999999941</v>
      </c>
      <c r="DG96" s="425">
        <v>79.843999999999994</v>
      </c>
      <c r="DH96" s="140">
        <f t="shared" si="521"/>
        <v>0.3243265200012998</v>
      </c>
      <c r="DI96" s="182">
        <v>228.16499999999999</v>
      </c>
      <c r="DJ96" s="79">
        <v>14.227</v>
      </c>
      <c r="DK96" s="79">
        <v>30.132000000000001</v>
      </c>
      <c r="DL96" s="79">
        <v>8.6649999999999991</v>
      </c>
      <c r="DM96" s="79">
        <v>14.494</v>
      </c>
      <c r="DN96" s="79">
        <v>22.012</v>
      </c>
      <c r="DO96" s="79">
        <v>10.086</v>
      </c>
      <c r="DP96" s="79">
        <v>0.16800000000000001</v>
      </c>
      <c r="DQ96" s="79">
        <v>8.6189999999999998</v>
      </c>
      <c r="DR96" s="79">
        <f t="shared" si="471"/>
        <v>98.149000000000001</v>
      </c>
      <c r="DS96" s="79">
        <f t="shared" si="472"/>
        <v>130.01599999999999</v>
      </c>
      <c r="DT96" s="79">
        <v>4.2530000000000001</v>
      </c>
      <c r="DU96" s="23">
        <f t="shared" si="473"/>
        <v>3.2711358602018216E-2</v>
      </c>
      <c r="DV96" s="23">
        <f t="shared" si="474"/>
        <v>6.235399820305481E-2</v>
      </c>
      <c r="DW96" s="23">
        <f t="shared" si="475"/>
        <v>0.13206232331865098</v>
      </c>
      <c r="DX96" s="23">
        <f t="shared" si="476"/>
        <v>3.7976902680078015E-2</v>
      </c>
      <c r="DY96" s="23">
        <f t="shared" si="477"/>
        <v>6.3524203975193386E-2</v>
      </c>
      <c r="DZ96" s="23">
        <f t="shared" si="478"/>
        <v>9.647404290754498E-2</v>
      </c>
      <c r="EA96" s="23">
        <f t="shared" si="479"/>
        <v>4.4204851752021566E-2</v>
      </c>
      <c r="EB96" s="23">
        <f t="shared" si="480"/>
        <v>7.363092498849518E-4</v>
      </c>
      <c r="EC96" s="23">
        <f t="shared" si="481"/>
        <v>3.7775294194990469E-2</v>
      </c>
      <c r="ED96" s="23">
        <f t="shared" si="482"/>
        <v>0.43016676527951264</v>
      </c>
      <c r="EE96" s="153">
        <v>60.28</v>
      </c>
      <c r="EF96" s="23">
        <f t="shared" si="300"/>
        <v>0.2641947713277672</v>
      </c>
      <c r="EG96" s="182">
        <v>141.589</v>
      </c>
      <c r="EH96" s="79">
        <v>7.7119999999999997</v>
      </c>
      <c r="EI96" s="79">
        <v>22.207000000000001</v>
      </c>
      <c r="EJ96" s="79">
        <v>2.84</v>
      </c>
      <c r="EK96" s="79">
        <v>10.361000000000001</v>
      </c>
      <c r="EL96" s="79">
        <v>13.355</v>
      </c>
      <c r="EM96" s="79">
        <v>6.3029999999999999</v>
      </c>
      <c r="EN96" s="28">
        <f t="shared" si="301"/>
        <v>62.778000000000006</v>
      </c>
      <c r="EO96" s="23">
        <f t="shared" si="302"/>
        <v>0.64361765446869768</v>
      </c>
      <c r="EP96" s="79">
        <f t="shared" si="303"/>
        <v>78.810999999999993</v>
      </c>
      <c r="EQ96" s="23">
        <f t="shared" si="304"/>
        <v>0.44338190113638776</v>
      </c>
      <c r="ER96" s="182">
        <f t="shared" si="268"/>
        <v>222.315</v>
      </c>
      <c r="ES96" s="185"/>
      <c r="ET96" s="136">
        <f>'Assets(MOFA)'!W49/1000</f>
        <v>258.76299999999998</v>
      </c>
      <c r="EU96" s="136">
        <f t="shared" si="339"/>
        <v>184.69499999999999</v>
      </c>
      <c r="EV96" s="589">
        <f t="shared" si="340"/>
        <v>0.8307806490790095</v>
      </c>
      <c r="EW96" s="153">
        <f t="shared" si="439"/>
        <v>14.174112428826096</v>
      </c>
      <c r="EX96" s="153">
        <f t="shared" si="440"/>
        <v>30.074103953683057</v>
      </c>
      <c r="EY96" s="153">
        <f t="shared" si="441"/>
        <v>8.1938277009185434</v>
      </c>
      <c r="EZ96" s="153">
        <f t="shared" si="442"/>
        <v>14.368720699643237</v>
      </c>
      <c r="FA96" s="153">
        <f t="shared" si="443"/>
        <v>22.211568471084195</v>
      </c>
      <c r="FB96" s="153">
        <f t="shared" si="444"/>
        <v>10.630199719340162</v>
      </c>
      <c r="FC96" s="153"/>
      <c r="FD96" s="153">
        <f t="shared" si="445"/>
        <v>8.5169426872775986</v>
      </c>
      <c r="FE96" s="153">
        <f t="shared" si="483"/>
        <v>97.53927594143272</v>
      </c>
      <c r="FF96" s="153">
        <f t="shared" si="484"/>
        <v>126.9223226942422</v>
      </c>
      <c r="FG96" s="23">
        <f t="shared" si="446"/>
        <v>6.3756887429215731E-2</v>
      </c>
      <c r="FH96" s="23">
        <f t="shared" si="447"/>
        <v>0.13527698964839555</v>
      </c>
      <c r="FI96" s="23">
        <f t="shared" si="448"/>
        <v>3.6856836924717376E-2</v>
      </c>
      <c r="FJ96" s="23">
        <f t="shared" si="449"/>
        <v>6.4632259180186835E-2</v>
      </c>
      <c r="FK96" s="23">
        <f t="shared" si="450"/>
        <v>9.9910345550611498E-2</v>
      </c>
      <c r="FL96" s="23">
        <f t="shared" si="451"/>
        <v>4.781593558392444E-2</v>
      </c>
      <c r="FM96" s="23"/>
      <c r="FN96" s="23">
        <f t="shared" si="452"/>
        <v>3.831024756439106E-2</v>
      </c>
      <c r="FO96" s="23">
        <f t="shared" si="421"/>
        <v>0.43874356629751798</v>
      </c>
      <c r="FP96" s="23">
        <f t="shared" si="422"/>
        <v>0.56125643370248202</v>
      </c>
      <c r="FQ96" s="23">
        <f t="shared" si="423"/>
        <v>0.11217311938145068</v>
      </c>
      <c r="FR96" s="23">
        <f t="shared" si="424"/>
        <v>0.14349585903357309</v>
      </c>
      <c r="FS96" s="23">
        <f t="shared" si="425"/>
        <v>1.365649651379063E-2</v>
      </c>
      <c r="FT96" s="393">
        <f t="shared" si="426"/>
        <v>8.7895622544658727E-3</v>
      </c>
      <c r="FU96" s="393">
        <f t="shared" si="427"/>
        <v>4.8669342593247577E-3</v>
      </c>
      <c r="FV96" s="23">
        <f t="shared" si="428"/>
        <v>1.7469877894466728E-2</v>
      </c>
      <c r="FW96" s="326">
        <f t="shared" si="305"/>
        <v>5.85</v>
      </c>
      <c r="FX96" s="384">
        <f t="shared" si="430"/>
        <v>5.2887571173905315E-2</v>
      </c>
      <c r="FY96" s="384">
        <f t="shared" si="431"/>
        <v>5.7896046316944984E-2</v>
      </c>
      <c r="FZ96" s="384">
        <f t="shared" si="432"/>
        <v>0.47117229908145597</v>
      </c>
      <c r="GA96" s="384">
        <f t="shared" si="433"/>
        <v>0.12527930035676316</v>
      </c>
      <c r="GB96" s="384">
        <f t="shared" si="434"/>
        <v>-0.19956847108419568</v>
      </c>
      <c r="GC96" s="384">
        <f t="shared" si="435"/>
        <v>-0.5441997193401612</v>
      </c>
      <c r="GD96" s="153"/>
      <c r="GE96" s="153">
        <f t="shared" si="453"/>
        <v>0.10205731272240043</v>
      </c>
      <c r="GF96" s="153">
        <f t="shared" si="485"/>
        <v>0.6097240585672743</v>
      </c>
      <c r="GG96" s="153">
        <f t="shared" si="277"/>
        <v>3.0936773057577929</v>
      </c>
      <c r="GH96" s="182">
        <v>294.90499999999997</v>
      </c>
      <c r="GI96" s="79">
        <v>8.7810000000000006</v>
      </c>
      <c r="GJ96" s="79">
        <v>31.454999999999998</v>
      </c>
      <c r="GK96" s="79">
        <v>3.1779999999999999</v>
      </c>
      <c r="GL96" s="79">
        <v>12.234999999999999</v>
      </c>
      <c r="GM96" s="79">
        <f t="shared" si="342"/>
        <v>19.12</v>
      </c>
      <c r="GN96" s="79">
        <v>4.3650000000000002</v>
      </c>
      <c r="GO96" s="79">
        <v>14.755000000000001</v>
      </c>
      <c r="GP96" s="79">
        <v>1.702</v>
      </c>
      <c r="GQ96" s="282">
        <v>4.3259999999999996</v>
      </c>
      <c r="GR96" s="79">
        <f t="shared" si="523"/>
        <v>79.094999999999999</v>
      </c>
      <c r="GS96" s="79">
        <f t="shared" si="343"/>
        <v>215.80999999999997</v>
      </c>
      <c r="GT96" s="23">
        <f t="shared" si="524"/>
        <v>0.26820501517437823</v>
      </c>
      <c r="GU96" s="362">
        <f t="shared" si="259"/>
        <v>274.86599999999999</v>
      </c>
      <c r="GV96" s="153">
        <f t="shared" si="344"/>
        <v>133.27699999999999</v>
      </c>
      <c r="GW96" s="153">
        <f t="shared" si="308"/>
        <v>141.589</v>
      </c>
      <c r="GX96" s="153">
        <f t="shared" si="309"/>
        <v>8.2530000000000001</v>
      </c>
      <c r="GY96" s="153">
        <f t="shared" si="310"/>
        <v>31.192999999999998</v>
      </c>
      <c r="GZ96" s="153">
        <f t="shared" si="226"/>
        <v>2.9169999999999998</v>
      </c>
      <c r="HA96" s="153">
        <f t="shared" si="227"/>
        <v>11.913</v>
      </c>
      <c r="HB96" s="153">
        <f t="shared" si="228"/>
        <v>20.48</v>
      </c>
      <c r="HC96" s="153">
        <f t="shared" si="229"/>
        <v>8.1080000000000005</v>
      </c>
      <c r="HD96" s="352"/>
      <c r="HE96" s="153">
        <f t="shared" si="231"/>
        <v>3.0579999999999998</v>
      </c>
      <c r="HF96" s="153">
        <f t="shared" si="311"/>
        <v>77.814000000000007</v>
      </c>
      <c r="HG96" s="23">
        <f t="shared" si="345"/>
        <v>0.28309794590818804</v>
      </c>
      <c r="HH96" s="156">
        <f t="shared" si="346"/>
        <v>379.673</v>
      </c>
      <c r="HI96" s="182">
        <f t="shared" si="312"/>
        <v>153.31599999999997</v>
      </c>
      <c r="HJ96" s="88">
        <v>2.8421709430404007E-14</v>
      </c>
      <c r="HK96" s="79">
        <f t="shared" si="313"/>
        <v>1.0690000000000008</v>
      </c>
      <c r="HL96" s="79">
        <f t="shared" si="314"/>
        <v>9.2479999999999976</v>
      </c>
      <c r="HM96" s="79">
        <f t="shared" si="315"/>
        <v>0.33800000000000008</v>
      </c>
      <c r="HN96" s="79">
        <f t="shared" si="316"/>
        <v>1.8739999999999988</v>
      </c>
      <c r="HO96" s="79">
        <f t="shared" si="317"/>
        <v>5.7650000000000006</v>
      </c>
      <c r="HP96" s="79">
        <f t="shared" si="318"/>
        <v>-1.9770000000000003</v>
      </c>
      <c r="HQ96" s="79">
        <f t="shared" si="525"/>
        <v>16.317</v>
      </c>
      <c r="HR96" s="79">
        <f t="shared" si="383"/>
        <v>136.99899999999997</v>
      </c>
      <c r="HS96" s="23">
        <f t="shared" si="321"/>
        <v>0.10642724829763367</v>
      </c>
      <c r="HT96" s="28">
        <v>133.27699999999999</v>
      </c>
      <c r="HU96" s="79">
        <v>0.54200000000000004</v>
      </c>
      <c r="HV96" s="79">
        <v>8.9870000000000001</v>
      </c>
      <c r="HW96" s="79">
        <v>7.8E-2</v>
      </c>
      <c r="HX96" s="79">
        <v>1.5529999999999999</v>
      </c>
      <c r="HY96" s="79">
        <v>7.1260000000000003</v>
      </c>
      <c r="HZ96" s="79">
        <v>2.569</v>
      </c>
      <c r="IA96" s="79"/>
      <c r="IB96" s="26">
        <v>0.1535</v>
      </c>
      <c r="IC96" s="79">
        <f t="shared" si="526"/>
        <v>18.439500000000002</v>
      </c>
      <c r="ID96" s="79">
        <f t="shared" si="347"/>
        <v>114.83749999999998</v>
      </c>
      <c r="IE96" s="23">
        <f t="shared" si="348"/>
        <v>0.13835470486280457</v>
      </c>
      <c r="IF96" s="316">
        <v>20.039000000000001</v>
      </c>
      <c r="IG96" s="153">
        <v>0.52800000000000002</v>
      </c>
      <c r="IH96" s="153">
        <v>0.26200000000000001</v>
      </c>
      <c r="II96" s="153">
        <v>0.26100000000000001</v>
      </c>
      <c r="IJ96" s="153">
        <v>0.32200000000000001</v>
      </c>
      <c r="IK96" s="153">
        <v>-1.36</v>
      </c>
      <c r="IL96" s="153">
        <v>-3.7429999999999999</v>
      </c>
      <c r="IM96" s="153"/>
      <c r="IN96" s="153">
        <v>1.268</v>
      </c>
      <c r="IO96" s="153">
        <f t="shared" si="349"/>
        <v>1.2810000000000001</v>
      </c>
      <c r="IP96" s="153">
        <f t="shared" si="522"/>
        <v>18.758000000000003</v>
      </c>
      <c r="IQ96" s="258">
        <f t="shared" si="350"/>
        <v>11.558999999999997</v>
      </c>
      <c r="IR96" s="149">
        <f t="shared" si="323"/>
        <v>2160.8440000000001</v>
      </c>
      <c r="IS96" s="153">
        <f t="shared" si="351"/>
        <v>391.23099999999999</v>
      </c>
      <c r="IT96" s="153">
        <f t="shared" si="529"/>
        <v>0</v>
      </c>
      <c r="IU96" s="153">
        <f t="shared" si="352"/>
        <v>141.589</v>
      </c>
      <c r="IV96" s="153">
        <f t="shared" si="324"/>
        <v>133.27699999999999</v>
      </c>
      <c r="IW96" s="153">
        <v>20.039000000000001</v>
      </c>
      <c r="IX96" s="153">
        <f t="shared" si="530"/>
        <v>96.325999999999993</v>
      </c>
      <c r="IY96" s="153">
        <v>35.81</v>
      </c>
      <c r="IZ96" s="153">
        <v>14.234999999999999</v>
      </c>
      <c r="JA96" s="153">
        <v>46.280999999999999</v>
      </c>
      <c r="JB96" s="23">
        <f t="shared" si="486"/>
        <v>0.20499615782333577</v>
      </c>
      <c r="JC96" s="23">
        <f t="shared" si="487"/>
        <v>7.2916069785312468E-2</v>
      </c>
      <c r="JD96" s="23">
        <f t="shared" si="488"/>
        <v>0.13208008803802332</v>
      </c>
      <c r="JE96" s="22">
        <f t="shared" si="489"/>
        <v>1.3432344486713658E-2</v>
      </c>
      <c r="JF96" s="22">
        <f t="shared" si="326"/>
        <v>1.2643797019229856E-2</v>
      </c>
      <c r="JG96" s="22">
        <f t="shared" si="327"/>
        <v>1.9010710660380045E-3</v>
      </c>
      <c r="JH96" s="5">
        <v>2160.8440000000001</v>
      </c>
      <c r="JI96" s="192">
        <v>88.262</v>
      </c>
      <c r="JJ96" s="76">
        <v>72.906999999999996</v>
      </c>
      <c r="JK96" s="76">
        <v>219.38399999999999</v>
      </c>
      <c r="JL96" s="76">
        <v>83.634</v>
      </c>
      <c r="JM96" s="76">
        <v>121.79</v>
      </c>
      <c r="JN96" s="76">
        <f t="shared" si="354"/>
        <v>209.81</v>
      </c>
      <c r="JO96" s="76">
        <v>100.85599999999999</v>
      </c>
      <c r="JP96" s="76">
        <v>108.95399999999999</v>
      </c>
      <c r="JQ96" s="76">
        <v>4.7119999999999997</v>
      </c>
      <c r="JR96" s="76">
        <v>61.076000000000001</v>
      </c>
      <c r="JS96" s="86">
        <f t="shared" si="527"/>
        <v>768.60100000000011</v>
      </c>
      <c r="JT96" s="76">
        <f t="shared" si="355"/>
        <v>1392.2429999999999</v>
      </c>
      <c r="JU96" s="23">
        <f t="shared" si="356"/>
        <v>0.35569481184203955</v>
      </c>
      <c r="JV96" s="23">
        <f t="shared" si="357"/>
        <v>3.3740057125826756E-2</v>
      </c>
      <c r="JW96" s="23">
        <f t="shared" si="358"/>
        <v>0.10152699593307059</v>
      </c>
      <c r="JX96" s="23">
        <f t="shared" si="359"/>
        <v>3.8704321089352123E-2</v>
      </c>
      <c r="JY96" s="23">
        <f t="shared" si="360"/>
        <v>5.6362236237322082E-2</v>
      </c>
      <c r="JZ96" s="23">
        <f t="shared" si="361"/>
        <v>9.7096319771348596E-2</v>
      </c>
      <c r="KA96" s="23">
        <f t="shared" si="362"/>
        <v>2.8264881685119331E-2</v>
      </c>
      <c r="KB96" s="149">
        <v>192.251</v>
      </c>
      <c r="KC96" s="316">
        <v>433.62099999999998</v>
      </c>
      <c r="KD96" s="316">
        <v>241.37100000000001</v>
      </c>
      <c r="KE96" s="589">
        <f t="shared" si="242"/>
        <v>0.55664047636069292</v>
      </c>
      <c r="KF96" s="1071">
        <v>0</v>
      </c>
      <c r="KG96" s="319">
        <f t="shared" si="243"/>
        <v>2.7454999999999994</v>
      </c>
      <c r="KH96" s="319">
        <f t="shared" si="244"/>
        <v>3.0055000000000001</v>
      </c>
      <c r="KI96" s="321">
        <f t="shared" si="245"/>
        <v>24.459500000000002</v>
      </c>
      <c r="KJ96" s="319">
        <f t="shared" si="246"/>
        <v>6.5034999999999998</v>
      </c>
      <c r="KK96" s="319">
        <f t="shared" si="285"/>
        <v>-10.360000000000001</v>
      </c>
      <c r="KL96" s="319">
        <f t="shared" si="248"/>
        <v>-28.250500000000002</v>
      </c>
      <c r="KM96" s="319"/>
      <c r="KN96" s="319"/>
      <c r="KO96" s="319"/>
      <c r="KP96" s="319">
        <f t="shared" si="454"/>
        <v>5.2979999999999992</v>
      </c>
      <c r="KQ96" s="153">
        <f t="shared" si="328"/>
        <v>31.652000000000005</v>
      </c>
      <c r="KR96" s="153">
        <f t="shared" si="329"/>
        <v>160.59899999999999</v>
      </c>
      <c r="KS96" s="23">
        <f t="shared" si="490"/>
        <v>1.5235795804912293E-2</v>
      </c>
      <c r="KT96" s="23"/>
      <c r="KU96" s="326">
        <v>1968.5940000000001</v>
      </c>
      <c r="KV96" s="430">
        <f t="shared" si="252"/>
        <v>88.262</v>
      </c>
      <c r="KW96" s="322">
        <f t="shared" si="491"/>
        <v>70.161500000000004</v>
      </c>
      <c r="KX96" s="322">
        <f t="shared" si="492"/>
        <v>216.37849999999997</v>
      </c>
      <c r="KY96" s="322">
        <f t="shared" si="493"/>
        <v>59.174499999999995</v>
      </c>
      <c r="KZ96" s="322">
        <f t="shared" si="494"/>
        <v>115.2865</v>
      </c>
      <c r="LA96" s="322">
        <f t="shared" si="495"/>
        <v>220.17000000000002</v>
      </c>
      <c r="LB96" s="322">
        <f t="shared" si="496"/>
        <v>129.10649999999998</v>
      </c>
      <c r="LC96" s="322"/>
      <c r="LD96" s="322">
        <f t="shared" si="455"/>
        <v>55.777999999999999</v>
      </c>
      <c r="LE96" s="322">
        <f t="shared" si="456"/>
        <v>736.94900000000007</v>
      </c>
      <c r="LF96" s="322">
        <f t="shared" si="497"/>
        <v>0</v>
      </c>
      <c r="LG96" s="322">
        <f t="shared" si="498"/>
        <v>1231.644</v>
      </c>
      <c r="LH96" s="367">
        <f t="shared" si="499"/>
        <v>0.37435296460316347</v>
      </c>
      <c r="LI96" s="248">
        <f t="shared" si="457"/>
        <v>3.5640411379898547E-2</v>
      </c>
      <c r="LJ96" s="248">
        <f t="shared" si="458"/>
        <v>0.10991524915752053</v>
      </c>
      <c r="LK96" s="248">
        <f t="shared" si="459"/>
        <v>3.0059270728245636E-2</v>
      </c>
      <c r="LL96" s="248">
        <f t="shared" si="460"/>
        <v>5.8562862631908866E-2</v>
      </c>
      <c r="LM96" s="248">
        <f t="shared" si="461"/>
        <v>0.11184124303944847</v>
      </c>
      <c r="LN96" s="248">
        <f t="shared" si="462"/>
        <v>6.558310144194282E-2</v>
      </c>
      <c r="LO96" s="248"/>
      <c r="LP96" s="248">
        <f t="shared" si="463"/>
        <v>2.8333927666141418E-2</v>
      </c>
      <c r="LQ96" s="248">
        <f t="shared" si="500"/>
        <v>0.18675767723818651</v>
      </c>
      <c r="LR96" s="23">
        <f t="shared" si="501"/>
        <v>0.11684429223311103</v>
      </c>
      <c r="LS96" s="23">
        <f t="shared" si="502"/>
        <v>6.9913290136515871E-2</v>
      </c>
      <c r="LT96" s="326">
        <v>576.31799999999998</v>
      </c>
      <c r="LU96" s="153">
        <f t="shared" si="363"/>
        <v>0</v>
      </c>
      <c r="LV96" s="153">
        <f t="shared" si="503"/>
        <v>192.251</v>
      </c>
      <c r="LW96" s="153">
        <f t="shared" si="504"/>
        <v>241.37100000000001</v>
      </c>
      <c r="LX96" s="153">
        <v>142.696</v>
      </c>
      <c r="LY96" s="23">
        <f>LX96/Liabilities!GT96</f>
        <v>9.437703458648207E-2</v>
      </c>
      <c r="LZ96" s="23">
        <f t="shared" si="253"/>
        <v>0.30929224927009752</v>
      </c>
      <c r="MA96" s="425">
        <v>702.73299999999995</v>
      </c>
      <c r="MB96" s="153">
        <f t="shared" si="364"/>
        <v>0</v>
      </c>
      <c r="MC96" s="153">
        <v>318.666</v>
      </c>
      <c r="MD96" s="153">
        <f t="shared" si="365"/>
        <v>142.696</v>
      </c>
      <c r="ME96" s="153">
        <f t="shared" si="366"/>
        <v>241.37100000000001</v>
      </c>
      <c r="MF96" s="153">
        <v>461.363</v>
      </c>
      <c r="MG96" s="153">
        <f t="shared" si="505"/>
        <v>433.62099999999998</v>
      </c>
      <c r="MH96" s="326">
        <f t="shared" si="506"/>
        <v>1968.5940000000001</v>
      </c>
      <c r="MI96" s="1008">
        <f>FoF_RoW!$BH66/1000</f>
        <v>2624.7759999999998</v>
      </c>
      <c r="MJ96" s="1008">
        <v>3008.8429999999998</v>
      </c>
      <c r="MK96" s="1008">
        <f>FoF_RoW!$AU66/1000</f>
        <v>312.09399999999999</v>
      </c>
      <c r="ML96" s="1008">
        <f t="shared" si="254"/>
        <v>501.91699999999992</v>
      </c>
      <c r="MM96" s="425">
        <f t="shared" si="507"/>
        <v>2432.5249999999996</v>
      </c>
      <c r="MN96" s="23">
        <f t="shared" si="508"/>
        <v>1.235666165801582</v>
      </c>
      <c r="MO96" s="153">
        <v>3746.8629999999998</v>
      </c>
      <c r="MP96" s="425">
        <v>3170.5450000000001</v>
      </c>
      <c r="MQ96" s="23">
        <f t="shared" si="367"/>
        <v>1.6105631735136854</v>
      </c>
      <c r="MR96" s="23">
        <f t="shared" si="368"/>
        <v>1.3033966762931524</v>
      </c>
      <c r="MS96" s="153">
        <f t="shared" si="509"/>
        <v>192.251</v>
      </c>
      <c r="MT96" s="153">
        <v>576.31799999999998</v>
      </c>
      <c r="MU96" s="153">
        <v>702.73299999999995</v>
      </c>
      <c r="MV96" s="153">
        <v>2398.7170000000001</v>
      </c>
      <c r="MW96" s="153">
        <v>1511.9780000000001</v>
      </c>
      <c r="MX96" s="23">
        <f t="shared" si="369"/>
        <v>1.5864761259753779</v>
      </c>
      <c r="MY96" s="425">
        <f t="shared" si="255"/>
        <v>-2477.3389999999999</v>
      </c>
      <c r="MZ96" s="23">
        <f t="shared" si="510"/>
        <v>-0.23502158259731143</v>
      </c>
      <c r="NA96" s="157">
        <v>10589.003000000001</v>
      </c>
      <c r="NB96" s="153">
        <v>12952.395</v>
      </c>
      <c r="NC96" s="425">
        <f t="shared" si="330"/>
        <v>-2328.6200000000003</v>
      </c>
      <c r="ND96" s="23">
        <f t="shared" si="331"/>
        <v>-0.22091282528057379</v>
      </c>
      <c r="NE96" s="330">
        <f t="shared" si="332"/>
        <v>794.13199999999983</v>
      </c>
      <c r="NF96" s="23">
        <f t="shared" si="333"/>
        <v>7.5338158980732178E-2</v>
      </c>
      <c r="NG96" s="330">
        <f t="shared" si="334"/>
        <v>645.41300000000024</v>
      </c>
      <c r="NH96" s="23">
        <f t="shared" si="335"/>
        <v>6.1229401663994563E-2</v>
      </c>
      <c r="NI96" s="330">
        <v>113.947</v>
      </c>
      <c r="NJ96" s="425">
        <v>140.63</v>
      </c>
      <c r="NK96" s="403">
        <f t="shared" si="393"/>
        <v>1.3341365538047037E-2</v>
      </c>
      <c r="NL96" s="153">
        <v>150.852</v>
      </c>
      <c r="NM96" s="153">
        <v>250.60599999999999</v>
      </c>
      <c r="NN96" s="153">
        <v>99.754000000000005</v>
      </c>
      <c r="NO96" s="425">
        <f t="shared" si="100"/>
        <v>63.144999999999982</v>
      </c>
      <c r="NP96" s="153">
        <v>411.351</v>
      </c>
      <c r="NQ96" s="153">
        <v>348.20600000000002</v>
      </c>
      <c r="NR96" s="403">
        <f t="shared" si="394"/>
        <v>5.9904751966150882E-3</v>
      </c>
      <c r="NS96" s="403">
        <f t="shared" si="395"/>
        <v>1.3341365538047037E-2</v>
      </c>
      <c r="NT96" s="403">
        <f t="shared" si="396"/>
        <v>-7.3508903414319484E-3</v>
      </c>
      <c r="NU96" s="727">
        <f t="shared" si="511"/>
        <v>7.01188596913149E-2</v>
      </c>
      <c r="NV96" s="688">
        <f t="shared" si="512"/>
        <v>9.1392688667125729E-2</v>
      </c>
      <c r="NW96" s="688">
        <f t="shared" si="513"/>
        <v>0.11293085318760496</v>
      </c>
      <c r="NX96" s="793">
        <f>(ER96-T.A2!B48*T.A1!M48)/MP96</f>
        <v>5.5372999601597458E-2</v>
      </c>
      <c r="NY96" s="688">
        <f>Liabilities!BU96/Liabilities!GY96</f>
        <v>3.0814806415262824E-2</v>
      </c>
      <c r="NZ96" s="688">
        <f>Liabilities!BU96/Liabilities!GT96</f>
        <v>4.8886954704367387E-2</v>
      </c>
      <c r="OA96" s="688">
        <f>Liabilities!BU96/Liabilities!GR96</f>
        <v>6.1512138736020253E-2</v>
      </c>
      <c r="OB96" s="688">
        <f t="shared" si="256"/>
        <v>3.9304053276052076E-2</v>
      </c>
      <c r="OC96" s="688">
        <f t="shared" si="257"/>
        <v>4.2505733962758342E-2</v>
      </c>
      <c r="OD96" s="688"/>
      <c r="OE96" s="793">
        <f t="shared" si="514"/>
        <v>9.8800217880597341E-2</v>
      </c>
      <c r="OF96" s="793">
        <f>OE96/(1-'Assets(MOFA)'!GU49)</f>
        <v>0.13842194309232522</v>
      </c>
      <c r="OG96" s="793">
        <f>Liabilities!HV96</f>
        <v>5.7543135149905784E-2</v>
      </c>
      <c r="OH96" s="793">
        <f t="shared" si="438"/>
        <v>4.1257082730691556E-2</v>
      </c>
      <c r="OI96" s="22">
        <f t="shared" si="336"/>
        <v>1.926336593476792E-2</v>
      </c>
      <c r="OJ96" s="22">
        <f t="shared" si="337"/>
        <v>1.0369928450393792E-2</v>
      </c>
      <c r="OK96" s="403">
        <f>Liabilities!CT96/LX96</f>
        <v>1.5508493580759097E-2</v>
      </c>
      <c r="OL96" s="403">
        <f>Liabilities!CU96/MF96</f>
        <v>3.5085171546049426E-2</v>
      </c>
      <c r="OM96" s="153"/>
      <c r="OO96" s="186">
        <f t="shared" si="515"/>
        <v>9.7952219024270218E-2</v>
      </c>
      <c r="OP96" s="308">
        <f t="shared" si="370"/>
        <v>0.23077014296691931</v>
      </c>
      <c r="OQ96" s="308">
        <f t="shared" si="371"/>
        <v>2.2604447588157831E-2</v>
      </c>
      <c r="OR96" s="313">
        <f t="shared" si="372"/>
        <v>0</v>
      </c>
      <c r="OS96" s="23">
        <f t="shared" si="373"/>
        <v>0.1752260526738639</v>
      </c>
      <c r="OT96" s="23">
        <f t="shared" si="374"/>
        <v>0.12055362127227594</v>
      </c>
      <c r="OU96" s="23">
        <f t="shared" si="375"/>
        <v>0.12010301233287542</v>
      </c>
      <c r="OV96" s="23">
        <f t="shared" si="376"/>
        <v>0.10810388909850846</v>
      </c>
      <c r="OW96" s="23">
        <f t="shared" si="377"/>
        <v>8.7502962093439565E-2</v>
      </c>
      <c r="OX96" s="23">
        <f t="shared" si="378"/>
        <v>7.1415911907020291E-2</v>
      </c>
      <c r="OY96" s="23">
        <f t="shared" si="379"/>
        <v>0.13244100163301795</v>
      </c>
      <c r="OZ96" s="23">
        <f t="shared" si="380"/>
        <v>0.11480049569534179</v>
      </c>
      <c r="PA96" s="23">
        <f t="shared" si="381"/>
        <v>8.9382909121740697E-2</v>
      </c>
      <c r="PB96" s="23">
        <f t="shared" si="382"/>
        <v>2.5417586573601089E-2</v>
      </c>
      <c r="PC96" s="23"/>
      <c r="PD96" s="23"/>
      <c r="PE96" s="23"/>
      <c r="PF96" s="23"/>
      <c r="PG96" s="69"/>
      <c r="PH96" s="23">
        <f>'Assets(MOFA)'!GU49</f>
        <v>0.28623875901887053</v>
      </c>
      <c r="PI96" s="23">
        <f>'Assets(MOFA)'!HM49</f>
        <v>0.25171610626006835</v>
      </c>
      <c r="PJ96" s="11">
        <f t="shared" si="516"/>
        <v>3.0743694905616965E-2</v>
      </c>
      <c r="PK96" s="11">
        <f>Liabilities!IP96/MW96/1000</f>
        <v>2.3465288516102745E-2</v>
      </c>
      <c r="PL96" s="11">
        <f>'Assets(MOFA)'!GO49/MM96/1000</f>
        <v>2.0169987975457604E-2</v>
      </c>
      <c r="PM96" s="11">
        <f t="shared" si="429"/>
        <v>3.2953005406451408E-3</v>
      </c>
    </row>
    <row r="97" spans="1:429" s="82" customFormat="1">
      <c r="B97" s="83">
        <v>2005</v>
      </c>
      <c r="C97" s="44">
        <v>11239.8</v>
      </c>
      <c r="D97" s="48">
        <v>1477.7</v>
      </c>
      <c r="E97" s="20">
        <f t="shared" si="397"/>
        <v>0.13147031085962385</v>
      </c>
      <c r="F97" s="72">
        <f t="shared" si="398"/>
        <v>0</v>
      </c>
      <c r="G97" s="86">
        <f t="shared" si="399"/>
        <v>1238.6000000000001</v>
      </c>
      <c r="H97" s="34">
        <f t="shared" si="400"/>
        <v>0.11019769035036213</v>
      </c>
      <c r="I97" s="85">
        <v>239.1</v>
      </c>
      <c r="J97" s="20">
        <f t="shared" si="401"/>
        <v>2.1272620509261733E-2</v>
      </c>
      <c r="K97" s="49">
        <f t="shared" si="402"/>
        <v>0.16180550856060091</v>
      </c>
      <c r="L97" s="138">
        <v>383.7</v>
      </c>
      <c r="M97" s="20">
        <f t="shared" si="403"/>
        <v>3.413761810708376E-2</v>
      </c>
      <c r="N97" s="64">
        <f t="shared" si="404"/>
        <v>0.25966028287203086</v>
      </c>
      <c r="O97" s="5">
        <f t="shared" si="405"/>
        <v>1477.7</v>
      </c>
      <c r="P97" s="75">
        <f t="shared" si="406"/>
        <v>0</v>
      </c>
      <c r="Q97" s="274">
        <v>1892</v>
      </c>
      <c r="R97" s="204">
        <v>264.89999999999998</v>
      </c>
      <c r="S97" s="54">
        <f t="shared" si="407"/>
        <v>0.17926507410164444</v>
      </c>
      <c r="T97" s="87">
        <v>27.1</v>
      </c>
      <c r="U97" s="87">
        <v>-175.6</v>
      </c>
      <c r="V97" s="209">
        <v>246.1</v>
      </c>
      <c r="W97" s="54">
        <f t="shared" si="408"/>
        <v>0.16654259998646545</v>
      </c>
      <c r="X97" s="75">
        <f t="shared" si="409"/>
        <v>-284.60000000000014</v>
      </c>
      <c r="Y97" s="187">
        <v>284.69617299999999</v>
      </c>
      <c r="Z97" s="75">
        <f t="shared" si="436"/>
        <v>-21.740367039734288</v>
      </c>
      <c r="AA97" s="75"/>
      <c r="AB97" s="75"/>
      <c r="AC97" s="75">
        <f t="shared" si="437"/>
        <v>262.95580596026571</v>
      </c>
      <c r="AD97" s="34">
        <f t="shared" si="410"/>
        <v>0.17794938482795269</v>
      </c>
      <c r="AE97" s="76">
        <f>NIPA_Scorp!C18/1000</f>
        <v>268.01299999999998</v>
      </c>
      <c r="AF97" s="86">
        <v>242.98299554536288</v>
      </c>
      <c r="AG97" s="34">
        <f t="shared" si="385"/>
        <v>0.18137172633146104</v>
      </c>
      <c r="AH97" s="98">
        <v>412.4</v>
      </c>
      <c r="AI97" s="35">
        <f t="shared" si="411"/>
        <v>3.6691044324632112E-2</v>
      </c>
      <c r="AJ97" s="35">
        <f t="shared" si="412"/>
        <v>3.4778198900336302E-2</v>
      </c>
      <c r="AK97" s="99">
        <f t="shared" si="413"/>
        <v>0</v>
      </c>
      <c r="AL97" s="83">
        <v>319.49999999999994</v>
      </c>
      <c r="AM97" s="85">
        <f>(0.25*Fedtax!C78+0.75*Fedtax!C77)/1000</f>
        <v>297.19024999999999</v>
      </c>
      <c r="AN97" s="83">
        <v>54.9</v>
      </c>
      <c r="AO97" s="280">
        <v>16.5</v>
      </c>
      <c r="AP97" s="83">
        <v>21.5</v>
      </c>
      <c r="AQ97" s="49">
        <f t="shared" si="414"/>
        <v>9.4779266534991746E-2</v>
      </c>
      <c r="AR97" s="209">
        <v>82.9</v>
      </c>
      <c r="AS97" s="716">
        <v>84.210633999999999</v>
      </c>
      <c r="AT97" s="518">
        <v>27.495850000000001</v>
      </c>
      <c r="AU97" s="520">
        <f t="shared" si="386"/>
        <v>0.32651280122175547</v>
      </c>
      <c r="AV97" s="709">
        <v>111.609398</v>
      </c>
      <c r="AW97" s="518">
        <v>32.173110000000001</v>
      </c>
      <c r="AX97" s="518">
        <f t="shared" si="387"/>
        <v>79.43628799999999</v>
      </c>
      <c r="AY97" s="520">
        <f t="shared" si="388"/>
        <v>0.28826524088948136</v>
      </c>
      <c r="AZ97" s="777">
        <v>87.376818999999998</v>
      </c>
      <c r="BA97" s="779">
        <v>25.645889</v>
      </c>
      <c r="BB97" s="767">
        <f t="shared" si="390"/>
        <v>0.29350907132474119</v>
      </c>
      <c r="BC97" s="518">
        <v>24.23931</v>
      </c>
      <c r="BD97" s="723">
        <f>'Assets(MOFA)'!FJ50/1000</f>
        <v>100.143</v>
      </c>
      <c r="BE97" s="642">
        <f>AZ97/BD97</f>
        <v>0.87252048570544116</v>
      </c>
      <c r="BF97" s="236">
        <v>0.35</v>
      </c>
      <c r="BG97" s="439"/>
      <c r="BH97" s="144">
        <f t="shared" si="464"/>
        <v>0.23470411233701094</v>
      </c>
      <c r="BI97" s="251">
        <f t="shared" si="384"/>
        <v>0.2821004123759499</v>
      </c>
      <c r="BJ97" s="34">
        <f t="shared" si="465"/>
        <v>0.20333460055395641</v>
      </c>
      <c r="BK97" s="36">
        <f t="shared" si="466"/>
        <v>0.27251057743876994</v>
      </c>
      <c r="BL97" s="36">
        <f t="shared" si="467"/>
        <v>0.23965932863790637</v>
      </c>
      <c r="BM97" s="251">
        <f t="shared" si="468"/>
        <v>0.32314728204097043</v>
      </c>
      <c r="BN97" s="34">
        <f t="shared" si="469"/>
        <v>0.20660676532769554</v>
      </c>
      <c r="BO97" s="34">
        <f t="shared" si="470"/>
        <v>0.18123232416894616</v>
      </c>
      <c r="BP97" s="152">
        <f t="shared" si="415"/>
        <v>1477.7</v>
      </c>
      <c r="BQ97" s="158">
        <f t="shared" si="416"/>
        <v>0</v>
      </c>
      <c r="BR97" s="157">
        <f t="shared" si="417"/>
        <v>412.4</v>
      </c>
      <c r="BS97" s="88">
        <v>580.5</v>
      </c>
      <c r="BT97" s="88">
        <v>484.8</v>
      </c>
      <c r="BU97" s="34">
        <f t="shared" si="517"/>
        <v>0.32807741760844555</v>
      </c>
      <c r="BV97" s="83">
        <v>506.6</v>
      </c>
      <c r="BW97" s="83">
        <f t="shared" si="418"/>
        <v>-21.800000000000011</v>
      </c>
      <c r="BX97" s="34">
        <f t="shared" si="419"/>
        <v>-1.4752656154835224E-2</v>
      </c>
      <c r="BY97" s="34">
        <f t="shared" si="289"/>
        <v>-4.7830412126954047E-2</v>
      </c>
      <c r="BZ97" s="34">
        <f t="shared" si="290"/>
        <v>-0.25327346611147344</v>
      </c>
      <c r="CA97" s="34">
        <f t="shared" si="291"/>
        <v>-0.26127493369003546</v>
      </c>
      <c r="CB97" s="34">
        <f t="shared" ref="CB97:CB108" si="531">BW97/I97</f>
        <v>-9.11752404851527E-2</v>
      </c>
      <c r="CC97" s="172">
        <f t="shared" si="420"/>
        <v>383.7</v>
      </c>
      <c r="CD97" s="85">
        <f t="shared" si="518"/>
        <v>0</v>
      </c>
      <c r="CE97" s="86">
        <v>64.628</v>
      </c>
      <c r="CF97" s="86">
        <v>279.06200000000001</v>
      </c>
      <c r="CG97" s="86">
        <f t="shared" si="519"/>
        <v>40.009999999999991</v>
      </c>
      <c r="CH97" s="34">
        <f t="shared" si="392"/>
        <v>0.72729215532968472</v>
      </c>
      <c r="CI97" s="328">
        <v>284.892</v>
      </c>
      <c r="CJ97" s="157">
        <f t="shared" si="292"/>
        <v>-1.5987211554602254E-14</v>
      </c>
      <c r="CK97" s="88">
        <f t="shared" si="520"/>
        <v>279.06200000000001</v>
      </c>
      <c r="CL97" s="163">
        <v>298.71199999999999</v>
      </c>
      <c r="CM97" s="163">
        <v>-19.649999999999999</v>
      </c>
      <c r="CN97" s="163">
        <v>20.399999999999999</v>
      </c>
      <c r="CO97" s="163">
        <f t="shared" si="338"/>
        <v>40.049999999999997</v>
      </c>
      <c r="CP97" s="88">
        <v>5.83</v>
      </c>
      <c r="CQ97" s="88">
        <v>8.98</v>
      </c>
      <c r="CR97" s="88">
        <v>3.15</v>
      </c>
      <c r="CS97" s="34">
        <f t="shared" si="293"/>
        <v>-7.0414459869133014E-2</v>
      </c>
      <c r="CT97" s="34">
        <f t="shared" si="294"/>
        <v>2.1316911416390336E-3</v>
      </c>
      <c r="CU97" s="84">
        <v>11.532</v>
      </c>
      <c r="CV97" s="35">
        <f t="shared" si="295"/>
        <v>5.1444110960825393E-3</v>
      </c>
      <c r="CW97" s="35">
        <f t="shared" si="296"/>
        <v>4.0478497114696095E-2</v>
      </c>
      <c r="CX97" s="157">
        <f t="shared" si="297"/>
        <v>273.36</v>
      </c>
      <c r="CY97" s="157">
        <f t="shared" si="298"/>
        <v>1.4830000000000041</v>
      </c>
      <c r="CZ97" s="296">
        <f t="shared" si="299"/>
        <v>284.892</v>
      </c>
      <c r="DA97" s="431">
        <v>24.936</v>
      </c>
      <c r="DB97" s="157">
        <v>19.181999999999999</v>
      </c>
      <c r="DC97" s="157">
        <v>0.92700000000000005</v>
      </c>
      <c r="DD97" s="157">
        <v>2.863</v>
      </c>
      <c r="DE97" s="157">
        <v>0.98699999999999999</v>
      </c>
      <c r="DF97" s="157">
        <f t="shared" si="528"/>
        <v>0.97700000000000176</v>
      </c>
      <c r="DG97" s="427">
        <v>109.566</v>
      </c>
      <c r="DH97" s="144">
        <f t="shared" si="521"/>
        <v>0.38458784381449812</v>
      </c>
      <c r="DI97" s="180">
        <v>271.87700000000001</v>
      </c>
      <c r="DJ97" s="88">
        <v>17.082000000000001</v>
      </c>
      <c r="DK97" s="88">
        <v>33.887999999999998</v>
      </c>
      <c r="DL97" s="88">
        <v>12.212</v>
      </c>
      <c r="DM97" s="88">
        <v>15.340999999999999</v>
      </c>
      <c r="DN97" s="88">
        <v>27.555</v>
      </c>
      <c r="DO97" s="88">
        <v>11.547000000000001</v>
      </c>
      <c r="DP97" s="88">
        <v>0.16800000000000001</v>
      </c>
      <c r="DQ97" s="88">
        <v>15.808999999999999</v>
      </c>
      <c r="DR97" s="88">
        <f t="shared" si="471"/>
        <v>121.887</v>
      </c>
      <c r="DS97" s="88">
        <f t="shared" si="472"/>
        <v>149.99</v>
      </c>
      <c r="DT97" s="88">
        <v>5.1100000000000003</v>
      </c>
      <c r="DU97" s="34">
        <f t="shared" si="473"/>
        <v>3.4068937929195277E-2</v>
      </c>
      <c r="DV97" s="34">
        <f t="shared" si="474"/>
        <v>6.2829882630748457E-2</v>
      </c>
      <c r="DW97" s="34">
        <f t="shared" si="475"/>
        <v>0.12464460031558387</v>
      </c>
      <c r="DX97" s="34">
        <f t="shared" si="476"/>
        <v>4.4917370722790083E-2</v>
      </c>
      <c r="DY97" s="34">
        <f t="shared" si="477"/>
        <v>5.6426251576999889E-2</v>
      </c>
      <c r="DZ97" s="34">
        <f t="shared" si="478"/>
        <v>0.10135097856751397</v>
      </c>
      <c r="EA97" s="34">
        <f t="shared" si="479"/>
        <v>4.247141170455758E-2</v>
      </c>
      <c r="EB97" s="34">
        <f t="shared" si="480"/>
        <v>6.1792648881663396E-4</v>
      </c>
      <c r="EC97" s="34">
        <f t="shared" si="481"/>
        <v>5.8147618224417656E-2</v>
      </c>
      <c r="ED97" s="34">
        <f t="shared" si="482"/>
        <v>0.4483167020380539</v>
      </c>
      <c r="EE97" s="157">
        <v>65.700999999999993</v>
      </c>
      <c r="EF97" s="34">
        <f t="shared" si="300"/>
        <v>0.2416570728675099</v>
      </c>
      <c r="EG97" s="180">
        <v>-31.181999999999999</v>
      </c>
      <c r="EH97" s="88">
        <v>-3.2570000000000001</v>
      </c>
      <c r="EI97" s="88">
        <v>-33.847999999999999</v>
      </c>
      <c r="EJ97" s="88">
        <v>-5.9530000000000003</v>
      </c>
      <c r="EK97" s="88">
        <v>-7.3659999999999997</v>
      </c>
      <c r="EL97" s="88">
        <v>-15.618</v>
      </c>
      <c r="EM97" s="88">
        <v>-4.6369999999999996</v>
      </c>
      <c r="EN97" s="27">
        <f t="shared" si="301"/>
        <v>-70.679000000000002</v>
      </c>
      <c r="EO97" s="34">
        <f t="shared" si="302"/>
        <v>-0.5827909879383838</v>
      </c>
      <c r="EP97" s="88">
        <f t="shared" si="303"/>
        <v>39.497</v>
      </c>
      <c r="EQ97" s="34">
        <f t="shared" si="304"/>
        <v>2.2666602527098969</v>
      </c>
      <c r="ER97" s="180">
        <f t="shared" si="268"/>
        <v>266.04700000000003</v>
      </c>
      <c r="ES97" s="546"/>
      <c r="ET97" s="136">
        <f>'Assets(MOFA)'!W50/1000</f>
        <v>324.86200000000002</v>
      </c>
      <c r="EU97" s="136">
        <f t="shared" si="339"/>
        <v>224.71900000000002</v>
      </c>
      <c r="EV97" s="589">
        <f t="shared" si="340"/>
        <v>0.84465902641262636</v>
      </c>
      <c r="EW97" s="157">
        <f t="shared" si="439"/>
        <v>17.281933067631424</v>
      </c>
      <c r="EX97" s="157">
        <f t="shared" si="440"/>
        <v>33.535510837641908</v>
      </c>
      <c r="EY97" s="157">
        <f t="shared" si="441"/>
        <v>11.852703391330794</v>
      </c>
      <c r="EZ97" s="157">
        <f t="shared" si="442"/>
        <v>15.252268809833996</v>
      </c>
      <c r="FA97" s="157">
        <f t="shared" si="443"/>
        <v>27.786738516638902</v>
      </c>
      <c r="FB97" s="157">
        <f t="shared" si="444"/>
        <v>12.063275505340519</v>
      </c>
      <c r="FC97" s="157"/>
      <c r="FD97" s="157">
        <f t="shared" si="445"/>
        <v>15.567600616440531</v>
      </c>
      <c r="FE97" s="157">
        <f t="shared" si="483"/>
        <v>121.27675523951756</v>
      </c>
      <c r="FF97" s="157">
        <f t="shared" si="484"/>
        <v>146.75436369991422</v>
      </c>
      <c r="FG97" s="34">
        <f t="shared" si="446"/>
        <v>6.4958195610668124E-2</v>
      </c>
      <c r="FH97" s="34">
        <f t="shared" si="447"/>
        <v>0.12605107683094305</v>
      </c>
      <c r="FI97" s="34">
        <f t="shared" si="448"/>
        <v>4.4551163483635567E-2</v>
      </c>
      <c r="FJ97" s="34">
        <f t="shared" si="449"/>
        <v>5.7329226827718391E-2</v>
      </c>
      <c r="FK97" s="34">
        <f t="shared" si="450"/>
        <v>0.1044429687861126</v>
      </c>
      <c r="FL97" s="34">
        <f t="shared" si="451"/>
        <v>4.5342648123604168E-2</v>
      </c>
      <c r="FM97" s="34"/>
      <c r="FN97" s="34">
        <f t="shared" si="452"/>
        <v>5.8514475323685401E-2</v>
      </c>
      <c r="FO97" s="34">
        <f t="shared" si="421"/>
        <v>0.45584710686276314</v>
      </c>
      <c r="FP97" s="34">
        <f t="shared" si="422"/>
        <v>0.5441528931372368</v>
      </c>
      <c r="FQ97" s="34">
        <f t="shared" si="423"/>
        <v>0.11836538871438196</v>
      </c>
      <c r="FR97" s="34">
        <f t="shared" si="424"/>
        <v>0.1412948941576489</v>
      </c>
      <c r="FS97" s="34">
        <f t="shared" si="425"/>
        <v>1.5561534449300009E-2</v>
      </c>
      <c r="FT97" s="35">
        <f t="shared" si="426"/>
        <v>-9.0691220355447449E-3</v>
      </c>
      <c r="FU97" s="35">
        <f t="shared" si="427"/>
        <v>2.4630656484844755E-2</v>
      </c>
      <c r="FV97" s="34">
        <f t="shared" si="428"/>
        <v>1.8576083657783751E-2</v>
      </c>
      <c r="FW97" s="328">
        <f t="shared" si="305"/>
        <v>5.83</v>
      </c>
      <c r="FX97" s="386">
        <f t="shared" si="430"/>
        <v>-0.19993306763142485</v>
      </c>
      <c r="FY97" s="386">
        <f t="shared" si="431"/>
        <v>0.3524891623580893</v>
      </c>
      <c r="FZ97" s="386">
        <f t="shared" si="432"/>
        <v>0.35929660866920576</v>
      </c>
      <c r="GA97" s="386">
        <f t="shared" si="433"/>
        <v>8.8731190166003185E-2</v>
      </c>
      <c r="GB97" s="386">
        <f t="shared" si="434"/>
        <v>-0.23173851663890116</v>
      </c>
      <c r="GC97" s="386">
        <f t="shared" si="435"/>
        <v>-0.51627550534051758</v>
      </c>
      <c r="GD97" s="157"/>
      <c r="GE97" s="157">
        <f t="shared" si="453"/>
        <v>0.24139938355946744</v>
      </c>
      <c r="GF97" s="157">
        <f t="shared" si="485"/>
        <v>0.6102447604824397</v>
      </c>
      <c r="GG97" s="157">
        <f t="shared" si="277"/>
        <v>3.2356363000857931</v>
      </c>
      <c r="GH97" s="180">
        <v>15.369</v>
      </c>
      <c r="GI97" s="88">
        <v>-15.041</v>
      </c>
      <c r="GJ97" s="88">
        <v>-19.283999999999999</v>
      </c>
      <c r="GK97" s="88">
        <v>-8.7970000000000006</v>
      </c>
      <c r="GL97" s="88">
        <v>-8.5449999999999999</v>
      </c>
      <c r="GM97" s="88">
        <f t="shared" si="342"/>
        <v>-14.145</v>
      </c>
      <c r="GN97" s="88">
        <v>-1</v>
      </c>
      <c r="GO97" s="88">
        <v>-13.145</v>
      </c>
      <c r="GP97" s="88">
        <v>0.47699999999999998</v>
      </c>
      <c r="GQ97" s="88">
        <v>3.206</v>
      </c>
      <c r="GR97" s="88">
        <f t="shared" si="523"/>
        <v>-62.605999999999995</v>
      </c>
      <c r="GS97" s="88">
        <f t="shared" si="343"/>
        <v>77.974999999999994</v>
      </c>
      <c r="GT97" s="23">
        <f t="shared" si="524"/>
        <v>-4.0735246274969095</v>
      </c>
      <c r="GU97" s="364">
        <f t="shared" si="259"/>
        <v>30.754999999999999</v>
      </c>
      <c r="GV97" s="157">
        <f t="shared" si="344"/>
        <v>61.936999999999998</v>
      </c>
      <c r="GW97" s="157">
        <f t="shared" si="308"/>
        <v>-31.181999999999999</v>
      </c>
      <c r="GX97" s="157">
        <f t="shared" si="309"/>
        <v>-2.4860000000000007</v>
      </c>
      <c r="GY97" s="157">
        <f t="shared" si="310"/>
        <v>-33.573</v>
      </c>
      <c r="GZ97" s="157">
        <f t="shared" si="226"/>
        <v>-1.9660000000000002</v>
      </c>
      <c r="HA97" s="157">
        <f t="shared" si="227"/>
        <v>-6.3949999999999996</v>
      </c>
      <c r="HB97" s="157">
        <f t="shared" si="228"/>
        <v>-13.135</v>
      </c>
      <c r="HC97" s="157">
        <f t="shared" si="229"/>
        <v>-3.92</v>
      </c>
      <c r="HD97" s="354"/>
      <c r="HE97" s="157">
        <f t="shared" si="231"/>
        <v>-3.3400000000000003</v>
      </c>
      <c r="HF97" s="157">
        <f t="shared" si="311"/>
        <v>-60.89500000000001</v>
      </c>
      <c r="HG97" s="34"/>
      <c r="HH97" s="329">
        <f t="shared" si="346"/>
        <v>84.367999999999938</v>
      </c>
      <c r="HI97" s="180">
        <f t="shared" si="312"/>
        <v>46.551000000000002</v>
      </c>
      <c r="HJ97" s="88">
        <v>0</v>
      </c>
      <c r="HK97" s="88">
        <f t="shared" si="313"/>
        <v>-11.784000000000001</v>
      </c>
      <c r="HL97" s="88">
        <f t="shared" si="314"/>
        <v>14.564</v>
      </c>
      <c r="HM97" s="88">
        <f t="shared" si="315"/>
        <v>-2.8440000000000003</v>
      </c>
      <c r="HN97" s="88">
        <f t="shared" si="316"/>
        <v>-1.1790000000000003</v>
      </c>
      <c r="HO97" s="88">
        <f t="shared" si="317"/>
        <v>1.4730000000000008</v>
      </c>
      <c r="HP97" s="88">
        <f t="shared" si="318"/>
        <v>7.843</v>
      </c>
      <c r="HQ97" s="88">
        <f t="shared" si="525"/>
        <v>8.0729999999999986</v>
      </c>
      <c r="HR97" s="88">
        <f t="shared" si="383"/>
        <v>38.478000000000002</v>
      </c>
      <c r="HS97" s="34">
        <f t="shared" si="321"/>
        <v>0.17342269768640842</v>
      </c>
      <c r="HT97" s="27">
        <v>61.936999999999998</v>
      </c>
      <c r="HU97" s="88">
        <v>0.77100000000000002</v>
      </c>
      <c r="HV97" s="88">
        <v>0.27600000000000002</v>
      </c>
      <c r="HW97" s="88">
        <v>3.9860000000000002</v>
      </c>
      <c r="HX97" s="88">
        <v>0.97</v>
      </c>
      <c r="HY97" s="88">
        <v>2.4830000000000001</v>
      </c>
      <c r="HZ97" s="88">
        <v>1.4059999999999999</v>
      </c>
      <c r="IA97" s="88"/>
      <c r="IB97" s="88">
        <v>1.298</v>
      </c>
      <c r="IC97" s="88">
        <f t="shared" si="526"/>
        <v>9.7840000000000007</v>
      </c>
      <c r="ID97" s="88">
        <f t="shared" si="347"/>
        <v>52.152999999999999</v>
      </c>
      <c r="IE97" s="34">
        <f t="shared" si="348"/>
        <v>0.1579669664336342</v>
      </c>
      <c r="IF97" s="318">
        <v>-15.385999999999999</v>
      </c>
      <c r="IG97" s="157">
        <v>-12.555</v>
      </c>
      <c r="IH97" s="157">
        <v>14.289</v>
      </c>
      <c r="II97" s="157">
        <v>-6.8310000000000004</v>
      </c>
      <c r="IJ97" s="157">
        <v>-2.15</v>
      </c>
      <c r="IK97" s="157">
        <v>-1.01</v>
      </c>
      <c r="IL97" s="157">
        <v>2.92</v>
      </c>
      <c r="IM97" s="157"/>
      <c r="IN97" s="157">
        <v>6.5460000000000003</v>
      </c>
      <c r="IO97" s="157">
        <f t="shared" si="349"/>
        <v>-1.7109999999999994</v>
      </c>
      <c r="IP97" s="157">
        <f t="shared" si="522"/>
        <v>-13.675000000000001</v>
      </c>
      <c r="IQ97" s="351">
        <f t="shared" si="350"/>
        <v>-3.5570000000000164</v>
      </c>
      <c r="IR97" s="152">
        <f t="shared" si="323"/>
        <v>2241.6559999999999</v>
      </c>
      <c r="IS97" s="157">
        <f t="shared" si="351"/>
        <v>80.811999999999898</v>
      </c>
      <c r="IT97" s="157">
        <f t="shared" si="529"/>
        <v>0</v>
      </c>
      <c r="IU97" s="157">
        <f t="shared" si="352"/>
        <v>-31.181999999999999</v>
      </c>
      <c r="IV97" s="157">
        <f t="shared" si="324"/>
        <v>61.936999999999998</v>
      </c>
      <c r="IW97" s="157">
        <v>-15.385999999999999</v>
      </c>
      <c r="IX97" s="157">
        <f t="shared" si="530"/>
        <v>65.442999999999998</v>
      </c>
      <c r="IY97" s="157">
        <v>-19.738</v>
      </c>
      <c r="IZ97" s="157">
        <v>16.113</v>
      </c>
      <c r="JA97" s="157">
        <v>69.067999999999998</v>
      </c>
      <c r="JB97" s="34">
        <f t="shared" si="486"/>
        <v>0.19943913592768556</v>
      </c>
      <c r="JC97" s="34">
        <f t="shared" si="487"/>
        <v>6.9055677147280212E-2</v>
      </c>
      <c r="JD97" s="34">
        <f t="shared" si="488"/>
        <v>0.13038345878040536</v>
      </c>
      <c r="JE97" s="35">
        <f t="shared" si="489"/>
        <v>-2.7742486521112474E-3</v>
      </c>
      <c r="JF97" s="35">
        <f t="shared" si="326"/>
        <v>5.5105073044004341E-3</v>
      </c>
      <c r="JG97" s="35">
        <f t="shared" si="327"/>
        <v>-1.3688855673588498E-3</v>
      </c>
      <c r="JH97" s="48">
        <v>2241.6559999999999</v>
      </c>
      <c r="JI97" s="1068">
        <v>97.152000000000001</v>
      </c>
      <c r="JJ97" s="274">
        <v>55.173000000000002</v>
      </c>
      <c r="JK97" s="86">
        <v>240.20500000000001</v>
      </c>
      <c r="JL97" s="86">
        <v>79.936999999999998</v>
      </c>
      <c r="JM97" s="86">
        <v>100.69199999999999</v>
      </c>
      <c r="JN97" s="86">
        <f t="shared" si="354"/>
        <v>223.77499999999998</v>
      </c>
      <c r="JO97" s="86">
        <v>113.22199999999999</v>
      </c>
      <c r="JP97" s="86">
        <v>110.553</v>
      </c>
      <c r="JQ97" s="86">
        <v>5.6070000000000002</v>
      </c>
      <c r="JR97" s="86">
        <v>76.39</v>
      </c>
      <c r="JS97" s="86">
        <f t="shared" si="527"/>
        <v>776.17200000000003</v>
      </c>
      <c r="JT97" s="86">
        <f t="shared" si="355"/>
        <v>1465.4839999999999</v>
      </c>
      <c r="JU97" s="34">
        <f t="shared" si="356"/>
        <v>0.3462493799227</v>
      </c>
      <c r="JV97" s="34">
        <f t="shared" si="357"/>
        <v>2.4612607822074396E-2</v>
      </c>
      <c r="JW97" s="34">
        <f t="shared" si="358"/>
        <v>0.10715515672342234</v>
      </c>
      <c r="JX97" s="34">
        <f t="shared" si="359"/>
        <v>3.5659797935097978E-2</v>
      </c>
      <c r="JY97" s="34">
        <f t="shared" si="360"/>
        <v>4.4918578051226413E-2</v>
      </c>
      <c r="JZ97" s="34">
        <f t="shared" si="361"/>
        <v>9.9825753817713331E-2</v>
      </c>
      <c r="KA97" s="34">
        <f t="shared" si="362"/>
        <v>3.4077485573165554E-2</v>
      </c>
      <c r="KB97" s="152">
        <v>188.69399999999999</v>
      </c>
      <c r="KC97" s="318">
        <v>440.59399999999999</v>
      </c>
      <c r="KD97" s="318">
        <v>251.9</v>
      </c>
      <c r="KE97" s="637">
        <f t="shared" si="242"/>
        <v>0.57172816697458428</v>
      </c>
      <c r="KF97" s="1074">
        <v>0</v>
      </c>
      <c r="KG97" s="319">
        <f t="shared" si="243"/>
        <v>-9.8094999999999999</v>
      </c>
      <c r="KH97" s="319">
        <f t="shared" si="244"/>
        <v>17.294499999999999</v>
      </c>
      <c r="KI97" s="321">
        <f t="shared" si="245"/>
        <v>17.628500000000003</v>
      </c>
      <c r="KJ97" s="319">
        <f t="shared" si="246"/>
        <v>4.3535000000000004</v>
      </c>
      <c r="KK97" s="319">
        <f t="shared" si="285"/>
        <v>-11.370000000000001</v>
      </c>
      <c r="KL97" s="319">
        <f t="shared" si="248"/>
        <v>-25.330500000000001</v>
      </c>
      <c r="KM97" s="319"/>
      <c r="KN97" s="319"/>
      <c r="KO97" s="319"/>
      <c r="KP97" s="319">
        <f t="shared" si="454"/>
        <v>11.843999999999999</v>
      </c>
      <c r="KQ97" s="157">
        <f t="shared" si="328"/>
        <v>29.941000000000003</v>
      </c>
      <c r="KR97" s="157">
        <f t="shared" si="329"/>
        <v>158.75299999999999</v>
      </c>
      <c r="KS97" s="34">
        <f t="shared" si="490"/>
        <v>1.4124183704336376E-2</v>
      </c>
      <c r="KT97" s="34"/>
      <c r="KU97" s="328">
        <v>2052.962</v>
      </c>
      <c r="KV97" s="431">
        <f t="shared" si="252"/>
        <v>97.152000000000001</v>
      </c>
      <c r="KW97" s="324">
        <f t="shared" si="491"/>
        <v>64.982500000000002</v>
      </c>
      <c r="KX97" s="324">
        <f t="shared" si="492"/>
        <v>222.91050000000001</v>
      </c>
      <c r="KY97" s="324">
        <f t="shared" si="493"/>
        <v>62.308499999999995</v>
      </c>
      <c r="KZ97" s="324">
        <f t="shared" si="494"/>
        <v>96.338499999999996</v>
      </c>
      <c r="LA97" s="324">
        <f t="shared" si="495"/>
        <v>235.14499999999998</v>
      </c>
      <c r="LB97" s="324">
        <f t="shared" si="496"/>
        <v>138.55250000000001</v>
      </c>
      <c r="LC97" s="324"/>
      <c r="LD97" s="324">
        <f t="shared" si="455"/>
        <v>64.546000000000006</v>
      </c>
      <c r="LE97" s="324">
        <f t="shared" si="456"/>
        <v>746.23099999999999</v>
      </c>
      <c r="LF97" s="324">
        <f t="shared" si="497"/>
        <v>0</v>
      </c>
      <c r="LG97" s="324">
        <f t="shared" si="498"/>
        <v>1306.731</v>
      </c>
      <c r="LH97" s="369">
        <f t="shared" si="499"/>
        <v>0.36348992334003261</v>
      </c>
      <c r="LI97" s="251">
        <f t="shared" si="457"/>
        <v>3.1653045696900382E-2</v>
      </c>
      <c r="LJ97" s="251">
        <f t="shared" si="458"/>
        <v>0.10857994448996135</v>
      </c>
      <c r="LK97" s="251">
        <f t="shared" si="459"/>
        <v>3.0350537418617585E-2</v>
      </c>
      <c r="LL97" s="251">
        <f t="shared" si="460"/>
        <v>4.6926587048372055E-2</v>
      </c>
      <c r="LM97" s="251">
        <f t="shared" si="461"/>
        <v>0.11453938260912769</v>
      </c>
      <c r="LN97" s="251">
        <f t="shared" si="462"/>
        <v>6.7489071887351065E-2</v>
      </c>
      <c r="LO97" s="251"/>
      <c r="LP97" s="251">
        <f t="shared" si="463"/>
        <v>3.1440426077053552E-2</v>
      </c>
      <c r="LQ97" s="251">
        <f t="shared" si="500"/>
        <v>0.18265111478851939</v>
      </c>
      <c r="LR97" s="34">
        <f t="shared" si="501"/>
        <v>0.11625927507606898</v>
      </c>
      <c r="LS97" s="34">
        <f t="shared" si="502"/>
        <v>6.6391839712450398E-2</v>
      </c>
      <c r="LT97" s="328">
        <v>597.86800000000005</v>
      </c>
      <c r="LU97" s="157">
        <f t="shared" si="363"/>
        <v>0</v>
      </c>
      <c r="LV97" s="157">
        <f t="shared" si="503"/>
        <v>188.69399999999999</v>
      </c>
      <c r="LW97" s="157">
        <f t="shared" si="504"/>
        <v>251.9</v>
      </c>
      <c r="LX97" s="157">
        <v>157.274</v>
      </c>
      <c r="LY97" s="34">
        <f>LX97/Liabilities!GT97</f>
        <v>9.4014084717525565E-2</v>
      </c>
      <c r="LZ97" s="34">
        <f t="shared" si="253"/>
        <v>0.31995654544418856</v>
      </c>
      <c r="MA97" s="427">
        <v>743.44799999999998</v>
      </c>
      <c r="MB97" s="157">
        <f t="shared" si="364"/>
        <v>0</v>
      </c>
      <c r="MC97" s="157">
        <v>334.274</v>
      </c>
      <c r="MD97" s="157">
        <f t="shared" si="365"/>
        <v>157.274</v>
      </c>
      <c r="ME97" s="157">
        <f t="shared" si="366"/>
        <v>251.9</v>
      </c>
      <c r="MF97" s="157">
        <v>491.548</v>
      </c>
      <c r="MG97" s="157">
        <f t="shared" si="505"/>
        <v>440.59399999999999</v>
      </c>
      <c r="MH97" s="328">
        <f t="shared" si="506"/>
        <v>2052.962</v>
      </c>
      <c r="MI97" s="1014">
        <f>FoF_RoW!$BH67/1000</f>
        <v>2827.3519999999999</v>
      </c>
      <c r="MJ97" s="1014">
        <v>3236.5259999999998</v>
      </c>
      <c r="MK97" s="1014">
        <f>FoF_RoW!$AU67/1000</f>
        <v>26.901</v>
      </c>
      <c r="ML97" s="1014">
        <f t="shared" si="254"/>
        <v>202.57600000000002</v>
      </c>
      <c r="MM97" s="427">
        <f t="shared" si="507"/>
        <v>2638.6579999999999</v>
      </c>
      <c r="MN97" s="34">
        <f t="shared" si="508"/>
        <v>1.2852931520408073</v>
      </c>
      <c r="MO97" s="157">
        <v>4047.17</v>
      </c>
      <c r="MP97" s="427">
        <v>3449.3020000000001</v>
      </c>
      <c r="MQ97" s="34">
        <f t="shared" si="367"/>
        <v>1.680158717014733</v>
      </c>
      <c r="MR97" s="23">
        <f t="shared" si="368"/>
        <v>1.3072182905097971</v>
      </c>
      <c r="MS97" s="157">
        <f t="shared" si="509"/>
        <v>188.69399999999999</v>
      </c>
      <c r="MT97" s="157">
        <v>597.86800000000005</v>
      </c>
      <c r="MU97" s="157">
        <v>743.44799999999998</v>
      </c>
      <c r="MV97" s="157">
        <v>2483.6959999999999</v>
      </c>
      <c r="MW97" s="157">
        <v>1672.877</v>
      </c>
      <c r="MX97" s="23">
        <f t="shared" si="369"/>
        <v>1.4846853653914782</v>
      </c>
      <c r="MY97" s="427">
        <f t="shared" si="255"/>
        <v>-1992.0399999999997</v>
      </c>
      <c r="MZ97" s="34">
        <f t="shared" si="510"/>
        <v>-0.17723091158205662</v>
      </c>
      <c r="NA97" s="153">
        <v>13357.001</v>
      </c>
      <c r="NB97" s="157">
        <v>15214.866</v>
      </c>
      <c r="NC97" s="427">
        <f t="shared" si="330"/>
        <v>-1991.8650000000002</v>
      </c>
      <c r="ND97" s="34">
        <f t="shared" si="331"/>
        <v>-0.17721534190999844</v>
      </c>
      <c r="NE97" s="416">
        <f t="shared" si="332"/>
        <v>820.20099999999991</v>
      </c>
      <c r="NF97" s="34">
        <f t="shared" si="333"/>
        <v>7.2972917667574147E-2</v>
      </c>
      <c r="NG97" s="416">
        <f t="shared" si="334"/>
        <v>820.02600000000018</v>
      </c>
      <c r="NH97" s="34">
        <f t="shared" si="335"/>
        <v>7.2957347995515953E-2</v>
      </c>
      <c r="NI97" s="416">
        <v>134.17500000000001</v>
      </c>
      <c r="NJ97" s="427">
        <v>159.47200000000001</v>
      </c>
      <c r="NK97" s="35">
        <f t="shared" si="393"/>
        <v>1.4188152814107013E-2</v>
      </c>
      <c r="NL97" s="157">
        <v>173.20500000000001</v>
      </c>
      <c r="NM97" s="157">
        <v>294.53800000000001</v>
      </c>
      <c r="NN97" s="157">
        <v>121.333</v>
      </c>
      <c r="NO97" s="427">
        <f t="shared" si="100"/>
        <v>65.009999999999991</v>
      </c>
      <c r="NP97" s="157">
        <v>529.41899999999998</v>
      </c>
      <c r="NQ97" s="157">
        <v>464.40899999999999</v>
      </c>
      <c r="NR97" s="35">
        <f t="shared" si="394"/>
        <v>5.7839107457428067E-3</v>
      </c>
      <c r="NS97" s="35">
        <f t="shared" si="395"/>
        <v>1.4188152814107013E-2</v>
      </c>
      <c r="NT97" s="35">
        <f t="shared" si="396"/>
        <v>-8.4042420683642059E-3</v>
      </c>
      <c r="NU97" s="739">
        <f t="shared" si="511"/>
        <v>7.7130677453003546E-2</v>
      </c>
      <c r="NV97" s="20">
        <f t="shared" si="512"/>
        <v>0.10082663232597784</v>
      </c>
      <c r="NW97" s="20">
        <f t="shared" si="513"/>
        <v>0.12959178007191563</v>
      </c>
      <c r="NX97" s="20">
        <f>(ER97-T.A2!B49*T.A1!M49)/MP97</f>
        <v>5.9434455328242382E-2</v>
      </c>
      <c r="NY97" s="20">
        <f>Liabilities!BU97/Liabilities!GY97</f>
        <v>3.8269578885660724E-2</v>
      </c>
      <c r="NZ97" s="20">
        <f>Liabilities!BU97/Liabilities!GT97</f>
        <v>5.6818283711235193E-2</v>
      </c>
      <c r="OA97" s="20">
        <f>Liabilities!BU97/Liabilities!GR97</f>
        <v>7.3123990746603251E-2</v>
      </c>
      <c r="OB97" s="20">
        <f t="shared" si="256"/>
        <v>3.8861098567342822E-2</v>
      </c>
      <c r="OC97" s="20">
        <f t="shared" si="257"/>
        <v>4.4008348614742648E-2</v>
      </c>
      <c r="OD97" s="20"/>
      <c r="OE97" s="20">
        <f t="shared" si="514"/>
        <v>0.10575906388777932</v>
      </c>
      <c r="OF97" s="20">
        <f>OE97/(1-'Assets(MOFA)'!GU50)</f>
        <v>0.15288916830669311</v>
      </c>
      <c r="OG97" s="20">
        <f>Liabilities!HV97</f>
        <v>6.3131721537321592E-2</v>
      </c>
      <c r="OH97" s="20">
        <f t="shared" si="438"/>
        <v>4.2627342350457731E-2</v>
      </c>
      <c r="OI97" s="35">
        <f t="shared" si="336"/>
        <v>2.03815757817855E-2</v>
      </c>
      <c r="OJ97" s="35">
        <f t="shared" si="337"/>
        <v>1.2504962286621674E-2</v>
      </c>
      <c r="OK97" s="35">
        <f>Liabilities!CT97/LX97</f>
        <v>2.1465722242710174E-2</v>
      </c>
      <c r="OL97" s="35">
        <f>Liabilities!CU97/MF97</f>
        <v>3.7941360762326362E-2</v>
      </c>
      <c r="OM97" s="157"/>
      <c r="OO97" s="413">
        <f t="shared" si="515"/>
        <v>0.10501546766288436</v>
      </c>
      <c r="OP97" s="309">
        <f t="shared" si="370"/>
        <v>0.23476022705030339</v>
      </c>
      <c r="OQ97" s="309">
        <f t="shared" si="371"/>
        <v>2.4653455032332527E-2</v>
      </c>
      <c r="OR97" s="315">
        <f t="shared" si="372"/>
        <v>0</v>
      </c>
      <c r="OS97" s="34">
        <f t="shared" si="373"/>
        <v>0.21551212973036085</v>
      </c>
      <c r="OT97" s="34">
        <f t="shared" si="374"/>
        <v>0.12191305535282801</v>
      </c>
      <c r="OU97" s="34">
        <f t="shared" si="375"/>
        <v>0.15415085418848926</v>
      </c>
      <c r="OV97" s="34">
        <f t="shared" si="376"/>
        <v>0.1282951935085013</v>
      </c>
      <c r="OW97" s="34">
        <f t="shared" si="377"/>
        <v>9.5758567588957788E-2</v>
      </c>
      <c r="OX97" s="34">
        <f t="shared" si="378"/>
        <v>7.0554821167519141E-2</v>
      </c>
      <c r="OY97" s="34">
        <f t="shared" si="379"/>
        <v>0.19544661946073105</v>
      </c>
      <c r="OZ97" s="34">
        <f t="shared" si="380"/>
        <v>0.13169827837341228</v>
      </c>
      <c r="PA97" s="34">
        <f t="shared" si="381"/>
        <v>9.1008225186937894E-2</v>
      </c>
      <c r="PB97" s="34">
        <f t="shared" si="382"/>
        <v>4.0690053186474381E-2</v>
      </c>
      <c r="PC97" s="68" t="s">
        <v>1346</v>
      </c>
      <c r="PD97" s="34"/>
      <c r="PE97" s="34"/>
      <c r="PF97" s="34"/>
      <c r="PG97" s="490"/>
      <c r="PH97" s="23">
        <f>'Assets(MOFA)'!GU50</f>
        <v>0.3082632009899588</v>
      </c>
      <c r="PI97" s="34">
        <f>'Assets(MOFA)'!HM50</f>
        <v>0.27591512826878928</v>
      </c>
      <c r="PJ97" s="804">
        <f t="shared" si="516"/>
        <v>3.8420348604464707E-2</v>
      </c>
      <c r="PK97" s="804">
        <f>Liabilities!IP97/MW97/1000</f>
        <v>2.5649823627200329E-2</v>
      </c>
      <c r="PL97" s="804">
        <f>'Assets(MOFA)'!GO50/MM97/1000</f>
        <v>2.5006555232027945E-2</v>
      </c>
      <c r="PM97" s="804">
        <f t="shared" si="429"/>
        <v>6.4326839517238332E-4</v>
      </c>
    </row>
    <row r="98" spans="1:429">
      <c r="B98" s="71">
        <v>2006</v>
      </c>
      <c r="C98" s="43">
        <v>12004.8</v>
      </c>
      <c r="D98" s="5">
        <v>1646.5</v>
      </c>
      <c r="E98" s="19">
        <f t="shared" si="397"/>
        <v>0.13715347194455552</v>
      </c>
      <c r="F98" s="72">
        <f t="shared" si="398"/>
        <v>0</v>
      </c>
      <c r="G98" s="76">
        <f t="shared" si="399"/>
        <v>1390.3</v>
      </c>
      <c r="H98" s="23">
        <f t="shared" si="400"/>
        <v>0.11581200852992136</v>
      </c>
      <c r="I98" s="72">
        <v>256.2</v>
      </c>
      <c r="J98" s="19">
        <f t="shared" si="401"/>
        <v>2.1341463414634148E-2</v>
      </c>
      <c r="K98" s="6">
        <f t="shared" si="402"/>
        <v>0.155602793805041</v>
      </c>
      <c r="L98" s="136">
        <v>433.8</v>
      </c>
      <c r="M98" s="19">
        <f t="shared" si="403"/>
        <v>3.6135545781687331E-2</v>
      </c>
      <c r="N98" s="63">
        <f t="shared" si="404"/>
        <v>0.26346796234436687</v>
      </c>
      <c r="O98" s="5">
        <f t="shared" si="405"/>
        <v>1646.5</v>
      </c>
      <c r="P98" s="75">
        <f t="shared" si="406"/>
        <v>0</v>
      </c>
      <c r="Q98" s="271">
        <v>1900.3</v>
      </c>
      <c r="R98" s="202">
        <v>300</v>
      </c>
      <c r="S98" s="53">
        <f t="shared" si="407"/>
        <v>0.18220467658669906</v>
      </c>
      <c r="T98" s="74">
        <v>34.4</v>
      </c>
      <c r="U98" s="74">
        <v>-204.89999999999998</v>
      </c>
      <c r="V98" s="207">
        <v>281.5</v>
      </c>
      <c r="W98" s="53">
        <f t="shared" si="408"/>
        <v>0.17096872153051929</v>
      </c>
      <c r="X98" s="75">
        <f t="shared" si="409"/>
        <v>-101.80000000000018</v>
      </c>
      <c r="Y98" s="187">
        <v>297.862818</v>
      </c>
      <c r="Z98" s="75">
        <f t="shared" si="436"/>
        <v>-22.745816786267703</v>
      </c>
      <c r="AA98" s="75"/>
      <c r="AB98" s="75"/>
      <c r="AC98" s="75">
        <f t="shared" si="437"/>
        <v>275.11700121373229</v>
      </c>
      <c r="AD98" s="23">
        <f t="shared" si="410"/>
        <v>0.16709201409883528</v>
      </c>
      <c r="AE98" s="76">
        <f>NIPA_Scorp!C19/1000</f>
        <v>315.673</v>
      </c>
      <c r="AF98" s="76">
        <v>270.4936666286975</v>
      </c>
      <c r="AG98" s="23">
        <f t="shared" si="385"/>
        <v>0.19172365624051019</v>
      </c>
      <c r="AH98" s="97">
        <v>473.4</v>
      </c>
      <c r="AI98" s="22">
        <f t="shared" si="411"/>
        <v>3.9434226309476211E-2</v>
      </c>
      <c r="AJ98" s="22">
        <f t="shared" si="412"/>
        <v>3.7010195921631343E-2</v>
      </c>
      <c r="AK98" s="99">
        <f t="shared" si="413"/>
        <v>0</v>
      </c>
      <c r="AL98" s="71">
        <v>366</v>
      </c>
      <c r="AM98" s="72">
        <f>(0.25*Fedtax!C79+0.75*Fedtax!C78)/1000</f>
        <v>357.99700000000001</v>
      </c>
      <c r="AN98" s="71">
        <v>59.2</v>
      </c>
      <c r="AO98" s="255">
        <v>19.100000000000001</v>
      </c>
      <c r="AP98" s="71">
        <v>29.1</v>
      </c>
      <c r="AQ98" s="6">
        <f t="shared" si="414"/>
        <v>9.7719245635079305E-2</v>
      </c>
      <c r="AR98" s="210">
        <v>78.8</v>
      </c>
      <c r="AS98" s="714">
        <v>78.225098000000003</v>
      </c>
      <c r="AT98" s="210">
        <v>30.762675999999999</v>
      </c>
      <c r="AU98" s="205">
        <f t="shared" si="386"/>
        <v>0.39325838875906549</v>
      </c>
      <c r="AV98" s="709">
        <v>85.971727999999999</v>
      </c>
      <c r="AW98" s="518">
        <v>38.400655999999998</v>
      </c>
      <c r="AX98" s="518">
        <f t="shared" si="387"/>
        <v>47.571072000000001</v>
      </c>
      <c r="AY98" s="520">
        <f t="shared" si="388"/>
        <v>0.4466660946956888</v>
      </c>
      <c r="AZ98" s="777">
        <v>76.902580999999998</v>
      </c>
      <c r="BA98" s="779">
        <v>30.132925</v>
      </c>
      <c r="BB98" s="767">
        <f t="shared" si="390"/>
        <v>0.39183242757483006</v>
      </c>
      <c r="BC98" s="210">
        <v>31.081543</v>
      </c>
      <c r="BD98" s="722">
        <f>'Assets(MOFA)'!FJ51/1000</f>
        <v>114.027</v>
      </c>
      <c r="BE98" s="753">
        <f t="shared" ref="BE98:BE106" si="532">AV98/BD98</f>
        <v>0.75395939558174818</v>
      </c>
      <c r="BF98" s="234">
        <v>0.35</v>
      </c>
      <c r="BG98" s="437"/>
      <c r="BH98" s="140">
        <f t="shared" si="464"/>
        <v>0.23758171760630276</v>
      </c>
      <c r="BI98" s="248">
        <f t="shared" si="384"/>
        <v>0.2884614732294592</v>
      </c>
      <c r="BJ98" s="23">
        <f t="shared" si="465"/>
        <v>0.20529161838547699</v>
      </c>
      <c r="BK98" s="30">
        <f t="shared" si="466"/>
        <v>0.26973508161626975</v>
      </c>
      <c r="BL98" s="30">
        <f t="shared" si="467"/>
        <v>0.24009352444833984</v>
      </c>
      <c r="BM98" s="248">
        <f t="shared" si="468"/>
        <v>0.31630813205859065</v>
      </c>
      <c r="BN98" s="23">
        <f t="shared" si="469"/>
        <v>0.23380518865442296</v>
      </c>
      <c r="BO98" s="23">
        <f t="shared" si="470"/>
        <v>0.20192700995318816</v>
      </c>
      <c r="BP98" s="149">
        <f t="shared" si="415"/>
        <v>1646.5</v>
      </c>
      <c r="BQ98" s="99">
        <f t="shared" si="416"/>
        <v>0</v>
      </c>
      <c r="BR98" s="153">
        <f t="shared" si="417"/>
        <v>473.4</v>
      </c>
      <c r="BS98" s="79">
        <v>726</v>
      </c>
      <c r="BT98" s="79">
        <v>447.1</v>
      </c>
      <c r="BU98" s="23">
        <f t="shared" si="517"/>
        <v>0.2715457030063772</v>
      </c>
      <c r="BV98" s="71">
        <v>268.89999999999998</v>
      </c>
      <c r="BW98" s="71">
        <f t="shared" si="418"/>
        <v>178.20000000000005</v>
      </c>
      <c r="BX98" s="23">
        <f t="shared" si="419"/>
        <v>0.10822957789249926</v>
      </c>
      <c r="BY98" s="23">
        <f t="shared" si="289"/>
        <v>5.5517157607045245E-2</v>
      </c>
      <c r="BZ98" s="23">
        <f t="shared" si="290"/>
        <v>0.29797436499243729</v>
      </c>
      <c r="CA98" s="23">
        <f t="shared" si="291"/>
        <v>0.30199585836311893</v>
      </c>
      <c r="CB98" s="23">
        <f t="shared" si="531"/>
        <v>0.69555035128805642</v>
      </c>
      <c r="CC98" s="169">
        <f t="shared" si="420"/>
        <v>433.8</v>
      </c>
      <c r="CD98" s="72">
        <f t="shared" si="518"/>
        <v>0</v>
      </c>
      <c r="CE98" s="76">
        <v>84.33</v>
      </c>
      <c r="CF98" s="76">
        <v>306.76799999999997</v>
      </c>
      <c r="CG98" s="76">
        <f t="shared" si="519"/>
        <v>42.702000000000055</v>
      </c>
      <c r="CH98" s="23">
        <f t="shared" si="392"/>
        <v>0.70716459197786985</v>
      </c>
      <c r="CI98" s="326">
        <v>312.55599999999998</v>
      </c>
      <c r="CJ98" s="153">
        <f t="shared" si="292"/>
        <v>1.0658141036401503E-14</v>
      </c>
      <c r="CK98" s="79">
        <f t="shared" si="520"/>
        <v>306.76799999999997</v>
      </c>
      <c r="CL98" s="159">
        <v>101.68600000000001</v>
      </c>
      <c r="CM98" s="159">
        <v>205.08199999999999</v>
      </c>
      <c r="CN98" s="159">
        <v>247.8</v>
      </c>
      <c r="CO98" s="159">
        <f t="shared" si="338"/>
        <v>42.718000000000018</v>
      </c>
      <c r="CP98" s="79">
        <v>5.7880000000000003</v>
      </c>
      <c r="CQ98" s="79">
        <v>9.6020000000000003</v>
      </c>
      <c r="CR98" s="79">
        <v>3.8140000000000001</v>
      </c>
      <c r="CS98" s="23">
        <f t="shared" si="293"/>
        <v>0.66852474834402553</v>
      </c>
      <c r="CT98" s="23">
        <f t="shared" si="294"/>
        <v>2.3164287883389008E-3</v>
      </c>
      <c r="CU98" s="73">
        <v>8.4429999999999996</v>
      </c>
      <c r="CV98" s="378">
        <f t="shared" si="295"/>
        <v>3.4081899899405309E-3</v>
      </c>
      <c r="CW98" s="378">
        <f t="shared" si="296"/>
        <v>2.7012759313531014E-2</v>
      </c>
      <c r="CX98" s="153">
        <f t="shared" si="297"/>
        <v>304.113</v>
      </c>
      <c r="CY98" s="157">
        <f t="shared" si="298"/>
        <v>-9.9999999997635314E-4</v>
      </c>
      <c r="CZ98" s="296">
        <f t="shared" si="299"/>
        <v>312.55599999999998</v>
      </c>
      <c r="DA98" s="431">
        <v>29.442</v>
      </c>
      <c r="DB98" s="157">
        <v>21.805</v>
      </c>
      <c r="DC98" s="157">
        <v>1.8120000000000001</v>
      </c>
      <c r="DD98" s="157">
        <v>4.0949999999999998</v>
      </c>
      <c r="DE98" s="157">
        <v>1.032</v>
      </c>
      <c r="DF98" s="157">
        <f t="shared" si="528"/>
        <v>0.6980000000000004</v>
      </c>
      <c r="DG98" s="427">
        <v>120.884</v>
      </c>
      <c r="DH98" s="144">
        <f t="shared" si="521"/>
        <v>0.38675949269890836</v>
      </c>
      <c r="DI98" s="182">
        <v>304.11399999999998</v>
      </c>
      <c r="DJ98" s="79">
        <v>17.864999999999998</v>
      </c>
      <c r="DK98" s="79">
        <v>35.643999999999998</v>
      </c>
      <c r="DL98" s="79">
        <v>17.338000000000001</v>
      </c>
      <c r="DM98" s="79">
        <v>14.231</v>
      </c>
      <c r="DN98" s="79">
        <v>28.606999999999999</v>
      </c>
      <c r="DO98" s="79">
        <v>15.586</v>
      </c>
      <c r="DP98" s="79">
        <v>0.16800000000000001</v>
      </c>
      <c r="DQ98" s="79">
        <v>15.563000000000001</v>
      </c>
      <c r="DR98" s="79">
        <f t="shared" si="471"/>
        <v>129.24799999999999</v>
      </c>
      <c r="DS98" s="79">
        <f t="shared" si="472"/>
        <v>174.86599999999999</v>
      </c>
      <c r="DT98" s="79">
        <v>6.0430000000000001</v>
      </c>
      <c r="DU98" s="23">
        <f t="shared" si="473"/>
        <v>3.4557890041517506E-2</v>
      </c>
      <c r="DV98" s="23">
        <f t="shared" si="474"/>
        <v>5.8744418211591702E-2</v>
      </c>
      <c r="DW98" s="23">
        <f t="shared" si="475"/>
        <v>0.11720604773210047</v>
      </c>
      <c r="DX98" s="23">
        <f t="shared" si="476"/>
        <v>5.7011515418560151E-2</v>
      </c>
      <c r="DY98" s="23">
        <f t="shared" si="477"/>
        <v>4.6794951893040115E-2</v>
      </c>
      <c r="DZ98" s="23">
        <f t="shared" si="478"/>
        <v>9.406669867220846E-2</v>
      </c>
      <c r="EA98" s="23">
        <f t="shared" si="479"/>
        <v>5.125051789789356E-2</v>
      </c>
      <c r="EB98" s="23">
        <f t="shared" si="480"/>
        <v>5.5242441978994731E-4</v>
      </c>
      <c r="EC98" s="23">
        <f t="shared" si="481"/>
        <v>5.1174888364231841E-2</v>
      </c>
      <c r="ED98" s="23">
        <f t="shared" si="482"/>
        <v>0.42499852029173274</v>
      </c>
      <c r="EE98" s="153">
        <v>71.822999999999993</v>
      </c>
      <c r="EF98" s="23">
        <f t="shared" si="300"/>
        <v>0.23617130418198437</v>
      </c>
      <c r="EG98" s="182">
        <v>196.64</v>
      </c>
      <c r="EH98" s="79">
        <v>6.5010000000000003</v>
      </c>
      <c r="EI98" s="79">
        <v>29.055</v>
      </c>
      <c r="EJ98" s="79">
        <v>15.385</v>
      </c>
      <c r="EK98" s="79">
        <v>9.6379999999999999</v>
      </c>
      <c r="EL98" s="79">
        <v>19.059999999999999</v>
      </c>
      <c r="EM98" s="79">
        <v>11.77</v>
      </c>
      <c r="EN98" s="28">
        <f t="shared" si="301"/>
        <v>91.408999999999992</v>
      </c>
      <c r="EO98" s="23">
        <f t="shared" si="302"/>
        <v>0.71058096427210904</v>
      </c>
      <c r="EP98" s="79">
        <f t="shared" si="303"/>
        <v>105.23099999999999</v>
      </c>
      <c r="EQ98" s="23">
        <f t="shared" si="304"/>
        <v>0.46485455655004065</v>
      </c>
      <c r="ER98" s="182">
        <f t="shared" si="268"/>
        <v>298.32599999999996</v>
      </c>
      <c r="ES98" s="185"/>
      <c r="ET98" s="136">
        <f>'Assets(MOFA)'!W51/1000</f>
        <v>365.20100000000002</v>
      </c>
      <c r="EU98" s="136">
        <f t="shared" si="339"/>
        <v>251.17400000000004</v>
      </c>
      <c r="EV98" s="589">
        <f t="shared" si="340"/>
        <v>0.84194471819419048</v>
      </c>
      <c r="EW98" s="153">
        <f t="shared" si="439"/>
        <v>17.795106532682848</v>
      </c>
      <c r="EX98" s="153">
        <f t="shared" si="440"/>
        <v>35.367712917430637</v>
      </c>
      <c r="EY98" s="153">
        <f t="shared" si="441"/>
        <v>17.0018664416326</v>
      </c>
      <c r="EZ98" s="153">
        <f t="shared" si="442"/>
        <v>14.143853494614948</v>
      </c>
      <c r="FA98" s="153">
        <f t="shared" si="443"/>
        <v>28.777622592815753</v>
      </c>
      <c r="FB98" s="153">
        <f t="shared" si="444"/>
        <v>15.974597724607541</v>
      </c>
      <c r="FC98" s="153"/>
      <c r="FD98" s="153">
        <f t="shared" si="445"/>
        <v>15.55364769210502</v>
      </c>
      <c r="FE98" s="153">
        <f t="shared" si="483"/>
        <v>128.6398096712818</v>
      </c>
      <c r="FF98" s="153">
        <f t="shared" si="484"/>
        <v>171.82363825233617</v>
      </c>
      <c r="FG98" s="23">
        <f t="shared" si="446"/>
        <v>5.9649868039268618E-2</v>
      </c>
      <c r="FH98" s="23">
        <f t="shared" si="447"/>
        <v>0.11855390719357563</v>
      </c>
      <c r="FI98" s="23">
        <f t="shared" si="448"/>
        <v>5.6990897345965831E-2</v>
      </c>
      <c r="FJ98" s="23">
        <f t="shared" si="449"/>
        <v>4.7410730189842487E-2</v>
      </c>
      <c r="FK98" s="23">
        <f t="shared" si="450"/>
        <v>9.6463675954545552E-2</v>
      </c>
      <c r="FL98" s="23">
        <f t="shared" si="451"/>
        <v>5.3547453874645663E-2</v>
      </c>
      <c r="FM98" s="23"/>
      <c r="FN98" s="23">
        <f t="shared" si="452"/>
        <v>5.2136413494315019E-2</v>
      </c>
      <c r="FO98" s="23">
        <f t="shared" si="421"/>
        <v>0.43120549221751314</v>
      </c>
      <c r="FP98" s="23">
        <f t="shared" si="422"/>
        <v>0.56879450778248686</v>
      </c>
      <c r="FQ98" s="23">
        <f t="shared" si="423"/>
        <v>0.11360883238624793</v>
      </c>
      <c r="FR98" s="23">
        <f t="shared" si="424"/>
        <v>0.14985912995811893</v>
      </c>
      <c r="FS98" s="23">
        <f t="shared" si="425"/>
        <v>1.5581845805340966E-2</v>
      </c>
      <c r="FT98" s="393">
        <f t="shared" si="426"/>
        <v>1.10721630174985E-2</v>
      </c>
      <c r="FU98" s="393">
        <f t="shared" si="427"/>
        <v>4.5096827878424658E-3</v>
      </c>
      <c r="FV98" s="23">
        <f t="shared" si="428"/>
        <v>2.0553699976346363E-2</v>
      </c>
      <c r="FW98" s="326">
        <f t="shared" si="305"/>
        <v>5.7880000000000003</v>
      </c>
      <c r="FX98" s="384">
        <f t="shared" si="430"/>
        <v>6.9893467317149016E-2</v>
      </c>
      <c r="FY98" s="384">
        <f t="shared" si="431"/>
        <v>0.27628708256936207</v>
      </c>
      <c r="FZ98" s="384">
        <f t="shared" si="432"/>
        <v>0.33613355836740161</v>
      </c>
      <c r="GA98" s="384">
        <f t="shared" si="433"/>
        <v>8.7146505385052309E-2</v>
      </c>
      <c r="GB98" s="384">
        <f t="shared" si="434"/>
        <v>-0.17062259281575501</v>
      </c>
      <c r="GC98" s="384">
        <f t="shared" si="435"/>
        <v>-0.38859772460754011</v>
      </c>
      <c r="GD98" s="153"/>
      <c r="GE98" s="153">
        <f t="shared" si="453"/>
        <v>9.3523078949811957E-3</v>
      </c>
      <c r="GF98" s="153">
        <f t="shared" si="485"/>
        <v>0.60819032871819123</v>
      </c>
      <c r="GG98" s="153">
        <f t="shared" si="277"/>
        <v>3.0423617476638136</v>
      </c>
      <c r="GH98" s="182">
        <v>224.22</v>
      </c>
      <c r="GI98" s="79">
        <v>20.148</v>
      </c>
      <c r="GJ98" s="79">
        <v>41.118000000000002</v>
      </c>
      <c r="GK98" s="79">
        <v>17.359000000000002</v>
      </c>
      <c r="GL98" s="79">
        <v>11.019</v>
      </c>
      <c r="GM98" s="79">
        <f t="shared" si="342"/>
        <v>18.099</v>
      </c>
      <c r="GN98" s="79">
        <v>19.943999999999999</v>
      </c>
      <c r="GO98" s="79">
        <v>-1.845</v>
      </c>
      <c r="GP98" s="79">
        <v>3.488</v>
      </c>
      <c r="GQ98" s="79">
        <v>8.0350000000000001</v>
      </c>
      <c r="GR98" s="79">
        <f t="shared" si="523"/>
        <v>115.77799999999999</v>
      </c>
      <c r="GS98" s="79">
        <f t="shared" si="343"/>
        <v>108.44200000000001</v>
      </c>
      <c r="GT98" s="23">
        <f t="shared" si="524"/>
        <v>0.51635893319061632</v>
      </c>
      <c r="GU98" s="362">
        <f t="shared" si="259"/>
        <v>245.61</v>
      </c>
      <c r="GV98" s="153">
        <f t="shared" si="344"/>
        <v>48.97</v>
      </c>
      <c r="GW98" s="153">
        <f t="shared" si="308"/>
        <v>196.64</v>
      </c>
      <c r="GX98" s="153">
        <f t="shared" si="309"/>
        <v>6.968</v>
      </c>
      <c r="GY98" s="153">
        <f t="shared" si="310"/>
        <v>45.088999999999999</v>
      </c>
      <c r="GZ98" s="153">
        <f t="shared" si="226"/>
        <v>18.778000000000002</v>
      </c>
      <c r="HA98" s="153">
        <f t="shared" si="227"/>
        <v>11.17</v>
      </c>
      <c r="HB98" s="153">
        <f t="shared" si="228"/>
        <v>14.957000000000001</v>
      </c>
      <c r="HC98" s="153">
        <f t="shared" si="229"/>
        <v>13.352999999999998</v>
      </c>
      <c r="HD98" s="352"/>
      <c r="HE98" s="153">
        <f t="shared" si="231"/>
        <v>19.428000000000001</v>
      </c>
      <c r="HF98" s="153">
        <f t="shared" si="311"/>
        <v>116.39000000000001</v>
      </c>
      <c r="HG98" s="23">
        <f t="shared" si="345"/>
        <v>0.47388135662228742</v>
      </c>
      <c r="HH98" s="156">
        <f t="shared" si="346"/>
        <v>248.26400000000012</v>
      </c>
      <c r="HI98" s="182">
        <f t="shared" si="312"/>
        <v>27.580000000000013</v>
      </c>
      <c r="HJ98" s="88">
        <v>-1.4210854715202004E-14</v>
      </c>
      <c r="HK98" s="79">
        <f t="shared" si="313"/>
        <v>13.646999999999998</v>
      </c>
      <c r="HL98" s="79">
        <f t="shared" si="314"/>
        <v>12.063000000000002</v>
      </c>
      <c r="HM98" s="79">
        <f t="shared" si="315"/>
        <v>1.974000000000002</v>
      </c>
      <c r="HN98" s="79">
        <f t="shared" si="316"/>
        <v>1.3810000000000002</v>
      </c>
      <c r="HO98" s="79">
        <f t="shared" si="317"/>
        <v>-0.96099999999999852</v>
      </c>
      <c r="HP98" s="79">
        <f t="shared" si="318"/>
        <v>-3.7349999999999994</v>
      </c>
      <c r="HQ98" s="79">
        <f t="shared" si="525"/>
        <v>24.369000000000007</v>
      </c>
      <c r="HR98" s="79">
        <f t="shared" si="383"/>
        <v>3.2110000000000056</v>
      </c>
      <c r="HS98" s="23">
        <f t="shared" si="321"/>
        <v>0.88357505438723694</v>
      </c>
      <c r="HT98" s="28">
        <v>48.97</v>
      </c>
      <c r="HU98" s="79">
        <v>0.46800000000000003</v>
      </c>
      <c r="HV98" s="79">
        <v>16.033999999999999</v>
      </c>
      <c r="HW98" s="79">
        <v>3.3929999999999998</v>
      </c>
      <c r="HX98" s="79">
        <v>1.532</v>
      </c>
      <c r="HY98" s="79">
        <v>-4.1040000000000001</v>
      </c>
      <c r="HZ98" s="79">
        <v>1.113</v>
      </c>
      <c r="IA98" s="79"/>
      <c r="IB98" s="26">
        <v>2.9375</v>
      </c>
      <c r="IC98" s="79">
        <f t="shared" si="526"/>
        <v>20.260499999999997</v>
      </c>
      <c r="ID98" s="79">
        <f t="shared" si="347"/>
        <v>28.709500000000002</v>
      </c>
      <c r="IE98" s="23">
        <f t="shared" si="348"/>
        <v>0.41373289769246474</v>
      </c>
      <c r="IF98" s="316">
        <v>-21.39</v>
      </c>
      <c r="IG98" s="153">
        <v>13.18</v>
      </c>
      <c r="IH98" s="153">
        <v>-3.9710000000000001</v>
      </c>
      <c r="II98" s="153">
        <v>-1.419</v>
      </c>
      <c r="IJ98" s="153">
        <v>-0.151</v>
      </c>
      <c r="IK98" s="153">
        <v>3.1419999999999999</v>
      </c>
      <c r="IL98" s="153">
        <v>6.5910000000000002</v>
      </c>
      <c r="IM98" s="153"/>
      <c r="IN98" s="153">
        <v>-11.393000000000001</v>
      </c>
      <c r="IO98" s="153">
        <f t="shared" si="349"/>
        <v>-0.61200000000000188</v>
      </c>
      <c r="IP98" s="153">
        <f t="shared" si="522"/>
        <v>-20.777999999999999</v>
      </c>
      <c r="IQ98" s="258">
        <f t="shared" si="350"/>
        <v>-12.651999999999987</v>
      </c>
      <c r="IR98" s="152">
        <f t="shared" si="323"/>
        <v>2477.268</v>
      </c>
      <c r="IS98" s="157">
        <f t="shared" si="351"/>
        <v>235.61200000000008</v>
      </c>
      <c r="IT98" s="157">
        <f t="shared" si="529"/>
        <v>-1.0000000001184617E-3</v>
      </c>
      <c r="IU98" s="157">
        <f t="shared" si="352"/>
        <v>196.64</v>
      </c>
      <c r="IV98" s="157">
        <f t="shared" si="324"/>
        <v>48.97</v>
      </c>
      <c r="IW98" s="157">
        <v>-21.39</v>
      </c>
      <c r="IX98" s="157">
        <f t="shared" si="530"/>
        <v>11.391000000000002</v>
      </c>
      <c r="IY98" s="157">
        <v>24.882000000000001</v>
      </c>
      <c r="IZ98" s="157">
        <v>14.375999999999999</v>
      </c>
      <c r="JA98" s="157">
        <v>-27.867000000000001</v>
      </c>
      <c r="JB98" s="34">
        <f t="shared" si="486"/>
        <v>0.20635645741703321</v>
      </c>
      <c r="JC98" s="34">
        <f t="shared" si="487"/>
        <v>7.6713814474210315E-2</v>
      </c>
      <c r="JD98" s="34">
        <f t="shared" si="488"/>
        <v>0.12964264294282291</v>
      </c>
      <c r="JE98" s="35">
        <f t="shared" si="489"/>
        <v>1.6380114620818339E-2</v>
      </c>
      <c r="JF98" s="35">
        <f t="shared" si="326"/>
        <v>4.0792016526722645E-3</v>
      </c>
      <c r="JG98" s="35">
        <f t="shared" si="327"/>
        <v>-1.7817872850859659E-3</v>
      </c>
      <c r="JH98" s="5">
        <v>2477.268</v>
      </c>
      <c r="JI98" s="192">
        <v>105.291</v>
      </c>
      <c r="JJ98" s="76">
        <v>86.372</v>
      </c>
      <c r="JK98" s="76">
        <v>279.37299999999999</v>
      </c>
      <c r="JL98" s="76">
        <v>125.146</v>
      </c>
      <c r="JM98" s="76">
        <v>102.02200000000001</v>
      </c>
      <c r="JN98" s="76">
        <f t="shared" si="354"/>
        <v>246.142</v>
      </c>
      <c r="JO98" s="76">
        <v>133.47999999999999</v>
      </c>
      <c r="JP98" s="76">
        <v>112.66200000000001</v>
      </c>
      <c r="JQ98" s="76">
        <v>3.9239999999999999</v>
      </c>
      <c r="JR98" s="76">
        <v>81.879000000000005</v>
      </c>
      <c r="JS98" s="76">
        <f t="shared" si="527"/>
        <v>920.93399999999986</v>
      </c>
      <c r="JT98" s="76">
        <f t="shared" si="355"/>
        <v>1556.3340000000003</v>
      </c>
      <c r="JU98" s="23">
        <f t="shared" si="356"/>
        <v>0.37175388371383306</v>
      </c>
      <c r="JV98" s="23">
        <f t="shared" si="357"/>
        <v>3.4865828000846096E-2</v>
      </c>
      <c r="JW98" s="23">
        <f t="shared" si="358"/>
        <v>0.11277463722132607</v>
      </c>
      <c r="JX98" s="23">
        <f t="shared" si="359"/>
        <v>5.0517747776986581E-2</v>
      </c>
      <c r="JY98" s="23">
        <f t="shared" si="360"/>
        <v>4.1183271248811194E-2</v>
      </c>
      <c r="JZ98" s="23">
        <f t="shared" si="361"/>
        <v>9.9360262999400956E-2</v>
      </c>
      <c r="KA98" s="23">
        <f t="shared" si="362"/>
        <v>3.3052136466462247E-2</v>
      </c>
      <c r="KB98" s="149">
        <v>176.042</v>
      </c>
      <c r="KC98" s="316">
        <v>463.041</v>
      </c>
      <c r="KD98" s="316">
        <v>286.99900000000002</v>
      </c>
      <c r="KE98" s="589">
        <f t="shared" si="242"/>
        <v>0.61981336425932054</v>
      </c>
      <c r="KF98" s="1071">
        <v>0</v>
      </c>
      <c r="KG98" s="319">
        <f t="shared" si="243"/>
        <v>3.3704999999999998</v>
      </c>
      <c r="KH98" s="319">
        <f t="shared" si="244"/>
        <v>13.323499999999999</v>
      </c>
      <c r="KI98" s="321">
        <f t="shared" si="245"/>
        <v>16.209500000000002</v>
      </c>
      <c r="KJ98" s="319">
        <f t="shared" si="246"/>
        <v>4.2025000000000006</v>
      </c>
      <c r="KK98" s="319">
        <f t="shared" si="285"/>
        <v>-8.2280000000000015</v>
      </c>
      <c r="KL98" s="319">
        <f t="shared" si="248"/>
        <v>-18.7395</v>
      </c>
      <c r="KM98" s="319"/>
      <c r="KN98" s="319"/>
      <c r="KO98" s="319"/>
      <c r="KP98" s="319">
        <f t="shared" si="454"/>
        <v>0.45099999999999874</v>
      </c>
      <c r="KQ98" s="153">
        <f t="shared" si="328"/>
        <v>29.329000000000001</v>
      </c>
      <c r="KR98" s="153">
        <f t="shared" si="329"/>
        <v>146.71299999999999</v>
      </c>
      <c r="KS98" s="23">
        <f t="shared" si="490"/>
        <v>1.2221194855391177E-2</v>
      </c>
      <c r="KT98" s="23"/>
      <c r="KU98" s="326">
        <v>2301.2260000000001</v>
      </c>
      <c r="KV98" s="430">
        <f t="shared" si="252"/>
        <v>105.291</v>
      </c>
      <c r="KW98" s="322">
        <f t="shared" si="491"/>
        <v>83.001499999999993</v>
      </c>
      <c r="KX98" s="322">
        <f t="shared" si="492"/>
        <v>266.04949999999997</v>
      </c>
      <c r="KY98" s="322">
        <f t="shared" si="493"/>
        <v>108.9365</v>
      </c>
      <c r="KZ98" s="322">
        <f t="shared" si="494"/>
        <v>97.819500000000005</v>
      </c>
      <c r="LA98" s="322">
        <f t="shared" si="495"/>
        <v>254.37</v>
      </c>
      <c r="LB98" s="322">
        <f t="shared" si="496"/>
        <v>152.21949999999998</v>
      </c>
      <c r="LC98" s="322"/>
      <c r="LD98" s="322">
        <f t="shared" si="455"/>
        <v>81.428000000000011</v>
      </c>
      <c r="LE98" s="322">
        <f t="shared" si="456"/>
        <v>891.6049999999999</v>
      </c>
      <c r="LF98" s="322">
        <f t="shared" si="497"/>
        <v>0</v>
      </c>
      <c r="LG98" s="322">
        <f t="shared" si="498"/>
        <v>1409.6210000000003</v>
      </c>
      <c r="LH98" s="367">
        <f t="shared" si="499"/>
        <v>0.3874478212917809</v>
      </c>
      <c r="LI98" s="248">
        <f t="shared" si="457"/>
        <v>3.6068382679493451E-2</v>
      </c>
      <c r="LJ98" s="248">
        <f t="shared" si="458"/>
        <v>0.11561206939257594</v>
      </c>
      <c r="LK98" s="248">
        <f t="shared" si="459"/>
        <v>4.7338462193630693E-2</v>
      </c>
      <c r="LL98" s="248">
        <f t="shared" si="460"/>
        <v>4.2507559014195041E-2</v>
      </c>
      <c r="LM98" s="248">
        <f t="shared" si="461"/>
        <v>0.11053673129019052</v>
      </c>
      <c r="LN98" s="248">
        <f t="shared" si="462"/>
        <v>6.6147132007025808E-2</v>
      </c>
      <c r="LO98" s="248"/>
      <c r="LP98" s="248">
        <f t="shared" si="463"/>
        <v>3.5384616721695308E-2</v>
      </c>
      <c r="LQ98" s="248">
        <f t="shared" si="500"/>
        <v>0.19169215647074506</v>
      </c>
      <c r="LR98" s="23">
        <f t="shared" si="501"/>
        <v>0.11742144808743173</v>
      </c>
      <c r="LS98" s="23">
        <f t="shared" si="502"/>
        <v>7.4270708383313344E-2</v>
      </c>
      <c r="LT98" s="326">
        <v>635.59100000000001</v>
      </c>
      <c r="LU98" s="153">
        <f t="shared" si="363"/>
        <v>0</v>
      </c>
      <c r="LV98" s="153">
        <f t="shared" si="503"/>
        <v>176.042</v>
      </c>
      <c r="LW98" s="153">
        <f t="shared" si="504"/>
        <v>286.99900000000002</v>
      </c>
      <c r="LX98" s="153">
        <v>172.55</v>
      </c>
      <c r="LY98" s="23">
        <f>LX98/Liabilities!GT98</f>
        <v>9.2847038338212895E-2</v>
      </c>
      <c r="LZ98" s="23">
        <f t="shared" si="253"/>
        <v>0.30268106484794904</v>
      </c>
      <c r="MA98" s="425">
        <v>857.07100000000003</v>
      </c>
      <c r="MB98" s="153">
        <f t="shared" si="364"/>
        <v>0</v>
      </c>
      <c r="MC98" s="153">
        <v>397.52199999999999</v>
      </c>
      <c r="MD98" s="153">
        <f t="shared" si="365"/>
        <v>172.55</v>
      </c>
      <c r="ME98" s="153">
        <f t="shared" si="366"/>
        <v>286.99900000000002</v>
      </c>
      <c r="MF98" s="153">
        <v>570.072</v>
      </c>
      <c r="MG98" s="153">
        <f t="shared" si="505"/>
        <v>463.041</v>
      </c>
      <c r="MH98" s="326">
        <f t="shared" si="506"/>
        <v>2301.2260000000001</v>
      </c>
      <c r="MI98" s="1008">
        <f>FoF_RoW!$BH68/1000</f>
        <v>3140.0010000000002</v>
      </c>
      <c r="MJ98" s="1008">
        <v>3599.55</v>
      </c>
      <c r="MK98" s="1008">
        <f>FoF_RoW!$AU68/1000</f>
        <v>232.66300000000001</v>
      </c>
      <c r="ML98" s="1008">
        <f t="shared" si="254"/>
        <v>312.64900000000034</v>
      </c>
      <c r="MM98" s="425">
        <f t="shared" si="507"/>
        <v>2963.9590000000003</v>
      </c>
      <c r="MN98" s="23">
        <f t="shared" si="508"/>
        <v>1.2879912707400316</v>
      </c>
      <c r="MO98" s="153">
        <v>4929.8919999999998</v>
      </c>
      <c r="MP98" s="425">
        <v>4294.3010000000004</v>
      </c>
      <c r="MQ98" s="23">
        <f t="shared" si="367"/>
        <v>1.8660926827699671</v>
      </c>
      <c r="MR98" s="23">
        <f t="shared" si="368"/>
        <v>1.44883954197747</v>
      </c>
      <c r="MS98" s="153">
        <f t="shared" si="509"/>
        <v>176.042</v>
      </c>
      <c r="MT98" s="153">
        <v>635.59100000000001</v>
      </c>
      <c r="MU98" s="153">
        <v>857.07100000000003</v>
      </c>
      <c r="MV98" s="153">
        <v>2895.5309999999999</v>
      </c>
      <c r="MW98" s="153">
        <v>1858.433</v>
      </c>
      <c r="MX98" s="23">
        <f t="shared" si="369"/>
        <v>1.5580497117733059</v>
      </c>
      <c r="MY98" s="425">
        <f t="shared" si="255"/>
        <v>-1973.7409999999984</v>
      </c>
      <c r="MZ98" s="23">
        <f t="shared" si="510"/>
        <v>-0.16441265160602414</v>
      </c>
      <c r="NA98" s="153">
        <v>16409.857</v>
      </c>
      <c r="NB98" s="153">
        <v>18218.330999999998</v>
      </c>
      <c r="NC98" s="425">
        <f t="shared" si="330"/>
        <v>-2266.9849999999988</v>
      </c>
      <c r="ND98" s="23">
        <f t="shared" si="331"/>
        <v>-0.18883988071438082</v>
      </c>
      <c r="NE98" s="330">
        <f t="shared" si="332"/>
        <v>884.04600000000016</v>
      </c>
      <c r="NF98" s="23">
        <f t="shared" si="333"/>
        <v>7.3641043582566998E-2</v>
      </c>
      <c r="NG98" s="330">
        <f t="shared" si="334"/>
        <v>1177.2900000000009</v>
      </c>
      <c r="NH98" s="23">
        <f t="shared" si="335"/>
        <v>9.8068272690923705E-2</v>
      </c>
      <c r="NI98" s="330">
        <v>165.267</v>
      </c>
      <c r="NJ98" s="425">
        <v>157.61000000000001</v>
      </c>
      <c r="NK98" s="403">
        <f t="shared" si="393"/>
        <v>1.3128915100626418E-2</v>
      </c>
      <c r="NL98" s="153">
        <v>174.04599999999999</v>
      </c>
      <c r="NM98" s="153">
        <v>324.81599999999997</v>
      </c>
      <c r="NN98" s="153">
        <v>150.77000000000001</v>
      </c>
      <c r="NO98" s="425">
        <f t="shared" si="100"/>
        <v>38.259000000000015</v>
      </c>
      <c r="NP98" s="153">
        <v>675.76099999999997</v>
      </c>
      <c r="NQ98" s="153">
        <v>637.50199999999995</v>
      </c>
      <c r="NR98" s="403">
        <f t="shared" si="394"/>
        <v>3.186975209916035E-3</v>
      </c>
      <c r="NS98" s="403">
        <f t="shared" si="395"/>
        <v>1.3128915100626418E-2</v>
      </c>
      <c r="NT98" s="403">
        <f t="shared" si="396"/>
        <v>-9.9419398907103843E-3</v>
      </c>
      <c r="NU98" s="727">
        <f t="shared" si="511"/>
        <v>6.9470211799312606E-2</v>
      </c>
      <c r="NV98" s="688">
        <f t="shared" si="512"/>
        <v>0.10065118984439392</v>
      </c>
      <c r="NW98" s="688">
        <f t="shared" si="513"/>
        <v>0.12963785390917709</v>
      </c>
      <c r="NX98" s="793">
        <f>(ER98-T.A2!B50*T.A1!M50)/MP98</f>
        <v>5.3274785367602669E-2</v>
      </c>
      <c r="NY98" s="688">
        <f>Liabilities!BU98/Liabilities!GY98</f>
        <v>4.3629648586045185E-2</v>
      </c>
      <c r="NZ98" s="688">
        <f>Liabilities!BU98/Liabilities!GT98</f>
        <v>6.7977161404258316E-2</v>
      </c>
      <c r="OA98" s="688">
        <f>Liabilities!BU98/Liabilities!GR98</f>
        <v>8.755111092630323E-2</v>
      </c>
      <c r="OB98" s="688">
        <f t="shared" si="256"/>
        <v>2.5840563213267422E-2</v>
      </c>
      <c r="OC98" s="688">
        <f t="shared" si="257"/>
        <v>3.2674028440135602E-2</v>
      </c>
      <c r="OD98" s="688"/>
      <c r="OE98" s="793">
        <f t="shared" si="514"/>
        <v>0.10349940738046644</v>
      </c>
      <c r="OF98" s="793">
        <f>OE98/(1-'Assets(MOFA)'!GU51)</f>
        <v>0.15048566760394677</v>
      </c>
      <c r="OG98" s="793">
        <f>Liabilities!HV98</f>
        <v>7.3051473616728077E-2</v>
      </c>
      <c r="OH98" s="793">
        <f t="shared" si="438"/>
        <v>3.0447933763738361E-2</v>
      </c>
      <c r="OI98" s="22">
        <f t="shared" si="336"/>
        <v>2.0736824600845281E-2</v>
      </c>
      <c r="OJ98" s="22">
        <f t="shared" si="337"/>
        <v>1.3289244910261011E-2</v>
      </c>
      <c r="OK98" s="403">
        <f>Liabilities!CT98/LX98</f>
        <v>2.6687916545928718E-2</v>
      </c>
      <c r="OL98" s="403">
        <f>Liabilities!CU98/MF98</f>
        <v>4.0396651651019522E-2</v>
      </c>
      <c r="OM98" s="153"/>
      <c r="OO98" s="186">
        <f t="shared" si="515"/>
        <v>0.10342134587664038</v>
      </c>
      <c r="OP98" s="308">
        <f t="shared" si="370"/>
        <v>0.24689782420365192</v>
      </c>
      <c r="OQ98" s="308">
        <f t="shared" si="371"/>
        <v>2.5534505273155837E-2</v>
      </c>
      <c r="OR98" s="313">
        <f t="shared" si="372"/>
        <v>0</v>
      </c>
      <c r="OS98" s="248">
        <f t="shared" si="373"/>
        <v>0.17103815518438978</v>
      </c>
      <c r="OT98" s="23">
        <f t="shared" si="374"/>
        <v>0.1060529813652938</v>
      </c>
      <c r="OU98" s="23">
        <f t="shared" si="375"/>
        <v>0.12450922639033837</v>
      </c>
      <c r="OV98" s="23">
        <f t="shared" si="376"/>
        <v>0.11535081380679532</v>
      </c>
      <c r="OW98" s="23">
        <f t="shared" si="377"/>
        <v>9.0254190430476014E-2</v>
      </c>
      <c r="OX98" s="23">
        <f t="shared" si="378"/>
        <v>8.3721691023504463E-2</v>
      </c>
      <c r="OY98" s="23">
        <f t="shared" si="379"/>
        <v>0.15238311312432828</v>
      </c>
      <c r="OZ98" s="23">
        <f t="shared" si="380"/>
        <v>0.1151015695632211</v>
      </c>
      <c r="PA98" s="23">
        <f t="shared" si="381"/>
        <v>9.7243123892335262E-2</v>
      </c>
      <c r="PB98" s="23">
        <f t="shared" si="382"/>
        <v>1.7858445670885834E-2</v>
      </c>
      <c r="PD98" s="23"/>
      <c r="PE98" s="23"/>
      <c r="PF98" s="23"/>
      <c r="PG98" s="69"/>
      <c r="PH98" s="23">
        <f>'Assets(MOFA)'!GU51</f>
        <v>0.31223079892990435</v>
      </c>
      <c r="PI98" s="23">
        <f>'Assets(MOFA)'!HM51</f>
        <v>0.27625730027490802</v>
      </c>
      <c r="PJ98" s="11">
        <f t="shared" si="516"/>
        <v>3.841921443412314E-2</v>
      </c>
      <c r="PK98" s="11">
        <f>Liabilities!IP98/MW98/1000</f>
        <v>2.9047052005641311E-2</v>
      </c>
      <c r="PL98" s="11">
        <f>'Assets(MOFA)'!GO51/MM98/1000</f>
        <v>2.4805908823748116E-2</v>
      </c>
      <c r="PM98" s="11">
        <f t="shared" si="429"/>
        <v>4.2411431818931943E-3</v>
      </c>
    </row>
    <row r="99" spans="1:429">
      <c r="B99" s="71">
        <v>2007</v>
      </c>
      <c r="C99" s="43">
        <v>12321.4</v>
      </c>
      <c r="D99" s="5">
        <v>1529</v>
      </c>
      <c r="E99" s="19">
        <f t="shared" si="397"/>
        <v>0.12409304137516841</v>
      </c>
      <c r="F99" s="72">
        <f t="shared" si="398"/>
        <v>0</v>
      </c>
      <c r="G99" s="76">
        <f t="shared" si="399"/>
        <v>1175.5999999999999</v>
      </c>
      <c r="H99" s="23">
        <f t="shared" si="400"/>
        <v>9.5411235736198807E-2</v>
      </c>
      <c r="I99" s="72">
        <v>353.4</v>
      </c>
      <c r="J99" s="19">
        <f t="shared" si="401"/>
        <v>2.8681805638969597E-2</v>
      </c>
      <c r="K99" s="6">
        <f t="shared" si="402"/>
        <v>0.23113145846958796</v>
      </c>
      <c r="L99" s="136">
        <v>510.4</v>
      </c>
      <c r="M99" s="19">
        <f t="shared" si="403"/>
        <v>4.1423864171279239E-2</v>
      </c>
      <c r="N99" s="63">
        <f t="shared" si="404"/>
        <v>0.33381294964028774</v>
      </c>
      <c r="O99" s="5">
        <f t="shared" si="405"/>
        <v>1529</v>
      </c>
      <c r="P99" s="75">
        <f t="shared" si="406"/>
        <v>0</v>
      </c>
      <c r="Q99" s="271">
        <v>1788.7</v>
      </c>
      <c r="R99" s="202">
        <v>287.5</v>
      </c>
      <c r="S99" s="53">
        <f t="shared" si="407"/>
        <v>0.1880313930673643</v>
      </c>
      <c r="T99" s="74">
        <v>36.5</v>
      </c>
      <c r="U99" s="74">
        <v>-219.4</v>
      </c>
      <c r="V99" s="207">
        <v>324.5</v>
      </c>
      <c r="W99" s="53">
        <f t="shared" si="408"/>
        <v>0.21223021582733814</v>
      </c>
      <c r="X99" s="75">
        <f t="shared" si="409"/>
        <v>-39.799999999999727</v>
      </c>
      <c r="Y99" s="187">
        <v>289.52615300000002</v>
      </c>
      <c r="Z99" s="75">
        <f t="shared" si="436"/>
        <v>-22.109200722632362</v>
      </c>
      <c r="AA99" s="75"/>
      <c r="AB99" s="75"/>
      <c r="AC99" s="75">
        <f t="shared" si="437"/>
        <v>267.41695227736767</v>
      </c>
      <c r="AD99" s="23">
        <f t="shared" si="410"/>
        <v>0.1748966332749298</v>
      </c>
      <c r="AE99" s="76">
        <f>NIPA_Scorp!C20/1000</f>
        <v>345.60300000000001</v>
      </c>
      <c r="AF99" s="76">
        <v>258.06156080292715</v>
      </c>
      <c r="AG99" s="23">
        <f t="shared" si="385"/>
        <v>0.22603204708960106</v>
      </c>
      <c r="AH99" s="97">
        <v>445.5</v>
      </c>
      <c r="AI99" s="22">
        <f t="shared" si="411"/>
        <v>3.6156605580534677E-2</v>
      </c>
      <c r="AJ99" s="22">
        <f t="shared" si="412"/>
        <v>3.3348483126917391E-2</v>
      </c>
      <c r="AK99" s="99">
        <f t="shared" si="413"/>
        <v>-9.9999999999965894E-2</v>
      </c>
      <c r="AL99" s="71">
        <v>328.29999999999995</v>
      </c>
      <c r="AM99" s="72">
        <f>(0.25*Fedtax!C80+0.75*Fedtax!C79)/1000</f>
        <v>353.76875000000001</v>
      </c>
      <c r="AN99" s="71">
        <v>57.9</v>
      </c>
      <c r="AO99" s="255">
        <v>24.8</v>
      </c>
      <c r="AP99" s="71">
        <v>34.6</v>
      </c>
      <c r="AQ99" s="6">
        <f t="shared" si="414"/>
        <v>8.7936435794633727E-2</v>
      </c>
      <c r="AR99" s="210">
        <v>86.6</v>
      </c>
      <c r="AS99" s="714">
        <v>86.524474999999995</v>
      </c>
      <c r="AT99" s="210">
        <v>30.854161999999999</v>
      </c>
      <c r="AU99" s="205">
        <f t="shared" si="386"/>
        <v>0.35659461672549875</v>
      </c>
      <c r="AV99" s="709">
        <v>99.103064000000003</v>
      </c>
      <c r="AW99" s="518">
        <v>35.552886999999998</v>
      </c>
      <c r="AX99" s="518">
        <f t="shared" si="387"/>
        <v>63.550177000000005</v>
      </c>
      <c r="AY99" s="520">
        <f t="shared" si="388"/>
        <v>0.35874659738068237</v>
      </c>
      <c r="AZ99" s="777">
        <v>88.764847000000003</v>
      </c>
      <c r="BA99" s="772">
        <f>AW99+AZ99-AV99</f>
        <v>25.214669999999998</v>
      </c>
      <c r="BB99" s="767">
        <f t="shared" si="390"/>
        <v>0.28406143706866299</v>
      </c>
      <c r="BC99" s="210">
        <v>29.194732999999999</v>
      </c>
      <c r="BD99" s="722">
        <f>'Assets(MOFA)'!FJ52/1000</f>
        <v>125.181</v>
      </c>
      <c r="BE99" s="753">
        <f t="shared" si="532"/>
        <v>0.79167816202139307</v>
      </c>
      <c r="BF99" s="234">
        <v>0.35</v>
      </c>
      <c r="BG99" s="437"/>
      <c r="BH99" s="140">
        <f t="shared" si="464"/>
        <v>0.23413155501667168</v>
      </c>
      <c r="BI99" s="248">
        <f t="shared" si="384"/>
        <v>0.29618903947167602</v>
      </c>
      <c r="BJ99" s="23">
        <f t="shared" si="465"/>
        <v>0.19559270516717323</v>
      </c>
      <c r="BK99" s="30">
        <f t="shared" si="466"/>
        <v>0.27227694257243246</v>
      </c>
      <c r="BL99" s="30">
        <f t="shared" si="467"/>
        <v>0.25343894379530324</v>
      </c>
      <c r="BM99" s="248">
        <f t="shared" si="468"/>
        <v>0.32185296938844465</v>
      </c>
      <c r="BN99" s="23">
        <f t="shared" si="469"/>
        <v>0.22971990831330014</v>
      </c>
      <c r="BO99" s="23">
        <f t="shared" si="470"/>
        <v>0.19790964261631827</v>
      </c>
      <c r="BP99" s="149">
        <f t="shared" si="415"/>
        <v>1529</v>
      </c>
      <c r="BQ99" s="99">
        <f t="shared" si="416"/>
        <v>0</v>
      </c>
      <c r="BR99" s="153">
        <f t="shared" si="417"/>
        <v>445.5</v>
      </c>
      <c r="BS99" s="79">
        <v>818.9</v>
      </c>
      <c r="BT99" s="79">
        <v>264.60000000000002</v>
      </c>
      <c r="BU99" s="23">
        <f t="shared" si="517"/>
        <v>0.17305428384565077</v>
      </c>
      <c r="BV99" s="71">
        <v>51.6</v>
      </c>
      <c r="BW99" s="71">
        <f t="shared" si="418"/>
        <v>213.00000000000003</v>
      </c>
      <c r="BX99" s="23">
        <f t="shared" si="419"/>
        <v>0.1393067364290386</v>
      </c>
      <c r="BY99" s="23">
        <f t="shared" si="289"/>
        <v>6.6290385873119695E-2</v>
      </c>
      <c r="BZ99" s="23">
        <f t="shared" si="290"/>
        <v>0.28607071188870797</v>
      </c>
      <c r="CA99" s="23">
        <f t="shared" si="291"/>
        <v>0.29152842030100395</v>
      </c>
      <c r="CB99" s="23">
        <f t="shared" si="531"/>
        <v>0.60271646859083206</v>
      </c>
      <c r="CC99" s="169">
        <f t="shared" si="420"/>
        <v>510.4</v>
      </c>
      <c r="CD99" s="72">
        <f t="shared" si="518"/>
        <v>0</v>
      </c>
      <c r="CE99" s="76">
        <v>116.14700000000001</v>
      </c>
      <c r="CF99" s="76">
        <v>354.31099999999998</v>
      </c>
      <c r="CG99" s="76">
        <f t="shared" si="519"/>
        <v>39.942000000000007</v>
      </c>
      <c r="CH99" s="23">
        <f t="shared" si="392"/>
        <v>0.69418299373040748</v>
      </c>
      <c r="CI99" s="326">
        <v>361.70800000000003</v>
      </c>
      <c r="CJ99" s="153">
        <f t="shared" si="292"/>
        <v>1.0000000000482956E-3</v>
      </c>
      <c r="CK99" s="79">
        <f t="shared" si="520"/>
        <v>354.31099999999998</v>
      </c>
      <c r="CL99" s="159">
        <v>132.833</v>
      </c>
      <c r="CM99" s="159">
        <v>221.47800000000001</v>
      </c>
      <c r="CN99" s="159">
        <v>261.39999999999998</v>
      </c>
      <c r="CO99" s="159">
        <f t="shared" si="338"/>
        <v>39.921999999999969</v>
      </c>
      <c r="CP99" s="79">
        <v>7.3959999999999999</v>
      </c>
      <c r="CQ99" s="79">
        <v>11.3</v>
      </c>
      <c r="CR99" s="79">
        <v>3.9039999999999999</v>
      </c>
      <c r="CS99" s="23">
        <f t="shared" si="293"/>
        <v>0.62509490250091027</v>
      </c>
      <c r="CT99" s="23">
        <f t="shared" si="294"/>
        <v>2.5533028122956178E-3</v>
      </c>
      <c r="CU99" s="73">
        <v>11.471</v>
      </c>
      <c r="CV99" s="378">
        <f t="shared" si="295"/>
        <v>3.8313549188705334E-3</v>
      </c>
      <c r="CW99" s="378">
        <f t="shared" si="296"/>
        <v>3.1713426299667134E-2</v>
      </c>
      <c r="CX99" s="153">
        <f t="shared" si="297"/>
        <v>350.23700000000002</v>
      </c>
      <c r="CY99" s="153">
        <f t="shared" si="298"/>
        <v>0</v>
      </c>
      <c r="CZ99" s="295">
        <f t="shared" si="299"/>
        <v>361.70800000000003</v>
      </c>
      <c r="DA99" s="430">
        <v>29.76</v>
      </c>
      <c r="DB99" s="153">
        <v>22.003</v>
      </c>
      <c r="DC99" s="153">
        <v>2.496</v>
      </c>
      <c r="DD99" s="153">
        <v>3.9340000000000002</v>
      </c>
      <c r="DE99" s="153">
        <v>0.78900000000000003</v>
      </c>
      <c r="DF99" s="153">
        <f t="shared" si="528"/>
        <v>0.53800000000000081</v>
      </c>
      <c r="DG99" s="425">
        <v>146.57599999999999</v>
      </c>
      <c r="DH99" s="140">
        <f t="shared" si="521"/>
        <v>0.40523295033562978</v>
      </c>
      <c r="DI99" s="182">
        <v>350.23700000000002</v>
      </c>
      <c r="DJ99" s="79">
        <v>21.994</v>
      </c>
      <c r="DK99" s="79">
        <v>44.255000000000003</v>
      </c>
      <c r="DL99" s="79">
        <v>19.946000000000002</v>
      </c>
      <c r="DM99" s="79">
        <v>14.542999999999999</v>
      </c>
      <c r="DN99" s="79">
        <v>41.65</v>
      </c>
      <c r="DO99" s="79">
        <v>23.175999999999998</v>
      </c>
      <c r="DP99" s="79">
        <v>0.16800000000000001</v>
      </c>
      <c r="DQ99" s="79">
        <v>19.045000000000002</v>
      </c>
      <c r="DR99" s="79">
        <f t="shared" si="471"/>
        <v>161.43299999999999</v>
      </c>
      <c r="DS99" s="79">
        <f t="shared" si="472"/>
        <v>188.80400000000003</v>
      </c>
      <c r="DT99" s="79">
        <v>7.6920000000000002</v>
      </c>
      <c r="DU99" s="23">
        <f t="shared" si="473"/>
        <v>4.0740662274104354E-2</v>
      </c>
      <c r="DV99" s="23">
        <f t="shared" si="474"/>
        <v>6.279747713691014E-2</v>
      </c>
      <c r="DW99" s="23">
        <f t="shared" si="475"/>
        <v>0.12635729520296257</v>
      </c>
      <c r="DX99" s="23">
        <f t="shared" si="476"/>
        <v>5.6950008137346998E-2</v>
      </c>
      <c r="DY99" s="23">
        <f t="shared" si="477"/>
        <v>4.1523311357737756E-2</v>
      </c>
      <c r="DZ99" s="23">
        <f t="shared" si="478"/>
        <v>0.11891947452724869</v>
      </c>
      <c r="EA99" s="23">
        <f t="shared" si="479"/>
        <v>6.6172334733337695E-2</v>
      </c>
      <c r="EB99" s="23">
        <f t="shared" si="480"/>
        <v>4.7967519137041489E-4</v>
      </c>
      <c r="EC99" s="23">
        <f t="shared" si="481"/>
        <v>5.4377464402675907E-2</v>
      </c>
      <c r="ED99" s="23">
        <f t="shared" si="482"/>
        <v>0.46092503076488206</v>
      </c>
      <c r="EE99" s="153">
        <v>65.293999999999997</v>
      </c>
      <c r="EF99" s="23">
        <f t="shared" si="300"/>
        <v>0.18642804729368967</v>
      </c>
      <c r="EG99" s="182">
        <v>210.00700000000001</v>
      </c>
      <c r="EH99" s="79">
        <v>6.4690000000000003</v>
      </c>
      <c r="EI99" s="79">
        <v>35.679000000000002</v>
      </c>
      <c r="EJ99" s="79">
        <v>17.068999999999999</v>
      </c>
      <c r="EK99" s="79">
        <v>9.4440000000000008</v>
      </c>
      <c r="EL99" s="79">
        <v>25.698</v>
      </c>
      <c r="EM99" s="79">
        <v>6.9989999999999997</v>
      </c>
      <c r="EN99" s="28">
        <f t="shared" si="301"/>
        <v>101.358</v>
      </c>
      <c r="EO99" s="23">
        <f t="shared" si="302"/>
        <v>0.6324855471989167</v>
      </c>
      <c r="EP99" s="79">
        <f t="shared" si="303"/>
        <v>108.649</v>
      </c>
      <c r="EQ99" s="23">
        <f t="shared" si="304"/>
        <v>0.48264105482198211</v>
      </c>
      <c r="ER99" s="182">
        <f t="shared" si="268"/>
        <v>342.84100000000001</v>
      </c>
      <c r="ES99" s="185"/>
      <c r="ET99" s="136">
        <f>'Assets(MOFA)'!W52/1000</f>
        <v>419.55</v>
      </c>
      <c r="EU99" s="136">
        <f t="shared" si="339"/>
        <v>294.36900000000003</v>
      </c>
      <c r="EV99" s="589">
        <f t="shared" si="340"/>
        <v>0.85861667653518692</v>
      </c>
      <c r="EW99" s="153">
        <f t="shared" si="439"/>
        <v>21.864445192007349</v>
      </c>
      <c r="EX99" s="153">
        <f t="shared" si="440"/>
        <v>43.722514601654836</v>
      </c>
      <c r="EY99" s="153">
        <f t="shared" si="441"/>
        <v>19.471782882639161</v>
      </c>
      <c r="EZ99" s="153">
        <f t="shared" si="442"/>
        <v>14.402309902725337</v>
      </c>
      <c r="FA99" s="153">
        <f t="shared" si="443"/>
        <v>41.740219472445382</v>
      </c>
      <c r="FB99" s="153">
        <f t="shared" si="444"/>
        <v>23.379809760923632</v>
      </c>
      <c r="FC99" s="153"/>
      <c r="FD99" s="153">
        <f t="shared" si="445"/>
        <v>19.052192156339977</v>
      </c>
      <c r="FE99" s="153">
        <f t="shared" si="483"/>
        <v>160.25346420781204</v>
      </c>
      <c r="FF99" s="153">
        <f t="shared" si="484"/>
        <v>185.90697875065513</v>
      </c>
      <c r="FG99" s="23">
        <f t="shared" si="446"/>
        <v>6.3774301183368812E-2</v>
      </c>
      <c r="FH99" s="23">
        <f t="shared" si="447"/>
        <v>0.12753000545925031</v>
      </c>
      <c r="FI99" s="23">
        <f t="shared" si="448"/>
        <v>5.6795374189898995E-2</v>
      </c>
      <c r="FJ99" s="23">
        <f t="shared" si="449"/>
        <v>4.2008715126619446E-2</v>
      </c>
      <c r="FK99" s="23">
        <f t="shared" si="450"/>
        <v>0.1217480390981399</v>
      </c>
      <c r="FL99" s="23">
        <f t="shared" si="451"/>
        <v>6.8194322618717218E-2</v>
      </c>
      <c r="FM99" s="23"/>
      <c r="FN99" s="23">
        <f t="shared" si="452"/>
        <v>5.557151028126734E-2</v>
      </c>
      <c r="FO99" s="23">
        <f t="shared" si="421"/>
        <v>0.46742794533854481</v>
      </c>
      <c r="FP99" s="23">
        <f t="shared" si="422"/>
        <v>0.53257205466145519</v>
      </c>
      <c r="FQ99" s="23">
        <f t="shared" si="423"/>
        <v>0.15603350117775883</v>
      </c>
      <c r="FR99" s="23">
        <f t="shared" si="424"/>
        <v>0.17777944846252891</v>
      </c>
      <c r="FS99" s="23">
        <f t="shared" si="425"/>
        <v>1.9362671717564017E-2</v>
      </c>
      <c r="FT99" s="393">
        <f t="shared" si="426"/>
        <v>1.2246610016516465E-2</v>
      </c>
      <c r="FU99" s="393">
        <f t="shared" si="427"/>
        <v>7.1160617010475515E-3</v>
      </c>
      <c r="FV99" s="23">
        <f t="shared" si="428"/>
        <v>2.2061192453715222E-2</v>
      </c>
      <c r="FW99" s="326">
        <f t="shared" si="305"/>
        <v>7.3959999999999999</v>
      </c>
      <c r="FX99" s="384">
        <f t="shared" si="430"/>
        <v>0.12955480799264985</v>
      </c>
      <c r="FY99" s="384">
        <f t="shared" si="431"/>
        <v>0.53248539834516773</v>
      </c>
      <c r="FZ99" s="384">
        <f t="shared" si="432"/>
        <v>0.4742171173608416</v>
      </c>
      <c r="GA99" s="384">
        <f t="shared" si="433"/>
        <v>0.14069009727466275</v>
      </c>
      <c r="GB99" s="384">
        <f t="shared" si="434"/>
        <v>-9.0219472445380228E-2</v>
      </c>
      <c r="GC99" s="384">
        <f t="shared" si="435"/>
        <v>-0.20380976092363229</v>
      </c>
      <c r="GD99" s="153"/>
      <c r="GE99" s="153">
        <f t="shared" si="453"/>
        <v>-7.1921563399738528E-3</v>
      </c>
      <c r="GF99" s="153">
        <f t="shared" si="485"/>
        <v>1.1795357921879677</v>
      </c>
      <c r="GG99" s="153">
        <f t="shared" si="277"/>
        <v>2.8970212493449026</v>
      </c>
      <c r="GH99" s="182">
        <v>393.51799999999997</v>
      </c>
      <c r="GI99" s="79">
        <v>15.506</v>
      </c>
      <c r="GJ99" s="79">
        <v>109.09699999999999</v>
      </c>
      <c r="GK99" s="79">
        <v>24.535</v>
      </c>
      <c r="GL99" s="79">
        <v>7.3650000000000002</v>
      </c>
      <c r="GM99" s="79">
        <f t="shared" si="342"/>
        <v>28.762</v>
      </c>
      <c r="GN99" s="79">
        <v>14.785</v>
      </c>
      <c r="GO99" s="79">
        <v>13.977</v>
      </c>
      <c r="GP99" s="79">
        <v>2.5840000000000001</v>
      </c>
      <c r="GQ99" s="79">
        <v>14.003</v>
      </c>
      <c r="GR99" s="79">
        <f t="shared" si="523"/>
        <v>199.268</v>
      </c>
      <c r="GS99" s="79">
        <f t="shared" si="343"/>
        <v>194.24999999999997</v>
      </c>
      <c r="GT99" s="23">
        <f t="shared" si="524"/>
        <v>0.50637582016578664</v>
      </c>
      <c r="GU99" s="362">
        <f t="shared" si="259"/>
        <v>410.85699999999997</v>
      </c>
      <c r="GV99" s="153">
        <f t="shared" si="344"/>
        <v>200.85</v>
      </c>
      <c r="GW99" s="153">
        <f t="shared" si="308"/>
        <v>210.00700000000001</v>
      </c>
      <c r="GX99" s="153">
        <f t="shared" si="309"/>
        <v>10.416</v>
      </c>
      <c r="GY99" s="153">
        <f t="shared" si="310"/>
        <v>103.40299999999999</v>
      </c>
      <c r="GZ99" s="153">
        <f t="shared" si="226"/>
        <v>31.212</v>
      </c>
      <c r="HA99" s="153">
        <f t="shared" si="227"/>
        <v>9.1370000000000005</v>
      </c>
      <c r="HB99" s="153">
        <f t="shared" si="228"/>
        <v>38.683</v>
      </c>
      <c r="HC99" s="153">
        <f t="shared" si="229"/>
        <v>12.797000000000001</v>
      </c>
      <c r="HD99" s="352"/>
      <c r="HE99" s="153">
        <f t="shared" si="231"/>
        <v>11.576000000000001</v>
      </c>
      <c r="HF99" s="153">
        <f t="shared" si="311"/>
        <v>204.42699999999999</v>
      </c>
      <c r="HG99" s="23">
        <f t="shared" si="345"/>
        <v>0.49756241222615172</v>
      </c>
      <c r="HH99" s="156">
        <f t="shared" si="346"/>
        <v>508.73099999999977</v>
      </c>
      <c r="HI99" s="182">
        <f t="shared" si="312"/>
        <v>183.51099999999997</v>
      </c>
      <c r="HJ99" s="88">
        <v>2.8421709430404007E-14</v>
      </c>
      <c r="HK99" s="79">
        <f t="shared" si="313"/>
        <v>9.036999999999999</v>
      </c>
      <c r="HL99" s="79">
        <f t="shared" si="314"/>
        <v>73.417999999999992</v>
      </c>
      <c r="HM99" s="79">
        <f t="shared" si="315"/>
        <v>7.4660000000000011</v>
      </c>
      <c r="HN99" s="79">
        <f t="shared" si="316"/>
        <v>-2.0790000000000006</v>
      </c>
      <c r="HO99" s="79">
        <f t="shared" si="317"/>
        <v>3.0640000000000001</v>
      </c>
      <c r="HP99" s="79">
        <f t="shared" si="318"/>
        <v>7.0040000000000004</v>
      </c>
      <c r="HQ99" s="79">
        <f t="shared" si="525"/>
        <v>97.91</v>
      </c>
      <c r="HR99" s="79">
        <f t="shared" si="383"/>
        <v>85.600999999999971</v>
      </c>
      <c r="HS99" s="23">
        <f t="shared" si="321"/>
        <v>0.53353749911449455</v>
      </c>
      <c r="HT99" s="28">
        <v>200.85</v>
      </c>
      <c r="HU99" s="79">
        <v>3.948</v>
      </c>
      <c r="HV99" s="79">
        <v>67.724000000000004</v>
      </c>
      <c r="HW99" s="79">
        <v>14.143000000000001</v>
      </c>
      <c r="HX99" s="79">
        <v>-0.307</v>
      </c>
      <c r="HY99" s="79">
        <v>12.984999999999999</v>
      </c>
      <c r="HZ99" s="79">
        <v>-1.573</v>
      </c>
      <c r="IA99" s="79"/>
      <c r="IB99" s="79">
        <v>4.577</v>
      </c>
      <c r="IC99" s="79">
        <f t="shared" si="526"/>
        <v>103.07</v>
      </c>
      <c r="ID99" s="79">
        <f t="shared" si="347"/>
        <v>97.78</v>
      </c>
      <c r="IE99" s="23">
        <f t="shared" si="348"/>
        <v>0.51316903161563354</v>
      </c>
      <c r="IF99" s="316">
        <v>-17.338999999999999</v>
      </c>
      <c r="IG99" s="153">
        <v>5.09</v>
      </c>
      <c r="IH99" s="153">
        <v>5.694</v>
      </c>
      <c r="II99" s="153">
        <v>-6.6769999999999996</v>
      </c>
      <c r="IJ99" s="153">
        <v>-1.772</v>
      </c>
      <c r="IK99" s="153">
        <v>-9.9209999999999994</v>
      </c>
      <c r="IL99" s="153">
        <v>1.988</v>
      </c>
      <c r="IM99" s="153"/>
      <c r="IN99" s="153">
        <v>2.427</v>
      </c>
      <c r="IO99" s="153">
        <f t="shared" si="349"/>
        <v>-5.1590000000000007</v>
      </c>
      <c r="IP99" s="153">
        <f t="shared" si="522"/>
        <v>-12.179999999999998</v>
      </c>
      <c r="IQ99" s="258">
        <f t="shared" si="350"/>
        <v>7.9809999999999945</v>
      </c>
      <c r="IR99" s="149">
        <f t="shared" si="323"/>
        <v>2993.98</v>
      </c>
      <c r="IS99" s="153">
        <f t="shared" si="351"/>
        <v>516.71199999999999</v>
      </c>
      <c r="IT99" s="153">
        <f t="shared" si="529"/>
        <v>0</v>
      </c>
      <c r="IU99" s="153">
        <f t="shared" si="352"/>
        <v>210.00700000000001</v>
      </c>
      <c r="IV99" s="153">
        <f t="shared" si="324"/>
        <v>200.85</v>
      </c>
      <c r="IW99" s="153">
        <v>-17.338999999999999</v>
      </c>
      <c r="IX99" s="153">
        <f t="shared" si="530"/>
        <v>123.19399999999999</v>
      </c>
      <c r="IY99" s="153">
        <v>55.384</v>
      </c>
      <c r="IZ99" s="153">
        <v>5.6539999999999999</v>
      </c>
      <c r="JA99" s="153">
        <v>62.155999999999999</v>
      </c>
      <c r="JB99" s="23">
        <f t="shared" si="486"/>
        <v>0.24299024461506</v>
      </c>
      <c r="JC99" s="23">
        <f t="shared" si="487"/>
        <v>9.8298083010047568E-2</v>
      </c>
      <c r="JD99" s="23">
        <f t="shared" si="488"/>
        <v>0.14469216160501241</v>
      </c>
      <c r="JE99" s="22">
        <f t="shared" si="489"/>
        <v>1.7044085899329622E-2</v>
      </c>
      <c r="JF99" s="22">
        <f t="shared" si="326"/>
        <v>1.6300907364422874E-2</v>
      </c>
      <c r="JG99" s="22">
        <f t="shared" si="327"/>
        <v>-1.4072264515395977E-3</v>
      </c>
      <c r="JH99" s="5">
        <v>2993.98</v>
      </c>
      <c r="JI99" s="192">
        <v>114.702</v>
      </c>
      <c r="JJ99" s="76">
        <v>117.708</v>
      </c>
      <c r="JK99" s="76">
        <v>412.12200000000001</v>
      </c>
      <c r="JL99" s="76">
        <v>144.18</v>
      </c>
      <c r="JM99" s="76">
        <v>94.674999999999997</v>
      </c>
      <c r="JN99" s="76">
        <f t="shared" si="354"/>
        <v>348.95600000000002</v>
      </c>
      <c r="JO99" s="76">
        <v>211.708</v>
      </c>
      <c r="JP99" s="76">
        <v>137.24799999999999</v>
      </c>
      <c r="JQ99" s="76">
        <v>6.4829999999999997</v>
      </c>
      <c r="JR99" s="76">
        <v>93.528999999999996</v>
      </c>
      <c r="JS99" s="76">
        <f t="shared" si="527"/>
        <v>1211.17</v>
      </c>
      <c r="JT99" s="76">
        <f t="shared" si="355"/>
        <v>1782.81</v>
      </c>
      <c r="JU99" s="23">
        <f t="shared" si="356"/>
        <v>0.40453510043487267</v>
      </c>
      <c r="JV99" s="23">
        <f t="shared" si="357"/>
        <v>3.9314891883045308E-2</v>
      </c>
      <c r="JW99" s="23">
        <f t="shared" si="358"/>
        <v>0.13765021810432937</v>
      </c>
      <c r="JX99" s="23">
        <f t="shared" si="359"/>
        <v>4.8156634312854461E-2</v>
      </c>
      <c r="JY99" s="23">
        <f t="shared" si="360"/>
        <v>3.1621787720692858E-2</v>
      </c>
      <c r="JZ99" s="23">
        <f t="shared" si="361"/>
        <v>0.11655254878122098</v>
      </c>
      <c r="KA99" s="23">
        <f t="shared" si="362"/>
        <v>3.1239019632729677E-2</v>
      </c>
      <c r="KB99" s="149">
        <v>184.023</v>
      </c>
      <c r="KC99" s="316">
        <v>510.10199999999998</v>
      </c>
      <c r="KD99" s="316">
        <v>326.07900000000001</v>
      </c>
      <c r="KE99" s="589">
        <f t="shared" si="242"/>
        <v>0.63924273968735668</v>
      </c>
      <c r="KF99" s="1071">
        <v>0</v>
      </c>
      <c r="KG99" s="319">
        <f>KG98+(KG$101-KG$98)/3</f>
        <v>5.8483333333333327</v>
      </c>
      <c r="KH99" s="319">
        <f t="shared" ref="KH99:KP100" si="533">KH98+(KH$101-KH$98)/3</f>
        <v>24.037333333333336</v>
      </c>
      <c r="KI99" s="319">
        <f t="shared" si="533"/>
        <v>21.407</v>
      </c>
      <c r="KJ99" s="319">
        <f t="shared" si="533"/>
        <v>6.3510000000000009</v>
      </c>
      <c r="KK99" s="319">
        <f t="shared" si="533"/>
        <v>-4.0726666666666675</v>
      </c>
      <c r="KL99" s="319">
        <f t="shared" si="533"/>
        <v>-9.200333333333333</v>
      </c>
      <c r="KM99" s="319"/>
      <c r="KN99" s="319"/>
      <c r="KO99" s="319"/>
      <c r="KP99" s="319">
        <f t="shared" si="533"/>
        <v>-0.32466666666666744</v>
      </c>
      <c r="KQ99" s="153">
        <f t="shared" si="328"/>
        <v>53.246333333333332</v>
      </c>
      <c r="KR99" s="153">
        <f t="shared" si="329"/>
        <v>130.77666666666667</v>
      </c>
      <c r="KS99" s="23">
        <f t="shared" si="490"/>
        <v>1.0613783065777158E-2</v>
      </c>
      <c r="KT99" s="23"/>
      <c r="KU99" s="326">
        <v>2809.9569999999999</v>
      </c>
      <c r="KV99" s="430">
        <f t="shared" si="252"/>
        <v>114.702</v>
      </c>
      <c r="KW99" s="322">
        <f t="shared" si="491"/>
        <v>111.85966666666667</v>
      </c>
      <c r="KX99" s="322">
        <f t="shared" si="492"/>
        <v>388.08466666666669</v>
      </c>
      <c r="KY99" s="322">
        <f t="shared" si="493"/>
        <v>122.77300000000001</v>
      </c>
      <c r="KZ99" s="322">
        <f t="shared" si="494"/>
        <v>88.323999999999998</v>
      </c>
      <c r="LA99" s="322">
        <f t="shared" si="495"/>
        <v>353.02866666666671</v>
      </c>
      <c r="LB99" s="322">
        <f t="shared" si="496"/>
        <v>220.90833333333333</v>
      </c>
      <c r="LC99" s="322"/>
      <c r="LD99" s="322">
        <f t="shared" si="455"/>
        <v>93.853666666666669</v>
      </c>
      <c r="LE99" s="322">
        <f t="shared" si="456"/>
        <v>1157.9236666666668</v>
      </c>
      <c r="LF99" s="322">
        <f t="shared" si="497"/>
        <v>0</v>
      </c>
      <c r="LG99" s="322">
        <f t="shared" si="498"/>
        <v>1652.0333333333333</v>
      </c>
      <c r="LH99" s="367">
        <f t="shared" si="499"/>
        <v>0.41207878507274909</v>
      </c>
      <c r="LI99" s="248">
        <f t="shared" si="457"/>
        <v>3.9808319723991036E-2</v>
      </c>
      <c r="LJ99" s="248">
        <f t="shared" si="458"/>
        <v>0.13811053573654924</v>
      </c>
      <c r="LK99" s="248">
        <f t="shared" si="459"/>
        <v>4.3692127673128099E-2</v>
      </c>
      <c r="LL99" s="248">
        <f t="shared" si="460"/>
        <v>3.1432509465447338E-2</v>
      </c>
      <c r="LM99" s="248">
        <f t="shared" si="461"/>
        <v>0.12563489998838656</v>
      </c>
      <c r="LN99" s="248">
        <f t="shared" si="462"/>
        <v>7.8616268267924866E-2</v>
      </c>
      <c r="LO99" s="248"/>
      <c r="LP99" s="248">
        <f t="shared" si="463"/>
        <v>3.3400392485246809E-2</v>
      </c>
      <c r="LQ99" s="248">
        <f t="shared" si="500"/>
        <v>0.22805500998263184</v>
      </c>
      <c r="LR99" s="23">
        <f t="shared" si="501"/>
        <v>0.13407837853923527</v>
      </c>
      <c r="LS99" s="23">
        <f t="shared" si="502"/>
        <v>9.3976631443396602E-2</v>
      </c>
      <c r="LT99" s="326">
        <v>766.95500000000004</v>
      </c>
      <c r="LU99" s="153">
        <f t="shared" si="363"/>
        <v>0</v>
      </c>
      <c r="LV99" s="153">
        <f t="shared" si="503"/>
        <v>184.023</v>
      </c>
      <c r="LW99" s="153">
        <f t="shared" si="504"/>
        <v>326.07900000000001</v>
      </c>
      <c r="LX99" s="153">
        <v>256.85300000000001</v>
      </c>
      <c r="LY99" s="23">
        <f>LX99/Liabilities!GT99</f>
        <v>0.12779989710449666</v>
      </c>
      <c r="LZ99" s="23">
        <f t="shared" si="253"/>
        <v>0.36143542433866604</v>
      </c>
      <c r="MA99" s="425">
        <v>1036.7260000000001</v>
      </c>
      <c r="MB99" s="153">
        <f t="shared" si="364"/>
        <v>0</v>
      </c>
      <c r="MC99" s="153">
        <v>453.79399999999998</v>
      </c>
      <c r="MD99" s="153">
        <f t="shared" si="365"/>
        <v>256.85300000000001</v>
      </c>
      <c r="ME99" s="153">
        <f t="shared" si="366"/>
        <v>326.07900000000001</v>
      </c>
      <c r="MF99" s="153">
        <v>710.64700000000005</v>
      </c>
      <c r="MG99" s="153">
        <f t="shared" si="505"/>
        <v>510.10199999999998</v>
      </c>
      <c r="MH99" s="326">
        <f t="shared" si="506"/>
        <v>2809.9569999999999</v>
      </c>
      <c r="MI99" s="1008">
        <f>FoF_RoW!$BH69/1000</f>
        <v>3723.1210000000001</v>
      </c>
      <c r="MJ99" s="1008">
        <v>4306.0529999999999</v>
      </c>
      <c r="MK99" s="1008">
        <f>FoF_RoW!$AU69/1000</f>
        <v>404.98899999999998</v>
      </c>
      <c r="ML99" s="1008">
        <f t="shared" si="254"/>
        <v>583.11999999999989</v>
      </c>
      <c r="MM99" s="425">
        <f t="shared" si="507"/>
        <v>3539.098</v>
      </c>
      <c r="MN99" s="23">
        <f t="shared" si="508"/>
        <v>1.2594847536812841</v>
      </c>
      <c r="MO99" s="153">
        <v>5857.9229999999998</v>
      </c>
      <c r="MP99" s="425">
        <v>5090.9679999999998</v>
      </c>
      <c r="MQ99" s="23">
        <f t="shared" si="367"/>
        <v>1.8117601087845829</v>
      </c>
      <c r="MR99" s="23">
        <f t="shared" si="368"/>
        <v>1.4384930849611963</v>
      </c>
      <c r="MS99" s="153">
        <f t="shared" si="509"/>
        <v>184.023</v>
      </c>
      <c r="MT99" s="153">
        <v>766.95500000000004</v>
      </c>
      <c r="MU99" s="153">
        <v>1036.7260000000001</v>
      </c>
      <c r="MV99" s="153">
        <v>3097.5129999999999</v>
      </c>
      <c r="MW99" s="153">
        <v>2009.806</v>
      </c>
      <c r="MX99" s="23">
        <f>MV99/MW99</f>
        <v>1.5411999964175647</v>
      </c>
      <c r="MY99" s="425">
        <f t="shared" si="255"/>
        <v>-1497.5179999999987</v>
      </c>
      <c r="MZ99" s="23">
        <f t="shared" si="510"/>
        <v>-0.12153797458081052</v>
      </c>
      <c r="NA99" s="153">
        <v>20704.503000000001</v>
      </c>
      <c r="NB99" s="153">
        <v>21983.995999999999</v>
      </c>
      <c r="NC99" s="425">
        <f t="shared" si="330"/>
        <v>-1961.6809999999987</v>
      </c>
      <c r="ND99" s="23">
        <f t="shared" si="331"/>
        <v>-0.15920926193452031</v>
      </c>
      <c r="NE99" s="330">
        <f t="shared" si="332"/>
        <v>1259.5209999999997</v>
      </c>
      <c r="NF99" s="23">
        <f t="shared" si="333"/>
        <v>0.10222223123995648</v>
      </c>
      <c r="NG99" s="330">
        <f t="shared" si="334"/>
        <v>1723.6839999999997</v>
      </c>
      <c r="NH99" s="23">
        <f t="shared" si="335"/>
        <v>0.13989351859366628</v>
      </c>
      <c r="NI99" s="330">
        <v>218.02500000000001</v>
      </c>
      <c r="NJ99" s="425">
        <v>228.98500000000001</v>
      </c>
      <c r="NK99" s="403">
        <f t="shared" si="393"/>
        <v>1.8584332949177856E-2</v>
      </c>
      <c r="NL99" s="153">
        <v>244.584</v>
      </c>
      <c r="NM99" s="153">
        <v>370.75799999999998</v>
      </c>
      <c r="NN99" s="153">
        <v>126.17400000000001</v>
      </c>
      <c r="NO99" s="425">
        <f t="shared" si="100"/>
        <v>95.508000000000038</v>
      </c>
      <c r="NP99" s="153">
        <v>829.76400000000001</v>
      </c>
      <c r="NQ99" s="153">
        <v>734.25599999999997</v>
      </c>
      <c r="NR99" s="403">
        <f t="shared" si="394"/>
        <v>7.7513918872855391E-3</v>
      </c>
      <c r="NS99" s="403">
        <f t="shared" si="395"/>
        <v>1.8584332949177856E-2</v>
      </c>
      <c r="NT99" s="403">
        <f t="shared" si="396"/>
        <v>-1.0832941061892316E-2</v>
      </c>
      <c r="NU99" s="727">
        <f t="shared" si="511"/>
        <v>6.7342988602560466E-2</v>
      </c>
      <c r="NV99" s="688">
        <f t="shared" si="512"/>
        <v>9.6872423425403878E-2</v>
      </c>
      <c r="NW99" s="688">
        <f t="shared" si="513"/>
        <v>0.12200934035645386</v>
      </c>
      <c r="NX99" s="793">
        <f>(ER99-T.A2!B51*T.A1!M51)/MP99</f>
        <v>5.303974697281133E-2</v>
      </c>
      <c r="NY99" s="688">
        <f>Liabilities!BU99/Liabilities!GY99</f>
        <v>3.1178884479258036E-2</v>
      </c>
      <c r="NZ99" s="688">
        <f>Liabilities!BU99/Liabilities!GT99</f>
        <v>4.8052896647736147E-2</v>
      </c>
      <c r="OA99" s="688">
        <f>Liabilities!BU99/Liabilities!GR99</f>
        <v>6.273832925588653E-2</v>
      </c>
      <c r="OB99" s="688">
        <f t="shared" si="256"/>
        <v>3.6164104123302426E-2</v>
      </c>
      <c r="OC99" s="688">
        <f t="shared" si="257"/>
        <v>4.8819526777667731E-2</v>
      </c>
      <c r="OD99" s="688"/>
      <c r="OE99" s="793">
        <f t="shared" si="514"/>
        <v>0.10011336221828274</v>
      </c>
      <c r="OF99" s="793">
        <f>OE99/(1-'Assets(MOFA)'!GU52)</f>
        <v>0.14268676769184432</v>
      </c>
      <c r="OG99" s="793">
        <f>Liabilities!HV99</f>
        <v>5.3269837641936504E-2</v>
      </c>
      <c r="OH99" s="793">
        <f t="shared" si="438"/>
        <v>4.6843524576346232E-2</v>
      </c>
      <c r="OI99" s="22">
        <f t="shared" si="336"/>
        <v>2.2152432258646312E-2</v>
      </c>
      <c r="OJ99" s="22">
        <f t="shared" si="337"/>
        <v>1.1972558797101315E-2</v>
      </c>
      <c r="OK99" s="403">
        <f>Liabilities!CT99/LX99</f>
        <v>2.4072134645108292E-2</v>
      </c>
      <c r="OL99" s="403">
        <f>Liabilities!CU99/MF99</f>
        <v>4.3011509230321099E-2</v>
      </c>
      <c r="OM99" s="153"/>
      <c r="OO99" s="186">
        <f t="shared" si="515"/>
        <v>0.10000871772366954</v>
      </c>
      <c r="OP99" s="308">
        <f t="shared" si="370"/>
        <v>0.28723180807375787</v>
      </c>
      <c r="OQ99" s="308">
        <f t="shared" si="371"/>
        <v>2.8725684814907674E-2</v>
      </c>
      <c r="OR99" s="313">
        <f t="shared" si="372"/>
        <v>0</v>
      </c>
      <c r="OS99" s="23">
        <f t="shared" si="373"/>
        <v>0.16021741508542084</v>
      </c>
      <c r="OT99" s="23">
        <f t="shared" si="374"/>
        <v>9.2347135207708722E-2</v>
      </c>
      <c r="OU99" s="23">
        <f t="shared" si="375"/>
        <v>0.1300012805020978</v>
      </c>
      <c r="OV99" s="23">
        <f t="shared" si="376"/>
        <v>0.13365899842169476</v>
      </c>
      <c r="OW99" s="23">
        <f t="shared" si="377"/>
        <v>9.6914673205468135E-2</v>
      </c>
      <c r="OX99" s="23">
        <f t="shared" si="378"/>
        <v>8.6750833019565862E-2</v>
      </c>
      <c r="OY99" s="23">
        <f t="shared" si="379"/>
        <v>0.16639431670307805</v>
      </c>
      <c r="OZ99" s="23">
        <f t="shared" si="380"/>
        <v>0.11344158237426513</v>
      </c>
      <c r="PA99" s="23">
        <f t="shared" si="381"/>
        <v>9.2240503933917917E-2</v>
      </c>
      <c r="PB99" s="23">
        <f t="shared" si="382"/>
        <v>2.1201078440347215E-2</v>
      </c>
      <c r="PC99" s="68" t="s">
        <v>1144</v>
      </c>
      <c r="PD99" s="23"/>
      <c r="PE99" s="23"/>
      <c r="PF99" s="23"/>
      <c r="PG99" s="69"/>
      <c r="PH99" s="23">
        <f>'Assets(MOFA)'!GU52</f>
        <v>0.29836968180193063</v>
      </c>
      <c r="PI99" s="23">
        <f>'Assets(MOFA)'!HM52</f>
        <v>0.24519649528144083</v>
      </c>
      <c r="PJ99" s="11">
        <f t="shared" si="516"/>
        <v>3.1468824091092945E-2</v>
      </c>
      <c r="PK99" s="11">
        <f>Liabilities!IP99/MW99/1000</f>
        <v>2.8602760664462143E-2</v>
      </c>
      <c r="PL99" s="11">
        <f>'Assets(MOFA)'!GO52/MM99/1000</f>
        <v>2.1280846136501448E-2</v>
      </c>
      <c r="PM99" s="11">
        <f t="shared" si="429"/>
        <v>7.3219145279606948E-3</v>
      </c>
    </row>
    <row r="100" spans="1:429">
      <c r="B100" s="71">
        <v>2008</v>
      </c>
      <c r="C100" s="43">
        <v>12427.8</v>
      </c>
      <c r="D100" s="5">
        <v>1285.0999999999999</v>
      </c>
      <c r="E100" s="19">
        <f t="shared" si="397"/>
        <v>0.10340526883277812</v>
      </c>
      <c r="F100" s="72">
        <f t="shared" si="398"/>
        <v>0</v>
      </c>
      <c r="G100" s="76">
        <f t="shared" si="399"/>
        <v>878.39999999999986</v>
      </c>
      <c r="H100" s="23">
        <f t="shared" si="400"/>
        <v>7.0680249118910826E-2</v>
      </c>
      <c r="I100" s="72">
        <v>406.7</v>
      </c>
      <c r="J100" s="19">
        <f t="shared" si="401"/>
        <v>3.27250197138673E-2</v>
      </c>
      <c r="K100" s="6">
        <f t="shared" si="402"/>
        <v>0.31647342619251423</v>
      </c>
      <c r="L100" s="136">
        <v>582</v>
      </c>
      <c r="M100" s="19">
        <f t="shared" si="403"/>
        <v>4.6830492927147208E-2</v>
      </c>
      <c r="N100" s="63">
        <f t="shared" si="404"/>
        <v>0.4528830441210801</v>
      </c>
      <c r="O100" s="5">
        <f t="shared" si="405"/>
        <v>1285.0999999999999</v>
      </c>
      <c r="P100" s="75">
        <f t="shared" si="406"/>
        <v>0</v>
      </c>
      <c r="Q100" s="271">
        <v>903</v>
      </c>
      <c r="R100" s="202">
        <v>286.8</v>
      </c>
      <c r="S100" s="53">
        <f t="shared" si="407"/>
        <v>0.22317329390708895</v>
      </c>
      <c r="T100" s="74">
        <v>35.4</v>
      </c>
      <c r="U100" s="74">
        <v>-97.4</v>
      </c>
      <c r="V100" s="207">
        <v>69.400000000000006</v>
      </c>
      <c r="W100" s="53">
        <f t="shared" si="408"/>
        <v>5.4003579487977599E-2</v>
      </c>
      <c r="X100" s="75">
        <f t="shared" si="409"/>
        <v>226.70000000000005</v>
      </c>
      <c r="Y100" s="187">
        <v>242.25538299999999</v>
      </c>
      <c r="Z100" s="75">
        <f t="shared" si="436"/>
        <v>-18.499444120632443</v>
      </c>
      <c r="AA100" s="75"/>
      <c r="AB100" s="75"/>
      <c r="AC100" s="75">
        <f t="shared" si="437"/>
        <v>223.75593887936756</v>
      </c>
      <c r="AD100" s="23">
        <f t="shared" si="410"/>
        <v>0.17411558546367409</v>
      </c>
      <c r="AE100" s="76">
        <f>NIPA_Scorp!C21/1000</f>
        <v>333.69600000000003</v>
      </c>
      <c r="AF100" s="76">
        <v>238.27504940946534</v>
      </c>
      <c r="AG100" s="23">
        <f t="shared" si="385"/>
        <v>0.25966539568905145</v>
      </c>
      <c r="AH100" s="97">
        <v>309.10000000000002</v>
      </c>
      <c r="AI100" s="22">
        <f t="shared" si="411"/>
        <v>2.4871658700654987E-2</v>
      </c>
      <c r="AJ100" s="22">
        <f t="shared" si="412"/>
        <v>2.2320925666650577E-2</v>
      </c>
      <c r="AK100" s="99">
        <f t="shared" si="413"/>
        <v>-9.9999999999965894E-2</v>
      </c>
      <c r="AL100" s="71">
        <v>202.1</v>
      </c>
      <c r="AM100" s="72">
        <f>(0.25*Fedtax!C81+0.75*Fedtax!C80)/1000</f>
        <v>262.81675000000001</v>
      </c>
      <c r="AN100" s="71">
        <v>47.4</v>
      </c>
      <c r="AO100" s="255">
        <v>28</v>
      </c>
      <c r="AP100" s="71">
        <v>31.7</v>
      </c>
      <c r="AQ100" s="6">
        <f t="shared" si="414"/>
        <v>7.8533610132123136E-2</v>
      </c>
      <c r="AR100" s="207">
        <v>100.4</v>
      </c>
      <c r="AS100" s="714">
        <v>100.441913</v>
      </c>
      <c r="AT100" s="210">
        <v>42.258437999999998</v>
      </c>
      <c r="AU100" s="205">
        <f t="shared" si="386"/>
        <v>0.42072514090805896</v>
      </c>
      <c r="AV100" s="709">
        <v>121.158006</v>
      </c>
      <c r="AW100" s="518">
        <v>50.775838999999998</v>
      </c>
      <c r="AX100" s="518">
        <f t="shared" si="387"/>
        <v>70.38216700000001</v>
      </c>
      <c r="AY100" s="520">
        <f t="shared" si="388"/>
        <v>0.4190877736961105</v>
      </c>
      <c r="AZ100" s="777">
        <v>106.499388</v>
      </c>
      <c r="BA100" s="772">
        <f>AW100+AZ100-AV100</f>
        <v>36.117221000000001</v>
      </c>
      <c r="BB100" s="767">
        <f t="shared" si="390"/>
        <v>0.33913078448863954</v>
      </c>
      <c r="BC100" s="210">
        <v>49.725589999999997</v>
      </c>
      <c r="BD100" s="722">
        <f>'Assets(MOFA)'!FJ53/1000</f>
        <v>140.64400000000001</v>
      </c>
      <c r="BE100" s="753">
        <f t="shared" si="532"/>
        <v>0.86145165097693466</v>
      </c>
      <c r="BF100" s="234">
        <v>0.35</v>
      </c>
      <c r="BG100" s="437"/>
      <c r="BH100" s="140">
        <f t="shared" si="464"/>
        <v>0.17508771929824565</v>
      </c>
      <c r="BI100" s="248">
        <f t="shared" si="384"/>
        <v>0.22862557087667607</v>
      </c>
      <c r="BJ100" s="23">
        <f t="shared" si="465"/>
        <v>0.16688972162740903</v>
      </c>
      <c r="BK100" s="30">
        <f t="shared" si="466"/>
        <v>0.22931690048511871</v>
      </c>
      <c r="BL100" s="30">
        <f t="shared" si="467"/>
        <v>0.25471927536191002</v>
      </c>
      <c r="BM100" s="248">
        <f t="shared" si="468"/>
        <v>0.26873706141972836</v>
      </c>
      <c r="BN100" s="23">
        <f t="shared" si="469"/>
        <v>0.3071982281284607</v>
      </c>
      <c r="BO100" s="23">
        <f t="shared" si="470"/>
        <v>0.23314842830727858</v>
      </c>
      <c r="BP100" s="149">
        <f t="shared" si="415"/>
        <v>1285.0999999999999</v>
      </c>
      <c r="BQ100" s="99">
        <f t="shared" si="416"/>
        <v>9.9999999999909051E-2</v>
      </c>
      <c r="BR100" s="153">
        <f t="shared" si="417"/>
        <v>309.10000000000002</v>
      </c>
      <c r="BS100" s="79">
        <v>808.6</v>
      </c>
      <c r="BT100" s="79">
        <v>167.3</v>
      </c>
      <c r="BU100" s="23">
        <f t="shared" si="517"/>
        <v>0.13018442144580189</v>
      </c>
      <c r="BV100" s="71">
        <v>-58.8</v>
      </c>
      <c r="BW100" s="71">
        <f t="shared" si="418"/>
        <v>226.10000000000002</v>
      </c>
      <c r="BX100" s="23">
        <f t="shared" si="419"/>
        <v>0.17593961559411722</v>
      </c>
      <c r="BY100" s="23">
        <f t="shared" si="289"/>
        <v>9.1486265660259913E-2</v>
      </c>
      <c r="BZ100" s="23">
        <f t="shared" si="290"/>
        <v>0.29584475127138582</v>
      </c>
      <c r="CA100" s="23">
        <f t="shared" si="291"/>
        <v>0.30222243795055842</v>
      </c>
      <c r="CB100" s="23">
        <f t="shared" si="531"/>
        <v>0.5559380378657488</v>
      </c>
      <c r="CC100" s="169">
        <f t="shared" si="420"/>
        <v>582</v>
      </c>
      <c r="CD100" s="72">
        <f t="shared" si="518"/>
        <v>0</v>
      </c>
      <c r="CE100" s="76">
        <v>143.91800000000001</v>
      </c>
      <c r="CF100" s="76">
        <v>397.40100000000001</v>
      </c>
      <c r="CG100" s="76">
        <f t="shared" si="519"/>
        <v>40.680999999999983</v>
      </c>
      <c r="CH100" s="23">
        <f t="shared" si="392"/>
        <v>0.68281958762886596</v>
      </c>
      <c r="CI100" s="326">
        <v>405.6</v>
      </c>
      <c r="CJ100" s="153">
        <f t="shared" si="292"/>
        <v>1.0000000000118803E-3</v>
      </c>
      <c r="CK100" s="79">
        <f t="shared" si="520"/>
        <v>397.40100000000001</v>
      </c>
      <c r="CL100" s="159">
        <v>172.44800000000001</v>
      </c>
      <c r="CM100" s="159">
        <v>224.95400000000001</v>
      </c>
      <c r="CN100" s="159">
        <v>265.60000000000002</v>
      </c>
      <c r="CO100" s="159">
        <f t="shared" si="338"/>
        <v>40.646000000000015</v>
      </c>
      <c r="CP100" s="79">
        <v>8.1980000000000004</v>
      </c>
      <c r="CQ100" s="79">
        <v>12.227</v>
      </c>
      <c r="CR100" s="79">
        <v>4.0289999999999999</v>
      </c>
      <c r="CS100" s="23">
        <f t="shared" si="293"/>
        <v>0.5660629943055</v>
      </c>
      <c r="CT100" s="23">
        <f t="shared" si="294"/>
        <v>3.1351645786320131E-3</v>
      </c>
      <c r="CU100" s="73">
        <v>12.645</v>
      </c>
      <c r="CV100" s="378">
        <f t="shared" si="295"/>
        <v>3.9118414177540372E-3</v>
      </c>
      <c r="CW100" s="378">
        <f t="shared" si="296"/>
        <v>3.1176035502958579E-2</v>
      </c>
      <c r="CX100" s="153">
        <f t="shared" si="297"/>
        <v>392.95500000000004</v>
      </c>
      <c r="CY100" s="153">
        <f t="shared" si="298"/>
        <v>1.0000000000331966E-3</v>
      </c>
      <c r="CZ100" s="295">
        <f t="shared" si="299"/>
        <v>405.6</v>
      </c>
      <c r="DA100" s="430">
        <v>40.545999999999999</v>
      </c>
      <c r="DB100" s="153">
        <v>29.876000000000001</v>
      </c>
      <c r="DC100" s="153">
        <v>3.5680000000000001</v>
      </c>
      <c r="DD100" s="153">
        <v>4.6849999999999996</v>
      </c>
      <c r="DE100" s="153">
        <v>1.665</v>
      </c>
      <c r="DF100" s="153">
        <f t="shared" si="528"/>
        <v>0.75199999999999889</v>
      </c>
      <c r="DG100" s="425">
        <v>179.733</v>
      </c>
      <c r="DH100" s="140">
        <f t="shared" si="521"/>
        <v>0.44312869822485207</v>
      </c>
      <c r="DI100" s="182">
        <v>392.95400000000001</v>
      </c>
      <c r="DJ100" s="79">
        <v>30.327000000000002</v>
      </c>
      <c r="DK100" s="79">
        <v>48.311999999999998</v>
      </c>
      <c r="DL100" s="79">
        <v>20.762</v>
      </c>
      <c r="DM100" s="79">
        <v>19.620999999999999</v>
      </c>
      <c r="DN100" s="79">
        <v>50.447000000000003</v>
      </c>
      <c r="DO100" s="79">
        <v>25.033000000000001</v>
      </c>
      <c r="DP100" s="79">
        <v>0.16800000000000001</v>
      </c>
      <c r="DQ100" s="79">
        <v>17.195</v>
      </c>
      <c r="DR100" s="79">
        <f t="shared" si="471"/>
        <v>186.66399999999999</v>
      </c>
      <c r="DS100" s="79">
        <f t="shared" si="472"/>
        <v>206.29000000000002</v>
      </c>
      <c r="DT100" s="79">
        <v>8.8170000000000002</v>
      </c>
      <c r="DU100" s="23">
        <f t="shared" si="473"/>
        <v>4.274080178389645E-2</v>
      </c>
      <c r="DV100" s="23">
        <f t="shared" si="474"/>
        <v>7.7176972368267024E-2</v>
      </c>
      <c r="DW100" s="23">
        <f t="shared" si="475"/>
        <v>0.12294568829939381</v>
      </c>
      <c r="DX100" s="23">
        <f t="shared" si="476"/>
        <v>5.2835700870839844E-2</v>
      </c>
      <c r="DY100" s="23">
        <f t="shared" si="477"/>
        <v>4.9932053115631848E-2</v>
      </c>
      <c r="DZ100" s="23">
        <f t="shared" si="478"/>
        <v>0.12837889422171553</v>
      </c>
      <c r="EA100" s="23">
        <f t="shared" si="479"/>
        <v>6.3704657542613133E-2</v>
      </c>
      <c r="EB100" s="23">
        <f t="shared" si="480"/>
        <v>4.2753095782203514E-4</v>
      </c>
      <c r="EC100" s="23">
        <f t="shared" si="481"/>
        <v>4.3758302498511273E-2</v>
      </c>
      <c r="ED100" s="23">
        <f t="shared" si="482"/>
        <v>0.47502761137435934</v>
      </c>
      <c r="EE100" s="153">
        <v>76.858000000000004</v>
      </c>
      <c r="EF100" s="23">
        <f t="shared" si="300"/>
        <v>0.19559032354932129</v>
      </c>
      <c r="EG100" s="182">
        <v>212.30799999999999</v>
      </c>
      <c r="EH100" s="79">
        <v>22.366</v>
      </c>
      <c r="EI100" s="79">
        <v>26.445</v>
      </c>
      <c r="EJ100" s="79">
        <v>19.05</v>
      </c>
      <c r="EK100" s="79">
        <v>14.866</v>
      </c>
      <c r="EL100" s="79">
        <v>27.568999999999999</v>
      </c>
      <c r="EM100" s="79">
        <v>7.2729999999999997</v>
      </c>
      <c r="EN100" s="28">
        <f t="shared" si="301"/>
        <v>117.569</v>
      </c>
      <c r="EO100" s="23">
        <f t="shared" si="302"/>
        <v>0.63622078109557134</v>
      </c>
      <c r="EP100" s="79">
        <f t="shared" si="303"/>
        <v>94.73899999999999</v>
      </c>
      <c r="EQ100" s="23">
        <f t="shared" si="304"/>
        <v>0.55376622642575879</v>
      </c>
      <c r="ER100" s="182">
        <f t="shared" si="268"/>
        <v>384.75600000000003</v>
      </c>
      <c r="ES100" s="185"/>
      <c r="ET100" s="136">
        <f>'Assets(MOFA)'!W53/1000</f>
        <v>449.15800000000002</v>
      </c>
      <c r="EU100" s="136">
        <f t="shared" si="339"/>
        <v>308.51400000000001</v>
      </c>
      <c r="EV100" s="589">
        <f t="shared" si="340"/>
        <v>0.80184324610922242</v>
      </c>
      <c r="EW100" s="153">
        <f t="shared" si="439"/>
        <v>30.125089182663864</v>
      </c>
      <c r="EX100" s="153">
        <f t="shared" si="440"/>
        <v>47.469278884034139</v>
      </c>
      <c r="EY100" s="153">
        <f t="shared" si="441"/>
        <v>20.116836798868711</v>
      </c>
      <c r="EZ100" s="153">
        <f t="shared" si="442"/>
        <v>19.414885822773762</v>
      </c>
      <c r="FA100" s="153">
        <f t="shared" si="443"/>
        <v>50.4449953206678</v>
      </c>
      <c r="FB100" s="153">
        <f t="shared" si="444"/>
        <v>25.024783239753301</v>
      </c>
      <c r="FC100" s="153"/>
      <c r="FD100" s="153">
        <f t="shared" si="445"/>
        <v>17.221683251917714</v>
      </c>
      <c r="FE100" s="153">
        <f t="shared" si="483"/>
        <v>184.79276926092598</v>
      </c>
      <c r="FF100" s="153">
        <f t="shared" si="484"/>
        <v>203.9351322886483</v>
      </c>
      <c r="FG100" s="23">
        <f t="shared" si="446"/>
        <v>7.8296606635540084E-2</v>
      </c>
      <c r="FH100" s="23">
        <f t="shared" si="447"/>
        <v>0.12337501919147235</v>
      </c>
      <c r="FI100" s="23">
        <f t="shared" si="448"/>
        <v>5.2284660405214498E-2</v>
      </c>
      <c r="FJ100" s="23">
        <f t="shared" si="449"/>
        <v>5.0460254870031293E-2</v>
      </c>
      <c r="FK100" s="23">
        <f t="shared" si="450"/>
        <v>0.13110905436346099</v>
      </c>
      <c r="FL100" s="23">
        <f t="shared" si="451"/>
        <v>6.5040657558955023E-2</v>
      </c>
      <c r="FM100" s="23"/>
      <c r="FN100" s="23">
        <f t="shared" si="452"/>
        <v>4.4760012194527736E-2</v>
      </c>
      <c r="FO100" s="23">
        <f t="shared" si="421"/>
        <v>0.48028560766024697</v>
      </c>
      <c r="FP100" s="23">
        <f t="shared" si="422"/>
        <v>0.51971439233975303</v>
      </c>
      <c r="FQ100" s="23">
        <f t="shared" si="423"/>
        <v>0.21751320804471538</v>
      </c>
      <c r="FR100" s="23">
        <f t="shared" si="424"/>
        <v>0.23536983607636472</v>
      </c>
      <c r="FS100" s="23">
        <f t="shared" si="425"/>
        <v>2.249201175254379E-2</v>
      </c>
      <c r="FT100" s="393">
        <f t="shared" si="426"/>
        <v>1.4309885285614181E-2</v>
      </c>
      <c r="FU100" s="393">
        <f t="shared" si="427"/>
        <v>8.1821264669296092E-3</v>
      </c>
      <c r="FV100" s="23">
        <f t="shared" si="428"/>
        <v>2.433848117460341E-2</v>
      </c>
      <c r="FW100" s="326">
        <f t="shared" si="305"/>
        <v>8.1980000000000004</v>
      </c>
      <c r="FX100" s="384">
        <f t="shared" si="430"/>
        <v>0.20191081733613905</v>
      </c>
      <c r="FY100" s="384">
        <f t="shared" si="431"/>
        <v>0.84272111596585775</v>
      </c>
      <c r="FZ100" s="384">
        <f t="shared" si="432"/>
        <v>0.64516320113129033</v>
      </c>
      <c r="GA100" s="384">
        <f t="shared" si="433"/>
        <v>0.20611417722623629</v>
      </c>
      <c r="GB100" s="384">
        <f t="shared" si="434"/>
        <v>2.0046793322001863E-3</v>
      </c>
      <c r="GC100" s="384">
        <f t="shared" si="435"/>
        <v>8.2167602466995827E-3</v>
      </c>
      <c r="GD100" s="153"/>
      <c r="GE100" s="153">
        <f t="shared" si="453"/>
        <v>-2.6683251917713046E-2</v>
      </c>
      <c r="GF100" s="153">
        <f t="shared" si="485"/>
        <v>1.8712307390740106</v>
      </c>
      <c r="GG100" s="153">
        <f t="shared" si="277"/>
        <v>2.3548677113517109</v>
      </c>
      <c r="GH100" s="182">
        <v>308.29599999999999</v>
      </c>
      <c r="GI100" s="79">
        <v>31.795000000000002</v>
      </c>
      <c r="GJ100" s="79">
        <v>38.639000000000003</v>
      </c>
      <c r="GK100" s="79">
        <v>27.079000000000001</v>
      </c>
      <c r="GL100" s="79">
        <v>25.167999999999999</v>
      </c>
      <c r="GM100" s="79">
        <f t="shared" si="342"/>
        <v>43.353999999999999</v>
      </c>
      <c r="GN100" s="79">
        <v>7.8239999999999998</v>
      </c>
      <c r="GO100" s="79">
        <v>35.53</v>
      </c>
      <c r="GP100" s="79">
        <v>8.1319999999999997</v>
      </c>
      <c r="GQ100" s="79">
        <v>8.5719999999999992</v>
      </c>
      <c r="GR100" s="79">
        <f t="shared" si="523"/>
        <v>174.60700000000003</v>
      </c>
      <c r="GS100" s="79">
        <f t="shared" si="343"/>
        <v>133.68899999999996</v>
      </c>
      <c r="GT100" s="23">
        <f t="shared" si="524"/>
        <v>0.5663615486415654</v>
      </c>
      <c r="GU100" s="362">
        <f t="shared" si="259"/>
        <v>339.34499999999997</v>
      </c>
      <c r="GV100" s="153">
        <f t="shared" si="344"/>
        <v>127.03700000000001</v>
      </c>
      <c r="GW100" s="153">
        <f t="shared" si="308"/>
        <v>212.30799999999999</v>
      </c>
      <c r="GX100" s="153">
        <f t="shared" si="309"/>
        <v>23.227000000000004</v>
      </c>
      <c r="GY100" s="153">
        <f t="shared" si="310"/>
        <v>35.682000000000002</v>
      </c>
      <c r="GZ100" s="153">
        <f t="shared" si="226"/>
        <v>29.753</v>
      </c>
      <c r="HA100" s="153">
        <f t="shared" si="227"/>
        <v>20.948999999999998</v>
      </c>
      <c r="HB100" s="153">
        <f t="shared" si="228"/>
        <v>41.031999999999996</v>
      </c>
      <c r="HC100" s="153">
        <f t="shared" si="229"/>
        <v>12.882999999999999</v>
      </c>
      <c r="HD100" s="352"/>
      <c r="HE100" s="153">
        <f t="shared" si="231"/>
        <v>8.9339999999999993</v>
      </c>
      <c r="HF100" s="153">
        <f t="shared" si="311"/>
        <v>159.577</v>
      </c>
      <c r="HG100" s="23">
        <f t="shared" si="345"/>
        <v>0.47025004051923563</v>
      </c>
      <c r="HH100" s="156">
        <f t="shared" si="346"/>
        <v>248.26500000000033</v>
      </c>
      <c r="HI100" s="182">
        <f t="shared" si="312"/>
        <v>95.988</v>
      </c>
      <c r="HJ100" s="88">
        <v>0</v>
      </c>
      <c r="HK100" s="79">
        <f t="shared" si="313"/>
        <v>9.429000000000002</v>
      </c>
      <c r="HL100" s="79">
        <f t="shared" si="314"/>
        <v>12.194000000000003</v>
      </c>
      <c r="HM100" s="79">
        <f t="shared" si="315"/>
        <v>8.0289999999999999</v>
      </c>
      <c r="HN100" s="79">
        <f t="shared" si="316"/>
        <v>10.302</v>
      </c>
      <c r="HO100" s="79">
        <f t="shared" si="317"/>
        <v>15.785</v>
      </c>
      <c r="HP100" s="79">
        <f t="shared" si="318"/>
        <v>1.2989999999999995</v>
      </c>
      <c r="HQ100" s="79">
        <f t="shared" si="525"/>
        <v>57.038000000000004</v>
      </c>
      <c r="HR100" s="79">
        <f t="shared" si="383"/>
        <v>38.949999999999996</v>
      </c>
      <c r="HS100" s="23">
        <f t="shared" si="321"/>
        <v>0.59422011084718929</v>
      </c>
      <c r="HT100" s="28">
        <v>127.03700000000001</v>
      </c>
      <c r="HU100" s="79">
        <v>0.86</v>
      </c>
      <c r="HV100" s="79">
        <v>9.2370000000000001</v>
      </c>
      <c r="HW100" s="79">
        <v>10.704000000000001</v>
      </c>
      <c r="HX100" s="79">
        <v>6.0830000000000002</v>
      </c>
      <c r="HY100" s="79">
        <v>13.462999999999999</v>
      </c>
      <c r="HZ100" s="79">
        <v>3.194</v>
      </c>
      <c r="IA100" s="79"/>
      <c r="IB100" s="79">
        <v>1.661</v>
      </c>
      <c r="IC100" s="79">
        <f t="shared" si="526"/>
        <v>42.008000000000003</v>
      </c>
      <c r="ID100" s="79">
        <f t="shared" si="347"/>
        <v>85.028999999999996</v>
      </c>
      <c r="IE100" s="23">
        <f t="shared" si="348"/>
        <v>0.33067531506568953</v>
      </c>
      <c r="IF100" s="316">
        <v>-31.048999999999999</v>
      </c>
      <c r="IG100" s="153">
        <v>8.5679999999999996</v>
      </c>
      <c r="IH100" s="153">
        <v>2.9569999999999999</v>
      </c>
      <c r="II100" s="153">
        <v>-2.6739999999999999</v>
      </c>
      <c r="IJ100" s="153">
        <v>4.2190000000000003</v>
      </c>
      <c r="IK100" s="153">
        <v>2.3220000000000001</v>
      </c>
      <c r="IL100" s="153">
        <v>-5.0590000000000002</v>
      </c>
      <c r="IM100" s="153"/>
      <c r="IN100" s="153">
        <v>-0.36199999999999999</v>
      </c>
      <c r="IO100" s="153">
        <f t="shared" si="349"/>
        <v>15.03</v>
      </c>
      <c r="IP100" s="153">
        <f t="shared" si="522"/>
        <v>-46.079000000000001</v>
      </c>
      <c r="IQ100" s="258">
        <f t="shared" si="350"/>
        <v>-9.7520000000000095</v>
      </c>
      <c r="IR100" s="149">
        <f t="shared" si="323"/>
        <v>3232.4929999999999</v>
      </c>
      <c r="IS100" s="153">
        <f t="shared" si="351"/>
        <v>238.51299999999992</v>
      </c>
      <c r="IT100" s="153">
        <f t="shared" si="529"/>
        <v>-9.999999998626663E-4</v>
      </c>
      <c r="IU100" s="153">
        <f t="shared" si="352"/>
        <v>212.30799999999999</v>
      </c>
      <c r="IV100" s="153">
        <f t="shared" si="324"/>
        <v>127.03700000000001</v>
      </c>
      <c r="IW100" s="153">
        <v>-31.048999999999999</v>
      </c>
      <c r="IX100" s="153">
        <f t="shared" si="530"/>
        <v>-69.784000000000006</v>
      </c>
      <c r="IY100" s="153">
        <v>-69.53</v>
      </c>
      <c r="IZ100" s="153">
        <v>-43.292000000000002</v>
      </c>
      <c r="JA100" s="153">
        <v>43.037999999999997</v>
      </c>
      <c r="JB100" s="23">
        <f t="shared" si="486"/>
        <v>0.26010178792706673</v>
      </c>
      <c r="JC100" s="23">
        <f t="shared" si="487"/>
        <v>0.10870226427847247</v>
      </c>
      <c r="JD100" s="23">
        <f t="shared" si="488"/>
        <v>0.15139952364859427</v>
      </c>
      <c r="JE100" s="22">
        <f t="shared" si="489"/>
        <v>1.7083313217142213E-2</v>
      </c>
      <c r="JF100" s="22">
        <f t="shared" si="326"/>
        <v>1.0222002285199313E-2</v>
      </c>
      <c r="JG100" s="22">
        <f t="shared" si="327"/>
        <v>-2.4983504723281678E-3</v>
      </c>
      <c r="JH100" s="5">
        <v>3232.4929999999999</v>
      </c>
      <c r="JI100" s="192">
        <v>121.988</v>
      </c>
      <c r="JJ100" s="76">
        <v>150.131</v>
      </c>
      <c r="JK100" s="76">
        <v>423.05900000000003</v>
      </c>
      <c r="JL100" s="76">
        <v>172.251</v>
      </c>
      <c r="JM100" s="76">
        <v>133.22200000000001</v>
      </c>
      <c r="JN100" s="76">
        <f t="shared" si="354"/>
        <v>389.09799999999996</v>
      </c>
      <c r="JO100" s="76">
        <v>207.547</v>
      </c>
      <c r="JP100" s="76">
        <v>181.55099999999999</v>
      </c>
      <c r="JQ100" s="76">
        <v>13.314</v>
      </c>
      <c r="JR100" s="76">
        <v>83.168999999999997</v>
      </c>
      <c r="JS100" s="76">
        <f t="shared" si="527"/>
        <v>1350.93</v>
      </c>
      <c r="JT100" s="76">
        <f t="shared" si="355"/>
        <v>1881.5629999999999</v>
      </c>
      <c r="JU100" s="23">
        <f t="shared" si="356"/>
        <v>0.41792201870197404</v>
      </c>
      <c r="JV100" s="23">
        <f t="shared" si="357"/>
        <v>4.6444338781244078E-2</v>
      </c>
      <c r="JW100" s="23">
        <f t="shared" si="358"/>
        <v>0.13087700421934403</v>
      </c>
      <c r="JX100" s="23">
        <f t="shared" si="359"/>
        <v>5.3287354373234529E-2</v>
      </c>
      <c r="JY100" s="23">
        <f t="shared" si="360"/>
        <v>4.1213391645395676E-2</v>
      </c>
      <c r="JZ100" s="23">
        <f t="shared" si="361"/>
        <v>0.12037087164612575</v>
      </c>
      <c r="KA100" s="23">
        <f t="shared" si="362"/>
        <v>2.5729058036629931E-2</v>
      </c>
      <c r="KB100" s="149">
        <v>174.27099999999999</v>
      </c>
      <c r="KC100" s="316">
        <v>504.20299999999997</v>
      </c>
      <c r="KD100" s="316">
        <v>329.93299999999999</v>
      </c>
      <c r="KE100" s="589">
        <f t="shared" si="242"/>
        <v>0.65436540441052515</v>
      </c>
      <c r="KF100" s="1071">
        <v>0</v>
      </c>
      <c r="KG100" s="319">
        <f>KG99+(KG$101-KG$98)/3</f>
        <v>8.3261666666666656</v>
      </c>
      <c r="KH100" s="319">
        <f t="shared" si="533"/>
        <v>34.75116666666667</v>
      </c>
      <c r="KI100" s="319">
        <f t="shared" si="533"/>
        <v>26.604499999999998</v>
      </c>
      <c r="KJ100" s="319">
        <f t="shared" si="533"/>
        <v>8.4995000000000012</v>
      </c>
      <c r="KK100" s="319">
        <f t="shared" si="533"/>
        <v>8.2666666666666444E-2</v>
      </c>
      <c r="KL100" s="319">
        <f t="shared" si="533"/>
        <v>0.33883333333333354</v>
      </c>
      <c r="KM100" s="319"/>
      <c r="KN100" s="319"/>
      <c r="KO100" s="319"/>
      <c r="KP100" s="319">
        <f t="shared" si="533"/>
        <v>-1.1003333333333336</v>
      </c>
      <c r="KQ100" s="157">
        <f t="shared" si="328"/>
        <v>77.163666666666657</v>
      </c>
      <c r="KR100" s="153">
        <f t="shared" si="329"/>
        <v>97.10733333333333</v>
      </c>
      <c r="KS100" s="23">
        <f t="shared" si="490"/>
        <v>7.8137187059120154E-3</v>
      </c>
      <c r="KT100" s="23"/>
      <c r="KU100" s="326">
        <v>3058.2220000000002</v>
      </c>
      <c r="KV100" s="430">
        <f t="shared" si="252"/>
        <v>121.988</v>
      </c>
      <c r="KW100" s="322">
        <f t="shared" si="491"/>
        <v>141.80483333333333</v>
      </c>
      <c r="KX100" s="322">
        <f t="shared" si="492"/>
        <v>388.30783333333335</v>
      </c>
      <c r="KY100" s="322">
        <f t="shared" si="493"/>
        <v>145.6465</v>
      </c>
      <c r="KZ100" s="322">
        <f t="shared" si="494"/>
        <v>124.72250000000001</v>
      </c>
      <c r="LA100" s="322">
        <f t="shared" si="495"/>
        <v>389.01533333333327</v>
      </c>
      <c r="LB100" s="322">
        <f t="shared" si="496"/>
        <v>207.20816666666667</v>
      </c>
      <c r="LC100" s="322"/>
      <c r="LD100" s="322">
        <f t="shared" si="455"/>
        <v>84.269333333333336</v>
      </c>
      <c r="LE100" s="322">
        <f t="shared" si="456"/>
        <v>1273.7663333333335</v>
      </c>
      <c r="LF100" s="322">
        <f t="shared" si="497"/>
        <v>0</v>
      </c>
      <c r="LG100" s="322">
        <f t="shared" si="498"/>
        <v>1784.4556666666665</v>
      </c>
      <c r="LH100" s="367">
        <f t="shared" si="499"/>
        <v>0.41650551638610062</v>
      </c>
      <c r="LI100" s="248">
        <f t="shared" si="457"/>
        <v>4.636839095831935E-2</v>
      </c>
      <c r="LJ100" s="248">
        <f t="shared" si="458"/>
        <v>0.1269717611518501</v>
      </c>
      <c r="LK100" s="248">
        <f t="shared" si="459"/>
        <v>4.7624567477442772E-2</v>
      </c>
      <c r="LL100" s="248">
        <f t="shared" si="460"/>
        <v>4.0782683533111722E-2</v>
      </c>
      <c r="LM100" s="248">
        <f t="shared" si="461"/>
        <v>0.12720310472337629</v>
      </c>
      <c r="LN100" s="248">
        <f t="shared" si="462"/>
        <v>6.7754455584541171E-2</v>
      </c>
      <c r="LO100" s="248"/>
      <c r="LP100" s="248">
        <f t="shared" si="463"/>
        <v>2.7555008542000329E-2</v>
      </c>
      <c r="LQ100" s="248">
        <f t="shared" si="500"/>
        <v>0.24607911295643642</v>
      </c>
      <c r="LR100" s="23">
        <f t="shared" si="501"/>
        <v>0.14358580494268225</v>
      </c>
      <c r="LS100" s="23">
        <f t="shared" si="502"/>
        <v>0.10249330801375413</v>
      </c>
      <c r="LT100" s="326">
        <v>779.06399999999996</v>
      </c>
      <c r="LU100" s="153">
        <f t="shared" si="363"/>
        <v>-9.9999999997635314E-4</v>
      </c>
      <c r="LV100" s="153">
        <f t="shared" si="503"/>
        <v>174.27099999999999</v>
      </c>
      <c r="LW100" s="153">
        <f t="shared" si="504"/>
        <v>329.93299999999999</v>
      </c>
      <c r="LX100" s="153">
        <v>274.86099999999999</v>
      </c>
      <c r="LY100" s="23">
        <f>LX100/Liabilities!GT100</f>
        <v>0.1300901010057027</v>
      </c>
      <c r="LZ100" s="23">
        <f t="shared" si="253"/>
        <v>0.36127939179730784</v>
      </c>
      <c r="MA100" s="425">
        <v>1090.732</v>
      </c>
      <c r="MB100" s="153">
        <f t="shared" si="364"/>
        <v>0</v>
      </c>
      <c r="MC100" s="153">
        <v>485.93799999999999</v>
      </c>
      <c r="MD100" s="153">
        <f t="shared" si="365"/>
        <v>274.86099999999999</v>
      </c>
      <c r="ME100" s="153">
        <f t="shared" si="366"/>
        <v>329.93299999999999</v>
      </c>
      <c r="MF100" s="153">
        <v>760.79899999999998</v>
      </c>
      <c r="MG100" s="153">
        <f t="shared" si="505"/>
        <v>504.20299999999997</v>
      </c>
      <c r="MH100" s="326">
        <f t="shared" si="506"/>
        <v>3058.2220000000002</v>
      </c>
      <c r="MI100" s="1008">
        <f>FoF_RoW!$BH70/1000</f>
        <v>3929.4989999999998</v>
      </c>
      <c r="MJ100" s="1008">
        <v>4534.2920000000004</v>
      </c>
      <c r="MK100" s="1008">
        <f>FoF_RoW!$AU70/1000</f>
        <v>320.94200000000001</v>
      </c>
      <c r="ML100" s="1008">
        <f t="shared" si="254"/>
        <v>206.3779999999997</v>
      </c>
      <c r="MM100" s="425">
        <f t="shared" si="507"/>
        <v>3755.2279999999996</v>
      </c>
      <c r="MN100" s="23">
        <f t="shared" si="508"/>
        <v>1.2279121659578669</v>
      </c>
      <c r="MO100" s="153">
        <v>3707.2109999999998</v>
      </c>
      <c r="MP100" s="425">
        <v>2928.1469999999999</v>
      </c>
      <c r="MQ100" s="23">
        <f t="shared" si="367"/>
        <v>0.95746711651410521</v>
      </c>
      <c r="MR100" s="23">
        <f t="shared" si="368"/>
        <v>0.77975212157557416</v>
      </c>
      <c r="MS100" s="153">
        <f t="shared" si="509"/>
        <v>174.27099999999999</v>
      </c>
      <c r="MT100" s="153">
        <v>779.06399999999996</v>
      </c>
      <c r="MU100" s="153">
        <v>1090.732</v>
      </c>
      <c r="MV100" s="153">
        <v>2000.508</v>
      </c>
      <c r="MW100" s="153">
        <v>2112.85</v>
      </c>
      <c r="MX100" s="23">
        <f t="shared" si="369"/>
        <v>0.94682916439879794</v>
      </c>
      <c r="MY100" s="425">
        <f t="shared" si="255"/>
        <v>-4222.741</v>
      </c>
      <c r="MZ100" s="23">
        <f t="shared" si="510"/>
        <v>-0.33978186002349575</v>
      </c>
      <c r="NA100" s="154">
        <v>19423.416000000001</v>
      </c>
      <c r="NB100" s="153">
        <v>23418.718000000001</v>
      </c>
      <c r="NC100" s="425">
        <f t="shared" si="330"/>
        <v>-3508.0020000000004</v>
      </c>
      <c r="ND100" s="23">
        <f t="shared" si="331"/>
        <v>-0.28227055472408635</v>
      </c>
      <c r="NE100" s="330">
        <f t="shared" si="332"/>
        <v>1330.7099999999996</v>
      </c>
      <c r="NF100" s="23">
        <f t="shared" si="333"/>
        <v>0.10707526674069422</v>
      </c>
      <c r="NG100" s="330">
        <f t="shared" si="334"/>
        <v>615.97099999999978</v>
      </c>
      <c r="NH100" s="23">
        <f t="shared" si="335"/>
        <v>4.9563961441284846E-2</v>
      </c>
      <c r="NI100" s="330">
        <v>227.43899999999999</v>
      </c>
      <c r="NJ100" s="425">
        <v>267.79500000000002</v>
      </c>
      <c r="NK100" s="403">
        <f t="shared" si="393"/>
        <v>2.1548061603823689E-2</v>
      </c>
      <c r="NL100" s="153">
        <v>284.29199999999997</v>
      </c>
      <c r="NM100" s="153">
        <v>413.73899999999998</v>
      </c>
      <c r="NN100" s="153">
        <v>129.447</v>
      </c>
      <c r="NO100" s="425">
        <f t="shared" si="100"/>
        <v>141.346</v>
      </c>
      <c r="NP100" s="153">
        <v>810.20299999999997</v>
      </c>
      <c r="NQ100" s="153">
        <v>668.85699999999997</v>
      </c>
      <c r="NR100" s="403">
        <f t="shared" si="394"/>
        <v>1.13733726001384E-2</v>
      </c>
      <c r="NS100" s="403">
        <f t="shared" si="395"/>
        <v>2.1548061603823689E-2</v>
      </c>
      <c r="NT100" s="403">
        <f t="shared" si="396"/>
        <v>-1.0174689003685289E-2</v>
      </c>
      <c r="NU100" s="727">
        <f t="shared" si="511"/>
        <v>0.1313991408218235</v>
      </c>
      <c r="NV100" s="688">
        <f t="shared" si="512"/>
        <v>0.10245875882902451</v>
      </c>
      <c r="NW100" s="688">
        <f t="shared" si="513"/>
        <v>0.12581035647510219</v>
      </c>
      <c r="NX100" s="793">
        <f>(ER100-T.A2!B52*T.A1!M52)/MP100</f>
        <v>9.7592311064936987E-2</v>
      </c>
      <c r="NY100" s="688">
        <f>Liabilities!BU100/Liabilities!GY100</f>
        <v>5.0551160005358635E-2</v>
      </c>
      <c r="NZ100" s="688">
        <f>Liabilities!BU100/Liabilities!GT100</f>
        <v>4.7863289933838211E-2</v>
      </c>
      <c r="OA100" s="688">
        <f>Liabilities!BU100/Liabilities!GR100</f>
        <v>6.4795610752196253E-2</v>
      </c>
      <c r="OB100" s="688">
        <f t="shared" si="256"/>
        <v>8.0847980816464854E-2</v>
      </c>
      <c r="OC100" s="688">
        <f t="shared" si="257"/>
        <v>5.4595468895186301E-2</v>
      </c>
      <c r="OD100" s="688"/>
      <c r="OE100" s="793">
        <f t="shared" si="514"/>
        <v>0.10582606435614564</v>
      </c>
      <c r="OF100" s="793">
        <f>OE100/(1-'Assets(MOFA)'!GU53)</f>
        <v>0.15406958327362019</v>
      </c>
      <c r="OG100" s="793">
        <f>Liabilities!HV100</f>
        <v>5.2971779751615503E-2</v>
      </c>
      <c r="OH100" s="793">
        <f t="shared" si="438"/>
        <v>5.2854284604530136E-2</v>
      </c>
      <c r="OI100" s="22">
        <f t="shared" si="336"/>
        <v>2.4250153212099095E-2</v>
      </c>
      <c r="OJ100" s="22">
        <f t="shared" si="337"/>
        <v>1.2211570227894755E-2</v>
      </c>
      <c r="OK100" s="403">
        <f>Liabilities!CT100/LX100</f>
        <v>2.0363019853671494E-2</v>
      </c>
      <c r="OL100" s="403">
        <f>Liabilities!CU100/MF100</f>
        <v>3.9681965933183405E-2</v>
      </c>
      <c r="OM100" s="153"/>
      <c r="OO100" s="186">
        <f t="shared" si="515"/>
        <v>0.10571892743846843</v>
      </c>
      <c r="OP100" s="308">
        <f t="shared" si="370"/>
        <v>0.30216353658732842</v>
      </c>
      <c r="OQ100" s="308">
        <f t="shared" si="371"/>
        <v>3.1944404999026774E-2</v>
      </c>
      <c r="OR100" s="313">
        <f t="shared" si="372"/>
        <v>0</v>
      </c>
      <c r="OS100" s="23">
        <f t="shared" si="373"/>
        <v>0.17851456788788664</v>
      </c>
      <c r="OT100" s="23">
        <f t="shared" si="374"/>
        <v>0.10272421665494767</v>
      </c>
      <c r="OU100" s="23">
        <f t="shared" si="375"/>
        <v>0.11606358886391793</v>
      </c>
      <c r="OV100" s="23">
        <f t="shared" si="376"/>
        <v>0.13080561554514339</v>
      </c>
      <c r="OW100" s="23">
        <f t="shared" si="377"/>
        <v>0.10896517529913517</v>
      </c>
      <c r="OX100" s="23">
        <f t="shared" si="378"/>
        <v>0.10148452227537745</v>
      </c>
      <c r="OY100" s="23">
        <f t="shared" si="379"/>
        <v>0.17172850714691618</v>
      </c>
      <c r="OZ100" s="23">
        <f t="shared" si="380"/>
        <v>0.12190781948469005</v>
      </c>
      <c r="PA100" s="23">
        <f t="shared" si="381"/>
        <v>9.603347444298789E-2</v>
      </c>
      <c r="PB100" s="23">
        <f t="shared" si="382"/>
        <v>2.5874345041702163E-2</v>
      </c>
      <c r="PC100" s="23"/>
      <c r="PD100" s="23"/>
      <c r="PE100" s="23"/>
      <c r="PF100" s="23"/>
      <c r="PG100" s="69"/>
      <c r="PH100" s="23">
        <f>'Assets(MOFA)'!GU53</f>
        <v>0.31312811972624333</v>
      </c>
      <c r="PI100" s="23">
        <f>'Assets(MOFA)'!HM53</f>
        <v>0.21777382085495825</v>
      </c>
      <c r="PJ100" s="11">
        <f t="shared" si="516"/>
        <v>2.8524787312335747E-2</v>
      </c>
      <c r="PK100" s="11">
        <f>Liabilities!IP100/MW100/1000</f>
        <v>1.3496462124618407E-2</v>
      </c>
      <c r="PL100" s="11">
        <f>'Assets(MOFA)'!GO53/MM100/1000</f>
        <v>1.6987715045633102E-2</v>
      </c>
      <c r="PM100" s="11">
        <f t="shared" si="429"/>
        <v>-3.4912529210146953E-3</v>
      </c>
    </row>
    <row r="101" spans="1:429" s="113" customFormat="1">
      <c r="B101" s="103">
        <v>2009</v>
      </c>
      <c r="C101" s="104">
        <v>12126.1</v>
      </c>
      <c r="D101" s="8">
        <v>1397</v>
      </c>
      <c r="E101" s="107">
        <f t="shared" si="397"/>
        <v>0.11520604316309448</v>
      </c>
      <c r="F101" s="106">
        <f t="shared" si="398"/>
        <v>0</v>
      </c>
      <c r="G101" s="108">
        <f t="shared" si="399"/>
        <v>1039.8</v>
      </c>
      <c r="H101" s="105">
        <f t="shared" si="400"/>
        <v>8.574892174730539E-2</v>
      </c>
      <c r="I101" s="106">
        <v>357.2</v>
      </c>
      <c r="J101" s="107">
        <f t="shared" si="401"/>
        <v>2.945712141578908E-2</v>
      </c>
      <c r="K101" s="105">
        <f t="shared" si="402"/>
        <v>0.25569076592698642</v>
      </c>
      <c r="L101" s="134">
        <v>498.09999999999997</v>
      </c>
      <c r="M101" s="107">
        <f t="shared" si="403"/>
        <v>4.1076685826440487E-2</v>
      </c>
      <c r="N101" s="116">
        <f t="shared" si="404"/>
        <v>0.35654974946313528</v>
      </c>
      <c r="O101" s="8">
        <f t="shared" si="405"/>
        <v>1397</v>
      </c>
      <c r="P101" s="108">
        <f t="shared" si="406"/>
        <v>0</v>
      </c>
      <c r="Q101" s="270">
        <v>828.8</v>
      </c>
      <c r="R101" s="201">
        <v>313.5</v>
      </c>
      <c r="S101" s="109">
        <f t="shared" si="407"/>
        <v>0.22440944881889763</v>
      </c>
      <c r="T101" s="103">
        <v>47.6</v>
      </c>
      <c r="U101" s="103">
        <v>-75.5</v>
      </c>
      <c r="V101" s="206">
        <v>59.3</v>
      </c>
      <c r="W101" s="109">
        <f t="shared" si="408"/>
        <v>4.2448103078024338E-2</v>
      </c>
      <c r="X101" s="108">
        <f t="shared" si="409"/>
        <v>341.90000000000009</v>
      </c>
      <c r="Y101" s="188">
        <v>222.588503</v>
      </c>
      <c r="Z101" s="108">
        <f t="shared" si="436"/>
        <v>-16.997614344626253</v>
      </c>
      <c r="AA101" s="108"/>
      <c r="AB101" s="108"/>
      <c r="AC101" s="108">
        <f t="shared" si="437"/>
        <v>205.59088865537376</v>
      </c>
      <c r="AD101" s="105">
        <f t="shared" si="410"/>
        <v>0.1471659904476548</v>
      </c>
      <c r="AE101" s="108">
        <f>NIPA_Scorp!C22/1000</f>
        <v>274.17566800000003</v>
      </c>
      <c r="AF101" s="108">
        <v>219.18891749091705</v>
      </c>
      <c r="AG101" s="105">
        <f t="shared" si="385"/>
        <v>0.19626032068718685</v>
      </c>
      <c r="AH101" s="110">
        <v>269.39999999999998</v>
      </c>
      <c r="AI101" s="107">
        <f t="shared" si="411"/>
        <v>2.2216541179769254E-2</v>
      </c>
      <c r="AJ101" s="107">
        <f t="shared" si="412"/>
        <v>1.8307617453261968E-2</v>
      </c>
      <c r="AK101" s="111">
        <f t="shared" si="413"/>
        <v>0</v>
      </c>
      <c r="AL101" s="103">
        <v>152.89999999999998</v>
      </c>
      <c r="AM101" s="106">
        <f>(0.25*Fedtax!C82+0.75*Fedtax!C81)/1000</f>
        <v>151.53100000000001</v>
      </c>
      <c r="AN101" s="103">
        <v>45.6</v>
      </c>
      <c r="AO101" s="277">
        <v>23.5</v>
      </c>
      <c r="AP101" s="103">
        <v>47.4</v>
      </c>
      <c r="AQ101" s="105">
        <f t="shared" si="414"/>
        <v>9.2989501983325215E-2</v>
      </c>
      <c r="AR101" s="206">
        <v>93.6</v>
      </c>
      <c r="AS101" s="715">
        <v>93.557103999999995</v>
      </c>
      <c r="AT101" s="434">
        <v>34.149496999999997</v>
      </c>
      <c r="AU101" s="519">
        <f t="shared" si="386"/>
        <v>0.36501233514025827</v>
      </c>
      <c r="AV101" s="780">
        <v>104.40537</v>
      </c>
      <c r="AW101" s="781">
        <v>38.160716000000001</v>
      </c>
      <c r="AX101" s="781">
        <f t="shared" si="387"/>
        <v>66.244653999999997</v>
      </c>
      <c r="AY101" s="782">
        <f t="shared" si="388"/>
        <v>0.36550529920060626</v>
      </c>
      <c r="AZ101" s="732">
        <v>92.543091000000004</v>
      </c>
      <c r="BA101" s="732">
        <f>AW101+AZ101-AV101</f>
        <v>26.298437000000007</v>
      </c>
      <c r="BB101" s="105">
        <f t="shared" si="390"/>
        <v>0.28417504446658265</v>
      </c>
      <c r="BC101" s="434">
        <v>72.514228000000003</v>
      </c>
      <c r="BD101" s="175">
        <f>'Assets(MOFA)'!FJ54/1000</f>
        <v>109.42400000000001</v>
      </c>
      <c r="BE101" s="762">
        <f t="shared" si="532"/>
        <v>0.95413592996052055</v>
      </c>
      <c r="BF101" s="235">
        <v>0.35</v>
      </c>
      <c r="BG101" s="438"/>
      <c r="BH101" s="141">
        <f t="shared" si="464"/>
        <v>0.13319465879353148</v>
      </c>
      <c r="BI101" s="247">
        <f t="shared" si="384"/>
        <v>0.16322344251886903</v>
      </c>
      <c r="BJ101" s="105">
        <f t="shared" si="465"/>
        <v>0.12809757356737222</v>
      </c>
      <c r="BK101" s="135">
        <f t="shared" si="466"/>
        <v>0.18441820822021593</v>
      </c>
      <c r="BL101" s="135">
        <f t="shared" si="467"/>
        <v>0.2456515420665614</v>
      </c>
      <c r="BM101" s="247">
        <f t="shared" si="468"/>
        <v>0.21192633611413789</v>
      </c>
      <c r="BN101" s="105">
        <f t="shared" si="469"/>
        <v>0.26785714285714285</v>
      </c>
      <c r="BO101" s="105">
        <f t="shared" si="470"/>
        <v>0.19434474306224284</v>
      </c>
      <c r="BP101" s="150">
        <f t="shared" si="415"/>
        <v>1397</v>
      </c>
      <c r="BQ101" s="111">
        <f t="shared" si="416"/>
        <v>9.9999999999909051E-2</v>
      </c>
      <c r="BR101" s="154">
        <f t="shared" si="417"/>
        <v>269.39999999999998</v>
      </c>
      <c r="BS101" s="134">
        <v>574.6</v>
      </c>
      <c r="BT101" s="134">
        <v>552.9</v>
      </c>
      <c r="BU101" s="105">
        <f t="shared" si="517"/>
        <v>0.39577666428060126</v>
      </c>
      <c r="BV101" s="103">
        <v>313.8</v>
      </c>
      <c r="BW101" s="103">
        <f t="shared" si="418"/>
        <v>239.09999999999997</v>
      </c>
      <c r="BX101" s="105">
        <f t="shared" si="419"/>
        <v>0.17115246957766642</v>
      </c>
      <c r="BY101" s="105">
        <f t="shared" si="289"/>
        <v>8.9718682891911247E-2</v>
      </c>
      <c r="BZ101" s="105">
        <f t="shared" si="290"/>
        <v>0.35320723452462144</v>
      </c>
      <c r="CA101" s="105">
        <f t="shared" si="291"/>
        <v>0.37220355847391096</v>
      </c>
      <c r="CB101" s="105">
        <f t="shared" si="531"/>
        <v>0.66937290033594621</v>
      </c>
      <c r="CC101" s="170">
        <f t="shared" si="420"/>
        <v>498.09999999999997</v>
      </c>
      <c r="CD101" s="106">
        <f t="shared" si="518"/>
        <v>0</v>
      </c>
      <c r="CE101" s="108">
        <v>108.592</v>
      </c>
      <c r="CF101" s="108">
        <v>354.85399999999998</v>
      </c>
      <c r="CG101" s="108">
        <f t="shared" si="519"/>
        <v>34.653999999999996</v>
      </c>
      <c r="CH101" s="105">
        <f t="shared" si="392"/>
        <v>0.7124151776751656</v>
      </c>
      <c r="CI101" s="327">
        <v>361.39</v>
      </c>
      <c r="CJ101" s="154">
        <f t="shared" si="292"/>
        <v>0</v>
      </c>
      <c r="CK101" s="134">
        <f t="shared" si="520"/>
        <v>354.85399999999998</v>
      </c>
      <c r="CL101" s="160">
        <v>128.56100000000001</v>
      </c>
      <c r="CM101" s="160">
        <v>226.29300000000001</v>
      </c>
      <c r="CN101" s="160">
        <v>260.89999999999998</v>
      </c>
      <c r="CO101" s="160">
        <f t="shared" si="338"/>
        <v>34.606999999999971</v>
      </c>
      <c r="CP101" s="134">
        <v>6.5359999999999996</v>
      </c>
      <c r="CQ101" s="134">
        <v>9.8729999999999993</v>
      </c>
      <c r="CR101" s="134">
        <v>3.3370000000000002</v>
      </c>
      <c r="CS101" s="105">
        <f t="shared" si="293"/>
        <v>0.63770733879285568</v>
      </c>
      <c r="CT101" s="105">
        <f t="shared" si="294"/>
        <v>2.3886900501073733E-3</v>
      </c>
      <c r="CU101" s="106">
        <v>21.350999999999999</v>
      </c>
      <c r="CV101" s="379">
        <f t="shared" si="295"/>
        <v>5.9890267095275762E-3</v>
      </c>
      <c r="CW101" s="379">
        <f t="shared" si="296"/>
        <v>5.9080218046985253E-2</v>
      </c>
      <c r="CX101" s="154">
        <f t="shared" si="297"/>
        <v>340.03899999999999</v>
      </c>
      <c r="CY101" s="154">
        <f t="shared" si="298"/>
        <v>0</v>
      </c>
      <c r="CZ101" s="294">
        <f t="shared" si="299"/>
        <v>361.39</v>
      </c>
      <c r="DA101" s="426">
        <v>19.263999999999999</v>
      </c>
      <c r="DB101" s="154">
        <v>12.909000000000001</v>
      </c>
      <c r="DC101" s="154">
        <v>3.7890000000000001</v>
      </c>
      <c r="DD101" s="154">
        <v>1.613</v>
      </c>
      <c r="DE101" s="154">
        <v>0.78800000000000003</v>
      </c>
      <c r="DF101" s="154">
        <f t="shared" si="528"/>
        <v>0.16499999999999848</v>
      </c>
      <c r="DG101" s="426">
        <v>170.226</v>
      </c>
      <c r="DH101" s="141">
        <f t="shared" si="521"/>
        <v>0.47103129582998976</v>
      </c>
      <c r="DI101" s="183">
        <v>340.03899999999999</v>
      </c>
      <c r="DJ101" s="134">
        <v>24.838000000000001</v>
      </c>
      <c r="DK101" s="134">
        <v>56.472999999999999</v>
      </c>
      <c r="DL101" s="134">
        <v>20.257999999999999</v>
      </c>
      <c r="DM101" s="134">
        <v>17.004999999999999</v>
      </c>
      <c r="DN101" s="134">
        <v>51.125999999999998</v>
      </c>
      <c r="DO101" s="134">
        <v>29.425000000000001</v>
      </c>
      <c r="DP101" s="134">
        <v>2.222</v>
      </c>
      <c r="DQ101" s="134">
        <v>10.298</v>
      </c>
      <c r="DR101" s="134">
        <f t="shared" si="471"/>
        <v>179.99799999999999</v>
      </c>
      <c r="DS101" s="134">
        <f t="shared" si="472"/>
        <v>160.041</v>
      </c>
      <c r="DT101" s="134">
        <v>4.9320000000000004</v>
      </c>
      <c r="DU101" s="105">
        <f t="shared" si="473"/>
        <v>3.0817103117326189E-2</v>
      </c>
      <c r="DV101" s="105">
        <f t="shared" si="474"/>
        <v>7.3044562535473881E-2</v>
      </c>
      <c r="DW101" s="105">
        <f t="shared" si="475"/>
        <v>0.16607800869900219</v>
      </c>
      <c r="DX101" s="105">
        <f t="shared" si="476"/>
        <v>5.9575519278670976E-2</v>
      </c>
      <c r="DY101" s="105">
        <f t="shared" si="477"/>
        <v>5.0008969559374068E-2</v>
      </c>
      <c r="DZ101" s="105">
        <f t="shared" si="478"/>
        <v>0.15035334182255564</v>
      </c>
      <c r="EA101" s="105">
        <f t="shared" si="479"/>
        <v>8.6534191666250052E-2</v>
      </c>
      <c r="EB101" s="105">
        <f t="shared" si="480"/>
        <v>6.5345445669467324E-3</v>
      </c>
      <c r="EC101" s="105">
        <f t="shared" si="481"/>
        <v>3.0284761453833239E-2</v>
      </c>
      <c r="ED101" s="105">
        <f t="shared" si="482"/>
        <v>0.52934516334891002</v>
      </c>
      <c r="EE101" s="154">
        <v>64.308999999999997</v>
      </c>
      <c r="EF101" s="105">
        <f t="shared" si="300"/>
        <v>0.1891224241925191</v>
      </c>
      <c r="EG101" s="183">
        <v>204.94200000000001</v>
      </c>
      <c r="EH101" s="134">
        <v>21.856000000000002</v>
      </c>
      <c r="EI101" s="134">
        <v>42.981000000000002</v>
      </c>
      <c r="EJ101" s="134">
        <v>15.96</v>
      </c>
      <c r="EK101" s="134">
        <v>12.188000000000001</v>
      </c>
      <c r="EL101" s="134">
        <v>28.332000000000001</v>
      </c>
      <c r="EM101" s="134">
        <v>4.0199999999999996</v>
      </c>
      <c r="EN101" s="133">
        <f t="shared" si="301"/>
        <v>125.33700000000002</v>
      </c>
      <c r="EO101" s="105">
        <f t="shared" si="302"/>
        <v>0.7031396227730875</v>
      </c>
      <c r="EP101" s="134">
        <f t="shared" si="303"/>
        <v>79.60499999999999</v>
      </c>
      <c r="EQ101" s="105">
        <f t="shared" si="304"/>
        <v>0.61157303041836231</v>
      </c>
      <c r="ER101" s="183">
        <f t="shared" si="268"/>
        <v>333.50299999999999</v>
      </c>
      <c r="ES101" s="133"/>
      <c r="ET101" s="134">
        <f>'Assets(MOFA)'!W54/1000</f>
        <v>398.67899999999997</v>
      </c>
      <c r="EU101" s="134">
        <f t="shared" si="339"/>
        <v>289.255</v>
      </c>
      <c r="EV101" s="728">
        <f t="shared" si="340"/>
        <v>0.86732353232204806</v>
      </c>
      <c r="EW101" s="154">
        <f t="shared" si="439"/>
        <v>24.65152484345008</v>
      </c>
      <c r="EX101" s="154">
        <f t="shared" si="440"/>
        <v>55.688282025866137</v>
      </c>
      <c r="EY101" s="154">
        <f t="shared" si="441"/>
        <v>19.709103024009565</v>
      </c>
      <c r="EZ101" s="154">
        <f t="shared" si="442"/>
        <v>16.821217376254758</v>
      </c>
      <c r="FA101" s="154">
        <f t="shared" si="443"/>
        <v>51.052852858806126</v>
      </c>
      <c r="FB101" s="154">
        <f t="shared" si="444"/>
        <v>29.25450744202146</v>
      </c>
      <c r="FC101" s="154"/>
      <c r="FD101" s="154">
        <f t="shared" si="445"/>
        <v>10.330379432958873</v>
      </c>
      <c r="FE101" s="154">
        <f t="shared" si="483"/>
        <v>178.25335956134552</v>
      </c>
      <c r="FF101" s="154">
        <f t="shared" si="484"/>
        <v>157.90316347273355</v>
      </c>
      <c r="FG101" s="105">
        <f t="shared" si="446"/>
        <v>7.3916950802391829E-2</v>
      </c>
      <c r="FH101" s="105">
        <f t="shared" si="447"/>
        <v>0.16697985333225229</v>
      </c>
      <c r="FI101" s="105">
        <f t="shared" si="448"/>
        <v>5.9097228582680114E-2</v>
      </c>
      <c r="FJ101" s="105">
        <f t="shared" si="449"/>
        <v>5.0437979197352822E-2</v>
      </c>
      <c r="FK101" s="105">
        <f t="shared" si="450"/>
        <v>0.15308064053038842</v>
      </c>
      <c r="FL101" s="105">
        <f t="shared" si="451"/>
        <v>8.7718873419493859E-2</v>
      </c>
      <c r="FM101" s="105"/>
      <c r="FN101" s="105">
        <f t="shared" si="452"/>
        <v>3.0975371834612801E-2</v>
      </c>
      <c r="FO101" s="105">
        <f t="shared" si="421"/>
        <v>0.53448802427967823</v>
      </c>
      <c r="FP101" s="105">
        <f t="shared" si="422"/>
        <v>0.46551197572032177</v>
      </c>
      <c r="FQ101" s="105">
        <f t="shared" si="423"/>
        <v>0.19057157114796544</v>
      </c>
      <c r="FR101" s="105">
        <f t="shared" si="424"/>
        <v>0.16597817831516984</v>
      </c>
      <c r="FS101" s="105">
        <f t="shared" si="425"/>
        <v>2.1954996651331236E-2</v>
      </c>
      <c r="FT101" s="398">
        <f t="shared" si="426"/>
        <v>1.5437428063401445E-2</v>
      </c>
      <c r="FU101" s="398">
        <f t="shared" si="427"/>
        <v>6.5175685879297913E-3</v>
      </c>
      <c r="FV101" s="105">
        <f t="shared" si="428"/>
        <v>1.9121689175109247E-2</v>
      </c>
      <c r="FW101" s="327">
        <f t="shared" si="305"/>
        <v>6.5359999999999996</v>
      </c>
      <c r="FX101" s="385">
        <f t="shared" si="430"/>
        <v>0.18647515654992289</v>
      </c>
      <c r="FY101" s="385">
        <f t="shared" si="431"/>
        <v>0.78471797413386191</v>
      </c>
      <c r="FZ101" s="385">
        <f t="shared" si="432"/>
        <v>0.54889697599043386</v>
      </c>
      <c r="GA101" s="385">
        <f t="shared" si="433"/>
        <v>0.18378262374524054</v>
      </c>
      <c r="GB101" s="385">
        <f t="shared" si="434"/>
        <v>7.3147141193870169E-2</v>
      </c>
      <c r="GC101" s="385">
        <f t="shared" si="435"/>
        <v>0.17049255797853927</v>
      </c>
      <c r="GD101" s="154"/>
      <c r="GE101" s="154">
        <f t="shared" si="453"/>
        <v>-3.2379432958872204E-2</v>
      </c>
      <c r="GF101" s="154">
        <f t="shared" si="485"/>
        <v>1.7446404386544569</v>
      </c>
      <c r="GG101" s="154">
        <f t="shared" si="277"/>
        <v>2.1378365272664337</v>
      </c>
      <c r="GH101" s="183">
        <v>287.90100000000001</v>
      </c>
      <c r="GI101" s="134">
        <v>23.527999999999999</v>
      </c>
      <c r="GJ101" s="134">
        <v>51.588000000000001</v>
      </c>
      <c r="GK101" s="134">
        <v>22.193999999999999</v>
      </c>
      <c r="GL101" s="134">
        <v>15.382999999999999</v>
      </c>
      <c r="GM101" s="134">
        <f t="shared" si="342"/>
        <v>42.844999999999999</v>
      </c>
      <c r="GN101" s="134">
        <v>29.149000000000001</v>
      </c>
      <c r="GO101" s="134">
        <v>13.696</v>
      </c>
      <c r="GP101" s="134">
        <v>1.7929999999999999</v>
      </c>
      <c r="GQ101" s="134">
        <v>4.88</v>
      </c>
      <c r="GR101" s="134">
        <f t="shared" si="523"/>
        <v>160.41800000000001</v>
      </c>
      <c r="GS101" s="134">
        <f t="shared" si="343"/>
        <v>127.483</v>
      </c>
      <c r="GT101" s="105">
        <f t="shared" si="524"/>
        <v>0.55719848142243344</v>
      </c>
      <c r="GU101" s="363">
        <f t="shared" si="259"/>
        <v>239.577</v>
      </c>
      <c r="GV101" s="154">
        <f t="shared" si="344"/>
        <v>34.634999999999998</v>
      </c>
      <c r="GW101" s="154">
        <f t="shared" si="308"/>
        <v>204.94200000000001</v>
      </c>
      <c r="GX101" s="154">
        <f t="shared" si="309"/>
        <v>24.439999999999998</v>
      </c>
      <c r="GY101" s="154">
        <f t="shared" si="310"/>
        <v>44.963999999999999</v>
      </c>
      <c r="GZ101" s="154">
        <f t="shared" si="226"/>
        <v>21.273999999999997</v>
      </c>
      <c r="HA101" s="154">
        <f t="shared" si="227"/>
        <v>16.570999999999998</v>
      </c>
      <c r="HB101" s="154">
        <f t="shared" si="228"/>
        <v>20.488999999999997</v>
      </c>
      <c r="HC101" s="154">
        <f t="shared" si="229"/>
        <v>12.798000000000002</v>
      </c>
      <c r="HD101" s="353"/>
      <c r="HE101" s="154">
        <f t="shared" si="231"/>
        <v>5.65</v>
      </c>
      <c r="HF101" s="154">
        <f t="shared" si="311"/>
        <v>133.38799999999998</v>
      </c>
      <c r="HG101" s="105">
        <f t="shared" si="345"/>
        <v>0.55676463099546269</v>
      </c>
      <c r="HH101" s="154">
        <f t="shared" si="346"/>
        <v>281.85500000000002</v>
      </c>
      <c r="HI101" s="183">
        <f t="shared" si="312"/>
        <v>82.959000000000003</v>
      </c>
      <c r="HJ101" s="300">
        <v>0</v>
      </c>
      <c r="HK101" s="134">
        <f t="shared" si="313"/>
        <v>1.671999999999997</v>
      </c>
      <c r="HL101" s="134">
        <f t="shared" si="314"/>
        <v>8.6069999999999993</v>
      </c>
      <c r="HM101" s="134">
        <f t="shared" si="315"/>
        <v>6.2339999999999982</v>
      </c>
      <c r="HN101" s="134">
        <f t="shared" si="316"/>
        <v>3.1949999999999985</v>
      </c>
      <c r="HO101" s="134">
        <f t="shared" si="317"/>
        <v>14.512999999999998</v>
      </c>
      <c r="HP101" s="134">
        <f t="shared" si="318"/>
        <v>0.86000000000000032</v>
      </c>
      <c r="HQ101" s="134">
        <f t="shared" si="525"/>
        <v>35.080999999999989</v>
      </c>
      <c r="HR101" s="134">
        <f t="shared" si="383"/>
        <v>47.878000000000014</v>
      </c>
      <c r="HS101" s="105">
        <f t="shared" si="321"/>
        <v>0.42287153895297663</v>
      </c>
      <c r="HT101" s="133">
        <v>34.634999999999998</v>
      </c>
      <c r="HU101" s="134">
        <v>2.5840000000000001</v>
      </c>
      <c r="HV101" s="134">
        <v>1.9830000000000001</v>
      </c>
      <c r="HW101" s="134">
        <v>5.3140000000000001</v>
      </c>
      <c r="HX101" s="134">
        <v>4.3819999999999997</v>
      </c>
      <c r="HY101" s="134">
        <v>-7.8440000000000003</v>
      </c>
      <c r="HZ101" s="134">
        <v>-0.443</v>
      </c>
      <c r="IA101" s="134"/>
      <c r="IB101" s="134">
        <v>1.629</v>
      </c>
      <c r="IC101" s="134">
        <f t="shared" si="526"/>
        <v>8.048</v>
      </c>
      <c r="ID101" s="134">
        <f t="shared" si="347"/>
        <v>26.586999999999996</v>
      </c>
      <c r="IE101" s="105">
        <f t="shared" si="348"/>
        <v>0.23236610365237478</v>
      </c>
      <c r="IF101" s="317">
        <v>48.323999999999998</v>
      </c>
      <c r="IG101" s="154">
        <v>-0.91200000000000003</v>
      </c>
      <c r="IH101" s="154">
        <v>6.6239999999999997</v>
      </c>
      <c r="II101" s="154">
        <v>0.92</v>
      </c>
      <c r="IJ101" s="154">
        <v>-1.1879999999999999</v>
      </c>
      <c r="IK101" s="154">
        <v>22.356000000000002</v>
      </c>
      <c r="IL101" s="154">
        <v>16.350999999999999</v>
      </c>
      <c r="IM101" s="154"/>
      <c r="IN101" s="154">
        <v>-0.77</v>
      </c>
      <c r="IO101" s="154">
        <f t="shared" si="349"/>
        <v>27.03</v>
      </c>
      <c r="IP101" s="154">
        <f t="shared" si="522"/>
        <v>21.293999999999997</v>
      </c>
      <c r="IQ101" s="350">
        <f t="shared" si="350"/>
        <v>50.672000000000025</v>
      </c>
      <c r="IR101" s="150">
        <f t="shared" si="323"/>
        <v>3565.02</v>
      </c>
      <c r="IS101" s="154">
        <f t="shared" si="351"/>
        <v>332.52700000000004</v>
      </c>
      <c r="IT101" s="154">
        <f t="shared" si="529"/>
        <v>0</v>
      </c>
      <c r="IU101" s="154">
        <f t="shared" si="352"/>
        <v>204.94200000000001</v>
      </c>
      <c r="IV101" s="154">
        <f t="shared" si="324"/>
        <v>34.634999999999998</v>
      </c>
      <c r="IW101" s="154">
        <v>48.323999999999998</v>
      </c>
      <c r="IX101" s="154">
        <f t="shared" si="530"/>
        <v>44.626000000000005</v>
      </c>
      <c r="IY101" s="154">
        <v>61.718000000000004</v>
      </c>
      <c r="IZ101" s="154">
        <v>0.70399999999999996</v>
      </c>
      <c r="JA101" s="154">
        <v>-17.795999999999999</v>
      </c>
      <c r="JB101" s="105">
        <f t="shared" si="486"/>
        <v>0.2939955962758018</v>
      </c>
      <c r="JC101" s="105">
        <f t="shared" si="487"/>
        <v>0.12927355044078476</v>
      </c>
      <c r="JD101" s="105">
        <f t="shared" si="488"/>
        <v>0.16472204583501701</v>
      </c>
      <c r="JE101" s="107">
        <f t="shared" si="489"/>
        <v>1.690089971219106E-2</v>
      </c>
      <c r="JF101" s="107">
        <f t="shared" si="326"/>
        <v>2.8562357229447223E-3</v>
      </c>
      <c r="JG101" s="107">
        <f t="shared" si="327"/>
        <v>3.9851229991505919E-3</v>
      </c>
      <c r="JH101" s="8">
        <v>3565.02</v>
      </c>
      <c r="JI101" s="1067">
        <v>116.301</v>
      </c>
      <c r="JJ101" s="108">
        <v>129.82900000000001</v>
      </c>
      <c r="JK101" s="108">
        <v>497.471</v>
      </c>
      <c r="JL101" s="108">
        <v>219.08199999999999</v>
      </c>
      <c r="JM101" s="108">
        <v>131.70699999999999</v>
      </c>
      <c r="JN101" s="108">
        <f t="shared" si="354"/>
        <v>501.58600000000001</v>
      </c>
      <c r="JO101" s="108">
        <v>287.93299999999999</v>
      </c>
      <c r="JP101" s="108">
        <v>213.65299999999999</v>
      </c>
      <c r="JQ101" s="108">
        <v>14.481999999999999</v>
      </c>
      <c r="JR101" s="108">
        <v>87.909000000000006</v>
      </c>
      <c r="JS101" s="108">
        <f t="shared" si="527"/>
        <v>1567.5840000000001</v>
      </c>
      <c r="JT101" s="108">
        <f t="shared" si="355"/>
        <v>1997.4359999999999</v>
      </c>
      <c r="JU101" s="105">
        <f t="shared" si="356"/>
        <v>0.43971254018210276</v>
      </c>
      <c r="JV101" s="105">
        <f t="shared" si="357"/>
        <v>3.6417467503688621E-2</v>
      </c>
      <c r="JW101" s="105">
        <f t="shared" si="358"/>
        <v>0.13954227465764568</v>
      </c>
      <c r="JX101" s="105">
        <f t="shared" si="359"/>
        <v>6.1453231678924664E-2</v>
      </c>
      <c r="JY101" s="105">
        <f t="shared" si="360"/>
        <v>3.6944252767165398E-2</v>
      </c>
      <c r="JZ101" s="105">
        <f t="shared" si="361"/>
        <v>0.14069654588193053</v>
      </c>
      <c r="KA101" s="105">
        <f t="shared" si="362"/>
        <v>2.4658767692747868E-2</v>
      </c>
      <c r="KB101" s="150">
        <v>224.94300000000001</v>
      </c>
      <c r="KC101" s="317">
        <v>572.02200000000005</v>
      </c>
      <c r="KD101" s="317">
        <v>347.07900000000001</v>
      </c>
      <c r="KE101" s="728">
        <f t="shared" si="242"/>
        <v>0.60675813168025006</v>
      </c>
      <c r="KF101" s="1073">
        <v>0</v>
      </c>
      <c r="KG101" s="358">
        <v>10.804</v>
      </c>
      <c r="KH101" s="358">
        <v>45.465000000000003</v>
      </c>
      <c r="KI101" s="358">
        <v>31.802</v>
      </c>
      <c r="KJ101" s="154">
        <v>10.648</v>
      </c>
      <c r="KK101" s="154">
        <v>4.2380000000000004</v>
      </c>
      <c r="KL101" s="358">
        <v>9.8780000000000001</v>
      </c>
      <c r="KM101" s="358">
        <v>27.571999999999999</v>
      </c>
      <c r="KN101" s="358">
        <v>17.693999999999999</v>
      </c>
      <c r="KO101" s="154"/>
      <c r="KP101" s="154">
        <v>-1.8759999999999999</v>
      </c>
      <c r="KQ101" s="358">
        <f t="shared" si="328"/>
        <v>101.08099999999999</v>
      </c>
      <c r="KR101" s="154">
        <f t="shared" si="329"/>
        <v>123.86200000000002</v>
      </c>
      <c r="KS101" s="105">
        <f t="shared" si="490"/>
        <v>1.0214496004486193E-2</v>
      </c>
      <c r="KT101" s="105"/>
      <c r="KU101" s="327">
        <v>3340.0770000000002</v>
      </c>
      <c r="KV101" s="426">
        <f t="shared" si="252"/>
        <v>116.301</v>
      </c>
      <c r="KW101" s="323">
        <f t="shared" si="491"/>
        <v>119.02500000000001</v>
      </c>
      <c r="KX101" s="323">
        <f t="shared" si="492"/>
        <v>452.00599999999997</v>
      </c>
      <c r="KY101" s="323">
        <f t="shared" si="493"/>
        <v>187.28</v>
      </c>
      <c r="KZ101" s="323">
        <f t="shared" si="494"/>
        <v>121.059</v>
      </c>
      <c r="LA101" s="323">
        <f t="shared" si="495"/>
        <v>497.34800000000001</v>
      </c>
      <c r="LB101" s="323">
        <f t="shared" si="496"/>
        <v>278.05500000000001</v>
      </c>
      <c r="LC101" s="323"/>
      <c r="LD101" s="323">
        <f t="shared" si="455"/>
        <v>89.785000000000011</v>
      </c>
      <c r="LE101" s="323">
        <f t="shared" si="456"/>
        <v>1466.5030000000002</v>
      </c>
      <c r="LF101" s="323">
        <f t="shared" si="497"/>
        <v>0</v>
      </c>
      <c r="LG101" s="323">
        <f t="shared" si="498"/>
        <v>1873.5739999999998</v>
      </c>
      <c r="LH101" s="368">
        <f t="shared" si="499"/>
        <v>0.43906263238841503</v>
      </c>
      <c r="LI101" s="247">
        <f t="shared" si="457"/>
        <v>3.5635406010100963E-2</v>
      </c>
      <c r="LJ101" s="247">
        <f t="shared" si="458"/>
        <v>0.13532801788701276</v>
      </c>
      <c r="LK101" s="247">
        <f t="shared" si="459"/>
        <v>5.6070563642694464E-2</v>
      </c>
      <c r="LL101" s="247">
        <f t="shared" si="460"/>
        <v>3.6244374006946543E-2</v>
      </c>
      <c r="LM101" s="247">
        <f t="shared" si="461"/>
        <v>0.14890315402908375</v>
      </c>
      <c r="LN101" s="247">
        <f t="shared" si="462"/>
        <v>8.3248080807717909E-2</v>
      </c>
      <c r="LO101" s="247"/>
      <c r="LP101" s="247">
        <f t="shared" si="463"/>
        <v>2.6881116812576478E-2</v>
      </c>
      <c r="LQ101" s="247">
        <f t="shared" si="500"/>
        <v>0.27544527919116618</v>
      </c>
      <c r="LR101" s="105">
        <f t="shared" si="501"/>
        <v>0.15450754983053083</v>
      </c>
      <c r="LS101" s="105">
        <f t="shared" si="502"/>
        <v>0.12093772936063533</v>
      </c>
      <c r="LT101" s="327">
        <v>848.11300000000006</v>
      </c>
      <c r="LU101" s="154">
        <f t="shared" si="363"/>
        <v>0</v>
      </c>
      <c r="LV101" s="154">
        <f t="shared" si="503"/>
        <v>224.94300000000001</v>
      </c>
      <c r="LW101" s="154">
        <f t="shared" si="504"/>
        <v>347.07900000000001</v>
      </c>
      <c r="LX101" s="154">
        <v>276.09100000000001</v>
      </c>
      <c r="LY101" s="105">
        <f>LX101/Liabilities!GT101</f>
        <v>0.13280954989996868</v>
      </c>
      <c r="LZ101" s="105">
        <f t="shared" si="253"/>
        <v>0.36440440836797994</v>
      </c>
      <c r="MA101" s="426">
        <v>1104.729</v>
      </c>
      <c r="MB101" s="154">
        <f t="shared" si="364"/>
        <v>1.0000000000331966E-3</v>
      </c>
      <c r="MC101" s="154">
        <v>481.55799999999999</v>
      </c>
      <c r="MD101" s="154">
        <f t="shared" si="365"/>
        <v>276.09100000000001</v>
      </c>
      <c r="ME101" s="154">
        <f t="shared" si="366"/>
        <v>347.07900000000001</v>
      </c>
      <c r="MF101" s="154">
        <v>757.65</v>
      </c>
      <c r="MG101" s="154">
        <f t="shared" si="505"/>
        <v>572.02200000000005</v>
      </c>
      <c r="MH101" s="327">
        <f t="shared" si="506"/>
        <v>3340.0770000000002</v>
      </c>
      <c r="MI101" s="1009">
        <f>FoF_RoW!$BH71/1000</f>
        <v>4201.2299999999996</v>
      </c>
      <c r="MJ101" s="1009">
        <v>4824.3999999999996</v>
      </c>
      <c r="MK101" s="1009">
        <f>FoF_RoW!$AU71/1000</f>
        <v>309.25299999999999</v>
      </c>
      <c r="ML101" s="1009">
        <f t="shared" si="254"/>
        <v>271.73099999999977</v>
      </c>
      <c r="MM101" s="426">
        <f t="shared" si="507"/>
        <v>3976.2869999999994</v>
      </c>
      <c r="MN101" s="105">
        <f t="shared" si="508"/>
        <v>1.1904776446770535</v>
      </c>
      <c r="MO101" s="154">
        <v>4945.2920000000004</v>
      </c>
      <c r="MP101" s="426">
        <v>4097.1790000000001</v>
      </c>
      <c r="MQ101" s="105">
        <f t="shared" si="367"/>
        <v>1.2266720198366683</v>
      </c>
      <c r="MR101" s="23">
        <f t="shared" si="368"/>
        <v>1.0304032379956478</v>
      </c>
      <c r="MS101" s="154">
        <f t="shared" si="509"/>
        <v>224.94300000000001</v>
      </c>
      <c r="MT101" s="154">
        <v>848.11300000000006</v>
      </c>
      <c r="MU101" s="154">
        <v>1104.729</v>
      </c>
      <c r="MV101" s="154">
        <v>2513.9009999999998</v>
      </c>
      <c r="MW101" s="154">
        <v>2078.848</v>
      </c>
      <c r="MX101" s="23">
        <f t="shared" si="369"/>
        <v>1.2092760028631242</v>
      </c>
      <c r="MY101" s="426">
        <f t="shared" si="255"/>
        <v>-2912.0060000000003</v>
      </c>
      <c r="MZ101" s="105">
        <f t="shared" si="510"/>
        <v>-0.24014365707028643</v>
      </c>
      <c r="NA101" s="153">
        <v>19426.458999999999</v>
      </c>
      <c r="NB101" s="154">
        <v>22054.084999999999</v>
      </c>
      <c r="NC101" s="426">
        <f t="shared" si="330"/>
        <v>-2597.8450000000012</v>
      </c>
      <c r="ND101" s="105">
        <f t="shared" si="331"/>
        <v>-0.21423582190481696</v>
      </c>
      <c r="NE101" s="415">
        <f t="shared" si="332"/>
        <v>1640.8229999999996</v>
      </c>
      <c r="NF101" s="105">
        <f t="shared" si="333"/>
        <v>0.13531333239871018</v>
      </c>
      <c r="NG101" s="415">
        <f t="shared" si="334"/>
        <v>1326.6620000000005</v>
      </c>
      <c r="NH101" s="105">
        <f t="shared" si="335"/>
        <v>0.10940549723324074</v>
      </c>
      <c r="NI101" s="415">
        <v>284.38</v>
      </c>
      <c r="NJ101" s="426">
        <v>249.268</v>
      </c>
      <c r="NK101" s="406">
        <f t="shared" si="393"/>
        <v>2.0556320663692364E-2</v>
      </c>
      <c r="NL101" s="154">
        <v>257.69200000000001</v>
      </c>
      <c r="NM101" s="154">
        <v>362.52</v>
      </c>
      <c r="NN101" s="154">
        <v>104.828</v>
      </c>
      <c r="NO101" s="426">
        <f t="shared" si="100"/>
        <v>123.83800000000002</v>
      </c>
      <c r="NP101" s="154">
        <v>607.50900000000001</v>
      </c>
      <c r="NQ101" s="154">
        <v>483.67099999999999</v>
      </c>
      <c r="NR101" s="406">
        <f t="shared" si="394"/>
        <v>1.0212516802599353E-2</v>
      </c>
      <c r="NS101" s="406">
        <f t="shared" si="395"/>
        <v>2.0556320663692364E-2</v>
      </c>
      <c r="NT101" s="406">
        <f t="shared" si="396"/>
        <v>-1.0343803861093012E-2</v>
      </c>
      <c r="NU101" s="738">
        <f t="shared" si="511"/>
        <v>8.139820105492096E-2</v>
      </c>
      <c r="NV101" s="691">
        <f t="shared" si="512"/>
        <v>8.3872969934011318E-2</v>
      </c>
      <c r="NW101" s="691">
        <f t="shared" si="513"/>
        <v>9.9848895699111123E-2</v>
      </c>
      <c r="NX101" s="795">
        <f>(ER101-T.A2!B53*T.A1!M53)/MP101</f>
        <v>6.8741527203045882E-2</v>
      </c>
      <c r="NY101" s="691">
        <f>Liabilities!BU101/Liabilities!GY101</f>
        <v>2.9470134265430499E-2</v>
      </c>
      <c r="NZ101" s="691">
        <f>Liabilities!BU101/Liabilities!GT101</f>
        <v>3.5637509025427047E-2</v>
      </c>
      <c r="OA101" s="691">
        <f>Liabilities!BU101/Liabilities!GR101</f>
        <v>4.6656548353779873E-2</v>
      </c>
      <c r="OB101" s="691">
        <f t="shared" si="256"/>
        <v>5.1928066789490461E-2</v>
      </c>
      <c r="OC101" s="691">
        <f t="shared" si="257"/>
        <v>4.8235460908584271E-2</v>
      </c>
      <c r="OD101" s="691"/>
      <c r="OE101" s="795">
        <f t="shared" si="514"/>
        <v>8.9242552159841587E-2</v>
      </c>
      <c r="OF101" s="795">
        <f>OE101/(1-'Assets(MOFA)'!GU54)</f>
        <v>0.12300264974687899</v>
      </c>
      <c r="OG101" s="795">
        <f>Liabilities!HV101</f>
        <v>4.1346830423059741E-2</v>
      </c>
      <c r="OH101" s="795">
        <f t="shared" si="438"/>
        <v>4.7895721736781846E-2</v>
      </c>
      <c r="OI101" s="107">
        <f t="shared" si="336"/>
        <v>1.7259825671040622E-2</v>
      </c>
      <c r="OJ101" s="107">
        <f t="shared" si="337"/>
        <v>9.6145257996018193E-3</v>
      </c>
      <c r="OK101" s="406">
        <f>Liabilities!CT101/LX101</f>
        <v>1.6099764208177738E-2</v>
      </c>
      <c r="OL101" s="406">
        <f>Liabilities!CU101/MF101</f>
        <v>3.7417013132712992E-2</v>
      </c>
      <c r="OM101" s="154"/>
      <c r="OO101" s="232">
        <f t="shared" si="515"/>
        <v>8.8919472949508055E-2</v>
      </c>
      <c r="OP101" s="310">
        <f t="shared" si="370"/>
        <v>0.32791144720891297</v>
      </c>
      <c r="OQ101" s="310">
        <f t="shared" si="371"/>
        <v>2.9157713059926971E-2</v>
      </c>
      <c r="OR101" s="314">
        <f t="shared" si="372"/>
        <v>0</v>
      </c>
      <c r="OS101" s="105">
        <f t="shared" si="373"/>
        <v>0.18444174048474032</v>
      </c>
      <c r="OT101" s="105">
        <f t="shared" si="374"/>
        <v>0.10971682570483393</v>
      </c>
      <c r="OU101" s="105">
        <f t="shared" si="375"/>
        <v>9.3719307903429444E-2</v>
      </c>
      <c r="OV101" s="105">
        <f t="shared" si="376"/>
        <v>0.12374109499055747</v>
      </c>
      <c r="OW101" s="105">
        <f t="shared" si="377"/>
        <v>9.1414113847961692E-2</v>
      </c>
      <c r="OX101" s="105">
        <f t="shared" si="378"/>
        <v>9.3694844571874839E-2</v>
      </c>
      <c r="OY101" s="105">
        <f t="shared" si="379"/>
        <v>0.10246277180939842</v>
      </c>
      <c r="OZ101" s="105">
        <f t="shared" si="380"/>
        <v>0.10824513386219763</v>
      </c>
      <c r="PA101" s="105">
        <f t="shared" si="381"/>
        <v>7.5053956930682675E-2</v>
      </c>
      <c r="PB101" s="105">
        <f t="shared" si="382"/>
        <v>3.3191176931514951E-2</v>
      </c>
      <c r="PC101" s="105"/>
      <c r="PD101" s="105"/>
      <c r="PE101" s="105"/>
      <c r="PF101" s="105"/>
      <c r="PG101" s="181"/>
      <c r="PH101" s="23">
        <f>'Assets(MOFA)'!GU54</f>
        <v>0.27446642536978372</v>
      </c>
      <c r="PI101" s="105">
        <f>'Assets(MOFA)'!HM54</f>
        <v>0.22019032499133365</v>
      </c>
      <c r="PJ101" s="112">
        <f t="shared" si="516"/>
        <v>2.3682722976671278E-2</v>
      </c>
      <c r="PK101" s="112">
        <f>Liabilities!IP101/MW101/1000</f>
        <v>7.0616033495474418E-3</v>
      </c>
      <c r="PL101" s="112">
        <f>'Assets(MOFA)'!GO54/MM101/1000</f>
        <v>1.734671065364126E-2</v>
      </c>
      <c r="PM101" s="112">
        <f t="shared" si="429"/>
        <v>-1.0285107304093818E-2</v>
      </c>
    </row>
    <row r="102" spans="1:429">
      <c r="B102" s="71">
        <v>2010</v>
      </c>
      <c r="C102" s="43">
        <v>12739.5</v>
      </c>
      <c r="D102" s="5">
        <v>1746.4</v>
      </c>
      <c r="E102" s="19">
        <f t="shared" si="397"/>
        <v>0.13708544291377214</v>
      </c>
      <c r="F102" s="72">
        <f t="shared" si="398"/>
        <v>0</v>
      </c>
      <c r="G102" s="76">
        <f t="shared" si="399"/>
        <v>1351.2</v>
      </c>
      <c r="H102" s="23">
        <f t="shared" si="400"/>
        <v>0.10606381726127399</v>
      </c>
      <c r="I102" s="72">
        <v>395.2</v>
      </c>
      <c r="J102" s="19">
        <f t="shared" si="401"/>
        <v>3.1021625652498136E-2</v>
      </c>
      <c r="K102" s="6">
        <f t="shared" si="402"/>
        <v>0.22629409070087034</v>
      </c>
      <c r="L102" s="136">
        <v>584.6</v>
      </c>
      <c r="M102" s="19">
        <f t="shared" si="403"/>
        <v>4.58887711448644E-2</v>
      </c>
      <c r="N102" s="63">
        <f t="shared" si="404"/>
        <v>0.3347457627118644</v>
      </c>
      <c r="O102" s="5">
        <f t="shared" si="405"/>
        <v>1746.4</v>
      </c>
      <c r="P102" s="75">
        <f t="shared" si="406"/>
        <v>0</v>
      </c>
      <c r="Q102" s="271">
        <v>1254.2</v>
      </c>
      <c r="R102" s="202">
        <v>401.5</v>
      </c>
      <c r="S102" s="53">
        <f t="shared" si="407"/>
        <v>0.22990151168117268</v>
      </c>
      <c r="T102" s="74">
        <v>72</v>
      </c>
      <c r="U102" s="74">
        <v>-94.3</v>
      </c>
      <c r="V102" s="207">
        <v>152.30000000000001</v>
      </c>
      <c r="W102" s="205">
        <f t="shared" si="408"/>
        <v>8.7207970682546959E-2</v>
      </c>
      <c r="X102" s="75">
        <f t="shared" si="409"/>
        <v>265.29999999999995</v>
      </c>
      <c r="Y102" s="187">
        <v>270.823466</v>
      </c>
      <c r="Z102" s="75">
        <f>-20.681</f>
        <v>-20.681000000000001</v>
      </c>
      <c r="AA102" s="75">
        <v>-15.727283999999999</v>
      </c>
      <c r="AB102" s="75">
        <f>Z102-AA102</f>
        <v>-4.9537160000000018</v>
      </c>
      <c r="AC102" s="75">
        <f t="shared" si="437"/>
        <v>250.14246599999998</v>
      </c>
      <c r="AD102" s="23">
        <f t="shared" si="410"/>
        <v>0.14323320316078789</v>
      </c>
      <c r="AE102" s="76">
        <f>NIPA_Scorp!C23/1000</f>
        <v>293.50299999999999</v>
      </c>
      <c r="AF102" s="76">
        <v>263.3910503167067</v>
      </c>
      <c r="AG102" s="23">
        <f t="shared" si="385"/>
        <v>0.16806172698121849</v>
      </c>
      <c r="AH102" s="97">
        <v>370.6</v>
      </c>
      <c r="AI102" s="22">
        <f t="shared" si="411"/>
        <v>2.9090623650849721E-2</v>
      </c>
      <c r="AJ102" s="22">
        <f t="shared" si="412"/>
        <v>2.2865889556105027E-2</v>
      </c>
      <c r="AK102" s="99">
        <f t="shared" si="413"/>
        <v>0</v>
      </c>
      <c r="AL102" s="71">
        <v>219.29999999999995</v>
      </c>
      <c r="AM102" s="72">
        <f>(0.25*Fedtax!C83+0.75*Fedtax!C82)/1000</f>
        <v>188.84899999999999</v>
      </c>
      <c r="AN102" s="71">
        <v>47.7</v>
      </c>
      <c r="AO102" s="255">
        <v>24.3</v>
      </c>
      <c r="AP102" s="71">
        <v>79.3</v>
      </c>
      <c r="AQ102" s="6">
        <f t="shared" si="414"/>
        <v>0.10799481926292243</v>
      </c>
      <c r="AR102" s="210">
        <v>118.1</v>
      </c>
      <c r="AS102" s="714">
        <v>118.077676</v>
      </c>
      <c r="AT102" s="210">
        <v>43.783655000000003</v>
      </c>
      <c r="AU102" s="205">
        <f t="shared" si="386"/>
        <v>0.37080383424890584</v>
      </c>
      <c r="AV102" s="709">
        <v>128.01389900000001</v>
      </c>
      <c r="AW102" s="518">
        <v>46.215969999999999</v>
      </c>
      <c r="AX102" s="518">
        <f t="shared" si="387"/>
        <v>81.797929000000011</v>
      </c>
      <c r="AY102" s="520">
        <f t="shared" si="388"/>
        <v>0.36102306359718012</v>
      </c>
      <c r="AZ102" s="159">
        <v>115.36892800000001</v>
      </c>
      <c r="BA102" s="730">
        <f>AW102+AZ102-AV102</f>
        <v>33.570999</v>
      </c>
      <c r="BB102" s="23">
        <f t="shared" si="390"/>
        <v>0.29098821998242019</v>
      </c>
      <c r="BC102" s="210">
        <v>81.593924000000001</v>
      </c>
      <c r="BD102" s="722">
        <f>'Assets(MOFA)'!FJ55/1000</f>
        <v>130</v>
      </c>
      <c r="BE102" s="753">
        <f t="shared" si="532"/>
        <v>0.98472230000000005</v>
      </c>
      <c r="BF102" s="234">
        <v>0.35</v>
      </c>
      <c r="BG102" s="437"/>
      <c r="BH102" s="140">
        <f t="shared" si="464"/>
        <v>0.14325571413241758</v>
      </c>
      <c r="BI102" s="248">
        <f t="shared" si="384"/>
        <v>0.17003152906743113</v>
      </c>
      <c r="BJ102" s="23">
        <f t="shared" si="465"/>
        <v>0.1324339070482615</v>
      </c>
      <c r="BK102" s="30">
        <f t="shared" si="466"/>
        <v>0.19430849185125385</v>
      </c>
      <c r="BL102" s="30">
        <f t="shared" si="467"/>
        <v>0.23001112494905812</v>
      </c>
      <c r="BM102" s="248">
        <f t="shared" si="468"/>
        <v>0.22237524159083577</v>
      </c>
      <c r="BN102" s="23">
        <f t="shared" si="469"/>
        <v>0.23225960771806731</v>
      </c>
      <c r="BO102" s="23">
        <f t="shared" si="470"/>
        <v>0.17593766986772966</v>
      </c>
      <c r="BP102" s="149">
        <f t="shared" si="415"/>
        <v>1746.4</v>
      </c>
      <c r="BQ102" s="99">
        <f t="shared" si="416"/>
        <v>-9.9999999999909051E-2</v>
      </c>
      <c r="BR102" s="153">
        <f t="shared" si="417"/>
        <v>370.6</v>
      </c>
      <c r="BS102" s="79">
        <v>564</v>
      </c>
      <c r="BT102" s="79">
        <v>811.9</v>
      </c>
      <c r="BU102" s="23">
        <f t="shared" si="517"/>
        <v>0.46489922125515343</v>
      </c>
      <c r="BV102" s="71">
        <v>538.1</v>
      </c>
      <c r="BW102" s="71">
        <f t="shared" si="418"/>
        <v>273.79999999999995</v>
      </c>
      <c r="BX102" s="23">
        <f t="shared" si="419"/>
        <v>0.15677966101694912</v>
      </c>
      <c r="BY102" s="23">
        <f t="shared" si="289"/>
        <v>9.3932661475034346E-2</v>
      </c>
      <c r="BZ102" s="23">
        <f t="shared" si="290"/>
        <v>0.38117854819221114</v>
      </c>
      <c r="CA102" s="23">
        <f t="shared" si="291"/>
        <v>0.39488507702308123</v>
      </c>
      <c r="CB102" s="23">
        <f t="shared" si="531"/>
        <v>0.69281376518218618</v>
      </c>
      <c r="CC102" s="169">
        <f t="shared" si="420"/>
        <v>584.6</v>
      </c>
      <c r="CD102" s="72">
        <f t="shared" si="518"/>
        <v>0</v>
      </c>
      <c r="CE102" s="76">
        <v>115.377</v>
      </c>
      <c r="CF102" s="76">
        <v>430.36</v>
      </c>
      <c r="CG102" s="76">
        <f t="shared" si="519"/>
        <v>38.863</v>
      </c>
      <c r="CH102" s="23">
        <f t="shared" si="392"/>
        <v>0.73616147793362985</v>
      </c>
      <c r="CI102" s="326">
        <v>436.161</v>
      </c>
      <c r="CJ102" s="153">
        <f t="shared" si="292"/>
        <v>-1.2434497875801753E-14</v>
      </c>
      <c r="CK102" s="79">
        <f t="shared" si="520"/>
        <v>430.36</v>
      </c>
      <c r="CL102" s="159">
        <v>132.61600000000001</v>
      </c>
      <c r="CM102" s="159">
        <v>297.74400000000003</v>
      </c>
      <c r="CN102" s="159">
        <v>336.6</v>
      </c>
      <c r="CO102" s="159">
        <f t="shared" si="338"/>
        <v>38.855999999999995</v>
      </c>
      <c r="CP102" s="79">
        <v>5.8010000000000002</v>
      </c>
      <c r="CQ102" s="79">
        <v>8.407</v>
      </c>
      <c r="CR102" s="79">
        <v>2.6059999999999999</v>
      </c>
      <c r="CS102" s="23">
        <f t="shared" si="293"/>
        <v>0.69184868482200956</v>
      </c>
      <c r="CT102" s="23">
        <f t="shared" si="294"/>
        <v>1.4922125515345853E-3</v>
      </c>
      <c r="CU102" s="73">
        <v>18.555</v>
      </c>
      <c r="CV102" s="378">
        <f t="shared" si="295"/>
        <v>4.9586975635437522E-3</v>
      </c>
      <c r="CW102" s="378">
        <f t="shared" si="296"/>
        <v>4.2541630269556423E-2</v>
      </c>
      <c r="CX102" s="153">
        <f t="shared" si="297"/>
        <v>417.60599999999999</v>
      </c>
      <c r="CY102" s="153">
        <f t="shared" si="298"/>
        <v>9.9999999997635314E-4</v>
      </c>
      <c r="CZ102" s="295">
        <f t="shared" si="299"/>
        <v>436.161</v>
      </c>
      <c r="DA102" s="430">
        <v>22.138999999999999</v>
      </c>
      <c r="DB102" s="153">
        <v>16.372</v>
      </c>
      <c r="DC102" s="153">
        <v>2.532</v>
      </c>
      <c r="DD102" s="153">
        <v>1.6020000000000001</v>
      </c>
      <c r="DE102" s="153">
        <v>1.3560000000000001</v>
      </c>
      <c r="DF102" s="153">
        <f t="shared" si="528"/>
        <v>0.27699999999999925</v>
      </c>
      <c r="DG102" s="425">
        <v>220.101</v>
      </c>
      <c r="DH102" s="140">
        <f t="shared" si="521"/>
        <v>0.50463246370033088</v>
      </c>
      <c r="DI102" s="182">
        <v>417.60500000000002</v>
      </c>
      <c r="DJ102" s="79">
        <v>26.99</v>
      </c>
      <c r="DK102" s="79">
        <v>66.111999999999995</v>
      </c>
      <c r="DL102" s="79">
        <v>31.780999999999999</v>
      </c>
      <c r="DM102" s="79">
        <v>18.86</v>
      </c>
      <c r="DN102" s="79">
        <v>56.034999999999997</v>
      </c>
      <c r="DO102" s="79">
        <v>28.649000000000001</v>
      </c>
      <c r="DP102" s="79">
        <v>2.67</v>
      </c>
      <c r="DQ102" s="79">
        <v>16.137</v>
      </c>
      <c r="DR102" s="79">
        <f t="shared" si="471"/>
        <v>215.91499999999999</v>
      </c>
      <c r="DS102" s="79">
        <f t="shared" si="472"/>
        <v>201.69000000000003</v>
      </c>
      <c r="DT102" s="79">
        <v>8.9589999999999996</v>
      </c>
      <c r="DU102" s="23">
        <f t="shared" si="473"/>
        <v>4.4419653924339324E-2</v>
      </c>
      <c r="DV102" s="23">
        <f t="shared" si="474"/>
        <v>6.4630452221596954E-2</v>
      </c>
      <c r="DW102" s="23">
        <f t="shared" si="475"/>
        <v>0.15831228074376502</v>
      </c>
      <c r="DX102" s="23">
        <f t="shared" si="476"/>
        <v>7.6103016007950094E-2</v>
      </c>
      <c r="DY102" s="23">
        <f t="shared" si="477"/>
        <v>4.5162294512757266E-2</v>
      </c>
      <c r="DZ102" s="23">
        <f t="shared" si="478"/>
        <v>0.1341818225356497</v>
      </c>
      <c r="EA102" s="23">
        <f t="shared" si="479"/>
        <v>6.8603105805725512E-2</v>
      </c>
      <c r="EB102" s="23">
        <f t="shared" si="480"/>
        <v>6.3936016091761345E-3</v>
      </c>
      <c r="EC102" s="23">
        <f t="shared" si="481"/>
        <v>3.8641778714335315E-2</v>
      </c>
      <c r="ED102" s="23">
        <f t="shared" si="482"/>
        <v>0.51703164473605434</v>
      </c>
      <c r="EE102" s="153">
        <v>73.257999999999996</v>
      </c>
      <c r="EF102" s="23">
        <f t="shared" si="300"/>
        <v>0.17542414482585217</v>
      </c>
      <c r="EG102" s="182">
        <v>279.18799999999999</v>
      </c>
      <c r="EH102" s="79">
        <v>23.684999999999999</v>
      </c>
      <c r="EI102" s="79">
        <v>51.14</v>
      </c>
      <c r="EJ102" s="79">
        <v>25.466999999999999</v>
      </c>
      <c r="EK102" s="79">
        <v>7.1070000000000002</v>
      </c>
      <c r="EL102" s="79">
        <v>46.363</v>
      </c>
      <c r="EM102" s="79">
        <v>10.282</v>
      </c>
      <c r="EN102" s="28">
        <f t="shared" si="301"/>
        <v>164.04399999999998</v>
      </c>
      <c r="EO102" s="23">
        <f t="shared" si="302"/>
        <v>0.76375417451415539</v>
      </c>
      <c r="EP102" s="79">
        <f t="shared" si="303"/>
        <v>115.14400000000001</v>
      </c>
      <c r="EQ102" s="23">
        <f t="shared" si="304"/>
        <v>0.58757539722337637</v>
      </c>
      <c r="ER102" s="182">
        <f t="shared" si="268"/>
        <v>411.80400000000003</v>
      </c>
      <c r="ES102" s="185"/>
      <c r="ET102" s="136">
        <f>'Assets(MOFA)'!W55/1000</f>
        <v>460.173</v>
      </c>
      <c r="EU102" s="136">
        <f t="shared" si="339"/>
        <v>330.173</v>
      </c>
      <c r="EV102" s="589">
        <f t="shared" si="340"/>
        <v>0.8017722023098367</v>
      </c>
      <c r="EW102" s="153">
        <f t="shared" si="439"/>
        <v>26.747158838373942</v>
      </c>
      <c r="EX102" s="153">
        <f t="shared" si="440"/>
        <v>65.641645664179435</v>
      </c>
      <c r="EY102" s="153">
        <f t="shared" si="441"/>
        <v>31.296864800712939</v>
      </c>
      <c r="EZ102" s="153">
        <f t="shared" si="442"/>
        <v>18.908820356230628</v>
      </c>
      <c r="FA102" s="153">
        <f t="shared" si="443"/>
        <v>56.072030698608032</v>
      </c>
      <c r="FB102" s="153">
        <f t="shared" si="444"/>
        <v>28.65134933639138</v>
      </c>
      <c r="FC102" s="153"/>
      <c r="FD102" s="153">
        <f t="shared" si="445"/>
        <v>16.119867034609204</v>
      </c>
      <c r="FE102" s="153">
        <f t="shared" si="483"/>
        <v>214.78638739271415</v>
      </c>
      <c r="FF102" s="153">
        <f t="shared" si="484"/>
        <v>200.11491320179874</v>
      </c>
      <c r="FG102" s="23">
        <f t="shared" si="446"/>
        <v>6.49511875512961E-2</v>
      </c>
      <c r="FH102" s="23">
        <f t="shared" si="447"/>
        <v>0.15940021384974268</v>
      </c>
      <c r="FI102" s="23">
        <f t="shared" si="448"/>
        <v>7.5999419142876071E-2</v>
      </c>
      <c r="FJ102" s="23">
        <f t="shared" si="449"/>
        <v>4.5917039067689062E-2</v>
      </c>
      <c r="FK102" s="23">
        <f t="shared" si="450"/>
        <v>0.13616193795739728</v>
      </c>
      <c r="FL102" s="23">
        <f t="shared" si="451"/>
        <v>6.9575208925584442E-2</v>
      </c>
      <c r="FM102" s="23"/>
      <c r="FN102" s="23">
        <f t="shared" si="452"/>
        <v>3.9144513007666762E-2</v>
      </c>
      <c r="FO102" s="23">
        <f t="shared" si="421"/>
        <v>0.52157431057666792</v>
      </c>
      <c r="FP102" s="23">
        <f t="shared" si="422"/>
        <v>0.47842568942333208</v>
      </c>
      <c r="FQ102" s="23">
        <f t="shared" si="423"/>
        <v>0.17459479040490156</v>
      </c>
      <c r="FR102" s="23">
        <f t="shared" si="424"/>
        <v>0.16015097230696285</v>
      </c>
      <c r="FS102" s="23">
        <f t="shared" si="425"/>
        <v>2.3934404173093143E-2</v>
      </c>
      <c r="FT102" s="393">
        <f t="shared" si="426"/>
        <v>1.8280001101708909E-2</v>
      </c>
      <c r="FU102" s="393">
        <f t="shared" si="427"/>
        <v>5.6544030713842341E-3</v>
      </c>
      <c r="FV102" s="23">
        <f t="shared" si="428"/>
        <v>2.195436697177126E-2</v>
      </c>
      <c r="FW102" s="326">
        <f t="shared" si="305"/>
        <v>5.8010000000000002</v>
      </c>
      <c r="FX102" s="384">
        <f t="shared" si="430"/>
        <v>0.2428411616260584</v>
      </c>
      <c r="FY102" s="384">
        <f t="shared" si="431"/>
        <v>0.47035433582055225</v>
      </c>
      <c r="FZ102" s="384">
        <f t="shared" si="432"/>
        <v>0.48413519928706161</v>
      </c>
      <c r="GA102" s="384">
        <f t="shared" si="433"/>
        <v>-4.8820356230628061E-2</v>
      </c>
      <c r="GB102" s="384">
        <f t="shared" si="434"/>
        <v>-3.7030698608032146E-2</v>
      </c>
      <c r="GC102" s="384">
        <f t="shared" si="435"/>
        <v>-2.3493363913799892E-3</v>
      </c>
      <c r="GD102" s="153"/>
      <c r="GE102" s="153">
        <f t="shared" si="453"/>
        <v>1.7132965390795528E-2</v>
      </c>
      <c r="GF102" s="153">
        <f t="shared" si="485"/>
        <v>1.1286126072858074</v>
      </c>
      <c r="GG102" s="153">
        <f t="shared" si="277"/>
        <v>1.5750867982012959</v>
      </c>
      <c r="GH102" s="182">
        <v>277.779</v>
      </c>
      <c r="GI102" s="79">
        <v>28.864999999999998</v>
      </c>
      <c r="GJ102" s="79">
        <v>44.978999999999999</v>
      </c>
      <c r="GK102" s="79">
        <v>48.155999999999999</v>
      </c>
      <c r="GL102" s="79">
        <v>-0.35299999999999998</v>
      </c>
      <c r="GM102" s="79">
        <f t="shared" si="342"/>
        <v>28.739000000000001</v>
      </c>
      <c r="GN102" s="79">
        <v>12.976000000000001</v>
      </c>
      <c r="GO102" s="79">
        <v>15.763</v>
      </c>
      <c r="GP102" s="79">
        <v>2.2799999999999998</v>
      </c>
      <c r="GQ102" s="79">
        <v>15.500999999999999</v>
      </c>
      <c r="GR102" s="79">
        <f t="shared" si="523"/>
        <v>165.887</v>
      </c>
      <c r="GS102" s="79">
        <f t="shared" si="343"/>
        <v>111.892</v>
      </c>
      <c r="GT102" s="23">
        <f t="shared" si="524"/>
        <v>0.59719057236148165</v>
      </c>
      <c r="GU102" s="362">
        <f t="shared" si="259"/>
        <v>319.73899999999998</v>
      </c>
      <c r="GV102" s="153">
        <f t="shared" si="344"/>
        <v>40.549999999999997</v>
      </c>
      <c r="GW102" s="153">
        <f t="shared" si="308"/>
        <v>279.18799999999999</v>
      </c>
      <c r="GX102" s="153">
        <f t="shared" si="309"/>
        <v>23.116999999999997</v>
      </c>
      <c r="GY102" s="153">
        <f t="shared" si="310"/>
        <v>56.923000000000002</v>
      </c>
      <c r="GZ102" s="153">
        <f t="shared" si="226"/>
        <v>44.461999999999996</v>
      </c>
      <c r="HA102" s="153">
        <f t="shared" si="227"/>
        <v>2.7270000000000003</v>
      </c>
      <c r="HB102" s="153">
        <f t="shared" si="228"/>
        <v>37.78</v>
      </c>
      <c r="HC102" s="153">
        <f t="shared" si="229"/>
        <v>24.015000000000001</v>
      </c>
      <c r="HD102" s="352"/>
      <c r="HE102" s="153">
        <f t="shared" si="231"/>
        <v>12.428999999999998</v>
      </c>
      <c r="HF102" s="153">
        <f t="shared" si="311"/>
        <v>177.43799999999999</v>
      </c>
      <c r="HG102" s="23">
        <f t="shared" si="345"/>
        <v>0.55494637813967018</v>
      </c>
      <c r="HH102" s="156">
        <f t="shared" si="346"/>
        <v>213.09699999999975</v>
      </c>
      <c r="HI102" s="182">
        <f t="shared" si="312"/>
        <v>-1.4089999999999918</v>
      </c>
      <c r="HJ102" s="88">
        <v>-1.0000000000081055E-3</v>
      </c>
      <c r="HK102" s="79">
        <f t="shared" si="313"/>
        <v>5.18</v>
      </c>
      <c r="HL102" s="79">
        <f t="shared" si="314"/>
        <v>-6.1610000000000014</v>
      </c>
      <c r="HM102" s="79">
        <f t="shared" si="315"/>
        <v>22.689</v>
      </c>
      <c r="HN102" s="79">
        <f t="shared" si="316"/>
        <v>-7.46</v>
      </c>
      <c r="HO102" s="79">
        <f t="shared" si="317"/>
        <v>-17.623999999999999</v>
      </c>
      <c r="HP102" s="79">
        <f t="shared" si="318"/>
        <v>5.2189999999999994</v>
      </c>
      <c r="HQ102" s="79">
        <f t="shared" si="525"/>
        <v>1.843</v>
      </c>
      <c r="HR102" s="79">
        <f t="shared" si="383"/>
        <v>-3.2519999999999918</v>
      </c>
      <c r="HS102" s="23">
        <f t="shared" si="321"/>
        <v>-1.3080198722498302</v>
      </c>
      <c r="HT102" s="28">
        <v>40.549999999999997</v>
      </c>
      <c r="HU102" s="79">
        <v>-0.56699999999999995</v>
      </c>
      <c r="HV102" s="79">
        <v>5.7839999999999998</v>
      </c>
      <c r="HW102" s="79">
        <v>18.995999999999999</v>
      </c>
      <c r="HX102" s="26">
        <v>4.6704999999999997</v>
      </c>
      <c r="HY102" s="79">
        <v>-8.5839999999999996</v>
      </c>
      <c r="HZ102" s="79">
        <v>0.91100000000000003</v>
      </c>
      <c r="IA102" s="79"/>
      <c r="IB102" s="79">
        <v>2.1469999999999998</v>
      </c>
      <c r="IC102" s="79">
        <f t="shared" si="526"/>
        <v>22.446499999999997</v>
      </c>
      <c r="ID102" s="79">
        <f t="shared" si="347"/>
        <v>18.1035</v>
      </c>
      <c r="IE102" s="23">
        <f t="shared" si="348"/>
        <v>0.55355117139334153</v>
      </c>
      <c r="IF102" s="316">
        <v>-41.96</v>
      </c>
      <c r="IG102" s="153">
        <v>5.7480000000000002</v>
      </c>
      <c r="IH102" s="153">
        <v>-11.944000000000001</v>
      </c>
      <c r="II102" s="153">
        <v>3.694</v>
      </c>
      <c r="IJ102" s="153">
        <v>-3.08</v>
      </c>
      <c r="IK102" s="153">
        <v>-9.0410000000000004</v>
      </c>
      <c r="IL102" s="153">
        <v>-11.039</v>
      </c>
      <c r="IM102" s="153"/>
      <c r="IN102" s="153">
        <v>3.0720000000000001</v>
      </c>
      <c r="IO102" s="153">
        <f t="shared" si="349"/>
        <v>-11.551000000000002</v>
      </c>
      <c r="IP102" s="153">
        <f t="shared" si="522"/>
        <v>-30.408999999999999</v>
      </c>
      <c r="IQ102" s="258">
        <f t="shared" si="350"/>
        <v>-36.206000000000017</v>
      </c>
      <c r="IR102" s="149">
        <f t="shared" si="323"/>
        <v>3741.91</v>
      </c>
      <c r="IS102" s="153">
        <f t="shared" si="351"/>
        <v>176.88999999999987</v>
      </c>
      <c r="IT102" s="153">
        <f t="shared" si="529"/>
        <v>0</v>
      </c>
      <c r="IU102" s="153">
        <f t="shared" si="352"/>
        <v>279.18799999999999</v>
      </c>
      <c r="IV102" s="153">
        <f t="shared" si="324"/>
        <v>40.549999999999997</v>
      </c>
      <c r="IW102" s="153">
        <v>-41.96</v>
      </c>
      <c r="IX102" s="153">
        <f t="shared" si="530"/>
        <v>-100.88800000000001</v>
      </c>
      <c r="IY102" s="153">
        <v>13.672000000000001</v>
      </c>
      <c r="IZ102" s="153">
        <v>20.411999999999999</v>
      </c>
      <c r="JA102" s="153">
        <v>-134.97200000000001</v>
      </c>
      <c r="JB102" s="23">
        <f t="shared" si="486"/>
        <v>0.29372502845480591</v>
      </c>
      <c r="JC102" s="23">
        <f t="shared" si="487"/>
        <v>0.13241124062953805</v>
      </c>
      <c r="JD102" s="23">
        <f t="shared" si="488"/>
        <v>0.16131378782526784</v>
      </c>
      <c r="JE102" s="22">
        <f t="shared" si="489"/>
        <v>2.1915145806350327E-2</v>
      </c>
      <c r="JF102" s="22">
        <f t="shared" si="326"/>
        <v>3.1830134620667999E-3</v>
      </c>
      <c r="JG102" s="22">
        <f t="shared" si="327"/>
        <v>-3.2936928450881119E-3</v>
      </c>
      <c r="JH102" s="5">
        <v>3741.91</v>
      </c>
      <c r="JI102" s="192">
        <v>117.34</v>
      </c>
      <c r="JJ102" s="76">
        <v>158.851</v>
      </c>
      <c r="JK102" s="76">
        <v>514.68899999999996</v>
      </c>
      <c r="JL102" s="76">
        <v>272.20600000000002</v>
      </c>
      <c r="JM102" s="76">
        <v>119.89100000000001</v>
      </c>
      <c r="JN102" s="76">
        <f t="shared" si="354"/>
        <v>518.43799999999999</v>
      </c>
      <c r="JO102" s="76">
        <v>265.524</v>
      </c>
      <c r="JP102" s="76">
        <v>252.91399999999999</v>
      </c>
      <c r="JQ102" s="76">
        <v>16.335000000000001</v>
      </c>
      <c r="JR102" s="76">
        <v>102.77800000000001</v>
      </c>
      <c r="JS102" s="76">
        <f t="shared" si="527"/>
        <v>1686.8530000000001</v>
      </c>
      <c r="JT102" s="76">
        <f t="shared" si="355"/>
        <v>2055.0569999999998</v>
      </c>
      <c r="JU102" s="23">
        <f t="shared" si="356"/>
        <v>0.45079999251719044</v>
      </c>
      <c r="JV102" s="23">
        <f t="shared" si="357"/>
        <v>4.2451849456560956E-2</v>
      </c>
      <c r="JW102" s="23">
        <f t="shared" si="358"/>
        <v>0.13754713501928159</v>
      </c>
      <c r="JX102" s="23">
        <f t="shared" si="359"/>
        <v>7.2745202316464058E-2</v>
      </c>
      <c r="JY102" s="23">
        <f t="shared" si="360"/>
        <v>3.2040054410715384E-2</v>
      </c>
      <c r="JZ102" s="23">
        <f t="shared" si="361"/>
        <v>0.13854902977356484</v>
      </c>
      <c r="KA102" s="23">
        <f t="shared" si="362"/>
        <v>2.74667215406036E-2</v>
      </c>
      <c r="KB102" s="149">
        <v>188.73699999999999</v>
      </c>
      <c r="KC102" s="316">
        <v>586.86699999999996</v>
      </c>
      <c r="KD102" s="316">
        <v>398.13</v>
      </c>
      <c r="KE102" s="589">
        <f t="shared" si="242"/>
        <v>0.6783990239696559</v>
      </c>
      <c r="KF102" s="1071">
        <v>0</v>
      </c>
      <c r="KG102" s="153">
        <v>16.952000000000002</v>
      </c>
      <c r="KH102" s="153">
        <v>32.834000000000003</v>
      </c>
      <c r="KI102" s="153">
        <v>33.795999999999999</v>
      </c>
      <c r="KJ102" s="153">
        <v>-3.4079999999999999</v>
      </c>
      <c r="KK102" s="153">
        <v>-2.585</v>
      </c>
      <c r="KL102" s="153">
        <v>-0.16400000000000001</v>
      </c>
      <c r="KM102" s="153">
        <v>38.14</v>
      </c>
      <c r="KN102" s="153">
        <v>38.305</v>
      </c>
      <c r="KO102" s="153"/>
      <c r="KP102" s="153">
        <v>1.196</v>
      </c>
      <c r="KQ102" s="153">
        <f t="shared" si="328"/>
        <v>78.784999999999997</v>
      </c>
      <c r="KR102" s="153">
        <f t="shared" si="329"/>
        <v>109.952</v>
      </c>
      <c r="KS102" s="23">
        <f t="shared" si="490"/>
        <v>8.6307939872051487E-3</v>
      </c>
      <c r="KT102" s="23"/>
      <c r="KU102" s="326">
        <v>3553.174</v>
      </c>
      <c r="KV102" s="430">
        <f t="shared" si="252"/>
        <v>117.34</v>
      </c>
      <c r="KW102" s="153">
        <f t="shared" si="491"/>
        <v>141.899</v>
      </c>
      <c r="KX102" s="153">
        <f t="shared" si="492"/>
        <v>481.85499999999996</v>
      </c>
      <c r="KY102" s="153">
        <f t="shared" si="493"/>
        <v>238.41000000000003</v>
      </c>
      <c r="KZ102" s="153">
        <f t="shared" si="494"/>
        <v>123.29900000000001</v>
      </c>
      <c r="LA102" s="153">
        <f t="shared" si="495"/>
        <v>521.02300000000002</v>
      </c>
      <c r="LB102" s="153">
        <f t="shared" si="496"/>
        <v>265.68799999999999</v>
      </c>
      <c r="LC102" s="153"/>
      <c r="LD102" s="153">
        <f t="shared" si="455"/>
        <v>101.58200000000001</v>
      </c>
      <c r="LE102" s="153">
        <f t="shared" si="456"/>
        <v>1608.068</v>
      </c>
      <c r="LF102" s="153">
        <f t="shared" si="497"/>
        <v>0</v>
      </c>
      <c r="LG102" s="153">
        <f t="shared" si="498"/>
        <v>1945.1049999999998</v>
      </c>
      <c r="LH102" s="22">
        <f t="shared" si="499"/>
        <v>0.45257226355928531</v>
      </c>
      <c r="LI102" s="23">
        <f t="shared" si="457"/>
        <v>3.9935843277024992E-2</v>
      </c>
      <c r="LJ102" s="23">
        <f t="shared" si="458"/>
        <v>0.13561255373364772</v>
      </c>
      <c r="LK102" s="23">
        <f t="shared" si="459"/>
        <v>6.7097755415299123E-2</v>
      </c>
      <c r="LL102" s="23">
        <f t="shared" si="460"/>
        <v>3.4701086971817313E-2</v>
      </c>
      <c r="LM102" s="23">
        <f t="shared" si="461"/>
        <v>0.14663593733377539</v>
      </c>
      <c r="LN102" s="23">
        <f t="shared" si="462"/>
        <v>7.4774835119248304E-2</v>
      </c>
      <c r="LO102" s="23"/>
      <c r="LP102" s="23">
        <f t="shared" si="463"/>
        <v>2.8589086827720794E-2</v>
      </c>
      <c r="LQ102" s="23">
        <f t="shared" si="500"/>
        <v>0.27891000431728091</v>
      </c>
      <c r="LR102" s="23">
        <f t="shared" si="501"/>
        <v>0.15268299383806269</v>
      </c>
      <c r="LS102" s="23">
        <f t="shared" si="502"/>
        <v>0.12622693198320184</v>
      </c>
      <c r="LT102" s="326">
        <v>865.54100000000005</v>
      </c>
      <c r="LU102" s="153">
        <f t="shared" si="363"/>
        <v>0</v>
      </c>
      <c r="LV102" s="153">
        <f t="shared" si="503"/>
        <v>188.73699999999999</v>
      </c>
      <c r="LW102" s="153">
        <f t="shared" si="504"/>
        <v>398.13</v>
      </c>
      <c r="LX102" s="153">
        <v>278.67399999999998</v>
      </c>
      <c r="LY102" s="23">
        <f>LX102/Liabilities!GT102</f>
        <v>0.12133046675879411</v>
      </c>
      <c r="LZ102" s="23">
        <f t="shared" si="253"/>
        <v>0.36040992532468369</v>
      </c>
      <c r="MA102" s="425">
        <v>1171.3440000000001</v>
      </c>
      <c r="MB102" s="153">
        <f t="shared" si="364"/>
        <v>0</v>
      </c>
      <c r="MC102" s="153">
        <v>494.54</v>
      </c>
      <c r="MD102" s="153">
        <f t="shared" si="365"/>
        <v>278.67399999999998</v>
      </c>
      <c r="ME102" s="153">
        <f t="shared" si="366"/>
        <v>398.13</v>
      </c>
      <c r="MF102" s="153">
        <v>773.21400000000006</v>
      </c>
      <c r="MG102" s="153">
        <f t="shared" si="505"/>
        <v>586.86699999999996</v>
      </c>
      <c r="MH102" s="326">
        <f t="shared" si="506"/>
        <v>3553.174</v>
      </c>
      <c r="MI102" s="1008">
        <f>FoF_RoW!$BH72/1000</f>
        <v>4387.7510000000002</v>
      </c>
      <c r="MJ102" s="1008">
        <v>5064.5550000000003</v>
      </c>
      <c r="MK102" s="1008">
        <f>FoF_RoW!$AU72/1000</f>
        <v>296.334</v>
      </c>
      <c r="ML102" s="1008">
        <f t="shared" si="254"/>
        <v>186.52100000000064</v>
      </c>
      <c r="MM102" s="425">
        <f t="shared" si="507"/>
        <v>4199.0140000000001</v>
      </c>
      <c r="MN102" s="23">
        <f t="shared" si="508"/>
        <v>1.1817642479653403</v>
      </c>
      <c r="MO102" s="153">
        <v>5486.3909999999996</v>
      </c>
      <c r="MP102" s="425">
        <v>4620.8500000000004</v>
      </c>
      <c r="MQ102" s="23">
        <f t="shared" si="367"/>
        <v>1.3004851437053182</v>
      </c>
      <c r="MR102" s="23">
        <f t="shared" si="368"/>
        <v>1.1004607272088163</v>
      </c>
      <c r="MS102" s="153">
        <f t="shared" si="509"/>
        <v>188.73699999999999</v>
      </c>
      <c r="MT102" s="153">
        <v>865.54100000000005</v>
      </c>
      <c r="MU102" s="153">
        <v>1171.3440000000001</v>
      </c>
      <c r="MV102" s="153">
        <v>2927.7530000000002</v>
      </c>
      <c r="MW102" s="153">
        <v>2296.8180000000002</v>
      </c>
      <c r="MX102" s="23">
        <f t="shared" si="369"/>
        <v>1.2746996061507703</v>
      </c>
      <c r="MY102" s="425">
        <f t="shared" si="255"/>
        <v>-2879.3250000000003</v>
      </c>
      <c r="MZ102" s="23">
        <f t="shared" si="510"/>
        <v>-0.22601554221123279</v>
      </c>
      <c r="NA102" s="153">
        <v>21767.827000000001</v>
      </c>
      <c r="NB102" s="153">
        <v>24279.615000000002</v>
      </c>
      <c r="NC102" s="425">
        <f t="shared" si="330"/>
        <v>-2670.2260000000006</v>
      </c>
      <c r="ND102" s="23">
        <f t="shared" si="331"/>
        <v>-0.20960210369323762</v>
      </c>
      <c r="NE102" s="330">
        <f t="shared" si="332"/>
        <v>1596.393</v>
      </c>
      <c r="NF102" s="23">
        <f t="shared" si="333"/>
        <v>0.12531049099258212</v>
      </c>
      <c r="NG102" s="330">
        <f t="shared" si="334"/>
        <v>1387.2940000000003</v>
      </c>
      <c r="NH102" s="23">
        <f t="shared" si="335"/>
        <v>0.10889705247458693</v>
      </c>
      <c r="NI102" s="330">
        <v>367.53699999999998</v>
      </c>
      <c r="NJ102" s="425">
        <v>278.577</v>
      </c>
      <c r="NK102" s="403">
        <f t="shared" si="393"/>
        <v>2.1867184740374426E-2</v>
      </c>
      <c r="NL102" s="153">
        <v>288.01600000000002</v>
      </c>
      <c r="NM102" s="153">
        <v>440.90600000000001</v>
      </c>
      <c r="NN102" s="153">
        <v>152.88999999999999</v>
      </c>
      <c r="NO102" s="425">
        <f t="shared" si="100"/>
        <v>176.25200000000007</v>
      </c>
      <c r="NP102" s="153">
        <v>674.23800000000006</v>
      </c>
      <c r="NQ102" s="153">
        <v>497.98599999999999</v>
      </c>
      <c r="NR102" s="403">
        <f t="shared" si="394"/>
        <v>1.3835079869696619E-2</v>
      </c>
      <c r="NS102" s="403">
        <f t="shared" si="395"/>
        <v>2.1867184740374426E-2</v>
      </c>
      <c r="NT102" s="403">
        <f t="shared" si="396"/>
        <v>-8.0321048706778076E-3</v>
      </c>
      <c r="NU102" s="727">
        <f t="shared" si="511"/>
        <v>8.9118668643214993E-2</v>
      </c>
      <c r="NV102" s="688">
        <f t="shared" si="512"/>
        <v>9.80715949029939E-2</v>
      </c>
      <c r="NW102" s="688">
        <f t="shared" si="513"/>
        <v>0.11589750459729808</v>
      </c>
      <c r="NX102" s="793">
        <f>(ER102-T.A2!B54*T.A1!M54)/MP102</f>
        <v>7.2930161387485259E-2</v>
      </c>
      <c r="NY102" s="688">
        <f>Liabilities!BU102/Liabilities!GY102</f>
        <v>4.1472419292201218E-2</v>
      </c>
      <c r="NZ102" s="688">
        <f>Liabilities!BU102/Liabilities!GT102</f>
        <v>5.2864876537888496E-2</v>
      </c>
      <c r="OA102" s="688">
        <f>Liabilities!BU102/Liabilities!GR102</f>
        <v>6.8003768123734251E-2</v>
      </c>
      <c r="OB102" s="688">
        <f t="shared" si="256"/>
        <v>4.7646249351013775E-2</v>
      </c>
      <c r="OC102" s="688">
        <f t="shared" si="257"/>
        <v>4.5206718365105404E-2</v>
      </c>
      <c r="OD102" s="688"/>
      <c r="OE102" s="793">
        <f t="shared" si="514"/>
        <v>0.10249072758509498</v>
      </c>
      <c r="OF102" s="793">
        <f>OE102/(1-'Assets(MOFA)'!GU55)</f>
        <v>0.1428447074261551</v>
      </c>
      <c r="OG102" s="793">
        <f>Liabilities!HV102</f>
        <v>5.7797815822346339E-2</v>
      </c>
      <c r="OH102" s="793">
        <f t="shared" si="438"/>
        <v>4.4692911762748637E-2</v>
      </c>
      <c r="OI102" s="22">
        <f t="shared" si="336"/>
        <v>1.432522189865847E-2</v>
      </c>
      <c r="OJ102" s="22">
        <f t="shared" si="337"/>
        <v>6.5456006831939315E-3</v>
      </c>
      <c r="OK102" s="403">
        <f>Liabilities!CT102/LX102</f>
        <v>1.5290267480999306E-2</v>
      </c>
      <c r="OL102" s="403">
        <f>Liabilities!CU102/MF102</f>
        <v>3.6119366695377991E-2</v>
      </c>
      <c r="OM102" s="153"/>
      <c r="OO102" s="186">
        <f t="shared" si="515"/>
        <v>0.10229996805988165</v>
      </c>
      <c r="OP102" s="308">
        <f t="shared" si="370"/>
        <v>0.32960587150202131</v>
      </c>
      <c r="OQ102" s="308">
        <f t="shared" si="371"/>
        <v>3.3718670127006231E-2</v>
      </c>
      <c r="OR102" s="313">
        <f t="shared" si="372"/>
        <v>0</v>
      </c>
      <c r="OS102" s="23">
        <f t="shared" si="373"/>
        <v>0.16637946933679856</v>
      </c>
      <c r="OT102" s="23">
        <f t="shared" si="374"/>
        <v>0.12024430140585896</v>
      </c>
      <c r="OU102" s="23">
        <f t="shared" si="375"/>
        <v>0.11587180678048499</v>
      </c>
      <c r="OV102" s="23">
        <f t="shared" si="376"/>
        <v>0.1353649709544798</v>
      </c>
      <c r="OW102" s="23">
        <f t="shared" si="377"/>
        <v>9.499282479646895E-2</v>
      </c>
      <c r="OX102" s="23">
        <f t="shared" si="378"/>
        <v>9.5186323573914586E-2</v>
      </c>
      <c r="OY102" s="23">
        <f t="shared" si="379"/>
        <v>0.14007031615018462</v>
      </c>
      <c r="OZ102" s="23">
        <f t="shared" si="380"/>
        <v>0.11789727212449538</v>
      </c>
      <c r="PA102" s="23">
        <f t="shared" si="381"/>
        <v>9.0810866053921024E-2</v>
      </c>
      <c r="PB102" s="23">
        <f t="shared" si="382"/>
        <v>2.7086406070574359E-2</v>
      </c>
      <c r="PC102" s="23"/>
      <c r="PD102" s="23"/>
      <c r="PE102" s="23"/>
      <c r="PF102" s="23"/>
      <c r="PG102" s="69"/>
      <c r="PH102" s="23">
        <f>'Assets(MOFA)'!GU55</f>
        <v>0.28250245016548126</v>
      </c>
      <c r="PI102" s="23">
        <f>'Assets(MOFA)'!HM55</f>
        <v>0.22774024088396527</v>
      </c>
      <c r="PJ102" s="11">
        <f t="shared" si="516"/>
        <v>2.8921419746961854E-2</v>
      </c>
      <c r="PK102" s="11">
        <f>Liabilities!IP102/MW102/1000</f>
        <v>1.3071562483400948E-2</v>
      </c>
      <c r="PL102" s="11">
        <f>'Assets(MOFA)'!GO55/MM102/1000</f>
        <v>1.8976192982447786E-2</v>
      </c>
      <c r="PM102" s="11">
        <f t="shared" si="429"/>
        <v>-5.9046304990468378E-3</v>
      </c>
    </row>
    <row r="103" spans="1:429">
      <c r="B103" s="71">
        <v>2011</v>
      </c>
      <c r="C103" s="43">
        <v>13352.3</v>
      </c>
      <c r="D103" s="5">
        <v>1816.6</v>
      </c>
      <c r="E103" s="19">
        <f t="shared" si="397"/>
        <v>0.13605146678849336</v>
      </c>
      <c r="F103" s="72">
        <f t="shared" si="398"/>
        <v>0</v>
      </c>
      <c r="G103" s="76">
        <f t="shared" si="399"/>
        <v>1394.6999999999998</v>
      </c>
      <c r="H103" s="23">
        <f t="shared" si="400"/>
        <v>0.10445391430689843</v>
      </c>
      <c r="I103" s="72">
        <v>421.9</v>
      </c>
      <c r="J103" s="19">
        <f t="shared" si="401"/>
        <v>3.1597552481594932E-2</v>
      </c>
      <c r="K103" s="6">
        <f t="shared" si="402"/>
        <v>0.23224705493779588</v>
      </c>
      <c r="L103" s="136">
        <v>644.29999999999995</v>
      </c>
      <c r="M103" s="19">
        <f t="shared" si="403"/>
        <v>4.8253858885735045E-2</v>
      </c>
      <c r="N103" s="63">
        <f t="shared" si="404"/>
        <v>0.35467356600242211</v>
      </c>
      <c r="O103" s="5">
        <f t="shared" si="405"/>
        <v>1816.6</v>
      </c>
      <c r="P103" s="75">
        <f t="shared" si="406"/>
        <v>0</v>
      </c>
      <c r="Q103" s="271">
        <v>1242.9000000000001</v>
      </c>
      <c r="R103" s="202">
        <v>366.5</v>
      </c>
      <c r="S103" s="205">
        <f t="shared" si="407"/>
        <v>0.20175052295497084</v>
      </c>
      <c r="T103" s="74">
        <v>76.5</v>
      </c>
      <c r="U103" s="74">
        <v>9.7999999999999972</v>
      </c>
      <c r="V103" s="210">
        <v>175.2</v>
      </c>
      <c r="W103" s="205">
        <f t="shared" si="408"/>
        <v>9.6443906198392604E-2</v>
      </c>
      <c r="X103" s="75">
        <f t="shared" si="409"/>
        <v>296.09999999999991</v>
      </c>
      <c r="Y103" s="187">
        <v>294.17491799999999</v>
      </c>
      <c r="Z103" s="75">
        <f>Z102*Y103/Y102</f>
        <v>-22.464196212443422</v>
      </c>
      <c r="AA103" s="75"/>
      <c r="AB103" s="75"/>
      <c r="AC103" s="75">
        <f t="shared" si="437"/>
        <v>271.71072178755657</v>
      </c>
      <c r="AD103" s="230">
        <f t="shared" si="410"/>
        <v>0.14957102377383935</v>
      </c>
      <c r="AE103" s="200">
        <f>NIPA_Scorp!C24/1000</f>
        <v>325.274</v>
      </c>
      <c r="AF103" s="200">
        <v>285.59349027735755</v>
      </c>
      <c r="AG103" s="230">
        <f t="shared" si="385"/>
        <v>0.17905647913684908</v>
      </c>
      <c r="AH103" s="97">
        <v>379.1</v>
      </c>
      <c r="AI103" s="22">
        <f t="shared" si="411"/>
        <v>2.8392112220366531E-2</v>
      </c>
      <c r="AJ103" s="22">
        <f t="shared" si="412"/>
        <v>2.2745145031193133E-2</v>
      </c>
      <c r="AK103" s="99">
        <f t="shared" si="413"/>
        <v>0.10000000000002274</v>
      </c>
      <c r="AL103" s="276">
        <v>223.90000000000003</v>
      </c>
      <c r="AM103" s="72">
        <f>(0.25*Fedtax!C84+0.75*Fedtax!C83)/1000</f>
        <v>196.386</v>
      </c>
      <c r="AN103" s="71">
        <v>50.2</v>
      </c>
      <c r="AO103" s="255">
        <v>29.5</v>
      </c>
      <c r="AP103" s="71">
        <v>75.400000000000006</v>
      </c>
      <c r="AQ103" s="6">
        <f t="shared" si="414"/>
        <v>0.10765935456812685</v>
      </c>
      <c r="AR103" s="207">
        <v>107.1</v>
      </c>
      <c r="AS103" s="714">
        <v>107.120498</v>
      </c>
      <c r="AT103" s="210">
        <v>40.755378999999998</v>
      </c>
      <c r="AU103" s="205">
        <f t="shared" si="386"/>
        <v>0.3804629343676128</v>
      </c>
      <c r="AV103" s="709">
        <v>116.109678</v>
      </c>
      <c r="AW103" s="518">
        <v>48.919832</v>
      </c>
      <c r="AX103" s="518">
        <f t="shared" si="387"/>
        <v>67.189846000000003</v>
      </c>
      <c r="AY103" s="520">
        <f t="shared" si="388"/>
        <v>0.42132432750351784</v>
      </c>
      <c r="BC103" s="207"/>
      <c r="BD103" s="722">
        <f>'Assets(MOFA)'!FJ56/1000</f>
        <v>163.87799999999999</v>
      </c>
      <c r="BE103" s="753">
        <f t="shared" si="532"/>
        <v>0.70851290594222538</v>
      </c>
      <c r="BF103" s="234">
        <v>0.35</v>
      </c>
      <c r="BG103" s="437"/>
      <c r="BH103" s="140">
        <f t="shared" si="464"/>
        <v>0.13966878980891723</v>
      </c>
      <c r="BI103" s="248">
        <f t="shared" si="384"/>
        <v>0.16741732662442455</v>
      </c>
      <c r="BJ103" s="23">
        <f t="shared" si="465"/>
        <v>0.12826870000467797</v>
      </c>
      <c r="BK103" s="30">
        <f t="shared" si="466"/>
        <v>0.18423850019327409</v>
      </c>
      <c r="BL103" s="30">
        <f t="shared" si="467"/>
        <v>0.21291180866445902</v>
      </c>
      <c r="BM103" s="248">
        <f t="shared" si="468"/>
        <v>0.21208202564014883</v>
      </c>
      <c r="BN103" s="23">
        <f t="shared" si="469"/>
        <v>0.24434789604956153</v>
      </c>
      <c r="BO103" s="23">
        <f t="shared" si="470"/>
        <v>0.18870386479433332</v>
      </c>
      <c r="BP103" s="149">
        <f t="shared" si="415"/>
        <v>1816.6</v>
      </c>
      <c r="BQ103" s="99">
        <f t="shared" si="416"/>
        <v>-0.1000000000003638</v>
      </c>
      <c r="BR103" s="153">
        <f t="shared" si="417"/>
        <v>379.1</v>
      </c>
      <c r="BS103" s="79">
        <v>703.7</v>
      </c>
      <c r="BT103" s="79">
        <v>733.9</v>
      </c>
      <c r="BU103" s="23">
        <f t="shared" si="517"/>
        <v>0.4039964769349334</v>
      </c>
      <c r="BV103" s="71">
        <v>466.9</v>
      </c>
      <c r="BW103" s="71">
        <f t="shared" si="418"/>
        <v>267</v>
      </c>
      <c r="BX103" s="23">
        <f t="shared" si="419"/>
        <v>0.14697787074755037</v>
      </c>
      <c r="BY103" s="23">
        <f t="shared" si="289"/>
        <v>9.4363095893427285E-2</v>
      </c>
      <c r="BZ103" s="23">
        <f t="shared" si="290"/>
        <v>0.37286373355316821</v>
      </c>
      <c r="CA103" s="23">
        <f t="shared" si="291"/>
        <v>0.38473893053526065</v>
      </c>
      <c r="CB103" s="23">
        <f t="shared" si="531"/>
        <v>0.63285138658449869</v>
      </c>
      <c r="CC103" s="169">
        <f t="shared" si="420"/>
        <v>644.29999999999995</v>
      </c>
      <c r="CD103" s="72">
        <f t="shared" si="518"/>
        <v>0</v>
      </c>
      <c r="CE103" s="76">
        <v>147.47399999999999</v>
      </c>
      <c r="CF103" s="76">
        <v>459.73899999999998</v>
      </c>
      <c r="CG103" s="76">
        <f t="shared" si="519"/>
        <v>37.086999999999989</v>
      </c>
      <c r="CH103" s="23">
        <f t="shared" si="392"/>
        <v>0.71354803662889954</v>
      </c>
      <c r="CI103" s="326">
        <v>466.93799999999999</v>
      </c>
      <c r="CJ103" s="153">
        <f t="shared" si="292"/>
        <v>1.2434497875801753E-14</v>
      </c>
      <c r="CK103" s="79">
        <f t="shared" si="520"/>
        <v>459.73899999999998</v>
      </c>
      <c r="CL103" s="159">
        <v>151.12200000000001</v>
      </c>
      <c r="CM103" s="159">
        <v>308.61700000000002</v>
      </c>
      <c r="CN103" s="159">
        <v>345.7</v>
      </c>
      <c r="CO103" s="159">
        <f t="shared" si="338"/>
        <v>37.08299999999997</v>
      </c>
      <c r="CP103" s="79">
        <v>7.1989999999999998</v>
      </c>
      <c r="CQ103" s="79">
        <v>9.5169999999999995</v>
      </c>
      <c r="CR103" s="79">
        <v>2.3180000000000001</v>
      </c>
      <c r="CS103" s="23">
        <f t="shared" si="293"/>
        <v>0.67128740437509116</v>
      </c>
      <c r="CT103" s="23">
        <f t="shared" si="294"/>
        <v>1.2760101288120666E-3</v>
      </c>
      <c r="CU103" s="73">
        <v>18.702999999999999</v>
      </c>
      <c r="CV103" s="378">
        <f t="shared" si="295"/>
        <v>4.6179950449700821E-3</v>
      </c>
      <c r="CW103" s="378">
        <f t="shared" si="296"/>
        <v>4.0054568272447306E-2</v>
      </c>
      <c r="CX103" s="153">
        <f t="shared" si="297"/>
        <v>448.23500000000001</v>
      </c>
      <c r="CY103" s="153">
        <f t="shared" si="298"/>
        <v>0</v>
      </c>
      <c r="CZ103" s="295">
        <f t="shared" si="299"/>
        <v>466.93799999999999</v>
      </c>
      <c r="DA103" s="430">
        <v>30.221</v>
      </c>
      <c r="DB103" s="153">
        <v>22.643999999999998</v>
      </c>
      <c r="DC103" s="153">
        <v>3.2869999999999999</v>
      </c>
      <c r="DD103" s="153">
        <v>2.415</v>
      </c>
      <c r="DE103" s="153">
        <v>1.6519999999999999</v>
      </c>
      <c r="DF103" s="153">
        <f t="shared" si="528"/>
        <v>0.22300000000000186</v>
      </c>
      <c r="DG103" s="425">
        <v>223.61199999999999</v>
      </c>
      <c r="DH103" s="140">
        <f t="shared" si="521"/>
        <v>0.478890131023819</v>
      </c>
      <c r="DI103" s="182">
        <v>448.23500000000001</v>
      </c>
      <c r="DJ103" s="79">
        <v>31.606999999999999</v>
      </c>
      <c r="DK103" s="79">
        <v>76.897000000000006</v>
      </c>
      <c r="DL103" s="79">
        <v>23.904</v>
      </c>
      <c r="DM103" s="79">
        <v>18.991</v>
      </c>
      <c r="DN103" s="79">
        <v>59.070999999999998</v>
      </c>
      <c r="DO103" s="79">
        <v>31.952000000000002</v>
      </c>
      <c r="DP103" s="79">
        <v>1.4999999999999999E-2</v>
      </c>
      <c r="DQ103" s="79">
        <v>21.437000000000001</v>
      </c>
      <c r="DR103" s="79">
        <f t="shared" si="471"/>
        <v>231.90700000000001</v>
      </c>
      <c r="DS103" s="79">
        <f t="shared" si="472"/>
        <v>216.328</v>
      </c>
      <c r="DT103" s="79">
        <v>15.439</v>
      </c>
      <c r="DU103" s="23">
        <f t="shared" si="473"/>
        <v>7.1368477497133986E-2</v>
      </c>
      <c r="DV103" s="23">
        <f t="shared" si="474"/>
        <v>7.051435073120127E-2</v>
      </c>
      <c r="DW103" s="23">
        <f t="shared" si="475"/>
        <v>0.17155509944560332</v>
      </c>
      <c r="DX103" s="23">
        <f t="shared" si="476"/>
        <v>5.3329168851160659E-2</v>
      </c>
      <c r="DY103" s="23">
        <f t="shared" si="477"/>
        <v>4.23684005041998E-2</v>
      </c>
      <c r="DZ103" s="23">
        <f t="shared" si="478"/>
        <v>0.13178578201166799</v>
      </c>
      <c r="EA103" s="23">
        <f t="shared" si="479"/>
        <v>7.128403627561436E-2</v>
      </c>
      <c r="EB103" s="23">
        <f t="shared" si="480"/>
        <v>3.3464588887525512E-5</v>
      </c>
      <c r="EC103" s="23">
        <f t="shared" si="481"/>
        <v>4.7825359465458968E-2</v>
      </c>
      <c r="ED103" s="23">
        <f t="shared" si="482"/>
        <v>0.51737816100929201</v>
      </c>
      <c r="EE103" s="153">
        <v>82.257000000000005</v>
      </c>
      <c r="EF103" s="23">
        <f t="shared" si="300"/>
        <v>0.18351311254141242</v>
      </c>
      <c r="EG103" s="182">
        <v>289.91399999999999</v>
      </c>
      <c r="EH103" s="79">
        <v>27.989000000000001</v>
      </c>
      <c r="EI103" s="79">
        <v>64.942999999999998</v>
      </c>
      <c r="EJ103" s="79">
        <v>19.739000000000001</v>
      </c>
      <c r="EK103" s="79">
        <v>7.452</v>
      </c>
      <c r="EL103" s="79">
        <v>42.652000000000001</v>
      </c>
      <c r="EM103" s="79">
        <v>8.6449999999999996</v>
      </c>
      <c r="EN103" s="28">
        <f t="shared" si="301"/>
        <v>171.42</v>
      </c>
      <c r="EO103" s="23">
        <f t="shared" si="302"/>
        <v>0.74363194956802747</v>
      </c>
      <c r="EP103" s="79">
        <f t="shared" si="303"/>
        <v>118.494</v>
      </c>
      <c r="EQ103" s="23">
        <f t="shared" si="304"/>
        <v>0.59127879302137876</v>
      </c>
      <c r="ER103" s="182">
        <f t="shared" si="268"/>
        <v>441.036</v>
      </c>
      <c r="ES103" s="185"/>
      <c r="ET103" s="136">
        <f>'Assets(MOFA)'!W56/1000</f>
        <v>561.08799999999997</v>
      </c>
      <c r="EU103" s="136">
        <f t="shared" si="339"/>
        <v>397.21</v>
      </c>
      <c r="EV103" s="589">
        <f t="shared" si="340"/>
        <v>0.90062942707624771</v>
      </c>
      <c r="EW103" s="153">
        <f t="shared" si="439"/>
        <v>31.362527761983834</v>
      </c>
      <c r="EX103" s="153">
        <f t="shared" si="440"/>
        <v>76.25425154098636</v>
      </c>
      <c r="EY103" s="153">
        <f t="shared" si="441"/>
        <v>23.184541708394985</v>
      </c>
      <c r="EZ103" s="153">
        <f t="shared" si="442"/>
        <v>19.122913241175674</v>
      </c>
      <c r="FA103" s="153">
        <f t="shared" si="443"/>
        <v>59.169769674228377</v>
      </c>
      <c r="FB103" s="153">
        <f t="shared" si="444"/>
        <v>32.035689043813122</v>
      </c>
      <c r="FC103" s="153"/>
      <c r="FD103" s="153">
        <f t="shared" si="445"/>
        <v>21.423256795523709</v>
      </c>
      <c r="FE103" s="153">
        <f t="shared" si="483"/>
        <v>230.51726072229295</v>
      </c>
      <c r="FF103" s="153">
        <f t="shared" si="484"/>
        <v>214.73120566514399</v>
      </c>
      <c r="FG103" s="23">
        <f t="shared" si="446"/>
        <v>7.1111038015000669E-2</v>
      </c>
      <c r="FH103" s="23">
        <f t="shared" si="447"/>
        <v>0.17289802088942027</v>
      </c>
      <c r="FI103" s="23">
        <f t="shared" si="448"/>
        <v>5.2568365639981733E-2</v>
      </c>
      <c r="FJ103" s="23">
        <f t="shared" si="449"/>
        <v>4.3359075542984411E-2</v>
      </c>
      <c r="FK103" s="23">
        <f t="shared" si="450"/>
        <v>0.13416086141319161</v>
      </c>
      <c r="FL103" s="23">
        <f t="shared" si="451"/>
        <v>7.2637356233534497E-2</v>
      </c>
      <c r="FM103" s="23"/>
      <c r="FN103" s="23">
        <f t="shared" si="452"/>
        <v>4.8574848301552953E-2</v>
      </c>
      <c r="FO103" s="23">
        <f t="shared" si="421"/>
        <v>0.52267220980213158</v>
      </c>
      <c r="FP103" s="23">
        <f t="shared" si="422"/>
        <v>0.47732779019786842</v>
      </c>
      <c r="FQ103" s="23">
        <f t="shared" si="423"/>
        <v>0.18537801650088814</v>
      </c>
      <c r="FR103" s="23">
        <f t="shared" si="424"/>
        <v>0.16929554950153397</v>
      </c>
      <c r="FS103" s="23">
        <f t="shared" si="425"/>
        <v>2.5220951055287356E-2</v>
      </c>
      <c r="FT103" s="393">
        <f t="shared" si="426"/>
        <v>1.8755105003203137E-2</v>
      </c>
      <c r="FU103" s="393">
        <f t="shared" si="427"/>
        <v>6.4658460520842197E-3</v>
      </c>
      <c r="FV103" s="23">
        <f t="shared" si="428"/>
        <v>2.3032907830447685E-2</v>
      </c>
      <c r="FW103" s="326">
        <f t="shared" si="305"/>
        <v>7.1989999999999998</v>
      </c>
      <c r="FX103" s="384">
        <f t="shared" si="430"/>
        <v>0.24447223801616583</v>
      </c>
      <c r="FY103" s="384">
        <f t="shared" si="431"/>
        <v>0.64274845901363953</v>
      </c>
      <c r="FZ103" s="384">
        <f t="shared" si="432"/>
        <v>0.71945829160501651</v>
      </c>
      <c r="GA103" s="384">
        <f t="shared" si="433"/>
        <v>-0.13191324117567244</v>
      </c>
      <c r="GB103" s="384">
        <f t="shared" si="434"/>
        <v>-9.8769674228376111E-2</v>
      </c>
      <c r="GC103" s="384">
        <f t="shared" si="435"/>
        <v>-8.3689043813117439E-2</v>
      </c>
      <c r="GD103" s="153"/>
      <c r="GE103" s="153">
        <f t="shared" si="453"/>
        <v>1.3743204476290778E-2</v>
      </c>
      <c r="GF103" s="153">
        <f t="shared" si="485"/>
        <v>1.3897392777070641</v>
      </c>
      <c r="GG103" s="153">
        <f t="shared" si="277"/>
        <v>1.596794334856013</v>
      </c>
      <c r="GH103" s="182">
        <v>396.56900000000002</v>
      </c>
      <c r="GI103" s="79">
        <v>26.381</v>
      </c>
      <c r="GJ103" s="79">
        <v>86</v>
      </c>
      <c r="GK103" s="79">
        <v>48.113</v>
      </c>
      <c r="GL103" s="79">
        <v>7.4390000000000001</v>
      </c>
      <c r="GM103" s="79">
        <f t="shared" si="342"/>
        <v>43.605999999999995</v>
      </c>
      <c r="GN103" s="79">
        <v>21.071999999999999</v>
      </c>
      <c r="GO103" s="79">
        <v>22.533999999999999</v>
      </c>
      <c r="GP103" s="79">
        <v>2.2799999999999998</v>
      </c>
      <c r="GQ103" s="79">
        <v>12.5</v>
      </c>
      <c r="GR103" s="79">
        <f t="shared" si="523"/>
        <v>224.03899999999999</v>
      </c>
      <c r="GS103" s="79">
        <f t="shared" si="343"/>
        <v>172.53000000000003</v>
      </c>
      <c r="GT103" s="23">
        <f t="shared" si="524"/>
        <v>0.5649433011657492</v>
      </c>
      <c r="GU103" s="362">
        <f t="shared" si="259"/>
        <v>379.041</v>
      </c>
      <c r="GV103" s="153">
        <f t="shared" si="344"/>
        <v>89.126000000000005</v>
      </c>
      <c r="GW103" s="153">
        <f t="shared" si="308"/>
        <v>289.91399999999999</v>
      </c>
      <c r="GX103" s="153">
        <f t="shared" si="309"/>
        <v>28.969000000000001</v>
      </c>
      <c r="GY103" s="153">
        <f t="shared" si="310"/>
        <v>74.632000000000005</v>
      </c>
      <c r="GZ103" s="153">
        <f t="shared" si="226"/>
        <v>36.982999999999997</v>
      </c>
      <c r="HA103" s="153">
        <f t="shared" si="227"/>
        <v>12.411000000000001</v>
      </c>
      <c r="HB103" s="153">
        <f t="shared" si="228"/>
        <v>47.292999999999992</v>
      </c>
      <c r="HC103" s="153">
        <f t="shared" si="229"/>
        <v>26.698999999999998</v>
      </c>
      <c r="HD103" s="352"/>
      <c r="HE103" s="153">
        <f t="shared" si="231"/>
        <v>12.92</v>
      </c>
      <c r="HF103" s="153">
        <f t="shared" si="311"/>
        <v>213.208</v>
      </c>
      <c r="HG103" s="23">
        <f t="shared" si="345"/>
        <v>0.56249323951762475</v>
      </c>
      <c r="HH103" s="156">
        <f t="shared" si="346"/>
        <v>302.57700000000023</v>
      </c>
      <c r="HI103" s="182">
        <f t="shared" si="312"/>
        <v>106.65500000000003</v>
      </c>
      <c r="HJ103" s="88">
        <v>-1.0000000000331966E-3</v>
      </c>
      <c r="HK103" s="79">
        <f t="shared" si="313"/>
        <v>-1.6080000000000005</v>
      </c>
      <c r="HL103" s="79">
        <f t="shared" si="314"/>
        <v>21.057000000000002</v>
      </c>
      <c r="HM103" s="79">
        <f t="shared" si="315"/>
        <v>28.373999999999999</v>
      </c>
      <c r="HN103" s="79">
        <f t="shared" si="316"/>
        <v>-1.2999999999999901E-2</v>
      </c>
      <c r="HO103" s="79">
        <f t="shared" si="317"/>
        <v>0.95399999999999352</v>
      </c>
      <c r="HP103" s="79">
        <f t="shared" si="318"/>
        <v>3.8550000000000004</v>
      </c>
      <c r="HQ103" s="79">
        <f t="shared" si="525"/>
        <v>52.619</v>
      </c>
      <c r="HR103" s="79">
        <f t="shared" si="383"/>
        <v>54.03600000000003</v>
      </c>
      <c r="HS103" s="23">
        <f t="shared" si="321"/>
        <v>0.49335708593127359</v>
      </c>
      <c r="HT103" s="28">
        <v>89.126000000000005</v>
      </c>
      <c r="HU103" s="79">
        <v>0.98</v>
      </c>
      <c r="HV103" s="79">
        <v>9.6880000000000006</v>
      </c>
      <c r="HW103" s="79">
        <v>17.242999999999999</v>
      </c>
      <c r="HX103" s="79">
        <v>4.9589999999999996</v>
      </c>
      <c r="HY103" s="79">
        <v>4.641</v>
      </c>
      <c r="HZ103" s="79">
        <v>2.3980000000000001</v>
      </c>
      <c r="IA103" s="79"/>
      <c r="IB103" s="79">
        <v>4.2759999999999998</v>
      </c>
      <c r="IC103" s="79">
        <f t="shared" si="526"/>
        <v>41.786999999999999</v>
      </c>
      <c r="ID103" s="79">
        <f t="shared" si="347"/>
        <v>47.339000000000006</v>
      </c>
      <c r="IE103" s="23">
        <f t="shared" si="348"/>
        <v>0.46885308439737</v>
      </c>
      <c r="IF103" s="316">
        <v>17.527999999999999</v>
      </c>
      <c r="IG103" s="153">
        <v>-2.5880000000000001</v>
      </c>
      <c r="IH103" s="153">
        <v>11.368</v>
      </c>
      <c r="II103" s="153">
        <v>11.13</v>
      </c>
      <c r="IJ103" s="153">
        <v>-4.9720000000000004</v>
      </c>
      <c r="IK103" s="153">
        <v>-3.6869999999999998</v>
      </c>
      <c r="IL103" s="153">
        <v>-5.6269999999999998</v>
      </c>
      <c r="IM103" s="153"/>
      <c r="IN103" s="153">
        <v>-0.42</v>
      </c>
      <c r="IO103" s="153">
        <f t="shared" si="349"/>
        <v>10.831000000000003</v>
      </c>
      <c r="IP103" s="153">
        <f t="shared" si="522"/>
        <v>6.6969999999999956</v>
      </c>
      <c r="IQ103" s="258">
        <f t="shared" si="350"/>
        <v>5.5380000000000109</v>
      </c>
      <c r="IR103" s="149">
        <f t="shared" si="323"/>
        <v>4050.0259999999998</v>
      </c>
      <c r="IS103" s="153">
        <f t="shared" si="351"/>
        <v>308.11599999999999</v>
      </c>
      <c r="IT103" s="153">
        <f t="shared" si="529"/>
        <v>-9.9999999997635314E-4</v>
      </c>
      <c r="IU103" s="153">
        <f t="shared" si="352"/>
        <v>289.91399999999999</v>
      </c>
      <c r="IV103" s="153">
        <f t="shared" si="324"/>
        <v>89.126000000000005</v>
      </c>
      <c r="IW103" s="153">
        <v>17.527999999999999</v>
      </c>
      <c r="IX103" s="153">
        <f t="shared" si="530"/>
        <v>-88.453000000000003</v>
      </c>
      <c r="IY103" s="153">
        <v>-19.106999999999999</v>
      </c>
      <c r="IZ103" s="153">
        <v>6.2160000000000002</v>
      </c>
      <c r="JA103" s="153">
        <v>-75.561999999999998</v>
      </c>
      <c r="JB103" s="23">
        <f t="shared" si="486"/>
        <v>0.30332047662200518</v>
      </c>
      <c r="JC103" s="23">
        <f t="shared" si="487"/>
        <v>0.14276911093968833</v>
      </c>
      <c r="JD103" s="23">
        <f t="shared" si="488"/>
        <v>0.16055136568231687</v>
      </c>
      <c r="JE103" s="22">
        <f t="shared" si="489"/>
        <v>2.1712663735835774E-2</v>
      </c>
      <c r="JF103" s="22">
        <f t="shared" si="326"/>
        <v>6.6749548766879118E-3</v>
      </c>
      <c r="JG103" s="22">
        <f t="shared" si="327"/>
        <v>1.3127326378226973E-3</v>
      </c>
      <c r="JH103" s="5">
        <v>4050.0259999999998</v>
      </c>
      <c r="JI103" s="192">
        <v>123.51600000000001</v>
      </c>
      <c r="JJ103" s="76">
        <v>184.804</v>
      </c>
      <c r="JK103" s="76">
        <v>595.65800000000002</v>
      </c>
      <c r="JL103" s="76">
        <v>357.89800000000002</v>
      </c>
      <c r="JM103" s="76">
        <v>107.34099999999999</v>
      </c>
      <c r="JN103" s="76">
        <f t="shared" si="354"/>
        <v>541.20000000000005</v>
      </c>
      <c r="JO103" s="76">
        <v>277.31299999999999</v>
      </c>
      <c r="JP103" s="76">
        <v>263.887</v>
      </c>
      <c r="JQ103" s="76">
        <v>16.335000000000001</v>
      </c>
      <c r="JR103" s="76">
        <v>119.395</v>
      </c>
      <c r="JS103" s="76">
        <f t="shared" si="527"/>
        <v>1906.2960000000003</v>
      </c>
      <c r="JT103" s="76">
        <f t="shared" si="355"/>
        <v>2143.7299999999996</v>
      </c>
      <c r="JU103" s="23">
        <f t="shared" si="356"/>
        <v>0.47068734867381107</v>
      </c>
      <c r="JV103" s="23">
        <f t="shared" si="357"/>
        <v>4.5630324348535048E-2</v>
      </c>
      <c r="JW103" s="23">
        <f t="shared" si="358"/>
        <v>0.14707510519685554</v>
      </c>
      <c r="JX103" s="23">
        <f t="shared" si="359"/>
        <v>8.8369309234064192E-2</v>
      </c>
      <c r="JY103" s="23">
        <f t="shared" si="360"/>
        <v>2.6503780469557477E-2</v>
      </c>
      <c r="JZ103" s="23">
        <f t="shared" si="361"/>
        <v>0.13362877176590968</v>
      </c>
      <c r="KA103" s="23">
        <f t="shared" si="362"/>
        <v>2.9480057658889103E-2</v>
      </c>
      <c r="KB103" s="149">
        <v>194.27500000000001</v>
      </c>
      <c r="KC103" s="316">
        <v>619.08399999999995</v>
      </c>
      <c r="KD103" s="316">
        <v>424.80900000000003</v>
      </c>
      <c r="KE103" s="589">
        <f t="shared" si="242"/>
        <v>0.68618959624219023</v>
      </c>
      <c r="KF103" s="1071">
        <v>0</v>
      </c>
      <c r="KG103" s="153">
        <v>15.903</v>
      </c>
      <c r="KH103" s="153">
        <v>41.811</v>
      </c>
      <c r="KI103" s="153">
        <v>46.801000000000002</v>
      </c>
      <c r="KJ103" s="153">
        <v>-8.5809999999999995</v>
      </c>
      <c r="KK103" s="153">
        <v>-6.4249999999999998</v>
      </c>
      <c r="KL103" s="153">
        <v>-5.444</v>
      </c>
      <c r="KM103" s="153">
        <v>35.468000000000004</v>
      </c>
      <c r="KN103" s="153">
        <v>40.911999999999999</v>
      </c>
      <c r="KO103" s="153"/>
      <c r="KP103" s="153">
        <v>0.89400000000000002</v>
      </c>
      <c r="KQ103" s="153">
        <f t="shared" si="328"/>
        <v>90.403000000000006</v>
      </c>
      <c r="KR103" s="153">
        <f t="shared" si="329"/>
        <v>103.872</v>
      </c>
      <c r="KS103" s="23">
        <f t="shared" si="490"/>
        <v>7.7793338975307626E-3</v>
      </c>
      <c r="KT103" s="23"/>
      <c r="KU103" s="326">
        <v>3855.7510000000002</v>
      </c>
      <c r="KV103" s="430">
        <f t="shared" si="252"/>
        <v>123.51600000000001</v>
      </c>
      <c r="KW103" s="153">
        <f t="shared" si="491"/>
        <v>168.90100000000001</v>
      </c>
      <c r="KX103" s="153">
        <f t="shared" si="492"/>
        <v>553.84699999999998</v>
      </c>
      <c r="KY103" s="153">
        <f t="shared" si="493"/>
        <v>311.09700000000004</v>
      </c>
      <c r="KZ103" s="153">
        <f t="shared" si="494"/>
        <v>115.922</v>
      </c>
      <c r="LA103" s="153">
        <f t="shared" si="495"/>
        <v>547.625</v>
      </c>
      <c r="LB103" s="153">
        <f t="shared" si="496"/>
        <v>282.75700000000001</v>
      </c>
      <c r="LC103" s="153"/>
      <c r="LD103" s="153">
        <f t="shared" si="455"/>
        <v>118.50099999999999</v>
      </c>
      <c r="LE103" s="153">
        <f t="shared" si="456"/>
        <v>1815.8930000000003</v>
      </c>
      <c r="LF103" s="153">
        <f t="shared" si="497"/>
        <v>0</v>
      </c>
      <c r="LG103" s="153">
        <f t="shared" si="498"/>
        <v>2039.8579999999995</v>
      </c>
      <c r="LH103" s="22">
        <f t="shared" si="499"/>
        <v>0.47095701978680682</v>
      </c>
      <c r="LI103" s="23">
        <f t="shared" si="457"/>
        <v>4.3804955247369451E-2</v>
      </c>
      <c r="LJ103" s="23">
        <f t="shared" si="458"/>
        <v>0.14364179637118682</v>
      </c>
      <c r="LK103" s="23">
        <f t="shared" si="459"/>
        <v>8.0683892709876762E-2</v>
      </c>
      <c r="LL103" s="23">
        <f t="shared" si="460"/>
        <v>3.0064700754794588E-2</v>
      </c>
      <c r="LM103" s="23">
        <f t="shared" si="461"/>
        <v>0.14202810295581847</v>
      </c>
      <c r="LN103" s="23">
        <f t="shared" si="462"/>
        <v>7.3333833019818967E-2</v>
      </c>
      <c r="LO103" s="23"/>
      <c r="LP103" s="23">
        <f t="shared" si="463"/>
        <v>3.0733571747760677E-2</v>
      </c>
      <c r="LQ103" s="23">
        <f t="shared" si="500"/>
        <v>0.28877054889419801</v>
      </c>
      <c r="LR103" s="23">
        <f t="shared" si="501"/>
        <v>0.1527720317847861</v>
      </c>
      <c r="LS103" s="23">
        <f t="shared" si="502"/>
        <v>0.13599851710941188</v>
      </c>
      <c r="LT103" s="326">
        <v>894.774</v>
      </c>
      <c r="LU103" s="153">
        <f t="shared" si="363"/>
        <v>0</v>
      </c>
      <c r="LV103" s="153">
        <f t="shared" si="503"/>
        <v>194.27500000000001</v>
      </c>
      <c r="LW103" s="153">
        <f t="shared" si="504"/>
        <v>424.80900000000003</v>
      </c>
      <c r="LX103" s="153">
        <v>275.69</v>
      </c>
      <c r="LY103" s="23">
        <f>LX103/Liabilities!GT103</f>
        <v>0.1120670101290789</v>
      </c>
      <c r="LZ103" s="23">
        <f t="shared" si="253"/>
        <v>0.34202423162716145</v>
      </c>
      <c r="MA103" s="425">
        <v>1230.8630000000001</v>
      </c>
      <c r="MB103" s="153">
        <f t="shared" si="364"/>
        <v>0</v>
      </c>
      <c r="MC103" s="153">
        <v>530.36400000000003</v>
      </c>
      <c r="MD103" s="153">
        <f t="shared" si="365"/>
        <v>275.69</v>
      </c>
      <c r="ME103" s="153">
        <f t="shared" si="366"/>
        <v>424.80900000000003</v>
      </c>
      <c r="MF103" s="153">
        <v>806.05399999999997</v>
      </c>
      <c r="MG103" s="153">
        <f t="shared" si="505"/>
        <v>619.08399999999995</v>
      </c>
      <c r="MH103" s="326">
        <f t="shared" si="506"/>
        <v>3855.7510000000002</v>
      </c>
      <c r="MI103" s="1008">
        <f>FoF_RoW!$BH73/1000</f>
        <v>4732.5640000000003</v>
      </c>
      <c r="MJ103" s="1008">
        <v>5433.0630000000001</v>
      </c>
      <c r="MK103" s="1008">
        <f>FoF_RoW!$AU73/1000</f>
        <v>415.27199999999999</v>
      </c>
      <c r="ML103" s="1008">
        <f t="shared" si="254"/>
        <v>344.8130000000001</v>
      </c>
      <c r="MM103" s="425">
        <f t="shared" si="507"/>
        <v>4538.2890000000007</v>
      </c>
      <c r="MN103" s="23">
        <f t="shared" si="508"/>
        <v>1.1770181736320631</v>
      </c>
      <c r="MO103" s="153">
        <v>5214.826</v>
      </c>
      <c r="MP103" s="425">
        <v>4320.0519999999997</v>
      </c>
      <c r="MQ103" s="23">
        <f t="shared" si="367"/>
        <v>1.1204177863145206</v>
      </c>
      <c r="MR103" s="23">
        <f t="shared" si="368"/>
        <v>0.9519120531989036</v>
      </c>
      <c r="MS103" s="153">
        <f t="shared" si="509"/>
        <v>194.27500000000001</v>
      </c>
      <c r="MT103" s="153">
        <v>894.774</v>
      </c>
      <c r="MU103" s="153">
        <v>1230.8630000000001</v>
      </c>
      <c r="MV103" s="153">
        <v>2968.3620000000001</v>
      </c>
      <c r="MW103" s="153">
        <v>2460.0459999999998</v>
      </c>
      <c r="MX103" s="23">
        <f t="shared" si="369"/>
        <v>1.206628656537317</v>
      </c>
      <c r="MY103" s="425">
        <f t="shared" si="255"/>
        <v>-4855.351999999999</v>
      </c>
      <c r="MZ103" s="23">
        <f t="shared" si="510"/>
        <v>-0.3636341304494356</v>
      </c>
      <c r="NA103" s="153">
        <v>22208.896000000001</v>
      </c>
      <c r="NB103" s="153">
        <v>26663.893</v>
      </c>
      <c r="NC103" s="425">
        <f t="shared" si="330"/>
        <v>-4128.7989999999972</v>
      </c>
      <c r="ND103" s="23">
        <f t="shared" si="331"/>
        <v>-0.30922005946541026</v>
      </c>
      <c r="NE103" s="330">
        <f t="shared" si="332"/>
        <v>1742.1540000000011</v>
      </c>
      <c r="NF103" s="23">
        <f t="shared" si="333"/>
        <v>0.13047594796402126</v>
      </c>
      <c r="NG103" s="330">
        <f t="shared" si="334"/>
        <v>1015.6009999999999</v>
      </c>
      <c r="NH103" s="23">
        <f t="shared" si="335"/>
        <v>7.6061876979995946E-2</v>
      </c>
      <c r="NI103" s="330">
        <v>400.35500000000002</v>
      </c>
      <c r="NJ103" s="425">
        <v>288.67599999999999</v>
      </c>
      <c r="NK103" s="403">
        <f t="shared" si="393"/>
        <v>2.1619945627345101E-2</v>
      </c>
      <c r="NL103" s="153">
        <v>310.56</v>
      </c>
      <c r="NM103" s="153">
        <v>478.803</v>
      </c>
      <c r="NN103" s="153">
        <v>168.24299999999999</v>
      </c>
      <c r="NO103" s="425">
        <f t="shared" si="100"/>
        <v>219.16200000000003</v>
      </c>
      <c r="NP103" s="153">
        <v>749.83199999999999</v>
      </c>
      <c r="NQ103" s="153">
        <v>530.66999999999996</v>
      </c>
      <c r="NR103" s="403">
        <f t="shared" si="394"/>
        <v>1.6413801367554656E-2</v>
      </c>
      <c r="NS103" s="403">
        <f t="shared" si="395"/>
        <v>2.1619945627345101E-2</v>
      </c>
      <c r="NT103" s="403">
        <f t="shared" si="396"/>
        <v>-5.2061442597904455E-3</v>
      </c>
      <c r="NU103" s="727">
        <f t="shared" si="511"/>
        <v>0.10209043780028575</v>
      </c>
      <c r="NV103" s="688">
        <f t="shared" si="512"/>
        <v>9.7181118258444971E-2</v>
      </c>
      <c r="NW103" s="688">
        <f t="shared" si="513"/>
        <v>0.11438394232407642</v>
      </c>
      <c r="NX103" s="793">
        <f>(ER103-T.A2!B55*T.A1!M55)/MP103</f>
        <v>8.3015787511148492E-2</v>
      </c>
      <c r="NY103" s="688">
        <f>Liabilities!BU103/Liabilities!GY103</f>
        <v>4.7679831503030956E-2</v>
      </c>
      <c r="NZ103" s="688">
        <f>Liabilities!BU103/Liabilities!GT103</f>
        <v>5.7531851030427884E-2</v>
      </c>
      <c r="OA103" s="688">
        <f>Liabilities!BU103/Liabilities!GR103</f>
        <v>7.4353658869735703E-2</v>
      </c>
      <c r="OB103" s="688">
        <f t="shared" si="256"/>
        <v>5.441060629725479E-2</v>
      </c>
      <c r="OC103" s="688">
        <f t="shared" si="257"/>
        <v>3.9649267228017086E-2</v>
      </c>
      <c r="OD103" s="688"/>
      <c r="OE103" s="793">
        <f t="shared" si="514"/>
        <v>0.10130227493224868</v>
      </c>
      <c r="OF103" s="793">
        <f>OE103/(1-'Assets(MOFA)'!GU56)</f>
        <v>0.14309682746452895</v>
      </c>
      <c r="OG103" s="793">
        <f>Liabilities!HV103</f>
        <v>6.2129566892172798E-2</v>
      </c>
      <c r="OH103" s="793">
        <f t="shared" si="438"/>
        <v>3.9172708040075881E-2</v>
      </c>
      <c r="OI103" s="22">
        <f t="shared" si="336"/>
        <v>1.5372711942159707E-2</v>
      </c>
      <c r="OJ103" s="22">
        <f t="shared" si="337"/>
        <v>5.4565698937640208E-3</v>
      </c>
      <c r="OK103" s="403">
        <f>Liabilities!CT103/LX103</f>
        <v>1.5847509884290324E-2</v>
      </c>
      <c r="OL103" s="403">
        <f>Liabilities!CU103/MF103</f>
        <v>3.5737059799963777E-2</v>
      </c>
      <c r="OM103" s="153"/>
      <c r="OO103" s="186">
        <f t="shared" si="515"/>
        <v>0.10113461895076756</v>
      </c>
      <c r="OP103" s="308">
        <f t="shared" si="370"/>
        <v>0.33988818405817733</v>
      </c>
      <c r="OQ103" s="308">
        <f t="shared" si="371"/>
        <v>3.437446198059211E-2</v>
      </c>
      <c r="OR103" s="313">
        <f t="shared" si="372"/>
        <v>0</v>
      </c>
      <c r="OS103" s="23">
        <f t="shared" si="373"/>
        <v>0.16417749298516895</v>
      </c>
      <c r="OT103" s="23">
        <f t="shared" si="374"/>
        <v>0.12173319954038732</v>
      </c>
      <c r="OU103" s="23">
        <f t="shared" si="375"/>
        <v>6.5892725912236105E-2</v>
      </c>
      <c r="OV103" s="23">
        <f t="shared" si="376"/>
        <v>0.14585555395551231</v>
      </c>
      <c r="OW103" s="23">
        <f t="shared" si="377"/>
        <v>9.5532555281335016E-2</v>
      </c>
      <c r="OX103" s="23">
        <f t="shared" si="378"/>
        <v>0.10017410848120162</v>
      </c>
      <c r="OY103" s="23">
        <f t="shared" si="379"/>
        <v>0.15984470708084364</v>
      </c>
      <c r="OZ103" s="23">
        <f t="shared" si="380"/>
        <v>0.11224008254176367</v>
      </c>
      <c r="PA103" s="23">
        <f t="shared" si="381"/>
        <v>9.3074349211257512E-2</v>
      </c>
      <c r="PB103" s="23">
        <f t="shared" si="382"/>
        <v>1.9165733330506154E-2</v>
      </c>
      <c r="PC103" s="23"/>
      <c r="PD103" s="23"/>
      <c r="PE103" s="23"/>
      <c r="PF103" s="23"/>
      <c r="PG103" s="69"/>
      <c r="PH103" s="23">
        <f>'Assets(MOFA)'!GU56</f>
        <v>0.29207183186951069</v>
      </c>
      <c r="PI103" s="23">
        <f>'Assets(MOFA)'!HM56</f>
        <v>0.22427271439104465</v>
      </c>
      <c r="PJ103" s="11">
        <f t="shared" si="516"/>
        <v>2.8096308565798568E-2</v>
      </c>
      <c r="PK103" s="11">
        <f>Liabilities!IP103/MW103/1000</f>
        <v>2.143577803016692E-2</v>
      </c>
      <c r="PL103" s="11">
        <f>'Assets(MOFA)'!GO56/MM103/1000</f>
        <v>2.057647717014055E-2</v>
      </c>
      <c r="PM103" s="11">
        <f t="shared" si="429"/>
        <v>8.5930086002636991E-4</v>
      </c>
    </row>
    <row r="104" spans="1:429">
      <c r="B104" s="71">
        <v>2012</v>
      </c>
      <c r="C104" s="43">
        <v>14061.9</v>
      </c>
      <c r="D104" s="5">
        <v>1998.2</v>
      </c>
      <c r="E104" s="19">
        <f t="shared" si="397"/>
        <v>0.14210028516772272</v>
      </c>
      <c r="F104" s="72">
        <f t="shared" si="398"/>
        <v>0</v>
      </c>
      <c r="G104" s="76">
        <f t="shared" si="399"/>
        <v>1587.9</v>
      </c>
      <c r="H104" s="23">
        <f t="shared" si="400"/>
        <v>0.11292215134512407</v>
      </c>
      <c r="I104" s="72">
        <v>410.3</v>
      </c>
      <c r="J104" s="19">
        <f t="shared" si="401"/>
        <v>2.9178133822598654E-2</v>
      </c>
      <c r="K104" s="6">
        <f t="shared" si="402"/>
        <v>0.20533480132118906</v>
      </c>
      <c r="L104" s="136">
        <v>650.29999999999995</v>
      </c>
      <c r="M104" s="19">
        <f t="shared" si="403"/>
        <v>4.6245528698113339E-2</v>
      </c>
      <c r="N104" s="63">
        <f t="shared" si="404"/>
        <v>0.32544289860874787</v>
      </c>
      <c r="O104" s="5">
        <f t="shared" si="405"/>
        <v>1998.2</v>
      </c>
      <c r="P104" s="75">
        <f t="shared" si="406"/>
        <v>0</v>
      </c>
      <c r="Q104" s="271">
        <v>1690.9</v>
      </c>
      <c r="R104" s="273">
        <v>371.6</v>
      </c>
      <c r="S104" s="205">
        <f t="shared" si="407"/>
        <v>0.18596737063357022</v>
      </c>
      <c r="T104" s="74">
        <v>72.2</v>
      </c>
      <c r="U104" s="74">
        <v>-132.69999999999999</v>
      </c>
      <c r="V104" s="275">
        <v>223.8</v>
      </c>
      <c r="W104" s="205">
        <f t="shared" si="408"/>
        <v>0.11200080072064858</v>
      </c>
      <c r="X104" s="75">
        <f t="shared" si="409"/>
        <v>220.00000000000023</v>
      </c>
      <c r="Y104" s="187"/>
      <c r="Z104" s="75"/>
      <c r="AA104" s="75"/>
      <c r="AB104" s="75"/>
      <c r="AC104" s="65">
        <f>AC103*AF104/AF103</f>
        <v>305.20583457556052</v>
      </c>
      <c r="AD104" s="230">
        <f t="shared" si="410"/>
        <v>0.15274038363305001</v>
      </c>
      <c r="AE104" s="76">
        <f>NIPA_Scorp!C25/1000</f>
        <v>377.69499999999999</v>
      </c>
      <c r="AF104" s="66">
        <v>320.8</v>
      </c>
      <c r="AG104" s="248">
        <f t="shared" si="385"/>
        <v>0.18901761585426882</v>
      </c>
      <c r="AH104" s="97">
        <v>447.6</v>
      </c>
      <c r="AI104" s="22">
        <f t="shared" si="411"/>
        <v>3.1830691442834895E-2</v>
      </c>
      <c r="AJ104" s="22">
        <f t="shared" si="412"/>
        <v>2.554420099702032E-2</v>
      </c>
      <c r="AK104" s="99">
        <f t="shared" si="413"/>
        <v>-9.9999999999909051E-2</v>
      </c>
      <c r="AL104" s="276">
        <v>274.79999999999995</v>
      </c>
      <c r="AM104" s="72">
        <f>(0.25*Fedtax!C85+0.75*Fedtax!C84)/1000</f>
        <v>250.09325000000001</v>
      </c>
      <c r="AN104" s="71">
        <v>52.5</v>
      </c>
      <c r="AO104" s="255">
        <v>32</v>
      </c>
      <c r="AP104" s="71">
        <v>88.4</v>
      </c>
      <c r="AQ104" s="6">
        <f t="shared" si="414"/>
        <v>0.11026959372488782</v>
      </c>
      <c r="AR104" s="279">
        <v>109.6</v>
      </c>
      <c r="AS104" s="714">
        <v>109.63918</v>
      </c>
      <c r="AT104" s="275">
        <v>43.686025999999998</v>
      </c>
      <c r="AU104" s="250">
        <f t="shared" si="386"/>
        <v>0.39845268817223917</v>
      </c>
      <c r="AV104" s="709">
        <v>125.176647</v>
      </c>
      <c r="AW104" s="783">
        <v>47.166473000000003</v>
      </c>
      <c r="AX104" s="783">
        <f t="shared" si="387"/>
        <v>78.010174000000006</v>
      </c>
      <c r="AY104" s="784">
        <f t="shared" si="388"/>
        <v>0.37679930027203878</v>
      </c>
      <c r="BC104" s="275"/>
      <c r="BD104" s="722">
        <f>'Assets(MOFA)'!FJ57/1000</f>
        <v>152.667</v>
      </c>
      <c r="BE104" s="753">
        <f t="shared" si="532"/>
        <v>0.81993257874982806</v>
      </c>
      <c r="BF104" s="234">
        <v>0.35</v>
      </c>
      <c r="BG104" s="437"/>
      <c r="BH104" s="140">
        <f t="shared" si="464"/>
        <v>0.1511080332409972</v>
      </c>
      <c r="BI104" s="248">
        <f t="shared" si="384"/>
        <v>0.18302247099907451</v>
      </c>
      <c r="BJ104" s="23">
        <f t="shared" si="465"/>
        <v>0.136915223031216</v>
      </c>
      <c r="BK104" s="30">
        <f t="shared" si="466"/>
        <v>0.19194937598875025</v>
      </c>
      <c r="BL104" s="30">
        <f t="shared" si="467"/>
        <v>0.19684629534772258</v>
      </c>
      <c r="BM104" s="248">
        <f t="shared" si="468"/>
        <v>0.22168153340319582</v>
      </c>
      <c r="BN104" s="23">
        <f t="shared" si="469"/>
        <v>0.21243124963037438</v>
      </c>
      <c r="BO104" s="23">
        <f t="shared" si="470"/>
        <v>0.17415757575757579</v>
      </c>
      <c r="BP104" s="149">
        <f t="shared" si="415"/>
        <v>1998.2</v>
      </c>
      <c r="BQ104" s="99">
        <f t="shared" si="416"/>
        <v>0</v>
      </c>
      <c r="BR104" s="153">
        <f t="shared" si="417"/>
        <v>447.6</v>
      </c>
      <c r="BS104" s="79">
        <v>859.4</v>
      </c>
      <c r="BT104" s="79">
        <v>691.2</v>
      </c>
      <c r="BU104" s="23">
        <f t="shared" si="517"/>
        <v>0.34591132018816939</v>
      </c>
      <c r="BV104" s="71">
        <v>460.1</v>
      </c>
      <c r="BW104" s="71">
        <f t="shared" si="418"/>
        <v>231.10000000000002</v>
      </c>
      <c r="BX104" s="23">
        <f t="shared" si="419"/>
        <v>0.11565408867981183</v>
      </c>
      <c r="BY104" s="23">
        <f t="shared" si="289"/>
        <v>7.7740966870183156E-2</v>
      </c>
      <c r="BZ104" s="23">
        <f t="shared" si="290"/>
        <v>0.34607424437864942</v>
      </c>
      <c r="CA104" s="23">
        <f t="shared" si="291"/>
        <v>0.35657534303110805</v>
      </c>
      <c r="CB104" s="23">
        <f t="shared" si="531"/>
        <v>0.56324640506946144</v>
      </c>
      <c r="CC104" s="169">
        <f t="shared" si="420"/>
        <v>650.29999999999995</v>
      </c>
      <c r="CD104" s="72">
        <f t="shared" si="518"/>
        <v>0</v>
      </c>
      <c r="CE104" s="76">
        <v>166.70500000000001</v>
      </c>
      <c r="CF104" s="76">
        <v>448.86900000000003</v>
      </c>
      <c r="CG104" s="76">
        <f t="shared" si="519"/>
        <v>34.725999999999885</v>
      </c>
      <c r="CH104" s="23">
        <f t="shared" si="392"/>
        <v>0.6902491157927112</v>
      </c>
      <c r="CI104" s="326">
        <v>458.25599999999997</v>
      </c>
      <c r="CJ104" s="153">
        <f t="shared" si="292"/>
        <v>-5.6843418860808015E-14</v>
      </c>
      <c r="CK104" s="79">
        <f t="shared" si="520"/>
        <v>448.86900000000003</v>
      </c>
      <c r="CL104" s="159">
        <v>164.88300000000001</v>
      </c>
      <c r="CM104" s="159">
        <v>283.98700000000002</v>
      </c>
      <c r="CN104" s="159">
        <v>318.7</v>
      </c>
      <c r="CO104" s="159">
        <f t="shared" si="338"/>
        <v>34.712999999999965</v>
      </c>
      <c r="CP104" s="79">
        <v>9.3870000000000005</v>
      </c>
      <c r="CQ104" s="79">
        <v>12.311999999999999</v>
      </c>
      <c r="CR104" s="79">
        <v>2.9249999999999998</v>
      </c>
      <c r="CS104" s="23">
        <f t="shared" si="293"/>
        <v>0.63267233870015527</v>
      </c>
      <c r="CT104" s="23">
        <f t="shared" si="294"/>
        <v>1.4638174356921229E-3</v>
      </c>
      <c r="CU104" s="73">
        <v>20.167000000000002</v>
      </c>
      <c r="CV104" s="378">
        <f t="shared" si="295"/>
        <v>4.5730003185930207E-3</v>
      </c>
      <c r="CW104" s="378">
        <f t="shared" si="296"/>
        <v>4.4008152648301394E-2</v>
      </c>
      <c r="CX104" s="153">
        <f t="shared" si="297"/>
        <v>438.08899999999994</v>
      </c>
      <c r="CY104" s="153">
        <f t="shared" si="298"/>
        <v>0</v>
      </c>
      <c r="CZ104" s="295">
        <f t="shared" si="299"/>
        <v>458.25599999999997</v>
      </c>
      <c r="DA104" s="430">
        <v>25.766999999999999</v>
      </c>
      <c r="DB104" s="153">
        <v>17.655000000000001</v>
      </c>
      <c r="DC104" s="153">
        <v>3.1120000000000001</v>
      </c>
      <c r="DD104" s="153">
        <v>3.8860000000000001</v>
      </c>
      <c r="DE104" s="153">
        <v>1.0369999999999999</v>
      </c>
      <c r="DF104" s="153">
        <f t="shared" si="528"/>
        <v>7.6999999999998181E-2</v>
      </c>
      <c r="DG104" s="425">
        <v>217.70599999999999</v>
      </c>
      <c r="DH104" s="140">
        <f t="shared" si="521"/>
        <v>0.47507506721134041</v>
      </c>
      <c r="DI104" s="182">
        <v>438.089</v>
      </c>
      <c r="DJ104" s="79">
        <v>38.869999999999997</v>
      </c>
      <c r="DK104" s="79">
        <v>74.823999999999998</v>
      </c>
      <c r="DL104" s="79">
        <v>28.962</v>
      </c>
      <c r="DM104" s="79">
        <v>18.608000000000001</v>
      </c>
      <c r="DN104" s="79">
        <v>57.222999999999999</v>
      </c>
      <c r="DO104" s="79">
        <v>29.343</v>
      </c>
      <c r="DP104" s="79">
        <v>1.4999999999999999E-2</v>
      </c>
      <c r="DQ104" s="79">
        <v>21.318999999999999</v>
      </c>
      <c r="DR104" s="79">
        <f t="shared" si="471"/>
        <v>239.80599999999995</v>
      </c>
      <c r="DS104" s="79">
        <f t="shared" si="472"/>
        <v>198.28300000000004</v>
      </c>
      <c r="DT104" s="79">
        <v>15.359</v>
      </c>
      <c r="DU104" s="23">
        <f t="shared" si="473"/>
        <v>7.745999404890988E-2</v>
      </c>
      <c r="DV104" s="23">
        <f t="shared" si="474"/>
        <v>8.8726263384837328E-2</v>
      </c>
      <c r="DW104" s="23">
        <f t="shared" si="475"/>
        <v>0.17079634503491301</v>
      </c>
      <c r="DX104" s="23">
        <f t="shared" si="476"/>
        <v>6.6109854390317954E-2</v>
      </c>
      <c r="DY104" s="23">
        <f t="shared" si="477"/>
        <v>4.2475387421277412E-2</v>
      </c>
      <c r="DZ104" s="23">
        <f t="shared" si="478"/>
        <v>0.13061957730050286</v>
      </c>
      <c r="EA104" s="23">
        <f t="shared" si="479"/>
        <v>6.6979540686938038E-2</v>
      </c>
      <c r="EB104" s="23">
        <f t="shared" si="480"/>
        <v>3.4239617977169019E-5</v>
      </c>
      <c r="EC104" s="23">
        <f t="shared" si="481"/>
        <v>4.8663627710351091E-2</v>
      </c>
      <c r="ED104" s="23">
        <f t="shared" si="482"/>
        <v>0.54739105524219966</v>
      </c>
      <c r="EE104" s="153">
        <v>79.875</v>
      </c>
      <c r="EF104" s="23">
        <f t="shared" si="300"/>
        <v>0.18232596572842505</v>
      </c>
      <c r="EG104" s="182">
        <v>263.82</v>
      </c>
      <c r="EH104" s="79">
        <v>35.920999999999999</v>
      </c>
      <c r="EI104" s="79">
        <v>42.624000000000002</v>
      </c>
      <c r="EJ104" s="79">
        <v>13.1</v>
      </c>
      <c r="EK104" s="79">
        <v>7.98</v>
      </c>
      <c r="EL104" s="79">
        <v>44.369</v>
      </c>
      <c r="EM104" s="79">
        <v>11.348000000000001</v>
      </c>
      <c r="EN104" s="28">
        <f t="shared" si="301"/>
        <v>155.34199999999998</v>
      </c>
      <c r="EO104" s="23">
        <f t="shared" si="302"/>
        <v>0.65140878649055944</v>
      </c>
      <c r="EP104" s="79">
        <f t="shared" si="303"/>
        <v>108.47800000000001</v>
      </c>
      <c r="EQ104" s="23">
        <f t="shared" si="304"/>
        <v>0.58881813357592294</v>
      </c>
      <c r="ER104" s="182">
        <f t="shared" si="268"/>
        <v>428.702</v>
      </c>
      <c r="ES104" s="185"/>
      <c r="ET104" s="136">
        <f>'Assets(MOFA)'!W57/1000</f>
        <v>543.38</v>
      </c>
      <c r="EU104" s="136">
        <f t="shared" si="339"/>
        <v>390.71299999999997</v>
      </c>
      <c r="EV104" s="589">
        <f t="shared" si="340"/>
        <v>0.91138599773269069</v>
      </c>
      <c r="EW104" s="153">
        <f t="shared" si="439"/>
        <v>38.675061898161765</v>
      </c>
      <c r="EX104" s="153">
        <f t="shared" si="440"/>
        <v>74.136012823040218</v>
      </c>
      <c r="EY104" s="153">
        <f t="shared" si="441"/>
        <v>28.13797997082364</v>
      </c>
      <c r="EZ104" s="153">
        <f t="shared" si="442"/>
        <v>18.695022937713631</v>
      </c>
      <c r="FA104" s="153">
        <f t="shared" si="443"/>
        <v>57.543310130747699</v>
      </c>
      <c r="FB104" s="153">
        <f t="shared" si="444"/>
        <v>29.738271961882695</v>
      </c>
      <c r="FC104" s="153"/>
      <c r="FD104" s="153">
        <f t="shared" si="445"/>
        <v>21.283451475347189</v>
      </c>
      <c r="FE104" s="153">
        <f t="shared" si="483"/>
        <v>238.47083923583412</v>
      </c>
      <c r="FF104" s="153">
        <f t="shared" si="484"/>
        <v>195.15633548870406</v>
      </c>
      <c r="FG104" s="23">
        <f t="shared" si="446"/>
        <v>9.0214325797784392E-2</v>
      </c>
      <c r="FH104" s="23">
        <f t="shared" si="447"/>
        <v>0.17293134350443948</v>
      </c>
      <c r="FI104" s="23">
        <f t="shared" si="448"/>
        <v>6.5635289713655731E-2</v>
      </c>
      <c r="FJ104" s="23">
        <f t="shared" si="449"/>
        <v>4.360843415172691E-2</v>
      </c>
      <c r="FK104" s="23">
        <f t="shared" si="450"/>
        <v>0.13422682919778237</v>
      </c>
      <c r="FL104" s="23">
        <f t="shared" si="451"/>
        <v>6.9368167076157089E-2</v>
      </c>
      <c r="FM104" s="23"/>
      <c r="FN104" s="23">
        <f t="shared" si="452"/>
        <v>4.9646261214893302E-2</v>
      </c>
      <c r="FO104" s="23">
        <f t="shared" si="421"/>
        <v>0.55626248358028219</v>
      </c>
      <c r="FP104" s="23">
        <f t="shared" si="422"/>
        <v>0.44373751641971781</v>
      </c>
      <c r="FQ104" s="23">
        <f t="shared" si="423"/>
        <v>0.18103167504366804</v>
      </c>
      <c r="FR104" s="23">
        <f t="shared" si="424"/>
        <v>0.14441122356507982</v>
      </c>
      <c r="FS104" s="23">
        <f t="shared" si="425"/>
        <v>2.5724652648095741E-2</v>
      </c>
      <c r="FT104" s="393">
        <f t="shared" si="426"/>
        <v>1.6757264764387204E-2</v>
      </c>
      <c r="FU104" s="393">
        <f t="shared" si="427"/>
        <v>8.9673878837085372E-3</v>
      </c>
      <c r="FV104" s="23">
        <f t="shared" si="428"/>
        <v>2.0520876050017602E-2</v>
      </c>
      <c r="FW104" s="326">
        <f t="shared" si="305"/>
        <v>9.3870000000000005</v>
      </c>
      <c r="FX104" s="384">
        <f t="shared" si="430"/>
        <v>0.19493810183823199</v>
      </c>
      <c r="FY104" s="384">
        <f t="shared" si="431"/>
        <v>0.68798717695977485</v>
      </c>
      <c r="FZ104" s="384">
        <f t="shared" si="432"/>
        <v>0.8240200291763593</v>
      </c>
      <c r="GA104" s="384">
        <f t="shared" si="433"/>
        <v>-8.7022937713628873E-2</v>
      </c>
      <c r="GB104" s="384">
        <f t="shared" si="434"/>
        <v>-0.32031013074769726</v>
      </c>
      <c r="GC104" s="384">
        <f t="shared" si="435"/>
        <v>-0.39527196188269409</v>
      </c>
      <c r="GD104" s="153"/>
      <c r="GE104" s="153">
        <f t="shared" si="453"/>
        <v>3.5548524652810422E-2</v>
      </c>
      <c r="GF104" s="153">
        <f t="shared" si="485"/>
        <v>1.3351607641658505</v>
      </c>
      <c r="GG104" s="153">
        <f t="shared" si="277"/>
        <v>3.1266645112959828</v>
      </c>
      <c r="GH104" s="182">
        <v>318.19600000000003</v>
      </c>
      <c r="GI104" s="79">
        <v>30.835999999999999</v>
      </c>
      <c r="GJ104" s="79">
        <v>48.052</v>
      </c>
      <c r="GK104" s="79">
        <v>15.622</v>
      </c>
      <c r="GL104" s="79">
        <v>12.090999999999999</v>
      </c>
      <c r="GM104" s="79">
        <f t="shared" si="342"/>
        <v>41.084000000000003</v>
      </c>
      <c r="GN104" s="79">
        <v>11.991</v>
      </c>
      <c r="GO104" s="79">
        <v>29.093</v>
      </c>
      <c r="GP104" s="79">
        <v>2.2799999999999998</v>
      </c>
      <c r="GQ104" s="79">
        <v>15.763</v>
      </c>
      <c r="GR104" s="79">
        <f t="shared" si="523"/>
        <v>163.44799999999998</v>
      </c>
      <c r="GS104" s="79">
        <f t="shared" si="343"/>
        <v>154.74800000000005</v>
      </c>
      <c r="GT104" s="23">
        <f t="shared" si="524"/>
        <v>0.51367081924348501</v>
      </c>
      <c r="GU104" s="362">
        <f t="shared" si="259"/>
        <v>301.06</v>
      </c>
      <c r="GV104" s="153">
        <f t="shared" si="344"/>
        <v>37.241</v>
      </c>
      <c r="GW104" s="153">
        <f t="shared" si="308"/>
        <v>263.82</v>
      </c>
      <c r="GX104" s="153">
        <f t="shared" si="309"/>
        <v>36.826999999999998</v>
      </c>
      <c r="GY104" s="153">
        <f t="shared" si="310"/>
        <v>44.889000000000003</v>
      </c>
      <c r="GZ104" s="153">
        <f t="shared" si="226"/>
        <v>19.088000000000001</v>
      </c>
      <c r="HA104" s="153">
        <f t="shared" si="227"/>
        <v>8.1709999999999994</v>
      </c>
      <c r="HB104" s="153">
        <f t="shared" si="228"/>
        <v>48.342000000000006</v>
      </c>
      <c r="HC104" s="153">
        <f t="shared" si="229"/>
        <v>21.049999999999997</v>
      </c>
      <c r="HD104" s="352"/>
      <c r="HE104" s="153">
        <f t="shared" si="231"/>
        <v>14.254999999999999</v>
      </c>
      <c r="HF104" s="153">
        <f t="shared" si="311"/>
        <v>171.572</v>
      </c>
      <c r="HG104" s="23">
        <f t="shared" si="345"/>
        <v>0.56989304457583212</v>
      </c>
      <c r="HH104" s="156">
        <f t="shared" si="346"/>
        <v>315.28499999999985</v>
      </c>
      <c r="HI104" s="182">
        <f t="shared" si="312"/>
        <v>54.376000000000033</v>
      </c>
      <c r="HJ104" s="88">
        <v>9.9999999996924771E-4</v>
      </c>
      <c r="HK104" s="79">
        <f t="shared" si="313"/>
        <v>-5.0850000000000009</v>
      </c>
      <c r="HL104" s="79">
        <f t="shared" si="314"/>
        <v>5.4279999999999973</v>
      </c>
      <c r="HM104" s="79">
        <f t="shared" si="315"/>
        <v>2.5220000000000002</v>
      </c>
      <c r="HN104" s="79">
        <f t="shared" si="316"/>
        <v>4.1109999999999989</v>
      </c>
      <c r="HO104" s="79">
        <f t="shared" si="317"/>
        <v>-3.2849999999999966</v>
      </c>
      <c r="HP104" s="79">
        <f t="shared" si="318"/>
        <v>4.4149999999999991</v>
      </c>
      <c r="HQ104" s="79">
        <f t="shared" si="525"/>
        <v>8.1059999999999981</v>
      </c>
      <c r="HR104" s="79">
        <f>HI104-HQ104</f>
        <v>46.270000000000039</v>
      </c>
      <c r="HS104" s="23">
        <f>HQ104/HI104</f>
        <v>0.1490731204943356</v>
      </c>
      <c r="HT104" s="28">
        <v>37.241</v>
      </c>
      <c r="HU104" s="79">
        <v>0.90700000000000003</v>
      </c>
      <c r="HV104" s="79">
        <v>2.2650000000000001</v>
      </c>
      <c r="HW104" s="79">
        <v>5.9880000000000004</v>
      </c>
      <c r="HX104" s="79">
        <v>0.191</v>
      </c>
      <c r="HY104" s="79">
        <v>3.9729999999999999</v>
      </c>
      <c r="HZ104" s="79">
        <v>-1.28</v>
      </c>
      <c r="IA104" s="79"/>
      <c r="IB104" s="26">
        <v>2.907</v>
      </c>
      <c r="IC104" s="79">
        <f t="shared" si="526"/>
        <v>16.231000000000002</v>
      </c>
      <c r="ID104" s="79">
        <f t="shared" si="347"/>
        <v>21.009999999999998</v>
      </c>
      <c r="IE104" s="23">
        <f t="shared" si="348"/>
        <v>0.43583684648639942</v>
      </c>
      <c r="IF104" s="316">
        <v>17.135999999999999</v>
      </c>
      <c r="IG104" s="153">
        <v>-5.9909999999999997</v>
      </c>
      <c r="IH104" s="153">
        <v>3.1629999999999998</v>
      </c>
      <c r="II104" s="153">
        <v>-3.4660000000000002</v>
      </c>
      <c r="IJ104" s="153">
        <v>3.92</v>
      </c>
      <c r="IK104" s="153">
        <v>-7.258</v>
      </c>
      <c r="IL104" s="153">
        <v>-9.0589999999999993</v>
      </c>
      <c r="IM104" s="153"/>
      <c r="IN104" s="153">
        <v>1.508</v>
      </c>
      <c r="IO104" s="153">
        <f t="shared" si="349"/>
        <v>-8.1240000000000023</v>
      </c>
      <c r="IP104" s="153">
        <f t="shared" si="522"/>
        <v>25.26</v>
      </c>
      <c r="IQ104" s="258">
        <f t="shared" si="350"/>
        <v>44.703000000000003</v>
      </c>
      <c r="IR104" s="149">
        <f t="shared" si="323"/>
        <v>4410.0150000000003</v>
      </c>
      <c r="IS104" s="153">
        <f t="shared" si="351"/>
        <v>359.98900000000049</v>
      </c>
      <c r="IT104" s="153">
        <f t="shared" si="529"/>
        <v>-4.5474735088646412E-13</v>
      </c>
      <c r="IU104" s="153">
        <f t="shared" si="352"/>
        <v>263.82</v>
      </c>
      <c r="IV104" s="153">
        <f t="shared" si="324"/>
        <v>37.241</v>
      </c>
      <c r="IW104" s="153">
        <v>17.135999999999999</v>
      </c>
      <c r="IX104" s="153">
        <f t="shared" si="530"/>
        <v>41.792000000000002</v>
      </c>
      <c r="IY104" s="153">
        <v>8.5389999999999997</v>
      </c>
      <c r="IZ104" s="153">
        <v>14.023999999999999</v>
      </c>
      <c r="JA104" s="153">
        <v>19.228999999999999</v>
      </c>
      <c r="JB104" s="23">
        <f t="shared" si="486"/>
        <v>0.31361444754976214</v>
      </c>
      <c r="JC104" s="23">
        <f t="shared" si="487"/>
        <v>0.1494832135059985</v>
      </c>
      <c r="JD104" s="23">
        <f t="shared" si="488"/>
        <v>0.16413123404376367</v>
      </c>
      <c r="JE104" s="22">
        <f t="shared" si="489"/>
        <v>1.8761333816909521E-2</v>
      </c>
      <c r="JF104" s="22">
        <f t="shared" si="326"/>
        <v>2.648361885662677E-3</v>
      </c>
      <c r="JG104" s="22">
        <f t="shared" si="327"/>
        <v>1.2186119941117487E-3</v>
      </c>
      <c r="JH104" s="5">
        <v>4410.0150000000003</v>
      </c>
      <c r="JI104" s="192">
        <v>135.07300000000001</v>
      </c>
      <c r="JJ104" s="76">
        <v>212.411</v>
      </c>
      <c r="JK104" s="76">
        <v>647.36500000000001</v>
      </c>
      <c r="JL104" s="76">
        <v>408.20499999999998</v>
      </c>
      <c r="JM104" s="76">
        <v>122.417</v>
      </c>
      <c r="JN104" s="76">
        <f t="shared" si="354"/>
        <v>566.38400000000001</v>
      </c>
      <c r="JO104" s="76">
        <v>279.55500000000001</v>
      </c>
      <c r="JP104" s="76">
        <v>286.82900000000001</v>
      </c>
      <c r="JQ104" s="76">
        <v>16.335000000000001</v>
      </c>
      <c r="JR104" s="76">
        <v>145.23599999999999</v>
      </c>
      <c r="JS104" s="76">
        <f t="shared" si="527"/>
        <v>2102.018</v>
      </c>
      <c r="JT104" s="76">
        <f t="shared" si="355"/>
        <v>2307.9970000000003</v>
      </c>
      <c r="JU104" s="23">
        <f t="shared" si="356"/>
        <v>0.4766464513159252</v>
      </c>
      <c r="JV104" s="23">
        <f t="shared" si="357"/>
        <v>4.8165595808631036E-2</v>
      </c>
      <c r="JW104" s="23">
        <f t="shared" si="358"/>
        <v>0.1467942852802088</v>
      </c>
      <c r="JX104" s="23">
        <f t="shared" si="359"/>
        <v>9.2563177222753201E-2</v>
      </c>
      <c r="JY104" s="23">
        <f t="shared" si="360"/>
        <v>2.7758862498200119E-2</v>
      </c>
      <c r="JZ104" s="23">
        <f t="shared" si="361"/>
        <v>0.12843130919055831</v>
      </c>
      <c r="KA104" s="23">
        <f t="shared" si="362"/>
        <v>3.2933221315573753E-2</v>
      </c>
      <c r="KB104" s="149">
        <v>238.97800000000001</v>
      </c>
      <c r="KC104" s="316">
        <v>659.43799999999999</v>
      </c>
      <c r="KD104" s="316">
        <v>420.459</v>
      </c>
      <c r="KE104" s="589">
        <f t="shared" si="242"/>
        <v>0.63760201868864097</v>
      </c>
      <c r="KF104" s="1071">
        <v>0</v>
      </c>
      <c r="KG104" s="153">
        <v>10.441000000000001</v>
      </c>
      <c r="KH104" s="153">
        <v>36.848999999999997</v>
      </c>
      <c r="KI104" s="153">
        <v>44.134999999999998</v>
      </c>
      <c r="KJ104" s="153">
        <v>-4.6609999999999996</v>
      </c>
      <c r="KK104" s="153">
        <v>-17.155999999999999</v>
      </c>
      <c r="KL104" s="153">
        <v>-21.170999999999999</v>
      </c>
      <c r="KM104" s="153">
        <v>28.809000000000001</v>
      </c>
      <c r="KN104" s="153">
        <v>49.98</v>
      </c>
      <c r="KO104" s="153"/>
      <c r="KP104" s="153">
        <v>1.9039999999999999</v>
      </c>
      <c r="KQ104" s="153">
        <f t="shared" si="328"/>
        <v>71.512</v>
      </c>
      <c r="KR104" s="153">
        <f t="shared" si="329"/>
        <v>167.46600000000001</v>
      </c>
      <c r="KS104" s="23">
        <f t="shared" si="490"/>
        <v>1.1909201459262263E-2</v>
      </c>
      <c r="KT104" s="23"/>
      <c r="KU104" s="326">
        <v>4171.0360000000001</v>
      </c>
      <c r="KV104" s="430">
        <f t="shared" si="252"/>
        <v>135.07300000000001</v>
      </c>
      <c r="KW104" s="153">
        <f t="shared" si="491"/>
        <v>201.97</v>
      </c>
      <c r="KX104" s="153">
        <f t="shared" si="492"/>
        <v>610.51599999999996</v>
      </c>
      <c r="KY104" s="153">
        <f t="shared" si="493"/>
        <v>364.07</v>
      </c>
      <c r="KZ104" s="153">
        <f t="shared" si="494"/>
        <v>127.078</v>
      </c>
      <c r="LA104" s="153">
        <f t="shared" si="495"/>
        <v>583.54</v>
      </c>
      <c r="LB104" s="153">
        <f t="shared" si="496"/>
        <v>300.726</v>
      </c>
      <c r="LC104" s="153"/>
      <c r="LD104" s="153">
        <f t="shared" si="455"/>
        <v>143.33199999999999</v>
      </c>
      <c r="LE104" s="153">
        <f t="shared" si="456"/>
        <v>2030.5060000000001</v>
      </c>
      <c r="LF104" s="153">
        <f t="shared" si="497"/>
        <v>0</v>
      </c>
      <c r="LG104" s="153">
        <f t="shared" si="498"/>
        <v>2140.5310000000004</v>
      </c>
      <c r="LH104" s="22">
        <f t="shared" si="499"/>
        <v>0.48681095056479973</v>
      </c>
      <c r="LI104" s="23">
        <f t="shared" si="457"/>
        <v>4.8422022730084321E-2</v>
      </c>
      <c r="LJ104" s="23">
        <f t="shared" si="458"/>
        <v>0.1463703501959705</v>
      </c>
      <c r="LK104" s="23">
        <f t="shared" si="459"/>
        <v>8.7285269175331984E-2</v>
      </c>
      <c r="LL104" s="23">
        <f t="shared" si="460"/>
        <v>3.0466771324917839E-2</v>
      </c>
      <c r="LM104" s="23">
        <f t="shared" si="461"/>
        <v>0.13990289223109079</v>
      </c>
      <c r="LN104" s="23">
        <f t="shared" si="462"/>
        <v>7.209863448793058E-2</v>
      </c>
      <c r="LO104" s="23"/>
      <c r="LP104" s="23">
        <f t="shared" si="463"/>
        <v>3.4363644907404296E-2</v>
      </c>
      <c r="LQ104" s="23">
        <f t="shared" si="500"/>
        <v>0.29661966021661368</v>
      </c>
      <c r="LR104" s="23">
        <f t="shared" si="501"/>
        <v>0.15222203258450143</v>
      </c>
      <c r="LS104" s="23">
        <f t="shared" si="502"/>
        <v>0.14439769874625763</v>
      </c>
      <c r="LT104" s="326">
        <v>985.60699999999997</v>
      </c>
      <c r="LU104" s="153">
        <f t="shared" si="363"/>
        <v>0</v>
      </c>
      <c r="LV104" s="153">
        <f t="shared" si="503"/>
        <v>238.97800000000001</v>
      </c>
      <c r="LW104" s="153">
        <f t="shared" si="504"/>
        <v>420.459</v>
      </c>
      <c r="LX104" s="153">
        <v>326.17</v>
      </c>
      <c r="LY104" s="23">
        <f>LX104/Liabilities!GT104</f>
        <v>0.12268071869981081</v>
      </c>
      <c r="LZ104" s="23">
        <f t="shared" si="253"/>
        <v>0.39481631847733595</v>
      </c>
      <c r="MA104" s="425">
        <v>1246.5909999999999</v>
      </c>
      <c r="MB104" s="153">
        <f t="shared" si="364"/>
        <v>0</v>
      </c>
      <c r="MC104" s="153">
        <v>499.96199999999999</v>
      </c>
      <c r="MD104" s="153">
        <f t="shared" si="365"/>
        <v>326.17</v>
      </c>
      <c r="ME104" s="153">
        <f t="shared" si="366"/>
        <v>420.459</v>
      </c>
      <c r="MF104" s="153">
        <v>826.13099999999997</v>
      </c>
      <c r="MG104" s="153">
        <f t="shared" si="505"/>
        <v>659.43799999999999</v>
      </c>
      <c r="MH104" s="326">
        <f t="shared" si="506"/>
        <v>4171.0360000000001</v>
      </c>
      <c r="MI104" s="1008">
        <f>FoF_RoW!$BH74/1000</f>
        <v>5124.0410000000002</v>
      </c>
      <c r="MJ104" s="1008">
        <v>5870.67</v>
      </c>
      <c r="MK104" s="1008">
        <f>FoF_RoW!$AU74/1000</f>
        <v>338.36399999999998</v>
      </c>
      <c r="ML104" s="1008">
        <f t="shared" si="254"/>
        <v>391.47699999999986</v>
      </c>
      <c r="MM104" s="425">
        <f t="shared" si="507"/>
        <v>4885.0630000000001</v>
      </c>
      <c r="MN104" s="23">
        <f t="shared" si="508"/>
        <v>1.1711869664994501</v>
      </c>
      <c r="MO104" s="153">
        <v>5969.5020000000004</v>
      </c>
      <c r="MP104" s="425">
        <v>4983.8950000000004</v>
      </c>
      <c r="MQ104" s="23">
        <f t="shared" si="367"/>
        <v>1.1948817991501393</v>
      </c>
      <c r="MR104" s="23">
        <f t="shared" si="368"/>
        <v>1.0202314688674436</v>
      </c>
      <c r="MS104" s="153">
        <f t="shared" si="509"/>
        <v>238.97800000000001</v>
      </c>
      <c r="MT104" s="153">
        <v>985.60699999999997</v>
      </c>
      <c r="MU104" s="153">
        <v>1246.5909999999999</v>
      </c>
      <c r="MV104" s="153">
        <v>3415.8429999999998</v>
      </c>
      <c r="MW104" s="153">
        <v>2658.69</v>
      </c>
      <c r="MX104" s="23">
        <f t="shared" si="369"/>
        <v>1.2847842358454726</v>
      </c>
      <c r="MY104" s="425">
        <f t="shared" si="255"/>
        <v>-4951.7329999999993</v>
      </c>
      <c r="MZ104" s="23">
        <f t="shared" si="510"/>
        <v>-0.35213826012132071</v>
      </c>
      <c r="NA104" s="153">
        <v>22562.162</v>
      </c>
      <c r="NB104" s="153">
        <v>27080.460999999999</v>
      </c>
      <c r="NC104" s="425">
        <f t="shared" si="330"/>
        <v>-4293.4120000000003</v>
      </c>
      <c r="ND104" s="23">
        <f t="shared" si="331"/>
        <v>-0.30532232486363864</v>
      </c>
      <c r="NE104" s="330">
        <f t="shared" si="332"/>
        <v>1965.3890000000001</v>
      </c>
      <c r="NF104" s="23">
        <f t="shared" si="333"/>
        <v>0.13976695894580393</v>
      </c>
      <c r="NG104" s="330">
        <f t="shared" si="334"/>
        <v>1307.0680000000007</v>
      </c>
      <c r="NH104" s="23">
        <f t="shared" si="335"/>
        <v>9.2951023688121859E-2</v>
      </c>
      <c r="NI104" s="330">
        <v>433.43400000000003</v>
      </c>
      <c r="NJ104" s="425">
        <v>285.49400000000003</v>
      </c>
      <c r="NK104" s="403">
        <f t="shared" si="393"/>
        <v>2.030266180245913E-2</v>
      </c>
      <c r="NL104" s="153">
        <v>293.48599999999999</v>
      </c>
      <c r="NM104" s="153">
        <v>470.233</v>
      </c>
      <c r="NN104" s="153">
        <v>176.74700000000001</v>
      </c>
      <c r="NO104" s="425">
        <f t="shared" si="100"/>
        <v>216.11899999999991</v>
      </c>
      <c r="NP104" s="153">
        <v>761.67</v>
      </c>
      <c r="NQ104" s="153">
        <v>545.55100000000004</v>
      </c>
      <c r="NR104" s="403">
        <f t="shared" si="394"/>
        <v>1.5369117971255657E-2</v>
      </c>
      <c r="NS104" s="403">
        <f t="shared" si="395"/>
        <v>2.030266180245913E-2</v>
      </c>
      <c r="NT104" s="403">
        <f t="shared" si="396"/>
        <v>-4.9335438312034727E-3</v>
      </c>
      <c r="NU104" s="727">
        <f t="shared" si="511"/>
        <v>8.6017462245894016E-2</v>
      </c>
      <c r="NV104" s="688">
        <f t="shared" si="512"/>
        <v>8.7757721855378321E-2</v>
      </c>
      <c r="NW104" s="688">
        <f t="shared" si="513"/>
        <v>0.10278070004670302</v>
      </c>
      <c r="NX104" s="793">
        <f>(ER104-T.A2!B56*T.A1!M56)/MP104</f>
        <v>7.1953072999909218E-2</v>
      </c>
      <c r="NY104" s="688">
        <f>Liabilities!BU104/Liabilities!GY104</f>
        <v>3.9254438801783337E-2</v>
      </c>
      <c r="NZ104" s="688">
        <f>Liabilities!BU104/Liabilities!GT104</f>
        <v>5.0433484159492073E-2</v>
      </c>
      <c r="OA104" s="688">
        <f>Liabilities!BU104/Liabilities!GR104</f>
        <v>6.4318147150779992E-2</v>
      </c>
      <c r="OB104" s="688">
        <f t="shared" si="256"/>
        <v>4.676302344411068E-2</v>
      </c>
      <c r="OC104" s="688">
        <f t="shared" si="257"/>
        <v>3.7324237695886248E-2</v>
      </c>
      <c r="OD104" s="688"/>
      <c r="OE104" s="793">
        <f t="shared" si="514"/>
        <v>9.1886020712527147E-2</v>
      </c>
      <c r="OF104" s="793">
        <f>OE104/(1-'Assets(MOFA)'!GU57)</f>
        <v>0.12778951797041052</v>
      </c>
      <c r="OG104" s="793">
        <f>Liabilities!HV104</f>
        <v>5.4713348083701742E-2</v>
      </c>
      <c r="OH104" s="793">
        <f t="shared" si="438"/>
        <v>3.7172672628825405E-2</v>
      </c>
      <c r="OI104" s="22">
        <f t="shared" si="336"/>
        <v>1.8670443620173543E-2</v>
      </c>
      <c r="OJ104" s="22">
        <f t="shared" si="337"/>
        <v>6.9566830535200816E-3</v>
      </c>
      <c r="OK104" s="403">
        <f>Liabilities!CT104/LX104</f>
        <v>1.1135297544225403E-2</v>
      </c>
      <c r="OL104" s="403">
        <f>Liabilities!CU104/MF104</f>
        <v>3.6158914264202653E-2</v>
      </c>
      <c r="OM104" s="153"/>
      <c r="OO104" s="186">
        <f t="shared" si="515"/>
        <v>9.1700542537264174E-2</v>
      </c>
      <c r="OP104" s="308">
        <f t="shared" si="370"/>
        <v>0.34739708005319342</v>
      </c>
      <c r="OQ104" s="308">
        <f t="shared" si="371"/>
        <v>3.1856500716739226E-2</v>
      </c>
      <c r="OR104" s="313">
        <f t="shared" si="372"/>
        <v>0</v>
      </c>
      <c r="OS104" s="23">
        <f t="shared" si="373"/>
        <v>0.17084587040909699</v>
      </c>
      <c r="OT104" s="23">
        <f t="shared" si="374"/>
        <v>0.10834091740453905</v>
      </c>
      <c r="OU104" s="23">
        <f t="shared" si="375"/>
        <v>6.8955411757311028E-2</v>
      </c>
      <c r="OV104" s="23">
        <f t="shared" si="376"/>
        <v>0.13125503284436724</v>
      </c>
      <c r="OW104" s="23">
        <f t="shared" si="377"/>
        <v>8.7980118668039675E-2</v>
      </c>
      <c r="OX104" s="23">
        <f t="shared" si="378"/>
        <v>8.8227725821409947E-2</v>
      </c>
      <c r="OY104" s="23">
        <f t="shared" si="379"/>
        <v>0.13248271830941627</v>
      </c>
      <c r="OZ104" s="23">
        <f t="shared" si="380"/>
        <v>0.10478312264392654</v>
      </c>
      <c r="PA104" s="23">
        <f t="shared" si="381"/>
        <v>8.1343239939282594E-2</v>
      </c>
      <c r="PB104" s="23">
        <f t="shared" si="382"/>
        <v>2.343988270464395E-2</v>
      </c>
      <c r="PC104" s="23"/>
      <c r="PD104" s="23"/>
      <c r="PE104" s="23"/>
      <c r="PF104" s="23"/>
      <c r="PG104" s="69"/>
      <c r="PH104" s="23">
        <f>'Assets(MOFA)'!GU57</f>
        <v>0.28095807722036142</v>
      </c>
      <c r="PI104" s="23">
        <f>'Assets(MOFA)'!HM57</f>
        <v>0.20572324737357103</v>
      </c>
      <c r="PJ104" s="11">
        <f t="shared" si="516"/>
        <v>2.2729865204409748E-2</v>
      </c>
      <c r="PK104" s="11">
        <f>Liabilities!IP104/MW104/1000</f>
        <v>2.0894124550060369E-2</v>
      </c>
      <c r="PL104" s="11">
        <f>'Assets(MOFA)'!GO57/MM104/1000</f>
        <v>1.7328538409694411E-2</v>
      </c>
      <c r="PM104" s="11">
        <f t="shared" si="429"/>
        <v>3.5655861403659575E-3</v>
      </c>
    </row>
    <row r="105" spans="1:429">
      <c r="B105" s="71">
        <v>2013</v>
      </c>
      <c r="C105" s="43">
        <v>14444.8</v>
      </c>
      <c r="D105" s="5">
        <v>2032.9</v>
      </c>
      <c r="E105" s="19">
        <f t="shared" si="397"/>
        <v>0.14073576650420913</v>
      </c>
      <c r="F105" s="72">
        <f t="shared" si="398"/>
        <v>0</v>
      </c>
      <c r="G105" s="76">
        <f t="shared" si="399"/>
        <v>1621.1000000000001</v>
      </c>
      <c r="H105" s="23">
        <f t="shared" si="400"/>
        <v>0.11222723748338503</v>
      </c>
      <c r="I105" s="72">
        <v>411.8</v>
      </c>
      <c r="J105" s="19">
        <f t="shared" si="401"/>
        <v>2.8508529020824104E-2</v>
      </c>
      <c r="K105" s="6">
        <f t="shared" si="402"/>
        <v>0.20256776034236804</v>
      </c>
      <c r="L105" s="136">
        <v>668.1</v>
      </c>
      <c r="M105" s="19">
        <f t="shared" si="403"/>
        <v>4.6251938413823662E-2</v>
      </c>
      <c r="N105" s="63">
        <f t="shared" si="404"/>
        <v>0.32864380933641596</v>
      </c>
      <c r="O105" s="5">
        <f t="shared" si="405"/>
        <v>2032.9</v>
      </c>
      <c r="P105" s="75">
        <f t="shared" si="406"/>
        <v>0</v>
      </c>
      <c r="Q105" s="271">
        <v>1835.1</v>
      </c>
      <c r="R105" s="273">
        <v>386.2</v>
      </c>
      <c r="S105" s="205">
        <f t="shared" si="407"/>
        <v>0.18997491268631017</v>
      </c>
      <c r="T105" s="74">
        <v>80.2</v>
      </c>
      <c r="U105" s="74">
        <v>-123.3</v>
      </c>
      <c r="V105" s="275">
        <v>259</v>
      </c>
      <c r="W105" s="205">
        <f t="shared" si="408"/>
        <v>0.12740420089527277</v>
      </c>
      <c r="X105" s="75">
        <f t="shared" si="409"/>
        <v>113.70000000000073</v>
      </c>
      <c r="Y105" s="187"/>
      <c r="Z105" s="75"/>
      <c r="AA105" s="75"/>
      <c r="AB105" s="75"/>
      <c r="AC105" s="65">
        <f>AD105*D105</f>
        <v>310.50592588762737</v>
      </c>
      <c r="AD105" s="184">
        <f>AD104</f>
        <v>0.15274038363305001</v>
      </c>
      <c r="AE105" s="76">
        <f>NIPA_Scorp!C26/1000</f>
        <v>368.49299999999999</v>
      </c>
      <c r="AF105" s="66"/>
      <c r="AG105" s="248">
        <f t="shared" si="385"/>
        <v>0.18126469575483298</v>
      </c>
      <c r="AH105" s="97">
        <v>467.7</v>
      </c>
      <c r="AI105" s="22">
        <f t="shared" si="411"/>
        <v>3.2378433761630486E-2</v>
      </c>
      <c r="AJ105" s="22">
        <f t="shared" si="412"/>
        <v>2.6867800177226411E-2</v>
      </c>
      <c r="AK105" s="99">
        <f t="shared" si="413"/>
        <v>0</v>
      </c>
      <c r="AL105" s="276">
        <v>298.40000000000003</v>
      </c>
      <c r="AM105" s="72">
        <f>(0.25*Fedtax!C86+0.75*Fedtax!C85)/1000</f>
        <v>288.31450000000001</v>
      </c>
      <c r="AN105" s="276">
        <v>55.5</v>
      </c>
      <c r="AO105" s="255">
        <v>34.200000000000003</v>
      </c>
      <c r="AP105" s="71">
        <v>79.599999999999994</v>
      </c>
      <c r="AQ105" s="6">
        <f t="shared" si="414"/>
        <v>0.10835733274257865</v>
      </c>
      <c r="AR105" s="279">
        <v>118.3</v>
      </c>
      <c r="AS105" s="714">
        <v>118.28530600000001</v>
      </c>
      <c r="AT105" s="275">
        <v>38.135840000000002</v>
      </c>
      <c r="AU105" s="250">
        <f t="shared" si="386"/>
        <v>0.32240555728874726</v>
      </c>
      <c r="AV105" s="709">
        <v>126.24286600000001</v>
      </c>
      <c r="AW105" s="783">
        <v>43.065438</v>
      </c>
      <c r="AX105" s="783">
        <f t="shared" si="387"/>
        <v>83.177428000000006</v>
      </c>
      <c r="AY105" s="784">
        <f t="shared" si="388"/>
        <v>0.34113165650089089</v>
      </c>
      <c r="BC105" s="275"/>
      <c r="BD105" s="722">
        <f>'Assets(MOFA)'!FJ58/1000</f>
        <v>138.607</v>
      </c>
      <c r="BE105" s="753">
        <f t="shared" si="532"/>
        <v>0.91079718917514996</v>
      </c>
      <c r="BF105" s="234">
        <v>0.35</v>
      </c>
      <c r="BG105" s="437"/>
      <c r="BH105" s="140">
        <f t="shared" si="464"/>
        <v>0.16020823902218195</v>
      </c>
      <c r="BI105" s="248">
        <f t="shared" si="384"/>
        <v>0.19228397392674951</v>
      </c>
      <c r="BJ105" s="23">
        <f t="shared" si="465"/>
        <v>0.14339546191247973</v>
      </c>
      <c r="BK105" s="30">
        <f t="shared" si="466"/>
        <v>0.20289605981179903</v>
      </c>
      <c r="BL105" s="30">
        <f t="shared" si="467"/>
        <v>0.19156212721305863</v>
      </c>
      <c r="BM105" s="248">
        <f t="shared" si="468"/>
        <v>0.23413396839130621</v>
      </c>
      <c r="BN105" s="23">
        <f t="shared" si="469"/>
        <v>0.21148711241894178</v>
      </c>
      <c r="BO105" s="23">
        <f t="shared" si="470"/>
        <v>0.17471750776572281</v>
      </c>
      <c r="BP105" s="149">
        <f t="shared" si="415"/>
        <v>2032.9</v>
      </c>
      <c r="BQ105" s="99">
        <f t="shared" si="416"/>
        <v>0</v>
      </c>
      <c r="BR105" s="153">
        <f t="shared" si="417"/>
        <v>467.7</v>
      </c>
      <c r="BS105" s="79">
        <v>929.4</v>
      </c>
      <c r="BT105" s="79">
        <v>635.79999999999995</v>
      </c>
      <c r="BU105" s="23">
        <f t="shared" si="517"/>
        <v>0.31275517733287417</v>
      </c>
      <c r="BV105" s="71">
        <v>362.4</v>
      </c>
      <c r="BW105" s="71">
        <f t="shared" si="418"/>
        <v>273.39999999999998</v>
      </c>
      <c r="BX105" s="23">
        <f t="shared" si="419"/>
        <v>0.13448767770180528</v>
      </c>
      <c r="BY105" s="23">
        <f t="shared" si="289"/>
        <v>0.10010920360076737</v>
      </c>
      <c r="BZ105" s="23">
        <f t="shared" si="290"/>
        <v>0.44324220723781643</v>
      </c>
      <c r="CA105" s="23">
        <f t="shared" si="291"/>
        <v>0.45463589339858318</v>
      </c>
      <c r="CB105" s="23">
        <f t="shared" si="531"/>
        <v>0.66391452161243314</v>
      </c>
      <c r="CC105" s="169">
        <f t="shared" si="420"/>
        <v>668.1</v>
      </c>
      <c r="CD105" s="72">
        <f t="shared" si="518"/>
        <v>0</v>
      </c>
      <c r="CE105" s="76">
        <v>173.87700000000001</v>
      </c>
      <c r="CF105" s="76">
        <v>459.14400000000001</v>
      </c>
      <c r="CG105" s="76">
        <f t="shared" si="519"/>
        <v>35.079000000000008</v>
      </c>
      <c r="CH105" s="23">
        <f t="shared" si="392"/>
        <v>0.68723843735967671</v>
      </c>
      <c r="CI105" s="326">
        <v>467.39600000000002</v>
      </c>
      <c r="CJ105" s="153">
        <f t="shared" si="292"/>
        <v>0</v>
      </c>
      <c r="CK105" s="79">
        <f t="shared" si="520"/>
        <v>459.14400000000001</v>
      </c>
      <c r="CL105" s="159">
        <v>144.08000000000001</v>
      </c>
      <c r="CM105" s="159">
        <v>315.06400000000002</v>
      </c>
      <c r="CN105" s="159">
        <v>350.1</v>
      </c>
      <c r="CO105" s="159">
        <f t="shared" si="338"/>
        <v>35.036000000000001</v>
      </c>
      <c r="CP105" s="79">
        <v>8.2520000000000007</v>
      </c>
      <c r="CQ105" s="79">
        <v>13.486000000000001</v>
      </c>
      <c r="CR105" s="79">
        <v>5.2350000000000003</v>
      </c>
      <c r="CS105" s="243">
        <f t="shared" si="293"/>
        <v>0.68619866534246343</v>
      </c>
      <c r="CT105" s="23">
        <f t="shared" si="294"/>
        <v>2.575138964041517E-3</v>
      </c>
      <c r="CU105" s="73">
        <v>18.506</v>
      </c>
      <c r="CV105" s="378">
        <f t="shared" si="295"/>
        <v>4.0408645694610121E-3</v>
      </c>
      <c r="CW105" s="378">
        <f t="shared" si="296"/>
        <v>3.959383477821804E-2</v>
      </c>
      <c r="CX105" s="153">
        <f t="shared" si="297"/>
        <v>448.89</v>
      </c>
      <c r="CY105" s="153">
        <f t="shared" si="298"/>
        <v>0</v>
      </c>
      <c r="CZ105" s="295">
        <f t="shared" si="299"/>
        <v>467.39600000000002</v>
      </c>
      <c r="DA105" s="430">
        <v>22.797000000000001</v>
      </c>
      <c r="DB105" s="153">
        <v>16.558</v>
      </c>
      <c r="DC105" s="153">
        <v>2.851</v>
      </c>
      <c r="DD105" s="153">
        <v>2.39</v>
      </c>
      <c r="DE105" s="153">
        <v>0.92800000000000005</v>
      </c>
      <c r="DF105" s="153">
        <f t="shared" si="528"/>
        <v>7.0000000000000617E-2</v>
      </c>
      <c r="DG105" s="425">
        <v>230.40899999999999</v>
      </c>
      <c r="DH105" s="140">
        <f t="shared" si="521"/>
        <v>0.492963140463333</v>
      </c>
      <c r="DI105" s="182">
        <v>448.89</v>
      </c>
      <c r="DJ105" s="79">
        <v>35.203000000000003</v>
      </c>
      <c r="DK105" s="79">
        <v>78.536000000000001</v>
      </c>
      <c r="DL105" s="79">
        <v>37.073999999999998</v>
      </c>
      <c r="DM105" s="79">
        <v>23.515000000000001</v>
      </c>
      <c r="DN105" s="79">
        <v>58.152999999999999</v>
      </c>
      <c r="DO105" s="79">
        <v>33.597999999999999</v>
      </c>
      <c r="DP105" s="79">
        <v>1.4999999999999999E-2</v>
      </c>
      <c r="DQ105" s="79">
        <v>26.524999999999999</v>
      </c>
      <c r="DR105" s="79">
        <f t="shared" si="471"/>
        <v>259.00599999999997</v>
      </c>
      <c r="DS105" s="79">
        <f t="shared" si="472"/>
        <v>189.88400000000001</v>
      </c>
      <c r="DT105" s="79">
        <v>15.986000000000001</v>
      </c>
      <c r="DU105" s="23">
        <f t="shared" si="473"/>
        <v>8.4188241242021442E-2</v>
      </c>
      <c r="DV105" s="23">
        <f t="shared" si="474"/>
        <v>7.8422330637795454E-2</v>
      </c>
      <c r="DW105" s="23">
        <f t="shared" si="475"/>
        <v>0.17495600258415203</v>
      </c>
      <c r="DX105" s="23">
        <f t="shared" si="476"/>
        <v>8.2590389627748451E-2</v>
      </c>
      <c r="DY105" s="23">
        <f t="shared" si="477"/>
        <v>5.2384771324823456E-2</v>
      </c>
      <c r="DZ105" s="23">
        <f t="shared" si="478"/>
        <v>0.12954844171177793</v>
      </c>
      <c r="EA105" s="23">
        <f t="shared" si="479"/>
        <v>7.4846844438503868E-2</v>
      </c>
      <c r="EB105" s="23">
        <f t="shared" si="480"/>
        <v>3.3415758871883977E-5</v>
      </c>
      <c r="EC105" s="23">
        <f t="shared" si="481"/>
        <v>5.9090200271781503E-2</v>
      </c>
      <c r="ED105" s="23">
        <f t="shared" si="482"/>
        <v>0.57699213615807887</v>
      </c>
      <c r="EE105" s="153">
        <v>77.572000000000003</v>
      </c>
      <c r="EF105" s="23">
        <f t="shared" si="300"/>
        <v>0.17280848314731895</v>
      </c>
      <c r="EG105" s="298">
        <v>296.55799999999999</v>
      </c>
      <c r="EH105" s="242">
        <v>32.526000000000003</v>
      </c>
      <c r="EI105" s="242">
        <v>65.539000000000001</v>
      </c>
      <c r="EJ105" s="242">
        <v>25.847999999999999</v>
      </c>
      <c r="EK105" s="242">
        <v>15.393000000000001</v>
      </c>
      <c r="EL105" s="242">
        <v>46.389000000000003</v>
      </c>
      <c r="EM105" s="242">
        <v>17.817</v>
      </c>
      <c r="EN105" s="212">
        <f t="shared" si="301"/>
        <v>203.512</v>
      </c>
      <c r="EO105" s="23">
        <f t="shared" si="302"/>
        <v>0.78794122988536941</v>
      </c>
      <c r="EP105" s="79">
        <f t="shared" si="303"/>
        <v>93.045999999999992</v>
      </c>
      <c r="EQ105" s="243">
        <f t="shared" si="304"/>
        <v>0.68624687244990867</v>
      </c>
      <c r="ER105" s="182">
        <f t="shared" si="268"/>
        <v>440.63799999999998</v>
      </c>
      <c r="ES105" s="185"/>
      <c r="ET105" s="136">
        <f>'Assets(MOFA)'!W58/1000</f>
        <v>511.726</v>
      </c>
      <c r="EU105" s="136">
        <f t="shared" si="339"/>
        <v>373.11900000000003</v>
      </c>
      <c r="EV105" s="589">
        <f t="shared" si="340"/>
        <v>0.84676991090191955</v>
      </c>
      <c r="EW105" s="375">
        <f t="shared" si="439"/>
        <v>35.529879246234323</v>
      </c>
      <c r="EX105" s="375">
        <f t="shared" si="440"/>
        <v>77.723457238293321</v>
      </c>
      <c r="EY105" s="375">
        <f t="shared" si="441"/>
        <v>36.058340864687715</v>
      </c>
      <c r="EZ105" s="375">
        <f t="shared" si="442"/>
        <v>23.737607046070462</v>
      </c>
      <c r="FA105" s="375">
        <f t="shared" si="443"/>
        <v>58.775581143253291</v>
      </c>
      <c r="FB105" s="375">
        <f t="shared" si="444"/>
        <v>34.335438961366357</v>
      </c>
      <c r="FC105" s="375"/>
      <c r="FD105" s="375">
        <f t="shared" si="445"/>
        <v>26.458356967290602</v>
      </c>
      <c r="FE105" s="375">
        <f t="shared" si="483"/>
        <v>258.28322250582971</v>
      </c>
      <c r="FF105" s="375">
        <f t="shared" si="484"/>
        <v>186.74449502111301</v>
      </c>
      <c r="FG105" s="243">
        <f t="shared" si="446"/>
        <v>8.0632807988040803E-2</v>
      </c>
      <c r="FH105" s="243">
        <f t="shared" si="447"/>
        <v>0.17638845773240919</v>
      </c>
      <c r="FI105" s="243">
        <f t="shared" si="448"/>
        <v>8.1832118121196354E-2</v>
      </c>
      <c r="FJ105" s="243">
        <f t="shared" si="449"/>
        <v>5.3870993981614074E-2</v>
      </c>
      <c r="FK105" s="243">
        <f t="shared" si="450"/>
        <v>0.13338745442574923</v>
      </c>
      <c r="FL105" s="243">
        <f t="shared" si="451"/>
        <v>7.7922101501382901E-2</v>
      </c>
      <c r="FM105" s="243"/>
      <c r="FN105" s="243">
        <f t="shared" si="452"/>
        <v>6.004556340417895E-2</v>
      </c>
      <c r="FO105" s="243">
        <f t="shared" si="421"/>
        <v>0.58615739565318858</v>
      </c>
      <c r="FP105" s="243">
        <f t="shared" si="422"/>
        <v>0.41384260434681142</v>
      </c>
      <c r="FQ105" s="23">
        <f t="shared" si="423"/>
        <v>0.19263699937817663</v>
      </c>
      <c r="FR105" s="243">
        <f t="shared" si="424"/>
        <v>0.13600680995823933</v>
      </c>
      <c r="FS105" s="243">
        <f t="shared" si="425"/>
        <v>2.7110915764558548E-2</v>
      </c>
      <c r="FT105" s="412">
        <f t="shared" si="426"/>
        <v>2.1361808310844912E-2</v>
      </c>
      <c r="FU105" s="412">
        <f t="shared" si="427"/>
        <v>5.7491074537136359E-3</v>
      </c>
      <c r="FV105" s="243">
        <f t="shared" si="428"/>
        <v>1.9141022649265114E-2</v>
      </c>
      <c r="FW105" s="383">
        <f t="shared" si="305"/>
        <v>8.2520000000000007</v>
      </c>
      <c r="FX105" s="322">
        <f t="shared" si="430"/>
        <v>-0.32687924623432285</v>
      </c>
      <c r="FY105" s="322">
        <f t="shared" si="431"/>
        <v>0.81254276170668682</v>
      </c>
      <c r="FZ105" s="322">
        <f t="shared" si="432"/>
        <v>1.0156591353122835</v>
      </c>
      <c r="GA105" s="322">
        <f t="shared" si="433"/>
        <v>-0.2226070460704607</v>
      </c>
      <c r="GB105" s="322">
        <f t="shared" si="434"/>
        <v>-0.62258114325329295</v>
      </c>
      <c r="GC105" s="322">
        <f t="shared" si="435"/>
        <v>-0.73743896136635789</v>
      </c>
      <c r="GD105" s="375"/>
      <c r="GE105" s="375">
        <f t="shared" si="453"/>
        <v>6.6643032709396866E-2</v>
      </c>
      <c r="GF105" s="375">
        <f t="shared" si="485"/>
        <v>0.72277749417029069</v>
      </c>
      <c r="GG105" s="375">
        <f t="shared" si="277"/>
        <v>3.1395049788869982</v>
      </c>
      <c r="GH105" s="182">
        <v>303.43200000000002</v>
      </c>
      <c r="GI105" s="79">
        <v>21.923999999999999</v>
      </c>
      <c r="GJ105" s="79">
        <v>57.74</v>
      </c>
      <c r="GK105" s="79">
        <v>39.161000000000001</v>
      </c>
      <c r="GL105" s="79">
        <v>8.641</v>
      </c>
      <c r="GM105" s="79">
        <f t="shared" si="342"/>
        <v>38.744999999999997</v>
      </c>
      <c r="GN105" s="79">
        <v>17.803999999999998</v>
      </c>
      <c r="GO105" s="79">
        <v>20.940999999999999</v>
      </c>
      <c r="GP105" s="79">
        <v>2.2799999999999998</v>
      </c>
      <c r="GQ105" s="79">
        <v>20.329000000000001</v>
      </c>
      <c r="GR105" s="79">
        <f t="shared" si="523"/>
        <v>186.54000000000002</v>
      </c>
      <c r="GS105" s="79">
        <f t="shared" si="343"/>
        <v>116.892</v>
      </c>
      <c r="GT105" s="23">
        <f t="shared" si="524"/>
        <v>0.61476706477892906</v>
      </c>
      <c r="GU105" s="362">
        <f t="shared" si="259"/>
        <v>316.20000000000005</v>
      </c>
      <c r="GV105" s="153">
        <f t="shared" si="344"/>
        <v>19.641999999999999</v>
      </c>
      <c r="GW105" s="153">
        <f t="shared" si="308"/>
        <v>296.55799999999999</v>
      </c>
      <c r="GX105" s="153">
        <f t="shared" si="309"/>
        <v>32.902999999999999</v>
      </c>
      <c r="GY105" s="153">
        <f t="shared" si="310"/>
        <v>62.63</v>
      </c>
      <c r="GZ105" s="153">
        <f t="shared" si="226"/>
        <v>27.17</v>
      </c>
      <c r="HA105" s="153">
        <f t="shared" si="227"/>
        <v>14.593</v>
      </c>
      <c r="HB105" s="153">
        <f t="shared" si="228"/>
        <v>46.882999999999996</v>
      </c>
      <c r="HC105" s="153">
        <f t="shared" si="229"/>
        <v>29.833999999999996</v>
      </c>
      <c r="HD105" s="352"/>
      <c r="HE105" s="153">
        <f t="shared" si="231"/>
        <v>20.32</v>
      </c>
      <c r="HF105" s="153">
        <f t="shared" si="311"/>
        <v>204.499</v>
      </c>
      <c r="HG105" s="23">
        <f t="shared" si="345"/>
        <v>0.64673940543959507</v>
      </c>
      <c r="HH105" s="156">
        <f t="shared" si="346"/>
        <v>208.73300000000017</v>
      </c>
      <c r="HI105" s="182">
        <f t="shared" si="312"/>
        <v>6.8740000000000236</v>
      </c>
      <c r="HJ105" s="84">
        <v>-2.3980817331903381E-14</v>
      </c>
      <c r="HK105" s="79">
        <f t="shared" si="313"/>
        <v>-10.602000000000004</v>
      </c>
      <c r="HL105" s="79">
        <f t="shared" si="314"/>
        <v>-7.7989999999999995</v>
      </c>
      <c r="HM105" s="79">
        <f t="shared" si="315"/>
        <v>13.313000000000002</v>
      </c>
      <c r="HN105" s="79">
        <f t="shared" si="316"/>
        <v>-6.7520000000000007</v>
      </c>
      <c r="HO105" s="79">
        <f t="shared" si="317"/>
        <v>-7.6440000000000055</v>
      </c>
      <c r="HP105" s="79">
        <f t="shared" si="318"/>
        <v>2.5120000000000005</v>
      </c>
      <c r="HQ105" s="79">
        <f>HP105+HO105+HN105+HM105+HL105+HK105</f>
        <v>-16.972000000000008</v>
      </c>
      <c r="HR105" s="79">
        <f>HI105-HQ105</f>
        <v>23.846000000000032</v>
      </c>
      <c r="HS105" s="23">
        <f>HQ105/HI105</f>
        <v>-2.4690136747163152</v>
      </c>
      <c r="HT105" s="28">
        <v>19.641999999999999</v>
      </c>
      <c r="HU105" s="79">
        <v>0.378</v>
      </c>
      <c r="HV105" s="79">
        <v>-2.9089999999999998</v>
      </c>
      <c r="HW105" s="79">
        <v>1.323</v>
      </c>
      <c r="HX105" s="79">
        <v>-0.8</v>
      </c>
      <c r="HY105" s="79">
        <v>0.49399999999999999</v>
      </c>
      <c r="HZ105" s="79">
        <v>2.875</v>
      </c>
      <c r="IA105" s="79"/>
      <c r="IB105" s="79">
        <v>2.5030000000000001</v>
      </c>
      <c r="IC105" s="79">
        <f t="shared" si="526"/>
        <v>0.98900000000000021</v>
      </c>
      <c r="ID105" s="79">
        <f>HT105-IC105</f>
        <v>18.652999999999999</v>
      </c>
      <c r="IE105" s="23">
        <f>IC105/HT105</f>
        <v>5.0351288056206103E-2</v>
      </c>
      <c r="IF105" s="316">
        <v>-12.768000000000001</v>
      </c>
      <c r="IG105" s="153">
        <v>-10.978999999999999</v>
      </c>
      <c r="IH105" s="153">
        <v>-4.8899999999999997</v>
      </c>
      <c r="II105" s="153">
        <v>11.991</v>
      </c>
      <c r="IJ105" s="153">
        <v>-5.952</v>
      </c>
      <c r="IK105" s="153">
        <v>-8.1379999999999999</v>
      </c>
      <c r="IL105" s="153">
        <v>-12.03</v>
      </c>
      <c r="IM105" s="153"/>
      <c r="IN105" s="153">
        <v>8.9999999999999993E-3</v>
      </c>
      <c r="IO105" s="153">
        <f t="shared" si="349"/>
        <v>-17.959</v>
      </c>
      <c r="IP105" s="153">
        <f t="shared" si="522"/>
        <v>5.1909999999999989</v>
      </c>
      <c r="IQ105" s="258">
        <f t="shared" si="350"/>
        <v>-39.03400000000002</v>
      </c>
      <c r="IR105" s="149">
        <f t="shared" si="323"/>
        <v>4579.7129999999997</v>
      </c>
      <c r="IS105" s="153">
        <f t="shared" si="351"/>
        <v>169.69799999999941</v>
      </c>
      <c r="IT105" s="153">
        <f t="shared" si="529"/>
        <v>1.0000000006016307E-3</v>
      </c>
      <c r="IU105" s="153">
        <f t="shared" si="352"/>
        <v>296.55799999999999</v>
      </c>
      <c r="IV105" s="153">
        <f t="shared" si="324"/>
        <v>19.641999999999999</v>
      </c>
      <c r="IW105" s="153">
        <v>-12.768000000000001</v>
      </c>
      <c r="IX105" s="153">
        <f t="shared" si="530"/>
        <v>-133.733</v>
      </c>
      <c r="IY105" s="153">
        <v>-24.088000000000001</v>
      </c>
      <c r="IZ105" s="153">
        <v>-5.18</v>
      </c>
      <c r="JA105" s="153">
        <v>-104.465</v>
      </c>
      <c r="JB105" s="23">
        <f t="shared" si="486"/>
        <v>0.31704924955693398</v>
      </c>
      <c r="JC105" s="23">
        <f t="shared" si="487"/>
        <v>0.15803707908728404</v>
      </c>
      <c r="JD105" s="23">
        <f t="shared" si="488"/>
        <v>0.15901217046964994</v>
      </c>
      <c r="JE105" s="22">
        <f t="shared" si="489"/>
        <v>2.0530433097031456E-2</v>
      </c>
      <c r="JF105" s="22">
        <f t="shared" si="326"/>
        <v>1.3597972972972973E-3</v>
      </c>
      <c r="JG105" s="22">
        <f t="shared" si="327"/>
        <v>-8.8391670358883487E-4</v>
      </c>
      <c r="JH105" s="5">
        <v>4579.7129999999997</v>
      </c>
      <c r="JI105" s="192">
        <v>154.88499999999999</v>
      </c>
      <c r="JJ105" s="76">
        <v>220.67</v>
      </c>
      <c r="JK105" s="76">
        <v>740.74</v>
      </c>
      <c r="JL105" s="76">
        <v>460.029</v>
      </c>
      <c r="JM105" s="76">
        <v>128.49</v>
      </c>
      <c r="JN105" s="76">
        <f t="shared" si="354"/>
        <v>550.80600000000004</v>
      </c>
      <c r="JO105" s="76">
        <v>256.35899999999998</v>
      </c>
      <c r="JP105" s="76">
        <v>294.447</v>
      </c>
      <c r="JQ105" s="76">
        <v>16.335000000000001</v>
      </c>
      <c r="JR105" s="76">
        <v>182.07900000000001</v>
      </c>
      <c r="JS105" s="76">
        <f t="shared" si="527"/>
        <v>2282.8140000000003</v>
      </c>
      <c r="JT105" s="76">
        <f t="shared" si="355"/>
        <v>2296.8989999999994</v>
      </c>
      <c r="JU105" s="23">
        <f t="shared" si="356"/>
        <v>0.49846223988271765</v>
      </c>
      <c r="JV105" s="23">
        <f t="shared" si="357"/>
        <v>4.8184242112988301E-2</v>
      </c>
      <c r="JW105" s="23">
        <f t="shared" si="358"/>
        <v>0.16174375992556739</v>
      </c>
      <c r="JX105" s="23">
        <f t="shared" si="359"/>
        <v>0.10044930763128607</v>
      </c>
      <c r="JY105" s="23">
        <f t="shared" si="360"/>
        <v>2.8056343268672079E-2</v>
      </c>
      <c r="JZ105" s="23">
        <f t="shared" si="361"/>
        <v>0.12027085540076421</v>
      </c>
      <c r="KA105" s="23">
        <f t="shared" si="362"/>
        <v>3.9757731543439513E-2</v>
      </c>
      <c r="KB105" s="149">
        <v>199.94399999999999</v>
      </c>
      <c r="KC105" s="316">
        <v>698.14800000000002</v>
      </c>
      <c r="KD105" s="316">
        <v>498.20400000000001</v>
      </c>
      <c r="KE105" s="589">
        <f t="shared" si="242"/>
        <v>0.71360800288763981</v>
      </c>
      <c r="KF105" s="1071">
        <v>0</v>
      </c>
      <c r="KG105" s="153">
        <v>-16.922000000000001</v>
      </c>
      <c r="KH105" s="153">
        <v>42.064</v>
      </c>
      <c r="KI105" s="153">
        <v>52.579000000000001</v>
      </c>
      <c r="KJ105" s="153">
        <v>-11.523999999999999</v>
      </c>
      <c r="KK105" s="153">
        <v>-32.229999999999997</v>
      </c>
      <c r="KL105" s="153">
        <v>-38.176000000000002</v>
      </c>
      <c r="KM105" s="153">
        <v>24.594000000000001</v>
      </c>
      <c r="KN105" s="153">
        <v>62.77</v>
      </c>
      <c r="KO105" s="153"/>
      <c r="KP105" s="153">
        <v>3.45</v>
      </c>
      <c r="KQ105" s="153">
        <f t="shared" si="328"/>
        <v>37.417000000000009</v>
      </c>
      <c r="KR105" s="153">
        <f t="shared" si="329"/>
        <v>162.52699999999999</v>
      </c>
      <c r="KS105" s="23">
        <f t="shared" si="490"/>
        <v>1.1251592268498006E-2</v>
      </c>
      <c r="KT105" s="23"/>
      <c r="KU105" s="326">
        <v>4379.7690000000002</v>
      </c>
      <c r="KV105" s="430">
        <f t="shared" si="252"/>
        <v>154.88499999999999</v>
      </c>
      <c r="KW105" s="153">
        <f t="shared" si="491"/>
        <v>237.59199999999998</v>
      </c>
      <c r="KX105" s="153">
        <f t="shared" si="492"/>
        <v>698.67600000000004</v>
      </c>
      <c r="KY105" s="153">
        <f t="shared" si="493"/>
        <v>407.45</v>
      </c>
      <c r="KZ105" s="153">
        <f t="shared" si="494"/>
        <v>140.01400000000001</v>
      </c>
      <c r="LA105" s="153">
        <f t="shared" si="495"/>
        <v>583.03600000000006</v>
      </c>
      <c r="LB105" s="153">
        <f t="shared" si="496"/>
        <v>294.53499999999997</v>
      </c>
      <c r="LC105" s="153"/>
      <c r="LD105" s="153">
        <f t="shared" si="455"/>
        <v>178.62900000000002</v>
      </c>
      <c r="LE105" s="153">
        <f t="shared" si="456"/>
        <v>2245.3970000000004</v>
      </c>
      <c r="LF105" s="153">
        <f t="shared" si="497"/>
        <v>0</v>
      </c>
      <c r="LG105" s="153">
        <f t="shared" si="498"/>
        <v>2134.3719999999994</v>
      </c>
      <c r="LH105" s="22">
        <f t="shared" si="499"/>
        <v>0.51267475522110872</v>
      </c>
      <c r="LI105" s="23">
        <f t="shared" si="457"/>
        <v>5.4247609862529272E-2</v>
      </c>
      <c r="LJ105" s="23">
        <f t="shared" si="458"/>
        <v>0.15952348171787142</v>
      </c>
      <c r="LK105" s="23">
        <f t="shared" si="459"/>
        <v>9.3030020533046376E-2</v>
      </c>
      <c r="LL105" s="23">
        <f t="shared" si="460"/>
        <v>3.1968352668827971E-2</v>
      </c>
      <c r="LM105" s="23">
        <f t="shared" si="461"/>
        <v>0.1331202627353178</v>
      </c>
      <c r="LN105" s="23">
        <f t="shared" si="462"/>
        <v>6.7248980482760609E-2</v>
      </c>
      <c r="LO105" s="23"/>
      <c r="LP105" s="23">
        <f t="shared" si="463"/>
        <v>4.0785027703515872E-2</v>
      </c>
      <c r="LQ105" s="23">
        <f t="shared" si="500"/>
        <v>0.30320731335844042</v>
      </c>
      <c r="LR105" s="23">
        <f t="shared" si="501"/>
        <v>0.14776057820115193</v>
      </c>
      <c r="LS105" s="23">
        <f t="shared" si="502"/>
        <v>0.15544673515728846</v>
      </c>
      <c r="LT105" s="326">
        <v>1066.461</v>
      </c>
      <c r="LU105" s="153">
        <f t="shared" si="363"/>
        <v>0</v>
      </c>
      <c r="LV105" s="153">
        <f t="shared" si="503"/>
        <v>199.94399999999999</v>
      </c>
      <c r="LW105" s="153">
        <f t="shared" si="504"/>
        <v>498.20400000000001</v>
      </c>
      <c r="LX105" s="153">
        <v>368.31299999999999</v>
      </c>
      <c r="LY105" s="23">
        <f>LX105/Liabilities!GT105</f>
        <v>0.13080880887920024</v>
      </c>
      <c r="LZ105" s="23">
        <f t="shared" si="253"/>
        <v>0.42164473420605253</v>
      </c>
      <c r="MA105" s="425">
        <v>1371.7190000000001</v>
      </c>
      <c r="MB105" s="153">
        <f t="shared" si="364"/>
        <v>0</v>
      </c>
      <c r="MC105" s="153">
        <v>505.202</v>
      </c>
      <c r="MD105" s="153">
        <f t="shared" si="365"/>
        <v>368.31299999999999</v>
      </c>
      <c r="ME105" s="153">
        <f t="shared" si="366"/>
        <v>498.20400000000001</v>
      </c>
      <c r="MF105" s="153">
        <v>873.51499999999999</v>
      </c>
      <c r="MG105" s="153">
        <f t="shared" si="505"/>
        <v>698.14800000000002</v>
      </c>
      <c r="MH105" s="326">
        <f t="shared" si="506"/>
        <v>4379.7690000000002</v>
      </c>
      <c r="MI105" s="1008">
        <f>FoF_RoW!$BH75/1000</f>
        <v>5296.3860000000004</v>
      </c>
      <c r="MJ105" s="1008">
        <v>6162.9030000000002</v>
      </c>
      <c r="MK105" s="1008">
        <f>FoF_RoW!$AU75/1000</f>
        <v>321.93799999999999</v>
      </c>
      <c r="ML105" s="1008">
        <f t="shared" si="254"/>
        <v>172.34500000000025</v>
      </c>
      <c r="MM105" s="425">
        <f t="shared" si="507"/>
        <v>5096.442</v>
      </c>
      <c r="MN105" s="23">
        <f t="shared" si="508"/>
        <v>1.1636326025413668</v>
      </c>
      <c r="MO105" s="153">
        <v>7120.6880000000001</v>
      </c>
      <c r="MP105" s="425">
        <v>6054.2269999999999</v>
      </c>
      <c r="MQ105" s="23">
        <f t="shared" si="367"/>
        <v>1.3823165102999724</v>
      </c>
      <c r="MR105" s="23">
        <f t="shared" si="368"/>
        <v>1.187932090662466</v>
      </c>
      <c r="MS105" s="153">
        <f t="shared" si="509"/>
        <v>199.94399999999999</v>
      </c>
      <c r="MT105" s="153">
        <v>1066.461</v>
      </c>
      <c r="MU105" s="153">
        <v>1371.7190000000001</v>
      </c>
      <c r="MV105" s="153">
        <v>4443.2160000000003</v>
      </c>
      <c r="MW105" s="153">
        <v>2815.6590000000001</v>
      </c>
      <c r="MX105" s="23">
        <f t="shared" si="369"/>
        <v>1.5780376814095742</v>
      </c>
      <c r="MY105" s="425">
        <f t="shared" si="255"/>
        <v>-5687.628999999999</v>
      </c>
      <c r="MZ105" s="23">
        <f t="shared" si="510"/>
        <v>-0.39374923848028354</v>
      </c>
      <c r="NA105" s="153">
        <v>24144.775000000001</v>
      </c>
      <c r="NB105" s="153">
        <v>29517.429</v>
      </c>
      <c r="NC105" s="425">
        <f t="shared" si="330"/>
        <v>-5017.8569999999982</v>
      </c>
      <c r="ND105" s="23">
        <f t="shared" si="331"/>
        <v>-0.34738154906956126</v>
      </c>
      <c r="NE105" s="330">
        <f t="shared" si="332"/>
        <v>1975.5250000000001</v>
      </c>
      <c r="NF105" s="23">
        <f t="shared" si="333"/>
        <v>0.13676374889233497</v>
      </c>
      <c r="NG105" s="330">
        <f t="shared" si="334"/>
        <v>1305.7529999999997</v>
      </c>
      <c r="NH105" s="23">
        <f t="shared" si="335"/>
        <v>9.0396059481612751E-2</v>
      </c>
      <c r="NI105" s="330">
        <v>314.97500000000002</v>
      </c>
      <c r="NJ105" s="425">
        <v>283.28100000000001</v>
      </c>
      <c r="NK105" s="403">
        <f t="shared" si="393"/>
        <v>1.9611278799291094E-2</v>
      </c>
      <c r="NL105" s="153">
        <v>295.79399999999998</v>
      </c>
      <c r="NM105" s="153">
        <v>470.08800000000002</v>
      </c>
      <c r="NN105" s="153">
        <v>174.29400000000001</v>
      </c>
      <c r="NO105" s="425">
        <f t="shared" si="100"/>
        <v>215.39</v>
      </c>
      <c r="NP105" s="153">
        <v>786.20600000000002</v>
      </c>
      <c r="NQ105" s="153">
        <v>570.81600000000003</v>
      </c>
      <c r="NR105" s="403">
        <f t="shared" si="394"/>
        <v>1.4911248338502436E-2</v>
      </c>
      <c r="NS105" s="403">
        <f t="shared" si="395"/>
        <v>1.9611278799291094E-2</v>
      </c>
      <c r="NT105" s="403">
        <f t="shared" si="396"/>
        <v>-4.7000304607886581E-3</v>
      </c>
      <c r="NU105" s="727">
        <f t="shared" si="511"/>
        <v>7.2781876199884812E-2</v>
      </c>
      <c r="NV105" s="688">
        <f t="shared" si="512"/>
        <v>8.6459926356465933E-2</v>
      </c>
      <c r="NW105" s="688">
        <f t="shared" si="513"/>
        <v>0.10060758912170938</v>
      </c>
      <c r="NX105" s="793">
        <f>(ER105-T.A2!B57*T.A1!M57)/MP105</f>
        <v>6.0218830485319647E-2</v>
      </c>
      <c r="NY105" s="688">
        <f>Liabilities!BU105/Liabilities!GY105</f>
        <v>3.1903017994173589E-2</v>
      </c>
      <c r="NZ105" s="688">
        <f>Liabilities!BU105/Liabilities!GT105</f>
        <v>5.0344164545493619E-2</v>
      </c>
      <c r="OA105" s="688">
        <f>Liabilities!BU105/Liabilities!GR105</f>
        <v>6.3776897836475194E-2</v>
      </c>
      <c r="OB105" s="688">
        <f t="shared" si="256"/>
        <v>4.0878858205711223E-2</v>
      </c>
      <c r="OC105" s="688">
        <f t="shared" si="257"/>
        <v>3.6115761810972313E-2</v>
      </c>
      <c r="OD105" s="688"/>
      <c r="OE105" s="793">
        <f t="shared" si="514"/>
        <v>9.0091087076042464E-2</v>
      </c>
      <c r="OF105" s="793">
        <f>OE105/(1-'Assets(MOFA)'!GU58)</f>
        <v>0.12355830613041659</v>
      </c>
      <c r="OG105" s="793">
        <f>Liabilities!HV105</f>
        <v>5.5415852155210103E-2</v>
      </c>
      <c r="OH105" s="793">
        <f t="shared" si="438"/>
        <v>3.4675234920832361E-2</v>
      </c>
      <c r="OI105" s="22">
        <f t="shared" si="336"/>
        <v>1.9316821075187496E-2</v>
      </c>
      <c r="OJ105" s="22">
        <f t="shared" si="337"/>
        <v>1.0507743815786305E-2</v>
      </c>
      <c r="OK105" s="403">
        <f>Liabilities!CT105/LX105</f>
        <v>9.7254237564245623E-3</v>
      </c>
      <c r="OL105" s="403">
        <f>Liabilities!CU105/MF105</f>
        <v>3.4418412963715568E-2</v>
      </c>
      <c r="OM105" s="153"/>
      <c r="OO105" s="186">
        <f t="shared" si="515"/>
        <v>8.9944731552989807E-2</v>
      </c>
      <c r="OP105" s="308">
        <f t="shared" si="370"/>
        <v>0.35282191515285777</v>
      </c>
      <c r="OQ105" s="308">
        <f t="shared" si="371"/>
        <v>3.1734472444435544E-2</v>
      </c>
      <c r="OR105" s="313">
        <f t="shared" si="372"/>
        <v>0</v>
      </c>
      <c r="OS105" s="23">
        <f t="shared" si="373"/>
        <v>0.13369245736774213</v>
      </c>
      <c r="OT105" s="23">
        <f t="shared" si="374"/>
        <v>9.9453775136667269E-2</v>
      </c>
      <c r="OU105" s="23">
        <f t="shared" si="375"/>
        <v>7.9118201357474591E-2</v>
      </c>
      <c r="OV105" s="23">
        <f t="shared" si="376"/>
        <v>0.15156902647954465</v>
      </c>
      <c r="OW105" s="23">
        <f t="shared" si="377"/>
        <v>9.0125263685177912E-2</v>
      </c>
      <c r="OX105" s="23">
        <f t="shared" si="378"/>
        <v>0.10421990714615215</v>
      </c>
      <c r="OY105" s="23">
        <f t="shared" si="379"/>
        <v>0.13242070400436015</v>
      </c>
      <c r="OZ105" s="23">
        <f t="shared" si="380"/>
        <v>0.10283667971341323</v>
      </c>
      <c r="PA105" s="23">
        <f t="shared" si="381"/>
        <v>7.8220877060434665E-2</v>
      </c>
      <c r="PB105" s="23">
        <f t="shared" si="382"/>
        <v>2.4615802652978566E-2</v>
      </c>
      <c r="PC105" s="23"/>
      <c r="PD105" s="23"/>
      <c r="PE105" s="23"/>
      <c r="PF105" s="23"/>
      <c r="PG105" s="69"/>
      <c r="PH105" s="23">
        <f>'Assets(MOFA)'!GU58</f>
        <v>0.27086175023352344</v>
      </c>
      <c r="PI105" s="23">
        <f>'Assets(MOFA)'!HM58</f>
        <v>0.20933166837435227</v>
      </c>
      <c r="PJ105" s="11">
        <f t="shared" si="516"/>
        <v>2.289050908933047E-2</v>
      </c>
      <c r="PK105" s="11">
        <f>Liabilities!IP105/MW105/1000</f>
        <v>1.8630096897387077E-2</v>
      </c>
      <c r="PL105" s="11">
        <f>'Assets(MOFA)'!GO58/MM105/1000</f>
        <v>1.6037251463228801E-2</v>
      </c>
      <c r="PM105" s="11">
        <f t="shared" si="429"/>
        <v>2.5928454341582752E-3</v>
      </c>
    </row>
    <row r="106" spans="1:429">
      <c r="B106" s="71">
        <v>2014</v>
      </c>
      <c r="C106" s="43">
        <v>15144</v>
      </c>
      <c r="D106" s="5">
        <v>2140.6</v>
      </c>
      <c r="E106" s="19">
        <f t="shared" si="397"/>
        <v>0.14134970945589012</v>
      </c>
      <c r="F106" s="72">
        <f t="shared" si="398"/>
        <v>0</v>
      </c>
      <c r="G106" s="76">
        <f t="shared" si="399"/>
        <v>1743.1</v>
      </c>
      <c r="H106" s="23">
        <f t="shared" si="400"/>
        <v>0.11510169043845747</v>
      </c>
      <c r="I106" s="72">
        <v>397.5</v>
      </c>
      <c r="J106" s="19">
        <f t="shared" si="401"/>
        <v>2.6248019017432647E-2</v>
      </c>
      <c r="K106" s="6">
        <f t="shared" si="402"/>
        <v>0.18569559936466412</v>
      </c>
      <c r="L106" s="136">
        <v>686.3</v>
      </c>
      <c r="M106" s="19">
        <f t="shared" si="403"/>
        <v>4.5318277865821446E-2</v>
      </c>
      <c r="N106" s="63">
        <f t="shared" si="404"/>
        <v>0.32061104363262638</v>
      </c>
      <c r="O106" s="5">
        <f t="shared" si="405"/>
        <v>2140.6</v>
      </c>
      <c r="P106" s="75">
        <f t="shared" si="406"/>
        <v>0</v>
      </c>
      <c r="Q106" s="276">
        <v>2040.4</v>
      </c>
      <c r="R106" s="273">
        <v>388.9</v>
      </c>
      <c r="S106" s="205">
        <f t="shared" si="407"/>
        <v>0.1816780341960198</v>
      </c>
      <c r="T106" s="74">
        <v>104</v>
      </c>
      <c r="U106" s="74">
        <v>-108.5</v>
      </c>
      <c r="V106" s="275">
        <v>320.2</v>
      </c>
      <c r="W106" s="205">
        <f t="shared" si="408"/>
        <v>0.14958422872091937</v>
      </c>
      <c r="X106" s="75">
        <f t="shared" si="409"/>
        <v>35.999999999999545</v>
      </c>
      <c r="Y106" s="69"/>
      <c r="Z106" s="90"/>
      <c r="AA106" s="90"/>
      <c r="AB106" s="90"/>
      <c r="AC106" s="90"/>
      <c r="AD106" s="211"/>
      <c r="AE106" s="76">
        <f>NIPA_Scorp!C27/1000</f>
        <v>408.95699999999999</v>
      </c>
      <c r="AF106" s="214"/>
      <c r="AG106" s="248">
        <f t="shared" si="385"/>
        <v>0.19104783705503131</v>
      </c>
      <c r="AH106" s="97">
        <v>505.3</v>
      </c>
      <c r="AI106" s="22">
        <f t="shared" si="411"/>
        <v>3.3366349709455893E-2</v>
      </c>
      <c r="AJ106" s="22">
        <f t="shared" si="412"/>
        <v>2.6967776016904383E-2</v>
      </c>
      <c r="AK106" s="99">
        <f t="shared" si="413"/>
        <v>9.9999999999965894E-2</v>
      </c>
      <c r="AL106" s="276">
        <v>339.60000000000008</v>
      </c>
      <c r="AM106" s="72">
        <f>(0.25*Fedtax!C87+0.75*Fedtax!C86)/1000</f>
        <v>361.81</v>
      </c>
      <c r="AN106" s="255">
        <v>57.8</v>
      </c>
      <c r="AO106" s="255">
        <v>10.9</v>
      </c>
      <c r="AP106" s="71">
        <v>96.9</v>
      </c>
      <c r="AQ106" s="6">
        <f t="shared" si="414"/>
        <v>0.10798335974643423</v>
      </c>
      <c r="AR106" s="279">
        <v>117.6</v>
      </c>
      <c r="AS106" s="713"/>
      <c r="AT106" s="279"/>
      <c r="AU106" s="279"/>
      <c r="AV106" s="709">
        <v>121.062297</v>
      </c>
      <c r="AW106" s="785">
        <f>AY106*AV106</f>
        <v>41.298181915412833</v>
      </c>
      <c r="AX106" s="785">
        <f t="shared" si="387"/>
        <v>79.764115084587161</v>
      </c>
      <c r="AY106" s="638">
        <f>AY105</f>
        <v>0.34113165650089089</v>
      </c>
      <c r="BC106" s="275"/>
      <c r="BD106" s="722">
        <f>'Assets(MOFA)'!FJ59/1000</f>
        <v>133.16399999999999</v>
      </c>
      <c r="BE106" s="753">
        <f t="shared" si="532"/>
        <v>0.90912181220149602</v>
      </c>
      <c r="BF106" s="234">
        <v>0.35</v>
      </c>
      <c r="BG106" s="437"/>
      <c r="BH106" s="140">
        <f t="shared" si="464"/>
        <v>0.17089532983572725</v>
      </c>
      <c r="BI106" s="248">
        <f t="shared" si="384"/>
        <v>0.20736332883367789</v>
      </c>
      <c r="BJ106" s="23">
        <f t="shared" si="465"/>
        <v>0.15024947081947387</v>
      </c>
      <c r="BK106" s="30">
        <f t="shared" si="466"/>
        <v>0.21084731887024155</v>
      </c>
      <c r="BL106" s="30">
        <f t="shared" si="467"/>
        <v>0.19684794934306377</v>
      </c>
      <c r="BM106" s="248"/>
      <c r="BN106" s="23">
        <f t="shared" si="469"/>
        <v>0.20015683199372669</v>
      </c>
      <c r="BO106" s="23">
        <f t="shared" si="470"/>
        <v>0.16811427160087267</v>
      </c>
      <c r="BP106" s="149">
        <f t="shared" si="415"/>
        <v>2140.6</v>
      </c>
      <c r="BQ106" s="99">
        <f t="shared" si="416"/>
        <v>0</v>
      </c>
      <c r="BR106" s="153">
        <f t="shared" si="417"/>
        <v>505.3</v>
      </c>
      <c r="BS106" s="79">
        <v>986.4</v>
      </c>
      <c r="BT106" s="79">
        <v>648.9</v>
      </c>
      <c r="BU106" s="23">
        <f t="shared" si="517"/>
        <v>0.30313930673642903</v>
      </c>
      <c r="BV106" s="71">
        <v>399.2</v>
      </c>
      <c r="BW106" s="71">
        <f t="shared" si="418"/>
        <v>249.7</v>
      </c>
      <c r="BX106" s="23">
        <f t="shared" si="419"/>
        <v>0.11664953751284686</v>
      </c>
      <c r="BY106" s="23">
        <f t="shared" si="289"/>
        <v>9.1325796505652632E-2</v>
      </c>
      <c r="BZ106" s="23">
        <f t="shared" si="290"/>
        <v>0.42911705826572549</v>
      </c>
      <c r="CA106" s="23">
        <f t="shared" si="291"/>
        <v>0.44005344351096187</v>
      </c>
      <c r="CB106" s="23">
        <f t="shared" si="531"/>
        <v>0.62817610062893081</v>
      </c>
      <c r="CC106" s="169">
        <f t="shared" si="420"/>
        <v>686.3</v>
      </c>
      <c r="CD106" s="72">
        <f t="shared" si="518"/>
        <v>0</v>
      </c>
      <c r="CE106" s="76">
        <v>197.74700000000001</v>
      </c>
      <c r="CF106" s="76">
        <v>455.56799999999998</v>
      </c>
      <c r="CG106" s="76">
        <f t="shared" si="519"/>
        <v>32.984999999999957</v>
      </c>
      <c r="CH106" s="23">
        <f t="shared" si="392"/>
        <v>0.66380300160279759</v>
      </c>
      <c r="CI106" s="326">
        <v>464.584</v>
      </c>
      <c r="CJ106" s="153">
        <f t="shared" si="292"/>
        <v>-9.9999999997990585E-4</v>
      </c>
      <c r="CK106" s="79">
        <f t="shared" si="520"/>
        <v>455.56799999999998</v>
      </c>
      <c r="CL106" s="159">
        <v>143.994</v>
      </c>
      <c r="CM106" s="159">
        <v>311.57400000000001</v>
      </c>
      <c r="CN106" s="159">
        <v>344.6</v>
      </c>
      <c r="CO106" s="159">
        <f t="shared" si="338"/>
        <v>33.02600000000001</v>
      </c>
      <c r="CP106" s="79">
        <v>9.0169999999999995</v>
      </c>
      <c r="CQ106" s="79">
        <v>14.683</v>
      </c>
      <c r="CR106" s="79">
        <v>5.6669999999999998</v>
      </c>
      <c r="CS106" s="243">
        <f t="shared" si="293"/>
        <v>0.68392424402065122</v>
      </c>
      <c r="CT106" s="23">
        <f t="shared" si="294"/>
        <v>2.6473885826403813E-3</v>
      </c>
      <c r="CU106" s="73">
        <v>18.768999999999998</v>
      </c>
      <c r="CV106" s="378">
        <f t="shared" si="295"/>
        <v>3.822556320537508E-3</v>
      </c>
      <c r="CW106" s="378">
        <f t="shared" si="296"/>
        <v>4.0399583283109185E-2</v>
      </c>
      <c r="CX106" s="153">
        <f t="shared" si="297"/>
        <v>445.815</v>
      </c>
      <c r="CY106" s="153">
        <f t="shared" si="298"/>
        <v>0</v>
      </c>
      <c r="CZ106" s="295">
        <f t="shared" si="299"/>
        <v>464.584</v>
      </c>
      <c r="DA106" s="430">
        <v>18.158000000000001</v>
      </c>
      <c r="DB106" s="153">
        <v>12.032999999999999</v>
      </c>
      <c r="DC106" s="153">
        <v>2.536</v>
      </c>
      <c r="DD106" s="153">
        <v>1.6459999999999999</v>
      </c>
      <c r="DE106" s="153">
        <v>1.1819999999999999</v>
      </c>
      <c r="DF106" s="153">
        <f t="shared" si="528"/>
        <v>0.7610000000000019</v>
      </c>
      <c r="DG106" s="425">
        <v>239.33099999999999</v>
      </c>
      <c r="DH106" s="140">
        <f t="shared" si="521"/>
        <v>0.51515118902071533</v>
      </c>
      <c r="DI106" s="169">
        <v>445.815</v>
      </c>
      <c r="DJ106" s="73">
        <v>43.668999999999997</v>
      </c>
      <c r="DK106" s="73">
        <v>69.212999999999994</v>
      </c>
      <c r="DL106" s="73">
        <v>38.570999999999998</v>
      </c>
      <c r="DM106" s="73">
        <v>21.922000000000001</v>
      </c>
      <c r="DN106" s="73">
        <v>65.103999999999999</v>
      </c>
      <c r="DO106" s="73">
        <v>35.515000000000001</v>
      </c>
      <c r="DP106" s="73">
        <v>1.4999999999999999E-2</v>
      </c>
      <c r="DQ106" s="73">
        <v>30.925999999999998</v>
      </c>
      <c r="DR106" s="79">
        <f t="shared" si="471"/>
        <v>269.40499999999997</v>
      </c>
      <c r="DS106" s="79">
        <f t="shared" si="472"/>
        <v>176.41000000000003</v>
      </c>
      <c r="DT106" s="79">
        <v>14.38</v>
      </c>
      <c r="DU106" s="23">
        <f t="shared" si="473"/>
        <v>8.1514653364321746E-2</v>
      </c>
      <c r="DV106" s="23">
        <f t="shared" si="474"/>
        <v>9.79531868600204E-2</v>
      </c>
      <c r="DW106" s="23">
        <f t="shared" si="475"/>
        <v>0.15525049628209009</v>
      </c>
      <c r="DX106" s="23">
        <f t="shared" si="476"/>
        <v>8.6517950270852254E-2</v>
      </c>
      <c r="DY106" s="23">
        <f t="shared" si="477"/>
        <v>4.9172863183158937E-2</v>
      </c>
      <c r="DZ106" s="23">
        <f t="shared" si="478"/>
        <v>0.14603366867422585</v>
      </c>
      <c r="EA106" s="23">
        <f t="shared" si="479"/>
        <v>7.9663088949452135E-2</v>
      </c>
      <c r="EB106" s="23">
        <f t="shared" si="480"/>
        <v>3.3646243396924736E-5</v>
      </c>
      <c r="EC106" s="23">
        <f t="shared" si="481"/>
        <v>6.9369581552886278E-2</v>
      </c>
      <c r="ED106" s="23">
        <f t="shared" si="482"/>
        <v>0.60429774682323378</v>
      </c>
      <c r="EE106" s="153">
        <v>80.605999999999995</v>
      </c>
      <c r="EF106" s="23">
        <f t="shared" si="300"/>
        <v>0.180805939683501</v>
      </c>
      <c r="EG106" s="298">
        <v>292.80399999999997</v>
      </c>
      <c r="EH106" s="282">
        <v>37.020000000000003</v>
      </c>
      <c r="EI106" s="282">
        <v>52.886000000000003</v>
      </c>
      <c r="EJ106" s="282">
        <v>29.427</v>
      </c>
      <c r="EK106" s="282">
        <v>12.968</v>
      </c>
      <c r="EL106" s="282">
        <v>41.887</v>
      </c>
      <c r="EM106" s="282">
        <v>21.303999999999998</v>
      </c>
      <c r="EN106" s="212">
        <f t="shared" si="301"/>
        <v>195.49200000000002</v>
      </c>
      <c r="EO106" s="23">
        <f t="shared" si="302"/>
        <v>0.72820632846027167</v>
      </c>
      <c r="EP106" s="79">
        <f t="shared" si="303"/>
        <v>97.311999999999955</v>
      </c>
      <c r="EQ106" s="243">
        <f t="shared" si="304"/>
        <v>0.66765481345883271</v>
      </c>
      <c r="ER106" s="182">
        <f t="shared" si="268"/>
        <v>436.798</v>
      </c>
      <c r="ES106" s="185"/>
      <c r="ET106" s="136">
        <f>'Assets(MOFA)'!W59/1000</f>
        <v>554.226</v>
      </c>
      <c r="EU106" s="136">
        <f t="shared" si="339"/>
        <v>421.06200000000001</v>
      </c>
      <c r="EV106" s="589">
        <f t="shared" si="340"/>
        <v>0.9639741940210349</v>
      </c>
      <c r="EW106" s="375">
        <f t="shared" si="439"/>
        <v>43.60445811672048</v>
      </c>
      <c r="EX106" s="375">
        <f t="shared" si="440"/>
        <v>68.318343112136461</v>
      </c>
      <c r="EY106" s="375">
        <f t="shared" si="441"/>
        <v>37.792637561746922</v>
      </c>
      <c r="EZ106" s="375">
        <f t="shared" si="442"/>
        <v>22.058592209392202</v>
      </c>
      <c r="FA106" s="375">
        <f t="shared" si="443"/>
        <v>65.866423800013862</v>
      </c>
      <c r="FB106" s="375">
        <f t="shared" si="444"/>
        <v>36.472432078711712</v>
      </c>
      <c r="FC106" s="375"/>
      <c r="FD106" s="375">
        <f t="shared" si="445"/>
        <v>30.816426662900053</v>
      </c>
      <c r="FE106" s="375">
        <f t="shared" si="483"/>
        <v>268.45688146290996</v>
      </c>
      <c r="FF106" s="375">
        <f t="shared" si="484"/>
        <v>172.81360950833954</v>
      </c>
      <c r="FG106" s="243">
        <f t="shared" si="446"/>
        <v>9.9827513213706295E-2</v>
      </c>
      <c r="FH106" s="243">
        <f t="shared" si="447"/>
        <v>0.15640717931889903</v>
      </c>
      <c r="FI106" s="243">
        <f t="shared" si="448"/>
        <v>8.6522002302544698E-2</v>
      </c>
      <c r="FJ106" s="243">
        <f t="shared" si="449"/>
        <v>5.0500671269997119E-2</v>
      </c>
      <c r="FK106" s="243">
        <f t="shared" si="450"/>
        <v>0.15079378522798609</v>
      </c>
      <c r="FL106" s="243">
        <f t="shared" si="451"/>
        <v>8.3499540013259474E-2</v>
      </c>
      <c r="FM106" s="243"/>
      <c r="FN106" s="243">
        <f t="shared" si="452"/>
        <v>7.0550750376375468E-2</v>
      </c>
      <c r="FO106" s="243">
        <f t="shared" si="421"/>
        <v>0.61460190170950879</v>
      </c>
      <c r="FP106" s="243">
        <f t="shared" si="422"/>
        <v>0.38539809829049121</v>
      </c>
      <c r="FQ106" s="23">
        <f t="shared" si="423"/>
        <v>0.19704815712568247</v>
      </c>
      <c r="FR106" s="243">
        <f t="shared" si="424"/>
        <v>0.12356288650694391</v>
      </c>
      <c r="FS106" s="243">
        <f t="shared" si="425"/>
        <v>2.78526997585338E-2</v>
      </c>
      <c r="FT106" s="412">
        <f t="shared" si="426"/>
        <v>2.0282512228868194E-2</v>
      </c>
      <c r="FU106" s="412">
        <f t="shared" si="427"/>
        <v>7.5701875296656056E-3</v>
      </c>
      <c r="FV106" s="243">
        <f t="shared" si="428"/>
        <v>1.7465578107287646E-2</v>
      </c>
      <c r="FW106" s="383">
        <f t="shared" si="305"/>
        <v>9.0169999999999995</v>
      </c>
      <c r="FX106" s="322">
        <f t="shared" si="430"/>
        <v>6.4541883279515253E-2</v>
      </c>
      <c r="FY106" s="322">
        <f t="shared" si="431"/>
        <v>0.89465688786353348</v>
      </c>
      <c r="FZ106" s="322">
        <f t="shared" si="432"/>
        <v>0.77836243825307694</v>
      </c>
      <c r="GA106" s="322">
        <f t="shared" si="433"/>
        <v>-0.13659220939220232</v>
      </c>
      <c r="GB106" s="322">
        <f t="shared" si="434"/>
        <v>-0.76242380001386323</v>
      </c>
      <c r="GC106" s="322">
        <f t="shared" si="435"/>
        <v>-0.9574320787117141</v>
      </c>
      <c r="GD106" s="375"/>
      <c r="GE106" s="375">
        <f t="shared" si="453"/>
        <v>0.10957333709994467</v>
      </c>
      <c r="GF106" s="375">
        <f t="shared" si="485"/>
        <v>0.94811853709000482</v>
      </c>
      <c r="GG106" s="375">
        <f t="shared" si="277"/>
        <v>3.5963904916604865</v>
      </c>
      <c r="GH106" s="182">
        <v>294.75400000000002</v>
      </c>
      <c r="GI106" s="73">
        <v>47.765999999999998</v>
      </c>
      <c r="GJ106" s="73">
        <v>25.45</v>
      </c>
      <c r="GK106" s="73">
        <v>31.401</v>
      </c>
      <c r="GL106" s="73">
        <v>18.454999999999998</v>
      </c>
      <c r="GM106" s="73">
        <f t="shared" si="342"/>
        <v>41.787999999999997</v>
      </c>
      <c r="GN106" s="73">
        <v>17.170999999999999</v>
      </c>
      <c r="GO106" s="73">
        <v>24.617000000000001</v>
      </c>
      <c r="GP106" s="73">
        <v>2.2799999999999998</v>
      </c>
      <c r="GQ106" s="73">
        <v>25.219000000000001</v>
      </c>
      <c r="GR106" s="79">
        <f t="shared" si="523"/>
        <v>190.07899999999998</v>
      </c>
      <c r="GS106" s="79">
        <f t="shared" si="343"/>
        <v>104.67500000000004</v>
      </c>
      <c r="GT106" s="23">
        <f t="shared" si="524"/>
        <v>0.64487335201557894</v>
      </c>
      <c r="GU106" s="362">
        <f t="shared" si="259"/>
        <v>311.59500000000003</v>
      </c>
      <c r="GV106" s="153">
        <f t="shared" si="344"/>
        <v>18.791</v>
      </c>
      <c r="GW106" s="153">
        <f t="shared" si="308"/>
        <v>292.80399999999997</v>
      </c>
      <c r="GX106" s="153">
        <f t="shared" si="309"/>
        <v>37.265000000000001</v>
      </c>
      <c r="GY106" s="153">
        <f t="shared" si="310"/>
        <v>26.044999999999998</v>
      </c>
      <c r="GZ106" s="153">
        <f t="shared" si="226"/>
        <v>48.108999999999995</v>
      </c>
      <c r="HA106" s="153">
        <f t="shared" si="227"/>
        <v>13.818999999999999</v>
      </c>
      <c r="HB106" s="153">
        <f t="shared" si="228"/>
        <v>43.184999999999995</v>
      </c>
      <c r="HC106" s="153">
        <f t="shared" si="229"/>
        <v>23.001999999999999</v>
      </c>
      <c r="HD106" s="352"/>
      <c r="HE106" s="153">
        <f t="shared" si="231"/>
        <v>22.962</v>
      </c>
      <c r="HF106" s="153">
        <f t="shared" si="311"/>
        <v>191.38499999999999</v>
      </c>
      <c r="HG106" s="23">
        <f t="shared" si="345"/>
        <v>0.61421075434458183</v>
      </c>
      <c r="HH106" s="156">
        <f t="shared" si="346"/>
        <v>293.64199999999983</v>
      </c>
      <c r="HI106" s="182">
        <f t="shared" si="312"/>
        <v>1.9500000000000455</v>
      </c>
      <c r="HJ106" s="84">
        <v>-4.5519144009631418E-14</v>
      </c>
      <c r="HK106" s="79">
        <f t="shared" si="313"/>
        <v>10.745999999999995</v>
      </c>
      <c r="HL106" s="79">
        <f t="shared" si="314"/>
        <v>-27.436000000000003</v>
      </c>
      <c r="HM106" s="79">
        <f t="shared" si="315"/>
        <v>1.9740000000000002</v>
      </c>
      <c r="HN106" s="79">
        <f t="shared" si="316"/>
        <v>5.4869999999999983</v>
      </c>
      <c r="HO106" s="79">
        <f t="shared" si="317"/>
        <v>-9.9000000000003752E-2</v>
      </c>
      <c r="HP106" s="79">
        <f t="shared" si="318"/>
        <v>3.9150000000000027</v>
      </c>
      <c r="HQ106" s="79">
        <f>HP106+HO106+HN106+HM106+HL106+HK106</f>
        <v>-5.4130000000000109</v>
      </c>
      <c r="HR106" s="79">
        <f>HI106-HQ106</f>
        <v>7.3630000000000564</v>
      </c>
      <c r="HS106" s="23">
        <f>HQ106/HI106</f>
        <v>-2.7758974358973769</v>
      </c>
      <c r="HT106" s="28">
        <v>18.791</v>
      </c>
      <c r="HU106" s="79">
        <v>0.245</v>
      </c>
      <c r="HV106" s="79">
        <v>-26.841999999999999</v>
      </c>
      <c r="HW106" s="79">
        <v>18.681000000000001</v>
      </c>
      <c r="HX106" s="79">
        <v>0.85</v>
      </c>
      <c r="HY106" s="79">
        <v>1.298</v>
      </c>
      <c r="HZ106" s="79">
        <v>5.5E-2</v>
      </c>
      <c r="IA106" s="79"/>
      <c r="IB106" s="79">
        <v>1.659</v>
      </c>
      <c r="IC106" s="79">
        <f t="shared" si="526"/>
        <v>-4.1089999999999991</v>
      </c>
      <c r="ID106" s="79">
        <f>HT106-IC106</f>
        <v>22.9</v>
      </c>
      <c r="IE106" s="23">
        <f>IC106/HT106</f>
        <v>-0.21866851152147299</v>
      </c>
      <c r="IF106" s="316">
        <v>-16.841000000000001</v>
      </c>
      <c r="IG106" s="153">
        <v>10.500999999999999</v>
      </c>
      <c r="IH106" s="153">
        <v>-0.59499999999999997</v>
      </c>
      <c r="II106" s="153">
        <v>-16.707999999999998</v>
      </c>
      <c r="IJ106" s="153">
        <v>4.6360000000000001</v>
      </c>
      <c r="IK106" s="153">
        <v>-1.397</v>
      </c>
      <c r="IL106" s="153">
        <v>-5.8310000000000004</v>
      </c>
      <c r="IM106" s="153"/>
      <c r="IN106" s="153">
        <v>2.2570000000000001</v>
      </c>
      <c r="IO106" s="153">
        <f t="shared" si="349"/>
        <v>-1.3059999999999996</v>
      </c>
      <c r="IP106" s="153">
        <f t="shared" si="522"/>
        <v>-15.535000000000002</v>
      </c>
      <c r="IQ106" s="258">
        <f t="shared" si="350"/>
        <v>36.710000000000008</v>
      </c>
      <c r="IR106" s="149">
        <f t="shared" si="323"/>
        <v>4910.0649999999996</v>
      </c>
      <c r="IS106" s="153">
        <f t="shared" si="351"/>
        <v>330.35199999999986</v>
      </c>
      <c r="IT106" s="153">
        <f t="shared" si="529"/>
        <v>0</v>
      </c>
      <c r="IU106" s="153">
        <f t="shared" si="352"/>
        <v>292.80399999999997</v>
      </c>
      <c r="IV106" s="153">
        <f t="shared" si="324"/>
        <v>18.791</v>
      </c>
      <c r="IW106" s="153">
        <v>-16.841000000000001</v>
      </c>
      <c r="IX106" s="153">
        <f t="shared" si="530"/>
        <v>35.597999999999999</v>
      </c>
      <c r="IY106" s="153">
        <v>-67.697000000000003</v>
      </c>
      <c r="IZ106" s="153">
        <v>12.818</v>
      </c>
      <c r="JA106" s="153">
        <v>90.477000000000004</v>
      </c>
      <c r="JB106" s="23">
        <f t="shared" si="486"/>
        <v>0.32422510565240359</v>
      </c>
      <c r="JC106" s="23">
        <f t="shared" si="487"/>
        <v>0.16896434231378762</v>
      </c>
      <c r="JD106" s="23">
        <f t="shared" si="488"/>
        <v>0.15526076333861594</v>
      </c>
      <c r="JE106" s="22">
        <f t="shared" si="489"/>
        <v>1.9334653988378234E-2</v>
      </c>
      <c r="JF106" s="22">
        <f t="shared" si="326"/>
        <v>1.2408214474379292E-3</v>
      </c>
      <c r="JG106" s="22">
        <f t="shared" si="327"/>
        <v>-1.1120575805599578E-3</v>
      </c>
      <c r="JH106" s="5">
        <v>4910.0649999999996</v>
      </c>
      <c r="JI106" s="192">
        <v>163.65600000000001</v>
      </c>
      <c r="JJ106" s="76">
        <v>276.012</v>
      </c>
      <c r="JK106" s="76">
        <v>737.65300000000002</v>
      </c>
      <c r="JL106" s="76">
        <v>537.88099999999997</v>
      </c>
      <c r="JM106" s="76">
        <v>140.42699999999999</v>
      </c>
      <c r="JN106" s="76">
        <f t="shared" si="354"/>
        <v>641.59999999999991</v>
      </c>
      <c r="JO106" s="76">
        <v>294.14699999999999</v>
      </c>
      <c r="JP106" s="76">
        <v>347.45299999999997</v>
      </c>
      <c r="JQ106" s="76">
        <v>16.335000000000001</v>
      </c>
      <c r="JR106" s="76">
        <v>225.22300000000001</v>
      </c>
      <c r="JS106" s="76">
        <f t="shared" si="527"/>
        <v>2558.7959999999998</v>
      </c>
      <c r="JT106" s="76">
        <f t="shared" si="355"/>
        <v>2351.2689999999998</v>
      </c>
      <c r="JU106" s="23">
        <f t="shared" si="356"/>
        <v>0.52113281596068484</v>
      </c>
      <c r="JV106" s="23">
        <f t="shared" si="357"/>
        <v>5.6213512448409546E-2</v>
      </c>
      <c r="JW106" s="23">
        <f t="shared" si="358"/>
        <v>0.15023283805815199</v>
      </c>
      <c r="JX106" s="23">
        <f t="shared" si="359"/>
        <v>0.1095466149633457</v>
      </c>
      <c r="JY106" s="23">
        <f t="shared" si="360"/>
        <v>2.8599825053232494E-2</v>
      </c>
      <c r="JZ106" s="23">
        <f t="shared" si="361"/>
        <v>0.13067036790755315</v>
      </c>
      <c r="KA106" s="23">
        <f t="shared" si="362"/>
        <v>4.5869657529991975E-2</v>
      </c>
      <c r="KB106" s="149">
        <v>236.654</v>
      </c>
      <c r="KC106" s="316">
        <v>764.61300000000006</v>
      </c>
      <c r="KD106" s="316">
        <v>527.95799999999997</v>
      </c>
      <c r="KE106" s="589">
        <f t="shared" si="242"/>
        <v>0.6904904834210247</v>
      </c>
      <c r="KF106" s="1071">
        <v>0</v>
      </c>
      <c r="KG106" s="153">
        <v>3.3610000000000002</v>
      </c>
      <c r="KH106" s="153">
        <v>46.588999999999999</v>
      </c>
      <c r="KI106" s="153">
        <v>40.533000000000001</v>
      </c>
      <c r="KJ106" s="153">
        <v>-7.1130000000000004</v>
      </c>
      <c r="KK106" s="153">
        <v>-39.703000000000003</v>
      </c>
      <c r="KL106" s="153">
        <v>-49.857999999999997</v>
      </c>
      <c r="KM106" s="153">
        <v>24.138999999999999</v>
      </c>
      <c r="KN106" s="153">
        <v>73.995999999999995</v>
      </c>
      <c r="KO106" s="153"/>
      <c r="KP106" s="153">
        <v>5.7060000000000004</v>
      </c>
      <c r="KQ106" s="153">
        <f t="shared" si="328"/>
        <v>49.373000000000005</v>
      </c>
      <c r="KR106" s="153">
        <f t="shared" si="329"/>
        <v>187.28100000000001</v>
      </c>
      <c r="KS106" s="23">
        <f t="shared" si="490"/>
        <v>1.2366679873217117E-2</v>
      </c>
      <c r="KT106" s="23"/>
      <c r="KU106" s="326">
        <v>4673.4110000000001</v>
      </c>
      <c r="KV106" s="430">
        <f t="shared" si="252"/>
        <v>163.65600000000001</v>
      </c>
      <c r="KW106" s="153">
        <f t="shared" si="491"/>
        <v>272.65100000000001</v>
      </c>
      <c r="KX106" s="153">
        <f t="shared" si="492"/>
        <v>691.06400000000008</v>
      </c>
      <c r="KY106" s="153">
        <f t="shared" si="493"/>
        <v>497.34799999999996</v>
      </c>
      <c r="KZ106" s="153">
        <f t="shared" si="494"/>
        <v>147.54</v>
      </c>
      <c r="LA106" s="153">
        <f t="shared" si="495"/>
        <v>681.30299999999988</v>
      </c>
      <c r="LB106" s="153">
        <f t="shared" si="496"/>
        <v>344.005</v>
      </c>
      <c r="LC106" s="153"/>
      <c r="LD106" s="153">
        <f t="shared" si="455"/>
        <v>219.51700000000002</v>
      </c>
      <c r="LE106" s="153">
        <f t="shared" si="456"/>
        <v>2509.4229999999998</v>
      </c>
      <c r="LF106" s="153">
        <f t="shared" si="497"/>
        <v>0</v>
      </c>
      <c r="LG106" s="153">
        <f t="shared" si="498"/>
        <v>2163.9879999999998</v>
      </c>
      <c r="LH106" s="22">
        <f t="shared" si="499"/>
        <v>0.53695748137709265</v>
      </c>
      <c r="LI106" s="23">
        <f t="shared" si="457"/>
        <v>5.834089918477104E-2</v>
      </c>
      <c r="LJ106" s="23">
        <f t="shared" si="458"/>
        <v>0.14787143694402227</v>
      </c>
      <c r="LK106" s="23">
        <f t="shared" si="459"/>
        <v>0.10642077061058827</v>
      </c>
      <c r="LL106" s="23">
        <f t="shared" si="460"/>
        <v>3.1570088742462407E-2</v>
      </c>
      <c r="LM106" s="23">
        <f t="shared" si="461"/>
        <v>0.14578281259662373</v>
      </c>
      <c r="LN106" s="23">
        <f t="shared" si="462"/>
        <v>7.3608976398609069E-2</v>
      </c>
      <c r="LO106" s="23"/>
      <c r="LP106" s="23">
        <f t="shared" si="463"/>
        <v>4.697147329862493E-2</v>
      </c>
      <c r="LQ106" s="23">
        <f t="shared" si="500"/>
        <v>0.30859819070258848</v>
      </c>
      <c r="LR106" s="23">
        <f t="shared" si="501"/>
        <v>0.14289408346539884</v>
      </c>
      <c r="LS106" s="23">
        <f t="shared" si="502"/>
        <v>0.16570410723718962</v>
      </c>
      <c r="LT106" s="326">
        <v>1149.2909999999999</v>
      </c>
      <c r="LU106" s="153">
        <f t="shared" si="363"/>
        <v>9.9999999997635314E-4</v>
      </c>
      <c r="LV106" s="153">
        <f t="shared" si="503"/>
        <v>236.654</v>
      </c>
      <c r="LW106" s="153">
        <f t="shared" si="504"/>
        <v>527.95799999999997</v>
      </c>
      <c r="LX106" s="153">
        <v>384.678</v>
      </c>
      <c r="LY106" s="23">
        <f>LX106/Liabilities!GT106</f>
        <v>0.12910745966293877</v>
      </c>
      <c r="LZ106" s="23">
        <f t="shared" si="253"/>
        <v>0.40671633111795769</v>
      </c>
      <c r="MA106" s="425">
        <v>1473.7719999999999</v>
      </c>
      <c r="MB106" s="153">
        <f t="shared" si="364"/>
        <v>0</v>
      </c>
      <c r="MC106" s="153">
        <v>561.13599999999997</v>
      </c>
      <c r="MD106" s="153">
        <f t="shared" si="365"/>
        <v>384.678</v>
      </c>
      <c r="ME106" s="153">
        <f t="shared" si="366"/>
        <v>527.95799999999997</v>
      </c>
      <c r="MF106" s="153">
        <v>945.81399999999996</v>
      </c>
      <c r="MG106" s="153">
        <f t="shared" si="505"/>
        <v>764.61300000000006</v>
      </c>
      <c r="MH106" s="326">
        <f t="shared" si="506"/>
        <v>4673.4110000000001</v>
      </c>
      <c r="MI106" s="1008">
        <f>FoF_RoW!$BH76/1000</f>
        <v>5633.1310000000003</v>
      </c>
      <c r="MJ106" s="1008">
        <v>6545.768</v>
      </c>
      <c r="MK106" s="1008">
        <f>FoF_RoW!$AU76/1000</f>
        <v>313.524</v>
      </c>
      <c r="ML106" s="1008">
        <f t="shared" si="254"/>
        <v>336.74499999999989</v>
      </c>
      <c r="MM106" s="425">
        <f t="shared" si="507"/>
        <v>5396.4770000000008</v>
      </c>
      <c r="MN106" s="23">
        <f t="shared" si="508"/>
        <v>1.1547191120147577</v>
      </c>
      <c r="MO106" s="153">
        <v>7189.42</v>
      </c>
      <c r="MP106" s="425">
        <v>6040.1289999999999</v>
      </c>
      <c r="MQ106" s="23">
        <f t="shared" si="367"/>
        <v>1.2924454964478835</v>
      </c>
      <c r="MR106" s="23">
        <f t="shared" si="368"/>
        <v>1.1192726291615807</v>
      </c>
      <c r="MS106" s="153">
        <f t="shared" si="509"/>
        <v>236.654</v>
      </c>
      <c r="MT106" s="153">
        <v>1149.2909999999999</v>
      </c>
      <c r="MU106" s="153">
        <v>1473.7719999999999</v>
      </c>
      <c r="MV106" s="153">
        <v>4895.7520000000004</v>
      </c>
      <c r="MW106" s="153">
        <v>2979.518</v>
      </c>
      <c r="MX106" s="23">
        <f t="shared" si="369"/>
        <v>1.6431355675649553</v>
      </c>
      <c r="MY106" s="425">
        <f t="shared" si="255"/>
        <v>-7295.613000000003</v>
      </c>
      <c r="MZ106" s="23">
        <f t="shared" si="510"/>
        <v>-0.48174940570523</v>
      </c>
      <c r="NA106" s="153">
        <v>24832.582999999999</v>
      </c>
      <c r="NB106" s="153">
        <v>31812.828000000001</v>
      </c>
      <c r="NC106" s="425">
        <f t="shared" si="330"/>
        <v>-6023.0310000000018</v>
      </c>
      <c r="ND106" s="23">
        <f t="shared" si="331"/>
        <v>-0.3977173137876388</v>
      </c>
      <c r="NE106" s="330">
        <f t="shared" si="332"/>
        <v>2092.478000000001</v>
      </c>
      <c r="NF106" s="23">
        <f t="shared" si="333"/>
        <v>0.13817208135235082</v>
      </c>
      <c r="NG106" s="330">
        <f t="shared" si="334"/>
        <v>819.89599999999973</v>
      </c>
      <c r="NH106" s="23">
        <f t="shared" si="335"/>
        <v>5.4139989434759624E-2</v>
      </c>
      <c r="NI106" s="330">
        <v>315.36799999999999</v>
      </c>
      <c r="NJ106" s="425">
        <v>276.69799999999998</v>
      </c>
      <c r="NK106" s="403">
        <f t="shared" si="393"/>
        <v>1.8271130480718434E-2</v>
      </c>
      <c r="NL106" s="23"/>
      <c r="NM106" s="23"/>
      <c r="NN106" s="23"/>
      <c r="NO106" s="425">
        <f t="shared" si="100"/>
        <v>221.33100000000002</v>
      </c>
      <c r="NP106" s="153">
        <v>810.84500000000003</v>
      </c>
      <c r="NQ106" s="153">
        <v>589.51400000000001</v>
      </c>
      <c r="NR106" s="403">
        <f t="shared" si="394"/>
        <v>1.4615095087163235E-2</v>
      </c>
      <c r="NS106" s="403">
        <f t="shared" si="395"/>
        <v>1.8271130480718434E-2</v>
      </c>
      <c r="NT106" s="403">
        <f t="shared" si="396"/>
        <v>-3.656035393555199E-3</v>
      </c>
      <c r="NU106" s="727">
        <f t="shared" si="511"/>
        <v>7.2316005171412734E-2</v>
      </c>
      <c r="NV106" s="688">
        <f t="shared" si="512"/>
        <v>8.0941325238669593E-2</v>
      </c>
      <c r="NW106" s="688">
        <f t="shared" si="513"/>
        <v>9.3464495204894235E-2</v>
      </c>
      <c r="NX106" s="793">
        <f>(ER106-T.A2!B58*T.A1!M58)/MP106</f>
        <v>6.3141468689251676E-2</v>
      </c>
      <c r="NY106" s="688">
        <f>Liabilities!BU106/Liabilities!GY106</f>
        <v>3.1015664192140448E-2</v>
      </c>
      <c r="NZ106" s="688">
        <f>Liabilities!BU106/Liabilities!GT106</f>
        <v>5.0962940985756759E-2</v>
      </c>
      <c r="OA106" s="688">
        <f>Liabilities!BU106/Liabilities!GR106</f>
        <v>6.3675770833481846E-2</v>
      </c>
      <c r="OB106" s="688">
        <f t="shared" si="256"/>
        <v>4.1300340979272286E-2</v>
      </c>
      <c r="OC106" s="688">
        <f t="shared" si="257"/>
        <v>2.9978384252912833E-2</v>
      </c>
      <c r="OD106" s="688"/>
      <c r="OE106" s="793">
        <f t="shared" si="514"/>
        <v>8.4419520364860251E-2</v>
      </c>
      <c r="OF106" s="793">
        <f>OE106/(1-'Assets(MOFA)'!GU59)</f>
        <v>0.11111782372604281</v>
      </c>
      <c r="OG106" s="793">
        <f>Liabilities!HV106</f>
        <v>5.428607223615621E-2</v>
      </c>
      <c r="OH106" s="793">
        <f t="shared" si="438"/>
        <v>3.0133448128704041E-2</v>
      </c>
      <c r="OI106" s="22">
        <f t="shared" si="336"/>
        <v>1.9203178601462437E-2</v>
      </c>
      <c r="OJ106" s="22">
        <f t="shared" si="337"/>
        <v>1.073380837112043E-2</v>
      </c>
      <c r="OK106" s="403">
        <f>Liabilities!CT106/LX106</f>
        <v>1.1838472696644987E-2</v>
      </c>
      <c r="OL106" s="403">
        <f>Liabilities!CU106/MF106</f>
        <v>3.1721881892211368E-2</v>
      </c>
      <c r="OM106" s="153"/>
      <c r="OO106" s="186">
        <f t="shared" si="515"/>
        <v>8.4276036485738268E-2</v>
      </c>
      <c r="OP106" s="308">
        <f t="shared" si="370"/>
        <v>0.35634422873745381</v>
      </c>
      <c r="OQ106" s="308">
        <f t="shared" si="371"/>
        <v>3.0031279222559923E-2</v>
      </c>
      <c r="OR106" s="313">
        <f t="shared" si="372"/>
        <v>0</v>
      </c>
      <c r="OS106" s="23">
        <f t="shared" si="373"/>
        <v>0.14420530474228493</v>
      </c>
      <c r="OT106" s="23">
        <f t="shared" si="374"/>
        <v>8.9140792997777135E-2</v>
      </c>
      <c r="OU106" s="23">
        <f t="shared" si="375"/>
        <v>6.8517934807576938E-2</v>
      </c>
      <c r="OV106" s="23">
        <f t="shared" si="376"/>
        <v>0.13481103741023542</v>
      </c>
      <c r="OW106" s="23">
        <f t="shared" si="377"/>
        <v>8.7172845134081703E-2</v>
      </c>
      <c r="OX106" s="23">
        <f t="shared" si="378"/>
        <v>9.5599893178691067E-2</v>
      </c>
      <c r="OY106" s="23">
        <f t="shared" si="379"/>
        <v>0.12658188460504796</v>
      </c>
      <c r="OZ106" s="23">
        <f t="shared" si="380"/>
        <v>9.6462409202004218E-2</v>
      </c>
      <c r="PA106" s="23">
        <f t="shared" si="381"/>
        <v>7.2007963888487417E-2</v>
      </c>
      <c r="PB106" s="23">
        <f t="shared" si="382"/>
        <v>2.4454445313516801E-2</v>
      </c>
      <c r="PC106" s="23"/>
      <c r="PD106" s="23"/>
      <c r="PE106" s="23"/>
      <c r="PF106" s="23"/>
      <c r="PG106" s="69"/>
      <c r="PH106" s="23">
        <f>'Assets(MOFA)'!GU59</f>
        <v>0.24027021467776682</v>
      </c>
      <c r="PI106" s="23">
        <f>'Assets(MOFA)'!HM59</f>
        <v>0.1994621607203127</v>
      </c>
      <c r="PJ106" s="11">
        <f t="shared" si="516"/>
        <v>2.0167356034284923E-2</v>
      </c>
      <c r="PK106" s="11">
        <f>Liabilities!IP106/MW106/1000</f>
        <v>2.1137311471184264E-2</v>
      </c>
      <c r="PL106" s="11">
        <f>'Assets(MOFA)'!GO59/MM106/1000</f>
        <v>1.69744075625635E-2</v>
      </c>
      <c r="PM106" s="11">
        <f t="shared" si="429"/>
        <v>4.1629039086207645E-3</v>
      </c>
    </row>
    <row r="107" spans="1:429">
      <c r="B107" s="71">
        <v>2015</v>
      </c>
      <c r="C107" s="43">
        <v>15739.6</v>
      </c>
      <c r="D107" s="5">
        <v>2117.5</v>
      </c>
      <c r="E107" s="19">
        <f t="shared" si="397"/>
        <v>0.13453327911763957</v>
      </c>
      <c r="F107" s="72">
        <f t="shared" si="398"/>
        <v>0</v>
      </c>
      <c r="G107" s="76">
        <f t="shared" si="399"/>
        <v>1710.9666666666667</v>
      </c>
      <c r="H107" s="23">
        <f t="shared" si="400"/>
        <v>0.10870458376748245</v>
      </c>
      <c r="I107" s="72">
        <v>406.5333333333333</v>
      </c>
      <c r="J107" s="19">
        <f t="shared" si="401"/>
        <v>2.5828695350157138E-2</v>
      </c>
      <c r="K107" s="6">
        <f t="shared" si="402"/>
        <v>0.19198740653286106</v>
      </c>
      <c r="L107" s="136">
        <v>653.1</v>
      </c>
      <c r="M107" s="19">
        <f t="shared" si="403"/>
        <v>4.1494065922895118E-2</v>
      </c>
      <c r="N107" s="63">
        <f t="shared" si="404"/>
        <v>0.30842975206611573</v>
      </c>
      <c r="O107" s="5">
        <f t="shared" si="405"/>
        <v>2117.5</v>
      </c>
      <c r="P107" s="75">
        <f t="shared" si="406"/>
        <v>0</v>
      </c>
      <c r="Q107" s="225">
        <f>Q106*D107/D106</f>
        <v>2018.3812949640289</v>
      </c>
      <c r="R107" s="65">
        <f>S107*D107</f>
        <v>384.70323741007195</v>
      </c>
      <c r="S107" s="56">
        <f>S106</f>
        <v>0.1816780341960198</v>
      </c>
      <c r="T107" s="222">
        <f>T106</f>
        <v>104</v>
      </c>
      <c r="U107" s="74">
        <v>-41.1</v>
      </c>
      <c r="V107" s="55">
        <f>W107*D107</f>
        <v>337.91960431654678</v>
      </c>
      <c r="W107" s="56">
        <f>W106+0.01</f>
        <v>0.15958422872091937</v>
      </c>
      <c r="X107" s="75">
        <f t="shared" si="409"/>
        <v>-10.564928057554425</v>
      </c>
      <c r="Y107" s="69"/>
      <c r="Z107" s="90"/>
      <c r="AA107" s="90"/>
      <c r="AB107" s="90"/>
      <c r="AC107" s="90"/>
      <c r="AD107" s="211"/>
      <c r="AE107" s="76">
        <v>404.93147657135648</v>
      </c>
      <c r="AF107" s="214"/>
      <c r="AG107" s="248">
        <f t="shared" si="385"/>
        <v>0.19123092163936553</v>
      </c>
      <c r="AH107" s="97">
        <v>507.4</v>
      </c>
      <c r="AI107" s="22">
        <f t="shared" si="411"/>
        <v>3.2237159775343714E-2</v>
      </c>
      <c r="AJ107" s="22">
        <f t="shared" si="412"/>
        <v>2.6080713614068971E-2</v>
      </c>
      <c r="AK107" s="99">
        <f t="shared" si="413"/>
        <v>0</v>
      </c>
      <c r="AL107" s="225">
        <f>AH107-AN107-AO107-AP107</f>
        <v>341.79999999999995</v>
      </c>
      <c r="AM107" s="72">
        <f>(0.25*Fedtax!C88+0.75*Fedtax!C87)/1000</f>
        <v>462.19024999999999</v>
      </c>
      <c r="AN107" s="100">
        <f>AN106</f>
        <v>57.8</v>
      </c>
      <c r="AO107" s="100">
        <f>AO106</f>
        <v>10.9</v>
      </c>
      <c r="AP107" s="100">
        <f>AP106*T107/T106</f>
        <v>96.9</v>
      </c>
      <c r="AQ107" s="6">
        <f t="shared" si="414"/>
        <v>0.10229611934229586</v>
      </c>
      <c r="AR107" s="55">
        <f>AR106*'Assets(MOFA)'!FJ60/'Assets(MOFA)'!FJ59</f>
        <v>80.736739659367387</v>
      </c>
      <c r="AS107" s="717"/>
      <c r="AT107" s="222"/>
      <c r="AU107" s="222"/>
      <c r="AV107" s="786"/>
      <c r="AW107" s="785"/>
      <c r="AX107" s="785"/>
      <c r="AY107" s="638"/>
      <c r="BC107" s="222"/>
      <c r="BD107" s="722"/>
      <c r="BE107" s="753"/>
      <c r="BF107" s="234">
        <v>0.35</v>
      </c>
      <c r="BG107" s="437"/>
      <c r="BH107" s="140">
        <f t="shared" si="464"/>
        <v>0.17680894368897671</v>
      </c>
      <c r="BI107" s="248">
        <f t="shared" si="384"/>
        <v>0.21540209152060233</v>
      </c>
      <c r="BJ107" s="23">
        <f t="shared" si="465"/>
        <v>0.15381143636635561</v>
      </c>
      <c r="BK107" s="30">
        <f t="shared" si="466"/>
        <v>0.20520165784160035</v>
      </c>
      <c r="BL107" s="30">
        <f t="shared" si="467"/>
        <v>0.19902658254113306</v>
      </c>
      <c r="BM107" s="248"/>
      <c r="BN107" s="23">
        <f t="shared" si="469"/>
        <v>0.20338079877385895</v>
      </c>
      <c r="BO107" s="23">
        <f t="shared" si="470"/>
        <v>0.17082212234725302</v>
      </c>
      <c r="BP107" s="149">
        <f t="shared" si="415"/>
        <v>2117.5</v>
      </c>
      <c r="BQ107" s="99">
        <f t="shared" si="416"/>
        <v>9.9999999999909051E-2</v>
      </c>
      <c r="BR107" s="153">
        <f t="shared" si="417"/>
        <v>507.4</v>
      </c>
      <c r="BS107" s="79">
        <v>1039.9000000000001</v>
      </c>
      <c r="BT107" s="79">
        <v>570.1</v>
      </c>
      <c r="BU107" s="23">
        <f t="shared" si="517"/>
        <v>0.26923258559622198</v>
      </c>
      <c r="BV107" s="71">
        <v>326.39999999999998</v>
      </c>
      <c r="BW107" s="71">
        <f t="shared" si="418"/>
        <v>243.70000000000005</v>
      </c>
      <c r="BX107" s="23">
        <f t="shared" si="419"/>
        <v>0.11508854781582056</v>
      </c>
      <c r="BY107" s="23">
        <f t="shared" si="289"/>
        <v>9.2082172373081472E-2</v>
      </c>
      <c r="BZ107" s="23">
        <f t="shared" si="290"/>
        <v>0.46823654850127994</v>
      </c>
      <c r="CA107" s="23">
        <f t="shared" si="291"/>
        <v>0.48143130763785391</v>
      </c>
      <c r="CB107" s="23">
        <f t="shared" si="531"/>
        <v>0.59945883896359475</v>
      </c>
      <c r="CC107" s="169">
        <f t="shared" si="420"/>
        <v>653.1</v>
      </c>
      <c r="CD107" s="72">
        <f t="shared" si="518"/>
        <v>0</v>
      </c>
      <c r="CE107" s="76">
        <v>203.05199999999999</v>
      </c>
      <c r="CF107" s="76">
        <v>416.42200000000003</v>
      </c>
      <c r="CG107" s="76">
        <f t="shared" si="519"/>
        <v>33.625999999999976</v>
      </c>
      <c r="CH107" s="23">
        <f t="shared" si="392"/>
        <v>0.63760832950543567</v>
      </c>
      <c r="CI107" s="326">
        <v>425.78399999999999</v>
      </c>
      <c r="CJ107" s="153">
        <f t="shared" si="292"/>
        <v>9.99999999965695E-4</v>
      </c>
      <c r="CK107" s="79">
        <f t="shared" si="520"/>
        <v>416.42200000000003</v>
      </c>
      <c r="CL107" s="159">
        <v>125.50700000000001</v>
      </c>
      <c r="CM107" s="159">
        <v>290.91500000000002</v>
      </c>
      <c r="CN107" s="159">
        <v>324.5</v>
      </c>
      <c r="CO107" s="159">
        <f t="shared" si="338"/>
        <v>33.58499999999998</v>
      </c>
      <c r="CP107" s="79">
        <v>9.3610000000000007</v>
      </c>
      <c r="CQ107" s="79">
        <v>15.661</v>
      </c>
      <c r="CR107" s="79">
        <v>6.3</v>
      </c>
      <c r="CS107" s="243">
        <f t="shared" si="293"/>
        <v>0.69860622157330787</v>
      </c>
      <c r="CT107" s="23">
        <f t="shared" si="294"/>
        <v>2.9752066115702478E-3</v>
      </c>
      <c r="CU107" s="73">
        <v>19.091999999999999</v>
      </c>
      <c r="CV107" s="378">
        <f t="shared" si="295"/>
        <v>3.7815128547074701E-3</v>
      </c>
      <c r="CW107" s="378">
        <f t="shared" si="296"/>
        <v>4.4839636999041768E-2</v>
      </c>
      <c r="CX107" s="153">
        <f t="shared" si="297"/>
        <v>406.69200000000001</v>
      </c>
      <c r="CY107" s="153">
        <f t="shared" si="298"/>
        <v>1.0000000000331966E-3</v>
      </c>
      <c r="CZ107" s="295">
        <f t="shared" si="299"/>
        <v>425.78399999999999</v>
      </c>
      <c r="DA107" s="430">
        <v>4.1859999999999999</v>
      </c>
      <c r="DB107" s="153">
        <v>0.38600000000000001</v>
      </c>
      <c r="DC107" s="153">
        <v>0.437</v>
      </c>
      <c r="DD107" s="153">
        <v>1.8759999999999999</v>
      </c>
      <c r="DE107" s="153">
        <v>0.93700000000000006</v>
      </c>
      <c r="DF107" s="153">
        <f t="shared" si="528"/>
        <v>0.55000000000000004</v>
      </c>
      <c r="DG107" s="425">
        <v>221.14099999999999</v>
      </c>
      <c r="DH107" s="140">
        <f t="shared" si="521"/>
        <v>0.51937367303609339</v>
      </c>
      <c r="DI107" s="169">
        <v>406.69099999999997</v>
      </c>
      <c r="DJ107" s="73">
        <v>52.064999999999998</v>
      </c>
      <c r="DK107" s="73">
        <v>62.082999999999998</v>
      </c>
      <c r="DL107" s="73">
        <v>32.953000000000003</v>
      </c>
      <c r="DM107" s="73">
        <v>25.201000000000001</v>
      </c>
      <c r="DN107" s="73">
        <v>58.238</v>
      </c>
      <c r="DO107" s="73">
        <v>30.408000000000001</v>
      </c>
      <c r="DP107" s="73">
        <v>1.4999999999999999E-2</v>
      </c>
      <c r="DQ107" s="73">
        <v>25.048999999999999</v>
      </c>
      <c r="DR107" s="79">
        <f t="shared" si="471"/>
        <v>255.589</v>
      </c>
      <c r="DS107" s="79">
        <f t="shared" si="472"/>
        <v>151.10199999999998</v>
      </c>
      <c r="DT107" s="79">
        <v>9.1379999999999999</v>
      </c>
      <c r="DU107" s="23">
        <f t="shared" si="473"/>
        <v>6.0475705152810692E-2</v>
      </c>
      <c r="DV107" s="23">
        <f t="shared" si="474"/>
        <v>0.12802102824994899</v>
      </c>
      <c r="DW107" s="23">
        <f t="shared" si="475"/>
        <v>0.15265398054050866</v>
      </c>
      <c r="DX107" s="23">
        <f t="shared" si="476"/>
        <v>8.1027118869116857E-2</v>
      </c>
      <c r="DY107" s="23">
        <f t="shared" si="477"/>
        <v>6.1965964331642455E-2</v>
      </c>
      <c r="DZ107" s="23">
        <f t="shared" si="478"/>
        <v>0.14319962821896723</v>
      </c>
      <c r="EA107" s="23">
        <f t="shared" si="479"/>
        <v>7.4769296591269546E-2</v>
      </c>
      <c r="EB107" s="23">
        <f t="shared" si="480"/>
        <v>3.6883038965701236E-5</v>
      </c>
      <c r="EC107" s="23">
        <f t="shared" si="481"/>
        <v>6.159221620345668E-2</v>
      </c>
      <c r="ED107" s="23">
        <f t="shared" si="482"/>
        <v>0.62845993641364084</v>
      </c>
      <c r="EE107" s="153">
        <v>74.215000000000003</v>
      </c>
      <c r="EF107" s="23">
        <f t="shared" si="300"/>
        <v>0.18248498245596781</v>
      </c>
      <c r="EG107" s="298">
        <v>271.82299999999998</v>
      </c>
      <c r="EH107" s="282">
        <v>50.726999999999997</v>
      </c>
      <c r="EI107" s="282">
        <v>51.405000000000001</v>
      </c>
      <c r="EJ107" s="282">
        <v>21.056999999999999</v>
      </c>
      <c r="EK107" s="282">
        <v>18.957000000000001</v>
      </c>
      <c r="EL107" s="282">
        <v>36.572000000000003</v>
      </c>
      <c r="EM107" s="282">
        <v>16.265999999999998</v>
      </c>
      <c r="EN107" s="212">
        <f t="shared" si="301"/>
        <v>194.98400000000001</v>
      </c>
      <c r="EO107" s="23">
        <f t="shared" si="302"/>
        <v>0.76604932111533142</v>
      </c>
      <c r="EP107" s="79">
        <f t="shared" si="303"/>
        <v>76.83899999999997</v>
      </c>
      <c r="EQ107" s="243">
        <f t="shared" si="304"/>
        <v>0.71731972643963171</v>
      </c>
      <c r="ER107" s="182">
        <f t="shared" si="268"/>
        <v>397.33</v>
      </c>
      <c r="ES107" s="185"/>
      <c r="ET107" s="136">
        <f>'Assets(MOFA)'!W60/1000</f>
        <v>478.18799999999999</v>
      </c>
      <c r="EU107" s="136">
        <f t="shared" si="339"/>
        <v>478.18799999999999</v>
      </c>
      <c r="EV107" s="589">
        <f t="shared" si="340"/>
        <v>1.2035033850955126</v>
      </c>
      <c r="EW107" s="375">
        <f t="shared" si="439"/>
        <v>51.788287688210616</v>
      </c>
      <c r="EX107" s="375">
        <f t="shared" si="440"/>
        <v>61.245703852899261</v>
      </c>
      <c r="EY107" s="375">
        <f t="shared" si="441"/>
        <v>32.308417348011524</v>
      </c>
      <c r="EZ107" s="375">
        <f t="shared" si="442"/>
        <v>25.404462066405589</v>
      </c>
      <c r="FA107" s="375">
        <f t="shared" si="443"/>
        <v>58.880514868763264</v>
      </c>
      <c r="FB107" s="375">
        <f t="shared" si="444"/>
        <v>31.480730823941489</v>
      </c>
      <c r="FC107" s="375"/>
      <c r="FD107" s="375">
        <f t="shared" si="445"/>
        <v>24.904528277679791</v>
      </c>
      <c r="FE107" s="375">
        <f t="shared" si="483"/>
        <v>254.53191410197005</v>
      </c>
      <c r="FF107" s="375">
        <f t="shared" si="484"/>
        <v>147.87017186332244</v>
      </c>
      <c r="FG107" s="243">
        <f t="shared" si="446"/>
        <v>0.1303407436846214</v>
      </c>
      <c r="FH107" s="243">
        <f t="shared" si="447"/>
        <v>0.15414316526036106</v>
      </c>
      <c r="FI107" s="243">
        <f t="shared" si="448"/>
        <v>8.1313813072286328E-2</v>
      </c>
      <c r="FJ107" s="243">
        <f t="shared" si="449"/>
        <v>6.3937940921666103E-2</v>
      </c>
      <c r="FK107" s="243">
        <f t="shared" si="450"/>
        <v>0.14819045848227735</v>
      </c>
      <c r="FL107" s="243">
        <f t="shared" si="451"/>
        <v>7.9230691928476302E-2</v>
      </c>
      <c r="FM107" s="243"/>
      <c r="FN107" s="243">
        <f t="shared" si="452"/>
        <v>6.267970774338659E-2</v>
      </c>
      <c r="FO107" s="243">
        <f t="shared" si="421"/>
        <v>0.64060582916459885</v>
      </c>
      <c r="FP107" s="243">
        <f t="shared" si="422"/>
        <v>0.35939417083540115</v>
      </c>
      <c r="FQ107" s="23">
        <f t="shared" si="423"/>
        <v>0.19758189706134571</v>
      </c>
      <c r="FR107" s="243">
        <f t="shared" si="424"/>
        <v>0.11084785500477001</v>
      </c>
      <c r="FS107" s="243">
        <f t="shared" si="425"/>
        <v>2.6581340505946752E-2</v>
      </c>
      <c r="FT107" s="412">
        <f t="shared" si="426"/>
        <v>2.0362617848915968E-2</v>
      </c>
      <c r="FU107" s="412">
        <f t="shared" si="427"/>
        <v>6.2187226570307834E-3</v>
      </c>
      <c r="FV107" s="243">
        <f t="shared" si="428"/>
        <v>1.4912725416948365E-2</v>
      </c>
      <c r="FW107" s="383">
        <f t="shared" si="305"/>
        <v>9.3610000000000007</v>
      </c>
      <c r="FX107" s="322">
        <f t="shared" si="430"/>
        <v>0.27671231178938349</v>
      </c>
      <c r="FY107" s="322">
        <f t="shared" si="431"/>
        <v>0.83729614710073441</v>
      </c>
      <c r="FZ107" s="322">
        <f t="shared" si="432"/>
        <v>0.64458265198848075</v>
      </c>
      <c r="GA107" s="322">
        <f t="shared" si="433"/>
        <v>-0.20346206640558828</v>
      </c>
      <c r="GB107" s="322">
        <f t="shared" si="434"/>
        <v>-0.64251486876326569</v>
      </c>
      <c r="GC107" s="322">
        <f t="shared" si="435"/>
        <v>-1.0727308239414866</v>
      </c>
      <c r="GD107" s="375"/>
      <c r="GE107" s="375">
        <f t="shared" si="453"/>
        <v>0.14447172232020966</v>
      </c>
      <c r="GF107" s="375">
        <f t="shared" si="485"/>
        <v>1.0570858980299547</v>
      </c>
      <c r="GG107" s="375">
        <f t="shared" si="277"/>
        <v>3.2318281366775286</v>
      </c>
      <c r="GH107" s="182">
        <v>262.56900000000002</v>
      </c>
      <c r="GI107" s="73">
        <v>69.204999999999998</v>
      </c>
      <c r="GJ107" s="73">
        <v>43.780999999999999</v>
      </c>
      <c r="GK107" s="73">
        <v>6.8689999999999998</v>
      </c>
      <c r="GL107" s="73">
        <v>13.423999999999999</v>
      </c>
      <c r="GM107" s="73">
        <f t="shared" si="342"/>
        <v>37.554000000000002</v>
      </c>
      <c r="GN107" s="73">
        <v>16.917000000000002</v>
      </c>
      <c r="GO107" s="73">
        <v>20.637</v>
      </c>
      <c r="GP107" s="73">
        <v>2.2799999999999998</v>
      </c>
      <c r="GQ107" s="73">
        <v>22.334</v>
      </c>
      <c r="GR107" s="79">
        <f t="shared" si="523"/>
        <v>193.16700000000003</v>
      </c>
      <c r="GS107" s="79">
        <f t="shared" si="343"/>
        <v>69.401999999999987</v>
      </c>
      <c r="GT107" s="23">
        <f t="shared" si="524"/>
        <v>0.73568090673308739</v>
      </c>
      <c r="GU107" s="362">
        <f t="shared" si="259"/>
        <v>277.39500000000004</v>
      </c>
      <c r="GV107" s="153">
        <f t="shared" si="344"/>
        <v>5.5720000000000001</v>
      </c>
      <c r="GW107" s="153">
        <f t="shared" si="308"/>
        <v>271.82299999999998</v>
      </c>
      <c r="GX107" s="153">
        <f t="shared" si="309"/>
        <v>52.864999999999995</v>
      </c>
      <c r="GY107" s="153">
        <f t="shared" si="310"/>
        <v>44.003</v>
      </c>
      <c r="GZ107" s="153">
        <f t="shared" si="226"/>
        <v>21.055999999999997</v>
      </c>
      <c r="HA107" s="153">
        <f t="shared" si="227"/>
        <v>18.518000000000001</v>
      </c>
      <c r="HB107" s="153">
        <f t="shared" si="228"/>
        <v>28.777000000000001</v>
      </c>
      <c r="HC107" s="153">
        <f t="shared" si="229"/>
        <v>18.581000000000003</v>
      </c>
      <c r="HD107" s="352"/>
      <c r="HE107" s="153">
        <f t="shared" si="231"/>
        <v>20.544</v>
      </c>
      <c r="HF107" s="153">
        <f t="shared" si="311"/>
        <v>185.76299999999998</v>
      </c>
      <c r="HG107" s="23">
        <f t="shared" si="345"/>
        <v>0.66966960471529746</v>
      </c>
      <c r="HH107" s="156">
        <f t="shared" si="346"/>
        <v>155.5010000000002</v>
      </c>
      <c r="HI107" s="182">
        <f t="shared" si="312"/>
        <v>-9.2539999999999623</v>
      </c>
      <c r="HJ107" s="84">
        <v>-3.730349362740526E-14</v>
      </c>
      <c r="HK107" s="79">
        <f t="shared" si="313"/>
        <v>18.478000000000002</v>
      </c>
      <c r="HL107" s="79">
        <f t="shared" si="314"/>
        <v>-7.6240000000000023</v>
      </c>
      <c r="HM107" s="79">
        <f t="shared" si="315"/>
        <v>-14.187999999999999</v>
      </c>
      <c r="HN107" s="79">
        <f t="shared" si="316"/>
        <v>-5.5330000000000013</v>
      </c>
      <c r="HO107" s="79">
        <f t="shared" si="317"/>
        <v>0.98199999999999932</v>
      </c>
      <c r="HP107" s="79">
        <f t="shared" si="318"/>
        <v>6.0680000000000014</v>
      </c>
      <c r="HQ107" s="79">
        <f>HP107+HO107+HN107+HM107+HL107+HK107</f>
        <v>-1.8170000000000002</v>
      </c>
      <c r="HR107" s="79">
        <f>HI107-HQ107</f>
        <v>-7.4369999999999621</v>
      </c>
      <c r="HS107" s="23">
        <f>HQ107/HI107</f>
        <v>0.19634752539442485</v>
      </c>
      <c r="HT107" s="28">
        <v>5.5720000000000001</v>
      </c>
      <c r="HU107" s="79">
        <v>2.1379999999999999</v>
      </c>
      <c r="HV107" s="79">
        <v>-7.4009999999999998</v>
      </c>
      <c r="HW107" s="79">
        <v>0</v>
      </c>
      <c r="HX107" s="79">
        <v>-0.44</v>
      </c>
      <c r="HY107" s="79">
        <v>-7.7949999999999999</v>
      </c>
      <c r="HZ107" s="79">
        <v>-1.0820000000000001</v>
      </c>
      <c r="IA107" s="79"/>
      <c r="IB107" s="79">
        <v>3.1815000000000002</v>
      </c>
      <c r="IC107" s="79">
        <f t="shared" si="526"/>
        <v>-10.3165</v>
      </c>
      <c r="ID107" s="79">
        <f>HT107-IC107</f>
        <v>15.888500000000001</v>
      </c>
      <c r="IE107" s="23">
        <f>IC107/HT107</f>
        <v>-1.8514895908111988</v>
      </c>
      <c r="IF107" s="316">
        <v>-14.826000000000001</v>
      </c>
      <c r="IG107" s="153">
        <v>16.34</v>
      </c>
      <c r="IH107" s="153">
        <v>-0.222</v>
      </c>
      <c r="II107" s="153">
        <v>-14.186999999999999</v>
      </c>
      <c r="IJ107" s="153">
        <v>-5.0940000000000003</v>
      </c>
      <c r="IK107" s="153">
        <v>8.7769999999999992</v>
      </c>
      <c r="IL107" s="153">
        <v>-1.6639999999999999</v>
      </c>
      <c r="IM107" s="153"/>
      <c r="IN107" s="153">
        <v>1.79</v>
      </c>
      <c r="IO107" s="153">
        <f t="shared" si="349"/>
        <v>7.4039999999999981</v>
      </c>
      <c r="IP107" s="153">
        <f t="shared" si="522"/>
        <v>-22.229999999999997</v>
      </c>
      <c r="IQ107" s="258">
        <f t="shared" si="350"/>
        <v>-16.793000000000006</v>
      </c>
      <c r="IR107" s="149">
        <f t="shared" si="323"/>
        <v>5048.7730000000001</v>
      </c>
      <c r="IS107" s="153">
        <f t="shared" si="351"/>
        <v>138.70800000000054</v>
      </c>
      <c r="IT107" s="153">
        <f t="shared" si="529"/>
        <v>-5.6843418860808015E-13</v>
      </c>
      <c r="IU107" s="153">
        <f t="shared" si="352"/>
        <v>271.82299999999998</v>
      </c>
      <c r="IV107" s="153">
        <f t="shared" si="324"/>
        <v>5.5720000000000001</v>
      </c>
      <c r="IW107" s="153">
        <v>-14.826000000000001</v>
      </c>
      <c r="IX107" s="153">
        <f t="shared" si="530"/>
        <v>-123.861</v>
      </c>
      <c r="IY107" s="153">
        <v>-84.268000000000001</v>
      </c>
      <c r="IZ107" s="153">
        <v>-16.071999999999999</v>
      </c>
      <c r="JA107" s="153">
        <v>-23.521000000000001</v>
      </c>
      <c r="JB107" s="23">
        <f t="shared" si="486"/>
        <v>0.32076882512897403</v>
      </c>
      <c r="JC107" s="23">
        <f t="shared" si="487"/>
        <v>0.17338515591247552</v>
      </c>
      <c r="JD107" s="23">
        <f t="shared" si="488"/>
        <v>0.14738366921649854</v>
      </c>
      <c r="JE107" s="22">
        <f t="shared" si="489"/>
        <v>1.7270006861673737E-2</v>
      </c>
      <c r="JF107" s="22">
        <f t="shared" si="326"/>
        <v>3.5401153777732598E-4</v>
      </c>
      <c r="JG107" s="22">
        <f t="shared" si="327"/>
        <v>-9.4195532287986994E-4</v>
      </c>
      <c r="JH107" s="5">
        <v>5048.7730000000001</v>
      </c>
      <c r="JI107" s="192">
        <v>144.26</v>
      </c>
      <c r="JJ107" s="76">
        <v>334.32499999999999</v>
      </c>
      <c r="JK107" s="76">
        <v>783.30899999999997</v>
      </c>
      <c r="JL107" s="76">
        <v>553.06600000000003</v>
      </c>
      <c r="JM107" s="76">
        <v>155.71</v>
      </c>
      <c r="JN107" s="76">
        <f t="shared" si="354"/>
        <v>651.85500000000002</v>
      </c>
      <c r="JO107" s="76">
        <v>304.81200000000001</v>
      </c>
      <c r="JP107" s="76">
        <v>347.04300000000001</v>
      </c>
      <c r="JQ107" s="76">
        <v>16.335000000000001</v>
      </c>
      <c r="JR107" s="76">
        <v>250.74799999999999</v>
      </c>
      <c r="JS107" s="76">
        <f t="shared" si="527"/>
        <v>2729.0129999999999</v>
      </c>
      <c r="JT107" s="76">
        <f t="shared" si="355"/>
        <v>2319.7600000000002</v>
      </c>
      <c r="JU107" s="23">
        <f t="shared" si="356"/>
        <v>0.54052994658306086</v>
      </c>
      <c r="JV107" s="23">
        <f t="shared" si="357"/>
        <v>6.6219059561600402E-2</v>
      </c>
      <c r="JW107" s="23">
        <f t="shared" si="358"/>
        <v>0.15514838951959217</v>
      </c>
      <c r="JX107" s="23">
        <f t="shared" si="359"/>
        <v>0.10954463589470155</v>
      </c>
      <c r="JY107" s="23">
        <f t="shared" si="360"/>
        <v>3.0841156851377553E-2</v>
      </c>
      <c r="JZ107" s="23">
        <f t="shared" si="361"/>
        <v>0.12911156829590081</v>
      </c>
      <c r="KA107" s="23">
        <f t="shared" si="362"/>
        <v>4.9665136459888369E-2</v>
      </c>
      <c r="KB107" s="149">
        <v>219.86099999999999</v>
      </c>
      <c r="KC107" s="316">
        <v>802.82399999999996</v>
      </c>
      <c r="KD107" s="316">
        <v>582.96299999999997</v>
      </c>
      <c r="KE107" s="589">
        <f t="shared" si="242"/>
        <v>0.72614047412633409</v>
      </c>
      <c r="KF107" s="1071">
        <v>0</v>
      </c>
      <c r="KG107" s="153">
        <v>14.185</v>
      </c>
      <c r="KH107" s="153">
        <v>42.921999999999997</v>
      </c>
      <c r="KI107" s="153">
        <v>33.042999999999999</v>
      </c>
      <c r="KJ107" s="153">
        <v>-10.43</v>
      </c>
      <c r="KK107" s="153">
        <v>-32.936999999999998</v>
      </c>
      <c r="KL107" s="153">
        <v>-54.991</v>
      </c>
      <c r="KM107" s="153">
        <v>26.983000000000001</v>
      </c>
      <c r="KN107" s="153">
        <v>81.974000000000004</v>
      </c>
      <c r="KO107" s="153"/>
      <c r="KP107" s="153">
        <v>7.4059999999999997</v>
      </c>
      <c r="KQ107" s="153">
        <f t="shared" si="328"/>
        <v>54.189</v>
      </c>
      <c r="KR107" s="153">
        <f t="shared" si="329"/>
        <v>165.672</v>
      </c>
      <c r="KS107" s="23">
        <f t="shared" si="490"/>
        <v>1.0525807517344787E-2</v>
      </c>
      <c r="KT107" s="23"/>
      <c r="KU107" s="326">
        <v>4828.9120000000003</v>
      </c>
      <c r="KV107" s="430">
        <f t="shared" si="252"/>
        <v>144.26</v>
      </c>
      <c r="KW107" s="153">
        <f t="shared" si="491"/>
        <v>320.14</v>
      </c>
      <c r="KX107" s="153">
        <f t="shared" si="492"/>
        <v>740.38699999999994</v>
      </c>
      <c r="KY107" s="153">
        <f t="shared" si="493"/>
        <v>520.02300000000002</v>
      </c>
      <c r="KZ107" s="153">
        <f t="shared" si="494"/>
        <v>166.14000000000001</v>
      </c>
      <c r="LA107" s="153">
        <f t="shared" si="495"/>
        <v>684.79200000000003</v>
      </c>
      <c r="LB107" s="153">
        <f t="shared" si="496"/>
        <v>359.803</v>
      </c>
      <c r="LC107" s="153"/>
      <c r="LD107" s="153">
        <f t="shared" si="455"/>
        <v>243.34199999999998</v>
      </c>
      <c r="LE107" s="153">
        <f t="shared" si="456"/>
        <v>2674.8240000000001</v>
      </c>
      <c r="LF107" s="153">
        <f t="shared" si="497"/>
        <v>0</v>
      </c>
      <c r="LG107" s="153">
        <f t="shared" si="498"/>
        <v>2154.0880000000002</v>
      </c>
      <c r="LH107" s="22">
        <f t="shared" si="499"/>
        <v>0.55391856385040772</v>
      </c>
      <c r="LI107" s="23">
        <f t="shared" si="457"/>
        <v>6.6296507370604385E-2</v>
      </c>
      <c r="LJ107" s="23">
        <f t="shared" si="458"/>
        <v>0.15332377148310011</v>
      </c>
      <c r="LK107" s="23">
        <f t="shared" si="459"/>
        <v>0.10768947539321487</v>
      </c>
      <c r="LL107" s="23">
        <f t="shared" si="460"/>
        <v>3.4405265616768335E-2</v>
      </c>
      <c r="LM107" s="23">
        <f t="shared" si="461"/>
        <v>0.14181082612397988</v>
      </c>
      <c r="LN107" s="23">
        <f t="shared" si="462"/>
        <v>7.4510158810100494E-2</v>
      </c>
      <c r="LO107" s="23"/>
      <c r="LP107" s="23">
        <f t="shared" si="463"/>
        <v>5.0392717862740091E-2</v>
      </c>
      <c r="LQ107" s="23">
        <f t="shared" si="500"/>
        <v>0.30680017281252381</v>
      </c>
      <c r="LR107" s="23">
        <f t="shared" si="501"/>
        <v>0.13685786169915373</v>
      </c>
      <c r="LS107" s="23">
        <f t="shared" si="502"/>
        <v>0.1699423111133701</v>
      </c>
      <c r="LT107" s="326">
        <v>1211.037</v>
      </c>
      <c r="LU107" s="153">
        <f t="shared" si="363"/>
        <v>0</v>
      </c>
      <c r="LV107" s="153">
        <f t="shared" si="503"/>
        <v>219.86099999999999</v>
      </c>
      <c r="LW107" s="153">
        <f t="shared" si="504"/>
        <v>582.96299999999997</v>
      </c>
      <c r="LX107" s="153">
        <v>408.21300000000002</v>
      </c>
      <c r="LY107" s="23">
        <f>LX107/Liabilities!GT107</f>
        <v>0.12383239658109703</v>
      </c>
      <c r="LZ107" s="23">
        <f t="shared" si="253"/>
        <v>0.39196563256456618</v>
      </c>
      <c r="MA107" s="425">
        <v>1624.414</v>
      </c>
      <c r="MB107" s="153">
        <f t="shared" si="364"/>
        <v>0</v>
      </c>
      <c r="MC107" s="153">
        <v>633.23800000000006</v>
      </c>
      <c r="MD107" s="153">
        <f t="shared" si="365"/>
        <v>408.21300000000002</v>
      </c>
      <c r="ME107" s="153">
        <f t="shared" si="366"/>
        <v>582.96299999999997</v>
      </c>
      <c r="MF107" s="153">
        <v>1041.451</v>
      </c>
      <c r="MG107" s="153">
        <f t="shared" si="505"/>
        <v>802.82399999999996</v>
      </c>
      <c r="MH107" s="326">
        <f t="shared" si="506"/>
        <v>4828.9120000000003</v>
      </c>
      <c r="MI107" s="1008">
        <f>FoF_RoW!$BH77/1000</f>
        <v>5783.7359999999999</v>
      </c>
      <c r="MJ107" s="1008">
        <v>6774.9120000000003</v>
      </c>
      <c r="MK107" s="1008">
        <f>FoF_RoW!$AU77/1000</f>
        <v>281.66300000000001</v>
      </c>
      <c r="ML107" s="1008">
        <f t="shared" si="254"/>
        <v>150.60499999999956</v>
      </c>
      <c r="MM107" s="425">
        <f t="shared" si="507"/>
        <v>5563.875</v>
      </c>
      <c r="MN107" s="23">
        <f t="shared" si="508"/>
        <v>1.1522005370982118</v>
      </c>
      <c r="MO107" s="153">
        <v>6998.9489999999996</v>
      </c>
      <c r="MP107" s="425">
        <v>5787.9120000000003</v>
      </c>
      <c r="MQ107" s="23">
        <f t="shared" si="367"/>
        <v>1.1985954600125246</v>
      </c>
      <c r="MR107" s="23">
        <f t="shared" si="368"/>
        <v>1.0402663611242164</v>
      </c>
      <c r="MS107" s="153">
        <f t="shared" si="509"/>
        <v>219.86099999999999</v>
      </c>
      <c r="MT107" s="153">
        <v>1211.037</v>
      </c>
      <c r="MU107" s="153">
        <v>1624.414</v>
      </c>
      <c r="MV107" s="153">
        <v>5076.42</v>
      </c>
      <c r="MW107" s="153">
        <v>3296.4960000000001</v>
      </c>
      <c r="MX107" s="23">
        <f t="shared" si="369"/>
        <v>1.5399442316932888</v>
      </c>
      <c r="MY107" s="425">
        <f t="shared" si="255"/>
        <v>-7770.6679999999997</v>
      </c>
      <c r="MZ107" s="23">
        <f t="shared" si="510"/>
        <v>-0.49370174591476274</v>
      </c>
      <c r="NA107" s="153">
        <v>23352.370999999999</v>
      </c>
      <c r="NB107" s="153">
        <v>30845.85</v>
      </c>
      <c r="NC107" s="425">
        <f t="shared" si="330"/>
        <v>-6214.7809999999999</v>
      </c>
      <c r="ND107" s="23">
        <f t="shared" si="331"/>
        <v>-0.39484999618795902</v>
      </c>
      <c r="NE107" s="330">
        <f t="shared" si="332"/>
        <v>1854.0020000000002</v>
      </c>
      <c r="NF107" s="23">
        <f t="shared" si="333"/>
        <v>0.11779219294010014</v>
      </c>
      <c r="NG107" s="330">
        <f t="shared" si="334"/>
        <v>298.11500000000046</v>
      </c>
      <c r="NH107" s="23">
        <f t="shared" si="335"/>
        <v>1.8940443213296427E-2</v>
      </c>
      <c r="NI107" s="330">
        <v>277.18900000000002</v>
      </c>
      <c r="NJ107" s="425">
        <v>266.529</v>
      </c>
      <c r="NK107" s="403">
        <f t="shared" si="393"/>
        <v>1.6933657780375613E-2</v>
      </c>
      <c r="NL107" s="23"/>
      <c r="NM107" s="23"/>
      <c r="NN107" s="23"/>
      <c r="NO107" s="425">
        <f t="shared" si="100"/>
        <v>192.69799999999998</v>
      </c>
      <c r="NP107" s="153">
        <v>776.42399999999998</v>
      </c>
      <c r="NQ107" s="153">
        <v>583.726</v>
      </c>
      <c r="NR107" s="403">
        <f t="shared" si="394"/>
        <v>1.2242877836793817E-2</v>
      </c>
      <c r="NS107" s="403">
        <f t="shared" si="395"/>
        <v>1.6933657780375613E-2</v>
      </c>
      <c r="NT107" s="403">
        <f t="shared" si="396"/>
        <v>-4.6907799435817951E-3</v>
      </c>
      <c r="NU107" s="727">
        <f t="shared" si="511"/>
        <v>6.8648244824731267E-2</v>
      </c>
      <c r="NV107" s="688">
        <f t="shared" si="512"/>
        <v>7.1412459841387513E-2</v>
      </c>
      <c r="NW107" s="688">
        <f t="shared" si="513"/>
        <v>8.2281474584751171E-2</v>
      </c>
      <c r="NX107" s="793">
        <f>(ER107-T.A2!B59*T.A1!M59)/MP107</f>
        <v>6.5351845444007753E-2</v>
      </c>
      <c r="NY107" s="688">
        <f>Liabilities!BU107/Liabilities!GY107</f>
        <v>2.3701348588178284E-2</v>
      </c>
      <c r="NZ107" s="688">
        <f>Liabilities!BU107/Liabilities!GT107</f>
        <v>3.6498755041717026E-2</v>
      </c>
      <c r="OA107" s="688">
        <f>Liabilities!BU107/Liabilities!GR107</f>
        <v>4.5057048744208628E-2</v>
      </c>
      <c r="OB107" s="688">
        <f t="shared" si="256"/>
        <v>4.4946896236552986E-2</v>
      </c>
      <c r="OC107" s="688">
        <f t="shared" si="257"/>
        <v>3.4913704799670486E-2</v>
      </c>
      <c r="OD107" s="688"/>
      <c r="OE107" s="793">
        <f t="shared" si="514"/>
        <v>7.4843881287771571E-2</v>
      </c>
      <c r="OF107" s="793">
        <f>OE107/(1-'Assets(MOFA)'!GU60)</f>
        <v>9.2535139865543792E-2</v>
      </c>
      <c r="OG107" s="793">
        <f>Liabilities!HV107</f>
        <v>3.9535474155233091E-2</v>
      </c>
      <c r="OH107" s="793">
        <f t="shared" si="438"/>
        <v>3.530840713253848E-2</v>
      </c>
      <c r="OI107" s="22">
        <f t="shared" si="336"/>
        <v>1.9507388917122559E-2</v>
      </c>
      <c r="OJ107" s="22">
        <f t="shared" si="337"/>
        <v>1.0806860812778856E-2</v>
      </c>
      <c r="OK107" s="403">
        <f>Liabilities!CT107/LX107</f>
        <v>1.1822259457685079E-2</v>
      </c>
      <c r="OL107" s="403">
        <f>Liabilities!CU107/MF107</f>
        <v>3.1535809173931374E-2</v>
      </c>
      <c r="OM107" s="153"/>
      <c r="OO107" s="186">
        <f t="shared" si="515"/>
        <v>7.46865662944525E-2</v>
      </c>
      <c r="OP107" s="308">
        <f t="shared" si="370"/>
        <v>0.35349532389641414</v>
      </c>
      <c r="OQ107" s="308">
        <f t="shared" si="371"/>
        <v>2.6401351942968495E-2</v>
      </c>
      <c r="OR107" s="313">
        <f t="shared" si="372"/>
        <v>0</v>
      </c>
      <c r="OS107" s="23">
        <f t="shared" si="373"/>
        <v>0.1468358286154007</v>
      </c>
      <c r="OT107" s="23">
        <f t="shared" si="374"/>
        <v>7.5085706669586083E-2</v>
      </c>
      <c r="OU107" s="23">
        <f t="shared" si="375"/>
        <v>5.6394085573386245E-2</v>
      </c>
      <c r="OV107" s="23">
        <f t="shared" si="376"/>
        <v>0.13879576796667509</v>
      </c>
      <c r="OW107" s="23">
        <f t="shared" si="377"/>
        <v>7.8046484913399522E-2</v>
      </c>
      <c r="OX107" s="23">
        <f t="shared" si="378"/>
        <v>7.9418275571697269E-2</v>
      </c>
      <c r="OY107" s="23">
        <f t="shared" si="379"/>
        <v>9.2896996753467104E-2</v>
      </c>
      <c r="OZ107" s="23">
        <f t="shared" si="380"/>
        <v>8.6374880444403265E-2</v>
      </c>
      <c r="PA107" s="23">
        <f t="shared" si="381"/>
        <v>6.2309973041277458E-2</v>
      </c>
      <c r="PB107" s="23">
        <f t="shared" si="382"/>
        <v>2.4064907403125807E-2</v>
      </c>
      <c r="PC107" s="23"/>
      <c r="PD107" s="23"/>
      <c r="PE107" s="23"/>
      <c r="PF107" s="23"/>
      <c r="PG107" s="69"/>
      <c r="PH107" s="23">
        <f>'Assets(MOFA)'!GU60</f>
        <v>0.19118422043213129</v>
      </c>
      <c r="PI107" s="23">
        <f>'Assets(MOFA)'!HM60</f>
        <v>0.17749581145984586</v>
      </c>
      <c r="PJ107" s="11">
        <f t="shared" si="516"/>
        <v>1.5410757397342939E-2</v>
      </c>
      <c r="PK107" s="11">
        <f>Liabilities!IP107/MW107/1000</f>
        <v>1.4101943396867461E-2</v>
      </c>
      <c r="PL107" s="11">
        <f>'Assets(MOFA)'!GO60/MM107/1000</f>
        <v>1.428069465974703E-2</v>
      </c>
      <c r="PM107" s="11">
        <f t="shared" si="429"/>
        <v>-1.7875126287956837E-4</v>
      </c>
    </row>
    <row r="108" spans="1:429">
      <c r="B108" s="71">
        <v>2016</v>
      </c>
      <c r="C108" s="43">
        <v>16052</v>
      </c>
      <c r="D108" s="5">
        <v>2073.5</v>
      </c>
      <c r="E108" s="19">
        <f t="shared" si="397"/>
        <v>0.12917393471218538</v>
      </c>
      <c r="F108" s="72">
        <f t="shared" si="398"/>
        <v>0</v>
      </c>
      <c r="G108" s="76">
        <f t="shared" si="399"/>
        <v>1666.9666666666667</v>
      </c>
      <c r="H108" s="23">
        <f t="shared" si="400"/>
        <v>0.10384791095605947</v>
      </c>
      <c r="I108" s="72">
        <v>406.5333333333333</v>
      </c>
      <c r="J108" s="19">
        <f t="shared" si="401"/>
        <v>2.5326023756125922E-2</v>
      </c>
      <c r="K108" s="6">
        <f t="shared" si="402"/>
        <v>0.19606140985451329</v>
      </c>
      <c r="L108" s="136">
        <v>671.4</v>
      </c>
      <c r="M108" s="19">
        <f t="shared" si="403"/>
        <v>4.1826563668078742E-2</v>
      </c>
      <c r="N108" s="63">
        <f t="shared" si="404"/>
        <v>0.32380033759344101</v>
      </c>
      <c r="O108" s="5">
        <f t="shared" si="405"/>
        <v>2073.5</v>
      </c>
      <c r="P108" s="75">
        <f t="shared" si="406"/>
        <v>0</v>
      </c>
      <c r="Q108" s="225">
        <f>Q107*D108/D107</f>
        <v>1976.4409044193219</v>
      </c>
      <c r="R108" s="65">
        <f>S108*D108</f>
        <v>376.70940390544706</v>
      </c>
      <c r="S108" s="56">
        <f>S107</f>
        <v>0.1816780341960198</v>
      </c>
      <c r="T108" s="222">
        <f>T107</f>
        <v>104</v>
      </c>
      <c r="U108" s="74">
        <v>-85.5</v>
      </c>
      <c r="V108" s="55">
        <f>W108*D108</f>
        <v>351.63289825282635</v>
      </c>
      <c r="W108" s="56">
        <f>W107+0.01</f>
        <v>0.16958422872091938</v>
      </c>
      <c r="X108" s="75">
        <f t="shared" si="409"/>
        <v>53.48258992805745</v>
      </c>
      <c r="Y108" s="69"/>
      <c r="Z108" s="90"/>
      <c r="AA108" s="90"/>
      <c r="AB108" s="90"/>
      <c r="AC108" s="90"/>
      <c r="AD108" s="261"/>
      <c r="AE108" s="281">
        <f>AE107</f>
        <v>404.93147657135648</v>
      </c>
      <c r="AF108" s="261"/>
      <c r="AG108" s="184">
        <f t="shared" si="385"/>
        <v>0.1952888722311823</v>
      </c>
      <c r="AH108" s="169">
        <v>471</v>
      </c>
      <c r="AI108" s="22">
        <f t="shared" si="411"/>
        <v>2.9342138051333167E-2</v>
      </c>
      <c r="AJ108" s="22">
        <f t="shared" si="412"/>
        <v>2.3305507101918765E-2</v>
      </c>
      <c r="AK108" s="99">
        <f t="shared" si="413"/>
        <v>0</v>
      </c>
      <c r="AL108" s="225">
        <f>AH108-AN108-AO108-AP108</f>
        <v>305.39999999999998</v>
      </c>
      <c r="AM108" s="72"/>
      <c r="AN108" s="100">
        <f>AN107</f>
        <v>57.8</v>
      </c>
      <c r="AO108" s="100">
        <f>AO107</f>
        <v>10.9</v>
      </c>
      <c r="AP108" s="100">
        <f>AP107*T108/T107</f>
        <v>96.9</v>
      </c>
      <c r="AQ108" s="6">
        <f t="shared" si="414"/>
        <v>9.9831796660852234E-2</v>
      </c>
      <c r="AR108" s="55">
        <f>AR107</f>
        <v>80.736739659367387</v>
      </c>
      <c r="AS108" s="717"/>
      <c r="AT108" s="222"/>
      <c r="AU108" s="222"/>
      <c r="AV108" s="786"/>
      <c r="AW108" s="785"/>
      <c r="AX108" s="785"/>
      <c r="AY108" s="638"/>
      <c r="BC108" s="222"/>
      <c r="BF108" s="234">
        <v>0.35</v>
      </c>
      <c r="BG108" s="437"/>
      <c r="BH108" s="140">
        <f t="shared" si="464"/>
        <v>0.16255165520430845</v>
      </c>
      <c r="BI108" s="248">
        <f t="shared" si="384"/>
        <v>0.19853121989037389</v>
      </c>
      <c r="BJ108" s="23">
        <f t="shared" si="465"/>
        <v>0.14044859284858663</v>
      </c>
      <c r="BK108" s="30">
        <f t="shared" si="466"/>
        <v>0.19175676492303007</v>
      </c>
      <c r="BL108" s="30">
        <f t="shared" si="467"/>
        <v>0.20053023548708424</v>
      </c>
      <c r="BM108" s="248"/>
      <c r="BN108" s="23">
        <f t="shared" si="469"/>
        <v>0.18927962842881485</v>
      </c>
      <c r="BO108" s="23">
        <f t="shared" si="470"/>
        <v>0.15897836983746505</v>
      </c>
      <c r="BP108" s="149">
        <f t="shared" si="415"/>
        <v>2073.5</v>
      </c>
      <c r="BQ108" s="99">
        <f t="shared" si="416"/>
        <v>0</v>
      </c>
      <c r="BR108" s="153">
        <f t="shared" si="417"/>
        <v>471</v>
      </c>
      <c r="BS108" s="79">
        <v>981.9</v>
      </c>
      <c r="BT108" s="79">
        <v>620.6</v>
      </c>
      <c r="BU108" s="23">
        <f t="shared" si="517"/>
        <v>0.2993006993006993</v>
      </c>
      <c r="BV108" s="71">
        <v>385.5</v>
      </c>
      <c r="BW108" s="71">
        <f t="shared" si="418"/>
        <v>235.10000000000002</v>
      </c>
      <c r="BX108" s="23">
        <f t="shared" si="419"/>
        <v>0.11338316855558236</v>
      </c>
      <c r="BY108" s="23">
        <f t="shared" si="289"/>
        <v>9.4588377140101293E-2</v>
      </c>
      <c r="BZ108" s="23">
        <f t="shared" si="290"/>
        <v>0.46753819491624421</v>
      </c>
      <c r="CA108" s="23">
        <f t="shared" si="291"/>
        <v>0.47944890497788506</v>
      </c>
      <c r="CB108" s="23">
        <f t="shared" si="531"/>
        <v>0.57830436208592995</v>
      </c>
      <c r="CC108" s="169">
        <f t="shared" si="420"/>
        <v>671.4</v>
      </c>
      <c r="CD108" s="72">
        <f t="shared" si="518"/>
        <v>0</v>
      </c>
      <c r="CE108" s="76">
        <v>217.62899999999999</v>
      </c>
      <c r="CF108" s="76">
        <v>419.49299999999999</v>
      </c>
      <c r="CG108" s="76">
        <f t="shared" si="519"/>
        <v>34.277999999999963</v>
      </c>
      <c r="CH108" s="23">
        <f t="shared" si="392"/>
        <v>0.62480339588918676</v>
      </c>
      <c r="CI108" s="326">
        <v>429.78100000000001</v>
      </c>
      <c r="CJ108" s="153">
        <f t="shared" si="292"/>
        <v>0</v>
      </c>
      <c r="CK108" s="79">
        <f t="shared" si="520"/>
        <v>419.49299999999999</v>
      </c>
      <c r="CL108" s="159">
        <v>120.899</v>
      </c>
      <c r="CM108" s="159">
        <v>298.59399999999999</v>
      </c>
      <c r="CN108" s="159">
        <v>332.9</v>
      </c>
      <c r="CO108" s="159">
        <f t="shared" si="338"/>
        <v>34.305999999999983</v>
      </c>
      <c r="CP108" s="79">
        <v>10.288</v>
      </c>
      <c r="CQ108" s="79">
        <v>17.670000000000002</v>
      </c>
      <c r="CR108" s="79">
        <v>7.3819999999999997</v>
      </c>
      <c r="CS108" s="243">
        <f t="shared" si="293"/>
        <v>0.71179733630835318</v>
      </c>
      <c r="CT108" s="23">
        <f t="shared" si="294"/>
        <v>3.5601639739570772E-3</v>
      </c>
      <c r="CU108" s="73">
        <v>19.815000000000001</v>
      </c>
      <c r="CV108" s="378">
        <f t="shared" si="295"/>
        <v>3.7160847488618728E-3</v>
      </c>
      <c r="CW108" s="378">
        <f t="shared" si="296"/>
        <v>4.6104876669745755E-2</v>
      </c>
      <c r="CX108" s="153">
        <f t="shared" si="297"/>
        <v>409.96600000000001</v>
      </c>
      <c r="CY108" s="153">
        <f t="shared" si="298"/>
        <v>0</v>
      </c>
      <c r="CZ108" s="295">
        <f t="shared" si="299"/>
        <v>429.78100000000001</v>
      </c>
      <c r="DA108" s="430">
        <v>-0.64100000000000001</v>
      </c>
      <c r="DB108" s="153">
        <v>-1.4990000000000001</v>
      </c>
      <c r="DC108" s="153">
        <v>-0.38700000000000001</v>
      </c>
      <c r="DD108" s="153">
        <v>0.36399999999999999</v>
      </c>
      <c r="DE108" s="153">
        <v>0.65900000000000003</v>
      </c>
      <c r="DF108" s="153">
        <f t="shared" si="528"/>
        <v>0.22200000000000009</v>
      </c>
      <c r="DG108" s="425">
        <v>206.03200000000001</v>
      </c>
      <c r="DH108" s="140">
        <f t="shared" si="521"/>
        <v>0.4793883396427483</v>
      </c>
      <c r="DI108" s="169">
        <v>409.96600000000001</v>
      </c>
      <c r="DJ108" s="73">
        <v>51.21</v>
      </c>
      <c r="DK108" s="73">
        <v>65.106999999999999</v>
      </c>
      <c r="DL108" s="73">
        <v>32.99</v>
      </c>
      <c r="DM108" s="73">
        <v>26.071999999999999</v>
      </c>
      <c r="DN108" s="73">
        <v>58.366</v>
      </c>
      <c r="DO108" s="73">
        <v>28.111000000000001</v>
      </c>
      <c r="DP108" s="73">
        <v>1.4999999999999999E-2</v>
      </c>
      <c r="DQ108" s="73">
        <v>23.152000000000001</v>
      </c>
      <c r="DR108" s="79">
        <f t="shared" si="471"/>
        <v>256.89699999999999</v>
      </c>
      <c r="DS108" s="79">
        <f t="shared" si="472"/>
        <v>153.06900000000002</v>
      </c>
      <c r="DT108" s="79">
        <v>5.7640000000000002</v>
      </c>
      <c r="DU108" s="23">
        <f t="shared" si="473"/>
        <v>3.7656220397337146E-2</v>
      </c>
      <c r="DV108" s="23">
        <f t="shared" si="474"/>
        <v>0.12491279764663411</v>
      </c>
      <c r="DW108" s="23">
        <f t="shared" si="475"/>
        <v>0.15881073064595599</v>
      </c>
      <c r="DX108" s="23">
        <f t="shared" si="476"/>
        <v>8.0470087763375497E-2</v>
      </c>
      <c r="DY108" s="23">
        <f t="shared" si="477"/>
        <v>6.359551767707565E-2</v>
      </c>
      <c r="DZ108" s="23">
        <f t="shared" si="478"/>
        <v>0.14236790367981736</v>
      </c>
      <c r="EA108" s="23">
        <f t="shared" si="479"/>
        <v>6.8569100852265794E-2</v>
      </c>
      <c r="EB108" s="23">
        <f t="shared" si="480"/>
        <v>3.658840001365967E-5</v>
      </c>
      <c r="EC108" s="23">
        <f t="shared" si="481"/>
        <v>5.647297580774991E-2</v>
      </c>
      <c r="ED108" s="23">
        <f t="shared" si="482"/>
        <v>0.62663001322060852</v>
      </c>
      <c r="EE108" s="153">
        <v>79.680000000000007</v>
      </c>
      <c r="EF108" s="23">
        <f t="shared" si="300"/>
        <v>0.19435758087256017</v>
      </c>
      <c r="EG108" s="298">
        <v>278.779</v>
      </c>
      <c r="EH108" s="282">
        <v>48.05</v>
      </c>
      <c r="EI108" s="282">
        <v>44.448999999999998</v>
      </c>
      <c r="EJ108" s="282">
        <v>26.17</v>
      </c>
      <c r="EK108" s="282">
        <v>22.2</v>
      </c>
      <c r="EL108" s="282">
        <v>44.031999999999996</v>
      </c>
      <c r="EM108" s="282">
        <v>11.228</v>
      </c>
      <c r="EN108" s="212">
        <f t="shared" si="301"/>
        <v>196.12900000000002</v>
      </c>
      <c r="EO108" s="23">
        <f t="shared" si="302"/>
        <v>0.76512279153965845</v>
      </c>
      <c r="EP108" s="79">
        <f t="shared" si="303"/>
        <v>82.649999999999977</v>
      </c>
      <c r="EQ108" s="243">
        <f t="shared" si="304"/>
        <v>0.7035286015087221</v>
      </c>
      <c r="ER108" s="182">
        <f t="shared" si="268"/>
        <v>399.678</v>
      </c>
      <c r="ES108" s="185"/>
      <c r="ET108" s="185"/>
      <c r="EU108" s="185"/>
      <c r="EV108" s="185"/>
      <c r="EW108" s="375">
        <f t="shared" si="439"/>
        <v>50.900613246895631</v>
      </c>
      <c r="EX108" s="375">
        <f t="shared" si="440"/>
        <v>64.286985461305619</v>
      </c>
      <c r="EY108" s="375">
        <f t="shared" si="441"/>
        <v>32.112355030149921</v>
      </c>
      <c r="EZ108" s="375">
        <f t="shared" si="442"/>
        <v>26.465571513692588</v>
      </c>
      <c r="FA108" s="375">
        <f t="shared" si="443"/>
        <v>59.616513859427506</v>
      </c>
      <c r="FB108" s="375">
        <f t="shared" si="444"/>
        <v>29.545953404676219</v>
      </c>
      <c r="FC108" s="375"/>
      <c r="FD108" s="375">
        <f t="shared" si="445"/>
        <v>22.954593607741259</v>
      </c>
      <c r="FE108" s="375">
        <f t="shared" si="483"/>
        <v>256.3366327192125</v>
      </c>
      <c r="FF108" s="375">
        <f t="shared" si="484"/>
        <v>149.43819417498869</v>
      </c>
      <c r="FG108" s="243">
        <f t="shared" si="446"/>
        <v>0.12735405313000875</v>
      </c>
      <c r="FH108" s="243">
        <f t="shared" si="447"/>
        <v>0.16084694544434675</v>
      </c>
      <c r="FI108" s="243">
        <f t="shared" si="448"/>
        <v>8.0345565755808229E-2</v>
      </c>
      <c r="FJ108" s="243">
        <f t="shared" si="449"/>
        <v>6.6217233657325611E-2</v>
      </c>
      <c r="FK108" s="243">
        <f t="shared" si="450"/>
        <v>0.14916135954300089</v>
      </c>
      <c r="FL108" s="243">
        <f t="shared" si="451"/>
        <v>7.3924392647772008E-2</v>
      </c>
      <c r="FM108" s="243"/>
      <c r="FN108" s="243">
        <f t="shared" si="452"/>
        <v>5.743271735682539E-2</v>
      </c>
      <c r="FO108" s="243">
        <f t="shared" si="421"/>
        <v>0.64135787488731566</v>
      </c>
      <c r="FP108" s="243">
        <f t="shared" si="422"/>
        <v>0.35864212511268434</v>
      </c>
      <c r="FQ108" s="23">
        <f t="shared" si="423"/>
        <v>0.2076718964067247</v>
      </c>
      <c r="FR108" s="243">
        <f t="shared" si="424"/>
        <v>0.11612844118671629</v>
      </c>
      <c r="FS108" s="243">
        <f t="shared" si="425"/>
        <v>2.6825795987997985E-2</v>
      </c>
      <c r="FT108" s="412">
        <f t="shared" si="426"/>
        <v>2.0525027911610389E-2</v>
      </c>
      <c r="FU108" s="412">
        <f t="shared" si="427"/>
        <v>6.3007680763875959E-3</v>
      </c>
      <c r="FV108" s="243">
        <f t="shared" si="428"/>
        <v>1.500076768008075E-2</v>
      </c>
      <c r="FW108" s="383">
        <f t="shared" si="305"/>
        <v>10.288</v>
      </c>
      <c r="FX108" s="322">
        <f t="shared" si="430"/>
        <v>0.30938675310436881</v>
      </c>
      <c r="FY108" s="322">
        <f t="shared" si="431"/>
        <v>0.82001453869437768</v>
      </c>
      <c r="FZ108" s="322">
        <f t="shared" si="432"/>
        <v>0.87764496985008467</v>
      </c>
      <c r="GA108" s="322">
        <f t="shared" si="433"/>
        <v>-0.39357151369259008</v>
      </c>
      <c r="GB108" s="322">
        <f t="shared" si="434"/>
        <v>-1.2505138594275094</v>
      </c>
      <c r="GC108" s="322">
        <f t="shared" si="435"/>
        <v>-1.4349534046762162</v>
      </c>
      <c r="GD108" s="79"/>
      <c r="GE108" s="375">
        <f t="shared" si="453"/>
        <v>0.19740639225874113</v>
      </c>
      <c r="GF108" s="375">
        <f t="shared" si="485"/>
        <v>0.560367280787473</v>
      </c>
      <c r="GG108" s="375">
        <f t="shared" si="277"/>
        <v>3.6308058250113215</v>
      </c>
      <c r="GH108" s="182">
        <v>280.68099999999998</v>
      </c>
      <c r="GI108" s="73">
        <v>45.710999999999999</v>
      </c>
      <c r="GJ108" s="73">
        <v>38.630000000000003</v>
      </c>
      <c r="GK108" s="73">
        <v>27.966999999999999</v>
      </c>
      <c r="GL108" s="73">
        <v>15.335000000000001</v>
      </c>
      <c r="GM108" s="73">
        <f t="shared" si="342"/>
        <v>23.305</v>
      </c>
      <c r="GN108" s="73">
        <v>12.231999999999999</v>
      </c>
      <c r="GO108" s="73">
        <v>11.073</v>
      </c>
      <c r="GP108" s="73">
        <v>2.2799999999999998</v>
      </c>
      <c r="GQ108" s="73">
        <v>17.431999999999999</v>
      </c>
      <c r="GR108" s="79">
        <f t="shared" si="523"/>
        <v>168.38</v>
      </c>
      <c r="GS108" s="79">
        <f t="shared" si="343"/>
        <v>112.30099999999999</v>
      </c>
      <c r="GT108" s="23">
        <f t="shared" si="524"/>
        <v>0.59989810496613594</v>
      </c>
      <c r="GU108" s="362">
        <f t="shared" si="259"/>
        <v>309.91699999999997</v>
      </c>
      <c r="GV108" s="153">
        <f t="shared" si="344"/>
        <v>31.138000000000002</v>
      </c>
      <c r="GW108" s="153">
        <f t="shared" si="308"/>
        <v>278.779</v>
      </c>
      <c r="GX108" s="153">
        <f t="shared" si="309"/>
        <v>48.604999999999997</v>
      </c>
      <c r="GY108" s="153">
        <f t="shared" si="310"/>
        <v>44.809000000000005</v>
      </c>
      <c r="GZ108" s="153">
        <f t="shared" si="226"/>
        <v>21.161999999999999</v>
      </c>
      <c r="HA108" s="153">
        <f t="shared" si="227"/>
        <v>22.661000000000001</v>
      </c>
      <c r="HB108" s="153">
        <f t="shared" si="228"/>
        <v>32.215000000000003</v>
      </c>
      <c r="HC108" s="153">
        <f t="shared" si="229"/>
        <v>21.979999999999997</v>
      </c>
      <c r="HD108" s="352"/>
      <c r="HE108" s="153">
        <f t="shared" si="231"/>
        <v>15.930999999999999</v>
      </c>
      <c r="HF108" s="153">
        <f t="shared" si="311"/>
        <v>185.38299999999998</v>
      </c>
      <c r="HG108" s="23">
        <f t="shared" si="345"/>
        <v>0.59816983256807466</v>
      </c>
      <c r="HH108" s="156">
        <f t="shared" si="346"/>
        <v>314.22800000000007</v>
      </c>
      <c r="HI108" s="182">
        <f t="shared" si="312"/>
        <v>1.9019999999999868</v>
      </c>
      <c r="HJ108" s="84">
        <v>1.3100631690576847E-14</v>
      </c>
      <c r="HK108" s="79">
        <f t="shared" si="313"/>
        <v>-2.3389999999999986</v>
      </c>
      <c r="HL108" s="79">
        <f t="shared" si="314"/>
        <v>-5.8189999999999955</v>
      </c>
      <c r="HM108" s="79">
        <f t="shared" si="315"/>
        <v>1.796999999999997</v>
      </c>
      <c r="HN108" s="79">
        <f t="shared" si="316"/>
        <v>-6.8649999999999984</v>
      </c>
      <c r="HO108" s="79">
        <f t="shared" si="317"/>
        <v>-20.726999999999997</v>
      </c>
      <c r="HP108" s="79">
        <f t="shared" si="318"/>
        <v>6.2039999999999988</v>
      </c>
      <c r="HQ108" s="79">
        <f>HP108+HO108+HN108+HM108+HL108+HK108</f>
        <v>-27.748999999999995</v>
      </c>
      <c r="HR108" s="79">
        <f>HI108-HQ108</f>
        <v>29.650999999999982</v>
      </c>
      <c r="HS108" s="23">
        <f>HQ108/HI108</f>
        <v>-14.589379600420708</v>
      </c>
      <c r="HT108" s="28">
        <v>31.138000000000002</v>
      </c>
      <c r="HU108" s="79">
        <v>0.55500000000000005</v>
      </c>
      <c r="HV108" s="79">
        <v>0.35899999999999999</v>
      </c>
      <c r="HW108" s="79">
        <v>-5.0069999999999997</v>
      </c>
      <c r="HX108" s="79">
        <v>0.46100000000000002</v>
      </c>
      <c r="HY108" s="79">
        <v>-11.817</v>
      </c>
      <c r="HZ108" s="79">
        <v>-1.885</v>
      </c>
      <c r="IA108" s="79"/>
      <c r="IB108" s="79">
        <v>4.7039999999999997</v>
      </c>
      <c r="IC108" s="79">
        <f t="shared" si="526"/>
        <v>-10.744999999999999</v>
      </c>
      <c r="ID108" s="79">
        <f>HT108-IC108</f>
        <v>41.883000000000003</v>
      </c>
      <c r="IE108" s="23">
        <f>IC108/HT108</f>
        <v>-0.34507675509024338</v>
      </c>
      <c r="IF108" s="316">
        <v>-29.236000000000001</v>
      </c>
      <c r="IG108" s="153">
        <v>-2.8940000000000001</v>
      </c>
      <c r="IH108" s="153">
        <v>-6.1790000000000003</v>
      </c>
      <c r="II108" s="153">
        <v>6.8049999999999997</v>
      </c>
      <c r="IJ108" s="153">
        <v>-7.3259999999999996</v>
      </c>
      <c r="IK108" s="153">
        <v>-8.91</v>
      </c>
      <c r="IL108" s="153">
        <v>-9.7479999999999993</v>
      </c>
      <c r="IM108" s="153"/>
      <c r="IN108" s="153">
        <v>1.5009999999999999</v>
      </c>
      <c r="IO108" s="153">
        <f t="shared" si="349"/>
        <v>-17.003</v>
      </c>
      <c r="IP108" s="153">
        <f t="shared" si="522"/>
        <v>-12.233000000000001</v>
      </c>
      <c r="IQ108" s="258">
        <f t="shared" si="350"/>
        <v>-30.775999999999982</v>
      </c>
      <c r="IR108" s="149">
        <f>JH108</f>
        <v>5332.2250000000004</v>
      </c>
      <c r="IS108" s="153">
        <f>IR108-IR107</f>
        <v>283.45200000000023</v>
      </c>
      <c r="IT108" s="153">
        <f t="shared" si="529"/>
        <v>0</v>
      </c>
      <c r="IU108" s="153">
        <f t="shared" si="352"/>
        <v>278.779</v>
      </c>
      <c r="IV108" s="153">
        <f t="shared" si="324"/>
        <v>31.138000000000002</v>
      </c>
      <c r="IW108" s="153">
        <v>-29.236000000000001</v>
      </c>
      <c r="IX108" s="153">
        <f t="shared" si="530"/>
        <v>2.770999999999999</v>
      </c>
      <c r="IY108" s="153">
        <v>-20.09</v>
      </c>
      <c r="IZ108" s="153">
        <v>10.943</v>
      </c>
      <c r="JA108" s="153">
        <v>11.917999999999999</v>
      </c>
      <c r="JB108" s="23">
        <f t="shared" si="486"/>
        <v>0.33218446299526538</v>
      </c>
      <c r="JC108" s="23">
        <f t="shared" si="487"/>
        <v>0.17985142038375282</v>
      </c>
      <c r="JD108" s="23">
        <f t="shared" si="488"/>
        <v>0.15233304261151259</v>
      </c>
      <c r="JE108" s="22">
        <f t="shared" si="489"/>
        <v>1.7367243957139296E-2</v>
      </c>
      <c r="JF108" s="22">
        <f t="shared" si="326"/>
        <v>1.9398205831049091E-3</v>
      </c>
      <c r="JG108" s="22">
        <f t="shared" si="327"/>
        <v>-1.821330675305258E-3</v>
      </c>
      <c r="JH108" s="5">
        <v>5332.2250000000004</v>
      </c>
      <c r="JI108" s="192">
        <v>143.018</v>
      </c>
      <c r="JJ108" s="76">
        <v>387.09199999999998</v>
      </c>
      <c r="JK108" s="76">
        <v>847.39099999999996</v>
      </c>
      <c r="JL108" s="76">
        <v>607.84900000000005</v>
      </c>
      <c r="JM108" s="76">
        <v>172.608</v>
      </c>
      <c r="JN108" s="76">
        <f t="shared" si="354"/>
        <v>613.17100000000005</v>
      </c>
      <c r="JO108" s="76">
        <v>288.822</v>
      </c>
      <c r="JP108" s="76">
        <v>324.34899999999999</v>
      </c>
      <c r="JQ108" s="76">
        <v>16.335000000000001</v>
      </c>
      <c r="JR108" s="76">
        <v>258.86399999999998</v>
      </c>
      <c r="JS108" s="76">
        <f t="shared" si="527"/>
        <v>2886.9750000000004</v>
      </c>
      <c r="JT108" s="76">
        <f t="shared" si="355"/>
        <v>2445.25</v>
      </c>
      <c r="JU108" s="23">
        <f t="shared" si="356"/>
        <v>0.54142032641158244</v>
      </c>
      <c r="JV108" s="23">
        <f t="shared" si="357"/>
        <v>7.2594836114380015E-2</v>
      </c>
      <c r="JW108" s="23">
        <f t="shared" si="358"/>
        <v>0.15891883782098465</v>
      </c>
      <c r="JX108" s="23">
        <f t="shared" si="359"/>
        <v>0.11399537716431696</v>
      </c>
      <c r="JY108" s="23">
        <f t="shared" si="360"/>
        <v>3.2370727041713357E-2</v>
      </c>
      <c r="JZ108" s="23">
        <f t="shared" si="361"/>
        <v>0.11499345957831862</v>
      </c>
      <c r="KA108" s="23">
        <f t="shared" si="362"/>
        <v>4.8547088691868773E-2</v>
      </c>
      <c r="KB108" s="149">
        <v>189.08500000000001</v>
      </c>
      <c r="KC108" s="316">
        <v>797.18299999999999</v>
      </c>
      <c r="KD108" s="316">
        <v>608.09799999999996</v>
      </c>
      <c r="KE108" s="589">
        <f t="shared" si="242"/>
        <v>0.76280853956996064</v>
      </c>
      <c r="KF108" s="1071">
        <v>0</v>
      </c>
      <c r="KG108" s="153">
        <v>13.958</v>
      </c>
      <c r="KH108" s="153">
        <v>36.994999999999997</v>
      </c>
      <c r="KI108" s="153">
        <v>39.594999999999999</v>
      </c>
      <c r="KJ108" s="153">
        <v>-17.756</v>
      </c>
      <c r="KK108" s="153">
        <v>-56.417000000000002</v>
      </c>
      <c r="KL108" s="153">
        <v>-64.738</v>
      </c>
      <c r="KM108" s="153">
        <v>17.981999999999999</v>
      </c>
      <c r="KN108" s="153">
        <v>82.721000000000004</v>
      </c>
      <c r="KO108" s="153"/>
      <c r="KP108" s="153">
        <v>8.9060000000000006</v>
      </c>
      <c r="KQ108" s="153">
        <f t="shared" si="328"/>
        <v>25.280999999999999</v>
      </c>
      <c r="KR108" s="153">
        <f t="shared" si="329"/>
        <v>163.804</v>
      </c>
      <c r="KS108" s="23">
        <f t="shared" si="490"/>
        <v>1.0204585098430103E-2</v>
      </c>
      <c r="KT108" s="23"/>
      <c r="KU108" s="326">
        <v>5143.1400000000003</v>
      </c>
      <c r="KV108" s="430">
        <f t="shared" si="252"/>
        <v>143.018</v>
      </c>
      <c r="KW108" s="153">
        <f t="shared" si="491"/>
        <v>373.13399999999996</v>
      </c>
      <c r="KX108" s="153">
        <f t="shared" si="492"/>
        <v>810.39599999999996</v>
      </c>
      <c r="KY108" s="153">
        <f t="shared" si="493"/>
        <v>568.25400000000002</v>
      </c>
      <c r="KZ108" s="153">
        <f t="shared" si="494"/>
        <v>190.364</v>
      </c>
      <c r="LA108" s="153">
        <f t="shared" si="495"/>
        <v>669.58800000000008</v>
      </c>
      <c r="LB108" s="153">
        <f t="shared" si="496"/>
        <v>353.56</v>
      </c>
      <c r="LC108" s="153"/>
      <c r="LD108" s="153">
        <f t="shared" si="455"/>
        <v>249.95799999999997</v>
      </c>
      <c r="LE108" s="153">
        <f t="shared" si="456"/>
        <v>2861.6940000000004</v>
      </c>
      <c r="LF108" s="153">
        <f t="shared" si="497"/>
        <v>0</v>
      </c>
      <c r="LG108" s="153">
        <f t="shared" si="498"/>
        <v>2281.4459999999999</v>
      </c>
      <c r="LH108" s="22">
        <f t="shared" si="499"/>
        <v>0.55640989745563996</v>
      </c>
      <c r="LI108" s="23">
        <f t="shared" si="457"/>
        <v>7.2549843091963259E-2</v>
      </c>
      <c r="LJ108" s="23">
        <f t="shared" si="458"/>
        <v>0.1575683337416442</v>
      </c>
      <c r="LK108" s="23">
        <f t="shared" si="459"/>
        <v>0.11048775650672546</v>
      </c>
      <c r="LL108" s="23">
        <f t="shared" si="460"/>
        <v>3.7013186496964889E-2</v>
      </c>
      <c r="LM108" s="23">
        <f t="shared" si="461"/>
        <v>0.1301905061888263</v>
      </c>
      <c r="LN108" s="23">
        <f t="shared" si="462"/>
        <v>6.8743996857950587E-2</v>
      </c>
      <c r="LO108" s="23"/>
      <c r="LP108" s="23">
        <f t="shared" si="463"/>
        <v>4.8600271429515812E-2</v>
      </c>
      <c r="LQ108" s="23">
        <f t="shared" si="500"/>
        <v>0.320404933964615</v>
      </c>
      <c r="LR108" s="23">
        <f t="shared" si="501"/>
        <v>0.14212845751308248</v>
      </c>
      <c r="LS108" s="23">
        <f t="shared" si="502"/>
        <v>0.17827647645153255</v>
      </c>
      <c r="LT108" s="326">
        <v>1202.7149999999999</v>
      </c>
      <c r="LU108" s="153">
        <f t="shared" si="363"/>
        <v>9.9999999991950972E-4</v>
      </c>
      <c r="LV108" s="153">
        <f t="shared" si="503"/>
        <v>189.08500000000001</v>
      </c>
      <c r="LW108" s="153">
        <f t="shared" si="504"/>
        <v>608.09799999999996</v>
      </c>
      <c r="LX108" s="153">
        <v>405.53100000000001</v>
      </c>
      <c r="LY108" s="23">
        <f>LX108/Liabilities!GT108</f>
        <v>0.11204030379802792</v>
      </c>
      <c r="LZ108" s="23">
        <f t="shared" si="253"/>
        <v>0.34435525575020826</v>
      </c>
      <c r="MA108" s="425">
        <v>1785.751</v>
      </c>
      <c r="MB108" s="153">
        <f t="shared" si="364"/>
        <v>0</v>
      </c>
      <c r="MC108" s="153">
        <v>772.12199999999996</v>
      </c>
      <c r="MD108" s="153">
        <f t="shared" si="365"/>
        <v>405.53100000000001</v>
      </c>
      <c r="ME108" s="153">
        <f t="shared" si="366"/>
        <v>608.09799999999996</v>
      </c>
      <c r="MF108" s="153">
        <v>1177.653</v>
      </c>
      <c r="MG108" s="153">
        <f t="shared" si="505"/>
        <v>797.18299999999999</v>
      </c>
      <c r="MH108" s="326">
        <f t="shared" si="506"/>
        <v>5143.1400000000003</v>
      </c>
      <c r="MI108" s="1008">
        <f>FoF_RoW!$BH78/1000</f>
        <v>6088.7209999999995</v>
      </c>
      <c r="MJ108" s="1008">
        <v>7102.3509999999997</v>
      </c>
      <c r="MK108" s="1008">
        <f>FoF_RoW!$AU78/1000</f>
        <v>300.49599999999998</v>
      </c>
      <c r="ML108" s="1008">
        <f t="shared" si="254"/>
        <v>304.98499999999967</v>
      </c>
      <c r="MM108" s="425">
        <f t="shared" si="507"/>
        <v>5899.6359999999995</v>
      </c>
      <c r="MN108" s="23">
        <f t="shared" si="508"/>
        <v>1.1470883545849422</v>
      </c>
      <c r="MO108" s="153">
        <v>7375.049</v>
      </c>
      <c r="MP108" s="425">
        <v>6172.3339999999998</v>
      </c>
      <c r="MQ108" s="23">
        <f t="shared" si="367"/>
        <v>1.2001100495028327</v>
      </c>
      <c r="MR108" s="23">
        <f t="shared" si="368"/>
        <v>1.0462228517149195</v>
      </c>
      <c r="MS108" s="153">
        <f t="shared" si="509"/>
        <v>189.08500000000001</v>
      </c>
      <c r="MT108" s="153">
        <v>1202.7149999999999</v>
      </c>
      <c r="MU108" s="153">
        <v>1785.751</v>
      </c>
      <c r="MV108" s="153">
        <v>5783.5</v>
      </c>
      <c r="MW108" s="153">
        <v>3619.51</v>
      </c>
      <c r="MX108" s="23">
        <f t="shared" si="369"/>
        <v>1.5978682197314</v>
      </c>
      <c r="MY108" s="425">
        <f t="shared" si="255"/>
        <v>-8619.4680000000008</v>
      </c>
      <c r="MZ108" s="23">
        <f t="shared" si="510"/>
        <v>-0.53697159232494396</v>
      </c>
      <c r="NA108" s="80">
        <v>23849.445</v>
      </c>
      <c r="NB108" s="153">
        <v>32167.823</v>
      </c>
      <c r="NC108" s="425">
        <f t="shared" si="330"/>
        <v>-6728.1760000000013</v>
      </c>
      <c r="ND108" s="23">
        <f t="shared" si="331"/>
        <v>-0.4191487665088463</v>
      </c>
      <c r="NE108" s="330">
        <f t="shared" si="332"/>
        <v>1697.0899999999995</v>
      </c>
      <c r="NF108" s="23">
        <f t="shared" si="333"/>
        <v>0.10572452030899573</v>
      </c>
      <c r="NG108" s="330">
        <f t="shared" si="334"/>
        <v>-194.202</v>
      </c>
      <c r="NH108" s="23">
        <f t="shared" si="335"/>
        <v>-1.2098305507101918E-2</v>
      </c>
      <c r="NI108" s="330">
        <v>301.08999999999997</v>
      </c>
      <c r="NJ108" s="425">
        <v>258.827</v>
      </c>
      <c r="NK108" s="403">
        <f t="shared" si="393"/>
        <v>1.6124283578370296E-2</v>
      </c>
      <c r="NL108" s="23"/>
      <c r="NM108" s="23"/>
      <c r="NN108" s="23"/>
      <c r="NO108" s="425">
        <f t="shared" si="100"/>
        <v>186.822</v>
      </c>
      <c r="NP108" s="153">
        <v>807.43</v>
      </c>
      <c r="NQ108" s="153">
        <v>620.60799999999995</v>
      </c>
      <c r="NR108" s="403">
        <f t="shared" si="394"/>
        <v>1.1638549713431348E-2</v>
      </c>
      <c r="NS108" s="403">
        <f t="shared" si="395"/>
        <v>1.6124283578370296E-2</v>
      </c>
      <c r="NT108" s="403">
        <f t="shared" si="396"/>
        <v>-4.4857338649389473E-3</v>
      </c>
      <c r="NU108" s="727">
        <f t="shared" si="511"/>
        <v>6.4753138764039667E-2</v>
      </c>
      <c r="NV108" s="688">
        <f t="shared" si="512"/>
        <v>6.7746213495205473E-2</v>
      </c>
      <c r="NW108" s="688">
        <f t="shared" si="513"/>
        <v>7.7710892567575449E-2</v>
      </c>
      <c r="NX108" s="793">
        <f>(ER108-T.A2!B60*T.A1!M60)/MP108</f>
        <v>6.3423640475030379E-2</v>
      </c>
      <c r="NY108" s="688">
        <f>Liabilities!BU108/Liabilities!GY108</f>
        <v>2.194224950289617E-2</v>
      </c>
      <c r="NZ108" s="688">
        <f>Liabilities!BU108/Liabilities!GT108</f>
        <v>3.50608231500949E-2</v>
      </c>
      <c r="OA108" s="688">
        <f>Liabilities!BU108/Liabilities!GR108</f>
        <v>4.2969941729531433E-2</v>
      </c>
      <c r="OB108" s="688">
        <f t="shared" si="256"/>
        <v>4.28108892611435E-2</v>
      </c>
      <c r="OC108" s="688">
        <f t="shared" si="257"/>
        <v>3.2685390345110574E-2</v>
      </c>
      <c r="OD108" s="688"/>
      <c r="OE108" s="793">
        <f t="shared" si="514"/>
        <v>7.1104895285065056E-2</v>
      </c>
      <c r="OF108" s="793">
        <f>OE108/(1-'Assets(MOFA)'!GU61)</f>
        <v>8.8871817053049654E-2</v>
      </c>
      <c r="OG108" s="793">
        <f>Liabilities!HV108</f>
        <v>3.7905383373954576E-2</v>
      </c>
      <c r="OH108" s="793">
        <f t="shared" si="438"/>
        <v>3.319951191111048E-2</v>
      </c>
      <c r="OI108" s="22">
        <f t="shared" si="336"/>
        <v>2.2165550444502708E-2</v>
      </c>
      <c r="OJ108" s="22">
        <f t="shared" si="337"/>
        <v>1.213949067420054E-2</v>
      </c>
      <c r="OK108" s="403">
        <f>Liabilities!CT108/LX108</f>
        <v>1.6950615366026271E-2</v>
      </c>
      <c r="OL108" s="403">
        <f>Liabilities!CU108/MF108</f>
        <v>3.3728101571515547E-2</v>
      </c>
      <c r="OM108" s="153"/>
      <c r="OO108" s="186">
        <f t="shared" si="515"/>
        <v>7.0946245963941543E-2</v>
      </c>
      <c r="OP108" s="308">
        <f t="shared" si="370"/>
        <v>0.36753276850236727</v>
      </c>
      <c r="OQ108" s="308">
        <f t="shared" si="371"/>
        <v>2.6075070193977336E-2</v>
      </c>
      <c r="OR108" s="313">
        <f t="shared" si="372"/>
        <v>0</v>
      </c>
      <c r="OS108" s="23">
        <f t="shared" si="373"/>
        <v>0.12453909743696422</v>
      </c>
      <c r="OT108" s="23">
        <f t="shared" si="374"/>
        <v>7.242246384831405E-2</v>
      </c>
      <c r="OU108" s="23">
        <f t="shared" si="375"/>
        <v>5.1591383972726723E-2</v>
      </c>
      <c r="OV108" s="23">
        <f t="shared" si="376"/>
        <v>0.12692406654827298</v>
      </c>
      <c r="OW108" s="23">
        <f t="shared" si="377"/>
        <v>8.128425652716223E-2</v>
      </c>
      <c r="OX108" s="23">
        <f t="shared" si="378"/>
        <v>7.62925983829707E-2</v>
      </c>
      <c r="OY108" s="23">
        <f t="shared" si="379"/>
        <v>8.3839772333046472E-2</v>
      </c>
      <c r="OZ108" s="23">
        <f t="shared" si="380"/>
        <v>8.1777721335904149E-2</v>
      </c>
      <c r="PA108" s="23">
        <f t="shared" si="381"/>
        <v>5.979969102630564E-2</v>
      </c>
      <c r="PB108" s="23">
        <f t="shared" si="382"/>
        <v>2.1978030309598509E-2</v>
      </c>
      <c r="PC108" s="23"/>
      <c r="PD108" s="23"/>
      <c r="PE108" s="23"/>
      <c r="PF108" s="23"/>
      <c r="PG108" s="69"/>
      <c r="PH108" s="23"/>
      <c r="PI108" s="23"/>
      <c r="PL108" s="11">
        <f>'Assets(MOFA)'!GO61/MM108/1000</f>
        <v>1.3292514995840422E-2</v>
      </c>
      <c r="PM108" s="11">
        <f t="shared" si="429"/>
        <v>-1.3292514995840422E-2</v>
      </c>
    </row>
    <row r="109" spans="1:429">
      <c r="B109" s="71">
        <v>2017</v>
      </c>
      <c r="C109" s="43"/>
      <c r="D109" s="69"/>
      <c r="E109" s="19"/>
      <c r="F109" s="19"/>
      <c r="G109" s="73"/>
      <c r="H109" s="23"/>
      <c r="I109" s="89"/>
      <c r="J109" s="59"/>
      <c r="K109" s="60"/>
      <c r="L109" s="89"/>
      <c r="M109" s="59"/>
      <c r="N109" s="61"/>
      <c r="O109" s="59"/>
      <c r="P109" s="59"/>
      <c r="Q109" s="261"/>
      <c r="R109" s="52"/>
      <c r="S109" s="51"/>
      <c r="T109" s="90"/>
      <c r="U109" s="90"/>
      <c r="V109" s="50"/>
      <c r="W109" s="51"/>
      <c r="X109" s="90"/>
      <c r="Y109" s="69"/>
      <c r="Z109" s="90"/>
      <c r="AA109" s="90"/>
      <c r="AB109" s="90"/>
      <c r="AC109" s="90"/>
      <c r="AD109" s="261"/>
      <c r="AE109" s="261"/>
      <c r="AF109" s="261"/>
      <c r="AG109" s="261"/>
      <c r="AH109" s="69"/>
      <c r="AI109" s="22"/>
      <c r="AJ109" s="22"/>
      <c r="AK109" s="11"/>
      <c r="AL109" s="225"/>
      <c r="AM109" s="72"/>
      <c r="AN109" s="261"/>
      <c r="AO109" s="261"/>
      <c r="AQ109" s="72"/>
      <c r="AR109" s="223"/>
      <c r="AS109" s="718"/>
      <c r="AT109" s="223"/>
      <c r="AU109" s="223"/>
      <c r="AV109" s="223"/>
      <c r="AW109" s="223"/>
      <c r="AX109" s="223"/>
      <c r="AY109" s="223"/>
      <c r="AZ109" s="223"/>
      <c r="BA109" s="223"/>
      <c r="BB109" s="223"/>
      <c r="BC109" s="223"/>
      <c r="BD109" s="223"/>
      <c r="BE109" s="223"/>
      <c r="BF109" s="234">
        <v>0.35</v>
      </c>
      <c r="BG109" s="437"/>
      <c r="BH109" s="11"/>
      <c r="BI109" s="252"/>
      <c r="BJ109" s="60"/>
      <c r="BK109" s="258"/>
      <c r="BL109" s="258"/>
      <c r="BM109" s="256"/>
      <c r="BN109" s="11"/>
      <c r="BO109" s="11"/>
      <c r="BP109" s="146"/>
      <c r="BQ109" s="11"/>
      <c r="BR109" s="11"/>
      <c r="BU109" s="11"/>
      <c r="BX109" s="11"/>
      <c r="BY109" s="11"/>
      <c r="BZ109" s="11"/>
      <c r="CA109" s="11"/>
      <c r="CB109" s="11"/>
      <c r="CC109" s="173"/>
      <c r="CD109" s="177"/>
      <c r="CG109" s="240"/>
      <c r="CI109" s="69"/>
      <c r="CL109" s="78"/>
      <c r="CM109" s="78"/>
      <c r="CN109" s="78"/>
      <c r="CO109" s="78"/>
      <c r="CS109" s="13"/>
      <c r="CZ109" s="69"/>
      <c r="DA109" s="90"/>
      <c r="DI109" s="67"/>
      <c r="EG109" s="299"/>
      <c r="EH109" s="26"/>
      <c r="EI109" s="26"/>
      <c r="EJ109" s="26"/>
      <c r="EK109" s="242"/>
      <c r="EL109" s="26"/>
      <c r="EM109" s="26"/>
      <c r="EN109" s="26"/>
      <c r="EO109" s="79"/>
      <c r="EP109" s="79"/>
      <c r="EQ109" s="13"/>
      <c r="ER109" s="301"/>
      <c r="ES109" s="51"/>
      <c r="ET109" s="51"/>
      <c r="EU109" s="51"/>
      <c r="EV109" s="51"/>
      <c r="EW109" s="13"/>
      <c r="EX109" s="13"/>
      <c r="EY109" s="13"/>
      <c r="EZ109" s="13"/>
      <c r="FA109" s="13"/>
      <c r="FB109" s="13"/>
      <c r="FC109" s="13"/>
      <c r="FD109" s="13"/>
      <c r="FE109" s="13"/>
      <c r="FF109" s="13"/>
      <c r="FG109" s="13"/>
      <c r="FH109" s="13"/>
      <c r="FI109" s="13"/>
      <c r="FJ109" s="13"/>
      <c r="FK109" s="13"/>
      <c r="FL109" s="13"/>
      <c r="FM109" s="13"/>
      <c r="FN109" s="13"/>
      <c r="FO109" s="13"/>
      <c r="FP109" s="13"/>
      <c r="FQ109" s="23"/>
      <c r="FR109" s="13"/>
      <c r="FS109" s="13"/>
      <c r="FT109" s="13"/>
      <c r="FU109" s="13"/>
      <c r="FV109" s="13"/>
      <c r="FW109" s="301"/>
      <c r="FX109" s="13"/>
      <c r="FY109" s="13"/>
      <c r="FZ109" s="13"/>
      <c r="GA109" s="13"/>
      <c r="GB109" s="13"/>
      <c r="GC109" s="13"/>
      <c r="GD109" s="13"/>
      <c r="GE109" s="13"/>
      <c r="GF109" s="13"/>
      <c r="GG109" s="13"/>
      <c r="GH109" s="182"/>
      <c r="GR109" s="26"/>
      <c r="GS109" s="79"/>
      <c r="GT109" s="11"/>
      <c r="GU109" s="293"/>
      <c r="GV109" s="79"/>
      <c r="GW109" s="79"/>
      <c r="GX109" s="79"/>
      <c r="GY109" s="79"/>
      <c r="GZ109" s="79"/>
      <c r="HA109" s="79"/>
      <c r="HB109" s="79"/>
      <c r="HC109" s="79"/>
      <c r="HD109" s="79"/>
      <c r="HE109" s="79"/>
      <c r="HF109" s="71"/>
      <c r="HG109" s="71"/>
      <c r="HH109" s="136"/>
      <c r="HI109" s="97"/>
      <c r="HJ109" s="71"/>
      <c r="HK109" s="71"/>
      <c r="HL109" s="71"/>
      <c r="HM109" s="71"/>
      <c r="HN109" s="71"/>
      <c r="HO109" s="71"/>
      <c r="HP109" s="71"/>
      <c r="HQ109" s="26"/>
      <c r="HR109" s="71"/>
      <c r="HS109" s="71"/>
      <c r="HT109" s="28"/>
      <c r="HU109" s="79"/>
      <c r="HV109" s="79"/>
      <c r="HW109" s="79"/>
      <c r="HX109" s="79"/>
      <c r="HY109" s="79"/>
      <c r="HZ109" s="79"/>
      <c r="IA109" s="79"/>
      <c r="IB109" s="79"/>
      <c r="IC109" s="26"/>
      <c r="ID109" s="79"/>
      <c r="IE109" s="71"/>
      <c r="IF109" s="71"/>
      <c r="IG109" s="79"/>
      <c r="IH109" s="79"/>
      <c r="II109" s="79"/>
      <c r="IJ109" s="79"/>
      <c r="IK109" s="79"/>
      <c r="IL109" s="79"/>
      <c r="IM109" s="79"/>
      <c r="IN109" s="79"/>
      <c r="IO109" s="79"/>
      <c r="IP109" s="79"/>
      <c r="IQ109" s="74"/>
      <c r="IR109" s="69"/>
      <c r="JH109" s="182"/>
      <c r="JI109" s="185"/>
      <c r="JK109" s="76"/>
      <c r="JL109" s="76"/>
      <c r="JM109" s="76"/>
      <c r="JN109" s="76"/>
      <c r="JO109" s="76"/>
      <c r="JP109" s="76"/>
      <c r="JQ109" s="76"/>
      <c r="JR109" s="76"/>
      <c r="JS109" s="76"/>
      <c r="JT109" s="80"/>
      <c r="JU109" s="71"/>
      <c r="JV109" s="71"/>
      <c r="JW109" s="71"/>
      <c r="JX109" s="71"/>
      <c r="JY109" s="71"/>
      <c r="JZ109" s="71"/>
      <c r="KA109" s="71"/>
      <c r="KB109" s="148"/>
      <c r="KC109" s="74"/>
      <c r="KD109" s="74"/>
      <c r="KE109" s="904"/>
      <c r="KF109" s="904"/>
      <c r="KG109" s="71"/>
      <c r="KH109" s="71"/>
      <c r="KI109" s="71"/>
      <c r="KJ109" s="71"/>
      <c r="KK109" s="71"/>
      <c r="KL109" s="71"/>
      <c r="KM109" s="340"/>
      <c r="KN109" s="340"/>
      <c r="KO109" s="71"/>
      <c r="KP109" s="71"/>
      <c r="KQ109" s="71"/>
      <c r="KR109" s="71"/>
      <c r="KS109" s="71"/>
      <c r="KT109" s="340"/>
      <c r="KU109" s="293"/>
      <c r="KV109" s="136"/>
      <c r="KW109" s="79"/>
      <c r="KX109" s="79"/>
      <c r="KY109" s="79"/>
      <c r="KZ109" s="79"/>
      <c r="LA109" s="79"/>
      <c r="LB109" s="79"/>
      <c r="LC109" s="79"/>
      <c r="LD109" s="79"/>
      <c r="LE109" s="79"/>
      <c r="LF109" s="79"/>
      <c r="LG109" s="79"/>
      <c r="LH109" s="71"/>
      <c r="LI109" s="71"/>
      <c r="LJ109" s="71"/>
      <c r="LK109" s="71"/>
      <c r="LL109" s="71"/>
      <c r="LM109" s="71"/>
      <c r="LN109" s="71"/>
      <c r="LO109" s="71"/>
      <c r="LP109" s="71"/>
      <c r="LQ109" s="71"/>
      <c r="LR109" s="71"/>
      <c r="LS109" s="71"/>
      <c r="LT109" s="293"/>
      <c r="LU109" s="79"/>
      <c r="LV109" s="79"/>
      <c r="LW109" s="79"/>
      <c r="LX109" s="79"/>
      <c r="LY109" s="79"/>
      <c r="LZ109" s="79"/>
      <c r="MA109" s="79"/>
      <c r="MB109" s="79"/>
      <c r="MC109" s="79"/>
      <c r="MD109" s="79"/>
      <c r="ME109" s="79"/>
      <c r="MF109" s="79"/>
      <c r="MG109" s="79"/>
      <c r="MH109" s="293"/>
      <c r="MI109" s="136">
        <f>FoF_RoW!$BH79/1000</f>
        <v>6424.2489999999998</v>
      </c>
      <c r="MJ109" s="136"/>
      <c r="MK109" s="136"/>
      <c r="ML109" s="136"/>
      <c r="MM109" s="79"/>
      <c r="MN109" s="79"/>
      <c r="MO109" s="79"/>
      <c r="MP109" s="79"/>
      <c r="MQ109" s="79"/>
      <c r="MR109" s="79"/>
      <c r="MS109" s="79"/>
      <c r="MT109" s="79"/>
      <c r="MU109" s="79"/>
      <c r="MV109" s="79"/>
      <c r="MW109" s="79"/>
      <c r="MX109" s="79"/>
      <c r="MY109" s="79"/>
      <c r="MZ109" s="79"/>
      <c r="NA109" s="79"/>
      <c r="NB109" s="79"/>
      <c r="NC109" s="79"/>
      <c r="ND109" s="79"/>
      <c r="NE109" s="79"/>
      <c r="NF109" s="79"/>
      <c r="NG109" s="79"/>
      <c r="NH109" s="79"/>
      <c r="NI109" s="76"/>
      <c r="NJ109" s="79"/>
      <c r="NK109" s="79"/>
      <c r="NL109" s="79"/>
      <c r="NM109" s="79"/>
      <c r="NN109" s="79"/>
      <c r="NO109" s="79"/>
      <c r="NP109" s="79"/>
      <c r="NQ109" s="79"/>
      <c r="NR109" s="79"/>
      <c r="NS109" s="79"/>
      <c r="NT109" s="79"/>
      <c r="NU109" s="148"/>
      <c r="NV109" s="687"/>
      <c r="NW109" s="687"/>
      <c r="NX109" s="794"/>
      <c r="NY109" s="687"/>
      <c r="NZ109" s="687"/>
      <c r="OA109" s="687"/>
      <c r="OB109" s="687"/>
      <c r="OC109" s="687"/>
      <c r="OD109" s="687"/>
      <c r="OE109" s="794"/>
      <c r="OF109" s="794"/>
      <c r="OG109" s="794"/>
      <c r="OH109" s="794"/>
      <c r="OI109" s="71"/>
      <c r="OJ109" s="71"/>
      <c r="OK109" s="402"/>
      <c r="OL109" s="402"/>
      <c r="OM109" s="79"/>
      <c r="OO109" s="97"/>
      <c r="OP109" s="139"/>
      <c r="OQ109" s="29"/>
      <c r="OR109" s="29"/>
      <c r="OS109" s="71"/>
      <c r="OT109" s="71"/>
      <c r="OU109" s="71"/>
      <c r="OV109" s="71"/>
      <c r="OW109" s="71"/>
      <c r="OX109" s="71"/>
      <c r="OY109" s="71"/>
      <c r="OZ109" s="71"/>
      <c r="PA109" s="71"/>
      <c r="PG109" s="69"/>
      <c r="PH109" s="79"/>
      <c r="PI109" s="79"/>
    </row>
    <row r="110" spans="1:429">
      <c r="A110" s="71"/>
      <c r="B110" s="71">
        <v>2018</v>
      </c>
      <c r="C110" s="43"/>
      <c r="D110" s="69"/>
      <c r="E110" s="19"/>
      <c r="F110" s="19"/>
      <c r="G110" s="73"/>
      <c r="H110" s="23"/>
      <c r="I110" s="89"/>
      <c r="J110" s="59"/>
      <c r="K110" s="60"/>
      <c r="L110" s="89"/>
      <c r="M110" s="59"/>
      <c r="N110" s="61"/>
      <c r="O110" s="59"/>
      <c r="P110" s="59"/>
      <c r="Q110" s="12"/>
      <c r="R110" s="52"/>
      <c r="S110" s="51"/>
      <c r="T110" s="90"/>
      <c r="U110" s="90"/>
      <c r="V110" s="50"/>
      <c r="W110" s="51"/>
      <c r="X110" s="90"/>
      <c r="Y110" s="69"/>
      <c r="Z110" s="90"/>
      <c r="AA110" s="90"/>
      <c r="AB110" s="90"/>
      <c r="AC110" s="90"/>
      <c r="AD110" s="211"/>
      <c r="AE110" s="211"/>
      <c r="AF110" s="214"/>
      <c r="AG110" s="261"/>
      <c r="AH110" s="69"/>
      <c r="AI110" s="71"/>
      <c r="AJ110" s="22"/>
      <c r="AK110" s="11"/>
      <c r="AM110" s="90"/>
      <c r="AN110" s="12"/>
      <c r="AO110" s="239"/>
      <c r="AQ110" s="90"/>
      <c r="AR110" s="223"/>
      <c r="AS110" s="718"/>
      <c r="AT110" s="223"/>
      <c r="AU110" s="223"/>
      <c r="AV110" s="223"/>
      <c r="AW110" s="223"/>
      <c r="AX110" s="223"/>
      <c r="AY110" s="223"/>
      <c r="AZ110" s="223"/>
      <c r="BA110" s="223"/>
      <c r="BB110" s="223"/>
      <c r="BC110" s="223"/>
      <c r="BD110" s="223"/>
      <c r="BE110" s="223"/>
      <c r="BF110" s="234">
        <v>0.21</v>
      </c>
      <c r="BG110" s="437"/>
      <c r="BH110" s="11"/>
      <c r="BI110" s="252"/>
      <c r="BJ110" s="72"/>
      <c r="BK110" s="258"/>
      <c r="BL110" s="258"/>
      <c r="BM110" s="256"/>
      <c r="BN110" s="11"/>
      <c r="BO110" s="11"/>
      <c r="BP110" s="146"/>
      <c r="BQ110" s="11"/>
      <c r="BR110" s="11"/>
      <c r="BU110" s="11"/>
      <c r="BX110" s="11"/>
      <c r="BY110" s="11"/>
      <c r="BZ110" s="11"/>
      <c r="CA110" s="11"/>
      <c r="CB110" s="11"/>
      <c r="CC110" s="173"/>
      <c r="CD110" s="177"/>
      <c r="CG110" s="77"/>
      <c r="CI110" s="69"/>
      <c r="CL110" s="78"/>
      <c r="CM110" s="78"/>
      <c r="CN110" s="78"/>
      <c r="CO110" s="78"/>
      <c r="CS110" s="13"/>
      <c r="CZ110" s="69"/>
      <c r="DA110" s="90"/>
      <c r="DI110" s="67"/>
      <c r="ED110" s="81"/>
      <c r="EE110" s="81"/>
      <c r="EF110" s="81"/>
      <c r="EG110" s="5"/>
      <c r="EH110" s="33"/>
      <c r="EI110" s="33"/>
      <c r="EJ110" s="33"/>
      <c r="EK110" s="33"/>
      <c r="EL110" s="33"/>
      <c r="EM110" s="33"/>
      <c r="EN110" s="33"/>
      <c r="EO110" s="23"/>
      <c r="EP110" s="79"/>
      <c r="EQ110" s="13"/>
      <c r="ER110" s="301"/>
      <c r="ES110" s="51"/>
      <c r="ET110" s="51"/>
      <c r="EU110" s="51"/>
      <c r="EV110" s="51"/>
      <c r="EW110" s="13"/>
      <c r="EX110" s="13"/>
      <c r="EY110" s="13"/>
      <c r="EZ110" s="13"/>
      <c r="FA110" s="13"/>
      <c r="FB110" s="13"/>
      <c r="FC110" s="13"/>
      <c r="FD110" s="13"/>
      <c r="FE110" s="13"/>
      <c r="FF110" s="13"/>
      <c r="FG110" s="13"/>
      <c r="FH110" s="13"/>
      <c r="FI110" s="13"/>
      <c r="FJ110" s="13"/>
      <c r="FK110" s="13"/>
      <c r="FL110" s="13"/>
      <c r="FM110" s="13"/>
      <c r="FN110" s="13"/>
      <c r="FO110" s="13"/>
      <c r="FP110" s="13"/>
      <c r="FQ110" s="23"/>
      <c r="FR110" s="13"/>
      <c r="FS110" s="13"/>
      <c r="FT110" s="13"/>
      <c r="FU110" s="13"/>
      <c r="FV110" s="13"/>
      <c r="FW110" s="301"/>
      <c r="FX110" s="13"/>
      <c r="FY110" s="13"/>
      <c r="FZ110" s="13"/>
      <c r="GA110" s="13"/>
      <c r="GB110" s="13"/>
      <c r="GC110" s="13"/>
      <c r="GD110" s="13"/>
      <c r="GE110" s="13"/>
      <c r="GF110" s="13"/>
      <c r="GG110" s="13"/>
      <c r="GH110" s="182"/>
      <c r="GR110" s="26"/>
      <c r="GS110" s="79"/>
      <c r="GT110" s="13"/>
      <c r="GU110" s="293"/>
      <c r="GV110" s="79"/>
      <c r="GW110" s="79"/>
      <c r="GX110" s="79"/>
      <c r="GY110" s="79"/>
      <c r="GZ110" s="79"/>
      <c r="HA110" s="79"/>
      <c r="HB110" s="79"/>
      <c r="HC110" s="79"/>
      <c r="HD110" s="79"/>
      <c r="HE110" s="79"/>
      <c r="HF110" s="71"/>
      <c r="HG110" s="71"/>
      <c r="HH110" s="136"/>
      <c r="HI110" s="69"/>
      <c r="HJ110" s="71"/>
      <c r="HK110" s="71"/>
      <c r="HL110" s="71"/>
      <c r="HM110" s="71"/>
      <c r="HN110" s="71"/>
      <c r="HO110" s="71"/>
      <c r="HP110" s="71"/>
      <c r="HQ110" s="71"/>
      <c r="HR110" s="71"/>
      <c r="HS110" s="71"/>
      <c r="HT110" s="29"/>
      <c r="HU110" s="71"/>
      <c r="HV110" s="71"/>
      <c r="HW110" s="71"/>
      <c r="HX110" s="71"/>
      <c r="HY110" s="71"/>
      <c r="HZ110" s="71"/>
      <c r="IA110" s="71"/>
      <c r="IB110" s="71"/>
      <c r="IC110" s="71"/>
      <c r="ID110" s="71"/>
      <c r="IE110" s="71"/>
      <c r="IF110" s="71"/>
      <c r="IG110" s="79"/>
      <c r="IH110" s="79"/>
      <c r="II110" s="79"/>
      <c r="IJ110" s="79"/>
      <c r="IK110" s="79"/>
      <c r="IL110" s="79"/>
      <c r="IM110" s="79"/>
      <c r="IN110" s="79"/>
      <c r="IO110" s="79"/>
      <c r="IP110" s="79"/>
      <c r="IQ110" s="74"/>
      <c r="IR110" s="293">
        <f>IR108-IR91</f>
        <v>4116.2650000000003</v>
      </c>
      <c r="IS110" s="79">
        <f>SUM(IS92:IS108)</f>
        <v>4116.2650000000003</v>
      </c>
      <c r="IT110" s="71"/>
      <c r="IU110" s="79">
        <f>SUM(IU92:IU108)</f>
        <v>3202.748</v>
      </c>
      <c r="IV110" s="79">
        <f t="shared" ref="IV110:JA110" si="534">SUM(IV92:IV108)</f>
        <v>1065.9399999999998</v>
      </c>
      <c r="IW110" s="79">
        <f t="shared" si="534"/>
        <v>-78.700999999999993</v>
      </c>
      <c r="IX110" s="79">
        <f t="shared" si="534"/>
        <v>-73.724000000000061</v>
      </c>
      <c r="IY110" s="79">
        <f t="shared" si="534"/>
        <v>-81.488</v>
      </c>
      <c r="IZ110" s="79">
        <f t="shared" si="534"/>
        <v>61.233999999999995</v>
      </c>
      <c r="JA110" s="79">
        <f t="shared" si="534"/>
        <v>-53.47000000000002</v>
      </c>
      <c r="JB110" s="79"/>
      <c r="JC110" s="79"/>
      <c r="JD110" s="79"/>
      <c r="JE110" s="79"/>
      <c r="JF110" s="79"/>
      <c r="JG110" s="79"/>
      <c r="JH110" s="311"/>
      <c r="JI110" s="1069"/>
      <c r="JS110" s="26"/>
      <c r="JT110" s="80"/>
      <c r="JU110" s="71"/>
      <c r="JV110" s="71"/>
      <c r="JW110" s="71"/>
      <c r="JX110" s="71"/>
      <c r="JY110" s="71"/>
      <c r="JZ110" s="71"/>
      <c r="KA110" s="71"/>
      <c r="KB110" s="148"/>
      <c r="KC110" s="74"/>
      <c r="KD110" s="74"/>
      <c r="KE110" s="904"/>
      <c r="KF110" s="904"/>
      <c r="KG110" s="76"/>
      <c r="KH110" s="71"/>
      <c r="KI110" s="71"/>
      <c r="KJ110" s="71"/>
      <c r="KK110" s="71"/>
      <c r="KL110" s="71"/>
      <c r="KM110" s="340"/>
      <c r="KN110" s="340"/>
      <c r="KO110" s="71"/>
      <c r="KP110" s="71"/>
      <c r="KQ110" s="71"/>
      <c r="KR110" s="71"/>
      <c r="KS110" s="71"/>
      <c r="KT110" s="340"/>
      <c r="KU110" s="148"/>
      <c r="KV110" s="904"/>
      <c r="KW110" s="71"/>
      <c r="KX110" s="71"/>
      <c r="KY110" s="71"/>
      <c r="KZ110" s="71"/>
      <c r="LA110" s="71"/>
      <c r="LB110" s="71"/>
      <c r="LC110" s="71"/>
      <c r="LD110" s="71"/>
      <c r="LE110" s="71"/>
      <c r="LF110" s="71"/>
      <c r="LG110" s="71"/>
      <c r="LH110" s="71"/>
      <c r="LI110" s="71"/>
      <c r="LJ110" s="71"/>
      <c r="LK110" s="71"/>
      <c r="LL110" s="71"/>
      <c r="LM110" s="71"/>
      <c r="LN110" s="71"/>
      <c r="LO110" s="71"/>
      <c r="LP110" s="71"/>
      <c r="LQ110" s="71"/>
      <c r="LR110" s="71"/>
      <c r="LS110" s="71"/>
      <c r="LT110" s="293"/>
      <c r="LU110" s="79"/>
      <c r="LV110" s="79"/>
      <c r="LW110" s="79"/>
      <c r="LX110" s="79"/>
      <c r="LY110" s="79"/>
      <c r="LZ110" s="79"/>
      <c r="MA110" s="79"/>
      <c r="MB110" s="79"/>
      <c r="MC110" s="79"/>
      <c r="MD110" s="79"/>
      <c r="ME110" s="79"/>
      <c r="MF110" s="79"/>
      <c r="MG110" s="79"/>
      <c r="MH110" s="148"/>
      <c r="MI110" s="904"/>
      <c r="MJ110" s="904"/>
      <c r="MK110" s="904"/>
      <c r="ML110" s="904"/>
      <c r="MM110" s="394"/>
      <c r="MN110" s="394"/>
      <c r="MO110" s="394"/>
      <c r="MP110" s="394"/>
      <c r="MQ110" s="394"/>
      <c r="MR110" s="900"/>
      <c r="MS110" s="394"/>
      <c r="MT110" s="394"/>
      <c r="MU110" s="394"/>
      <c r="MV110" s="394"/>
      <c r="MW110" s="394"/>
      <c r="MX110" s="900"/>
      <c r="MY110" s="394"/>
      <c r="MZ110" s="394"/>
      <c r="NA110" s="684"/>
      <c r="NB110" s="684"/>
      <c r="NC110" s="394"/>
      <c r="ND110" s="394"/>
      <c r="NE110" s="394"/>
      <c r="NF110" s="394"/>
      <c r="NG110" s="394"/>
      <c r="NH110" s="394"/>
      <c r="NI110" s="76"/>
      <c r="NJ110" s="402"/>
      <c r="NK110" s="394"/>
      <c r="NL110" s="394"/>
      <c r="NM110" s="402"/>
      <c r="NN110" s="402"/>
      <c r="NO110" s="402"/>
      <c r="NP110" s="402"/>
      <c r="NQ110" s="402"/>
      <c r="NR110" s="402"/>
      <c r="NS110" s="402"/>
      <c r="NT110" s="402"/>
      <c r="NU110" s="148"/>
      <c r="NV110" s="687"/>
      <c r="NW110" s="687"/>
      <c r="NX110" s="794"/>
      <c r="NY110" s="687"/>
      <c r="NZ110" s="687"/>
      <c r="OA110" s="687"/>
      <c r="OB110" s="687"/>
      <c r="OC110" s="687"/>
      <c r="OD110" s="687"/>
      <c r="OE110" s="794"/>
      <c r="OF110" s="794"/>
      <c r="OG110" s="794"/>
      <c r="OH110" s="794"/>
      <c r="OI110" s="71"/>
      <c r="OJ110" s="71"/>
      <c r="OK110" s="402"/>
      <c r="OL110" s="402"/>
      <c r="OM110" s="402"/>
      <c r="OO110" s="97"/>
      <c r="OP110" s="139"/>
      <c r="OQ110" s="140"/>
      <c r="OR110" s="140"/>
      <c r="OS110" s="71"/>
      <c r="OT110" s="71"/>
      <c r="OU110" s="71"/>
      <c r="OV110" s="71"/>
      <c r="OW110" s="71"/>
      <c r="OX110" s="71"/>
      <c r="OY110" s="71"/>
      <c r="OZ110" s="71"/>
      <c r="PA110" s="71"/>
      <c r="PG110" s="69"/>
      <c r="PH110" s="71"/>
      <c r="PI110" s="507"/>
    </row>
    <row r="111" spans="1:429">
      <c r="A111" s="71"/>
      <c r="B111" s="71"/>
      <c r="C111" s="91"/>
      <c r="D111" s="69"/>
      <c r="E111" s="90"/>
      <c r="F111" s="90"/>
      <c r="I111" s="90"/>
      <c r="J111" s="90"/>
      <c r="K111" s="90"/>
      <c r="L111" s="90"/>
      <c r="M111" s="90"/>
      <c r="N111" s="92"/>
      <c r="O111" s="90"/>
      <c r="P111" s="90"/>
      <c r="Q111" s="12"/>
      <c r="R111" s="90"/>
      <c r="S111" s="90"/>
      <c r="T111" s="90"/>
      <c r="U111" s="90"/>
      <c r="V111" s="90"/>
      <c r="W111" s="90"/>
      <c r="X111" s="90"/>
      <c r="Y111" s="69"/>
      <c r="Z111" s="90"/>
      <c r="AA111" s="90"/>
      <c r="AB111" s="90"/>
      <c r="AC111" s="90"/>
      <c r="AD111" s="211"/>
      <c r="AE111" s="211"/>
      <c r="AF111" s="214"/>
      <c r="AG111" s="261"/>
      <c r="AH111" s="69"/>
      <c r="AL111" s="81"/>
      <c r="AM111" s="95"/>
      <c r="AN111" s="81"/>
      <c r="AO111" s="81"/>
      <c r="AQ111" s="95"/>
      <c r="AR111" s="90"/>
      <c r="AS111" s="69"/>
      <c r="AT111" s="90"/>
      <c r="AU111" s="90"/>
      <c r="AV111" s="90"/>
      <c r="AW111" s="90"/>
      <c r="AX111" s="90"/>
      <c r="AY111" s="90"/>
      <c r="AZ111" s="90"/>
      <c r="BA111" s="90"/>
      <c r="BB111" s="90"/>
      <c r="BC111" s="90"/>
      <c r="BD111" s="90"/>
      <c r="BE111" s="90"/>
      <c r="BF111" s="237"/>
      <c r="BG111" s="95"/>
      <c r="BI111" s="253"/>
      <c r="BM111" s="253"/>
      <c r="BN111" s="11"/>
      <c r="BO111" s="11"/>
      <c r="BP111" s="146"/>
      <c r="BQ111" s="11"/>
      <c r="BR111" s="11"/>
      <c r="CC111" s="164"/>
      <c r="CD111" s="89"/>
      <c r="CI111" s="69" t="s">
        <v>2277</v>
      </c>
      <c r="CZ111" s="69"/>
      <c r="DA111" s="90"/>
      <c r="DI111" s="67"/>
      <c r="EG111" s="5"/>
      <c r="EH111" s="33"/>
      <c r="EI111" s="33"/>
      <c r="EJ111" s="33"/>
      <c r="EK111" s="33"/>
      <c r="EL111" s="33"/>
      <c r="EM111" s="33"/>
      <c r="EN111" s="33"/>
      <c r="EO111" s="23"/>
      <c r="ER111" s="69"/>
      <c r="ES111" s="90"/>
      <c r="ET111" s="90"/>
      <c r="EU111" s="90"/>
      <c r="EV111" s="90"/>
      <c r="FQ111" s="677"/>
      <c r="FR111" s="23"/>
      <c r="FS111" s="23"/>
      <c r="FT111" s="23"/>
      <c r="FU111" s="23"/>
      <c r="FV111" s="11"/>
      <c r="FW111" s="69"/>
      <c r="GH111" s="67"/>
      <c r="GU111" s="148"/>
      <c r="GV111" s="71"/>
      <c r="GW111" s="71"/>
      <c r="GX111" s="71"/>
      <c r="GY111" s="71"/>
      <c r="GZ111" s="71"/>
      <c r="HA111" s="71"/>
      <c r="HB111" s="71"/>
      <c r="HC111" s="71"/>
      <c r="HD111" s="71"/>
      <c r="HE111" s="71"/>
      <c r="HF111" s="71"/>
      <c r="HG111" s="71"/>
      <c r="HH111" s="74"/>
      <c r="HI111" s="69"/>
      <c r="HJ111" s="185"/>
      <c r="HK111" s="79"/>
      <c r="HL111" s="79"/>
      <c r="HM111" s="79"/>
      <c r="HN111" s="79"/>
      <c r="HO111" s="79"/>
      <c r="HP111" s="79"/>
      <c r="HQ111" s="79"/>
      <c r="HR111" s="79"/>
      <c r="HS111" s="23"/>
      <c r="HT111" s="28"/>
      <c r="HU111" s="79"/>
      <c r="HV111" s="79"/>
      <c r="HW111" s="79"/>
      <c r="HX111" s="79"/>
      <c r="HY111" s="79"/>
      <c r="HZ111" s="79"/>
      <c r="IA111" s="79"/>
      <c r="IB111" s="79"/>
      <c r="IC111" s="79"/>
      <c r="ID111" s="79"/>
      <c r="IE111" s="23"/>
      <c r="IF111" s="71"/>
      <c r="IG111" s="71"/>
      <c r="IH111" s="71"/>
      <c r="II111" s="71"/>
      <c r="IJ111" s="71"/>
      <c r="IK111" s="71"/>
      <c r="IL111" s="71"/>
      <c r="IM111" s="71"/>
      <c r="IN111" s="71"/>
      <c r="IO111" s="71"/>
      <c r="IP111" s="71"/>
      <c r="IQ111" s="74"/>
      <c r="IR111" s="69"/>
      <c r="IU111" s="68" t="s">
        <v>2304</v>
      </c>
      <c r="JH111" s="69"/>
      <c r="JI111" s="90"/>
      <c r="JS111" s="312"/>
      <c r="JT111" s="312"/>
      <c r="JU111" s="71"/>
      <c r="JV111" s="71"/>
      <c r="JW111" s="71"/>
      <c r="JX111" s="71"/>
      <c r="JY111" s="71"/>
      <c r="JZ111" s="71"/>
      <c r="KA111" s="71"/>
      <c r="KB111" s="148"/>
      <c r="KC111" s="74">
        <v>2016</v>
      </c>
      <c r="KD111" s="74" t="s">
        <v>1212</v>
      </c>
      <c r="KE111" s="904"/>
      <c r="KF111" s="904"/>
      <c r="KG111" s="76">
        <v>69.260000000000005</v>
      </c>
      <c r="KH111" s="76">
        <v>32.161000000000001</v>
      </c>
      <c r="KI111" s="76">
        <v>53.262</v>
      </c>
      <c r="KJ111" s="76">
        <v>39.048000000000002</v>
      </c>
      <c r="KK111" s="76">
        <v>97.382000000000005</v>
      </c>
      <c r="KL111" s="76"/>
      <c r="KM111" s="76"/>
      <c r="KN111" s="76"/>
      <c r="KO111" s="76"/>
      <c r="KP111" s="76">
        <v>11.641999999999999</v>
      </c>
      <c r="KQ111" s="76">
        <f>KG111+KH111+KI111+KJ111+KK111+KP111</f>
        <v>302.755</v>
      </c>
      <c r="KR111" s="31">
        <f>KQ111/KD108</f>
        <v>0.49787205351768959</v>
      </c>
      <c r="KS111" s="71"/>
      <c r="KT111" s="340"/>
      <c r="KU111" s="148"/>
      <c r="KV111" s="904"/>
      <c r="KW111" s="71"/>
      <c r="KX111" s="71"/>
      <c r="KY111" s="71"/>
      <c r="KZ111" s="71"/>
      <c r="LA111" s="71"/>
      <c r="LB111" s="71"/>
      <c r="LC111" s="71"/>
      <c r="LD111" s="71"/>
      <c r="LE111" s="71"/>
      <c r="LF111" s="71"/>
      <c r="LG111" s="71"/>
      <c r="LH111" s="71"/>
      <c r="LI111" s="71"/>
      <c r="LJ111" s="71"/>
      <c r="LK111" s="71"/>
      <c r="LL111" s="71"/>
      <c r="LM111" s="71"/>
      <c r="LN111" s="71"/>
      <c r="LO111" s="71"/>
      <c r="LP111" s="71"/>
      <c r="LQ111" s="71"/>
      <c r="LR111" s="71"/>
      <c r="LS111" s="71"/>
      <c r="LT111" s="293"/>
      <c r="LU111" s="79"/>
      <c r="LV111" s="79"/>
      <c r="LW111" s="79"/>
      <c r="LX111" s="79"/>
      <c r="LY111" s="79"/>
      <c r="LZ111" s="79"/>
      <c r="MA111" s="79"/>
      <c r="MB111" s="79"/>
      <c r="MC111" s="79"/>
      <c r="MD111" s="79"/>
      <c r="ME111" s="79"/>
      <c r="MF111" s="79"/>
      <c r="MG111" s="79"/>
      <c r="MH111" s="148"/>
      <c r="MI111" s="904"/>
      <c r="MJ111" s="904"/>
      <c r="MK111" s="904"/>
      <c r="ML111" s="904"/>
      <c r="MM111" s="394"/>
      <c r="MN111" s="394"/>
      <c r="MO111" s="394"/>
      <c r="MP111" s="394"/>
      <c r="MQ111" s="394"/>
      <c r="MR111" s="900"/>
      <c r="MS111" s="394"/>
      <c r="MT111" s="394"/>
      <c r="MU111" s="394"/>
      <c r="MV111" s="394"/>
      <c r="MW111" s="394"/>
      <c r="MX111" s="900"/>
      <c r="MY111" s="394"/>
      <c r="MZ111" s="394"/>
      <c r="NA111" s="684"/>
      <c r="NB111" s="684"/>
      <c r="NC111" s="394"/>
      <c r="ND111" s="394"/>
      <c r="NE111" s="394"/>
      <c r="NF111" s="394"/>
      <c r="NG111" s="394"/>
      <c r="NH111" s="394"/>
      <c r="NI111" s="76"/>
      <c r="NJ111" s="402"/>
      <c r="NK111" s="394"/>
      <c r="NL111" s="394"/>
      <c r="NM111" s="402"/>
      <c r="NN111" s="402"/>
      <c r="NO111" s="402"/>
      <c r="NP111" s="402"/>
      <c r="NQ111" s="402"/>
      <c r="NR111" s="402"/>
      <c r="NS111" s="402"/>
      <c r="NT111" s="402"/>
      <c r="NU111" s="69"/>
      <c r="OD111" s="741"/>
      <c r="OE111" s="741"/>
      <c r="OF111" s="741"/>
      <c r="OG111" s="741"/>
      <c r="OH111" s="741"/>
      <c r="OJ111" s="71"/>
      <c r="OK111" s="402"/>
      <c r="OL111" s="402"/>
      <c r="OM111" s="402"/>
      <c r="OO111" s="97"/>
      <c r="OP111" s="139"/>
      <c r="OQ111" s="29"/>
      <c r="OR111" s="29"/>
      <c r="OS111" s="71"/>
      <c r="OT111" s="71"/>
      <c r="OU111" s="71"/>
      <c r="OV111" s="71"/>
      <c r="OW111" s="71"/>
      <c r="OX111" s="71"/>
      <c r="OY111" s="71"/>
      <c r="OZ111" s="382" t="s">
        <v>776</v>
      </c>
      <c r="PA111" s="71"/>
      <c r="PG111" s="69"/>
      <c r="PH111" s="71"/>
      <c r="PI111" s="507"/>
    </row>
    <row r="112" spans="1:429">
      <c r="A112" s="71">
        <v>1930</v>
      </c>
      <c r="B112" s="71" t="s">
        <v>717</v>
      </c>
      <c r="C112" s="91"/>
      <c r="D112" s="69"/>
      <c r="E112" s="93">
        <f>AVERAGE(E22:E31)</f>
        <v>5.4183261001233426E-2</v>
      </c>
      <c r="F112" s="93"/>
      <c r="I112" s="90"/>
      <c r="J112" s="90"/>
      <c r="K112" s="90"/>
      <c r="L112" s="90"/>
      <c r="M112" s="90"/>
      <c r="N112" s="94">
        <f>AVERAGE(N22:N32)</f>
        <v>3.4991017683595443E-2</v>
      </c>
      <c r="O112" s="93"/>
      <c r="P112" s="93"/>
      <c r="Q112" s="11"/>
      <c r="R112" s="90"/>
      <c r="S112" s="90"/>
      <c r="T112" s="90"/>
      <c r="U112" s="90"/>
      <c r="V112" s="90"/>
      <c r="W112" s="90"/>
      <c r="X112" s="90"/>
      <c r="Y112" s="69"/>
      <c r="Z112" s="90"/>
      <c r="AA112" s="90"/>
      <c r="AB112" s="90"/>
      <c r="AC112" s="90"/>
      <c r="AD112" s="11"/>
      <c r="AE112" s="11"/>
      <c r="AF112" s="11"/>
      <c r="AG112" s="11"/>
      <c r="AH112" s="67" t="s">
        <v>841</v>
      </c>
      <c r="AK112" s="71" t="s">
        <v>848</v>
      </c>
      <c r="AL112" s="68" t="s">
        <v>849</v>
      </c>
      <c r="AM112" s="90"/>
      <c r="AP112" s="90"/>
      <c r="AQ112" s="259">
        <f>AVERAGE(AQ22:AQ31)</f>
        <v>4.1327364173774431E-2</v>
      </c>
      <c r="AS112" s="69"/>
      <c r="BF112" s="145">
        <f>AVERAGE(BF26:BF31)</f>
        <v>0.15916666666666668</v>
      </c>
      <c r="BG112" s="6"/>
      <c r="BH112" s="101">
        <f>AVERAGE(BH22:BH31)</f>
        <v>0.24427869885333653</v>
      </c>
      <c r="BI112" s="253"/>
      <c r="BK112" s="101">
        <f>AVERAGE(BK22:BK31)</f>
        <v>0.22693756638427165</v>
      </c>
      <c r="BM112" s="253"/>
      <c r="BN112" s="11"/>
      <c r="BO112" s="11"/>
      <c r="BP112" s="146"/>
      <c r="BQ112" s="11"/>
      <c r="BR112" s="11"/>
      <c r="CC112" s="69"/>
      <c r="CD112" s="90"/>
      <c r="CH112" s="94">
        <f>AVERAGE(CH22:CH32)</f>
        <v>0.95</v>
      </c>
      <c r="CI112" s="727">
        <f>CH112*N112</f>
        <v>3.324146679941567E-2</v>
      </c>
      <c r="CZ112" s="69"/>
      <c r="DA112" s="90"/>
      <c r="DI112" s="67"/>
      <c r="EG112" s="69"/>
      <c r="ER112" s="69"/>
      <c r="ES112" s="90"/>
      <c r="ET112" s="90"/>
      <c r="EU112" s="90"/>
      <c r="EV112" s="90"/>
      <c r="FQ112" s="681">
        <f>AVERAGE(FQ22:FQ31)</f>
        <v>1.7833999861399216E-3</v>
      </c>
      <c r="FR112" s="681">
        <f>AVERAGE(FR22:FR31)</f>
        <v>3.2744015503111103E-2</v>
      </c>
      <c r="FS112" s="681">
        <f>AVERAGE(FS22:FS31)</f>
        <v>1.2250360935745454E-4</v>
      </c>
      <c r="FT112" s="681"/>
      <c r="FU112" s="681"/>
      <c r="FV112" s="681">
        <f>AVERAGE(FV22:FV31)</f>
        <v>2.2429768984174687E-3</v>
      </c>
      <c r="FW112" s="69"/>
      <c r="GH112" s="67"/>
      <c r="GU112" s="148"/>
      <c r="GV112" s="71"/>
      <c r="GW112" s="71"/>
      <c r="GX112" s="71"/>
      <c r="GY112" s="71"/>
      <c r="GZ112" s="71"/>
      <c r="HA112" s="71"/>
      <c r="HB112" s="71"/>
      <c r="HC112" s="71"/>
      <c r="HD112" s="71"/>
      <c r="HE112" s="71"/>
      <c r="HF112" s="71"/>
      <c r="HG112" s="71"/>
      <c r="HH112" s="74"/>
      <c r="HI112" s="69"/>
      <c r="IF112" s="71"/>
      <c r="IG112" s="71"/>
      <c r="IH112" s="71"/>
      <c r="II112" s="71"/>
      <c r="IJ112" s="71"/>
      <c r="IK112" s="71"/>
      <c r="IL112" s="71"/>
      <c r="IM112" s="71"/>
      <c r="IN112" s="71"/>
      <c r="IO112" s="71"/>
      <c r="IP112" s="71"/>
      <c r="IQ112" s="74"/>
      <c r="IR112" s="69"/>
      <c r="JH112" s="69"/>
      <c r="JI112" s="90"/>
      <c r="JV112" s="71"/>
      <c r="JW112" s="71"/>
      <c r="JX112" s="71"/>
      <c r="JY112" s="71"/>
      <c r="JZ112" s="71"/>
      <c r="KA112" s="71"/>
      <c r="KB112" s="148"/>
      <c r="KC112" s="74"/>
      <c r="KD112" s="74" t="s">
        <v>1213</v>
      </c>
      <c r="KE112" s="904"/>
      <c r="KF112" s="904"/>
      <c r="KG112" s="76">
        <f>KG111+KG108</f>
        <v>83.218000000000004</v>
      </c>
      <c r="KH112" s="76">
        <f>KH111+KH108</f>
        <v>69.156000000000006</v>
      </c>
      <c r="KI112" s="76">
        <f>KI111+KI108</f>
        <v>92.856999999999999</v>
      </c>
      <c r="KJ112" s="76">
        <f>KJ111+KJ108</f>
        <v>21.292000000000002</v>
      </c>
      <c r="KK112" s="76">
        <f>KK111+KK108</f>
        <v>40.965000000000003</v>
      </c>
      <c r="KL112" s="76"/>
      <c r="KM112" s="76"/>
      <c r="KN112" s="76"/>
      <c r="KO112" s="76"/>
      <c r="KP112" s="76">
        <f>KP111+KP108</f>
        <v>20.548000000000002</v>
      </c>
      <c r="KQ112" s="76">
        <f>KG112+KH112+KI112+KJ112+KK112+KP112</f>
        <v>328.03600000000006</v>
      </c>
      <c r="KR112" s="31">
        <f>KQ112/KC108</f>
        <v>0.41149397315296493</v>
      </c>
      <c r="KS112" s="71"/>
      <c r="KT112" s="340"/>
      <c r="KU112" s="148"/>
      <c r="KV112" s="904"/>
      <c r="KW112" s="71"/>
      <c r="KX112" s="71"/>
      <c r="KY112" s="71"/>
      <c r="KZ112" s="71"/>
      <c r="LA112" s="71"/>
      <c r="LB112" s="71"/>
      <c r="LC112" s="71"/>
      <c r="LD112" s="71"/>
      <c r="LE112" s="71"/>
      <c r="LF112" s="71"/>
      <c r="LG112" s="71"/>
      <c r="LH112" s="71"/>
      <c r="LI112" s="71"/>
      <c r="LJ112" s="71"/>
      <c r="LK112" s="71"/>
      <c r="LL112" s="71"/>
      <c r="LM112" s="71"/>
      <c r="LN112" s="71"/>
      <c r="LO112" s="71"/>
      <c r="LP112" s="71"/>
      <c r="LQ112" s="71"/>
      <c r="LR112" s="71"/>
      <c r="LS112" s="71"/>
      <c r="LT112" s="79"/>
      <c r="LU112" s="79"/>
      <c r="LV112" s="79"/>
      <c r="LW112" s="79"/>
      <c r="LX112" s="79"/>
      <c r="LY112" s="79"/>
      <c r="LZ112" s="79"/>
      <c r="MA112" s="79"/>
      <c r="MB112" s="79"/>
      <c r="MC112" s="79"/>
      <c r="MD112" s="79"/>
      <c r="ME112" s="79"/>
      <c r="MF112" s="79"/>
      <c r="MG112" s="79"/>
      <c r="MH112" s="148"/>
      <c r="MI112" s="904"/>
      <c r="MJ112" s="904"/>
      <c r="MK112" s="904"/>
      <c r="ML112" s="904"/>
      <c r="MM112" s="394"/>
      <c r="MN112" s="394"/>
      <c r="MO112" s="394"/>
      <c r="MP112" s="394"/>
      <c r="MQ112" s="394"/>
      <c r="MR112" s="900"/>
      <c r="MS112" s="394"/>
      <c r="MT112" s="394"/>
      <c r="MU112" s="394"/>
      <c r="MV112" s="394"/>
      <c r="MW112" s="394"/>
      <c r="MX112" s="900"/>
      <c r="MY112" s="394"/>
      <c r="MZ112" s="394"/>
      <c r="NA112" s="684"/>
      <c r="NB112" s="684"/>
      <c r="NC112" s="394"/>
      <c r="ND112" s="394"/>
      <c r="NE112" s="394"/>
      <c r="NF112" s="394"/>
      <c r="NG112" s="394"/>
      <c r="NH112" s="394"/>
      <c r="NI112" s="76"/>
      <c r="NJ112" s="402"/>
      <c r="NK112" s="394"/>
      <c r="NL112" s="394"/>
      <c r="NM112" s="402"/>
      <c r="NN112" s="402"/>
      <c r="NO112" s="402"/>
      <c r="NP112" s="402"/>
      <c r="NQ112" s="402"/>
      <c r="NR112" s="402"/>
      <c r="NS112" s="402"/>
      <c r="NT112" s="402"/>
      <c r="NU112" s="69"/>
      <c r="OD112" s="741"/>
      <c r="OE112" s="741"/>
      <c r="OF112" s="741"/>
      <c r="OG112" s="741"/>
      <c r="OH112" s="741"/>
      <c r="OJ112" s="71"/>
      <c r="OK112" s="402"/>
      <c r="OL112" s="402"/>
      <c r="OM112" s="402"/>
      <c r="OO112" s="234"/>
      <c r="OP112" s="139"/>
      <c r="OQ112" s="139"/>
      <c r="OR112" s="139"/>
      <c r="OS112" s="102"/>
      <c r="OT112" s="102"/>
      <c r="OU112" s="102"/>
      <c r="OV112" s="102"/>
      <c r="OW112" s="102"/>
      <c r="OX112" s="102"/>
      <c r="OY112" s="102"/>
      <c r="OZ112" s="429" t="s">
        <v>1338</v>
      </c>
      <c r="PA112" s="139"/>
      <c r="PG112" s="69"/>
      <c r="PH112" s="71"/>
      <c r="PI112" s="507"/>
    </row>
    <row r="113" spans="1:425" ht="15" hidden="1" customHeight="1">
      <c r="A113" s="394"/>
      <c r="B113" s="394"/>
      <c r="C113" s="91"/>
      <c r="D113" s="69"/>
      <c r="E113" s="93"/>
      <c r="F113" s="93"/>
      <c r="I113" s="90"/>
      <c r="J113" s="90"/>
      <c r="K113" s="90"/>
      <c r="L113" s="90"/>
      <c r="M113" s="90"/>
      <c r="N113" s="94"/>
      <c r="O113" s="93"/>
      <c r="P113" s="93"/>
      <c r="Q113" s="11"/>
      <c r="R113" s="90"/>
      <c r="S113" s="90"/>
      <c r="T113" s="90"/>
      <c r="U113" s="90"/>
      <c r="V113" s="90"/>
      <c r="W113" s="90"/>
      <c r="X113" s="90"/>
      <c r="Y113" s="69"/>
      <c r="Z113" s="90"/>
      <c r="AA113" s="90"/>
      <c r="AB113" s="90"/>
      <c r="AC113" s="90"/>
      <c r="AD113" s="11"/>
      <c r="AE113" s="11"/>
      <c r="AF113" s="11"/>
      <c r="AG113" s="11"/>
      <c r="AH113" s="67"/>
      <c r="AK113" s="394"/>
      <c r="AM113" s="90"/>
      <c r="AP113" s="90"/>
      <c r="AQ113" s="259"/>
      <c r="AS113" s="69"/>
      <c r="BF113" s="145"/>
      <c r="BG113" s="6"/>
      <c r="BI113" s="253"/>
      <c r="BM113" s="253"/>
      <c r="BN113" s="11"/>
      <c r="BO113" s="11"/>
      <c r="BP113" s="146"/>
      <c r="BQ113" s="11"/>
      <c r="BR113" s="11"/>
      <c r="CC113" s="69"/>
      <c r="CD113" s="90"/>
      <c r="CI113" s="148"/>
      <c r="CZ113" s="69"/>
      <c r="DA113" s="90"/>
      <c r="DI113" s="67"/>
      <c r="EG113" s="69"/>
      <c r="ER113" s="69"/>
      <c r="ES113" s="90"/>
      <c r="ET113" s="90"/>
      <c r="EU113" s="90"/>
      <c r="EV113" s="90"/>
      <c r="FQ113" s="681"/>
      <c r="FR113" s="681"/>
      <c r="FS113" s="681"/>
      <c r="FT113" s="681"/>
      <c r="FU113" s="681"/>
      <c r="FV113" s="681"/>
      <c r="FW113" s="69"/>
      <c r="GH113" s="67"/>
      <c r="GU113" s="148"/>
      <c r="GV113" s="394"/>
      <c r="GW113" s="394"/>
      <c r="GX113" s="394"/>
      <c r="GY113" s="394"/>
      <c r="GZ113" s="394"/>
      <c r="HA113" s="394"/>
      <c r="HB113" s="394"/>
      <c r="HC113" s="394"/>
      <c r="HD113" s="394"/>
      <c r="HE113" s="394"/>
      <c r="HF113" s="394"/>
      <c r="HG113" s="394"/>
      <c r="HH113" s="395"/>
      <c r="HI113" s="69"/>
      <c r="IF113" s="394"/>
      <c r="IG113" s="394"/>
      <c r="IH113" s="394"/>
      <c r="II113" s="394"/>
      <c r="IJ113" s="394"/>
      <c r="IK113" s="394"/>
      <c r="IL113" s="394"/>
      <c r="IM113" s="394"/>
      <c r="IN113" s="394"/>
      <c r="IO113" s="394"/>
      <c r="IP113" s="394"/>
      <c r="IQ113" s="395"/>
      <c r="IR113" s="69"/>
      <c r="JH113" s="69"/>
      <c r="JI113" s="90"/>
      <c r="JV113" s="394"/>
      <c r="JW113" s="394"/>
      <c r="JX113" s="394"/>
      <c r="JY113" s="394"/>
      <c r="JZ113" s="394"/>
      <c r="KA113" s="394"/>
      <c r="KB113" s="148"/>
      <c r="KC113" s="395"/>
      <c r="KD113" s="395"/>
      <c r="KE113" s="904"/>
      <c r="KF113" s="904"/>
      <c r="KG113" s="76"/>
      <c r="KH113" s="76"/>
      <c r="KI113" s="76"/>
      <c r="KJ113" s="76"/>
      <c r="KK113" s="76"/>
      <c r="KL113" s="76"/>
      <c r="KM113" s="76"/>
      <c r="KN113" s="76"/>
      <c r="KO113" s="76"/>
      <c r="KP113" s="76"/>
      <c r="KQ113" s="76"/>
      <c r="KR113" s="31"/>
      <c r="KS113" s="394"/>
      <c r="KT113" s="394"/>
      <c r="KU113" s="148"/>
      <c r="KV113" s="904"/>
      <c r="KW113" s="394"/>
      <c r="KX113" s="394"/>
      <c r="KY113" s="394"/>
      <c r="KZ113" s="394"/>
      <c r="LA113" s="394"/>
      <c r="LB113" s="394"/>
      <c r="LC113" s="394"/>
      <c r="LD113" s="394"/>
      <c r="LE113" s="394"/>
      <c r="LF113" s="394"/>
      <c r="LG113" s="394"/>
      <c r="LH113" s="394"/>
      <c r="LI113" s="394"/>
      <c r="LJ113" s="394"/>
      <c r="LK113" s="394"/>
      <c r="LL113" s="394"/>
      <c r="LM113" s="394"/>
      <c r="LN113" s="394"/>
      <c r="LO113" s="394"/>
      <c r="LP113" s="394"/>
      <c r="LQ113" s="394"/>
      <c r="LR113" s="394"/>
      <c r="LS113" s="394"/>
      <c r="LT113" s="402"/>
      <c r="LU113" s="402"/>
      <c r="LV113" s="402"/>
      <c r="LW113" s="402"/>
      <c r="LX113" s="402"/>
      <c r="LY113" s="900"/>
      <c r="LZ113" s="900"/>
      <c r="MA113" s="402"/>
      <c r="MB113" s="402"/>
      <c r="MC113" s="402"/>
      <c r="MD113" s="402"/>
      <c r="ME113" s="402"/>
      <c r="MF113" s="402"/>
      <c r="MG113" s="402"/>
      <c r="MH113" s="148"/>
      <c r="MI113" s="904"/>
      <c r="MJ113" s="904"/>
      <c r="MK113" s="904"/>
      <c r="ML113" s="904"/>
      <c r="MM113" s="394"/>
      <c r="MN113" s="394"/>
      <c r="MO113" s="394"/>
      <c r="MP113" s="394"/>
      <c r="MQ113" s="394"/>
      <c r="MR113" s="900"/>
      <c r="MS113" s="394"/>
      <c r="MT113" s="394"/>
      <c r="MU113" s="394"/>
      <c r="MV113" s="394"/>
      <c r="MW113" s="394"/>
      <c r="MX113" s="900"/>
      <c r="MY113" s="394"/>
      <c r="MZ113" s="394"/>
      <c r="NA113" s="684"/>
      <c r="NB113" s="684"/>
      <c r="NC113" s="394"/>
      <c r="ND113" s="394"/>
      <c r="NE113" s="394"/>
      <c r="NF113" s="394"/>
      <c r="NG113" s="394"/>
      <c r="NH113" s="394"/>
      <c r="NI113" s="76"/>
      <c r="NJ113" s="402"/>
      <c r="NK113" s="394"/>
      <c r="NL113" s="394"/>
      <c r="NM113" s="402"/>
      <c r="NN113" s="402"/>
      <c r="NO113" s="402"/>
      <c r="NP113" s="402"/>
      <c r="NQ113" s="402"/>
      <c r="NR113" s="402"/>
      <c r="NS113" s="402"/>
      <c r="NT113" s="402"/>
      <c r="NU113" s="148"/>
      <c r="NV113" s="687"/>
      <c r="NW113" s="687"/>
      <c r="NX113" s="794"/>
      <c r="NY113" s="687"/>
      <c r="NZ113" s="687"/>
      <c r="OA113" s="687"/>
      <c r="OB113" s="687"/>
      <c r="OC113" s="687"/>
      <c r="OD113" s="687"/>
      <c r="OE113" s="794"/>
      <c r="OF113" s="794"/>
      <c r="OG113" s="794"/>
      <c r="OH113" s="794"/>
      <c r="OI113" s="394"/>
      <c r="OJ113" s="394"/>
      <c r="OK113" s="402"/>
      <c r="OL113" s="402"/>
      <c r="OM113" s="402"/>
      <c r="OO113" s="234"/>
      <c r="OP113" s="139"/>
      <c r="OQ113" s="139"/>
      <c r="OR113" s="139"/>
      <c r="OS113" s="102"/>
      <c r="OT113" s="102"/>
      <c r="OU113" s="102"/>
      <c r="OV113" s="102"/>
      <c r="OW113" s="102"/>
      <c r="OX113" s="102"/>
      <c r="OY113" s="102"/>
      <c r="OZ113" s="139"/>
      <c r="PA113" s="139"/>
      <c r="PG113" s="69"/>
      <c r="PH113" s="394"/>
      <c r="PI113" s="507"/>
    </row>
    <row r="114" spans="1:425" ht="15" hidden="1" customHeight="1">
      <c r="A114" s="394"/>
      <c r="B114" s="394"/>
      <c r="C114" s="91"/>
      <c r="D114" s="69"/>
      <c r="E114" s="93"/>
      <c r="F114" s="93"/>
      <c r="I114" s="90"/>
      <c r="J114" s="90"/>
      <c r="K114" s="90"/>
      <c r="L114" s="90"/>
      <c r="M114" s="90"/>
      <c r="N114" s="94"/>
      <c r="O114" s="93"/>
      <c r="P114" s="93"/>
      <c r="Q114" s="11"/>
      <c r="R114" s="90"/>
      <c r="S114" s="90"/>
      <c r="T114" s="90"/>
      <c r="U114" s="90"/>
      <c r="V114" s="90"/>
      <c r="W114" s="90"/>
      <c r="X114" s="90"/>
      <c r="Y114" s="69"/>
      <c r="Z114" s="90"/>
      <c r="AA114" s="90"/>
      <c r="AB114" s="90"/>
      <c r="AC114" s="90"/>
      <c r="AD114" s="11"/>
      <c r="AE114" s="11"/>
      <c r="AF114" s="11"/>
      <c r="AG114" s="11"/>
      <c r="AH114" s="67"/>
      <c r="AK114" s="394"/>
      <c r="AM114" s="90"/>
      <c r="AP114" s="90"/>
      <c r="AQ114" s="259"/>
      <c r="AS114" s="69"/>
      <c r="BF114" s="145"/>
      <c r="BG114" s="6"/>
      <c r="BI114" s="253"/>
      <c r="BM114" s="253"/>
      <c r="BN114" s="11"/>
      <c r="BO114" s="11"/>
      <c r="BP114" s="146"/>
      <c r="BQ114" s="11"/>
      <c r="BR114" s="11"/>
      <c r="CC114" s="69"/>
      <c r="CD114" s="90"/>
      <c r="CI114" s="148"/>
      <c r="CZ114" s="69"/>
      <c r="DA114" s="90"/>
      <c r="DI114" s="67"/>
      <c r="EG114" s="69"/>
      <c r="ER114" s="69"/>
      <c r="ES114" s="90"/>
      <c r="ET114" s="90"/>
      <c r="EU114" s="90"/>
      <c r="EV114" s="90"/>
      <c r="FQ114" s="681"/>
      <c r="FR114" s="681"/>
      <c r="FS114" s="681"/>
      <c r="FT114" s="681"/>
      <c r="FU114" s="681"/>
      <c r="FV114" s="681"/>
      <c r="FW114" s="69"/>
      <c r="GH114" s="67"/>
      <c r="GU114" s="148"/>
      <c r="GV114" s="394"/>
      <c r="GW114" s="394"/>
      <c r="GX114" s="394"/>
      <c r="GY114" s="394"/>
      <c r="GZ114" s="394"/>
      <c r="HA114" s="394"/>
      <c r="HB114" s="394"/>
      <c r="HC114" s="394"/>
      <c r="HD114" s="394"/>
      <c r="HE114" s="394"/>
      <c r="HF114" s="394"/>
      <c r="HG114" s="394"/>
      <c r="HH114" s="395"/>
      <c r="HI114" s="69"/>
      <c r="IF114" s="394"/>
      <c r="IG114" s="394"/>
      <c r="IH114" s="394"/>
      <c r="II114" s="394"/>
      <c r="IJ114" s="394"/>
      <c r="IK114" s="394"/>
      <c r="IL114" s="394"/>
      <c r="IM114" s="394"/>
      <c r="IN114" s="394"/>
      <c r="IO114" s="394"/>
      <c r="IP114" s="394"/>
      <c r="IQ114" s="395"/>
      <c r="IR114" s="69"/>
      <c r="JH114" s="69"/>
      <c r="JI114" s="90"/>
      <c r="JV114" s="394"/>
      <c r="JW114" s="394"/>
      <c r="JX114" s="394"/>
      <c r="JY114" s="394"/>
      <c r="JZ114" s="394"/>
      <c r="KA114" s="394"/>
      <c r="KB114" s="148"/>
      <c r="KC114" s="395"/>
      <c r="KD114" s="395"/>
      <c r="KE114" s="904"/>
      <c r="KF114" s="904"/>
      <c r="KG114" s="76"/>
      <c r="KH114" s="76"/>
      <c r="KI114" s="76"/>
      <c r="KJ114" s="76"/>
      <c r="KK114" s="76"/>
      <c r="KL114" s="76"/>
      <c r="KM114" s="76"/>
      <c r="KN114" s="76"/>
      <c r="KO114" s="76"/>
      <c r="KP114" s="76"/>
      <c r="KQ114" s="76"/>
      <c r="KR114" s="31"/>
      <c r="KS114" s="394"/>
      <c r="KT114" s="394"/>
      <c r="KU114" s="148"/>
      <c r="KV114" s="904"/>
      <c r="KW114" s="394"/>
      <c r="KX114" s="394"/>
      <c r="KY114" s="394"/>
      <c r="KZ114" s="394"/>
      <c r="LA114" s="394"/>
      <c r="LB114" s="394"/>
      <c r="LC114" s="394"/>
      <c r="LD114" s="394"/>
      <c r="LE114" s="394"/>
      <c r="LF114" s="394"/>
      <c r="LG114" s="394"/>
      <c r="LH114" s="394"/>
      <c r="LI114" s="394"/>
      <c r="LJ114" s="394"/>
      <c r="LK114" s="394"/>
      <c r="LL114" s="394"/>
      <c r="LM114" s="394"/>
      <c r="LN114" s="394"/>
      <c r="LO114" s="394"/>
      <c r="LP114" s="394"/>
      <c r="LQ114" s="394"/>
      <c r="LR114" s="394"/>
      <c r="LS114" s="394"/>
      <c r="LT114" s="402"/>
      <c r="LU114" s="402"/>
      <c r="LV114" s="402"/>
      <c r="LW114" s="402"/>
      <c r="LX114" s="402"/>
      <c r="LY114" s="900"/>
      <c r="LZ114" s="900"/>
      <c r="MA114" s="402"/>
      <c r="MB114" s="402"/>
      <c r="MC114" s="402"/>
      <c r="MD114" s="402"/>
      <c r="ME114" s="402"/>
      <c r="MF114" s="402"/>
      <c r="MG114" s="402"/>
      <c r="MH114" s="148"/>
      <c r="MI114" s="904"/>
      <c r="MJ114" s="904"/>
      <c r="MK114" s="904"/>
      <c r="ML114" s="904"/>
      <c r="MM114" s="394"/>
      <c r="MN114" s="394"/>
      <c r="MO114" s="394"/>
      <c r="MP114" s="394"/>
      <c r="MQ114" s="394"/>
      <c r="MR114" s="900"/>
      <c r="MS114" s="394"/>
      <c r="MT114" s="394"/>
      <c r="MU114" s="394"/>
      <c r="MV114" s="394"/>
      <c r="MW114" s="394"/>
      <c r="MX114" s="900"/>
      <c r="MY114" s="394"/>
      <c r="MZ114" s="394"/>
      <c r="NA114" s="684"/>
      <c r="NB114" s="684"/>
      <c r="NC114" s="394"/>
      <c r="ND114" s="394"/>
      <c r="NE114" s="394"/>
      <c r="NF114" s="394"/>
      <c r="NG114" s="394"/>
      <c r="NH114" s="394"/>
      <c r="NI114" s="76"/>
      <c r="NJ114" s="402"/>
      <c r="NK114" s="394"/>
      <c r="NL114" s="394"/>
      <c r="NM114" s="402"/>
      <c r="NN114" s="402"/>
      <c r="NO114" s="402"/>
      <c r="NP114" s="402"/>
      <c r="NQ114" s="402"/>
      <c r="NR114" s="402"/>
      <c r="NS114" s="402"/>
      <c r="NT114" s="402"/>
      <c r="NU114" s="148"/>
      <c r="NV114" s="687"/>
      <c r="NW114" s="687"/>
      <c r="NX114" s="794"/>
      <c r="NY114" s="687"/>
      <c r="NZ114" s="687"/>
      <c r="OA114" s="687"/>
      <c r="OB114" s="687"/>
      <c r="OC114" s="687"/>
      <c r="OD114" s="687"/>
      <c r="OE114" s="794"/>
      <c r="OF114" s="794"/>
      <c r="OG114" s="794"/>
      <c r="OH114" s="794"/>
      <c r="OI114" s="394"/>
      <c r="OJ114" s="394"/>
      <c r="OK114" s="402"/>
      <c r="OL114" s="402"/>
      <c r="OM114" s="402"/>
      <c r="OO114" s="234"/>
      <c r="OP114" s="139"/>
      <c r="OQ114" s="139"/>
      <c r="OR114" s="139"/>
      <c r="OS114" s="102"/>
      <c r="OT114" s="102"/>
      <c r="OU114" s="102"/>
      <c r="OV114" s="102"/>
      <c r="OW114" s="102"/>
      <c r="OX114" s="102"/>
      <c r="OY114" s="102"/>
      <c r="OZ114" s="139"/>
      <c r="PA114" s="139"/>
      <c r="PG114" s="69"/>
      <c r="PH114" s="394"/>
      <c r="PI114" s="507"/>
    </row>
    <row r="115" spans="1:425" ht="15" hidden="1" customHeight="1">
      <c r="A115" s="394"/>
      <c r="B115" s="394"/>
      <c r="C115" s="91"/>
      <c r="D115" s="69"/>
      <c r="E115" s="93"/>
      <c r="F115" s="93"/>
      <c r="I115" s="90"/>
      <c r="J115" s="90"/>
      <c r="K115" s="90"/>
      <c r="L115" s="90"/>
      <c r="M115" s="90"/>
      <c r="N115" s="94"/>
      <c r="O115" s="93"/>
      <c r="P115" s="93"/>
      <c r="Q115" s="11"/>
      <c r="R115" s="90"/>
      <c r="S115" s="90"/>
      <c r="T115" s="90"/>
      <c r="U115" s="90"/>
      <c r="V115" s="90"/>
      <c r="W115" s="90"/>
      <c r="X115" s="90"/>
      <c r="Y115" s="69"/>
      <c r="Z115" s="90"/>
      <c r="AA115" s="90"/>
      <c r="AB115" s="90"/>
      <c r="AC115" s="90"/>
      <c r="AD115" s="11"/>
      <c r="AE115" s="11"/>
      <c r="AF115" s="11"/>
      <c r="AG115" s="11"/>
      <c r="AH115" s="67"/>
      <c r="AK115" s="394"/>
      <c r="AM115" s="90"/>
      <c r="AP115" s="90"/>
      <c r="AQ115" s="259"/>
      <c r="AS115" s="69"/>
      <c r="BF115" s="145"/>
      <c r="BG115" s="6"/>
      <c r="BI115" s="253"/>
      <c r="BM115" s="253"/>
      <c r="BN115" s="11"/>
      <c r="BO115" s="11"/>
      <c r="BP115" s="146"/>
      <c r="BQ115" s="11"/>
      <c r="BR115" s="11"/>
      <c r="CC115" s="69"/>
      <c r="CD115" s="90"/>
      <c r="CI115" s="148"/>
      <c r="CZ115" s="69"/>
      <c r="DA115" s="90"/>
      <c r="DI115" s="67"/>
      <c r="EG115" s="69"/>
      <c r="ER115" s="69"/>
      <c r="ES115" s="90"/>
      <c r="ET115" s="90"/>
      <c r="EU115" s="90"/>
      <c r="EV115" s="90"/>
      <c r="FQ115" s="681"/>
      <c r="FR115" s="681"/>
      <c r="FS115" s="681"/>
      <c r="FT115" s="681"/>
      <c r="FU115" s="681"/>
      <c r="FV115" s="681"/>
      <c r="FW115" s="69"/>
      <c r="GH115" s="67"/>
      <c r="GU115" s="148"/>
      <c r="GV115" s="394"/>
      <c r="GW115" s="394"/>
      <c r="GX115" s="394"/>
      <c r="GY115" s="394"/>
      <c r="GZ115" s="394"/>
      <c r="HA115" s="394"/>
      <c r="HB115" s="394"/>
      <c r="HC115" s="394"/>
      <c r="HD115" s="394"/>
      <c r="HE115" s="394"/>
      <c r="HF115" s="394"/>
      <c r="HG115" s="394"/>
      <c r="HH115" s="395"/>
      <c r="HI115" s="69"/>
      <c r="IF115" s="394"/>
      <c r="IG115" s="394"/>
      <c r="IH115" s="394"/>
      <c r="II115" s="394"/>
      <c r="IJ115" s="394"/>
      <c r="IK115" s="394"/>
      <c r="IL115" s="394"/>
      <c r="IM115" s="394"/>
      <c r="IN115" s="394"/>
      <c r="IO115" s="394"/>
      <c r="IP115" s="394"/>
      <c r="IQ115" s="395"/>
      <c r="IR115" s="69"/>
      <c r="JH115" s="69"/>
      <c r="JI115" s="90"/>
      <c r="JV115" s="394"/>
      <c r="JW115" s="394"/>
      <c r="JX115" s="394"/>
      <c r="JY115" s="394"/>
      <c r="JZ115" s="394"/>
      <c r="KA115" s="394"/>
      <c r="KB115" s="148"/>
      <c r="KC115" s="395"/>
      <c r="KD115" s="395"/>
      <c r="KE115" s="904"/>
      <c r="KF115" s="904"/>
      <c r="KG115" s="76"/>
      <c r="KH115" s="76"/>
      <c r="KI115" s="76"/>
      <c r="KJ115" s="76"/>
      <c r="KK115" s="76"/>
      <c r="KL115" s="76"/>
      <c r="KM115" s="76"/>
      <c r="KN115" s="76"/>
      <c r="KO115" s="76"/>
      <c r="KP115" s="76"/>
      <c r="KQ115" s="76"/>
      <c r="KR115" s="31"/>
      <c r="KS115" s="394"/>
      <c r="KT115" s="394"/>
      <c r="KU115" s="148"/>
      <c r="KV115" s="904"/>
      <c r="KW115" s="394"/>
      <c r="KX115" s="394"/>
      <c r="KY115" s="394"/>
      <c r="KZ115" s="394"/>
      <c r="LA115" s="394"/>
      <c r="LB115" s="394"/>
      <c r="LC115" s="394"/>
      <c r="LD115" s="394"/>
      <c r="LE115" s="394"/>
      <c r="LF115" s="394"/>
      <c r="LG115" s="394"/>
      <c r="LH115" s="394"/>
      <c r="LI115" s="394"/>
      <c r="LJ115" s="394"/>
      <c r="LK115" s="394"/>
      <c r="LL115" s="394"/>
      <c r="LM115" s="394"/>
      <c r="LN115" s="394"/>
      <c r="LO115" s="394"/>
      <c r="LP115" s="394"/>
      <c r="LQ115" s="394"/>
      <c r="LR115" s="394"/>
      <c r="LS115" s="394"/>
      <c r="LT115" s="402"/>
      <c r="LU115" s="402"/>
      <c r="LV115" s="402"/>
      <c r="LW115" s="402"/>
      <c r="LX115" s="402"/>
      <c r="LY115" s="900"/>
      <c r="LZ115" s="900"/>
      <c r="MA115" s="402"/>
      <c r="MB115" s="402"/>
      <c r="MC115" s="402"/>
      <c r="MD115" s="402"/>
      <c r="ME115" s="402"/>
      <c r="MF115" s="402"/>
      <c r="MG115" s="402"/>
      <c r="MH115" s="148"/>
      <c r="MI115" s="904"/>
      <c r="MJ115" s="904"/>
      <c r="MK115" s="904"/>
      <c r="ML115" s="904"/>
      <c r="MM115" s="394"/>
      <c r="MN115" s="394"/>
      <c r="MO115" s="394"/>
      <c r="MP115" s="394"/>
      <c r="MQ115" s="394"/>
      <c r="MR115" s="900"/>
      <c r="MS115" s="394"/>
      <c r="MT115" s="394"/>
      <c r="MU115" s="394"/>
      <c r="MV115" s="394"/>
      <c r="MW115" s="394"/>
      <c r="MX115" s="900"/>
      <c r="MY115" s="394"/>
      <c r="MZ115" s="394"/>
      <c r="NA115" s="684"/>
      <c r="NB115" s="684"/>
      <c r="NC115" s="394"/>
      <c r="ND115" s="394"/>
      <c r="NE115" s="394"/>
      <c r="NF115" s="394"/>
      <c r="NG115" s="394"/>
      <c r="NH115" s="394"/>
      <c r="NI115" s="76"/>
      <c r="NJ115" s="402"/>
      <c r="NK115" s="394"/>
      <c r="NL115" s="394"/>
      <c r="NM115" s="402"/>
      <c r="NN115" s="402"/>
      <c r="NO115" s="402"/>
      <c r="NP115" s="402"/>
      <c r="NQ115" s="402"/>
      <c r="NR115" s="402"/>
      <c r="NS115" s="402"/>
      <c r="NT115" s="402"/>
      <c r="NU115" s="148"/>
      <c r="NV115" s="687"/>
      <c r="NW115" s="687"/>
      <c r="NX115" s="794"/>
      <c r="NY115" s="687"/>
      <c r="NZ115" s="687"/>
      <c r="OA115" s="687"/>
      <c r="OB115" s="687"/>
      <c r="OC115" s="687"/>
      <c r="OD115" s="687"/>
      <c r="OE115" s="794"/>
      <c r="OF115" s="794"/>
      <c r="OG115" s="794"/>
      <c r="OH115" s="794"/>
      <c r="OI115" s="394"/>
      <c r="OJ115" s="394"/>
      <c r="OK115" s="402"/>
      <c r="OL115" s="402"/>
      <c r="OM115" s="402"/>
      <c r="OO115" s="234"/>
      <c r="OP115" s="139"/>
      <c r="OQ115" s="139"/>
      <c r="OR115" s="139"/>
      <c r="OS115" s="102"/>
      <c r="OT115" s="102"/>
      <c r="OU115" s="102"/>
      <c r="OV115" s="102"/>
      <c r="OW115" s="102"/>
      <c r="OX115" s="102"/>
      <c r="OY115" s="102"/>
      <c r="OZ115" s="139"/>
      <c r="PA115" s="139"/>
      <c r="PG115" s="69"/>
      <c r="PH115" s="394"/>
      <c r="PI115" s="507"/>
    </row>
    <row r="116" spans="1:425" ht="15" hidden="1" customHeight="1">
      <c r="A116" s="394"/>
      <c r="B116" s="394"/>
      <c r="C116" s="91"/>
      <c r="D116" s="69"/>
      <c r="E116" s="93"/>
      <c r="F116" s="93"/>
      <c r="I116" s="90"/>
      <c r="J116" s="90"/>
      <c r="K116" s="90"/>
      <c r="L116" s="90"/>
      <c r="M116" s="90"/>
      <c r="N116" s="94"/>
      <c r="O116" s="93"/>
      <c r="P116" s="93"/>
      <c r="Q116" s="11"/>
      <c r="R116" s="90"/>
      <c r="S116" s="90"/>
      <c r="T116" s="90"/>
      <c r="U116" s="90"/>
      <c r="V116" s="90"/>
      <c r="W116" s="90"/>
      <c r="X116" s="90"/>
      <c r="Y116" s="69"/>
      <c r="Z116" s="90"/>
      <c r="AA116" s="90"/>
      <c r="AB116" s="90"/>
      <c r="AC116" s="90"/>
      <c r="AD116" s="11"/>
      <c r="AE116" s="11"/>
      <c r="AF116" s="11"/>
      <c r="AG116" s="11"/>
      <c r="AH116" s="67"/>
      <c r="AK116" s="394"/>
      <c r="AM116" s="90"/>
      <c r="AP116" s="90"/>
      <c r="AQ116" s="259"/>
      <c r="AS116" s="69"/>
      <c r="BF116" s="145"/>
      <c r="BG116" s="6"/>
      <c r="BI116" s="253"/>
      <c r="BM116" s="253"/>
      <c r="BN116" s="11"/>
      <c r="BO116" s="11"/>
      <c r="BP116" s="146"/>
      <c r="BQ116" s="11"/>
      <c r="BR116" s="11"/>
      <c r="CC116" s="69"/>
      <c r="CD116" s="90"/>
      <c r="CI116" s="148"/>
      <c r="CZ116" s="69"/>
      <c r="DA116" s="90"/>
      <c r="DI116" s="67"/>
      <c r="EG116" s="69"/>
      <c r="ER116" s="69"/>
      <c r="ES116" s="90"/>
      <c r="ET116" s="90"/>
      <c r="EU116" s="90"/>
      <c r="EV116" s="90"/>
      <c r="FQ116" s="681"/>
      <c r="FR116" s="681"/>
      <c r="FS116" s="681"/>
      <c r="FT116" s="681"/>
      <c r="FU116" s="681"/>
      <c r="FV116" s="681"/>
      <c r="FW116" s="69"/>
      <c r="GH116" s="67"/>
      <c r="GU116" s="148"/>
      <c r="GV116" s="394"/>
      <c r="GW116" s="394"/>
      <c r="GX116" s="394"/>
      <c r="GY116" s="394"/>
      <c r="GZ116" s="394"/>
      <c r="HA116" s="394"/>
      <c r="HB116" s="394"/>
      <c r="HC116" s="394"/>
      <c r="HD116" s="394"/>
      <c r="HE116" s="394"/>
      <c r="HF116" s="394"/>
      <c r="HG116" s="394"/>
      <c r="HH116" s="395"/>
      <c r="HI116" s="69"/>
      <c r="IF116" s="394"/>
      <c r="IG116" s="394"/>
      <c r="IH116" s="394"/>
      <c r="II116" s="394"/>
      <c r="IJ116" s="394"/>
      <c r="IK116" s="394"/>
      <c r="IL116" s="394"/>
      <c r="IM116" s="394"/>
      <c r="IN116" s="394"/>
      <c r="IO116" s="394"/>
      <c r="IP116" s="394"/>
      <c r="IQ116" s="395"/>
      <c r="IR116" s="69"/>
      <c r="JH116" s="69"/>
      <c r="JI116" s="90"/>
      <c r="JV116" s="394"/>
      <c r="JW116" s="394"/>
      <c r="JX116" s="394"/>
      <c r="JY116" s="394"/>
      <c r="JZ116" s="394"/>
      <c r="KA116" s="394"/>
      <c r="KB116" s="148"/>
      <c r="KC116" s="395"/>
      <c r="KD116" s="395"/>
      <c r="KE116" s="904"/>
      <c r="KF116" s="904"/>
      <c r="KG116" s="76"/>
      <c r="KH116" s="76"/>
      <c r="KI116" s="76"/>
      <c r="KJ116" s="76"/>
      <c r="KK116" s="76"/>
      <c r="KL116" s="76"/>
      <c r="KM116" s="76"/>
      <c r="KN116" s="76"/>
      <c r="KO116" s="76"/>
      <c r="KP116" s="76"/>
      <c r="KQ116" s="76"/>
      <c r="KR116" s="31"/>
      <c r="KS116" s="394"/>
      <c r="KT116" s="394"/>
      <c r="KU116" s="148"/>
      <c r="KV116" s="904"/>
      <c r="KW116" s="394"/>
      <c r="KX116" s="394"/>
      <c r="KY116" s="394"/>
      <c r="KZ116" s="394"/>
      <c r="LA116" s="394"/>
      <c r="LB116" s="394"/>
      <c r="LC116" s="394"/>
      <c r="LD116" s="394"/>
      <c r="LE116" s="394"/>
      <c r="LF116" s="394"/>
      <c r="LG116" s="394"/>
      <c r="LH116" s="394"/>
      <c r="LI116" s="394"/>
      <c r="LJ116" s="394"/>
      <c r="LK116" s="394"/>
      <c r="LL116" s="394"/>
      <c r="LM116" s="394"/>
      <c r="LN116" s="394"/>
      <c r="LO116" s="394"/>
      <c r="LP116" s="394"/>
      <c r="LQ116" s="394"/>
      <c r="LR116" s="394"/>
      <c r="LS116" s="394"/>
      <c r="LT116" s="402"/>
      <c r="LU116" s="402"/>
      <c r="LV116" s="402"/>
      <c r="LW116" s="402"/>
      <c r="LX116" s="402"/>
      <c r="LY116" s="900"/>
      <c r="LZ116" s="900"/>
      <c r="MA116" s="402"/>
      <c r="MB116" s="402"/>
      <c r="MC116" s="402"/>
      <c r="MD116" s="402"/>
      <c r="ME116" s="402"/>
      <c r="MF116" s="402"/>
      <c r="MG116" s="402"/>
      <c r="MH116" s="148"/>
      <c r="MI116" s="904"/>
      <c r="MJ116" s="904"/>
      <c r="MK116" s="904"/>
      <c r="ML116" s="904"/>
      <c r="MM116" s="394"/>
      <c r="MN116" s="394"/>
      <c r="MO116" s="394"/>
      <c r="MP116" s="394"/>
      <c r="MQ116" s="394"/>
      <c r="MR116" s="900"/>
      <c r="MS116" s="394"/>
      <c r="MT116" s="394"/>
      <c r="MU116" s="394"/>
      <c r="MV116" s="394"/>
      <c r="MW116" s="394"/>
      <c r="MX116" s="900"/>
      <c r="MY116" s="394"/>
      <c r="MZ116" s="394"/>
      <c r="NA116" s="684"/>
      <c r="NB116" s="684"/>
      <c r="NC116" s="394"/>
      <c r="ND116" s="394"/>
      <c r="NE116" s="394"/>
      <c r="NF116" s="394"/>
      <c r="NG116" s="394"/>
      <c r="NH116" s="394"/>
      <c r="NI116" s="76"/>
      <c r="NJ116" s="402"/>
      <c r="NK116" s="394"/>
      <c r="NL116" s="394"/>
      <c r="NM116" s="402"/>
      <c r="NN116" s="402"/>
      <c r="NO116" s="402"/>
      <c r="NP116" s="402"/>
      <c r="NQ116" s="402"/>
      <c r="NR116" s="402"/>
      <c r="NS116" s="402"/>
      <c r="NT116" s="402"/>
      <c r="NU116" s="148"/>
      <c r="NV116" s="687"/>
      <c r="NW116" s="687"/>
      <c r="NX116" s="794"/>
      <c r="NY116" s="687"/>
      <c r="NZ116" s="687"/>
      <c r="OA116" s="687"/>
      <c r="OB116" s="687"/>
      <c r="OC116" s="687"/>
      <c r="OD116" s="687"/>
      <c r="OE116" s="794"/>
      <c r="OF116" s="794"/>
      <c r="OG116" s="794"/>
      <c r="OH116" s="794"/>
      <c r="OI116" s="394"/>
      <c r="OJ116" s="394"/>
      <c r="OK116" s="402"/>
      <c r="OL116" s="402"/>
      <c r="OM116" s="402"/>
      <c r="OO116" s="234"/>
      <c r="OP116" s="139"/>
      <c r="OQ116" s="139"/>
      <c r="OR116" s="139"/>
      <c r="OS116" s="102"/>
      <c r="OT116" s="102"/>
      <c r="OU116" s="102"/>
      <c r="OV116" s="102"/>
      <c r="OW116" s="102"/>
      <c r="OX116" s="102"/>
      <c r="OY116" s="102"/>
      <c r="OZ116" s="139"/>
      <c r="PA116" s="139"/>
      <c r="PG116" s="69"/>
      <c r="PH116" s="394"/>
      <c r="PI116" s="507"/>
    </row>
    <row r="117" spans="1:425" ht="15" hidden="1" customHeight="1">
      <c r="A117" s="394"/>
      <c r="B117" s="394"/>
      <c r="C117" s="91"/>
      <c r="D117" s="69"/>
      <c r="E117" s="93"/>
      <c r="F117" s="93"/>
      <c r="I117" s="90"/>
      <c r="J117" s="90"/>
      <c r="K117" s="90"/>
      <c r="L117" s="90"/>
      <c r="M117" s="90"/>
      <c r="N117" s="94"/>
      <c r="O117" s="93"/>
      <c r="P117" s="93"/>
      <c r="Q117" s="11"/>
      <c r="R117" s="90"/>
      <c r="S117" s="90"/>
      <c r="T117" s="90"/>
      <c r="U117" s="90"/>
      <c r="V117" s="90"/>
      <c r="W117" s="90"/>
      <c r="X117" s="90"/>
      <c r="Y117" s="69"/>
      <c r="Z117" s="90"/>
      <c r="AA117" s="90"/>
      <c r="AB117" s="90"/>
      <c r="AC117" s="90"/>
      <c r="AD117" s="11"/>
      <c r="AE117" s="11"/>
      <c r="AF117" s="11"/>
      <c r="AG117" s="11"/>
      <c r="AH117" s="67"/>
      <c r="AK117" s="394"/>
      <c r="AM117" s="90"/>
      <c r="AP117" s="90"/>
      <c r="AQ117" s="259"/>
      <c r="AS117" s="69"/>
      <c r="BF117" s="145"/>
      <c r="BG117" s="6"/>
      <c r="BI117" s="253"/>
      <c r="BM117" s="253"/>
      <c r="BN117" s="11"/>
      <c r="BO117" s="11"/>
      <c r="BP117" s="146"/>
      <c r="BQ117" s="11"/>
      <c r="BR117" s="11"/>
      <c r="CC117" s="69"/>
      <c r="CD117" s="90"/>
      <c r="CI117" s="148"/>
      <c r="CZ117" s="69"/>
      <c r="DA117" s="90"/>
      <c r="DI117" s="67"/>
      <c r="EG117" s="69"/>
      <c r="ER117" s="69"/>
      <c r="ES117" s="90"/>
      <c r="ET117" s="90"/>
      <c r="EU117" s="90"/>
      <c r="EV117" s="90"/>
      <c r="FQ117" s="681"/>
      <c r="FR117" s="681"/>
      <c r="FS117" s="681"/>
      <c r="FT117" s="681"/>
      <c r="FU117" s="681"/>
      <c r="FV117" s="681"/>
      <c r="FW117" s="69"/>
      <c r="GH117" s="67"/>
      <c r="GU117" s="148"/>
      <c r="GV117" s="394"/>
      <c r="GW117" s="394"/>
      <c r="GX117" s="394"/>
      <c r="GY117" s="394"/>
      <c r="GZ117" s="394"/>
      <c r="HA117" s="394"/>
      <c r="HB117" s="394"/>
      <c r="HC117" s="394"/>
      <c r="HD117" s="394"/>
      <c r="HE117" s="394"/>
      <c r="HF117" s="394"/>
      <c r="HG117" s="394"/>
      <c r="HH117" s="395"/>
      <c r="HI117" s="69"/>
      <c r="IF117" s="394"/>
      <c r="IG117" s="394"/>
      <c r="IH117" s="394"/>
      <c r="II117" s="394"/>
      <c r="IJ117" s="394"/>
      <c r="IK117" s="394"/>
      <c r="IL117" s="394"/>
      <c r="IM117" s="394"/>
      <c r="IN117" s="394"/>
      <c r="IO117" s="394"/>
      <c r="IP117" s="394"/>
      <c r="IQ117" s="395"/>
      <c r="IR117" s="69"/>
      <c r="JH117" s="69"/>
      <c r="JI117" s="90"/>
      <c r="JV117" s="394"/>
      <c r="JW117" s="394"/>
      <c r="JX117" s="394"/>
      <c r="JY117" s="394"/>
      <c r="JZ117" s="394"/>
      <c r="KA117" s="394"/>
      <c r="KB117" s="148"/>
      <c r="KC117" s="395"/>
      <c r="KD117" s="395"/>
      <c r="KE117" s="904"/>
      <c r="KF117" s="904"/>
      <c r="KG117" s="76"/>
      <c r="KH117" s="76"/>
      <c r="KI117" s="76"/>
      <c r="KJ117" s="76"/>
      <c r="KK117" s="76"/>
      <c r="KL117" s="76"/>
      <c r="KM117" s="76"/>
      <c r="KN117" s="76"/>
      <c r="KO117" s="76"/>
      <c r="KP117" s="76"/>
      <c r="KQ117" s="76"/>
      <c r="KR117" s="31"/>
      <c r="KS117" s="394"/>
      <c r="KT117" s="394"/>
      <c r="KU117" s="148"/>
      <c r="KV117" s="904"/>
      <c r="KW117" s="394"/>
      <c r="KX117" s="394"/>
      <c r="KY117" s="394"/>
      <c r="KZ117" s="394"/>
      <c r="LA117" s="394"/>
      <c r="LB117" s="394"/>
      <c r="LC117" s="394"/>
      <c r="LD117" s="394"/>
      <c r="LE117" s="394"/>
      <c r="LF117" s="394"/>
      <c r="LG117" s="394"/>
      <c r="LH117" s="394"/>
      <c r="LI117" s="394"/>
      <c r="LJ117" s="394"/>
      <c r="LK117" s="394"/>
      <c r="LL117" s="394"/>
      <c r="LM117" s="394"/>
      <c r="LN117" s="394"/>
      <c r="LO117" s="394"/>
      <c r="LP117" s="394"/>
      <c r="LQ117" s="394"/>
      <c r="LR117" s="394"/>
      <c r="LS117" s="394"/>
      <c r="LT117" s="402"/>
      <c r="LU117" s="402"/>
      <c r="LV117" s="402"/>
      <c r="LW117" s="402"/>
      <c r="LX117" s="402"/>
      <c r="LY117" s="900"/>
      <c r="LZ117" s="900"/>
      <c r="MA117" s="402"/>
      <c r="MB117" s="402"/>
      <c r="MC117" s="402"/>
      <c r="MD117" s="402"/>
      <c r="ME117" s="402"/>
      <c r="MF117" s="402"/>
      <c r="MG117" s="402"/>
      <c r="MH117" s="148"/>
      <c r="MI117" s="904"/>
      <c r="MJ117" s="904"/>
      <c r="MK117" s="904"/>
      <c r="ML117" s="904"/>
      <c r="MM117" s="394"/>
      <c r="MN117" s="394"/>
      <c r="MO117" s="394"/>
      <c r="MP117" s="394"/>
      <c r="MQ117" s="394"/>
      <c r="MR117" s="900"/>
      <c r="MS117" s="394"/>
      <c r="MT117" s="394"/>
      <c r="MU117" s="394"/>
      <c r="MV117" s="394"/>
      <c r="MW117" s="394"/>
      <c r="MX117" s="900"/>
      <c r="MY117" s="394"/>
      <c r="MZ117" s="394"/>
      <c r="NA117" s="684"/>
      <c r="NB117" s="684"/>
      <c r="NC117" s="394"/>
      <c r="ND117" s="394"/>
      <c r="NE117" s="394"/>
      <c r="NF117" s="394"/>
      <c r="NG117" s="394"/>
      <c r="NH117" s="394"/>
      <c r="NI117" s="76"/>
      <c r="NJ117" s="402"/>
      <c r="NK117" s="394"/>
      <c r="NL117" s="394"/>
      <c r="NM117" s="402"/>
      <c r="NN117" s="402"/>
      <c r="NO117" s="402"/>
      <c r="NP117" s="402"/>
      <c r="NQ117" s="402"/>
      <c r="NR117" s="402"/>
      <c r="NS117" s="402"/>
      <c r="NT117" s="402"/>
      <c r="NU117" s="148"/>
      <c r="NV117" s="687"/>
      <c r="NW117" s="687"/>
      <c r="NX117" s="794"/>
      <c r="NY117" s="687"/>
      <c r="NZ117" s="687"/>
      <c r="OA117" s="687"/>
      <c r="OB117" s="687"/>
      <c r="OC117" s="687"/>
      <c r="OD117" s="687"/>
      <c r="OE117" s="794"/>
      <c r="OF117" s="794"/>
      <c r="OG117" s="794"/>
      <c r="OH117" s="794"/>
      <c r="OI117" s="394"/>
      <c r="OJ117" s="394"/>
      <c r="OK117" s="402"/>
      <c r="OL117" s="402"/>
      <c r="OM117" s="402"/>
      <c r="OO117" s="234"/>
      <c r="OP117" s="139"/>
      <c r="OQ117" s="139"/>
      <c r="OR117" s="139"/>
      <c r="OS117" s="102"/>
      <c r="OT117" s="102"/>
      <c r="OU117" s="102"/>
      <c r="OV117" s="102"/>
      <c r="OW117" s="102"/>
      <c r="OX117" s="102"/>
      <c r="OY117" s="102"/>
      <c r="OZ117" s="139"/>
      <c r="PA117" s="139"/>
      <c r="PG117" s="69"/>
      <c r="PH117" s="394"/>
      <c r="PI117" s="507"/>
    </row>
    <row r="118" spans="1:425" ht="15" hidden="1" customHeight="1">
      <c r="A118" s="394"/>
      <c r="B118" s="394"/>
      <c r="C118" s="91"/>
      <c r="D118" s="69"/>
      <c r="E118" s="93"/>
      <c r="F118" s="93"/>
      <c r="I118" s="90"/>
      <c r="J118" s="90"/>
      <c r="K118" s="90"/>
      <c r="L118" s="90"/>
      <c r="M118" s="90"/>
      <c r="N118" s="94"/>
      <c r="O118" s="93"/>
      <c r="P118" s="93"/>
      <c r="Q118" s="11"/>
      <c r="R118" s="90"/>
      <c r="S118" s="90"/>
      <c r="T118" s="90"/>
      <c r="U118" s="90"/>
      <c r="V118" s="90"/>
      <c r="W118" s="90"/>
      <c r="X118" s="90"/>
      <c r="Y118" s="69"/>
      <c r="Z118" s="90"/>
      <c r="AA118" s="90"/>
      <c r="AB118" s="90"/>
      <c r="AC118" s="90"/>
      <c r="AD118" s="11"/>
      <c r="AE118" s="11"/>
      <c r="AF118" s="11"/>
      <c r="AG118" s="11"/>
      <c r="AH118" s="67"/>
      <c r="AK118" s="394"/>
      <c r="AM118" s="90"/>
      <c r="AP118" s="90"/>
      <c r="AQ118" s="259"/>
      <c r="AS118" s="69"/>
      <c r="BF118" s="145"/>
      <c r="BG118" s="6"/>
      <c r="BI118" s="253"/>
      <c r="BM118" s="253"/>
      <c r="BN118" s="11"/>
      <c r="BO118" s="11"/>
      <c r="BP118" s="146"/>
      <c r="BQ118" s="11"/>
      <c r="BR118" s="11"/>
      <c r="CC118" s="69"/>
      <c r="CD118" s="90"/>
      <c r="CI118" s="148"/>
      <c r="CZ118" s="69"/>
      <c r="DA118" s="90"/>
      <c r="DI118" s="67"/>
      <c r="EG118" s="69"/>
      <c r="ER118" s="69"/>
      <c r="ES118" s="90"/>
      <c r="ET118" s="90"/>
      <c r="EU118" s="90"/>
      <c r="EV118" s="90"/>
      <c r="FQ118" s="681"/>
      <c r="FR118" s="681"/>
      <c r="FS118" s="681"/>
      <c r="FT118" s="681"/>
      <c r="FU118" s="681"/>
      <c r="FV118" s="681"/>
      <c r="FW118" s="69"/>
      <c r="GH118" s="67"/>
      <c r="GU118" s="148"/>
      <c r="GV118" s="394"/>
      <c r="GW118" s="394"/>
      <c r="GX118" s="394"/>
      <c r="GY118" s="394"/>
      <c r="GZ118" s="394"/>
      <c r="HA118" s="394"/>
      <c r="HB118" s="394"/>
      <c r="HC118" s="394"/>
      <c r="HD118" s="394"/>
      <c r="HE118" s="394"/>
      <c r="HF118" s="394"/>
      <c r="HG118" s="394"/>
      <c r="HH118" s="395"/>
      <c r="HI118" s="69"/>
      <c r="IF118" s="394"/>
      <c r="IG118" s="394"/>
      <c r="IH118" s="394"/>
      <c r="II118" s="394"/>
      <c r="IJ118" s="394"/>
      <c r="IK118" s="394"/>
      <c r="IL118" s="394"/>
      <c r="IM118" s="394"/>
      <c r="IN118" s="394"/>
      <c r="IO118" s="394"/>
      <c r="IP118" s="394"/>
      <c r="IQ118" s="395"/>
      <c r="IR118" s="69"/>
      <c r="JH118" s="69"/>
      <c r="JI118" s="90"/>
      <c r="JV118" s="394"/>
      <c r="JW118" s="394"/>
      <c r="JX118" s="394"/>
      <c r="JY118" s="394"/>
      <c r="JZ118" s="394"/>
      <c r="KA118" s="394"/>
      <c r="KB118" s="148"/>
      <c r="KC118" s="395"/>
      <c r="KD118" s="395"/>
      <c r="KE118" s="904"/>
      <c r="KF118" s="904"/>
      <c r="KG118" s="76"/>
      <c r="KH118" s="76"/>
      <c r="KI118" s="76"/>
      <c r="KJ118" s="76"/>
      <c r="KK118" s="76"/>
      <c r="KL118" s="76"/>
      <c r="KM118" s="76"/>
      <c r="KN118" s="76"/>
      <c r="KO118" s="76"/>
      <c r="KP118" s="76"/>
      <c r="KQ118" s="76"/>
      <c r="KR118" s="31"/>
      <c r="KS118" s="394"/>
      <c r="KT118" s="394"/>
      <c r="KU118" s="148"/>
      <c r="KV118" s="904"/>
      <c r="KW118" s="394"/>
      <c r="KX118" s="394"/>
      <c r="KY118" s="394"/>
      <c r="KZ118" s="394"/>
      <c r="LA118" s="394"/>
      <c r="LB118" s="394"/>
      <c r="LC118" s="394"/>
      <c r="LD118" s="394"/>
      <c r="LE118" s="394"/>
      <c r="LF118" s="394"/>
      <c r="LG118" s="394"/>
      <c r="LH118" s="394"/>
      <c r="LI118" s="394"/>
      <c r="LJ118" s="394"/>
      <c r="LK118" s="394"/>
      <c r="LL118" s="394"/>
      <c r="LM118" s="394"/>
      <c r="LN118" s="394"/>
      <c r="LO118" s="394"/>
      <c r="LP118" s="394"/>
      <c r="LQ118" s="394"/>
      <c r="LR118" s="394"/>
      <c r="LS118" s="394"/>
      <c r="LT118" s="402"/>
      <c r="LU118" s="402"/>
      <c r="LV118" s="402"/>
      <c r="LW118" s="402"/>
      <c r="LX118" s="402"/>
      <c r="LY118" s="900"/>
      <c r="LZ118" s="900"/>
      <c r="MA118" s="402"/>
      <c r="MB118" s="402"/>
      <c r="MC118" s="402"/>
      <c r="MD118" s="402"/>
      <c r="ME118" s="402"/>
      <c r="MF118" s="402"/>
      <c r="MG118" s="402"/>
      <c r="MH118" s="148"/>
      <c r="MI118" s="904"/>
      <c r="MJ118" s="904"/>
      <c r="MK118" s="904"/>
      <c r="ML118" s="904"/>
      <c r="MM118" s="394"/>
      <c r="MN118" s="394"/>
      <c r="MO118" s="394"/>
      <c r="MP118" s="394"/>
      <c r="MQ118" s="394"/>
      <c r="MR118" s="900"/>
      <c r="MS118" s="394"/>
      <c r="MT118" s="394"/>
      <c r="MU118" s="394"/>
      <c r="MV118" s="394"/>
      <c r="MW118" s="394"/>
      <c r="MX118" s="900"/>
      <c r="MY118" s="394"/>
      <c r="MZ118" s="394"/>
      <c r="NA118" s="684"/>
      <c r="NB118" s="684"/>
      <c r="NC118" s="394"/>
      <c r="ND118" s="394"/>
      <c r="NE118" s="394"/>
      <c r="NF118" s="394"/>
      <c r="NG118" s="394"/>
      <c r="NH118" s="394"/>
      <c r="NI118" s="76"/>
      <c r="NJ118" s="402"/>
      <c r="NK118" s="394"/>
      <c r="NL118" s="394"/>
      <c r="NM118" s="402"/>
      <c r="NN118" s="402"/>
      <c r="NO118" s="402"/>
      <c r="NP118" s="402"/>
      <c r="NQ118" s="402"/>
      <c r="NR118" s="402"/>
      <c r="NS118" s="402"/>
      <c r="NT118" s="402"/>
      <c r="NU118" s="148"/>
      <c r="NV118" s="687"/>
      <c r="NW118" s="687"/>
      <c r="NX118" s="794"/>
      <c r="NY118" s="687"/>
      <c r="NZ118" s="687"/>
      <c r="OA118" s="687"/>
      <c r="OB118" s="687"/>
      <c r="OC118" s="687"/>
      <c r="OD118" s="687"/>
      <c r="OE118" s="794"/>
      <c r="OF118" s="794"/>
      <c r="OG118" s="794"/>
      <c r="OH118" s="794"/>
      <c r="OI118" s="394"/>
      <c r="OJ118" s="394"/>
      <c r="OK118" s="402"/>
      <c r="OL118" s="402"/>
      <c r="OM118" s="402"/>
      <c r="OO118" s="234"/>
      <c r="OP118" s="139"/>
      <c r="OQ118" s="139"/>
      <c r="OR118" s="139"/>
      <c r="OS118" s="102"/>
      <c r="OT118" s="102"/>
      <c r="OU118" s="102"/>
      <c r="OV118" s="102"/>
      <c r="OW118" s="102"/>
      <c r="OX118" s="102"/>
      <c r="OY118" s="102"/>
      <c r="OZ118" s="139"/>
      <c r="PA118" s="139"/>
      <c r="PG118" s="69"/>
      <c r="PH118" s="394"/>
      <c r="PI118" s="507"/>
    </row>
    <row r="119" spans="1:425" ht="15" hidden="1" customHeight="1">
      <c r="A119" s="394"/>
      <c r="B119" s="394"/>
      <c r="C119" s="91"/>
      <c r="D119" s="69"/>
      <c r="E119" s="93"/>
      <c r="F119" s="93"/>
      <c r="I119" s="90"/>
      <c r="J119" s="90"/>
      <c r="K119" s="90"/>
      <c r="L119" s="90"/>
      <c r="M119" s="90"/>
      <c r="N119" s="94"/>
      <c r="O119" s="93"/>
      <c r="P119" s="93"/>
      <c r="Q119" s="11"/>
      <c r="R119" s="90"/>
      <c r="S119" s="90"/>
      <c r="T119" s="90"/>
      <c r="U119" s="90"/>
      <c r="V119" s="90"/>
      <c r="W119" s="90"/>
      <c r="X119" s="90"/>
      <c r="Y119" s="69"/>
      <c r="Z119" s="90"/>
      <c r="AA119" s="90"/>
      <c r="AB119" s="90"/>
      <c r="AC119" s="90"/>
      <c r="AD119" s="11"/>
      <c r="AE119" s="11"/>
      <c r="AF119" s="11"/>
      <c r="AG119" s="11"/>
      <c r="AH119" s="67"/>
      <c r="AK119" s="394"/>
      <c r="AM119" s="90"/>
      <c r="AP119" s="90"/>
      <c r="AQ119" s="259"/>
      <c r="AS119" s="69"/>
      <c r="BF119" s="145"/>
      <c r="BG119" s="6"/>
      <c r="BI119" s="253"/>
      <c r="BM119" s="253"/>
      <c r="BN119" s="11"/>
      <c r="BO119" s="11"/>
      <c r="BP119" s="146"/>
      <c r="BQ119" s="11"/>
      <c r="BR119" s="11"/>
      <c r="CC119" s="69"/>
      <c r="CD119" s="90"/>
      <c r="CI119" s="148"/>
      <c r="CZ119" s="69"/>
      <c r="DA119" s="90"/>
      <c r="DI119" s="67"/>
      <c r="EG119" s="69"/>
      <c r="ER119" s="69"/>
      <c r="ES119" s="90"/>
      <c r="ET119" s="90"/>
      <c r="EU119" s="90"/>
      <c r="EV119" s="90"/>
      <c r="FQ119" s="681"/>
      <c r="FR119" s="681"/>
      <c r="FS119" s="681"/>
      <c r="FT119" s="681"/>
      <c r="FU119" s="681"/>
      <c r="FV119" s="681"/>
      <c r="FW119" s="69"/>
      <c r="GH119" s="67"/>
      <c r="GU119" s="148"/>
      <c r="GV119" s="394"/>
      <c r="GW119" s="394"/>
      <c r="GX119" s="394"/>
      <c r="GY119" s="394"/>
      <c r="GZ119" s="394"/>
      <c r="HA119" s="394"/>
      <c r="HB119" s="394"/>
      <c r="HC119" s="394"/>
      <c r="HD119" s="394"/>
      <c r="HE119" s="394"/>
      <c r="HF119" s="394"/>
      <c r="HG119" s="394"/>
      <c r="HH119" s="395"/>
      <c r="HI119" s="69"/>
      <c r="IF119" s="394"/>
      <c r="IG119" s="394"/>
      <c r="IH119" s="394"/>
      <c r="II119" s="394"/>
      <c r="IJ119" s="394"/>
      <c r="IK119" s="394"/>
      <c r="IL119" s="394"/>
      <c r="IM119" s="394"/>
      <c r="IN119" s="394"/>
      <c r="IO119" s="394"/>
      <c r="IP119" s="394"/>
      <c r="IQ119" s="395"/>
      <c r="IR119" s="69"/>
      <c r="JH119" s="69"/>
      <c r="JI119" s="90"/>
      <c r="JV119" s="394"/>
      <c r="JW119" s="394"/>
      <c r="JX119" s="394"/>
      <c r="JY119" s="394"/>
      <c r="JZ119" s="394"/>
      <c r="KA119" s="394"/>
      <c r="KB119" s="148"/>
      <c r="KC119" s="395"/>
      <c r="KD119" s="395"/>
      <c r="KE119" s="904"/>
      <c r="KF119" s="904"/>
      <c r="KG119" s="76"/>
      <c r="KH119" s="76"/>
      <c r="KI119" s="76"/>
      <c r="KJ119" s="76"/>
      <c r="KK119" s="76"/>
      <c r="KL119" s="76"/>
      <c r="KM119" s="76"/>
      <c r="KN119" s="76"/>
      <c r="KO119" s="76"/>
      <c r="KP119" s="76"/>
      <c r="KQ119" s="76"/>
      <c r="KR119" s="31"/>
      <c r="KS119" s="394"/>
      <c r="KT119" s="394"/>
      <c r="KU119" s="148"/>
      <c r="KV119" s="904"/>
      <c r="KW119" s="394"/>
      <c r="KX119" s="394"/>
      <c r="KY119" s="394"/>
      <c r="KZ119" s="394"/>
      <c r="LA119" s="394"/>
      <c r="LB119" s="394"/>
      <c r="LC119" s="394"/>
      <c r="LD119" s="394"/>
      <c r="LE119" s="394"/>
      <c r="LF119" s="394"/>
      <c r="LG119" s="394"/>
      <c r="LH119" s="394"/>
      <c r="LI119" s="394"/>
      <c r="LJ119" s="394"/>
      <c r="LK119" s="394"/>
      <c r="LL119" s="394"/>
      <c r="LM119" s="394"/>
      <c r="LN119" s="394"/>
      <c r="LO119" s="394"/>
      <c r="LP119" s="394"/>
      <c r="LQ119" s="394"/>
      <c r="LR119" s="394"/>
      <c r="LS119" s="394"/>
      <c r="LT119" s="402"/>
      <c r="LU119" s="402"/>
      <c r="LV119" s="402"/>
      <c r="LW119" s="402"/>
      <c r="LX119" s="402"/>
      <c r="LY119" s="900"/>
      <c r="LZ119" s="900"/>
      <c r="MA119" s="402"/>
      <c r="MB119" s="402"/>
      <c r="MC119" s="402"/>
      <c r="MD119" s="402"/>
      <c r="ME119" s="402"/>
      <c r="MF119" s="402"/>
      <c r="MG119" s="402"/>
      <c r="MH119" s="148"/>
      <c r="MI119" s="904"/>
      <c r="MJ119" s="904"/>
      <c r="MK119" s="904"/>
      <c r="ML119" s="904"/>
      <c r="MM119" s="394"/>
      <c r="MN119" s="394"/>
      <c r="MO119" s="394"/>
      <c r="MP119" s="394"/>
      <c r="MQ119" s="394"/>
      <c r="MR119" s="900"/>
      <c r="MS119" s="394"/>
      <c r="MT119" s="394"/>
      <c r="MU119" s="394"/>
      <c r="MV119" s="394"/>
      <c r="MW119" s="394"/>
      <c r="MX119" s="900"/>
      <c r="MY119" s="394"/>
      <c r="MZ119" s="394"/>
      <c r="NA119" s="684"/>
      <c r="NB119" s="684"/>
      <c r="NC119" s="394"/>
      <c r="ND119" s="394"/>
      <c r="NE119" s="394"/>
      <c r="NF119" s="394"/>
      <c r="NG119" s="394"/>
      <c r="NH119" s="394"/>
      <c r="NI119" s="76"/>
      <c r="NJ119" s="402"/>
      <c r="NK119" s="394"/>
      <c r="NL119" s="394"/>
      <c r="NM119" s="402"/>
      <c r="NN119" s="402"/>
      <c r="NO119" s="402"/>
      <c r="NP119" s="402"/>
      <c r="NQ119" s="402"/>
      <c r="NR119" s="402"/>
      <c r="NS119" s="402"/>
      <c r="NT119" s="402"/>
      <c r="NU119" s="148"/>
      <c r="NV119" s="687"/>
      <c r="NW119" s="687"/>
      <c r="NX119" s="794"/>
      <c r="NY119" s="687"/>
      <c r="NZ119" s="687"/>
      <c r="OA119" s="687"/>
      <c r="OB119" s="687"/>
      <c r="OC119" s="687"/>
      <c r="OD119" s="687"/>
      <c r="OE119" s="794"/>
      <c r="OF119" s="794"/>
      <c r="OG119" s="794"/>
      <c r="OH119" s="794"/>
      <c r="OI119" s="394"/>
      <c r="OJ119" s="394"/>
      <c r="OK119" s="402"/>
      <c r="OL119" s="402"/>
      <c r="OM119" s="402"/>
      <c r="OO119" s="234"/>
      <c r="OP119" s="139"/>
      <c r="OQ119" s="139"/>
      <c r="OR119" s="139"/>
      <c r="OS119" s="102"/>
      <c r="OT119" s="102"/>
      <c r="OU119" s="102"/>
      <c r="OV119" s="102"/>
      <c r="OW119" s="102"/>
      <c r="OX119" s="102"/>
      <c r="OY119" s="102"/>
      <c r="OZ119" s="139"/>
      <c r="PA119" s="139"/>
      <c r="PG119" s="69"/>
      <c r="PH119" s="394"/>
      <c r="PI119" s="507"/>
    </row>
    <row r="120" spans="1:425" ht="15" hidden="1" customHeight="1">
      <c r="A120" s="394"/>
      <c r="B120" s="394"/>
      <c r="C120" s="91"/>
      <c r="D120" s="69"/>
      <c r="E120" s="93"/>
      <c r="F120" s="93"/>
      <c r="I120" s="90"/>
      <c r="J120" s="90"/>
      <c r="K120" s="90"/>
      <c r="L120" s="90"/>
      <c r="M120" s="90"/>
      <c r="N120" s="94"/>
      <c r="O120" s="93"/>
      <c r="P120" s="93"/>
      <c r="Q120" s="11"/>
      <c r="R120" s="90"/>
      <c r="S120" s="90"/>
      <c r="T120" s="90"/>
      <c r="U120" s="90"/>
      <c r="V120" s="90"/>
      <c r="W120" s="90"/>
      <c r="X120" s="90"/>
      <c r="Y120" s="69"/>
      <c r="Z120" s="90"/>
      <c r="AA120" s="90"/>
      <c r="AB120" s="90"/>
      <c r="AC120" s="90"/>
      <c r="AD120" s="11"/>
      <c r="AE120" s="11"/>
      <c r="AF120" s="11"/>
      <c r="AG120" s="11"/>
      <c r="AH120" s="67"/>
      <c r="AK120" s="394"/>
      <c r="AM120" s="90"/>
      <c r="AP120" s="90"/>
      <c r="AQ120" s="259"/>
      <c r="AS120" s="69"/>
      <c r="BF120" s="145"/>
      <c r="BG120" s="6"/>
      <c r="BI120" s="253"/>
      <c r="BM120" s="253"/>
      <c r="BN120" s="11"/>
      <c r="BO120" s="11"/>
      <c r="BP120" s="146"/>
      <c r="BQ120" s="11"/>
      <c r="BR120" s="11"/>
      <c r="CC120" s="69"/>
      <c r="CD120" s="90"/>
      <c r="CI120" s="148"/>
      <c r="CZ120" s="69"/>
      <c r="DA120" s="90"/>
      <c r="DI120" s="67"/>
      <c r="EG120" s="69"/>
      <c r="ER120" s="69"/>
      <c r="ES120" s="90"/>
      <c r="ET120" s="90"/>
      <c r="EU120" s="90"/>
      <c r="EV120" s="90"/>
      <c r="FQ120" s="681"/>
      <c r="FR120" s="681"/>
      <c r="FS120" s="681"/>
      <c r="FT120" s="681"/>
      <c r="FU120" s="681"/>
      <c r="FV120" s="681"/>
      <c r="FW120" s="69"/>
      <c r="GH120" s="67"/>
      <c r="GU120" s="148"/>
      <c r="GV120" s="394"/>
      <c r="GW120" s="394"/>
      <c r="GX120" s="394"/>
      <c r="GY120" s="394"/>
      <c r="GZ120" s="394"/>
      <c r="HA120" s="394"/>
      <c r="HB120" s="394"/>
      <c r="HC120" s="394"/>
      <c r="HD120" s="394"/>
      <c r="HE120" s="394"/>
      <c r="HF120" s="394"/>
      <c r="HG120" s="394"/>
      <c r="HH120" s="395"/>
      <c r="HI120" s="69"/>
      <c r="IF120" s="394"/>
      <c r="IG120" s="394"/>
      <c r="IH120" s="394"/>
      <c r="II120" s="394"/>
      <c r="IJ120" s="394"/>
      <c r="IK120" s="394"/>
      <c r="IL120" s="394"/>
      <c r="IM120" s="394"/>
      <c r="IN120" s="394"/>
      <c r="IO120" s="394"/>
      <c r="IP120" s="394"/>
      <c r="IQ120" s="395"/>
      <c r="IR120" s="69"/>
      <c r="JH120" s="69"/>
      <c r="JI120" s="90"/>
      <c r="JV120" s="394"/>
      <c r="JW120" s="394"/>
      <c r="JX120" s="394"/>
      <c r="JY120" s="394"/>
      <c r="JZ120" s="394"/>
      <c r="KA120" s="394"/>
      <c r="KB120" s="148"/>
      <c r="KC120" s="395"/>
      <c r="KD120" s="395"/>
      <c r="KE120" s="904"/>
      <c r="KF120" s="904"/>
      <c r="KG120" s="76"/>
      <c r="KH120" s="76"/>
      <c r="KI120" s="76"/>
      <c r="KJ120" s="76"/>
      <c r="KK120" s="76"/>
      <c r="KL120" s="76"/>
      <c r="KM120" s="76"/>
      <c r="KN120" s="76"/>
      <c r="KO120" s="76"/>
      <c r="KP120" s="76"/>
      <c r="KQ120" s="76"/>
      <c r="KR120" s="31"/>
      <c r="KS120" s="394"/>
      <c r="KT120" s="394"/>
      <c r="KU120" s="148"/>
      <c r="KV120" s="904"/>
      <c r="KW120" s="394"/>
      <c r="KX120" s="394"/>
      <c r="KY120" s="394"/>
      <c r="KZ120" s="394"/>
      <c r="LA120" s="394"/>
      <c r="LB120" s="394"/>
      <c r="LC120" s="394"/>
      <c r="LD120" s="394"/>
      <c r="LE120" s="394"/>
      <c r="LF120" s="394"/>
      <c r="LG120" s="394"/>
      <c r="LH120" s="394"/>
      <c r="LI120" s="394"/>
      <c r="LJ120" s="394"/>
      <c r="LK120" s="394"/>
      <c r="LL120" s="394"/>
      <c r="LM120" s="394"/>
      <c r="LN120" s="394"/>
      <c r="LO120" s="394"/>
      <c r="LP120" s="394"/>
      <c r="LQ120" s="394"/>
      <c r="LR120" s="394"/>
      <c r="LS120" s="394"/>
      <c r="LT120" s="402"/>
      <c r="LU120" s="402"/>
      <c r="LV120" s="402"/>
      <c r="LW120" s="402"/>
      <c r="LX120" s="402"/>
      <c r="LY120" s="900"/>
      <c r="LZ120" s="900"/>
      <c r="MA120" s="402"/>
      <c r="MB120" s="402"/>
      <c r="MC120" s="402"/>
      <c r="MD120" s="402"/>
      <c r="ME120" s="402"/>
      <c r="MF120" s="402"/>
      <c r="MG120" s="402"/>
      <c r="MH120" s="148"/>
      <c r="MI120" s="904"/>
      <c r="MJ120" s="904"/>
      <c r="MK120" s="904"/>
      <c r="ML120" s="904"/>
      <c r="MM120" s="394"/>
      <c r="MN120" s="394"/>
      <c r="MO120" s="394"/>
      <c r="MP120" s="394"/>
      <c r="MQ120" s="394"/>
      <c r="MR120" s="900"/>
      <c r="MS120" s="394"/>
      <c r="MT120" s="394"/>
      <c r="MU120" s="394"/>
      <c r="MV120" s="394"/>
      <c r="MW120" s="394"/>
      <c r="MX120" s="900"/>
      <c r="MY120" s="394"/>
      <c r="MZ120" s="394"/>
      <c r="NA120" s="684"/>
      <c r="NB120" s="684"/>
      <c r="NC120" s="394"/>
      <c r="ND120" s="394"/>
      <c r="NE120" s="394"/>
      <c r="NF120" s="394"/>
      <c r="NG120" s="394"/>
      <c r="NH120" s="394"/>
      <c r="NI120" s="76"/>
      <c r="NJ120" s="402"/>
      <c r="NK120" s="394"/>
      <c r="NL120" s="394"/>
      <c r="NM120" s="402"/>
      <c r="NN120" s="402"/>
      <c r="NO120" s="402"/>
      <c r="NP120" s="402"/>
      <c r="NQ120" s="402"/>
      <c r="NR120" s="402"/>
      <c r="NS120" s="402"/>
      <c r="NT120" s="402"/>
      <c r="NU120" s="148"/>
      <c r="NV120" s="687"/>
      <c r="NW120" s="687"/>
      <c r="NX120" s="794"/>
      <c r="NY120" s="687"/>
      <c r="NZ120" s="687"/>
      <c r="OA120" s="687"/>
      <c r="OB120" s="687"/>
      <c r="OC120" s="687"/>
      <c r="OD120" s="687"/>
      <c r="OE120" s="794"/>
      <c r="OF120" s="794"/>
      <c r="OG120" s="794"/>
      <c r="OH120" s="794"/>
      <c r="OI120" s="394"/>
      <c r="OJ120" s="394"/>
      <c r="OK120" s="402"/>
      <c r="OL120" s="402"/>
      <c r="OM120" s="402"/>
      <c r="OO120" s="234"/>
      <c r="OP120" s="139"/>
      <c r="OQ120" s="139"/>
      <c r="OR120" s="139"/>
      <c r="OS120" s="102"/>
      <c r="OT120" s="102"/>
      <c r="OU120" s="102"/>
      <c r="OV120" s="102"/>
      <c r="OW120" s="102"/>
      <c r="OX120" s="102"/>
      <c r="OY120" s="102"/>
      <c r="OZ120" s="139"/>
      <c r="PA120" s="139"/>
      <c r="PG120" s="69"/>
      <c r="PH120" s="394"/>
      <c r="PI120" s="507"/>
    </row>
    <row r="121" spans="1:425" ht="15" hidden="1" customHeight="1">
      <c r="A121" s="394"/>
      <c r="B121" s="394"/>
      <c r="C121" s="91"/>
      <c r="D121" s="69"/>
      <c r="E121" s="93"/>
      <c r="F121" s="93"/>
      <c r="I121" s="90"/>
      <c r="J121" s="90"/>
      <c r="K121" s="90"/>
      <c r="L121" s="90"/>
      <c r="M121" s="90"/>
      <c r="N121" s="94"/>
      <c r="O121" s="93"/>
      <c r="P121" s="93"/>
      <c r="Q121" s="11"/>
      <c r="R121" s="90"/>
      <c r="S121" s="90"/>
      <c r="T121" s="90"/>
      <c r="U121" s="90"/>
      <c r="V121" s="90"/>
      <c r="W121" s="90"/>
      <c r="X121" s="90"/>
      <c r="Y121" s="69"/>
      <c r="Z121" s="90"/>
      <c r="AA121" s="90"/>
      <c r="AB121" s="90"/>
      <c r="AC121" s="90"/>
      <c r="AD121" s="11"/>
      <c r="AE121" s="11"/>
      <c r="AF121" s="11"/>
      <c r="AG121" s="11"/>
      <c r="AH121" s="67"/>
      <c r="AK121" s="394"/>
      <c r="AM121" s="90"/>
      <c r="AP121" s="90"/>
      <c r="AQ121" s="259"/>
      <c r="AS121" s="69"/>
      <c r="BF121" s="145"/>
      <c r="BG121" s="6"/>
      <c r="BI121" s="253"/>
      <c r="BM121" s="253"/>
      <c r="BN121" s="11"/>
      <c r="BO121" s="11"/>
      <c r="BP121" s="146"/>
      <c r="BQ121" s="11"/>
      <c r="BR121" s="11"/>
      <c r="CC121" s="69"/>
      <c r="CD121" s="90"/>
      <c r="CI121" s="148"/>
      <c r="CZ121" s="69"/>
      <c r="DA121" s="90"/>
      <c r="DI121" s="67"/>
      <c r="EG121" s="69"/>
      <c r="ER121" s="69"/>
      <c r="ES121" s="90"/>
      <c r="ET121" s="90"/>
      <c r="EU121" s="90"/>
      <c r="EV121" s="90"/>
      <c r="FQ121" s="681"/>
      <c r="FR121" s="681"/>
      <c r="FS121" s="681"/>
      <c r="FT121" s="681"/>
      <c r="FU121" s="681"/>
      <c r="FV121" s="681"/>
      <c r="FW121" s="69"/>
      <c r="GH121" s="67"/>
      <c r="GU121" s="148"/>
      <c r="GV121" s="394"/>
      <c r="GW121" s="394"/>
      <c r="GX121" s="394"/>
      <c r="GY121" s="394"/>
      <c r="GZ121" s="394"/>
      <c r="HA121" s="394"/>
      <c r="HB121" s="394"/>
      <c r="HC121" s="394"/>
      <c r="HD121" s="394"/>
      <c r="HE121" s="394"/>
      <c r="HF121" s="394"/>
      <c r="HG121" s="394"/>
      <c r="HH121" s="395"/>
      <c r="HI121" s="69"/>
      <c r="IF121" s="394"/>
      <c r="IG121" s="394"/>
      <c r="IH121" s="394"/>
      <c r="II121" s="394"/>
      <c r="IJ121" s="394"/>
      <c r="IK121" s="394"/>
      <c r="IL121" s="394"/>
      <c r="IM121" s="394"/>
      <c r="IN121" s="394"/>
      <c r="IO121" s="394"/>
      <c r="IP121" s="394"/>
      <c r="IQ121" s="395"/>
      <c r="IR121" s="69"/>
      <c r="JH121" s="69"/>
      <c r="JI121" s="90"/>
      <c r="JV121" s="394"/>
      <c r="JW121" s="394"/>
      <c r="JX121" s="394"/>
      <c r="JY121" s="394"/>
      <c r="JZ121" s="394"/>
      <c r="KA121" s="394"/>
      <c r="KB121" s="148"/>
      <c r="KC121" s="395"/>
      <c r="KD121" s="395"/>
      <c r="KE121" s="904"/>
      <c r="KF121" s="904"/>
      <c r="KG121" s="76"/>
      <c r="KH121" s="76"/>
      <c r="KI121" s="76"/>
      <c r="KJ121" s="76"/>
      <c r="KK121" s="76"/>
      <c r="KL121" s="76"/>
      <c r="KM121" s="76"/>
      <c r="KN121" s="76"/>
      <c r="KO121" s="76"/>
      <c r="KP121" s="76"/>
      <c r="KQ121" s="76"/>
      <c r="KR121" s="31"/>
      <c r="KS121" s="394"/>
      <c r="KT121" s="394"/>
      <c r="KU121" s="148"/>
      <c r="KV121" s="904"/>
      <c r="KW121" s="394"/>
      <c r="KX121" s="394"/>
      <c r="KY121" s="394"/>
      <c r="KZ121" s="394"/>
      <c r="LA121" s="394"/>
      <c r="LB121" s="394"/>
      <c r="LC121" s="394"/>
      <c r="LD121" s="394"/>
      <c r="LE121" s="394"/>
      <c r="LF121" s="394"/>
      <c r="LG121" s="394"/>
      <c r="LH121" s="394"/>
      <c r="LI121" s="394"/>
      <c r="LJ121" s="394"/>
      <c r="LK121" s="394"/>
      <c r="LL121" s="394"/>
      <c r="LM121" s="394"/>
      <c r="LN121" s="394"/>
      <c r="LO121" s="394"/>
      <c r="LP121" s="394"/>
      <c r="LQ121" s="394"/>
      <c r="LR121" s="394"/>
      <c r="LS121" s="394"/>
      <c r="LT121" s="402"/>
      <c r="LU121" s="402"/>
      <c r="LV121" s="402"/>
      <c r="LW121" s="402"/>
      <c r="LX121" s="402"/>
      <c r="LY121" s="900"/>
      <c r="LZ121" s="900"/>
      <c r="MA121" s="402"/>
      <c r="MB121" s="402"/>
      <c r="MC121" s="402"/>
      <c r="MD121" s="402"/>
      <c r="ME121" s="402"/>
      <c r="MF121" s="402"/>
      <c r="MG121" s="402"/>
      <c r="MH121" s="148"/>
      <c r="MI121" s="904"/>
      <c r="MJ121" s="904"/>
      <c r="MK121" s="904"/>
      <c r="ML121" s="904"/>
      <c r="MM121" s="394"/>
      <c r="MN121" s="394"/>
      <c r="MO121" s="394"/>
      <c r="MP121" s="394"/>
      <c r="MQ121" s="394"/>
      <c r="MR121" s="900"/>
      <c r="MS121" s="394"/>
      <c r="MT121" s="394"/>
      <c r="MU121" s="394"/>
      <c r="MV121" s="394"/>
      <c r="MW121" s="394"/>
      <c r="MX121" s="900"/>
      <c r="MY121" s="394"/>
      <c r="MZ121" s="394"/>
      <c r="NA121" s="684"/>
      <c r="NB121" s="684"/>
      <c r="NC121" s="394"/>
      <c r="ND121" s="394"/>
      <c r="NE121" s="394"/>
      <c r="NF121" s="394"/>
      <c r="NG121" s="394"/>
      <c r="NH121" s="394"/>
      <c r="NI121" s="76"/>
      <c r="NJ121" s="402"/>
      <c r="NK121" s="394"/>
      <c r="NL121" s="394"/>
      <c r="NM121" s="402"/>
      <c r="NN121" s="402"/>
      <c r="NO121" s="402"/>
      <c r="NP121" s="402"/>
      <c r="NQ121" s="402"/>
      <c r="NR121" s="402"/>
      <c r="NS121" s="402"/>
      <c r="NT121" s="402"/>
      <c r="NU121" s="148"/>
      <c r="NV121" s="687"/>
      <c r="NW121" s="687"/>
      <c r="NX121" s="794"/>
      <c r="NY121" s="687"/>
      <c r="NZ121" s="687"/>
      <c r="OA121" s="687"/>
      <c r="OB121" s="687"/>
      <c r="OC121" s="687"/>
      <c r="OD121" s="687"/>
      <c r="OE121" s="794"/>
      <c r="OF121" s="794"/>
      <c r="OG121" s="794"/>
      <c r="OH121" s="794"/>
      <c r="OI121" s="394"/>
      <c r="OJ121" s="394"/>
      <c r="OK121" s="402"/>
      <c r="OL121" s="402"/>
      <c r="OM121" s="402"/>
      <c r="OO121" s="234"/>
      <c r="OP121" s="139"/>
      <c r="OQ121" s="139"/>
      <c r="OR121" s="139"/>
      <c r="OS121" s="102"/>
      <c r="OT121" s="102"/>
      <c r="OU121" s="102"/>
      <c r="OV121" s="102"/>
      <c r="OW121" s="102"/>
      <c r="OX121" s="102"/>
      <c r="OY121" s="102"/>
      <c r="OZ121" s="139"/>
      <c r="PA121" s="139"/>
      <c r="PG121" s="69"/>
      <c r="PH121" s="394"/>
      <c r="PI121" s="507"/>
    </row>
    <row r="122" spans="1:425">
      <c r="A122" s="71">
        <v>1940</v>
      </c>
      <c r="B122" s="71" t="s">
        <v>718</v>
      </c>
      <c r="C122" s="91"/>
      <c r="D122" s="69"/>
      <c r="E122" s="93">
        <f>AVERAGE(E32:E41)</f>
        <v>0.11875856174991901</v>
      </c>
      <c r="F122" s="93"/>
      <c r="I122" s="90"/>
      <c r="J122" s="90"/>
      <c r="K122" s="90"/>
      <c r="L122" s="90"/>
      <c r="M122" s="90"/>
      <c r="N122" s="94">
        <f>AVERAGE(N32:N41)</f>
        <v>3.6917836230686549E-2</v>
      </c>
      <c r="O122" s="93"/>
      <c r="P122" s="93"/>
      <c r="R122" s="90"/>
      <c r="S122" s="90"/>
      <c r="T122" s="90"/>
      <c r="U122" s="90"/>
      <c r="V122" s="90"/>
      <c r="W122" s="90"/>
      <c r="X122" s="90"/>
      <c r="Y122" s="69"/>
      <c r="Z122" s="90"/>
      <c r="AA122" s="90"/>
      <c r="AB122" s="90"/>
      <c r="AC122" s="90"/>
      <c r="AH122" s="69" t="s">
        <v>842</v>
      </c>
      <c r="AJ122" s="76">
        <v>16768</v>
      </c>
      <c r="AK122" s="11">
        <f>AJ122/AJ$122</f>
        <v>1</v>
      </c>
      <c r="AL122" s="68" t="s">
        <v>847</v>
      </c>
      <c r="AM122" s="90"/>
      <c r="AP122" s="90"/>
      <c r="AQ122" s="93">
        <f>AVERAGE(AQ32:AQ41)</f>
        <v>6.3504027097179422E-2</v>
      </c>
      <c r="AS122" s="69"/>
      <c r="BF122" s="145">
        <f>AVERAGE(BF32:BF41)</f>
        <v>0.36699999999999994</v>
      </c>
      <c r="BG122" s="6"/>
      <c r="BH122" s="101">
        <f>AVERAGE(BH32:BH41)</f>
        <v>0.45883934633256518</v>
      </c>
      <c r="BI122" s="253"/>
      <c r="BK122" s="101">
        <f>AVERAGE(BK32:BK41)</f>
        <v>0.46304552662023335</v>
      </c>
      <c r="BM122" s="253"/>
      <c r="BP122" s="69"/>
      <c r="CC122" s="69"/>
      <c r="CD122" s="90"/>
      <c r="CH122" s="94">
        <f>AVERAGE(CH32:CH42)</f>
        <v>0.95</v>
      </c>
      <c r="CI122" s="727">
        <f>CH122*N122</f>
        <v>3.5071944419152221E-2</v>
      </c>
      <c r="CZ122" s="69"/>
      <c r="DA122" s="90"/>
      <c r="DI122" s="67"/>
      <c r="EG122" s="69"/>
      <c r="EP122" s="25"/>
      <c r="ER122" s="69"/>
      <c r="ES122" s="90"/>
      <c r="ET122" s="90"/>
      <c r="EU122" s="90"/>
      <c r="EV122" s="90"/>
      <c r="FQ122" s="681">
        <f>AVERAGE(FQ32:FQ41)</f>
        <v>2.1767938831224122E-3</v>
      </c>
      <c r="FR122" s="681">
        <f>AVERAGE(FR32:FR41)</f>
        <v>3.4741042347564144E-2</v>
      </c>
      <c r="FS122" s="681">
        <f>AVERAGE(FS32:FS41)</f>
        <v>2.5462386482271923E-4</v>
      </c>
      <c r="FT122" s="681"/>
      <c r="FU122" s="681"/>
      <c r="FV122" s="681">
        <f>AVERAGE(FV32:FV41)</f>
        <v>4.0667362452090922E-3</v>
      </c>
      <c r="FW122" s="69"/>
      <c r="GH122" s="67"/>
      <c r="GU122" s="148"/>
      <c r="GV122" s="71"/>
      <c r="GW122" s="71"/>
      <c r="GX122" s="71"/>
      <c r="GY122" s="71"/>
      <c r="GZ122" s="71"/>
      <c r="HA122" s="71"/>
      <c r="HB122" s="71"/>
      <c r="HC122" s="71"/>
      <c r="HD122" s="71"/>
      <c r="HE122" s="71"/>
      <c r="HF122" s="71"/>
      <c r="HG122" s="71"/>
      <c r="HH122" s="74"/>
      <c r="HI122" s="69"/>
      <c r="IF122" s="71"/>
      <c r="IG122" s="71"/>
      <c r="IH122" s="71"/>
      <c r="II122" s="71"/>
      <c r="IJ122" s="71"/>
      <c r="IK122" s="71"/>
      <c r="IL122" s="71"/>
      <c r="IM122" s="71"/>
      <c r="IN122" s="71"/>
      <c r="IO122" s="71"/>
      <c r="IP122" s="71"/>
      <c r="IQ122" s="74"/>
      <c r="IR122" s="69"/>
      <c r="JH122" s="69"/>
      <c r="JI122" s="90"/>
      <c r="JS122" s="82"/>
      <c r="JV122" s="71"/>
      <c r="JW122" s="71"/>
      <c r="JX122" s="71"/>
      <c r="JY122" s="71"/>
      <c r="JZ122" s="71"/>
      <c r="KA122" s="71"/>
      <c r="KB122" s="148"/>
      <c r="KC122" s="74"/>
      <c r="KD122" s="74"/>
      <c r="KE122" s="904"/>
      <c r="KF122" s="904"/>
      <c r="KG122" s="71"/>
      <c r="KH122" s="71"/>
      <c r="KI122" s="71"/>
      <c r="KJ122" s="71"/>
      <c r="KK122" s="71"/>
      <c r="KL122" s="71"/>
      <c r="KM122" s="340"/>
      <c r="KN122" s="340"/>
      <c r="KO122" s="71"/>
      <c r="KP122" s="71"/>
      <c r="KQ122" s="71"/>
      <c r="KR122" s="71"/>
      <c r="KS122" s="71"/>
      <c r="KT122" s="340"/>
      <c r="KU122" s="148"/>
      <c r="KV122" s="904"/>
      <c r="KW122" s="71"/>
      <c r="KX122" s="71"/>
      <c r="KY122" s="71"/>
      <c r="KZ122" s="71"/>
      <c r="LA122" s="71"/>
      <c r="LB122" s="71"/>
      <c r="LC122" s="71"/>
      <c r="LD122" s="71"/>
      <c r="LE122" s="71"/>
      <c r="LF122" s="71"/>
      <c r="LG122" s="71"/>
      <c r="LH122" s="71"/>
      <c r="LI122" s="71"/>
      <c r="LJ122" s="71"/>
      <c r="LK122" s="71"/>
      <c r="LL122" s="71"/>
      <c r="LM122" s="71"/>
      <c r="LN122" s="71"/>
      <c r="LO122" s="71"/>
      <c r="LP122" s="71"/>
      <c r="LQ122" s="71"/>
      <c r="LR122" s="71"/>
      <c r="LS122" s="71"/>
      <c r="LT122" s="402"/>
      <c r="LU122" s="402"/>
      <c r="LV122" s="402"/>
      <c r="LW122" s="402"/>
      <c r="LX122" s="402"/>
      <c r="LY122" s="900"/>
      <c r="LZ122" s="900"/>
      <c r="MA122" s="402"/>
      <c r="MB122" s="402"/>
      <c r="MC122" s="402"/>
      <c r="MD122" s="402"/>
      <c r="ME122" s="402"/>
      <c r="MF122" s="402"/>
      <c r="MG122" s="402"/>
      <c r="MH122" s="148"/>
      <c r="MI122" s="904"/>
      <c r="MJ122" s="904"/>
      <c r="MK122" s="904"/>
      <c r="ML122" s="904"/>
      <c r="MM122" s="394"/>
      <c r="MN122" s="394"/>
      <c r="MO122" s="394"/>
      <c r="MP122" s="394"/>
      <c r="MQ122" s="394"/>
      <c r="MR122" s="900"/>
      <c r="MS122" s="394"/>
      <c r="MT122" s="394"/>
      <c r="MU122" s="394"/>
      <c r="MV122" s="394"/>
      <c r="MW122" s="394"/>
      <c r="MX122" s="900"/>
      <c r="MY122" s="394"/>
      <c r="MZ122" s="394"/>
      <c r="NA122" s="684"/>
      <c r="NB122" s="684"/>
      <c r="NC122" s="394"/>
      <c r="ND122" s="394"/>
      <c r="NE122" s="394"/>
      <c r="NF122" s="394"/>
      <c r="NG122" s="394"/>
      <c r="NH122" s="394"/>
      <c r="NI122" s="76"/>
      <c r="NJ122" s="402"/>
      <c r="NK122" s="394"/>
      <c r="NL122" s="394"/>
      <c r="NM122" s="402"/>
      <c r="NN122" s="402"/>
      <c r="NO122" s="402"/>
      <c r="NP122" s="402"/>
      <c r="NQ122" s="402"/>
      <c r="NR122" s="402"/>
      <c r="NS122" s="402"/>
      <c r="NT122" s="402"/>
      <c r="NU122" s="148"/>
      <c r="NV122" s="687"/>
      <c r="NW122" s="687"/>
      <c r="NX122" s="794"/>
      <c r="NY122" s="687"/>
      <c r="NZ122" s="687"/>
      <c r="OA122" s="687"/>
      <c r="OB122" s="687"/>
      <c r="OC122" s="687"/>
      <c r="OD122" s="687"/>
      <c r="OE122" s="794"/>
      <c r="OF122" s="794"/>
      <c r="OG122" s="794"/>
      <c r="OH122" s="794"/>
      <c r="OI122" s="71"/>
      <c r="OJ122" s="71"/>
      <c r="OK122" s="402"/>
      <c r="OL122" s="402"/>
      <c r="OM122" s="402"/>
      <c r="OO122" s="234"/>
      <c r="OP122" s="139"/>
      <c r="OQ122" s="139"/>
      <c r="OR122" s="139"/>
      <c r="OS122" s="139"/>
      <c r="OT122" s="139"/>
      <c r="OU122" s="139"/>
      <c r="OV122" s="139"/>
      <c r="OW122" s="139"/>
      <c r="OX122" s="139"/>
      <c r="OY122" s="139"/>
      <c r="OZ122" s="428" t="s">
        <v>2464</v>
      </c>
      <c r="PA122" s="139"/>
      <c r="PG122" s="69"/>
      <c r="PH122" s="71"/>
      <c r="PI122" s="507"/>
    </row>
    <row r="123" spans="1:425" ht="15" hidden="1" customHeight="1">
      <c r="A123" s="394"/>
      <c r="B123" s="394"/>
      <c r="C123" s="91"/>
      <c r="D123" s="69"/>
      <c r="E123" s="93"/>
      <c r="F123" s="93"/>
      <c r="I123" s="90"/>
      <c r="J123" s="90"/>
      <c r="K123" s="90"/>
      <c r="L123" s="90"/>
      <c r="M123" s="90"/>
      <c r="N123" s="94"/>
      <c r="O123" s="93"/>
      <c r="P123" s="93"/>
      <c r="R123" s="90"/>
      <c r="S123" s="90"/>
      <c r="T123" s="90"/>
      <c r="U123" s="90"/>
      <c r="V123" s="90"/>
      <c r="W123" s="90"/>
      <c r="X123" s="90"/>
      <c r="Y123" s="69"/>
      <c r="Z123" s="90"/>
      <c r="AA123" s="90"/>
      <c r="AB123" s="90"/>
      <c r="AC123" s="90"/>
      <c r="AH123" s="69"/>
      <c r="AJ123" s="76"/>
      <c r="AK123" s="11"/>
      <c r="AM123" s="90"/>
      <c r="AP123" s="90"/>
      <c r="AQ123" s="93"/>
      <c r="AS123" s="69"/>
      <c r="BF123" s="145"/>
      <c r="BG123" s="6"/>
      <c r="BI123" s="253"/>
      <c r="BM123" s="253"/>
      <c r="BP123" s="69"/>
      <c r="CC123" s="69"/>
      <c r="CD123" s="90"/>
      <c r="CI123" s="148"/>
      <c r="CZ123" s="69"/>
      <c r="DA123" s="90"/>
      <c r="DI123" s="67"/>
      <c r="EG123" s="69"/>
      <c r="EP123" s="25"/>
      <c r="ER123" s="69"/>
      <c r="ES123" s="90"/>
      <c r="ET123" s="90"/>
      <c r="EU123" s="90"/>
      <c r="EV123" s="90"/>
      <c r="FQ123" s="681"/>
      <c r="FR123" s="681"/>
      <c r="FS123" s="681"/>
      <c r="FT123" s="681"/>
      <c r="FU123" s="681"/>
      <c r="FV123" s="681"/>
      <c r="FW123" s="69"/>
      <c r="GH123" s="67"/>
      <c r="GU123" s="148"/>
      <c r="GV123" s="394"/>
      <c r="GW123" s="394"/>
      <c r="GX123" s="394"/>
      <c r="GY123" s="394"/>
      <c r="GZ123" s="394"/>
      <c r="HA123" s="394"/>
      <c r="HB123" s="394"/>
      <c r="HC123" s="394"/>
      <c r="HD123" s="394"/>
      <c r="HE123" s="394"/>
      <c r="HF123" s="394"/>
      <c r="HG123" s="394"/>
      <c r="HH123" s="395"/>
      <c r="HI123" s="69"/>
      <c r="IF123" s="394"/>
      <c r="IG123" s="394"/>
      <c r="IH123" s="394"/>
      <c r="II123" s="394"/>
      <c r="IJ123" s="394"/>
      <c r="IK123" s="394"/>
      <c r="IL123" s="394"/>
      <c r="IM123" s="394"/>
      <c r="IN123" s="394"/>
      <c r="IO123" s="394"/>
      <c r="IP123" s="394"/>
      <c r="IQ123" s="395"/>
      <c r="IR123" s="69"/>
      <c r="JH123" s="69"/>
      <c r="JI123" s="90"/>
      <c r="JS123" s="82"/>
      <c r="JV123" s="394"/>
      <c r="JW123" s="394"/>
      <c r="JX123" s="394"/>
      <c r="JY123" s="394"/>
      <c r="JZ123" s="394"/>
      <c r="KA123" s="394"/>
      <c r="KB123" s="148"/>
      <c r="KC123" s="395"/>
      <c r="KD123" s="395"/>
      <c r="KE123" s="904"/>
      <c r="KF123" s="904"/>
      <c r="KG123" s="394"/>
      <c r="KH123" s="394"/>
      <c r="KI123" s="394"/>
      <c r="KJ123" s="394"/>
      <c r="KK123" s="394"/>
      <c r="KL123" s="394"/>
      <c r="KM123" s="394"/>
      <c r="KN123" s="394"/>
      <c r="KO123" s="394"/>
      <c r="KP123" s="394"/>
      <c r="KQ123" s="394"/>
      <c r="KR123" s="394"/>
      <c r="KS123" s="394"/>
      <c r="KT123" s="394"/>
      <c r="KU123" s="148"/>
      <c r="KV123" s="904"/>
      <c r="KW123" s="394"/>
      <c r="KX123" s="394"/>
      <c r="KY123" s="394"/>
      <c r="KZ123" s="394"/>
      <c r="LA123" s="394"/>
      <c r="LB123" s="394"/>
      <c r="LC123" s="394"/>
      <c r="LD123" s="394"/>
      <c r="LE123" s="394"/>
      <c r="LF123" s="394"/>
      <c r="LG123" s="394"/>
      <c r="LH123" s="394"/>
      <c r="LI123" s="394"/>
      <c r="LJ123" s="394"/>
      <c r="LK123" s="394"/>
      <c r="LL123" s="394"/>
      <c r="LM123" s="394"/>
      <c r="LN123" s="394"/>
      <c r="LO123" s="394"/>
      <c r="LP123" s="394"/>
      <c r="LQ123" s="394"/>
      <c r="LR123" s="394"/>
      <c r="LS123" s="394"/>
      <c r="LT123" s="402"/>
      <c r="LU123" s="402"/>
      <c r="LV123" s="402"/>
      <c r="LW123" s="402"/>
      <c r="LX123" s="402"/>
      <c r="LY123" s="900"/>
      <c r="LZ123" s="900"/>
      <c r="MA123" s="402"/>
      <c r="MB123" s="402"/>
      <c r="MC123" s="402"/>
      <c r="MD123" s="402"/>
      <c r="ME123" s="402"/>
      <c r="MF123" s="402"/>
      <c r="MG123" s="402"/>
      <c r="MH123" s="148"/>
      <c r="MI123" s="904"/>
      <c r="MJ123" s="904"/>
      <c r="MK123" s="904"/>
      <c r="ML123" s="904"/>
      <c r="MM123" s="394"/>
      <c r="MN123" s="394"/>
      <c r="MO123" s="394"/>
      <c r="MP123" s="394"/>
      <c r="MQ123" s="394"/>
      <c r="MR123" s="900"/>
      <c r="MS123" s="394"/>
      <c r="MT123" s="394"/>
      <c r="MU123" s="394"/>
      <c r="MV123" s="394"/>
      <c r="MW123" s="394"/>
      <c r="MX123" s="900"/>
      <c r="MY123" s="394"/>
      <c r="MZ123" s="394"/>
      <c r="NA123" s="684"/>
      <c r="NB123" s="684"/>
      <c r="NC123" s="394"/>
      <c r="ND123" s="394"/>
      <c r="NE123" s="394"/>
      <c r="NF123" s="394"/>
      <c r="NG123" s="394"/>
      <c r="NH123" s="394"/>
      <c r="NI123" s="731"/>
      <c r="NJ123" s="402"/>
      <c r="NK123" s="394"/>
      <c r="NL123" s="394"/>
      <c r="NM123" s="402"/>
      <c r="NN123" s="402"/>
      <c r="NO123" s="402"/>
      <c r="NP123" s="402"/>
      <c r="NQ123" s="402"/>
      <c r="NR123" s="402"/>
      <c r="NS123" s="402"/>
      <c r="NT123" s="402"/>
      <c r="NU123" s="148"/>
      <c r="NV123" s="687"/>
      <c r="NW123" s="687"/>
      <c r="NX123" s="794"/>
      <c r="NY123" s="687"/>
      <c r="NZ123" s="687"/>
      <c r="OA123" s="687"/>
      <c r="OB123" s="687"/>
      <c r="OC123" s="687"/>
      <c r="OD123" s="687"/>
      <c r="OE123" s="794"/>
      <c r="OF123" s="794"/>
      <c r="OG123" s="794"/>
      <c r="OH123" s="794"/>
      <c r="OI123" s="394"/>
      <c r="OJ123" s="394"/>
      <c r="OK123" s="402"/>
      <c r="OL123" s="402"/>
      <c r="OM123" s="402"/>
      <c r="OO123" s="234"/>
      <c r="OP123" s="139"/>
      <c r="OQ123" s="139"/>
      <c r="OR123" s="139"/>
      <c r="OS123" s="139"/>
      <c r="OT123" s="139"/>
      <c r="OU123" s="139"/>
      <c r="OV123" s="139"/>
      <c r="OW123" s="139"/>
      <c r="OX123" s="139"/>
      <c r="OY123" s="139"/>
      <c r="OZ123" s="139"/>
      <c r="PA123" s="139"/>
      <c r="PG123" s="69"/>
      <c r="PH123" s="394"/>
      <c r="PI123" s="507"/>
    </row>
    <row r="124" spans="1:425" ht="15" hidden="1" customHeight="1">
      <c r="A124" s="394"/>
      <c r="B124" s="394"/>
      <c r="C124" s="91"/>
      <c r="D124" s="69"/>
      <c r="E124" s="93"/>
      <c r="F124" s="93"/>
      <c r="I124" s="90"/>
      <c r="J124" s="90"/>
      <c r="K124" s="90"/>
      <c r="L124" s="90"/>
      <c r="M124" s="90"/>
      <c r="N124" s="94"/>
      <c r="O124" s="93"/>
      <c r="P124" s="93"/>
      <c r="R124" s="90"/>
      <c r="S124" s="90"/>
      <c r="T124" s="90"/>
      <c r="U124" s="90"/>
      <c r="V124" s="90"/>
      <c r="W124" s="90"/>
      <c r="X124" s="90"/>
      <c r="Y124" s="69"/>
      <c r="Z124" s="90"/>
      <c r="AA124" s="90"/>
      <c r="AB124" s="90"/>
      <c r="AC124" s="90"/>
      <c r="AH124" s="69"/>
      <c r="AJ124" s="76"/>
      <c r="AK124" s="11"/>
      <c r="AM124" s="90"/>
      <c r="AP124" s="90"/>
      <c r="AQ124" s="93"/>
      <c r="AS124" s="69"/>
      <c r="BF124" s="145"/>
      <c r="BG124" s="6"/>
      <c r="BI124" s="253"/>
      <c r="BM124" s="253"/>
      <c r="BP124" s="69"/>
      <c r="CC124" s="69"/>
      <c r="CD124" s="90"/>
      <c r="CI124" s="148"/>
      <c r="CZ124" s="69"/>
      <c r="DA124" s="90"/>
      <c r="DI124" s="67"/>
      <c r="EG124" s="69"/>
      <c r="EP124" s="25"/>
      <c r="ER124" s="69"/>
      <c r="ES124" s="90"/>
      <c r="ET124" s="90"/>
      <c r="EU124" s="90"/>
      <c r="EV124" s="90"/>
      <c r="FQ124" s="681"/>
      <c r="FR124" s="681"/>
      <c r="FS124" s="681"/>
      <c r="FT124" s="681"/>
      <c r="FU124" s="681"/>
      <c r="FV124" s="681"/>
      <c r="FW124" s="69"/>
      <c r="GH124" s="67"/>
      <c r="GU124" s="148"/>
      <c r="GV124" s="394"/>
      <c r="GW124" s="394"/>
      <c r="GX124" s="394"/>
      <c r="GY124" s="394"/>
      <c r="GZ124" s="394"/>
      <c r="HA124" s="394"/>
      <c r="HB124" s="394"/>
      <c r="HC124" s="394"/>
      <c r="HD124" s="394"/>
      <c r="HE124" s="394"/>
      <c r="HF124" s="394"/>
      <c r="HG124" s="394"/>
      <c r="HH124" s="395"/>
      <c r="HI124" s="69"/>
      <c r="IF124" s="394"/>
      <c r="IG124" s="394"/>
      <c r="IH124" s="394"/>
      <c r="II124" s="394"/>
      <c r="IJ124" s="394"/>
      <c r="IK124" s="394"/>
      <c r="IL124" s="394"/>
      <c r="IM124" s="394"/>
      <c r="IN124" s="394"/>
      <c r="IO124" s="394"/>
      <c r="IP124" s="394"/>
      <c r="IQ124" s="395"/>
      <c r="IR124" s="69"/>
      <c r="JH124" s="69"/>
      <c r="JI124" s="90"/>
      <c r="JS124" s="82"/>
      <c r="JV124" s="394"/>
      <c r="JW124" s="394"/>
      <c r="JX124" s="394"/>
      <c r="JY124" s="394"/>
      <c r="JZ124" s="394"/>
      <c r="KA124" s="394"/>
      <c r="KB124" s="148"/>
      <c r="KC124" s="395"/>
      <c r="KD124" s="395"/>
      <c r="KE124" s="904"/>
      <c r="KF124" s="904"/>
      <c r="KG124" s="394"/>
      <c r="KH124" s="394"/>
      <c r="KI124" s="394"/>
      <c r="KJ124" s="394"/>
      <c r="KK124" s="394"/>
      <c r="KL124" s="394"/>
      <c r="KM124" s="394"/>
      <c r="KN124" s="394"/>
      <c r="KO124" s="394"/>
      <c r="KP124" s="394"/>
      <c r="KQ124" s="394"/>
      <c r="KR124" s="394"/>
      <c r="KS124" s="394"/>
      <c r="KT124" s="394"/>
      <c r="KU124" s="148"/>
      <c r="KV124" s="904"/>
      <c r="KW124" s="394"/>
      <c r="KX124" s="394"/>
      <c r="KY124" s="394"/>
      <c r="KZ124" s="394"/>
      <c r="LA124" s="394"/>
      <c r="LB124" s="394"/>
      <c r="LC124" s="394"/>
      <c r="LD124" s="394"/>
      <c r="LE124" s="394"/>
      <c r="LF124" s="394"/>
      <c r="LG124" s="394"/>
      <c r="LH124" s="394"/>
      <c r="LI124" s="394"/>
      <c r="LJ124" s="394"/>
      <c r="LK124" s="394"/>
      <c r="LL124" s="394"/>
      <c r="LM124" s="394"/>
      <c r="LN124" s="394"/>
      <c r="LO124" s="394"/>
      <c r="LP124" s="394"/>
      <c r="LQ124" s="394"/>
      <c r="LR124" s="394"/>
      <c r="LS124" s="394"/>
      <c r="LT124" s="402"/>
      <c r="LU124" s="402"/>
      <c r="LV124" s="402"/>
      <c r="LW124" s="402"/>
      <c r="LX124" s="402"/>
      <c r="LY124" s="900"/>
      <c r="LZ124" s="900"/>
      <c r="MA124" s="402"/>
      <c r="MB124" s="402"/>
      <c r="MC124" s="402"/>
      <c r="MD124" s="402"/>
      <c r="ME124" s="402"/>
      <c r="MF124" s="402"/>
      <c r="MG124" s="402"/>
      <c r="MH124" s="148"/>
      <c r="MI124" s="904"/>
      <c r="MJ124" s="904"/>
      <c r="MK124" s="904"/>
      <c r="ML124" s="904"/>
      <c r="MM124" s="394"/>
      <c r="MN124" s="394"/>
      <c r="MO124" s="394"/>
      <c r="MP124" s="394"/>
      <c r="MQ124" s="394"/>
      <c r="MR124" s="900"/>
      <c r="MS124" s="394"/>
      <c r="MT124" s="394"/>
      <c r="MU124" s="394"/>
      <c r="MV124" s="394"/>
      <c r="MW124" s="394"/>
      <c r="MX124" s="900"/>
      <c r="MY124" s="394"/>
      <c r="MZ124" s="394"/>
      <c r="NA124" s="684"/>
      <c r="NB124" s="684"/>
      <c r="NC124" s="394"/>
      <c r="ND124" s="394"/>
      <c r="NE124" s="394"/>
      <c r="NF124" s="394"/>
      <c r="NG124" s="394"/>
      <c r="NH124" s="394"/>
      <c r="NI124" s="731"/>
      <c r="NJ124" s="402"/>
      <c r="NK124" s="394"/>
      <c r="NL124" s="394"/>
      <c r="NM124" s="402"/>
      <c r="NN124" s="402"/>
      <c r="NO124" s="402"/>
      <c r="NP124" s="402"/>
      <c r="NQ124" s="402"/>
      <c r="NR124" s="402"/>
      <c r="NS124" s="402"/>
      <c r="NT124" s="402"/>
      <c r="NU124" s="148"/>
      <c r="NV124" s="687"/>
      <c r="NW124" s="687"/>
      <c r="NX124" s="794"/>
      <c r="NY124" s="687"/>
      <c r="NZ124" s="687"/>
      <c r="OA124" s="687"/>
      <c r="OB124" s="687"/>
      <c r="OC124" s="687"/>
      <c r="OD124" s="687"/>
      <c r="OE124" s="794"/>
      <c r="OF124" s="794"/>
      <c r="OG124" s="794"/>
      <c r="OH124" s="794"/>
      <c r="OI124" s="394"/>
      <c r="OJ124" s="394"/>
      <c r="OK124" s="402"/>
      <c r="OL124" s="402"/>
      <c r="OM124" s="402"/>
      <c r="OO124" s="234"/>
      <c r="OP124" s="139"/>
      <c r="OQ124" s="139"/>
      <c r="OR124" s="139"/>
      <c r="OS124" s="139"/>
      <c r="OT124" s="139"/>
      <c r="OU124" s="139"/>
      <c r="OV124" s="139"/>
      <c r="OW124" s="139"/>
      <c r="OX124" s="139"/>
      <c r="OY124" s="139"/>
      <c r="OZ124" s="139"/>
      <c r="PA124" s="139"/>
      <c r="PG124" s="69"/>
      <c r="PH124" s="394"/>
      <c r="PI124" s="507"/>
    </row>
    <row r="125" spans="1:425" ht="15" hidden="1" customHeight="1">
      <c r="A125" s="394"/>
      <c r="B125" s="394"/>
      <c r="C125" s="91"/>
      <c r="D125" s="69"/>
      <c r="E125" s="93"/>
      <c r="F125" s="93"/>
      <c r="I125" s="90"/>
      <c r="J125" s="90"/>
      <c r="K125" s="90"/>
      <c r="L125" s="90"/>
      <c r="M125" s="90"/>
      <c r="N125" s="94"/>
      <c r="O125" s="93"/>
      <c r="P125" s="93"/>
      <c r="R125" s="90"/>
      <c r="S125" s="90"/>
      <c r="T125" s="90"/>
      <c r="U125" s="90"/>
      <c r="V125" s="90"/>
      <c r="W125" s="90"/>
      <c r="X125" s="90"/>
      <c r="Y125" s="69"/>
      <c r="Z125" s="90"/>
      <c r="AA125" s="90"/>
      <c r="AB125" s="90"/>
      <c r="AC125" s="90"/>
      <c r="AH125" s="69"/>
      <c r="AJ125" s="76"/>
      <c r="AK125" s="11"/>
      <c r="AM125" s="90"/>
      <c r="AP125" s="90"/>
      <c r="AQ125" s="93"/>
      <c r="AS125" s="69"/>
      <c r="BF125" s="145"/>
      <c r="BG125" s="6"/>
      <c r="BI125" s="253"/>
      <c r="BM125" s="253"/>
      <c r="BP125" s="69"/>
      <c r="CC125" s="69"/>
      <c r="CD125" s="90"/>
      <c r="CI125" s="148"/>
      <c r="CZ125" s="69"/>
      <c r="DA125" s="90"/>
      <c r="DI125" s="67"/>
      <c r="EG125" s="69"/>
      <c r="EP125" s="25"/>
      <c r="ER125" s="69"/>
      <c r="ES125" s="90"/>
      <c r="ET125" s="90"/>
      <c r="EU125" s="90"/>
      <c r="EV125" s="90"/>
      <c r="FQ125" s="681"/>
      <c r="FR125" s="681"/>
      <c r="FS125" s="681"/>
      <c r="FT125" s="681"/>
      <c r="FU125" s="681"/>
      <c r="FV125" s="681"/>
      <c r="FW125" s="69"/>
      <c r="GH125" s="67"/>
      <c r="GU125" s="148"/>
      <c r="GV125" s="394"/>
      <c r="GW125" s="394"/>
      <c r="GX125" s="394"/>
      <c r="GY125" s="394"/>
      <c r="GZ125" s="394"/>
      <c r="HA125" s="394"/>
      <c r="HB125" s="394"/>
      <c r="HC125" s="394"/>
      <c r="HD125" s="394"/>
      <c r="HE125" s="394"/>
      <c r="HF125" s="394"/>
      <c r="HG125" s="394"/>
      <c r="HH125" s="395"/>
      <c r="HI125" s="69"/>
      <c r="IF125" s="394"/>
      <c r="IG125" s="394"/>
      <c r="IH125" s="394"/>
      <c r="II125" s="394"/>
      <c r="IJ125" s="394"/>
      <c r="IK125" s="394"/>
      <c r="IL125" s="394"/>
      <c r="IM125" s="394"/>
      <c r="IN125" s="394"/>
      <c r="IO125" s="394"/>
      <c r="IP125" s="394"/>
      <c r="IQ125" s="395"/>
      <c r="IR125" s="69"/>
      <c r="JH125" s="69"/>
      <c r="JI125" s="90"/>
      <c r="JS125" s="82"/>
      <c r="JV125" s="394"/>
      <c r="JW125" s="394"/>
      <c r="JX125" s="394"/>
      <c r="JY125" s="394"/>
      <c r="JZ125" s="394"/>
      <c r="KA125" s="394"/>
      <c r="KB125" s="148"/>
      <c r="KC125" s="395"/>
      <c r="KD125" s="395"/>
      <c r="KE125" s="904"/>
      <c r="KF125" s="904"/>
      <c r="KG125" s="394"/>
      <c r="KH125" s="394"/>
      <c r="KI125" s="394"/>
      <c r="KJ125" s="394"/>
      <c r="KK125" s="394"/>
      <c r="KL125" s="394"/>
      <c r="KM125" s="394"/>
      <c r="KN125" s="394"/>
      <c r="KO125" s="394"/>
      <c r="KP125" s="394"/>
      <c r="KQ125" s="394"/>
      <c r="KR125" s="394"/>
      <c r="KS125" s="394"/>
      <c r="KT125" s="394"/>
      <c r="KU125" s="148"/>
      <c r="KV125" s="904"/>
      <c r="KW125" s="394"/>
      <c r="KX125" s="394"/>
      <c r="KY125" s="394"/>
      <c r="KZ125" s="394"/>
      <c r="LA125" s="394"/>
      <c r="LB125" s="394"/>
      <c r="LC125" s="394"/>
      <c r="LD125" s="394"/>
      <c r="LE125" s="394"/>
      <c r="LF125" s="394"/>
      <c r="LG125" s="394"/>
      <c r="LH125" s="394"/>
      <c r="LI125" s="394"/>
      <c r="LJ125" s="394"/>
      <c r="LK125" s="394"/>
      <c r="LL125" s="394"/>
      <c r="LM125" s="394"/>
      <c r="LN125" s="394"/>
      <c r="LO125" s="394"/>
      <c r="LP125" s="394"/>
      <c r="LQ125" s="394"/>
      <c r="LR125" s="394"/>
      <c r="LS125" s="394"/>
      <c r="LT125" s="402"/>
      <c r="LU125" s="402"/>
      <c r="LV125" s="402"/>
      <c r="LW125" s="402"/>
      <c r="LX125" s="402"/>
      <c r="LY125" s="900"/>
      <c r="LZ125" s="900"/>
      <c r="MA125" s="402"/>
      <c r="MB125" s="402"/>
      <c r="MC125" s="402"/>
      <c r="MD125" s="402"/>
      <c r="ME125" s="402"/>
      <c r="MF125" s="402"/>
      <c r="MG125" s="402"/>
      <c r="MH125" s="148"/>
      <c r="MI125" s="904"/>
      <c r="MJ125" s="904"/>
      <c r="MK125" s="904"/>
      <c r="ML125" s="904"/>
      <c r="MM125" s="394"/>
      <c r="MN125" s="394"/>
      <c r="MO125" s="394"/>
      <c r="MP125" s="394"/>
      <c r="MQ125" s="394"/>
      <c r="MR125" s="900"/>
      <c r="MS125" s="394"/>
      <c r="MT125" s="394"/>
      <c r="MU125" s="394"/>
      <c r="MV125" s="394"/>
      <c r="MW125" s="394"/>
      <c r="MX125" s="900"/>
      <c r="MY125" s="394"/>
      <c r="MZ125" s="394"/>
      <c r="NA125" s="684"/>
      <c r="NB125" s="684"/>
      <c r="NC125" s="394"/>
      <c r="ND125" s="394"/>
      <c r="NE125" s="394"/>
      <c r="NF125" s="394"/>
      <c r="NG125" s="394"/>
      <c r="NH125" s="394"/>
      <c r="NI125" s="731"/>
      <c r="NJ125" s="402"/>
      <c r="NK125" s="394"/>
      <c r="NL125" s="394"/>
      <c r="NM125" s="402"/>
      <c r="NN125" s="402"/>
      <c r="NO125" s="402"/>
      <c r="NP125" s="402"/>
      <c r="NQ125" s="402"/>
      <c r="NR125" s="402"/>
      <c r="NS125" s="402"/>
      <c r="NT125" s="402"/>
      <c r="NU125" s="148"/>
      <c r="NV125" s="687"/>
      <c r="NW125" s="687"/>
      <c r="NX125" s="794"/>
      <c r="NY125" s="687"/>
      <c r="NZ125" s="687"/>
      <c r="OA125" s="687"/>
      <c r="OB125" s="687"/>
      <c r="OC125" s="687"/>
      <c r="OD125" s="687"/>
      <c r="OE125" s="794"/>
      <c r="OF125" s="794"/>
      <c r="OG125" s="794"/>
      <c r="OH125" s="794"/>
      <c r="OI125" s="394"/>
      <c r="OJ125" s="394"/>
      <c r="OK125" s="402"/>
      <c r="OL125" s="402"/>
      <c r="OM125" s="402"/>
      <c r="OO125" s="234"/>
      <c r="OP125" s="139"/>
      <c r="OQ125" s="139"/>
      <c r="OR125" s="139"/>
      <c r="OS125" s="139"/>
      <c r="OT125" s="139"/>
      <c r="OU125" s="139"/>
      <c r="OV125" s="139"/>
      <c r="OW125" s="139"/>
      <c r="OX125" s="139"/>
      <c r="OY125" s="139"/>
      <c r="OZ125" s="139"/>
      <c r="PA125" s="139"/>
      <c r="PG125" s="69"/>
      <c r="PH125" s="394"/>
      <c r="PI125" s="507"/>
    </row>
    <row r="126" spans="1:425" ht="15" hidden="1" customHeight="1">
      <c r="A126" s="394"/>
      <c r="B126" s="394"/>
      <c r="C126" s="91"/>
      <c r="D126" s="69"/>
      <c r="E126" s="93"/>
      <c r="F126" s="93"/>
      <c r="I126" s="90"/>
      <c r="J126" s="90"/>
      <c r="K126" s="90"/>
      <c r="L126" s="90"/>
      <c r="M126" s="90"/>
      <c r="N126" s="94"/>
      <c r="O126" s="93"/>
      <c r="P126" s="93"/>
      <c r="R126" s="90"/>
      <c r="S126" s="90"/>
      <c r="T126" s="90"/>
      <c r="U126" s="90"/>
      <c r="V126" s="90"/>
      <c r="W126" s="90"/>
      <c r="X126" s="90"/>
      <c r="Y126" s="69"/>
      <c r="Z126" s="90"/>
      <c r="AA126" s="90"/>
      <c r="AB126" s="90"/>
      <c r="AC126" s="90"/>
      <c r="AH126" s="69"/>
      <c r="AJ126" s="76"/>
      <c r="AK126" s="11"/>
      <c r="AM126" s="90"/>
      <c r="AP126" s="90"/>
      <c r="AQ126" s="93"/>
      <c r="AS126" s="69"/>
      <c r="BF126" s="145"/>
      <c r="BG126" s="6"/>
      <c r="BI126" s="253"/>
      <c r="BM126" s="253"/>
      <c r="BP126" s="69"/>
      <c r="CC126" s="69"/>
      <c r="CD126" s="90"/>
      <c r="CI126" s="148"/>
      <c r="CZ126" s="69"/>
      <c r="DA126" s="90"/>
      <c r="DI126" s="67"/>
      <c r="EG126" s="69"/>
      <c r="EP126" s="25"/>
      <c r="ER126" s="69"/>
      <c r="ES126" s="90"/>
      <c r="ET126" s="90"/>
      <c r="EU126" s="90"/>
      <c r="EV126" s="90"/>
      <c r="FQ126" s="681"/>
      <c r="FR126" s="681"/>
      <c r="FS126" s="681"/>
      <c r="FT126" s="681"/>
      <c r="FU126" s="681"/>
      <c r="FV126" s="681"/>
      <c r="FW126" s="69"/>
      <c r="GH126" s="67"/>
      <c r="GU126" s="148"/>
      <c r="GV126" s="394"/>
      <c r="GW126" s="394"/>
      <c r="GX126" s="394"/>
      <c r="GY126" s="394"/>
      <c r="GZ126" s="394"/>
      <c r="HA126" s="394"/>
      <c r="HB126" s="394"/>
      <c r="HC126" s="394"/>
      <c r="HD126" s="394"/>
      <c r="HE126" s="394"/>
      <c r="HF126" s="394"/>
      <c r="HG126" s="394"/>
      <c r="HH126" s="395"/>
      <c r="HI126" s="69"/>
      <c r="IF126" s="394"/>
      <c r="IG126" s="394"/>
      <c r="IH126" s="394"/>
      <c r="II126" s="394"/>
      <c r="IJ126" s="394"/>
      <c r="IK126" s="394"/>
      <c r="IL126" s="394"/>
      <c r="IM126" s="394"/>
      <c r="IN126" s="394"/>
      <c r="IO126" s="394"/>
      <c r="IP126" s="394"/>
      <c r="IQ126" s="395"/>
      <c r="IR126" s="69"/>
      <c r="JH126" s="69"/>
      <c r="JI126" s="90"/>
      <c r="JS126" s="82"/>
      <c r="JV126" s="394"/>
      <c r="JW126" s="394"/>
      <c r="JX126" s="394"/>
      <c r="JY126" s="394"/>
      <c r="JZ126" s="394"/>
      <c r="KA126" s="394"/>
      <c r="KB126" s="148"/>
      <c r="KC126" s="395"/>
      <c r="KD126" s="395"/>
      <c r="KE126" s="904"/>
      <c r="KF126" s="904"/>
      <c r="KG126" s="394"/>
      <c r="KH126" s="394"/>
      <c r="KI126" s="394"/>
      <c r="KJ126" s="394"/>
      <c r="KK126" s="394"/>
      <c r="KL126" s="394"/>
      <c r="KM126" s="394"/>
      <c r="KN126" s="394"/>
      <c r="KO126" s="394"/>
      <c r="KP126" s="394"/>
      <c r="KQ126" s="394"/>
      <c r="KR126" s="394"/>
      <c r="KS126" s="394"/>
      <c r="KT126" s="394"/>
      <c r="KU126" s="148"/>
      <c r="KV126" s="904"/>
      <c r="KW126" s="394"/>
      <c r="KX126" s="394"/>
      <c r="KY126" s="394"/>
      <c r="KZ126" s="394"/>
      <c r="LA126" s="394"/>
      <c r="LB126" s="394"/>
      <c r="LC126" s="394"/>
      <c r="LD126" s="394"/>
      <c r="LE126" s="394"/>
      <c r="LF126" s="394"/>
      <c r="LG126" s="394"/>
      <c r="LH126" s="394"/>
      <c r="LI126" s="394"/>
      <c r="LJ126" s="394"/>
      <c r="LK126" s="394"/>
      <c r="LL126" s="394"/>
      <c r="LM126" s="394"/>
      <c r="LN126" s="394"/>
      <c r="LO126" s="394"/>
      <c r="LP126" s="394"/>
      <c r="LQ126" s="394"/>
      <c r="LR126" s="394"/>
      <c r="LS126" s="394"/>
      <c r="LT126" s="402"/>
      <c r="LU126" s="402"/>
      <c r="LV126" s="402"/>
      <c r="LW126" s="402"/>
      <c r="LX126" s="402"/>
      <c r="LY126" s="900"/>
      <c r="LZ126" s="900"/>
      <c r="MA126" s="402"/>
      <c r="MB126" s="402"/>
      <c r="MC126" s="402"/>
      <c r="MD126" s="402"/>
      <c r="ME126" s="402"/>
      <c r="MF126" s="402"/>
      <c r="MG126" s="402"/>
      <c r="MH126" s="148"/>
      <c r="MI126" s="904"/>
      <c r="MJ126" s="904"/>
      <c r="MK126" s="904"/>
      <c r="ML126" s="904"/>
      <c r="MM126" s="394"/>
      <c r="MN126" s="394"/>
      <c r="MO126" s="394"/>
      <c r="MP126" s="394"/>
      <c r="MQ126" s="394"/>
      <c r="MR126" s="900"/>
      <c r="MS126" s="394"/>
      <c r="MT126" s="394"/>
      <c r="MU126" s="394"/>
      <c r="MV126" s="394"/>
      <c r="MW126" s="394"/>
      <c r="MX126" s="900"/>
      <c r="MY126" s="394"/>
      <c r="MZ126" s="394"/>
      <c r="NA126" s="684"/>
      <c r="NB126" s="684"/>
      <c r="NC126" s="394"/>
      <c r="ND126" s="394"/>
      <c r="NE126" s="394"/>
      <c r="NF126" s="394"/>
      <c r="NG126" s="394"/>
      <c r="NH126" s="394"/>
      <c r="NI126" s="731"/>
      <c r="NJ126" s="402"/>
      <c r="NK126" s="394"/>
      <c r="NL126" s="394"/>
      <c r="NM126" s="402"/>
      <c r="NN126" s="402"/>
      <c r="NO126" s="402"/>
      <c r="NP126" s="402"/>
      <c r="NQ126" s="402"/>
      <c r="NR126" s="402"/>
      <c r="NS126" s="402"/>
      <c r="NT126" s="402"/>
      <c r="NU126" s="148"/>
      <c r="NV126" s="687"/>
      <c r="NW126" s="687"/>
      <c r="NX126" s="794"/>
      <c r="NY126" s="687"/>
      <c r="NZ126" s="687"/>
      <c r="OA126" s="687"/>
      <c r="OB126" s="687"/>
      <c r="OC126" s="687"/>
      <c r="OD126" s="687"/>
      <c r="OE126" s="794"/>
      <c r="OF126" s="794"/>
      <c r="OG126" s="794"/>
      <c r="OH126" s="794"/>
      <c r="OI126" s="394"/>
      <c r="OJ126" s="394"/>
      <c r="OK126" s="402"/>
      <c r="OL126" s="402"/>
      <c r="OM126" s="402"/>
      <c r="OO126" s="234"/>
      <c r="OP126" s="139"/>
      <c r="OQ126" s="139"/>
      <c r="OR126" s="139"/>
      <c r="OS126" s="139"/>
      <c r="OT126" s="139"/>
      <c r="OU126" s="139"/>
      <c r="OV126" s="139"/>
      <c r="OW126" s="139"/>
      <c r="OX126" s="139"/>
      <c r="OY126" s="139"/>
      <c r="OZ126" s="139"/>
      <c r="PA126" s="139"/>
      <c r="PG126" s="69"/>
      <c r="PH126" s="394"/>
      <c r="PI126" s="507"/>
    </row>
    <row r="127" spans="1:425" ht="15" hidden="1" customHeight="1">
      <c r="A127" s="394"/>
      <c r="B127" s="394"/>
      <c r="C127" s="91"/>
      <c r="D127" s="69"/>
      <c r="E127" s="93"/>
      <c r="F127" s="93"/>
      <c r="I127" s="90"/>
      <c r="J127" s="90"/>
      <c r="K127" s="90"/>
      <c r="L127" s="90"/>
      <c r="M127" s="90"/>
      <c r="N127" s="94"/>
      <c r="O127" s="93"/>
      <c r="P127" s="93"/>
      <c r="R127" s="90"/>
      <c r="S127" s="90"/>
      <c r="T127" s="90"/>
      <c r="U127" s="90"/>
      <c r="V127" s="90"/>
      <c r="W127" s="90"/>
      <c r="X127" s="90"/>
      <c r="Y127" s="69"/>
      <c r="Z127" s="90"/>
      <c r="AA127" s="90"/>
      <c r="AB127" s="90"/>
      <c r="AC127" s="90"/>
      <c r="AH127" s="69"/>
      <c r="AJ127" s="76"/>
      <c r="AK127" s="11"/>
      <c r="AM127" s="90"/>
      <c r="AP127" s="90"/>
      <c r="AQ127" s="93"/>
      <c r="AS127" s="69"/>
      <c r="BF127" s="145"/>
      <c r="BG127" s="6"/>
      <c r="BI127" s="253"/>
      <c r="BM127" s="253"/>
      <c r="BP127" s="69"/>
      <c r="CC127" s="69"/>
      <c r="CD127" s="90"/>
      <c r="CI127" s="148"/>
      <c r="CZ127" s="69"/>
      <c r="DA127" s="90"/>
      <c r="DI127" s="67"/>
      <c r="EG127" s="69"/>
      <c r="EP127" s="25"/>
      <c r="ER127" s="69"/>
      <c r="ES127" s="90"/>
      <c r="ET127" s="90"/>
      <c r="EU127" s="90"/>
      <c r="EV127" s="90"/>
      <c r="FQ127" s="681"/>
      <c r="FR127" s="681"/>
      <c r="FS127" s="681"/>
      <c r="FT127" s="681"/>
      <c r="FU127" s="681"/>
      <c r="FV127" s="681"/>
      <c r="FW127" s="69"/>
      <c r="GH127" s="67"/>
      <c r="GU127" s="148"/>
      <c r="GV127" s="394"/>
      <c r="GW127" s="394"/>
      <c r="GX127" s="394"/>
      <c r="GY127" s="394"/>
      <c r="GZ127" s="394"/>
      <c r="HA127" s="394"/>
      <c r="HB127" s="394"/>
      <c r="HC127" s="394"/>
      <c r="HD127" s="394"/>
      <c r="HE127" s="394"/>
      <c r="HF127" s="394"/>
      <c r="HG127" s="394"/>
      <c r="HH127" s="395"/>
      <c r="HI127" s="69"/>
      <c r="IF127" s="394"/>
      <c r="IG127" s="394"/>
      <c r="IH127" s="394"/>
      <c r="II127" s="394"/>
      <c r="IJ127" s="394"/>
      <c r="IK127" s="394"/>
      <c r="IL127" s="394"/>
      <c r="IM127" s="394"/>
      <c r="IN127" s="394"/>
      <c r="IO127" s="394"/>
      <c r="IP127" s="394"/>
      <c r="IQ127" s="395"/>
      <c r="IR127" s="69"/>
      <c r="JH127" s="69"/>
      <c r="JI127" s="90"/>
      <c r="JS127" s="82"/>
      <c r="JV127" s="394"/>
      <c r="JW127" s="394"/>
      <c r="JX127" s="394"/>
      <c r="JY127" s="394"/>
      <c r="JZ127" s="394"/>
      <c r="KA127" s="394"/>
      <c r="KB127" s="148"/>
      <c r="KC127" s="395"/>
      <c r="KD127" s="395"/>
      <c r="KE127" s="904"/>
      <c r="KF127" s="904"/>
      <c r="KG127" s="394"/>
      <c r="KH127" s="394"/>
      <c r="KI127" s="394"/>
      <c r="KJ127" s="394"/>
      <c r="KK127" s="394"/>
      <c r="KL127" s="394"/>
      <c r="KM127" s="394"/>
      <c r="KN127" s="394"/>
      <c r="KO127" s="394"/>
      <c r="KP127" s="394"/>
      <c r="KQ127" s="394"/>
      <c r="KR127" s="394"/>
      <c r="KS127" s="394"/>
      <c r="KT127" s="394"/>
      <c r="KU127" s="148"/>
      <c r="KV127" s="904"/>
      <c r="KW127" s="394"/>
      <c r="KX127" s="394"/>
      <c r="KY127" s="394"/>
      <c r="KZ127" s="394"/>
      <c r="LA127" s="394"/>
      <c r="LB127" s="394"/>
      <c r="LC127" s="394"/>
      <c r="LD127" s="394"/>
      <c r="LE127" s="394"/>
      <c r="LF127" s="394"/>
      <c r="LG127" s="394"/>
      <c r="LH127" s="394"/>
      <c r="LI127" s="394"/>
      <c r="LJ127" s="394"/>
      <c r="LK127" s="394"/>
      <c r="LL127" s="394"/>
      <c r="LM127" s="394"/>
      <c r="LN127" s="394"/>
      <c r="LO127" s="394"/>
      <c r="LP127" s="394"/>
      <c r="LQ127" s="394"/>
      <c r="LR127" s="394"/>
      <c r="LS127" s="394"/>
      <c r="LT127" s="402"/>
      <c r="LU127" s="402"/>
      <c r="LV127" s="402"/>
      <c r="LW127" s="402"/>
      <c r="LX127" s="402"/>
      <c r="LY127" s="900"/>
      <c r="LZ127" s="900"/>
      <c r="MA127" s="402"/>
      <c r="MB127" s="402"/>
      <c r="MC127" s="402"/>
      <c r="MD127" s="402"/>
      <c r="ME127" s="402"/>
      <c r="MF127" s="402"/>
      <c r="MG127" s="402"/>
      <c r="MH127" s="148"/>
      <c r="MI127" s="904"/>
      <c r="MJ127" s="904"/>
      <c r="MK127" s="904"/>
      <c r="ML127" s="904"/>
      <c r="MM127" s="394"/>
      <c r="MN127" s="394"/>
      <c r="MO127" s="394"/>
      <c r="MP127" s="394"/>
      <c r="MQ127" s="394"/>
      <c r="MR127" s="900"/>
      <c r="MS127" s="394"/>
      <c r="MT127" s="394"/>
      <c r="MU127" s="394"/>
      <c r="MV127" s="394"/>
      <c r="MW127" s="394"/>
      <c r="MX127" s="900"/>
      <c r="MY127" s="394"/>
      <c r="MZ127" s="394"/>
      <c r="NA127" s="684"/>
      <c r="NB127" s="684"/>
      <c r="NC127" s="394"/>
      <c r="ND127" s="394"/>
      <c r="NE127" s="394"/>
      <c r="NF127" s="394"/>
      <c r="NG127" s="394"/>
      <c r="NH127" s="394"/>
      <c r="NI127" s="731"/>
      <c r="NJ127" s="402"/>
      <c r="NK127" s="394"/>
      <c r="NL127" s="394"/>
      <c r="NM127" s="402"/>
      <c r="NN127" s="402"/>
      <c r="NO127" s="402"/>
      <c r="NP127" s="402"/>
      <c r="NQ127" s="402"/>
      <c r="NR127" s="402"/>
      <c r="NS127" s="402"/>
      <c r="NT127" s="402"/>
      <c r="NU127" s="148"/>
      <c r="NV127" s="687"/>
      <c r="NW127" s="687"/>
      <c r="NX127" s="794"/>
      <c r="NY127" s="687"/>
      <c r="NZ127" s="687"/>
      <c r="OA127" s="687"/>
      <c r="OB127" s="687"/>
      <c r="OC127" s="687"/>
      <c r="OD127" s="687"/>
      <c r="OE127" s="794"/>
      <c r="OF127" s="794"/>
      <c r="OG127" s="794"/>
      <c r="OH127" s="794"/>
      <c r="OI127" s="394"/>
      <c r="OJ127" s="394"/>
      <c r="OK127" s="402"/>
      <c r="OL127" s="402"/>
      <c r="OM127" s="402"/>
      <c r="OO127" s="234"/>
      <c r="OP127" s="139"/>
      <c r="OQ127" s="139"/>
      <c r="OR127" s="139"/>
      <c r="OS127" s="139"/>
      <c r="OT127" s="139"/>
      <c r="OU127" s="139"/>
      <c r="OV127" s="139"/>
      <c r="OW127" s="139"/>
      <c r="OX127" s="139"/>
      <c r="OY127" s="139"/>
      <c r="OZ127" s="139"/>
      <c r="PA127" s="139"/>
      <c r="PG127" s="69"/>
      <c r="PH127" s="394"/>
      <c r="PI127" s="507"/>
    </row>
    <row r="128" spans="1:425" ht="15" hidden="1" customHeight="1">
      <c r="A128" s="394"/>
      <c r="B128" s="394"/>
      <c r="C128" s="91"/>
      <c r="D128" s="69"/>
      <c r="E128" s="93"/>
      <c r="F128" s="93"/>
      <c r="I128" s="90"/>
      <c r="J128" s="90"/>
      <c r="K128" s="90"/>
      <c r="L128" s="90"/>
      <c r="M128" s="90"/>
      <c r="N128" s="94"/>
      <c r="O128" s="93"/>
      <c r="P128" s="93"/>
      <c r="R128" s="90"/>
      <c r="S128" s="90"/>
      <c r="T128" s="90"/>
      <c r="U128" s="90"/>
      <c r="V128" s="90"/>
      <c r="W128" s="90"/>
      <c r="X128" s="90"/>
      <c r="Y128" s="69"/>
      <c r="Z128" s="90"/>
      <c r="AA128" s="90"/>
      <c r="AB128" s="90"/>
      <c r="AC128" s="90"/>
      <c r="AH128" s="69"/>
      <c r="AJ128" s="76"/>
      <c r="AK128" s="11"/>
      <c r="AM128" s="90"/>
      <c r="AP128" s="90"/>
      <c r="AQ128" s="93"/>
      <c r="AS128" s="69"/>
      <c r="BF128" s="145"/>
      <c r="BG128" s="6"/>
      <c r="BI128" s="253"/>
      <c r="BM128" s="253"/>
      <c r="BP128" s="69"/>
      <c r="CC128" s="69"/>
      <c r="CD128" s="90"/>
      <c r="CI128" s="148"/>
      <c r="CZ128" s="69"/>
      <c r="DA128" s="90"/>
      <c r="DI128" s="67"/>
      <c r="EG128" s="69"/>
      <c r="EP128" s="25"/>
      <c r="ER128" s="69"/>
      <c r="ES128" s="90"/>
      <c r="ET128" s="90"/>
      <c r="EU128" s="90"/>
      <c r="EV128" s="90"/>
      <c r="FQ128" s="681"/>
      <c r="FR128" s="681"/>
      <c r="FS128" s="681"/>
      <c r="FT128" s="681"/>
      <c r="FU128" s="681"/>
      <c r="FV128" s="681"/>
      <c r="FW128" s="69"/>
      <c r="GH128" s="67"/>
      <c r="GU128" s="148"/>
      <c r="GV128" s="394"/>
      <c r="GW128" s="394"/>
      <c r="GX128" s="394"/>
      <c r="GY128" s="394"/>
      <c r="GZ128" s="394"/>
      <c r="HA128" s="394"/>
      <c r="HB128" s="394"/>
      <c r="HC128" s="394"/>
      <c r="HD128" s="394"/>
      <c r="HE128" s="394"/>
      <c r="HF128" s="394"/>
      <c r="HG128" s="394"/>
      <c r="HH128" s="395"/>
      <c r="HI128" s="69"/>
      <c r="IF128" s="394"/>
      <c r="IG128" s="394"/>
      <c r="IH128" s="394"/>
      <c r="II128" s="394"/>
      <c r="IJ128" s="394"/>
      <c r="IK128" s="394"/>
      <c r="IL128" s="394"/>
      <c r="IM128" s="394"/>
      <c r="IN128" s="394"/>
      <c r="IO128" s="394"/>
      <c r="IP128" s="394"/>
      <c r="IQ128" s="395"/>
      <c r="IR128" s="69"/>
      <c r="JH128" s="69"/>
      <c r="JI128" s="90"/>
      <c r="JS128" s="82"/>
      <c r="JV128" s="394"/>
      <c r="JW128" s="394"/>
      <c r="JX128" s="394"/>
      <c r="JY128" s="394"/>
      <c r="JZ128" s="394"/>
      <c r="KA128" s="394"/>
      <c r="KB128" s="148"/>
      <c r="KC128" s="395"/>
      <c r="KD128" s="395"/>
      <c r="KE128" s="904"/>
      <c r="KF128" s="904"/>
      <c r="KG128" s="394"/>
      <c r="KH128" s="394"/>
      <c r="KI128" s="394"/>
      <c r="KJ128" s="394"/>
      <c r="KK128" s="394"/>
      <c r="KL128" s="394"/>
      <c r="KM128" s="394"/>
      <c r="KN128" s="394"/>
      <c r="KO128" s="394"/>
      <c r="KP128" s="394"/>
      <c r="KQ128" s="394"/>
      <c r="KR128" s="394"/>
      <c r="KS128" s="394"/>
      <c r="KT128" s="394"/>
      <c r="KU128" s="148"/>
      <c r="KV128" s="904"/>
      <c r="KW128" s="394"/>
      <c r="KX128" s="394"/>
      <c r="KY128" s="394"/>
      <c r="KZ128" s="394"/>
      <c r="LA128" s="394"/>
      <c r="LB128" s="394"/>
      <c r="LC128" s="394"/>
      <c r="LD128" s="394"/>
      <c r="LE128" s="394"/>
      <c r="LF128" s="394"/>
      <c r="LG128" s="394"/>
      <c r="LH128" s="394"/>
      <c r="LI128" s="394"/>
      <c r="LJ128" s="394"/>
      <c r="LK128" s="394"/>
      <c r="LL128" s="394"/>
      <c r="LM128" s="394"/>
      <c r="LN128" s="394"/>
      <c r="LO128" s="394"/>
      <c r="LP128" s="394"/>
      <c r="LQ128" s="394"/>
      <c r="LR128" s="394"/>
      <c r="LS128" s="394"/>
      <c r="LT128" s="402"/>
      <c r="LU128" s="402"/>
      <c r="LV128" s="402"/>
      <c r="LW128" s="402"/>
      <c r="LX128" s="402"/>
      <c r="LY128" s="900"/>
      <c r="LZ128" s="900"/>
      <c r="MA128" s="402"/>
      <c r="MB128" s="402"/>
      <c r="MC128" s="402"/>
      <c r="MD128" s="402"/>
      <c r="ME128" s="402"/>
      <c r="MF128" s="402"/>
      <c r="MG128" s="402"/>
      <c r="MH128" s="148"/>
      <c r="MI128" s="904"/>
      <c r="MJ128" s="904"/>
      <c r="MK128" s="904"/>
      <c r="ML128" s="904"/>
      <c r="MM128" s="394"/>
      <c r="MN128" s="394"/>
      <c r="MO128" s="394"/>
      <c r="MP128" s="394"/>
      <c r="MQ128" s="394"/>
      <c r="MR128" s="900"/>
      <c r="MS128" s="394"/>
      <c r="MT128" s="394"/>
      <c r="MU128" s="394"/>
      <c r="MV128" s="394"/>
      <c r="MW128" s="394"/>
      <c r="MX128" s="900"/>
      <c r="MY128" s="394"/>
      <c r="MZ128" s="394"/>
      <c r="NA128" s="684"/>
      <c r="NB128" s="684"/>
      <c r="NC128" s="394"/>
      <c r="ND128" s="394"/>
      <c r="NE128" s="394"/>
      <c r="NF128" s="394"/>
      <c r="NG128" s="394"/>
      <c r="NH128" s="394"/>
      <c r="NI128" s="731"/>
      <c r="NJ128" s="402"/>
      <c r="NK128" s="394"/>
      <c r="NL128" s="394"/>
      <c r="NM128" s="402"/>
      <c r="NN128" s="402"/>
      <c r="NO128" s="402"/>
      <c r="NP128" s="402"/>
      <c r="NQ128" s="402"/>
      <c r="NR128" s="402"/>
      <c r="NS128" s="402"/>
      <c r="NT128" s="402"/>
      <c r="NU128" s="148"/>
      <c r="NV128" s="687"/>
      <c r="NW128" s="687"/>
      <c r="NX128" s="794"/>
      <c r="NY128" s="687"/>
      <c r="NZ128" s="687"/>
      <c r="OA128" s="687"/>
      <c r="OB128" s="687"/>
      <c r="OC128" s="687"/>
      <c r="OD128" s="687"/>
      <c r="OE128" s="794"/>
      <c r="OF128" s="794"/>
      <c r="OG128" s="794"/>
      <c r="OH128" s="794"/>
      <c r="OI128" s="394"/>
      <c r="OJ128" s="394"/>
      <c r="OK128" s="402"/>
      <c r="OL128" s="402"/>
      <c r="OM128" s="402"/>
      <c r="OO128" s="234"/>
      <c r="OP128" s="139"/>
      <c r="OQ128" s="139"/>
      <c r="OR128" s="139"/>
      <c r="OS128" s="139"/>
      <c r="OT128" s="139"/>
      <c r="OU128" s="139"/>
      <c r="OV128" s="139"/>
      <c r="OW128" s="139"/>
      <c r="OX128" s="139"/>
      <c r="OY128" s="139"/>
      <c r="OZ128" s="139"/>
      <c r="PA128" s="139"/>
      <c r="PG128" s="69"/>
      <c r="PH128" s="394"/>
      <c r="PI128" s="507"/>
    </row>
    <row r="129" spans="1:425" ht="15" hidden="1" customHeight="1">
      <c r="A129" s="394"/>
      <c r="B129" s="394"/>
      <c r="C129" s="91"/>
      <c r="D129" s="69"/>
      <c r="E129" s="93"/>
      <c r="F129" s="93"/>
      <c r="I129" s="90"/>
      <c r="J129" s="90"/>
      <c r="K129" s="90"/>
      <c r="L129" s="90"/>
      <c r="M129" s="90"/>
      <c r="N129" s="94"/>
      <c r="O129" s="93"/>
      <c r="P129" s="93"/>
      <c r="R129" s="90"/>
      <c r="S129" s="90"/>
      <c r="T129" s="90"/>
      <c r="U129" s="90"/>
      <c r="V129" s="90"/>
      <c r="W129" s="90"/>
      <c r="X129" s="90"/>
      <c r="Y129" s="69"/>
      <c r="Z129" s="90"/>
      <c r="AA129" s="90"/>
      <c r="AB129" s="90"/>
      <c r="AC129" s="90"/>
      <c r="AH129" s="69"/>
      <c r="AJ129" s="76"/>
      <c r="AK129" s="11"/>
      <c r="AM129" s="90"/>
      <c r="AP129" s="90"/>
      <c r="AQ129" s="93"/>
      <c r="AS129" s="69"/>
      <c r="BF129" s="145"/>
      <c r="BG129" s="6"/>
      <c r="BI129" s="253"/>
      <c r="BM129" s="253"/>
      <c r="BP129" s="69"/>
      <c r="CC129" s="69"/>
      <c r="CD129" s="90"/>
      <c r="CI129" s="148"/>
      <c r="CZ129" s="69"/>
      <c r="DA129" s="90"/>
      <c r="DI129" s="67"/>
      <c r="EG129" s="69"/>
      <c r="EP129" s="25"/>
      <c r="ER129" s="69"/>
      <c r="ES129" s="90"/>
      <c r="ET129" s="90"/>
      <c r="EU129" s="90"/>
      <c r="EV129" s="90"/>
      <c r="FQ129" s="681"/>
      <c r="FR129" s="681"/>
      <c r="FS129" s="681"/>
      <c r="FT129" s="681"/>
      <c r="FU129" s="681"/>
      <c r="FV129" s="681"/>
      <c r="FW129" s="69"/>
      <c r="GH129" s="67"/>
      <c r="GU129" s="148"/>
      <c r="GV129" s="394"/>
      <c r="GW129" s="394"/>
      <c r="GX129" s="394"/>
      <c r="GY129" s="394"/>
      <c r="GZ129" s="394"/>
      <c r="HA129" s="394"/>
      <c r="HB129" s="394"/>
      <c r="HC129" s="394"/>
      <c r="HD129" s="394"/>
      <c r="HE129" s="394"/>
      <c r="HF129" s="394"/>
      <c r="HG129" s="394"/>
      <c r="HH129" s="395"/>
      <c r="HI129" s="69"/>
      <c r="IF129" s="394"/>
      <c r="IG129" s="394"/>
      <c r="IH129" s="394"/>
      <c r="II129" s="394"/>
      <c r="IJ129" s="394"/>
      <c r="IK129" s="394"/>
      <c r="IL129" s="394"/>
      <c r="IM129" s="394"/>
      <c r="IN129" s="394"/>
      <c r="IO129" s="394"/>
      <c r="IP129" s="394"/>
      <c r="IQ129" s="395"/>
      <c r="IR129" s="69"/>
      <c r="JH129" s="69"/>
      <c r="JI129" s="90"/>
      <c r="JS129" s="82"/>
      <c r="JV129" s="394"/>
      <c r="JW129" s="394"/>
      <c r="JX129" s="394"/>
      <c r="JY129" s="394"/>
      <c r="JZ129" s="394"/>
      <c r="KA129" s="394"/>
      <c r="KB129" s="148"/>
      <c r="KC129" s="395"/>
      <c r="KD129" s="395"/>
      <c r="KE129" s="904"/>
      <c r="KF129" s="904"/>
      <c r="KG129" s="394"/>
      <c r="KH129" s="394"/>
      <c r="KI129" s="394"/>
      <c r="KJ129" s="394"/>
      <c r="KK129" s="394"/>
      <c r="KL129" s="394"/>
      <c r="KM129" s="394"/>
      <c r="KN129" s="394"/>
      <c r="KO129" s="394"/>
      <c r="KP129" s="394"/>
      <c r="KQ129" s="394"/>
      <c r="KR129" s="394"/>
      <c r="KS129" s="394"/>
      <c r="KT129" s="394"/>
      <c r="KU129" s="148"/>
      <c r="KV129" s="904"/>
      <c r="KW129" s="394"/>
      <c r="KX129" s="394"/>
      <c r="KY129" s="394"/>
      <c r="KZ129" s="394"/>
      <c r="LA129" s="394"/>
      <c r="LB129" s="394"/>
      <c r="LC129" s="394"/>
      <c r="LD129" s="394"/>
      <c r="LE129" s="394"/>
      <c r="LF129" s="394"/>
      <c r="LG129" s="394"/>
      <c r="LH129" s="394"/>
      <c r="LI129" s="394"/>
      <c r="LJ129" s="394"/>
      <c r="LK129" s="394"/>
      <c r="LL129" s="394"/>
      <c r="LM129" s="394"/>
      <c r="LN129" s="394"/>
      <c r="LO129" s="394"/>
      <c r="LP129" s="394"/>
      <c r="LQ129" s="394"/>
      <c r="LR129" s="394"/>
      <c r="LS129" s="394"/>
      <c r="LT129" s="402"/>
      <c r="LU129" s="402"/>
      <c r="LV129" s="402"/>
      <c r="LW129" s="402"/>
      <c r="LX129" s="402"/>
      <c r="LY129" s="900"/>
      <c r="LZ129" s="900"/>
      <c r="MA129" s="402"/>
      <c r="MB129" s="402"/>
      <c r="MC129" s="402"/>
      <c r="MD129" s="402"/>
      <c r="ME129" s="402"/>
      <c r="MF129" s="402"/>
      <c r="MG129" s="402"/>
      <c r="MH129" s="148"/>
      <c r="MI129" s="904"/>
      <c r="MJ129" s="904"/>
      <c r="MK129" s="904"/>
      <c r="ML129" s="904"/>
      <c r="MM129" s="394"/>
      <c r="MN129" s="394"/>
      <c r="MO129" s="394"/>
      <c r="MP129" s="394"/>
      <c r="MQ129" s="394"/>
      <c r="MR129" s="900"/>
      <c r="MS129" s="394"/>
      <c r="MT129" s="394"/>
      <c r="MU129" s="394"/>
      <c r="MV129" s="394"/>
      <c r="MW129" s="394"/>
      <c r="MX129" s="900"/>
      <c r="MY129" s="394"/>
      <c r="MZ129" s="394"/>
      <c r="NA129" s="684"/>
      <c r="NB129" s="684"/>
      <c r="NC129" s="394"/>
      <c r="ND129" s="394"/>
      <c r="NE129" s="394"/>
      <c r="NF129" s="394"/>
      <c r="NG129" s="394"/>
      <c r="NH129" s="394"/>
      <c r="NI129" s="731"/>
      <c r="NJ129" s="402"/>
      <c r="NK129" s="394"/>
      <c r="NL129" s="394"/>
      <c r="NM129" s="402"/>
      <c r="NN129" s="402"/>
      <c r="NO129" s="402"/>
      <c r="NP129" s="402"/>
      <c r="NQ129" s="402"/>
      <c r="NR129" s="402"/>
      <c r="NS129" s="402"/>
      <c r="NT129" s="402"/>
      <c r="NU129" s="148"/>
      <c r="NV129" s="687"/>
      <c r="NW129" s="687"/>
      <c r="NX129" s="794"/>
      <c r="NY129" s="687"/>
      <c r="NZ129" s="687"/>
      <c r="OA129" s="687"/>
      <c r="OB129" s="687"/>
      <c r="OC129" s="687"/>
      <c r="OD129" s="687"/>
      <c r="OE129" s="794"/>
      <c r="OF129" s="794"/>
      <c r="OG129" s="794"/>
      <c r="OH129" s="794"/>
      <c r="OI129" s="394"/>
      <c r="OJ129" s="394"/>
      <c r="OK129" s="402"/>
      <c r="OL129" s="402"/>
      <c r="OM129" s="402"/>
      <c r="OO129" s="234"/>
      <c r="OP129" s="139"/>
      <c r="OQ129" s="139"/>
      <c r="OR129" s="139"/>
      <c r="OS129" s="139"/>
      <c r="OT129" s="139"/>
      <c r="OU129" s="139"/>
      <c r="OV129" s="139"/>
      <c r="OW129" s="139"/>
      <c r="OX129" s="139"/>
      <c r="OY129" s="139"/>
      <c r="OZ129" s="139"/>
      <c r="PA129" s="139"/>
      <c r="PG129" s="69"/>
      <c r="PH129" s="394"/>
      <c r="PI129" s="507"/>
    </row>
    <row r="130" spans="1:425" ht="15" hidden="1" customHeight="1">
      <c r="A130" s="394"/>
      <c r="B130" s="394"/>
      <c r="C130" s="91"/>
      <c r="D130" s="69"/>
      <c r="E130" s="93"/>
      <c r="F130" s="93"/>
      <c r="I130" s="90"/>
      <c r="J130" s="90"/>
      <c r="K130" s="90"/>
      <c r="L130" s="90"/>
      <c r="M130" s="90"/>
      <c r="N130" s="94"/>
      <c r="O130" s="93"/>
      <c r="P130" s="93"/>
      <c r="R130" s="90"/>
      <c r="S130" s="90"/>
      <c r="T130" s="90"/>
      <c r="U130" s="90"/>
      <c r="V130" s="90"/>
      <c r="W130" s="90"/>
      <c r="X130" s="90"/>
      <c r="Y130" s="69"/>
      <c r="Z130" s="90"/>
      <c r="AA130" s="90"/>
      <c r="AB130" s="90"/>
      <c r="AC130" s="90"/>
      <c r="AH130" s="69"/>
      <c r="AJ130" s="76"/>
      <c r="AK130" s="11"/>
      <c r="AM130" s="90"/>
      <c r="AP130" s="90"/>
      <c r="AQ130" s="93"/>
      <c r="AS130" s="69"/>
      <c r="BF130" s="145"/>
      <c r="BG130" s="6"/>
      <c r="BI130" s="253"/>
      <c r="BM130" s="253"/>
      <c r="BP130" s="69"/>
      <c r="CC130" s="69"/>
      <c r="CD130" s="90"/>
      <c r="CI130" s="148"/>
      <c r="CZ130" s="69"/>
      <c r="DA130" s="90"/>
      <c r="DI130" s="67"/>
      <c r="EG130" s="69"/>
      <c r="EP130" s="25"/>
      <c r="ER130" s="69"/>
      <c r="ES130" s="90"/>
      <c r="ET130" s="90"/>
      <c r="EU130" s="90"/>
      <c r="EV130" s="90"/>
      <c r="FQ130" s="681"/>
      <c r="FR130" s="681"/>
      <c r="FS130" s="681"/>
      <c r="FT130" s="681"/>
      <c r="FU130" s="681"/>
      <c r="FV130" s="681"/>
      <c r="FW130" s="69"/>
      <c r="GH130" s="67"/>
      <c r="GU130" s="148"/>
      <c r="GV130" s="394"/>
      <c r="GW130" s="394"/>
      <c r="GX130" s="394"/>
      <c r="GY130" s="394"/>
      <c r="GZ130" s="394"/>
      <c r="HA130" s="394"/>
      <c r="HB130" s="394"/>
      <c r="HC130" s="394"/>
      <c r="HD130" s="394"/>
      <c r="HE130" s="394"/>
      <c r="HF130" s="394"/>
      <c r="HG130" s="394"/>
      <c r="HH130" s="395"/>
      <c r="HI130" s="69"/>
      <c r="IF130" s="394"/>
      <c r="IG130" s="394"/>
      <c r="IH130" s="394"/>
      <c r="II130" s="394"/>
      <c r="IJ130" s="394"/>
      <c r="IK130" s="394"/>
      <c r="IL130" s="394"/>
      <c r="IM130" s="394"/>
      <c r="IN130" s="394"/>
      <c r="IO130" s="394"/>
      <c r="IP130" s="394"/>
      <c r="IQ130" s="395"/>
      <c r="IR130" s="69"/>
      <c r="JH130" s="69"/>
      <c r="JI130" s="90"/>
      <c r="JS130" s="82"/>
      <c r="JV130" s="394"/>
      <c r="JW130" s="394"/>
      <c r="JX130" s="394"/>
      <c r="JY130" s="394"/>
      <c r="JZ130" s="394"/>
      <c r="KA130" s="394"/>
      <c r="KB130" s="148"/>
      <c r="KC130" s="395"/>
      <c r="KD130" s="395"/>
      <c r="KE130" s="904"/>
      <c r="KF130" s="904"/>
      <c r="KG130" s="394"/>
      <c r="KH130" s="394"/>
      <c r="KI130" s="394"/>
      <c r="KJ130" s="394"/>
      <c r="KK130" s="394"/>
      <c r="KL130" s="394"/>
      <c r="KM130" s="394"/>
      <c r="KN130" s="394"/>
      <c r="KO130" s="394"/>
      <c r="KP130" s="394"/>
      <c r="KQ130" s="394"/>
      <c r="KR130" s="394"/>
      <c r="KS130" s="394"/>
      <c r="KT130" s="394"/>
      <c r="KU130" s="148"/>
      <c r="KV130" s="904"/>
      <c r="KW130" s="394"/>
      <c r="KX130" s="394"/>
      <c r="KY130" s="394"/>
      <c r="KZ130" s="394"/>
      <c r="LA130" s="394"/>
      <c r="LB130" s="394"/>
      <c r="LC130" s="394"/>
      <c r="LD130" s="394"/>
      <c r="LE130" s="394"/>
      <c r="LF130" s="394"/>
      <c r="LG130" s="394"/>
      <c r="LH130" s="394"/>
      <c r="LI130" s="394"/>
      <c r="LJ130" s="394"/>
      <c r="LK130" s="394"/>
      <c r="LL130" s="394"/>
      <c r="LM130" s="394"/>
      <c r="LN130" s="394"/>
      <c r="LO130" s="394"/>
      <c r="LP130" s="394"/>
      <c r="LQ130" s="394"/>
      <c r="LR130" s="394"/>
      <c r="LS130" s="394"/>
      <c r="LT130" s="402"/>
      <c r="LU130" s="402"/>
      <c r="LV130" s="402"/>
      <c r="LW130" s="402"/>
      <c r="LX130" s="402"/>
      <c r="LY130" s="900"/>
      <c r="LZ130" s="900"/>
      <c r="MA130" s="402"/>
      <c r="MB130" s="402"/>
      <c r="MC130" s="402"/>
      <c r="MD130" s="402"/>
      <c r="ME130" s="402"/>
      <c r="MF130" s="402"/>
      <c r="MG130" s="402"/>
      <c r="MH130" s="148"/>
      <c r="MI130" s="904"/>
      <c r="MJ130" s="904"/>
      <c r="MK130" s="904"/>
      <c r="ML130" s="904"/>
      <c r="MM130" s="394"/>
      <c r="MN130" s="394"/>
      <c r="MO130" s="394"/>
      <c r="MP130" s="394"/>
      <c r="MQ130" s="394"/>
      <c r="MR130" s="900"/>
      <c r="MS130" s="394"/>
      <c r="MT130" s="394"/>
      <c r="MU130" s="394"/>
      <c r="MV130" s="394"/>
      <c r="MW130" s="394"/>
      <c r="MX130" s="900"/>
      <c r="MY130" s="394"/>
      <c r="MZ130" s="394"/>
      <c r="NA130" s="684"/>
      <c r="NB130" s="684"/>
      <c r="NC130" s="394"/>
      <c r="ND130" s="394"/>
      <c r="NE130" s="394"/>
      <c r="NF130" s="394"/>
      <c r="NG130" s="394"/>
      <c r="NH130" s="394"/>
      <c r="NI130" s="731"/>
      <c r="NJ130" s="402"/>
      <c r="NK130" s="394"/>
      <c r="NL130" s="394"/>
      <c r="NM130" s="402"/>
      <c r="NN130" s="402"/>
      <c r="NO130" s="402"/>
      <c r="NP130" s="402"/>
      <c r="NQ130" s="402"/>
      <c r="NR130" s="402"/>
      <c r="NS130" s="402"/>
      <c r="NT130" s="402"/>
      <c r="NU130" s="148"/>
      <c r="NV130" s="687"/>
      <c r="NW130" s="687"/>
      <c r="NX130" s="794"/>
      <c r="NY130" s="687"/>
      <c r="NZ130" s="687"/>
      <c r="OA130" s="687"/>
      <c r="OB130" s="687"/>
      <c r="OC130" s="687"/>
      <c r="OD130" s="687"/>
      <c r="OE130" s="794"/>
      <c r="OF130" s="794"/>
      <c r="OG130" s="794"/>
      <c r="OH130" s="794"/>
      <c r="OI130" s="394"/>
      <c r="OJ130" s="394"/>
      <c r="OK130" s="402"/>
      <c r="OL130" s="402"/>
      <c r="OM130" s="402"/>
      <c r="OO130" s="234"/>
      <c r="OP130" s="139"/>
      <c r="OQ130" s="139"/>
      <c r="OR130" s="139"/>
      <c r="OS130" s="139"/>
      <c r="OT130" s="139"/>
      <c r="OU130" s="139"/>
      <c r="OV130" s="139"/>
      <c r="OW130" s="139"/>
      <c r="OX130" s="139"/>
      <c r="OY130" s="139"/>
      <c r="OZ130" s="139"/>
      <c r="PA130" s="139"/>
      <c r="PG130" s="69"/>
      <c r="PH130" s="394"/>
      <c r="PI130" s="507"/>
    </row>
    <row r="131" spans="1:425" ht="15" hidden="1" customHeight="1">
      <c r="A131" s="394"/>
      <c r="B131" s="394"/>
      <c r="C131" s="91"/>
      <c r="D131" s="69"/>
      <c r="E131" s="93"/>
      <c r="F131" s="93"/>
      <c r="I131" s="90"/>
      <c r="J131" s="90"/>
      <c r="K131" s="90"/>
      <c r="L131" s="90"/>
      <c r="M131" s="90"/>
      <c r="N131" s="94"/>
      <c r="O131" s="93"/>
      <c r="P131" s="93"/>
      <c r="R131" s="90"/>
      <c r="S131" s="90"/>
      <c r="T131" s="90"/>
      <c r="U131" s="90"/>
      <c r="V131" s="90"/>
      <c r="W131" s="90"/>
      <c r="X131" s="90"/>
      <c r="Y131" s="69"/>
      <c r="Z131" s="90"/>
      <c r="AA131" s="90"/>
      <c r="AB131" s="90"/>
      <c r="AC131" s="90"/>
      <c r="AH131" s="69"/>
      <c r="AJ131" s="76"/>
      <c r="AK131" s="11"/>
      <c r="AM131" s="90"/>
      <c r="AP131" s="90"/>
      <c r="AQ131" s="93"/>
      <c r="AS131" s="69"/>
      <c r="BF131" s="145"/>
      <c r="BG131" s="6"/>
      <c r="BI131" s="253"/>
      <c r="BM131" s="253"/>
      <c r="BP131" s="69"/>
      <c r="CC131" s="69"/>
      <c r="CD131" s="90"/>
      <c r="CI131" s="148"/>
      <c r="CZ131" s="69"/>
      <c r="DA131" s="90"/>
      <c r="DI131" s="67"/>
      <c r="EG131" s="69"/>
      <c r="EP131" s="25"/>
      <c r="ER131" s="69"/>
      <c r="ES131" s="90"/>
      <c r="ET131" s="90"/>
      <c r="EU131" s="90"/>
      <c r="EV131" s="90"/>
      <c r="FQ131" s="681"/>
      <c r="FR131" s="681"/>
      <c r="FS131" s="681"/>
      <c r="FT131" s="681"/>
      <c r="FU131" s="681"/>
      <c r="FV131" s="681"/>
      <c r="FW131" s="69"/>
      <c r="GH131" s="67"/>
      <c r="GU131" s="148"/>
      <c r="GV131" s="394"/>
      <c r="GW131" s="394"/>
      <c r="GX131" s="394"/>
      <c r="GY131" s="394"/>
      <c r="GZ131" s="394"/>
      <c r="HA131" s="394"/>
      <c r="HB131" s="394"/>
      <c r="HC131" s="394"/>
      <c r="HD131" s="394"/>
      <c r="HE131" s="394"/>
      <c r="HF131" s="394"/>
      <c r="HG131" s="394"/>
      <c r="HH131" s="395"/>
      <c r="HI131" s="69"/>
      <c r="IF131" s="394"/>
      <c r="IG131" s="394"/>
      <c r="IH131" s="394"/>
      <c r="II131" s="394"/>
      <c r="IJ131" s="394"/>
      <c r="IK131" s="394"/>
      <c r="IL131" s="394"/>
      <c r="IM131" s="394"/>
      <c r="IN131" s="394"/>
      <c r="IO131" s="394"/>
      <c r="IP131" s="394"/>
      <c r="IQ131" s="395"/>
      <c r="IR131" s="69"/>
      <c r="JH131" s="69"/>
      <c r="JI131" s="90"/>
      <c r="JS131" s="82"/>
      <c r="JV131" s="394"/>
      <c r="JW131" s="394"/>
      <c r="JX131" s="394"/>
      <c r="JY131" s="394"/>
      <c r="JZ131" s="394"/>
      <c r="KA131" s="394"/>
      <c r="KB131" s="148"/>
      <c r="KC131" s="395"/>
      <c r="KD131" s="395"/>
      <c r="KE131" s="904"/>
      <c r="KF131" s="904"/>
      <c r="KG131" s="394"/>
      <c r="KH131" s="394"/>
      <c r="KI131" s="394"/>
      <c r="KJ131" s="394"/>
      <c r="KK131" s="394"/>
      <c r="KL131" s="394"/>
      <c r="KM131" s="394"/>
      <c r="KN131" s="394"/>
      <c r="KO131" s="394"/>
      <c r="KP131" s="394"/>
      <c r="KQ131" s="394"/>
      <c r="KR131" s="394"/>
      <c r="KS131" s="394"/>
      <c r="KT131" s="394"/>
      <c r="KU131" s="148"/>
      <c r="KV131" s="904"/>
      <c r="KW131" s="394"/>
      <c r="KX131" s="394"/>
      <c r="KY131" s="394"/>
      <c r="KZ131" s="394"/>
      <c r="LA131" s="394"/>
      <c r="LB131" s="394"/>
      <c r="LC131" s="394"/>
      <c r="LD131" s="394"/>
      <c r="LE131" s="394"/>
      <c r="LF131" s="394"/>
      <c r="LG131" s="394"/>
      <c r="LH131" s="394"/>
      <c r="LI131" s="394"/>
      <c r="LJ131" s="394"/>
      <c r="LK131" s="394"/>
      <c r="LL131" s="394"/>
      <c r="LM131" s="394"/>
      <c r="LN131" s="394"/>
      <c r="LO131" s="394"/>
      <c r="LP131" s="394"/>
      <c r="LQ131" s="394"/>
      <c r="LR131" s="394"/>
      <c r="LS131" s="394"/>
      <c r="LT131" s="402"/>
      <c r="LU131" s="402"/>
      <c r="LV131" s="402"/>
      <c r="LW131" s="402"/>
      <c r="LX131" s="402"/>
      <c r="LY131" s="900"/>
      <c r="LZ131" s="900"/>
      <c r="MA131" s="402"/>
      <c r="MB131" s="402"/>
      <c r="MC131" s="402"/>
      <c r="MD131" s="402"/>
      <c r="ME131" s="402"/>
      <c r="MF131" s="402"/>
      <c r="MG131" s="402"/>
      <c r="MH131" s="148"/>
      <c r="MI131" s="904"/>
      <c r="MJ131" s="904"/>
      <c r="MK131" s="904"/>
      <c r="ML131" s="904"/>
      <c r="MM131" s="394"/>
      <c r="MN131" s="394"/>
      <c r="MO131" s="394"/>
      <c r="MP131" s="394"/>
      <c r="MQ131" s="394"/>
      <c r="MR131" s="900"/>
      <c r="MS131" s="394"/>
      <c r="MT131" s="394"/>
      <c r="MU131" s="394"/>
      <c r="MV131" s="394"/>
      <c r="MW131" s="394"/>
      <c r="MX131" s="900"/>
      <c r="MY131" s="394"/>
      <c r="MZ131" s="394"/>
      <c r="NA131" s="684"/>
      <c r="NB131" s="684"/>
      <c r="NC131" s="394"/>
      <c r="ND131" s="394"/>
      <c r="NE131" s="394"/>
      <c r="NF131" s="394"/>
      <c r="NG131" s="394"/>
      <c r="NH131" s="394"/>
      <c r="NI131" s="731"/>
      <c r="NJ131" s="402"/>
      <c r="NK131" s="394"/>
      <c r="NL131" s="394"/>
      <c r="NM131" s="402"/>
      <c r="NN131" s="402"/>
      <c r="NO131" s="402"/>
      <c r="NP131" s="402"/>
      <c r="NQ131" s="402"/>
      <c r="NR131" s="402"/>
      <c r="NS131" s="402"/>
      <c r="NT131" s="402"/>
      <c r="NU131" s="148"/>
      <c r="NV131" s="687"/>
      <c r="NW131" s="687"/>
      <c r="NX131" s="794"/>
      <c r="NY131" s="687"/>
      <c r="NZ131" s="687"/>
      <c r="OA131" s="687"/>
      <c r="OB131" s="687"/>
      <c r="OC131" s="687"/>
      <c r="OD131" s="687"/>
      <c r="OE131" s="794"/>
      <c r="OF131" s="794"/>
      <c r="OG131" s="794"/>
      <c r="OH131" s="794"/>
      <c r="OI131" s="394"/>
      <c r="OJ131" s="394"/>
      <c r="OK131" s="402"/>
      <c r="OL131" s="402"/>
      <c r="OM131" s="402"/>
      <c r="OO131" s="234"/>
      <c r="OP131" s="139"/>
      <c r="OQ131" s="139"/>
      <c r="OR131" s="139"/>
      <c r="OS131" s="139"/>
      <c r="OT131" s="139"/>
      <c r="OU131" s="139"/>
      <c r="OV131" s="139"/>
      <c r="OW131" s="139"/>
      <c r="OX131" s="139"/>
      <c r="OY131" s="139"/>
      <c r="OZ131" s="139"/>
      <c r="PA131" s="139"/>
      <c r="PG131" s="69"/>
      <c r="PH131" s="394"/>
      <c r="PI131" s="507"/>
    </row>
    <row r="132" spans="1:425">
      <c r="A132" s="71">
        <v>1950</v>
      </c>
      <c r="B132" s="71" t="s">
        <v>719</v>
      </c>
      <c r="C132" s="91"/>
      <c r="D132" s="69"/>
      <c r="E132" s="93">
        <f>AVERAGE(E42:E51)</f>
        <v>0.12208950567660745</v>
      </c>
      <c r="F132" s="93"/>
      <c r="G132" s="81"/>
      <c r="H132" s="81"/>
      <c r="I132" s="95"/>
      <c r="J132" s="95"/>
      <c r="K132" s="95"/>
      <c r="L132" s="95"/>
      <c r="M132" s="90"/>
      <c r="N132" s="94">
        <f>AVERAGE(N42:N51)</f>
        <v>6.1272481932808175E-2</v>
      </c>
      <c r="O132" s="93"/>
      <c r="P132" s="93"/>
      <c r="R132" s="95"/>
      <c r="S132" s="95"/>
      <c r="T132" s="90"/>
      <c r="U132" s="90"/>
      <c r="V132" s="90"/>
      <c r="W132" s="95"/>
      <c r="X132" s="90"/>
      <c r="Y132" s="69"/>
      <c r="Z132" s="90"/>
      <c r="AA132" s="90"/>
      <c r="AB132" s="90"/>
      <c r="AC132" s="90"/>
      <c r="AH132" s="69" t="s">
        <v>844</v>
      </c>
      <c r="AJ132" s="159">
        <f>AH105-AO105-AP105</f>
        <v>353.9</v>
      </c>
      <c r="AK132" s="240">
        <f>AJ132/AJ$122</f>
        <v>2.1105677480916029E-2</v>
      </c>
      <c r="AL132" s="68" t="s">
        <v>847</v>
      </c>
      <c r="AM132" s="90"/>
      <c r="AN132" s="11"/>
      <c r="AQ132" s="93">
        <f>AVERAGE(AQ42:AQ51)</f>
        <v>6.5021519966126859E-2</v>
      </c>
      <c r="AR132" s="90"/>
      <c r="AS132" s="69"/>
      <c r="AT132" s="90"/>
      <c r="AU132" s="90"/>
      <c r="AV132" s="90"/>
      <c r="AW132" s="90"/>
      <c r="AX132" s="90"/>
      <c r="AY132" s="90"/>
      <c r="AZ132" s="90"/>
      <c r="BA132" s="90"/>
      <c r="BB132" s="90"/>
      <c r="BC132" s="90"/>
      <c r="BD132" s="90"/>
      <c r="BE132" s="90"/>
      <c r="BF132" s="147">
        <f>AVERAGE(BF42:BF51)</f>
        <v>0.50900000000000001</v>
      </c>
      <c r="BG132" s="93"/>
      <c r="BH132" s="101">
        <f>AVERAGE(BH42:BH51)</f>
        <v>0.45557419406493294</v>
      </c>
      <c r="BI132" s="254">
        <f>AVERAGE(BI42:BI51)</f>
        <v>0.41455016660496113</v>
      </c>
      <c r="BJ132" s="101">
        <f>AVERAGE(BJ42:BJ51)</f>
        <v>0.44091654092133598</v>
      </c>
      <c r="BK132" s="101">
        <f>AVERAGE(BK42:BK51)</f>
        <v>0.46575638253152596</v>
      </c>
      <c r="BL132" s="101"/>
      <c r="BM132" s="254">
        <f>AVERAGE(BM42:BM51)</f>
        <v>0.46575638253152596</v>
      </c>
      <c r="BN132" s="101">
        <f>AVERAGE(BN42:BN51)</f>
        <v>0.47121902556772843</v>
      </c>
      <c r="BO132" s="101">
        <f>AVERAGE(BO42:BO51)</f>
        <v>0.45016966144876153</v>
      </c>
      <c r="BP132" s="147"/>
      <c r="BQ132" s="101"/>
      <c r="BR132" s="101"/>
      <c r="CC132" s="69"/>
      <c r="CD132" s="90"/>
      <c r="CH132" s="94">
        <f>AVERAGE(CH42:CH52)</f>
        <v>0.94894736842105265</v>
      </c>
      <c r="CI132" s="727">
        <f>CH132*N132</f>
        <v>5.8144360486764808E-2</v>
      </c>
      <c r="CZ132" s="69"/>
      <c r="DA132" s="90"/>
      <c r="DI132" s="67"/>
      <c r="EG132" s="69"/>
      <c r="ER132" s="69"/>
      <c r="ES132" s="90"/>
      <c r="ET132" s="90"/>
      <c r="EU132" s="90"/>
      <c r="EV132" s="90"/>
      <c r="FQ132" s="681">
        <f>AVERAGE(FQ42:FQ51)</f>
        <v>4.1042945580952849E-3</v>
      </c>
      <c r="FR132" s="681">
        <f>AVERAGE(FR42:FR51)</f>
        <v>5.7168187374712874E-2</v>
      </c>
      <c r="FS132" s="681">
        <f>AVERAGE(FS42:FS51)</f>
        <v>4.9754802684756822E-4</v>
      </c>
      <c r="FT132" s="681"/>
      <c r="FU132" s="681"/>
      <c r="FV132" s="681">
        <f>AVERAGE(FV42:FV51)</f>
        <v>6.9421574046403048E-3</v>
      </c>
      <c r="FW132" s="69"/>
      <c r="GH132" s="67"/>
      <c r="GU132" s="148"/>
      <c r="GV132" s="71"/>
      <c r="GW132" s="71"/>
      <c r="GX132" s="71"/>
      <c r="GY132" s="71"/>
      <c r="GZ132" s="71"/>
      <c r="HA132" s="71"/>
      <c r="HB132" s="71"/>
      <c r="HC132" s="71"/>
      <c r="HD132" s="71"/>
      <c r="HE132" s="71"/>
      <c r="HF132" s="71"/>
      <c r="HG132" s="71"/>
      <c r="HH132" s="74"/>
      <c r="HI132" s="67"/>
      <c r="HJ132" s="71"/>
      <c r="HK132" s="71"/>
      <c r="HL132" s="71"/>
      <c r="HM132" s="71"/>
      <c r="HN132" s="71"/>
      <c r="HO132" s="71"/>
      <c r="HP132" s="71"/>
      <c r="HQ132" s="23"/>
      <c r="HR132" s="71"/>
      <c r="HS132" s="71"/>
      <c r="HT132" s="71"/>
      <c r="IE132" s="71"/>
      <c r="IF132" s="71"/>
      <c r="IG132" s="71"/>
      <c r="IH132" s="71"/>
      <c r="II132" s="71"/>
      <c r="IJ132" s="71"/>
      <c r="IK132" s="71"/>
      <c r="IL132" s="71"/>
      <c r="IM132" s="71"/>
      <c r="IN132" s="71"/>
      <c r="IO132" s="71"/>
      <c r="IP132" s="71"/>
      <c r="IQ132" s="74"/>
      <c r="IR132" s="69"/>
      <c r="JH132" s="69"/>
      <c r="JI132" s="90"/>
      <c r="JV132" s="71"/>
      <c r="JW132" s="71"/>
      <c r="JX132" s="71"/>
      <c r="JY132" s="71"/>
      <c r="JZ132" s="71"/>
      <c r="KA132" s="71"/>
      <c r="KB132" s="148"/>
      <c r="KC132" s="74"/>
      <c r="KD132" s="74"/>
      <c r="KE132" s="904"/>
      <c r="KF132" s="904"/>
      <c r="KG132" s="71"/>
      <c r="KH132" s="71"/>
      <c r="KI132" s="71"/>
      <c r="KJ132" s="71"/>
      <c r="KK132" s="71"/>
      <c r="KL132" s="71"/>
      <c r="KM132" s="340"/>
      <c r="KN132" s="340"/>
      <c r="KO132" s="71"/>
      <c r="KP132" s="71" t="s">
        <v>1214</v>
      </c>
      <c r="KQ132" s="71"/>
      <c r="KR132" s="71"/>
      <c r="KS132" s="71"/>
      <c r="KT132" s="340"/>
      <c r="KU132" s="148"/>
      <c r="KV132" s="904"/>
      <c r="KW132" s="71"/>
      <c r="KX132" s="71"/>
      <c r="KY132" s="71"/>
      <c r="KZ132" s="71"/>
      <c r="LA132" s="71"/>
      <c r="LB132" s="71"/>
      <c r="LC132" s="71"/>
      <c r="LD132" s="71"/>
      <c r="LE132" s="71"/>
      <c r="LF132" s="71"/>
      <c r="LG132" s="71"/>
      <c r="LH132" s="71"/>
      <c r="LI132" s="71"/>
      <c r="LJ132" s="71"/>
      <c r="LK132" s="71"/>
      <c r="LL132" s="71"/>
      <c r="LM132" s="71"/>
      <c r="LN132" s="71"/>
      <c r="LO132" s="71"/>
      <c r="LP132" s="71"/>
      <c r="LQ132" s="71"/>
      <c r="LR132" s="71"/>
      <c r="LS132" s="71"/>
      <c r="LT132" s="402"/>
      <c r="LU132" s="402"/>
      <c r="LV132" s="402"/>
      <c r="LW132" s="402"/>
      <c r="LX132" s="402"/>
      <c r="LY132" s="900"/>
      <c r="LZ132" s="900"/>
      <c r="MA132" s="402"/>
      <c r="MB132" s="402"/>
      <c r="MC132" s="402"/>
      <c r="MD132" s="402"/>
      <c r="ME132" s="402"/>
      <c r="MF132" s="402"/>
      <c r="MG132" s="402"/>
      <c r="MH132" s="148"/>
      <c r="MI132" s="904"/>
      <c r="MJ132" s="904"/>
      <c r="MK132" s="904"/>
      <c r="ML132" s="904"/>
      <c r="MM132" s="394"/>
      <c r="MN132" s="394"/>
      <c r="MO132" s="394"/>
      <c r="MP132" s="394"/>
      <c r="MQ132" s="394"/>
      <c r="MR132" s="900"/>
      <c r="MS132" s="394"/>
      <c r="MT132" s="394"/>
      <c r="MU132" s="394"/>
      <c r="MV132" s="394"/>
      <c r="MW132" s="394"/>
      <c r="MX132" s="900"/>
      <c r="MY132" s="394"/>
      <c r="MZ132" s="394"/>
      <c r="NA132" s="684"/>
      <c r="NB132" s="684"/>
      <c r="NC132" s="394"/>
      <c r="ND132" s="394"/>
      <c r="NE132" s="394"/>
      <c r="NF132" s="394"/>
      <c r="NG132" s="394"/>
      <c r="NH132" s="394"/>
      <c r="NI132" s="731"/>
      <c r="NJ132" s="402"/>
      <c r="NK132" s="394"/>
      <c r="NL132" s="394"/>
      <c r="NM132" s="402"/>
      <c r="NN132" s="402"/>
      <c r="NO132" s="402"/>
      <c r="NP132" s="402"/>
      <c r="NQ132" s="402"/>
      <c r="NR132" s="402"/>
      <c r="NS132" s="402"/>
      <c r="NT132" s="402"/>
      <c r="NU132" s="148"/>
      <c r="NV132" s="687"/>
      <c r="NW132" s="687"/>
      <c r="NX132" s="794"/>
      <c r="NY132" s="687"/>
      <c r="NZ132" s="687"/>
      <c r="OA132" s="687"/>
      <c r="OB132" s="687"/>
      <c r="OC132" s="687"/>
      <c r="OD132" s="687"/>
      <c r="OE132" s="794"/>
      <c r="OF132" s="794"/>
      <c r="OG132" s="794"/>
      <c r="OH132" s="794"/>
      <c r="OI132" s="71"/>
      <c r="OJ132" s="71"/>
      <c r="OK132" s="402"/>
      <c r="OL132" s="402"/>
      <c r="OM132" s="402"/>
      <c r="OO132" s="97"/>
      <c r="OP132" s="29"/>
      <c r="OQ132" s="29"/>
      <c r="OR132" s="29"/>
      <c r="OS132" s="71"/>
      <c r="OT132" s="71"/>
      <c r="OU132" s="71"/>
      <c r="OV132" s="71"/>
      <c r="OW132" s="71"/>
      <c r="OX132" s="71"/>
      <c r="OY132" s="71"/>
      <c r="OZ132" s="382" t="s">
        <v>1339</v>
      </c>
      <c r="PA132" s="71"/>
      <c r="PG132" s="69"/>
      <c r="PH132" s="71"/>
      <c r="PI132" s="507"/>
    </row>
    <row r="133" spans="1:425" ht="15" hidden="1" customHeight="1">
      <c r="A133" s="71"/>
      <c r="B133" s="71"/>
      <c r="C133" s="91"/>
      <c r="D133" s="69"/>
      <c r="E133" s="74"/>
      <c r="F133" s="74"/>
      <c r="I133" s="90"/>
      <c r="J133" s="90"/>
      <c r="K133" s="90"/>
      <c r="L133" s="90"/>
      <c r="M133" s="90"/>
      <c r="N133" s="96"/>
      <c r="O133" s="74"/>
      <c r="P133" s="74"/>
      <c r="R133" s="90"/>
      <c r="S133" s="90"/>
      <c r="T133" s="90"/>
      <c r="U133" s="90"/>
      <c r="V133" s="90"/>
      <c r="W133" s="90"/>
      <c r="X133" s="90"/>
      <c r="Y133" s="69"/>
      <c r="Z133" s="90"/>
      <c r="AA133" s="90"/>
      <c r="AB133" s="90"/>
      <c r="AC133" s="90"/>
      <c r="AH133" s="69"/>
      <c r="AM133" s="90"/>
      <c r="AN133" s="11"/>
      <c r="AQ133" s="680"/>
      <c r="AR133" s="90"/>
      <c r="AS133" s="69"/>
      <c r="AT133" s="90"/>
      <c r="AU133" s="90"/>
      <c r="AV133" s="90"/>
      <c r="AW133" s="90"/>
      <c r="AX133" s="90"/>
      <c r="AY133" s="90"/>
      <c r="AZ133" s="90"/>
      <c r="BA133" s="90"/>
      <c r="BB133" s="90"/>
      <c r="BC133" s="90"/>
      <c r="BD133" s="90"/>
      <c r="BE133" s="90"/>
      <c r="BF133" s="148"/>
      <c r="BG133" s="417"/>
      <c r="BH133" s="71"/>
      <c r="BI133" s="255"/>
      <c r="BJ133" s="71"/>
      <c r="BK133" s="71"/>
      <c r="BL133" s="71"/>
      <c r="BM133" s="255"/>
      <c r="BN133" s="71"/>
      <c r="BO133" s="71"/>
      <c r="BP133" s="148"/>
      <c r="BQ133" s="71"/>
      <c r="BR133" s="71"/>
      <c r="CC133" s="69"/>
      <c r="CD133" s="90"/>
      <c r="CI133" s="148"/>
      <c r="CZ133" s="69"/>
      <c r="DA133" s="90"/>
      <c r="DI133" s="67"/>
      <c r="EG133" s="69"/>
      <c r="ER133" s="69"/>
      <c r="ES133" s="90"/>
      <c r="ET133" s="90"/>
      <c r="EU133" s="90"/>
      <c r="EV133" s="90"/>
      <c r="FQ133" s="677"/>
      <c r="FR133" s="677"/>
      <c r="FS133" s="677"/>
      <c r="FT133" s="677"/>
      <c r="FU133" s="677"/>
      <c r="FV133" s="677"/>
      <c r="FW133" s="69"/>
      <c r="GH133" s="69"/>
      <c r="GU133" s="148"/>
      <c r="GV133" s="71"/>
      <c r="GW133" s="71"/>
      <c r="GX133" s="71"/>
      <c r="GY133" s="71"/>
      <c r="GZ133" s="71"/>
      <c r="HA133" s="71"/>
      <c r="HB133" s="71"/>
      <c r="HC133" s="71"/>
      <c r="HD133" s="71"/>
      <c r="HE133" s="71"/>
      <c r="HF133" s="71"/>
      <c r="HG133" s="71"/>
      <c r="HH133" s="74"/>
      <c r="HI133" s="67"/>
      <c r="HJ133" s="71"/>
      <c r="HK133" s="71"/>
      <c r="HL133" s="71"/>
      <c r="HM133" s="71"/>
      <c r="HN133" s="71"/>
      <c r="HO133" s="71"/>
      <c r="HP133" s="71"/>
      <c r="HQ133" s="71"/>
      <c r="HR133" s="71"/>
      <c r="HS133" s="71"/>
      <c r="HT133" s="71"/>
      <c r="IE133" s="71"/>
      <c r="IF133" s="71"/>
      <c r="IG133" s="71"/>
      <c r="IH133" s="71"/>
      <c r="II133" s="71"/>
      <c r="IJ133" s="71"/>
      <c r="IK133" s="71"/>
      <c r="IL133" s="71"/>
      <c r="IM133" s="71"/>
      <c r="IN133" s="71"/>
      <c r="IO133" s="71"/>
      <c r="IP133" s="71"/>
      <c r="IQ133" s="74"/>
      <c r="IR133" s="69"/>
      <c r="JH133" s="69"/>
      <c r="JI133" s="90"/>
      <c r="JV133" s="71"/>
      <c r="JW133" s="71"/>
      <c r="JX133" s="71"/>
      <c r="JY133" s="71"/>
      <c r="JZ133" s="71"/>
      <c r="KA133" s="71"/>
      <c r="KB133" s="148"/>
      <c r="KC133" s="74"/>
      <c r="KD133" s="74"/>
      <c r="KE133" s="904"/>
      <c r="KF133" s="904"/>
      <c r="KG133" s="71"/>
      <c r="KH133" s="71"/>
      <c r="KI133" s="71"/>
      <c r="KJ133" s="71"/>
      <c r="KK133" s="71"/>
      <c r="KL133" s="71"/>
      <c r="KM133" s="340"/>
      <c r="KN133" s="340"/>
      <c r="KO133" s="71"/>
      <c r="KP133" s="71"/>
      <c r="KQ133" s="71"/>
      <c r="KR133" s="71"/>
      <c r="KS133" s="71"/>
      <c r="KT133" s="340"/>
      <c r="KU133" s="148"/>
      <c r="KV133" s="904"/>
      <c r="KW133" s="71"/>
      <c r="KX133" s="71"/>
      <c r="KY133" s="71"/>
      <c r="KZ133" s="71"/>
      <c r="LA133" s="71"/>
      <c r="LB133" s="71"/>
      <c r="LC133" s="71"/>
      <c r="LD133" s="71"/>
      <c r="LE133" s="71"/>
      <c r="LF133" s="71"/>
      <c r="LG133" s="71"/>
      <c r="LH133" s="71"/>
      <c r="LI133" s="71"/>
      <c r="LJ133" s="71"/>
      <c r="LK133" s="71"/>
      <c r="LL133" s="71"/>
      <c r="LM133" s="71"/>
      <c r="LN133" s="71"/>
      <c r="LO133" s="71"/>
      <c r="LP133" s="71"/>
      <c r="LQ133" s="71"/>
      <c r="LR133" s="71"/>
      <c r="LS133" s="71"/>
      <c r="LT133" s="402"/>
      <c r="LU133" s="402"/>
      <c r="LV133" s="402"/>
      <c r="LW133" s="402"/>
      <c r="LX133" s="402"/>
      <c r="LY133" s="900"/>
      <c r="LZ133" s="900"/>
      <c r="MA133" s="402"/>
      <c r="MB133" s="402"/>
      <c r="MC133" s="402"/>
      <c r="MD133" s="402"/>
      <c r="ME133" s="402"/>
      <c r="MF133" s="402"/>
      <c r="MG133" s="402"/>
      <c r="MH133" s="148"/>
      <c r="MI133" s="904"/>
      <c r="MJ133" s="904"/>
      <c r="MK133" s="904"/>
      <c r="ML133" s="904"/>
      <c r="MM133" s="394"/>
      <c r="MN133" s="394"/>
      <c r="MO133" s="394"/>
      <c r="MP133" s="394"/>
      <c r="MQ133" s="394"/>
      <c r="MR133" s="900"/>
      <c r="MS133" s="394"/>
      <c r="MT133" s="394"/>
      <c r="MU133" s="394"/>
      <c r="MV133" s="394"/>
      <c r="MW133" s="394"/>
      <c r="MX133" s="900"/>
      <c r="MY133" s="394"/>
      <c r="MZ133" s="394"/>
      <c r="NA133" s="684"/>
      <c r="NB133" s="684"/>
      <c r="NC133" s="394"/>
      <c r="ND133" s="394"/>
      <c r="NE133" s="394"/>
      <c r="NF133" s="394"/>
      <c r="NG133" s="394"/>
      <c r="NH133" s="394"/>
      <c r="NI133" s="731"/>
      <c r="NJ133" s="402"/>
      <c r="NK133" s="394"/>
      <c r="NL133" s="394"/>
      <c r="NM133" s="402"/>
      <c r="NN133" s="402"/>
      <c r="NO133" s="402"/>
      <c r="NP133" s="402"/>
      <c r="NQ133" s="402"/>
      <c r="NR133" s="402"/>
      <c r="NS133" s="402"/>
      <c r="NT133" s="402"/>
      <c r="NU133" s="148"/>
      <c r="NV133" s="687"/>
      <c r="NW133" s="687"/>
      <c r="NX133" s="794"/>
      <c r="NY133" s="687"/>
      <c r="NZ133" s="687"/>
      <c r="OA133" s="687"/>
      <c r="OB133" s="687"/>
      <c r="OC133" s="687"/>
      <c r="OD133" s="687"/>
      <c r="OE133" s="794"/>
      <c r="OF133" s="794"/>
      <c r="OG133" s="794"/>
      <c r="OH133" s="794"/>
      <c r="OI133" s="71"/>
      <c r="OJ133" s="71"/>
      <c r="OK133" s="402"/>
      <c r="OL133" s="402"/>
      <c r="OM133" s="402"/>
      <c r="OO133" s="97"/>
      <c r="OP133" s="29"/>
      <c r="OQ133" s="29"/>
      <c r="OR133" s="29"/>
      <c r="OS133" s="71"/>
      <c r="OT133" s="71"/>
      <c r="OU133" s="71"/>
      <c r="OV133" s="71"/>
      <c r="OW133" s="71"/>
      <c r="OX133" s="71"/>
      <c r="OY133" s="71"/>
      <c r="OZ133" s="71"/>
      <c r="PA133" s="71"/>
      <c r="PG133" s="69"/>
      <c r="PH133" s="71"/>
      <c r="PI133" s="507"/>
    </row>
    <row r="134" spans="1:425" ht="15" hidden="1" customHeight="1">
      <c r="A134" s="71"/>
      <c r="B134" s="71"/>
      <c r="C134" s="91"/>
      <c r="D134" s="69"/>
      <c r="E134" s="74"/>
      <c r="F134" s="74"/>
      <c r="I134" s="90"/>
      <c r="J134" s="90"/>
      <c r="K134" s="90"/>
      <c r="L134" s="90"/>
      <c r="M134" s="90"/>
      <c r="N134" s="96"/>
      <c r="O134" s="74"/>
      <c r="P134" s="74"/>
      <c r="R134" s="90"/>
      <c r="S134" s="90"/>
      <c r="T134" s="90"/>
      <c r="U134" s="90"/>
      <c r="V134" s="90"/>
      <c r="W134" s="90"/>
      <c r="X134" s="90"/>
      <c r="Y134" s="69"/>
      <c r="Z134" s="90"/>
      <c r="AA134" s="90"/>
      <c r="AB134" s="90"/>
      <c r="AC134" s="90"/>
      <c r="AH134" s="69"/>
      <c r="AM134" s="90"/>
      <c r="AN134" s="11"/>
      <c r="AQ134" s="680"/>
      <c r="AR134" s="90"/>
      <c r="AS134" s="69"/>
      <c r="AT134" s="90"/>
      <c r="AU134" s="90"/>
      <c r="AV134" s="90"/>
      <c r="AW134" s="90"/>
      <c r="AX134" s="90"/>
      <c r="AY134" s="90"/>
      <c r="AZ134" s="90"/>
      <c r="BA134" s="90"/>
      <c r="BB134" s="90"/>
      <c r="BC134" s="90"/>
      <c r="BD134" s="90"/>
      <c r="BE134" s="90"/>
      <c r="BF134" s="148"/>
      <c r="BG134" s="417"/>
      <c r="BH134" s="71"/>
      <c r="BI134" s="255"/>
      <c r="BJ134" s="71"/>
      <c r="BK134" s="71"/>
      <c r="BL134" s="71"/>
      <c r="BM134" s="255"/>
      <c r="BN134" s="71"/>
      <c r="BO134" s="71"/>
      <c r="BP134" s="148"/>
      <c r="BQ134" s="71"/>
      <c r="BR134" s="71"/>
      <c r="CC134" s="69"/>
      <c r="CD134" s="90"/>
      <c r="CI134" s="148"/>
      <c r="CZ134" s="69"/>
      <c r="DA134" s="90"/>
      <c r="DI134" s="67"/>
      <c r="EG134" s="69"/>
      <c r="ER134" s="69"/>
      <c r="ES134" s="90"/>
      <c r="ET134" s="90"/>
      <c r="EU134" s="90"/>
      <c r="EV134" s="90"/>
      <c r="FQ134" s="677"/>
      <c r="FR134" s="677"/>
      <c r="FS134" s="677"/>
      <c r="FT134" s="677"/>
      <c r="FU134" s="677"/>
      <c r="FV134" s="677"/>
      <c r="FW134" s="69"/>
      <c r="GH134" s="69"/>
      <c r="GU134" s="148"/>
      <c r="GV134" s="71"/>
      <c r="GW134" s="71"/>
      <c r="GX134" s="71"/>
      <c r="GY134" s="71"/>
      <c r="GZ134" s="71"/>
      <c r="HA134" s="71"/>
      <c r="HB134" s="71"/>
      <c r="HC134" s="71"/>
      <c r="HD134" s="71"/>
      <c r="HE134" s="71"/>
      <c r="HF134" s="71"/>
      <c r="HG134" s="71"/>
      <c r="HH134" s="74"/>
      <c r="HI134" s="67"/>
      <c r="HJ134" s="71"/>
      <c r="HK134" s="71"/>
      <c r="HL134" s="71"/>
      <c r="HM134" s="71"/>
      <c r="HN134" s="71"/>
      <c r="HO134" s="71"/>
      <c r="HP134" s="71"/>
      <c r="HQ134" s="71"/>
      <c r="HR134" s="71"/>
      <c r="HS134" s="71"/>
      <c r="HT134" s="71"/>
      <c r="IE134" s="71"/>
      <c r="IF134" s="71"/>
      <c r="IG134" s="71"/>
      <c r="IH134" s="71"/>
      <c r="II134" s="71"/>
      <c r="IJ134" s="71"/>
      <c r="IK134" s="71"/>
      <c r="IL134" s="71"/>
      <c r="IM134" s="71"/>
      <c r="IN134" s="71"/>
      <c r="IO134" s="71"/>
      <c r="IP134" s="71"/>
      <c r="IQ134" s="74"/>
      <c r="IR134" s="69"/>
      <c r="JH134" s="69"/>
      <c r="JI134" s="90"/>
      <c r="JV134" s="71"/>
      <c r="JW134" s="71"/>
      <c r="JX134" s="71"/>
      <c r="JY134" s="71"/>
      <c r="JZ134" s="71"/>
      <c r="KA134" s="71"/>
      <c r="KB134" s="148"/>
      <c r="KC134" s="74"/>
      <c r="KD134" s="74"/>
      <c r="KE134" s="904"/>
      <c r="KF134" s="904"/>
      <c r="KG134" s="71"/>
      <c r="KH134" s="71"/>
      <c r="KI134" s="71"/>
      <c r="KJ134" s="71"/>
      <c r="KK134" s="71"/>
      <c r="KL134" s="71"/>
      <c r="KM134" s="340"/>
      <c r="KN134" s="340"/>
      <c r="KO134" s="71"/>
      <c r="KP134" s="71"/>
      <c r="KQ134" s="71"/>
      <c r="KR134" s="71"/>
      <c r="KS134" s="71"/>
      <c r="KT134" s="340"/>
      <c r="KU134" s="148"/>
      <c r="KV134" s="904"/>
      <c r="KW134" s="71"/>
      <c r="KX134" s="71"/>
      <c r="KY134" s="71"/>
      <c r="KZ134" s="71"/>
      <c r="LA134" s="71"/>
      <c r="LB134" s="71"/>
      <c r="LC134" s="71"/>
      <c r="LD134" s="71"/>
      <c r="LE134" s="71"/>
      <c r="LF134" s="71"/>
      <c r="LG134" s="71"/>
      <c r="LH134" s="71"/>
      <c r="LI134" s="71"/>
      <c r="LJ134" s="71"/>
      <c r="LK134" s="71"/>
      <c r="LL134" s="71"/>
      <c r="LM134" s="71"/>
      <c r="LN134" s="71"/>
      <c r="LO134" s="71"/>
      <c r="LP134" s="71"/>
      <c r="LQ134" s="71"/>
      <c r="LR134" s="71"/>
      <c r="LS134" s="71"/>
      <c r="LT134" s="402"/>
      <c r="LU134" s="402"/>
      <c r="LV134" s="402"/>
      <c r="LW134" s="402"/>
      <c r="LX134" s="402"/>
      <c r="LY134" s="900"/>
      <c r="LZ134" s="900"/>
      <c r="MA134" s="402"/>
      <c r="MB134" s="402"/>
      <c r="MC134" s="402"/>
      <c r="MD134" s="402"/>
      <c r="ME134" s="402"/>
      <c r="MF134" s="402"/>
      <c r="MG134" s="402"/>
      <c r="MH134" s="148"/>
      <c r="MI134" s="904"/>
      <c r="MJ134" s="904"/>
      <c r="MK134" s="904"/>
      <c r="ML134" s="904"/>
      <c r="MM134" s="394"/>
      <c r="MN134" s="394"/>
      <c r="MO134" s="394"/>
      <c r="MP134" s="394"/>
      <c r="MQ134" s="394"/>
      <c r="MR134" s="900"/>
      <c r="MS134" s="394"/>
      <c r="MT134" s="394"/>
      <c r="MU134" s="394"/>
      <c r="MV134" s="394"/>
      <c r="MW134" s="394"/>
      <c r="MX134" s="900"/>
      <c r="MY134" s="394"/>
      <c r="MZ134" s="394"/>
      <c r="NA134" s="684"/>
      <c r="NB134" s="684"/>
      <c r="NC134" s="394"/>
      <c r="ND134" s="394"/>
      <c r="NE134" s="394"/>
      <c r="NF134" s="394"/>
      <c r="NG134" s="394"/>
      <c r="NH134" s="394"/>
      <c r="NI134" s="731"/>
      <c r="NJ134" s="402"/>
      <c r="NK134" s="394"/>
      <c r="NL134" s="394"/>
      <c r="NM134" s="402"/>
      <c r="NN134" s="402"/>
      <c r="NO134" s="402"/>
      <c r="NP134" s="402"/>
      <c r="NQ134" s="402"/>
      <c r="NR134" s="402"/>
      <c r="NS134" s="402"/>
      <c r="NT134" s="402"/>
      <c r="NU134" s="148"/>
      <c r="NV134" s="687"/>
      <c r="NW134" s="687"/>
      <c r="NX134" s="794"/>
      <c r="NY134" s="687"/>
      <c r="NZ134" s="687"/>
      <c r="OA134" s="687"/>
      <c r="OB134" s="687"/>
      <c r="OC134" s="687"/>
      <c r="OD134" s="687"/>
      <c r="OE134" s="794"/>
      <c r="OF134" s="794"/>
      <c r="OG134" s="794"/>
      <c r="OH134" s="794"/>
      <c r="OI134" s="71"/>
      <c r="OJ134" s="71"/>
      <c r="OK134" s="402"/>
      <c r="OL134" s="402"/>
      <c r="OM134" s="402"/>
      <c r="OO134" s="97"/>
      <c r="OP134" s="29"/>
      <c r="OQ134" s="29"/>
      <c r="OR134" s="29"/>
      <c r="OS134" s="71"/>
      <c r="OT134" s="71"/>
      <c r="OU134" s="71"/>
      <c r="OV134" s="71"/>
      <c r="OW134" s="71"/>
      <c r="OX134" s="71"/>
      <c r="OY134" s="71"/>
      <c r="OZ134" s="71"/>
      <c r="PA134" s="71"/>
      <c r="PG134" s="69"/>
      <c r="PH134" s="71"/>
      <c r="PI134" s="507"/>
    </row>
    <row r="135" spans="1:425" ht="15" hidden="1" customHeight="1">
      <c r="A135" s="71"/>
      <c r="B135" s="71"/>
      <c r="C135" s="91"/>
      <c r="D135" s="69"/>
      <c r="E135" s="74"/>
      <c r="F135" s="74"/>
      <c r="I135" s="90"/>
      <c r="J135" s="90"/>
      <c r="K135" s="90"/>
      <c r="L135" s="90"/>
      <c r="M135" s="90"/>
      <c r="N135" s="96"/>
      <c r="O135" s="74"/>
      <c r="P135" s="74"/>
      <c r="R135" s="90"/>
      <c r="S135" s="90"/>
      <c r="T135" s="90"/>
      <c r="U135" s="90"/>
      <c r="V135" s="90"/>
      <c r="W135" s="90"/>
      <c r="X135" s="90"/>
      <c r="Y135" s="69"/>
      <c r="Z135" s="90"/>
      <c r="AA135" s="90"/>
      <c r="AB135" s="90"/>
      <c r="AC135" s="90"/>
      <c r="AH135" s="69"/>
      <c r="AM135" s="90"/>
      <c r="AN135" s="11"/>
      <c r="AQ135" s="680"/>
      <c r="AR135" s="90"/>
      <c r="AS135" s="69"/>
      <c r="AT135" s="90"/>
      <c r="AU135" s="90"/>
      <c r="AV135" s="90"/>
      <c r="AW135" s="90"/>
      <c r="AX135" s="90"/>
      <c r="AY135" s="90"/>
      <c r="AZ135" s="90"/>
      <c r="BA135" s="90"/>
      <c r="BB135" s="90"/>
      <c r="BC135" s="90"/>
      <c r="BD135" s="90"/>
      <c r="BE135" s="90"/>
      <c r="BF135" s="148"/>
      <c r="BG135" s="417"/>
      <c r="BH135" s="71"/>
      <c r="BI135" s="255"/>
      <c r="BJ135" s="71"/>
      <c r="BK135" s="71"/>
      <c r="BL135" s="71"/>
      <c r="BM135" s="255"/>
      <c r="BN135" s="71"/>
      <c r="BO135" s="71"/>
      <c r="BP135" s="148"/>
      <c r="BQ135" s="71"/>
      <c r="BR135" s="71"/>
      <c r="CC135" s="69"/>
      <c r="CD135" s="90"/>
      <c r="CI135" s="148"/>
      <c r="CZ135" s="69"/>
      <c r="DA135" s="90"/>
      <c r="DI135" s="67"/>
      <c r="EG135" s="69"/>
      <c r="ER135" s="69"/>
      <c r="ES135" s="90"/>
      <c r="ET135" s="90"/>
      <c r="EU135" s="90"/>
      <c r="EV135" s="90"/>
      <c r="FQ135" s="677"/>
      <c r="FR135" s="677"/>
      <c r="FS135" s="677"/>
      <c r="FT135" s="677"/>
      <c r="FU135" s="677"/>
      <c r="FV135" s="677"/>
      <c r="FW135" s="69"/>
      <c r="GH135" s="69"/>
      <c r="GU135" s="148"/>
      <c r="GV135" s="71"/>
      <c r="GW135" s="71"/>
      <c r="GX135" s="71"/>
      <c r="GY135" s="71"/>
      <c r="GZ135" s="71"/>
      <c r="HA135" s="71"/>
      <c r="HB135" s="71"/>
      <c r="HC135" s="71"/>
      <c r="HD135" s="71"/>
      <c r="HE135" s="71"/>
      <c r="HF135" s="71"/>
      <c r="HG135" s="71"/>
      <c r="HH135" s="74"/>
      <c r="HI135" s="67"/>
      <c r="HJ135" s="71"/>
      <c r="HK135" s="71"/>
      <c r="HL135" s="71"/>
      <c r="HM135" s="71"/>
      <c r="HN135" s="71"/>
      <c r="HO135" s="71"/>
      <c r="HP135" s="71"/>
      <c r="HQ135" s="71"/>
      <c r="HR135" s="71"/>
      <c r="HS135" s="71"/>
      <c r="HT135" s="71"/>
      <c r="IE135" s="71"/>
      <c r="IF135" s="71"/>
      <c r="IG135" s="71"/>
      <c r="IH135" s="71"/>
      <c r="II135" s="71"/>
      <c r="IJ135" s="71"/>
      <c r="IK135" s="71"/>
      <c r="IL135" s="71"/>
      <c r="IM135" s="71"/>
      <c r="IN135" s="71"/>
      <c r="IO135" s="71"/>
      <c r="IP135" s="71"/>
      <c r="IQ135" s="74"/>
      <c r="IR135" s="69"/>
      <c r="JH135" s="69"/>
      <c r="JI135" s="90"/>
      <c r="JV135" s="71"/>
      <c r="JW135" s="71"/>
      <c r="JX135" s="71"/>
      <c r="JY135" s="71"/>
      <c r="JZ135" s="71"/>
      <c r="KA135" s="71"/>
      <c r="KB135" s="148"/>
      <c r="KC135" s="74"/>
      <c r="KD135" s="74"/>
      <c r="KE135" s="904"/>
      <c r="KF135" s="904"/>
      <c r="KG135" s="71"/>
      <c r="KH135" s="71"/>
      <c r="KI135" s="71"/>
      <c r="KJ135" s="71"/>
      <c r="KK135" s="71"/>
      <c r="KL135" s="71"/>
      <c r="KM135" s="340"/>
      <c r="KN135" s="340"/>
      <c r="KO135" s="71"/>
      <c r="KP135" s="71"/>
      <c r="KQ135" s="71"/>
      <c r="KR135" s="71"/>
      <c r="KS135" s="71"/>
      <c r="KT135" s="340"/>
      <c r="KU135" s="148"/>
      <c r="KV135" s="904"/>
      <c r="KW135" s="71"/>
      <c r="KX135" s="71"/>
      <c r="KY135" s="71"/>
      <c r="KZ135" s="71"/>
      <c r="LA135" s="71"/>
      <c r="LB135" s="71"/>
      <c r="LC135" s="71"/>
      <c r="LD135" s="71"/>
      <c r="LE135" s="71"/>
      <c r="LF135" s="71"/>
      <c r="LG135" s="71"/>
      <c r="LH135" s="71"/>
      <c r="LI135" s="71"/>
      <c r="LJ135" s="71"/>
      <c r="LK135" s="71"/>
      <c r="LL135" s="71"/>
      <c r="LM135" s="71"/>
      <c r="LN135" s="71"/>
      <c r="LO135" s="71"/>
      <c r="LP135" s="71"/>
      <c r="LQ135" s="71"/>
      <c r="LR135" s="71"/>
      <c r="LS135" s="71"/>
      <c r="LT135" s="402"/>
      <c r="LU135" s="402"/>
      <c r="LV135" s="402"/>
      <c r="LW135" s="402"/>
      <c r="LX135" s="402"/>
      <c r="LY135" s="900"/>
      <c r="LZ135" s="900"/>
      <c r="MA135" s="402"/>
      <c r="MB135" s="402"/>
      <c r="MC135" s="402"/>
      <c r="MD135" s="402"/>
      <c r="ME135" s="402"/>
      <c r="MF135" s="402"/>
      <c r="MG135" s="402"/>
      <c r="MH135" s="148"/>
      <c r="MI135" s="904"/>
      <c r="MJ135" s="904"/>
      <c r="MK135" s="904"/>
      <c r="ML135" s="904"/>
      <c r="MM135" s="394"/>
      <c r="MN135" s="394"/>
      <c r="MO135" s="394"/>
      <c r="MP135" s="394"/>
      <c r="MQ135" s="394"/>
      <c r="MR135" s="900"/>
      <c r="MS135" s="394"/>
      <c r="MT135" s="394"/>
      <c r="MU135" s="394"/>
      <c r="MV135" s="394"/>
      <c r="MW135" s="394"/>
      <c r="MX135" s="900"/>
      <c r="MY135" s="394"/>
      <c r="MZ135" s="394"/>
      <c r="NA135" s="684"/>
      <c r="NB135" s="684"/>
      <c r="NC135" s="394"/>
      <c r="ND135" s="394"/>
      <c r="NE135" s="394"/>
      <c r="NF135" s="394"/>
      <c r="NG135" s="394"/>
      <c r="NH135" s="394"/>
      <c r="NI135" s="731"/>
      <c r="NJ135" s="402"/>
      <c r="NK135" s="394"/>
      <c r="NL135" s="394"/>
      <c r="NM135" s="402"/>
      <c r="NN135" s="402"/>
      <c r="NO135" s="402"/>
      <c r="NP135" s="402"/>
      <c r="NQ135" s="402"/>
      <c r="NR135" s="402"/>
      <c r="NS135" s="402"/>
      <c r="NT135" s="402"/>
      <c r="NU135" s="148"/>
      <c r="NV135" s="687"/>
      <c r="NW135" s="687"/>
      <c r="NX135" s="794"/>
      <c r="NY135" s="687"/>
      <c r="NZ135" s="687"/>
      <c r="OA135" s="687"/>
      <c r="OB135" s="687"/>
      <c r="OC135" s="687"/>
      <c r="OD135" s="687"/>
      <c r="OE135" s="794"/>
      <c r="OF135" s="794"/>
      <c r="OG135" s="794"/>
      <c r="OH135" s="794"/>
      <c r="OI135" s="71"/>
      <c r="OJ135" s="71"/>
      <c r="OK135" s="402"/>
      <c r="OL135" s="402"/>
      <c r="OM135" s="402"/>
      <c r="OO135" s="97"/>
      <c r="OP135" s="29"/>
      <c r="OQ135" s="29"/>
      <c r="OR135" s="29"/>
      <c r="OS135" s="71"/>
      <c r="OT135" s="71"/>
      <c r="OU135" s="71"/>
      <c r="OV135" s="71"/>
      <c r="OW135" s="71"/>
      <c r="OX135" s="71"/>
      <c r="OY135" s="71"/>
      <c r="OZ135" s="71"/>
      <c r="PA135" s="71"/>
      <c r="PG135" s="69"/>
      <c r="PH135" s="71"/>
      <c r="PI135" s="507"/>
    </row>
    <row r="136" spans="1:425" ht="15" hidden="1" customHeight="1">
      <c r="A136" s="71"/>
      <c r="B136" s="71"/>
      <c r="C136" s="91"/>
      <c r="D136" s="69"/>
      <c r="E136" s="74"/>
      <c r="F136" s="74"/>
      <c r="I136" s="90"/>
      <c r="J136" s="90"/>
      <c r="K136" s="90"/>
      <c r="L136" s="90"/>
      <c r="M136" s="90"/>
      <c r="N136" s="96"/>
      <c r="O136" s="74"/>
      <c r="P136" s="74"/>
      <c r="R136" s="90"/>
      <c r="S136" s="90"/>
      <c r="T136" s="90"/>
      <c r="U136" s="90"/>
      <c r="V136" s="90"/>
      <c r="W136" s="90"/>
      <c r="X136" s="90"/>
      <c r="Y136" s="69"/>
      <c r="Z136" s="90"/>
      <c r="AA136" s="90"/>
      <c r="AB136" s="90"/>
      <c r="AC136" s="90"/>
      <c r="AH136" s="69"/>
      <c r="AM136" s="90"/>
      <c r="AN136" s="11"/>
      <c r="AQ136" s="680"/>
      <c r="AR136" s="90"/>
      <c r="AS136" s="69"/>
      <c r="AT136" s="90"/>
      <c r="AU136" s="90"/>
      <c r="AV136" s="90"/>
      <c r="AW136" s="90"/>
      <c r="AX136" s="90"/>
      <c r="AY136" s="90"/>
      <c r="AZ136" s="90"/>
      <c r="BA136" s="90"/>
      <c r="BB136" s="90"/>
      <c r="BC136" s="90"/>
      <c r="BD136" s="90"/>
      <c r="BE136" s="90"/>
      <c r="BF136" s="148"/>
      <c r="BG136" s="417"/>
      <c r="BH136" s="71"/>
      <c r="BI136" s="255"/>
      <c r="BJ136" s="71"/>
      <c r="BK136" s="71"/>
      <c r="BL136" s="71"/>
      <c r="BM136" s="255"/>
      <c r="BN136" s="71"/>
      <c r="BO136" s="71"/>
      <c r="BP136" s="148"/>
      <c r="BQ136" s="71"/>
      <c r="BR136" s="71"/>
      <c r="CC136" s="69"/>
      <c r="CD136" s="90"/>
      <c r="CI136" s="148"/>
      <c r="CZ136" s="69"/>
      <c r="DA136" s="90"/>
      <c r="DI136" s="67"/>
      <c r="EG136" s="69"/>
      <c r="ER136" s="69"/>
      <c r="ES136" s="90"/>
      <c r="ET136" s="90"/>
      <c r="EU136" s="90"/>
      <c r="EV136" s="90"/>
      <c r="FQ136" s="677"/>
      <c r="FR136" s="677"/>
      <c r="FS136" s="677"/>
      <c r="FT136" s="677"/>
      <c r="FU136" s="677"/>
      <c r="FV136" s="677"/>
      <c r="FW136" s="69"/>
      <c r="GH136" s="69"/>
      <c r="GU136" s="148"/>
      <c r="GV136" s="71"/>
      <c r="GW136" s="71"/>
      <c r="GX136" s="71"/>
      <c r="GY136" s="71"/>
      <c r="GZ136" s="71"/>
      <c r="HA136" s="71"/>
      <c r="HB136" s="71"/>
      <c r="HC136" s="71"/>
      <c r="HD136" s="71"/>
      <c r="HE136" s="71"/>
      <c r="HF136" s="71"/>
      <c r="HG136" s="71"/>
      <c r="HH136" s="74"/>
      <c r="HI136" s="67"/>
      <c r="HJ136" s="71"/>
      <c r="HK136" s="71"/>
      <c r="HL136" s="71"/>
      <c r="HM136" s="71"/>
      <c r="HN136" s="71"/>
      <c r="HO136" s="71"/>
      <c r="HP136" s="71"/>
      <c r="HQ136" s="71"/>
      <c r="HR136" s="71"/>
      <c r="HS136" s="71"/>
      <c r="HT136" s="71"/>
      <c r="IE136" s="71"/>
      <c r="IF136" s="71"/>
      <c r="IG136" s="71"/>
      <c r="IH136" s="71"/>
      <c r="II136" s="71"/>
      <c r="IJ136" s="71"/>
      <c r="IK136" s="71"/>
      <c r="IL136" s="71"/>
      <c r="IM136" s="71"/>
      <c r="IN136" s="71"/>
      <c r="IO136" s="71"/>
      <c r="IP136" s="71"/>
      <c r="IQ136" s="74"/>
      <c r="IR136" s="69"/>
      <c r="JH136" s="69"/>
      <c r="JI136" s="90"/>
      <c r="JV136" s="71"/>
      <c r="JW136" s="71"/>
      <c r="JX136" s="71"/>
      <c r="JY136" s="71"/>
      <c r="JZ136" s="71"/>
      <c r="KA136" s="71"/>
      <c r="KB136" s="148"/>
      <c r="KC136" s="74"/>
      <c r="KD136" s="74"/>
      <c r="KE136" s="904"/>
      <c r="KF136" s="904"/>
      <c r="KG136" s="71"/>
      <c r="KH136" s="71"/>
      <c r="KI136" s="71"/>
      <c r="KJ136" s="71"/>
      <c r="KK136" s="71"/>
      <c r="KL136" s="71"/>
      <c r="KM136" s="340"/>
      <c r="KN136" s="340"/>
      <c r="KO136" s="71"/>
      <c r="KP136" s="71"/>
      <c r="KQ136" s="71"/>
      <c r="KR136" s="71"/>
      <c r="KS136" s="71"/>
      <c r="KT136" s="340"/>
      <c r="KU136" s="148"/>
      <c r="KV136" s="904"/>
      <c r="KW136" s="71"/>
      <c r="KX136" s="71"/>
      <c r="KY136" s="71"/>
      <c r="KZ136" s="71"/>
      <c r="LA136" s="71"/>
      <c r="LB136" s="71"/>
      <c r="LC136" s="71"/>
      <c r="LD136" s="71"/>
      <c r="LE136" s="71"/>
      <c r="LF136" s="71"/>
      <c r="LG136" s="71"/>
      <c r="LH136" s="71"/>
      <c r="LI136" s="71"/>
      <c r="LJ136" s="71"/>
      <c r="LK136" s="71"/>
      <c r="LL136" s="71"/>
      <c r="LM136" s="71"/>
      <c r="LN136" s="71"/>
      <c r="LO136" s="71"/>
      <c r="LP136" s="71"/>
      <c r="LQ136" s="71"/>
      <c r="LR136" s="71"/>
      <c r="LS136" s="71"/>
      <c r="LT136" s="402"/>
      <c r="LU136" s="402"/>
      <c r="LV136" s="402"/>
      <c r="LW136" s="402"/>
      <c r="LX136" s="402"/>
      <c r="LY136" s="900"/>
      <c r="LZ136" s="900"/>
      <c r="MA136" s="402"/>
      <c r="MB136" s="402"/>
      <c r="MC136" s="402"/>
      <c r="MD136" s="402"/>
      <c r="ME136" s="402"/>
      <c r="MF136" s="402"/>
      <c r="MG136" s="402"/>
      <c r="MH136" s="148"/>
      <c r="MI136" s="904"/>
      <c r="MJ136" s="904"/>
      <c r="MK136" s="904"/>
      <c r="ML136" s="904"/>
      <c r="MM136" s="394"/>
      <c r="MN136" s="394"/>
      <c r="MO136" s="394"/>
      <c r="MP136" s="394"/>
      <c r="MQ136" s="394"/>
      <c r="MR136" s="900"/>
      <c r="MS136" s="394"/>
      <c r="MT136" s="394"/>
      <c r="MU136" s="394"/>
      <c r="MV136" s="394"/>
      <c r="MW136" s="394"/>
      <c r="MX136" s="900"/>
      <c r="MY136" s="394"/>
      <c r="MZ136" s="394"/>
      <c r="NA136" s="684"/>
      <c r="NB136" s="684"/>
      <c r="NC136" s="394"/>
      <c r="ND136" s="394"/>
      <c r="NE136" s="394"/>
      <c r="NF136" s="394"/>
      <c r="NG136" s="394"/>
      <c r="NH136" s="394"/>
      <c r="NI136" s="731"/>
      <c r="NJ136" s="402"/>
      <c r="NK136" s="394"/>
      <c r="NL136" s="394"/>
      <c r="NM136" s="402"/>
      <c r="NN136" s="402"/>
      <c r="NO136" s="402"/>
      <c r="NP136" s="402"/>
      <c r="NQ136" s="402"/>
      <c r="NR136" s="402"/>
      <c r="NS136" s="402"/>
      <c r="NT136" s="402"/>
      <c r="NU136" s="148"/>
      <c r="NV136" s="687"/>
      <c r="NW136" s="687"/>
      <c r="NX136" s="794"/>
      <c r="NY136" s="687"/>
      <c r="NZ136" s="687"/>
      <c r="OA136" s="687"/>
      <c r="OB136" s="687"/>
      <c r="OC136" s="687"/>
      <c r="OD136" s="687"/>
      <c r="OE136" s="794"/>
      <c r="OF136" s="794"/>
      <c r="OG136" s="794"/>
      <c r="OH136" s="794"/>
      <c r="OI136" s="71"/>
      <c r="OJ136" s="71"/>
      <c r="OK136" s="402"/>
      <c r="OL136" s="402"/>
      <c r="OM136" s="402"/>
      <c r="OO136" s="97"/>
      <c r="OP136" s="29"/>
      <c r="OQ136" s="29"/>
      <c r="OR136" s="29"/>
      <c r="OS136" s="71"/>
      <c r="OT136" s="71"/>
      <c r="OU136" s="71"/>
      <c r="OV136" s="71"/>
      <c r="OW136" s="71"/>
      <c r="OX136" s="71"/>
      <c r="OY136" s="71"/>
      <c r="OZ136" s="71"/>
      <c r="PA136" s="71"/>
      <c r="PG136" s="69"/>
      <c r="PH136" s="71"/>
      <c r="PI136" s="507"/>
    </row>
    <row r="137" spans="1:425" ht="15" hidden="1" customHeight="1">
      <c r="A137" s="71"/>
      <c r="B137" s="71"/>
      <c r="C137" s="91"/>
      <c r="D137" s="69"/>
      <c r="E137" s="74"/>
      <c r="F137" s="74"/>
      <c r="I137" s="90"/>
      <c r="J137" s="90"/>
      <c r="K137" s="90"/>
      <c r="L137" s="90"/>
      <c r="M137" s="90"/>
      <c r="N137" s="96"/>
      <c r="O137" s="74"/>
      <c r="P137" s="74"/>
      <c r="R137" s="90"/>
      <c r="S137" s="90"/>
      <c r="T137" s="90"/>
      <c r="U137" s="90"/>
      <c r="V137" s="90"/>
      <c r="W137" s="90"/>
      <c r="X137" s="90"/>
      <c r="Y137" s="69"/>
      <c r="Z137" s="90"/>
      <c r="AA137" s="90"/>
      <c r="AB137" s="90"/>
      <c r="AC137" s="90"/>
      <c r="AH137" s="69"/>
      <c r="AM137" s="90"/>
      <c r="AN137" s="11"/>
      <c r="AQ137" s="680"/>
      <c r="AR137" s="90"/>
      <c r="AS137" s="69"/>
      <c r="AT137" s="90"/>
      <c r="AU137" s="90"/>
      <c r="AV137" s="90"/>
      <c r="AW137" s="90"/>
      <c r="AX137" s="90"/>
      <c r="AY137" s="90"/>
      <c r="AZ137" s="90"/>
      <c r="BA137" s="90"/>
      <c r="BB137" s="90"/>
      <c r="BC137" s="90"/>
      <c r="BD137" s="90"/>
      <c r="BE137" s="90"/>
      <c r="BF137" s="148"/>
      <c r="BG137" s="417"/>
      <c r="BH137" s="71"/>
      <c r="BI137" s="255"/>
      <c r="BJ137" s="71"/>
      <c r="BK137" s="71"/>
      <c r="BL137" s="71"/>
      <c r="BM137" s="255"/>
      <c r="BN137" s="71"/>
      <c r="BO137" s="71"/>
      <c r="BP137" s="148"/>
      <c r="BQ137" s="71"/>
      <c r="BR137" s="71"/>
      <c r="CC137" s="69"/>
      <c r="CD137" s="90"/>
      <c r="CI137" s="148"/>
      <c r="CZ137" s="69"/>
      <c r="DA137" s="90"/>
      <c r="DI137" s="67"/>
      <c r="EG137" s="69"/>
      <c r="ER137" s="69"/>
      <c r="ES137" s="90"/>
      <c r="ET137" s="90"/>
      <c r="EU137" s="90"/>
      <c r="EV137" s="90"/>
      <c r="FQ137" s="677"/>
      <c r="FR137" s="677"/>
      <c r="FS137" s="677"/>
      <c r="FT137" s="677"/>
      <c r="FU137" s="677"/>
      <c r="FV137" s="677"/>
      <c r="FW137" s="69"/>
      <c r="GH137" s="69"/>
      <c r="GU137" s="148"/>
      <c r="GV137" s="71"/>
      <c r="GW137" s="71"/>
      <c r="GX137" s="71"/>
      <c r="GY137" s="71"/>
      <c r="GZ137" s="71"/>
      <c r="HA137" s="71"/>
      <c r="HB137" s="71"/>
      <c r="HC137" s="71"/>
      <c r="HD137" s="71"/>
      <c r="HE137" s="71"/>
      <c r="HF137" s="71"/>
      <c r="HG137" s="71"/>
      <c r="HH137" s="74"/>
      <c r="HI137" s="67"/>
      <c r="HJ137" s="71"/>
      <c r="HK137" s="71"/>
      <c r="HL137" s="71"/>
      <c r="HM137" s="71"/>
      <c r="HN137" s="71"/>
      <c r="HO137" s="71"/>
      <c r="HP137" s="71"/>
      <c r="HQ137" s="71"/>
      <c r="HR137" s="71"/>
      <c r="HS137" s="71"/>
      <c r="HT137" s="71"/>
      <c r="IE137" s="71"/>
      <c r="IF137" s="71"/>
      <c r="IG137" s="71"/>
      <c r="IH137" s="71"/>
      <c r="II137" s="71"/>
      <c r="IJ137" s="71"/>
      <c r="IK137" s="71"/>
      <c r="IL137" s="71"/>
      <c r="IM137" s="71"/>
      <c r="IN137" s="71"/>
      <c r="IO137" s="71"/>
      <c r="IP137" s="71"/>
      <c r="IQ137" s="74"/>
      <c r="IR137" s="69"/>
      <c r="JH137" s="69"/>
      <c r="JI137" s="90"/>
      <c r="JV137" s="71"/>
      <c r="JW137" s="71"/>
      <c r="JX137" s="71"/>
      <c r="JY137" s="71"/>
      <c r="JZ137" s="71"/>
      <c r="KA137" s="71"/>
      <c r="KB137" s="148"/>
      <c r="KC137" s="74"/>
      <c r="KD137" s="74"/>
      <c r="KE137" s="904"/>
      <c r="KF137" s="904"/>
      <c r="KG137" s="71"/>
      <c r="KH137" s="71"/>
      <c r="KI137" s="71"/>
      <c r="KJ137" s="71"/>
      <c r="KK137" s="71"/>
      <c r="KL137" s="71"/>
      <c r="KM137" s="340"/>
      <c r="KN137" s="340"/>
      <c r="KO137" s="71"/>
      <c r="KP137" s="71"/>
      <c r="KQ137" s="71"/>
      <c r="KR137" s="71"/>
      <c r="KS137" s="71"/>
      <c r="KT137" s="340"/>
      <c r="KU137" s="148"/>
      <c r="KV137" s="904"/>
      <c r="KW137" s="71"/>
      <c r="KX137" s="71"/>
      <c r="KY137" s="71"/>
      <c r="KZ137" s="71"/>
      <c r="LA137" s="71"/>
      <c r="LB137" s="71"/>
      <c r="LC137" s="71"/>
      <c r="LD137" s="71"/>
      <c r="LE137" s="71"/>
      <c r="LF137" s="71"/>
      <c r="LG137" s="71"/>
      <c r="LH137" s="71"/>
      <c r="LI137" s="71"/>
      <c r="LJ137" s="71"/>
      <c r="LK137" s="71"/>
      <c r="LL137" s="71"/>
      <c r="LM137" s="71"/>
      <c r="LN137" s="71"/>
      <c r="LO137" s="71"/>
      <c r="LP137" s="71"/>
      <c r="LQ137" s="71"/>
      <c r="LR137" s="71"/>
      <c r="LS137" s="71"/>
      <c r="LT137" s="402"/>
      <c r="LU137" s="402"/>
      <c r="LV137" s="402"/>
      <c r="LW137" s="402"/>
      <c r="LX137" s="402"/>
      <c r="LY137" s="900"/>
      <c r="LZ137" s="900"/>
      <c r="MA137" s="402"/>
      <c r="MB137" s="402"/>
      <c r="MC137" s="402"/>
      <c r="MD137" s="402"/>
      <c r="ME137" s="402"/>
      <c r="MF137" s="402"/>
      <c r="MG137" s="402"/>
      <c r="MH137" s="148"/>
      <c r="MI137" s="904"/>
      <c r="MJ137" s="904"/>
      <c r="MK137" s="904"/>
      <c r="ML137" s="904"/>
      <c r="MM137" s="394"/>
      <c r="MN137" s="394"/>
      <c r="MO137" s="394"/>
      <c r="MP137" s="394"/>
      <c r="MQ137" s="394"/>
      <c r="MR137" s="900"/>
      <c r="MS137" s="394"/>
      <c r="MT137" s="394"/>
      <c r="MU137" s="394"/>
      <c r="MV137" s="394"/>
      <c r="MW137" s="394"/>
      <c r="MX137" s="900"/>
      <c r="MY137" s="394"/>
      <c r="MZ137" s="394"/>
      <c r="NA137" s="684"/>
      <c r="NB137" s="684"/>
      <c r="NC137" s="394"/>
      <c r="ND137" s="394"/>
      <c r="NE137" s="394"/>
      <c r="NF137" s="394"/>
      <c r="NG137" s="394"/>
      <c r="NH137" s="394"/>
      <c r="NI137" s="731"/>
      <c r="NJ137" s="402"/>
      <c r="NK137" s="394"/>
      <c r="NL137" s="394"/>
      <c r="NM137" s="402"/>
      <c r="NN137" s="402"/>
      <c r="NO137" s="402"/>
      <c r="NP137" s="402"/>
      <c r="NQ137" s="402"/>
      <c r="NR137" s="402"/>
      <c r="NS137" s="402"/>
      <c r="NT137" s="402"/>
      <c r="NU137" s="148"/>
      <c r="NV137" s="687"/>
      <c r="NW137" s="687"/>
      <c r="NX137" s="794"/>
      <c r="NY137" s="687"/>
      <c r="NZ137" s="687"/>
      <c r="OA137" s="687"/>
      <c r="OB137" s="687"/>
      <c r="OC137" s="687"/>
      <c r="OD137" s="687"/>
      <c r="OE137" s="794"/>
      <c r="OF137" s="794"/>
      <c r="OG137" s="794"/>
      <c r="OH137" s="794"/>
      <c r="OI137" s="71"/>
      <c r="OJ137" s="71"/>
      <c r="OK137" s="402"/>
      <c r="OL137" s="402"/>
      <c r="OM137" s="402"/>
      <c r="OO137" s="97"/>
      <c r="OP137" s="29"/>
      <c r="OQ137" s="29"/>
      <c r="OR137" s="29"/>
      <c r="OS137" s="71"/>
      <c r="OT137" s="71"/>
      <c r="OU137" s="71"/>
      <c r="OV137" s="71"/>
      <c r="OW137" s="71"/>
      <c r="OX137" s="71"/>
      <c r="OY137" s="71"/>
      <c r="OZ137" s="71"/>
      <c r="PA137" s="71"/>
      <c r="PG137" s="69"/>
      <c r="PH137" s="71"/>
      <c r="PI137" s="507"/>
    </row>
    <row r="138" spans="1:425" ht="15" hidden="1" customHeight="1">
      <c r="A138" s="71"/>
      <c r="B138" s="71"/>
      <c r="C138" s="91"/>
      <c r="D138" s="69"/>
      <c r="E138" s="74"/>
      <c r="F138" s="74"/>
      <c r="I138" s="90"/>
      <c r="J138" s="90"/>
      <c r="K138" s="90"/>
      <c r="L138" s="90"/>
      <c r="M138" s="90"/>
      <c r="N138" s="96"/>
      <c r="O138" s="74"/>
      <c r="P138" s="74"/>
      <c r="R138" s="90"/>
      <c r="S138" s="90"/>
      <c r="T138" s="90"/>
      <c r="U138" s="90"/>
      <c r="V138" s="90"/>
      <c r="W138" s="90"/>
      <c r="X138" s="90"/>
      <c r="Y138" s="69"/>
      <c r="Z138" s="90"/>
      <c r="AA138" s="90"/>
      <c r="AB138" s="90"/>
      <c r="AC138" s="90"/>
      <c r="AH138" s="69"/>
      <c r="AM138" s="90"/>
      <c r="AN138" s="11"/>
      <c r="AQ138" s="680"/>
      <c r="AR138" s="90"/>
      <c r="AS138" s="69"/>
      <c r="AT138" s="90"/>
      <c r="AU138" s="90"/>
      <c r="AV138" s="90"/>
      <c r="AW138" s="90"/>
      <c r="AX138" s="90"/>
      <c r="AY138" s="90"/>
      <c r="AZ138" s="90"/>
      <c r="BA138" s="90"/>
      <c r="BB138" s="90"/>
      <c r="BC138" s="90"/>
      <c r="BD138" s="90"/>
      <c r="BE138" s="90"/>
      <c r="BF138" s="148"/>
      <c r="BG138" s="417"/>
      <c r="BH138" s="71"/>
      <c r="BI138" s="255"/>
      <c r="BJ138" s="71"/>
      <c r="BK138" s="71"/>
      <c r="BL138" s="71"/>
      <c r="BM138" s="255"/>
      <c r="BN138" s="71"/>
      <c r="BO138" s="71"/>
      <c r="BP138" s="148"/>
      <c r="BQ138" s="71"/>
      <c r="BR138" s="71"/>
      <c r="CC138" s="69"/>
      <c r="CD138" s="90"/>
      <c r="CI138" s="148"/>
      <c r="CZ138" s="69"/>
      <c r="DA138" s="90"/>
      <c r="DI138" s="67"/>
      <c r="EG138" s="69"/>
      <c r="ER138" s="69"/>
      <c r="ES138" s="90"/>
      <c r="ET138" s="90"/>
      <c r="EU138" s="90"/>
      <c r="EV138" s="90"/>
      <c r="FQ138" s="677"/>
      <c r="FR138" s="677"/>
      <c r="FS138" s="677"/>
      <c r="FT138" s="677"/>
      <c r="FU138" s="677"/>
      <c r="FV138" s="677"/>
      <c r="FW138" s="69"/>
      <c r="GH138" s="69"/>
      <c r="GU138" s="148"/>
      <c r="GV138" s="71"/>
      <c r="GW138" s="71"/>
      <c r="GX138" s="71"/>
      <c r="GY138" s="71"/>
      <c r="GZ138" s="71"/>
      <c r="HA138" s="71"/>
      <c r="HB138" s="71"/>
      <c r="HC138" s="71"/>
      <c r="HD138" s="71"/>
      <c r="HE138" s="71"/>
      <c r="HF138" s="71"/>
      <c r="HG138" s="71"/>
      <c r="HH138" s="74"/>
      <c r="HI138" s="67"/>
      <c r="HJ138" s="71"/>
      <c r="HK138" s="71"/>
      <c r="HL138" s="71"/>
      <c r="HM138" s="71"/>
      <c r="HN138" s="71"/>
      <c r="HO138" s="71"/>
      <c r="HP138" s="71"/>
      <c r="HQ138" s="71"/>
      <c r="HR138" s="71"/>
      <c r="HS138" s="71"/>
      <c r="HT138" s="71"/>
      <c r="IE138" s="71"/>
      <c r="IF138" s="71"/>
      <c r="IG138" s="71"/>
      <c r="IH138" s="71"/>
      <c r="II138" s="71"/>
      <c r="IJ138" s="71"/>
      <c r="IK138" s="71"/>
      <c r="IL138" s="71"/>
      <c r="IM138" s="71"/>
      <c r="IN138" s="71"/>
      <c r="IO138" s="71"/>
      <c r="IP138" s="71"/>
      <c r="IQ138" s="74"/>
      <c r="IR138" s="69"/>
      <c r="JH138" s="69"/>
      <c r="JI138" s="90"/>
      <c r="JV138" s="71"/>
      <c r="JW138" s="71"/>
      <c r="JX138" s="71"/>
      <c r="JY138" s="71"/>
      <c r="JZ138" s="71"/>
      <c r="KA138" s="71"/>
      <c r="KB138" s="148"/>
      <c r="KC138" s="74"/>
      <c r="KD138" s="74"/>
      <c r="KE138" s="904"/>
      <c r="KF138" s="904"/>
      <c r="KG138" s="71"/>
      <c r="KH138" s="71"/>
      <c r="KI138" s="71"/>
      <c r="KJ138" s="71"/>
      <c r="KK138" s="71"/>
      <c r="KL138" s="71"/>
      <c r="KM138" s="340"/>
      <c r="KN138" s="340"/>
      <c r="KO138" s="71"/>
      <c r="KP138" s="71"/>
      <c r="KQ138" s="71"/>
      <c r="KR138" s="71"/>
      <c r="KS138" s="71"/>
      <c r="KT138" s="340"/>
      <c r="KU138" s="148"/>
      <c r="KV138" s="904"/>
      <c r="KW138" s="71"/>
      <c r="KX138" s="71"/>
      <c r="KY138" s="71"/>
      <c r="KZ138" s="71"/>
      <c r="LA138" s="71"/>
      <c r="LB138" s="71"/>
      <c r="LC138" s="71"/>
      <c r="LD138" s="71"/>
      <c r="LE138" s="71"/>
      <c r="LF138" s="71"/>
      <c r="LG138" s="71"/>
      <c r="LH138" s="71"/>
      <c r="LI138" s="71"/>
      <c r="LJ138" s="71"/>
      <c r="LK138" s="71"/>
      <c r="LL138" s="71"/>
      <c r="LM138" s="71"/>
      <c r="LN138" s="71"/>
      <c r="LO138" s="71"/>
      <c r="LP138" s="71"/>
      <c r="LQ138" s="71"/>
      <c r="LR138" s="71"/>
      <c r="LS138" s="71"/>
      <c r="LT138" s="402"/>
      <c r="LU138" s="402"/>
      <c r="LV138" s="402"/>
      <c r="LW138" s="402"/>
      <c r="LX138" s="402"/>
      <c r="LY138" s="900"/>
      <c r="LZ138" s="900"/>
      <c r="MA138" s="402"/>
      <c r="MB138" s="402"/>
      <c r="MC138" s="402"/>
      <c r="MD138" s="402"/>
      <c r="ME138" s="402"/>
      <c r="MF138" s="402"/>
      <c r="MG138" s="402"/>
      <c r="MH138" s="148"/>
      <c r="MI138" s="904"/>
      <c r="MJ138" s="904"/>
      <c r="MK138" s="904"/>
      <c r="ML138" s="904"/>
      <c r="MM138" s="394"/>
      <c r="MN138" s="394"/>
      <c r="MO138" s="394"/>
      <c r="MP138" s="394"/>
      <c r="MQ138" s="394"/>
      <c r="MR138" s="900"/>
      <c r="MS138" s="394"/>
      <c r="MT138" s="394"/>
      <c r="MU138" s="394"/>
      <c r="MV138" s="394"/>
      <c r="MW138" s="394"/>
      <c r="MX138" s="900"/>
      <c r="MY138" s="394"/>
      <c r="MZ138" s="394"/>
      <c r="NA138" s="684"/>
      <c r="NB138" s="684"/>
      <c r="NC138" s="394"/>
      <c r="ND138" s="394"/>
      <c r="NE138" s="394"/>
      <c r="NF138" s="394"/>
      <c r="NG138" s="394"/>
      <c r="NH138" s="394"/>
      <c r="NI138" s="731"/>
      <c r="NJ138" s="402"/>
      <c r="NK138" s="394"/>
      <c r="NL138" s="394"/>
      <c r="NM138" s="402"/>
      <c r="NN138" s="402"/>
      <c r="NO138" s="402"/>
      <c r="NP138" s="402"/>
      <c r="NQ138" s="402"/>
      <c r="NR138" s="402"/>
      <c r="NS138" s="402"/>
      <c r="NT138" s="402"/>
      <c r="NU138" s="148"/>
      <c r="NV138" s="687"/>
      <c r="NW138" s="687"/>
      <c r="NX138" s="794"/>
      <c r="NY138" s="687"/>
      <c r="NZ138" s="687"/>
      <c r="OA138" s="687"/>
      <c r="OB138" s="687"/>
      <c r="OC138" s="687"/>
      <c r="OD138" s="687"/>
      <c r="OE138" s="794"/>
      <c r="OF138" s="794"/>
      <c r="OG138" s="794"/>
      <c r="OH138" s="794"/>
      <c r="OI138" s="71"/>
      <c r="OJ138" s="71"/>
      <c r="OK138" s="402"/>
      <c r="OL138" s="402"/>
      <c r="OM138" s="402"/>
      <c r="OO138" s="97"/>
      <c r="OP138" s="29"/>
      <c r="OQ138" s="29"/>
      <c r="OR138" s="29"/>
      <c r="OS138" s="71"/>
      <c r="OT138" s="71"/>
      <c r="OU138" s="71"/>
      <c r="OV138" s="71"/>
      <c r="OW138" s="71"/>
      <c r="OX138" s="71"/>
      <c r="OY138" s="71"/>
      <c r="OZ138" s="71"/>
      <c r="PA138" s="71"/>
      <c r="PG138" s="69"/>
      <c r="PH138" s="71"/>
      <c r="PI138" s="507"/>
    </row>
    <row r="139" spans="1:425" ht="15" hidden="1" customHeight="1">
      <c r="A139" s="71"/>
      <c r="B139" s="71"/>
      <c r="C139" s="91"/>
      <c r="D139" s="69"/>
      <c r="E139" s="74"/>
      <c r="F139" s="74"/>
      <c r="I139" s="90"/>
      <c r="J139" s="90"/>
      <c r="K139" s="90"/>
      <c r="L139" s="90"/>
      <c r="M139" s="90"/>
      <c r="N139" s="96"/>
      <c r="O139" s="74"/>
      <c r="P139" s="74"/>
      <c r="R139" s="90"/>
      <c r="S139" s="90"/>
      <c r="T139" s="90"/>
      <c r="U139" s="90"/>
      <c r="V139" s="90"/>
      <c r="W139" s="90"/>
      <c r="X139" s="90"/>
      <c r="Y139" s="69"/>
      <c r="Z139" s="90"/>
      <c r="AA139" s="90"/>
      <c r="AB139" s="90"/>
      <c r="AC139" s="90"/>
      <c r="AH139" s="69"/>
      <c r="AM139" s="90"/>
      <c r="AN139" s="11"/>
      <c r="AQ139" s="680"/>
      <c r="AR139" s="90"/>
      <c r="AS139" s="69"/>
      <c r="AT139" s="90"/>
      <c r="AU139" s="90"/>
      <c r="AV139" s="90"/>
      <c r="AW139" s="90"/>
      <c r="AX139" s="90"/>
      <c r="AY139" s="90"/>
      <c r="AZ139" s="90"/>
      <c r="BA139" s="90"/>
      <c r="BB139" s="90"/>
      <c r="BC139" s="90"/>
      <c r="BD139" s="90"/>
      <c r="BE139" s="90"/>
      <c r="BF139" s="148"/>
      <c r="BG139" s="417"/>
      <c r="BH139" s="71"/>
      <c r="BI139" s="255"/>
      <c r="BJ139" s="71"/>
      <c r="BK139" s="71"/>
      <c r="BL139" s="71"/>
      <c r="BM139" s="255"/>
      <c r="BN139" s="71"/>
      <c r="BO139" s="71"/>
      <c r="BP139" s="148"/>
      <c r="BQ139" s="71"/>
      <c r="BR139" s="71"/>
      <c r="CC139" s="69"/>
      <c r="CD139" s="90"/>
      <c r="CI139" s="148"/>
      <c r="CZ139" s="69"/>
      <c r="DA139" s="90"/>
      <c r="DI139" s="67"/>
      <c r="EG139" s="69"/>
      <c r="ER139" s="69"/>
      <c r="ES139" s="90"/>
      <c r="ET139" s="90"/>
      <c r="EU139" s="90"/>
      <c r="EV139" s="90"/>
      <c r="FQ139" s="677"/>
      <c r="FR139" s="677"/>
      <c r="FS139" s="677"/>
      <c r="FT139" s="677"/>
      <c r="FU139" s="677"/>
      <c r="FV139" s="677"/>
      <c r="FW139" s="69"/>
      <c r="GH139" s="69"/>
      <c r="GU139" s="148"/>
      <c r="GV139" s="71"/>
      <c r="GW139" s="71"/>
      <c r="GX139" s="71"/>
      <c r="GY139" s="71"/>
      <c r="GZ139" s="71"/>
      <c r="HA139" s="71"/>
      <c r="HB139" s="71"/>
      <c r="HC139" s="71"/>
      <c r="HD139" s="71"/>
      <c r="HE139" s="71"/>
      <c r="HF139" s="71"/>
      <c r="HG139" s="71"/>
      <c r="HH139" s="74"/>
      <c r="HI139" s="67"/>
      <c r="HJ139" s="71"/>
      <c r="HK139" s="71"/>
      <c r="HL139" s="71"/>
      <c r="HM139" s="71"/>
      <c r="HN139" s="71"/>
      <c r="HO139" s="71"/>
      <c r="HP139" s="71"/>
      <c r="HQ139" s="71"/>
      <c r="HR139" s="71"/>
      <c r="HS139" s="71"/>
      <c r="HT139" s="71"/>
      <c r="IE139" s="71"/>
      <c r="IF139" s="71"/>
      <c r="IG139" s="71"/>
      <c r="IH139" s="71"/>
      <c r="II139" s="71"/>
      <c r="IJ139" s="71"/>
      <c r="IK139" s="71"/>
      <c r="IL139" s="71"/>
      <c r="IM139" s="71"/>
      <c r="IN139" s="71"/>
      <c r="IO139" s="71"/>
      <c r="IP139" s="71"/>
      <c r="IQ139" s="74"/>
      <c r="IR139" s="69"/>
      <c r="JH139" s="69"/>
      <c r="JI139" s="90"/>
      <c r="JV139" s="71"/>
      <c r="JW139" s="71"/>
      <c r="JX139" s="71"/>
      <c r="JY139" s="71"/>
      <c r="JZ139" s="71"/>
      <c r="KA139" s="71"/>
      <c r="KB139" s="148"/>
      <c r="KC139" s="74"/>
      <c r="KD139" s="74"/>
      <c r="KE139" s="904"/>
      <c r="KF139" s="904"/>
      <c r="KG139" s="71"/>
      <c r="KH139" s="71"/>
      <c r="KI139" s="71"/>
      <c r="KJ139" s="71"/>
      <c r="KK139" s="71"/>
      <c r="KL139" s="71"/>
      <c r="KM139" s="340"/>
      <c r="KN139" s="340"/>
      <c r="KO139" s="71"/>
      <c r="KP139" s="71"/>
      <c r="KQ139" s="71"/>
      <c r="KR139" s="71"/>
      <c r="KS139" s="71"/>
      <c r="KT139" s="340"/>
      <c r="KU139" s="148"/>
      <c r="KV139" s="904"/>
      <c r="KW139" s="71"/>
      <c r="KX139" s="71"/>
      <c r="KY139" s="71"/>
      <c r="KZ139" s="71"/>
      <c r="LA139" s="71"/>
      <c r="LB139" s="71"/>
      <c r="LC139" s="71"/>
      <c r="LD139" s="71"/>
      <c r="LE139" s="71"/>
      <c r="LF139" s="71"/>
      <c r="LG139" s="71"/>
      <c r="LH139" s="71"/>
      <c r="LI139" s="71"/>
      <c r="LJ139" s="71"/>
      <c r="LK139" s="71"/>
      <c r="LL139" s="71"/>
      <c r="LM139" s="71"/>
      <c r="LN139" s="71"/>
      <c r="LO139" s="71"/>
      <c r="LP139" s="71"/>
      <c r="LQ139" s="71"/>
      <c r="LR139" s="71"/>
      <c r="LS139" s="71"/>
      <c r="LT139" s="402"/>
      <c r="LU139" s="402"/>
      <c r="LV139" s="402"/>
      <c r="LW139" s="402"/>
      <c r="LX139" s="402"/>
      <c r="LY139" s="900"/>
      <c r="LZ139" s="900"/>
      <c r="MA139" s="402"/>
      <c r="MB139" s="402"/>
      <c r="MC139" s="402"/>
      <c r="MD139" s="402"/>
      <c r="ME139" s="402"/>
      <c r="MF139" s="402"/>
      <c r="MG139" s="402"/>
      <c r="MH139" s="148"/>
      <c r="MI139" s="904"/>
      <c r="MJ139" s="904"/>
      <c r="MK139" s="904"/>
      <c r="ML139" s="904"/>
      <c r="MM139" s="394"/>
      <c r="MN139" s="394"/>
      <c r="MO139" s="394"/>
      <c r="MP139" s="394"/>
      <c r="MQ139" s="394"/>
      <c r="MR139" s="900"/>
      <c r="MS139" s="394"/>
      <c r="MT139" s="394"/>
      <c r="MU139" s="394"/>
      <c r="MV139" s="394"/>
      <c r="MW139" s="394"/>
      <c r="MX139" s="900"/>
      <c r="MY139" s="394"/>
      <c r="MZ139" s="394"/>
      <c r="NA139" s="684"/>
      <c r="NB139" s="684"/>
      <c r="NC139" s="394"/>
      <c r="ND139" s="394"/>
      <c r="NE139" s="394"/>
      <c r="NF139" s="394"/>
      <c r="NG139" s="394"/>
      <c r="NH139" s="394"/>
      <c r="NI139" s="731"/>
      <c r="NJ139" s="402"/>
      <c r="NK139" s="394"/>
      <c r="NL139" s="394"/>
      <c r="NM139" s="402"/>
      <c r="NN139" s="402"/>
      <c r="NO139" s="402"/>
      <c r="NP139" s="402"/>
      <c r="NQ139" s="402"/>
      <c r="NR139" s="402"/>
      <c r="NS139" s="402"/>
      <c r="NT139" s="402"/>
      <c r="NU139" s="148"/>
      <c r="NV139" s="687"/>
      <c r="NW139" s="687"/>
      <c r="NX139" s="794"/>
      <c r="NY139" s="687"/>
      <c r="NZ139" s="687"/>
      <c r="OA139" s="687"/>
      <c r="OB139" s="687"/>
      <c r="OC139" s="687"/>
      <c r="OD139" s="687"/>
      <c r="OE139" s="794"/>
      <c r="OF139" s="794"/>
      <c r="OG139" s="794"/>
      <c r="OH139" s="794"/>
      <c r="OI139" s="71"/>
      <c r="OJ139" s="71"/>
      <c r="OK139" s="402"/>
      <c r="OL139" s="402"/>
      <c r="OM139" s="402"/>
      <c r="OO139" s="97"/>
      <c r="OP139" s="29"/>
      <c r="OQ139" s="29"/>
      <c r="OR139" s="29"/>
      <c r="OS139" s="71"/>
      <c r="OT139" s="71"/>
      <c r="OU139" s="71"/>
      <c r="OV139" s="71"/>
      <c r="OW139" s="71"/>
      <c r="OX139" s="71"/>
      <c r="OY139" s="71"/>
      <c r="OZ139" s="71"/>
      <c r="PA139" s="71"/>
      <c r="PG139" s="69"/>
      <c r="PH139" s="71"/>
      <c r="PI139" s="507"/>
    </row>
    <row r="140" spans="1:425" ht="15" hidden="1" customHeight="1">
      <c r="A140" s="71"/>
      <c r="B140" s="71"/>
      <c r="C140" s="91"/>
      <c r="D140" s="69"/>
      <c r="E140" s="74"/>
      <c r="F140" s="74"/>
      <c r="I140" s="90"/>
      <c r="J140" s="90"/>
      <c r="K140" s="90"/>
      <c r="L140" s="90"/>
      <c r="M140" s="90"/>
      <c r="N140" s="96"/>
      <c r="O140" s="74"/>
      <c r="P140" s="74"/>
      <c r="R140" s="90"/>
      <c r="S140" s="90"/>
      <c r="T140" s="90"/>
      <c r="U140" s="90"/>
      <c r="V140" s="90"/>
      <c r="W140" s="90"/>
      <c r="X140" s="90"/>
      <c r="Y140" s="69"/>
      <c r="Z140" s="90"/>
      <c r="AA140" s="90"/>
      <c r="AB140" s="90"/>
      <c r="AC140" s="90"/>
      <c r="AH140" s="69"/>
      <c r="AM140" s="90"/>
      <c r="AN140" s="11"/>
      <c r="AQ140" s="680"/>
      <c r="AR140" s="90"/>
      <c r="AS140" s="69"/>
      <c r="AT140" s="90"/>
      <c r="AU140" s="90"/>
      <c r="AV140" s="90"/>
      <c r="AW140" s="90"/>
      <c r="AX140" s="90"/>
      <c r="AY140" s="90"/>
      <c r="AZ140" s="90"/>
      <c r="BA140" s="90"/>
      <c r="BB140" s="90"/>
      <c r="BC140" s="90"/>
      <c r="BD140" s="90"/>
      <c r="BE140" s="90"/>
      <c r="BF140" s="148"/>
      <c r="BG140" s="417"/>
      <c r="BH140" s="71"/>
      <c r="BI140" s="255"/>
      <c r="BJ140" s="71"/>
      <c r="BK140" s="71"/>
      <c r="BL140" s="71"/>
      <c r="BM140" s="255"/>
      <c r="BN140" s="71"/>
      <c r="BO140" s="71"/>
      <c r="BP140" s="148"/>
      <c r="BQ140" s="71"/>
      <c r="BR140" s="71"/>
      <c r="CC140" s="69"/>
      <c r="CD140" s="90"/>
      <c r="CI140" s="148"/>
      <c r="CZ140" s="69"/>
      <c r="DA140" s="90"/>
      <c r="DI140" s="67"/>
      <c r="EG140" s="69"/>
      <c r="ER140" s="69"/>
      <c r="ES140" s="90"/>
      <c r="ET140" s="90"/>
      <c r="EU140" s="90"/>
      <c r="EV140" s="90"/>
      <c r="FQ140" s="677"/>
      <c r="FR140" s="677"/>
      <c r="FS140" s="677"/>
      <c r="FT140" s="677"/>
      <c r="FU140" s="677"/>
      <c r="FV140" s="677"/>
      <c r="FW140" s="69"/>
      <c r="GH140" s="69"/>
      <c r="GU140" s="148"/>
      <c r="GV140" s="71"/>
      <c r="GW140" s="71"/>
      <c r="GX140" s="71"/>
      <c r="GY140" s="71"/>
      <c r="GZ140" s="71"/>
      <c r="HA140" s="71"/>
      <c r="HB140" s="71"/>
      <c r="HC140" s="71"/>
      <c r="HD140" s="71"/>
      <c r="HE140" s="71"/>
      <c r="HF140" s="71"/>
      <c r="HG140" s="71"/>
      <c r="HH140" s="74"/>
      <c r="HI140" s="67"/>
      <c r="HJ140" s="71"/>
      <c r="HK140" s="71"/>
      <c r="HL140" s="71"/>
      <c r="HM140" s="71"/>
      <c r="HN140" s="71"/>
      <c r="HO140" s="71"/>
      <c r="HP140" s="71"/>
      <c r="HQ140" s="71"/>
      <c r="HR140" s="71"/>
      <c r="HS140" s="71"/>
      <c r="HT140" s="71"/>
      <c r="IE140" s="71"/>
      <c r="IF140" s="71"/>
      <c r="IG140" s="71"/>
      <c r="IH140" s="71"/>
      <c r="II140" s="71"/>
      <c r="IJ140" s="71"/>
      <c r="IK140" s="71"/>
      <c r="IL140" s="71"/>
      <c r="IM140" s="71"/>
      <c r="IN140" s="71"/>
      <c r="IO140" s="71"/>
      <c r="IP140" s="71"/>
      <c r="IQ140" s="74"/>
      <c r="IR140" s="69"/>
      <c r="JH140" s="69"/>
      <c r="JI140" s="90"/>
      <c r="JV140" s="71"/>
      <c r="JW140" s="71"/>
      <c r="JX140" s="71"/>
      <c r="JY140" s="71"/>
      <c r="JZ140" s="71"/>
      <c r="KA140" s="71"/>
      <c r="KB140" s="148"/>
      <c r="KC140" s="74"/>
      <c r="KD140" s="74"/>
      <c r="KE140" s="904"/>
      <c r="KF140" s="904"/>
      <c r="KG140" s="71"/>
      <c r="KH140" s="71"/>
      <c r="KI140" s="71"/>
      <c r="KJ140" s="71"/>
      <c r="KK140" s="71"/>
      <c r="KL140" s="71"/>
      <c r="KM140" s="340"/>
      <c r="KN140" s="340"/>
      <c r="KO140" s="71"/>
      <c r="KP140" s="71"/>
      <c r="KQ140" s="71"/>
      <c r="KR140" s="71"/>
      <c r="KS140" s="71"/>
      <c r="KT140" s="340"/>
      <c r="KU140" s="148"/>
      <c r="KV140" s="904"/>
      <c r="KW140" s="71"/>
      <c r="KX140" s="71"/>
      <c r="KY140" s="71"/>
      <c r="KZ140" s="71"/>
      <c r="LA140" s="71"/>
      <c r="LB140" s="71"/>
      <c r="LC140" s="71"/>
      <c r="LD140" s="71"/>
      <c r="LE140" s="71"/>
      <c r="LF140" s="71"/>
      <c r="LG140" s="71"/>
      <c r="LH140" s="71"/>
      <c r="LI140" s="71"/>
      <c r="LJ140" s="71"/>
      <c r="LK140" s="71"/>
      <c r="LL140" s="71"/>
      <c r="LM140" s="71"/>
      <c r="LN140" s="71"/>
      <c r="LO140" s="71"/>
      <c r="LP140" s="71"/>
      <c r="LQ140" s="71"/>
      <c r="LR140" s="71"/>
      <c r="LS140" s="71"/>
      <c r="LT140" s="402"/>
      <c r="LU140" s="402"/>
      <c r="LV140" s="402"/>
      <c r="LW140" s="402"/>
      <c r="LX140" s="402"/>
      <c r="LY140" s="900"/>
      <c r="LZ140" s="900"/>
      <c r="MA140" s="402"/>
      <c r="MB140" s="402"/>
      <c r="MC140" s="402"/>
      <c r="MD140" s="402"/>
      <c r="ME140" s="402"/>
      <c r="MF140" s="402"/>
      <c r="MG140" s="402"/>
      <c r="MH140" s="148"/>
      <c r="MI140" s="904"/>
      <c r="MJ140" s="904"/>
      <c r="MK140" s="904"/>
      <c r="ML140" s="904"/>
      <c r="MM140" s="394"/>
      <c r="MN140" s="394"/>
      <c r="MO140" s="394"/>
      <c r="MP140" s="394"/>
      <c r="MQ140" s="394"/>
      <c r="MR140" s="900"/>
      <c r="MS140" s="394"/>
      <c r="MT140" s="394"/>
      <c r="MU140" s="394"/>
      <c r="MV140" s="394"/>
      <c r="MW140" s="394"/>
      <c r="MX140" s="900"/>
      <c r="MY140" s="394"/>
      <c r="MZ140" s="394"/>
      <c r="NA140" s="684"/>
      <c r="NB140" s="684"/>
      <c r="NC140" s="394"/>
      <c r="ND140" s="394"/>
      <c r="NE140" s="394"/>
      <c r="NF140" s="394"/>
      <c r="NG140" s="394"/>
      <c r="NH140" s="394"/>
      <c r="NI140" s="731"/>
      <c r="NJ140" s="402"/>
      <c r="NK140" s="394"/>
      <c r="NL140" s="394"/>
      <c r="NM140" s="402"/>
      <c r="NN140" s="402"/>
      <c r="NO140" s="402"/>
      <c r="NP140" s="402"/>
      <c r="NQ140" s="402"/>
      <c r="NR140" s="402"/>
      <c r="NS140" s="402"/>
      <c r="NT140" s="402"/>
      <c r="NU140" s="148"/>
      <c r="NV140" s="687"/>
      <c r="NW140" s="687"/>
      <c r="NX140" s="794"/>
      <c r="NY140" s="687"/>
      <c r="NZ140" s="687"/>
      <c r="OA140" s="687"/>
      <c r="OB140" s="687"/>
      <c r="OC140" s="687"/>
      <c r="OD140" s="687"/>
      <c r="OE140" s="794"/>
      <c r="OF140" s="794"/>
      <c r="OG140" s="794"/>
      <c r="OH140" s="794"/>
      <c r="OI140" s="71"/>
      <c r="OJ140" s="71"/>
      <c r="OK140" s="402"/>
      <c r="OL140" s="402"/>
      <c r="OM140" s="402"/>
      <c r="OO140" s="97"/>
      <c r="OP140" s="29"/>
      <c r="OQ140" s="29"/>
      <c r="OR140" s="29"/>
      <c r="OS140" s="71"/>
      <c r="OT140" s="71"/>
      <c r="OU140" s="71"/>
      <c r="OV140" s="71"/>
      <c r="OW140" s="71"/>
      <c r="OX140" s="71"/>
      <c r="OY140" s="71"/>
      <c r="OZ140" s="71"/>
      <c r="PA140" s="71"/>
      <c r="PG140" s="69"/>
      <c r="PH140" s="71"/>
      <c r="PI140" s="507"/>
    </row>
    <row r="141" spans="1:425" ht="15" hidden="1" customHeight="1">
      <c r="A141" s="71"/>
      <c r="B141" s="71"/>
      <c r="C141" s="91"/>
      <c r="D141" s="69"/>
      <c r="E141" s="74"/>
      <c r="F141" s="74"/>
      <c r="I141" s="90"/>
      <c r="J141" s="90"/>
      <c r="K141" s="90"/>
      <c r="L141" s="90"/>
      <c r="M141" s="90"/>
      <c r="N141" s="96"/>
      <c r="O141" s="74"/>
      <c r="P141" s="74"/>
      <c r="R141" s="90"/>
      <c r="S141" s="90"/>
      <c r="T141" s="90"/>
      <c r="U141" s="90"/>
      <c r="V141" s="90"/>
      <c r="W141" s="90"/>
      <c r="X141" s="90"/>
      <c r="Y141" s="69"/>
      <c r="Z141" s="90"/>
      <c r="AA141" s="90"/>
      <c r="AB141" s="90"/>
      <c r="AC141" s="90"/>
      <c r="AH141" s="69"/>
      <c r="AM141" s="90"/>
      <c r="AN141" s="11"/>
      <c r="AQ141" s="680"/>
      <c r="AR141" s="90"/>
      <c r="AS141" s="69"/>
      <c r="AT141" s="90"/>
      <c r="AU141" s="90"/>
      <c r="AV141" s="90"/>
      <c r="AW141" s="90"/>
      <c r="AX141" s="90"/>
      <c r="AY141" s="90"/>
      <c r="AZ141" s="90"/>
      <c r="BA141" s="90"/>
      <c r="BB141" s="90"/>
      <c r="BC141" s="90"/>
      <c r="BD141" s="90"/>
      <c r="BE141" s="90"/>
      <c r="BF141" s="148"/>
      <c r="BG141" s="417"/>
      <c r="BH141" s="71"/>
      <c r="BI141" s="255"/>
      <c r="BJ141" s="71"/>
      <c r="BK141" s="71"/>
      <c r="BL141" s="71"/>
      <c r="BM141" s="255"/>
      <c r="BN141" s="71"/>
      <c r="BO141" s="71"/>
      <c r="BP141" s="148"/>
      <c r="BQ141" s="71"/>
      <c r="BR141" s="71"/>
      <c r="CC141" s="69"/>
      <c r="CD141" s="90"/>
      <c r="CI141" s="148"/>
      <c r="CZ141" s="69"/>
      <c r="DA141" s="90"/>
      <c r="DI141" s="67"/>
      <c r="EG141" s="69"/>
      <c r="ER141" s="69"/>
      <c r="ES141" s="90"/>
      <c r="ET141" s="90"/>
      <c r="EU141" s="90"/>
      <c r="EV141" s="90"/>
      <c r="FQ141" s="677"/>
      <c r="FR141" s="677"/>
      <c r="FS141" s="677"/>
      <c r="FT141" s="677"/>
      <c r="FU141" s="677"/>
      <c r="FV141" s="677"/>
      <c r="FW141" s="69"/>
      <c r="GH141" s="69"/>
      <c r="GU141" s="148"/>
      <c r="GV141" s="71"/>
      <c r="GW141" s="71"/>
      <c r="GX141" s="71"/>
      <c r="GY141" s="71"/>
      <c r="GZ141" s="71"/>
      <c r="HA141" s="71"/>
      <c r="HB141" s="71"/>
      <c r="HC141" s="71"/>
      <c r="HD141" s="71"/>
      <c r="HE141" s="71"/>
      <c r="HF141" s="71"/>
      <c r="HG141" s="71"/>
      <c r="HH141" s="74"/>
      <c r="HI141" s="67"/>
      <c r="HJ141" s="71"/>
      <c r="HK141" s="71"/>
      <c r="HL141" s="71"/>
      <c r="HM141" s="71"/>
      <c r="HN141" s="71"/>
      <c r="HO141" s="71"/>
      <c r="HP141" s="71"/>
      <c r="HQ141" s="71"/>
      <c r="HR141" s="71"/>
      <c r="HS141" s="71"/>
      <c r="HT141" s="71"/>
      <c r="IE141" s="71"/>
      <c r="IF141" s="71"/>
      <c r="IG141" s="71"/>
      <c r="IH141" s="71"/>
      <c r="II141" s="71"/>
      <c r="IJ141" s="71"/>
      <c r="IK141" s="71"/>
      <c r="IL141" s="71"/>
      <c r="IM141" s="71"/>
      <c r="IN141" s="71"/>
      <c r="IO141" s="71"/>
      <c r="IP141" s="71"/>
      <c r="IQ141" s="74"/>
      <c r="IR141" s="69"/>
      <c r="JH141" s="69"/>
      <c r="JI141" s="90"/>
      <c r="JV141" s="71"/>
      <c r="JW141" s="71"/>
      <c r="JX141" s="71"/>
      <c r="JY141" s="71"/>
      <c r="JZ141" s="71"/>
      <c r="KA141" s="71"/>
      <c r="KB141" s="148"/>
      <c r="KC141" s="74"/>
      <c r="KD141" s="74"/>
      <c r="KE141" s="904"/>
      <c r="KF141" s="904"/>
      <c r="KG141" s="71"/>
      <c r="KH141" s="71"/>
      <c r="KI141" s="71"/>
      <c r="KJ141" s="71"/>
      <c r="KK141" s="71"/>
      <c r="KL141" s="71"/>
      <c r="KM141" s="340"/>
      <c r="KN141" s="340"/>
      <c r="KO141" s="71"/>
      <c r="KP141" s="71"/>
      <c r="KQ141" s="71"/>
      <c r="KR141" s="71"/>
      <c r="KS141" s="71"/>
      <c r="KT141" s="340"/>
      <c r="KU141" s="148"/>
      <c r="KV141" s="904"/>
      <c r="KW141" s="71"/>
      <c r="KX141" s="71"/>
      <c r="KY141" s="71"/>
      <c r="KZ141" s="71"/>
      <c r="LA141" s="71"/>
      <c r="LB141" s="71"/>
      <c r="LC141" s="71"/>
      <c r="LD141" s="71"/>
      <c r="LE141" s="71"/>
      <c r="LF141" s="71"/>
      <c r="LG141" s="71"/>
      <c r="LH141" s="71"/>
      <c r="LI141" s="71"/>
      <c r="LJ141" s="71"/>
      <c r="LK141" s="71"/>
      <c r="LL141" s="71"/>
      <c r="LM141" s="71"/>
      <c r="LN141" s="71"/>
      <c r="LO141" s="71"/>
      <c r="LP141" s="71"/>
      <c r="LQ141" s="71"/>
      <c r="LR141" s="71"/>
      <c r="LS141" s="71"/>
      <c r="LT141" s="402"/>
      <c r="LU141" s="402"/>
      <c r="LV141" s="402"/>
      <c r="LW141" s="402"/>
      <c r="LX141" s="402"/>
      <c r="LY141" s="900"/>
      <c r="LZ141" s="900"/>
      <c r="MA141" s="402"/>
      <c r="MB141" s="402"/>
      <c r="MC141" s="402"/>
      <c r="MD141" s="402"/>
      <c r="ME141" s="402"/>
      <c r="MF141" s="402"/>
      <c r="MG141" s="402"/>
      <c r="MH141" s="148"/>
      <c r="MI141" s="904"/>
      <c r="MJ141" s="904"/>
      <c r="MK141" s="904"/>
      <c r="ML141" s="904"/>
      <c r="MM141" s="394"/>
      <c r="MN141" s="394"/>
      <c r="MO141" s="394"/>
      <c r="MP141" s="394"/>
      <c r="MQ141" s="394"/>
      <c r="MR141" s="900"/>
      <c r="MS141" s="394"/>
      <c r="MT141" s="394"/>
      <c r="MU141" s="394"/>
      <c r="MV141" s="394"/>
      <c r="MW141" s="394"/>
      <c r="MX141" s="900"/>
      <c r="MY141" s="394"/>
      <c r="MZ141" s="394"/>
      <c r="NA141" s="684"/>
      <c r="NB141" s="684"/>
      <c r="NC141" s="394"/>
      <c r="ND141" s="394"/>
      <c r="NE141" s="394"/>
      <c r="NF141" s="394"/>
      <c r="NG141" s="394"/>
      <c r="NH141" s="394"/>
      <c r="NI141" s="731"/>
      <c r="NJ141" s="402"/>
      <c r="NK141" s="394"/>
      <c r="NL141" s="394"/>
      <c r="NM141" s="402"/>
      <c r="NN141" s="402"/>
      <c r="NO141" s="402"/>
      <c r="NP141" s="402"/>
      <c r="NQ141" s="402"/>
      <c r="NR141" s="402"/>
      <c r="NS141" s="402"/>
      <c r="NT141" s="402"/>
      <c r="NU141" s="148"/>
      <c r="NV141" s="687"/>
      <c r="NW141" s="687"/>
      <c r="NX141" s="794"/>
      <c r="NY141" s="687"/>
      <c r="NZ141" s="687"/>
      <c r="OA141" s="687"/>
      <c r="OB141" s="687"/>
      <c r="OC141" s="687"/>
      <c r="OD141" s="687"/>
      <c r="OE141" s="794"/>
      <c r="OF141" s="794"/>
      <c r="OG141" s="794"/>
      <c r="OH141" s="794"/>
      <c r="OI141" s="71"/>
      <c r="OJ141" s="71"/>
      <c r="OK141" s="402"/>
      <c r="OL141" s="402"/>
      <c r="OM141" s="402"/>
      <c r="OO141" s="97"/>
      <c r="OP141" s="29"/>
      <c r="OQ141" s="29"/>
      <c r="OR141" s="29"/>
      <c r="OS141" s="71"/>
      <c r="OT141" s="71"/>
      <c r="OU141" s="71"/>
      <c r="OV141" s="71"/>
      <c r="OW141" s="71"/>
      <c r="OX141" s="71"/>
      <c r="OY141" s="71"/>
      <c r="OZ141" s="71"/>
      <c r="PA141" s="71"/>
      <c r="PG141" s="69"/>
      <c r="PH141" s="71"/>
      <c r="PI141" s="507"/>
    </row>
    <row r="142" spans="1:425">
      <c r="A142" s="71">
        <v>1960</v>
      </c>
      <c r="B142" s="71" t="s">
        <v>720</v>
      </c>
      <c r="C142" s="91"/>
      <c r="D142" s="69"/>
      <c r="E142" s="93">
        <f>AVERAGE(E52:E61)</f>
        <v>0.12220571165697844</v>
      </c>
      <c r="F142" s="93"/>
      <c r="I142" s="90"/>
      <c r="J142" s="90"/>
      <c r="K142" s="90"/>
      <c r="L142" s="90"/>
      <c r="M142" s="90"/>
      <c r="N142" s="94">
        <f>AVERAGE(N52:N61)</f>
        <v>6.8577669634618019E-2</v>
      </c>
      <c r="O142" s="93"/>
      <c r="P142" s="93"/>
      <c r="R142" s="90"/>
      <c r="S142" s="90"/>
      <c r="T142" s="90"/>
      <c r="U142" s="90"/>
      <c r="V142" s="90"/>
      <c r="W142" s="90"/>
      <c r="X142" s="90"/>
      <c r="Y142" s="69"/>
      <c r="Z142" s="90"/>
      <c r="AA142" s="90"/>
      <c r="AB142" s="90"/>
      <c r="AC142" s="90"/>
      <c r="AH142" s="69" t="s">
        <v>853</v>
      </c>
      <c r="AJ142" s="159">
        <f>AK142*AJ122</f>
        <v>469.50400000000002</v>
      </c>
      <c r="AK142" s="240">
        <v>2.8000000000000001E-2</v>
      </c>
      <c r="AL142" s="68" t="s">
        <v>846</v>
      </c>
      <c r="AM142" s="90"/>
      <c r="AN142" s="11"/>
      <c r="AQ142" s="93">
        <f>AVERAGE(AQ52:AQ61)</f>
        <v>7.6096654666680807E-2</v>
      </c>
      <c r="AR142" s="90"/>
      <c r="AS142" s="69"/>
      <c r="AT142" s="90"/>
      <c r="AU142" s="90"/>
      <c r="AV142" s="90"/>
      <c r="AW142" s="90"/>
      <c r="AX142" s="90"/>
      <c r="AY142" s="90"/>
      <c r="AZ142" s="90"/>
      <c r="BA142" s="90"/>
      <c r="BB142" s="90"/>
      <c r="BC142" s="90"/>
      <c r="BD142" s="90"/>
      <c r="BE142" s="90"/>
      <c r="BF142" s="147">
        <f>AVERAGE(BF52:BF61)</f>
        <v>0.50760000000000005</v>
      </c>
      <c r="BG142" s="93"/>
      <c r="BH142" s="101">
        <f>AVERAGE(BH52:BH61)</f>
        <v>0.36030626024539758</v>
      </c>
      <c r="BI142" s="254">
        <f>AVERAGE(BI52:BI61)</f>
        <v>0.36030626024539758</v>
      </c>
      <c r="BJ142" s="101">
        <f>AVERAGE(BJ52:BJ61)</f>
        <v>0.33905691635880453</v>
      </c>
      <c r="BK142" s="101">
        <f>AVERAGE(BK52:BK61)</f>
        <v>0.37946945808241866</v>
      </c>
      <c r="BL142" s="101"/>
      <c r="BM142" s="254">
        <f>AVERAGE(BM52:BM61)</f>
        <v>0.38178165907966832</v>
      </c>
      <c r="BN142" s="101">
        <f>AVERAGE(BN52:BN61)</f>
        <v>0.43643129515060597</v>
      </c>
      <c r="BO142" s="101">
        <f>AVERAGE(BO52:BO61)</f>
        <v>0.40969600728172251</v>
      </c>
      <c r="BP142" s="147"/>
      <c r="BQ142" s="101"/>
      <c r="BR142" s="101"/>
      <c r="BS142" s="240"/>
      <c r="CC142" s="69"/>
      <c r="CD142" s="90"/>
      <c r="CH142" s="94">
        <f>AVERAGE(CH52:CH62)</f>
        <v>0.93509907858480368</v>
      </c>
      <c r="CI142" s="727">
        <f>CH142*N142</f>
        <v>6.4126915686824382E-2</v>
      </c>
      <c r="CZ142" s="69"/>
      <c r="DA142" s="90"/>
      <c r="DI142" s="67"/>
      <c r="EG142" s="69"/>
      <c r="ER142" s="69"/>
      <c r="ES142" s="90"/>
      <c r="ET142" s="90"/>
      <c r="EU142" s="90"/>
      <c r="EV142" s="90"/>
      <c r="FQ142" s="681">
        <f>AVERAGE(FQ52:FQ61)</f>
        <v>5.1693600644848649E-3</v>
      </c>
      <c r="FR142" s="681">
        <f>AVERAGE(FR52:FR61)</f>
        <v>6.3408309570133159E-2</v>
      </c>
      <c r="FS142" s="681">
        <f>AVERAGE(FS52:FS61)</f>
        <v>6.2814891554921774E-4</v>
      </c>
      <c r="FT142" s="681"/>
      <c r="FU142" s="681"/>
      <c r="FV142" s="681">
        <f>AVERAGE(FV52:FV61)</f>
        <v>7.7120716649941041E-3</v>
      </c>
      <c r="FW142" s="69"/>
      <c r="GH142" s="69"/>
      <c r="GU142" s="148"/>
      <c r="GV142" s="71"/>
      <c r="GW142" s="71"/>
      <c r="GX142" s="71"/>
      <c r="GY142" s="71"/>
      <c r="GZ142" s="71"/>
      <c r="HA142" s="71"/>
      <c r="HB142" s="71"/>
      <c r="HC142" s="71"/>
      <c r="HD142" s="71"/>
      <c r="HE142" s="71"/>
      <c r="HF142" s="71"/>
      <c r="HG142" s="71"/>
      <c r="HH142" s="74"/>
      <c r="HI142" s="67"/>
      <c r="HJ142" s="71"/>
      <c r="HK142" s="71"/>
      <c r="HL142" s="71"/>
      <c r="HM142" s="71"/>
      <c r="HN142" s="71"/>
      <c r="HO142" s="71"/>
      <c r="HP142" s="71"/>
      <c r="HQ142" s="71"/>
      <c r="HR142" s="71"/>
      <c r="HS142" s="71"/>
      <c r="HT142" s="71"/>
      <c r="IE142" s="71"/>
      <c r="IF142" s="71"/>
      <c r="IG142" s="71"/>
      <c r="IH142" s="71"/>
      <c r="II142" s="71"/>
      <c r="IJ142" s="71"/>
      <c r="IK142" s="71"/>
      <c r="IL142" s="71"/>
      <c r="IM142" s="71"/>
      <c r="IN142" s="71"/>
      <c r="IO142" s="71"/>
      <c r="IP142" s="71"/>
      <c r="IQ142" s="74"/>
      <c r="IR142" s="69"/>
      <c r="JH142" s="69"/>
      <c r="JI142" s="90"/>
      <c r="JV142" s="71"/>
      <c r="JW142" s="71"/>
      <c r="JX142" s="71"/>
      <c r="JY142" s="71"/>
      <c r="JZ142" s="71"/>
      <c r="KA142" s="71"/>
      <c r="KB142" s="148"/>
      <c r="KC142" s="74"/>
      <c r="KI142" s="340"/>
      <c r="KJ142" s="340"/>
      <c r="KK142" s="340"/>
      <c r="KL142" s="71"/>
      <c r="KM142" s="382" t="s">
        <v>2305</v>
      </c>
      <c r="KN142" s="340"/>
      <c r="KO142" s="71"/>
      <c r="KP142" s="71"/>
      <c r="KQ142" s="71"/>
      <c r="KR142" s="71"/>
      <c r="KS142" s="71"/>
      <c r="KT142" s="340"/>
      <c r="KU142" s="148"/>
      <c r="KV142" s="904"/>
      <c r="KW142" s="71"/>
      <c r="KX142" s="71"/>
      <c r="KY142" s="71"/>
      <c r="KZ142" s="71"/>
      <c r="LA142" s="71"/>
      <c r="LB142" s="71"/>
      <c r="LC142" s="71"/>
      <c r="LD142" s="71"/>
      <c r="LE142" s="71"/>
      <c r="LF142" s="71"/>
      <c r="LG142" s="71"/>
      <c r="LH142" s="71"/>
      <c r="LI142" s="71"/>
      <c r="LJ142" s="71"/>
      <c r="LK142" s="71"/>
      <c r="LL142" s="71"/>
      <c r="LM142" s="71"/>
      <c r="LN142" s="71"/>
      <c r="LO142" s="71"/>
      <c r="LP142" s="71"/>
      <c r="LQ142" s="71"/>
      <c r="LR142" s="71"/>
      <c r="LS142" s="71"/>
      <c r="LT142" s="402"/>
      <c r="LU142" s="402"/>
      <c r="LV142" s="402"/>
      <c r="LW142" s="402"/>
      <c r="LX142" s="402"/>
      <c r="LY142" s="900"/>
      <c r="LZ142" s="900"/>
      <c r="MA142" s="402"/>
      <c r="MB142" s="402"/>
      <c r="MC142" s="402"/>
      <c r="MD142" s="402"/>
      <c r="ME142" s="402"/>
      <c r="MF142" s="402"/>
      <c r="MG142" s="402"/>
      <c r="MH142" s="148"/>
      <c r="MI142" s="904"/>
      <c r="MJ142" s="904"/>
      <c r="MK142" s="904"/>
      <c r="ML142" s="904"/>
      <c r="MM142" s="394"/>
      <c r="MN142" s="394"/>
      <c r="MO142" s="394"/>
      <c r="MP142" s="394"/>
      <c r="MQ142" s="394"/>
      <c r="MR142" s="900"/>
      <c r="MS142" s="394"/>
      <c r="MT142" s="394"/>
      <c r="MU142" s="394"/>
      <c r="MV142" s="394"/>
      <c r="MW142" s="394"/>
      <c r="MX142" s="900"/>
      <c r="MY142" s="394"/>
      <c r="MZ142" s="394"/>
      <c r="NA142" s="684"/>
      <c r="NB142" s="684"/>
      <c r="NC142" s="394"/>
      <c r="ND142" s="394"/>
      <c r="NE142" s="394"/>
      <c r="NF142" s="394"/>
      <c r="NG142" s="394"/>
      <c r="NH142" s="394"/>
      <c r="NI142" s="731"/>
      <c r="NJ142" s="402"/>
      <c r="NK142" s="394"/>
      <c r="NL142" s="394"/>
      <c r="NM142" s="402"/>
      <c r="NN142" s="402"/>
      <c r="NO142" s="402"/>
      <c r="NP142" s="402"/>
      <c r="NQ142" s="402"/>
      <c r="NR142" s="402"/>
      <c r="NS142" s="402"/>
      <c r="NT142" s="402"/>
      <c r="NU142" s="147" t="e">
        <f>AVERAGE(NU52:NU61)</f>
        <v>#DIV/0!</v>
      </c>
      <c r="NV142" s="93">
        <f>AVERAGE(NV52:NV61)</f>
        <v>9.4283656113510944E-2</v>
      </c>
      <c r="NW142" s="93">
        <f>AVERAGE(NW52:NW61)</f>
        <v>0.11255840503393123</v>
      </c>
      <c r="NX142" s="93"/>
      <c r="NY142" s="93" t="e">
        <f>AVERAGE(NY52:NY61)</f>
        <v>#DIV/0!</v>
      </c>
      <c r="NZ142" s="93">
        <f>AVERAGE(NZ52:NZ61)</f>
        <v>9.590366278330871E-2</v>
      </c>
      <c r="OA142" s="687"/>
      <c r="OB142" s="687"/>
      <c r="OC142" s="687"/>
      <c r="OD142" s="687"/>
      <c r="OE142" s="794"/>
      <c r="OF142" s="794"/>
      <c r="OG142" s="794"/>
      <c r="OH142" s="794"/>
      <c r="OI142" s="71"/>
      <c r="OJ142" s="71"/>
      <c r="OK142" s="402"/>
      <c r="OL142" s="402"/>
      <c r="OM142" s="402"/>
      <c r="OO142" s="186"/>
      <c r="OP142" s="30"/>
      <c r="OQ142" s="30"/>
      <c r="OR142" s="30"/>
      <c r="OS142" s="22"/>
      <c r="OT142" s="22"/>
      <c r="OU142" s="22"/>
      <c r="OV142" s="22"/>
      <c r="OW142" s="22"/>
      <c r="OX142" s="22"/>
      <c r="OY142" s="22"/>
      <c r="OZ142" s="463" t="s">
        <v>2339</v>
      </c>
      <c r="PA142" s="22"/>
      <c r="PG142" s="69"/>
      <c r="PH142" s="71"/>
      <c r="PI142" s="507"/>
    </row>
    <row r="143" spans="1:425" ht="15" hidden="1" customHeight="1">
      <c r="A143" s="71"/>
      <c r="B143" s="71"/>
      <c r="C143" s="91"/>
      <c r="D143" s="69"/>
      <c r="E143" s="74"/>
      <c r="F143" s="74"/>
      <c r="I143" s="90"/>
      <c r="J143" s="90"/>
      <c r="K143" s="90"/>
      <c r="L143" s="90"/>
      <c r="M143" s="90"/>
      <c r="N143" s="96"/>
      <c r="O143" s="74"/>
      <c r="P143" s="74"/>
      <c r="R143" s="90"/>
      <c r="S143" s="90"/>
      <c r="T143" s="90"/>
      <c r="U143" s="90"/>
      <c r="V143" s="90"/>
      <c r="W143" s="90"/>
      <c r="X143" s="90"/>
      <c r="Y143" s="69"/>
      <c r="Z143" s="90"/>
      <c r="AA143" s="90"/>
      <c r="AB143" s="90"/>
      <c r="AC143" s="90"/>
      <c r="AH143" s="69"/>
      <c r="AM143" s="90"/>
      <c r="AN143" s="11"/>
      <c r="AQ143" s="680"/>
      <c r="AR143" s="90"/>
      <c r="AS143" s="69"/>
      <c r="AT143" s="90"/>
      <c r="AU143" s="90"/>
      <c r="AV143" s="90"/>
      <c r="AW143" s="90"/>
      <c r="AX143" s="90"/>
      <c r="AY143" s="90"/>
      <c r="AZ143" s="90"/>
      <c r="BA143" s="90"/>
      <c r="BB143" s="90"/>
      <c r="BC143" s="90"/>
      <c r="BD143" s="90"/>
      <c r="BE143" s="90"/>
      <c r="BF143" s="148"/>
      <c r="BG143" s="417"/>
      <c r="BH143" s="71"/>
      <c r="BI143" s="255"/>
      <c r="BJ143" s="71"/>
      <c r="BK143" s="71"/>
      <c r="BL143" s="71"/>
      <c r="BM143" s="255"/>
      <c r="BN143" s="71"/>
      <c r="BO143" s="71"/>
      <c r="BP143" s="148"/>
      <c r="BQ143" s="71"/>
      <c r="BR143" s="71"/>
      <c r="CC143" s="69"/>
      <c r="CD143" s="90"/>
      <c r="CI143" s="148"/>
      <c r="CZ143" s="69"/>
      <c r="DA143" s="90"/>
      <c r="DI143" s="69"/>
      <c r="EG143" s="69"/>
      <c r="ER143" s="69"/>
      <c r="ES143" s="90"/>
      <c r="ET143" s="90"/>
      <c r="EU143" s="90"/>
      <c r="EV143" s="90"/>
      <c r="FQ143" s="677"/>
      <c r="FR143" s="677"/>
      <c r="FS143" s="677"/>
      <c r="FT143" s="677"/>
      <c r="FU143" s="677"/>
      <c r="FV143" s="677"/>
      <c r="FW143" s="69"/>
      <c r="GH143" s="69"/>
      <c r="GU143" s="148"/>
      <c r="GV143" s="71"/>
      <c r="GW143" s="71"/>
      <c r="GX143" s="71"/>
      <c r="GY143" s="71"/>
      <c r="GZ143" s="71"/>
      <c r="HA143" s="71"/>
      <c r="HB143" s="71"/>
      <c r="HC143" s="71"/>
      <c r="HD143" s="71"/>
      <c r="HE143" s="71"/>
      <c r="HF143" s="71"/>
      <c r="HG143" s="71"/>
      <c r="HH143" s="74"/>
      <c r="HI143" s="67"/>
      <c r="HJ143" s="71"/>
      <c r="HK143" s="71"/>
      <c r="HL143" s="71"/>
      <c r="HM143" s="71"/>
      <c r="HN143" s="71"/>
      <c r="HO143" s="71"/>
      <c r="HP143" s="71"/>
      <c r="HQ143" s="71"/>
      <c r="HR143" s="71"/>
      <c r="HS143" s="71"/>
      <c r="IE143" s="71"/>
      <c r="IF143" s="71"/>
      <c r="IG143" s="71"/>
      <c r="IH143" s="71"/>
      <c r="II143" s="71"/>
      <c r="IJ143" s="71"/>
      <c r="IK143" s="71"/>
      <c r="IL143" s="71"/>
      <c r="IM143" s="71"/>
      <c r="IN143" s="71"/>
      <c r="IO143" s="71"/>
      <c r="IP143" s="71"/>
      <c r="IQ143" s="74"/>
      <c r="IR143" s="69"/>
      <c r="JH143" s="69"/>
      <c r="JI143" s="90"/>
      <c r="JV143" s="71"/>
      <c r="JW143" s="71"/>
      <c r="JX143" s="71"/>
      <c r="JY143" s="71"/>
      <c r="JZ143" s="71"/>
      <c r="KA143" s="71"/>
      <c r="KB143" s="148"/>
      <c r="KC143" s="74"/>
      <c r="KI143" s="71"/>
      <c r="KJ143" s="71"/>
      <c r="KK143" s="71"/>
      <c r="KL143" s="71"/>
      <c r="KM143" s="340"/>
      <c r="KN143" s="340"/>
      <c r="KO143" s="71"/>
      <c r="KP143" s="71"/>
      <c r="KQ143" s="71"/>
      <c r="KR143" s="71"/>
      <c r="KS143" s="71"/>
      <c r="KT143" s="340"/>
      <c r="KU143" s="148"/>
      <c r="KV143" s="904"/>
      <c r="KW143" s="71"/>
      <c r="KX143" s="71"/>
      <c r="KY143" s="71"/>
      <c r="KZ143" s="71"/>
      <c r="LA143" s="71"/>
      <c r="LB143" s="71"/>
      <c r="LC143" s="71"/>
      <c r="LD143" s="71"/>
      <c r="LE143" s="71"/>
      <c r="LF143" s="71"/>
      <c r="LG143" s="71"/>
      <c r="LH143" s="71"/>
      <c r="LI143" s="71"/>
      <c r="LJ143" s="71"/>
      <c r="LK143" s="71"/>
      <c r="LL143" s="71"/>
      <c r="LM143" s="71"/>
      <c r="LN143" s="71"/>
      <c r="LO143" s="71"/>
      <c r="LP143" s="71"/>
      <c r="LQ143" s="71"/>
      <c r="LR143" s="71"/>
      <c r="LS143" s="71"/>
      <c r="LT143" s="402"/>
      <c r="LU143" s="402"/>
      <c r="LV143" s="402"/>
      <c r="LW143" s="402"/>
      <c r="LX143" s="402"/>
      <c r="LY143" s="900"/>
      <c r="LZ143" s="900"/>
      <c r="MA143" s="402"/>
      <c r="MB143" s="402"/>
      <c r="MC143" s="402"/>
      <c r="MD143" s="402"/>
      <c r="ME143" s="402"/>
      <c r="MF143" s="402"/>
      <c r="MG143" s="402"/>
      <c r="MH143" s="148"/>
      <c r="MI143" s="904"/>
      <c r="MJ143" s="904"/>
      <c r="MK143" s="904"/>
      <c r="ML143" s="904"/>
      <c r="MM143" s="394"/>
      <c r="MN143" s="394"/>
      <c r="MO143" s="394"/>
      <c r="MP143" s="394"/>
      <c r="MQ143" s="394"/>
      <c r="MR143" s="900"/>
      <c r="MS143" s="394"/>
      <c r="MT143" s="394"/>
      <c r="MU143" s="394"/>
      <c r="MV143" s="394"/>
      <c r="MW143" s="394"/>
      <c r="MX143" s="900"/>
      <c r="MY143" s="394"/>
      <c r="MZ143" s="394"/>
      <c r="NA143" s="684"/>
      <c r="NB143" s="684"/>
      <c r="NC143" s="394"/>
      <c r="ND143" s="394"/>
      <c r="NE143" s="394"/>
      <c r="NF143" s="394"/>
      <c r="NG143" s="394"/>
      <c r="NH143" s="394"/>
      <c r="NI143" s="731"/>
      <c r="NJ143" s="402"/>
      <c r="NK143" s="394"/>
      <c r="NL143" s="394"/>
      <c r="NM143" s="402"/>
      <c r="NN143" s="402"/>
      <c r="NO143" s="402"/>
      <c r="NP143" s="402"/>
      <c r="NQ143" s="402"/>
      <c r="NR143" s="402"/>
      <c r="NS143" s="402"/>
      <c r="NT143" s="402"/>
      <c r="NU143" s="148"/>
      <c r="NV143" s="687"/>
      <c r="NW143" s="687"/>
      <c r="NX143" s="794"/>
      <c r="NY143" s="687"/>
      <c r="NZ143" s="687"/>
      <c r="OA143" s="687"/>
      <c r="OB143" s="687"/>
      <c r="OC143" s="687"/>
      <c r="OD143" s="687"/>
      <c r="OE143" s="794"/>
      <c r="OF143" s="794"/>
      <c r="OG143" s="794"/>
      <c r="OH143" s="794"/>
      <c r="OI143" s="71"/>
      <c r="OJ143" s="71"/>
      <c r="OK143" s="402"/>
      <c r="OL143" s="402"/>
      <c r="OM143" s="402"/>
      <c r="OO143" s="186"/>
      <c r="OP143" s="30"/>
      <c r="OQ143" s="30"/>
      <c r="OR143" s="30"/>
      <c r="OS143" s="22"/>
      <c r="OT143" s="22"/>
      <c r="OU143" s="22"/>
      <c r="OV143" s="22"/>
      <c r="OW143" s="22"/>
      <c r="OX143" s="22"/>
      <c r="OY143" s="22"/>
      <c r="OZ143" s="22"/>
      <c r="PA143" s="22"/>
      <c r="PG143" s="69"/>
      <c r="PH143" s="71"/>
      <c r="PI143" s="507"/>
    </row>
    <row r="144" spans="1:425" hidden="1">
      <c r="A144" s="71"/>
      <c r="B144" s="71"/>
      <c r="C144" s="91"/>
      <c r="D144" s="69"/>
      <c r="E144" s="74"/>
      <c r="F144" s="74"/>
      <c r="I144" s="90"/>
      <c r="J144" s="90"/>
      <c r="K144" s="90"/>
      <c r="L144" s="90"/>
      <c r="M144" s="90"/>
      <c r="N144" s="96"/>
      <c r="O144" s="74"/>
      <c r="P144" s="74"/>
      <c r="R144" s="90"/>
      <c r="S144" s="90"/>
      <c r="T144" s="90"/>
      <c r="U144" s="90"/>
      <c r="V144" s="90"/>
      <c r="W144" s="90"/>
      <c r="X144" s="90"/>
      <c r="Y144" s="69"/>
      <c r="Z144" s="90"/>
      <c r="AA144" s="90"/>
      <c r="AB144" s="90"/>
      <c r="AC144" s="90"/>
      <c r="AH144" s="69"/>
      <c r="AM144" s="90"/>
      <c r="AN144" s="11"/>
      <c r="AQ144" s="680"/>
      <c r="AR144" s="90"/>
      <c r="AS144" s="69"/>
      <c r="AT144" s="90"/>
      <c r="AU144" s="90"/>
      <c r="AV144" s="90"/>
      <c r="AW144" s="90"/>
      <c r="AX144" s="90"/>
      <c r="AY144" s="90"/>
      <c r="AZ144" s="90"/>
      <c r="BA144" s="90"/>
      <c r="BB144" s="90"/>
      <c r="BC144" s="90"/>
      <c r="BD144" s="90"/>
      <c r="BE144" s="90"/>
      <c r="BF144" s="148"/>
      <c r="BG144" s="417"/>
      <c r="BH144" s="71"/>
      <c r="BI144" s="255"/>
      <c r="BJ144" s="71"/>
      <c r="BK144" s="71"/>
      <c r="BL144" s="71"/>
      <c r="BM144" s="255"/>
      <c r="BN144" s="71"/>
      <c r="BO144" s="71"/>
      <c r="BP144" s="148"/>
      <c r="BQ144" s="71"/>
      <c r="BR144" s="71"/>
      <c r="CC144" s="69"/>
      <c r="CD144" s="90"/>
      <c r="CI144" s="148"/>
      <c r="CZ144" s="69"/>
      <c r="DA144" s="90"/>
      <c r="DI144" s="69"/>
      <c r="EG144" s="69"/>
      <c r="ER144" s="69"/>
      <c r="ES144" s="90"/>
      <c r="ET144" s="90"/>
      <c r="EU144" s="90"/>
      <c r="EV144" s="90"/>
      <c r="FQ144" s="677"/>
      <c r="FR144" s="677"/>
      <c r="FS144" s="677"/>
      <c r="FT144" s="677"/>
      <c r="FU144" s="677"/>
      <c r="FV144" s="677"/>
      <c r="FW144" s="69"/>
      <c r="GH144" s="69"/>
      <c r="GU144" s="148"/>
      <c r="GV144" s="71"/>
      <c r="GW144" s="71"/>
      <c r="GX144" s="71"/>
      <c r="GY144" s="71"/>
      <c r="GZ144" s="71"/>
      <c r="HA144" s="71"/>
      <c r="HB144" s="71"/>
      <c r="HC144" s="71"/>
      <c r="HD144" s="71"/>
      <c r="HE144" s="71"/>
      <c r="HF144" s="71"/>
      <c r="HG144" s="71"/>
      <c r="HH144" s="74"/>
      <c r="HI144" s="67"/>
      <c r="HJ144" s="71"/>
      <c r="HK144" s="71"/>
      <c r="HL144" s="71"/>
      <c r="HM144" s="71"/>
      <c r="HN144" s="71"/>
      <c r="HO144" s="71"/>
      <c r="HP144" s="71"/>
      <c r="HQ144" s="71"/>
      <c r="HR144" s="71"/>
      <c r="HS144" s="71"/>
      <c r="IE144" s="71"/>
      <c r="IF144" s="71"/>
      <c r="IG144" s="71"/>
      <c r="IH144" s="71"/>
      <c r="II144" s="71"/>
      <c r="IJ144" s="71"/>
      <c r="IK144" s="71"/>
      <c r="IL144" s="71"/>
      <c r="IM144" s="71"/>
      <c r="IN144" s="71"/>
      <c r="IO144" s="71"/>
      <c r="IP144" s="71"/>
      <c r="IQ144" s="74"/>
      <c r="IR144" s="69"/>
      <c r="JH144" s="69"/>
      <c r="JI144" s="90"/>
      <c r="JV144" s="71"/>
      <c r="JW144" s="71"/>
      <c r="JX144" s="71"/>
      <c r="JY144" s="71"/>
      <c r="JZ144" s="71"/>
      <c r="KA144" s="71"/>
      <c r="KB144" s="148"/>
      <c r="KC144" s="74"/>
      <c r="KI144" s="71"/>
      <c r="KJ144" s="71"/>
      <c r="KK144" s="71"/>
      <c r="KL144" s="71"/>
      <c r="KM144" s="340"/>
      <c r="KN144" s="340"/>
      <c r="KO144" s="71"/>
      <c r="KP144" s="71"/>
      <c r="KQ144" s="71"/>
      <c r="KR144" s="71"/>
      <c r="KS144" s="71"/>
      <c r="KT144" s="340"/>
      <c r="KU144" s="148"/>
      <c r="KV144" s="904"/>
      <c r="KW144" s="71"/>
      <c r="KX144" s="71"/>
      <c r="KY144" s="71"/>
      <c r="KZ144" s="71"/>
      <c r="LA144" s="71"/>
      <c r="LB144" s="71"/>
      <c r="LC144" s="71"/>
      <c r="LD144" s="71"/>
      <c r="LE144" s="71"/>
      <c r="LF144" s="71"/>
      <c r="LG144" s="71"/>
      <c r="LH144" s="71"/>
      <c r="LI144" s="71"/>
      <c r="LJ144" s="71"/>
      <c r="LK144" s="71"/>
      <c r="LL144" s="71"/>
      <c r="LM144" s="71"/>
      <c r="LN144" s="71"/>
      <c r="LO144" s="71"/>
      <c r="LP144" s="71"/>
      <c r="LQ144" s="71"/>
      <c r="LR144" s="71"/>
      <c r="LS144" s="71"/>
      <c r="LT144" s="402"/>
      <c r="LU144" s="402"/>
      <c r="LV144" s="402"/>
      <c r="LW144" s="402"/>
      <c r="LX144" s="402"/>
      <c r="LY144" s="900"/>
      <c r="LZ144" s="900"/>
      <c r="MA144" s="402"/>
      <c r="MB144" s="402"/>
      <c r="MC144" s="402"/>
      <c r="MD144" s="402"/>
      <c r="ME144" s="402"/>
      <c r="MF144" s="402"/>
      <c r="MG144" s="402"/>
      <c r="MH144" s="148"/>
      <c r="MI144" s="904"/>
      <c r="MJ144" s="904"/>
      <c r="MK144" s="904"/>
      <c r="ML144" s="904"/>
      <c r="MM144" s="394"/>
      <c r="MN144" s="394"/>
      <c r="MO144" s="394"/>
      <c r="MP144" s="394"/>
      <c r="MQ144" s="394"/>
      <c r="MR144" s="900"/>
      <c r="MS144" s="394"/>
      <c r="MT144" s="394"/>
      <c r="MU144" s="394"/>
      <c r="MV144" s="394"/>
      <c r="MW144" s="394"/>
      <c r="MX144" s="900"/>
      <c r="MY144" s="394"/>
      <c r="MZ144" s="394"/>
      <c r="NA144" s="684"/>
      <c r="NB144" s="684"/>
      <c r="NC144" s="394"/>
      <c r="ND144" s="394"/>
      <c r="NE144" s="394"/>
      <c r="NF144" s="394"/>
      <c r="NG144" s="394"/>
      <c r="NH144" s="394"/>
      <c r="NI144" s="731"/>
      <c r="NJ144" s="402"/>
      <c r="NK144" s="394"/>
      <c r="NL144" s="394"/>
      <c r="NM144" s="402"/>
      <c r="NN144" s="402"/>
      <c r="NO144" s="402"/>
      <c r="NP144" s="402"/>
      <c r="NQ144" s="402"/>
      <c r="NR144" s="402"/>
      <c r="NS144" s="402"/>
      <c r="NT144" s="402"/>
      <c r="NU144" s="148"/>
      <c r="NV144" s="687"/>
      <c r="NW144" s="687"/>
      <c r="NX144" s="794"/>
      <c r="NY144" s="687"/>
      <c r="NZ144" s="687"/>
      <c r="OA144" s="687"/>
      <c r="OB144" s="687"/>
      <c r="OC144" s="687"/>
      <c r="OD144" s="687"/>
      <c r="OE144" s="794"/>
      <c r="OF144" s="794"/>
      <c r="OG144" s="794"/>
      <c r="OH144" s="794"/>
      <c r="OI144" s="71"/>
      <c r="OJ144" s="71"/>
      <c r="OK144" s="402"/>
      <c r="OL144" s="402"/>
      <c r="OM144" s="402"/>
      <c r="OO144" s="186"/>
      <c r="OP144" s="30"/>
      <c r="OQ144" s="30"/>
      <c r="OR144" s="30"/>
      <c r="OS144" s="22"/>
      <c r="OT144" s="22"/>
      <c r="OU144" s="22"/>
      <c r="OV144" s="22"/>
      <c r="OW144" s="22"/>
      <c r="OX144" s="22"/>
      <c r="OY144" s="22"/>
      <c r="OZ144" s="22"/>
      <c r="PA144" s="22"/>
      <c r="PG144" s="69"/>
      <c r="PH144" s="71"/>
      <c r="PI144" s="507"/>
    </row>
    <row r="145" spans="1:425" hidden="1">
      <c r="A145" s="71"/>
      <c r="B145" s="71"/>
      <c r="C145" s="91"/>
      <c r="D145" s="69"/>
      <c r="E145" s="74"/>
      <c r="F145" s="74"/>
      <c r="I145" s="90"/>
      <c r="J145" s="90"/>
      <c r="K145" s="90"/>
      <c r="L145" s="90"/>
      <c r="M145" s="90"/>
      <c r="N145" s="96"/>
      <c r="O145" s="74"/>
      <c r="P145" s="74"/>
      <c r="R145" s="90"/>
      <c r="S145" s="90"/>
      <c r="T145" s="90"/>
      <c r="U145" s="90"/>
      <c r="V145" s="90"/>
      <c r="W145" s="90"/>
      <c r="X145" s="90"/>
      <c r="Y145" s="69"/>
      <c r="Z145" s="90"/>
      <c r="AA145" s="90"/>
      <c r="AB145" s="90"/>
      <c r="AC145" s="90"/>
      <c r="AH145" s="69"/>
      <c r="AM145" s="90"/>
      <c r="AN145" s="11"/>
      <c r="AQ145" s="680"/>
      <c r="AR145" s="90"/>
      <c r="AS145" s="69"/>
      <c r="AT145" s="90"/>
      <c r="AU145" s="90"/>
      <c r="AV145" s="90"/>
      <c r="AW145" s="90"/>
      <c r="AX145" s="90"/>
      <c r="AY145" s="90"/>
      <c r="AZ145" s="90"/>
      <c r="BA145" s="90"/>
      <c r="BB145" s="90"/>
      <c r="BC145" s="90"/>
      <c r="BD145" s="90"/>
      <c r="BE145" s="90"/>
      <c r="BF145" s="148"/>
      <c r="BG145" s="417"/>
      <c r="BH145" s="71"/>
      <c r="BI145" s="255"/>
      <c r="BJ145" s="71"/>
      <c r="BK145" s="71"/>
      <c r="BL145" s="71"/>
      <c r="BM145" s="255"/>
      <c r="BN145" s="71"/>
      <c r="BO145" s="71"/>
      <c r="BP145" s="148"/>
      <c r="BQ145" s="71"/>
      <c r="BR145" s="71"/>
      <c r="CC145" s="69"/>
      <c r="CD145" s="90"/>
      <c r="CI145" s="148"/>
      <c r="CZ145" s="69"/>
      <c r="DA145" s="90"/>
      <c r="DI145" s="69"/>
      <c r="EG145" s="69"/>
      <c r="ER145" s="69"/>
      <c r="ES145" s="90"/>
      <c r="ET145" s="90"/>
      <c r="EU145" s="90"/>
      <c r="EV145" s="90"/>
      <c r="FQ145" s="677"/>
      <c r="FR145" s="677"/>
      <c r="FS145" s="677"/>
      <c r="FT145" s="677"/>
      <c r="FU145" s="677"/>
      <c r="FV145" s="677"/>
      <c r="FW145" s="69"/>
      <c r="GH145" s="69"/>
      <c r="GU145" s="148"/>
      <c r="GV145" s="71"/>
      <c r="GW145" s="71"/>
      <c r="GX145" s="71"/>
      <c r="GY145" s="71"/>
      <c r="GZ145" s="71"/>
      <c r="HA145" s="71"/>
      <c r="HB145" s="71"/>
      <c r="HC145" s="71"/>
      <c r="HD145" s="71"/>
      <c r="HE145" s="71"/>
      <c r="HF145" s="71"/>
      <c r="HG145" s="71"/>
      <c r="HH145" s="74"/>
      <c r="HI145" s="67"/>
      <c r="HJ145" s="71"/>
      <c r="HK145" s="71"/>
      <c r="HL145" s="71"/>
      <c r="HM145" s="71"/>
      <c r="HN145" s="71"/>
      <c r="HO145" s="71"/>
      <c r="HP145" s="71"/>
      <c r="HQ145" s="71"/>
      <c r="HR145" s="71"/>
      <c r="HS145" s="71"/>
      <c r="IE145" s="71"/>
      <c r="IF145" s="71"/>
      <c r="IG145" s="71"/>
      <c r="IH145" s="71"/>
      <c r="II145" s="71"/>
      <c r="IJ145" s="71"/>
      <c r="IK145" s="71"/>
      <c r="IL145" s="71"/>
      <c r="IM145" s="71"/>
      <c r="IN145" s="71"/>
      <c r="IO145" s="71"/>
      <c r="IP145" s="71"/>
      <c r="IQ145" s="74"/>
      <c r="IR145" s="69"/>
      <c r="JH145" s="69"/>
      <c r="JI145" s="90"/>
      <c r="JV145" s="71"/>
      <c r="JW145" s="71"/>
      <c r="JX145" s="71"/>
      <c r="JY145" s="71"/>
      <c r="JZ145" s="71"/>
      <c r="KA145" s="71"/>
      <c r="KB145" s="148"/>
      <c r="KC145" s="74"/>
      <c r="KI145" s="71"/>
      <c r="KJ145" s="71"/>
      <c r="KK145" s="71"/>
      <c r="KL145" s="71"/>
      <c r="KM145" s="340"/>
      <c r="KN145" s="340"/>
      <c r="KO145" s="71"/>
      <c r="KP145" s="71"/>
      <c r="KQ145" s="71"/>
      <c r="KR145" s="71"/>
      <c r="KS145" s="71"/>
      <c r="KT145" s="340"/>
      <c r="KU145" s="148"/>
      <c r="KV145" s="904"/>
      <c r="KW145" s="71"/>
      <c r="KX145" s="71"/>
      <c r="KY145" s="71"/>
      <c r="KZ145" s="71"/>
      <c r="LA145" s="71"/>
      <c r="LB145" s="71"/>
      <c r="LC145" s="71"/>
      <c r="LD145" s="71"/>
      <c r="LE145" s="71"/>
      <c r="LF145" s="71"/>
      <c r="LG145" s="71"/>
      <c r="LH145" s="71"/>
      <c r="LI145" s="71"/>
      <c r="LJ145" s="71"/>
      <c r="LK145" s="71"/>
      <c r="LL145" s="71"/>
      <c r="LM145" s="71"/>
      <c r="LN145" s="71"/>
      <c r="LO145" s="71"/>
      <c r="LP145" s="71"/>
      <c r="LQ145" s="71"/>
      <c r="LR145" s="71"/>
      <c r="LS145" s="71"/>
      <c r="LT145" s="402"/>
      <c r="LU145" s="402"/>
      <c r="LV145" s="402"/>
      <c r="LW145" s="402"/>
      <c r="LX145" s="402"/>
      <c r="LY145" s="900"/>
      <c r="LZ145" s="900"/>
      <c r="MA145" s="402"/>
      <c r="MB145" s="402"/>
      <c r="MC145" s="402"/>
      <c r="MD145" s="402"/>
      <c r="ME145" s="402"/>
      <c r="MF145" s="402"/>
      <c r="MG145" s="402"/>
      <c r="MH145" s="148"/>
      <c r="MI145" s="904"/>
      <c r="MJ145" s="904"/>
      <c r="MK145" s="904"/>
      <c r="ML145" s="904"/>
      <c r="MM145" s="394"/>
      <c r="MN145" s="394"/>
      <c r="MO145" s="394"/>
      <c r="MP145" s="394"/>
      <c r="MQ145" s="394"/>
      <c r="MR145" s="900"/>
      <c r="MS145" s="394"/>
      <c r="MT145" s="394"/>
      <c r="MU145" s="394"/>
      <c r="MV145" s="394"/>
      <c r="MW145" s="394"/>
      <c r="MX145" s="900"/>
      <c r="MY145" s="394"/>
      <c r="MZ145" s="394"/>
      <c r="NA145" s="684"/>
      <c r="NB145" s="684"/>
      <c r="NC145" s="394"/>
      <c r="ND145" s="394"/>
      <c r="NE145" s="394"/>
      <c r="NF145" s="394"/>
      <c r="NG145" s="394"/>
      <c r="NH145" s="394"/>
      <c r="NI145" s="731"/>
      <c r="NJ145" s="402"/>
      <c r="NK145" s="394"/>
      <c r="NL145" s="394"/>
      <c r="NM145" s="402"/>
      <c r="NN145" s="402"/>
      <c r="NO145" s="402"/>
      <c r="NP145" s="402"/>
      <c r="NQ145" s="402"/>
      <c r="NR145" s="402"/>
      <c r="NS145" s="402"/>
      <c r="NT145" s="402"/>
      <c r="NU145" s="148"/>
      <c r="NV145" s="687"/>
      <c r="NW145" s="687"/>
      <c r="NX145" s="794"/>
      <c r="NY145" s="687"/>
      <c r="NZ145" s="687"/>
      <c r="OA145" s="687"/>
      <c r="OB145" s="687"/>
      <c r="OC145" s="687"/>
      <c r="OD145" s="687"/>
      <c r="OE145" s="794"/>
      <c r="OF145" s="794"/>
      <c r="OG145" s="794"/>
      <c r="OH145" s="794"/>
      <c r="OI145" s="71"/>
      <c r="OJ145" s="71"/>
      <c r="OK145" s="402"/>
      <c r="OL145" s="402"/>
      <c r="OM145" s="402"/>
      <c r="OO145" s="186"/>
      <c r="OP145" s="30"/>
      <c r="OQ145" s="30"/>
      <c r="OR145" s="30"/>
      <c r="OS145" s="22"/>
      <c r="OT145" s="22"/>
      <c r="OU145" s="22"/>
      <c r="OV145" s="22"/>
      <c r="OW145" s="22"/>
      <c r="OX145" s="22"/>
      <c r="OY145" s="22"/>
      <c r="OZ145" s="22"/>
      <c r="PA145" s="22"/>
      <c r="PG145" s="69"/>
      <c r="PH145" s="71"/>
      <c r="PI145" s="507"/>
    </row>
    <row r="146" spans="1:425" hidden="1">
      <c r="A146" s="71"/>
      <c r="B146" s="71"/>
      <c r="C146" s="91"/>
      <c r="D146" s="69"/>
      <c r="E146" s="74"/>
      <c r="F146" s="74"/>
      <c r="I146" s="90"/>
      <c r="J146" s="90"/>
      <c r="K146" s="90"/>
      <c r="L146" s="90"/>
      <c r="M146" s="90"/>
      <c r="N146" s="96"/>
      <c r="O146" s="74"/>
      <c r="P146" s="74"/>
      <c r="R146" s="90"/>
      <c r="S146" s="90"/>
      <c r="T146" s="90"/>
      <c r="U146" s="90"/>
      <c r="V146" s="90"/>
      <c r="W146" s="90"/>
      <c r="X146" s="90"/>
      <c r="Y146" s="69"/>
      <c r="Z146" s="90"/>
      <c r="AA146" s="90"/>
      <c r="AB146" s="90"/>
      <c r="AC146" s="90"/>
      <c r="AH146" s="69"/>
      <c r="AM146" s="90"/>
      <c r="AN146" s="11"/>
      <c r="AQ146" s="680"/>
      <c r="AR146" s="90"/>
      <c r="AS146" s="69"/>
      <c r="AT146" s="90"/>
      <c r="AU146" s="90"/>
      <c r="AV146" s="90"/>
      <c r="AW146" s="90"/>
      <c r="AX146" s="90"/>
      <c r="AY146" s="90"/>
      <c r="AZ146" s="90"/>
      <c r="BA146" s="90"/>
      <c r="BB146" s="90"/>
      <c r="BC146" s="90"/>
      <c r="BD146" s="90"/>
      <c r="BE146" s="90"/>
      <c r="BF146" s="148"/>
      <c r="BG146" s="417"/>
      <c r="BH146" s="71"/>
      <c r="BI146" s="255"/>
      <c r="BJ146" s="71"/>
      <c r="BK146" s="71"/>
      <c r="BL146" s="71"/>
      <c r="BM146" s="255"/>
      <c r="BN146" s="71"/>
      <c r="BO146" s="71"/>
      <c r="BP146" s="148"/>
      <c r="BQ146" s="71"/>
      <c r="BR146" s="71"/>
      <c r="CC146" s="69"/>
      <c r="CD146" s="90"/>
      <c r="CI146" s="148"/>
      <c r="CZ146" s="69"/>
      <c r="DA146" s="90"/>
      <c r="DI146" s="69"/>
      <c r="EG146" s="69"/>
      <c r="ER146" s="69"/>
      <c r="ES146" s="90"/>
      <c r="ET146" s="90"/>
      <c r="EU146" s="90"/>
      <c r="EV146" s="90"/>
      <c r="FQ146" s="677"/>
      <c r="FR146" s="677"/>
      <c r="FS146" s="677"/>
      <c r="FT146" s="677"/>
      <c r="FU146" s="677"/>
      <c r="FV146" s="677"/>
      <c r="FW146" s="69"/>
      <c r="GH146" s="69"/>
      <c r="GU146" s="148"/>
      <c r="GV146" s="71"/>
      <c r="GW146" s="71"/>
      <c r="GX146" s="71"/>
      <c r="GY146" s="71"/>
      <c r="GZ146" s="71"/>
      <c r="HA146" s="71"/>
      <c r="HB146" s="71"/>
      <c r="HC146" s="71"/>
      <c r="HD146" s="71"/>
      <c r="HE146" s="71"/>
      <c r="HF146" s="71"/>
      <c r="HG146" s="71"/>
      <c r="HH146" s="74"/>
      <c r="HI146" s="67"/>
      <c r="HJ146" s="71"/>
      <c r="HK146" s="71"/>
      <c r="HL146" s="71"/>
      <c r="HM146" s="71"/>
      <c r="HN146" s="71"/>
      <c r="HO146" s="71"/>
      <c r="HP146" s="71"/>
      <c r="HQ146" s="71"/>
      <c r="HR146" s="71"/>
      <c r="HS146" s="71"/>
      <c r="IE146" s="71"/>
      <c r="IF146" s="71"/>
      <c r="IG146" s="71"/>
      <c r="IH146" s="71"/>
      <c r="II146" s="71"/>
      <c r="IJ146" s="71"/>
      <c r="IK146" s="71"/>
      <c r="IL146" s="71"/>
      <c r="IM146" s="71"/>
      <c r="IN146" s="71"/>
      <c r="IO146" s="71"/>
      <c r="IP146" s="71"/>
      <c r="IQ146" s="74"/>
      <c r="IR146" s="69"/>
      <c r="JH146" s="69"/>
      <c r="JI146" s="90"/>
      <c r="JV146" s="71"/>
      <c r="JW146" s="71"/>
      <c r="JX146" s="71"/>
      <c r="JY146" s="71"/>
      <c r="JZ146" s="71"/>
      <c r="KA146" s="71"/>
      <c r="KB146" s="148"/>
      <c r="KC146" s="74"/>
      <c r="KI146" s="71"/>
      <c r="KJ146" s="71"/>
      <c r="KK146" s="71"/>
      <c r="KL146" s="71"/>
      <c r="KM146" s="340"/>
      <c r="KN146" s="340"/>
      <c r="KO146" s="71"/>
      <c r="KP146" s="71"/>
      <c r="KQ146" s="71"/>
      <c r="KR146" s="71"/>
      <c r="KS146" s="71"/>
      <c r="KT146" s="340"/>
      <c r="KU146" s="148"/>
      <c r="KV146" s="904"/>
      <c r="KW146" s="71"/>
      <c r="KX146" s="71"/>
      <c r="KY146" s="71"/>
      <c r="KZ146" s="71"/>
      <c r="LA146" s="71"/>
      <c r="LB146" s="71"/>
      <c r="LC146" s="71"/>
      <c r="LD146" s="71"/>
      <c r="LE146" s="71"/>
      <c r="LF146" s="71"/>
      <c r="LG146" s="71"/>
      <c r="LH146" s="71"/>
      <c r="LI146" s="71"/>
      <c r="LJ146" s="71"/>
      <c r="LK146" s="71"/>
      <c r="LL146" s="71"/>
      <c r="LM146" s="71"/>
      <c r="LN146" s="71"/>
      <c r="LO146" s="71"/>
      <c r="LP146" s="71"/>
      <c r="LQ146" s="71"/>
      <c r="LR146" s="71"/>
      <c r="LS146" s="71"/>
      <c r="LT146" s="402"/>
      <c r="LU146" s="402"/>
      <c r="LV146" s="402"/>
      <c r="LW146" s="402"/>
      <c r="LX146" s="402"/>
      <c r="LY146" s="900"/>
      <c r="LZ146" s="900"/>
      <c r="MA146" s="402"/>
      <c r="MB146" s="402"/>
      <c r="MC146" s="402"/>
      <c r="MD146" s="402"/>
      <c r="ME146" s="402"/>
      <c r="MF146" s="402"/>
      <c r="MG146" s="402"/>
      <c r="MH146" s="148"/>
      <c r="MI146" s="904"/>
      <c r="MJ146" s="904"/>
      <c r="MK146" s="904"/>
      <c r="ML146" s="904"/>
      <c r="MM146" s="394"/>
      <c r="MN146" s="394"/>
      <c r="MO146" s="394"/>
      <c r="MP146" s="394"/>
      <c r="MQ146" s="394"/>
      <c r="MR146" s="900"/>
      <c r="MS146" s="394"/>
      <c r="MT146" s="394"/>
      <c r="MU146" s="394"/>
      <c r="MV146" s="394"/>
      <c r="MW146" s="394"/>
      <c r="MX146" s="900"/>
      <c r="MY146" s="394"/>
      <c r="MZ146" s="394"/>
      <c r="NA146" s="684"/>
      <c r="NB146" s="684"/>
      <c r="NC146" s="394"/>
      <c r="ND146" s="394"/>
      <c r="NE146" s="394"/>
      <c r="NF146" s="394"/>
      <c r="NG146" s="394"/>
      <c r="NH146" s="394"/>
      <c r="NI146" s="731"/>
      <c r="NJ146" s="402"/>
      <c r="NK146" s="394"/>
      <c r="NL146" s="394"/>
      <c r="NM146" s="402"/>
      <c r="NN146" s="402"/>
      <c r="NO146" s="402"/>
      <c r="NP146" s="402"/>
      <c r="NQ146" s="402"/>
      <c r="NR146" s="402"/>
      <c r="NS146" s="402"/>
      <c r="NT146" s="402"/>
      <c r="NU146" s="148"/>
      <c r="NV146" s="687"/>
      <c r="NW146" s="687"/>
      <c r="NX146" s="794"/>
      <c r="NY146" s="687"/>
      <c r="NZ146" s="687"/>
      <c r="OA146" s="687"/>
      <c r="OB146" s="687"/>
      <c r="OC146" s="687"/>
      <c r="OD146" s="687"/>
      <c r="OE146" s="794"/>
      <c r="OF146" s="794"/>
      <c r="OG146" s="794"/>
      <c r="OH146" s="794"/>
      <c r="OI146" s="71"/>
      <c r="OJ146" s="71"/>
      <c r="OK146" s="402"/>
      <c r="OL146" s="402"/>
      <c r="OM146" s="402"/>
      <c r="OO146" s="186"/>
      <c r="OP146" s="30"/>
      <c r="OQ146" s="30"/>
      <c r="OR146" s="30"/>
      <c r="OS146" s="22"/>
      <c r="OT146" s="22"/>
      <c r="OU146" s="22"/>
      <c r="OV146" s="22"/>
      <c r="OW146" s="22"/>
      <c r="OX146" s="22"/>
      <c r="OY146" s="22"/>
      <c r="OZ146" s="22"/>
      <c r="PA146" s="22"/>
      <c r="PG146" s="69"/>
      <c r="PH146" s="71"/>
      <c r="PI146" s="507"/>
    </row>
    <row r="147" spans="1:425" hidden="1">
      <c r="A147" s="71"/>
      <c r="B147" s="71"/>
      <c r="C147" s="91"/>
      <c r="D147" s="69"/>
      <c r="E147" s="74"/>
      <c r="F147" s="74"/>
      <c r="I147" s="90"/>
      <c r="J147" s="90"/>
      <c r="K147" s="90"/>
      <c r="L147" s="90"/>
      <c r="M147" s="90"/>
      <c r="N147" s="96"/>
      <c r="O147" s="74"/>
      <c r="P147" s="74"/>
      <c r="R147" s="90"/>
      <c r="S147" s="90"/>
      <c r="T147" s="90"/>
      <c r="U147" s="90"/>
      <c r="V147" s="90"/>
      <c r="W147" s="90"/>
      <c r="X147" s="90"/>
      <c r="Y147" s="69"/>
      <c r="Z147" s="90"/>
      <c r="AA147" s="90"/>
      <c r="AB147" s="90"/>
      <c r="AC147" s="90"/>
      <c r="AH147" s="69"/>
      <c r="AM147" s="90"/>
      <c r="AN147" s="11"/>
      <c r="AQ147" s="680"/>
      <c r="AR147" s="90"/>
      <c r="AS147" s="69"/>
      <c r="AT147" s="90"/>
      <c r="AU147" s="90"/>
      <c r="AV147" s="90"/>
      <c r="AW147" s="90"/>
      <c r="AX147" s="90"/>
      <c r="AY147" s="90"/>
      <c r="AZ147" s="90"/>
      <c r="BA147" s="90"/>
      <c r="BB147" s="90"/>
      <c r="BC147" s="90"/>
      <c r="BD147" s="90"/>
      <c r="BE147" s="90"/>
      <c r="BF147" s="148"/>
      <c r="BG147" s="417"/>
      <c r="BH147" s="71"/>
      <c r="BI147" s="255"/>
      <c r="BJ147" s="71"/>
      <c r="BK147" s="71"/>
      <c r="BL147" s="71"/>
      <c r="BM147" s="255"/>
      <c r="BN147" s="71"/>
      <c r="BO147" s="71"/>
      <c r="BP147" s="148"/>
      <c r="BQ147" s="71"/>
      <c r="BR147" s="71"/>
      <c r="CC147" s="69"/>
      <c r="CD147" s="90"/>
      <c r="CI147" s="148"/>
      <c r="CZ147" s="69"/>
      <c r="DA147" s="90"/>
      <c r="DI147" s="69"/>
      <c r="EG147" s="69"/>
      <c r="ER147" s="69"/>
      <c r="ES147" s="90"/>
      <c r="ET147" s="90"/>
      <c r="EU147" s="90"/>
      <c r="EV147" s="90"/>
      <c r="FQ147" s="677"/>
      <c r="FR147" s="677"/>
      <c r="FS147" s="677"/>
      <c r="FT147" s="677"/>
      <c r="FU147" s="677"/>
      <c r="FV147" s="677"/>
      <c r="FW147" s="69"/>
      <c r="GH147" s="69"/>
      <c r="GU147" s="148"/>
      <c r="GV147" s="71"/>
      <c r="GW147" s="71"/>
      <c r="GX147" s="71"/>
      <c r="GY147" s="71"/>
      <c r="GZ147" s="71"/>
      <c r="HA147" s="71"/>
      <c r="HB147" s="71"/>
      <c r="HC147" s="71"/>
      <c r="HD147" s="71"/>
      <c r="HE147" s="71"/>
      <c r="HF147" s="71"/>
      <c r="HG147" s="71"/>
      <c r="HH147" s="74"/>
      <c r="HI147" s="67"/>
      <c r="HJ147" s="71"/>
      <c r="HK147" s="71"/>
      <c r="HL147" s="71"/>
      <c r="HM147" s="71"/>
      <c r="HN147" s="71"/>
      <c r="HO147" s="71"/>
      <c r="HP147" s="71"/>
      <c r="HQ147" s="71"/>
      <c r="HR147" s="71"/>
      <c r="HS147" s="71"/>
      <c r="IE147" s="71"/>
      <c r="IF147" s="71"/>
      <c r="IG147" s="71"/>
      <c r="IH147" s="71"/>
      <c r="II147" s="71"/>
      <c r="IJ147" s="71"/>
      <c r="IK147" s="71"/>
      <c r="IL147" s="71"/>
      <c r="IM147" s="71"/>
      <c r="IN147" s="71"/>
      <c r="IO147" s="71"/>
      <c r="IP147" s="71"/>
      <c r="IQ147" s="74"/>
      <c r="IR147" s="69"/>
      <c r="JH147" s="69"/>
      <c r="JI147" s="90"/>
      <c r="JV147" s="71"/>
      <c r="JW147" s="71"/>
      <c r="JX147" s="71"/>
      <c r="JY147" s="71"/>
      <c r="JZ147" s="71"/>
      <c r="KA147" s="71"/>
      <c r="KB147" s="148"/>
      <c r="KC147" s="74"/>
      <c r="KI147" s="71"/>
      <c r="KJ147" s="71"/>
      <c r="KK147" s="71"/>
      <c r="KL147" s="71"/>
      <c r="KM147" s="340"/>
      <c r="KN147" s="340"/>
      <c r="KO147" s="71"/>
      <c r="KP147" s="71"/>
      <c r="KQ147" s="71"/>
      <c r="KR147" s="71"/>
      <c r="KS147" s="71"/>
      <c r="KT147" s="340"/>
      <c r="KU147" s="148"/>
      <c r="KV147" s="904"/>
      <c r="KW147" s="71"/>
      <c r="KX147" s="71"/>
      <c r="KY147" s="71"/>
      <c r="KZ147" s="71"/>
      <c r="LA147" s="71"/>
      <c r="LB147" s="71"/>
      <c r="LC147" s="71"/>
      <c r="LD147" s="71"/>
      <c r="LE147" s="71"/>
      <c r="LF147" s="71"/>
      <c r="LG147" s="71"/>
      <c r="LH147" s="71"/>
      <c r="LI147" s="71"/>
      <c r="LJ147" s="71"/>
      <c r="LK147" s="71"/>
      <c r="LL147" s="71"/>
      <c r="LM147" s="71"/>
      <c r="LN147" s="71"/>
      <c r="LO147" s="71"/>
      <c r="LP147" s="71"/>
      <c r="LQ147" s="71"/>
      <c r="LR147" s="71"/>
      <c r="LS147" s="71"/>
      <c r="LT147" s="402"/>
      <c r="LU147" s="402"/>
      <c r="LV147" s="402"/>
      <c r="LW147" s="402"/>
      <c r="LX147" s="402"/>
      <c r="LY147" s="900"/>
      <c r="LZ147" s="900"/>
      <c r="MA147" s="402"/>
      <c r="MB147" s="402"/>
      <c r="MC147" s="402"/>
      <c r="MD147" s="402"/>
      <c r="ME147" s="402"/>
      <c r="MF147" s="402"/>
      <c r="MG147" s="402"/>
      <c r="MH147" s="148"/>
      <c r="MI147" s="904"/>
      <c r="MJ147" s="904"/>
      <c r="MK147" s="904"/>
      <c r="ML147" s="904"/>
      <c r="MM147" s="394"/>
      <c r="MN147" s="394"/>
      <c r="MO147" s="394"/>
      <c r="MP147" s="394"/>
      <c r="MQ147" s="394"/>
      <c r="MR147" s="900"/>
      <c r="MS147" s="394"/>
      <c r="MT147" s="394"/>
      <c r="MU147" s="394"/>
      <c r="MV147" s="394"/>
      <c r="MW147" s="394"/>
      <c r="MX147" s="900"/>
      <c r="MY147" s="394"/>
      <c r="MZ147" s="394"/>
      <c r="NA147" s="684"/>
      <c r="NB147" s="684"/>
      <c r="NC147" s="394"/>
      <c r="ND147" s="394"/>
      <c r="NE147" s="394"/>
      <c r="NF147" s="394"/>
      <c r="NG147" s="394"/>
      <c r="NH147" s="394"/>
      <c r="NI147" s="731"/>
      <c r="NJ147" s="402"/>
      <c r="NK147" s="394"/>
      <c r="NL147" s="394"/>
      <c r="NM147" s="402"/>
      <c r="NN147" s="402"/>
      <c r="NO147" s="402"/>
      <c r="NP147" s="402"/>
      <c r="NQ147" s="402"/>
      <c r="NR147" s="402"/>
      <c r="NS147" s="402"/>
      <c r="NT147" s="402"/>
      <c r="NU147" s="148"/>
      <c r="NV147" s="687"/>
      <c r="NW147" s="687"/>
      <c r="NX147" s="794"/>
      <c r="NY147" s="687"/>
      <c r="NZ147" s="687"/>
      <c r="OA147" s="687"/>
      <c r="OB147" s="687"/>
      <c r="OC147" s="687"/>
      <c r="OD147" s="687"/>
      <c r="OE147" s="794"/>
      <c r="OF147" s="794"/>
      <c r="OG147" s="794"/>
      <c r="OH147" s="794"/>
      <c r="OI147" s="71"/>
      <c r="OJ147" s="71"/>
      <c r="OK147" s="402"/>
      <c r="OL147" s="402"/>
      <c r="OM147" s="402"/>
      <c r="OO147" s="186"/>
      <c r="OP147" s="30"/>
      <c r="OQ147" s="30"/>
      <c r="OR147" s="30"/>
      <c r="OS147" s="22"/>
      <c r="OT147" s="22"/>
      <c r="OU147" s="22"/>
      <c r="OV147" s="22"/>
      <c r="OW147" s="22"/>
      <c r="OX147" s="22"/>
      <c r="OY147" s="22"/>
      <c r="OZ147" s="22"/>
      <c r="PA147" s="22"/>
      <c r="PG147" s="69"/>
      <c r="PH147" s="71"/>
      <c r="PI147" s="507"/>
    </row>
    <row r="148" spans="1:425" hidden="1">
      <c r="A148" s="71"/>
      <c r="B148" s="71"/>
      <c r="C148" s="91"/>
      <c r="D148" s="69"/>
      <c r="E148" s="74"/>
      <c r="F148" s="74"/>
      <c r="I148" s="90"/>
      <c r="J148" s="90"/>
      <c r="K148" s="90"/>
      <c r="L148" s="90"/>
      <c r="M148" s="90"/>
      <c r="N148" s="96"/>
      <c r="O148" s="74"/>
      <c r="P148" s="74"/>
      <c r="R148" s="90"/>
      <c r="S148" s="90"/>
      <c r="T148" s="90"/>
      <c r="U148" s="90"/>
      <c r="V148" s="90"/>
      <c r="W148" s="90"/>
      <c r="X148" s="90"/>
      <c r="Y148" s="69"/>
      <c r="Z148" s="90"/>
      <c r="AA148" s="90"/>
      <c r="AB148" s="90"/>
      <c r="AC148" s="90"/>
      <c r="AH148" s="69"/>
      <c r="AM148" s="90"/>
      <c r="AN148" s="11"/>
      <c r="AQ148" s="680"/>
      <c r="AR148" s="90"/>
      <c r="AS148" s="69"/>
      <c r="AT148" s="90"/>
      <c r="AU148" s="90"/>
      <c r="AV148" s="90"/>
      <c r="AW148" s="90"/>
      <c r="AX148" s="90"/>
      <c r="AY148" s="90"/>
      <c r="AZ148" s="90"/>
      <c r="BA148" s="90"/>
      <c r="BB148" s="90"/>
      <c r="BC148" s="90"/>
      <c r="BD148" s="90"/>
      <c r="BE148" s="90"/>
      <c r="BF148" s="148"/>
      <c r="BG148" s="417"/>
      <c r="BH148" s="71"/>
      <c r="BI148" s="255"/>
      <c r="BJ148" s="71"/>
      <c r="BK148" s="71"/>
      <c r="BL148" s="71"/>
      <c r="BM148" s="255"/>
      <c r="BN148" s="71"/>
      <c r="BO148" s="71"/>
      <c r="BP148" s="148"/>
      <c r="BQ148" s="71"/>
      <c r="BR148" s="71"/>
      <c r="CC148" s="69"/>
      <c r="CD148" s="90"/>
      <c r="CI148" s="148"/>
      <c r="CZ148" s="69"/>
      <c r="DA148" s="90"/>
      <c r="DI148" s="69"/>
      <c r="EG148" s="69"/>
      <c r="ER148" s="69"/>
      <c r="ES148" s="90"/>
      <c r="ET148" s="90"/>
      <c r="EU148" s="90"/>
      <c r="EV148" s="90"/>
      <c r="FQ148" s="677"/>
      <c r="FR148" s="677"/>
      <c r="FS148" s="677"/>
      <c r="FT148" s="677"/>
      <c r="FU148" s="677"/>
      <c r="FV148" s="677"/>
      <c r="FW148" s="69"/>
      <c r="GH148" s="69"/>
      <c r="GU148" s="148"/>
      <c r="GV148" s="71"/>
      <c r="GW148" s="71"/>
      <c r="GX148" s="71"/>
      <c r="GY148" s="71"/>
      <c r="GZ148" s="71"/>
      <c r="HA148" s="71"/>
      <c r="HB148" s="71"/>
      <c r="HC148" s="71"/>
      <c r="HD148" s="71"/>
      <c r="HE148" s="71"/>
      <c r="HF148" s="71"/>
      <c r="HG148" s="71"/>
      <c r="HH148" s="74"/>
      <c r="HI148" s="67"/>
      <c r="HJ148" s="71"/>
      <c r="HK148" s="71"/>
      <c r="HL148" s="71"/>
      <c r="HM148" s="71"/>
      <c r="HN148" s="71"/>
      <c r="HO148" s="71"/>
      <c r="HP148" s="71"/>
      <c r="HQ148" s="71"/>
      <c r="HR148" s="71"/>
      <c r="HS148" s="71"/>
      <c r="IE148" s="71"/>
      <c r="IF148" s="71"/>
      <c r="IG148" s="71"/>
      <c r="IH148" s="71"/>
      <c r="II148" s="71"/>
      <c r="IJ148" s="71"/>
      <c r="IK148" s="71"/>
      <c r="IL148" s="71"/>
      <c r="IM148" s="71"/>
      <c r="IN148" s="71"/>
      <c r="IO148" s="71"/>
      <c r="IP148" s="71"/>
      <c r="IQ148" s="74"/>
      <c r="IR148" s="69"/>
      <c r="JH148" s="69"/>
      <c r="JI148" s="90"/>
      <c r="JV148" s="71"/>
      <c r="JW148" s="71"/>
      <c r="JX148" s="71"/>
      <c r="JY148" s="71"/>
      <c r="JZ148" s="71"/>
      <c r="KA148" s="71"/>
      <c r="KB148" s="148"/>
      <c r="KC148" s="74"/>
      <c r="KI148" s="71"/>
      <c r="KJ148" s="71"/>
      <c r="KK148" s="71"/>
      <c r="KL148" s="71"/>
      <c r="KM148" s="340"/>
      <c r="KN148" s="340"/>
      <c r="KO148" s="71"/>
      <c r="KP148" s="71"/>
      <c r="KQ148" s="71"/>
      <c r="KR148" s="71"/>
      <c r="KS148" s="71"/>
      <c r="KT148" s="340"/>
      <c r="KU148" s="148"/>
      <c r="KV148" s="904"/>
      <c r="KW148" s="71"/>
      <c r="KX148" s="71"/>
      <c r="KY148" s="71"/>
      <c r="KZ148" s="71"/>
      <c r="LA148" s="71"/>
      <c r="LB148" s="71"/>
      <c r="LC148" s="71"/>
      <c r="LD148" s="71"/>
      <c r="LE148" s="71"/>
      <c r="LF148" s="71"/>
      <c r="LG148" s="71"/>
      <c r="LH148" s="71"/>
      <c r="LI148" s="71"/>
      <c r="LJ148" s="71"/>
      <c r="LK148" s="71"/>
      <c r="LL148" s="71"/>
      <c r="LM148" s="71"/>
      <c r="LN148" s="71"/>
      <c r="LO148" s="71"/>
      <c r="LP148" s="71"/>
      <c r="LQ148" s="71"/>
      <c r="LR148" s="71"/>
      <c r="LS148" s="71"/>
      <c r="LT148" s="402"/>
      <c r="LU148" s="402"/>
      <c r="LV148" s="402"/>
      <c r="LW148" s="402"/>
      <c r="LX148" s="402"/>
      <c r="LY148" s="900"/>
      <c r="LZ148" s="900"/>
      <c r="MA148" s="402"/>
      <c r="MB148" s="402"/>
      <c r="MC148" s="402"/>
      <c r="MD148" s="402"/>
      <c r="ME148" s="402"/>
      <c r="MF148" s="402"/>
      <c r="MG148" s="402"/>
      <c r="MH148" s="148"/>
      <c r="MI148" s="904"/>
      <c r="MJ148" s="904"/>
      <c r="MK148" s="904"/>
      <c r="ML148" s="904"/>
      <c r="MM148" s="394"/>
      <c r="MN148" s="394"/>
      <c r="MO148" s="394"/>
      <c r="MP148" s="394"/>
      <c r="MQ148" s="394"/>
      <c r="MR148" s="900"/>
      <c r="MS148" s="394"/>
      <c r="MT148" s="394"/>
      <c r="MU148" s="394"/>
      <c r="MV148" s="394"/>
      <c r="MW148" s="394"/>
      <c r="MX148" s="900"/>
      <c r="MY148" s="394"/>
      <c r="MZ148" s="394"/>
      <c r="NA148" s="684"/>
      <c r="NB148" s="684"/>
      <c r="NC148" s="394"/>
      <c r="ND148" s="394"/>
      <c r="NE148" s="394"/>
      <c r="NF148" s="394"/>
      <c r="NG148" s="394"/>
      <c r="NH148" s="394"/>
      <c r="NI148" s="731"/>
      <c r="NJ148" s="402"/>
      <c r="NK148" s="394"/>
      <c r="NL148" s="394"/>
      <c r="NM148" s="402"/>
      <c r="NN148" s="402"/>
      <c r="NO148" s="402"/>
      <c r="NP148" s="402"/>
      <c r="NQ148" s="402"/>
      <c r="NR148" s="402"/>
      <c r="NS148" s="402"/>
      <c r="NT148" s="402"/>
      <c r="NU148" s="148"/>
      <c r="NV148" s="687"/>
      <c r="NW148" s="687"/>
      <c r="NX148" s="794"/>
      <c r="NY148" s="687"/>
      <c r="NZ148" s="687"/>
      <c r="OA148" s="687"/>
      <c r="OB148" s="687"/>
      <c r="OC148" s="687"/>
      <c r="OD148" s="687"/>
      <c r="OE148" s="794"/>
      <c r="OF148" s="794"/>
      <c r="OG148" s="794"/>
      <c r="OH148" s="794"/>
      <c r="OI148" s="71"/>
      <c r="OJ148" s="71"/>
      <c r="OK148" s="402"/>
      <c r="OL148" s="402"/>
      <c r="OM148" s="402"/>
      <c r="OO148" s="186"/>
      <c r="OP148" s="30"/>
      <c r="OQ148" s="30"/>
      <c r="OR148" s="30"/>
      <c r="OS148" s="22"/>
      <c r="OT148" s="22"/>
      <c r="OU148" s="22"/>
      <c r="OV148" s="22"/>
      <c r="OW148" s="22"/>
      <c r="OX148" s="22"/>
      <c r="OY148" s="22"/>
      <c r="OZ148" s="22"/>
      <c r="PA148" s="22"/>
      <c r="PG148" s="69"/>
      <c r="PH148" s="71"/>
      <c r="PI148" s="507"/>
    </row>
    <row r="149" spans="1:425" hidden="1">
      <c r="A149" s="71"/>
      <c r="B149" s="71"/>
      <c r="C149" s="91"/>
      <c r="D149" s="69"/>
      <c r="E149" s="74"/>
      <c r="F149" s="74"/>
      <c r="I149" s="90"/>
      <c r="J149" s="90"/>
      <c r="K149" s="90"/>
      <c r="L149" s="90"/>
      <c r="M149" s="90"/>
      <c r="N149" s="96"/>
      <c r="O149" s="74"/>
      <c r="P149" s="74"/>
      <c r="R149" s="90"/>
      <c r="S149" s="90"/>
      <c r="T149" s="90"/>
      <c r="U149" s="90"/>
      <c r="V149" s="90"/>
      <c r="W149" s="90"/>
      <c r="X149" s="90"/>
      <c r="Y149" s="69"/>
      <c r="Z149" s="90"/>
      <c r="AA149" s="90"/>
      <c r="AB149" s="90"/>
      <c r="AC149" s="90"/>
      <c r="AH149" s="69"/>
      <c r="AM149" s="90"/>
      <c r="AN149" s="11"/>
      <c r="AQ149" s="680"/>
      <c r="AR149" s="90"/>
      <c r="AS149" s="69"/>
      <c r="AT149" s="90"/>
      <c r="AU149" s="90"/>
      <c r="AV149" s="90"/>
      <c r="AW149" s="90"/>
      <c r="AX149" s="90"/>
      <c r="AY149" s="90"/>
      <c r="AZ149" s="90"/>
      <c r="BA149" s="90"/>
      <c r="BB149" s="90"/>
      <c r="BC149" s="90"/>
      <c r="BD149" s="90"/>
      <c r="BE149" s="90"/>
      <c r="BF149" s="148"/>
      <c r="BG149" s="417"/>
      <c r="BH149" s="71"/>
      <c r="BI149" s="255"/>
      <c r="BJ149" s="71"/>
      <c r="BK149" s="71"/>
      <c r="BL149" s="71"/>
      <c r="BM149" s="255"/>
      <c r="BN149" s="71"/>
      <c r="BO149" s="71"/>
      <c r="BP149" s="148"/>
      <c r="BQ149" s="71"/>
      <c r="BR149" s="71"/>
      <c r="CC149" s="69"/>
      <c r="CD149" s="90"/>
      <c r="CI149" s="148"/>
      <c r="CZ149" s="69"/>
      <c r="DA149" s="90"/>
      <c r="DI149" s="69"/>
      <c r="EG149" s="69"/>
      <c r="ER149" s="69"/>
      <c r="ES149" s="90"/>
      <c r="ET149" s="90"/>
      <c r="EU149" s="90"/>
      <c r="EV149" s="90"/>
      <c r="FQ149" s="677"/>
      <c r="FR149" s="677"/>
      <c r="FS149" s="677"/>
      <c r="FT149" s="677"/>
      <c r="FU149" s="677"/>
      <c r="FV149" s="677"/>
      <c r="FW149" s="69"/>
      <c r="GH149" s="69"/>
      <c r="GU149" s="148"/>
      <c r="GV149" s="71"/>
      <c r="GW149" s="71"/>
      <c r="GX149" s="71"/>
      <c r="GY149" s="71"/>
      <c r="GZ149" s="71"/>
      <c r="HA149" s="71"/>
      <c r="HB149" s="71"/>
      <c r="HC149" s="71"/>
      <c r="HD149" s="71"/>
      <c r="HE149" s="71"/>
      <c r="HF149" s="71"/>
      <c r="HG149" s="71"/>
      <c r="HH149" s="74"/>
      <c r="HI149" s="67"/>
      <c r="HJ149" s="71"/>
      <c r="HK149" s="71"/>
      <c r="HL149" s="71"/>
      <c r="HM149" s="71"/>
      <c r="HN149" s="71"/>
      <c r="HO149" s="71"/>
      <c r="HP149" s="71"/>
      <c r="HQ149" s="71"/>
      <c r="HR149" s="71"/>
      <c r="HS149" s="71"/>
      <c r="IE149" s="71"/>
      <c r="IF149" s="71"/>
      <c r="IG149" s="71"/>
      <c r="IH149" s="71"/>
      <c r="II149" s="71"/>
      <c r="IJ149" s="71"/>
      <c r="IK149" s="71"/>
      <c r="IL149" s="71"/>
      <c r="IM149" s="71"/>
      <c r="IN149" s="71"/>
      <c r="IO149" s="71"/>
      <c r="IP149" s="71"/>
      <c r="IQ149" s="74"/>
      <c r="IR149" s="69"/>
      <c r="JH149" s="69"/>
      <c r="JI149" s="90"/>
      <c r="JV149" s="71"/>
      <c r="JW149" s="71"/>
      <c r="JX149" s="71"/>
      <c r="JY149" s="71"/>
      <c r="JZ149" s="71"/>
      <c r="KA149" s="71"/>
      <c r="KB149" s="148"/>
      <c r="KC149" s="74"/>
      <c r="KI149" s="71"/>
      <c r="KJ149" s="71"/>
      <c r="KK149" s="71"/>
      <c r="KL149" s="71"/>
      <c r="KM149" s="340"/>
      <c r="KN149" s="340"/>
      <c r="KO149" s="71"/>
      <c r="KP149" s="71"/>
      <c r="KQ149" s="71"/>
      <c r="KR149" s="71"/>
      <c r="KS149" s="71"/>
      <c r="KT149" s="340"/>
      <c r="KU149" s="148"/>
      <c r="KV149" s="904"/>
      <c r="KW149" s="71"/>
      <c r="KX149" s="71"/>
      <c r="KY149" s="71"/>
      <c r="KZ149" s="71"/>
      <c r="LA149" s="71"/>
      <c r="LB149" s="71"/>
      <c r="LC149" s="71"/>
      <c r="LD149" s="71"/>
      <c r="LE149" s="71"/>
      <c r="LF149" s="71"/>
      <c r="LG149" s="71"/>
      <c r="LH149" s="71"/>
      <c r="LI149" s="71"/>
      <c r="LJ149" s="71"/>
      <c r="LK149" s="71"/>
      <c r="LL149" s="71"/>
      <c r="LM149" s="71"/>
      <c r="LN149" s="71"/>
      <c r="LO149" s="71"/>
      <c r="LP149" s="71"/>
      <c r="LQ149" s="71"/>
      <c r="LR149" s="71"/>
      <c r="LS149" s="71"/>
      <c r="LT149" s="402"/>
      <c r="LU149" s="402"/>
      <c r="LV149" s="402"/>
      <c r="LW149" s="402"/>
      <c r="LX149" s="402"/>
      <c r="LY149" s="900"/>
      <c r="LZ149" s="900"/>
      <c r="MA149" s="402"/>
      <c r="MB149" s="402"/>
      <c r="MC149" s="402"/>
      <c r="MD149" s="402"/>
      <c r="ME149" s="402"/>
      <c r="MF149" s="402"/>
      <c r="MG149" s="402"/>
      <c r="MH149" s="148"/>
      <c r="MI149" s="904"/>
      <c r="MJ149" s="904"/>
      <c r="MK149" s="904"/>
      <c r="ML149" s="904"/>
      <c r="MM149" s="394"/>
      <c r="MN149" s="394"/>
      <c r="MO149" s="394"/>
      <c r="MP149" s="394"/>
      <c r="MQ149" s="394"/>
      <c r="MR149" s="900"/>
      <c r="MS149" s="394"/>
      <c r="MT149" s="394"/>
      <c r="MU149" s="394"/>
      <c r="MV149" s="394"/>
      <c r="MW149" s="394"/>
      <c r="MX149" s="900"/>
      <c r="MY149" s="394"/>
      <c r="MZ149" s="394"/>
      <c r="NA149" s="684"/>
      <c r="NB149" s="684"/>
      <c r="NC149" s="394"/>
      <c r="ND149" s="394"/>
      <c r="NE149" s="394"/>
      <c r="NF149" s="394"/>
      <c r="NG149" s="394"/>
      <c r="NH149" s="394"/>
      <c r="NI149" s="731"/>
      <c r="NJ149" s="402"/>
      <c r="NK149" s="394"/>
      <c r="NL149" s="394"/>
      <c r="NM149" s="402"/>
      <c r="NN149" s="402"/>
      <c r="NO149" s="402"/>
      <c r="NP149" s="402"/>
      <c r="NQ149" s="402"/>
      <c r="NR149" s="402"/>
      <c r="NS149" s="402"/>
      <c r="NT149" s="402"/>
      <c r="NU149" s="148"/>
      <c r="NV149" s="687"/>
      <c r="NW149" s="687"/>
      <c r="NX149" s="794"/>
      <c r="NY149" s="687"/>
      <c r="NZ149" s="687"/>
      <c r="OA149" s="687"/>
      <c r="OB149" s="687"/>
      <c r="OC149" s="687"/>
      <c r="OD149" s="687"/>
      <c r="OE149" s="794"/>
      <c r="OF149" s="794"/>
      <c r="OG149" s="794"/>
      <c r="OH149" s="794"/>
      <c r="OI149" s="71"/>
      <c r="OJ149" s="71"/>
      <c r="OK149" s="402"/>
      <c r="OL149" s="402"/>
      <c r="OM149" s="402"/>
      <c r="OO149" s="186"/>
      <c r="OP149" s="30"/>
      <c r="OQ149" s="30"/>
      <c r="OR149" s="30"/>
      <c r="OS149" s="22"/>
      <c r="OT149" s="22"/>
      <c r="OU149" s="22"/>
      <c r="OV149" s="22"/>
      <c r="OW149" s="22"/>
      <c r="OX149" s="22"/>
      <c r="OY149" s="22"/>
      <c r="OZ149" s="22"/>
      <c r="PA149" s="22"/>
      <c r="PG149" s="69"/>
      <c r="PH149" s="71"/>
      <c r="PI149" s="507"/>
    </row>
    <row r="150" spans="1:425" hidden="1">
      <c r="A150" s="71"/>
      <c r="B150" s="71"/>
      <c r="C150" s="91"/>
      <c r="D150" s="69"/>
      <c r="E150" s="74"/>
      <c r="F150" s="74"/>
      <c r="I150" s="90"/>
      <c r="J150" s="90"/>
      <c r="K150" s="90"/>
      <c r="L150" s="90"/>
      <c r="M150" s="90"/>
      <c r="N150" s="96"/>
      <c r="O150" s="74"/>
      <c r="P150" s="74"/>
      <c r="R150" s="90"/>
      <c r="S150" s="90"/>
      <c r="T150" s="90"/>
      <c r="U150" s="90"/>
      <c r="V150" s="90"/>
      <c r="W150" s="90"/>
      <c r="X150" s="90"/>
      <c r="Y150" s="69"/>
      <c r="Z150" s="90"/>
      <c r="AA150" s="90"/>
      <c r="AB150" s="90"/>
      <c r="AC150" s="90"/>
      <c r="AH150" s="69"/>
      <c r="AM150" s="90"/>
      <c r="AN150" s="11"/>
      <c r="AQ150" s="680"/>
      <c r="AR150" s="90"/>
      <c r="AS150" s="69"/>
      <c r="AT150" s="90"/>
      <c r="AU150" s="90"/>
      <c r="AV150" s="90"/>
      <c r="AW150" s="90"/>
      <c r="AX150" s="90"/>
      <c r="AY150" s="90"/>
      <c r="AZ150" s="90"/>
      <c r="BA150" s="90"/>
      <c r="BB150" s="90"/>
      <c r="BC150" s="90"/>
      <c r="BD150" s="90"/>
      <c r="BE150" s="90"/>
      <c r="BF150" s="148"/>
      <c r="BG150" s="417"/>
      <c r="BH150" s="71"/>
      <c r="BI150" s="255"/>
      <c r="BJ150" s="71"/>
      <c r="BK150" s="71"/>
      <c r="BL150" s="71"/>
      <c r="BM150" s="255"/>
      <c r="BN150" s="71"/>
      <c r="BO150" s="71"/>
      <c r="BP150" s="148"/>
      <c r="BQ150" s="71"/>
      <c r="BR150" s="71"/>
      <c r="CC150" s="69"/>
      <c r="CD150" s="90"/>
      <c r="CI150" s="148"/>
      <c r="CZ150" s="69"/>
      <c r="DA150" s="90"/>
      <c r="DI150" s="69"/>
      <c r="EG150" s="69"/>
      <c r="ER150" s="69"/>
      <c r="ES150" s="90"/>
      <c r="ET150" s="90"/>
      <c r="EU150" s="90"/>
      <c r="EV150" s="90"/>
      <c r="FQ150" s="677"/>
      <c r="FR150" s="677"/>
      <c r="FS150" s="677"/>
      <c r="FT150" s="677"/>
      <c r="FU150" s="677"/>
      <c r="FV150" s="677"/>
      <c r="FW150" s="69"/>
      <c r="GH150" s="69"/>
      <c r="GU150" s="148"/>
      <c r="GV150" s="71"/>
      <c r="GW150" s="71"/>
      <c r="GX150" s="71"/>
      <c r="GY150" s="71"/>
      <c r="GZ150" s="71"/>
      <c r="HA150" s="71"/>
      <c r="HB150" s="71"/>
      <c r="HC150" s="71"/>
      <c r="HD150" s="71"/>
      <c r="HE150" s="71"/>
      <c r="HF150" s="71"/>
      <c r="HG150" s="71"/>
      <c r="HH150" s="74"/>
      <c r="HI150" s="67"/>
      <c r="HJ150" s="71"/>
      <c r="HK150" s="71"/>
      <c r="HL150" s="71"/>
      <c r="HM150" s="71"/>
      <c r="HN150" s="71"/>
      <c r="HO150" s="71"/>
      <c r="HP150" s="71"/>
      <c r="HQ150" s="71"/>
      <c r="HR150" s="71"/>
      <c r="HS150" s="71"/>
      <c r="IE150" s="71"/>
      <c r="IF150" s="71"/>
      <c r="IG150" s="71"/>
      <c r="IH150" s="71"/>
      <c r="II150" s="71"/>
      <c r="IJ150" s="71"/>
      <c r="IK150" s="71"/>
      <c r="IL150" s="71"/>
      <c r="IM150" s="71"/>
      <c r="IN150" s="71"/>
      <c r="IO150" s="71"/>
      <c r="IP150" s="71"/>
      <c r="IQ150" s="74"/>
      <c r="IR150" s="69"/>
      <c r="JH150" s="69"/>
      <c r="JI150" s="90"/>
      <c r="JV150" s="71"/>
      <c r="JW150" s="71"/>
      <c r="JX150" s="71"/>
      <c r="JY150" s="71"/>
      <c r="JZ150" s="71"/>
      <c r="KA150" s="71"/>
      <c r="KB150" s="148"/>
      <c r="KC150" s="74"/>
      <c r="KI150" s="71"/>
      <c r="KJ150" s="71"/>
      <c r="KK150" s="71"/>
      <c r="KL150" s="71"/>
      <c r="KM150" s="340"/>
      <c r="KN150" s="340"/>
      <c r="KO150" s="71"/>
      <c r="KP150" s="71"/>
      <c r="KQ150" s="71"/>
      <c r="KR150" s="71"/>
      <c r="KS150" s="71"/>
      <c r="KT150" s="340"/>
      <c r="KU150" s="148"/>
      <c r="KV150" s="904"/>
      <c r="KW150" s="71"/>
      <c r="KX150" s="71"/>
      <c r="KY150" s="71"/>
      <c r="KZ150" s="71"/>
      <c r="LA150" s="71"/>
      <c r="LB150" s="71"/>
      <c r="LC150" s="71"/>
      <c r="LD150" s="71"/>
      <c r="LE150" s="71"/>
      <c r="LF150" s="71"/>
      <c r="LG150" s="71"/>
      <c r="LH150" s="71"/>
      <c r="LI150" s="71"/>
      <c r="LJ150" s="71"/>
      <c r="LK150" s="71"/>
      <c r="LL150" s="71"/>
      <c r="LM150" s="71"/>
      <c r="LN150" s="71"/>
      <c r="LO150" s="71"/>
      <c r="LP150" s="71"/>
      <c r="LQ150" s="71"/>
      <c r="LR150" s="71"/>
      <c r="LS150" s="71"/>
      <c r="LT150" s="402"/>
      <c r="LU150" s="402"/>
      <c r="LV150" s="402"/>
      <c r="LW150" s="402"/>
      <c r="LX150" s="402"/>
      <c r="LY150" s="900"/>
      <c r="LZ150" s="900"/>
      <c r="MA150" s="402"/>
      <c r="MB150" s="402"/>
      <c r="MC150" s="402"/>
      <c r="MD150" s="402"/>
      <c r="ME150" s="402"/>
      <c r="MF150" s="402"/>
      <c r="MG150" s="402"/>
      <c r="MH150" s="148"/>
      <c r="MI150" s="904"/>
      <c r="MJ150" s="904"/>
      <c r="MK150" s="904"/>
      <c r="ML150" s="904"/>
      <c r="MM150" s="394"/>
      <c r="MN150" s="394"/>
      <c r="MO150" s="394"/>
      <c r="MP150" s="394"/>
      <c r="MQ150" s="394"/>
      <c r="MR150" s="900"/>
      <c r="MS150" s="394"/>
      <c r="MT150" s="394"/>
      <c r="MU150" s="394"/>
      <c r="MV150" s="394"/>
      <c r="MW150" s="394"/>
      <c r="MX150" s="900"/>
      <c r="MY150" s="394"/>
      <c r="MZ150" s="394"/>
      <c r="NA150" s="684"/>
      <c r="NB150" s="684"/>
      <c r="NC150" s="394"/>
      <c r="ND150" s="394"/>
      <c r="NE150" s="394"/>
      <c r="NF150" s="394"/>
      <c r="NG150" s="394"/>
      <c r="NH150" s="394"/>
      <c r="NI150" s="731"/>
      <c r="NJ150" s="402"/>
      <c r="NK150" s="394"/>
      <c r="NL150" s="394"/>
      <c r="NM150" s="402"/>
      <c r="NN150" s="402"/>
      <c r="NO150" s="402"/>
      <c r="NP150" s="402"/>
      <c r="NQ150" s="402"/>
      <c r="NR150" s="402"/>
      <c r="NS150" s="402"/>
      <c r="NT150" s="402"/>
      <c r="NU150" s="148"/>
      <c r="NV150" s="687"/>
      <c r="NW150" s="687"/>
      <c r="NX150" s="794"/>
      <c r="NY150" s="687"/>
      <c r="NZ150" s="687"/>
      <c r="OA150" s="687"/>
      <c r="OB150" s="687"/>
      <c r="OC150" s="687"/>
      <c r="OD150" s="687"/>
      <c r="OE150" s="794"/>
      <c r="OF150" s="794"/>
      <c r="OG150" s="794"/>
      <c r="OH150" s="794"/>
      <c r="OI150" s="71"/>
      <c r="OJ150" s="71"/>
      <c r="OK150" s="402"/>
      <c r="OL150" s="402"/>
      <c r="OM150" s="402"/>
      <c r="OO150" s="186"/>
      <c r="OP150" s="30"/>
      <c r="OQ150" s="30"/>
      <c r="OR150" s="30"/>
      <c r="OS150" s="22"/>
      <c r="OT150" s="22"/>
      <c r="OU150" s="22"/>
      <c r="OV150" s="22"/>
      <c r="OW150" s="22"/>
      <c r="OX150" s="22"/>
      <c r="OY150" s="22"/>
      <c r="OZ150" s="22"/>
      <c r="PA150" s="22"/>
      <c r="PG150" s="69"/>
      <c r="PH150" s="71"/>
      <c r="PI150" s="507"/>
    </row>
    <row r="151" spans="1:425" hidden="1">
      <c r="A151" s="71"/>
      <c r="B151" s="71"/>
      <c r="C151" s="91"/>
      <c r="D151" s="69"/>
      <c r="E151" s="74"/>
      <c r="F151" s="74"/>
      <c r="I151" s="90"/>
      <c r="J151" s="90"/>
      <c r="K151" s="90"/>
      <c r="L151" s="90"/>
      <c r="M151" s="90"/>
      <c r="N151" s="96"/>
      <c r="O151" s="74"/>
      <c r="P151" s="74"/>
      <c r="R151" s="90"/>
      <c r="S151" s="90"/>
      <c r="T151" s="90"/>
      <c r="U151" s="90"/>
      <c r="V151" s="90"/>
      <c r="W151" s="90"/>
      <c r="X151" s="90"/>
      <c r="Y151" s="69"/>
      <c r="Z151" s="90"/>
      <c r="AA151" s="90"/>
      <c r="AB151" s="90"/>
      <c r="AC151" s="90"/>
      <c r="AH151" s="69"/>
      <c r="AM151" s="90"/>
      <c r="AN151" s="11"/>
      <c r="AQ151" s="680"/>
      <c r="AR151" s="90"/>
      <c r="AS151" s="69"/>
      <c r="AT151" s="90"/>
      <c r="AU151" s="90"/>
      <c r="AV151" s="90"/>
      <c r="AW151" s="90"/>
      <c r="AX151" s="90"/>
      <c r="AY151" s="90"/>
      <c r="AZ151" s="90"/>
      <c r="BA151" s="90"/>
      <c r="BB151" s="90"/>
      <c r="BC151" s="90"/>
      <c r="BD151" s="90"/>
      <c r="BE151" s="90"/>
      <c r="BF151" s="148"/>
      <c r="BG151" s="417"/>
      <c r="BH151" s="71"/>
      <c r="BI151" s="255"/>
      <c r="BJ151" s="71"/>
      <c r="BK151" s="71"/>
      <c r="BL151" s="71"/>
      <c r="BM151" s="255"/>
      <c r="BN151" s="71"/>
      <c r="BO151" s="71"/>
      <c r="BP151" s="148"/>
      <c r="BQ151" s="71"/>
      <c r="BR151" s="71"/>
      <c r="CC151" s="69"/>
      <c r="CD151" s="90"/>
      <c r="CI151" s="148"/>
      <c r="CZ151" s="69"/>
      <c r="DA151" s="90"/>
      <c r="DI151" s="69"/>
      <c r="EG151" s="69"/>
      <c r="ER151" s="69"/>
      <c r="ES151" s="90"/>
      <c r="ET151" s="90"/>
      <c r="EU151" s="90"/>
      <c r="EV151" s="90"/>
      <c r="FQ151" s="677"/>
      <c r="FR151" s="677"/>
      <c r="FS151" s="677"/>
      <c r="FT151" s="677"/>
      <c r="FU151" s="677"/>
      <c r="FV151" s="677"/>
      <c r="FW151" s="69"/>
      <c r="GH151" s="69"/>
      <c r="GU151" s="148"/>
      <c r="GV151" s="71"/>
      <c r="GW151" s="71"/>
      <c r="GX151" s="71"/>
      <c r="GY151" s="71"/>
      <c r="GZ151" s="71"/>
      <c r="HA151" s="71"/>
      <c r="HB151" s="71"/>
      <c r="HC151" s="71"/>
      <c r="HD151" s="71"/>
      <c r="HE151" s="71"/>
      <c r="HF151" s="71"/>
      <c r="HG151" s="71"/>
      <c r="HH151" s="74"/>
      <c r="HI151" s="67"/>
      <c r="HJ151" s="71"/>
      <c r="HK151" s="71"/>
      <c r="HL151" s="71"/>
      <c r="HM151" s="71"/>
      <c r="HN151" s="71"/>
      <c r="HO151" s="71"/>
      <c r="HP151" s="71"/>
      <c r="HQ151" s="71"/>
      <c r="HR151" s="71"/>
      <c r="HS151" s="71"/>
      <c r="IE151" s="71"/>
      <c r="IF151" s="71"/>
      <c r="IG151" s="71"/>
      <c r="IH151" s="71"/>
      <c r="II151" s="71"/>
      <c r="IJ151" s="71"/>
      <c r="IK151" s="71"/>
      <c r="IL151" s="71"/>
      <c r="IM151" s="71"/>
      <c r="IN151" s="71"/>
      <c r="IO151" s="71"/>
      <c r="IP151" s="71"/>
      <c r="IQ151" s="74"/>
      <c r="IR151" s="69"/>
      <c r="JH151" s="69"/>
      <c r="JI151" s="90"/>
      <c r="JV151" s="71"/>
      <c r="JW151" s="71"/>
      <c r="JX151" s="71"/>
      <c r="JY151" s="71"/>
      <c r="JZ151" s="71"/>
      <c r="KA151" s="71"/>
      <c r="KB151" s="148"/>
      <c r="KC151" s="74"/>
      <c r="KI151" s="71"/>
      <c r="KJ151" s="71"/>
      <c r="KK151" s="71"/>
      <c r="KL151" s="71"/>
      <c r="KM151" s="340"/>
      <c r="KN151" s="340"/>
      <c r="KO151" s="71"/>
      <c r="KP151" s="71"/>
      <c r="KQ151" s="71"/>
      <c r="KR151" s="71"/>
      <c r="KS151" s="71"/>
      <c r="KT151" s="340"/>
      <c r="KU151" s="148"/>
      <c r="KV151" s="904"/>
      <c r="KW151" s="71"/>
      <c r="KX151" s="71"/>
      <c r="KY151" s="71"/>
      <c r="KZ151" s="71"/>
      <c r="LA151" s="71"/>
      <c r="LB151" s="71"/>
      <c r="LC151" s="71"/>
      <c r="LD151" s="71"/>
      <c r="LE151" s="71"/>
      <c r="LF151" s="71"/>
      <c r="LG151" s="71"/>
      <c r="LH151" s="71"/>
      <c r="LI151" s="71"/>
      <c r="LJ151" s="71"/>
      <c r="LK151" s="71"/>
      <c r="LL151" s="71"/>
      <c r="LM151" s="71"/>
      <c r="LN151" s="71"/>
      <c r="LO151" s="71"/>
      <c r="LP151" s="71"/>
      <c r="LQ151" s="71"/>
      <c r="LR151" s="71"/>
      <c r="LS151" s="71"/>
      <c r="LT151" s="402"/>
      <c r="LU151" s="402"/>
      <c r="LV151" s="402"/>
      <c r="LW151" s="402"/>
      <c r="LX151" s="402"/>
      <c r="LY151" s="900"/>
      <c r="LZ151" s="900"/>
      <c r="MA151" s="402"/>
      <c r="MB151" s="402"/>
      <c r="MC151" s="402"/>
      <c r="MD151" s="402"/>
      <c r="ME151" s="402"/>
      <c r="MF151" s="402"/>
      <c r="MG151" s="402"/>
      <c r="MH151" s="148"/>
      <c r="MI151" s="904"/>
      <c r="MJ151" s="904"/>
      <c r="MK151" s="904"/>
      <c r="ML151" s="904"/>
      <c r="MM151" s="394"/>
      <c r="MN151" s="394"/>
      <c r="MO151" s="394"/>
      <c r="MP151" s="394"/>
      <c r="MQ151" s="394"/>
      <c r="MR151" s="900"/>
      <c r="MS151" s="394"/>
      <c r="MT151" s="394"/>
      <c r="MU151" s="394"/>
      <c r="MV151" s="394"/>
      <c r="MW151" s="394"/>
      <c r="MX151" s="900"/>
      <c r="MY151" s="394"/>
      <c r="MZ151" s="394"/>
      <c r="NA151" s="684"/>
      <c r="NB151" s="684"/>
      <c r="NC151" s="394"/>
      <c r="ND151" s="394"/>
      <c r="NE151" s="394"/>
      <c r="NF151" s="394"/>
      <c r="NG151" s="394"/>
      <c r="NH151" s="394"/>
      <c r="NI151" s="731"/>
      <c r="NJ151" s="402"/>
      <c r="NK151" s="394"/>
      <c r="NL151" s="394"/>
      <c r="NM151" s="402"/>
      <c r="NN151" s="402"/>
      <c r="NO151" s="402"/>
      <c r="NP151" s="402"/>
      <c r="NQ151" s="402"/>
      <c r="NR151" s="402"/>
      <c r="NS151" s="402"/>
      <c r="NT151" s="402"/>
      <c r="NU151" s="148"/>
      <c r="NV151" s="687"/>
      <c r="NW151" s="687"/>
      <c r="NX151" s="794"/>
      <c r="NY151" s="687"/>
      <c r="NZ151" s="687"/>
      <c r="OA151" s="687"/>
      <c r="OB151" s="687"/>
      <c r="OC151" s="687"/>
      <c r="OD151" s="687"/>
      <c r="OE151" s="794"/>
      <c r="OF151" s="794"/>
      <c r="OG151" s="794"/>
      <c r="OH151" s="794"/>
      <c r="OI151" s="71"/>
      <c r="OJ151" s="71"/>
      <c r="OK151" s="402"/>
      <c r="OL151" s="402"/>
      <c r="OM151" s="402"/>
      <c r="OO151" s="186"/>
      <c r="OP151" s="30"/>
      <c r="OQ151" s="30"/>
      <c r="OR151" s="30"/>
      <c r="OS151" s="22"/>
      <c r="OT151" s="22"/>
      <c r="OU151" s="22"/>
      <c r="OV151" s="22"/>
      <c r="OW151" s="22"/>
      <c r="OX151" s="22"/>
      <c r="OY151" s="22"/>
      <c r="OZ151" s="22"/>
      <c r="PA151" s="22"/>
      <c r="PG151" s="69"/>
      <c r="PH151" s="71"/>
      <c r="PI151" s="507"/>
    </row>
    <row r="152" spans="1:425">
      <c r="A152" s="71">
        <v>1970</v>
      </c>
      <c r="B152" s="71" t="s">
        <v>721</v>
      </c>
      <c r="C152" s="91"/>
      <c r="D152" s="69"/>
      <c r="E152" s="93">
        <f>AVERAGE(E62:E71)</f>
        <v>0.10405292616906572</v>
      </c>
      <c r="F152" s="93"/>
      <c r="I152" s="90"/>
      <c r="J152" s="90"/>
      <c r="K152" s="90"/>
      <c r="L152" s="90"/>
      <c r="M152" s="90"/>
      <c r="N152" s="94">
        <f>AVERAGE(N62:N71)</f>
        <v>0.12483766779662672</v>
      </c>
      <c r="O152" s="93"/>
      <c r="P152" s="93"/>
      <c r="R152" s="90"/>
      <c r="S152" s="90"/>
      <c r="T152" s="90"/>
      <c r="U152" s="90"/>
      <c r="V152" s="90"/>
      <c r="W152" s="90"/>
      <c r="X152" s="90"/>
      <c r="Y152" s="69"/>
      <c r="Z152" s="90"/>
      <c r="AA152" s="90"/>
      <c r="AB152" s="90"/>
      <c r="AC152" s="90"/>
      <c r="AH152" s="69" t="s">
        <v>852</v>
      </c>
      <c r="AJ152" s="159">
        <f>AK152*AJ122</f>
        <v>452.73599999999999</v>
      </c>
      <c r="AK152" s="241">
        <v>2.7E-2</v>
      </c>
      <c r="AL152" s="68" t="s">
        <v>850</v>
      </c>
      <c r="AM152" s="90"/>
      <c r="AN152" s="11"/>
      <c r="AQ152" s="93">
        <f>AVERAGE(AQ62:AQ71)</f>
        <v>6.5020068093304823E-2</v>
      </c>
      <c r="AR152" s="90"/>
      <c r="AS152" s="69"/>
      <c r="AT152" s="90"/>
      <c r="AU152" s="90"/>
      <c r="AV152" s="90"/>
      <c r="AW152" s="90"/>
      <c r="AX152" s="90"/>
      <c r="AY152" s="90"/>
      <c r="AZ152" s="90"/>
      <c r="BA152" s="90"/>
      <c r="BB152" s="90"/>
      <c r="BC152" s="90"/>
      <c r="BD152" s="90"/>
      <c r="BE152" s="90"/>
      <c r="BF152" s="147">
        <f>AVERAGE(BF62:BF71)</f>
        <v>0.47919999999999996</v>
      </c>
      <c r="BG152" s="93"/>
      <c r="BH152" s="101">
        <f>AVERAGE(BH62:BH71)</f>
        <v>0.34013145377190201</v>
      </c>
      <c r="BI152" s="254">
        <f>AVERAGE(BI62:BI71)</f>
        <v>0.34013145377190201</v>
      </c>
      <c r="BJ152" s="101">
        <f>AVERAGE(BJ62:BJ71)</f>
        <v>0.31790979493064409</v>
      </c>
      <c r="BK152" s="101">
        <f>AVERAGE(BK62:BK71)</f>
        <v>0.4046649857389501</v>
      </c>
      <c r="BL152" s="101"/>
      <c r="BM152" s="254">
        <f>AVERAGE(BM62:BM71)</f>
        <v>0.40985032103178326</v>
      </c>
      <c r="BN152" s="101">
        <f>AVERAGE(BN62:BN71)</f>
        <v>0.35162857596340807</v>
      </c>
      <c r="BO152" s="101">
        <f>AVERAGE(BO62:BO71)</f>
        <v>0.32719386321539334</v>
      </c>
      <c r="BP152" s="147"/>
      <c r="BQ152" s="101"/>
      <c r="BR152" s="101"/>
      <c r="CC152" s="69"/>
      <c r="CD152" s="90"/>
      <c r="CH152" s="94">
        <f>AVERAGE(CH62:CH72)</f>
        <v>0.89333729087944558</v>
      </c>
      <c r="CI152" s="727">
        <f>CH152*N152</f>
        <v>0.11152214394914672</v>
      </c>
      <c r="CZ152" s="69"/>
      <c r="DA152" s="90"/>
      <c r="DI152" s="69"/>
      <c r="EG152" s="69"/>
      <c r="ER152" s="69"/>
      <c r="ES152" s="90"/>
      <c r="ET152" s="90"/>
      <c r="EU152" s="90"/>
      <c r="EV152" s="90"/>
      <c r="FQ152" s="681">
        <f>AVERAGE(FQ62:FQ71)</f>
        <v>1.8749379090467012E-2</v>
      </c>
      <c r="FR152" s="681">
        <f>AVERAGE(FR62:FR71)</f>
        <v>0.10608828870615974</v>
      </c>
      <c r="FS152" s="681">
        <f>AVERAGE(FS62:FS71)</f>
        <v>1.9792363467586831E-3</v>
      </c>
      <c r="FT152" s="681"/>
      <c r="FU152" s="681"/>
      <c r="FV152" s="681">
        <f>AVERAGE(FV62:FV71)</f>
        <v>1.1026532804571262E-2</v>
      </c>
      <c r="FW152" s="69"/>
      <c r="GH152" s="69"/>
      <c r="GU152" s="148"/>
      <c r="GV152" s="71"/>
      <c r="GW152" s="71"/>
      <c r="GX152" s="71"/>
      <c r="GY152" s="71"/>
      <c r="GZ152" s="71"/>
      <c r="HA152" s="71"/>
      <c r="HB152" s="71"/>
      <c r="HC152" s="71"/>
      <c r="HD152" s="71"/>
      <c r="HE152" s="71"/>
      <c r="HF152" s="71"/>
      <c r="HG152" s="71"/>
      <c r="HH152" s="74"/>
      <c r="HI152" s="67"/>
      <c r="HJ152" s="71"/>
      <c r="HK152" s="71"/>
      <c r="HL152" s="71"/>
      <c r="HM152" s="71"/>
      <c r="HN152" s="71"/>
      <c r="HO152" s="71"/>
      <c r="HP152" s="71"/>
      <c r="HQ152" s="71"/>
      <c r="HR152" s="71"/>
      <c r="HS152" s="71"/>
      <c r="IE152" s="71"/>
      <c r="IF152" s="71"/>
      <c r="IG152" s="71"/>
      <c r="IH152" s="71"/>
      <c r="II152" s="71"/>
      <c r="IJ152" s="71"/>
      <c r="IK152" s="71"/>
      <c r="IL152" s="71"/>
      <c r="IM152" s="71"/>
      <c r="IN152" s="71"/>
      <c r="IO152" s="71"/>
      <c r="IP152" s="71"/>
      <c r="IQ152" s="74"/>
      <c r="IR152" s="69"/>
      <c r="JH152" s="69"/>
      <c r="JI152" s="90"/>
      <c r="JV152" s="71"/>
      <c r="JW152" s="71"/>
      <c r="JX152" s="71"/>
      <c r="JY152" s="71"/>
      <c r="JZ152" s="71"/>
      <c r="KA152" s="71"/>
      <c r="KB152" s="148"/>
      <c r="KC152" s="74"/>
      <c r="KI152" s="71"/>
      <c r="KJ152" s="71"/>
      <c r="KK152" s="71"/>
      <c r="KL152" s="71"/>
      <c r="KM152" s="340"/>
      <c r="KN152" s="340"/>
      <c r="KO152" s="71"/>
      <c r="KP152" s="71"/>
      <c r="KQ152" s="71"/>
      <c r="KR152" s="71"/>
      <c r="KS152" s="71"/>
      <c r="KT152" s="340"/>
      <c r="KU152" s="148"/>
      <c r="KV152" s="904"/>
      <c r="KW152" s="71"/>
      <c r="KX152" s="71"/>
      <c r="KY152" s="71"/>
      <c r="KZ152" s="71"/>
      <c r="LA152" s="71"/>
      <c r="LB152" s="71"/>
      <c r="LC152" s="71"/>
      <c r="LD152" s="71"/>
      <c r="LE152" s="71"/>
      <c r="LF152" s="71"/>
      <c r="LG152" s="71"/>
      <c r="LH152" s="71"/>
      <c r="LI152" s="71"/>
      <c r="LJ152" s="71"/>
      <c r="LK152" s="71"/>
      <c r="LL152" s="71"/>
      <c r="LM152" s="71"/>
      <c r="LN152" s="71"/>
      <c r="LO152" s="71"/>
      <c r="LP152" s="71"/>
      <c r="LQ152" s="71"/>
      <c r="LR152" s="71"/>
      <c r="LS152" s="71"/>
      <c r="LT152" s="402"/>
      <c r="LU152" s="402"/>
      <c r="LV152" s="402"/>
      <c r="LW152" s="402"/>
      <c r="LX152" s="402"/>
      <c r="LY152" s="900"/>
      <c r="LZ152" s="900"/>
      <c r="MA152" s="402"/>
      <c r="MB152" s="402"/>
      <c r="MC152" s="402"/>
      <c r="MD152" s="402"/>
      <c r="ME152" s="402"/>
      <c r="MF152" s="402"/>
      <c r="MG152" s="402"/>
      <c r="MH152" s="148"/>
      <c r="MI152" s="904"/>
      <c r="MJ152" s="904"/>
      <c r="MK152" s="904"/>
      <c r="ML152" s="904"/>
      <c r="MM152" s="394"/>
      <c r="MN152" s="394"/>
      <c r="MO152" s="394"/>
      <c r="MP152" s="394"/>
      <c r="MQ152" s="394"/>
      <c r="MR152" s="900"/>
      <c r="MS152" s="394"/>
      <c r="MT152" s="394"/>
      <c r="MU152" s="394"/>
      <c r="MV152" s="394"/>
      <c r="MW152" s="394"/>
      <c r="MX152" s="900"/>
      <c r="MY152" s="394"/>
      <c r="MZ152" s="394"/>
      <c r="NA152" s="684"/>
      <c r="NB152" s="684"/>
      <c r="NC152" s="394"/>
      <c r="ND152" s="394"/>
      <c r="NE152" s="394"/>
      <c r="NF152" s="394"/>
      <c r="NG152" s="394"/>
      <c r="NH152" s="394"/>
      <c r="NI152" s="731"/>
      <c r="NJ152" s="402"/>
      <c r="NK152" s="394"/>
      <c r="NL152" s="394"/>
      <c r="NM152" s="402"/>
      <c r="NN152" s="402"/>
      <c r="NO152" s="402"/>
      <c r="NP152" s="402"/>
      <c r="NQ152" s="402"/>
      <c r="NR152" s="402"/>
      <c r="NS152" s="402"/>
      <c r="NT152" s="402"/>
      <c r="NU152" s="147" t="e">
        <f>AVERAGE(NU62:NU71)</f>
        <v>#DIV/0!</v>
      </c>
      <c r="NV152" s="93">
        <f>AVERAGE(NV62:NV71)</f>
        <v>0.10629340587763929</v>
      </c>
      <c r="NW152" s="93">
        <f>AVERAGE(NW62:NW71)</f>
        <v>0.15571411632177265</v>
      </c>
      <c r="NX152" s="93"/>
      <c r="NY152" s="93" t="e">
        <f>AVERAGE(NY62:NY71)</f>
        <v>#DIV/0!</v>
      </c>
      <c r="NZ152" s="93">
        <f>AVERAGE(NZ62:NZ71)</f>
        <v>8.6361180942939916E-2</v>
      </c>
      <c r="OA152" s="687"/>
      <c r="OB152" s="687"/>
      <c r="OC152" s="687"/>
      <c r="OD152" s="687"/>
      <c r="OE152" s="794"/>
      <c r="OF152" s="794"/>
      <c r="OG152" s="794"/>
      <c r="OH152" s="794"/>
      <c r="OI152" s="71"/>
      <c r="OJ152" s="71"/>
      <c r="OK152" s="402"/>
      <c r="OL152" s="402"/>
      <c r="OM152" s="402"/>
      <c r="OO152" s="186"/>
      <c r="OP152" s="30"/>
      <c r="OQ152" s="30"/>
      <c r="OR152" s="30"/>
      <c r="OS152" s="22"/>
      <c r="OT152" s="22"/>
      <c r="OU152" s="22"/>
      <c r="OV152" s="22"/>
      <c r="OW152" s="22"/>
      <c r="OX152" s="22"/>
      <c r="OY152" s="22"/>
      <c r="OZ152" s="22"/>
      <c r="PA152" s="22"/>
      <c r="PG152" s="69"/>
      <c r="PH152" s="71"/>
      <c r="PI152" s="507"/>
    </row>
    <row r="153" spans="1:425" hidden="1">
      <c r="A153" s="71"/>
      <c r="B153" s="71"/>
      <c r="C153" s="91"/>
      <c r="D153" s="69"/>
      <c r="E153" s="74"/>
      <c r="F153" s="74"/>
      <c r="I153" s="90"/>
      <c r="J153" s="90"/>
      <c r="K153" s="90"/>
      <c r="L153" s="90"/>
      <c r="M153" s="90"/>
      <c r="N153" s="96"/>
      <c r="O153" s="74"/>
      <c r="P153" s="74"/>
      <c r="R153" s="90"/>
      <c r="S153" s="90"/>
      <c r="T153" s="90"/>
      <c r="U153" s="90"/>
      <c r="V153" s="90"/>
      <c r="W153" s="90"/>
      <c r="X153" s="90"/>
      <c r="Y153" s="69"/>
      <c r="Z153" s="90"/>
      <c r="AA153" s="90"/>
      <c r="AB153" s="90"/>
      <c r="AC153" s="90"/>
      <c r="AH153" s="69"/>
      <c r="AM153" s="90"/>
      <c r="AQ153" s="680"/>
      <c r="AR153" s="90"/>
      <c r="AS153" s="69"/>
      <c r="AT153" s="90"/>
      <c r="AU153" s="90"/>
      <c r="AV153" s="90"/>
      <c r="AW153" s="90"/>
      <c r="AX153" s="90"/>
      <c r="AY153" s="90"/>
      <c r="AZ153" s="90"/>
      <c r="BA153" s="90"/>
      <c r="BB153" s="90"/>
      <c r="BC153" s="90"/>
      <c r="BD153" s="90"/>
      <c r="BE153" s="90"/>
      <c r="BF153" s="148"/>
      <c r="BG153" s="417"/>
      <c r="BH153" s="71"/>
      <c r="BI153" s="255"/>
      <c r="BJ153" s="71"/>
      <c r="BK153" s="71"/>
      <c r="BL153" s="71"/>
      <c r="BM153" s="255"/>
      <c r="BN153" s="71"/>
      <c r="BO153" s="71"/>
      <c r="BP153" s="148"/>
      <c r="BQ153" s="71"/>
      <c r="BR153" s="71"/>
      <c r="CC153" s="69"/>
      <c r="CD153" s="90"/>
      <c r="CI153" s="148"/>
      <c r="CZ153" s="69"/>
      <c r="DA153" s="90"/>
      <c r="DI153" s="69"/>
      <c r="EG153" s="69"/>
      <c r="ER153" s="69"/>
      <c r="ES153" s="90"/>
      <c r="ET153" s="90"/>
      <c r="EU153" s="90"/>
      <c r="EV153" s="90"/>
      <c r="FQ153" s="677"/>
      <c r="FR153" s="677"/>
      <c r="FS153" s="677"/>
      <c r="FT153" s="677"/>
      <c r="FU153" s="677"/>
      <c r="FV153" s="677"/>
      <c r="FW153" s="69"/>
      <c r="GH153" s="69"/>
      <c r="GU153" s="148"/>
      <c r="GV153" s="71"/>
      <c r="GW153" s="71"/>
      <c r="GX153" s="71"/>
      <c r="GY153" s="71"/>
      <c r="GZ153" s="71"/>
      <c r="HA153" s="71"/>
      <c r="HB153" s="71"/>
      <c r="HC153" s="71"/>
      <c r="HD153" s="71"/>
      <c r="HE153" s="71"/>
      <c r="HF153" s="71"/>
      <c r="HG153" s="71"/>
      <c r="HH153" s="74"/>
      <c r="HI153" s="67"/>
      <c r="HS153" s="71"/>
      <c r="IF153" s="71"/>
      <c r="IG153" s="71"/>
      <c r="IH153" s="71"/>
      <c r="II153" s="71"/>
      <c r="IJ153" s="71"/>
      <c r="IK153" s="71"/>
      <c r="IL153" s="71"/>
      <c r="IM153" s="71"/>
      <c r="IN153" s="71"/>
      <c r="IO153" s="71"/>
      <c r="IP153" s="71"/>
      <c r="IQ153" s="74"/>
      <c r="IR153" s="69"/>
      <c r="JH153" s="69"/>
      <c r="JI153" s="90"/>
      <c r="JV153" s="71"/>
      <c r="JW153" s="71"/>
      <c r="JX153" s="71"/>
      <c r="JY153" s="71"/>
      <c r="JZ153" s="71"/>
      <c r="KA153" s="71"/>
      <c r="KB153" s="148"/>
      <c r="KC153" s="74"/>
      <c r="KI153" s="71"/>
      <c r="KJ153" s="71"/>
      <c r="KK153" s="71"/>
      <c r="KL153" s="71"/>
      <c r="KM153" s="340"/>
      <c r="KN153" s="340"/>
      <c r="KO153" s="71"/>
      <c r="KP153" s="71"/>
      <c r="KQ153" s="71"/>
      <c r="KR153" s="71"/>
      <c r="KS153" s="71"/>
      <c r="KT153" s="340"/>
      <c r="KU153" s="148"/>
      <c r="KV153" s="904"/>
      <c r="KW153" s="71"/>
      <c r="KX153" s="71"/>
      <c r="KY153" s="71"/>
      <c r="KZ153" s="71"/>
      <c r="LA153" s="71"/>
      <c r="LB153" s="71"/>
      <c r="LC153" s="71"/>
      <c r="LD153" s="71"/>
      <c r="LE153" s="71"/>
      <c r="LF153" s="71"/>
      <c r="LG153" s="71"/>
      <c r="LH153" s="71"/>
      <c r="LI153" s="71"/>
      <c r="LJ153" s="71"/>
      <c r="LK153" s="71"/>
      <c r="LL153" s="71"/>
      <c r="LM153" s="71"/>
      <c r="LN153" s="71"/>
      <c r="LO153" s="71"/>
      <c r="LP153" s="71"/>
      <c r="LQ153" s="71"/>
      <c r="LR153" s="71"/>
      <c r="LS153" s="71"/>
      <c r="LT153" s="402"/>
      <c r="LU153" s="402"/>
      <c r="LV153" s="402"/>
      <c r="LW153" s="402"/>
      <c r="LX153" s="402"/>
      <c r="LY153" s="900"/>
      <c r="LZ153" s="900"/>
      <c r="MA153" s="402"/>
      <c r="MB153" s="402"/>
      <c r="MC153" s="402"/>
      <c r="MD153" s="402"/>
      <c r="ME153" s="402"/>
      <c r="MF153" s="402"/>
      <c r="MG153" s="402"/>
      <c r="MH153" s="148"/>
      <c r="MI153" s="904"/>
      <c r="MJ153" s="904"/>
      <c r="MK153" s="904"/>
      <c r="ML153" s="904"/>
      <c r="MM153" s="394"/>
      <c r="MN153" s="394"/>
      <c r="MO153" s="394"/>
      <c r="MP153" s="394"/>
      <c r="MQ153" s="394"/>
      <c r="MR153" s="900"/>
      <c r="MS153" s="394"/>
      <c r="MT153" s="394"/>
      <c r="MU153" s="394"/>
      <c r="MV153" s="394"/>
      <c r="MW153" s="394"/>
      <c r="MX153" s="900"/>
      <c r="MY153" s="394"/>
      <c r="MZ153" s="394"/>
      <c r="NA153" s="684"/>
      <c r="NB153" s="684"/>
      <c r="NC153" s="394"/>
      <c r="ND153" s="394"/>
      <c r="NE153" s="394"/>
      <c r="NF153" s="394"/>
      <c r="NG153" s="394"/>
      <c r="NH153" s="394"/>
      <c r="NI153" s="731"/>
      <c r="NJ153" s="402"/>
      <c r="NK153" s="394"/>
      <c r="NL153" s="394"/>
      <c r="NM153" s="402"/>
      <c r="NN153" s="402"/>
      <c r="NO153" s="402"/>
      <c r="NP153" s="402"/>
      <c r="NQ153" s="402"/>
      <c r="NR153" s="402"/>
      <c r="NS153" s="402"/>
      <c r="NT153" s="402"/>
      <c r="NU153" s="148"/>
      <c r="NV153" s="687"/>
      <c r="NW153" s="687"/>
      <c r="NX153" s="794"/>
      <c r="NY153" s="687"/>
      <c r="NZ153" s="687"/>
      <c r="OA153" s="687"/>
      <c r="OB153" s="687"/>
      <c r="OC153" s="687"/>
      <c r="OD153" s="687"/>
      <c r="OE153" s="794"/>
      <c r="OF153" s="794"/>
      <c r="OG153" s="794"/>
      <c r="OH153" s="794"/>
      <c r="OI153" s="71"/>
      <c r="OJ153" s="71"/>
      <c r="OK153" s="402"/>
      <c r="OL153" s="402"/>
      <c r="OM153" s="402"/>
      <c r="OO153" s="67"/>
      <c r="PG153" s="69"/>
      <c r="PH153" s="71"/>
      <c r="PI153" s="507"/>
    </row>
    <row r="154" spans="1:425" hidden="1">
      <c r="A154" s="71"/>
      <c r="B154" s="71"/>
      <c r="C154" s="91"/>
      <c r="D154" s="69"/>
      <c r="E154" s="74"/>
      <c r="F154" s="74"/>
      <c r="I154" s="90"/>
      <c r="J154" s="90"/>
      <c r="K154" s="90"/>
      <c r="L154" s="90"/>
      <c r="M154" s="90"/>
      <c r="N154" s="96"/>
      <c r="O154" s="74"/>
      <c r="P154" s="74"/>
      <c r="R154" s="90"/>
      <c r="S154" s="90"/>
      <c r="T154" s="90"/>
      <c r="U154" s="90"/>
      <c r="V154" s="90"/>
      <c r="W154" s="90"/>
      <c r="X154" s="90"/>
      <c r="Y154" s="69"/>
      <c r="Z154" s="90"/>
      <c r="AA154" s="90"/>
      <c r="AB154" s="90"/>
      <c r="AC154" s="90"/>
      <c r="AH154" s="69"/>
      <c r="AM154" s="90"/>
      <c r="AQ154" s="680"/>
      <c r="AR154" s="90"/>
      <c r="AS154" s="69"/>
      <c r="AT154" s="90"/>
      <c r="AU154" s="90"/>
      <c r="AV154" s="90"/>
      <c r="AW154" s="90"/>
      <c r="AX154" s="90"/>
      <c r="AY154" s="90"/>
      <c r="AZ154" s="90"/>
      <c r="BA154" s="90"/>
      <c r="BB154" s="90"/>
      <c r="BC154" s="90"/>
      <c r="BD154" s="90"/>
      <c r="BE154" s="90"/>
      <c r="BF154" s="148"/>
      <c r="BG154" s="417"/>
      <c r="BH154" s="71"/>
      <c r="BI154" s="255"/>
      <c r="BJ154" s="71"/>
      <c r="BK154" s="71"/>
      <c r="BL154" s="71"/>
      <c r="BM154" s="255"/>
      <c r="BN154" s="71"/>
      <c r="BO154" s="71"/>
      <c r="BP154" s="148"/>
      <c r="BQ154" s="71"/>
      <c r="BR154" s="71"/>
      <c r="CC154" s="69"/>
      <c r="CD154" s="90"/>
      <c r="CI154" s="148"/>
      <c r="CZ154" s="69"/>
      <c r="DA154" s="90"/>
      <c r="DI154" s="69"/>
      <c r="EG154" s="69"/>
      <c r="ER154" s="69"/>
      <c r="ES154" s="90"/>
      <c r="ET154" s="90"/>
      <c r="EU154" s="90"/>
      <c r="EV154" s="90"/>
      <c r="FQ154" s="677"/>
      <c r="FR154" s="677"/>
      <c r="FS154" s="677"/>
      <c r="FT154" s="677"/>
      <c r="FU154" s="677"/>
      <c r="FV154" s="677"/>
      <c r="FW154" s="69"/>
      <c r="GH154" s="69"/>
      <c r="GU154" s="148"/>
      <c r="GV154" s="71"/>
      <c r="GW154" s="71"/>
      <c r="GX154" s="71"/>
      <c r="GY154" s="71"/>
      <c r="GZ154" s="71"/>
      <c r="HA154" s="71"/>
      <c r="HB154" s="71"/>
      <c r="HC154" s="71"/>
      <c r="HD154" s="71"/>
      <c r="HE154" s="71"/>
      <c r="HF154" s="71"/>
      <c r="HG154" s="71"/>
      <c r="HH154" s="74"/>
      <c r="HI154" s="67"/>
      <c r="HS154" s="71"/>
      <c r="IF154" s="71"/>
      <c r="IG154" s="71"/>
      <c r="IH154" s="71"/>
      <c r="II154" s="71"/>
      <c r="IJ154" s="71"/>
      <c r="IK154" s="71"/>
      <c r="IL154" s="71"/>
      <c r="IM154" s="71"/>
      <c r="IN154" s="71"/>
      <c r="IO154" s="71"/>
      <c r="IP154" s="71"/>
      <c r="IQ154" s="74"/>
      <c r="IR154" s="69"/>
      <c r="JH154" s="69"/>
      <c r="JI154" s="90"/>
      <c r="JV154" s="71"/>
      <c r="JW154" s="71"/>
      <c r="JX154" s="71"/>
      <c r="JY154" s="71"/>
      <c r="JZ154" s="71"/>
      <c r="KA154" s="71"/>
      <c r="KB154" s="148"/>
      <c r="KC154" s="74"/>
      <c r="KI154" s="71"/>
      <c r="KJ154" s="71"/>
      <c r="KK154" s="71"/>
      <c r="KL154" s="71"/>
      <c r="KM154" s="340"/>
      <c r="KN154" s="340"/>
      <c r="KO154" s="71"/>
      <c r="KP154" s="71"/>
      <c r="KQ154" s="71"/>
      <c r="KR154" s="71"/>
      <c r="KS154" s="71"/>
      <c r="KT154" s="340"/>
      <c r="KU154" s="148"/>
      <c r="KV154" s="904"/>
      <c r="KW154" s="71"/>
      <c r="KX154" s="71"/>
      <c r="KY154" s="71"/>
      <c r="KZ154" s="71"/>
      <c r="LA154" s="71"/>
      <c r="LB154" s="71"/>
      <c r="LC154" s="71"/>
      <c r="LD154" s="71"/>
      <c r="LE154" s="71"/>
      <c r="LF154" s="71"/>
      <c r="LG154" s="71"/>
      <c r="LH154" s="71"/>
      <c r="LI154" s="71"/>
      <c r="LJ154" s="71"/>
      <c r="LK154" s="71"/>
      <c r="LL154" s="71"/>
      <c r="LM154" s="71"/>
      <c r="LN154" s="71"/>
      <c r="LO154" s="71"/>
      <c r="LP154" s="71"/>
      <c r="LQ154" s="71"/>
      <c r="LR154" s="71"/>
      <c r="LS154" s="71"/>
      <c r="LT154" s="402"/>
      <c r="LU154" s="402"/>
      <c r="LV154" s="402"/>
      <c r="LW154" s="402"/>
      <c r="LX154" s="402"/>
      <c r="LY154" s="900"/>
      <c r="LZ154" s="900"/>
      <c r="MA154" s="402"/>
      <c r="MB154" s="402"/>
      <c r="MC154" s="402"/>
      <c r="MD154" s="402"/>
      <c r="ME154" s="402"/>
      <c r="MF154" s="402"/>
      <c r="MG154" s="402"/>
      <c r="MH154" s="148"/>
      <c r="MI154" s="904"/>
      <c r="MJ154" s="904"/>
      <c r="MK154" s="904"/>
      <c r="ML154" s="904"/>
      <c r="MM154" s="394"/>
      <c r="MN154" s="394"/>
      <c r="MO154" s="394"/>
      <c r="MP154" s="394"/>
      <c r="MQ154" s="394"/>
      <c r="MR154" s="900"/>
      <c r="MS154" s="394"/>
      <c r="MT154" s="394"/>
      <c r="MU154" s="394"/>
      <c r="MV154" s="394"/>
      <c r="MW154" s="394"/>
      <c r="MX154" s="900"/>
      <c r="MY154" s="394"/>
      <c r="MZ154" s="394"/>
      <c r="NA154" s="684"/>
      <c r="NB154" s="684"/>
      <c r="NC154" s="394"/>
      <c r="ND154" s="394"/>
      <c r="NE154" s="394"/>
      <c r="NF154" s="394"/>
      <c r="NG154" s="394"/>
      <c r="NH154" s="394"/>
      <c r="NI154" s="731"/>
      <c r="NJ154" s="402"/>
      <c r="NK154" s="394"/>
      <c r="NL154" s="394"/>
      <c r="NM154" s="402"/>
      <c r="NN154" s="402"/>
      <c r="NO154" s="402"/>
      <c r="NP154" s="402"/>
      <c r="NQ154" s="402"/>
      <c r="NR154" s="402"/>
      <c r="NS154" s="402"/>
      <c r="NT154" s="402"/>
      <c r="NU154" s="148"/>
      <c r="NV154" s="687"/>
      <c r="NW154" s="687"/>
      <c r="NX154" s="794"/>
      <c r="NY154" s="687"/>
      <c r="NZ154" s="687"/>
      <c r="OA154" s="687"/>
      <c r="OB154" s="687"/>
      <c r="OC154" s="687"/>
      <c r="OD154" s="687"/>
      <c r="OE154" s="794"/>
      <c r="OF154" s="794"/>
      <c r="OG154" s="794"/>
      <c r="OH154" s="794"/>
      <c r="OI154" s="71"/>
      <c r="OJ154" s="71"/>
      <c r="OK154" s="402"/>
      <c r="OL154" s="402"/>
      <c r="OM154" s="402"/>
      <c r="OO154" s="67"/>
      <c r="PG154" s="69"/>
      <c r="PH154" s="71"/>
      <c r="PI154" s="507"/>
    </row>
    <row r="155" spans="1:425" hidden="1">
      <c r="A155" s="71"/>
      <c r="B155" s="71"/>
      <c r="C155" s="91"/>
      <c r="D155" s="69"/>
      <c r="E155" s="74"/>
      <c r="F155" s="74"/>
      <c r="I155" s="90"/>
      <c r="J155" s="90"/>
      <c r="K155" s="90"/>
      <c r="L155" s="90"/>
      <c r="M155" s="90"/>
      <c r="N155" s="96"/>
      <c r="O155" s="74"/>
      <c r="P155" s="74"/>
      <c r="R155" s="90"/>
      <c r="S155" s="90"/>
      <c r="T155" s="90"/>
      <c r="U155" s="90"/>
      <c r="V155" s="90"/>
      <c r="W155" s="90"/>
      <c r="X155" s="90"/>
      <c r="Y155" s="69"/>
      <c r="Z155" s="90"/>
      <c r="AA155" s="90"/>
      <c r="AB155" s="90"/>
      <c r="AC155" s="90"/>
      <c r="AH155" s="69"/>
      <c r="AM155" s="90"/>
      <c r="AQ155" s="680"/>
      <c r="AR155" s="90"/>
      <c r="AS155" s="69"/>
      <c r="AT155" s="90"/>
      <c r="AU155" s="90"/>
      <c r="AV155" s="90"/>
      <c r="AW155" s="90"/>
      <c r="AX155" s="90"/>
      <c r="AY155" s="90"/>
      <c r="AZ155" s="90"/>
      <c r="BA155" s="90"/>
      <c r="BB155" s="90"/>
      <c r="BC155" s="90"/>
      <c r="BD155" s="90"/>
      <c r="BE155" s="90"/>
      <c r="BF155" s="148"/>
      <c r="BG155" s="417"/>
      <c r="BH155" s="71"/>
      <c r="BI155" s="255"/>
      <c r="BJ155" s="71"/>
      <c r="BK155" s="71"/>
      <c r="BL155" s="71"/>
      <c r="BM155" s="255"/>
      <c r="BN155" s="71"/>
      <c r="BO155" s="71"/>
      <c r="BP155" s="148"/>
      <c r="BQ155" s="71"/>
      <c r="BR155" s="71"/>
      <c r="CC155" s="69"/>
      <c r="CD155" s="90"/>
      <c r="CI155" s="148"/>
      <c r="CZ155" s="69"/>
      <c r="DA155" s="90"/>
      <c r="DI155" s="69"/>
      <c r="EG155" s="69"/>
      <c r="ER155" s="69"/>
      <c r="ES155" s="90"/>
      <c r="ET155" s="90"/>
      <c r="EU155" s="90"/>
      <c r="EV155" s="90"/>
      <c r="FQ155" s="677"/>
      <c r="FR155" s="677"/>
      <c r="FS155" s="677"/>
      <c r="FT155" s="677"/>
      <c r="FU155" s="677"/>
      <c r="FV155" s="677"/>
      <c r="FW155" s="69"/>
      <c r="GH155" s="69"/>
      <c r="GU155" s="148"/>
      <c r="GV155" s="71"/>
      <c r="GW155" s="71"/>
      <c r="GX155" s="71"/>
      <c r="GY155" s="71"/>
      <c r="GZ155" s="71"/>
      <c r="HA155" s="71"/>
      <c r="HB155" s="71"/>
      <c r="HC155" s="71"/>
      <c r="HD155" s="71"/>
      <c r="HE155" s="71"/>
      <c r="HF155" s="71"/>
      <c r="HG155" s="71"/>
      <c r="HH155" s="74"/>
      <c r="HI155" s="67"/>
      <c r="HS155" s="71"/>
      <c r="IF155" s="71"/>
      <c r="IG155" s="71"/>
      <c r="IH155" s="71"/>
      <c r="II155" s="71"/>
      <c r="IJ155" s="71"/>
      <c r="IK155" s="71"/>
      <c r="IL155" s="71"/>
      <c r="IM155" s="71"/>
      <c r="IN155" s="71"/>
      <c r="IO155" s="71"/>
      <c r="IP155" s="71"/>
      <c r="IQ155" s="74"/>
      <c r="IR155" s="69"/>
      <c r="JH155" s="69"/>
      <c r="JI155" s="90"/>
      <c r="JV155" s="71"/>
      <c r="JW155" s="71"/>
      <c r="JX155" s="71"/>
      <c r="JY155" s="71"/>
      <c r="JZ155" s="71"/>
      <c r="KA155" s="71"/>
      <c r="KB155" s="148"/>
      <c r="KC155" s="74"/>
      <c r="KI155" s="71"/>
      <c r="KJ155" s="71"/>
      <c r="KK155" s="71"/>
      <c r="KL155" s="71"/>
      <c r="KM155" s="340"/>
      <c r="KN155" s="340"/>
      <c r="KO155" s="71"/>
      <c r="KP155" s="71"/>
      <c r="KQ155" s="71"/>
      <c r="KR155" s="71"/>
      <c r="KS155" s="71"/>
      <c r="KT155" s="340"/>
      <c r="KU155" s="148"/>
      <c r="KV155" s="904"/>
      <c r="KW155" s="71"/>
      <c r="KX155" s="71"/>
      <c r="KY155" s="71"/>
      <c r="KZ155" s="71"/>
      <c r="LA155" s="71"/>
      <c r="LB155" s="71"/>
      <c r="LC155" s="71"/>
      <c r="LD155" s="71"/>
      <c r="LE155" s="71"/>
      <c r="LF155" s="71"/>
      <c r="LG155" s="71"/>
      <c r="LH155" s="71"/>
      <c r="LI155" s="71"/>
      <c r="LJ155" s="71"/>
      <c r="LK155" s="71"/>
      <c r="LL155" s="71"/>
      <c r="LM155" s="71"/>
      <c r="LN155" s="71"/>
      <c r="LO155" s="71"/>
      <c r="LP155" s="71"/>
      <c r="LQ155" s="71"/>
      <c r="LR155" s="71"/>
      <c r="LS155" s="71"/>
      <c r="LT155" s="402"/>
      <c r="LU155" s="402"/>
      <c r="LV155" s="402"/>
      <c r="LW155" s="402"/>
      <c r="LX155" s="402"/>
      <c r="LY155" s="900"/>
      <c r="LZ155" s="900"/>
      <c r="MA155" s="402"/>
      <c r="MB155" s="402"/>
      <c r="MC155" s="402"/>
      <c r="MD155" s="402"/>
      <c r="ME155" s="402"/>
      <c r="MF155" s="402"/>
      <c r="MG155" s="402"/>
      <c r="MH155" s="148"/>
      <c r="MI155" s="904"/>
      <c r="MJ155" s="904"/>
      <c r="MK155" s="904"/>
      <c r="ML155" s="904"/>
      <c r="MM155" s="394"/>
      <c r="MN155" s="394"/>
      <c r="MO155" s="394"/>
      <c r="MP155" s="394"/>
      <c r="MQ155" s="394"/>
      <c r="MR155" s="900"/>
      <c r="MS155" s="394"/>
      <c r="MT155" s="394"/>
      <c r="MU155" s="394"/>
      <c r="MV155" s="394"/>
      <c r="MW155" s="394"/>
      <c r="MX155" s="900"/>
      <c r="MY155" s="394"/>
      <c r="MZ155" s="394"/>
      <c r="NA155" s="684"/>
      <c r="NB155" s="684"/>
      <c r="NC155" s="394"/>
      <c r="ND155" s="394"/>
      <c r="NE155" s="394"/>
      <c r="NF155" s="394"/>
      <c r="NG155" s="394"/>
      <c r="NH155" s="394"/>
      <c r="NI155" s="731"/>
      <c r="NJ155" s="402"/>
      <c r="NK155" s="394"/>
      <c r="NL155" s="394"/>
      <c r="NM155" s="402"/>
      <c r="NN155" s="402"/>
      <c r="NO155" s="402"/>
      <c r="NP155" s="402"/>
      <c r="NQ155" s="402"/>
      <c r="NR155" s="402"/>
      <c r="NS155" s="402"/>
      <c r="NT155" s="402"/>
      <c r="NU155" s="148"/>
      <c r="NV155" s="687"/>
      <c r="NW155" s="687"/>
      <c r="NX155" s="794"/>
      <c r="NY155" s="687"/>
      <c r="NZ155" s="687"/>
      <c r="OA155" s="687"/>
      <c r="OB155" s="687"/>
      <c r="OC155" s="687"/>
      <c r="OD155" s="687"/>
      <c r="OE155" s="794"/>
      <c r="OF155" s="794"/>
      <c r="OG155" s="794"/>
      <c r="OH155" s="794"/>
      <c r="OI155" s="71"/>
      <c r="OJ155" s="71"/>
      <c r="OK155" s="402"/>
      <c r="OL155" s="402"/>
      <c r="OM155" s="402"/>
      <c r="OO155" s="67"/>
      <c r="PG155" s="69"/>
      <c r="PH155" s="71"/>
      <c r="PI155" s="507"/>
    </row>
    <row r="156" spans="1:425" hidden="1">
      <c r="A156" s="71"/>
      <c r="B156" s="71"/>
      <c r="C156" s="91"/>
      <c r="D156" s="69"/>
      <c r="E156" s="74"/>
      <c r="F156" s="74"/>
      <c r="I156" s="90"/>
      <c r="J156" s="90"/>
      <c r="K156" s="90"/>
      <c r="L156" s="90"/>
      <c r="M156" s="90"/>
      <c r="N156" s="96"/>
      <c r="O156" s="74"/>
      <c r="P156" s="74"/>
      <c r="R156" s="90"/>
      <c r="S156" s="90"/>
      <c r="T156" s="90"/>
      <c r="U156" s="90"/>
      <c r="V156" s="90"/>
      <c r="W156" s="90"/>
      <c r="X156" s="90"/>
      <c r="Y156" s="69"/>
      <c r="Z156" s="90"/>
      <c r="AA156" s="90"/>
      <c r="AB156" s="90"/>
      <c r="AC156" s="90"/>
      <c r="AH156" s="69"/>
      <c r="AM156" s="90"/>
      <c r="AQ156" s="680"/>
      <c r="AR156" s="90"/>
      <c r="AS156" s="69"/>
      <c r="AT156" s="90"/>
      <c r="AU156" s="90"/>
      <c r="AV156" s="90"/>
      <c r="AW156" s="90"/>
      <c r="AX156" s="90"/>
      <c r="AY156" s="90"/>
      <c r="AZ156" s="90"/>
      <c r="BA156" s="90"/>
      <c r="BB156" s="90"/>
      <c r="BC156" s="90"/>
      <c r="BD156" s="90"/>
      <c r="BE156" s="90"/>
      <c r="BF156" s="148"/>
      <c r="BG156" s="417"/>
      <c r="BH156" s="71"/>
      <c r="BI156" s="255"/>
      <c r="BJ156" s="71"/>
      <c r="BK156" s="71"/>
      <c r="BL156" s="71"/>
      <c r="BM156" s="255"/>
      <c r="BN156" s="71"/>
      <c r="BO156" s="71"/>
      <c r="BP156" s="148"/>
      <c r="BQ156" s="71"/>
      <c r="BR156" s="71"/>
      <c r="CC156" s="69"/>
      <c r="CD156" s="90"/>
      <c r="CI156" s="148"/>
      <c r="CZ156" s="69"/>
      <c r="DA156" s="90"/>
      <c r="DI156" s="69"/>
      <c r="EG156" s="69"/>
      <c r="ER156" s="69"/>
      <c r="ES156" s="90"/>
      <c r="ET156" s="90"/>
      <c r="EU156" s="90"/>
      <c r="EV156" s="90"/>
      <c r="FQ156" s="677"/>
      <c r="FR156" s="677"/>
      <c r="FS156" s="677"/>
      <c r="FT156" s="677"/>
      <c r="FU156" s="677"/>
      <c r="FV156" s="677"/>
      <c r="FW156" s="69"/>
      <c r="GH156" s="69"/>
      <c r="GU156" s="148"/>
      <c r="GV156" s="71"/>
      <c r="GW156" s="71"/>
      <c r="GX156" s="71"/>
      <c r="GY156" s="71"/>
      <c r="GZ156" s="71"/>
      <c r="HA156" s="71"/>
      <c r="HB156" s="71"/>
      <c r="HC156" s="71"/>
      <c r="HD156" s="71"/>
      <c r="HE156" s="71"/>
      <c r="HF156" s="71"/>
      <c r="HG156" s="71"/>
      <c r="HH156" s="74"/>
      <c r="HI156" s="67"/>
      <c r="HS156" s="71"/>
      <c r="IF156" s="71"/>
      <c r="IG156" s="71"/>
      <c r="IH156" s="71"/>
      <c r="II156" s="71"/>
      <c r="IJ156" s="71"/>
      <c r="IK156" s="71"/>
      <c r="IL156" s="71"/>
      <c r="IM156" s="71"/>
      <c r="IN156" s="71"/>
      <c r="IO156" s="71"/>
      <c r="IP156" s="71"/>
      <c r="IQ156" s="74"/>
      <c r="IR156" s="69"/>
      <c r="JH156" s="69"/>
      <c r="JI156" s="90"/>
      <c r="JV156" s="71"/>
      <c r="JW156" s="71"/>
      <c r="JX156" s="71"/>
      <c r="JY156" s="71"/>
      <c r="JZ156" s="71"/>
      <c r="KA156" s="71"/>
      <c r="KB156" s="148"/>
      <c r="KC156" s="74"/>
      <c r="KI156" s="71"/>
      <c r="KJ156" s="71"/>
      <c r="KK156" s="71"/>
      <c r="KL156" s="71"/>
      <c r="KM156" s="340"/>
      <c r="KN156" s="340"/>
      <c r="KO156" s="71"/>
      <c r="KP156" s="71"/>
      <c r="KQ156" s="71"/>
      <c r="KR156" s="71"/>
      <c r="KS156" s="71"/>
      <c r="KT156" s="340"/>
      <c r="KU156" s="148"/>
      <c r="KV156" s="904"/>
      <c r="KW156" s="71"/>
      <c r="KX156" s="71"/>
      <c r="KY156" s="71"/>
      <c r="KZ156" s="71"/>
      <c r="LA156" s="71"/>
      <c r="LB156" s="71"/>
      <c r="LC156" s="71"/>
      <c r="LD156" s="71"/>
      <c r="LE156" s="71"/>
      <c r="LF156" s="71"/>
      <c r="LG156" s="71"/>
      <c r="LH156" s="71"/>
      <c r="LI156" s="71"/>
      <c r="LJ156" s="71"/>
      <c r="LK156" s="71"/>
      <c r="LL156" s="71"/>
      <c r="LM156" s="71"/>
      <c r="LN156" s="71"/>
      <c r="LO156" s="71"/>
      <c r="LP156" s="71"/>
      <c r="LQ156" s="71"/>
      <c r="LR156" s="71"/>
      <c r="LS156" s="71"/>
      <c r="LT156" s="402"/>
      <c r="LU156" s="402"/>
      <c r="LV156" s="402"/>
      <c r="LW156" s="402"/>
      <c r="LX156" s="402"/>
      <c r="LY156" s="900"/>
      <c r="LZ156" s="900"/>
      <c r="MA156" s="402"/>
      <c r="MB156" s="402"/>
      <c r="MC156" s="402"/>
      <c r="MD156" s="402"/>
      <c r="ME156" s="402"/>
      <c r="MF156" s="402"/>
      <c r="MG156" s="402"/>
      <c r="MH156" s="148"/>
      <c r="MI156" s="904"/>
      <c r="MJ156" s="904"/>
      <c r="MK156" s="904"/>
      <c r="ML156" s="904"/>
      <c r="MM156" s="394"/>
      <c r="MN156" s="394"/>
      <c r="MO156" s="394"/>
      <c r="MP156" s="394"/>
      <c r="MQ156" s="394"/>
      <c r="MR156" s="900"/>
      <c r="MS156" s="394"/>
      <c r="MT156" s="394"/>
      <c r="MU156" s="394"/>
      <c r="MV156" s="394"/>
      <c r="MW156" s="394"/>
      <c r="MX156" s="900"/>
      <c r="MY156" s="394"/>
      <c r="MZ156" s="394"/>
      <c r="NA156" s="684"/>
      <c r="NB156" s="684"/>
      <c r="NC156" s="394"/>
      <c r="ND156" s="394"/>
      <c r="NE156" s="394"/>
      <c r="NF156" s="394"/>
      <c r="NG156" s="394"/>
      <c r="NH156" s="394"/>
      <c r="NI156" s="731"/>
      <c r="NJ156" s="402"/>
      <c r="NK156" s="394"/>
      <c r="NL156" s="394"/>
      <c r="NM156" s="402"/>
      <c r="NN156" s="402"/>
      <c r="NO156" s="402"/>
      <c r="NP156" s="402"/>
      <c r="NQ156" s="402"/>
      <c r="NR156" s="402"/>
      <c r="NS156" s="402"/>
      <c r="NT156" s="402"/>
      <c r="NU156" s="148"/>
      <c r="NV156" s="687"/>
      <c r="NW156" s="687"/>
      <c r="NX156" s="794"/>
      <c r="NY156" s="687"/>
      <c r="NZ156" s="687"/>
      <c r="OA156" s="687"/>
      <c r="OB156" s="687"/>
      <c r="OC156" s="687"/>
      <c r="OD156" s="687"/>
      <c r="OE156" s="794"/>
      <c r="OF156" s="794"/>
      <c r="OG156" s="794"/>
      <c r="OH156" s="794"/>
      <c r="OI156" s="71"/>
      <c r="OJ156" s="71"/>
      <c r="OK156" s="402"/>
      <c r="OL156" s="402"/>
      <c r="OM156" s="402"/>
      <c r="OO156" s="67"/>
      <c r="PG156" s="69"/>
      <c r="PH156" s="71"/>
      <c r="PI156" s="507"/>
    </row>
    <row r="157" spans="1:425" hidden="1">
      <c r="A157" s="71"/>
      <c r="B157" s="71"/>
      <c r="C157" s="91"/>
      <c r="D157" s="69"/>
      <c r="E157" s="74"/>
      <c r="F157" s="74"/>
      <c r="I157" s="90"/>
      <c r="J157" s="90"/>
      <c r="K157" s="90"/>
      <c r="L157" s="90"/>
      <c r="M157" s="90"/>
      <c r="N157" s="96"/>
      <c r="O157" s="74"/>
      <c r="P157" s="74"/>
      <c r="R157" s="90"/>
      <c r="S157" s="90"/>
      <c r="T157" s="90"/>
      <c r="U157" s="90"/>
      <c r="V157" s="90"/>
      <c r="W157" s="90"/>
      <c r="X157" s="90"/>
      <c r="Y157" s="69"/>
      <c r="Z157" s="90"/>
      <c r="AA157" s="90"/>
      <c r="AB157" s="90"/>
      <c r="AC157" s="90"/>
      <c r="AH157" s="69"/>
      <c r="AM157" s="90"/>
      <c r="AQ157" s="680"/>
      <c r="AR157" s="90"/>
      <c r="AS157" s="69"/>
      <c r="AT157" s="90"/>
      <c r="AU157" s="90"/>
      <c r="AV157" s="90"/>
      <c r="AW157" s="90"/>
      <c r="AX157" s="90"/>
      <c r="AY157" s="90"/>
      <c r="AZ157" s="90"/>
      <c r="BA157" s="90"/>
      <c r="BB157" s="90"/>
      <c r="BC157" s="90"/>
      <c r="BD157" s="90"/>
      <c r="BE157" s="90"/>
      <c r="BF157" s="148"/>
      <c r="BG157" s="417"/>
      <c r="BH157" s="71"/>
      <c r="BI157" s="255"/>
      <c r="BJ157" s="71"/>
      <c r="BK157" s="71"/>
      <c r="BL157" s="71"/>
      <c r="BM157" s="255"/>
      <c r="BN157" s="71"/>
      <c r="BO157" s="71"/>
      <c r="BP157" s="148"/>
      <c r="BQ157" s="71"/>
      <c r="BR157" s="71"/>
      <c r="CC157" s="69"/>
      <c r="CD157" s="90"/>
      <c r="CI157" s="148"/>
      <c r="CZ157" s="69"/>
      <c r="DA157" s="90"/>
      <c r="DI157" s="69"/>
      <c r="EG157" s="69"/>
      <c r="ER157" s="69"/>
      <c r="ES157" s="90"/>
      <c r="ET157" s="90"/>
      <c r="EU157" s="90"/>
      <c r="EV157" s="90"/>
      <c r="FQ157" s="677"/>
      <c r="FR157" s="677"/>
      <c r="FS157" s="677"/>
      <c r="FT157" s="677"/>
      <c r="FU157" s="677"/>
      <c r="FV157" s="677"/>
      <c r="FW157" s="69"/>
      <c r="GH157" s="69"/>
      <c r="GU157" s="148"/>
      <c r="GV157" s="71"/>
      <c r="GW157" s="71"/>
      <c r="GX157" s="71"/>
      <c r="GY157" s="71"/>
      <c r="GZ157" s="71"/>
      <c r="HA157" s="71"/>
      <c r="HB157" s="71"/>
      <c r="HC157" s="71"/>
      <c r="HD157" s="71"/>
      <c r="HE157" s="71"/>
      <c r="HF157" s="71"/>
      <c r="HG157" s="71"/>
      <c r="HH157" s="74"/>
      <c r="HI157" s="67"/>
      <c r="HS157" s="71"/>
      <c r="IF157" s="71"/>
      <c r="IG157" s="71"/>
      <c r="IH157" s="71"/>
      <c r="II157" s="71"/>
      <c r="IJ157" s="71"/>
      <c r="IK157" s="71"/>
      <c r="IL157" s="71"/>
      <c r="IM157" s="71"/>
      <c r="IN157" s="71"/>
      <c r="IO157" s="71"/>
      <c r="IP157" s="71"/>
      <c r="IQ157" s="74"/>
      <c r="IR157" s="69"/>
      <c r="JH157" s="69"/>
      <c r="JI157" s="90"/>
      <c r="JV157" s="71"/>
      <c r="JW157" s="71"/>
      <c r="JX157" s="71"/>
      <c r="JY157" s="71"/>
      <c r="JZ157" s="71"/>
      <c r="KA157" s="71"/>
      <c r="KB157" s="148"/>
      <c r="KC157" s="74"/>
      <c r="KI157" s="71"/>
      <c r="KJ157" s="71"/>
      <c r="KK157" s="71"/>
      <c r="KL157" s="71"/>
      <c r="KM157" s="340"/>
      <c r="KN157" s="340"/>
      <c r="KO157" s="71"/>
      <c r="KP157" s="71"/>
      <c r="KQ157" s="71"/>
      <c r="KR157" s="71"/>
      <c r="KS157" s="71"/>
      <c r="KT157" s="340"/>
      <c r="KU157" s="148"/>
      <c r="KV157" s="904"/>
      <c r="KW157" s="71"/>
      <c r="KX157" s="71"/>
      <c r="KY157" s="71"/>
      <c r="KZ157" s="71"/>
      <c r="LA157" s="71"/>
      <c r="LB157" s="71"/>
      <c r="LC157" s="71"/>
      <c r="LD157" s="71"/>
      <c r="LE157" s="71"/>
      <c r="LF157" s="71"/>
      <c r="LG157" s="71"/>
      <c r="LH157" s="71"/>
      <c r="LI157" s="71"/>
      <c r="LJ157" s="71"/>
      <c r="LK157" s="71"/>
      <c r="LL157" s="71"/>
      <c r="LM157" s="71"/>
      <c r="LN157" s="71"/>
      <c r="LO157" s="71"/>
      <c r="LP157" s="71"/>
      <c r="LQ157" s="71"/>
      <c r="LR157" s="71"/>
      <c r="LS157" s="71"/>
      <c r="LT157" s="402"/>
      <c r="LU157" s="402"/>
      <c r="LV157" s="402"/>
      <c r="LW157" s="402"/>
      <c r="LX157" s="402"/>
      <c r="LY157" s="900"/>
      <c r="LZ157" s="900"/>
      <c r="MA157" s="402"/>
      <c r="MB157" s="402"/>
      <c r="MC157" s="402"/>
      <c r="MD157" s="402"/>
      <c r="ME157" s="402"/>
      <c r="MF157" s="402"/>
      <c r="MG157" s="402"/>
      <c r="MH157" s="148"/>
      <c r="MI157" s="904"/>
      <c r="MJ157" s="904"/>
      <c r="MK157" s="904"/>
      <c r="ML157" s="904"/>
      <c r="MM157" s="394"/>
      <c r="MN157" s="394"/>
      <c r="MO157" s="394"/>
      <c r="MP157" s="394"/>
      <c r="MQ157" s="394"/>
      <c r="MR157" s="900"/>
      <c r="MS157" s="394"/>
      <c r="MT157" s="394"/>
      <c r="MU157" s="394"/>
      <c r="MV157" s="394"/>
      <c r="MW157" s="394"/>
      <c r="MX157" s="900"/>
      <c r="MY157" s="394"/>
      <c r="MZ157" s="394"/>
      <c r="NA157" s="684"/>
      <c r="NB157" s="684"/>
      <c r="NC157" s="394"/>
      <c r="ND157" s="394"/>
      <c r="NE157" s="394"/>
      <c r="NF157" s="394"/>
      <c r="NG157" s="394"/>
      <c r="NH157" s="394"/>
      <c r="NI157" s="731"/>
      <c r="NJ157" s="402"/>
      <c r="NK157" s="394"/>
      <c r="NL157" s="394"/>
      <c r="NM157" s="402"/>
      <c r="NN157" s="402"/>
      <c r="NO157" s="402"/>
      <c r="NP157" s="402"/>
      <c r="NQ157" s="402"/>
      <c r="NR157" s="402"/>
      <c r="NS157" s="402"/>
      <c r="NT157" s="402"/>
      <c r="NU157" s="148"/>
      <c r="NV157" s="687"/>
      <c r="NW157" s="687"/>
      <c r="NX157" s="794"/>
      <c r="NY157" s="687"/>
      <c r="NZ157" s="687"/>
      <c r="OA157" s="687"/>
      <c r="OB157" s="687"/>
      <c r="OC157" s="687"/>
      <c r="OD157" s="687"/>
      <c r="OE157" s="794"/>
      <c r="OF157" s="794"/>
      <c r="OG157" s="794"/>
      <c r="OH157" s="794"/>
      <c r="OI157" s="71"/>
      <c r="OJ157" s="71"/>
      <c r="OK157" s="402"/>
      <c r="OL157" s="402"/>
      <c r="OM157" s="402"/>
      <c r="OO157" s="67"/>
      <c r="PG157" s="69"/>
      <c r="PH157" s="71"/>
      <c r="PI157" s="507"/>
    </row>
    <row r="158" spans="1:425" hidden="1">
      <c r="A158" s="71"/>
      <c r="B158" s="71"/>
      <c r="C158" s="91"/>
      <c r="D158" s="69"/>
      <c r="E158" s="74"/>
      <c r="F158" s="74"/>
      <c r="I158" s="90"/>
      <c r="J158" s="90"/>
      <c r="K158" s="90"/>
      <c r="L158" s="90"/>
      <c r="M158" s="90"/>
      <c r="N158" s="96"/>
      <c r="O158" s="74"/>
      <c r="P158" s="74"/>
      <c r="R158" s="90"/>
      <c r="S158" s="90"/>
      <c r="T158" s="90"/>
      <c r="U158" s="90"/>
      <c r="V158" s="90"/>
      <c r="W158" s="90"/>
      <c r="X158" s="90"/>
      <c r="Y158" s="69"/>
      <c r="Z158" s="90"/>
      <c r="AA158" s="90"/>
      <c r="AB158" s="90"/>
      <c r="AC158" s="90"/>
      <c r="AH158" s="69"/>
      <c r="AM158" s="90"/>
      <c r="AQ158" s="680"/>
      <c r="AR158" s="90"/>
      <c r="AS158" s="69"/>
      <c r="AT158" s="90"/>
      <c r="AU158" s="90"/>
      <c r="AV158" s="90"/>
      <c r="AW158" s="90"/>
      <c r="AX158" s="90"/>
      <c r="AY158" s="90"/>
      <c r="AZ158" s="90"/>
      <c r="BA158" s="90"/>
      <c r="BB158" s="90"/>
      <c r="BC158" s="90"/>
      <c r="BD158" s="90"/>
      <c r="BE158" s="90"/>
      <c r="BF158" s="148"/>
      <c r="BG158" s="417"/>
      <c r="BH158" s="71"/>
      <c r="BI158" s="255"/>
      <c r="BJ158" s="71"/>
      <c r="BK158" s="71"/>
      <c r="BL158" s="71"/>
      <c r="BM158" s="255"/>
      <c r="BN158" s="71"/>
      <c r="BO158" s="71"/>
      <c r="BP158" s="148"/>
      <c r="BQ158" s="71"/>
      <c r="BR158" s="71"/>
      <c r="CC158" s="69"/>
      <c r="CD158" s="90"/>
      <c r="CI158" s="148"/>
      <c r="CZ158" s="69"/>
      <c r="DA158" s="90"/>
      <c r="DI158" s="69"/>
      <c r="EG158" s="69"/>
      <c r="ER158" s="69"/>
      <c r="ES158" s="90"/>
      <c r="ET158" s="90"/>
      <c r="EU158" s="90"/>
      <c r="EV158" s="90"/>
      <c r="FQ158" s="677"/>
      <c r="FR158" s="677"/>
      <c r="FS158" s="677"/>
      <c r="FT158" s="677"/>
      <c r="FU158" s="677"/>
      <c r="FV158" s="677"/>
      <c r="FW158" s="69"/>
      <c r="GH158" s="69"/>
      <c r="GU158" s="148"/>
      <c r="GV158" s="71"/>
      <c r="GW158" s="71"/>
      <c r="GX158" s="71"/>
      <c r="GY158" s="71"/>
      <c r="GZ158" s="71"/>
      <c r="HA158" s="71"/>
      <c r="HB158" s="71"/>
      <c r="HC158" s="71"/>
      <c r="HD158" s="71"/>
      <c r="HE158" s="71"/>
      <c r="HF158" s="71"/>
      <c r="HG158" s="71"/>
      <c r="HH158" s="74"/>
      <c r="HI158" s="67"/>
      <c r="HS158" s="71"/>
      <c r="IF158" s="71"/>
      <c r="IG158" s="71"/>
      <c r="IH158" s="71"/>
      <c r="II158" s="71"/>
      <c r="IJ158" s="71"/>
      <c r="IK158" s="71"/>
      <c r="IL158" s="71"/>
      <c r="IM158" s="71"/>
      <c r="IN158" s="71"/>
      <c r="IO158" s="71"/>
      <c r="IP158" s="71"/>
      <c r="IQ158" s="74"/>
      <c r="IR158" s="69"/>
      <c r="JH158" s="69"/>
      <c r="JI158" s="90"/>
      <c r="JV158" s="71"/>
      <c r="JW158" s="71"/>
      <c r="JX158" s="71"/>
      <c r="JY158" s="71"/>
      <c r="JZ158" s="71"/>
      <c r="KA158" s="71"/>
      <c r="KB158" s="148"/>
      <c r="KC158" s="74"/>
      <c r="KI158" s="71"/>
      <c r="KJ158" s="71"/>
      <c r="KK158" s="71"/>
      <c r="KL158" s="71"/>
      <c r="KM158" s="340"/>
      <c r="KN158" s="340"/>
      <c r="KO158" s="71"/>
      <c r="KP158" s="71"/>
      <c r="KQ158" s="71"/>
      <c r="KR158" s="71"/>
      <c r="KS158" s="71"/>
      <c r="KT158" s="340"/>
      <c r="KU158" s="148"/>
      <c r="KV158" s="904"/>
      <c r="KW158" s="71"/>
      <c r="KX158" s="71"/>
      <c r="KY158" s="71"/>
      <c r="KZ158" s="71"/>
      <c r="LA158" s="71"/>
      <c r="LB158" s="71"/>
      <c r="LC158" s="71"/>
      <c r="LD158" s="71"/>
      <c r="LE158" s="71"/>
      <c r="LF158" s="71"/>
      <c r="LG158" s="71"/>
      <c r="LH158" s="71"/>
      <c r="LI158" s="71"/>
      <c r="LJ158" s="71"/>
      <c r="LK158" s="71"/>
      <c r="LL158" s="71"/>
      <c r="LM158" s="71"/>
      <c r="LN158" s="71"/>
      <c r="LO158" s="71"/>
      <c r="LP158" s="71"/>
      <c r="LQ158" s="71"/>
      <c r="LR158" s="71"/>
      <c r="LS158" s="71"/>
      <c r="LT158" s="402"/>
      <c r="LU158" s="402"/>
      <c r="LV158" s="402"/>
      <c r="LW158" s="402"/>
      <c r="LX158" s="402"/>
      <c r="LY158" s="900"/>
      <c r="LZ158" s="900"/>
      <c r="MA158" s="402"/>
      <c r="MB158" s="402"/>
      <c r="MC158" s="402"/>
      <c r="MD158" s="402"/>
      <c r="ME158" s="402"/>
      <c r="MF158" s="402"/>
      <c r="MG158" s="402"/>
      <c r="MH158" s="148"/>
      <c r="MI158" s="904"/>
      <c r="MJ158" s="904"/>
      <c r="MK158" s="904"/>
      <c r="ML158" s="904"/>
      <c r="MM158" s="394"/>
      <c r="MN158" s="394"/>
      <c r="MO158" s="394"/>
      <c r="MP158" s="394"/>
      <c r="MQ158" s="394"/>
      <c r="MR158" s="900"/>
      <c r="MS158" s="394"/>
      <c r="MT158" s="394"/>
      <c r="MU158" s="394"/>
      <c r="MV158" s="394"/>
      <c r="MW158" s="394"/>
      <c r="MX158" s="900"/>
      <c r="MY158" s="394"/>
      <c r="MZ158" s="394"/>
      <c r="NA158" s="684"/>
      <c r="NB158" s="684"/>
      <c r="NC158" s="394"/>
      <c r="ND158" s="394"/>
      <c r="NE158" s="394"/>
      <c r="NF158" s="394"/>
      <c r="NG158" s="394"/>
      <c r="NH158" s="394"/>
      <c r="NI158" s="731"/>
      <c r="NJ158" s="402"/>
      <c r="NK158" s="394"/>
      <c r="NL158" s="394"/>
      <c r="NM158" s="402"/>
      <c r="NN158" s="402"/>
      <c r="NO158" s="402"/>
      <c r="NP158" s="402"/>
      <c r="NQ158" s="402"/>
      <c r="NR158" s="402"/>
      <c r="NS158" s="402"/>
      <c r="NT158" s="402"/>
      <c r="NU158" s="148"/>
      <c r="NV158" s="687"/>
      <c r="NW158" s="687"/>
      <c r="NX158" s="794"/>
      <c r="NY158" s="687"/>
      <c r="NZ158" s="687"/>
      <c r="OA158" s="687"/>
      <c r="OB158" s="687"/>
      <c r="OC158" s="687"/>
      <c r="OD158" s="687"/>
      <c r="OE158" s="794"/>
      <c r="OF158" s="794"/>
      <c r="OG158" s="794"/>
      <c r="OH158" s="794"/>
      <c r="OI158" s="71"/>
      <c r="OJ158" s="71"/>
      <c r="OK158" s="402"/>
      <c r="OL158" s="402"/>
      <c r="OM158" s="402"/>
      <c r="OO158" s="67"/>
      <c r="PG158" s="69"/>
      <c r="PH158" s="71"/>
      <c r="PI158" s="507"/>
    </row>
    <row r="159" spans="1:425" hidden="1">
      <c r="A159" s="71"/>
      <c r="B159" s="71"/>
      <c r="C159" s="91"/>
      <c r="D159" s="69"/>
      <c r="E159" s="74"/>
      <c r="F159" s="74"/>
      <c r="I159" s="90"/>
      <c r="J159" s="90"/>
      <c r="K159" s="90"/>
      <c r="L159" s="90"/>
      <c r="M159" s="90"/>
      <c r="N159" s="96"/>
      <c r="O159" s="74"/>
      <c r="P159" s="74"/>
      <c r="R159" s="90"/>
      <c r="S159" s="90"/>
      <c r="T159" s="90"/>
      <c r="U159" s="90"/>
      <c r="V159" s="90"/>
      <c r="W159" s="90"/>
      <c r="X159" s="90"/>
      <c r="Y159" s="69"/>
      <c r="Z159" s="90"/>
      <c r="AA159" s="90"/>
      <c r="AB159" s="90"/>
      <c r="AC159" s="90"/>
      <c r="AH159" s="69"/>
      <c r="AM159" s="90"/>
      <c r="AQ159" s="680"/>
      <c r="AR159" s="90"/>
      <c r="AS159" s="69"/>
      <c r="AT159" s="90"/>
      <c r="AU159" s="90"/>
      <c r="AV159" s="90"/>
      <c r="AW159" s="90"/>
      <c r="AX159" s="90"/>
      <c r="AY159" s="90"/>
      <c r="AZ159" s="90"/>
      <c r="BA159" s="90"/>
      <c r="BB159" s="90"/>
      <c r="BC159" s="90"/>
      <c r="BD159" s="90"/>
      <c r="BE159" s="90"/>
      <c r="BF159" s="148"/>
      <c r="BG159" s="417"/>
      <c r="BH159" s="71"/>
      <c r="BI159" s="255"/>
      <c r="BJ159" s="71"/>
      <c r="BK159" s="71"/>
      <c r="BL159" s="71"/>
      <c r="BM159" s="255"/>
      <c r="BN159" s="71"/>
      <c r="BO159" s="71"/>
      <c r="BP159" s="148"/>
      <c r="BQ159" s="71"/>
      <c r="BR159" s="71"/>
      <c r="CC159" s="69"/>
      <c r="CD159" s="90"/>
      <c r="CI159" s="148"/>
      <c r="CZ159" s="69"/>
      <c r="DA159" s="90"/>
      <c r="DI159" s="69"/>
      <c r="EG159" s="69"/>
      <c r="ER159" s="69"/>
      <c r="ES159" s="90"/>
      <c r="ET159" s="90"/>
      <c r="EU159" s="90"/>
      <c r="EV159" s="90"/>
      <c r="FQ159" s="677"/>
      <c r="FR159" s="677"/>
      <c r="FS159" s="677"/>
      <c r="FT159" s="677"/>
      <c r="FU159" s="677"/>
      <c r="FV159" s="677"/>
      <c r="FW159" s="69"/>
      <c r="GH159" s="69"/>
      <c r="GU159" s="148"/>
      <c r="GV159" s="71"/>
      <c r="GW159" s="71"/>
      <c r="GX159" s="71"/>
      <c r="GY159" s="71"/>
      <c r="GZ159" s="71"/>
      <c r="HA159" s="71"/>
      <c r="HB159" s="71"/>
      <c r="HC159" s="71"/>
      <c r="HD159" s="71"/>
      <c r="HE159" s="71"/>
      <c r="HF159" s="71"/>
      <c r="HG159" s="71"/>
      <c r="HH159" s="74"/>
      <c r="HI159" s="67"/>
      <c r="HS159" s="71"/>
      <c r="IF159" s="71"/>
      <c r="IG159" s="71"/>
      <c r="IH159" s="71"/>
      <c r="II159" s="71"/>
      <c r="IJ159" s="71"/>
      <c r="IK159" s="71"/>
      <c r="IL159" s="71"/>
      <c r="IM159" s="71"/>
      <c r="IN159" s="71"/>
      <c r="IO159" s="71"/>
      <c r="IP159" s="71"/>
      <c r="IQ159" s="74"/>
      <c r="IR159" s="69"/>
      <c r="JH159" s="69"/>
      <c r="JI159" s="90"/>
      <c r="JV159" s="71"/>
      <c r="JW159" s="71"/>
      <c r="JX159" s="71"/>
      <c r="JY159" s="71"/>
      <c r="JZ159" s="71"/>
      <c r="KA159" s="71"/>
      <c r="KB159" s="148"/>
      <c r="KC159" s="74"/>
      <c r="KI159" s="71"/>
      <c r="KJ159" s="71"/>
      <c r="KK159" s="71"/>
      <c r="KL159" s="71"/>
      <c r="KM159" s="340"/>
      <c r="KN159" s="340"/>
      <c r="KO159" s="71"/>
      <c r="KP159" s="71"/>
      <c r="KQ159" s="71"/>
      <c r="KR159" s="71"/>
      <c r="KS159" s="71"/>
      <c r="KT159" s="340"/>
      <c r="KU159" s="148"/>
      <c r="KV159" s="904"/>
      <c r="KW159" s="71"/>
      <c r="KX159" s="71"/>
      <c r="KY159" s="71"/>
      <c r="KZ159" s="71"/>
      <c r="LA159" s="71"/>
      <c r="LB159" s="71"/>
      <c r="LC159" s="71"/>
      <c r="LD159" s="71"/>
      <c r="LE159" s="71"/>
      <c r="LF159" s="71"/>
      <c r="LG159" s="71"/>
      <c r="LH159" s="71"/>
      <c r="LI159" s="71"/>
      <c r="LJ159" s="71"/>
      <c r="LK159" s="71"/>
      <c r="LL159" s="71"/>
      <c r="LM159" s="71"/>
      <c r="LN159" s="71"/>
      <c r="LO159" s="71"/>
      <c r="LP159" s="71"/>
      <c r="LQ159" s="71"/>
      <c r="LR159" s="71"/>
      <c r="LS159" s="71"/>
      <c r="LT159" s="402"/>
      <c r="LU159" s="402"/>
      <c r="LV159" s="402"/>
      <c r="LW159" s="402"/>
      <c r="LX159" s="402"/>
      <c r="LY159" s="900"/>
      <c r="LZ159" s="900"/>
      <c r="MA159" s="402"/>
      <c r="MB159" s="402"/>
      <c r="MC159" s="402"/>
      <c r="MD159" s="402"/>
      <c r="ME159" s="402"/>
      <c r="MF159" s="402"/>
      <c r="MG159" s="402"/>
      <c r="MH159" s="148"/>
      <c r="MI159" s="904"/>
      <c r="MJ159" s="904"/>
      <c r="MK159" s="904"/>
      <c r="ML159" s="904"/>
      <c r="MM159" s="394"/>
      <c r="MN159" s="394"/>
      <c r="MO159" s="394"/>
      <c r="MP159" s="394"/>
      <c r="MQ159" s="394"/>
      <c r="MR159" s="900"/>
      <c r="MS159" s="394"/>
      <c r="MT159" s="394"/>
      <c r="MU159" s="394"/>
      <c r="MV159" s="394"/>
      <c r="MW159" s="394"/>
      <c r="MX159" s="900"/>
      <c r="MY159" s="394"/>
      <c r="MZ159" s="394"/>
      <c r="NA159" s="684"/>
      <c r="NB159" s="684"/>
      <c r="NC159" s="394"/>
      <c r="ND159" s="394"/>
      <c r="NE159" s="394"/>
      <c r="NF159" s="394"/>
      <c r="NG159" s="394"/>
      <c r="NH159" s="394"/>
      <c r="NI159" s="731"/>
      <c r="NJ159" s="402"/>
      <c r="NK159" s="394"/>
      <c r="NL159" s="394"/>
      <c r="NM159" s="402"/>
      <c r="NN159" s="402"/>
      <c r="NO159" s="402"/>
      <c r="NP159" s="402"/>
      <c r="NQ159" s="402"/>
      <c r="NR159" s="402"/>
      <c r="NS159" s="402"/>
      <c r="NT159" s="402"/>
      <c r="NU159" s="148"/>
      <c r="NV159" s="687"/>
      <c r="NW159" s="687"/>
      <c r="NX159" s="794"/>
      <c r="NY159" s="687"/>
      <c r="NZ159" s="687"/>
      <c r="OA159" s="687"/>
      <c r="OB159" s="687"/>
      <c r="OC159" s="687"/>
      <c r="OD159" s="687"/>
      <c r="OE159" s="794"/>
      <c r="OF159" s="794"/>
      <c r="OG159" s="794"/>
      <c r="OH159" s="794"/>
      <c r="OI159" s="71"/>
      <c r="OJ159" s="71"/>
      <c r="OK159" s="402"/>
      <c r="OL159" s="402"/>
      <c r="OM159" s="402"/>
      <c r="OO159" s="67"/>
      <c r="PG159" s="69"/>
      <c r="PH159" s="71"/>
      <c r="PI159" s="507"/>
    </row>
    <row r="160" spans="1:425" hidden="1">
      <c r="A160" s="71"/>
      <c r="B160" s="71"/>
      <c r="C160" s="91"/>
      <c r="D160" s="69"/>
      <c r="E160" s="74"/>
      <c r="F160" s="74"/>
      <c r="I160" s="90"/>
      <c r="J160" s="90"/>
      <c r="K160" s="90"/>
      <c r="L160" s="90"/>
      <c r="M160" s="90"/>
      <c r="N160" s="96"/>
      <c r="O160" s="74"/>
      <c r="P160" s="74"/>
      <c r="R160" s="90"/>
      <c r="S160" s="90"/>
      <c r="T160" s="90"/>
      <c r="U160" s="90"/>
      <c r="V160" s="90"/>
      <c r="W160" s="90"/>
      <c r="X160" s="90"/>
      <c r="Y160" s="69"/>
      <c r="Z160" s="90"/>
      <c r="AA160" s="90"/>
      <c r="AB160" s="90"/>
      <c r="AC160" s="90"/>
      <c r="AH160" s="69"/>
      <c r="AM160" s="90"/>
      <c r="AQ160" s="680"/>
      <c r="AR160" s="90"/>
      <c r="AS160" s="69"/>
      <c r="AT160" s="90"/>
      <c r="AU160" s="90"/>
      <c r="AV160" s="90"/>
      <c r="AW160" s="90"/>
      <c r="AX160" s="90"/>
      <c r="AY160" s="90"/>
      <c r="AZ160" s="90"/>
      <c r="BA160" s="90"/>
      <c r="BB160" s="90"/>
      <c r="BC160" s="90"/>
      <c r="BD160" s="90"/>
      <c r="BE160" s="90"/>
      <c r="BF160" s="148"/>
      <c r="BG160" s="417"/>
      <c r="BH160" s="71"/>
      <c r="BI160" s="255"/>
      <c r="BJ160" s="71"/>
      <c r="BK160" s="71"/>
      <c r="BL160" s="71"/>
      <c r="BM160" s="255"/>
      <c r="BN160" s="71"/>
      <c r="BO160" s="71"/>
      <c r="BP160" s="148"/>
      <c r="BQ160" s="71"/>
      <c r="BR160" s="71"/>
      <c r="CC160" s="69"/>
      <c r="CD160" s="90"/>
      <c r="CI160" s="148"/>
      <c r="CZ160" s="69"/>
      <c r="DA160" s="90"/>
      <c r="DI160" s="69"/>
      <c r="EG160" s="69"/>
      <c r="ER160" s="69"/>
      <c r="ES160" s="90"/>
      <c r="ET160" s="90"/>
      <c r="EU160" s="90"/>
      <c r="EV160" s="90"/>
      <c r="FQ160" s="677"/>
      <c r="FR160" s="677"/>
      <c r="FS160" s="677"/>
      <c r="FT160" s="677"/>
      <c r="FU160" s="677"/>
      <c r="FV160" s="677"/>
      <c r="FW160" s="69"/>
      <c r="GH160" s="69"/>
      <c r="GU160" s="148"/>
      <c r="GV160" s="71"/>
      <c r="GW160" s="71"/>
      <c r="GX160" s="71"/>
      <c r="GY160" s="71"/>
      <c r="GZ160" s="71"/>
      <c r="HA160" s="71"/>
      <c r="HB160" s="71"/>
      <c r="HC160" s="71"/>
      <c r="HD160" s="71"/>
      <c r="HE160" s="71"/>
      <c r="HF160" s="71"/>
      <c r="HG160" s="71"/>
      <c r="HH160" s="74"/>
      <c r="HI160" s="67"/>
      <c r="HS160" s="71"/>
      <c r="IF160" s="71"/>
      <c r="IG160" s="71"/>
      <c r="IH160" s="71"/>
      <c r="II160" s="71"/>
      <c r="IJ160" s="71"/>
      <c r="IK160" s="71"/>
      <c r="IL160" s="71"/>
      <c r="IM160" s="71"/>
      <c r="IN160" s="71"/>
      <c r="IO160" s="71"/>
      <c r="IP160" s="71"/>
      <c r="IQ160" s="74"/>
      <c r="IR160" s="69"/>
      <c r="JH160" s="69"/>
      <c r="JI160" s="90"/>
      <c r="JV160" s="71"/>
      <c r="JW160" s="71"/>
      <c r="JX160" s="71"/>
      <c r="JY160" s="71"/>
      <c r="JZ160" s="71"/>
      <c r="KA160" s="71"/>
      <c r="KB160" s="148"/>
      <c r="KC160" s="74"/>
      <c r="KI160" s="71"/>
      <c r="KJ160" s="71"/>
      <c r="KK160" s="71"/>
      <c r="KL160" s="71"/>
      <c r="KM160" s="340"/>
      <c r="KN160" s="340"/>
      <c r="KO160" s="71"/>
      <c r="KP160" s="71"/>
      <c r="KQ160" s="71"/>
      <c r="KR160" s="71"/>
      <c r="KS160" s="71"/>
      <c r="KT160" s="340"/>
      <c r="KU160" s="148"/>
      <c r="KV160" s="904"/>
      <c r="KW160" s="71"/>
      <c r="KX160" s="71"/>
      <c r="KY160" s="71"/>
      <c r="KZ160" s="71"/>
      <c r="LA160" s="71"/>
      <c r="LB160" s="71"/>
      <c r="LC160" s="71"/>
      <c r="LD160" s="71"/>
      <c r="LE160" s="71"/>
      <c r="LF160" s="71"/>
      <c r="LG160" s="71"/>
      <c r="LH160" s="71"/>
      <c r="LI160" s="71"/>
      <c r="LJ160" s="71"/>
      <c r="LK160" s="71"/>
      <c r="LL160" s="71"/>
      <c r="LM160" s="71"/>
      <c r="LN160" s="71"/>
      <c r="LO160" s="71"/>
      <c r="LP160" s="71"/>
      <c r="LQ160" s="71"/>
      <c r="LR160" s="71"/>
      <c r="LS160" s="71"/>
      <c r="LT160" s="402"/>
      <c r="LU160" s="402"/>
      <c r="LV160" s="402"/>
      <c r="LW160" s="402"/>
      <c r="LX160" s="402"/>
      <c r="LY160" s="900"/>
      <c r="LZ160" s="900"/>
      <c r="MA160" s="402"/>
      <c r="MB160" s="402"/>
      <c r="MC160" s="402"/>
      <c r="MD160" s="402"/>
      <c r="ME160" s="402"/>
      <c r="MF160" s="402"/>
      <c r="MG160" s="402"/>
      <c r="MH160" s="148"/>
      <c r="MI160" s="904"/>
      <c r="MJ160" s="904"/>
      <c r="MK160" s="904"/>
      <c r="ML160" s="904"/>
      <c r="MM160" s="394"/>
      <c r="MN160" s="394"/>
      <c r="MO160" s="394"/>
      <c r="MP160" s="394"/>
      <c r="MQ160" s="394"/>
      <c r="MR160" s="900"/>
      <c r="MS160" s="394"/>
      <c r="MT160" s="394"/>
      <c r="MU160" s="394"/>
      <c r="MV160" s="394"/>
      <c r="MW160" s="394"/>
      <c r="MX160" s="900"/>
      <c r="MY160" s="394"/>
      <c r="MZ160" s="394"/>
      <c r="NA160" s="684"/>
      <c r="NB160" s="684"/>
      <c r="NC160" s="394"/>
      <c r="ND160" s="394"/>
      <c r="NE160" s="394"/>
      <c r="NF160" s="394"/>
      <c r="NG160" s="394"/>
      <c r="NH160" s="394"/>
      <c r="NI160" s="731"/>
      <c r="NJ160" s="402"/>
      <c r="NK160" s="394"/>
      <c r="NL160" s="394"/>
      <c r="NM160" s="402"/>
      <c r="NN160" s="402"/>
      <c r="NO160" s="402"/>
      <c r="NP160" s="402"/>
      <c r="NQ160" s="402"/>
      <c r="NR160" s="402"/>
      <c r="NS160" s="402"/>
      <c r="NT160" s="402"/>
      <c r="NU160" s="148"/>
      <c r="NV160" s="687"/>
      <c r="NW160" s="687"/>
      <c r="NX160" s="794"/>
      <c r="NY160" s="687"/>
      <c r="NZ160" s="687"/>
      <c r="OA160" s="687"/>
      <c r="OB160" s="687"/>
      <c r="OC160" s="687"/>
      <c r="OD160" s="687"/>
      <c r="OE160" s="794"/>
      <c r="OF160" s="794"/>
      <c r="OG160" s="794"/>
      <c r="OH160" s="794"/>
      <c r="OI160" s="71"/>
      <c r="OJ160" s="71"/>
      <c r="OK160" s="402"/>
      <c r="OL160" s="402"/>
      <c r="OM160" s="402"/>
      <c r="OO160" s="67"/>
      <c r="PG160" s="69"/>
      <c r="PH160" s="71"/>
      <c r="PI160" s="507"/>
    </row>
    <row r="161" spans="1:425" hidden="1">
      <c r="A161" s="71"/>
      <c r="B161" s="71"/>
      <c r="C161" s="91"/>
      <c r="D161" s="69"/>
      <c r="E161" s="74"/>
      <c r="F161" s="74"/>
      <c r="I161" s="90"/>
      <c r="J161" s="90"/>
      <c r="K161" s="90"/>
      <c r="L161" s="90"/>
      <c r="M161" s="90"/>
      <c r="N161" s="96"/>
      <c r="O161" s="74"/>
      <c r="P161" s="74"/>
      <c r="R161" s="90"/>
      <c r="S161" s="90"/>
      <c r="T161" s="90"/>
      <c r="U161" s="90"/>
      <c r="V161" s="90"/>
      <c r="W161" s="90"/>
      <c r="X161" s="90"/>
      <c r="Y161" s="69"/>
      <c r="Z161" s="90"/>
      <c r="AA161" s="90"/>
      <c r="AB161" s="90"/>
      <c r="AC161" s="90"/>
      <c r="AH161" s="69"/>
      <c r="AM161" s="90"/>
      <c r="AQ161" s="680"/>
      <c r="AR161" s="90"/>
      <c r="AS161" s="69"/>
      <c r="AT161" s="90"/>
      <c r="AU161" s="90"/>
      <c r="AV161" s="90"/>
      <c r="AW161" s="90"/>
      <c r="AX161" s="90"/>
      <c r="AY161" s="90"/>
      <c r="AZ161" s="90"/>
      <c r="BA161" s="90"/>
      <c r="BB161" s="90"/>
      <c r="BC161" s="90"/>
      <c r="BD161" s="90"/>
      <c r="BE161" s="90"/>
      <c r="BF161" s="148"/>
      <c r="BG161" s="417"/>
      <c r="BH161" s="71"/>
      <c r="BI161" s="255"/>
      <c r="BJ161" s="71"/>
      <c r="BK161" s="71"/>
      <c r="BL161" s="71"/>
      <c r="BM161" s="255"/>
      <c r="BN161" s="71"/>
      <c r="BO161" s="71"/>
      <c r="BP161" s="148"/>
      <c r="BQ161" s="71"/>
      <c r="BR161" s="71"/>
      <c r="CC161" s="69"/>
      <c r="CD161" s="90"/>
      <c r="CI161" s="148"/>
      <c r="CZ161" s="69"/>
      <c r="DA161" s="90"/>
      <c r="DI161" s="69"/>
      <c r="EG161" s="69"/>
      <c r="ER161" s="69"/>
      <c r="ES161" s="90"/>
      <c r="ET161" s="90"/>
      <c r="EU161" s="90"/>
      <c r="EV161" s="90"/>
      <c r="FQ161" s="677"/>
      <c r="FR161" s="677"/>
      <c r="FS161" s="677"/>
      <c r="FT161" s="677"/>
      <c r="FU161" s="677"/>
      <c r="FV161" s="677"/>
      <c r="FW161" s="69"/>
      <c r="GH161" s="69"/>
      <c r="GU161" s="148"/>
      <c r="GV161" s="71"/>
      <c r="GW161" s="71"/>
      <c r="GX161" s="71"/>
      <c r="GY161" s="71"/>
      <c r="GZ161" s="71"/>
      <c r="HA161" s="71"/>
      <c r="HB161" s="71"/>
      <c r="HC161" s="71"/>
      <c r="HD161" s="71"/>
      <c r="HE161" s="71"/>
      <c r="HF161" s="71"/>
      <c r="HG161" s="71"/>
      <c r="HH161" s="74"/>
      <c r="HI161" s="67"/>
      <c r="HS161" s="71"/>
      <c r="IF161" s="71"/>
      <c r="IG161" s="71"/>
      <c r="IH161" s="71"/>
      <c r="II161" s="71"/>
      <c r="IJ161" s="71"/>
      <c r="IK161" s="71"/>
      <c r="IL161" s="71"/>
      <c r="IM161" s="71"/>
      <c r="IN161" s="71"/>
      <c r="IO161" s="71"/>
      <c r="IP161" s="71"/>
      <c r="IQ161" s="74"/>
      <c r="IR161" s="69"/>
      <c r="JH161" s="69"/>
      <c r="JI161" s="90"/>
      <c r="JV161" s="71"/>
      <c r="JW161" s="71"/>
      <c r="JX161" s="71"/>
      <c r="JY161" s="71"/>
      <c r="JZ161" s="71"/>
      <c r="KA161" s="71"/>
      <c r="KB161" s="148"/>
      <c r="KC161" s="74"/>
      <c r="KI161" s="71"/>
      <c r="KJ161" s="71"/>
      <c r="KK161" s="71"/>
      <c r="KL161" s="71"/>
      <c r="KM161" s="340"/>
      <c r="KN161" s="340"/>
      <c r="KO161" s="71"/>
      <c r="KP161" s="71"/>
      <c r="KQ161" s="71"/>
      <c r="KR161" s="71"/>
      <c r="KS161" s="71"/>
      <c r="KT161" s="340"/>
      <c r="KU161" s="148"/>
      <c r="KV161" s="904"/>
      <c r="KW161" s="71"/>
      <c r="KX161" s="71"/>
      <c r="KY161" s="71"/>
      <c r="KZ161" s="71"/>
      <c r="LA161" s="71"/>
      <c r="LB161" s="71"/>
      <c r="LC161" s="71"/>
      <c r="LD161" s="71"/>
      <c r="LE161" s="71"/>
      <c r="LF161" s="71"/>
      <c r="LG161" s="71"/>
      <c r="LH161" s="71"/>
      <c r="LI161" s="71"/>
      <c r="LJ161" s="71"/>
      <c r="LK161" s="71"/>
      <c r="LL161" s="71"/>
      <c r="LM161" s="71"/>
      <c r="LN161" s="71"/>
      <c r="LO161" s="71"/>
      <c r="LP161" s="71"/>
      <c r="LQ161" s="71"/>
      <c r="LR161" s="71"/>
      <c r="LS161" s="71"/>
      <c r="LT161" s="402"/>
      <c r="LU161" s="402"/>
      <c r="LV161" s="402"/>
      <c r="LW161" s="402"/>
      <c r="LX161" s="402"/>
      <c r="LY161" s="900"/>
      <c r="LZ161" s="900"/>
      <c r="MA161" s="402"/>
      <c r="MB161" s="402"/>
      <c r="MC161" s="402"/>
      <c r="MD161" s="402"/>
      <c r="ME161" s="402"/>
      <c r="MF161" s="402"/>
      <c r="MG161" s="402"/>
      <c r="MH161" s="148"/>
      <c r="MI161" s="904"/>
      <c r="MJ161" s="904"/>
      <c r="MK161" s="904"/>
      <c r="ML161" s="904"/>
      <c r="MM161" s="394"/>
      <c r="MN161" s="394"/>
      <c r="MO161" s="394"/>
      <c r="MP161" s="394"/>
      <c r="MQ161" s="394"/>
      <c r="MR161" s="900"/>
      <c r="MS161" s="394"/>
      <c r="MT161" s="394"/>
      <c r="MU161" s="394"/>
      <c r="MV161" s="394"/>
      <c r="MW161" s="394"/>
      <c r="MX161" s="900"/>
      <c r="MY161" s="394"/>
      <c r="MZ161" s="394"/>
      <c r="NA161" s="684"/>
      <c r="NB161" s="684"/>
      <c r="NC161" s="394"/>
      <c r="ND161" s="394"/>
      <c r="NE161" s="394"/>
      <c r="NF161" s="394"/>
      <c r="NG161" s="394"/>
      <c r="NH161" s="394"/>
      <c r="NI161" s="731"/>
      <c r="NJ161" s="402"/>
      <c r="NK161" s="394"/>
      <c r="NL161" s="394"/>
      <c r="NM161" s="402"/>
      <c r="NN161" s="402"/>
      <c r="NO161" s="402"/>
      <c r="NP161" s="402"/>
      <c r="NQ161" s="402"/>
      <c r="NR161" s="402"/>
      <c r="NS161" s="402"/>
      <c r="NT161" s="402"/>
      <c r="NU161" s="148"/>
      <c r="NV161" s="687"/>
      <c r="NW161" s="687"/>
      <c r="NX161" s="794"/>
      <c r="NY161" s="687"/>
      <c r="NZ161" s="687"/>
      <c r="OA161" s="687"/>
      <c r="OB161" s="687"/>
      <c r="OC161" s="687"/>
      <c r="OD161" s="687"/>
      <c r="OE161" s="794"/>
      <c r="OF161" s="794"/>
      <c r="OG161" s="794"/>
      <c r="OH161" s="794"/>
      <c r="OI161" s="71"/>
      <c r="OJ161" s="71"/>
      <c r="OK161" s="402"/>
      <c r="OL161" s="402"/>
      <c r="OM161" s="402"/>
      <c r="OO161" s="67"/>
      <c r="PG161" s="69"/>
      <c r="PH161" s="71"/>
      <c r="PI161" s="507"/>
    </row>
    <row r="162" spans="1:425">
      <c r="A162" s="71">
        <v>1980</v>
      </c>
      <c r="B162" s="71" t="s">
        <v>1201</v>
      </c>
      <c r="C162" s="91"/>
      <c r="D162" s="69"/>
      <c r="E162" s="93">
        <f>AVERAGE(E72:E81)</f>
        <v>9.0185652028122523E-2</v>
      </c>
      <c r="F162" s="93"/>
      <c r="I162" s="90"/>
      <c r="J162" s="90"/>
      <c r="K162" s="90"/>
      <c r="L162" s="90"/>
      <c r="M162" s="90"/>
      <c r="N162" s="94">
        <f>AVERAGE(N72:N81)</f>
        <v>0.15910401805537105</v>
      </c>
      <c r="O162" s="93"/>
      <c r="P162" s="93"/>
      <c r="R162" s="90"/>
      <c r="S162" s="90"/>
      <c r="T162" s="90"/>
      <c r="U162" s="90"/>
      <c r="V162" s="90"/>
      <c r="W162" s="90"/>
      <c r="X162" s="90"/>
      <c r="Y162" s="69"/>
      <c r="Z162" s="90"/>
      <c r="AA162" s="90"/>
      <c r="AB162" s="90"/>
      <c r="AC162" s="90"/>
      <c r="AH162" s="69" t="s">
        <v>843</v>
      </c>
      <c r="AJ162" s="76">
        <f>AJ152+AJ142+AJ132</f>
        <v>1276.1399999999999</v>
      </c>
      <c r="AK162" s="241">
        <f>AK132+AK142+AK152</f>
        <v>7.6105677480916026E-2</v>
      </c>
      <c r="AL162" s="68" t="s">
        <v>846</v>
      </c>
      <c r="AM162" s="90"/>
      <c r="AQ162" s="93">
        <f>AVERAGE(AQ72:AQ81)</f>
        <v>6.0769060329339319E-2</v>
      </c>
      <c r="AR162" s="90"/>
      <c r="AS162" s="69"/>
      <c r="AT162" s="90"/>
      <c r="AU162" s="90"/>
      <c r="AV162" s="90"/>
      <c r="AW162" s="90"/>
      <c r="AX162" s="90"/>
      <c r="AY162" s="90"/>
      <c r="AZ162" s="90"/>
      <c r="BA162" s="90"/>
      <c r="BB162" s="90"/>
      <c r="BC162" s="90"/>
      <c r="BD162" s="90"/>
      <c r="BE162" s="90"/>
      <c r="BF162" s="147">
        <f>AVERAGE(BF72:BF81)</f>
        <v>0.43</v>
      </c>
      <c r="BG162" s="93"/>
      <c r="BH162" s="101">
        <f>AVERAGE(BH72:BH81)</f>
        <v>0.2694135930963909</v>
      </c>
      <c r="BI162" s="254">
        <f>AVERAGE(BI72:BI81)</f>
        <v>0.2694135930963909</v>
      </c>
      <c r="BJ162" s="101">
        <f>AVERAGE(BJ72:BJ81)</f>
        <v>0.22688270789510206</v>
      </c>
      <c r="BK162" s="101">
        <f>AVERAGE(BK72:BK81)</f>
        <v>0.32464435803243147</v>
      </c>
      <c r="BL162" s="101"/>
      <c r="BM162" s="254">
        <f>AVERAGE(BM72:BM81)</f>
        <v>0.333585376895779</v>
      </c>
      <c r="BN162" s="101">
        <f>AVERAGE(BN72:BN81)</f>
        <v>0.33105514546214793</v>
      </c>
      <c r="BO162" s="101">
        <f>AVERAGE(BO72:BO81)</f>
        <v>0.28347387004554453</v>
      </c>
      <c r="BP162" s="147"/>
      <c r="BQ162" s="101"/>
      <c r="BR162" s="101"/>
      <c r="CC162" s="69"/>
      <c r="CD162" s="90"/>
      <c r="CH162" s="94">
        <f>AVERAGE(CH72:CH82)</f>
        <v>0.83531679154870142</v>
      </c>
      <c r="CI162" s="727">
        <f>CH162*N162</f>
        <v>0.1329022578845192</v>
      </c>
      <c r="CZ162" s="69"/>
      <c r="DA162" s="90"/>
      <c r="DI162" s="69"/>
      <c r="EG162" s="69"/>
      <c r="ER162" s="69"/>
      <c r="ES162" s="90"/>
      <c r="ET162" s="90"/>
      <c r="EU162" s="90"/>
      <c r="EV162" s="90"/>
      <c r="FQ162" s="681">
        <f>AVERAGE(FQ72:FQ81)</f>
        <v>3.5556131599896762E-2</v>
      </c>
      <c r="FR162" s="681">
        <f>AVERAGE(FR72:FR81)</f>
        <v>0.12354788645547429</v>
      </c>
      <c r="FS162" s="681">
        <f>AVERAGE(FS72:FS81)</f>
        <v>3.1872264824054828E-3</v>
      </c>
      <c r="FT162" s="681"/>
      <c r="FU162" s="681"/>
      <c r="FV162" s="681">
        <f>AVERAGE(FV72:FV81)</f>
        <v>1.1132098707274605E-2</v>
      </c>
      <c r="FW162" s="69"/>
      <c r="GH162" s="69"/>
      <c r="GU162" s="148"/>
      <c r="GV162" s="71"/>
      <c r="GW162" s="71"/>
      <c r="GX162" s="71"/>
      <c r="GY162" s="71"/>
      <c r="GZ162" s="71"/>
      <c r="HA162" s="71"/>
      <c r="HB162" s="71"/>
      <c r="HC162" s="71"/>
      <c r="HD162" s="71"/>
      <c r="HE162" s="71"/>
      <c r="HF162" s="71"/>
      <c r="HG162" s="71"/>
      <c r="HH162" s="74"/>
      <c r="HI162" s="67"/>
      <c r="HS162" s="71"/>
      <c r="IF162" s="71"/>
      <c r="IG162" s="71"/>
      <c r="IH162" s="71"/>
      <c r="II162" s="71"/>
      <c r="IJ162" s="71"/>
      <c r="IK162" s="71"/>
      <c r="IL162" s="71"/>
      <c r="IM162" s="71"/>
      <c r="IN162" s="71"/>
      <c r="IO162" s="71"/>
      <c r="IP162" s="71"/>
      <c r="IQ162" s="74"/>
      <c r="IR162" s="69"/>
      <c r="JH162" s="69"/>
      <c r="JI162" s="90"/>
      <c r="JV162" s="71"/>
      <c r="JW162" s="71"/>
      <c r="JX162" s="71"/>
      <c r="JY162" s="71"/>
      <c r="JZ162" s="71"/>
      <c r="KA162" s="71"/>
      <c r="KB162" s="148"/>
      <c r="KC162" s="74"/>
      <c r="KI162" s="71"/>
      <c r="KJ162" s="71"/>
      <c r="KK162" s="71"/>
      <c r="KL162" s="71"/>
      <c r="KM162" s="340"/>
      <c r="KN162" s="340"/>
      <c r="KO162" s="71"/>
      <c r="KP162" s="71"/>
      <c r="KQ162" s="71"/>
      <c r="KR162" s="71"/>
      <c r="KS162" s="71"/>
      <c r="KT162" s="340"/>
      <c r="KU162" s="148"/>
      <c r="KV162" s="904"/>
      <c r="KW162" s="71"/>
      <c r="KX162" s="71"/>
      <c r="KY162" s="71"/>
      <c r="KZ162" s="71"/>
      <c r="LA162" s="71"/>
      <c r="LB162" s="71"/>
      <c r="LC162" s="71"/>
      <c r="LD162" s="71"/>
      <c r="LE162" s="71"/>
      <c r="LF162" s="71"/>
      <c r="LG162" s="71"/>
      <c r="LH162" s="71"/>
      <c r="LI162" s="71"/>
      <c r="LJ162" s="71"/>
      <c r="LK162" s="71"/>
      <c r="LL162" s="71"/>
      <c r="LM162" s="71"/>
      <c r="LN162" s="71"/>
      <c r="LO162" s="71"/>
      <c r="LP162" s="71"/>
      <c r="LQ162" s="71"/>
      <c r="LR162" s="71"/>
      <c r="LS162" s="71"/>
      <c r="LT162" s="402"/>
      <c r="LU162" s="402"/>
      <c r="LV162" s="402"/>
      <c r="LW162" s="402"/>
      <c r="LX162" s="402"/>
      <c r="LY162" s="900"/>
      <c r="LZ162" s="900"/>
      <c r="MA162" s="402"/>
      <c r="MB162" s="402"/>
      <c r="MC162" s="402"/>
      <c r="MD162" s="402"/>
      <c r="ME162" s="402"/>
      <c r="MF162" s="402"/>
      <c r="MG162" s="402"/>
      <c r="MH162" s="148"/>
      <c r="MI162" s="904"/>
      <c r="MJ162" s="904"/>
      <c r="MK162" s="904"/>
      <c r="ML162" s="904"/>
      <c r="MM162" s="394"/>
      <c r="MN162" s="394"/>
      <c r="MO162" s="394"/>
      <c r="MP162" s="394"/>
      <c r="MQ162" s="394"/>
      <c r="MR162" s="900"/>
      <c r="MS162" s="394"/>
      <c r="MT162" s="394"/>
      <c r="MU162" s="394"/>
      <c r="MV162" s="394"/>
      <c r="MW162" s="394"/>
      <c r="MX162" s="900"/>
      <c r="MY162" s="394"/>
      <c r="MZ162" s="394"/>
      <c r="NA162" s="684"/>
      <c r="NB162" s="684"/>
      <c r="NC162" s="394"/>
      <c r="ND162" s="394"/>
      <c r="NE162" s="394"/>
      <c r="NF162" s="394"/>
      <c r="NG162" s="394"/>
      <c r="NH162" s="394"/>
      <c r="NI162" s="731"/>
      <c r="NJ162" s="402"/>
      <c r="NK162" s="394"/>
      <c r="NL162" s="394"/>
      <c r="NM162" s="402"/>
      <c r="NN162" s="402"/>
      <c r="NO162" s="402"/>
      <c r="NP162" s="402"/>
      <c r="NQ162" s="402"/>
      <c r="NR162" s="402"/>
      <c r="NS162" s="402"/>
      <c r="NT162" s="402"/>
      <c r="NU162" s="147" t="e">
        <f>AVERAGE(NU72:NU81)</f>
        <v>#DIV/0!</v>
      </c>
      <c r="NV162" s="93">
        <f>AVERAGE(NV72:NV81)</f>
        <v>8.3939038386827619E-2</v>
      </c>
      <c r="NW162" s="93">
        <f>AVERAGE(NW72:NW81)</f>
        <v>0.1433953910189211</v>
      </c>
      <c r="NX162" s="93"/>
      <c r="NY162" s="93" t="e">
        <f>AVERAGE(NY72:NY81)</f>
        <v>#DIV/0!</v>
      </c>
      <c r="NZ162" s="93">
        <f>AVERAGE(NZ72:NZ81)</f>
        <v>2.4073191523599633E-2</v>
      </c>
      <c r="OA162" s="93"/>
      <c r="OB162" s="93"/>
      <c r="OC162" s="93"/>
      <c r="OD162" s="93"/>
      <c r="OE162" s="93"/>
      <c r="OF162" s="93"/>
      <c r="OG162" s="93"/>
      <c r="OH162" s="93"/>
      <c r="OI162" s="71"/>
      <c r="OJ162" s="71"/>
      <c r="OK162" s="402"/>
      <c r="OL162" s="402"/>
      <c r="OM162" s="402"/>
      <c r="OO162" s="147">
        <f t="shared" ref="OO162:PA162" si="535">AVERAGE(OO72:OO81)</f>
        <v>9.0630827020879504E-2</v>
      </c>
      <c r="OP162" s="93"/>
      <c r="OQ162" s="93"/>
      <c r="OR162" s="93"/>
      <c r="OS162" s="93">
        <f t="shared" si="535"/>
        <v>0.13548497910718479</v>
      </c>
      <c r="OT162" s="93">
        <f t="shared" si="535"/>
        <v>0.12031027372511249</v>
      </c>
      <c r="OU162" s="93">
        <f t="shared" si="535"/>
        <v>8.9134832551690427E-2</v>
      </c>
      <c r="OV162" s="93">
        <f t="shared" si="535"/>
        <v>8.231192376801684E-2</v>
      </c>
      <c r="OW162" s="93">
        <f t="shared" si="535"/>
        <v>7.7687146533592114E-2</v>
      </c>
      <c r="OX162" s="93">
        <f t="shared" si="535"/>
        <v>7.3835987494125038E-2</v>
      </c>
      <c r="OY162" s="93">
        <f t="shared" si="535"/>
        <v>0.14005277186753798</v>
      </c>
      <c r="OZ162" s="93">
        <f t="shared" si="535"/>
        <v>9.4754948714777118E-2</v>
      </c>
      <c r="PA162" s="93">
        <f t="shared" si="535"/>
        <v>8.9922017260565576E-2</v>
      </c>
      <c r="PB162" s="93">
        <f>AVERAGE(PB72:PB81)</f>
        <v>4.8329314542115464E-3</v>
      </c>
      <c r="PC162" s="93"/>
      <c r="PD162" s="93"/>
      <c r="PE162" s="93"/>
      <c r="PF162" s="93"/>
      <c r="PG162" s="69"/>
      <c r="PH162" s="71"/>
      <c r="PI162" s="507"/>
    </row>
    <row r="163" spans="1:425" hidden="1">
      <c r="A163" s="71"/>
      <c r="B163" s="71"/>
      <c r="C163" s="91"/>
      <c r="D163" s="69"/>
      <c r="E163" s="74"/>
      <c r="F163" s="74"/>
      <c r="I163" s="90"/>
      <c r="J163" s="90"/>
      <c r="K163" s="90"/>
      <c r="L163" s="90"/>
      <c r="M163" s="90"/>
      <c r="N163" s="96"/>
      <c r="O163" s="74"/>
      <c r="P163" s="74"/>
      <c r="R163" s="90"/>
      <c r="S163" s="90"/>
      <c r="T163" s="90"/>
      <c r="U163" s="90"/>
      <c r="V163" s="90"/>
      <c r="W163" s="90"/>
      <c r="X163" s="90"/>
      <c r="Y163" s="69"/>
      <c r="Z163" s="90"/>
      <c r="AA163" s="90"/>
      <c r="AB163" s="90"/>
      <c r="AC163" s="90"/>
      <c r="AH163" s="69"/>
      <c r="AM163" s="90"/>
      <c r="AQ163" s="680"/>
      <c r="AR163" s="90"/>
      <c r="AS163" s="69"/>
      <c r="AT163" s="90"/>
      <c r="AU163" s="90"/>
      <c r="AV163" s="90"/>
      <c r="AW163" s="90"/>
      <c r="AX163" s="90"/>
      <c r="AY163" s="90"/>
      <c r="AZ163" s="90"/>
      <c r="BA163" s="90"/>
      <c r="BB163" s="90"/>
      <c r="BC163" s="90"/>
      <c r="BD163" s="90"/>
      <c r="BE163" s="90"/>
      <c r="BF163" s="148"/>
      <c r="BG163" s="417"/>
      <c r="BH163" s="71"/>
      <c r="BI163" s="255"/>
      <c r="BJ163" s="71"/>
      <c r="BK163" s="71"/>
      <c r="BL163" s="71"/>
      <c r="BM163" s="255"/>
      <c r="BN163" s="71"/>
      <c r="BO163" s="71"/>
      <c r="BP163" s="148"/>
      <c r="BQ163" s="71"/>
      <c r="BR163" s="71"/>
      <c r="CC163" s="69"/>
      <c r="CD163" s="90"/>
      <c r="CI163" s="148"/>
      <c r="CZ163" s="69"/>
      <c r="DA163" s="90"/>
      <c r="DI163" s="69"/>
      <c r="EG163" s="69"/>
      <c r="ER163" s="69"/>
      <c r="ES163" s="90"/>
      <c r="ET163" s="90"/>
      <c r="EU163" s="90"/>
      <c r="EV163" s="90"/>
      <c r="FQ163" s="677"/>
      <c r="FR163" s="677"/>
      <c r="FS163" s="677"/>
      <c r="FT163" s="677"/>
      <c r="FU163" s="677"/>
      <c r="FV163" s="677"/>
      <c r="FW163" s="69"/>
      <c r="GH163" s="69"/>
      <c r="GU163" s="148"/>
      <c r="GV163" s="71"/>
      <c r="GW163" s="71"/>
      <c r="GX163" s="71"/>
      <c r="GY163" s="71"/>
      <c r="GZ163" s="71"/>
      <c r="HA163" s="71"/>
      <c r="HB163" s="71"/>
      <c r="HC163" s="71"/>
      <c r="HD163" s="71"/>
      <c r="HE163" s="71"/>
      <c r="HF163" s="71"/>
      <c r="HG163" s="71"/>
      <c r="HH163" s="74"/>
      <c r="HI163" s="67"/>
      <c r="IF163" s="71"/>
      <c r="IG163" s="71"/>
      <c r="IH163" s="71"/>
      <c r="II163" s="71"/>
      <c r="IJ163" s="71"/>
      <c r="IK163" s="71"/>
      <c r="IL163" s="71"/>
      <c r="IM163" s="71"/>
      <c r="IN163" s="71"/>
      <c r="IO163" s="71"/>
      <c r="IP163" s="71"/>
      <c r="IQ163" s="74"/>
      <c r="IR163" s="69"/>
      <c r="JH163" s="69"/>
      <c r="JI163" s="90"/>
      <c r="JU163" s="71"/>
      <c r="JV163" s="71"/>
      <c r="JW163" s="71"/>
      <c r="JX163" s="71"/>
      <c r="JY163" s="71"/>
      <c r="JZ163" s="71"/>
      <c r="KA163" s="71"/>
      <c r="KB163" s="148"/>
      <c r="KC163" s="74"/>
      <c r="KD163" s="74"/>
      <c r="KE163" s="904"/>
      <c r="KF163" s="904"/>
      <c r="KG163" s="71"/>
      <c r="KH163" s="71"/>
      <c r="KI163" s="71"/>
      <c r="KJ163" s="71"/>
      <c r="KK163" s="71"/>
      <c r="KL163" s="71"/>
      <c r="KM163" s="340"/>
      <c r="KN163" s="340"/>
      <c r="KO163" s="71"/>
      <c r="KP163" s="71"/>
      <c r="KQ163" s="71"/>
      <c r="KR163" s="71"/>
      <c r="KS163" s="71"/>
      <c r="KT163" s="340"/>
      <c r="KU163" s="148"/>
      <c r="KV163" s="904"/>
      <c r="KW163" s="71"/>
      <c r="KX163" s="71"/>
      <c r="KY163" s="71"/>
      <c r="KZ163" s="71"/>
      <c r="LA163" s="71"/>
      <c r="LB163" s="71"/>
      <c r="LC163" s="71"/>
      <c r="LD163" s="71"/>
      <c r="LE163" s="71"/>
      <c r="LF163" s="71"/>
      <c r="LG163" s="71"/>
      <c r="LH163" s="71"/>
      <c r="LI163" s="71"/>
      <c r="LJ163" s="71"/>
      <c r="LK163" s="71"/>
      <c r="LL163" s="71"/>
      <c r="LM163" s="71"/>
      <c r="LN163" s="71"/>
      <c r="LO163" s="71"/>
      <c r="LP163" s="71"/>
      <c r="LQ163" s="71"/>
      <c r="LR163" s="71"/>
      <c r="LS163" s="71"/>
      <c r="LT163" s="402"/>
      <c r="LU163" s="402"/>
      <c r="LV163" s="402"/>
      <c r="LW163" s="402"/>
      <c r="LX163" s="402"/>
      <c r="LY163" s="900"/>
      <c r="LZ163" s="900"/>
      <c r="MA163" s="402"/>
      <c r="MB163" s="402"/>
      <c r="MC163" s="402"/>
      <c r="MD163" s="402"/>
      <c r="ME163" s="402"/>
      <c r="MF163" s="402"/>
      <c r="MG163" s="402"/>
      <c r="MH163" s="148"/>
      <c r="MI163" s="904"/>
      <c r="MJ163" s="904"/>
      <c r="MK163" s="904"/>
      <c r="ML163" s="904"/>
      <c r="MM163" s="394"/>
      <c r="MN163" s="394"/>
      <c r="MO163" s="394"/>
      <c r="MP163" s="394"/>
      <c r="MQ163" s="394"/>
      <c r="MR163" s="900"/>
      <c r="MS163" s="394"/>
      <c r="MT163" s="394"/>
      <c r="MU163" s="394"/>
      <c r="MV163" s="394"/>
      <c r="MW163" s="394"/>
      <c r="MX163" s="900"/>
      <c r="MY163" s="394"/>
      <c r="MZ163" s="394"/>
      <c r="NA163" s="684"/>
      <c r="NB163" s="684"/>
      <c r="NC163" s="394"/>
      <c r="ND163" s="394"/>
      <c r="NE163" s="394"/>
      <c r="NF163" s="394"/>
      <c r="NG163" s="394"/>
      <c r="NH163" s="394"/>
      <c r="NI163" s="731"/>
      <c r="NJ163" s="402"/>
      <c r="NK163" s="394"/>
      <c r="NL163" s="394"/>
      <c r="NM163" s="402"/>
      <c r="NN163" s="402"/>
      <c r="NO163" s="402"/>
      <c r="NP163" s="402"/>
      <c r="NQ163" s="402"/>
      <c r="NR163" s="402"/>
      <c r="NS163" s="402"/>
      <c r="NT163" s="402"/>
      <c r="NU163" s="69"/>
      <c r="NV163" s="90"/>
      <c r="NW163" s="90"/>
      <c r="NX163" s="90"/>
      <c r="NY163" s="90"/>
      <c r="NZ163" s="90"/>
      <c r="OA163" s="90"/>
      <c r="OB163" s="90"/>
      <c r="OC163" s="90"/>
      <c r="OD163" s="90"/>
      <c r="OE163" s="90"/>
      <c r="OF163" s="90"/>
      <c r="OG163" s="90"/>
      <c r="OH163" s="90"/>
      <c r="OI163" s="71"/>
      <c r="OJ163" s="71"/>
      <c r="OK163" s="402"/>
      <c r="OL163" s="402"/>
      <c r="OM163" s="402"/>
      <c r="OO163" s="69"/>
      <c r="OP163" s="90"/>
      <c r="OQ163" s="90"/>
      <c r="OR163" s="90"/>
      <c r="OS163" s="90"/>
      <c r="OT163" s="90"/>
      <c r="OU163" s="90"/>
      <c r="OV163" s="90"/>
      <c r="OW163" s="90"/>
      <c r="OX163" s="90"/>
      <c r="OY163" s="90"/>
      <c r="OZ163" s="90"/>
      <c r="PA163" s="90"/>
      <c r="PB163" s="90"/>
      <c r="PC163" s="90"/>
      <c r="PD163" s="90"/>
      <c r="PE163" s="90"/>
      <c r="PF163" s="90"/>
      <c r="PG163" s="69"/>
      <c r="PH163" s="71"/>
      <c r="PI163" s="507"/>
    </row>
    <row r="164" spans="1:425" hidden="1">
      <c r="A164" s="71"/>
      <c r="B164" s="71"/>
      <c r="C164" s="91"/>
      <c r="D164" s="69"/>
      <c r="E164" s="74"/>
      <c r="F164" s="74"/>
      <c r="I164" s="90"/>
      <c r="J164" s="90"/>
      <c r="K164" s="90"/>
      <c r="L164" s="90"/>
      <c r="M164" s="90"/>
      <c r="N164" s="96"/>
      <c r="O164" s="74"/>
      <c r="P164" s="74"/>
      <c r="R164" s="90"/>
      <c r="S164" s="90"/>
      <c r="T164" s="90"/>
      <c r="U164" s="90"/>
      <c r="V164" s="90"/>
      <c r="W164" s="90"/>
      <c r="X164" s="90"/>
      <c r="Y164" s="69"/>
      <c r="Z164" s="90"/>
      <c r="AA164" s="90"/>
      <c r="AB164" s="90"/>
      <c r="AC164" s="90"/>
      <c r="AH164" s="69"/>
      <c r="AM164" s="90"/>
      <c r="AQ164" s="680"/>
      <c r="AR164" s="90"/>
      <c r="AS164" s="69"/>
      <c r="AT164" s="90"/>
      <c r="AU164" s="90"/>
      <c r="AV164" s="90"/>
      <c r="AW164" s="90"/>
      <c r="AX164" s="90"/>
      <c r="AY164" s="90"/>
      <c r="AZ164" s="90"/>
      <c r="BA164" s="90"/>
      <c r="BB164" s="90"/>
      <c r="BC164" s="90"/>
      <c r="BD164" s="90"/>
      <c r="BE164" s="90"/>
      <c r="BF164" s="148"/>
      <c r="BG164" s="417"/>
      <c r="BH164" s="71"/>
      <c r="BI164" s="255"/>
      <c r="BJ164" s="71"/>
      <c r="BK164" s="71"/>
      <c r="BL164" s="71"/>
      <c r="BM164" s="255"/>
      <c r="BN164" s="71"/>
      <c r="BO164" s="71"/>
      <c r="BP164" s="148"/>
      <c r="BQ164" s="71"/>
      <c r="BR164" s="71"/>
      <c r="CC164" s="69"/>
      <c r="CD164" s="90"/>
      <c r="CI164" s="148"/>
      <c r="CZ164" s="69"/>
      <c r="DA164" s="90"/>
      <c r="DI164" s="69"/>
      <c r="EG164" s="69"/>
      <c r="ER164" s="69"/>
      <c r="ES164" s="90"/>
      <c r="ET164" s="90"/>
      <c r="EU164" s="90"/>
      <c r="EV164" s="90"/>
      <c r="FQ164" s="677"/>
      <c r="FR164" s="677"/>
      <c r="FS164" s="677"/>
      <c r="FT164" s="677"/>
      <c r="FU164" s="677"/>
      <c r="FV164" s="677"/>
      <c r="FW164" s="69"/>
      <c r="GH164" s="69"/>
      <c r="GU164" s="148"/>
      <c r="GV164" s="71"/>
      <c r="GW164" s="71"/>
      <c r="GX164" s="71"/>
      <c r="GY164" s="71"/>
      <c r="GZ164" s="71"/>
      <c r="HA164" s="71"/>
      <c r="HB164" s="71"/>
      <c r="HC164" s="71"/>
      <c r="HD164" s="71"/>
      <c r="HE164" s="71"/>
      <c r="HF164" s="71"/>
      <c r="HG164" s="71"/>
      <c r="HH164" s="74"/>
      <c r="HI164" s="67"/>
      <c r="IF164" s="71"/>
      <c r="IG164" s="71"/>
      <c r="IH164" s="71"/>
      <c r="II164" s="71"/>
      <c r="IJ164" s="71"/>
      <c r="IK164" s="71"/>
      <c r="IL164" s="71"/>
      <c r="IM164" s="71"/>
      <c r="IN164" s="71"/>
      <c r="IO164" s="71"/>
      <c r="IP164" s="71"/>
      <c r="IQ164" s="74"/>
      <c r="IR164" s="69"/>
      <c r="JH164" s="69"/>
      <c r="JI164" s="90"/>
      <c r="JU164" s="71"/>
      <c r="JV164" s="71"/>
      <c r="JW164" s="71"/>
      <c r="JX164" s="71"/>
      <c r="JY164" s="71"/>
      <c r="JZ164" s="71"/>
      <c r="KA164" s="71"/>
      <c r="KB164" s="148"/>
      <c r="KC164" s="74"/>
      <c r="KD164" s="74"/>
      <c r="KE164" s="904"/>
      <c r="KF164" s="904"/>
      <c r="KG164" s="71"/>
      <c r="KH164" s="71"/>
      <c r="KI164" s="71"/>
      <c r="KJ164" s="71"/>
      <c r="KK164" s="71"/>
      <c r="KL164" s="71"/>
      <c r="KM164" s="340"/>
      <c r="KN164" s="340"/>
      <c r="KO164" s="71"/>
      <c r="KP164" s="71"/>
      <c r="KQ164" s="71"/>
      <c r="KR164" s="71"/>
      <c r="KS164" s="71"/>
      <c r="KT164" s="340"/>
      <c r="KU164" s="148"/>
      <c r="KV164" s="904"/>
      <c r="KW164" s="71"/>
      <c r="KX164" s="71"/>
      <c r="KY164" s="71"/>
      <c r="KZ164" s="71"/>
      <c r="LA164" s="71"/>
      <c r="LB164" s="71"/>
      <c r="LC164" s="71"/>
      <c r="LD164" s="71"/>
      <c r="LE164" s="71"/>
      <c r="LF164" s="71"/>
      <c r="LG164" s="71"/>
      <c r="LH164" s="71"/>
      <c r="LI164" s="71"/>
      <c r="LJ164" s="71"/>
      <c r="LK164" s="71"/>
      <c r="LL164" s="71"/>
      <c r="LM164" s="71"/>
      <c r="LN164" s="71"/>
      <c r="LO164" s="71"/>
      <c r="LP164" s="71"/>
      <c r="LQ164" s="71"/>
      <c r="LR164" s="71"/>
      <c r="LS164" s="71"/>
      <c r="LT164" s="402"/>
      <c r="LU164" s="402"/>
      <c r="LV164" s="402"/>
      <c r="LW164" s="402"/>
      <c r="LX164" s="402"/>
      <c r="LY164" s="900"/>
      <c r="LZ164" s="900"/>
      <c r="MA164" s="402"/>
      <c r="MB164" s="402"/>
      <c r="MC164" s="402"/>
      <c r="MD164" s="402"/>
      <c r="ME164" s="402"/>
      <c r="MF164" s="402"/>
      <c r="MG164" s="402"/>
      <c r="MH164" s="148"/>
      <c r="MI164" s="904"/>
      <c r="MJ164" s="904"/>
      <c r="MK164" s="904"/>
      <c r="ML164" s="904"/>
      <c r="MM164" s="394"/>
      <c r="MN164" s="394"/>
      <c r="MO164" s="394"/>
      <c r="MP164" s="394"/>
      <c r="MQ164" s="394"/>
      <c r="MR164" s="900"/>
      <c r="MS164" s="394"/>
      <c r="MT164" s="394"/>
      <c r="MU164" s="394"/>
      <c r="MV164" s="394"/>
      <c r="MW164" s="394"/>
      <c r="MX164" s="900"/>
      <c r="MY164" s="394"/>
      <c r="MZ164" s="394"/>
      <c r="NA164" s="684"/>
      <c r="NB164" s="684"/>
      <c r="NC164" s="394"/>
      <c r="ND164" s="394"/>
      <c r="NE164" s="394"/>
      <c r="NF164" s="394"/>
      <c r="NG164" s="394"/>
      <c r="NH164" s="394"/>
      <c r="NI164" s="731"/>
      <c r="NJ164" s="402"/>
      <c r="NK164" s="394"/>
      <c r="NL164" s="394"/>
      <c r="NM164" s="402"/>
      <c r="NN164" s="402"/>
      <c r="NO164" s="402"/>
      <c r="NP164" s="402"/>
      <c r="NQ164" s="402"/>
      <c r="NR164" s="402"/>
      <c r="NS164" s="402"/>
      <c r="NT164" s="402"/>
      <c r="NU164" s="69"/>
      <c r="NV164" s="90"/>
      <c r="NW164" s="90"/>
      <c r="NX164" s="90"/>
      <c r="NY164" s="90"/>
      <c r="NZ164" s="90"/>
      <c r="OA164" s="90"/>
      <c r="OB164" s="90"/>
      <c r="OC164" s="90"/>
      <c r="OD164" s="90"/>
      <c r="OE164" s="90"/>
      <c r="OF164" s="90"/>
      <c r="OG164" s="90"/>
      <c r="OH164" s="90"/>
      <c r="OI164" s="71"/>
      <c r="OJ164" s="71"/>
      <c r="OK164" s="402"/>
      <c r="OL164" s="402"/>
      <c r="OM164" s="402"/>
      <c r="OO164" s="69"/>
      <c r="OP164" s="90"/>
      <c r="OQ164" s="90"/>
      <c r="OR164" s="90"/>
      <c r="OS164" s="90"/>
      <c r="OT164" s="90"/>
      <c r="OU164" s="90"/>
      <c r="OV164" s="90"/>
      <c r="OW164" s="90"/>
      <c r="OX164" s="90"/>
      <c r="OY164" s="90"/>
      <c r="OZ164" s="90"/>
      <c r="PA164" s="90"/>
      <c r="PB164" s="90"/>
      <c r="PC164" s="90"/>
      <c r="PD164" s="90"/>
      <c r="PE164" s="90"/>
      <c r="PF164" s="90"/>
      <c r="PG164" s="69"/>
      <c r="PH164" s="71"/>
      <c r="PI164" s="507"/>
    </row>
    <row r="165" spans="1:425" hidden="1">
      <c r="A165" s="71"/>
      <c r="B165" s="71"/>
      <c r="C165" s="91"/>
      <c r="D165" s="69"/>
      <c r="E165" s="74"/>
      <c r="F165" s="74"/>
      <c r="I165" s="90"/>
      <c r="J165" s="90"/>
      <c r="K165" s="90"/>
      <c r="L165" s="90"/>
      <c r="M165" s="90"/>
      <c r="N165" s="96"/>
      <c r="O165" s="74"/>
      <c r="P165" s="74"/>
      <c r="R165" s="90"/>
      <c r="S165" s="90"/>
      <c r="T165" s="90"/>
      <c r="U165" s="90"/>
      <c r="V165" s="90"/>
      <c r="W165" s="90"/>
      <c r="X165" s="90"/>
      <c r="Y165" s="69"/>
      <c r="Z165" s="90"/>
      <c r="AA165" s="90"/>
      <c r="AB165" s="90"/>
      <c r="AC165" s="90"/>
      <c r="AH165" s="69"/>
      <c r="AM165" s="90"/>
      <c r="AQ165" s="680"/>
      <c r="AR165" s="90"/>
      <c r="AS165" s="69"/>
      <c r="AT165" s="90"/>
      <c r="AU165" s="90"/>
      <c r="AV165" s="90"/>
      <c r="AW165" s="90"/>
      <c r="AX165" s="90"/>
      <c r="AY165" s="90"/>
      <c r="AZ165" s="90"/>
      <c r="BA165" s="90"/>
      <c r="BB165" s="90"/>
      <c r="BC165" s="90"/>
      <c r="BD165" s="90"/>
      <c r="BE165" s="90"/>
      <c r="BF165" s="148"/>
      <c r="BG165" s="417"/>
      <c r="BH165" s="71"/>
      <c r="BI165" s="255"/>
      <c r="BJ165" s="71"/>
      <c r="BK165" s="71"/>
      <c r="BL165" s="71"/>
      <c r="BM165" s="255"/>
      <c r="BN165" s="71"/>
      <c r="BO165" s="71"/>
      <c r="BP165" s="148"/>
      <c r="BQ165" s="71"/>
      <c r="BR165" s="71"/>
      <c r="CC165" s="69"/>
      <c r="CD165" s="90"/>
      <c r="CI165" s="148"/>
      <c r="CZ165" s="69"/>
      <c r="DA165" s="90"/>
      <c r="DI165" s="69"/>
      <c r="EG165" s="69"/>
      <c r="ER165" s="69"/>
      <c r="ES165" s="90"/>
      <c r="ET165" s="90"/>
      <c r="EU165" s="90"/>
      <c r="EV165" s="90"/>
      <c r="FQ165" s="677"/>
      <c r="FR165" s="677"/>
      <c r="FS165" s="677"/>
      <c r="FT165" s="677"/>
      <c r="FU165" s="677"/>
      <c r="FV165" s="677"/>
      <c r="FW165" s="69"/>
      <c r="GH165" s="69"/>
      <c r="GU165" s="148"/>
      <c r="GV165" s="71"/>
      <c r="GW165" s="71"/>
      <c r="GX165" s="71"/>
      <c r="GY165" s="71"/>
      <c r="GZ165" s="71"/>
      <c r="HA165" s="71"/>
      <c r="HB165" s="71"/>
      <c r="HC165" s="71"/>
      <c r="HD165" s="71"/>
      <c r="HE165" s="71"/>
      <c r="HF165" s="71"/>
      <c r="HG165" s="71"/>
      <c r="HH165" s="74"/>
      <c r="HI165" s="67"/>
      <c r="IF165" s="71"/>
      <c r="IG165" s="71"/>
      <c r="IH165" s="71"/>
      <c r="II165" s="71"/>
      <c r="IJ165" s="71"/>
      <c r="IK165" s="71"/>
      <c r="IL165" s="71"/>
      <c r="IM165" s="71"/>
      <c r="IN165" s="71"/>
      <c r="IO165" s="71"/>
      <c r="IP165" s="71"/>
      <c r="IQ165" s="74"/>
      <c r="IR165" s="69"/>
      <c r="JH165" s="69"/>
      <c r="JI165" s="90"/>
      <c r="JU165" s="71"/>
      <c r="JV165" s="71"/>
      <c r="JW165" s="71"/>
      <c r="JX165" s="71"/>
      <c r="JY165" s="71"/>
      <c r="JZ165" s="71"/>
      <c r="KA165" s="71"/>
      <c r="KB165" s="148"/>
      <c r="KC165" s="74"/>
      <c r="KD165" s="74"/>
      <c r="KE165" s="904"/>
      <c r="KF165" s="904"/>
      <c r="KG165" s="71"/>
      <c r="KH165" s="71"/>
      <c r="KI165" s="71"/>
      <c r="KJ165" s="71"/>
      <c r="KK165" s="71"/>
      <c r="KL165" s="71"/>
      <c r="KM165" s="340"/>
      <c r="KN165" s="340"/>
      <c r="KO165" s="71"/>
      <c r="KP165" s="71"/>
      <c r="KQ165" s="71"/>
      <c r="KR165" s="71"/>
      <c r="KS165" s="71"/>
      <c r="KT165" s="340"/>
      <c r="KU165" s="148"/>
      <c r="KV165" s="904"/>
      <c r="KW165" s="71"/>
      <c r="KX165" s="71"/>
      <c r="KY165" s="71"/>
      <c r="KZ165" s="71"/>
      <c r="LA165" s="71"/>
      <c r="LB165" s="71"/>
      <c r="LC165" s="71"/>
      <c r="LD165" s="71"/>
      <c r="LE165" s="71"/>
      <c r="LF165" s="71"/>
      <c r="LG165" s="71"/>
      <c r="LH165" s="71"/>
      <c r="LI165" s="71"/>
      <c r="LJ165" s="71"/>
      <c r="LK165" s="71"/>
      <c r="LL165" s="71"/>
      <c r="LM165" s="71"/>
      <c r="LN165" s="71"/>
      <c r="LO165" s="71"/>
      <c r="LP165" s="71"/>
      <c r="LQ165" s="71"/>
      <c r="LR165" s="71"/>
      <c r="LS165" s="71"/>
      <c r="LT165" s="402"/>
      <c r="LU165" s="402"/>
      <c r="LV165" s="402"/>
      <c r="LW165" s="402"/>
      <c r="LX165" s="402"/>
      <c r="LY165" s="900"/>
      <c r="LZ165" s="900"/>
      <c r="MA165" s="402"/>
      <c r="MB165" s="402"/>
      <c r="MC165" s="402"/>
      <c r="MD165" s="402"/>
      <c r="ME165" s="402"/>
      <c r="MF165" s="402"/>
      <c r="MG165" s="402"/>
      <c r="MH165" s="148"/>
      <c r="MI165" s="904"/>
      <c r="MJ165" s="904"/>
      <c r="MK165" s="904"/>
      <c r="ML165" s="904"/>
      <c r="MM165" s="394"/>
      <c r="MN165" s="394"/>
      <c r="MO165" s="394"/>
      <c r="MP165" s="394"/>
      <c r="MQ165" s="394"/>
      <c r="MR165" s="900"/>
      <c r="MS165" s="394"/>
      <c r="MT165" s="394"/>
      <c r="MU165" s="394"/>
      <c r="MV165" s="394"/>
      <c r="MW165" s="394"/>
      <c r="MX165" s="900"/>
      <c r="MY165" s="394"/>
      <c r="MZ165" s="394"/>
      <c r="NA165" s="684"/>
      <c r="NB165" s="684"/>
      <c r="NC165" s="394"/>
      <c r="ND165" s="394"/>
      <c r="NE165" s="394"/>
      <c r="NF165" s="394"/>
      <c r="NG165" s="394"/>
      <c r="NH165" s="394"/>
      <c r="NI165" s="731"/>
      <c r="NJ165" s="402"/>
      <c r="NK165" s="394"/>
      <c r="NL165" s="394"/>
      <c r="NM165" s="402"/>
      <c r="NN165" s="402"/>
      <c r="NO165" s="402"/>
      <c r="NP165" s="402"/>
      <c r="NQ165" s="402"/>
      <c r="NR165" s="402"/>
      <c r="NS165" s="402"/>
      <c r="NT165" s="402"/>
      <c r="NU165" s="69"/>
      <c r="NV165" s="90"/>
      <c r="NW165" s="90"/>
      <c r="NX165" s="90"/>
      <c r="NY165" s="90"/>
      <c r="NZ165" s="90"/>
      <c r="OA165" s="90"/>
      <c r="OB165" s="90"/>
      <c r="OC165" s="90"/>
      <c r="OD165" s="90"/>
      <c r="OE165" s="90"/>
      <c r="OF165" s="90"/>
      <c r="OG165" s="90"/>
      <c r="OH165" s="90"/>
      <c r="OI165" s="71"/>
      <c r="OJ165" s="71"/>
      <c r="OK165" s="402"/>
      <c r="OL165" s="402"/>
      <c r="OM165" s="402"/>
      <c r="OO165" s="69"/>
      <c r="OP165" s="90"/>
      <c r="OQ165" s="90"/>
      <c r="OR165" s="90"/>
      <c r="OS165" s="90"/>
      <c r="OT165" s="90"/>
      <c r="OU165" s="90"/>
      <c r="OV165" s="90"/>
      <c r="OW165" s="90"/>
      <c r="OX165" s="90"/>
      <c r="OY165" s="90"/>
      <c r="OZ165" s="90"/>
      <c r="PA165" s="90"/>
      <c r="PB165" s="90"/>
      <c r="PC165" s="90"/>
      <c r="PD165" s="90"/>
      <c r="PE165" s="90"/>
      <c r="PF165" s="90"/>
      <c r="PG165" s="69"/>
      <c r="PH165" s="71"/>
      <c r="PI165" s="507"/>
    </row>
    <row r="166" spans="1:425" hidden="1">
      <c r="A166" s="71"/>
      <c r="B166" s="71"/>
      <c r="C166" s="91"/>
      <c r="D166" s="69"/>
      <c r="E166" s="74"/>
      <c r="F166" s="74"/>
      <c r="I166" s="90"/>
      <c r="J166" s="90"/>
      <c r="K166" s="90"/>
      <c r="L166" s="90"/>
      <c r="M166" s="90"/>
      <c r="N166" s="96"/>
      <c r="O166" s="74"/>
      <c r="P166" s="74"/>
      <c r="R166" s="90"/>
      <c r="S166" s="90"/>
      <c r="T166" s="90"/>
      <c r="U166" s="90"/>
      <c r="V166" s="90"/>
      <c r="W166" s="90"/>
      <c r="X166" s="90"/>
      <c r="Y166" s="69"/>
      <c r="Z166" s="90"/>
      <c r="AA166" s="90"/>
      <c r="AB166" s="90"/>
      <c r="AC166" s="90"/>
      <c r="AH166" s="69"/>
      <c r="AM166" s="90"/>
      <c r="AQ166" s="680"/>
      <c r="AR166" s="90"/>
      <c r="AS166" s="69"/>
      <c r="AT166" s="90"/>
      <c r="AU166" s="90"/>
      <c r="AV166" s="90"/>
      <c r="AW166" s="90"/>
      <c r="AX166" s="90"/>
      <c r="AY166" s="90"/>
      <c r="AZ166" s="90"/>
      <c r="BA166" s="90"/>
      <c r="BB166" s="90"/>
      <c r="BC166" s="90"/>
      <c r="BD166" s="90"/>
      <c r="BE166" s="90"/>
      <c r="BF166" s="148"/>
      <c r="BG166" s="417"/>
      <c r="BH166" s="71"/>
      <c r="BI166" s="255"/>
      <c r="BJ166" s="71"/>
      <c r="BK166" s="71"/>
      <c r="BL166" s="71"/>
      <c r="BM166" s="255"/>
      <c r="BN166" s="71"/>
      <c r="BO166" s="71"/>
      <c r="BP166" s="148"/>
      <c r="BQ166" s="71"/>
      <c r="BR166" s="71"/>
      <c r="CC166" s="69"/>
      <c r="CD166" s="90"/>
      <c r="CI166" s="148"/>
      <c r="CZ166" s="69"/>
      <c r="DA166" s="90"/>
      <c r="DI166" s="69"/>
      <c r="EG166" s="69"/>
      <c r="ER166" s="69"/>
      <c r="ES166" s="90"/>
      <c r="ET166" s="90"/>
      <c r="EU166" s="90"/>
      <c r="EV166" s="90"/>
      <c r="FQ166" s="677"/>
      <c r="FR166" s="677"/>
      <c r="FS166" s="677"/>
      <c r="FT166" s="677"/>
      <c r="FU166" s="677"/>
      <c r="FV166" s="677"/>
      <c r="FW166" s="69"/>
      <c r="GH166" s="69"/>
      <c r="GU166" s="148"/>
      <c r="GV166" s="71"/>
      <c r="GW166" s="71"/>
      <c r="GX166" s="71"/>
      <c r="GY166" s="71"/>
      <c r="GZ166" s="71"/>
      <c r="HA166" s="71"/>
      <c r="HB166" s="71"/>
      <c r="HC166" s="71"/>
      <c r="HD166" s="71"/>
      <c r="HE166" s="71"/>
      <c r="HF166" s="71"/>
      <c r="HG166" s="71"/>
      <c r="HH166" s="74"/>
      <c r="HI166" s="67"/>
      <c r="IF166" s="71"/>
      <c r="IG166" s="71"/>
      <c r="IH166" s="71"/>
      <c r="II166" s="71"/>
      <c r="IJ166" s="71"/>
      <c r="IK166" s="71"/>
      <c r="IL166" s="71"/>
      <c r="IM166" s="71"/>
      <c r="IN166" s="71"/>
      <c r="IO166" s="71"/>
      <c r="IP166" s="71"/>
      <c r="IQ166" s="74"/>
      <c r="IR166" s="69"/>
      <c r="JH166" s="69"/>
      <c r="JI166" s="90"/>
      <c r="JU166" s="71"/>
      <c r="JV166" s="71"/>
      <c r="JW166" s="71"/>
      <c r="JX166" s="71"/>
      <c r="JY166" s="71"/>
      <c r="JZ166" s="71"/>
      <c r="KA166" s="71"/>
      <c r="KB166" s="148"/>
      <c r="KC166" s="74"/>
      <c r="KD166" s="74"/>
      <c r="KE166" s="904"/>
      <c r="KF166" s="904"/>
      <c r="KG166" s="71"/>
      <c r="KH166" s="71"/>
      <c r="KI166" s="71"/>
      <c r="KJ166" s="71"/>
      <c r="KK166" s="71"/>
      <c r="KL166" s="71"/>
      <c r="KM166" s="340"/>
      <c r="KN166" s="340"/>
      <c r="KO166" s="71"/>
      <c r="KP166" s="71"/>
      <c r="KQ166" s="71"/>
      <c r="KR166" s="71"/>
      <c r="KS166" s="71"/>
      <c r="KT166" s="340"/>
      <c r="KU166" s="148"/>
      <c r="KV166" s="904"/>
      <c r="KW166" s="71"/>
      <c r="KX166" s="71"/>
      <c r="KY166" s="71"/>
      <c r="KZ166" s="71"/>
      <c r="LA166" s="71"/>
      <c r="LB166" s="71"/>
      <c r="LC166" s="71"/>
      <c r="LD166" s="71"/>
      <c r="LE166" s="71"/>
      <c r="LF166" s="71"/>
      <c r="LG166" s="71"/>
      <c r="LH166" s="71"/>
      <c r="LI166" s="71"/>
      <c r="LJ166" s="71"/>
      <c r="LK166" s="71"/>
      <c r="LL166" s="71"/>
      <c r="LM166" s="71"/>
      <c r="LN166" s="71"/>
      <c r="LO166" s="71"/>
      <c r="LP166" s="71"/>
      <c r="LQ166" s="71"/>
      <c r="LR166" s="71"/>
      <c r="LS166" s="71"/>
      <c r="LT166" s="402"/>
      <c r="LU166" s="402"/>
      <c r="LV166" s="402"/>
      <c r="LW166" s="402"/>
      <c r="LX166" s="402"/>
      <c r="LY166" s="900"/>
      <c r="LZ166" s="900"/>
      <c r="MA166" s="402"/>
      <c r="MB166" s="402"/>
      <c r="MC166" s="402"/>
      <c r="MD166" s="402"/>
      <c r="ME166" s="402"/>
      <c r="MF166" s="402"/>
      <c r="MG166" s="402"/>
      <c r="MH166" s="148"/>
      <c r="MI166" s="904"/>
      <c r="MJ166" s="904"/>
      <c r="MK166" s="904"/>
      <c r="ML166" s="904"/>
      <c r="MM166" s="394"/>
      <c r="MN166" s="394"/>
      <c r="MO166" s="394"/>
      <c r="MP166" s="394"/>
      <c r="MQ166" s="394"/>
      <c r="MR166" s="900"/>
      <c r="MS166" s="394"/>
      <c r="MT166" s="394"/>
      <c r="MU166" s="394"/>
      <c r="MV166" s="394"/>
      <c r="MW166" s="394"/>
      <c r="MX166" s="900"/>
      <c r="MY166" s="394"/>
      <c r="MZ166" s="394"/>
      <c r="NA166" s="684"/>
      <c r="NB166" s="684"/>
      <c r="NC166" s="394"/>
      <c r="ND166" s="394"/>
      <c r="NE166" s="394"/>
      <c r="NF166" s="394"/>
      <c r="NG166" s="394"/>
      <c r="NH166" s="394"/>
      <c r="NI166" s="731"/>
      <c r="NJ166" s="402"/>
      <c r="NK166" s="394"/>
      <c r="NL166" s="394"/>
      <c r="NM166" s="402"/>
      <c r="NN166" s="402"/>
      <c r="NO166" s="402"/>
      <c r="NP166" s="402"/>
      <c r="NQ166" s="402"/>
      <c r="NR166" s="402"/>
      <c r="NS166" s="402"/>
      <c r="NT166" s="402"/>
      <c r="NU166" s="69"/>
      <c r="NV166" s="90"/>
      <c r="NW166" s="90"/>
      <c r="NX166" s="90"/>
      <c r="NY166" s="90"/>
      <c r="NZ166" s="90"/>
      <c r="OA166" s="90"/>
      <c r="OB166" s="90"/>
      <c r="OC166" s="90"/>
      <c r="OD166" s="90"/>
      <c r="OE166" s="90"/>
      <c r="OF166" s="90"/>
      <c r="OG166" s="90"/>
      <c r="OH166" s="90"/>
      <c r="OI166" s="71"/>
      <c r="OJ166" s="71"/>
      <c r="OK166" s="402"/>
      <c r="OL166" s="402"/>
      <c r="OM166" s="402"/>
      <c r="OO166" s="69"/>
      <c r="OP166" s="90"/>
      <c r="OQ166" s="90"/>
      <c r="OR166" s="90"/>
      <c r="OS166" s="90"/>
      <c r="OT166" s="90"/>
      <c r="OU166" s="90"/>
      <c r="OV166" s="90"/>
      <c r="OW166" s="90"/>
      <c r="OX166" s="90"/>
      <c r="OY166" s="90"/>
      <c r="OZ166" s="90"/>
      <c r="PA166" s="90"/>
      <c r="PB166" s="90"/>
      <c r="PC166" s="90"/>
      <c r="PD166" s="90"/>
      <c r="PE166" s="90"/>
      <c r="PF166" s="90"/>
      <c r="PG166" s="69"/>
      <c r="PH166" s="71"/>
      <c r="PI166" s="507"/>
    </row>
    <row r="167" spans="1:425" hidden="1">
      <c r="A167" s="71"/>
      <c r="B167" s="71"/>
      <c r="C167" s="91"/>
      <c r="D167" s="69"/>
      <c r="E167" s="74"/>
      <c r="F167" s="74"/>
      <c r="I167" s="90"/>
      <c r="J167" s="90"/>
      <c r="K167" s="90"/>
      <c r="L167" s="90"/>
      <c r="M167" s="90"/>
      <c r="N167" s="96"/>
      <c r="O167" s="74"/>
      <c r="P167" s="74"/>
      <c r="R167" s="90"/>
      <c r="S167" s="90"/>
      <c r="T167" s="90"/>
      <c r="U167" s="90"/>
      <c r="V167" s="90"/>
      <c r="W167" s="90"/>
      <c r="X167" s="90"/>
      <c r="Y167" s="69"/>
      <c r="Z167" s="90"/>
      <c r="AA167" s="90"/>
      <c r="AB167" s="90"/>
      <c r="AC167" s="90"/>
      <c r="AH167" s="69"/>
      <c r="AM167" s="90"/>
      <c r="AQ167" s="680"/>
      <c r="AR167" s="90"/>
      <c r="AS167" s="69"/>
      <c r="AT167" s="90"/>
      <c r="AU167" s="90"/>
      <c r="AV167" s="90"/>
      <c r="AW167" s="90"/>
      <c r="AX167" s="90"/>
      <c r="AY167" s="90"/>
      <c r="AZ167" s="90"/>
      <c r="BA167" s="90"/>
      <c r="BB167" s="90"/>
      <c r="BC167" s="90"/>
      <c r="BD167" s="90"/>
      <c r="BE167" s="90"/>
      <c r="BF167" s="148"/>
      <c r="BG167" s="417"/>
      <c r="BH167" s="71"/>
      <c r="BI167" s="255"/>
      <c r="BJ167" s="71"/>
      <c r="BK167" s="71"/>
      <c r="BL167" s="71"/>
      <c r="BM167" s="255"/>
      <c r="BN167" s="71"/>
      <c r="BO167" s="71"/>
      <c r="BP167" s="148"/>
      <c r="BQ167" s="71"/>
      <c r="BR167" s="71"/>
      <c r="CC167" s="69"/>
      <c r="CD167" s="90"/>
      <c r="CI167" s="148"/>
      <c r="CZ167" s="69"/>
      <c r="DA167" s="90"/>
      <c r="DI167" s="69"/>
      <c r="EG167" s="69"/>
      <c r="ER167" s="69"/>
      <c r="ES167" s="90"/>
      <c r="ET167" s="90"/>
      <c r="EU167" s="90"/>
      <c r="EV167" s="90"/>
      <c r="FQ167" s="677"/>
      <c r="FR167" s="677"/>
      <c r="FS167" s="677"/>
      <c r="FT167" s="677"/>
      <c r="FU167" s="677"/>
      <c r="FV167" s="677"/>
      <c r="FW167" s="69"/>
      <c r="GH167" s="69"/>
      <c r="GU167" s="148"/>
      <c r="GV167" s="71"/>
      <c r="GW167" s="71"/>
      <c r="GX167" s="71"/>
      <c r="GY167" s="71"/>
      <c r="GZ167" s="71"/>
      <c r="HA167" s="71"/>
      <c r="HB167" s="71"/>
      <c r="HC167" s="71"/>
      <c r="HD167" s="71"/>
      <c r="HE167" s="71"/>
      <c r="HF167" s="71"/>
      <c r="HG167" s="71"/>
      <c r="HH167" s="74"/>
      <c r="HI167" s="67"/>
      <c r="IF167" s="71"/>
      <c r="IG167" s="71"/>
      <c r="IH167" s="71"/>
      <c r="II167" s="71"/>
      <c r="IJ167" s="71"/>
      <c r="IK167" s="71"/>
      <c r="IL167" s="71"/>
      <c r="IM167" s="71"/>
      <c r="IN167" s="71"/>
      <c r="IO167" s="71"/>
      <c r="IP167" s="71"/>
      <c r="IQ167" s="74"/>
      <c r="IR167" s="69"/>
      <c r="JH167" s="69"/>
      <c r="JI167" s="90"/>
      <c r="JU167" s="71"/>
      <c r="JV167" s="71"/>
      <c r="JW167" s="71"/>
      <c r="JX167" s="71"/>
      <c r="JY167" s="71"/>
      <c r="JZ167" s="71"/>
      <c r="KA167" s="71"/>
      <c r="KB167" s="148"/>
      <c r="KC167" s="74"/>
      <c r="KD167" s="74"/>
      <c r="KE167" s="904"/>
      <c r="KF167" s="904"/>
      <c r="KG167" s="71"/>
      <c r="KH167" s="71"/>
      <c r="KI167" s="71"/>
      <c r="KJ167" s="71"/>
      <c r="KK167" s="71"/>
      <c r="KL167" s="71"/>
      <c r="KM167" s="340"/>
      <c r="KN167" s="340"/>
      <c r="KO167" s="71"/>
      <c r="KP167" s="71"/>
      <c r="KQ167" s="71"/>
      <c r="KR167" s="71"/>
      <c r="KS167" s="71"/>
      <c r="KT167" s="340"/>
      <c r="KU167" s="148"/>
      <c r="KV167" s="904"/>
      <c r="KW167" s="71"/>
      <c r="KX167" s="71"/>
      <c r="KY167" s="71"/>
      <c r="KZ167" s="71"/>
      <c r="LA167" s="71"/>
      <c r="LB167" s="71"/>
      <c r="LC167" s="71"/>
      <c r="LD167" s="71"/>
      <c r="LE167" s="71"/>
      <c r="LF167" s="71"/>
      <c r="LG167" s="71"/>
      <c r="LH167" s="71"/>
      <c r="LI167" s="71"/>
      <c r="LJ167" s="71"/>
      <c r="LK167" s="71"/>
      <c r="LL167" s="71"/>
      <c r="LM167" s="71"/>
      <c r="LN167" s="71"/>
      <c r="LO167" s="71"/>
      <c r="LP167" s="71"/>
      <c r="LQ167" s="71"/>
      <c r="LR167" s="71"/>
      <c r="LS167" s="71"/>
      <c r="LT167" s="402"/>
      <c r="LU167" s="402"/>
      <c r="LV167" s="402"/>
      <c r="LW167" s="402"/>
      <c r="LX167" s="402"/>
      <c r="LY167" s="900"/>
      <c r="LZ167" s="900"/>
      <c r="MA167" s="402"/>
      <c r="MB167" s="402"/>
      <c r="MC167" s="402"/>
      <c r="MD167" s="402"/>
      <c r="ME167" s="402"/>
      <c r="MF167" s="402"/>
      <c r="MG167" s="402"/>
      <c r="MH167" s="148"/>
      <c r="MI167" s="904"/>
      <c r="MJ167" s="904"/>
      <c r="MK167" s="904"/>
      <c r="ML167" s="904"/>
      <c r="MM167" s="394"/>
      <c r="MN167" s="394"/>
      <c r="MO167" s="394"/>
      <c r="MP167" s="394"/>
      <c r="MQ167" s="394"/>
      <c r="MR167" s="900"/>
      <c r="MS167" s="394"/>
      <c r="MT167" s="394"/>
      <c r="MU167" s="394"/>
      <c r="MV167" s="394"/>
      <c r="MW167" s="394"/>
      <c r="MX167" s="900"/>
      <c r="MY167" s="394"/>
      <c r="MZ167" s="394"/>
      <c r="NA167" s="684"/>
      <c r="NB167" s="684"/>
      <c r="NC167" s="394"/>
      <c r="ND167" s="394"/>
      <c r="NE167" s="394"/>
      <c r="NF167" s="394"/>
      <c r="NG167" s="394"/>
      <c r="NH167" s="394"/>
      <c r="NI167" s="731"/>
      <c r="NJ167" s="402"/>
      <c r="NK167" s="394"/>
      <c r="NL167" s="394"/>
      <c r="NM167" s="402"/>
      <c r="NN167" s="402"/>
      <c r="NO167" s="402"/>
      <c r="NP167" s="402"/>
      <c r="NQ167" s="402"/>
      <c r="NR167" s="402"/>
      <c r="NS167" s="402"/>
      <c r="NT167" s="402"/>
      <c r="NU167" s="69"/>
      <c r="NV167" s="90"/>
      <c r="NW167" s="90"/>
      <c r="NX167" s="90"/>
      <c r="NY167" s="90"/>
      <c r="NZ167" s="90"/>
      <c r="OA167" s="90"/>
      <c r="OB167" s="90"/>
      <c r="OC167" s="90"/>
      <c r="OD167" s="90"/>
      <c r="OE167" s="90"/>
      <c r="OF167" s="90"/>
      <c r="OG167" s="90"/>
      <c r="OH167" s="90"/>
      <c r="OI167" s="71"/>
      <c r="OJ167" s="71"/>
      <c r="OK167" s="402"/>
      <c r="OL167" s="402"/>
      <c r="OM167" s="402"/>
      <c r="OO167" s="69"/>
      <c r="OP167" s="90"/>
      <c r="OQ167" s="90"/>
      <c r="OR167" s="90"/>
      <c r="OS167" s="90"/>
      <c r="OT167" s="90"/>
      <c r="OU167" s="90"/>
      <c r="OV167" s="90"/>
      <c r="OW167" s="90"/>
      <c r="OX167" s="90"/>
      <c r="OY167" s="90"/>
      <c r="OZ167" s="90"/>
      <c r="PA167" s="90"/>
      <c r="PB167" s="90"/>
      <c r="PC167" s="90"/>
      <c r="PD167" s="90"/>
      <c r="PE167" s="90"/>
      <c r="PF167" s="90"/>
      <c r="PG167" s="69"/>
      <c r="PH167" s="71"/>
      <c r="PI167" s="507"/>
    </row>
    <row r="168" spans="1:425" hidden="1">
      <c r="A168" s="71"/>
      <c r="B168" s="71"/>
      <c r="C168" s="91"/>
      <c r="D168" s="69"/>
      <c r="E168" s="74"/>
      <c r="F168" s="74"/>
      <c r="I168" s="90"/>
      <c r="J168" s="90"/>
      <c r="K168" s="90"/>
      <c r="L168" s="90"/>
      <c r="M168" s="90"/>
      <c r="N168" s="96"/>
      <c r="O168" s="74"/>
      <c r="P168" s="74"/>
      <c r="R168" s="90"/>
      <c r="S168" s="90"/>
      <c r="T168" s="90"/>
      <c r="U168" s="90"/>
      <c r="V168" s="90"/>
      <c r="W168" s="90"/>
      <c r="X168" s="90"/>
      <c r="Y168" s="69"/>
      <c r="Z168" s="90"/>
      <c r="AA168" s="90"/>
      <c r="AB168" s="90"/>
      <c r="AC168" s="90"/>
      <c r="AH168" s="69"/>
      <c r="AM168" s="90"/>
      <c r="AQ168" s="680"/>
      <c r="AR168" s="90"/>
      <c r="AS168" s="69"/>
      <c r="AT168" s="90"/>
      <c r="AU168" s="90"/>
      <c r="AV168" s="90"/>
      <c r="AW168" s="90"/>
      <c r="AX168" s="90"/>
      <c r="AY168" s="90"/>
      <c r="AZ168" s="90"/>
      <c r="BA168" s="90"/>
      <c r="BB168" s="90"/>
      <c r="BC168" s="90"/>
      <c r="BD168" s="90"/>
      <c r="BE168" s="90"/>
      <c r="BF168" s="148"/>
      <c r="BG168" s="417"/>
      <c r="BH168" s="71"/>
      <c r="BI168" s="255"/>
      <c r="BJ168" s="71"/>
      <c r="BK168" s="71"/>
      <c r="BL168" s="71"/>
      <c r="BM168" s="255"/>
      <c r="BN168" s="71"/>
      <c r="BO168" s="71"/>
      <c r="BP168" s="148"/>
      <c r="BQ168" s="71"/>
      <c r="BR168" s="71"/>
      <c r="CC168" s="69"/>
      <c r="CD168" s="90"/>
      <c r="CI168" s="148"/>
      <c r="CZ168" s="69"/>
      <c r="DA168" s="90"/>
      <c r="DI168" s="69"/>
      <c r="EG168" s="69"/>
      <c r="ER168" s="69"/>
      <c r="ES168" s="90"/>
      <c r="ET168" s="90"/>
      <c r="EU168" s="90"/>
      <c r="EV168" s="90"/>
      <c r="FQ168" s="677"/>
      <c r="FR168" s="677"/>
      <c r="FS168" s="677"/>
      <c r="FT168" s="677"/>
      <c r="FU168" s="677"/>
      <c r="FV168" s="677"/>
      <c r="FW168" s="69"/>
      <c r="GH168" s="69"/>
      <c r="GU168" s="148"/>
      <c r="GV168" s="71"/>
      <c r="GW168" s="71"/>
      <c r="GX168" s="71"/>
      <c r="GY168" s="71"/>
      <c r="GZ168" s="71"/>
      <c r="HA168" s="71"/>
      <c r="HB168" s="71"/>
      <c r="HC168" s="71"/>
      <c r="HD168" s="71"/>
      <c r="HE168" s="71"/>
      <c r="HF168" s="71"/>
      <c r="HG168" s="71"/>
      <c r="HH168" s="74"/>
      <c r="HI168" s="67"/>
      <c r="IF168" s="71"/>
      <c r="IG168" s="71"/>
      <c r="IH168" s="71"/>
      <c r="II168" s="71"/>
      <c r="IJ168" s="71"/>
      <c r="IK168" s="71"/>
      <c r="IL168" s="71"/>
      <c r="IM168" s="71"/>
      <c r="IN168" s="71"/>
      <c r="IO168" s="71"/>
      <c r="IP168" s="71"/>
      <c r="IQ168" s="74"/>
      <c r="IR168" s="69"/>
      <c r="JH168" s="69"/>
      <c r="JI168" s="90"/>
      <c r="JU168" s="71"/>
      <c r="JV168" s="71"/>
      <c r="JW168" s="71"/>
      <c r="JX168" s="71"/>
      <c r="JY168" s="71"/>
      <c r="JZ168" s="71"/>
      <c r="KA168" s="71"/>
      <c r="KB168" s="148"/>
      <c r="KC168" s="74"/>
      <c r="KD168" s="74"/>
      <c r="KE168" s="904"/>
      <c r="KF168" s="904"/>
      <c r="KG168" s="71"/>
      <c r="KH168" s="71"/>
      <c r="KI168" s="71"/>
      <c r="KJ168" s="71"/>
      <c r="KK168" s="71"/>
      <c r="KL168" s="71"/>
      <c r="KM168" s="340"/>
      <c r="KN168" s="340"/>
      <c r="KO168" s="71"/>
      <c r="KP168" s="71"/>
      <c r="KQ168" s="71"/>
      <c r="KR168" s="71"/>
      <c r="KS168" s="71"/>
      <c r="KT168" s="340"/>
      <c r="KU168" s="148"/>
      <c r="KV168" s="904"/>
      <c r="KW168" s="71"/>
      <c r="KX168" s="71"/>
      <c r="KY168" s="71"/>
      <c r="KZ168" s="71"/>
      <c r="LA168" s="71"/>
      <c r="LB168" s="71"/>
      <c r="LC168" s="71"/>
      <c r="LD168" s="71"/>
      <c r="LE168" s="71"/>
      <c r="LF168" s="71"/>
      <c r="LG168" s="71"/>
      <c r="LH168" s="71"/>
      <c r="LI168" s="71"/>
      <c r="LJ168" s="71"/>
      <c r="LK168" s="71"/>
      <c r="LL168" s="71"/>
      <c r="LM168" s="71"/>
      <c r="LN168" s="71"/>
      <c r="LO168" s="71"/>
      <c r="LP168" s="71"/>
      <c r="LQ168" s="71"/>
      <c r="LR168" s="71"/>
      <c r="LS168" s="71"/>
      <c r="LT168" s="402"/>
      <c r="LU168" s="402"/>
      <c r="LV168" s="402"/>
      <c r="LW168" s="402"/>
      <c r="LX168" s="402"/>
      <c r="LY168" s="900"/>
      <c r="LZ168" s="900"/>
      <c r="MA168" s="402"/>
      <c r="MB168" s="402"/>
      <c r="MC168" s="402"/>
      <c r="MD168" s="402"/>
      <c r="ME168" s="402"/>
      <c r="MF168" s="402"/>
      <c r="MG168" s="402"/>
      <c r="MH168" s="148"/>
      <c r="MI168" s="904"/>
      <c r="MJ168" s="904"/>
      <c r="MK168" s="904"/>
      <c r="ML168" s="904"/>
      <c r="MM168" s="394"/>
      <c r="MN168" s="394"/>
      <c r="MO168" s="394"/>
      <c r="MP168" s="394"/>
      <c r="MQ168" s="394"/>
      <c r="MR168" s="900"/>
      <c r="MS168" s="394"/>
      <c r="MT168" s="394"/>
      <c r="MU168" s="394"/>
      <c r="MV168" s="394"/>
      <c r="MW168" s="394"/>
      <c r="MX168" s="900"/>
      <c r="MY168" s="394"/>
      <c r="MZ168" s="394"/>
      <c r="NA168" s="684"/>
      <c r="NB168" s="684"/>
      <c r="NC168" s="394"/>
      <c r="ND168" s="394"/>
      <c r="NE168" s="394"/>
      <c r="NF168" s="394"/>
      <c r="NG168" s="394"/>
      <c r="NH168" s="394"/>
      <c r="NI168" s="731"/>
      <c r="NJ168" s="402"/>
      <c r="NK168" s="394"/>
      <c r="NL168" s="394"/>
      <c r="NM168" s="402"/>
      <c r="NN168" s="402"/>
      <c r="NO168" s="402"/>
      <c r="NP168" s="402"/>
      <c r="NQ168" s="402"/>
      <c r="NR168" s="402"/>
      <c r="NS168" s="402"/>
      <c r="NT168" s="402"/>
      <c r="NU168" s="69"/>
      <c r="NV168" s="90"/>
      <c r="NW168" s="90"/>
      <c r="NX168" s="90"/>
      <c r="NY168" s="90"/>
      <c r="NZ168" s="90"/>
      <c r="OA168" s="90"/>
      <c r="OB168" s="90"/>
      <c r="OC168" s="90"/>
      <c r="OD168" s="90"/>
      <c r="OE168" s="90"/>
      <c r="OF168" s="90"/>
      <c r="OG168" s="90"/>
      <c r="OH168" s="90"/>
      <c r="OI168" s="71"/>
      <c r="OJ168" s="71"/>
      <c r="OK168" s="402"/>
      <c r="OL168" s="402"/>
      <c r="OM168" s="402"/>
      <c r="OO168" s="69"/>
      <c r="OP168" s="90"/>
      <c r="OQ168" s="90"/>
      <c r="OR168" s="90"/>
      <c r="OS168" s="90"/>
      <c r="OT168" s="90"/>
      <c r="OU168" s="90"/>
      <c r="OV168" s="90"/>
      <c r="OW168" s="90"/>
      <c r="OX168" s="90"/>
      <c r="OY168" s="90"/>
      <c r="OZ168" s="90"/>
      <c r="PA168" s="90"/>
      <c r="PB168" s="90"/>
      <c r="PC168" s="90"/>
      <c r="PD168" s="90"/>
      <c r="PE168" s="90"/>
      <c r="PF168" s="90"/>
      <c r="PG168" s="69"/>
      <c r="PH168" s="71"/>
      <c r="PI168" s="507"/>
    </row>
    <row r="169" spans="1:425" hidden="1">
      <c r="A169" s="71"/>
      <c r="B169" s="71"/>
      <c r="C169" s="91"/>
      <c r="D169" s="69"/>
      <c r="E169" s="74"/>
      <c r="F169" s="74"/>
      <c r="I169" s="90"/>
      <c r="J169" s="90"/>
      <c r="K169" s="90"/>
      <c r="L169" s="90"/>
      <c r="M169" s="90"/>
      <c r="N169" s="96"/>
      <c r="O169" s="74"/>
      <c r="P169" s="74"/>
      <c r="R169" s="90"/>
      <c r="S169" s="90"/>
      <c r="T169" s="90"/>
      <c r="U169" s="90"/>
      <c r="V169" s="90"/>
      <c r="W169" s="90"/>
      <c r="X169" s="90"/>
      <c r="Y169" s="69"/>
      <c r="Z169" s="90"/>
      <c r="AA169" s="90"/>
      <c r="AB169" s="90"/>
      <c r="AC169" s="90"/>
      <c r="AH169" s="69"/>
      <c r="AM169" s="90"/>
      <c r="AQ169" s="680"/>
      <c r="AR169" s="90"/>
      <c r="AS169" s="69"/>
      <c r="AT169" s="90"/>
      <c r="AU169" s="90"/>
      <c r="AV169" s="90"/>
      <c r="AW169" s="90"/>
      <c r="AX169" s="90"/>
      <c r="AY169" s="90"/>
      <c r="AZ169" s="90"/>
      <c r="BA169" s="90"/>
      <c r="BB169" s="90"/>
      <c r="BC169" s="90"/>
      <c r="BD169" s="90"/>
      <c r="BE169" s="90"/>
      <c r="BF169" s="148"/>
      <c r="BG169" s="417"/>
      <c r="BH169" s="71"/>
      <c r="BI169" s="255"/>
      <c r="BJ169" s="71"/>
      <c r="BK169" s="71"/>
      <c r="BL169" s="71"/>
      <c r="BM169" s="255"/>
      <c r="BN169" s="71"/>
      <c r="BO169" s="71"/>
      <c r="BP169" s="148"/>
      <c r="BQ169" s="71"/>
      <c r="BR169" s="71"/>
      <c r="CC169" s="69"/>
      <c r="CD169" s="90"/>
      <c r="CI169" s="148"/>
      <c r="CZ169" s="69"/>
      <c r="DA169" s="90"/>
      <c r="DI169" s="69"/>
      <c r="EG169" s="69"/>
      <c r="ER169" s="69"/>
      <c r="ES169" s="90"/>
      <c r="ET169" s="90"/>
      <c r="EU169" s="90"/>
      <c r="EV169" s="90"/>
      <c r="FQ169" s="677"/>
      <c r="FR169" s="677"/>
      <c r="FS169" s="677"/>
      <c r="FT169" s="677"/>
      <c r="FU169" s="677"/>
      <c r="FV169" s="677"/>
      <c r="FW169" s="69"/>
      <c r="GH169" s="69"/>
      <c r="GU169" s="148"/>
      <c r="GV169" s="71"/>
      <c r="GW169" s="71"/>
      <c r="GX169" s="71"/>
      <c r="GY169" s="71"/>
      <c r="GZ169" s="71"/>
      <c r="HA169" s="71"/>
      <c r="HB169" s="71"/>
      <c r="HC169" s="71"/>
      <c r="HD169" s="71"/>
      <c r="HE169" s="71"/>
      <c r="HF169" s="71"/>
      <c r="HG169" s="71"/>
      <c r="HH169" s="74"/>
      <c r="HI169" s="67"/>
      <c r="IF169" s="71"/>
      <c r="IG169" s="71"/>
      <c r="IH169" s="71"/>
      <c r="II169" s="71"/>
      <c r="IJ169" s="71"/>
      <c r="IK169" s="71"/>
      <c r="IL169" s="71"/>
      <c r="IM169" s="71"/>
      <c r="IN169" s="71"/>
      <c r="IO169" s="71"/>
      <c r="IP169" s="71"/>
      <c r="IQ169" s="74"/>
      <c r="IR169" s="69"/>
      <c r="JH169" s="69"/>
      <c r="JI169" s="90"/>
      <c r="JU169" s="71"/>
      <c r="JV169" s="71"/>
      <c r="JW169" s="71"/>
      <c r="JX169" s="71"/>
      <c r="JY169" s="71"/>
      <c r="JZ169" s="71"/>
      <c r="KA169" s="71"/>
      <c r="KB169" s="148"/>
      <c r="KC169" s="74"/>
      <c r="KD169" s="74"/>
      <c r="KE169" s="904"/>
      <c r="KF169" s="904"/>
      <c r="KG169" s="71"/>
      <c r="KH169" s="71"/>
      <c r="KI169" s="71"/>
      <c r="KJ169" s="71"/>
      <c r="KK169" s="71"/>
      <c r="KL169" s="71"/>
      <c r="KM169" s="340"/>
      <c r="KN169" s="340"/>
      <c r="KO169" s="71"/>
      <c r="KP169" s="71"/>
      <c r="KQ169" s="71"/>
      <c r="KR169" s="71"/>
      <c r="KS169" s="71"/>
      <c r="KT169" s="340"/>
      <c r="KU169" s="148"/>
      <c r="KV169" s="904"/>
      <c r="KW169" s="71"/>
      <c r="KX169" s="71"/>
      <c r="KY169" s="71"/>
      <c r="KZ169" s="71"/>
      <c r="LA169" s="71"/>
      <c r="LB169" s="71"/>
      <c r="LC169" s="71"/>
      <c r="LD169" s="71"/>
      <c r="LE169" s="71"/>
      <c r="LF169" s="71"/>
      <c r="LG169" s="71"/>
      <c r="LH169" s="71"/>
      <c r="LI169" s="71"/>
      <c r="LJ169" s="71"/>
      <c r="LK169" s="71"/>
      <c r="LL169" s="71"/>
      <c r="LM169" s="71"/>
      <c r="LN169" s="71"/>
      <c r="LO169" s="71"/>
      <c r="LP169" s="71"/>
      <c r="LQ169" s="71"/>
      <c r="LR169" s="71"/>
      <c r="LS169" s="71"/>
      <c r="LT169" s="402"/>
      <c r="LU169" s="402"/>
      <c r="LV169" s="402"/>
      <c r="LW169" s="402"/>
      <c r="LX169" s="402"/>
      <c r="LY169" s="900"/>
      <c r="LZ169" s="900"/>
      <c r="MA169" s="402"/>
      <c r="MB169" s="402"/>
      <c r="MC169" s="402"/>
      <c r="MD169" s="402"/>
      <c r="ME169" s="402"/>
      <c r="MF169" s="402"/>
      <c r="MG169" s="402"/>
      <c r="MH169" s="148"/>
      <c r="MI169" s="904"/>
      <c r="MJ169" s="904"/>
      <c r="MK169" s="904"/>
      <c r="ML169" s="904"/>
      <c r="MM169" s="394"/>
      <c r="MN169" s="394"/>
      <c r="MO169" s="394"/>
      <c r="MP169" s="394"/>
      <c r="MQ169" s="394"/>
      <c r="MR169" s="900"/>
      <c r="MS169" s="394"/>
      <c r="MT169" s="394"/>
      <c r="MU169" s="394"/>
      <c r="MV169" s="394"/>
      <c r="MW169" s="394"/>
      <c r="MX169" s="900"/>
      <c r="MY169" s="394"/>
      <c r="MZ169" s="394"/>
      <c r="NA169" s="684"/>
      <c r="NB169" s="684"/>
      <c r="NC169" s="394"/>
      <c r="ND169" s="394"/>
      <c r="NE169" s="394"/>
      <c r="NF169" s="394"/>
      <c r="NG169" s="394"/>
      <c r="NH169" s="394"/>
      <c r="NI169" s="731"/>
      <c r="NJ169" s="402"/>
      <c r="NK169" s="394"/>
      <c r="NL169" s="394"/>
      <c r="NM169" s="402"/>
      <c r="NN169" s="402"/>
      <c r="NO169" s="402"/>
      <c r="NP169" s="402"/>
      <c r="NQ169" s="402"/>
      <c r="NR169" s="402"/>
      <c r="NS169" s="402"/>
      <c r="NT169" s="402"/>
      <c r="NU169" s="69"/>
      <c r="NV169" s="90"/>
      <c r="NW169" s="90"/>
      <c r="NX169" s="90"/>
      <c r="NY169" s="90"/>
      <c r="NZ169" s="90"/>
      <c r="OA169" s="90"/>
      <c r="OB169" s="90"/>
      <c r="OC169" s="90"/>
      <c r="OD169" s="90"/>
      <c r="OE169" s="90"/>
      <c r="OF169" s="90"/>
      <c r="OG169" s="90"/>
      <c r="OH169" s="90"/>
      <c r="OI169" s="71"/>
      <c r="OJ169" s="71"/>
      <c r="OK169" s="402"/>
      <c r="OL169" s="402"/>
      <c r="OM169" s="402"/>
      <c r="OO169" s="69"/>
      <c r="OP169" s="90"/>
      <c r="OQ169" s="90"/>
      <c r="OR169" s="90"/>
      <c r="OS169" s="90"/>
      <c r="OT169" s="90"/>
      <c r="OU169" s="90"/>
      <c r="OV169" s="90"/>
      <c r="OW169" s="90"/>
      <c r="OX169" s="90"/>
      <c r="OY169" s="90"/>
      <c r="OZ169" s="90"/>
      <c r="PA169" s="90"/>
      <c r="PB169" s="90"/>
      <c r="PC169" s="90"/>
      <c r="PD169" s="90"/>
      <c r="PE169" s="90"/>
      <c r="PF169" s="90"/>
      <c r="PG169" s="69"/>
      <c r="PH169" s="71"/>
      <c r="PI169" s="507"/>
    </row>
    <row r="170" spans="1:425" hidden="1">
      <c r="A170" s="71"/>
      <c r="B170" s="71"/>
      <c r="C170" s="91"/>
      <c r="D170" s="69"/>
      <c r="E170" s="74"/>
      <c r="F170" s="74"/>
      <c r="I170" s="90"/>
      <c r="J170" s="90"/>
      <c r="K170" s="90"/>
      <c r="L170" s="90"/>
      <c r="M170" s="90"/>
      <c r="N170" s="96"/>
      <c r="O170" s="74"/>
      <c r="P170" s="74"/>
      <c r="R170" s="90"/>
      <c r="S170" s="90"/>
      <c r="T170" s="90"/>
      <c r="U170" s="90"/>
      <c r="V170" s="90"/>
      <c r="W170" s="90"/>
      <c r="X170" s="90"/>
      <c r="Y170" s="69"/>
      <c r="Z170" s="90"/>
      <c r="AA170" s="90"/>
      <c r="AB170" s="90"/>
      <c r="AC170" s="90"/>
      <c r="AH170" s="69"/>
      <c r="AM170" s="90"/>
      <c r="AQ170" s="680"/>
      <c r="AR170" s="90"/>
      <c r="AS170" s="69"/>
      <c r="AT170" s="90"/>
      <c r="AU170" s="90"/>
      <c r="AV170" s="90"/>
      <c r="AW170" s="90"/>
      <c r="AX170" s="90"/>
      <c r="AY170" s="90"/>
      <c r="AZ170" s="90"/>
      <c r="BA170" s="90"/>
      <c r="BB170" s="90"/>
      <c r="BC170" s="90"/>
      <c r="BD170" s="90"/>
      <c r="BE170" s="90"/>
      <c r="BF170" s="148"/>
      <c r="BG170" s="417"/>
      <c r="BH170" s="71"/>
      <c r="BI170" s="255"/>
      <c r="BJ170" s="71"/>
      <c r="BK170" s="71"/>
      <c r="BL170" s="71"/>
      <c r="BM170" s="255"/>
      <c r="BN170" s="71"/>
      <c r="BO170" s="71"/>
      <c r="BP170" s="148"/>
      <c r="BQ170" s="71"/>
      <c r="BR170" s="71"/>
      <c r="CC170" s="69"/>
      <c r="CD170" s="90"/>
      <c r="CI170" s="148"/>
      <c r="CZ170" s="69"/>
      <c r="DA170" s="90"/>
      <c r="DI170" s="69"/>
      <c r="EG170" s="69"/>
      <c r="ER170" s="69"/>
      <c r="ES170" s="90"/>
      <c r="ET170" s="90"/>
      <c r="EU170" s="90"/>
      <c r="EV170" s="90"/>
      <c r="FQ170" s="677"/>
      <c r="FR170" s="677"/>
      <c r="FS170" s="677"/>
      <c r="FT170" s="677"/>
      <c r="FU170" s="677"/>
      <c r="FV170" s="677"/>
      <c r="FW170" s="69"/>
      <c r="GH170" s="69"/>
      <c r="GU170" s="148"/>
      <c r="GV170" s="71"/>
      <c r="GW170" s="71"/>
      <c r="GX170" s="71"/>
      <c r="GY170" s="71"/>
      <c r="GZ170" s="71"/>
      <c r="HA170" s="71"/>
      <c r="HB170" s="71"/>
      <c r="HC170" s="71"/>
      <c r="HD170" s="71"/>
      <c r="HE170" s="71"/>
      <c r="HF170" s="71"/>
      <c r="HG170" s="71"/>
      <c r="HH170" s="74"/>
      <c r="HI170" s="67"/>
      <c r="IF170" s="71"/>
      <c r="IG170" s="71"/>
      <c r="IH170" s="71"/>
      <c r="II170" s="71"/>
      <c r="IJ170" s="71"/>
      <c r="IK170" s="71"/>
      <c r="IL170" s="71"/>
      <c r="IM170" s="71"/>
      <c r="IN170" s="71"/>
      <c r="IO170" s="71"/>
      <c r="IP170" s="71"/>
      <c r="IQ170" s="74"/>
      <c r="IR170" s="69"/>
      <c r="JH170" s="69"/>
      <c r="JI170" s="90"/>
      <c r="JU170" s="71"/>
      <c r="JV170" s="71"/>
      <c r="JW170" s="71"/>
      <c r="JX170" s="71"/>
      <c r="JY170" s="71"/>
      <c r="JZ170" s="71"/>
      <c r="KA170" s="71"/>
      <c r="KB170" s="148"/>
      <c r="KC170" s="74"/>
      <c r="KD170" s="74"/>
      <c r="KE170" s="904"/>
      <c r="KF170" s="904"/>
      <c r="KG170" s="71"/>
      <c r="KH170" s="71"/>
      <c r="KI170" s="71"/>
      <c r="KJ170" s="71"/>
      <c r="KK170" s="71"/>
      <c r="KL170" s="71"/>
      <c r="KM170" s="340"/>
      <c r="KN170" s="340"/>
      <c r="KO170" s="71"/>
      <c r="KP170" s="71"/>
      <c r="KQ170" s="71"/>
      <c r="KR170" s="71"/>
      <c r="KS170" s="71"/>
      <c r="KT170" s="340"/>
      <c r="KU170" s="148"/>
      <c r="KV170" s="904"/>
      <c r="KW170" s="71"/>
      <c r="KX170" s="71"/>
      <c r="KY170" s="71"/>
      <c r="KZ170" s="71"/>
      <c r="LA170" s="71"/>
      <c r="LB170" s="71"/>
      <c r="LC170" s="71"/>
      <c r="LD170" s="71"/>
      <c r="LE170" s="71"/>
      <c r="LF170" s="71"/>
      <c r="LG170" s="71"/>
      <c r="LH170" s="71"/>
      <c r="LI170" s="71"/>
      <c r="LJ170" s="71"/>
      <c r="LK170" s="71"/>
      <c r="LL170" s="71"/>
      <c r="LM170" s="71"/>
      <c r="LN170" s="71"/>
      <c r="LO170" s="71"/>
      <c r="LP170" s="71"/>
      <c r="LQ170" s="71"/>
      <c r="LR170" s="71"/>
      <c r="LS170" s="71"/>
      <c r="LT170" s="402"/>
      <c r="LU170" s="402"/>
      <c r="LV170" s="402"/>
      <c r="LW170" s="402"/>
      <c r="LX170" s="402"/>
      <c r="LY170" s="900"/>
      <c r="LZ170" s="900"/>
      <c r="MA170" s="402"/>
      <c r="MB170" s="402"/>
      <c r="MC170" s="402"/>
      <c r="MD170" s="402"/>
      <c r="ME170" s="402"/>
      <c r="MF170" s="402"/>
      <c r="MG170" s="402"/>
      <c r="MH170" s="148"/>
      <c r="MI170" s="904"/>
      <c r="MJ170" s="904"/>
      <c r="MK170" s="904"/>
      <c r="ML170" s="904"/>
      <c r="MM170" s="394"/>
      <c r="MN170" s="394"/>
      <c r="MO170" s="394"/>
      <c r="MP170" s="394"/>
      <c r="MQ170" s="394"/>
      <c r="MR170" s="900"/>
      <c r="MS170" s="394"/>
      <c r="MT170" s="394"/>
      <c r="MU170" s="394"/>
      <c r="MV170" s="394"/>
      <c r="MW170" s="394"/>
      <c r="MX170" s="900"/>
      <c r="MY170" s="394"/>
      <c r="MZ170" s="394"/>
      <c r="NA170" s="684"/>
      <c r="NB170" s="684"/>
      <c r="NC170" s="394"/>
      <c r="ND170" s="394"/>
      <c r="NE170" s="394"/>
      <c r="NF170" s="394"/>
      <c r="NG170" s="394"/>
      <c r="NH170" s="394"/>
      <c r="NI170" s="731"/>
      <c r="NJ170" s="402"/>
      <c r="NK170" s="394"/>
      <c r="NL170" s="394"/>
      <c r="NM170" s="402"/>
      <c r="NN170" s="402"/>
      <c r="NO170" s="402"/>
      <c r="NP170" s="402"/>
      <c r="NQ170" s="402"/>
      <c r="NR170" s="402"/>
      <c r="NS170" s="402"/>
      <c r="NT170" s="402"/>
      <c r="NU170" s="69"/>
      <c r="NV170" s="90"/>
      <c r="NW170" s="90"/>
      <c r="NX170" s="90"/>
      <c r="NY170" s="90"/>
      <c r="NZ170" s="90"/>
      <c r="OA170" s="90"/>
      <c r="OB170" s="90"/>
      <c r="OC170" s="90"/>
      <c r="OD170" s="90"/>
      <c r="OE170" s="90"/>
      <c r="OF170" s="90"/>
      <c r="OG170" s="90"/>
      <c r="OH170" s="90"/>
      <c r="OI170" s="71"/>
      <c r="OJ170" s="71"/>
      <c r="OK170" s="402"/>
      <c r="OL170" s="402"/>
      <c r="OM170" s="402"/>
      <c r="OO170" s="69"/>
      <c r="OP170" s="90"/>
      <c r="OQ170" s="90"/>
      <c r="OR170" s="90"/>
      <c r="OS170" s="90"/>
      <c r="OT170" s="90"/>
      <c r="OU170" s="90"/>
      <c r="OV170" s="90"/>
      <c r="OW170" s="90"/>
      <c r="OX170" s="90"/>
      <c r="OY170" s="90"/>
      <c r="OZ170" s="90"/>
      <c r="PA170" s="90"/>
      <c r="PB170" s="90"/>
      <c r="PC170" s="90"/>
      <c r="PD170" s="90"/>
      <c r="PE170" s="90"/>
      <c r="PF170" s="90"/>
      <c r="PG170" s="69"/>
      <c r="PH170" s="71"/>
      <c r="PI170" s="507"/>
    </row>
    <row r="171" spans="1:425" hidden="1">
      <c r="A171" s="71"/>
      <c r="B171" s="71"/>
      <c r="C171" s="91"/>
      <c r="D171" s="69"/>
      <c r="E171" s="74"/>
      <c r="F171" s="74"/>
      <c r="I171" s="90"/>
      <c r="J171" s="90"/>
      <c r="K171" s="90"/>
      <c r="L171" s="90"/>
      <c r="M171" s="90"/>
      <c r="N171" s="96"/>
      <c r="O171" s="74"/>
      <c r="P171" s="74"/>
      <c r="R171" s="90"/>
      <c r="S171" s="90"/>
      <c r="T171" s="90"/>
      <c r="U171" s="90"/>
      <c r="V171" s="90"/>
      <c r="W171" s="90"/>
      <c r="X171" s="90"/>
      <c r="Y171" s="69"/>
      <c r="Z171" s="90"/>
      <c r="AA171" s="90"/>
      <c r="AB171" s="90"/>
      <c r="AC171" s="90"/>
      <c r="AH171" s="69"/>
      <c r="AM171" s="90"/>
      <c r="AQ171" s="680"/>
      <c r="AR171" s="90"/>
      <c r="AS171" s="69"/>
      <c r="AT171" s="90"/>
      <c r="AU171" s="90"/>
      <c r="AV171" s="90"/>
      <c r="AW171" s="90"/>
      <c r="AX171" s="90"/>
      <c r="AY171" s="90"/>
      <c r="AZ171" s="90"/>
      <c r="BA171" s="90"/>
      <c r="BB171" s="90"/>
      <c r="BC171" s="90"/>
      <c r="BD171" s="90"/>
      <c r="BE171" s="90"/>
      <c r="BF171" s="148"/>
      <c r="BG171" s="417"/>
      <c r="BH171" s="71"/>
      <c r="BI171" s="255"/>
      <c r="BJ171" s="71"/>
      <c r="BK171" s="71"/>
      <c r="BL171" s="71"/>
      <c r="BM171" s="255"/>
      <c r="BN171" s="71"/>
      <c r="BO171" s="71"/>
      <c r="BP171" s="148"/>
      <c r="BQ171" s="71"/>
      <c r="BR171" s="71"/>
      <c r="CC171" s="69"/>
      <c r="CD171" s="90"/>
      <c r="CI171" s="148"/>
      <c r="CZ171" s="69"/>
      <c r="DA171" s="90"/>
      <c r="DI171" s="69"/>
      <c r="EG171" s="69"/>
      <c r="ER171" s="69"/>
      <c r="ES171" s="90"/>
      <c r="ET171" s="90"/>
      <c r="EU171" s="90"/>
      <c r="EV171" s="90"/>
      <c r="FQ171" s="677"/>
      <c r="FR171" s="677"/>
      <c r="FS171" s="677"/>
      <c r="FT171" s="677"/>
      <c r="FU171" s="677"/>
      <c r="FV171" s="677"/>
      <c r="FW171" s="69"/>
      <c r="GH171" s="69"/>
      <c r="GU171" s="148"/>
      <c r="GV171" s="71"/>
      <c r="GW171" s="71"/>
      <c r="GX171" s="71"/>
      <c r="GY171" s="71"/>
      <c r="GZ171" s="71"/>
      <c r="HA171" s="71"/>
      <c r="HB171" s="71"/>
      <c r="HC171" s="71"/>
      <c r="HD171" s="71"/>
      <c r="HE171" s="71"/>
      <c r="HF171" s="71"/>
      <c r="HG171" s="71"/>
      <c r="HH171" s="74"/>
      <c r="HI171" s="67"/>
      <c r="IF171" s="71"/>
      <c r="IG171" s="71"/>
      <c r="IH171" s="71"/>
      <c r="II171" s="71"/>
      <c r="IJ171" s="71"/>
      <c r="IK171" s="71"/>
      <c r="IL171" s="71"/>
      <c r="IM171" s="71"/>
      <c r="IN171" s="71"/>
      <c r="IO171" s="71"/>
      <c r="IP171" s="71"/>
      <c r="IQ171" s="74"/>
      <c r="IR171" s="69"/>
      <c r="JH171" s="69"/>
      <c r="JI171" s="90"/>
      <c r="JU171" s="71"/>
      <c r="JV171" s="71"/>
      <c r="JW171" s="71"/>
      <c r="JX171" s="71"/>
      <c r="JY171" s="71"/>
      <c r="JZ171" s="71"/>
      <c r="KA171" s="71"/>
      <c r="KB171" s="148"/>
      <c r="KC171" s="74"/>
      <c r="KD171" s="74"/>
      <c r="KE171" s="904"/>
      <c r="KF171" s="904"/>
      <c r="KG171" s="71"/>
      <c r="KH171" s="71"/>
      <c r="KI171" s="71"/>
      <c r="KJ171" s="71"/>
      <c r="KK171" s="71"/>
      <c r="KL171" s="71"/>
      <c r="KM171" s="340"/>
      <c r="KN171" s="340"/>
      <c r="KO171" s="71"/>
      <c r="KP171" s="71"/>
      <c r="KQ171" s="71"/>
      <c r="KR171" s="71"/>
      <c r="KS171" s="71"/>
      <c r="KT171" s="340"/>
      <c r="KU171" s="148"/>
      <c r="KV171" s="904"/>
      <c r="KW171" s="71"/>
      <c r="KX171" s="71"/>
      <c r="KY171" s="71"/>
      <c r="KZ171" s="71"/>
      <c r="LA171" s="71"/>
      <c r="LB171" s="71"/>
      <c r="LC171" s="71"/>
      <c r="LD171" s="71"/>
      <c r="LE171" s="71"/>
      <c r="LF171" s="71"/>
      <c r="LG171" s="71"/>
      <c r="LH171" s="71"/>
      <c r="LI171" s="71"/>
      <c r="LJ171" s="71"/>
      <c r="LK171" s="71"/>
      <c r="LL171" s="71"/>
      <c r="LM171" s="71"/>
      <c r="LN171" s="71"/>
      <c r="LO171" s="71"/>
      <c r="LP171" s="71"/>
      <c r="LQ171" s="71"/>
      <c r="LR171" s="71"/>
      <c r="LS171" s="71"/>
      <c r="LT171" s="402"/>
      <c r="LU171" s="402"/>
      <c r="LV171" s="402"/>
      <c r="LW171" s="402"/>
      <c r="LX171" s="402"/>
      <c r="LY171" s="900"/>
      <c r="LZ171" s="900"/>
      <c r="MA171" s="402"/>
      <c r="MB171" s="402"/>
      <c r="MC171" s="402"/>
      <c r="MD171" s="402"/>
      <c r="ME171" s="402"/>
      <c r="MF171" s="402"/>
      <c r="MG171" s="402"/>
      <c r="MH171" s="148"/>
      <c r="MI171" s="904"/>
      <c r="MJ171" s="904"/>
      <c r="MK171" s="904"/>
      <c r="ML171" s="904"/>
      <c r="MM171" s="394"/>
      <c r="MN171" s="394"/>
      <c r="MO171" s="394"/>
      <c r="MP171" s="394"/>
      <c r="MQ171" s="394"/>
      <c r="MR171" s="900"/>
      <c r="MS171" s="394"/>
      <c r="MT171" s="394"/>
      <c r="MU171" s="394"/>
      <c r="MV171" s="394"/>
      <c r="MW171" s="394"/>
      <c r="MX171" s="900"/>
      <c r="MY171" s="394"/>
      <c r="MZ171" s="394"/>
      <c r="NA171" s="684"/>
      <c r="NB171" s="684"/>
      <c r="NC171" s="394"/>
      <c r="ND171" s="394"/>
      <c r="NE171" s="394"/>
      <c r="NF171" s="394"/>
      <c r="NG171" s="394"/>
      <c r="NH171" s="394"/>
      <c r="NI171" s="731"/>
      <c r="NJ171" s="402"/>
      <c r="NK171" s="394"/>
      <c r="NL171" s="394"/>
      <c r="NM171" s="402"/>
      <c r="NN171" s="402"/>
      <c r="NO171" s="402"/>
      <c r="NP171" s="402"/>
      <c r="NQ171" s="402"/>
      <c r="NR171" s="402"/>
      <c r="NS171" s="402"/>
      <c r="NT171" s="402"/>
      <c r="NU171" s="69"/>
      <c r="NV171" s="90"/>
      <c r="NW171" s="90"/>
      <c r="NX171" s="90"/>
      <c r="NY171" s="90"/>
      <c r="NZ171" s="90"/>
      <c r="OA171" s="90"/>
      <c r="OB171" s="90"/>
      <c r="OC171" s="90"/>
      <c r="OD171" s="90"/>
      <c r="OE171" s="90"/>
      <c r="OF171" s="90"/>
      <c r="OG171" s="90"/>
      <c r="OH171" s="90"/>
      <c r="OI171" s="71"/>
      <c r="OJ171" s="71"/>
      <c r="OK171" s="402"/>
      <c r="OL171" s="402"/>
      <c r="OM171" s="402"/>
      <c r="OO171" s="69"/>
      <c r="OP171" s="90"/>
      <c r="OQ171" s="90"/>
      <c r="OR171" s="90"/>
      <c r="OS171" s="90"/>
      <c r="OT171" s="90"/>
      <c r="OU171" s="90"/>
      <c r="OV171" s="90"/>
      <c r="OW171" s="90"/>
      <c r="OX171" s="90"/>
      <c r="OY171" s="90"/>
      <c r="OZ171" s="90"/>
      <c r="PA171" s="90"/>
      <c r="PB171" s="90"/>
      <c r="PC171" s="90"/>
      <c r="PD171" s="90"/>
      <c r="PE171" s="90"/>
      <c r="PF171" s="90"/>
      <c r="PG171" s="69"/>
      <c r="PH171" s="71"/>
      <c r="PI171" s="507"/>
    </row>
    <row r="172" spans="1:425">
      <c r="A172" s="71">
        <v>1990</v>
      </c>
      <c r="B172" s="71" t="s">
        <v>722</v>
      </c>
      <c r="C172" s="91"/>
      <c r="D172" s="69"/>
      <c r="E172" s="93">
        <f>AVERAGE(E82:E91)</f>
        <v>9.9008913636684723E-2</v>
      </c>
      <c r="F172" s="93"/>
      <c r="I172" s="90"/>
      <c r="J172" s="90"/>
      <c r="K172" s="90"/>
      <c r="L172" s="90"/>
      <c r="M172" s="90"/>
      <c r="N172" s="94">
        <f>AVERAGE(N82:N91)</f>
        <v>0.17988149029619624</v>
      </c>
      <c r="O172" s="93"/>
      <c r="P172" s="93"/>
      <c r="R172" s="90"/>
      <c r="S172" s="90"/>
      <c r="T172" s="90"/>
      <c r="U172" s="90"/>
      <c r="V172" s="90"/>
      <c r="W172" s="90"/>
      <c r="X172" s="90"/>
      <c r="Y172" s="69"/>
      <c r="Z172" s="90"/>
      <c r="AA172" s="90"/>
      <c r="AB172" s="90"/>
      <c r="AC172" s="90"/>
      <c r="AH172" s="69" t="s">
        <v>845</v>
      </c>
      <c r="AJ172" s="76">
        <f>AK172*AJ122</f>
        <v>3990.7839999999997</v>
      </c>
      <c r="AK172" s="241">
        <v>0.23799999999999999</v>
      </c>
      <c r="AL172" s="68" t="s">
        <v>846</v>
      </c>
      <c r="AM172" s="90"/>
      <c r="AQ172" s="93">
        <f>AVERAGE(AQ82:AQ91)</f>
        <v>6.8317083478056997E-2</v>
      </c>
      <c r="AR172" s="90"/>
      <c r="AS172" s="69"/>
      <c r="AT172" s="90"/>
      <c r="AU172" s="90"/>
      <c r="AV172" s="90"/>
      <c r="AW172" s="90"/>
      <c r="AX172" s="90"/>
      <c r="AY172" s="90"/>
      <c r="AZ172" s="90"/>
      <c r="BA172" s="90"/>
      <c r="BB172" s="90"/>
      <c r="BC172" s="90"/>
      <c r="BD172" s="90"/>
      <c r="BE172" s="90"/>
      <c r="BF172" s="147">
        <f>AVERAGE(BF82:BF91)</f>
        <v>0.34700000000000009</v>
      </c>
      <c r="BG172" s="93"/>
      <c r="BH172" s="101">
        <f>AVERAGE(BH82:BH91)</f>
        <v>0.26594551577575432</v>
      </c>
      <c r="BI172" s="254">
        <f>AVERAGE(BI82:BI91)</f>
        <v>0.29984750287984074</v>
      </c>
      <c r="BJ172" s="101">
        <f>AVERAGE(BJ82:BJ91)</f>
        <v>0.22502822560928162</v>
      </c>
      <c r="BK172" s="101">
        <f>AVERAGE(BK82:BK91)</f>
        <v>0.30274519526802768</v>
      </c>
      <c r="BL172" s="101"/>
      <c r="BM172" s="254">
        <f>AVERAGE(BM82:BM91)</f>
        <v>0.33666240490887656</v>
      </c>
      <c r="BN172" s="101">
        <f>AVERAGE(BN82:BN91)</f>
        <v>0.287613358640116</v>
      </c>
      <c r="BO172" s="101">
        <f>AVERAGE(BO82:BO91)</f>
        <v>0.25070399759045237</v>
      </c>
      <c r="BP172" s="147"/>
      <c r="BQ172" s="101"/>
      <c r="BR172" s="101"/>
      <c r="CC172" s="69"/>
      <c r="CD172" s="90"/>
      <c r="CH172" s="94">
        <f>AVERAGE(CH82:CH92)</f>
        <v>0.72872307581518003</v>
      </c>
      <c r="CI172" s="727">
        <f>CH172*N172</f>
        <v>0.13108379289086258</v>
      </c>
      <c r="CZ172" s="69"/>
      <c r="DA172" s="90"/>
      <c r="DI172" s="69"/>
      <c r="EG172" s="69"/>
      <c r="ER172" s="69"/>
      <c r="ES172" s="90"/>
      <c r="ET172" s="90"/>
      <c r="EU172" s="90"/>
      <c r="EV172" s="90"/>
      <c r="FQ172" s="681">
        <f>AVERAGE(FQ82:FQ91)</f>
        <v>5.2786473212543802E-2</v>
      </c>
      <c r="FR172" s="681">
        <f>AVERAGE(FR82:FR91)</f>
        <v>0.12709501708365248</v>
      </c>
      <c r="FS172" s="681">
        <f>AVERAGE(FS82:FS91)</f>
        <v>5.2605867661074893E-3</v>
      </c>
      <c r="FT172" s="681"/>
      <c r="FU172" s="681"/>
      <c r="FV172" s="681">
        <f>AVERAGE(FV82:FV91)</f>
        <v>1.2565999006094314E-2</v>
      </c>
      <c r="FW172" s="69"/>
      <c r="GH172" s="69"/>
      <c r="GU172" s="148"/>
      <c r="GV172" s="71"/>
      <c r="GW172" s="71"/>
      <c r="GX172" s="71"/>
      <c r="GY172" s="71"/>
      <c r="GZ172" s="71"/>
      <c r="HA172" s="71"/>
      <c r="HB172" s="71"/>
      <c r="HC172" s="71"/>
      <c r="HD172" s="71"/>
      <c r="HE172" s="71"/>
      <c r="HF172" s="71"/>
      <c r="HG172" s="71"/>
      <c r="HH172" s="74"/>
      <c r="HI172" s="67"/>
      <c r="IF172" s="71"/>
      <c r="IG172" s="71"/>
      <c r="IH172" s="71"/>
      <c r="II172" s="71"/>
      <c r="IJ172" s="71"/>
      <c r="IK172" s="71"/>
      <c r="IL172" s="71"/>
      <c r="IM172" s="71"/>
      <c r="IN172" s="71"/>
      <c r="IO172" s="71"/>
      <c r="IP172" s="71"/>
      <c r="IQ172" s="74"/>
      <c r="IR172" s="69"/>
      <c r="JH172" s="69"/>
      <c r="JI172" s="90"/>
      <c r="JU172" s="71"/>
      <c r="JV172" s="71"/>
      <c r="JW172" s="71"/>
      <c r="JX172" s="71"/>
      <c r="JY172" s="71"/>
      <c r="JZ172" s="71"/>
      <c r="KA172" s="71"/>
      <c r="KB172" s="148"/>
      <c r="KC172" s="74"/>
      <c r="KD172" s="74"/>
      <c r="KE172" s="904"/>
      <c r="KF172" s="904"/>
      <c r="KG172" s="71"/>
      <c r="KH172" s="71"/>
      <c r="KI172" s="71"/>
      <c r="KJ172" s="71"/>
      <c r="KK172" s="71"/>
      <c r="KL172" s="71"/>
      <c r="KM172" s="340"/>
      <c r="KN172" s="340"/>
      <c r="KO172" s="71"/>
      <c r="KP172" s="71"/>
      <c r="KQ172" s="71"/>
      <c r="KR172" s="71"/>
      <c r="KS172" s="71"/>
      <c r="KT172" s="340"/>
      <c r="KU172" s="148"/>
      <c r="KV172" s="904"/>
      <c r="KW172" s="71"/>
      <c r="KX172" s="71"/>
      <c r="KY172" s="71"/>
      <c r="KZ172" s="71"/>
      <c r="LA172" s="71"/>
      <c r="LB172" s="71"/>
      <c r="LC172" s="71"/>
      <c r="LD172" s="71"/>
      <c r="LE172" s="71"/>
      <c r="LF172" s="71"/>
      <c r="LG172" s="71"/>
      <c r="LH172" s="71"/>
      <c r="LI172" s="71"/>
      <c r="LJ172" s="71"/>
      <c r="LK172" s="71"/>
      <c r="LL172" s="71"/>
      <c r="LM172" s="71"/>
      <c r="LN172" s="71"/>
      <c r="LO172" s="71"/>
      <c r="LP172" s="71"/>
      <c r="LQ172" s="71"/>
      <c r="LR172" s="71"/>
      <c r="LS172" s="71"/>
      <c r="LT172" s="402"/>
      <c r="LU172" s="402"/>
      <c r="LV172" s="402"/>
      <c r="LW172" s="402"/>
      <c r="LX172" s="402"/>
      <c r="LY172" s="900"/>
      <c r="LZ172" s="900"/>
      <c r="MA172" s="402"/>
      <c r="MB172" s="402"/>
      <c r="MC172" s="402"/>
      <c r="MD172" s="402"/>
      <c r="ME172" s="402"/>
      <c r="MF172" s="402"/>
      <c r="MG172" s="402"/>
      <c r="MH172" s="148"/>
      <c r="MI172" s="904"/>
      <c r="MJ172" s="904"/>
      <c r="MK172" s="904"/>
      <c r="ML172" s="904"/>
      <c r="MM172" s="394"/>
      <c r="MN172" s="394"/>
      <c r="MO172" s="394"/>
      <c r="MP172" s="394"/>
      <c r="MQ172" s="394"/>
      <c r="MR172" s="900"/>
      <c r="MS172" s="394"/>
      <c r="MT172" s="394"/>
      <c r="MU172" s="394"/>
      <c r="MV172" s="394"/>
      <c r="MW172" s="394"/>
      <c r="MX172" s="900"/>
      <c r="MY172" s="394"/>
      <c r="MZ172" s="394"/>
      <c r="NA172" s="684"/>
      <c r="NB172" s="684"/>
      <c r="NC172" s="394"/>
      <c r="ND172" s="394"/>
      <c r="NE172" s="394"/>
      <c r="NF172" s="394"/>
      <c r="NG172" s="394"/>
      <c r="NH172" s="394"/>
      <c r="NI172" s="731"/>
      <c r="NJ172" s="402"/>
      <c r="NK172" s="394"/>
      <c r="NL172" s="394"/>
      <c r="NM172" s="402"/>
      <c r="NN172" s="402"/>
      <c r="NO172" s="402"/>
      <c r="NP172" s="402"/>
      <c r="NQ172" s="402"/>
      <c r="NR172" s="402"/>
      <c r="NS172" s="402"/>
      <c r="NT172" s="402"/>
      <c r="NU172" s="147">
        <f>AVERAGE(NU82:NU91)</f>
        <v>5.9113788319233383E-2</v>
      </c>
      <c r="NV172" s="93">
        <f>AVERAGE(NV82:NV91)</f>
        <v>9.0146899281461731E-2</v>
      </c>
      <c r="NW172" s="93">
        <f>AVERAGE(NW82:NW91)</f>
        <v>0.11832611172500754</v>
      </c>
      <c r="NX172" s="93"/>
      <c r="NY172" s="93">
        <f>AVERAGE(NY82:NY91)</f>
        <v>7.2237519659256203E-3</v>
      </c>
      <c r="NZ172" s="93">
        <f>AVERAGE(NZ82:NZ91)</f>
        <v>1.7048429881184313E-2</v>
      </c>
      <c r="OA172" s="93"/>
      <c r="OB172" s="93"/>
      <c r="OC172" s="93"/>
      <c r="OD172" s="93"/>
      <c r="OE172" s="93"/>
      <c r="OF172" s="93"/>
      <c r="OG172" s="93"/>
      <c r="OH172" s="93"/>
      <c r="OI172" s="71"/>
      <c r="OJ172" s="71"/>
      <c r="OK172" s="402"/>
      <c r="OL172" s="402"/>
      <c r="OM172" s="402"/>
      <c r="OO172" s="147">
        <f t="shared" ref="OO172:PA172" si="536">AVERAGE(OO82:OO91)</f>
        <v>9.8672379403849902E-2</v>
      </c>
      <c r="OP172" s="93"/>
      <c r="OQ172" s="93"/>
      <c r="OR172" s="93"/>
      <c r="OS172" s="93">
        <f t="shared" si="536"/>
        <v>0.16315248899385479</v>
      </c>
      <c r="OT172" s="93">
        <f t="shared" si="536"/>
        <v>0.12413255051764091</v>
      </c>
      <c r="OU172" s="93">
        <f t="shared" si="536"/>
        <v>0.12589989578780159</v>
      </c>
      <c r="OV172" s="93">
        <f t="shared" si="536"/>
        <v>0.12568328437088244</v>
      </c>
      <c r="OW172" s="93">
        <f t="shared" si="536"/>
        <v>9.2155711445451066E-2</v>
      </c>
      <c r="OX172" s="93">
        <f t="shared" si="536"/>
        <v>7.1298644821679358E-2</v>
      </c>
      <c r="OY172" s="93">
        <f t="shared" si="536"/>
        <v>0.15575743029373931</v>
      </c>
      <c r="OZ172" s="93">
        <f t="shared" si="536"/>
        <v>0.11942543722646323</v>
      </c>
      <c r="PA172" s="93">
        <f t="shared" si="536"/>
        <v>9.2523097424921222E-2</v>
      </c>
      <c r="PB172" s="93">
        <f>AVERAGE(PB82:PB91)</f>
        <v>2.6902339801542042E-2</v>
      </c>
      <c r="PC172" s="93"/>
      <c r="PD172" s="93"/>
      <c r="PE172" s="93"/>
      <c r="PF172" s="93"/>
      <c r="PG172" s="69"/>
      <c r="PH172" s="71"/>
      <c r="PI172" s="507"/>
    </row>
    <row r="173" spans="1:425" hidden="1">
      <c r="A173" s="71"/>
      <c r="B173" s="71"/>
      <c r="C173" s="91"/>
      <c r="D173" s="69"/>
      <c r="E173" s="74"/>
      <c r="F173" s="74"/>
      <c r="I173" s="90"/>
      <c r="J173" s="90"/>
      <c r="K173" s="90"/>
      <c r="L173" s="90"/>
      <c r="M173" s="90"/>
      <c r="N173" s="96"/>
      <c r="O173" s="74"/>
      <c r="P173" s="74"/>
      <c r="R173" s="90"/>
      <c r="S173" s="90"/>
      <c r="T173" s="90"/>
      <c r="U173" s="90"/>
      <c r="V173" s="90"/>
      <c r="W173" s="90"/>
      <c r="X173" s="90"/>
      <c r="Y173" s="69"/>
      <c r="Z173" s="90"/>
      <c r="AA173" s="90"/>
      <c r="AB173" s="90"/>
      <c r="AC173" s="90"/>
      <c r="AH173" s="69"/>
      <c r="AM173" s="90"/>
      <c r="AQ173" s="680"/>
      <c r="AR173" s="90"/>
      <c r="AS173" s="69"/>
      <c r="AT173" s="90"/>
      <c r="AU173" s="90"/>
      <c r="AV173" s="90"/>
      <c r="AW173" s="90"/>
      <c r="AX173" s="90"/>
      <c r="AY173" s="90"/>
      <c r="AZ173" s="90"/>
      <c r="BA173" s="90"/>
      <c r="BB173" s="90"/>
      <c r="BC173" s="90"/>
      <c r="BD173" s="90"/>
      <c r="BE173" s="90"/>
      <c r="BF173" s="148"/>
      <c r="BG173" s="417"/>
      <c r="BH173" s="71"/>
      <c r="BI173" s="255"/>
      <c r="BJ173" s="71"/>
      <c r="BK173" s="71"/>
      <c r="BL173" s="71"/>
      <c r="BM173" s="255"/>
      <c r="BN173" s="71"/>
      <c r="BO173" s="71"/>
      <c r="BP173" s="148"/>
      <c r="BQ173" s="71"/>
      <c r="BR173" s="71"/>
      <c r="CC173" s="69"/>
      <c r="CD173" s="90"/>
      <c r="CI173" s="148"/>
      <c r="CZ173" s="69"/>
      <c r="DA173" s="90"/>
      <c r="DI173" s="69"/>
      <c r="EG173" s="69"/>
      <c r="ER173" s="69"/>
      <c r="ES173" s="90"/>
      <c r="ET173" s="90"/>
      <c r="EU173" s="90"/>
      <c r="EV173" s="90"/>
      <c r="FQ173" s="677"/>
      <c r="FR173" s="677"/>
      <c r="FS173" s="677"/>
      <c r="FT173" s="677"/>
      <c r="FU173" s="677"/>
      <c r="FV173" s="677"/>
      <c r="FW173" s="69"/>
      <c r="GH173" s="69"/>
      <c r="GU173" s="69"/>
      <c r="HH173" s="90"/>
      <c r="HI173" s="67"/>
      <c r="IQ173" s="90"/>
      <c r="IR173" s="69"/>
      <c r="JH173" s="69"/>
      <c r="JI173" s="90"/>
      <c r="KB173" s="69"/>
      <c r="KC173" s="90"/>
      <c r="KD173" s="90"/>
      <c r="KE173" s="90"/>
      <c r="KF173" s="90"/>
      <c r="KU173" s="69"/>
      <c r="KV173" s="90"/>
      <c r="NU173" s="69"/>
      <c r="NV173" s="90"/>
      <c r="NW173" s="90"/>
      <c r="NX173" s="90"/>
      <c r="NY173" s="90"/>
      <c r="NZ173" s="90"/>
      <c r="OA173" s="90"/>
      <c r="OB173" s="90"/>
      <c r="OC173" s="90"/>
      <c r="OD173" s="90"/>
      <c r="OE173" s="90"/>
      <c r="OF173" s="90"/>
      <c r="OG173" s="90"/>
      <c r="OH173" s="90"/>
      <c r="OO173" s="69"/>
      <c r="OP173" s="90"/>
      <c r="OQ173" s="90"/>
      <c r="OR173" s="90"/>
      <c r="OS173" s="90"/>
      <c r="OT173" s="90"/>
      <c r="OU173" s="90"/>
      <c r="OV173" s="90"/>
      <c r="OW173" s="90"/>
      <c r="OX173" s="90"/>
      <c r="OY173" s="90"/>
      <c r="OZ173" s="90"/>
      <c r="PA173" s="90"/>
      <c r="PB173" s="90"/>
      <c r="PC173" s="90"/>
      <c r="PD173" s="90"/>
      <c r="PE173" s="90"/>
      <c r="PF173" s="90"/>
      <c r="PG173" s="69"/>
    </row>
    <row r="174" spans="1:425" hidden="1">
      <c r="A174" s="71"/>
      <c r="B174" s="71"/>
      <c r="C174" s="91"/>
      <c r="D174" s="69"/>
      <c r="E174" s="74"/>
      <c r="F174" s="74"/>
      <c r="I174" s="90"/>
      <c r="J174" s="90"/>
      <c r="K174" s="90"/>
      <c r="L174" s="90"/>
      <c r="M174" s="90"/>
      <c r="N174" s="96"/>
      <c r="O174" s="74"/>
      <c r="P174" s="74"/>
      <c r="R174" s="90"/>
      <c r="S174" s="90"/>
      <c r="T174" s="90"/>
      <c r="U174" s="90"/>
      <c r="V174" s="90"/>
      <c r="W174" s="90"/>
      <c r="X174" s="90"/>
      <c r="Y174" s="69"/>
      <c r="Z174" s="90"/>
      <c r="AA174" s="90"/>
      <c r="AB174" s="90"/>
      <c r="AC174" s="90"/>
      <c r="AH174" s="69"/>
      <c r="AM174" s="90"/>
      <c r="AQ174" s="680"/>
      <c r="AR174" s="90"/>
      <c r="AS174" s="69"/>
      <c r="AT174" s="90"/>
      <c r="AU174" s="90"/>
      <c r="AV174" s="90"/>
      <c r="AW174" s="90"/>
      <c r="AX174" s="90"/>
      <c r="AY174" s="90"/>
      <c r="AZ174" s="90"/>
      <c r="BA174" s="90"/>
      <c r="BB174" s="90"/>
      <c r="BC174" s="90"/>
      <c r="BD174" s="90"/>
      <c r="BE174" s="90"/>
      <c r="BF174" s="148"/>
      <c r="BG174" s="417"/>
      <c r="BH174" s="71"/>
      <c r="BI174" s="255"/>
      <c r="BJ174" s="71"/>
      <c r="BK174" s="71"/>
      <c r="BL174" s="71"/>
      <c r="BM174" s="255"/>
      <c r="BN174" s="71"/>
      <c r="BO174" s="71"/>
      <c r="BP174" s="148"/>
      <c r="BQ174" s="71"/>
      <c r="BR174" s="71"/>
      <c r="CC174" s="69"/>
      <c r="CD174" s="90"/>
      <c r="CI174" s="148"/>
      <c r="CZ174" s="69"/>
      <c r="DA174" s="90"/>
      <c r="DI174" s="69"/>
      <c r="EG174" s="69"/>
      <c r="ER174" s="69"/>
      <c r="ES174" s="90"/>
      <c r="ET174" s="90"/>
      <c r="EU174" s="90"/>
      <c r="EV174" s="90"/>
      <c r="FQ174" s="677"/>
      <c r="FR174" s="677"/>
      <c r="FS174" s="677"/>
      <c r="FT174" s="677"/>
      <c r="FU174" s="677"/>
      <c r="FV174" s="677"/>
      <c r="FW174" s="69"/>
      <c r="GH174" s="69"/>
      <c r="GU174" s="69"/>
      <c r="HH174" s="90"/>
      <c r="HI174" s="67"/>
      <c r="IQ174" s="90"/>
      <c r="IR174" s="69"/>
      <c r="JH174" s="69"/>
      <c r="JI174" s="90"/>
      <c r="KB174" s="69"/>
      <c r="KC174" s="90"/>
      <c r="KD174" s="90"/>
      <c r="KE174" s="90"/>
      <c r="KF174" s="90"/>
      <c r="KU174" s="69"/>
      <c r="KV174" s="90"/>
      <c r="NU174" s="69"/>
      <c r="NV174" s="90"/>
      <c r="NW174" s="90"/>
      <c r="NX174" s="90"/>
      <c r="NY174" s="90"/>
      <c r="NZ174" s="90"/>
      <c r="OA174" s="90"/>
      <c r="OB174" s="90"/>
      <c r="OC174" s="90"/>
      <c r="OD174" s="90"/>
      <c r="OE174" s="90"/>
      <c r="OF174" s="90"/>
      <c r="OG174" s="90"/>
      <c r="OH174" s="90"/>
      <c r="OO174" s="69"/>
      <c r="OP174" s="90"/>
      <c r="OQ174" s="90"/>
      <c r="OR174" s="90"/>
      <c r="OS174" s="90"/>
      <c r="OT174" s="90"/>
      <c r="OU174" s="90"/>
      <c r="OV174" s="90"/>
      <c r="OW174" s="90"/>
      <c r="OX174" s="90"/>
      <c r="OY174" s="90"/>
      <c r="OZ174" s="90"/>
      <c r="PA174" s="90"/>
      <c r="PB174" s="90"/>
      <c r="PC174" s="90"/>
      <c r="PD174" s="90"/>
      <c r="PE174" s="90"/>
      <c r="PF174" s="90"/>
      <c r="PG174" s="69"/>
    </row>
    <row r="175" spans="1:425" hidden="1">
      <c r="A175" s="71"/>
      <c r="B175" s="71"/>
      <c r="C175" s="91"/>
      <c r="D175" s="69"/>
      <c r="E175" s="74"/>
      <c r="F175" s="74"/>
      <c r="I175" s="90"/>
      <c r="J175" s="90"/>
      <c r="K175" s="90"/>
      <c r="L175" s="90"/>
      <c r="M175" s="90"/>
      <c r="N175" s="96"/>
      <c r="O175" s="74"/>
      <c r="P175" s="74"/>
      <c r="R175" s="90"/>
      <c r="S175" s="90"/>
      <c r="T175" s="90"/>
      <c r="U175" s="90"/>
      <c r="V175" s="90"/>
      <c r="W175" s="90"/>
      <c r="X175" s="90"/>
      <c r="Y175" s="69"/>
      <c r="Z175" s="90"/>
      <c r="AA175" s="90"/>
      <c r="AB175" s="90"/>
      <c r="AC175" s="90"/>
      <c r="AH175" s="69"/>
      <c r="AM175" s="90"/>
      <c r="AQ175" s="680"/>
      <c r="AR175" s="90"/>
      <c r="AS175" s="69"/>
      <c r="AT175" s="90"/>
      <c r="AU175" s="90"/>
      <c r="AV175" s="90"/>
      <c r="AW175" s="90"/>
      <c r="AX175" s="90"/>
      <c r="AY175" s="90"/>
      <c r="AZ175" s="90"/>
      <c r="BA175" s="90"/>
      <c r="BB175" s="90"/>
      <c r="BC175" s="90"/>
      <c r="BD175" s="90"/>
      <c r="BE175" s="90"/>
      <c r="BF175" s="148"/>
      <c r="BG175" s="417"/>
      <c r="BH175" s="71"/>
      <c r="BI175" s="255"/>
      <c r="BJ175" s="71"/>
      <c r="BK175" s="71"/>
      <c r="BL175" s="71"/>
      <c r="BM175" s="255"/>
      <c r="BN175" s="71"/>
      <c r="BO175" s="71"/>
      <c r="BP175" s="148"/>
      <c r="BQ175" s="71"/>
      <c r="BR175" s="71"/>
      <c r="CC175" s="69"/>
      <c r="CD175" s="90"/>
      <c r="CI175" s="148"/>
      <c r="CZ175" s="69"/>
      <c r="DA175" s="90"/>
      <c r="DI175" s="69"/>
      <c r="EG175" s="69"/>
      <c r="ER175" s="69"/>
      <c r="ES175" s="90"/>
      <c r="ET175" s="90"/>
      <c r="EU175" s="90"/>
      <c r="EV175" s="90"/>
      <c r="FQ175" s="677"/>
      <c r="FR175" s="677"/>
      <c r="FS175" s="677"/>
      <c r="FT175" s="677"/>
      <c r="FU175" s="677"/>
      <c r="FV175" s="677"/>
      <c r="FW175" s="69"/>
      <c r="GH175" s="69"/>
      <c r="GU175" s="69"/>
      <c r="HH175" s="90"/>
      <c r="HI175" s="67"/>
      <c r="IQ175" s="90"/>
      <c r="IR175" s="69"/>
      <c r="JH175" s="69"/>
      <c r="JI175" s="90"/>
      <c r="KB175" s="69"/>
      <c r="KC175" s="90"/>
      <c r="KD175" s="90"/>
      <c r="KE175" s="90"/>
      <c r="KF175" s="90"/>
      <c r="KU175" s="69"/>
      <c r="KV175" s="90"/>
      <c r="NU175" s="69"/>
      <c r="NV175" s="90"/>
      <c r="NW175" s="90"/>
      <c r="NX175" s="90"/>
      <c r="NY175" s="90"/>
      <c r="NZ175" s="90"/>
      <c r="OA175" s="90"/>
      <c r="OB175" s="90"/>
      <c r="OC175" s="90"/>
      <c r="OD175" s="90"/>
      <c r="OE175" s="90"/>
      <c r="OF175" s="90"/>
      <c r="OG175" s="90"/>
      <c r="OH175" s="90"/>
      <c r="OO175" s="69"/>
      <c r="OP175" s="90"/>
      <c r="OQ175" s="90"/>
      <c r="OR175" s="90"/>
      <c r="OS175" s="90"/>
      <c r="OT175" s="90"/>
      <c r="OU175" s="90"/>
      <c r="OV175" s="90"/>
      <c r="OW175" s="90"/>
      <c r="OX175" s="90"/>
      <c r="OY175" s="90"/>
      <c r="OZ175" s="90"/>
      <c r="PA175" s="90"/>
      <c r="PB175" s="90"/>
      <c r="PC175" s="90"/>
      <c r="PD175" s="90"/>
      <c r="PE175" s="90"/>
      <c r="PF175" s="90"/>
      <c r="PG175" s="69"/>
    </row>
    <row r="176" spans="1:425" hidden="1">
      <c r="A176" s="71"/>
      <c r="B176" s="71"/>
      <c r="C176" s="91"/>
      <c r="D176" s="69"/>
      <c r="E176" s="74"/>
      <c r="F176" s="74"/>
      <c r="I176" s="90"/>
      <c r="J176" s="90"/>
      <c r="K176" s="90"/>
      <c r="L176" s="90"/>
      <c r="M176" s="90"/>
      <c r="N176" s="96"/>
      <c r="O176" s="74"/>
      <c r="P176" s="74"/>
      <c r="R176" s="90"/>
      <c r="S176" s="90"/>
      <c r="T176" s="90"/>
      <c r="U176" s="90"/>
      <c r="V176" s="90"/>
      <c r="W176" s="90"/>
      <c r="X176" s="90"/>
      <c r="Y176" s="69"/>
      <c r="Z176" s="90"/>
      <c r="AA176" s="90"/>
      <c r="AB176" s="90"/>
      <c r="AC176" s="90"/>
      <c r="AH176" s="69"/>
      <c r="AM176" s="90"/>
      <c r="AQ176" s="680"/>
      <c r="AR176" s="90"/>
      <c r="AS176" s="69"/>
      <c r="AT176" s="90"/>
      <c r="AU176" s="90"/>
      <c r="AV176" s="90"/>
      <c r="AW176" s="90"/>
      <c r="AX176" s="90"/>
      <c r="AY176" s="90"/>
      <c r="AZ176" s="90"/>
      <c r="BA176" s="90"/>
      <c r="BB176" s="90"/>
      <c r="BC176" s="90"/>
      <c r="BD176" s="90"/>
      <c r="BE176" s="90"/>
      <c r="BF176" s="148"/>
      <c r="BG176" s="417"/>
      <c r="BH176" s="71"/>
      <c r="BI176" s="255"/>
      <c r="BJ176" s="71"/>
      <c r="BK176" s="71"/>
      <c r="BL176" s="71"/>
      <c r="BM176" s="255"/>
      <c r="BN176" s="71"/>
      <c r="BO176" s="71"/>
      <c r="BP176" s="148"/>
      <c r="BQ176" s="71"/>
      <c r="BR176" s="71"/>
      <c r="CC176" s="69"/>
      <c r="CD176" s="90"/>
      <c r="CI176" s="148"/>
      <c r="CZ176" s="69"/>
      <c r="DA176" s="90"/>
      <c r="DI176" s="69"/>
      <c r="EG176" s="69"/>
      <c r="ER176" s="69"/>
      <c r="ES176" s="90"/>
      <c r="ET176" s="90"/>
      <c r="EU176" s="90"/>
      <c r="EV176" s="90"/>
      <c r="FQ176" s="677"/>
      <c r="FR176" s="677"/>
      <c r="FS176" s="677"/>
      <c r="FT176" s="677"/>
      <c r="FU176" s="677"/>
      <c r="FV176" s="677"/>
      <c r="FW176" s="69"/>
      <c r="GH176" s="69"/>
      <c r="GU176" s="69"/>
      <c r="HH176" s="90"/>
      <c r="HI176" s="67"/>
      <c r="IQ176" s="90"/>
      <c r="IR176" s="69"/>
      <c r="JH176" s="69"/>
      <c r="JI176" s="90"/>
      <c r="KB176" s="69"/>
      <c r="KC176" s="90"/>
      <c r="KD176" s="90"/>
      <c r="KE176" s="90"/>
      <c r="KF176" s="90"/>
      <c r="KU176" s="69"/>
      <c r="KV176" s="90"/>
      <c r="NU176" s="69"/>
      <c r="NV176" s="90"/>
      <c r="NW176" s="90"/>
      <c r="NX176" s="90"/>
      <c r="NY176" s="90"/>
      <c r="NZ176" s="90"/>
      <c r="OA176" s="90"/>
      <c r="OB176" s="90"/>
      <c r="OC176" s="90"/>
      <c r="OD176" s="90"/>
      <c r="OE176" s="90"/>
      <c r="OF176" s="90"/>
      <c r="OG176" s="90"/>
      <c r="OH176" s="90"/>
      <c r="OO176" s="69"/>
      <c r="OP176" s="90"/>
      <c r="OQ176" s="90"/>
      <c r="OR176" s="90"/>
      <c r="OS176" s="90"/>
      <c r="OT176" s="90"/>
      <c r="OU176" s="90"/>
      <c r="OV176" s="90"/>
      <c r="OW176" s="90"/>
      <c r="OX176" s="90"/>
      <c r="OY176" s="90"/>
      <c r="OZ176" s="90"/>
      <c r="PA176" s="90"/>
      <c r="PB176" s="90"/>
      <c r="PC176" s="90"/>
      <c r="PD176" s="90"/>
      <c r="PE176" s="90"/>
      <c r="PF176" s="90"/>
      <c r="PG176" s="69"/>
    </row>
    <row r="177" spans="1:423" hidden="1">
      <c r="A177" s="71"/>
      <c r="B177" s="71"/>
      <c r="C177" s="91"/>
      <c r="D177" s="69"/>
      <c r="E177" s="74"/>
      <c r="F177" s="74"/>
      <c r="I177" s="90"/>
      <c r="J177" s="90"/>
      <c r="K177" s="90"/>
      <c r="L177" s="90"/>
      <c r="M177" s="90"/>
      <c r="N177" s="96"/>
      <c r="O177" s="74"/>
      <c r="P177" s="74"/>
      <c r="R177" s="90"/>
      <c r="S177" s="90"/>
      <c r="T177" s="90"/>
      <c r="U177" s="90"/>
      <c r="V177" s="90"/>
      <c r="W177" s="90"/>
      <c r="X177" s="90"/>
      <c r="Y177" s="69"/>
      <c r="Z177" s="90"/>
      <c r="AA177" s="90"/>
      <c r="AB177" s="90"/>
      <c r="AC177" s="90"/>
      <c r="AH177" s="69"/>
      <c r="AM177" s="90"/>
      <c r="AQ177" s="680"/>
      <c r="AR177" s="90"/>
      <c r="AS177" s="69"/>
      <c r="AT177" s="90"/>
      <c r="AU177" s="90"/>
      <c r="AV177" s="90"/>
      <c r="AW177" s="90"/>
      <c r="AX177" s="90"/>
      <c r="AY177" s="90"/>
      <c r="AZ177" s="90"/>
      <c r="BA177" s="90"/>
      <c r="BB177" s="90"/>
      <c r="BC177" s="90"/>
      <c r="BD177" s="90"/>
      <c r="BE177" s="90"/>
      <c r="BF177" s="148"/>
      <c r="BG177" s="417"/>
      <c r="BH177" s="71"/>
      <c r="BI177" s="255"/>
      <c r="BJ177" s="71"/>
      <c r="BK177" s="71"/>
      <c r="BL177" s="71"/>
      <c r="BM177" s="255"/>
      <c r="BN177" s="71"/>
      <c r="BO177" s="71"/>
      <c r="BP177" s="148"/>
      <c r="BQ177" s="71"/>
      <c r="BR177" s="71"/>
      <c r="CC177" s="69"/>
      <c r="CD177" s="90"/>
      <c r="CI177" s="148"/>
      <c r="CZ177" s="69"/>
      <c r="DA177" s="90"/>
      <c r="DI177" s="69"/>
      <c r="EG177" s="69"/>
      <c r="ER177" s="69"/>
      <c r="ES177" s="90"/>
      <c r="ET177" s="90"/>
      <c r="EU177" s="90"/>
      <c r="EV177" s="90"/>
      <c r="FQ177" s="677"/>
      <c r="FR177" s="677"/>
      <c r="FS177" s="677"/>
      <c r="FT177" s="677"/>
      <c r="FU177" s="677"/>
      <c r="FV177" s="677"/>
      <c r="FW177" s="69"/>
      <c r="GH177" s="69"/>
      <c r="GU177" s="69"/>
      <c r="HH177" s="90"/>
      <c r="HI177" s="67"/>
      <c r="IQ177" s="90"/>
      <c r="IR177" s="69"/>
      <c r="JH177" s="69"/>
      <c r="JI177" s="90"/>
      <c r="KB177" s="69"/>
      <c r="KC177" s="90"/>
      <c r="KD177" s="90"/>
      <c r="KE177" s="90"/>
      <c r="KF177" s="90"/>
      <c r="KU177" s="69"/>
      <c r="KV177" s="90"/>
      <c r="NU177" s="69"/>
      <c r="NV177" s="90"/>
      <c r="NW177" s="90"/>
      <c r="NX177" s="90"/>
      <c r="NY177" s="90"/>
      <c r="NZ177" s="90"/>
      <c r="OA177" s="90"/>
      <c r="OB177" s="90"/>
      <c r="OC177" s="90"/>
      <c r="OD177" s="90"/>
      <c r="OE177" s="90"/>
      <c r="OF177" s="90"/>
      <c r="OG177" s="90"/>
      <c r="OH177" s="90"/>
      <c r="OO177" s="69"/>
      <c r="OP177" s="90"/>
      <c r="OQ177" s="90"/>
      <c r="OR177" s="90"/>
      <c r="OS177" s="90"/>
      <c r="OT177" s="90"/>
      <c r="OU177" s="90"/>
      <c r="OV177" s="90"/>
      <c r="OW177" s="90"/>
      <c r="OX177" s="90"/>
      <c r="OY177" s="90"/>
      <c r="OZ177" s="90"/>
      <c r="PA177" s="90"/>
      <c r="PB177" s="90"/>
      <c r="PC177" s="90"/>
      <c r="PD177" s="90"/>
      <c r="PE177" s="90"/>
      <c r="PF177" s="90"/>
      <c r="PG177" s="69"/>
    </row>
    <row r="178" spans="1:423" hidden="1">
      <c r="A178" s="71"/>
      <c r="B178" s="71"/>
      <c r="C178" s="91"/>
      <c r="D178" s="69"/>
      <c r="E178" s="74"/>
      <c r="F178" s="74"/>
      <c r="I178" s="90"/>
      <c r="J178" s="90"/>
      <c r="K178" s="90"/>
      <c r="L178" s="90"/>
      <c r="M178" s="90"/>
      <c r="N178" s="96"/>
      <c r="O178" s="74"/>
      <c r="P178" s="74"/>
      <c r="R178" s="90"/>
      <c r="S178" s="90"/>
      <c r="T178" s="90"/>
      <c r="U178" s="90"/>
      <c r="V178" s="90"/>
      <c r="W178" s="90"/>
      <c r="X178" s="90"/>
      <c r="Y178" s="69"/>
      <c r="Z178" s="90"/>
      <c r="AA178" s="90"/>
      <c r="AB178" s="90"/>
      <c r="AC178" s="90"/>
      <c r="AH178" s="69"/>
      <c r="AM178" s="90"/>
      <c r="AQ178" s="680"/>
      <c r="AR178" s="90"/>
      <c r="AS178" s="69"/>
      <c r="AT178" s="90"/>
      <c r="AU178" s="90"/>
      <c r="AV178" s="90"/>
      <c r="AW178" s="90"/>
      <c r="AX178" s="90"/>
      <c r="AY178" s="90"/>
      <c r="AZ178" s="90"/>
      <c r="BA178" s="90"/>
      <c r="BB178" s="90"/>
      <c r="BC178" s="90"/>
      <c r="BD178" s="90"/>
      <c r="BE178" s="90"/>
      <c r="BF178" s="148"/>
      <c r="BG178" s="417"/>
      <c r="BH178" s="71"/>
      <c r="BI178" s="255"/>
      <c r="BJ178" s="71"/>
      <c r="BK178" s="71"/>
      <c r="BL178" s="71"/>
      <c r="BM178" s="255"/>
      <c r="BN178" s="71"/>
      <c r="BO178" s="71"/>
      <c r="BP178" s="148"/>
      <c r="BQ178" s="71"/>
      <c r="BR178" s="71"/>
      <c r="CC178" s="69"/>
      <c r="CD178" s="90"/>
      <c r="CI178" s="148"/>
      <c r="CZ178" s="69"/>
      <c r="DA178" s="90"/>
      <c r="DI178" s="69"/>
      <c r="EG178" s="69"/>
      <c r="ER178" s="69"/>
      <c r="ES178" s="90"/>
      <c r="ET178" s="90"/>
      <c r="EU178" s="90"/>
      <c r="EV178" s="90"/>
      <c r="FQ178" s="677"/>
      <c r="FR178" s="677"/>
      <c r="FS178" s="677"/>
      <c r="FT178" s="677"/>
      <c r="FU178" s="677"/>
      <c r="FV178" s="677"/>
      <c r="FW178" s="69"/>
      <c r="GH178" s="69"/>
      <c r="GU178" s="69"/>
      <c r="HH178" s="90"/>
      <c r="HI178" s="67"/>
      <c r="IQ178" s="90"/>
      <c r="IR178" s="69"/>
      <c r="JH178" s="69"/>
      <c r="JI178" s="90"/>
      <c r="KB178" s="69"/>
      <c r="KC178" s="90"/>
      <c r="KD178" s="90"/>
      <c r="KE178" s="90"/>
      <c r="KF178" s="90"/>
      <c r="KU178" s="69"/>
      <c r="KV178" s="90"/>
      <c r="NU178" s="69"/>
      <c r="NV178" s="90"/>
      <c r="NW178" s="90"/>
      <c r="NX178" s="90"/>
      <c r="NY178" s="90"/>
      <c r="NZ178" s="90"/>
      <c r="OA178" s="90"/>
      <c r="OB178" s="90"/>
      <c r="OC178" s="90"/>
      <c r="OD178" s="90"/>
      <c r="OE178" s="90"/>
      <c r="OF178" s="90"/>
      <c r="OG178" s="90"/>
      <c r="OH178" s="90"/>
      <c r="OO178" s="69"/>
      <c r="OP178" s="90"/>
      <c r="OQ178" s="90"/>
      <c r="OR178" s="90"/>
      <c r="OS178" s="90"/>
      <c r="OT178" s="90"/>
      <c r="OU178" s="90"/>
      <c r="OV178" s="90"/>
      <c r="OW178" s="90"/>
      <c r="OX178" s="90"/>
      <c r="OY178" s="90"/>
      <c r="OZ178" s="90"/>
      <c r="PA178" s="90"/>
      <c r="PB178" s="90"/>
      <c r="PC178" s="90"/>
      <c r="PD178" s="90"/>
      <c r="PE178" s="90"/>
      <c r="PF178" s="90"/>
      <c r="PG178" s="69"/>
    </row>
    <row r="179" spans="1:423" hidden="1">
      <c r="A179" s="71"/>
      <c r="B179" s="71"/>
      <c r="C179" s="91"/>
      <c r="D179" s="69"/>
      <c r="E179" s="74"/>
      <c r="F179" s="74"/>
      <c r="I179" s="90"/>
      <c r="J179" s="90"/>
      <c r="K179" s="90"/>
      <c r="L179" s="90"/>
      <c r="M179" s="90"/>
      <c r="N179" s="96"/>
      <c r="O179" s="74"/>
      <c r="P179" s="74"/>
      <c r="R179" s="90"/>
      <c r="S179" s="90"/>
      <c r="T179" s="90"/>
      <c r="U179" s="90"/>
      <c r="V179" s="90"/>
      <c r="W179" s="90"/>
      <c r="X179" s="90"/>
      <c r="Y179" s="69"/>
      <c r="Z179" s="90"/>
      <c r="AA179" s="90"/>
      <c r="AB179" s="90"/>
      <c r="AC179" s="90"/>
      <c r="AH179" s="69"/>
      <c r="AM179" s="90"/>
      <c r="AQ179" s="680"/>
      <c r="AR179" s="90"/>
      <c r="AS179" s="69"/>
      <c r="AT179" s="90"/>
      <c r="AU179" s="90"/>
      <c r="AV179" s="90"/>
      <c r="AW179" s="90"/>
      <c r="AX179" s="90"/>
      <c r="AY179" s="90"/>
      <c r="AZ179" s="90"/>
      <c r="BA179" s="90"/>
      <c r="BB179" s="90"/>
      <c r="BC179" s="90"/>
      <c r="BD179" s="90"/>
      <c r="BE179" s="90"/>
      <c r="BF179" s="148"/>
      <c r="BG179" s="417"/>
      <c r="BH179" s="71"/>
      <c r="BI179" s="255"/>
      <c r="BJ179" s="71"/>
      <c r="BK179" s="71"/>
      <c r="BL179" s="71"/>
      <c r="BM179" s="255"/>
      <c r="BN179" s="71"/>
      <c r="BO179" s="71"/>
      <c r="BP179" s="148"/>
      <c r="BQ179" s="71"/>
      <c r="BR179" s="71"/>
      <c r="CC179" s="69"/>
      <c r="CD179" s="90"/>
      <c r="CI179" s="148"/>
      <c r="CZ179" s="69"/>
      <c r="DA179" s="90"/>
      <c r="DI179" s="69"/>
      <c r="EG179" s="69"/>
      <c r="ER179" s="69"/>
      <c r="ES179" s="90"/>
      <c r="ET179" s="90"/>
      <c r="EU179" s="90"/>
      <c r="EV179" s="90"/>
      <c r="FQ179" s="677"/>
      <c r="FR179" s="677"/>
      <c r="FS179" s="677"/>
      <c r="FT179" s="677"/>
      <c r="FU179" s="677"/>
      <c r="FV179" s="677"/>
      <c r="FW179" s="69"/>
      <c r="GH179" s="69"/>
      <c r="GU179" s="69"/>
      <c r="HH179" s="90"/>
      <c r="HI179" s="67"/>
      <c r="IQ179" s="90"/>
      <c r="IR179" s="69"/>
      <c r="JH179" s="69"/>
      <c r="JI179" s="90"/>
      <c r="KB179" s="69"/>
      <c r="KC179" s="90"/>
      <c r="KD179" s="90"/>
      <c r="KE179" s="90"/>
      <c r="KF179" s="90"/>
      <c r="KU179" s="69"/>
      <c r="KV179" s="90"/>
      <c r="NU179" s="69"/>
      <c r="NV179" s="90"/>
      <c r="NW179" s="90"/>
      <c r="NX179" s="90"/>
      <c r="NY179" s="90"/>
      <c r="NZ179" s="90"/>
      <c r="OA179" s="90"/>
      <c r="OB179" s="90"/>
      <c r="OC179" s="90"/>
      <c r="OD179" s="90"/>
      <c r="OE179" s="90"/>
      <c r="OF179" s="90"/>
      <c r="OG179" s="90"/>
      <c r="OH179" s="90"/>
      <c r="OO179" s="69"/>
      <c r="OP179" s="90"/>
      <c r="OQ179" s="90"/>
      <c r="OR179" s="90"/>
      <c r="OS179" s="90"/>
      <c r="OT179" s="90"/>
      <c r="OU179" s="90"/>
      <c r="OV179" s="90"/>
      <c r="OW179" s="90"/>
      <c r="OX179" s="90"/>
      <c r="OY179" s="90"/>
      <c r="OZ179" s="90"/>
      <c r="PA179" s="90"/>
      <c r="PB179" s="90"/>
      <c r="PC179" s="90"/>
      <c r="PD179" s="90"/>
      <c r="PE179" s="90"/>
      <c r="PF179" s="90"/>
      <c r="PG179" s="69"/>
    </row>
    <row r="180" spans="1:423" hidden="1">
      <c r="A180" s="71"/>
      <c r="B180" s="71"/>
      <c r="C180" s="91"/>
      <c r="D180" s="69"/>
      <c r="E180" s="74"/>
      <c r="F180" s="74"/>
      <c r="I180" s="90"/>
      <c r="J180" s="90"/>
      <c r="K180" s="90"/>
      <c r="L180" s="90"/>
      <c r="M180" s="90"/>
      <c r="N180" s="96"/>
      <c r="O180" s="74"/>
      <c r="P180" s="74"/>
      <c r="R180" s="90"/>
      <c r="S180" s="90"/>
      <c r="T180" s="90"/>
      <c r="U180" s="90"/>
      <c r="V180" s="90"/>
      <c r="W180" s="90"/>
      <c r="X180" s="90"/>
      <c r="Y180" s="69"/>
      <c r="Z180" s="90"/>
      <c r="AA180" s="90"/>
      <c r="AB180" s="90"/>
      <c r="AC180" s="90"/>
      <c r="AH180" s="69"/>
      <c r="AM180" s="90"/>
      <c r="AQ180" s="680"/>
      <c r="AR180" s="90"/>
      <c r="AS180" s="69"/>
      <c r="AT180" s="90"/>
      <c r="AU180" s="90"/>
      <c r="AV180" s="90"/>
      <c r="AW180" s="90"/>
      <c r="AX180" s="90"/>
      <c r="AY180" s="90"/>
      <c r="AZ180" s="90"/>
      <c r="BA180" s="90"/>
      <c r="BB180" s="90"/>
      <c r="BC180" s="90"/>
      <c r="BD180" s="90"/>
      <c r="BE180" s="90"/>
      <c r="BF180" s="148"/>
      <c r="BG180" s="417"/>
      <c r="BH180" s="71"/>
      <c r="BI180" s="255"/>
      <c r="BJ180" s="71"/>
      <c r="BK180" s="71"/>
      <c r="BL180" s="71"/>
      <c r="BM180" s="255"/>
      <c r="BN180" s="71"/>
      <c r="BO180" s="71"/>
      <c r="BP180" s="148"/>
      <c r="BQ180" s="71"/>
      <c r="BR180" s="71"/>
      <c r="CC180" s="69"/>
      <c r="CD180" s="90"/>
      <c r="CI180" s="148"/>
      <c r="CZ180" s="69"/>
      <c r="DA180" s="90"/>
      <c r="DI180" s="69"/>
      <c r="EG180" s="69"/>
      <c r="ER180" s="69"/>
      <c r="ES180" s="90"/>
      <c r="ET180" s="90"/>
      <c r="EU180" s="90"/>
      <c r="EV180" s="90"/>
      <c r="FQ180" s="677"/>
      <c r="FR180" s="677"/>
      <c r="FS180" s="677"/>
      <c r="FT180" s="677"/>
      <c r="FU180" s="677"/>
      <c r="FV180" s="677"/>
      <c r="FW180" s="69"/>
      <c r="GH180" s="69"/>
      <c r="GU180" s="69"/>
      <c r="HH180" s="90"/>
      <c r="HI180" s="67"/>
      <c r="IQ180" s="90"/>
      <c r="IR180" s="69"/>
      <c r="JH180" s="69"/>
      <c r="JI180" s="90"/>
      <c r="KB180" s="69"/>
      <c r="KC180" s="90"/>
      <c r="KD180" s="90"/>
      <c r="KE180" s="90"/>
      <c r="KF180" s="90"/>
      <c r="KU180" s="69"/>
      <c r="KV180" s="90"/>
      <c r="NU180" s="69"/>
      <c r="NV180" s="90"/>
      <c r="NW180" s="90"/>
      <c r="NX180" s="90"/>
      <c r="NY180" s="90"/>
      <c r="NZ180" s="90"/>
      <c r="OA180" s="90"/>
      <c r="OB180" s="90"/>
      <c r="OC180" s="90"/>
      <c r="OD180" s="90"/>
      <c r="OE180" s="90"/>
      <c r="OF180" s="90"/>
      <c r="OG180" s="90"/>
      <c r="OH180" s="90"/>
      <c r="OO180" s="69"/>
      <c r="OP180" s="90"/>
      <c r="OQ180" s="90"/>
      <c r="OR180" s="90"/>
      <c r="OS180" s="90"/>
      <c r="OT180" s="90"/>
      <c r="OU180" s="90"/>
      <c r="OV180" s="90"/>
      <c r="OW180" s="90"/>
      <c r="OX180" s="90"/>
      <c r="OY180" s="90"/>
      <c r="OZ180" s="90"/>
      <c r="PA180" s="90"/>
      <c r="PB180" s="90"/>
      <c r="PC180" s="90"/>
      <c r="PD180" s="90"/>
      <c r="PE180" s="90"/>
      <c r="PF180" s="90"/>
      <c r="PG180" s="69"/>
    </row>
    <row r="181" spans="1:423" hidden="1">
      <c r="A181" s="71"/>
      <c r="B181" s="71"/>
      <c r="C181" s="91"/>
      <c r="D181" s="69"/>
      <c r="E181" s="74"/>
      <c r="F181" s="74"/>
      <c r="I181" s="90"/>
      <c r="J181" s="90"/>
      <c r="K181" s="90"/>
      <c r="L181" s="90"/>
      <c r="M181" s="90"/>
      <c r="N181" s="96"/>
      <c r="O181" s="74"/>
      <c r="P181" s="74"/>
      <c r="R181" s="90"/>
      <c r="S181" s="90"/>
      <c r="T181" s="90"/>
      <c r="U181" s="90"/>
      <c r="V181" s="90"/>
      <c r="W181" s="90"/>
      <c r="X181" s="90"/>
      <c r="Y181" s="69"/>
      <c r="Z181" s="90"/>
      <c r="AA181" s="90"/>
      <c r="AB181" s="90"/>
      <c r="AC181" s="90"/>
      <c r="AH181" s="69"/>
      <c r="AM181" s="90"/>
      <c r="AQ181" s="680"/>
      <c r="AR181" s="90"/>
      <c r="AS181" s="69"/>
      <c r="AT181" s="90"/>
      <c r="AU181" s="90"/>
      <c r="AV181" s="90"/>
      <c r="AW181" s="90"/>
      <c r="AX181" s="90"/>
      <c r="AY181" s="90"/>
      <c r="AZ181" s="90"/>
      <c r="BA181" s="90"/>
      <c r="BB181" s="90"/>
      <c r="BC181" s="90"/>
      <c r="BD181" s="90"/>
      <c r="BE181" s="90"/>
      <c r="BF181" s="148"/>
      <c r="BG181" s="417"/>
      <c r="BH181" s="71"/>
      <c r="BI181" s="255"/>
      <c r="BJ181" s="71"/>
      <c r="BK181" s="71"/>
      <c r="BL181" s="71"/>
      <c r="BM181" s="255"/>
      <c r="BN181" s="71"/>
      <c r="BO181" s="71"/>
      <c r="BP181" s="148"/>
      <c r="BQ181" s="71"/>
      <c r="BR181" s="71"/>
      <c r="CC181" s="69"/>
      <c r="CD181" s="90"/>
      <c r="CI181" s="148"/>
      <c r="CZ181" s="69"/>
      <c r="DA181" s="90"/>
      <c r="DI181" s="69"/>
      <c r="EG181" s="69"/>
      <c r="ER181" s="69"/>
      <c r="ES181" s="90"/>
      <c r="ET181" s="90"/>
      <c r="EU181" s="90"/>
      <c r="EV181" s="90"/>
      <c r="FQ181" s="677"/>
      <c r="FR181" s="677"/>
      <c r="FS181" s="677"/>
      <c r="FT181" s="677"/>
      <c r="FU181" s="677"/>
      <c r="FV181" s="677"/>
      <c r="FW181" s="69"/>
      <c r="GH181" s="69"/>
      <c r="GU181" s="69"/>
      <c r="HH181" s="90"/>
      <c r="HI181" s="67"/>
      <c r="IQ181" s="90"/>
      <c r="IR181" s="69"/>
      <c r="JH181" s="69"/>
      <c r="JI181" s="90"/>
      <c r="KB181" s="69"/>
      <c r="KC181" s="90"/>
      <c r="KD181" s="90"/>
      <c r="KE181" s="90"/>
      <c r="KF181" s="90"/>
      <c r="KU181" s="69"/>
      <c r="KV181" s="90"/>
      <c r="NU181" s="69"/>
      <c r="NV181" s="90"/>
      <c r="NW181" s="90"/>
      <c r="NX181" s="90"/>
      <c r="NY181" s="90"/>
      <c r="NZ181" s="90"/>
      <c r="OA181" s="90"/>
      <c r="OB181" s="90"/>
      <c r="OC181" s="90"/>
      <c r="OD181" s="90"/>
      <c r="OE181" s="90"/>
      <c r="OF181" s="90"/>
      <c r="OG181" s="90"/>
      <c r="OH181" s="90"/>
      <c r="OO181" s="69"/>
      <c r="OP181" s="90"/>
      <c r="OQ181" s="90"/>
      <c r="OR181" s="90"/>
      <c r="OS181" s="90"/>
      <c r="OT181" s="90"/>
      <c r="OU181" s="90"/>
      <c r="OV181" s="90"/>
      <c r="OW181" s="90"/>
      <c r="OX181" s="90"/>
      <c r="OY181" s="90"/>
      <c r="OZ181" s="90"/>
      <c r="PA181" s="90"/>
      <c r="PB181" s="90"/>
      <c r="PC181" s="90"/>
      <c r="PD181" s="90"/>
      <c r="PE181" s="90"/>
      <c r="PF181" s="90"/>
      <c r="PG181" s="69"/>
    </row>
    <row r="182" spans="1:423">
      <c r="A182" s="71">
        <v>2000</v>
      </c>
      <c r="B182" s="71" t="s">
        <v>723</v>
      </c>
      <c r="C182" s="91"/>
      <c r="D182" s="69"/>
      <c r="E182" s="93">
        <f>AVERAGE(E92:E101)</f>
        <v>0.1106101820956988</v>
      </c>
      <c r="F182" s="93"/>
      <c r="I182" s="90"/>
      <c r="J182" s="90"/>
      <c r="K182" s="90"/>
      <c r="L182" s="90"/>
      <c r="M182" s="90"/>
      <c r="N182" s="94">
        <f>AVERAGE(N92:N101)</f>
        <v>0.28880845426527846</v>
      </c>
      <c r="O182" s="93"/>
      <c r="P182" s="93"/>
      <c r="R182" s="90"/>
      <c r="S182" s="90"/>
      <c r="T182" s="90"/>
      <c r="U182" s="90"/>
      <c r="V182" s="90"/>
      <c r="W182" s="90"/>
      <c r="X182" s="90"/>
      <c r="Y182" s="69"/>
      <c r="Z182" s="90"/>
      <c r="AA182" s="90"/>
      <c r="AB182" s="90"/>
      <c r="AC182" s="90"/>
      <c r="AH182" s="69" t="s">
        <v>851</v>
      </c>
      <c r="AJ182" s="159">
        <f>AP105</f>
        <v>79.599999999999994</v>
      </c>
      <c r="AK182" s="240">
        <f>AJ182/AJ$122</f>
        <v>4.7471374045801526E-3</v>
      </c>
      <c r="AL182" s="68" t="s">
        <v>847</v>
      </c>
      <c r="AM182" s="90"/>
      <c r="AQ182" s="93">
        <f>AVERAGE(AQ92:AQ101)</f>
        <v>8.2070118438330592E-2</v>
      </c>
      <c r="AR182" s="90"/>
      <c r="AS182" s="69"/>
      <c r="AT182" s="90"/>
      <c r="AU182" s="90"/>
      <c r="AV182" s="90"/>
      <c r="AW182" s="90"/>
      <c r="AX182" s="90"/>
      <c r="AY182" s="90"/>
      <c r="AZ182" s="90"/>
      <c r="BA182" s="90"/>
      <c r="BB182" s="90"/>
      <c r="BC182" s="90"/>
      <c r="BD182" s="90"/>
      <c r="BE182" s="90"/>
      <c r="BF182" s="147">
        <f>AVERAGE(BF92:BF101)</f>
        <v>0.35000000000000003</v>
      </c>
      <c r="BG182" s="93"/>
      <c r="BH182" s="101">
        <f>AVERAGE(BH92:BH101)</f>
        <v>0.20786876954169292</v>
      </c>
      <c r="BI182" s="254">
        <f>AVERAGE(BI92:BI101)</f>
        <v>0.25938220043090365</v>
      </c>
      <c r="BJ182" s="101">
        <f>AVERAGE(BJ92:BJ101)</f>
        <v>0.1792739974766438</v>
      </c>
      <c r="BK182" s="101">
        <f>AVERAGE(BK92:BK101)</f>
        <v>0.24801002785351214</v>
      </c>
      <c r="BL182" s="101"/>
      <c r="BM182" s="254">
        <f>AVERAGE(BM92:BM101)</f>
        <v>0.29141995989497199</v>
      </c>
      <c r="BN182" s="101">
        <f>AVERAGE(BN92:BN101)</f>
        <v>0.26748117579876884</v>
      </c>
      <c r="BO182" s="101">
        <f>AVERAGE(BO92:BO101)</f>
        <v>0.21543604097213226</v>
      </c>
      <c r="BP182" s="147"/>
      <c r="BQ182" s="101"/>
      <c r="BR182" s="101"/>
      <c r="CC182" s="69"/>
      <c r="CD182" s="90"/>
      <c r="CH182" s="94">
        <f>AVERAGE(CH92:CH102)</f>
        <v>0.70581648085633553</v>
      </c>
      <c r="CI182" s="727">
        <f>CH182*N182</f>
        <v>0.20384576683107677</v>
      </c>
      <c r="CZ182" s="69"/>
      <c r="DA182" s="90"/>
      <c r="DI182" s="69"/>
      <c r="EG182" s="69"/>
      <c r="ER182" s="69"/>
      <c r="ES182" s="90"/>
      <c r="ET182" s="90"/>
      <c r="EU182" s="90"/>
      <c r="EV182" s="90"/>
      <c r="FQ182" s="681">
        <f>AVERAGE(FQ92:FQ101)</f>
        <v>0.12850425336615703</v>
      </c>
      <c r="FR182" s="681">
        <f>AVERAGE(FR92:FR101)</f>
        <v>0.16030420089912142</v>
      </c>
      <c r="FS182" s="681">
        <f>AVERAGE(FS92:FS101)</f>
        <v>1.4384221541605591E-2</v>
      </c>
      <c r="FT182" s="681"/>
      <c r="FU182" s="681"/>
      <c r="FV182" s="681">
        <f>AVERAGE(FV92:FV101)</f>
        <v>1.7674740590109005E-2</v>
      </c>
      <c r="FW182" s="69"/>
      <c r="GH182" s="69"/>
      <c r="GU182" s="69"/>
      <c r="HH182" s="90"/>
      <c r="HI182" s="67"/>
      <c r="IQ182" s="90"/>
      <c r="IR182" s="69"/>
      <c r="JH182" s="69"/>
      <c r="JI182" s="90"/>
      <c r="KB182" s="69"/>
      <c r="KC182" s="90"/>
      <c r="KD182" s="90"/>
      <c r="KE182" s="90"/>
      <c r="KF182" s="90"/>
      <c r="KU182" s="69"/>
      <c r="KV182" s="90"/>
      <c r="NU182" s="147">
        <f>AVERAGE(NU92:NU101)</f>
        <v>7.2341380151524401E-2</v>
      </c>
      <c r="NV182" s="93">
        <f>AVERAGE(NV92:NV101)</f>
        <v>8.8496574237124231E-2</v>
      </c>
      <c r="NW182" s="93">
        <f>AVERAGE(NW92:NW101)</f>
        <v>0.10939549894933967</v>
      </c>
      <c r="NX182" s="93"/>
      <c r="NY182" s="93">
        <f>AVERAGE(NY92:NY101)</f>
        <v>2.5540729665670198E-2</v>
      </c>
      <c r="NZ182" s="93">
        <f>AVERAGE(NZ92:NZ101)</f>
        <v>3.5851175949472708E-2</v>
      </c>
      <c r="OA182" s="93"/>
      <c r="OB182" s="93"/>
      <c r="OC182" s="93"/>
      <c r="OD182" s="93"/>
      <c r="OE182" s="93"/>
      <c r="OF182" s="93"/>
      <c r="OG182" s="93"/>
      <c r="OH182" s="93"/>
      <c r="OO182" s="147">
        <f t="shared" ref="OO182:PA182" si="537">AVERAGE(OO92:OO101)</f>
        <v>9.4645416440415034E-2</v>
      </c>
      <c r="OP182" s="93"/>
      <c r="OQ182" s="93"/>
      <c r="OR182" s="93"/>
      <c r="OS182" s="93">
        <f t="shared" si="537"/>
        <v>0.16400793836648891</v>
      </c>
      <c r="OT182" s="93">
        <f t="shared" si="537"/>
        <v>9.7920025077023201E-2</v>
      </c>
      <c r="OU182" s="93">
        <f t="shared" si="537"/>
        <v>0.12930706743274775</v>
      </c>
      <c r="OV182" s="93">
        <f t="shared" si="537"/>
        <v>0.12190043080913178</v>
      </c>
      <c r="OW182" s="93">
        <f t="shared" si="537"/>
        <v>8.7459238916465315E-2</v>
      </c>
      <c r="OX182" s="93">
        <f t="shared" si="537"/>
        <v>7.5302204841295212E-2</v>
      </c>
      <c r="OY182" s="93">
        <f t="shared" si="537"/>
        <v>0.13733922143563626</v>
      </c>
      <c r="OZ182" s="93">
        <f t="shared" si="537"/>
        <v>0.10920240584242065</v>
      </c>
      <c r="PA182" s="93">
        <f t="shared" si="537"/>
        <v>8.6780945322660272E-2</v>
      </c>
      <c r="PB182" s="93">
        <f>AVERAGE(PB92:PB101)</f>
        <v>2.2421460519760367E-2</v>
      </c>
      <c r="PC182" s="93"/>
      <c r="PD182" s="93"/>
      <c r="PE182" s="93"/>
      <c r="PF182" s="93"/>
      <c r="PG182" s="69"/>
    </row>
    <row r="183" spans="1:423" hidden="1">
      <c r="A183" s="71"/>
      <c r="B183" s="71"/>
      <c r="C183" s="91"/>
      <c r="D183" s="69"/>
      <c r="E183" s="74"/>
      <c r="F183" s="74"/>
      <c r="I183" s="90"/>
      <c r="J183" s="90"/>
      <c r="K183" s="90"/>
      <c r="L183" s="90"/>
      <c r="M183" s="90"/>
      <c r="N183" s="96"/>
      <c r="O183" s="74"/>
      <c r="P183" s="74"/>
      <c r="R183" s="90"/>
      <c r="S183" s="90"/>
      <c r="T183" s="90"/>
      <c r="U183" s="90"/>
      <c r="V183" s="90"/>
      <c r="W183" s="90"/>
      <c r="X183" s="90"/>
      <c r="Y183" s="69"/>
      <c r="Z183" s="90"/>
      <c r="AA183" s="90"/>
      <c r="AB183" s="90"/>
      <c r="AC183" s="90"/>
      <c r="AH183" s="69"/>
      <c r="AM183" s="90"/>
      <c r="AQ183" s="680"/>
      <c r="AR183" s="90"/>
      <c r="AS183" s="69"/>
      <c r="AT183" s="90"/>
      <c r="AU183" s="90"/>
      <c r="AV183" s="90"/>
      <c r="AW183" s="90"/>
      <c r="AX183" s="90"/>
      <c r="AY183" s="90"/>
      <c r="AZ183" s="90"/>
      <c r="BA183" s="90"/>
      <c r="BB183" s="90"/>
      <c r="BC183" s="90"/>
      <c r="BD183" s="90"/>
      <c r="BE183" s="90"/>
      <c r="BF183" s="148"/>
      <c r="BG183" s="417"/>
      <c r="BH183" s="71"/>
      <c r="BI183" s="255"/>
      <c r="BJ183" s="71"/>
      <c r="BK183" s="71"/>
      <c r="BL183" s="71"/>
      <c r="BM183" s="255"/>
      <c r="BN183" s="71"/>
      <c r="BO183" s="71"/>
      <c r="BP183" s="148"/>
      <c r="BQ183" s="71"/>
      <c r="BR183" s="71"/>
      <c r="CC183" s="69"/>
      <c r="CD183" s="90"/>
      <c r="CI183" s="148"/>
      <c r="CZ183" s="69"/>
      <c r="DA183" s="90"/>
      <c r="DI183" s="69"/>
      <c r="EG183" s="69"/>
      <c r="ER183" s="69"/>
      <c r="ES183" s="90"/>
      <c r="ET183" s="90"/>
      <c r="EU183" s="90"/>
      <c r="EV183" s="90"/>
      <c r="FQ183" s="677"/>
      <c r="FR183" s="677"/>
      <c r="FS183" s="677"/>
      <c r="FT183" s="677"/>
      <c r="FU183" s="677"/>
      <c r="FV183" s="677"/>
      <c r="FW183" s="69"/>
      <c r="GH183" s="69"/>
      <c r="GU183" s="69"/>
      <c r="HH183" s="90"/>
      <c r="HI183" s="67"/>
      <c r="IQ183" s="90"/>
      <c r="IR183" s="69"/>
      <c r="JH183" s="69"/>
      <c r="JI183" s="90"/>
      <c r="KB183" s="69"/>
      <c r="KC183" s="90"/>
      <c r="KD183" s="90"/>
      <c r="KE183" s="90"/>
      <c r="KF183" s="90"/>
      <c r="KU183" s="69"/>
      <c r="KV183" s="90"/>
      <c r="NU183" s="69"/>
      <c r="NV183" s="90"/>
      <c r="NW183" s="90"/>
      <c r="NX183" s="90"/>
      <c r="NY183" s="90"/>
      <c r="NZ183" s="90"/>
      <c r="OA183" s="90"/>
      <c r="OB183" s="90"/>
      <c r="OC183" s="90"/>
      <c r="OD183" s="90"/>
      <c r="OE183" s="90"/>
      <c r="OF183" s="90"/>
      <c r="OG183" s="90"/>
      <c r="OH183" s="90"/>
      <c r="OO183" s="69"/>
      <c r="OP183" s="90"/>
      <c r="OQ183" s="90"/>
      <c r="OR183" s="90"/>
      <c r="OS183" s="90"/>
      <c r="OT183" s="90"/>
      <c r="OU183" s="90"/>
      <c r="OV183" s="90"/>
      <c r="OW183" s="90"/>
      <c r="OX183" s="90"/>
      <c r="OY183" s="90"/>
      <c r="OZ183" s="90"/>
      <c r="PA183" s="90"/>
      <c r="PB183" s="90"/>
      <c r="PC183" s="90"/>
      <c r="PD183" s="90"/>
      <c r="PE183" s="90"/>
      <c r="PF183" s="90"/>
      <c r="PG183" s="69"/>
    </row>
    <row r="184" spans="1:423" hidden="1">
      <c r="A184" s="71"/>
      <c r="B184" s="71"/>
      <c r="C184" s="91"/>
      <c r="D184" s="69"/>
      <c r="E184" s="74"/>
      <c r="F184" s="74"/>
      <c r="I184" s="90"/>
      <c r="J184" s="90"/>
      <c r="K184" s="90"/>
      <c r="L184" s="90"/>
      <c r="M184" s="90"/>
      <c r="N184" s="96"/>
      <c r="O184" s="74"/>
      <c r="P184" s="74"/>
      <c r="R184" s="90"/>
      <c r="S184" s="90"/>
      <c r="T184" s="90"/>
      <c r="U184" s="90"/>
      <c r="V184" s="90"/>
      <c r="W184" s="90"/>
      <c r="X184" s="90"/>
      <c r="Y184" s="69"/>
      <c r="Z184" s="90"/>
      <c r="AA184" s="90"/>
      <c r="AB184" s="90"/>
      <c r="AC184" s="90"/>
      <c r="AH184" s="69"/>
      <c r="AM184" s="90"/>
      <c r="AQ184" s="680"/>
      <c r="AR184" s="90"/>
      <c r="AS184" s="69"/>
      <c r="AT184" s="90"/>
      <c r="AU184" s="90"/>
      <c r="AV184" s="90"/>
      <c r="AW184" s="90"/>
      <c r="AX184" s="90"/>
      <c r="AY184" s="90"/>
      <c r="AZ184" s="90"/>
      <c r="BA184" s="90"/>
      <c r="BB184" s="90"/>
      <c r="BC184" s="90"/>
      <c r="BD184" s="90"/>
      <c r="BE184" s="90"/>
      <c r="BF184" s="148"/>
      <c r="BG184" s="417"/>
      <c r="BH184" s="71"/>
      <c r="BI184" s="255"/>
      <c r="BJ184" s="71"/>
      <c r="BK184" s="71"/>
      <c r="BL184" s="71"/>
      <c r="BM184" s="255"/>
      <c r="BN184" s="71"/>
      <c r="BO184" s="71"/>
      <c r="BP184" s="148"/>
      <c r="BQ184" s="71"/>
      <c r="BR184" s="71"/>
      <c r="CC184" s="69"/>
      <c r="CD184" s="90"/>
      <c r="CI184" s="148"/>
      <c r="CZ184" s="69"/>
      <c r="DA184" s="90"/>
      <c r="DI184" s="69"/>
      <c r="EG184" s="69"/>
      <c r="ER184" s="69"/>
      <c r="ES184" s="90"/>
      <c r="ET184" s="90"/>
      <c r="EU184" s="90"/>
      <c r="EV184" s="90"/>
      <c r="FQ184" s="677"/>
      <c r="FR184" s="677"/>
      <c r="FS184" s="677"/>
      <c r="FT184" s="677"/>
      <c r="FU184" s="677"/>
      <c r="FV184" s="677"/>
      <c r="FW184" s="69"/>
      <c r="GH184" s="69"/>
      <c r="GU184" s="69"/>
      <c r="HH184" s="90"/>
      <c r="HI184" s="67"/>
      <c r="IQ184" s="90"/>
      <c r="IR184" s="69"/>
      <c r="JH184" s="69"/>
      <c r="JI184" s="90"/>
      <c r="KB184" s="69"/>
      <c r="KC184" s="90"/>
      <c r="KD184" s="90"/>
      <c r="KE184" s="90"/>
      <c r="KF184" s="90"/>
      <c r="KU184" s="69"/>
      <c r="KV184" s="90"/>
      <c r="NU184" s="69"/>
      <c r="NV184" s="90"/>
      <c r="NW184" s="90"/>
      <c r="NX184" s="90"/>
      <c r="NY184" s="90"/>
      <c r="NZ184" s="90"/>
      <c r="OA184" s="90"/>
      <c r="OB184" s="90"/>
      <c r="OC184" s="90"/>
      <c r="OD184" s="90"/>
      <c r="OE184" s="90"/>
      <c r="OF184" s="90"/>
      <c r="OG184" s="90"/>
      <c r="OH184" s="90"/>
      <c r="OO184" s="69"/>
      <c r="OP184" s="90"/>
      <c r="OQ184" s="90"/>
      <c r="OR184" s="90"/>
      <c r="OS184" s="90"/>
      <c r="OT184" s="90"/>
      <c r="OU184" s="90"/>
      <c r="OV184" s="90"/>
      <c r="OW184" s="90"/>
      <c r="OX184" s="90"/>
      <c r="OY184" s="90"/>
      <c r="OZ184" s="90"/>
      <c r="PA184" s="90"/>
      <c r="PB184" s="90"/>
      <c r="PC184" s="90"/>
      <c r="PD184" s="90"/>
      <c r="PE184" s="90"/>
      <c r="PF184" s="90"/>
      <c r="PG184" s="69"/>
    </row>
    <row r="185" spans="1:423" hidden="1">
      <c r="A185" s="71"/>
      <c r="B185" s="71"/>
      <c r="C185" s="91"/>
      <c r="D185" s="69"/>
      <c r="E185" s="74"/>
      <c r="F185" s="74"/>
      <c r="I185" s="90"/>
      <c r="J185" s="90"/>
      <c r="K185" s="90"/>
      <c r="L185" s="90"/>
      <c r="M185" s="90"/>
      <c r="N185" s="96"/>
      <c r="O185" s="74"/>
      <c r="P185" s="74"/>
      <c r="R185" s="90"/>
      <c r="S185" s="90"/>
      <c r="T185" s="90"/>
      <c r="U185" s="90"/>
      <c r="V185" s="90"/>
      <c r="W185" s="90"/>
      <c r="X185" s="90"/>
      <c r="Y185" s="69"/>
      <c r="Z185" s="90"/>
      <c r="AA185" s="90"/>
      <c r="AB185" s="90"/>
      <c r="AC185" s="90"/>
      <c r="AH185" s="69"/>
      <c r="AM185" s="90"/>
      <c r="AQ185" s="680"/>
      <c r="AR185" s="90"/>
      <c r="AS185" s="69"/>
      <c r="AT185" s="90"/>
      <c r="AU185" s="90"/>
      <c r="AV185" s="90"/>
      <c r="AW185" s="90"/>
      <c r="AX185" s="90"/>
      <c r="AY185" s="90"/>
      <c r="AZ185" s="90"/>
      <c r="BA185" s="90"/>
      <c r="BB185" s="90"/>
      <c r="BC185" s="90"/>
      <c r="BD185" s="90"/>
      <c r="BE185" s="90"/>
      <c r="BF185" s="148"/>
      <c r="BG185" s="417"/>
      <c r="BH185" s="71"/>
      <c r="BI185" s="255"/>
      <c r="BJ185" s="71"/>
      <c r="BK185" s="71"/>
      <c r="BL185" s="71"/>
      <c r="BM185" s="255"/>
      <c r="BN185" s="71"/>
      <c r="BO185" s="71"/>
      <c r="BP185" s="148"/>
      <c r="BQ185" s="71"/>
      <c r="BR185" s="71"/>
      <c r="CC185" s="69"/>
      <c r="CD185" s="90"/>
      <c r="CI185" s="148"/>
      <c r="CZ185" s="69"/>
      <c r="DA185" s="90"/>
      <c r="DI185" s="69"/>
      <c r="EG185" s="69"/>
      <c r="ER185" s="69"/>
      <c r="ES185" s="90"/>
      <c r="ET185" s="90"/>
      <c r="EU185" s="90"/>
      <c r="EV185" s="90"/>
      <c r="FQ185" s="677"/>
      <c r="FR185" s="677"/>
      <c r="FS185" s="677"/>
      <c r="FT185" s="677"/>
      <c r="FU185" s="677"/>
      <c r="FV185" s="677"/>
      <c r="FW185" s="69"/>
      <c r="GH185" s="69"/>
      <c r="GU185" s="69"/>
      <c r="HH185" s="90"/>
      <c r="HI185" s="67"/>
      <c r="IQ185" s="90"/>
      <c r="IR185" s="69"/>
      <c r="JH185" s="69"/>
      <c r="JI185" s="90"/>
      <c r="KB185" s="69"/>
      <c r="KC185" s="90"/>
      <c r="KD185" s="90"/>
      <c r="KE185" s="90"/>
      <c r="KF185" s="90"/>
      <c r="KU185" s="69"/>
      <c r="KV185" s="90"/>
      <c r="NU185" s="69"/>
      <c r="NV185" s="90"/>
      <c r="NW185" s="90"/>
      <c r="NX185" s="90"/>
      <c r="NY185" s="90"/>
      <c r="NZ185" s="90"/>
      <c r="OA185" s="90"/>
      <c r="OB185" s="90"/>
      <c r="OC185" s="90"/>
      <c r="OD185" s="90"/>
      <c r="OE185" s="90"/>
      <c r="OF185" s="90"/>
      <c r="OG185" s="90"/>
      <c r="OH185" s="90"/>
      <c r="OO185" s="69"/>
      <c r="OP185" s="90"/>
      <c r="OQ185" s="90"/>
      <c r="OR185" s="90"/>
      <c r="OS185" s="90"/>
      <c r="OT185" s="90"/>
      <c r="OU185" s="90"/>
      <c r="OV185" s="90"/>
      <c r="OW185" s="90"/>
      <c r="OX185" s="90"/>
      <c r="OY185" s="90"/>
      <c r="OZ185" s="90"/>
      <c r="PA185" s="90"/>
      <c r="PB185" s="90"/>
      <c r="PC185" s="90"/>
      <c r="PD185" s="90"/>
      <c r="PE185" s="90"/>
      <c r="PF185" s="90"/>
      <c r="PG185" s="69"/>
    </row>
    <row r="186" spans="1:423" hidden="1">
      <c r="A186" s="71"/>
      <c r="B186" s="71"/>
      <c r="C186" s="91"/>
      <c r="D186" s="69"/>
      <c r="E186" s="74"/>
      <c r="F186" s="74"/>
      <c r="I186" s="90"/>
      <c r="J186" s="90"/>
      <c r="K186" s="90"/>
      <c r="L186" s="90"/>
      <c r="M186" s="90"/>
      <c r="N186" s="96"/>
      <c r="O186" s="74"/>
      <c r="P186" s="74"/>
      <c r="R186" s="90"/>
      <c r="S186" s="90"/>
      <c r="T186" s="90"/>
      <c r="U186" s="90"/>
      <c r="V186" s="90"/>
      <c r="W186" s="90"/>
      <c r="X186" s="90"/>
      <c r="Y186" s="69"/>
      <c r="Z186" s="90"/>
      <c r="AA186" s="90"/>
      <c r="AB186" s="90"/>
      <c r="AC186" s="90"/>
      <c r="AH186" s="69"/>
      <c r="AM186" s="90"/>
      <c r="AQ186" s="680"/>
      <c r="AR186" s="90"/>
      <c r="AS186" s="69"/>
      <c r="AT186" s="90"/>
      <c r="AU186" s="90"/>
      <c r="AV186" s="90"/>
      <c r="AW186" s="90"/>
      <c r="AX186" s="90"/>
      <c r="AY186" s="90"/>
      <c r="AZ186" s="90"/>
      <c r="BA186" s="90"/>
      <c r="BB186" s="90"/>
      <c r="BC186" s="90"/>
      <c r="BD186" s="90"/>
      <c r="BE186" s="90"/>
      <c r="BF186" s="148"/>
      <c r="BG186" s="417"/>
      <c r="BH186" s="71"/>
      <c r="BI186" s="255"/>
      <c r="BJ186" s="71"/>
      <c r="BK186" s="71"/>
      <c r="BL186" s="71"/>
      <c r="BM186" s="255"/>
      <c r="BN186" s="71"/>
      <c r="BO186" s="71"/>
      <c r="BP186" s="148"/>
      <c r="BQ186" s="71"/>
      <c r="BR186" s="71"/>
      <c r="CC186" s="69"/>
      <c r="CD186" s="90"/>
      <c r="CI186" s="148"/>
      <c r="CZ186" s="69"/>
      <c r="DA186" s="90"/>
      <c r="DI186" s="69"/>
      <c r="EG186" s="69"/>
      <c r="ER186" s="69"/>
      <c r="ES186" s="90"/>
      <c r="ET186" s="90"/>
      <c r="EU186" s="90"/>
      <c r="EV186" s="90"/>
      <c r="FQ186" s="677"/>
      <c r="FR186" s="677"/>
      <c r="FS186" s="677"/>
      <c r="FT186" s="677"/>
      <c r="FU186" s="677"/>
      <c r="FV186" s="677"/>
      <c r="FW186" s="69"/>
      <c r="GH186" s="69"/>
      <c r="GU186" s="69"/>
      <c r="HH186" s="90"/>
      <c r="HI186" s="67"/>
      <c r="IQ186" s="90"/>
      <c r="IR186" s="69"/>
      <c r="JH186" s="69"/>
      <c r="JI186" s="90"/>
      <c r="KB186" s="69"/>
      <c r="KC186" s="90"/>
      <c r="KD186" s="90"/>
      <c r="KE186" s="90"/>
      <c r="KF186" s="90"/>
      <c r="KU186" s="69"/>
      <c r="KV186" s="90"/>
      <c r="NU186" s="69"/>
      <c r="NV186" s="90"/>
      <c r="NW186" s="90"/>
      <c r="NX186" s="90"/>
      <c r="NY186" s="90"/>
      <c r="NZ186" s="90"/>
      <c r="OA186" s="90"/>
      <c r="OB186" s="90"/>
      <c r="OC186" s="90"/>
      <c r="OD186" s="90"/>
      <c r="OE186" s="90"/>
      <c r="OF186" s="90"/>
      <c r="OG186" s="90"/>
      <c r="OH186" s="90"/>
      <c r="OO186" s="69"/>
      <c r="OP186" s="90"/>
      <c r="OQ186" s="90"/>
      <c r="OR186" s="90"/>
      <c r="OS186" s="90"/>
      <c r="OT186" s="90"/>
      <c r="OU186" s="90"/>
      <c r="OV186" s="90"/>
      <c r="OW186" s="90"/>
      <c r="OX186" s="90"/>
      <c r="OY186" s="90"/>
      <c r="OZ186" s="90"/>
      <c r="PA186" s="90"/>
      <c r="PB186" s="90"/>
      <c r="PC186" s="90"/>
      <c r="PD186" s="90"/>
      <c r="PE186" s="90"/>
      <c r="PF186" s="90"/>
      <c r="PG186" s="69"/>
    </row>
    <row r="187" spans="1:423" hidden="1">
      <c r="A187" s="71"/>
      <c r="B187" s="71"/>
      <c r="C187" s="91"/>
      <c r="D187" s="69"/>
      <c r="E187" s="74"/>
      <c r="F187" s="74"/>
      <c r="I187" s="90"/>
      <c r="J187" s="90"/>
      <c r="K187" s="90"/>
      <c r="L187" s="90"/>
      <c r="M187" s="90"/>
      <c r="N187" s="96"/>
      <c r="O187" s="74"/>
      <c r="P187" s="74"/>
      <c r="R187" s="90"/>
      <c r="S187" s="90"/>
      <c r="T187" s="90"/>
      <c r="U187" s="90"/>
      <c r="V187" s="90"/>
      <c r="W187" s="90"/>
      <c r="X187" s="90"/>
      <c r="Y187" s="69"/>
      <c r="Z187" s="90"/>
      <c r="AA187" s="90"/>
      <c r="AB187" s="90"/>
      <c r="AC187" s="90"/>
      <c r="AH187" s="69"/>
      <c r="AM187" s="90"/>
      <c r="AQ187" s="680"/>
      <c r="AR187" s="90"/>
      <c r="AS187" s="69"/>
      <c r="AT187" s="90"/>
      <c r="AU187" s="90"/>
      <c r="AV187" s="90"/>
      <c r="AW187" s="90"/>
      <c r="AX187" s="90"/>
      <c r="AY187" s="90"/>
      <c r="AZ187" s="90"/>
      <c r="BA187" s="90"/>
      <c r="BB187" s="90"/>
      <c r="BC187" s="90"/>
      <c r="BD187" s="90"/>
      <c r="BE187" s="90"/>
      <c r="BF187" s="148"/>
      <c r="BG187" s="417"/>
      <c r="BH187" s="71"/>
      <c r="BI187" s="255"/>
      <c r="BJ187" s="71"/>
      <c r="BK187" s="71"/>
      <c r="BL187" s="71"/>
      <c r="BM187" s="255"/>
      <c r="BN187" s="71"/>
      <c r="BO187" s="71"/>
      <c r="BP187" s="148"/>
      <c r="BQ187" s="71"/>
      <c r="BR187" s="71"/>
      <c r="CC187" s="69"/>
      <c r="CD187" s="90"/>
      <c r="CI187" s="148"/>
      <c r="CZ187" s="69"/>
      <c r="DA187" s="90"/>
      <c r="DI187" s="69"/>
      <c r="EG187" s="69"/>
      <c r="ER187" s="69"/>
      <c r="ES187" s="90"/>
      <c r="ET187" s="90"/>
      <c r="EU187" s="90"/>
      <c r="EV187" s="90"/>
      <c r="FQ187" s="677"/>
      <c r="FR187" s="677"/>
      <c r="FS187" s="677"/>
      <c r="FT187" s="677"/>
      <c r="FU187" s="677"/>
      <c r="FV187" s="677"/>
      <c r="FW187" s="69"/>
      <c r="GH187" s="69"/>
      <c r="GU187" s="69"/>
      <c r="HH187" s="90"/>
      <c r="HI187" s="67"/>
      <c r="IQ187" s="90"/>
      <c r="IR187" s="69"/>
      <c r="JH187" s="69"/>
      <c r="JI187" s="90"/>
      <c r="KB187" s="69"/>
      <c r="KC187" s="90"/>
      <c r="KD187" s="90"/>
      <c r="KE187" s="90"/>
      <c r="KF187" s="90"/>
      <c r="KU187" s="69"/>
      <c r="KV187" s="90"/>
      <c r="NU187" s="69"/>
      <c r="NV187" s="90"/>
      <c r="NW187" s="90"/>
      <c r="NX187" s="90"/>
      <c r="NY187" s="90"/>
      <c r="NZ187" s="90"/>
      <c r="OA187" s="90"/>
      <c r="OB187" s="90"/>
      <c r="OC187" s="90"/>
      <c r="OD187" s="90"/>
      <c r="OE187" s="90"/>
      <c r="OF187" s="90"/>
      <c r="OG187" s="90"/>
      <c r="OH187" s="90"/>
      <c r="OO187" s="69"/>
      <c r="OP187" s="90"/>
      <c r="OQ187" s="90"/>
      <c r="OR187" s="90"/>
      <c r="OS187" s="90"/>
      <c r="OT187" s="90"/>
      <c r="OU187" s="90"/>
      <c r="OV187" s="90"/>
      <c r="OW187" s="90"/>
      <c r="OX187" s="90"/>
      <c r="OY187" s="90"/>
      <c r="OZ187" s="90"/>
      <c r="PA187" s="90"/>
      <c r="PB187" s="90"/>
      <c r="PC187" s="90"/>
      <c r="PD187" s="90"/>
      <c r="PE187" s="90"/>
      <c r="PF187" s="90"/>
      <c r="PG187" s="69"/>
    </row>
    <row r="188" spans="1:423" hidden="1">
      <c r="A188" s="71"/>
      <c r="B188" s="71"/>
      <c r="C188" s="91"/>
      <c r="D188" s="69"/>
      <c r="E188" s="74"/>
      <c r="F188" s="74"/>
      <c r="I188" s="90"/>
      <c r="J188" s="90"/>
      <c r="K188" s="90"/>
      <c r="L188" s="90"/>
      <c r="M188" s="90"/>
      <c r="N188" s="96"/>
      <c r="O188" s="74"/>
      <c r="P188" s="74"/>
      <c r="R188" s="90"/>
      <c r="S188" s="90"/>
      <c r="T188" s="90"/>
      <c r="U188" s="90"/>
      <c r="V188" s="90"/>
      <c r="W188" s="90"/>
      <c r="X188" s="90"/>
      <c r="Y188" s="69"/>
      <c r="Z188" s="90"/>
      <c r="AA188" s="90"/>
      <c r="AB188" s="90"/>
      <c r="AC188" s="90"/>
      <c r="AH188" s="69"/>
      <c r="AM188" s="90"/>
      <c r="AQ188" s="680"/>
      <c r="AR188" s="90"/>
      <c r="AS188" s="69"/>
      <c r="AT188" s="90"/>
      <c r="AU188" s="90"/>
      <c r="AV188" s="90"/>
      <c r="AW188" s="90"/>
      <c r="AX188" s="90"/>
      <c r="AY188" s="90"/>
      <c r="AZ188" s="90"/>
      <c r="BA188" s="90"/>
      <c r="BB188" s="90"/>
      <c r="BC188" s="90"/>
      <c r="BD188" s="90"/>
      <c r="BE188" s="90"/>
      <c r="BF188" s="148"/>
      <c r="BG188" s="417"/>
      <c r="BH188" s="71"/>
      <c r="BI188" s="255"/>
      <c r="BJ188" s="71"/>
      <c r="BK188" s="71"/>
      <c r="BL188" s="71"/>
      <c r="BM188" s="255"/>
      <c r="BN188" s="71"/>
      <c r="BO188" s="71"/>
      <c r="BP188" s="148"/>
      <c r="BQ188" s="71"/>
      <c r="BR188" s="71"/>
      <c r="CC188" s="69"/>
      <c r="CD188" s="90"/>
      <c r="CI188" s="148"/>
      <c r="CZ188" s="69"/>
      <c r="DA188" s="90"/>
      <c r="DI188" s="69"/>
      <c r="EG188" s="69"/>
      <c r="ER188" s="69"/>
      <c r="ES188" s="90"/>
      <c r="ET188" s="90"/>
      <c r="EU188" s="90"/>
      <c r="EV188" s="90"/>
      <c r="FQ188" s="677"/>
      <c r="FR188" s="677"/>
      <c r="FS188" s="677"/>
      <c r="FT188" s="677"/>
      <c r="FU188" s="677"/>
      <c r="FV188" s="677"/>
      <c r="FW188" s="69"/>
      <c r="GH188" s="69"/>
      <c r="GU188" s="69"/>
      <c r="HH188" s="90"/>
      <c r="HI188" s="67"/>
      <c r="IQ188" s="90"/>
      <c r="IR188" s="69"/>
      <c r="JH188" s="69"/>
      <c r="JI188" s="90"/>
      <c r="KB188" s="69"/>
      <c r="KC188" s="90"/>
      <c r="KD188" s="90"/>
      <c r="KE188" s="90"/>
      <c r="KF188" s="90"/>
      <c r="KU188" s="69"/>
      <c r="KV188" s="90"/>
      <c r="NU188" s="69"/>
      <c r="NV188" s="90"/>
      <c r="NW188" s="90"/>
      <c r="NX188" s="90"/>
      <c r="NY188" s="90"/>
      <c r="NZ188" s="90"/>
      <c r="OA188" s="90"/>
      <c r="OB188" s="90"/>
      <c r="OC188" s="90"/>
      <c r="OD188" s="90"/>
      <c r="OE188" s="90"/>
      <c r="OF188" s="90"/>
      <c r="OG188" s="90"/>
      <c r="OH188" s="90"/>
      <c r="OO188" s="69"/>
      <c r="OP188" s="90"/>
      <c r="OQ188" s="90"/>
      <c r="OR188" s="90"/>
      <c r="OS188" s="90"/>
      <c r="OT188" s="90"/>
      <c r="OU188" s="90"/>
      <c r="OV188" s="90"/>
      <c r="OW188" s="90"/>
      <c r="OX188" s="90"/>
      <c r="OY188" s="90"/>
      <c r="OZ188" s="90"/>
      <c r="PA188" s="90"/>
      <c r="PB188" s="90"/>
      <c r="PC188" s="90"/>
      <c r="PD188" s="90"/>
      <c r="PE188" s="90"/>
      <c r="PF188" s="90"/>
      <c r="PG188" s="69"/>
    </row>
    <row r="189" spans="1:423" hidden="1">
      <c r="A189" s="71"/>
      <c r="B189" s="71"/>
      <c r="C189" s="91"/>
      <c r="D189" s="69"/>
      <c r="E189" s="74"/>
      <c r="F189" s="74"/>
      <c r="I189" s="90"/>
      <c r="J189" s="90"/>
      <c r="K189" s="90"/>
      <c r="L189" s="90"/>
      <c r="M189" s="90"/>
      <c r="N189" s="96"/>
      <c r="O189" s="74"/>
      <c r="P189" s="74"/>
      <c r="R189" s="90"/>
      <c r="S189" s="90"/>
      <c r="T189" s="90"/>
      <c r="U189" s="90"/>
      <c r="V189" s="90"/>
      <c r="W189" s="90"/>
      <c r="X189" s="90"/>
      <c r="Y189" s="69"/>
      <c r="Z189" s="90"/>
      <c r="AA189" s="90"/>
      <c r="AB189" s="90"/>
      <c r="AC189" s="90"/>
      <c r="AH189" s="69"/>
      <c r="AM189" s="90"/>
      <c r="AQ189" s="680"/>
      <c r="AR189" s="90"/>
      <c r="AS189" s="69"/>
      <c r="AT189" s="90"/>
      <c r="AU189" s="90"/>
      <c r="AV189" s="90"/>
      <c r="AW189" s="90"/>
      <c r="AX189" s="90"/>
      <c r="AY189" s="90"/>
      <c r="AZ189" s="90"/>
      <c r="BA189" s="90"/>
      <c r="BB189" s="90"/>
      <c r="BC189" s="90"/>
      <c r="BD189" s="90"/>
      <c r="BE189" s="90"/>
      <c r="BF189" s="148"/>
      <c r="BG189" s="417"/>
      <c r="BH189" s="71"/>
      <c r="BI189" s="255"/>
      <c r="BJ189" s="71"/>
      <c r="BK189" s="71"/>
      <c r="BL189" s="71"/>
      <c r="BM189" s="255"/>
      <c r="BN189" s="71"/>
      <c r="BO189" s="71"/>
      <c r="BP189" s="148"/>
      <c r="BQ189" s="71"/>
      <c r="BR189" s="71"/>
      <c r="CC189" s="69"/>
      <c r="CD189" s="90"/>
      <c r="CI189" s="148"/>
      <c r="CZ189" s="69"/>
      <c r="DA189" s="90"/>
      <c r="DI189" s="69"/>
      <c r="EG189" s="69"/>
      <c r="ER189" s="69"/>
      <c r="ES189" s="90"/>
      <c r="ET189" s="90"/>
      <c r="EU189" s="90"/>
      <c r="EV189" s="90"/>
      <c r="FQ189" s="677"/>
      <c r="FR189" s="677"/>
      <c r="FS189" s="677"/>
      <c r="FT189" s="677"/>
      <c r="FU189" s="677"/>
      <c r="FV189" s="677"/>
      <c r="FW189" s="69"/>
      <c r="GH189" s="69"/>
      <c r="GU189" s="69"/>
      <c r="HH189" s="90"/>
      <c r="HI189" s="67"/>
      <c r="IQ189" s="90"/>
      <c r="IR189" s="69"/>
      <c r="JH189" s="69"/>
      <c r="JI189" s="90"/>
      <c r="KB189" s="69"/>
      <c r="KC189" s="90"/>
      <c r="KD189" s="90"/>
      <c r="KE189" s="90"/>
      <c r="KF189" s="90"/>
      <c r="KU189" s="69"/>
      <c r="KV189" s="90"/>
      <c r="NU189" s="69"/>
      <c r="NV189" s="90"/>
      <c r="NW189" s="90"/>
      <c r="NX189" s="90"/>
      <c r="NY189" s="90"/>
      <c r="NZ189" s="90"/>
      <c r="OA189" s="90"/>
      <c r="OB189" s="90"/>
      <c r="OC189" s="90"/>
      <c r="OD189" s="90"/>
      <c r="OE189" s="90"/>
      <c r="OF189" s="90"/>
      <c r="OG189" s="90"/>
      <c r="OH189" s="90"/>
      <c r="OO189" s="69"/>
      <c r="OP189" s="90"/>
      <c r="OQ189" s="90"/>
      <c r="OR189" s="90"/>
      <c r="OS189" s="90"/>
      <c r="OT189" s="90"/>
      <c r="OU189" s="90"/>
      <c r="OV189" s="90"/>
      <c r="OW189" s="90"/>
      <c r="OX189" s="90"/>
      <c r="OY189" s="90"/>
      <c r="OZ189" s="90"/>
      <c r="PA189" s="90"/>
      <c r="PB189" s="90"/>
      <c r="PC189" s="90"/>
      <c r="PD189" s="90"/>
      <c r="PE189" s="90"/>
      <c r="PF189" s="90"/>
      <c r="PG189" s="69"/>
    </row>
    <row r="190" spans="1:423" hidden="1">
      <c r="A190" s="71"/>
      <c r="B190" s="71"/>
      <c r="C190" s="91"/>
      <c r="D190" s="69"/>
      <c r="E190" s="74"/>
      <c r="F190" s="74"/>
      <c r="I190" s="90"/>
      <c r="J190" s="90"/>
      <c r="K190" s="90"/>
      <c r="L190" s="90"/>
      <c r="M190" s="90"/>
      <c r="N190" s="96"/>
      <c r="O190" s="74"/>
      <c r="P190" s="74"/>
      <c r="R190" s="90"/>
      <c r="S190" s="90"/>
      <c r="T190" s="90"/>
      <c r="U190" s="90"/>
      <c r="V190" s="90"/>
      <c r="W190" s="90"/>
      <c r="X190" s="90"/>
      <c r="Y190" s="69"/>
      <c r="Z190" s="90"/>
      <c r="AA190" s="90"/>
      <c r="AB190" s="90"/>
      <c r="AC190" s="90"/>
      <c r="AH190" s="69"/>
      <c r="AM190" s="90"/>
      <c r="AQ190" s="680"/>
      <c r="AR190" s="90"/>
      <c r="AS190" s="69"/>
      <c r="AT190" s="90"/>
      <c r="AU190" s="90"/>
      <c r="AV190" s="90"/>
      <c r="AW190" s="90"/>
      <c r="AX190" s="90"/>
      <c r="AY190" s="90"/>
      <c r="AZ190" s="90"/>
      <c r="BA190" s="90"/>
      <c r="BB190" s="90"/>
      <c r="BC190" s="90"/>
      <c r="BD190" s="90"/>
      <c r="BE190" s="90"/>
      <c r="BF190" s="148"/>
      <c r="BG190" s="417"/>
      <c r="BH190" s="71"/>
      <c r="BI190" s="255"/>
      <c r="BJ190" s="71"/>
      <c r="BK190" s="71"/>
      <c r="BL190" s="71"/>
      <c r="BM190" s="255"/>
      <c r="BN190" s="71"/>
      <c r="BO190" s="71"/>
      <c r="BP190" s="148"/>
      <c r="BQ190" s="71"/>
      <c r="BR190" s="71"/>
      <c r="CC190" s="69"/>
      <c r="CD190" s="90"/>
      <c r="CI190" s="148"/>
      <c r="CZ190" s="69"/>
      <c r="DA190" s="90"/>
      <c r="DI190" s="69"/>
      <c r="EG190" s="69"/>
      <c r="ER190" s="69"/>
      <c r="ES190" s="90"/>
      <c r="ET190" s="90"/>
      <c r="EU190" s="90"/>
      <c r="EV190" s="90"/>
      <c r="FQ190" s="677"/>
      <c r="FR190" s="677"/>
      <c r="FS190" s="677"/>
      <c r="FT190" s="677"/>
      <c r="FU190" s="677"/>
      <c r="FV190" s="677"/>
      <c r="FW190" s="69"/>
      <c r="GH190" s="69"/>
      <c r="GU190" s="69"/>
      <c r="HH190" s="90"/>
      <c r="HI190" s="67"/>
      <c r="IQ190" s="90"/>
      <c r="IR190" s="69"/>
      <c r="JH190" s="69"/>
      <c r="JI190" s="90"/>
      <c r="KB190" s="69"/>
      <c r="KC190" s="90"/>
      <c r="KD190" s="90"/>
      <c r="KE190" s="90"/>
      <c r="KF190" s="90"/>
      <c r="KU190" s="69"/>
      <c r="KV190" s="90"/>
      <c r="NU190" s="69"/>
      <c r="NV190" s="90"/>
      <c r="NW190" s="90"/>
      <c r="NX190" s="90"/>
      <c r="NY190" s="90"/>
      <c r="NZ190" s="90"/>
      <c r="OA190" s="90"/>
      <c r="OB190" s="90"/>
      <c r="OC190" s="90"/>
      <c r="OD190" s="90"/>
      <c r="OE190" s="90"/>
      <c r="OF190" s="90"/>
      <c r="OG190" s="90"/>
      <c r="OH190" s="90"/>
      <c r="OO190" s="69"/>
      <c r="OP190" s="90"/>
      <c r="OQ190" s="90"/>
      <c r="OR190" s="90"/>
      <c r="OS190" s="90"/>
      <c r="OT190" s="90"/>
      <c r="OU190" s="90"/>
      <c r="OV190" s="90"/>
      <c r="OW190" s="90"/>
      <c r="OX190" s="90"/>
      <c r="OY190" s="90"/>
      <c r="OZ190" s="90"/>
      <c r="PA190" s="90"/>
      <c r="PB190" s="90"/>
      <c r="PC190" s="90"/>
      <c r="PD190" s="90"/>
      <c r="PE190" s="90"/>
      <c r="PF190" s="90"/>
      <c r="PG190" s="69"/>
    </row>
    <row r="191" spans="1:423" hidden="1">
      <c r="A191" s="71"/>
      <c r="B191" s="71"/>
      <c r="C191" s="91"/>
      <c r="D191" s="69"/>
      <c r="E191" s="74"/>
      <c r="F191" s="74"/>
      <c r="I191" s="90"/>
      <c r="J191" s="90"/>
      <c r="K191" s="90"/>
      <c r="L191" s="90"/>
      <c r="M191" s="90"/>
      <c r="N191" s="96"/>
      <c r="O191" s="74"/>
      <c r="P191" s="74"/>
      <c r="R191" s="90"/>
      <c r="S191" s="90"/>
      <c r="T191" s="90"/>
      <c r="U191" s="90"/>
      <c r="V191" s="90"/>
      <c r="W191" s="90"/>
      <c r="X191" s="90"/>
      <c r="Y191" s="69"/>
      <c r="Z191" s="90"/>
      <c r="AA191" s="90"/>
      <c r="AB191" s="90"/>
      <c r="AC191" s="90"/>
      <c r="AH191" s="69"/>
      <c r="AM191" s="90"/>
      <c r="AQ191" s="680"/>
      <c r="AR191" s="90"/>
      <c r="AS191" s="69"/>
      <c r="AT191" s="90"/>
      <c r="AU191" s="90"/>
      <c r="AV191" s="90"/>
      <c r="AW191" s="90"/>
      <c r="AX191" s="90"/>
      <c r="AY191" s="90"/>
      <c r="AZ191" s="90"/>
      <c r="BA191" s="90"/>
      <c r="BB191" s="90"/>
      <c r="BC191" s="90"/>
      <c r="BD191" s="90"/>
      <c r="BE191" s="90"/>
      <c r="BF191" s="148"/>
      <c r="BG191" s="417"/>
      <c r="BH191" s="71"/>
      <c r="BI191" s="255"/>
      <c r="BJ191" s="71"/>
      <c r="BK191" s="71"/>
      <c r="BL191" s="71"/>
      <c r="BM191" s="255"/>
      <c r="BN191" s="71"/>
      <c r="BO191" s="71"/>
      <c r="BP191" s="148"/>
      <c r="BQ191" s="71"/>
      <c r="BR191" s="71"/>
      <c r="CC191" s="69"/>
      <c r="CD191" s="90"/>
      <c r="CI191" s="148"/>
      <c r="CZ191" s="69"/>
      <c r="DA191" s="90"/>
      <c r="DI191" s="69"/>
      <c r="EG191" s="69"/>
      <c r="ER191" s="69"/>
      <c r="ES191" s="90"/>
      <c r="ET191" s="90"/>
      <c r="EU191" s="90"/>
      <c r="EV191" s="90"/>
      <c r="FQ191" s="677"/>
      <c r="FR191" s="677"/>
      <c r="FS191" s="677"/>
      <c r="FT191" s="677"/>
      <c r="FU191" s="677"/>
      <c r="FV191" s="677"/>
      <c r="FW191" s="69"/>
      <c r="GH191" s="69"/>
      <c r="GU191" s="69"/>
      <c r="HH191" s="90"/>
      <c r="HI191" s="67"/>
      <c r="IQ191" s="90"/>
      <c r="IR191" s="69"/>
      <c r="JH191" s="69"/>
      <c r="JI191" s="90"/>
      <c r="KB191" s="69"/>
      <c r="KC191" s="90"/>
      <c r="KD191" s="90"/>
      <c r="KE191" s="90"/>
      <c r="KF191" s="90"/>
      <c r="KU191" s="69"/>
      <c r="KV191" s="90"/>
      <c r="NU191" s="69"/>
      <c r="NV191" s="90"/>
      <c r="NW191" s="90"/>
      <c r="NX191" s="90"/>
      <c r="NY191" s="90"/>
      <c r="NZ191" s="90"/>
      <c r="OA191" s="90"/>
      <c r="OB191" s="90"/>
      <c r="OC191" s="90"/>
      <c r="OD191" s="90"/>
      <c r="OE191" s="90"/>
      <c r="OF191" s="90"/>
      <c r="OG191" s="90"/>
      <c r="OH191" s="90"/>
      <c r="OO191" s="69"/>
      <c r="OP191" s="90"/>
      <c r="OQ191" s="90"/>
      <c r="OR191" s="90"/>
      <c r="OS191" s="90"/>
      <c r="OT191" s="90"/>
      <c r="OU191" s="90"/>
      <c r="OV191" s="90"/>
      <c r="OW191" s="90"/>
      <c r="OX191" s="90"/>
      <c r="OY191" s="90"/>
      <c r="OZ191" s="90"/>
      <c r="PA191" s="90"/>
      <c r="PB191" s="90"/>
      <c r="PC191" s="90"/>
      <c r="PD191" s="90"/>
      <c r="PE191" s="90"/>
      <c r="PF191" s="90"/>
      <c r="PG191" s="69"/>
    </row>
    <row r="192" spans="1:423">
      <c r="A192" s="71">
        <v>2010</v>
      </c>
      <c r="B192" s="71" t="s">
        <v>954</v>
      </c>
      <c r="C192" s="91"/>
      <c r="D192" s="69"/>
      <c r="E192" s="147">
        <f>AVERAGE(E102:E111)</f>
        <v>0.13728998352284463</v>
      </c>
      <c r="F192" s="93"/>
      <c r="I192" s="90"/>
      <c r="J192" s="90"/>
      <c r="K192" s="90"/>
      <c r="L192" s="90"/>
      <c r="M192" s="90"/>
      <c r="N192" s="147">
        <f>AVERAGE(N102:N111)</f>
        <v>0.32804959570737618</v>
      </c>
      <c r="O192" s="93"/>
      <c r="P192" s="93"/>
      <c r="R192" s="90"/>
      <c r="S192" s="90"/>
      <c r="T192" s="90"/>
      <c r="U192" s="90"/>
      <c r="V192" s="90"/>
      <c r="W192" s="90"/>
      <c r="X192" s="90"/>
      <c r="Y192" s="69"/>
      <c r="Z192" s="90"/>
      <c r="AA192" s="90"/>
      <c r="AB192" s="90"/>
      <c r="AC192" s="90"/>
      <c r="AH192" s="69"/>
      <c r="AM192" s="90"/>
      <c r="AQ192" s="93">
        <f>AVERAGE(AQ102:AQ111)</f>
        <v>0.10634176800687116</v>
      </c>
      <c r="AR192" s="90"/>
      <c r="AS192" s="69"/>
      <c r="AT192" s="90"/>
      <c r="AU192" s="90"/>
      <c r="AV192" s="90"/>
      <c r="AW192" s="90"/>
      <c r="AX192" s="90"/>
      <c r="AY192" s="90"/>
      <c r="AZ192" s="90"/>
      <c r="BA192" s="90"/>
      <c r="BB192" s="90"/>
      <c r="BC192" s="90"/>
      <c r="BD192" s="90"/>
      <c r="BE192" s="90"/>
      <c r="BF192" s="147">
        <f>AVERAGE(BF102:BF111)</f>
        <v>0.33444444444444449</v>
      </c>
      <c r="BG192" s="93"/>
      <c r="BH192" s="101">
        <f>AVERAGE(BH102:BH111)</f>
        <v>0.15778524356193233</v>
      </c>
      <c r="BI192" s="254">
        <f>AVERAGE(BI102:BI111)</f>
        <v>0.19057884869461914</v>
      </c>
      <c r="BJ192" s="101">
        <f>AVERAGE(BJ102:BJ111)</f>
        <v>0.14078897029015017</v>
      </c>
      <c r="BK192" s="101">
        <f>AVERAGE(BK102:BK111)</f>
        <v>0.1973140242114213</v>
      </c>
      <c r="BL192" s="101"/>
      <c r="BM192" s="254">
        <f>AVERAGE(BM102:BM111)</f>
        <v>0.22256819225637164</v>
      </c>
      <c r="BN192" s="101">
        <f>AVERAGE(BN102:BN111)</f>
        <v>0.21333473214476367</v>
      </c>
      <c r="BO192" s="101">
        <f>AVERAGE(BO102:BO111)</f>
        <v>0.17306162599585034</v>
      </c>
      <c r="BP192" s="147"/>
      <c r="BQ192" s="101"/>
      <c r="BR192" s="101"/>
      <c r="CC192" s="69"/>
      <c r="CD192" s="90"/>
      <c r="CH192" s="94">
        <f>AVERAGE(CH102:CH111)</f>
        <v>0.67905882781604809</v>
      </c>
      <c r="CI192" s="727">
        <f>CH192*N192</f>
        <v>0.22276497392657935</v>
      </c>
      <c r="CZ192" s="69"/>
      <c r="DA192" s="90"/>
      <c r="DI192" s="69"/>
      <c r="EG192" s="69"/>
      <c r="ER192" s="69"/>
      <c r="ES192" s="90"/>
      <c r="ET192" s="90"/>
      <c r="EU192" s="90"/>
      <c r="EV192" s="90"/>
      <c r="FQ192" s="681">
        <f>AVERAGE(FQ102:FQ111)</f>
        <v>0.19084906170305535</v>
      </c>
      <c r="FR192" s="681">
        <f>AVERAGE(FR102:FR111)</f>
        <v>0.13720053400432089</v>
      </c>
      <c r="FS192" s="681">
        <f>AVERAGE(FS102:FS111)</f>
        <v>2.6178679984787619E-2</v>
      </c>
      <c r="FT192" s="681"/>
      <c r="FU192" s="681"/>
      <c r="FV192" s="681">
        <f>AVERAGE(FV102:FV111)</f>
        <v>1.8861177815116918E-2</v>
      </c>
      <c r="FW192" s="69"/>
      <c r="GH192" s="69"/>
      <c r="GU192" s="69"/>
      <c r="HH192" s="90"/>
      <c r="HI192" s="67"/>
      <c r="IQ192" s="90"/>
      <c r="IR192" s="69"/>
      <c r="JH192" s="69"/>
      <c r="JI192" s="90"/>
      <c r="KB192" s="69"/>
      <c r="KC192" s="90"/>
      <c r="KD192" s="90"/>
      <c r="KE192" s="90"/>
      <c r="KF192" s="90"/>
      <c r="KU192" s="69"/>
      <c r="KV192" s="90"/>
      <c r="NU192" s="147">
        <f>AVERAGE(NU102:NU111)</f>
        <v>7.9389404807066175E-2</v>
      </c>
      <c r="NV192" s="93">
        <f>AVERAGE(NV102:NV111)</f>
        <v>8.4224337135506547E-2</v>
      </c>
      <c r="NW192" s="93">
        <f>AVERAGE(NW102:NW111)</f>
        <v>9.8160942635286824E-2</v>
      </c>
      <c r="NX192" s="93"/>
      <c r="NY192" s="93">
        <f>AVERAGE(NY102:NY111)</f>
        <v>3.3852709982057715E-2</v>
      </c>
      <c r="NZ192" s="93">
        <f>AVERAGE(NZ102:NZ111)</f>
        <v>4.7670985064410101E-2</v>
      </c>
      <c r="OA192" s="93"/>
      <c r="OB192" s="93"/>
      <c r="OC192" s="93"/>
      <c r="OD192" s="93"/>
      <c r="OE192" s="93"/>
      <c r="OF192" s="93"/>
      <c r="OG192" s="93"/>
      <c r="OH192" s="93"/>
      <c r="OO192" s="147">
        <f t="shared" ref="OO192:PA192" si="538">AVERAGE(OO102:OO111)</f>
        <v>8.785552997786221E-2</v>
      </c>
      <c r="OP192" s="93"/>
      <c r="OQ192" s="93"/>
      <c r="OR192" s="93"/>
      <c r="OS192" s="93">
        <f t="shared" si="538"/>
        <v>0.15009650298477947</v>
      </c>
      <c r="OT192" s="93">
        <f t="shared" si="538"/>
        <v>9.8060165286161419E-2</v>
      </c>
      <c r="OU192" s="93">
        <f t="shared" si="538"/>
        <v>7.2334507165885228E-2</v>
      </c>
      <c r="OV192" s="93">
        <f t="shared" si="538"/>
        <v>0.1377964937370125</v>
      </c>
      <c r="OW192" s="93">
        <f t="shared" si="538"/>
        <v>8.7876335572237854E-2</v>
      </c>
      <c r="OX192" s="93">
        <f t="shared" si="538"/>
        <v>9.1302690308005321E-2</v>
      </c>
      <c r="OY192" s="93">
        <f t="shared" si="538"/>
        <v>0.12401958560519517</v>
      </c>
      <c r="OZ192" s="93">
        <f t="shared" si="538"/>
        <v>0.10033888114370149</v>
      </c>
      <c r="PA192" s="93">
        <f t="shared" si="538"/>
        <v>7.6795280031566618E-2</v>
      </c>
      <c r="PB192" s="93">
        <f>AVERAGE(PB102:PB111)</f>
        <v>2.3543601112134875E-2</v>
      </c>
      <c r="PC192" s="93"/>
      <c r="PD192" s="93"/>
      <c r="PE192" s="93"/>
      <c r="PF192" s="93"/>
      <c r="PG192" s="69"/>
    </row>
    <row r="193" spans="10:423">
      <c r="J193" s="90"/>
      <c r="K193" s="90"/>
      <c r="L193" s="90"/>
      <c r="M193" s="90"/>
      <c r="O193" s="90"/>
      <c r="P193" s="90"/>
      <c r="Y193" s="69"/>
      <c r="AH193" s="69"/>
      <c r="AJ193" s="241"/>
      <c r="AK193" s="241"/>
      <c r="AM193" s="90"/>
      <c r="AQ193" s="90"/>
      <c r="AS193" s="69"/>
      <c r="BF193" s="69"/>
      <c r="BG193" s="90"/>
      <c r="CC193" s="69"/>
      <c r="CD193" s="90"/>
      <c r="CI193" s="69"/>
      <c r="CZ193" s="69"/>
      <c r="DA193" s="90"/>
      <c r="DI193" s="69"/>
      <c r="GU193" s="90"/>
      <c r="HH193" s="90"/>
      <c r="HI193" s="24"/>
      <c r="IQ193" s="90"/>
      <c r="KU193" s="69"/>
      <c r="KV193" s="90"/>
      <c r="NU193" s="69"/>
      <c r="NV193" s="90"/>
      <c r="NW193" s="90"/>
      <c r="NX193" s="90"/>
      <c r="NY193" s="90"/>
      <c r="NZ193" s="90"/>
      <c r="OA193" s="90"/>
      <c r="OB193" s="90"/>
      <c r="OC193" s="90"/>
      <c r="OD193" s="90"/>
      <c r="OE193" s="90"/>
      <c r="OF193" s="90"/>
      <c r="OG193" s="90"/>
      <c r="OH193" s="90"/>
      <c r="OO193" s="67"/>
      <c r="PG193" s="69"/>
    </row>
    <row r="194" spans="10:423">
      <c r="AH194" s="69"/>
      <c r="AJ194" s="76"/>
      <c r="AQ194" s="90"/>
      <c r="AS194" s="69"/>
      <c r="BF194" s="69"/>
      <c r="BG194" s="90"/>
      <c r="BH194" s="81"/>
      <c r="BI194" s="81"/>
      <c r="BK194" s="81"/>
      <c r="BL194" s="81"/>
      <c r="BM194" s="81"/>
      <c r="IQ194" s="90"/>
      <c r="KD194" s="71"/>
      <c r="KE194" s="900"/>
      <c r="KF194" s="900"/>
      <c r="KG194" s="340"/>
      <c r="KH194" s="340"/>
      <c r="OO194" s="67"/>
      <c r="PG194" s="69"/>
    </row>
    <row r="195" spans="10:423">
      <c r="AS195" s="69"/>
      <c r="IQ195" s="90"/>
      <c r="KD195" s="74"/>
      <c r="KE195" s="904"/>
      <c r="KF195" s="904"/>
      <c r="KG195" s="71"/>
      <c r="KH195" s="340"/>
      <c r="OO195" s="67"/>
      <c r="PG195" s="69"/>
    </row>
    <row r="196" spans="10:423">
      <c r="IQ196" s="90"/>
      <c r="KD196" s="74"/>
      <c r="KE196" s="904"/>
      <c r="KF196" s="904"/>
      <c r="KG196" s="71"/>
      <c r="KH196" s="340"/>
      <c r="PG196" s="69"/>
    </row>
    <row r="197" spans="10:423">
      <c r="KD197" s="74"/>
      <c r="KE197" s="904"/>
      <c r="KF197" s="904"/>
      <c r="KG197" s="71"/>
      <c r="KH197" s="340"/>
      <c r="PG197" s="69"/>
    </row>
    <row r="198" spans="10:423">
      <c r="KD198" s="74"/>
      <c r="KE198" s="904"/>
      <c r="KF198" s="904"/>
      <c r="KG198" s="71"/>
      <c r="KH198" s="340"/>
      <c r="PG198" s="69"/>
    </row>
    <row r="199" spans="10:423">
      <c r="KD199" s="74"/>
      <c r="KE199" s="904"/>
      <c r="KF199" s="904"/>
      <c r="KG199" s="71"/>
      <c r="KH199" s="340"/>
    </row>
    <row r="200" spans="10:423">
      <c r="KD200" s="74"/>
      <c r="KE200" s="904"/>
      <c r="KF200" s="904"/>
      <c r="KG200" s="71"/>
      <c r="KH200" s="340"/>
    </row>
    <row r="201" spans="10:423">
      <c r="KD201" s="74"/>
      <c r="KE201" s="904"/>
      <c r="KF201" s="904"/>
      <c r="KG201" s="71"/>
      <c r="KH201" s="340"/>
    </row>
    <row r="202" spans="10:423">
      <c r="KD202" s="74"/>
      <c r="KE202" s="904"/>
      <c r="KF202" s="904"/>
      <c r="KG202" s="71"/>
      <c r="KH202" s="340"/>
    </row>
    <row r="203" spans="10:423">
      <c r="KD203" s="74"/>
      <c r="KE203" s="904"/>
      <c r="KF203" s="904"/>
      <c r="KG203" s="71"/>
      <c r="KH203" s="340"/>
    </row>
    <row r="204" spans="10:423">
      <c r="KD204" s="74"/>
      <c r="KE204" s="904"/>
      <c r="KF204" s="904"/>
      <c r="KH204" s="340"/>
    </row>
    <row r="205" spans="10:423">
      <c r="KD205" s="74"/>
      <c r="KE205" s="904"/>
      <c r="KF205" s="904"/>
      <c r="KG205" s="71"/>
      <c r="KH205" s="340"/>
    </row>
    <row r="206" spans="10:423">
      <c r="KD206" s="74"/>
      <c r="KE206" s="904"/>
      <c r="KF206" s="904"/>
      <c r="KG206" s="71"/>
      <c r="KH206" s="340"/>
    </row>
    <row r="207" spans="10:423">
      <c r="KD207" s="74"/>
      <c r="KE207" s="904"/>
      <c r="KF207" s="904"/>
      <c r="KG207" s="71"/>
      <c r="KH207" s="340"/>
    </row>
    <row r="208" spans="10:423">
      <c r="KD208" s="74"/>
      <c r="KE208" s="904"/>
      <c r="KF208" s="904"/>
      <c r="KG208" s="71"/>
      <c r="KH208" s="340"/>
    </row>
    <row r="209" spans="26:417">
      <c r="Z209" s="68" t="s">
        <v>2295</v>
      </c>
      <c r="KD209" s="74"/>
      <c r="KE209" s="904"/>
      <c r="KF209" s="904"/>
      <c r="KG209" s="71"/>
      <c r="KH209" s="340"/>
    </row>
    <row r="210" spans="26:417">
      <c r="KD210" s="74"/>
      <c r="KE210" s="904"/>
      <c r="KF210" s="904"/>
      <c r="KG210" s="71"/>
      <c r="KH210" s="340"/>
    </row>
    <row r="211" spans="26:417">
      <c r="KD211" s="74"/>
      <c r="KE211" s="904"/>
      <c r="KF211" s="904"/>
      <c r="KG211" s="71"/>
      <c r="KH211" s="340"/>
    </row>
    <row r="212" spans="26:417">
      <c r="KD212" s="74"/>
      <c r="KE212" s="904"/>
      <c r="KF212" s="904"/>
      <c r="KG212" s="71"/>
      <c r="KH212" s="340"/>
    </row>
    <row r="213" spans="26:417">
      <c r="KD213" s="74"/>
      <c r="KE213" s="904"/>
      <c r="KF213" s="904"/>
      <c r="KG213" s="71"/>
      <c r="KH213" s="340"/>
    </row>
    <row r="214" spans="26:417">
      <c r="KD214" s="74"/>
      <c r="KE214" s="904"/>
      <c r="KF214" s="904"/>
      <c r="KH214" s="340"/>
    </row>
    <row r="215" spans="26:417">
      <c r="PA215" s="240"/>
    </row>
    <row r="230" spans="399:399">
      <c r="OI230" s="740" t="s">
        <v>1215</v>
      </c>
    </row>
    <row r="231" spans="399:399">
      <c r="OI231" s="740" t="s">
        <v>1337</v>
      </c>
    </row>
  </sheetData>
  <pageMargins left="0.75" right="0.75" top="1" bottom="1" header="0.5" footer="0.5"/>
  <pageSetup paperSize="9" orientation="portrait" horizontalDpi="4294967292" verticalDpi="4294967292"/>
  <ignoredErrors>
    <ignoredError sqref="DZ109 KP76:KP92 EB58:EB109" formula="1"/>
    <ignoredError sqref="BF132:BF192" formulaRange="1"/>
  </ignoredErrors>
  <drawing r:id="rId1"/>
  <legacyDrawing r:id="rId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5"/>
  </sheetPr>
  <dimension ref="A1:RR115"/>
  <sheetViews>
    <sheetView workbookViewId="0">
      <pane xSplit="1" ySplit="4" topLeftCell="JX41" activePane="bottomRight" state="frozen"/>
      <selection activeCell="X67" sqref="X67"/>
      <selection pane="topRight" activeCell="X67" sqref="X67"/>
      <selection pane="bottomLeft" activeCell="X67" sqref="X67"/>
      <selection pane="bottomRight" activeCell="KG65" sqref="KG65"/>
    </sheetView>
  </sheetViews>
  <sheetFormatPr baseColWidth="10" defaultRowHeight="15" x14ac:dyDescent="0"/>
  <cols>
    <col min="2" max="2" width="10.7109375" style="525"/>
    <col min="7" max="7" width="10.7109375" customWidth="1"/>
    <col min="9" max="9" width="10.7109375" style="525"/>
    <col min="11" max="11" width="10.7109375" style="593"/>
    <col min="12" max="13" width="10.7109375" style="525"/>
    <col min="14" max="14" width="10.7109375" style="525" customWidth="1"/>
    <col min="15" max="15" width="10.7109375" style="601"/>
    <col min="16" max="22" width="10.7109375" style="601" customWidth="1"/>
    <col min="25" max="26" width="10.7109375" style="646"/>
    <col min="28" max="29" width="10.7109375" style="646"/>
    <col min="31" max="32" width="10.7109375" style="646"/>
    <col min="34" max="35" width="10.7109375" style="646"/>
    <col min="37" max="38" width="10.7109375" style="651"/>
    <col min="40" max="41" width="10.7109375" style="646"/>
    <col min="42" max="42" width="10.7109375" style="525"/>
    <col min="43" max="44" width="10.7109375" style="646"/>
    <col min="46" max="46" width="10.7109375" style="593"/>
    <col min="47" max="47" width="10.7109375" style="525"/>
    <col min="48" max="48" width="10.7109375" style="1351"/>
    <col min="49" max="49" width="10.7109375" style="1356"/>
    <col min="50" max="50" width="10.7109375" style="601"/>
    <col min="51" max="51" width="10.7109375" style="525"/>
    <col min="52" max="52" width="10.7109375" style="646"/>
    <col min="53" max="53" width="10.7109375" style="525"/>
    <col min="54" max="60" width="10.7109375" style="646"/>
    <col min="61" max="61" width="10.7109375" style="525"/>
    <col min="62" max="62" width="11.7109375" style="567" customWidth="1"/>
    <col min="63" max="63" width="11.7109375" style="734" customWidth="1"/>
    <col min="64" max="74" width="10.7109375" style="601"/>
    <col min="75" max="76" width="10.7109375" style="567" customWidth="1"/>
    <col min="77" max="78" width="10.7109375" style="646" customWidth="1"/>
    <col min="79" max="79" width="10.7109375" style="567" customWidth="1"/>
    <col min="80" max="81" width="10.7109375" style="646" customWidth="1"/>
    <col min="82" max="82" width="10.7109375" style="567" customWidth="1"/>
    <col min="83" max="84" width="10.7109375" style="646" customWidth="1"/>
    <col min="85" max="85" width="10.7109375" style="567" customWidth="1"/>
    <col min="86" max="87" width="10.7109375" style="646" customWidth="1"/>
    <col min="88" max="88" width="10.7109375" style="567" customWidth="1"/>
    <col min="89" max="90" width="10.7109375" style="651" customWidth="1"/>
    <col min="91" max="91" width="10.7109375" style="567" customWidth="1"/>
    <col min="92" max="93" width="10.7109375" style="646" customWidth="1"/>
    <col min="94" max="94" width="10.7109375" style="567" customWidth="1"/>
    <col min="95" max="95" width="10.7109375" style="646" customWidth="1"/>
    <col min="96" max="96" width="10.7109375" style="567" customWidth="1"/>
    <col min="97" max="97" width="10.7109375" style="734" customWidth="1"/>
    <col min="98" max="98" width="10.7109375" style="567" customWidth="1"/>
    <col min="99" max="99" width="10.7109375" style="68" customWidth="1"/>
    <col min="100" max="106" width="10.7109375" style="593" customWidth="1"/>
    <col min="107" max="107" width="10.7109375" style="567" customWidth="1"/>
    <col min="108" max="108" width="10.7109375" style="601" customWidth="1"/>
    <col min="109" max="109" width="10.7109375" style="567" customWidth="1"/>
    <col min="110" max="110" width="10.7109375" style="593" customWidth="1"/>
    <col min="111" max="112" width="10.7109375" style="567" customWidth="1"/>
    <col min="113" max="113" width="10.7109375" style="601" customWidth="1"/>
    <col min="114" max="115" width="10.7109375" style="570" customWidth="1"/>
    <col min="117" max="117" width="10.7109375" customWidth="1"/>
    <col min="118" max="118" width="10.7109375" style="646" customWidth="1"/>
    <col min="120" max="120" width="10.7109375" style="646"/>
    <col min="122" max="122" width="10.7109375" style="646"/>
    <col min="124" max="124" width="10.7109375" style="646"/>
    <col min="126" max="126" width="10.7109375" style="646"/>
    <col min="128" max="128" width="10.7109375" style="646"/>
    <col min="129" max="130" width="10.7109375" style="648"/>
    <col min="132" max="132" width="10.7109375" style="646"/>
    <col min="134" max="134" width="10.7109375" style="621"/>
    <col min="135" max="135" width="10.7109375" style="525"/>
    <col min="136" max="136" width="10.7109375" style="601"/>
    <col min="137" max="137" width="10.7109375" style="567" customWidth="1"/>
    <col min="138" max="138" width="10.7109375" style="593"/>
    <col min="139" max="139" width="10.7109375" style="1325"/>
    <col min="140" max="144" width="10.7109375" style="734"/>
    <col min="147" max="147" width="10.7109375" style="646"/>
    <col min="149" max="149" width="10.7109375" style="646"/>
    <col min="151" max="151" width="10.7109375" style="646"/>
    <col min="153" max="153" width="10.7109375" style="646"/>
    <col min="155" max="155" width="10.7109375" style="646"/>
    <col min="157" max="157" width="10.7109375" style="646"/>
    <col min="160" max="161" width="10.7109375" style="525"/>
    <col min="162" max="162" width="10.7109375" style="1356"/>
    <col min="163" max="165" width="10.7109375" style="798"/>
    <col min="167" max="167" width="10.7109375" style="798"/>
    <col min="168" max="168" width="10.7109375" style="676"/>
    <col min="170" max="170" width="10.7109375" style="646"/>
    <col min="171" max="171" width="10.7109375" style="646" customWidth="1"/>
    <col min="173" max="173" width="10.7109375" style="646"/>
    <col min="174" max="174" width="10.7109375" style="646" customWidth="1"/>
    <col min="176" max="177" width="10.7109375" style="646"/>
    <col min="178" max="178" width="10.7109375" style="646" customWidth="1"/>
    <col min="180" max="181" width="10.7109375" style="646"/>
    <col min="183" max="184" width="10.7109375" style="646"/>
    <col min="185" max="185" width="10.7109375" style="646" customWidth="1"/>
    <col min="187" max="188" width="10.7109375" style="646"/>
    <col min="190" max="190" width="10.7109375" style="646"/>
    <col min="192" max="192" width="10.7109375" style="525"/>
    <col min="193" max="193" width="10.7109375" style="567"/>
    <col min="194" max="194" width="10.7109375" style="1356"/>
    <col min="195" max="195" width="10.7109375" style="798"/>
    <col min="196" max="197" width="10.7109375" style="567"/>
    <col min="198" max="198" width="10.7109375" style="798"/>
    <col min="199" max="202" width="10.7109375" style="567"/>
    <col min="203" max="203" width="10.7109375" style="525"/>
    <col min="204" max="204" width="10.7109375" style="567" customWidth="1"/>
    <col min="205" max="205" width="10.7109375" style="646" customWidth="1"/>
    <col min="206" max="206" width="10.7109375" style="567"/>
    <col min="207" max="207" width="10.7109375" style="646"/>
    <col min="208" max="208" width="10.7109375" style="567"/>
    <col min="209" max="209" width="10.7109375" style="646" customWidth="1"/>
    <col min="210" max="210" width="10.7109375" style="567"/>
    <col min="211" max="211" width="10.7109375" style="646" customWidth="1"/>
    <col min="212" max="212" width="11.28515625" style="567" customWidth="1"/>
    <col min="213" max="213" width="11.28515625" style="646" customWidth="1"/>
    <col min="214" max="214" width="10.7109375" style="567"/>
    <col min="215" max="215" width="10.7109375" style="646" customWidth="1"/>
    <col min="216" max="216" width="10.7109375" style="525"/>
    <col min="217" max="217" width="10.7109375" style="646"/>
    <col min="218" max="218" width="10.7109375" style="593" customWidth="1"/>
    <col min="219" max="220" width="10.7109375" style="1356" customWidth="1"/>
    <col min="221" max="221" width="10.7109375" style="567" customWidth="1"/>
    <col min="222" max="222" width="10.7109375" style="525"/>
    <col min="223" max="223" width="10.7109375" style="567"/>
    <col min="233" max="233" width="10.7109375" style="567"/>
    <col min="234" max="234" width="10.7109375" style="1356"/>
    <col min="235" max="235" width="10.7109375" style="798"/>
    <col min="236" max="236" width="10.7109375" style="525"/>
    <col min="237" max="246" width="10.7109375" style="593"/>
    <col min="257" max="257" width="10.7109375" style="1356"/>
    <col min="267" max="267" width="10.7109375" style="657"/>
    <col min="268" max="277" width="10.7109375" style="593"/>
    <col min="278" max="278" width="10.7109375" style="657"/>
    <col min="279" max="280" width="10.7109375" style="593"/>
    <col min="281" max="282" width="10.85546875" style="593" bestFit="1" customWidth="1"/>
    <col min="283" max="284" width="11" style="593" bestFit="1" customWidth="1"/>
    <col min="285" max="285" width="11.140625" style="593" bestFit="1" customWidth="1"/>
    <col min="286" max="286" width="10.85546875" style="593" bestFit="1" customWidth="1"/>
    <col min="287" max="288" width="10.7109375" style="593"/>
    <col min="289" max="289" width="10.7109375" style="657"/>
    <col min="290" max="290" width="10.7109375" style="593"/>
    <col min="300" max="300" width="10.7109375" style="657"/>
    <col min="302" max="302" width="10.7109375" style="593"/>
    <col min="311" max="311" width="10.7109375" style="657"/>
    <col min="313" max="313" width="10.7109375" style="593"/>
    <col min="322" max="322" width="10.7109375" style="657"/>
    <col min="332" max="333" width="10.7109375" style="593"/>
    <col min="335" max="335" width="10.7109375" style="593"/>
    <col min="343" max="343" width="10.7109375" style="593"/>
    <col min="359" max="359" width="10.7109375" style="593"/>
    <col min="381" max="381" width="10.7109375" style="593"/>
    <col min="389" max="405" width="10.7109375" style="593"/>
    <col min="413" max="413" width="10.7109375" style="593"/>
    <col min="421" max="421" width="10.7109375" style="593"/>
  </cols>
  <sheetData>
    <row r="1" spans="1:486" s="525" customFormat="1">
      <c r="B1" s="525" t="s">
        <v>3507</v>
      </c>
      <c r="K1" s="593"/>
      <c r="O1" s="601"/>
      <c r="P1" s="601"/>
      <c r="Q1" s="601"/>
      <c r="R1" s="601"/>
      <c r="S1" s="601"/>
      <c r="T1" s="601"/>
      <c r="U1" s="601"/>
      <c r="V1" s="601"/>
      <c r="W1" s="574"/>
      <c r="X1" s="532"/>
      <c r="Y1" s="532"/>
      <c r="Z1" s="532"/>
      <c r="AA1" s="532"/>
      <c r="AB1" s="532"/>
      <c r="AC1" s="532"/>
      <c r="AD1" s="532"/>
      <c r="AE1" s="532"/>
      <c r="AF1" s="532"/>
      <c r="AG1" s="532"/>
      <c r="AH1" s="532"/>
      <c r="AI1" s="532"/>
      <c r="AK1" s="651"/>
      <c r="AL1" s="651"/>
      <c r="AM1" s="532"/>
      <c r="AN1" s="532"/>
      <c r="AO1" s="532"/>
      <c r="AP1" s="532"/>
      <c r="AQ1" s="532"/>
      <c r="AR1" s="532"/>
      <c r="AS1" s="532"/>
      <c r="AT1" s="532"/>
      <c r="AU1" s="532"/>
      <c r="AV1" s="532"/>
      <c r="AW1" s="532"/>
      <c r="AX1" s="532"/>
      <c r="AY1" s="532"/>
      <c r="AZ1" s="532"/>
      <c r="BA1" s="532"/>
      <c r="BB1" s="532"/>
      <c r="BC1" s="532"/>
      <c r="BD1" s="532"/>
      <c r="BE1" s="532"/>
      <c r="BF1" s="532"/>
      <c r="BG1" s="532"/>
      <c r="BH1" s="532"/>
      <c r="BI1" s="532"/>
      <c r="BJ1" s="581"/>
      <c r="BK1" s="532"/>
      <c r="BL1" s="574"/>
      <c r="BM1" s="532"/>
      <c r="BN1" s="532"/>
      <c r="BO1" s="532"/>
      <c r="BP1" s="532"/>
      <c r="BQ1" s="532"/>
      <c r="BR1" s="532"/>
      <c r="BS1" s="532"/>
      <c r="BT1" s="532"/>
      <c r="BU1" s="532"/>
      <c r="BV1" s="532"/>
      <c r="BW1" s="567"/>
      <c r="BX1" s="567"/>
      <c r="BY1" s="646"/>
      <c r="BZ1" s="646"/>
      <c r="CA1" s="567"/>
      <c r="CB1" s="646"/>
      <c r="CC1" s="646"/>
      <c r="CD1" s="567"/>
      <c r="CE1" s="646"/>
      <c r="CF1" s="646"/>
      <c r="CG1" s="567"/>
      <c r="CH1" s="646"/>
      <c r="CI1" s="646"/>
      <c r="CJ1" s="532"/>
      <c r="CK1" s="536"/>
      <c r="CL1" s="536"/>
      <c r="CM1" s="567"/>
      <c r="CN1" s="646"/>
      <c r="CO1" s="646"/>
      <c r="CP1" s="567"/>
      <c r="CQ1" s="646"/>
      <c r="CR1" s="567"/>
      <c r="CS1" s="734"/>
      <c r="CT1" s="567"/>
      <c r="CU1" s="68"/>
      <c r="CV1" s="593"/>
      <c r="CW1" s="593"/>
      <c r="CX1" s="593"/>
      <c r="CY1" s="593"/>
      <c r="CZ1" s="593"/>
      <c r="DA1" s="593"/>
      <c r="DB1" s="593"/>
      <c r="DC1" s="567"/>
      <c r="DD1" s="601"/>
      <c r="DE1" s="567"/>
      <c r="DF1" s="593"/>
      <c r="DG1" s="567"/>
      <c r="DH1" s="567"/>
      <c r="DI1" s="601"/>
      <c r="DJ1" s="570"/>
      <c r="DK1" s="570"/>
      <c r="DN1" s="646"/>
      <c r="DP1" s="646"/>
      <c r="DR1" s="646"/>
      <c r="DT1" s="646"/>
      <c r="DV1" s="646"/>
      <c r="DX1" s="646"/>
      <c r="DY1" s="648"/>
      <c r="DZ1" s="648"/>
      <c r="EB1" s="646"/>
      <c r="ED1" s="621"/>
      <c r="EF1" s="601"/>
      <c r="EG1" s="567"/>
      <c r="EH1" s="593"/>
      <c r="EI1" s="1325"/>
      <c r="EJ1" s="734"/>
      <c r="EK1" s="734"/>
      <c r="EL1" s="734"/>
      <c r="EM1" s="734"/>
      <c r="EN1" s="734"/>
      <c r="EO1" s="574"/>
      <c r="EQ1" s="646"/>
      <c r="ES1" s="646"/>
      <c r="EU1" s="646"/>
      <c r="EW1" s="646"/>
      <c r="EY1" s="646"/>
      <c r="FA1" s="646"/>
      <c r="FE1" s="651"/>
      <c r="FF1" s="651"/>
      <c r="FG1" s="651"/>
      <c r="FH1" s="651"/>
      <c r="FI1" s="651"/>
      <c r="FJ1" s="574"/>
      <c r="FK1" s="532"/>
      <c r="FL1" s="532"/>
      <c r="FN1" s="646"/>
      <c r="FO1" s="646"/>
      <c r="FQ1" s="646"/>
      <c r="FR1" s="646"/>
      <c r="FT1" s="646"/>
      <c r="FU1" s="646"/>
      <c r="FV1" s="646"/>
      <c r="FX1" s="646"/>
      <c r="FY1" s="646"/>
      <c r="GA1" s="646"/>
      <c r="GB1" s="646"/>
      <c r="GC1" s="646"/>
      <c r="GE1" s="646"/>
      <c r="GF1" s="646"/>
      <c r="GH1" s="646"/>
      <c r="GK1" s="567"/>
      <c r="GL1" s="1356"/>
      <c r="GM1" s="798"/>
      <c r="GN1" s="567"/>
      <c r="GO1" s="567"/>
      <c r="GP1" s="798"/>
      <c r="GQ1" s="567"/>
      <c r="GR1" s="567"/>
      <c r="GS1" s="567"/>
      <c r="GT1" s="567"/>
      <c r="GU1" s="532"/>
      <c r="GV1" s="532"/>
      <c r="GW1" s="532"/>
      <c r="GX1" s="532"/>
      <c r="GY1" s="532"/>
      <c r="GZ1" s="532"/>
      <c r="HA1" s="532"/>
      <c r="HB1" s="532"/>
      <c r="HC1" s="532"/>
      <c r="HD1" s="532"/>
      <c r="HE1" s="532"/>
      <c r="HF1" s="532"/>
      <c r="HG1" s="532"/>
      <c r="HH1" s="532"/>
      <c r="HI1" s="671"/>
      <c r="HJ1" s="671"/>
      <c r="HK1" s="671"/>
      <c r="HL1" s="671"/>
      <c r="HM1" s="671"/>
      <c r="HN1" s="671"/>
      <c r="HO1" s="671"/>
      <c r="HY1" s="567"/>
      <c r="HZ1" s="1356"/>
      <c r="IA1" s="798"/>
      <c r="IC1" s="593"/>
      <c r="ID1" s="593"/>
      <c r="IE1" s="593"/>
      <c r="IF1" s="593"/>
      <c r="IG1" s="593"/>
      <c r="IH1" s="593"/>
      <c r="II1" s="593"/>
      <c r="IJ1" s="593"/>
      <c r="IK1" s="593"/>
      <c r="IL1" s="593"/>
      <c r="IW1" s="1356"/>
      <c r="IX1" s="67" t="s">
        <v>2195</v>
      </c>
      <c r="JG1" s="657"/>
      <c r="JH1" s="593"/>
      <c r="JI1" s="593"/>
      <c r="JJ1" s="593"/>
      <c r="JK1" s="593"/>
      <c r="JL1" s="593"/>
      <c r="JM1" s="593"/>
      <c r="JN1" s="593"/>
      <c r="JO1" s="593"/>
      <c r="JP1" s="593"/>
      <c r="JQ1" s="593"/>
      <c r="JR1" s="657"/>
      <c r="JS1" s="593"/>
      <c r="JT1" s="593"/>
      <c r="JU1" s="593"/>
      <c r="JV1" s="593"/>
      <c r="JW1" s="593"/>
      <c r="JX1" s="593"/>
      <c r="JY1" s="593"/>
      <c r="JZ1" s="593"/>
      <c r="KA1" s="593"/>
      <c r="KB1" s="593"/>
      <c r="KC1" s="657"/>
      <c r="KD1" s="593"/>
      <c r="KN1" s="657"/>
      <c r="KP1" s="593"/>
      <c r="KY1" s="657"/>
      <c r="LA1" s="593"/>
      <c r="LJ1" s="657"/>
      <c r="LL1" s="67" t="s">
        <v>2200</v>
      </c>
      <c r="LT1" s="593"/>
      <c r="LU1" s="593"/>
      <c r="LW1" s="593"/>
      <c r="ME1" s="593"/>
      <c r="MU1" s="593"/>
      <c r="NQ1" s="593"/>
      <c r="NY1" s="593"/>
      <c r="NZ1" s="593"/>
      <c r="OA1" s="593"/>
      <c r="OB1" s="593"/>
      <c r="OC1" s="593"/>
      <c r="OD1" s="593"/>
      <c r="OE1" s="593"/>
      <c r="OF1" s="593"/>
      <c r="OG1" s="593"/>
      <c r="OH1" s="593"/>
      <c r="OI1" s="593"/>
      <c r="OJ1" s="593"/>
      <c r="OK1" s="593"/>
      <c r="OL1" s="593"/>
      <c r="OM1" s="593"/>
      <c r="ON1" s="593"/>
      <c r="OO1" s="593"/>
      <c r="OW1" s="593"/>
      <c r="PE1" s="593"/>
    </row>
    <row r="2" spans="1:486" s="525" customFormat="1" ht="20" customHeight="1">
      <c r="B2" s="24" t="s">
        <v>71</v>
      </c>
      <c r="K2" s="593"/>
      <c r="O2" s="601"/>
      <c r="P2" s="601"/>
      <c r="Q2" s="574" t="s">
        <v>2231</v>
      </c>
      <c r="R2" s="601"/>
      <c r="S2" s="601"/>
      <c r="T2" s="601"/>
      <c r="U2" s="601"/>
      <c r="V2" s="601"/>
      <c r="W2" s="67" t="s">
        <v>2177</v>
      </c>
      <c r="Y2" s="646"/>
      <c r="Z2" s="646"/>
      <c r="AB2" s="646"/>
      <c r="AC2" s="646"/>
      <c r="AE2" s="646"/>
      <c r="AF2" s="646"/>
      <c r="AH2" s="646"/>
      <c r="AI2" s="646"/>
      <c r="AK2" s="651"/>
      <c r="AL2" s="651"/>
      <c r="AN2" s="646"/>
      <c r="AO2" s="646"/>
      <c r="AQ2" s="646"/>
      <c r="AR2" s="646"/>
      <c r="AT2" s="593"/>
      <c r="AV2" s="1351"/>
      <c r="AW2" s="1356"/>
      <c r="AX2" s="601"/>
      <c r="AZ2" s="646"/>
      <c r="BB2" s="646"/>
      <c r="BC2" s="646"/>
      <c r="BD2" s="646"/>
      <c r="BE2" s="646"/>
      <c r="BF2" s="646"/>
      <c r="BG2" s="646"/>
      <c r="BH2" s="646"/>
      <c r="BJ2" s="567"/>
      <c r="BK2" s="734"/>
      <c r="BL2" s="67" t="s">
        <v>2223</v>
      </c>
      <c r="BM2" s="601"/>
      <c r="BN2" s="601"/>
      <c r="BO2" s="601"/>
      <c r="BP2" s="601"/>
      <c r="BQ2" s="601"/>
      <c r="BR2" s="601"/>
      <c r="BS2" s="601"/>
      <c r="BT2" s="601"/>
      <c r="BU2" s="601"/>
      <c r="BV2" s="601"/>
      <c r="BW2" s="67" t="s">
        <v>2178</v>
      </c>
      <c r="BX2" s="567"/>
      <c r="BY2" s="646"/>
      <c r="BZ2" s="646"/>
      <c r="CA2" s="567"/>
      <c r="CB2" s="646"/>
      <c r="CC2" s="646"/>
      <c r="CD2" s="567"/>
      <c r="CE2" s="646"/>
      <c r="CF2" s="646"/>
      <c r="CG2" s="567"/>
      <c r="CH2" s="646"/>
      <c r="CI2" s="646"/>
      <c r="CK2" s="651"/>
      <c r="CL2" s="651"/>
      <c r="CM2" s="567"/>
      <c r="CN2" s="646"/>
      <c r="CO2" s="646"/>
      <c r="CP2" s="567"/>
      <c r="CQ2" s="646"/>
      <c r="CR2" s="567"/>
      <c r="CS2" s="734"/>
      <c r="CT2" s="567"/>
      <c r="CU2" s="68"/>
      <c r="CV2" s="593"/>
      <c r="CW2" s="593"/>
      <c r="CX2" s="593"/>
      <c r="CY2" s="593"/>
      <c r="CZ2" s="593"/>
      <c r="DA2" s="593"/>
      <c r="DB2" s="593"/>
      <c r="DC2" s="567"/>
      <c r="DD2" s="601"/>
      <c r="DE2" s="567"/>
      <c r="DF2" s="593"/>
      <c r="DG2" s="567"/>
      <c r="DH2" s="567"/>
      <c r="DI2" s="601"/>
      <c r="DJ2" s="570"/>
      <c r="DK2" s="570"/>
      <c r="DL2" s="67" t="s">
        <v>2176</v>
      </c>
      <c r="DN2" s="646"/>
      <c r="DP2" s="646"/>
      <c r="DR2" s="646"/>
      <c r="DT2" s="646"/>
      <c r="DV2" s="646"/>
      <c r="DX2" s="646"/>
      <c r="DY2" s="648"/>
      <c r="DZ2" s="648"/>
      <c r="EB2" s="646"/>
      <c r="ED2" s="621"/>
      <c r="EF2" s="601"/>
      <c r="EG2" s="567"/>
      <c r="EH2" s="593"/>
      <c r="EI2" s="1325"/>
      <c r="EJ2" s="67" t="s">
        <v>2382</v>
      </c>
      <c r="EK2" s="734"/>
      <c r="EL2" s="734"/>
      <c r="EM2" s="734"/>
      <c r="EN2" s="734"/>
      <c r="EO2" s="580" t="s">
        <v>2180</v>
      </c>
      <c r="EQ2" s="646"/>
      <c r="ES2" s="646"/>
      <c r="EU2" s="646"/>
      <c r="EW2" s="646"/>
      <c r="EY2" s="646"/>
      <c r="FA2" s="646"/>
      <c r="FF2" s="1356"/>
      <c r="FG2" s="798"/>
      <c r="FH2" s="798"/>
      <c r="FI2" s="798"/>
      <c r="FJ2" s="580" t="s">
        <v>780</v>
      </c>
      <c r="FK2" s="724"/>
      <c r="FL2" s="724"/>
      <c r="FM2" s="529"/>
      <c r="FN2" s="529"/>
      <c r="FO2" s="529"/>
      <c r="FP2" s="529"/>
      <c r="FQ2" s="529"/>
      <c r="FR2" s="529"/>
      <c r="FT2" s="646"/>
      <c r="FU2" s="646"/>
      <c r="FV2" s="646"/>
      <c r="FX2" s="646"/>
      <c r="FY2" s="646"/>
      <c r="GA2" s="646"/>
      <c r="GB2" s="646"/>
      <c r="GC2" s="646"/>
      <c r="GE2" s="646"/>
      <c r="GF2" s="646"/>
      <c r="GH2" s="646"/>
      <c r="GK2" s="567"/>
      <c r="GL2" s="1356"/>
      <c r="GM2" s="798"/>
      <c r="GN2" s="567"/>
      <c r="GO2" s="567"/>
      <c r="GP2" s="798"/>
      <c r="GQ2" s="567"/>
      <c r="GR2" s="567"/>
      <c r="GS2" s="567"/>
      <c r="GT2" s="567"/>
      <c r="GU2" s="67" t="s">
        <v>2184</v>
      </c>
      <c r="GV2" s="131"/>
      <c r="GW2" s="131"/>
      <c r="GX2" s="131"/>
      <c r="GY2" s="131"/>
      <c r="GZ2" s="131"/>
      <c r="HA2" s="131"/>
      <c r="HB2" s="131"/>
      <c r="HC2" s="131"/>
      <c r="HD2" s="131"/>
      <c r="HE2" s="131"/>
      <c r="HF2" s="131"/>
      <c r="HG2" s="131"/>
      <c r="HH2" s="532"/>
      <c r="HI2" s="671">
        <f>SUMPRODUCT(HI51:HI60,$W51:$W60)/SUM($W51:$W60)</f>
        <v>9.2182325595854472E-2</v>
      </c>
      <c r="HJ2" s="671">
        <f t="shared" ref="HJ2:HO2" si="0">SUMPRODUCT(HJ51:HJ60,$W51:$W60)/SUM($W51:$W60)</f>
        <v>0.45947532969030647</v>
      </c>
      <c r="HK2" s="671"/>
      <c r="HL2" s="671"/>
      <c r="HM2" s="671">
        <f t="shared" si="0"/>
        <v>0.21814969917432653</v>
      </c>
      <c r="HN2" s="671">
        <f t="shared" si="0"/>
        <v>0.34599714925402758</v>
      </c>
      <c r="HO2" s="671">
        <f t="shared" si="0"/>
        <v>0.29025454850806254</v>
      </c>
      <c r="HP2" s="67" t="s">
        <v>2185</v>
      </c>
      <c r="HY2" s="567"/>
      <c r="HZ2" s="1356"/>
      <c r="IA2" s="798"/>
      <c r="IC2" s="593" t="s">
        <v>2205</v>
      </c>
      <c r="ID2" s="593"/>
      <c r="IE2" s="593"/>
      <c r="IF2" s="593"/>
      <c r="IG2" s="593"/>
      <c r="IH2" s="593"/>
      <c r="II2" s="593"/>
      <c r="IJ2" s="593"/>
      <c r="IK2" s="593"/>
      <c r="IL2" s="593"/>
      <c r="IM2" s="67" t="s">
        <v>2133</v>
      </c>
      <c r="IW2" s="1356"/>
      <c r="IX2" s="574" t="s">
        <v>2196</v>
      </c>
      <c r="JG2" s="657"/>
      <c r="JH2" s="593"/>
      <c r="JI2" s="574" t="s">
        <v>2198</v>
      </c>
      <c r="JJ2" s="593"/>
      <c r="JK2" s="593"/>
      <c r="JL2" s="593"/>
      <c r="JM2" s="593"/>
      <c r="JN2" s="593"/>
      <c r="JO2" s="593"/>
      <c r="JP2" s="593"/>
      <c r="JQ2" s="593"/>
      <c r="JR2" s="657"/>
      <c r="JS2" s="593"/>
      <c r="JT2" s="574" t="s">
        <v>2199</v>
      </c>
      <c r="JU2" s="593"/>
      <c r="JV2" s="593"/>
      <c r="JW2" s="593"/>
      <c r="JX2" s="593"/>
      <c r="JY2" s="593"/>
      <c r="JZ2" s="593"/>
      <c r="KA2" s="593"/>
      <c r="KB2" s="593"/>
      <c r="KC2" s="657"/>
      <c r="KD2" s="593"/>
      <c r="KE2" s="574" t="s">
        <v>1340</v>
      </c>
      <c r="KN2" s="657"/>
      <c r="KP2" s="574" t="s">
        <v>1341</v>
      </c>
      <c r="KQ2" s="593"/>
      <c r="KR2" s="593"/>
      <c r="KS2" s="593"/>
      <c r="KT2" s="593"/>
      <c r="KU2" s="593"/>
      <c r="KV2" s="593"/>
      <c r="KW2" s="593"/>
      <c r="KX2" s="593"/>
      <c r="KY2" s="657"/>
      <c r="LA2" s="574" t="s">
        <v>2197</v>
      </c>
      <c r="LB2" s="593"/>
      <c r="LC2" s="593"/>
      <c r="LD2" s="593"/>
      <c r="LE2" s="593"/>
      <c r="LF2" s="593"/>
      <c r="LG2" s="593"/>
      <c r="LH2" s="593"/>
      <c r="LI2" s="593"/>
      <c r="LJ2" s="657"/>
      <c r="LL2" s="574" t="s">
        <v>2203</v>
      </c>
      <c r="LT2" s="593"/>
      <c r="LU2" s="593"/>
      <c r="LW2" s="593"/>
      <c r="LY2" s="574" t="s">
        <v>2206</v>
      </c>
      <c r="ME2" s="593"/>
      <c r="MM2" s="67" t="s">
        <v>2212</v>
      </c>
      <c r="MU2" s="593"/>
      <c r="MX2" s="67" t="s">
        <v>2213</v>
      </c>
      <c r="NI2" s="24" t="s">
        <v>2217</v>
      </c>
      <c r="NQ2" s="593"/>
      <c r="NR2" s="525" t="s">
        <v>693</v>
      </c>
      <c r="NY2" s="593"/>
      <c r="NZ2" s="593" t="s">
        <v>697</v>
      </c>
      <c r="OA2" s="593"/>
      <c r="OB2" s="593"/>
      <c r="OC2" s="593"/>
      <c r="OD2" s="593"/>
      <c r="OE2" s="593"/>
      <c r="OF2" s="593"/>
      <c r="OG2" s="593"/>
      <c r="OH2" s="593" t="s">
        <v>694</v>
      </c>
      <c r="OI2" s="593"/>
      <c r="OJ2" s="593"/>
      <c r="OK2" s="593"/>
      <c r="OL2" s="593"/>
      <c r="OM2" s="593"/>
      <c r="ON2" s="593"/>
      <c r="OO2" s="593"/>
      <c r="OP2" s="525" t="s">
        <v>695</v>
      </c>
      <c r="OW2" s="593"/>
      <c r="OX2" s="525" t="s">
        <v>2221</v>
      </c>
      <c r="PE2" s="593"/>
      <c r="PF2" s="525" t="s">
        <v>696</v>
      </c>
      <c r="PN2" s="24" t="s">
        <v>2222</v>
      </c>
      <c r="PO2" s="593"/>
      <c r="PP2" s="593"/>
      <c r="PQ2" s="593"/>
      <c r="PR2" s="593"/>
      <c r="PS2" s="593"/>
      <c r="PT2" s="593"/>
      <c r="PU2" s="593"/>
      <c r="PV2" s="593"/>
      <c r="PW2" s="593" t="s">
        <v>693</v>
      </c>
      <c r="PX2" s="593"/>
      <c r="PY2" s="593"/>
      <c r="PZ2" s="593"/>
      <c r="QA2" s="593"/>
      <c r="QB2" s="593"/>
      <c r="QC2" s="593"/>
      <c r="QD2" s="593"/>
      <c r="QE2" s="593" t="s">
        <v>697</v>
      </c>
      <c r="QF2" s="593"/>
      <c r="QG2" s="593"/>
      <c r="QH2" s="593"/>
      <c r="QI2" s="593"/>
      <c r="QJ2" s="593"/>
      <c r="QK2" s="593"/>
      <c r="QL2" s="593"/>
      <c r="QM2" s="593" t="s">
        <v>694</v>
      </c>
      <c r="QN2" s="593"/>
      <c r="QO2" s="593"/>
      <c r="QP2" s="593"/>
      <c r="QQ2" s="593"/>
      <c r="QR2" s="593"/>
      <c r="QS2" s="593"/>
      <c r="QT2" s="593"/>
      <c r="QU2" s="593" t="s">
        <v>695</v>
      </c>
      <c r="QV2" s="593"/>
      <c r="QW2" s="593"/>
      <c r="QX2" s="593"/>
      <c r="QY2" s="593"/>
      <c r="QZ2" s="593"/>
      <c r="RA2" s="593"/>
      <c r="RB2" s="593"/>
      <c r="RC2" s="593" t="s">
        <v>2221</v>
      </c>
      <c r="RD2" s="593"/>
      <c r="RE2" s="593"/>
      <c r="RF2" s="593"/>
      <c r="RG2" s="593"/>
      <c r="RH2" s="593"/>
      <c r="RI2" s="593"/>
      <c r="RJ2" s="593"/>
      <c r="RK2" s="593" t="s">
        <v>696</v>
      </c>
      <c r="RL2" s="593"/>
      <c r="RM2" s="593"/>
      <c r="RN2" s="593"/>
      <c r="RO2" s="593"/>
      <c r="RP2" s="593"/>
      <c r="RQ2" s="593"/>
      <c r="RR2" s="593"/>
    </row>
    <row r="3" spans="1:486" s="1" customFormat="1" ht="90">
      <c r="A3" s="1" t="s">
        <v>725</v>
      </c>
      <c r="B3" s="37" t="s">
        <v>1854</v>
      </c>
      <c r="C3" s="1" t="s">
        <v>693</v>
      </c>
      <c r="D3" s="1" t="s">
        <v>697</v>
      </c>
      <c r="E3" s="1" t="s">
        <v>694</v>
      </c>
      <c r="F3" s="1" t="s">
        <v>695</v>
      </c>
      <c r="G3" s="1" t="s">
        <v>2130</v>
      </c>
      <c r="H3" s="1" t="s">
        <v>696</v>
      </c>
      <c r="I3" s="1" t="s">
        <v>2131</v>
      </c>
      <c r="J3" s="1" t="s">
        <v>1180</v>
      </c>
      <c r="K3" s="1" t="s">
        <v>2194</v>
      </c>
      <c r="L3" s="1" t="s">
        <v>2161</v>
      </c>
      <c r="M3" s="577" t="s">
        <v>2132</v>
      </c>
      <c r="N3" s="577" t="s">
        <v>2159</v>
      </c>
      <c r="O3" s="1" t="s">
        <v>2229</v>
      </c>
      <c r="P3" s="577" t="s">
        <v>2228</v>
      </c>
      <c r="Q3" s="612" t="s">
        <v>693</v>
      </c>
      <c r="R3" s="1" t="s">
        <v>697</v>
      </c>
      <c r="S3" s="1" t="s">
        <v>694</v>
      </c>
      <c r="T3" s="1" t="s">
        <v>695</v>
      </c>
      <c r="U3" s="1" t="s">
        <v>2130</v>
      </c>
      <c r="V3" s="1" t="s">
        <v>696</v>
      </c>
      <c r="W3" s="4" t="s">
        <v>1854</v>
      </c>
      <c r="X3" s="1" t="s">
        <v>693</v>
      </c>
      <c r="Y3" s="650" t="s">
        <v>2239</v>
      </c>
      <c r="Z3" s="650" t="s">
        <v>2243</v>
      </c>
      <c r="AA3" s="1" t="s">
        <v>697</v>
      </c>
      <c r="AB3" s="650" t="s">
        <v>2239</v>
      </c>
      <c r="AC3" s="650" t="s">
        <v>2243</v>
      </c>
      <c r="AD3" s="1" t="s">
        <v>694</v>
      </c>
      <c r="AE3" s="650" t="s">
        <v>2239</v>
      </c>
      <c r="AF3" s="650" t="s">
        <v>2245</v>
      </c>
      <c r="AG3" s="1" t="s">
        <v>695</v>
      </c>
      <c r="AH3" s="419" t="s">
        <v>2239</v>
      </c>
      <c r="AI3" s="419" t="s">
        <v>2246</v>
      </c>
      <c r="AJ3" s="1" t="s">
        <v>2130</v>
      </c>
      <c r="AK3" s="652" t="s">
        <v>2239</v>
      </c>
      <c r="AL3" s="419" t="s">
        <v>2246</v>
      </c>
      <c r="AM3" s="1" t="s">
        <v>696</v>
      </c>
      <c r="AN3" s="419" t="s">
        <v>2239</v>
      </c>
      <c r="AO3" s="419" t="s">
        <v>2246</v>
      </c>
      <c r="AP3" s="1" t="s">
        <v>2131</v>
      </c>
      <c r="AQ3" s="650" t="s">
        <v>2239</v>
      </c>
      <c r="AR3" s="650" t="s">
        <v>2245</v>
      </c>
      <c r="AS3" s="1" t="s">
        <v>1180</v>
      </c>
      <c r="AT3" s="1" t="s">
        <v>2194</v>
      </c>
      <c r="AU3" s="1" t="s">
        <v>2160</v>
      </c>
      <c r="AV3" s="1" t="s">
        <v>3225</v>
      </c>
      <c r="AW3" s="1" t="s">
        <v>3245</v>
      </c>
      <c r="AX3" s="1" t="s">
        <v>2238</v>
      </c>
      <c r="AY3" s="37" t="s">
        <v>2257</v>
      </c>
      <c r="AZ3" s="40" t="s">
        <v>2258</v>
      </c>
      <c r="BA3" s="1" t="s">
        <v>2254</v>
      </c>
      <c r="BB3" s="1" t="s">
        <v>693</v>
      </c>
      <c r="BC3" s="1" t="s">
        <v>697</v>
      </c>
      <c r="BD3" s="1" t="s">
        <v>694</v>
      </c>
      <c r="BE3" s="1" t="s">
        <v>695</v>
      </c>
      <c r="BF3" s="1" t="s">
        <v>2255</v>
      </c>
      <c r="BG3" s="1" t="s">
        <v>696</v>
      </c>
      <c r="BH3" s="1" t="s">
        <v>2256</v>
      </c>
      <c r="BI3" s="1" t="s">
        <v>2155</v>
      </c>
      <c r="BJ3" s="37" t="s">
        <v>2163</v>
      </c>
      <c r="BK3" s="37" t="s">
        <v>2380</v>
      </c>
      <c r="BL3" s="4" t="s">
        <v>1854</v>
      </c>
      <c r="BM3" s="1" t="s">
        <v>693</v>
      </c>
      <c r="BN3" s="1" t="s">
        <v>697</v>
      </c>
      <c r="BO3" s="1" t="s">
        <v>694</v>
      </c>
      <c r="BP3" s="1" t="s">
        <v>695</v>
      </c>
      <c r="BQ3" s="1" t="s">
        <v>2130</v>
      </c>
      <c r="BR3" s="1" t="s">
        <v>696</v>
      </c>
      <c r="BS3" s="1" t="s">
        <v>2131</v>
      </c>
      <c r="BT3" s="1" t="s">
        <v>1180</v>
      </c>
      <c r="BU3" s="1" t="s">
        <v>2194</v>
      </c>
      <c r="BV3" s="1" t="s">
        <v>2160</v>
      </c>
      <c r="BW3" s="4" t="s">
        <v>1854</v>
      </c>
      <c r="BX3" s="1" t="s">
        <v>693</v>
      </c>
      <c r="BY3" s="419" t="s">
        <v>2239</v>
      </c>
      <c r="BZ3" s="419" t="s">
        <v>2247</v>
      </c>
      <c r="CA3" s="1" t="s">
        <v>697</v>
      </c>
      <c r="CB3" s="419" t="s">
        <v>2239</v>
      </c>
      <c r="CC3" s="419" t="s">
        <v>2248</v>
      </c>
      <c r="CD3" s="1" t="s">
        <v>694</v>
      </c>
      <c r="CE3" s="419" t="s">
        <v>2239</v>
      </c>
      <c r="CF3" s="419" t="s">
        <v>2250</v>
      </c>
      <c r="CG3" s="1" t="s">
        <v>695</v>
      </c>
      <c r="CH3" s="419" t="s">
        <v>2239</v>
      </c>
      <c r="CI3" s="419" t="s">
        <v>2249</v>
      </c>
      <c r="CJ3" s="1" t="s">
        <v>2130</v>
      </c>
      <c r="CK3" s="656" t="s">
        <v>2239</v>
      </c>
      <c r="CL3" s="656" t="s">
        <v>2251</v>
      </c>
      <c r="CM3" s="1" t="s">
        <v>696</v>
      </c>
      <c r="CN3" s="419" t="s">
        <v>2239</v>
      </c>
      <c r="CO3" s="419" t="s">
        <v>2252</v>
      </c>
      <c r="CP3" s="1" t="s">
        <v>2131</v>
      </c>
      <c r="CQ3" s="419" t="s">
        <v>2239</v>
      </c>
      <c r="CR3" s="1" t="s">
        <v>1180</v>
      </c>
      <c r="CS3" s="1" t="s">
        <v>2381</v>
      </c>
      <c r="CT3" s="37" t="s">
        <v>2173</v>
      </c>
      <c r="CU3" s="40" t="s">
        <v>1177</v>
      </c>
      <c r="CV3" s="1" t="s">
        <v>693</v>
      </c>
      <c r="CW3" s="1" t="s">
        <v>697</v>
      </c>
      <c r="CX3" s="1" t="s">
        <v>694</v>
      </c>
      <c r="CY3" s="1" t="s">
        <v>695</v>
      </c>
      <c r="CZ3" s="1" t="s">
        <v>2130</v>
      </c>
      <c r="DA3" s="1" t="s">
        <v>2190</v>
      </c>
      <c r="DB3" s="1" t="s">
        <v>696</v>
      </c>
      <c r="DC3" s="1" t="s">
        <v>2253</v>
      </c>
      <c r="DD3" s="1" t="s">
        <v>2238</v>
      </c>
      <c r="DE3" s="1" t="s">
        <v>2160</v>
      </c>
      <c r="DF3" s="1" t="s">
        <v>2234</v>
      </c>
      <c r="DG3" s="1" t="s">
        <v>2233</v>
      </c>
      <c r="DH3" s="1" t="s">
        <v>2174</v>
      </c>
      <c r="DI3" s="1" t="s">
        <v>2235</v>
      </c>
      <c r="DJ3" s="1" t="s">
        <v>2186</v>
      </c>
      <c r="DK3" s="1" t="s">
        <v>2187</v>
      </c>
      <c r="DL3" s="4" t="s">
        <v>1854</v>
      </c>
      <c r="DM3" s="1" t="s">
        <v>693</v>
      </c>
      <c r="DN3" s="419" t="s">
        <v>2241</v>
      </c>
      <c r="DO3" s="1" t="s">
        <v>697</v>
      </c>
      <c r="DP3" s="419" t="s">
        <v>2241</v>
      </c>
      <c r="DQ3" s="1" t="s">
        <v>694</v>
      </c>
      <c r="DR3" s="419" t="s">
        <v>2241</v>
      </c>
      <c r="DS3" s="1" t="s">
        <v>695</v>
      </c>
      <c r="DT3" s="419" t="s">
        <v>2241</v>
      </c>
      <c r="DU3" s="1" t="s">
        <v>2130</v>
      </c>
      <c r="DV3" s="419" t="s">
        <v>2241</v>
      </c>
      <c r="DW3" s="1" t="s">
        <v>696</v>
      </c>
      <c r="DX3" s="419" t="s">
        <v>2241</v>
      </c>
      <c r="DY3" s="40" t="s">
        <v>2256</v>
      </c>
      <c r="DZ3" s="419" t="s">
        <v>2241</v>
      </c>
      <c r="EA3" s="37" t="s">
        <v>2131</v>
      </c>
      <c r="EB3" s="419" t="s">
        <v>2259</v>
      </c>
      <c r="EC3" s="1" t="s">
        <v>1180</v>
      </c>
      <c r="ED3" s="1" t="s">
        <v>2238</v>
      </c>
      <c r="EE3" s="37" t="s">
        <v>2158</v>
      </c>
      <c r="EF3" s="37" t="s">
        <v>2236</v>
      </c>
      <c r="EG3" s="37" t="s">
        <v>1855</v>
      </c>
      <c r="EH3" s="37" t="s">
        <v>2191</v>
      </c>
      <c r="EI3" s="40" t="s">
        <v>3221</v>
      </c>
      <c r="EJ3" s="4" t="s">
        <v>1854</v>
      </c>
      <c r="EK3" s="40" t="s">
        <v>2383</v>
      </c>
      <c r="EL3" s="40" t="s">
        <v>1855</v>
      </c>
      <c r="EM3" s="40" t="s">
        <v>2384</v>
      </c>
      <c r="EN3" s="37"/>
      <c r="EO3" s="4" t="s">
        <v>1854</v>
      </c>
      <c r="EP3" s="1" t="s">
        <v>693</v>
      </c>
      <c r="EQ3" s="419" t="s">
        <v>2239</v>
      </c>
      <c r="ER3" s="1" t="s">
        <v>697</v>
      </c>
      <c r="ES3" s="650" t="s">
        <v>2239</v>
      </c>
      <c r="ET3" s="1" t="s">
        <v>694</v>
      </c>
      <c r="EU3" s="419" t="s">
        <v>2239</v>
      </c>
      <c r="EV3" s="1" t="s">
        <v>695</v>
      </c>
      <c r="EW3" s="419" t="s">
        <v>2239</v>
      </c>
      <c r="EX3" s="1" t="s">
        <v>2130</v>
      </c>
      <c r="EY3" s="419" t="s">
        <v>2239</v>
      </c>
      <c r="EZ3" s="1" t="s">
        <v>696</v>
      </c>
      <c r="FA3" s="650" t="s">
        <v>2239</v>
      </c>
      <c r="FB3" s="1" t="s">
        <v>2131</v>
      </c>
      <c r="FC3" s="1" t="s">
        <v>1180</v>
      </c>
      <c r="FD3" s="1" t="s">
        <v>2136</v>
      </c>
      <c r="FE3" s="1" t="s">
        <v>1855</v>
      </c>
      <c r="FF3" s="1" t="s">
        <v>3244</v>
      </c>
      <c r="FG3" s="1" t="s">
        <v>2400</v>
      </c>
      <c r="FH3" s="1" t="s">
        <v>2398</v>
      </c>
      <c r="FI3" s="1" t="s">
        <v>2401</v>
      </c>
      <c r="FJ3" s="4" t="s">
        <v>1854</v>
      </c>
      <c r="FK3" s="57" t="s">
        <v>2397</v>
      </c>
      <c r="FL3" s="433" t="s">
        <v>1344</v>
      </c>
      <c r="FM3" s="1" t="s">
        <v>693</v>
      </c>
      <c r="FN3" s="419" t="s">
        <v>2239</v>
      </c>
      <c r="FO3" s="419" t="s">
        <v>2240</v>
      </c>
      <c r="FP3" s="1" t="s">
        <v>697</v>
      </c>
      <c r="FQ3" s="650" t="s">
        <v>2239</v>
      </c>
      <c r="FR3" s="650" t="s">
        <v>2240</v>
      </c>
      <c r="FS3" s="1" t="s">
        <v>694</v>
      </c>
      <c r="FT3" s="419" t="s">
        <v>2239</v>
      </c>
      <c r="FU3" s="419" t="s">
        <v>2244</v>
      </c>
      <c r="FV3" s="419" t="s">
        <v>2240</v>
      </c>
      <c r="FW3" s="1" t="s">
        <v>695</v>
      </c>
      <c r="FX3" s="419" t="s">
        <v>2239</v>
      </c>
      <c r="FY3" s="419" t="s">
        <v>2240</v>
      </c>
      <c r="FZ3" s="1" t="s">
        <v>2130</v>
      </c>
      <c r="GA3" s="419" t="s">
        <v>2239</v>
      </c>
      <c r="GB3" s="419" t="s">
        <v>2245</v>
      </c>
      <c r="GC3" s="419" t="s">
        <v>2240</v>
      </c>
      <c r="GD3" s="1" t="s">
        <v>696</v>
      </c>
      <c r="GE3" s="650" t="s">
        <v>2239</v>
      </c>
      <c r="GF3" s="650" t="s">
        <v>2240</v>
      </c>
      <c r="GG3" s="1" t="s">
        <v>2131</v>
      </c>
      <c r="GH3" s="419" t="s">
        <v>2239</v>
      </c>
      <c r="GI3" s="1" t="s">
        <v>1180</v>
      </c>
      <c r="GJ3" s="1" t="s">
        <v>2134</v>
      </c>
      <c r="GK3" s="1" t="s">
        <v>2162</v>
      </c>
      <c r="GL3" s="1" t="s">
        <v>3244</v>
      </c>
      <c r="GM3" s="1" t="s">
        <v>2396</v>
      </c>
      <c r="GN3" s="1" t="s">
        <v>2164</v>
      </c>
      <c r="GO3" s="1" t="s">
        <v>2165</v>
      </c>
      <c r="GP3" s="1" t="s">
        <v>2394</v>
      </c>
      <c r="GQ3" s="1" t="s">
        <v>2166</v>
      </c>
      <c r="GR3" s="1" t="s">
        <v>2181</v>
      </c>
      <c r="GS3" s="37" t="s">
        <v>2242</v>
      </c>
      <c r="GT3" s="1" t="s">
        <v>2183</v>
      </c>
      <c r="GU3" s="4" t="s">
        <v>2157</v>
      </c>
      <c r="GV3" s="1" t="s">
        <v>693</v>
      </c>
      <c r="GW3" s="419" t="s">
        <v>2260</v>
      </c>
      <c r="GX3" s="1" t="s">
        <v>697</v>
      </c>
      <c r="GY3" s="419" t="s">
        <v>2260</v>
      </c>
      <c r="GZ3" s="1" t="s">
        <v>694</v>
      </c>
      <c r="HA3" s="419" t="s">
        <v>2260</v>
      </c>
      <c r="HB3" s="1" t="s">
        <v>695</v>
      </c>
      <c r="HC3" s="419" t="s">
        <v>2260</v>
      </c>
      <c r="HD3" s="1" t="s">
        <v>2130</v>
      </c>
      <c r="HE3" s="419" t="s">
        <v>2260</v>
      </c>
      <c r="HF3" s="1" t="s">
        <v>696</v>
      </c>
      <c r="HG3" s="419" t="s">
        <v>2260</v>
      </c>
      <c r="HH3" s="584" t="s">
        <v>2154</v>
      </c>
      <c r="HI3" s="419" t="s">
        <v>2261</v>
      </c>
      <c r="HJ3" s="1" t="s">
        <v>2193</v>
      </c>
      <c r="HK3" s="1" t="s">
        <v>3247</v>
      </c>
      <c r="HL3" s="1" t="s">
        <v>3248</v>
      </c>
      <c r="HM3" s="1" t="s">
        <v>2168</v>
      </c>
      <c r="HN3" s="1" t="s">
        <v>2156</v>
      </c>
      <c r="HO3" s="1" t="s">
        <v>2167</v>
      </c>
      <c r="HP3" s="586" t="s">
        <v>1854</v>
      </c>
      <c r="HQ3" s="432" t="s">
        <v>693</v>
      </c>
      <c r="HR3" s="432" t="s">
        <v>697</v>
      </c>
      <c r="HS3" s="432" t="s">
        <v>694</v>
      </c>
      <c r="HT3" s="432" t="s">
        <v>695</v>
      </c>
      <c r="HU3" s="432" t="s">
        <v>2130</v>
      </c>
      <c r="HV3" s="432" t="s">
        <v>696</v>
      </c>
      <c r="HW3" s="432" t="s">
        <v>2131</v>
      </c>
      <c r="HX3" s="432" t="s">
        <v>1180</v>
      </c>
      <c r="HY3" s="432" t="s">
        <v>1855</v>
      </c>
      <c r="HZ3" s="432" t="s">
        <v>3244</v>
      </c>
      <c r="IA3" s="432" t="s">
        <v>2399</v>
      </c>
      <c r="IB3" s="432" t="s">
        <v>2135</v>
      </c>
      <c r="IC3" s="586" t="s">
        <v>1854</v>
      </c>
      <c r="ID3" s="432" t="s">
        <v>693</v>
      </c>
      <c r="IE3" s="432" t="s">
        <v>697</v>
      </c>
      <c r="IF3" s="432" t="s">
        <v>694</v>
      </c>
      <c r="IG3" s="432" t="s">
        <v>695</v>
      </c>
      <c r="IH3" s="432" t="s">
        <v>2130</v>
      </c>
      <c r="II3" s="432" t="s">
        <v>696</v>
      </c>
      <c r="IJ3" s="432" t="s">
        <v>2131</v>
      </c>
      <c r="IK3" s="432" t="s">
        <v>1180</v>
      </c>
      <c r="IL3" s="432"/>
      <c r="IM3" s="586" t="s">
        <v>1854</v>
      </c>
      <c r="IN3" s="432" t="s">
        <v>693</v>
      </c>
      <c r="IO3" s="432" t="s">
        <v>697</v>
      </c>
      <c r="IP3" s="432" t="s">
        <v>694</v>
      </c>
      <c r="IQ3" s="432" t="s">
        <v>695</v>
      </c>
      <c r="IR3" s="432" t="s">
        <v>2130</v>
      </c>
      <c r="IS3" s="432" t="s">
        <v>696</v>
      </c>
      <c r="IT3" s="432" t="s">
        <v>2131</v>
      </c>
      <c r="IU3" s="432" t="s">
        <v>1180</v>
      </c>
      <c r="IV3" s="1" t="s">
        <v>1855</v>
      </c>
      <c r="IW3" s="1" t="s">
        <v>3244</v>
      </c>
      <c r="IX3" s="4" t="s">
        <v>1854</v>
      </c>
      <c r="IY3" s="1" t="s">
        <v>693</v>
      </c>
      <c r="IZ3" s="1" t="s">
        <v>697</v>
      </c>
      <c r="JA3" s="1" t="s">
        <v>694</v>
      </c>
      <c r="JB3" s="1" t="s">
        <v>695</v>
      </c>
      <c r="JC3" s="1" t="s">
        <v>1903</v>
      </c>
      <c r="JD3" s="1" t="s">
        <v>696</v>
      </c>
      <c r="JE3" s="432" t="s">
        <v>2131</v>
      </c>
      <c r="JF3" s="432" t="s">
        <v>1180</v>
      </c>
      <c r="JG3" s="432" t="s">
        <v>2209</v>
      </c>
      <c r="JH3" s="432" t="s">
        <v>1855</v>
      </c>
      <c r="JI3" s="4" t="s">
        <v>1854</v>
      </c>
      <c r="JJ3" s="1" t="s">
        <v>693</v>
      </c>
      <c r="JK3" s="1" t="s">
        <v>697</v>
      </c>
      <c r="JL3" s="1" t="s">
        <v>694</v>
      </c>
      <c r="JM3" s="1" t="s">
        <v>695</v>
      </c>
      <c r="JN3" s="1" t="s">
        <v>1903</v>
      </c>
      <c r="JO3" s="1" t="s">
        <v>696</v>
      </c>
      <c r="JP3" s="432" t="s">
        <v>2131</v>
      </c>
      <c r="JQ3" s="432" t="s">
        <v>1180</v>
      </c>
      <c r="JR3" s="432" t="s">
        <v>2209</v>
      </c>
      <c r="JS3" s="432" t="s">
        <v>1855</v>
      </c>
      <c r="JT3" s="4" t="s">
        <v>1854</v>
      </c>
      <c r="JU3" s="1" t="s">
        <v>693</v>
      </c>
      <c r="JV3" s="1" t="s">
        <v>697</v>
      </c>
      <c r="JW3" s="1" t="s">
        <v>694</v>
      </c>
      <c r="JX3" s="1" t="s">
        <v>695</v>
      </c>
      <c r="JY3" s="1" t="s">
        <v>1903</v>
      </c>
      <c r="JZ3" s="1" t="s">
        <v>696</v>
      </c>
      <c r="KA3" s="432" t="s">
        <v>2131</v>
      </c>
      <c r="KB3" s="432" t="s">
        <v>1180</v>
      </c>
      <c r="KC3" s="432" t="s">
        <v>2262</v>
      </c>
      <c r="KD3" s="432" t="s">
        <v>1855</v>
      </c>
      <c r="KE3" s="4" t="s">
        <v>1854</v>
      </c>
      <c r="KF3" s="1" t="s">
        <v>693</v>
      </c>
      <c r="KG3" s="1" t="s">
        <v>697</v>
      </c>
      <c r="KH3" s="1" t="s">
        <v>694</v>
      </c>
      <c r="KI3" s="1" t="s">
        <v>695</v>
      </c>
      <c r="KJ3" s="1" t="s">
        <v>1903</v>
      </c>
      <c r="KK3" s="1" t="s">
        <v>696</v>
      </c>
      <c r="KL3" s="432" t="s">
        <v>2131</v>
      </c>
      <c r="KM3" s="432" t="s">
        <v>1180</v>
      </c>
      <c r="KN3" s="432" t="s">
        <v>2262</v>
      </c>
      <c r="KO3" s="1" t="s">
        <v>1855</v>
      </c>
      <c r="KP3" s="4" t="s">
        <v>1854</v>
      </c>
      <c r="KQ3" s="1" t="s">
        <v>693</v>
      </c>
      <c r="KR3" s="1" t="s">
        <v>697</v>
      </c>
      <c r="KS3" s="1" t="s">
        <v>694</v>
      </c>
      <c r="KT3" s="1" t="s">
        <v>695</v>
      </c>
      <c r="KU3" s="1" t="s">
        <v>1903</v>
      </c>
      <c r="KV3" s="1" t="s">
        <v>696</v>
      </c>
      <c r="KW3" s="432" t="s">
        <v>2131</v>
      </c>
      <c r="KX3" s="432" t="s">
        <v>1180</v>
      </c>
      <c r="KY3" s="432" t="s">
        <v>2262</v>
      </c>
      <c r="KZ3" s="1" t="s">
        <v>1855</v>
      </c>
      <c r="LA3" s="4" t="s">
        <v>1854</v>
      </c>
      <c r="LB3" s="1" t="s">
        <v>693</v>
      </c>
      <c r="LC3" s="1" t="s">
        <v>697</v>
      </c>
      <c r="LD3" s="1" t="s">
        <v>694</v>
      </c>
      <c r="LE3" s="1" t="s">
        <v>695</v>
      </c>
      <c r="LF3" s="1" t="s">
        <v>1903</v>
      </c>
      <c r="LG3" s="1" t="s">
        <v>696</v>
      </c>
      <c r="LH3" s="432" t="s">
        <v>2131</v>
      </c>
      <c r="LI3" s="432" t="s">
        <v>1180</v>
      </c>
      <c r="LJ3" s="432" t="s">
        <v>2262</v>
      </c>
      <c r="LK3" s="1" t="s">
        <v>1855</v>
      </c>
      <c r="LL3" s="4" t="s">
        <v>1854</v>
      </c>
      <c r="LM3" s="1" t="s">
        <v>693</v>
      </c>
      <c r="LN3" s="1" t="s">
        <v>697</v>
      </c>
      <c r="LO3" s="1" t="s">
        <v>694</v>
      </c>
      <c r="LP3" s="1" t="s">
        <v>695</v>
      </c>
      <c r="LQ3" s="1" t="s">
        <v>1903</v>
      </c>
      <c r="LR3" s="1" t="s">
        <v>696</v>
      </c>
      <c r="LS3" s="432" t="s">
        <v>2131</v>
      </c>
      <c r="LT3" s="432" t="s">
        <v>2204</v>
      </c>
      <c r="LU3" s="432" t="s">
        <v>2202</v>
      </c>
      <c r="LV3" s="432" t="s">
        <v>1180</v>
      </c>
      <c r="LW3" s="432" t="s">
        <v>2201</v>
      </c>
      <c r="LX3" s="1" t="s">
        <v>1855</v>
      </c>
      <c r="LY3" s="4" t="s">
        <v>1854</v>
      </c>
      <c r="LZ3" s="1" t="s">
        <v>693</v>
      </c>
      <c r="MA3" s="1" t="s">
        <v>697</v>
      </c>
      <c r="MB3" s="1" t="s">
        <v>694</v>
      </c>
      <c r="MC3" s="1" t="s">
        <v>695</v>
      </c>
      <c r="MD3" s="1" t="s">
        <v>1903</v>
      </c>
      <c r="ME3" s="1" t="s">
        <v>2207</v>
      </c>
      <c r="MF3" s="1" t="s">
        <v>696</v>
      </c>
      <c r="MG3" s="432" t="s">
        <v>2131</v>
      </c>
      <c r="MH3" s="432" t="s">
        <v>2204</v>
      </c>
      <c r="MI3" s="432" t="s">
        <v>2202</v>
      </c>
      <c r="MJ3" s="432" t="s">
        <v>1180</v>
      </c>
      <c r="MK3" s="432" t="s">
        <v>2201</v>
      </c>
      <c r="ML3" s="1" t="s">
        <v>1855</v>
      </c>
      <c r="MM3" s="4" t="s">
        <v>1854</v>
      </c>
      <c r="MN3" s="1" t="s">
        <v>693</v>
      </c>
      <c r="MO3" s="1" t="s">
        <v>697</v>
      </c>
      <c r="MP3" s="1" t="s">
        <v>694</v>
      </c>
      <c r="MQ3" s="1" t="s">
        <v>695</v>
      </c>
      <c r="MR3" s="1" t="s">
        <v>1903</v>
      </c>
      <c r="MS3" s="1" t="s">
        <v>696</v>
      </c>
      <c r="MT3" s="432" t="s">
        <v>2131</v>
      </c>
      <c r="MU3" s="432" t="s">
        <v>1180</v>
      </c>
      <c r="MV3" s="432" t="s">
        <v>2201</v>
      </c>
      <c r="MW3" s="1" t="s">
        <v>1855</v>
      </c>
      <c r="MX3" s="4" t="s">
        <v>1854</v>
      </c>
      <c r="MY3" s="1" t="s">
        <v>693</v>
      </c>
      <c r="MZ3" s="1" t="s">
        <v>697</v>
      </c>
      <c r="NA3" s="1" t="s">
        <v>694</v>
      </c>
      <c r="NB3" s="1" t="s">
        <v>695</v>
      </c>
      <c r="NC3" s="1" t="s">
        <v>1903</v>
      </c>
      <c r="ND3" s="1" t="s">
        <v>696</v>
      </c>
      <c r="NE3" s="432" t="s">
        <v>2131</v>
      </c>
      <c r="NF3" s="432" t="s">
        <v>1180</v>
      </c>
      <c r="NG3" s="432" t="s">
        <v>2201</v>
      </c>
      <c r="NH3" s="1" t="s">
        <v>1855</v>
      </c>
      <c r="NI3" s="612" t="s">
        <v>1854</v>
      </c>
      <c r="NJ3" s="1" t="s">
        <v>2215</v>
      </c>
      <c r="NK3" s="1" t="s">
        <v>2218</v>
      </c>
      <c r="NL3" s="1" t="s">
        <v>1678</v>
      </c>
      <c r="NM3" s="1" t="s">
        <v>1655</v>
      </c>
      <c r="NN3" s="1" t="s">
        <v>2219</v>
      </c>
      <c r="NO3" s="1" t="s">
        <v>2220</v>
      </c>
      <c r="NP3" s="1" t="s">
        <v>2216</v>
      </c>
      <c r="NQ3" s="1" t="s">
        <v>1829</v>
      </c>
      <c r="NR3" s="612" t="s">
        <v>1854</v>
      </c>
      <c r="NS3" s="1" t="s">
        <v>2215</v>
      </c>
      <c r="NT3" s="1" t="s">
        <v>2218</v>
      </c>
      <c r="NU3" s="1" t="s">
        <v>1678</v>
      </c>
      <c r="NV3" s="1" t="s">
        <v>1655</v>
      </c>
      <c r="NW3" s="1" t="s">
        <v>2219</v>
      </c>
      <c r="NX3" s="1" t="s">
        <v>2220</v>
      </c>
      <c r="NY3" s="1" t="s">
        <v>2216</v>
      </c>
      <c r="NZ3" s="612" t="s">
        <v>1854</v>
      </c>
      <c r="OA3" s="1" t="s">
        <v>2215</v>
      </c>
      <c r="OB3" s="1" t="s">
        <v>2218</v>
      </c>
      <c r="OC3" s="1" t="s">
        <v>1678</v>
      </c>
      <c r="OD3" s="1" t="s">
        <v>1655</v>
      </c>
      <c r="OE3" s="1" t="s">
        <v>2219</v>
      </c>
      <c r="OF3" s="1" t="s">
        <v>2220</v>
      </c>
      <c r="OG3" s="1" t="s">
        <v>2216</v>
      </c>
      <c r="OH3" s="612" t="s">
        <v>1854</v>
      </c>
      <c r="OI3" s="1" t="s">
        <v>2215</v>
      </c>
      <c r="OJ3" s="1" t="s">
        <v>2218</v>
      </c>
      <c r="OK3" s="1" t="s">
        <v>1678</v>
      </c>
      <c r="OL3" s="1" t="s">
        <v>1655</v>
      </c>
      <c r="OM3" s="1" t="s">
        <v>2219</v>
      </c>
      <c r="ON3" s="1" t="s">
        <v>2220</v>
      </c>
      <c r="OO3" s="1" t="s">
        <v>2216</v>
      </c>
      <c r="OP3" s="612" t="s">
        <v>1854</v>
      </c>
      <c r="OQ3" s="1" t="s">
        <v>2215</v>
      </c>
      <c r="OR3" s="1" t="s">
        <v>2218</v>
      </c>
      <c r="OS3" s="1" t="s">
        <v>1678</v>
      </c>
      <c r="OT3" s="1" t="s">
        <v>1655</v>
      </c>
      <c r="OU3" s="1" t="s">
        <v>2219</v>
      </c>
      <c r="OV3" s="1" t="s">
        <v>2220</v>
      </c>
      <c r="OW3" s="1" t="s">
        <v>2216</v>
      </c>
      <c r="OX3" s="612" t="s">
        <v>1854</v>
      </c>
      <c r="OY3" s="1" t="s">
        <v>2215</v>
      </c>
      <c r="OZ3" s="1" t="s">
        <v>2218</v>
      </c>
      <c r="PA3" s="1" t="s">
        <v>1678</v>
      </c>
      <c r="PB3" s="1" t="s">
        <v>1655</v>
      </c>
      <c r="PC3" s="1" t="s">
        <v>2219</v>
      </c>
      <c r="PD3" s="1" t="s">
        <v>2220</v>
      </c>
      <c r="PE3" s="1" t="s">
        <v>2216</v>
      </c>
      <c r="PF3" s="612" t="s">
        <v>1854</v>
      </c>
      <c r="PG3" s="1" t="s">
        <v>2215</v>
      </c>
      <c r="PH3" s="1" t="s">
        <v>2218</v>
      </c>
      <c r="PI3" s="1" t="s">
        <v>1678</v>
      </c>
      <c r="PJ3" s="1" t="s">
        <v>1655</v>
      </c>
      <c r="PK3" s="1" t="s">
        <v>2219</v>
      </c>
      <c r="PL3" s="1" t="s">
        <v>2220</v>
      </c>
      <c r="PM3" s="1" t="s">
        <v>2216</v>
      </c>
      <c r="PN3" s="612" t="s">
        <v>1854</v>
      </c>
      <c r="PO3" s="1" t="s">
        <v>2215</v>
      </c>
      <c r="PP3" s="1" t="s">
        <v>2218</v>
      </c>
      <c r="PQ3" s="1" t="s">
        <v>1678</v>
      </c>
      <c r="PR3" s="1" t="s">
        <v>1655</v>
      </c>
      <c r="PS3" s="1" t="s">
        <v>2219</v>
      </c>
      <c r="PT3" s="1" t="s">
        <v>2220</v>
      </c>
      <c r="PU3" s="1" t="s">
        <v>2216</v>
      </c>
      <c r="PV3" s="1" t="s">
        <v>1829</v>
      </c>
      <c r="PW3" s="612" t="s">
        <v>1854</v>
      </c>
      <c r="PX3" s="1" t="s">
        <v>2215</v>
      </c>
      <c r="PY3" s="1" t="s">
        <v>2218</v>
      </c>
      <c r="PZ3" s="1" t="s">
        <v>1678</v>
      </c>
      <c r="QA3" s="1" t="s">
        <v>1655</v>
      </c>
      <c r="QB3" s="1" t="s">
        <v>2219</v>
      </c>
      <c r="QC3" s="1" t="s">
        <v>2220</v>
      </c>
      <c r="QD3" s="1" t="s">
        <v>2216</v>
      </c>
      <c r="QE3" s="612" t="s">
        <v>1854</v>
      </c>
      <c r="QF3" s="1" t="s">
        <v>2215</v>
      </c>
      <c r="QG3" s="1" t="s">
        <v>2218</v>
      </c>
      <c r="QH3" s="1" t="s">
        <v>1678</v>
      </c>
      <c r="QI3" s="1" t="s">
        <v>1655</v>
      </c>
      <c r="QJ3" s="1" t="s">
        <v>2219</v>
      </c>
      <c r="QK3" s="1" t="s">
        <v>2220</v>
      </c>
      <c r="QL3" s="1" t="s">
        <v>2216</v>
      </c>
      <c r="QM3" s="612" t="s">
        <v>1854</v>
      </c>
      <c r="QN3" s="1" t="s">
        <v>2215</v>
      </c>
      <c r="QO3" s="1" t="s">
        <v>2218</v>
      </c>
      <c r="QP3" s="1" t="s">
        <v>1678</v>
      </c>
      <c r="QQ3" s="1" t="s">
        <v>1655</v>
      </c>
      <c r="QR3" s="1" t="s">
        <v>2219</v>
      </c>
      <c r="QS3" s="1" t="s">
        <v>2220</v>
      </c>
      <c r="QT3" s="1" t="s">
        <v>2216</v>
      </c>
      <c r="QU3" s="612" t="s">
        <v>1854</v>
      </c>
      <c r="QV3" s="1" t="s">
        <v>2215</v>
      </c>
      <c r="QW3" s="1" t="s">
        <v>2218</v>
      </c>
      <c r="QX3" s="1" t="s">
        <v>1678</v>
      </c>
      <c r="QY3" s="1" t="s">
        <v>1655</v>
      </c>
      <c r="QZ3" s="1" t="s">
        <v>2219</v>
      </c>
      <c r="RA3" s="1" t="s">
        <v>2220</v>
      </c>
      <c r="RB3" s="1" t="s">
        <v>2216</v>
      </c>
      <c r="RC3" s="612" t="s">
        <v>1854</v>
      </c>
      <c r="RD3" s="1" t="s">
        <v>2215</v>
      </c>
      <c r="RE3" s="1" t="s">
        <v>2218</v>
      </c>
      <c r="RF3" s="1" t="s">
        <v>1678</v>
      </c>
      <c r="RG3" s="1" t="s">
        <v>1655</v>
      </c>
      <c r="RH3" s="1" t="s">
        <v>2219</v>
      </c>
      <c r="RI3" s="1" t="s">
        <v>2220</v>
      </c>
      <c r="RJ3" s="1" t="s">
        <v>2216</v>
      </c>
      <c r="RK3" s="612" t="s">
        <v>1854</v>
      </c>
      <c r="RL3" s="1" t="s">
        <v>2215</v>
      </c>
      <c r="RM3" s="1" t="s">
        <v>2218</v>
      </c>
      <c r="RN3" s="1" t="s">
        <v>1678</v>
      </c>
      <c r="RO3" s="1" t="s">
        <v>1655</v>
      </c>
      <c r="RP3" s="1" t="s">
        <v>2219</v>
      </c>
      <c r="RQ3" s="1" t="s">
        <v>2220</v>
      </c>
      <c r="RR3" s="1" t="s">
        <v>2216</v>
      </c>
    </row>
    <row r="4" spans="1:486" s="307" customFormat="1" ht="26" customHeight="1">
      <c r="A4" s="307" t="s">
        <v>525</v>
      </c>
      <c r="B4" s="39"/>
      <c r="M4" s="578"/>
      <c r="N4" s="578"/>
      <c r="P4" s="578"/>
      <c r="Q4" s="628"/>
      <c r="R4" s="578"/>
      <c r="S4" s="578"/>
      <c r="T4" s="578"/>
      <c r="U4" s="578"/>
      <c r="V4" s="578"/>
      <c r="W4" s="58"/>
      <c r="AG4" s="307" t="s">
        <v>2188</v>
      </c>
      <c r="AK4" s="653"/>
      <c r="AL4" s="653"/>
      <c r="AP4" s="572"/>
      <c r="AQ4" s="572"/>
      <c r="AR4" s="572"/>
      <c r="AV4" s="307" t="s">
        <v>3226</v>
      </c>
      <c r="AY4" s="39"/>
      <c r="AZ4" s="39"/>
      <c r="BJ4" s="39"/>
      <c r="BK4" s="39"/>
      <c r="BL4" s="45"/>
      <c r="BS4" s="572"/>
      <c r="BW4" s="45"/>
      <c r="CK4" s="653"/>
      <c r="CL4" s="653"/>
      <c r="CT4" s="39"/>
      <c r="CV4" s="39"/>
      <c r="CW4" s="39"/>
      <c r="CX4" s="39"/>
      <c r="CY4" s="39"/>
      <c r="CZ4" s="39"/>
      <c r="DA4" s="39"/>
      <c r="DB4" s="39"/>
      <c r="DD4" s="39"/>
      <c r="DL4" s="45"/>
      <c r="EA4" s="39"/>
      <c r="EB4" s="39"/>
      <c r="EE4" s="39"/>
      <c r="EF4" s="39"/>
      <c r="EG4" s="39"/>
      <c r="EH4" s="307" t="s">
        <v>2192</v>
      </c>
      <c r="EJ4" s="58"/>
      <c r="EO4" s="58" t="s">
        <v>2179</v>
      </c>
      <c r="FJ4" s="45"/>
      <c r="FK4" s="585"/>
      <c r="FL4" s="244" t="s">
        <v>1343</v>
      </c>
      <c r="GR4" s="307" t="s">
        <v>2182</v>
      </c>
      <c r="GS4" s="39"/>
      <c r="GU4" s="45"/>
      <c r="GV4" s="585"/>
      <c r="GW4" s="585"/>
      <c r="GX4" s="585"/>
      <c r="GY4" s="585"/>
      <c r="GZ4" s="585"/>
      <c r="HA4" s="585"/>
      <c r="HB4" s="585"/>
      <c r="HC4" s="585"/>
      <c r="HD4" s="585"/>
      <c r="HE4" s="585"/>
      <c r="HF4" s="585"/>
      <c r="HG4" s="585"/>
      <c r="HH4" s="46"/>
      <c r="HI4" s="46"/>
      <c r="HJ4" s="307" t="s">
        <v>2395</v>
      </c>
      <c r="HP4" s="588" t="s">
        <v>2225</v>
      </c>
      <c r="HQ4" s="573"/>
      <c r="HR4" s="573"/>
      <c r="HS4" s="573"/>
      <c r="HT4" s="573"/>
      <c r="HU4" s="573"/>
      <c r="HV4" s="573"/>
      <c r="HW4" s="573"/>
      <c r="HX4" s="573"/>
      <c r="HY4" s="573"/>
      <c r="HZ4" s="573"/>
      <c r="IA4" s="573"/>
      <c r="IB4" s="573"/>
      <c r="IC4" s="573"/>
      <c r="ID4" s="573"/>
      <c r="IE4" s="573"/>
      <c r="IF4" s="573"/>
      <c r="IG4" s="573"/>
      <c r="IH4" s="573"/>
      <c r="II4" s="573"/>
      <c r="IJ4" s="573"/>
      <c r="IK4" s="573"/>
      <c r="IL4" s="573"/>
      <c r="IM4" s="587"/>
      <c r="IN4" s="573"/>
      <c r="IO4" s="573"/>
      <c r="IP4" s="573"/>
      <c r="IQ4" s="573"/>
      <c r="IR4" s="573"/>
      <c r="IS4" s="573"/>
      <c r="IT4" s="573"/>
      <c r="IU4" s="573"/>
      <c r="IX4" s="58"/>
      <c r="JI4" s="58"/>
      <c r="JT4" s="58"/>
      <c r="KE4" s="58"/>
      <c r="KP4" s="58"/>
      <c r="LA4" s="58"/>
      <c r="LL4" s="58"/>
      <c r="LY4" s="58"/>
      <c r="MM4" s="58"/>
      <c r="MX4" s="58"/>
      <c r="NI4" s="58"/>
      <c r="PN4" s="58"/>
    </row>
    <row r="5" spans="1:486" s="307" customFormat="1" ht="15" customHeight="1">
      <c r="A5" s="568">
        <v>1960</v>
      </c>
      <c r="B5" s="39"/>
      <c r="M5" s="578"/>
      <c r="N5" s="578"/>
      <c r="O5" s="193">
        <v>190700</v>
      </c>
      <c r="P5" s="578"/>
      <c r="Q5" s="628"/>
      <c r="R5" s="578"/>
      <c r="S5" s="578"/>
      <c r="T5" s="578"/>
      <c r="U5" s="578"/>
      <c r="V5" s="578"/>
      <c r="W5" s="45"/>
      <c r="AK5" s="653"/>
      <c r="AL5" s="653"/>
      <c r="AP5" s="572"/>
      <c r="AQ5" s="572"/>
      <c r="AR5" s="572"/>
      <c r="AY5" s="39"/>
      <c r="AZ5" s="39"/>
      <c r="BJ5" s="39"/>
      <c r="BK5" s="39"/>
      <c r="BL5" s="45"/>
      <c r="BS5" s="572"/>
      <c r="BW5" s="45"/>
      <c r="CK5" s="653"/>
      <c r="CL5" s="653"/>
      <c r="CT5" s="39"/>
      <c r="CV5" s="39"/>
      <c r="CW5" s="39"/>
      <c r="CX5" s="39"/>
      <c r="CY5" s="39"/>
      <c r="CZ5" s="39"/>
      <c r="DA5" s="39"/>
      <c r="DB5" s="39"/>
      <c r="DD5" s="39"/>
      <c r="DE5" s="66"/>
      <c r="DF5" s="635">
        <f>'Assets(BoP)'!ES52*1000</f>
        <v>1302</v>
      </c>
      <c r="DG5" s="193">
        <f>'Assets(BoP)'!DA52*1000</f>
        <v>1319</v>
      </c>
      <c r="DI5" s="23">
        <f>'Assets(BoP)'!DA52/'Assets(BoP)'!CZ52</f>
        <v>0.36426401546534104</v>
      </c>
      <c r="DL5" s="45"/>
      <c r="EA5" s="39"/>
      <c r="EB5" s="39"/>
      <c r="EE5" s="39"/>
      <c r="EF5" s="1342">
        <v>0.27817021432804201</v>
      </c>
      <c r="EG5" s="39"/>
      <c r="EH5" s="610">
        <v>1.9</v>
      </c>
      <c r="EI5" s="1343">
        <v>6.221190014818192</v>
      </c>
      <c r="EJ5" s="754"/>
      <c r="EK5" s="610"/>
      <c r="EL5" s="610"/>
      <c r="EM5" s="610"/>
      <c r="EN5" s="610"/>
      <c r="EO5" s="58"/>
      <c r="FJ5" s="45"/>
      <c r="FK5" s="585"/>
      <c r="FL5" s="585"/>
      <c r="GR5" s="330"/>
      <c r="GS5" s="583"/>
      <c r="GT5" s="330"/>
      <c r="GU5" s="45"/>
      <c r="GV5" s="585"/>
      <c r="GW5" s="585"/>
      <c r="GX5" s="585"/>
      <c r="GY5" s="585"/>
      <c r="GZ5" s="585"/>
      <c r="HA5" s="585"/>
      <c r="HB5" s="585"/>
      <c r="HC5" s="585"/>
      <c r="HD5" s="585"/>
      <c r="HE5" s="585"/>
      <c r="HF5" s="585"/>
      <c r="HG5" s="585"/>
      <c r="HH5" s="46"/>
      <c r="HI5" s="46"/>
      <c r="HP5" s="587"/>
      <c r="HQ5" s="573"/>
      <c r="HR5" s="573"/>
      <c r="HS5" s="573"/>
      <c r="HT5" s="573"/>
      <c r="HU5" s="573"/>
      <c r="HV5" s="573"/>
      <c r="HW5" s="573"/>
      <c r="HX5" s="573"/>
      <c r="HY5" s="573"/>
      <c r="HZ5" s="573"/>
      <c r="IA5" s="573"/>
      <c r="IB5" s="573"/>
      <c r="IC5" s="573"/>
      <c r="ID5" s="573"/>
      <c r="IE5" s="573"/>
      <c r="IF5" s="573"/>
      <c r="IG5" s="573"/>
      <c r="IH5" s="573"/>
      <c r="II5" s="573"/>
      <c r="IJ5" s="573"/>
      <c r="IK5" s="573"/>
      <c r="IL5" s="573"/>
      <c r="IM5" s="587"/>
      <c r="IN5" s="573"/>
      <c r="IO5" s="573"/>
      <c r="IP5" s="573"/>
      <c r="IQ5" s="573"/>
      <c r="IR5" s="573"/>
      <c r="IS5" s="573"/>
      <c r="IT5" s="573"/>
      <c r="IU5" s="573"/>
      <c r="IX5" s="58"/>
      <c r="JI5" s="1256"/>
      <c r="JT5" s="58"/>
      <c r="KE5" s="149"/>
      <c r="KP5" s="58"/>
      <c r="LA5" s="58"/>
      <c r="LL5" s="58"/>
      <c r="LY5" s="58"/>
      <c r="MM5" s="58"/>
      <c r="MX5" s="58"/>
      <c r="NI5" s="613"/>
      <c r="PN5" s="58"/>
    </row>
    <row r="6" spans="1:486" s="307" customFormat="1" ht="15" customHeight="1">
      <c r="A6" s="568">
        <v>1961</v>
      </c>
      <c r="B6" s="39"/>
      <c r="C6" s="639" t="s">
        <v>2237</v>
      </c>
      <c r="M6" s="578"/>
      <c r="N6" s="578"/>
      <c r="O6" s="193">
        <v>195600</v>
      </c>
      <c r="P6" s="578"/>
      <c r="Q6" s="628"/>
      <c r="R6" s="578"/>
      <c r="S6" s="578"/>
      <c r="T6" s="578"/>
      <c r="U6" s="578"/>
      <c r="V6" s="578"/>
      <c r="W6" s="45"/>
      <c r="AK6" s="653"/>
      <c r="AL6" s="653"/>
      <c r="AP6" s="572"/>
      <c r="AQ6" s="572"/>
      <c r="AR6" s="572"/>
      <c r="AY6" s="39"/>
      <c r="AZ6" s="39"/>
      <c r="BJ6" s="39"/>
      <c r="BK6" s="39"/>
      <c r="BL6" s="45"/>
      <c r="BS6" s="572"/>
      <c r="BW6" s="45"/>
      <c r="CK6" s="653"/>
      <c r="CL6" s="653"/>
      <c r="CT6" s="39"/>
      <c r="CV6" s="39"/>
      <c r="CW6" s="39"/>
      <c r="CX6" s="39"/>
      <c r="CY6" s="39"/>
      <c r="CZ6" s="39"/>
      <c r="DA6" s="39"/>
      <c r="DB6" s="39"/>
      <c r="DD6" s="39"/>
      <c r="DE6" s="66"/>
      <c r="DF6" s="635">
        <f>'Assets(BoP)'!ES53*1000</f>
        <v>1476</v>
      </c>
      <c r="DG6" s="193">
        <f>'Assets(BoP)'!DA53*1000</f>
        <v>1485</v>
      </c>
      <c r="DI6" s="23">
        <f>'Assets(BoP)'!DA53/'Assets(BoP)'!CZ53</f>
        <v>0.38843839916296108</v>
      </c>
      <c r="DL6" s="45"/>
      <c r="EA6" s="39"/>
      <c r="EB6" s="39"/>
      <c r="EE6" s="39"/>
      <c r="EF6" s="1342">
        <v>0.27756527608742337</v>
      </c>
      <c r="EG6" s="39"/>
      <c r="EH6" s="610">
        <v>1.8</v>
      </c>
      <c r="EI6" s="1343">
        <v>6.1566271855611951</v>
      </c>
      <c r="EJ6" s="754"/>
      <c r="EK6" s="610"/>
      <c r="EL6" s="610"/>
      <c r="EM6" s="610"/>
      <c r="EN6" s="610"/>
      <c r="EO6" s="58"/>
      <c r="FJ6" s="45"/>
      <c r="FK6" s="585"/>
      <c r="FL6" s="585"/>
      <c r="GR6" s="330"/>
      <c r="GS6" s="583"/>
      <c r="GT6" s="330"/>
      <c r="GU6" s="45"/>
      <c r="GV6" s="585"/>
      <c r="GW6" s="585"/>
      <c r="GX6" s="585"/>
      <c r="GY6" s="585"/>
      <c r="GZ6" s="585"/>
      <c r="HA6" s="585"/>
      <c r="HB6" s="585"/>
      <c r="HC6" s="585"/>
      <c r="HD6" s="585"/>
      <c r="HE6" s="585"/>
      <c r="HF6" s="585"/>
      <c r="HG6" s="585"/>
      <c r="HH6" s="46"/>
      <c r="HI6" s="46"/>
      <c r="HP6" s="587"/>
      <c r="HQ6" s="573"/>
      <c r="HR6" s="573"/>
      <c r="HS6" s="573"/>
      <c r="HT6" s="573"/>
      <c r="HU6" s="573"/>
      <c r="HV6" s="573"/>
      <c r="HW6" s="573"/>
      <c r="HX6" s="573"/>
      <c r="HY6" s="573"/>
      <c r="HZ6" s="573"/>
      <c r="IA6" s="573"/>
      <c r="IB6" s="573"/>
      <c r="IC6" s="573"/>
      <c r="ID6" s="573"/>
      <c r="IE6" s="573"/>
      <c r="IF6" s="573"/>
      <c r="IG6" s="573"/>
      <c r="IH6" s="573"/>
      <c r="II6" s="573"/>
      <c r="IJ6" s="573"/>
      <c r="IK6" s="573"/>
      <c r="IL6" s="573"/>
      <c r="IM6" s="587"/>
      <c r="IN6" s="573"/>
      <c r="IO6" s="573"/>
      <c r="IP6" s="573"/>
      <c r="IQ6" s="573"/>
      <c r="IR6" s="573"/>
      <c r="IS6" s="573"/>
      <c r="IT6" s="573"/>
      <c r="IU6" s="573"/>
      <c r="IX6" s="58"/>
      <c r="JI6" s="1256"/>
      <c r="JT6" s="58"/>
      <c r="KE6" s="149"/>
      <c r="KP6" s="58"/>
      <c r="LA6" s="58"/>
      <c r="LL6" s="58"/>
      <c r="LY6" s="58"/>
      <c r="MM6" s="58"/>
      <c r="MX6" s="58"/>
      <c r="NI6" s="613"/>
      <c r="PN6" s="58"/>
    </row>
    <row r="7" spans="1:486" s="307" customFormat="1" ht="15" customHeight="1">
      <c r="A7" s="568">
        <v>1962</v>
      </c>
      <c r="B7" s="39"/>
      <c r="M7" s="578"/>
      <c r="N7" s="578"/>
      <c r="O7" s="193">
        <v>211000</v>
      </c>
      <c r="P7" s="578"/>
      <c r="Q7" s="628"/>
      <c r="R7" s="578"/>
      <c r="S7" s="578"/>
      <c r="T7" s="578"/>
      <c r="U7" s="578"/>
      <c r="V7" s="578"/>
      <c r="W7" s="45"/>
      <c r="AK7" s="653"/>
      <c r="AL7" s="653"/>
      <c r="AP7" s="572"/>
      <c r="AQ7" s="572"/>
      <c r="AR7" s="572"/>
      <c r="AY7" s="39"/>
      <c r="AZ7" s="39"/>
      <c r="BJ7" s="39"/>
      <c r="BK7" s="39"/>
      <c r="BL7" s="45"/>
      <c r="BS7" s="572"/>
      <c r="BW7" s="45"/>
      <c r="CK7" s="653"/>
      <c r="CL7" s="653"/>
      <c r="CT7" s="39"/>
      <c r="CV7" s="39"/>
      <c r="CW7" s="39"/>
      <c r="CX7" s="39"/>
      <c r="CY7" s="39"/>
      <c r="CZ7" s="39"/>
      <c r="DA7" s="39"/>
      <c r="DB7" s="39"/>
      <c r="DD7" s="39"/>
      <c r="DE7" s="66"/>
      <c r="DF7" s="635">
        <f>'Assets(BoP)'!ES54*1000</f>
        <v>1695</v>
      </c>
      <c r="DG7" s="193">
        <f>'Assets(BoP)'!DA54*1000</f>
        <v>1698</v>
      </c>
      <c r="DI7" s="23">
        <f>'Assets(BoP)'!DA54/'Assets(BoP)'!CZ54</f>
        <v>0.40037726951190761</v>
      </c>
      <c r="DL7" s="45"/>
      <c r="EA7" s="39"/>
      <c r="EB7" s="39"/>
      <c r="EE7" s="39"/>
      <c r="EF7" s="1342">
        <v>0.29443546590709818</v>
      </c>
      <c r="EG7" s="39"/>
      <c r="EH7" s="610">
        <v>1.8</v>
      </c>
      <c r="EI7" s="1343">
        <v>6.0848988237917387</v>
      </c>
      <c r="EJ7" s="754"/>
      <c r="EK7" s="610"/>
      <c r="EL7" s="610"/>
      <c r="EM7" s="610"/>
      <c r="EN7" s="610"/>
      <c r="EO7" s="58"/>
      <c r="FJ7" s="45"/>
      <c r="FK7" s="585"/>
      <c r="FL7" s="585"/>
      <c r="GR7" s="330"/>
      <c r="GS7" s="583"/>
      <c r="GT7" s="330"/>
      <c r="GU7" s="45"/>
      <c r="GV7" s="585"/>
      <c r="GW7" s="585"/>
      <c r="GX7" s="585"/>
      <c r="GY7" s="585"/>
      <c r="GZ7" s="585"/>
      <c r="HA7" s="585"/>
      <c r="HB7" s="585"/>
      <c r="HC7" s="585"/>
      <c r="HD7" s="585"/>
      <c r="HE7" s="585"/>
      <c r="HF7" s="585"/>
      <c r="HG7" s="585"/>
      <c r="HH7" s="46"/>
      <c r="HI7" s="46"/>
      <c r="HP7" s="587"/>
      <c r="HQ7" s="573"/>
      <c r="HR7" s="573"/>
      <c r="HS7" s="573"/>
      <c r="HT7" s="573"/>
      <c r="HU7" s="573"/>
      <c r="HV7" s="573"/>
      <c r="HW7" s="573"/>
      <c r="HX7" s="573"/>
      <c r="HY7" s="573"/>
      <c r="HZ7" s="573"/>
      <c r="IA7" s="573"/>
      <c r="IB7" s="573"/>
      <c r="IC7" s="573"/>
      <c r="ID7" s="573"/>
      <c r="IE7" s="573"/>
      <c r="IF7" s="573"/>
      <c r="IG7" s="573"/>
      <c r="IH7" s="573"/>
      <c r="II7" s="573"/>
      <c r="IJ7" s="573"/>
      <c r="IK7" s="573"/>
      <c r="IL7" s="573"/>
      <c r="IM7" s="587"/>
      <c r="IN7" s="573"/>
      <c r="IO7" s="573"/>
      <c r="IP7" s="573"/>
      <c r="IQ7" s="573"/>
      <c r="IR7" s="573"/>
      <c r="IS7" s="573"/>
      <c r="IT7" s="573"/>
      <c r="IU7" s="573"/>
      <c r="IX7" s="58"/>
      <c r="JI7" s="1256"/>
      <c r="JT7" s="58"/>
      <c r="KE7" s="149"/>
      <c r="KP7" s="58"/>
      <c r="LA7" s="58"/>
      <c r="LL7" s="58"/>
      <c r="LY7" s="58"/>
      <c r="MM7" s="58"/>
      <c r="MX7" s="58"/>
      <c r="NI7" s="613"/>
      <c r="PN7" s="58"/>
    </row>
    <row r="8" spans="1:486" s="307" customFormat="1" ht="15" customHeight="1">
      <c r="A8" s="568">
        <v>1963</v>
      </c>
      <c r="B8" s="39"/>
      <c r="M8" s="578"/>
      <c r="N8" s="578"/>
      <c r="O8" s="193">
        <v>222700</v>
      </c>
      <c r="P8" s="578"/>
      <c r="Q8" s="628"/>
      <c r="R8" s="578"/>
      <c r="S8" s="578"/>
      <c r="T8" s="578"/>
      <c r="U8" s="578"/>
      <c r="V8" s="578"/>
      <c r="W8" s="45"/>
      <c r="AK8" s="653"/>
      <c r="AL8" s="653"/>
      <c r="AP8" s="572"/>
      <c r="AQ8" s="572"/>
      <c r="AR8" s="572"/>
      <c r="AY8" s="39"/>
      <c r="AZ8" s="39"/>
      <c r="BJ8" s="39"/>
      <c r="BK8" s="39"/>
      <c r="BL8" s="45"/>
      <c r="BS8" s="572"/>
      <c r="BW8" s="45"/>
      <c r="CK8" s="653"/>
      <c r="CL8" s="653"/>
      <c r="CR8" s="228"/>
      <c r="CS8" s="228"/>
      <c r="CT8" s="39"/>
      <c r="CV8" s="39"/>
      <c r="CW8" s="39"/>
      <c r="CX8" s="39"/>
      <c r="CY8" s="39"/>
      <c r="CZ8" s="39"/>
      <c r="DA8" s="39"/>
      <c r="DB8" s="39"/>
      <c r="DD8" s="39"/>
      <c r="DE8" s="66"/>
      <c r="DF8" s="635">
        <f>'Assets(BoP)'!ES55*1000</f>
        <v>1824</v>
      </c>
      <c r="DG8" s="193">
        <f>'Assets(BoP)'!DA55*1000</f>
        <v>1835</v>
      </c>
      <c r="DI8" s="23">
        <f>'Assets(BoP)'!DA55/'Assets(BoP)'!CZ55</f>
        <v>0.39581535806729939</v>
      </c>
      <c r="DK8" s="600"/>
      <c r="DL8" s="45"/>
      <c r="EA8" s="39"/>
      <c r="EB8" s="39"/>
      <c r="EE8" s="39"/>
      <c r="EF8" s="1342">
        <v>0.30859085540291109</v>
      </c>
      <c r="EG8" s="39"/>
      <c r="EH8" s="610">
        <v>1.8</v>
      </c>
      <c r="EI8" s="1343">
        <v>6.0148225699801632</v>
      </c>
      <c r="EJ8" s="754"/>
      <c r="EK8" s="610"/>
      <c r="EL8" s="610"/>
      <c r="EM8" s="610"/>
      <c r="EN8" s="610"/>
      <c r="EO8" s="58"/>
      <c r="FJ8" s="45"/>
      <c r="FK8" s="585"/>
      <c r="FL8" s="585"/>
      <c r="GR8" s="330"/>
      <c r="GS8" s="583"/>
      <c r="GT8" s="330"/>
      <c r="GU8" s="45"/>
      <c r="GV8" s="585"/>
      <c r="GW8" s="585"/>
      <c r="GX8" s="585"/>
      <c r="GY8" s="585"/>
      <c r="GZ8" s="585"/>
      <c r="HA8" s="585"/>
      <c r="HB8" s="585"/>
      <c r="HC8" s="585"/>
      <c r="HD8" s="585"/>
      <c r="HE8" s="585"/>
      <c r="HF8" s="585"/>
      <c r="HG8" s="585"/>
      <c r="HH8" s="46"/>
      <c r="HI8" s="46"/>
      <c r="HP8" s="587"/>
      <c r="HQ8" s="573"/>
      <c r="HR8" s="573"/>
      <c r="HS8" s="573"/>
      <c r="HT8" s="573"/>
      <c r="HU8" s="573"/>
      <c r="HV8" s="573"/>
      <c r="HW8" s="573"/>
      <c r="HX8" s="573"/>
      <c r="HY8" s="573"/>
      <c r="HZ8" s="573"/>
      <c r="IA8" s="573"/>
      <c r="IB8" s="573"/>
      <c r="IC8" s="573"/>
      <c r="ID8" s="573"/>
      <c r="IE8" s="573"/>
      <c r="IF8" s="573"/>
      <c r="IG8" s="573"/>
      <c r="IH8" s="573"/>
      <c r="II8" s="573"/>
      <c r="IJ8" s="573"/>
      <c r="IK8" s="573"/>
      <c r="IL8" s="573"/>
      <c r="IM8" s="587"/>
      <c r="IN8" s="573"/>
      <c r="IO8" s="573"/>
      <c r="IP8" s="573"/>
      <c r="IQ8" s="573"/>
      <c r="IR8" s="573"/>
      <c r="IS8" s="573"/>
      <c r="IT8" s="573"/>
      <c r="IU8" s="573"/>
      <c r="IX8" s="58"/>
      <c r="JI8" s="1256"/>
      <c r="JT8" s="58"/>
      <c r="KE8" s="149"/>
      <c r="KP8" s="58"/>
      <c r="LA8" s="58"/>
      <c r="LL8" s="58"/>
      <c r="LY8" s="58"/>
      <c r="MM8" s="58"/>
      <c r="MX8" s="58"/>
      <c r="NI8" s="613"/>
      <c r="PN8" s="58"/>
    </row>
    <row r="9" spans="1:486" s="307" customFormat="1" ht="15" customHeight="1">
      <c r="A9" s="568">
        <v>1964</v>
      </c>
      <c r="B9" s="39"/>
      <c r="C9" s="627"/>
      <c r="D9" s="627"/>
      <c r="E9" s="627"/>
      <c r="F9" s="627"/>
      <c r="G9" s="627"/>
      <c r="H9" s="627"/>
      <c r="I9" s="627"/>
      <c r="J9" s="627"/>
      <c r="K9" s="627"/>
      <c r="M9" s="578"/>
      <c r="N9" s="578"/>
      <c r="O9" s="193">
        <v>239200</v>
      </c>
      <c r="P9" s="578"/>
      <c r="Q9" s="628"/>
      <c r="R9" s="578"/>
      <c r="S9" s="578"/>
      <c r="T9" s="578"/>
      <c r="U9" s="578"/>
      <c r="V9" s="578"/>
      <c r="W9" s="45"/>
      <c r="AK9" s="653"/>
      <c r="AL9" s="653"/>
      <c r="AP9" s="572"/>
      <c r="AQ9" s="572"/>
      <c r="AR9" s="572"/>
      <c r="AY9" s="39"/>
      <c r="AZ9" s="39"/>
      <c r="BJ9" s="39"/>
      <c r="BK9" s="39"/>
      <c r="BL9" s="45"/>
      <c r="BS9" s="572"/>
      <c r="BW9" s="45"/>
      <c r="CK9" s="653"/>
      <c r="CL9" s="653"/>
      <c r="CR9" s="228"/>
      <c r="CS9" s="228"/>
      <c r="CT9" s="39"/>
      <c r="CV9" s="608"/>
      <c r="CW9" s="608"/>
      <c r="CX9" s="184"/>
      <c r="CY9" s="608"/>
      <c r="CZ9" s="184"/>
      <c r="DA9" s="608"/>
      <c r="DB9" s="608"/>
      <c r="DD9" s="608"/>
      <c r="DE9" s="66"/>
      <c r="DF9" s="635">
        <f>'Assets(BoP)'!ES56*1000</f>
        <v>1808</v>
      </c>
      <c r="DG9" s="193">
        <f>'Assets(BoP)'!DA56*1000</f>
        <v>1821</v>
      </c>
      <c r="DI9" s="23">
        <f>'Assets(BoP)'!DA56/'Assets(BoP)'!CZ56</f>
        <v>0.35663924794359575</v>
      </c>
      <c r="DK9" s="600"/>
      <c r="DL9" s="45"/>
      <c r="EA9" s="39"/>
      <c r="EB9" s="39"/>
      <c r="EE9" s="39"/>
      <c r="EF9" s="1342">
        <v>0.3176896061543607</v>
      </c>
      <c r="EG9" s="39"/>
      <c r="EH9" s="610">
        <v>1.8</v>
      </c>
      <c r="EI9" s="1343">
        <v>5.9279352666449432</v>
      </c>
      <c r="EJ9" s="754"/>
      <c r="EK9" s="610"/>
      <c r="EL9" s="610"/>
      <c r="EM9" s="610"/>
      <c r="EN9" s="610"/>
      <c r="EO9" s="58"/>
      <c r="FJ9" s="45"/>
      <c r="FK9" s="585"/>
      <c r="FL9" s="585"/>
      <c r="GR9" s="330"/>
      <c r="GS9" s="583"/>
      <c r="GT9" s="330"/>
      <c r="GU9" s="45"/>
      <c r="GV9" s="585"/>
      <c r="GW9" s="585"/>
      <c r="GX9" s="585"/>
      <c r="GY9" s="585"/>
      <c r="GZ9" s="585"/>
      <c r="HA9" s="585"/>
      <c r="HB9" s="585"/>
      <c r="HC9" s="585"/>
      <c r="HD9" s="585"/>
      <c r="HE9" s="585"/>
      <c r="HF9" s="585"/>
      <c r="HG9" s="585"/>
      <c r="HH9" s="46"/>
      <c r="HI9" s="46"/>
      <c r="HP9" s="587"/>
      <c r="HQ9" s="573"/>
      <c r="HR9" s="573"/>
      <c r="HS9" s="573"/>
      <c r="HT9" s="573"/>
      <c r="HU9" s="573"/>
      <c r="HV9" s="573"/>
      <c r="HW9" s="573"/>
      <c r="HX9" s="573"/>
      <c r="HY9" s="573"/>
      <c r="HZ9" s="573"/>
      <c r="IA9" s="573"/>
      <c r="IB9" s="573"/>
      <c r="IC9" s="573"/>
      <c r="ID9" s="573"/>
      <c r="IE9" s="573"/>
      <c r="IF9" s="573"/>
      <c r="IG9" s="573"/>
      <c r="IH9" s="573"/>
      <c r="II9" s="573"/>
      <c r="IJ9" s="573"/>
      <c r="IK9" s="573"/>
      <c r="IL9" s="573"/>
      <c r="IM9" s="587"/>
      <c r="IN9" s="573"/>
      <c r="IO9" s="573"/>
      <c r="IP9" s="573"/>
      <c r="IQ9" s="573"/>
      <c r="IR9" s="573"/>
      <c r="IS9" s="573"/>
      <c r="IT9" s="573"/>
      <c r="IU9" s="573"/>
      <c r="IX9" s="58"/>
      <c r="JI9" s="1256"/>
      <c r="JT9" s="58"/>
      <c r="KE9" s="149"/>
      <c r="KP9" s="58"/>
      <c r="LA9" s="58"/>
      <c r="LL9" s="58"/>
      <c r="LY9" s="58"/>
      <c r="MM9" s="58"/>
      <c r="MX9" s="58"/>
      <c r="NI9" s="613"/>
      <c r="PN9" s="58"/>
    </row>
    <row r="10" spans="1:486" s="307" customFormat="1" ht="15" customHeight="1">
      <c r="A10" s="568">
        <v>1965</v>
      </c>
      <c r="B10" s="39"/>
      <c r="C10" s="627"/>
      <c r="D10" s="627"/>
      <c r="E10" s="627"/>
      <c r="F10" s="627"/>
      <c r="G10" s="627"/>
      <c r="H10" s="627"/>
      <c r="I10" s="627"/>
      <c r="J10" s="627"/>
      <c r="K10" s="627"/>
      <c r="M10" s="578"/>
      <c r="N10" s="578"/>
      <c r="O10" s="193">
        <v>259899.99999999997</v>
      </c>
      <c r="P10" s="578"/>
      <c r="Q10" s="628"/>
      <c r="R10" s="578"/>
      <c r="S10" s="578"/>
      <c r="T10" s="578"/>
      <c r="U10" s="578"/>
      <c r="V10" s="578"/>
      <c r="W10" s="592"/>
      <c r="AK10" s="653"/>
      <c r="AL10" s="653"/>
      <c r="AP10" s="572"/>
      <c r="AQ10" s="572"/>
      <c r="AR10" s="572"/>
      <c r="AY10" s="39"/>
      <c r="AZ10" s="39"/>
      <c r="BJ10" s="39"/>
      <c r="BK10" s="39"/>
      <c r="BL10" s="592"/>
      <c r="BS10" s="572"/>
      <c r="BW10" s="45"/>
      <c r="BY10" s="193"/>
      <c r="BZ10" s="193"/>
      <c r="CK10" s="653"/>
      <c r="CL10" s="653"/>
      <c r="CR10" s="228"/>
      <c r="CS10" s="228"/>
      <c r="CT10" s="39"/>
      <c r="CV10" s="608"/>
      <c r="CW10" s="608"/>
      <c r="CX10" s="184"/>
      <c r="CY10" s="608"/>
      <c r="CZ10" s="184"/>
      <c r="DA10" s="608"/>
      <c r="DB10" s="608"/>
      <c r="DD10" s="608"/>
      <c r="DE10" s="66"/>
      <c r="DF10" s="635">
        <f>'Assets(BoP)'!ES57*1000</f>
        <v>1830</v>
      </c>
      <c r="DG10" s="193">
        <f>'Assets(BoP)'!DA57*1000</f>
        <v>1854</v>
      </c>
      <c r="DI10" s="23">
        <f>'Assets(BoP)'!DA57/'Assets(BoP)'!CZ57</f>
        <v>0.3367235742826008</v>
      </c>
      <c r="DK10" s="600"/>
      <c r="DL10" s="45"/>
      <c r="EA10" s="39"/>
      <c r="EB10" s="39"/>
      <c r="EE10" s="39"/>
      <c r="EF10" s="1342">
        <v>0.33756503401779397</v>
      </c>
      <c r="EG10" s="39"/>
      <c r="EH10" s="610">
        <v>1.8</v>
      </c>
      <c r="EI10" s="1343">
        <v>5.8432096782827463</v>
      </c>
      <c r="EJ10" s="754"/>
      <c r="EK10" s="610"/>
      <c r="EL10" s="610"/>
      <c r="EM10" s="610"/>
      <c r="EN10" s="610"/>
      <c r="EO10" s="58"/>
      <c r="FJ10" s="45"/>
      <c r="FK10" s="585"/>
      <c r="FL10" s="585"/>
      <c r="GR10" s="330">
        <v>29</v>
      </c>
      <c r="GS10" s="583"/>
      <c r="GT10" s="330"/>
      <c r="GU10" s="45"/>
      <c r="GV10" s="585"/>
      <c r="GW10" s="585"/>
      <c r="GX10" s="585"/>
      <c r="GY10" s="585"/>
      <c r="GZ10" s="585"/>
      <c r="HA10" s="585"/>
      <c r="HB10" s="585"/>
      <c r="HC10" s="585"/>
      <c r="HD10" s="585"/>
      <c r="HE10" s="585"/>
      <c r="HF10" s="585"/>
      <c r="HG10" s="585"/>
      <c r="HH10" s="46"/>
      <c r="HI10" s="46"/>
      <c r="HP10" s="587"/>
      <c r="HQ10" s="573"/>
      <c r="HR10" s="573"/>
      <c r="HS10" s="573"/>
      <c r="HT10" s="573"/>
      <c r="HU10" s="573"/>
      <c r="HV10" s="573"/>
      <c r="HW10" s="573"/>
      <c r="HX10" s="573"/>
      <c r="HY10" s="573"/>
      <c r="HZ10" s="573"/>
      <c r="IA10" s="573"/>
      <c r="IB10" s="573"/>
      <c r="IC10" s="573"/>
      <c r="ID10" s="573"/>
      <c r="IE10" s="573"/>
      <c r="IF10" s="573"/>
      <c r="IG10" s="573"/>
      <c r="IH10" s="573"/>
      <c r="II10" s="573"/>
      <c r="IJ10" s="573"/>
      <c r="IK10" s="573"/>
      <c r="IL10" s="573"/>
      <c r="IM10" s="587"/>
      <c r="IN10" s="573"/>
      <c r="IO10" s="573"/>
      <c r="IP10" s="573"/>
      <c r="IQ10" s="573"/>
      <c r="IR10" s="573"/>
      <c r="IS10" s="573"/>
      <c r="IT10" s="573"/>
      <c r="IU10" s="573"/>
      <c r="IX10" s="58"/>
      <c r="JI10" s="1256"/>
      <c r="JT10" s="58"/>
      <c r="KE10" s="149"/>
      <c r="KP10" s="58"/>
      <c r="LA10" s="58"/>
      <c r="LL10" s="58"/>
      <c r="LY10" s="58"/>
      <c r="MM10" s="58"/>
      <c r="MX10" s="58"/>
      <c r="NI10" s="613"/>
      <c r="PN10" s="58"/>
    </row>
    <row r="11" spans="1:486" s="567" customFormat="1">
      <c r="A11" s="568">
        <v>1966</v>
      </c>
      <c r="B11" s="33">
        <f>B64</f>
        <v>14176</v>
      </c>
      <c r="C11" s="193">
        <f t="shared" ref="C11:L11" si="1">C64</f>
        <v>19</v>
      </c>
      <c r="D11" s="66">
        <f t="shared" si="1"/>
        <v>15.857909043170418</v>
      </c>
      <c r="E11" s="193">
        <f t="shared" si="1"/>
        <v>207</v>
      </c>
      <c r="F11" s="193">
        <f t="shared" si="1"/>
        <v>167</v>
      </c>
      <c r="G11" s="193">
        <f t="shared" si="1"/>
        <v>122</v>
      </c>
      <c r="H11" s="66">
        <f t="shared" si="1"/>
        <v>30.002082386793884</v>
      </c>
      <c r="I11" s="193">
        <f t="shared" si="1"/>
        <v>560.85999142996423</v>
      </c>
      <c r="J11" s="193">
        <f t="shared" si="1"/>
        <v>13615.140008570035</v>
      </c>
      <c r="K11" s="193">
        <f t="shared" si="1"/>
        <v>11990.140008570035</v>
      </c>
      <c r="L11" s="66">
        <f t="shared" si="1"/>
        <v>1625</v>
      </c>
      <c r="M11" s="140">
        <f>I11/B11</f>
        <v>3.9564051314190482E-2</v>
      </c>
      <c r="N11" s="140">
        <f>L11/B11</f>
        <v>0.11463036117381489</v>
      </c>
      <c r="O11" s="193">
        <v>288500</v>
      </c>
      <c r="P11" s="30">
        <f>B11/O11</f>
        <v>4.9136915077989604E-2</v>
      </c>
      <c r="Q11" s="629">
        <f t="shared" ref="Q11:V11" si="2">C11/$B11</f>
        <v>1.340293453724605E-3</v>
      </c>
      <c r="R11" s="308">
        <f t="shared" si="2"/>
        <v>1.1186448252800802E-3</v>
      </c>
      <c r="S11" s="308">
        <f t="shared" si="2"/>
        <v>1.4602144469525959E-2</v>
      </c>
      <c r="T11" s="308">
        <f t="shared" si="2"/>
        <v>1.1780474040632054E-2</v>
      </c>
      <c r="U11" s="308">
        <f t="shared" si="2"/>
        <v>8.6060948081264112E-3</v>
      </c>
      <c r="V11" s="308">
        <f t="shared" si="2"/>
        <v>2.1163997169013743E-3</v>
      </c>
      <c r="W11" s="622">
        <f>W64</f>
        <v>9422.8154727834772</v>
      </c>
      <c r="X11" s="271">
        <f>X64</f>
        <v>17.890510104369724</v>
      </c>
      <c r="Y11" s="76">
        <f t="shared" ref="Y11:Y34" si="3">FN11/GW11</f>
        <v>7.7810202087394522</v>
      </c>
      <c r="Z11" s="76">
        <f>X11-Y11</f>
        <v>10.109489895630272</v>
      </c>
      <c r="AA11" s="66">
        <f>AA64</f>
        <v>5.0398293221342811</v>
      </c>
      <c r="AB11" s="76">
        <f>ES11+FQ11</f>
        <v>0</v>
      </c>
      <c r="AC11" s="274">
        <f>AA11-AB11</f>
        <v>5.0398293221342811</v>
      </c>
      <c r="AD11" s="271">
        <f>AD64</f>
        <v>48.558064516129036</v>
      </c>
      <c r="AE11" s="357">
        <f t="shared" ref="AE11:AE20" si="4">FT11/HA11</f>
        <v>9.0598242916251852</v>
      </c>
      <c r="AF11" s="274">
        <f>AD11-AE11</f>
        <v>39.498240224503853</v>
      </c>
      <c r="AG11" s="271">
        <f>AG64</f>
        <v>114.02838404277581</v>
      </c>
      <c r="AH11" s="357">
        <f t="shared" ref="AH11:AH25" si="5">FX11/HC11</f>
        <v>0</v>
      </c>
      <c r="AI11" s="76">
        <f t="shared" ref="AI11:AI26" si="6">AG11-AH11</f>
        <v>114.02838404277581</v>
      </c>
      <c r="AJ11" s="271">
        <f>AJ64</f>
        <v>122.06094320449564</v>
      </c>
      <c r="AK11" s="357">
        <f>GA11/HE11</f>
        <v>25.936734029131511</v>
      </c>
      <c r="AL11" s="274">
        <f>AJ11-AK11</f>
        <v>96.124209175364129</v>
      </c>
      <c r="AM11" s="271">
        <f>AM64</f>
        <v>3.7582781456953644</v>
      </c>
      <c r="AN11" s="357">
        <f t="shared" ref="AN11:AN20" si="7">GE11/HG11</f>
        <v>0.97262752609243164</v>
      </c>
      <c r="AO11" s="274">
        <f>AM11-AN11</f>
        <v>2.7856506196029329</v>
      </c>
      <c r="AP11" s="271">
        <f t="shared" ref="AP11:AP42" si="8">AM11+AJ11+AG11+AD11+AA11+X11</f>
        <v>311.3360093355999</v>
      </c>
      <c r="AQ11" s="271">
        <f t="shared" ref="AQ11:AQ42" si="9">AN11+AK11+AH11+AE11+AB11+Y11</f>
        <v>43.750206055588578</v>
      </c>
      <c r="AR11" s="271">
        <f>Z11+AC11+AF11+AI11+AL11+AO11</f>
        <v>267.58580328001131</v>
      </c>
      <c r="AS11" s="271">
        <f>W11-AP11</f>
        <v>9111.4794634478767</v>
      </c>
      <c r="AT11" s="193">
        <f>AS11-AU11</f>
        <v>5621.5369347122451</v>
      </c>
      <c r="AU11" s="66">
        <f>DE11+GK11</f>
        <v>3489.9425287356321</v>
      </c>
      <c r="AV11" s="66"/>
      <c r="AW11" s="66"/>
      <c r="AX11" s="271">
        <f>W11-AU11</f>
        <v>5932.8729440478455</v>
      </c>
      <c r="AY11" s="623">
        <f t="shared" ref="AY11:AY42" si="10">AP11/W11</f>
        <v>3.3040656503871023E-2</v>
      </c>
      <c r="AZ11" s="623">
        <f>(Z11+AC11+AF11+AI11+AL11+AO11)/W11</f>
        <v>2.8397648670176825E-2</v>
      </c>
      <c r="BA11" s="248">
        <f t="shared" ref="BA11:BA42" si="11">(AP11-AQ11)/(W11-AU11)</f>
        <v>4.5102230538826345E-2</v>
      </c>
      <c r="BB11" s="248">
        <f>Z11/$AX11</f>
        <v>1.7039788296448549E-3</v>
      </c>
      <c r="BC11" s="248">
        <f>AC11/$AX11</f>
        <v>8.4947535025008244E-4</v>
      </c>
      <c r="BD11" s="248">
        <f>AF11/$AX11</f>
        <v>6.6575233612798769E-3</v>
      </c>
      <c r="BE11" s="248">
        <f>AI11/$AX11</f>
        <v>1.9219758305657763E-2</v>
      </c>
      <c r="BF11" s="248">
        <f>AL11/$AX11</f>
        <v>1.6201966582109387E-2</v>
      </c>
      <c r="BG11" s="248">
        <f>AO11/$AX11</f>
        <v>4.6952810988437513E-4</v>
      </c>
      <c r="BH11" s="248">
        <f>BC11+BD11</f>
        <v>7.5069987115299591E-3</v>
      </c>
      <c r="BI11" s="248">
        <f t="shared" ref="BI11:BI42" si="12">(AP11-AD11)/(W11-AU11)</f>
        <v>4.4291854435059633E-2</v>
      </c>
      <c r="BJ11" s="623">
        <f t="shared" ref="BJ11:BJ42" si="13">AU11/W11</f>
        <v>0.37037152418147817</v>
      </c>
      <c r="BK11" s="623">
        <f>(AU11-AQ11)/W11</f>
        <v>0.36572851634778397</v>
      </c>
      <c r="BL11" s="622">
        <v>865</v>
      </c>
      <c r="BM11" s="271">
        <v>2</v>
      </c>
      <c r="BN11" s="66">
        <v>0</v>
      </c>
      <c r="BO11" s="271">
        <v>25</v>
      </c>
      <c r="BP11" s="271">
        <v>-16</v>
      </c>
      <c r="BQ11" s="271">
        <v>4</v>
      </c>
      <c r="BR11" s="66">
        <v>0</v>
      </c>
      <c r="BS11" s="193">
        <f>BR11+BQ11+BP11+BO11+BN11+BM11</f>
        <v>15</v>
      </c>
      <c r="BT11" s="193">
        <f>BL11-BS11</f>
        <v>850</v>
      </c>
      <c r="BU11" s="193">
        <f>BT11-BV11</f>
        <v>555</v>
      </c>
      <c r="BV11" s="271">
        <v>295</v>
      </c>
      <c r="BW11" s="48">
        <f>W11-FJ11</f>
        <v>4459.0324503311258</v>
      </c>
      <c r="BX11" s="193">
        <f>X11-FM11</f>
        <v>13.999999999999998</v>
      </c>
      <c r="BY11" s="193">
        <f>Y11-FN11</f>
        <v>6.8083926826470211</v>
      </c>
      <c r="BZ11" s="647">
        <f>(BX11-BY11)/BW11</f>
        <v>1.6128178921009941E-3</v>
      </c>
      <c r="CA11" s="193">
        <f>AA11-FP11</f>
        <v>3.7898293221342811</v>
      </c>
      <c r="CB11" s="193">
        <f>AB11-FQ11</f>
        <v>0</v>
      </c>
      <c r="CC11" s="647">
        <f t="shared" ref="CC11:CC42" si="14">(CA11-CB11)/BW11</f>
        <v>8.4992189770963656E-4</v>
      </c>
      <c r="CD11" s="193">
        <f>AD11-FS11</f>
        <v>25.558064516129036</v>
      </c>
      <c r="CE11" s="193">
        <f>AE11-FT11</f>
        <v>3.224059135070596</v>
      </c>
      <c r="CF11" s="655">
        <f t="shared" ref="CF11:CF42" si="15">(CD11-CE11)/BW11</f>
        <v>5.0087111116224161E-3</v>
      </c>
      <c r="CG11" s="193">
        <f>AG11-FW11</f>
        <v>79.013793103448279</v>
      </c>
      <c r="CH11" s="193">
        <f>AH11-FX11</f>
        <v>0</v>
      </c>
      <c r="CI11" s="23">
        <f t="shared" ref="CI11:CI42" si="16">(CG11-CH11)/BW11</f>
        <v>1.7719941261602784E-2</v>
      </c>
      <c r="CJ11" s="193">
        <f>AJ11-FZ11</f>
        <v>95.799999999999983</v>
      </c>
      <c r="CK11" s="641">
        <f>AK11-GA11</f>
        <v>12.968367014565755</v>
      </c>
      <c r="CL11" s="34">
        <f>(CJ11-CK11)/BW11</f>
        <v>1.8576144916658589E-2</v>
      </c>
      <c r="CM11" s="193">
        <f>AM11-GD11</f>
        <v>2.7582781456953644</v>
      </c>
      <c r="CN11" s="193">
        <f>AN11-GE11</f>
        <v>0.77810202087394531</v>
      </c>
      <c r="CO11" s="23">
        <f>(CM11-CN11)/BW11</f>
        <v>4.4408201709193035E-4</v>
      </c>
      <c r="CP11" s="193">
        <f t="shared" ref="CP11:CP42" si="17">CM11+CJ11+CG11+CD11+CA11+BX11</f>
        <v>220.91996508740692</v>
      </c>
      <c r="CQ11" s="193">
        <f>BY11+CB11+CE11+CH11+CK11+CN11</f>
        <v>23.778920853157317</v>
      </c>
      <c r="CR11" s="271">
        <f t="shared" ref="CR11:CR42" si="18">BW11-CP11</f>
        <v>4238.1124852437188</v>
      </c>
      <c r="CS11" s="248">
        <f>(CP11-CQ11)/BW11</f>
        <v>4.4211619096786343E-2</v>
      </c>
      <c r="CT11" s="30">
        <f t="shared" ref="CT11:CT42" si="19">CP11/BW11</f>
        <v>4.9544372584909423E-2</v>
      </c>
      <c r="CU11" s="308">
        <f t="shared" ref="CU11:CU42" si="20">CV11+CW11+CX11+CY11+CZ11+DB11-CT11</f>
        <v>0</v>
      </c>
      <c r="CV11" s="309">
        <f>BX11/$BW11</f>
        <v>3.1396945763335639E-3</v>
      </c>
      <c r="CW11" s="308">
        <f>CA11/$BW11</f>
        <v>8.4992189770963656E-4</v>
      </c>
      <c r="CX11" s="308">
        <f>CD11/$BW11</f>
        <v>5.7317511816338332E-3</v>
      </c>
      <c r="CY11" s="309">
        <f>CG11/$BW11</f>
        <v>1.7719941261602784E-2</v>
      </c>
      <c r="CZ11" s="309">
        <f>CJ11/$BW11</f>
        <v>2.1484481458053959E-2</v>
      </c>
      <c r="DA11" s="308">
        <f>'Assets(BoP)'!FK58</f>
        <v>2.8056749288102732E-2</v>
      </c>
      <c r="DB11" s="308">
        <f>CM11/$BW11</f>
        <v>6.1858220957565263E-4</v>
      </c>
      <c r="DC11" s="23">
        <f t="shared" ref="DC11:DC42" si="21">(CP11-CQ11)/(BW11-DE11)</f>
        <v>6.1279308020236761E-2</v>
      </c>
      <c r="DD11" s="193">
        <f t="shared" ref="DD11:DD42" si="22">BW11-DE11</f>
        <v>3217.0899215954937</v>
      </c>
      <c r="DE11" s="66">
        <f>FG11</f>
        <v>1241.9425287356321</v>
      </c>
      <c r="DF11" s="635">
        <f>'Assets(BoP)'!ES58*1000</f>
        <v>1482</v>
      </c>
      <c r="DG11" s="193">
        <f>'Assets(BoP)'!DA58*1000</f>
        <v>1496</v>
      </c>
      <c r="DH11" s="23">
        <f t="shared" ref="DH11:DH42" si="23">DE11/BW11</f>
        <v>0.27852287297066114</v>
      </c>
      <c r="DI11" s="23">
        <f>'Assets(BoP)'!DA58/'Assets(BoP)'!CZ58</f>
        <v>0.2844106463878327</v>
      </c>
      <c r="DJ11" s="23">
        <f t="shared" ref="DJ11:DJ42" si="24">CV11+CW11+CY11+CZ11+DB11</f>
        <v>4.3812621403275603E-2</v>
      </c>
      <c r="DK11" s="600">
        <f>'Assets(BoP)'!FO58-'Assets(BoP)'!FH58</f>
        <v>6.4761012335321236E-2</v>
      </c>
      <c r="DL11" s="576">
        <f t="shared" ref="DL11:DL42" si="25">W11/B11</f>
        <v>0.66470199441192701</v>
      </c>
      <c r="DM11" s="251">
        <f t="shared" ref="DM11:DM42" si="26">X11/C11</f>
        <v>0.94160579496682761</v>
      </c>
      <c r="DN11" s="251">
        <f t="shared" ref="DN11:DN42" si="27">Z11/(C11-Y11/$EG11)</f>
        <v>0.65744345393652448</v>
      </c>
      <c r="DO11" s="251">
        <f t="shared" ref="DO11:DO42" si="28">AA11/D11</f>
        <v>0.31781171833021721</v>
      </c>
      <c r="DP11" s="251">
        <f t="shared" ref="DP11:DP42" si="29">AC11/(D11-AB11/$EG11)</f>
        <v>0.31781171833021721</v>
      </c>
      <c r="DQ11" s="251">
        <f t="shared" ref="DQ11:DQ42" si="30">AD11/E11</f>
        <v>0.23458002181704848</v>
      </c>
      <c r="DR11" s="251">
        <f t="shared" ref="DR11:DR42" si="31">AF11/(E11-AE11/EG11)</f>
        <v>0.19478223699940383</v>
      </c>
      <c r="DS11" s="251">
        <f t="shared" ref="DS11:DS42" si="32">AG11/F11</f>
        <v>0.68280469486692108</v>
      </c>
      <c r="DT11" s="251">
        <f t="shared" ref="DT11:DT42" si="33">AI11/(F11-AH11/$EG11)</f>
        <v>0.68280469486692108</v>
      </c>
      <c r="DU11" s="251">
        <f t="shared" ref="DU11:DU42" si="34">AJ11/G11</f>
        <v>1.0004995344630792</v>
      </c>
      <c r="DV11" s="251">
        <f t="shared" ref="DV11:DV42" si="35">AL11/(G11-AK11/$EG11)</f>
        <v>0.8744666531683658</v>
      </c>
      <c r="DW11" s="251">
        <f t="shared" ref="DW11:DW42" si="36">AM11/H11</f>
        <v>0.12526724302809256</v>
      </c>
      <c r="DX11" s="251">
        <f t="shared" ref="DX11:DX42" si="37">AO11/(H11-AN11/EG11)</f>
        <v>9.4271596103478558E-2</v>
      </c>
      <c r="DY11" s="251">
        <f t="shared" ref="DY11:DY42" si="38">(AD11+AA11)/(E11+D11)</f>
        <v>0.24050254293591491</v>
      </c>
      <c r="DZ11" s="251">
        <f t="shared" ref="DZ11:DZ42" si="39">(AF11+AC11)/(E11-AB11/EG11+D11-AE11/EG11)</f>
        <v>0.20370555991156825</v>
      </c>
      <c r="EA11" s="643">
        <f t="shared" ref="EA11:EA42" si="40">AP11/I11</f>
        <v>0.55510468582688532</v>
      </c>
      <c r="EB11" s="643">
        <f t="shared" ref="EB11:EB42" si="41">AR11/(I11-AQ11/EG11)</f>
        <v>0.49508107208624114</v>
      </c>
      <c r="EC11" s="251">
        <f t="shared" ref="EC11:EC42" si="42">AS11/J11</f>
        <v>0.66921672914951047</v>
      </c>
      <c r="ED11" s="251">
        <f t="shared" ref="ED11:ED42" si="43">AX11/(B11-L11)</f>
        <v>0.47270121456838859</v>
      </c>
      <c r="EE11" s="140">
        <f t="shared" ref="EE11:EE42" si="44">(AS11-AU11)/(J11-L11)</f>
        <v>0.46884664655243496</v>
      </c>
      <c r="EF11" s="1342">
        <v>0.32741709643431482</v>
      </c>
      <c r="EG11" s="140">
        <f>AU11/L11</f>
        <v>2.1476569407603892</v>
      </c>
      <c r="EH11" s="583">
        <v>1.8</v>
      </c>
      <c r="EI11" s="1344">
        <v>5.6986165492038623</v>
      </c>
      <c r="EJ11" s="576">
        <f>BW11/B11</f>
        <v>0.31454800016444173</v>
      </c>
      <c r="EK11" s="753">
        <f>(CP11-CQ11)/(I11-CQ11/EL11)</f>
        <v>0.37214199212751226</v>
      </c>
      <c r="EL11" s="753">
        <f>DE11/L11</f>
        <v>0.76427232537577361</v>
      </c>
      <c r="EM11" s="753">
        <f>(CR11-DE11)/(J11-L11)</f>
        <v>0.24988615265264238</v>
      </c>
      <c r="EN11" s="583"/>
      <c r="EO11" s="48">
        <f>EO64</f>
        <v>5831</v>
      </c>
      <c r="EP11" s="641">
        <f t="shared" ref="EP11:EZ11" si="45">EP64</f>
        <v>14</v>
      </c>
      <c r="EQ11" s="641"/>
      <c r="ER11" s="641">
        <f t="shared" si="45"/>
        <v>3.7898293221342811</v>
      </c>
      <c r="ES11" s="641"/>
      <c r="ET11" s="641">
        <f t="shared" si="45"/>
        <v>57</v>
      </c>
      <c r="EU11" s="641"/>
      <c r="EV11" s="641">
        <f t="shared" si="45"/>
        <v>171</v>
      </c>
      <c r="EW11" s="641"/>
      <c r="EX11" s="641">
        <f t="shared" si="45"/>
        <v>115</v>
      </c>
      <c r="EY11" s="641"/>
      <c r="EZ11" s="641">
        <f t="shared" si="45"/>
        <v>2.7582781456953644</v>
      </c>
      <c r="FA11" s="641"/>
      <c r="FB11" s="193">
        <f>EZ11+EX11+EV11+ET11+ER11+EP11</f>
        <v>363.54810746782965</v>
      </c>
      <c r="FC11" s="193">
        <f>EO11-FB11</f>
        <v>5467.4518925321699</v>
      </c>
      <c r="FD11" s="23">
        <f>FB11/EO11</f>
        <v>6.234747169744978E-2</v>
      </c>
      <c r="FE11" s="193">
        <f>FE64</f>
        <v>1837</v>
      </c>
      <c r="FF11" s="193"/>
      <c r="FG11" s="193">
        <f>FE11-HY11</f>
        <v>1241.9425287356321</v>
      </c>
      <c r="FH11" s="193">
        <f>'Assets(BoP)'!DA58*1000</f>
        <v>1496</v>
      </c>
      <c r="FI11" s="23">
        <f>FG11/FH11</f>
        <v>0.83017548712274869</v>
      </c>
      <c r="FJ11" s="5">
        <f>FJ64</f>
        <v>4963.7830224523514</v>
      </c>
      <c r="FK11" s="143">
        <f>FJ11/'Assets(BoP)'!AV58/1000</f>
        <v>1.3865315705174166</v>
      </c>
      <c r="FL11" s="192"/>
      <c r="FM11" s="193">
        <f t="shared" ref="FM11:GE11" si="46">FM64</f>
        <v>3.8905101043697261</v>
      </c>
      <c r="FN11" s="193">
        <f t="shared" si="46"/>
        <v>0.97262752609243153</v>
      </c>
      <c r="FO11" s="23">
        <f>FN11/FM11</f>
        <v>0.25</v>
      </c>
      <c r="FP11" s="193">
        <f t="shared" si="46"/>
        <v>1.25</v>
      </c>
      <c r="FQ11" s="193">
        <f t="shared" si="46"/>
        <v>0</v>
      </c>
      <c r="FR11" s="23">
        <f>FQ11/FP11</f>
        <v>0</v>
      </c>
      <c r="FS11" s="193">
        <f t="shared" si="46"/>
        <v>23</v>
      </c>
      <c r="FT11" s="193">
        <f t="shared" si="46"/>
        <v>5.8357651565545892</v>
      </c>
      <c r="FU11" s="193">
        <f>FS11-FT11</f>
        <v>17.16423484344541</v>
      </c>
      <c r="FV11" s="23">
        <f>FT11/FS11</f>
        <v>0.25372891985019952</v>
      </c>
      <c r="FW11" s="193">
        <f t="shared" si="46"/>
        <v>35.01459093932754</v>
      </c>
      <c r="FX11" s="193">
        <f t="shared" si="46"/>
        <v>0</v>
      </c>
      <c r="FY11" s="23">
        <f>FX11/FW11</f>
        <v>0</v>
      </c>
      <c r="FZ11" s="193">
        <f t="shared" si="46"/>
        <v>26.260943204495653</v>
      </c>
      <c r="GA11" s="193">
        <f t="shared" si="46"/>
        <v>12.968367014565755</v>
      </c>
      <c r="GB11" s="193">
        <f>FZ11-GA11</f>
        <v>13.292576189929898</v>
      </c>
      <c r="GC11" s="23">
        <f>GA11/FZ11</f>
        <v>0.49382716049382719</v>
      </c>
      <c r="GD11" s="193">
        <f t="shared" si="46"/>
        <v>1</v>
      </c>
      <c r="GE11" s="193">
        <f t="shared" si="46"/>
        <v>0.19452550521848633</v>
      </c>
      <c r="GF11" s="23">
        <f>GE11/GD11</f>
        <v>0.19452550521848633</v>
      </c>
      <c r="GG11" s="193">
        <f t="shared" ref="GG11:GG42" si="47">GD11+FZ11+FW11+FS11+FP11+FM11</f>
        <v>90.416044248192918</v>
      </c>
      <c r="GH11" s="193">
        <f t="shared" ref="GH11:GH42" si="48">FN11+FQ11+FT11+FX11+GA11+GE11</f>
        <v>19.971285202431261</v>
      </c>
      <c r="GI11" s="193">
        <f t="shared" ref="GI11:GI42" si="49">FJ11-GG11</f>
        <v>4873.3669782041588</v>
      </c>
      <c r="GJ11" s="23">
        <f t="shared" ref="GJ11:GJ42" si="50">GG11/FJ11</f>
        <v>1.8215148373573142E-2</v>
      </c>
      <c r="GK11" s="330">
        <f>GK64</f>
        <v>2248</v>
      </c>
      <c r="GL11" s="330"/>
      <c r="GM11" s="23">
        <f>GK11/'Assets(BoP)'!AW58/1000</f>
        <v>1.3115519253208867</v>
      </c>
      <c r="GN11" s="23">
        <f t="shared" ref="GN11:GN42" si="51">GK11/FJ11</f>
        <v>0.4528803917962913</v>
      </c>
      <c r="GO11" s="330">
        <f>FJ11-GK11</f>
        <v>2715.7830224523514</v>
      </c>
      <c r="GP11" s="23">
        <f>GO11/('Assets(BoP)'!AV58-'Assets(BoP)'!AW58)/1000</f>
        <v>1.4554035490098345</v>
      </c>
      <c r="GQ11" s="330">
        <f t="shared" ref="GQ11:GQ42" si="52">FJ11-GG11-GK11</f>
        <v>2625.3669782041588</v>
      </c>
      <c r="GR11" s="330">
        <v>29</v>
      </c>
      <c r="GS11" s="140">
        <f t="shared" ref="GS11:GS42" si="53">(FM11-FN11)/GR11*GT11</f>
        <v>5.3232034149341523E-2</v>
      </c>
      <c r="GT11" s="625">
        <f>GT$15</f>
        <v>0.52905795518417165</v>
      </c>
      <c r="GU11" s="576">
        <f t="shared" ref="GU11:GU42" si="54">FJ11/W11</f>
        <v>0.52678342654481181</v>
      </c>
      <c r="GV11" s="589">
        <f>(FM11)/X11</f>
        <v>0.21746222336161763</v>
      </c>
      <c r="GW11" s="389">
        <v>0.125</v>
      </c>
      <c r="GX11" s="589">
        <f>(FP11)/AA11</f>
        <v>0.24802427227250753</v>
      </c>
      <c r="GY11" s="389">
        <v>0.25</v>
      </c>
      <c r="GZ11" s="589">
        <f>(FS11)/AD11</f>
        <v>0.47365973560087687</v>
      </c>
      <c r="HA11" s="400">
        <f t="shared" ref="HA11:HA17" si="55">$HJ11</f>
        <v>0.64413668176204197</v>
      </c>
      <c r="HB11" s="589">
        <f>(FW11)/AG11</f>
        <v>0.3070690796266341</v>
      </c>
      <c r="HC11" s="56">
        <f t="shared" ref="HC11:HC25" si="56">HC$27</f>
        <v>0.12781954887218044</v>
      </c>
      <c r="HD11" s="589">
        <f>(FZ11)/AJ11</f>
        <v>0.21514615990226457</v>
      </c>
      <c r="HE11" s="400">
        <v>0.5</v>
      </c>
      <c r="HF11" s="589">
        <f>(GD11)/AM11</f>
        <v>0.26607929515418499</v>
      </c>
      <c r="HG11" s="56">
        <v>0.2</v>
      </c>
      <c r="HH11" s="6">
        <f t="shared" ref="HH11:HH60" si="57">(GG11)/AP11</f>
        <v>0.29041306349735574</v>
      </c>
      <c r="HI11" s="6">
        <f t="shared" ref="HI11:HI42" si="58">(GG11-GH11)/AR11</f>
        <v>0.26326045022667272</v>
      </c>
      <c r="HJ11" s="23">
        <f t="shared" ref="HJ11:HK22" si="59">GK11/AU11</f>
        <v>0.64413668176204197</v>
      </c>
      <c r="HK11" s="23"/>
      <c r="HL11" s="23"/>
      <c r="HM11" s="31">
        <f>GO11/(W11-AU11)</f>
        <v>0.45775175839168453</v>
      </c>
      <c r="HN11" s="23">
        <f t="shared" ref="HN11:HN42" si="60">GI11/AS11</f>
        <v>0.53486011769597153</v>
      </c>
      <c r="HO11" s="23">
        <f t="shared" ref="HO11:HO42" si="61">GQ11/(W11-AP11-AU11)</f>
        <v>0.46701943057473588</v>
      </c>
      <c r="HP11" s="575">
        <f>HP64</f>
        <v>2286.6125827814571</v>
      </c>
      <c r="HQ11" s="193">
        <f t="shared" ref="HQ11:HY11" si="62">HQ64</f>
        <v>0</v>
      </c>
      <c r="HR11" s="193">
        <f t="shared" si="62"/>
        <v>0</v>
      </c>
      <c r="HS11" s="193">
        <f t="shared" si="62"/>
        <v>52.403225806451616</v>
      </c>
      <c r="HT11" s="193">
        <f t="shared" si="62"/>
        <v>153.31034482758622</v>
      </c>
      <c r="HU11" s="193">
        <f t="shared" si="62"/>
        <v>32</v>
      </c>
      <c r="HV11" s="193">
        <f t="shared" si="62"/>
        <v>0</v>
      </c>
      <c r="HW11" s="193">
        <f>HV11+HU11+HT11+HS11+HR11+HQ11</f>
        <v>237.71357063403784</v>
      </c>
      <c r="HX11" s="193">
        <f>HP11-HW11</f>
        <v>2048.8990121474194</v>
      </c>
      <c r="HY11" s="193">
        <f t="shared" si="62"/>
        <v>595.05747126436779</v>
      </c>
      <c r="HZ11" s="193"/>
      <c r="IA11" s="23">
        <f>HY11/HP11</f>
        <v>0.26023536988523621</v>
      </c>
      <c r="IB11" s="23"/>
      <c r="IC11" s="23"/>
      <c r="ID11" s="23"/>
      <c r="IE11" s="23"/>
      <c r="IF11" s="23"/>
      <c r="IG11" s="23"/>
      <c r="IH11" s="23"/>
      <c r="II11" s="23"/>
      <c r="IJ11" s="23"/>
      <c r="IK11" s="23"/>
      <c r="IL11" s="23"/>
      <c r="IM11" s="575"/>
      <c r="IN11" s="193"/>
      <c r="IO11" s="193"/>
      <c r="IP11" s="193"/>
      <c r="IQ11" s="193"/>
      <c r="IR11" s="193"/>
      <c r="IS11" s="193"/>
      <c r="IT11" s="193"/>
      <c r="IU11" s="193"/>
      <c r="IV11" s="193"/>
      <c r="IW11" s="193"/>
      <c r="IX11" s="149">
        <f t="shared" ref="IX11:IX54" si="63">JI11-JT11</f>
        <v>0</v>
      </c>
      <c r="IY11" s="316">
        <f t="shared" ref="IY11:IY58" si="64">JJ11-JU11</f>
        <v>0</v>
      </c>
      <c r="IZ11" s="316">
        <f t="shared" ref="IZ11:IZ58" si="65">JK11-JV11</f>
        <v>0</v>
      </c>
      <c r="JA11" s="316">
        <f t="shared" ref="JA11:JA58" si="66">JL11-JW11</f>
        <v>0</v>
      </c>
      <c r="JB11" s="316">
        <f t="shared" ref="JB11:JB58" si="67">JM11-JX11</f>
        <v>0</v>
      </c>
      <c r="JC11" s="316">
        <f t="shared" ref="JC11:JC58" si="68">JN11-JY11</f>
        <v>0</v>
      </c>
      <c r="JD11" s="316">
        <f t="shared" ref="JD11:JD58" si="69">JO11-JZ11</f>
        <v>0</v>
      </c>
      <c r="JE11" s="316">
        <f t="shared" ref="JE11:JE58" si="70">JP11-KA11</f>
        <v>0</v>
      </c>
      <c r="JF11" s="316">
        <f t="shared" ref="JF11:JF58" si="71">JQ11-KB11</f>
        <v>0</v>
      </c>
      <c r="JG11" s="316">
        <f t="shared" ref="JG11:JG58" si="72">JF11-JH11</f>
        <v>0</v>
      </c>
      <c r="JH11" s="316">
        <f t="shared" ref="JH11:JH58" si="73">JS11-KD11</f>
        <v>0</v>
      </c>
      <c r="JI11" s="5"/>
      <c r="JJ11" s="593"/>
      <c r="JK11" s="593"/>
      <c r="JL11" s="593"/>
      <c r="JM11" s="593"/>
      <c r="JN11" s="593"/>
      <c r="JO11" s="593"/>
      <c r="JP11" s="552">
        <f t="shared" ref="JP11:JP58" si="74">JJ11+JK11+JL11+JM11+JN11+JO11</f>
        <v>0</v>
      </c>
      <c r="JQ11" s="552">
        <f t="shared" ref="JQ11:JQ58" si="75">JI11-JP11</f>
        <v>0</v>
      </c>
      <c r="JR11" s="552">
        <f t="shared" ref="JR11:JR58" si="76">JQ11-JS11</f>
        <v>0</v>
      </c>
      <c r="JS11" s="593"/>
      <c r="JT11" s="574"/>
      <c r="JU11" s="593"/>
      <c r="JV11" s="593"/>
      <c r="JW11" s="593"/>
      <c r="JX11" s="593"/>
      <c r="JY11" s="593"/>
      <c r="JZ11" s="593"/>
      <c r="KA11" s="593"/>
      <c r="KB11" s="593"/>
      <c r="KC11" s="657"/>
      <c r="KD11" s="593"/>
      <c r="KE11" s="149"/>
      <c r="KN11" s="657"/>
      <c r="KP11" s="574"/>
      <c r="KY11" s="657"/>
      <c r="LA11" s="149">
        <f>'Assets(MOFA)'!IX11-'Assets(MOFA)'!KE11-'Assets(MOFA)'!KP11</f>
        <v>0</v>
      </c>
      <c r="LB11" s="552">
        <f>'Assets(MOFA)'!IY11-'Assets(MOFA)'!KF11-'Assets(MOFA)'!KQ11</f>
        <v>0</v>
      </c>
      <c r="LC11" s="552">
        <f>'Assets(MOFA)'!IZ11-'Assets(MOFA)'!KG11-'Assets(MOFA)'!KR11</f>
        <v>0</v>
      </c>
      <c r="LD11" s="552">
        <f>'Assets(MOFA)'!JA11-'Assets(MOFA)'!KH11-'Assets(MOFA)'!KS11</f>
        <v>0</v>
      </c>
      <c r="LE11" s="552">
        <f>'Assets(MOFA)'!JB11-'Assets(MOFA)'!KI11-'Assets(MOFA)'!KT11</f>
        <v>0</v>
      </c>
      <c r="LF11" s="552">
        <f>'Assets(MOFA)'!JC11-'Assets(MOFA)'!KJ11-'Assets(MOFA)'!KU11</f>
        <v>0</v>
      </c>
      <c r="LG11" s="552">
        <f>'Assets(MOFA)'!JD11-'Assets(MOFA)'!KK11-'Assets(MOFA)'!KV11</f>
        <v>0</v>
      </c>
      <c r="LH11" s="552">
        <f>'Assets(MOFA)'!JE11-'Assets(MOFA)'!KL11-'Assets(MOFA)'!KW11</f>
        <v>0</v>
      </c>
      <c r="LI11" s="552">
        <f>'Assets(MOFA)'!JF11-'Assets(MOFA)'!KM11-'Assets(MOFA)'!KX11</f>
        <v>0</v>
      </c>
      <c r="LJ11" s="552">
        <f t="shared" ref="LJ11:LJ56" si="77">LI11-LK11</f>
        <v>0</v>
      </c>
      <c r="LK11" s="552">
        <f>'Assets(MOFA)'!JH11-'Assets(MOFA)'!KO11-'Assets(MOFA)'!KZ11</f>
        <v>0</v>
      </c>
      <c r="LL11" s="576" t="e">
        <f t="shared" ref="LL11:LL58" si="78">W11/IX11</f>
        <v>#DIV/0!</v>
      </c>
      <c r="LM11" s="6" t="e">
        <f t="shared" ref="LM11:LM58" si="79">X11/IY11</f>
        <v>#DIV/0!</v>
      </c>
      <c r="LN11" s="6" t="e">
        <f t="shared" ref="LN11:LN58" si="80">AA11/IZ11</f>
        <v>#DIV/0!</v>
      </c>
      <c r="LO11" s="6" t="e">
        <f t="shared" ref="LO11:LO58" si="81">AD11/JA11</f>
        <v>#DIV/0!</v>
      </c>
      <c r="LP11" s="6" t="e">
        <f t="shared" ref="LP11:LP58" si="82">AG11/JB11</f>
        <v>#DIV/0!</v>
      </c>
      <c r="LQ11" s="6" t="e">
        <f t="shared" ref="LQ11:LQ58" si="83">AJ11/JC11</f>
        <v>#DIV/0!</v>
      </c>
      <c r="LR11" s="6" t="e">
        <f t="shared" ref="LR11:LR58" si="84">AM11/JD11</f>
        <v>#DIV/0!</v>
      </c>
      <c r="LS11" s="6" t="e">
        <f t="shared" ref="LS11:LS58" si="85">AP11/JE11</f>
        <v>#DIV/0!</v>
      </c>
      <c r="LT11" s="143" t="e">
        <f t="shared" ref="LT11:LT58" si="86">(X11+AG11+AM11)/(IY11+JB11+JD11)</f>
        <v>#DIV/0!</v>
      </c>
      <c r="LU11" s="62" t="e">
        <f t="shared" ref="LU11:LU58" si="87">(AA11+AD11+AJ11)/(JA11+IZ11+JC11)</f>
        <v>#DIV/0!</v>
      </c>
      <c r="LV11" s="902" t="e">
        <f t="shared" ref="LV11:LV58" si="88">AS11/JF11</f>
        <v>#DIV/0!</v>
      </c>
      <c r="LW11" s="902" t="e">
        <f t="shared" ref="LW11:LW58" si="89">AT11/(JF11-JH11)</f>
        <v>#DIV/0!</v>
      </c>
      <c r="LX11" s="143" t="e">
        <f t="shared" ref="LX11:LX58" si="90">AU11/JH11</f>
        <v>#DIV/0!</v>
      </c>
      <c r="LY11" s="576" t="e">
        <f t="shared" ref="LY11:LY58" si="91">(W11+IC11+IM11)/IX11</f>
        <v>#DIV/0!</v>
      </c>
      <c r="LZ11" s="906" t="e">
        <f t="shared" ref="LZ11:LZ58" si="92">(X11+ID11+IN11)/IY11</f>
        <v>#DIV/0!</v>
      </c>
      <c r="MA11" s="906" t="e">
        <f t="shared" ref="MA11:MA58" si="93">(AA11+IE11+IO11)/IZ11</f>
        <v>#DIV/0!</v>
      </c>
      <c r="MB11" s="906" t="e">
        <f t="shared" ref="MB11:MB58" si="94">(AD11+IF11+IP11)/JA11</f>
        <v>#DIV/0!</v>
      </c>
      <c r="MC11" s="906" t="e">
        <f t="shared" ref="MC11:MC58" si="95">(AG11+IG11+IQ11)/JB11</f>
        <v>#DIV/0!</v>
      </c>
      <c r="MD11" s="906" t="e">
        <f t="shared" ref="MD11:MD58" si="96">(AJ11+IH11+IR11)/JC11</f>
        <v>#DIV/0!</v>
      </c>
      <c r="ME11" s="906">
        <v>6.1610529375296846E-2</v>
      </c>
      <c r="MF11" s="906" t="e">
        <f t="shared" ref="MF11:MF58" si="97">(AM11+II11+IS11)/JD11</f>
        <v>#DIV/0!</v>
      </c>
      <c r="MG11" s="30" t="e">
        <f t="shared" ref="MG11:MG58" si="98">(AP11+IJ11+IT11)/JE11</f>
        <v>#DIV/0!</v>
      </c>
      <c r="MH11" s="140" t="e">
        <f t="shared" ref="MH11:MH58" si="99">(X11+AG11+AM11+ID11+IG11+II11+IN11+IQ11+IS11)/(IY11+JB11+JD11)</f>
        <v>#DIV/0!</v>
      </c>
      <c r="MI11" s="30" t="e">
        <f t="shared" ref="MI11:MI58" si="100">(AA11+AD11+AJ11+IF11+IE11+IH11+IO11+IP11+IR11)/(JA11+IZ11+JC11)</f>
        <v>#DIV/0!</v>
      </c>
      <c r="MJ11" s="30" t="e">
        <f t="shared" ref="MJ11:MJ58" si="101">(AS11+IK11+IU11)/JF11</f>
        <v>#DIV/0!</v>
      </c>
      <c r="MK11" s="617" t="e">
        <f t="shared" ref="MK11:MK58" si="102">LW11</f>
        <v>#DIV/0!</v>
      </c>
      <c r="ML11" s="615" t="e">
        <f t="shared" ref="ML11:ML58" si="103">LX11</f>
        <v>#DIV/0!</v>
      </c>
      <c r="MM11" s="574"/>
      <c r="MU11" s="593"/>
      <c r="MX11" s="574"/>
      <c r="NI11" s="613">
        <f t="shared" ref="NI11:NI18" si="104">B11</f>
        <v>14176</v>
      </c>
      <c r="NQ11" s="593"/>
      <c r="NY11" s="593"/>
      <c r="NZ11" s="593"/>
      <c r="OA11" s="593"/>
      <c r="OB11" s="593"/>
      <c r="OC11" s="593"/>
      <c r="OD11" s="593"/>
      <c r="OE11" s="593"/>
      <c r="OF11" s="593"/>
      <c r="OG11" s="593"/>
      <c r="OH11" s="593"/>
      <c r="OI11" s="593"/>
      <c r="OJ11" s="593"/>
      <c r="OK11" s="593"/>
      <c r="OL11" s="593"/>
      <c r="OM11" s="593"/>
      <c r="ON11" s="593"/>
      <c r="OO11" s="593"/>
      <c r="OW11" s="593"/>
      <c r="PE11" s="593"/>
      <c r="PN11" s="574"/>
      <c r="PO11" s="593"/>
      <c r="PP11" s="593"/>
      <c r="PQ11" s="593"/>
      <c r="PR11" s="593"/>
      <c r="PS11" s="593"/>
      <c r="PT11" s="593"/>
      <c r="PU11" s="593"/>
      <c r="PV11" s="593"/>
      <c r="PW11" s="593"/>
      <c r="PX11" s="593"/>
      <c r="PY11" s="593"/>
      <c r="PZ11" s="593"/>
      <c r="QA11" s="593"/>
      <c r="QB11" s="593"/>
      <c r="QC11" s="593"/>
      <c r="QD11" s="593"/>
      <c r="QE11" s="593"/>
      <c r="QF11" s="593"/>
      <c r="QG11" s="593"/>
      <c r="QH11" s="593"/>
      <c r="QI11" s="593"/>
      <c r="QJ11" s="593"/>
      <c r="QK11" s="593"/>
      <c r="QL11" s="593"/>
      <c r="QM11" s="593"/>
      <c r="QN11" s="593"/>
      <c r="QO11" s="593"/>
      <c r="QP11" s="593"/>
      <c r="QQ11" s="593"/>
      <c r="QR11" s="593"/>
      <c r="QS11" s="593"/>
      <c r="QT11" s="593"/>
      <c r="QU11" s="593"/>
      <c r="QV11" s="593"/>
      <c r="QW11" s="593"/>
      <c r="QX11" s="593"/>
      <c r="QY11" s="593"/>
      <c r="QZ11" s="593"/>
      <c r="RA11" s="593"/>
      <c r="RB11" s="593"/>
      <c r="RC11" s="593"/>
      <c r="RD11" s="593"/>
      <c r="RE11" s="593"/>
      <c r="RF11" s="593"/>
      <c r="RG11" s="593"/>
      <c r="RH11" s="593"/>
      <c r="RI11" s="593"/>
      <c r="RJ11" s="593"/>
      <c r="RK11" s="593"/>
      <c r="RL11" s="593"/>
      <c r="RM11" s="593"/>
      <c r="RN11" s="593"/>
      <c r="RO11" s="593"/>
      <c r="RP11" s="593"/>
      <c r="RQ11" s="593"/>
      <c r="RR11" s="593"/>
    </row>
    <row r="12" spans="1:486" s="567" customFormat="1">
      <c r="A12" s="568">
        <v>1967</v>
      </c>
      <c r="B12" s="611">
        <f>O12*P12</f>
        <v>15593.35346516927</v>
      </c>
      <c r="C12" s="66">
        <f>Q12*$B12</f>
        <v>20.899669570980258</v>
      </c>
      <c r="D12" s="66">
        <f t="shared" ref="D12:H21" si="105">R12*$B12</f>
        <v>17.443424162574811</v>
      </c>
      <c r="E12" s="66">
        <f t="shared" si="105"/>
        <v>227.6964000627849</v>
      </c>
      <c r="F12" s="66">
        <f t="shared" si="105"/>
        <v>183.69709570282646</v>
      </c>
      <c r="G12" s="66">
        <f t="shared" si="105"/>
        <v>134.19787829787325</v>
      </c>
      <c r="H12" s="66">
        <f t="shared" si="105"/>
        <v>33.001768859227305</v>
      </c>
      <c r="I12" s="193">
        <f t="shared" ref="I12:I21" si="106">H12+G12+F12+E12+D12+C12</f>
        <v>616.93623665626694</v>
      </c>
      <c r="J12" s="193">
        <f t="shared" ref="J12:J21" si="107">B12-I12</f>
        <v>14976.417228513003</v>
      </c>
      <c r="K12" s="193">
        <f t="shared" ref="K12:K21" si="108">J12-L12</f>
        <v>13319.84387327361</v>
      </c>
      <c r="L12" s="66">
        <f>N12*B12</f>
        <v>1656.5733552393915</v>
      </c>
      <c r="M12" s="140">
        <f t="shared" ref="M12:M21" si="109">I12/B12</f>
        <v>3.9564051314190482E-2</v>
      </c>
      <c r="N12" s="591">
        <f>N11+(N$15-N$11)/4</f>
        <v>0.1062358625384632</v>
      </c>
      <c r="O12" s="193">
        <v>308400</v>
      </c>
      <c r="P12" s="626">
        <f>P11+(P$15-P$11)/4</f>
        <v>5.0562105918188292E-2</v>
      </c>
      <c r="Q12" s="630">
        <f t="shared" ref="Q12:Q17" si="110">Q11</f>
        <v>1.340293453724605E-3</v>
      </c>
      <c r="R12" s="387">
        <f t="shared" ref="R12:V17" si="111">R11</f>
        <v>1.1186448252800802E-3</v>
      </c>
      <c r="S12" s="387">
        <f t="shared" si="111"/>
        <v>1.4602144469525959E-2</v>
      </c>
      <c r="T12" s="387">
        <f t="shared" si="111"/>
        <v>1.1780474040632054E-2</v>
      </c>
      <c r="U12" s="387">
        <f t="shared" si="111"/>
        <v>8.6060948081264112E-3</v>
      </c>
      <c r="V12" s="387">
        <f t="shared" si="111"/>
        <v>2.1163997169013743E-3</v>
      </c>
      <c r="W12" s="590">
        <f t="shared" ref="W12:W20" si="112">AS12+AP12</f>
        <v>10244.990314210032</v>
      </c>
      <c r="X12" s="66">
        <f t="shared" ref="X12:X21" si="113">BX12+FM12</f>
        <v>25.912019587845919</v>
      </c>
      <c r="Y12" s="76">
        <f t="shared" si="3"/>
        <v>10.636548183447937</v>
      </c>
      <c r="Z12" s="76">
        <f t="shared" ref="Z12:Z61" si="114">X12-Y12</f>
        <v>15.275471404397981</v>
      </c>
      <c r="AA12" s="66">
        <f t="shared" ref="AA12:AA21" si="115">CA12+FP12</f>
        <v>5.0753681608458177</v>
      </c>
      <c r="AB12" s="66">
        <f t="shared" ref="AB12:AB20" si="116">FQ12/GY12</f>
        <v>0</v>
      </c>
      <c r="AC12" s="274">
        <f t="shared" ref="AC12:AC61" si="117">AA12-AB12</f>
        <v>5.0753681608458177</v>
      </c>
      <c r="AD12" s="66">
        <f t="shared" ref="AD12:AD21" si="118">CD12+FS12</f>
        <v>64.052177836786058</v>
      </c>
      <c r="AE12" s="357">
        <f t="shared" si="4"/>
        <v>11.882814806551822</v>
      </c>
      <c r="AF12" s="274">
        <f t="shared" ref="AF12:AF61" si="119">AD12-AE12</f>
        <v>52.169363030234237</v>
      </c>
      <c r="AG12" s="66">
        <f t="shared" ref="AG12:AG21" si="120">CG12+FW12</f>
        <v>132.99782413887431</v>
      </c>
      <c r="AH12" s="357">
        <f t="shared" si="5"/>
        <v>-0.16062005192380491</v>
      </c>
      <c r="AI12" s="76">
        <f t="shared" si="6"/>
        <v>133.15844419079812</v>
      </c>
      <c r="AJ12" s="66">
        <f t="shared" ref="AJ12:AJ21" si="121">CJ12+FZ12</f>
        <v>136.37902520229653</v>
      </c>
      <c r="AK12" s="357">
        <f t="shared" ref="AK12:AK21" si="122">GA12/HE12</f>
        <v>30.996786950312593</v>
      </c>
      <c r="AL12" s="274">
        <f t="shared" ref="AL12:AL60" si="123">AJ12-AK12</f>
        <v>105.38223825198394</v>
      </c>
      <c r="AM12" s="66">
        <f t="shared" ref="AM12:AM21" si="124">CM12+GD12</f>
        <v>6.447470692188535</v>
      </c>
      <c r="AN12" s="357">
        <f t="shared" si="7"/>
        <v>1.6271291947907831</v>
      </c>
      <c r="AO12" s="274">
        <f t="shared" ref="AO12:AO61" si="125">AM12-AN12</f>
        <v>4.8203414973977523</v>
      </c>
      <c r="AP12" s="193">
        <f t="shared" si="8"/>
        <v>370.86388561883723</v>
      </c>
      <c r="AQ12" s="271">
        <f t="shared" si="9"/>
        <v>54.982659083179328</v>
      </c>
      <c r="AR12" s="271">
        <f t="shared" ref="AR12:AR61" si="126">Z12+AC12+AF12+AI12+AL12+AO12</f>
        <v>315.88122653565785</v>
      </c>
      <c r="AS12" s="66">
        <f t="shared" ref="AS12:AS21" si="127">CR12+GI12</f>
        <v>9874.1264285911948</v>
      </c>
      <c r="AT12" s="193">
        <f t="shared" ref="AT12:AT21" si="128">AS12-AU12</f>
        <v>5714.7264285911951</v>
      </c>
      <c r="AU12" s="66">
        <f>DE12+GK12</f>
        <v>4159.3999999999996</v>
      </c>
      <c r="AV12" s="66"/>
      <c r="AW12" s="66"/>
      <c r="AX12" s="271">
        <f>DD12/(1-HM12)</f>
        <v>6085.5903142100333</v>
      </c>
      <c r="AY12" s="140">
        <f t="shared" si="10"/>
        <v>3.619953501609862E-2</v>
      </c>
      <c r="AZ12" s="623">
        <f t="shared" ref="AZ12:AZ60" si="129">(Z12+AC12+AF12+AI12+AL12+AO12)/W12</f>
        <v>3.0832750139111745E-2</v>
      </c>
      <c r="BA12" s="248">
        <f t="shared" si="11"/>
        <v>5.190642324345527E-2</v>
      </c>
      <c r="BB12" s="248">
        <f t="shared" ref="BB12:BB60" si="130">Z12/$AX12</f>
        <v>2.5101051197497313E-3</v>
      </c>
      <c r="BC12" s="248">
        <f t="shared" ref="BC12:BC60" si="131">AC12/$AX12</f>
        <v>8.3399767299397116E-4</v>
      </c>
      <c r="BD12" s="248">
        <f t="shared" ref="BD12:BD60" si="132">AF12/$AX12</f>
        <v>8.5726051765951505E-3</v>
      </c>
      <c r="BE12" s="248">
        <f t="shared" ref="BE12:BE60" si="133">AI12/$AX12</f>
        <v>2.1880941258873313E-2</v>
      </c>
      <c r="BF12" s="248">
        <f t="shared" ref="BF12:BF60" si="134">AL12/$AX12</f>
        <v>1.7316682985693811E-2</v>
      </c>
      <c r="BG12" s="248">
        <f t="shared" ref="BG12:BG60" si="135">AO12/$AX12</f>
        <v>7.920910295492801E-4</v>
      </c>
      <c r="BH12" s="248">
        <f t="shared" ref="BH12:BH60" si="136">BC12+BD12</f>
        <v>9.4066028495891213E-3</v>
      </c>
      <c r="BI12" s="23">
        <f t="shared" si="12"/>
        <v>5.0416096375340412E-2</v>
      </c>
      <c r="BJ12" s="144">
        <f t="shared" si="13"/>
        <v>0.4059935512316511</v>
      </c>
      <c r="BK12" s="623">
        <f t="shared" ref="BK12:BK60" si="137">(AU12-AQ12)/W12</f>
        <v>0.40062676635466421</v>
      </c>
      <c r="BL12" s="590">
        <f t="shared" ref="BL12:BL21" si="138">BS12+BT12</f>
        <v>942.82784078060718</v>
      </c>
      <c r="BM12" s="66">
        <f t="shared" ref="BM12:BM17" si="139">BM11*X12/X11</f>
        <v>2.8967334566404515</v>
      </c>
      <c r="BN12" s="66">
        <f t="shared" ref="BN12:BN17" si="140">BN11*AA12/AA11</f>
        <v>0</v>
      </c>
      <c r="BO12" s="66">
        <f t="shared" ref="BO12:BO17" si="141">BO11*AD12/AD11</f>
        <v>32.97710610742655</v>
      </c>
      <c r="BP12" s="66">
        <f t="shared" ref="BP12:BP17" si="142">BP11*AG12/AG11</f>
        <v>-18.661714836050987</v>
      </c>
      <c r="BQ12" s="66">
        <f t="shared" ref="BQ12:BQ17" si="143">BQ11*AJ12/AJ11</f>
        <v>4.4692109243761289</v>
      </c>
      <c r="BR12" s="66">
        <f t="shared" ref="BR12:BR17" si="144">BR11*AM12/AM11</f>
        <v>0</v>
      </c>
      <c r="BS12" s="193">
        <f>BR12+BQ12+BP12+BO12+BN12+BM12</f>
        <v>21.681335652392143</v>
      </c>
      <c r="BT12" s="66">
        <f t="shared" ref="BT12:BT17" si="145">BT11*AS12/AS11</f>
        <v>921.14650512821504</v>
      </c>
      <c r="BU12" s="193">
        <f>BT12-BV12</f>
        <v>569.55819388902194</v>
      </c>
      <c r="BV12" s="66">
        <f t="shared" ref="BV12:BV17" si="146">BV11*AU12/AU11</f>
        <v>351.5883112391931</v>
      </c>
      <c r="BW12" s="590">
        <f>BW13*'Assets(BoP)'!ER59/'Assets(BoP)'!ER60</f>
        <v>4846.8285879715058</v>
      </c>
      <c r="BX12" s="357">
        <f t="shared" ref="BX12:BX21" si="147">CV12*$BW12</f>
        <v>20.593745496121951</v>
      </c>
      <c r="BY12" s="193">
        <f t="shared" ref="BY12:BY43" si="148">Y12-FN12</f>
        <v>9.3069796605169444</v>
      </c>
      <c r="BZ12" s="647">
        <f t="shared" ref="BZ12:BZ60" si="149">(BX12-BY12)/BW12</f>
        <v>2.3286909431077577E-3</v>
      </c>
      <c r="CA12" s="357">
        <f t="shared" ref="CA12:CA21" si="150">CW12*$BW12</f>
        <v>3.772386092538623</v>
      </c>
      <c r="CB12" s="193">
        <f t="shared" ref="CB12:CB43" si="151">AB12-FQ12</f>
        <v>0</v>
      </c>
      <c r="CC12" s="647">
        <f t="shared" si="14"/>
        <v>7.7832050877570677E-4</v>
      </c>
      <c r="CD12" s="357">
        <f t="shared" ref="CD12:CD21" si="152">CX12*$BW12</f>
        <v>34.111508377831917</v>
      </c>
      <c r="CE12" s="193">
        <f t="shared" ref="CE12:CE43" si="153">AE12-FT12</f>
        <v>4.2860010851395325</v>
      </c>
      <c r="CF12" s="655">
        <f t="shared" si="15"/>
        <v>6.1536129762688706E-3</v>
      </c>
      <c r="CG12" s="357">
        <f t="shared" ref="CG12:CG21" si="154">CY12*$BW12</f>
        <v>93.02516926198696</v>
      </c>
      <c r="CH12" s="193">
        <f t="shared" ref="CH12:CH43" si="155">AH12-FX12</f>
        <v>-0.14008966934707798</v>
      </c>
      <c r="CI12" s="23">
        <f t="shared" si="16"/>
        <v>1.9221900927659082E-2</v>
      </c>
      <c r="CJ12" s="357">
        <f t="shared" ref="CJ12:CJ21" si="156">CZ12*$BW12</f>
        <v>104.99477841510502</v>
      </c>
      <c r="CK12" s="641">
        <f t="shared" ref="CK12:CK43" si="157">AK12-GA12</f>
        <v>15.498393475156297</v>
      </c>
      <c r="CL12" s="34">
        <f t="shared" ref="CL12:CL60" si="158">(CJ12-CK12)/BW12</f>
        <v>1.8464937085263158E-2</v>
      </c>
      <c r="CM12" s="357">
        <f t="shared" ref="CM12:CM21" si="159">DB12*$BW12</f>
        <v>4.7745495058759939</v>
      </c>
      <c r="CN12" s="193">
        <f t="shared" ref="CN12:CN43" si="160">AN12-GE12</f>
        <v>1.3017033558326265</v>
      </c>
      <c r="CO12" s="23">
        <f t="shared" ref="CO12:CO60" si="161">(CM12-CN12)/BW12</f>
        <v>7.165192841071408E-4</v>
      </c>
      <c r="CP12" s="271">
        <f t="shared" si="17"/>
        <v>261.27213714946043</v>
      </c>
      <c r="CQ12" s="193">
        <f t="shared" ref="CQ12:CQ60" si="162">BY12+CB12+CE12+CH12+CK12+CN12</f>
        <v>30.252987907298319</v>
      </c>
      <c r="CR12" s="271">
        <f t="shared" si="18"/>
        <v>4585.556450822045</v>
      </c>
      <c r="CS12" s="248">
        <f t="shared" ref="CS12:CS60" si="163">(CP12-CQ12)/BW12</f>
        <v>4.7663981725181707E-2</v>
      </c>
      <c r="CT12" s="30">
        <f t="shared" si="19"/>
        <v>5.3905792706980794E-2</v>
      </c>
      <c r="CU12" s="308">
        <f t="shared" si="20"/>
        <v>0</v>
      </c>
      <c r="CV12" s="644">
        <f>CV11*'Assets(BoP)'!FH59/'Assets(BoP)'!FH58</f>
        <v>4.2489114525795192E-3</v>
      </c>
      <c r="CW12" s="644">
        <f>CW11+(CW$15-CW$11)/4</f>
        <v>7.7832050877570677E-4</v>
      </c>
      <c r="CX12" s="308">
        <f>CX13*'Assets(BoP)'!FH59/'Assets(BoP)'!FH60</f>
        <v>7.0379027767739277E-3</v>
      </c>
      <c r="CY12" s="644">
        <f>CY11+(CY$15-CY$11)/4</f>
        <v>1.9192997559857969E-2</v>
      </c>
      <c r="CZ12" s="644">
        <f>CZ11+(CZ$15-CZ$11)/4</f>
        <v>2.1662573063894429E-2</v>
      </c>
      <c r="DA12" s="308">
        <f>'Assets(BoP)'!FK59</f>
        <v>2.7172009769797296E-2</v>
      </c>
      <c r="DB12" s="644">
        <f>DB11+(DB$15-DB$11)/4</f>
        <v>9.8508734509924925E-4</v>
      </c>
      <c r="DC12" s="23">
        <f t="shared" si="21"/>
        <v>6.9031443060236633E-2</v>
      </c>
      <c r="DD12" s="193">
        <f t="shared" si="22"/>
        <v>3346.5785879715058</v>
      </c>
      <c r="DE12" s="66">
        <f t="shared" ref="DE12:DE26" si="164">FG12</f>
        <v>1500.25</v>
      </c>
      <c r="DF12" s="635">
        <f>'Assets(BoP)'!ES59*1000</f>
        <v>1751</v>
      </c>
      <c r="DG12" s="193">
        <f>'Assets(BoP)'!DA59*1000</f>
        <v>1765</v>
      </c>
      <c r="DH12" s="23">
        <f t="shared" si="23"/>
        <v>0.30953229988846881</v>
      </c>
      <c r="DI12" s="23">
        <f>'Assets(BoP)'!DA59/'Assets(BoP)'!CZ59</f>
        <v>0.31500981616990897</v>
      </c>
      <c r="DJ12" s="23">
        <f t="shared" si="24"/>
        <v>4.6867889930206873E-2</v>
      </c>
      <c r="DK12" s="600">
        <f>'Assets(BoP)'!FO59-'Assets(BoP)'!FH59</f>
        <v>6.9729054318873718E-2</v>
      </c>
      <c r="DL12" s="576">
        <f t="shared" si="25"/>
        <v>0.65701007400968447</v>
      </c>
      <c r="DM12" s="251">
        <f t="shared" si="26"/>
        <v>1.2398291513577535</v>
      </c>
      <c r="DN12" s="251">
        <f t="shared" si="27"/>
        <v>0.91670640704366235</v>
      </c>
      <c r="DO12" s="251">
        <f t="shared" si="28"/>
        <v>0.29096168926139593</v>
      </c>
      <c r="DP12" s="251">
        <f t="shared" si="29"/>
        <v>0.29096168926139593</v>
      </c>
      <c r="DQ12" s="251">
        <f t="shared" si="30"/>
        <v>0.28130518453135112</v>
      </c>
      <c r="DR12" s="251">
        <f t="shared" si="31"/>
        <v>0.23398130896299729</v>
      </c>
      <c r="DS12" s="251">
        <f t="shared" si="32"/>
        <v>0.72400613428330829</v>
      </c>
      <c r="DT12" s="251">
        <f t="shared" si="33"/>
        <v>0.72462816494389448</v>
      </c>
      <c r="DU12" s="251">
        <f t="shared" si="34"/>
        <v>1.0162532145223779</v>
      </c>
      <c r="DV12" s="251">
        <f t="shared" si="35"/>
        <v>0.86483287561101685</v>
      </c>
      <c r="DW12" s="251">
        <f t="shared" si="36"/>
        <v>0.19536742771852425</v>
      </c>
      <c r="DX12" s="251">
        <f t="shared" si="37"/>
        <v>0.14898874762499742</v>
      </c>
      <c r="DY12" s="251">
        <f t="shared" si="38"/>
        <v>0.28199231282014042</v>
      </c>
      <c r="DZ12" s="251">
        <f t="shared" si="39"/>
        <v>0.23811568106341513</v>
      </c>
      <c r="EA12" s="643">
        <f t="shared" si="40"/>
        <v>0.6011381137682601</v>
      </c>
      <c r="EB12" s="643">
        <f t="shared" si="41"/>
        <v>0.5308587602148318</v>
      </c>
      <c r="EC12" s="251">
        <f t="shared" si="42"/>
        <v>0.65931165497928568</v>
      </c>
      <c r="ED12" s="251">
        <f t="shared" si="43"/>
        <v>0.43665683652955711</v>
      </c>
      <c r="EE12" s="140">
        <f t="shared" si="44"/>
        <v>0.42903854451761603</v>
      </c>
      <c r="EF12" s="1342">
        <v>0.29903572424436964</v>
      </c>
      <c r="EG12" s="140">
        <f t="shared" ref="EG12:EG14" si="165">AU12/L12</f>
        <v>2.5108456482441279</v>
      </c>
      <c r="EH12" s="583">
        <v>1.8</v>
      </c>
      <c r="EI12" s="1344">
        <v>5.5587411519071139</v>
      </c>
      <c r="EJ12" s="576">
        <f t="shared" ref="EJ12:EJ60" si="166">BW12/B12</f>
        <v>0.31082657100012656</v>
      </c>
      <c r="EK12" s="753">
        <f t="shared" ref="EK12:EK60" si="167">(CP12-CQ12)/(I12-CQ12/EL12)</f>
        <v>0.39589871369882601</v>
      </c>
      <c r="EL12" s="753">
        <f t="shared" ref="EL12:EL60" si="168">DE12/L12</f>
        <v>0.90563451069343004</v>
      </c>
      <c r="EM12" s="753">
        <f t="shared" ref="EM12:EM60" si="169">(CR12-DE12)/(J12-L12)</f>
        <v>0.23163232843988066</v>
      </c>
      <c r="EN12" s="583"/>
      <c r="EO12" s="48"/>
      <c r="EP12" s="641"/>
      <c r="EQ12" s="641"/>
      <c r="ER12" s="641"/>
      <c r="ES12" s="641"/>
      <c r="ET12" s="641"/>
      <c r="EU12" s="641"/>
      <c r="EV12" s="641"/>
      <c r="EW12" s="641"/>
      <c r="EX12" s="641"/>
      <c r="EY12" s="641"/>
      <c r="EZ12" s="641"/>
      <c r="FA12" s="641"/>
      <c r="FB12" s="193"/>
      <c r="FC12" s="193"/>
      <c r="FD12" s="23"/>
      <c r="FE12" s="66"/>
      <c r="FF12" s="66"/>
      <c r="FG12" s="66">
        <f>FH12*FI12</f>
        <v>1500.25</v>
      </c>
      <c r="FH12" s="193">
        <f>'Assets(BoP)'!DA59*1000</f>
        <v>1765</v>
      </c>
      <c r="FI12" s="184">
        <v>0.85</v>
      </c>
      <c r="FJ12" s="590">
        <f>GO12+GK12</f>
        <v>5398.1617262385262</v>
      </c>
      <c r="FK12" s="143">
        <f>FJ12/'Assets(BoP)'!AV59/1000</f>
        <v>1.3248981295719005</v>
      </c>
      <c r="FL12" s="725"/>
      <c r="FM12" s="66">
        <f t="shared" ref="FM12:FM21" si="170">GV12*BX12/(1-GV12)</f>
        <v>5.3182740917239686</v>
      </c>
      <c r="FN12" s="66">
        <f t="shared" ref="FN12:FN21" si="171">FM12*FO12</f>
        <v>1.3295685229309921</v>
      </c>
      <c r="FO12" s="184">
        <f t="shared" ref="FO12:FO17" si="172">FO11+(FO$22-FO$11)/11</f>
        <v>0.25</v>
      </c>
      <c r="FP12" s="66">
        <f t="shared" ref="FP12:FP21" si="173">GX12*CA12/(1-GX12)</f>
        <v>1.3029820683071944</v>
      </c>
      <c r="FQ12" s="66">
        <f>FP12*FR12</f>
        <v>0</v>
      </c>
      <c r="FR12" s="184">
        <v>0</v>
      </c>
      <c r="FS12" s="66">
        <f t="shared" ref="FS12:FS21" si="174">GZ12*CD12/(1-GZ12)</f>
        <v>29.940669458954133</v>
      </c>
      <c r="FT12" s="66">
        <f>FS12*FV12</f>
        <v>7.5968137214122899</v>
      </c>
      <c r="FU12" s="193">
        <f t="shared" ref="FU12:FU61" si="175">FS12-FT12</f>
        <v>22.343855737541844</v>
      </c>
      <c r="FV12" s="184">
        <f t="shared" ref="FV12:FV17" si="176">FV$11</f>
        <v>0.25372891985019952</v>
      </c>
      <c r="FW12" s="66">
        <f t="shared" ref="FW12:FW21" si="177">HB12*CG12/(1-HB12)</f>
        <v>39.972654876887354</v>
      </c>
      <c r="FX12" s="66">
        <f>FW12*FY12</f>
        <v>-2.053038257672694E-2</v>
      </c>
      <c r="FY12" s="184">
        <f>FY11+(FY$22-FY$11)/11</f>
        <v>-5.1361068310220854E-4</v>
      </c>
      <c r="FZ12" s="66">
        <f t="shared" ref="FZ12:FZ21" si="178">HD12*CJ12/(1-HD12)</f>
        <v>31.384246787191501</v>
      </c>
      <c r="GA12" s="66">
        <f t="shared" ref="GA12:GA21" si="179">FZ12*GC12</f>
        <v>15.498393475156297</v>
      </c>
      <c r="GB12" s="193">
        <f t="shared" ref="GB12:GB61" si="180">FZ12-GA12</f>
        <v>15.885853312035204</v>
      </c>
      <c r="GC12" s="184">
        <f t="shared" ref="GC12:GC17" si="181">GC11</f>
        <v>0.49382716049382719</v>
      </c>
      <c r="GD12" s="66">
        <f t="shared" ref="GD12:GD21" si="182">HF12*CM12/(1-HF12)</f>
        <v>1.6729211863125415</v>
      </c>
      <c r="GE12" s="66">
        <f>GD12*GF12</f>
        <v>0.32542583895815663</v>
      </c>
      <c r="GF12" s="184">
        <f t="shared" ref="GF12:GF17" si="183">GF11</f>
        <v>0.19452550521848633</v>
      </c>
      <c r="GG12" s="193">
        <f t="shared" si="47"/>
        <v>109.59174846937668</v>
      </c>
      <c r="GH12" s="193">
        <f t="shared" si="48"/>
        <v>24.729671175881009</v>
      </c>
      <c r="GI12" s="193">
        <f t="shared" si="49"/>
        <v>5288.5699777691498</v>
      </c>
      <c r="GJ12" s="23">
        <f t="shared" si="50"/>
        <v>2.0301679354416253E-2</v>
      </c>
      <c r="GK12" s="66">
        <f>GM12*'Assets(BoP)'!AW59*1000</f>
        <v>2659.1499999999996</v>
      </c>
      <c r="GL12" s="66"/>
      <c r="GM12" s="184">
        <v>1.3</v>
      </c>
      <c r="GN12" s="23">
        <f t="shared" si="51"/>
        <v>0.49260287758234922</v>
      </c>
      <c r="GO12" s="666">
        <f>('Assets(BoP)'!AV59-'Assets(BoP)'!AW59)*1000*GP12</f>
        <v>2739.011726238527</v>
      </c>
      <c r="GP12" s="184">
        <v>1.35</v>
      </c>
      <c r="GQ12" s="330">
        <f t="shared" si="52"/>
        <v>2629.4199777691501</v>
      </c>
      <c r="GR12" s="330">
        <v>28</v>
      </c>
      <c r="GS12" s="140">
        <f t="shared" si="53"/>
        <v>7.5366300430618954E-2</v>
      </c>
      <c r="GT12" s="625">
        <f>GT$15</f>
        <v>0.52905795518417165</v>
      </c>
      <c r="GU12" s="576">
        <f t="shared" si="54"/>
        <v>0.52690745043957288</v>
      </c>
      <c r="GV12" s="56">
        <f>GV11+(GV$22-GV$11)/11</f>
        <v>0.2052435192746811</v>
      </c>
      <c r="GW12" s="389">
        <v>0.125</v>
      </c>
      <c r="GX12" s="56">
        <f>GX11+(GX$22-GX$11)/11</f>
        <v>0.25672661115682505</v>
      </c>
      <c r="GY12" s="389">
        <v>0.25</v>
      </c>
      <c r="GZ12" s="56">
        <f>GZ11+(GZ$22-GZ$11)/11</f>
        <v>0.46744186490031869</v>
      </c>
      <c r="HA12" s="400">
        <f t="shared" si="55"/>
        <v>0.63931095831129492</v>
      </c>
      <c r="HB12" s="56">
        <f>HB11+(HB$22-HB$11)/11</f>
        <v>0.30055119424471571</v>
      </c>
      <c r="HC12" s="56">
        <f t="shared" si="56"/>
        <v>0.12781954887218044</v>
      </c>
      <c r="HD12" s="400">
        <f>HD11+(HD$22-HD$11)/11</f>
        <v>0.2301251731388898</v>
      </c>
      <c r="HE12" s="400">
        <v>0.5</v>
      </c>
      <c r="HF12" s="56">
        <f>HF11+(HF$22-HF$11)/11</f>
        <v>0.25946937429888239</v>
      </c>
      <c r="HG12" s="56">
        <v>0.2</v>
      </c>
      <c r="HH12" s="6">
        <f t="shared" si="57"/>
        <v>0.2955039644437415</v>
      </c>
      <c r="HI12" s="6">
        <f t="shared" si="58"/>
        <v>0.26865185444604484</v>
      </c>
      <c r="HJ12" s="23">
        <f t="shared" si="59"/>
        <v>0.63931095831129492</v>
      </c>
      <c r="HK12" s="23"/>
      <c r="HL12" s="23"/>
      <c r="HM12" s="31">
        <f t="shared" ref="HM12:HM26" si="184">GO12/(W12-AU12)</f>
        <v>0.45008151794951656</v>
      </c>
      <c r="HN12" s="23">
        <f t="shared" si="60"/>
        <v>0.53559877078905338</v>
      </c>
      <c r="HO12" s="23">
        <f t="shared" si="61"/>
        <v>0.46011300989212173</v>
      </c>
      <c r="HP12" s="575"/>
      <c r="HQ12" s="193"/>
      <c r="HR12" s="193"/>
      <c r="HS12" s="193"/>
      <c r="HT12" s="193"/>
      <c r="HU12" s="193"/>
      <c r="HV12" s="193"/>
      <c r="HW12" s="193"/>
      <c r="HX12" s="193"/>
      <c r="HY12" s="66"/>
      <c r="HZ12" s="66"/>
      <c r="IA12" s="184"/>
      <c r="IB12" s="23"/>
      <c r="IC12" s="23"/>
      <c r="ID12" s="23"/>
      <c r="IE12" s="23"/>
      <c r="IF12" s="23"/>
      <c r="IG12" s="23"/>
      <c r="IH12" s="23"/>
      <c r="II12" s="23"/>
      <c r="IJ12" s="23"/>
      <c r="IK12" s="23"/>
      <c r="IL12" s="23"/>
      <c r="IM12" s="575"/>
      <c r="IN12" s="193"/>
      <c r="IO12" s="193"/>
      <c r="IP12" s="193"/>
      <c r="IQ12" s="193"/>
      <c r="IR12" s="193"/>
      <c r="IS12" s="193"/>
      <c r="IT12" s="193"/>
      <c r="IU12" s="193"/>
      <c r="IV12" s="193"/>
      <c r="IW12" s="193"/>
      <c r="IX12" s="149">
        <f t="shared" si="63"/>
        <v>0</v>
      </c>
      <c r="IY12" s="316">
        <f t="shared" si="64"/>
        <v>0</v>
      </c>
      <c r="IZ12" s="316">
        <f t="shared" si="65"/>
        <v>0</v>
      </c>
      <c r="JA12" s="316">
        <f t="shared" si="66"/>
        <v>0</v>
      </c>
      <c r="JB12" s="316">
        <f t="shared" si="67"/>
        <v>0</v>
      </c>
      <c r="JC12" s="316">
        <f t="shared" si="68"/>
        <v>0</v>
      </c>
      <c r="JD12" s="316">
        <f t="shared" si="69"/>
        <v>0</v>
      </c>
      <c r="JE12" s="316">
        <f t="shared" si="70"/>
        <v>0</v>
      </c>
      <c r="JF12" s="316">
        <f t="shared" si="71"/>
        <v>0</v>
      </c>
      <c r="JG12" s="316">
        <f t="shared" si="72"/>
        <v>0</v>
      </c>
      <c r="JH12" s="316">
        <f t="shared" si="73"/>
        <v>0</v>
      </c>
      <c r="JI12" s="5"/>
      <c r="JJ12" s="593"/>
      <c r="JK12" s="593"/>
      <c r="JL12" s="593"/>
      <c r="JM12" s="593"/>
      <c r="JN12" s="593"/>
      <c r="JO12" s="593"/>
      <c r="JP12" s="552">
        <f t="shared" si="74"/>
        <v>0</v>
      </c>
      <c r="JQ12" s="552">
        <f t="shared" si="75"/>
        <v>0</v>
      </c>
      <c r="JR12" s="552">
        <f t="shared" si="76"/>
        <v>0</v>
      </c>
      <c r="JS12" s="593"/>
      <c r="JT12" s="574"/>
      <c r="JU12" s="593"/>
      <c r="JV12" s="593"/>
      <c r="JW12" s="593"/>
      <c r="JX12" s="593"/>
      <c r="JY12" s="593"/>
      <c r="JZ12" s="593"/>
      <c r="KA12" s="593"/>
      <c r="KB12" s="593"/>
      <c r="KC12" s="657"/>
      <c r="KD12" s="593"/>
      <c r="KE12" s="149"/>
      <c r="KN12" s="657"/>
      <c r="KP12" s="574"/>
      <c r="KY12" s="657"/>
      <c r="LA12" s="149">
        <f>'Assets(MOFA)'!IX12-'Assets(MOFA)'!KE12-'Assets(MOFA)'!KP12</f>
        <v>0</v>
      </c>
      <c r="LB12" s="552">
        <f>'Assets(MOFA)'!IY12-'Assets(MOFA)'!KF12-'Assets(MOFA)'!KQ12</f>
        <v>0</v>
      </c>
      <c r="LC12" s="552">
        <f>'Assets(MOFA)'!IZ12-'Assets(MOFA)'!KG12-'Assets(MOFA)'!KR12</f>
        <v>0</v>
      </c>
      <c r="LD12" s="552">
        <f>'Assets(MOFA)'!JA12-'Assets(MOFA)'!KH12-'Assets(MOFA)'!KS12</f>
        <v>0</v>
      </c>
      <c r="LE12" s="552">
        <f>'Assets(MOFA)'!JB12-'Assets(MOFA)'!KI12-'Assets(MOFA)'!KT12</f>
        <v>0</v>
      </c>
      <c r="LF12" s="552">
        <f>'Assets(MOFA)'!JC12-'Assets(MOFA)'!KJ12-'Assets(MOFA)'!KU12</f>
        <v>0</v>
      </c>
      <c r="LG12" s="552">
        <f>'Assets(MOFA)'!JD12-'Assets(MOFA)'!KK12-'Assets(MOFA)'!KV12</f>
        <v>0</v>
      </c>
      <c r="LH12" s="552">
        <f>'Assets(MOFA)'!JE12-'Assets(MOFA)'!KL12-'Assets(MOFA)'!KW12</f>
        <v>0</v>
      </c>
      <c r="LI12" s="552">
        <f>'Assets(MOFA)'!JF12-'Assets(MOFA)'!KM12-'Assets(MOFA)'!KX12</f>
        <v>0</v>
      </c>
      <c r="LJ12" s="552">
        <f t="shared" si="77"/>
        <v>0</v>
      </c>
      <c r="LK12" s="552">
        <f>'Assets(MOFA)'!JH12-'Assets(MOFA)'!KO12-'Assets(MOFA)'!KZ12</f>
        <v>0</v>
      </c>
      <c r="LL12" s="576" t="e">
        <f t="shared" si="78"/>
        <v>#DIV/0!</v>
      </c>
      <c r="LM12" s="6" t="e">
        <f t="shared" si="79"/>
        <v>#DIV/0!</v>
      </c>
      <c r="LN12" s="6" t="e">
        <f t="shared" si="80"/>
        <v>#DIV/0!</v>
      </c>
      <c r="LO12" s="6" t="e">
        <f t="shared" si="81"/>
        <v>#DIV/0!</v>
      </c>
      <c r="LP12" s="6" t="e">
        <f t="shared" si="82"/>
        <v>#DIV/0!</v>
      </c>
      <c r="LQ12" s="6" t="e">
        <f t="shared" si="83"/>
        <v>#DIV/0!</v>
      </c>
      <c r="LR12" s="6" t="e">
        <f t="shared" si="84"/>
        <v>#DIV/0!</v>
      </c>
      <c r="LS12" s="6" t="e">
        <f t="shared" si="85"/>
        <v>#DIV/0!</v>
      </c>
      <c r="LT12" s="143" t="e">
        <f t="shared" si="86"/>
        <v>#DIV/0!</v>
      </c>
      <c r="LU12" s="62" t="e">
        <f t="shared" si="87"/>
        <v>#DIV/0!</v>
      </c>
      <c r="LV12" s="902" t="e">
        <f t="shared" si="88"/>
        <v>#DIV/0!</v>
      </c>
      <c r="LW12" s="902" t="e">
        <f t="shared" si="89"/>
        <v>#DIV/0!</v>
      </c>
      <c r="LX12" s="143" t="e">
        <f t="shared" si="90"/>
        <v>#DIV/0!</v>
      </c>
      <c r="LY12" s="576" t="e">
        <f t="shared" si="91"/>
        <v>#DIV/0!</v>
      </c>
      <c r="LZ12" s="906" t="e">
        <f t="shared" si="92"/>
        <v>#DIV/0!</v>
      </c>
      <c r="MA12" s="906" t="e">
        <f t="shared" si="93"/>
        <v>#DIV/0!</v>
      </c>
      <c r="MB12" s="906" t="e">
        <f t="shared" si="94"/>
        <v>#DIV/0!</v>
      </c>
      <c r="MC12" s="906" t="e">
        <f t="shared" si="95"/>
        <v>#DIV/0!</v>
      </c>
      <c r="MD12" s="906" t="e">
        <f t="shared" si="96"/>
        <v>#DIV/0!</v>
      </c>
      <c r="ME12" s="906">
        <v>6.1610529375296846E-2</v>
      </c>
      <c r="MF12" s="906" t="e">
        <f t="shared" si="97"/>
        <v>#DIV/0!</v>
      </c>
      <c r="MG12" s="30" t="e">
        <f t="shared" si="98"/>
        <v>#DIV/0!</v>
      </c>
      <c r="MH12" s="140" t="e">
        <f t="shared" si="99"/>
        <v>#DIV/0!</v>
      </c>
      <c r="MI12" s="30" t="e">
        <f t="shared" si="100"/>
        <v>#DIV/0!</v>
      </c>
      <c r="MJ12" s="30" t="e">
        <f t="shared" si="101"/>
        <v>#DIV/0!</v>
      </c>
      <c r="MK12" s="617" t="e">
        <f t="shared" si="102"/>
        <v>#DIV/0!</v>
      </c>
      <c r="ML12" s="615" t="e">
        <f t="shared" si="103"/>
        <v>#DIV/0!</v>
      </c>
      <c r="MM12" s="574"/>
      <c r="MU12" s="593"/>
      <c r="MX12" s="574"/>
      <c r="NI12" s="613">
        <f t="shared" si="104"/>
        <v>15593.35346516927</v>
      </c>
      <c r="NQ12" s="593"/>
      <c r="NY12" s="593"/>
      <c r="NZ12" s="593"/>
      <c r="OA12" s="593"/>
      <c r="OB12" s="593"/>
      <c r="OC12" s="593"/>
      <c r="OD12" s="593"/>
      <c r="OE12" s="593"/>
      <c r="OF12" s="593"/>
      <c r="OG12" s="593"/>
      <c r="OH12" s="593"/>
      <c r="OI12" s="593"/>
      <c r="OJ12" s="593"/>
      <c r="OK12" s="593"/>
      <c r="OL12" s="593"/>
      <c r="OM12" s="593"/>
      <c r="ON12" s="593"/>
      <c r="OO12" s="593"/>
      <c r="OW12" s="593"/>
      <c r="PE12" s="593"/>
      <c r="PN12" s="574"/>
      <c r="PO12" s="593"/>
      <c r="PP12" s="593"/>
      <c r="PQ12" s="593"/>
      <c r="PR12" s="593"/>
      <c r="PS12" s="593"/>
      <c r="PT12" s="593"/>
      <c r="PU12" s="593"/>
      <c r="PV12" s="593"/>
      <c r="PW12" s="593"/>
      <c r="PX12" s="593"/>
      <c r="PY12" s="593"/>
      <c r="PZ12" s="593"/>
      <c r="QA12" s="593"/>
      <c r="QB12" s="593"/>
      <c r="QC12" s="593"/>
      <c r="QD12" s="593"/>
      <c r="QE12" s="593"/>
      <c r="QF12" s="593"/>
      <c r="QG12" s="593"/>
      <c r="QH12" s="593"/>
      <c r="QI12" s="593"/>
      <c r="QJ12" s="593"/>
      <c r="QK12" s="593"/>
      <c r="QL12" s="593"/>
      <c r="QM12" s="593"/>
      <c r="QN12" s="593"/>
      <c r="QO12" s="593"/>
      <c r="QP12" s="593"/>
      <c r="QQ12" s="593"/>
      <c r="QR12" s="593"/>
      <c r="QS12" s="593"/>
      <c r="QT12" s="593"/>
      <c r="QU12" s="593"/>
      <c r="QV12" s="593"/>
      <c r="QW12" s="593"/>
      <c r="QX12" s="593"/>
      <c r="QY12" s="593"/>
      <c r="QZ12" s="593"/>
      <c r="RA12" s="593"/>
      <c r="RB12" s="593"/>
      <c r="RC12" s="593"/>
      <c r="RD12" s="593"/>
      <c r="RE12" s="593"/>
      <c r="RF12" s="593"/>
      <c r="RG12" s="593"/>
      <c r="RH12" s="593"/>
      <c r="RI12" s="593"/>
      <c r="RJ12" s="593"/>
      <c r="RK12" s="593"/>
      <c r="RL12" s="593"/>
      <c r="RM12" s="593"/>
      <c r="RN12" s="593"/>
      <c r="RO12" s="593"/>
      <c r="RP12" s="593"/>
      <c r="RQ12" s="593"/>
      <c r="RR12" s="593"/>
    </row>
    <row r="13" spans="1:486" s="567" customFormat="1">
      <c r="A13" s="568">
        <v>1968</v>
      </c>
      <c r="B13" s="611">
        <f>O13*P13</f>
        <v>17686.078357203252</v>
      </c>
      <c r="C13" s="66">
        <f t="shared" ref="C13:C21" si="185">Q13*$B13</f>
        <v>23.704535044219934</v>
      </c>
      <c r="D13" s="66">
        <f t="shared" si="105"/>
        <v>19.78444003378344</v>
      </c>
      <c r="E13" s="66">
        <f t="shared" si="105"/>
        <v>258.25467127123824</v>
      </c>
      <c r="F13" s="66">
        <f t="shared" si="105"/>
        <v>208.35038696761731</v>
      </c>
      <c r="G13" s="66">
        <f t="shared" si="105"/>
        <v>152.2080671260438</v>
      </c>
      <c r="H13" s="66">
        <f t="shared" si="105"/>
        <v>37.43081122828049</v>
      </c>
      <c r="I13" s="193">
        <f t="shared" si="106"/>
        <v>699.73291167118316</v>
      </c>
      <c r="J13" s="193">
        <f t="shared" si="107"/>
        <v>16986.345445532068</v>
      </c>
      <c r="K13" s="193">
        <f t="shared" si="108"/>
        <v>15255.915416966</v>
      </c>
      <c r="L13" s="66">
        <f t="shared" ref="L13:L26" si="186">N13*B13</f>
        <v>1730.4300285660681</v>
      </c>
      <c r="M13" s="140">
        <f t="shared" si="109"/>
        <v>3.9564051314190482E-2</v>
      </c>
      <c r="N13" s="591">
        <f>N12+(N$15-N$11)/4</f>
        <v>9.7841363903111517E-2</v>
      </c>
      <c r="O13" s="193">
        <v>340200</v>
      </c>
      <c r="P13" s="626">
        <f>P12+(P$15-P$11)/4</f>
        <v>5.198729675838698E-2</v>
      </c>
      <c r="Q13" s="630">
        <f t="shared" si="110"/>
        <v>1.340293453724605E-3</v>
      </c>
      <c r="R13" s="387">
        <f t="shared" si="111"/>
        <v>1.1186448252800802E-3</v>
      </c>
      <c r="S13" s="387">
        <f t="shared" si="111"/>
        <v>1.4602144469525959E-2</v>
      </c>
      <c r="T13" s="387">
        <f t="shared" si="111"/>
        <v>1.1780474040632054E-2</v>
      </c>
      <c r="U13" s="387">
        <f t="shared" si="111"/>
        <v>8.6060948081264112E-3</v>
      </c>
      <c r="V13" s="387">
        <f t="shared" si="111"/>
        <v>2.1163997169013743E-3</v>
      </c>
      <c r="W13" s="590">
        <f t="shared" si="112"/>
        <v>11682.860923865117</v>
      </c>
      <c r="X13" s="66">
        <f t="shared" si="113"/>
        <v>19.686607429115657</v>
      </c>
      <c r="Y13" s="76">
        <f t="shared" si="3"/>
        <v>7.6000075213574565</v>
      </c>
      <c r="Z13" s="76">
        <f t="shared" si="114"/>
        <v>12.086599907758201</v>
      </c>
      <c r="AA13" s="66">
        <f t="shared" si="115"/>
        <v>5.4771071275309957</v>
      </c>
      <c r="AB13" s="66">
        <f t="shared" si="116"/>
        <v>0</v>
      </c>
      <c r="AC13" s="274">
        <f t="shared" si="117"/>
        <v>5.4771071275309957</v>
      </c>
      <c r="AD13" s="66">
        <f t="shared" si="118"/>
        <v>48.841432977513108</v>
      </c>
      <c r="AE13" s="357">
        <f t="shared" si="4"/>
        <v>9.0168434368916515</v>
      </c>
      <c r="AF13" s="274">
        <f t="shared" si="119"/>
        <v>39.82458954062146</v>
      </c>
      <c r="AG13" s="66">
        <f t="shared" si="120"/>
        <v>166.65239102883538</v>
      </c>
      <c r="AH13" s="357">
        <f t="shared" si="5"/>
        <v>-0.39379921310166444</v>
      </c>
      <c r="AI13" s="76">
        <f t="shared" si="6"/>
        <v>167.04619024193704</v>
      </c>
      <c r="AJ13" s="66">
        <f t="shared" si="121"/>
        <v>164.70888865982357</v>
      </c>
      <c r="AK13" s="357">
        <f t="shared" si="122"/>
        <v>39.872432734598874</v>
      </c>
      <c r="AL13" s="274">
        <f t="shared" si="123"/>
        <v>124.8364559252247</v>
      </c>
      <c r="AM13" s="66">
        <f t="shared" si="124"/>
        <v>10.298682373269818</v>
      </c>
      <c r="AN13" s="357">
        <f t="shared" si="7"/>
        <v>2.5328380113467532</v>
      </c>
      <c r="AO13" s="274">
        <f t="shared" si="125"/>
        <v>7.7658443619230653</v>
      </c>
      <c r="AP13" s="193">
        <f t="shared" si="8"/>
        <v>415.6651095960886</v>
      </c>
      <c r="AQ13" s="271">
        <f t="shared" si="9"/>
        <v>58.628322491093073</v>
      </c>
      <c r="AR13" s="271">
        <f t="shared" si="126"/>
        <v>357.03678710499548</v>
      </c>
      <c r="AS13" s="66">
        <f t="shared" si="127"/>
        <v>11267.195814269029</v>
      </c>
      <c r="AT13" s="193">
        <f t="shared" si="128"/>
        <v>6392.3958142690299</v>
      </c>
      <c r="AU13" s="66">
        <f t="shared" ref="AU13:AU26" si="187">DE13+GK13</f>
        <v>4874.7999999999993</v>
      </c>
      <c r="AV13" s="66"/>
      <c r="AW13" s="66"/>
      <c r="AX13" s="271">
        <f>DD13/(1-HM13)</f>
        <v>6808.0609238651205</v>
      </c>
      <c r="AY13" s="140">
        <f t="shared" si="10"/>
        <v>3.5579051424552213E-2</v>
      </c>
      <c r="AZ13" s="623">
        <f t="shared" si="129"/>
        <v>3.0560732463711864E-2</v>
      </c>
      <c r="BA13" s="248">
        <f t="shared" si="11"/>
        <v>5.2443242076966642E-2</v>
      </c>
      <c r="BB13" s="248">
        <f t="shared" si="130"/>
        <v>1.775336625644694E-3</v>
      </c>
      <c r="BC13" s="248">
        <f t="shared" si="131"/>
        <v>8.0450324824964895E-4</v>
      </c>
      <c r="BD13" s="248">
        <f t="shared" si="132"/>
        <v>5.8496229669478287E-3</v>
      </c>
      <c r="BE13" s="248">
        <f t="shared" si="133"/>
        <v>2.4536529873927803E-2</v>
      </c>
      <c r="BF13" s="248">
        <f t="shared" si="134"/>
        <v>1.8336565627316927E-2</v>
      </c>
      <c r="BG13" s="248">
        <f t="shared" si="135"/>
        <v>1.1406837348797087E-3</v>
      </c>
      <c r="BH13" s="248">
        <f t="shared" si="136"/>
        <v>6.6541262151974777E-3</v>
      </c>
      <c r="BI13" s="23">
        <f t="shared" si="12"/>
        <v>5.388078642667609E-2</v>
      </c>
      <c r="BJ13" s="144">
        <f t="shared" si="13"/>
        <v>0.41726080895493856</v>
      </c>
      <c r="BK13" s="623">
        <f t="shared" si="137"/>
        <v>0.41224248999409818</v>
      </c>
      <c r="BL13" s="590">
        <f t="shared" si="138"/>
        <v>1060.4647189243367</v>
      </c>
      <c r="BM13" s="66">
        <f t="shared" si="139"/>
        <v>2.2007877153046898</v>
      </c>
      <c r="BN13" s="66">
        <f t="shared" si="140"/>
        <v>0</v>
      </c>
      <c r="BO13" s="66">
        <f t="shared" si="141"/>
        <v>25.145891554887829</v>
      </c>
      <c r="BP13" s="66">
        <f t="shared" si="142"/>
        <v>-23.383987055899144</v>
      </c>
      <c r="BQ13" s="66">
        <f t="shared" si="143"/>
        <v>5.3975951466761121</v>
      </c>
      <c r="BR13" s="66">
        <f t="shared" si="144"/>
        <v>0</v>
      </c>
      <c r="BS13" s="193">
        <f>BR13+BQ13+BP13+BO13+BN13+BM13</f>
        <v>9.3602873609694885</v>
      </c>
      <c r="BT13" s="66">
        <f t="shared" si="145"/>
        <v>1051.1044315633671</v>
      </c>
      <c r="BU13" s="193">
        <f>BT13-BV13</f>
        <v>639.04435087172442</v>
      </c>
      <c r="BV13" s="66">
        <f t="shared" si="146"/>
        <v>412.06008069164267</v>
      </c>
      <c r="BW13" s="590">
        <f>BW14*'Assets(BoP)'!ER60/'Assets(BoP)'!ER61</f>
        <v>5692.9609238651183</v>
      </c>
      <c r="BX13" s="357">
        <f t="shared" si="147"/>
        <v>15.886603668436928</v>
      </c>
      <c r="BY13" s="193">
        <f t="shared" si="148"/>
        <v>6.6500065811877747</v>
      </c>
      <c r="BZ13" s="647">
        <f t="shared" si="149"/>
        <v>1.6224592458607913E-3</v>
      </c>
      <c r="CA13" s="357">
        <f t="shared" si="150"/>
        <v>4.0233243334075857</v>
      </c>
      <c r="CB13" s="193">
        <f t="shared" si="151"/>
        <v>0</v>
      </c>
      <c r="CC13" s="647">
        <f t="shared" si="14"/>
        <v>7.0671911984177699E-4</v>
      </c>
      <c r="CD13" s="357">
        <f t="shared" si="152"/>
        <v>26.314592177184615</v>
      </c>
      <c r="CE13" s="193">
        <f t="shared" si="153"/>
        <v>3.3011324529868977</v>
      </c>
      <c r="CF13" s="655">
        <f t="shared" si="15"/>
        <v>4.0424411886834455E-3</v>
      </c>
      <c r="CG13" s="357">
        <f t="shared" si="154"/>
        <v>117.65103706473015</v>
      </c>
      <c r="CH13" s="193">
        <f t="shared" si="155"/>
        <v>-0.34346397533679002</v>
      </c>
      <c r="CI13" s="23">
        <f t="shared" si="16"/>
        <v>2.0726385200613148E-2</v>
      </c>
      <c r="CJ13" s="357">
        <f t="shared" si="156"/>
        <v>124.33805051604223</v>
      </c>
      <c r="CK13" s="641">
        <f t="shared" si="157"/>
        <v>19.936216367299437</v>
      </c>
      <c r="CL13" s="34">
        <f t="shared" si="158"/>
        <v>1.8338758256900404E-2</v>
      </c>
      <c r="CM13" s="357">
        <f t="shared" si="159"/>
        <v>7.694563177175783</v>
      </c>
      <c r="CN13" s="193">
        <f t="shared" si="160"/>
        <v>2.0262704090774024</v>
      </c>
      <c r="CO13" s="23">
        <f t="shared" si="161"/>
        <v>9.9566690232084183E-4</v>
      </c>
      <c r="CP13" s="271">
        <f t="shared" si="17"/>
        <v>295.90817093697729</v>
      </c>
      <c r="CQ13" s="193">
        <f t="shared" si="162"/>
        <v>31.570161835214723</v>
      </c>
      <c r="CR13" s="271">
        <f t="shared" si="18"/>
        <v>5397.0527529281408</v>
      </c>
      <c r="CS13" s="248">
        <f t="shared" si="163"/>
        <v>4.6432429914220405E-2</v>
      </c>
      <c r="CT13" s="30">
        <f t="shared" si="19"/>
        <v>5.1977903044533202E-2</v>
      </c>
      <c r="CU13" s="308">
        <f t="shared" si="20"/>
        <v>0</v>
      </c>
      <c r="CV13" s="644">
        <f>CV12*'Assets(BoP)'!FH60/'Assets(BoP)'!FH59</f>
        <v>2.7905695965415212E-3</v>
      </c>
      <c r="CW13" s="644">
        <f t="shared" ref="CW13:CY14" si="188">CW12+(CW$15-CW$11)/4</f>
        <v>7.0671911984177688E-4</v>
      </c>
      <c r="CX13" s="308">
        <f>CX14*'Assets(BoP)'!FH60/'Assets(BoP)'!FH61</f>
        <v>4.6223033196790093E-3</v>
      </c>
      <c r="CY13" s="644">
        <f t="shared" si="188"/>
        <v>2.0666053858113154E-2</v>
      </c>
      <c r="CZ13" s="644">
        <f t="shared" ref="CZ13:DB14" si="189">CZ12+(CZ$15-CZ$11)/4</f>
        <v>2.1840664669734899E-2</v>
      </c>
      <c r="DA13" s="308">
        <f>'Assets(BoP)'!FK60</f>
        <v>2.8545837166942711E-2</v>
      </c>
      <c r="DB13" s="644">
        <f t="shared" si="189"/>
        <v>1.3515924806228458E-3</v>
      </c>
      <c r="DC13" s="23">
        <f t="shared" si="21"/>
        <v>6.7635711701751616E-2</v>
      </c>
      <c r="DD13" s="193">
        <f t="shared" si="22"/>
        <v>3908.2609238651185</v>
      </c>
      <c r="DE13" s="66">
        <f t="shared" si="164"/>
        <v>1784.7</v>
      </c>
      <c r="DF13" s="635">
        <f>'Assets(BoP)'!ES60*1000</f>
        <v>1963</v>
      </c>
      <c r="DG13" s="193">
        <f>'Assets(BoP)'!DA60*1000</f>
        <v>1983</v>
      </c>
      <c r="DH13" s="23">
        <f t="shared" si="23"/>
        <v>0.31349240296353814</v>
      </c>
      <c r="DI13" s="23">
        <f>'Assets(BoP)'!DA60/'Assets(BoP)'!CZ60</f>
        <v>0.30086481565771506</v>
      </c>
      <c r="DJ13" s="23">
        <f t="shared" si="24"/>
        <v>4.7355599724854196E-2</v>
      </c>
      <c r="DK13" s="600">
        <f>'Assets(BoP)'!FO60-'Assets(BoP)'!FH60</f>
        <v>6.2465047774404946E-2</v>
      </c>
      <c r="DL13" s="576">
        <f t="shared" si="25"/>
        <v>0.66056819877804496</v>
      </c>
      <c r="DM13" s="251">
        <f t="shared" si="26"/>
        <v>0.83049962348516937</v>
      </c>
      <c r="DN13" s="251">
        <f t="shared" si="27"/>
        <v>0.57536810395029037</v>
      </c>
      <c r="DO13" s="251">
        <f t="shared" si="28"/>
        <v>0.27683912803083727</v>
      </c>
      <c r="DP13" s="251">
        <f t="shared" si="29"/>
        <v>0.27683912803083727</v>
      </c>
      <c r="DQ13" s="251">
        <f t="shared" si="30"/>
        <v>0.1891211986102517</v>
      </c>
      <c r="DR13" s="251">
        <f t="shared" si="31"/>
        <v>0.15614184388782976</v>
      </c>
      <c r="DS13" s="251">
        <f t="shared" si="32"/>
        <v>0.79986600195149715</v>
      </c>
      <c r="DT13" s="251">
        <f t="shared" si="33"/>
        <v>0.80121852121949333</v>
      </c>
      <c r="DU13" s="251">
        <f t="shared" si="34"/>
        <v>1.0821298224845588</v>
      </c>
      <c r="DV13" s="251">
        <f t="shared" si="35"/>
        <v>0.90425575215003096</v>
      </c>
      <c r="DW13" s="251">
        <f t="shared" si="36"/>
        <v>0.2751391710551212</v>
      </c>
      <c r="DX13" s="251">
        <f t="shared" si="37"/>
        <v>0.21257813089056141</v>
      </c>
      <c r="DY13" s="251">
        <f t="shared" si="38"/>
        <v>0.19536294678144822</v>
      </c>
      <c r="DZ13" s="251">
        <f t="shared" si="39"/>
        <v>0.16483032598327846</v>
      </c>
      <c r="EA13" s="643">
        <f t="shared" si="40"/>
        <v>0.59403395590375918</v>
      </c>
      <c r="EB13" s="643">
        <f t="shared" si="41"/>
        <v>0.52588829040090945</v>
      </c>
      <c r="EC13" s="251">
        <f t="shared" si="42"/>
        <v>0.6633090001847719</v>
      </c>
      <c r="ED13" s="251">
        <f t="shared" si="43"/>
        <v>0.42668657416107741</v>
      </c>
      <c r="EE13" s="140">
        <f t="shared" si="44"/>
        <v>0.41901096325954257</v>
      </c>
      <c r="EF13" s="1342">
        <v>0.29344586133305106</v>
      </c>
      <c r="EG13" s="140">
        <f t="shared" si="165"/>
        <v>2.8171032168457764</v>
      </c>
      <c r="EH13" s="583">
        <v>1.8</v>
      </c>
      <c r="EI13" s="1344">
        <v>5.3503087932555626</v>
      </c>
      <c r="EJ13" s="576">
        <f t="shared" si="166"/>
        <v>0.32188938717137755</v>
      </c>
      <c r="EK13" s="753">
        <f t="shared" si="167"/>
        <v>0.39505159436747389</v>
      </c>
      <c r="EL13" s="753">
        <f t="shared" si="168"/>
        <v>1.0313621299550049</v>
      </c>
      <c r="EM13" s="753">
        <f t="shared" si="169"/>
        <v>0.23678374284317727</v>
      </c>
      <c r="EN13" s="583"/>
      <c r="EO13" s="48"/>
      <c r="EP13" s="641"/>
      <c r="EQ13" s="641"/>
      <c r="ER13" s="641"/>
      <c r="ES13" s="641"/>
      <c r="ET13" s="641"/>
      <c r="EU13" s="641"/>
      <c r="EV13" s="641"/>
      <c r="EW13" s="641"/>
      <c r="EX13" s="641"/>
      <c r="EY13" s="641"/>
      <c r="EZ13" s="641"/>
      <c r="FA13" s="641"/>
      <c r="FB13" s="193"/>
      <c r="FC13" s="193"/>
      <c r="FD13" s="23"/>
      <c r="FE13" s="66"/>
      <c r="FF13" s="66"/>
      <c r="FG13" s="66">
        <f>FH13*FI13</f>
        <v>1784.7</v>
      </c>
      <c r="FH13" s="193">
        <f>'Assets(BoP)'!DA60*1000</f>
        <v>1983</v>
      </c>
      <c r="FI13" s="184">
        <v>0.9</v>
      </c>
      <c r="FJ13" s="590">
        <f>GO13+GK13</f>
        <v>5989.9</v>
      </c>
      <c r="FK13" s="143">
        <f>FJ13/'Assets(BoP)'!AV60/1000</f>
        <v>1.323734806629834</v>
      </c>
      <c r="FL13" s="725"/>
      <c r="FM13" s="66">
        <f t="shared" si="170"/>
        <v>3.8000037606787282</v>
      </c>
      <c r="FN13" s="66">
        <f t="shared" si="171"/>
        <v>0.95000094016968206</v>
      </c>
      <c r="FO13" s="184">
        <f t="shared" si="172"/>
        <v>0.25</v>
      </c>
      <c r="FP13" s="66">
        <f t="shared" si="173"/>
        <v>1.4537827941234105</v>
      </c>
      <c r="FQ13" s="66">
        <f t="shared" ref="FQ13:FQ21" si="190">FP13*FR13</f>
        <v>0</v>
      </c>
      <c r="FR13" s="184">
        <v>0</v>
      </c>
      <c r="FS13" s="66">
        <f t="shared" si="174"/>
        <v>22.526840800328497</v>
      </c>
      <c r="FT13" s="66">
        <f t="shared" ref="FT13:FT21" si="191">FS13*FV13</f>
        <v>5.7157109839047537</v>
      </c>
      <c r="FU13" s="193">
        <f t="shared" si="175"/>
        <v>16.811129816423744</v>
      </c>
      <c r="FV13" s="184">
        <f t="shared" si="176"/>
        <v>0.25372891985019952</v>
      </c>
      <c r="FW13" s="66">
        <f t="shared" si="177"/>
        <v>49.001353964105228</v>
      </c>
      <c r="FX13" s="66">
        <f t="shared" ref="FX13:FX21" si="192">FW13*FY13</f>
        <v>-5.0335237764874398E-2</v>
      </c>
      <c r="FY13" s="184">
        <f t="shared" ref="FY13:FY21" si="193">FY12+(FY$22-FY$11)/11</f>
        <v>-1.0272213662044171E-3</v>
      </c>
      <c r="FZ13" s="66">
        <f t="shared" si="178"/>
        <v>40.370838143781356</v>
      </c>
      <c r="GA13" s="66">
        <f t="shared" si="179"/>
        <v>19.936216367299437</v>
      </c>
      <c r="GB13" s="193">
        <f t="shared" si="180"/>
        <v>20.434621776481919</v>
      </c>
      <c r="GC13" s="184">
        <f t="shared" si="181"/>
        <v>0.49382716049382719</v>
      </c>
      <c r="GD13" s="66">
        <f t="shared" si="182"/>
        <v>2.6041191960940355</v>
      </c>
      <c r="GE13" s="66">
        <f t="shared" ref="GE13:GE21" si="194">GD13*GF13</f>
        <v>0.50656760226935071</v>
      </c>
      <c r="GF13" s="184">
        <f t="shared" si="183"/>
        <v>0.19452550521848633</v>
      </c>
      <c r="GG13" s="193">
        <f t="shared" si="47"/>
        <v>119.75693865911127</v>
      </c>
      <c r="GH13" s="193">
        <f t="shared" si="48"/>
        <v>27.058160655878346</v>
      </c>
      <c r="GI13" s="193">
        <f t="shared" si="49"/>
        <v>5870.1430613408884</v>
      </c>
      <c r="GJ13" s="23">
        <f t="shared" si="50"/>
        <v>1.9993144903773231E-2</v>
      </c>
      <c r="GK13" s="66">
        <f>GM13*'Assets(BoP)'!AW60*1000</f>
        <v>3090.0999999999995</v>
      </c>
      <c r="GL13" s="66"/>
      <c r="GM13" s="184">
        <v>1.3</v>
      </c>
      <c r="GN13" s="23">
        <f t="shared" si="51"/>
        <v>0.51588507320656429</v>
      </c>
      <c r="GO13" s="666">
        <f>('Assets(BoP)'!AV60-'Assets(BoP)'!AW60)*1000*GP13</f>
        <v>2899.8000000000006</v>
      </c>
      <c r="GP13" s="184">
        <v>1.35</v>
      </c>
      <c r="GQ13" s="330">
        <f t="shared" si="52"/>
        <v>2780.0430613408889</v>
      </c>
      <c r="GR13" s="330">
        <v>36</v>
      </c>
      <c r="GS13" s="140">
        <f t="shared" si="53"/>
        <v>4.1883796235767712E-2</v>
      </c>
      <c r="GT13" s="625">
        <f>GT$15</f>
        <v>0.52905795518417165</v>
      </c>
      <c r="GU13" s="576">
        <f t="shared" si="54"/>
        <v>0.51270832025092039</v>
      </c>
      <c r="GV13" s="56">
        <f t="shared" ref="GV13:GV21" si="195">GV12+(GV$22-GV$11)/11</f>
        <v>0.19302481518774456</v>
      </c>
      <c r="GW13" s="389">
        <v>0.125</v>
      </c>
      <c r="GX13" s="56">
        <f t="shared" ref="GX13:HD21" si="196">GX12+(GX$22-GX$11)/11</f>
        <v>0.26542895004114253</v>
      </c>
      <c r="GY13" s="389">
        <v>0.25</v>
      </c>
      <c r="GZ13" s="56">
        <f t="shared" si="196"/>
        <v>0.46122399419976051</v>
      </c>
      <c r="HA13" s="400">
        <f t="shared" si="55"/>
        <v>0.63389267251989823</v>
      </c>
      <c r="HB13" s="56">
        <f t="shared" si="196"/>
        <v>0.29403330886279733</v>
      </c>
      <c r="HC13" s="56">
        <f t="shared" si="56"/>
        <v>0.12781954887218044</v>
      </c>
      <c r="HD13" s="400">
        <f t="shared" si="196"/>
        <v>0.24510418637551504</v>
      </c>
      <c r="HE13" s="400">
        <v>0.5</v>
      </c>
      <c r="HF13" s="56">
        <f t="shared" ref="HF13:HF21" si="197">HF12+(HF$22-HF$11)/11</f>
        <v>0.2528594534435798</v>
      </c>
      <c r="HG13" s="56">
        <v>0.2</v>
      </c>
      <c r="HH13" s="6">
        <f t="shared" si="57"/>
        <v>0.28810919149668796</v>
      </c>
      <c r="HI13" s="6">
        <f t="shared" si="58"/>
        <v>0.25963368860355712</v>
      </c>
      <c r="HJ13" s="23">
        <f t="shared" si="59"/>
        <v>0.63389267251989823</v>
      </c>
      <c r="HK13" s="23"/>
      <c r="HL13" s="23"/>
      <c r="HM13" s="31">
        <f t="shared" si="184"/>
        <v>0.42593625885969699</v>
      </c>
      <c r="HN13" s="23">
        <f t="shared" si="60"/>
        <v>0.52099414602405403</v>
      </c>
      <c r="HO13" s="23">
        <f t="shared" si="61"/>
        <v>0.43489845468193783</v>
      </c>
      <c r="HP13" s="575"/>
      <c r="HQ13" s="193"/>
      <c r="HR13" s="193"/>
      <c r="HS13" s="193"/>
      <c r="HT13" s="193"/>
      <c r="HU13" s="193"/>
      <c r="HV13" s="193"/>
      <c r="HW13" s="193"/>
      <c r="HX13" s="193"/>
      <c r="HY13" s="66"/>
      <c r="HZ13" s="66"/>
      <c r="IA13" s="184"/>
      <c r="IB13" s="23"/>
      <c r="IC13" s="23"/>
      <c r="ID13" s="23"/>
      <c r="IE13" s="23"/>
      <c r="IF13" s="23"/>
      <c r="IG13" s="23"/>
      <c r="IH13" s="23"/>
      <c r="II13" s="23"/>
      <c r="IJ13" s="23"/>
      <c r="IK13" s="23"/>
      <c r="IL13" s="23"/>
      <c r="IM13" s="575"/>
      <c r="IN13" s="193"/>
      <c r="IO13" s="193"/>
      <c r="IP13" s="193"/>
      <c r="IQ13" s="193"/>
      <c r="IR13" s="193"/>
      <c r="IS13" s="193"/>
      <c r="IT13" s="193"/>
      <c r="IU13" s="193"/>
      <c r="IV13" s="193"/>
      <c r="IW13" s="193"/>
      <c r="IX13" s="149">
        <f t="shared" si="63"/>
        <v>0</v>
      </c>
      <c r="IY13" s="316">
        <f t="shared" si="64"/>
        <v>0</v>
      </c>
      <c r="IZ13" s="316">
        <f t="shared" si="65"/>
        <v>0</v>
      </c>
      <c r="JA13" s="316">
        <f t="shared" si="66"/>
        <v>0</v>
      </c>
      <c r="JB13" s="316">
        <f t="shared" si="67"/>
        <v>0</v>
      </c>
      <c r="JC13" s="316">
        <f t="shared" si="68"/>
        <v>0</v>
      </c>
      <c r="JD13" s="316">
        <f t="shared" si="69"/>
        <v>0</v>
      </c>
      <c r="JE13" s="316">
        <f t="shared" si="70"/>
        <v>0</v>
      </c>
      <c r="JF13" s="316">
        <f t="shared" si="71"/>
        <v>0</v>
      </c>
      <c r="JG13" s="316">
        <f t="shared" si="72"/>
        <v>0</v>
      </c>
      <c r="JH13" s="316">
        <f t="shared" si="73"/>
        <v>0</v>
      </c>
      <c r="JI13" s="5"/>
      <c r="JJ13" s="593"/>
      <c r="JK13" s="593"/>
      <c r="JL13" s="593"/>
      <c r="JM13" s="593"/>
      <c r="JN13" s="593"/>
      <c r="JO13" s="593"/>
      <c r="JP13" s="552">
        <f t="shared" si="74"/>
        <v>0</v>
      </c>
      <c r="JQ13" s="552">
        <f t="shared" si="75"/>
        <v>0</v>
      </c>
      <c r="JR13" s="552">
        <f t="shared" si="76"/>
        <v>0</v>
      </c>
      <c r="JS13" s="593"/>
      <c r="JT13" s="574"/>
      <c r="JU13" s="593"/>
      <c r="JV13" s="593"/>
      <c r="JW13" s="593"/>
      <c r="JX13" s="593"/>
      <c r="JY13" s="593"/>
      <c r="JZ13" s="593"/>
      <c r="KA13" s="593"/>
      <c r="KB13" s="593"/>
      <c r="KC13" s="657"/>
      <c r="KD13" s="593"/>
      <c r="KE13" s="149"/>
      <c r="KN13" s="657"/>
      <c r="KP13" s="574"/>
      <c r="KY13" s="657"/>
      <c r="LA13" s="149">
        <f>'Assets(MOFA)'!IX13-'Assets(MOFA)'!KE13-'Assets(MOFA)'!KP13</f>
        <v>0</v>
      </c>
      <c r="LB13" s="552">
        <f>'Assets(MOFA)'!IY13-'Assets(MOFA)'!KF13-'Assets(MOFA)'!KQ13</f>
        <v>0</v>
      </c>
      <c r="LC13" s="552">
        <f>'Assets(MOFA)'!IZ13-'Assets(MOFA)'!KG13-'Assets(MOFA)'!KR13</f>
        <v>0</v>
      </c>
      <c r="LD13" s="552">
        <f>'Assets(MOFA)'!JA13-'Assets(MOFA)'!KH13-'Assets(MOFA)'!KS13</f>
        <v>0</v>
      </c>
      <c r="LE13" s="552">
        <f>'Assets(MOFA)'!JB13-'Assets(MOFA)'!KI13-'Assets(MOFA)'!KT13</f>
        <v>0</v>
      </c>
      <c r="LF13" s="552">
        <f>'Assets(MOFA)'!JC13-'Assets(MOFA)'!KJ13-'Assets(MOFA)'!KU13</f>
        <v>0</v>
      </c>
      <c r="LG13" s="552">
        <f>'Assets(MOFA)'!JD13-'Assets(MOFA)'!KK13-'Assets(MOFA)'!KV13</f>
        <v>0</v>
      </c>
      <c r="LH13" s="552">
        <f>'Assets(MOFA)'!JE13-'Assets(MOFA)'!KL13-'Assets(MOFA)'!KW13</f>
        <v>0</v>
      </c>
      <c r="LI13" s="552">
        <f>'Assets(MOFA)'!JF13-'Assets(MOFA)'!KM13-'Assets(MOFA)'!KX13</f>
        <v>0</v>
      </c>
      <c r="LJ13" s="552">
        <f t="shared" si="77"/>
        <v>0</v>
      </c>
      <c r="LK13" s="552">
        <f>'Assets(MOFA)'!JH13-'Assets(MOFA)'!KO13-'Assets(MOFA)'!KZ13</f>
        <v>0</v>
      </c>
      <c r="LL13" s="576" t="e">
        <f t="shared" si="78"/>
        <v>#DIV/0!</v>
      </c>
      <c r="LM13" s="6" t="e">
        <f t="shared" si="79"/>
        <v>#DIV/0!</v>
      </c>
      <c r="LN13" s="6" t="e">
        <f t="shared" si="80"/>
        <v>#DIV/0!</v>
      </c>
      <c r="LO13" s="6" t="e">
        <f t="shared" si="81"/>
        <v>#DIV/0!</v>
      </c>
      <c r="LP13" s="6" t="e">
        <f t="shared" si="82"/>
        <v>#DIV/0!</v>
      </c>
      <c r="LQ13" s="6" t="e">
        <f t="shared" si="83"/>
        <v>#DIV/0!</v>
      </c>
      <c r="LR13" s="6" t="e">
        <f t="shared" si="84"/>
        <v>#DIV/0!</v>
      </c>
      <c r="LS13" s="6" t="e">
        <f t="shared" si="85"/>
        <v>#DIV/0!</v>
      </c>
      <c r="LT13" s="143" t="e">
        <f t="shared" si="86"/>
        <v>#DIV/0!</v>
      </c>
      <c r="LU13" s="62" t="e">
        <f t="shared" si="87"/>
        <v>#DIV/0!</v>
      </c>
      <c r="LV13" s="902" t="e">
        <f t="shared" si="88"/>
        <v>#DIV/0!</v>
      </c>
      <c r="LW13" s="902" t="e">
        <f t="shared" si="89"/>
        <v>#DIV/0!</v>
      </c>
      <c r="LX13" s="143" t="e">
        <f t="shared" si="90"/>
        <v>#DIV/0!</v>
      </c>
      <c r="LY13" s="576" t="e">
        <f t="shared" si="91"/>
        <v>#DIV/0!</v>
      </c>
      <c r="LZ13" s="906" t="e">
        <f t="shared" si="92"/>
        <v>#DIV/0!</v>
      </c>
      <c r="MA13" s="906" t="e">
        <f t="shared" si="93"/>
        <v>#DIV/0!</v>
      </c>
      <c r="MB13" s="906" t="e">
        <f t="shared" si="94"/>
        <v>#DIV/0!</v>
      </c>
      <c r="MC13" s="906" t="e">
        <f t="shared" si="95"/>
        <v>#DIV/0!</v>
      </c>
      <c r="MD13" s="906" t="e">
        <f t="shared" si="96"/>
        <v>#DIV/0!</v>
      </c>
      <c r="ME13" s="906">
        <v>6.1610529375296846E-2</v>
      </c>
      <c r="MF13" s="906" t="e">
        <f t="shared" si="97"/>
        <v>#DIV/0!</v>
      </c>
      <c r="MG13" s="30" t="e">
        <f t="shared" si="98"/>
        <v>#DIV/0!</v>
      </c>
      <c r="MH13" s="140" t="e">
        <f t="shared" si="99"/>
        <v>#DIV/0!</v>
      </c>
      <c r="MI13" s="30" t="e">
        <f t="shared" si="100"/>
        <v>#DIV/0!</v>
      </c>
      <c r="MJ13" s="30" t="e">
        <f t="shared" si="101"/>
        <v>#DIV/0!</v>
      </c>
      <c r="MK13" s="617" t="e">
        <f t="shared" si="102"/>
        <v>#DIV/0!</v>
      </c>
      <c r="ML13" s="615" t="e">
        <f t="shared" si="103"/>
        <v>#DIV/0!</v>
      </c>
      <c r="MM13" s="574"/>
      <c r="MU13" s="593"/>
      <c r="MX13" s="574"/>
      <c r="NI13" s="613">
        <f t="shared" si="104"/>
        <v>17686.078357203252</v>
      </c>
      <c r="NQ13" s="593"/>
      <c r="NY13" s="593"/>
      <c r="NZ13" s="593"/>
      <c r="OA13" s="593"/>
      <c r="OB13" s="593"/>
      <c r="OC13" s="593"/>
      <c r="OD13" s="593"/>
      <c r="OE13" s="593"/>
      <c r="OF13" s="593"/>
      <c r="OG13" s="593"/>
      <c r="OH13" s="593"/>
      <c r="OI13" s="593"/>
      <c r="OJ13" s="593"/>
      <c r="OK13" s="593"/>
      <c r="OL13" s="593"/>
      <c r="OM13" s="593"/>
      <c r="ON13" s="593"/>
      <c r="OO13" s="593"/>
      <c r="OW13" s="593"/>
      <c r="PE13" s="593"/>
      <c r="PN13" s="574"/>
      <c r="PO13" s="593"/>
      <c r="PP13" s="593"/>
      <c r="PQ13" s="593"/>
      <c r="PR13" s="593"/>
      <c r="PS13" s="593"/>
      <c r="PT13" s="593"/>
      <c r="PU13" s="593"/>
      <c r="PV13" s="593"/>
      <c r="PW13" s="593"/>
      <c r="PX13" s="593"/>
      <c r="PY13" s="593"/>
      <c r="PZ13" s="593"/>
      <c r="QA13" s="593"/>
      <c r="QB13" s="593"/>
      <c r="QC13" s="593"/>
      <c r="QD13" s="593"/>
      <c r="QE13" s="593"/>
      <c r="QF13" s="593"/>
      <c r="QG13" s="593"/>
      <c r="QH13" s="593"/>
      <c r="QI13" s="593"/>
      <c r="QJ13" s="593"/>
      <c r="QK13" s="593"/>
      <c r="QL13" s="593"/>
      <c r="QM13" s="593"/>
      <c r="QN13" s="593"/>
      <c r="QO13" s="593"/>
      <c r="QP13" s="593"/>
      <c r="QQ13" s="593"/>
      <c r="QR13" s="593"/>
      <c r="QS13" s="593"/>
      <c r="QT13" s="593"/>
      <c r="QU13" s="593"/>
      <c r="QV13" s="593"/>
      <c r="QW13" s="593"/>
      <c r="QX13" s="593"/>
      <c r="QY13" s="593"/>
      <c r="QZ13" s="593"/>
      <c r="RA13" s="593"/>
      <c r="RB13" s="593"/>
      <c r="RC13" s="593"/>
      <c r="RD13" s="593"/>
      <c r="RE13" s="593"/>
      <c r="RF13" s="593"/>
      <c r="RG13" s="593"/>
      <c r="RH13" s="593"/>
      <c r="RI13" s="593"/>
      <c r="RJ13" s="593"/>
      <c r="RK13" s="593"/>
      <c r="RL13" s="593"/>
      <c r="RM13" s="593"/>
      <c r="RN13" s="593"/>
      <c r="RO13" s="593"/>
      <c r="RP13" s="593"/>
      <c r="RQ13" s="593"/>
      <c r="RR13" s="593"/>
    </row>
    <row r="14" spans="1:486" s="567" customFormat="1">
      <c r="A14" s="568">
        <v>1969</v>
      </c>
      <c r="B14" s="611">
        <f>O14*P14</f>
        <v>20163.214068466092</v>
      </c>
      <c r="C14" s="66">
        <f t="shared" si="185"/>
        <v>27.024623822012963</v>
      </c>
      <c r="D14" s="66">
        <f t="shared" si="105"/>
        <v>22.555475078704106</v>
      </c>
      <c r="E14" s="66">
        <f t="shared" si="105"/>
        <v>294.42616479772016</v>
      </c>
      <c r="F14" s="66">
        <f t="shared" si="105"/>
        <v>237.53221990927182</v>
      </c>
      <c r="G14" s="66">
        <f t="shared" si="105"/>
        <v>173.52653190976744</v>
      </c>
      <c r="H14" s="66">
        <f t="shared" si="105"/>
        <v>42.673420546323442</v>
      </c>
      <c r="I14" s="193">
        <f t="shared" si="106"/>
        <v>797.73843606380001</v>
      </c>
      <c r="J14" s="193">
        <f t="shared" si="107"/>
        <v>19365.475632402293</v>
      </c>
      <c r="K14" s="193">
        <f t="shared" si="108"/>
        <v>17561.939340255209</v>
      </c>
      <c r="L14" s="66">
        <f t="shared" si="186"/>
        <v>1803.536292147086</v>
      </c>
      <c r="M14" s="140">
        <f t="shared" si="109"/>
        <v>3.9564051314190489E-2</v>
      </c>
      <c r="N14" s="591">
        <f>N13+(N$15-N$11)/4</f>
        <v>8.9446865267759829E-2</v>
      </c>
      <c r="O14" s="193">
        <v>377500</v>
      </c>
      <c r="P14" s="626">
        <f>P13+(P$15-P$11)/4</f>
        <v>5.3412487598585669E-2</v>
      </c>
      <c r="Q14" s="630">
        <f t="shared" si="110"/>
        <v>1.340293453724605E-3</v>
      </c>
      <c r="R14" s="387">
        <f t="shared" si="111"/>
        <v>1.1186448252800802E-3</v>
      </c>
      <c r="S14" s="387">
        <f t="shared" si="111"/>
        <v>1.4602144469525959E-2</v>
      </c>
      <c r="T14" s="387">
        <f t="shared" si="111"/>
        <v>1.1780474040632054E-2</v>
      </c>
      <c r="U14" s="387">
        <f t="shared" si="111"/>
        <v>8.6060948081264112E-3</v>
      </c>
      <c r="V14" s="387">
        <f t="shared" si="111"/>
        <v>2.1163997169013743E-3</v>
      </c>
      <c r="W14" s="590">
        <f t="shared" si="112"/>
        <v>13434.163832120015</v>
      </c>
      <c r="X14" s="66">
        <f t="shared" si="113"/>
        <v>22.625133314184847</v>
      </c>
      <c r="Y14" s="76">
        <f t="shared" si="3"/>
        <v>8.1815247353501963</v>
      </c>
      <c r="Z14" s="76">
        <f t="shared" si="114"/>
        <v>14.443608578834651</v>
      </c>
      <c r="AA14" s="66">
        <f t="shared" si="115"/>
        <v>5.7484296951801834</v>
      </c>
      <c r="AB14" s="66">
        <f t="shared" si="116"/>
        <v>0</v>
      </c>
      <c r="AC14" s="274">
        <f t="shared" si="117"/>
        <v>5.7484296951801834</v>
      </c>
      <c r="AD14" s="66">
        <f t="shared" si="118"/>
        <v>56.331564195114012</v>
      </c>
      <c r="AE14" s="357">
        <f t="shared" si="4"/>
        <v>9.8385661547055818</v>
      </c>
      <c r="AF14" s="274">
        <f t="shared" si="119"/>
        <v>46.49299804040843</v>
      </c>
      <c r="AG14" s="66">
        <f t="shared" si="120"/>
        <v>204.14453439362831</v>
      </c>
      <c r="AH14" s="357">
        <f t="shared" si="5"/>
        <v>-0.70754966013290044</v>
      </c>
      <c r="AI14" s="76">
        <f t="shared" si="6"/>
        <v>204.85208405376122</v>
      </c>
      <c r="AJ14" s="66">
        <f t="shared" si="121"/>
        <v>195.5072914542892</v>
      </c>
      <c r="AK14" s="357">
        <f t="shared" si="122"/>
        <v>50.220406823639294</v>
      </c>
      <c r="AL14" s="274">
        <f t="shared" si="123"/>
        <v>145.28688463064992</v>
      </c>
      <c r="AM14" s="66">
        <f t="shared" si="124"/>
        <v>14.975223195882517</v>
      </c>
      <c r="AN14" s="357">
        <f t="shared" si="7"/>
        <v>3.5867018358383076</v>
      </c>
      <c r="AO14" s="274">
        <f t="shared" si="125"/>
        <v>11.388521360044209</v>
      </c>
      <c r="AP14" s="193">
        <f t="shared" si="8"/>
        <v>499.33217624827904</v>
      </c>
      <c r="AQ14" s="271">
        <f t="shared" si="9"/>
        <v>71.119649889400478</v>
      </c>
      <c r="AR14" s="271">
        <f t="shared" si="126"/>
        <v>428.21252635887856</v>
      </c>
      <c r="AS14" s="66">
        <f t="shared" si="127"/>
        <v>12934.831655871736</v>
      </c>
      <c r="AT14" s="193">
        <f t="shared" si="128"/>
        <v>7555.9316558717355</v>
      </c>
      <c r="AU14" s="66">
        <f t="shared" si="187"/>
        <v>5378.9000000000005</v>
      </c>
      <c r="AV14" s="66"/>
      <c r="AW14" s="66"/>
      <c r="AX14" s="271">
        <f>DD14/(1-HM14)</f>
        <v>8055.2638321200156</v>
      </c>
      <c r="AY14" s="140">
        <f t="shared" si="10"/>
        <v>3.7168831829668146E-2</v>
      </c>
      <c r="AZ14" s="623">
        <f t="shared" si="129"/>
        <v>3.1874892379610296E-2</v>
      </c>
      <c r="BA14" s="248">
        <f t="shared" si="11"/>
        <v>5.3159342174665926E-2</v>
      </c>
      <c r="BB14" s="248">
        <f t="shared" si="130"/>
        <v>1.7930646195896635E-3</v>
      </c>
      <c r="BC14" s="248">
        <f t="shared" si="131"/>
        <v>7.136240121966669E-4</v>
      </c>
      <c r="BD14" s="248">
        <f t="shared" si="132"/>
        <v>5.7717536022866955E-3</v>
      </c>
      <c r="BE14" s="248">
        <f t="shared" si="133"/>
        <v>2.5430834833357337E-2</v>
      </c>
      <c r="BF14" s="248">
        <f t="shared" si="134"/>
        <v>1.8036266428831885E-2</v>
      </c>
      <c r="BG14" s="248">
        <f t="shared" si="135"/>
        <v>1.4137986784036761E-3</v>
      </c>
      <c r="BH14" s="248">
        <f t="shared" si="136"/>
        <v>6.4853776144833623E-3</v>
      </c>
      <c r="BI14" s="23">
        <f t="shared" si="12"/>
        <v>5.4995171019317744E-2</v>
      </c>
      <c r="BJ14" s="144">
        <f t="shared" si="13"/>
        <v>0.40038963847824149</v>
      </c>
      <c r="BK14" s="623">
        <f t="shared" si="137"/>
        <v>0.39509569902818364</v>
      </c>
      <c r="BL14" s="590">
        <f t="shared" si="138"/>
        <v>1215.9699619775643</v>
      </c>
      <c r="BM14" s="66">
        <f t="shared" si="139"/>
        <v>2.5292887885470297</v>
      </c>
      <c r="BN14" s="66">
        <f t="shared" si="140"/>
        <v>0</v>
      </c>
      <c r="BO14" s="66">
        <f t="shared" si="141"/>
        <v>29.002167176784262</v>
      </c>
      <c r="BP14" s="66">
        <f t="shared" si="142"/>
        <v>-28.644732429714619</v>
      </c>
      <c r="BQ14" s="66">
        <f t="shared" si="143"/>
        <v>6.4068746749480603</v>
      </c>
      <c r="BR14" s="66">
        <f t="shared" si="144"/>
        <v>0</v>
      </c>
      <c r="BS14" s="193">
        <f>BR14+BQ14+BP14+BO14+BN14+BM14</f>
        <v>9.293598210564733</v>
      </c>
      <c r="BT14" s="66">
        <f t="shared" si="145"/>
        <v>1206.6763637669994</v>
      </c>
      <c r="BU14" s="193">
        <f>BT14-BV14</f>
        <v>752.00540946481726</v>
      </c>
      <c r="BV14" s="66">
        <f t="shared" si="146"/>
        <v>454.67095430218217</v>
      </c>
      <c r="BW14" s="590">
        <f>BW15*'Assets(BoP)'!ER61/'Assets(BoP)'!ER62</f>
        <v>6569.8138321200149</v>
      </c>
      <c r="BX14" s="357">
        <f t="shared" si="147"/>
        <v>18.53437094650975</v>
      </c>
      <c r="BY14" s="193">
        <f t="shared" si="148"/>
        <v>7.158834143431422</v>
      </c>
      <c r="BZ14" s="647">
        <f t="shared" si="149"/>
        <v>1.7314854109659835E-3</v>
      </c>
      <c r="CA14" s="357">
        <f t="shared" si="150"/>
        <v>4.1726052535430505</v>
      </c>
      <c r="CB14" s="193">
        <f t="shared" si="151"/>
        <v>0</v>
      </c>
      <c r="CC14" s="647">
        <f t="shared" si="14"/>
        <v>6.3511773090784698E-4</v>
      </c>
      <c r="CD14" s="357">
        <f t="shared" si="152"/>
        <v>30.700357540048721</v>
      </c>
      <c r="CE14" s="193">
        <f t="shared" si="153"/>
        <v>3.3351877756586212</v>
      </c>
      <c r="CF14" s="655">
        <f t="shared" si="15"/>
        <v>4.1652884638223647E-3</v>
      </c>
      <c r="CG14" s="357">
        <f t="shared" si="154"/>
        <v>145.44983213613742</v>
      </c>
      <c r="CH14" s="193">
        <f t="shared" si="155"/>
        <v>-0.61711098177004853</v>
      </c>
      <c r="CI14" s="23">
        <f t="shared" si="16"/>
        <v>2.2233041430151621E-2</v>
      </c>
      <c r="CJ14" s="357">
        <f t="shared" si="156"/>
        <v>144.65912954535443</v>
      </c>
      <c r="CK14" s="641">
        <f t="shared" si="157"/>
        <v>25.110203411819647</v>
      </c>
      <c r="CL14" s="34">
        <f t="shared" si="158"/>
        <v>1.8196699204634466E-2</v>
      </c>
      <c r="CM14" s="357">
        <f t="shared" si="159"/>
        <v>11.287581483491321</v>
      </c>
      <c r="CN14" s="193">
        <f t="shared" si="160"/>
        <v>2.8693614686706459</v>
      </c>
      <c r="CO14" s="23">
        <f t="shared" si="161"/>
        <v>1.2813483349655584E-3</v>
      </c>
      <c r="CP14" s="271">
        <f t="shared" si="17"/>
        <v>354.80387690508473</v>
      </c>
      <c r="CQ14" s="193">
        <f t="shared" si="162"/>
        <v>37.856475817810292</v>
      </c>
      <c r="CR14" s="271">
        <f t="shared" si="18"/>
        <v>6215.0099552149304</v>
      </c>
      <c r="CS14" s="248">
        <f t="shared" si="163"/>
        <v>4.8242980575447847E-2</v>
      </c>
      <c r="CT14" s="30">
        <f t="shared" si="19"/>
        <v>5.4005164525429632E-2</v>
      </c>
      <c r="CU14" s="308">
        <f t="shared" si="20"/>
        <v>0</v>
      </c>
      <c r="CV14" s="644">
        <f>CV13*'Assets(BoP)'!FH61/'Assets(BoP)'!FH60</f>
        <v>2.8211409668710335E-3</v>
      </c>
      <c r="CW14" s="644">
        <f t="shared" si="188"/>
        <v>6.3511773090784698E-4</v>
      </c>
      <c r="CX14" s="308">
        <f>CX15*'Assets(BoP)'!FH61/'Assets(BoP)'!FH62</f>
        <v>4.6729417795605957E-3</v>
      </c>
      <c r="CY14" s="644">
        <f t="shared" si="188"/>
        <v>2.2139110156368338E-2</v>
      </c>
      <c r="CZ14" s="644">
        <f t="shared" si="189"/>
        <v>2.2018756275575369E-2</v>
      </c>
      <c r="DA14" s="308">
        <f>'Assets(BoP)'!FK61</f>
        <v>2.5282738010114741E-2</v>
      </c>
      <c r="DB14" s="644">
        <f t="shared" si="189"/>
        <v>1.7180976161464425E-3</v>
      </c>
      <c r="DC14" s="23">
        <f t="shared" si="21"/>
        <v>6.6776183514050624E-2</v>
      </c>
      <c r="DD14" s="193">
        <f t="shared" si="22"/>
        <v>4746.4138321200153</v>
      </c>
      <c r="DE14" s="66">
        <f t="shared" si="164"/>
        <v>1823.3999999999999</v>
      </c>
      <c r="DF14" s="635">
        <f>'Assets(BoP)'!ES61*1000</f>
        <v>1996</v>
      </c>
      <c r="DG14" s="193">
        <f>'Assets(BoP)'!DA61*1000</f>
        <v>2025.9999999999998</v>
      </c>
      <c r="DH14" s="23">
        <f t="shared" si="23"/>
        <v>0.27754211102380755</v>
      </c>
      <c r="DI14" s="23">
        <f>'Assets(BoP)'!DA61/'Assets(BoP)'!CZ61</f>
        <v>0.26487122499673155</v>
      </c>
      <c r="DJ14" s="23">
        <f t="shared" si="24"/>
        <v>4.9332222745869028E-2</v>
      </c>
      <c r="DK14" s="600">
        <f>'Assets(BoP)'!FO61-'Assets(BoP)'!FH61</f>
        <v>7.6318142151731314E-2</v>
      </c>
      <c r="DL14" s="576">
        <f t="shared" si="25"/>
        <v>0.66627095196743169</v>
      </c>
      <c r="DM14" s="251">
        <f t="shared" si="26"/>
        <v>0.83720437565371397</v>
      </c>
      <c r="DN14" s="251">
        <f t="shared" si="27"/>
        <v>0.59484317979075829</v>
      </c>
      <c r="DO14" s="251">
        <f t="shared" si="28"/>
        <v>0.25485739826458365</v>
      </c>
      <c r="DP14" s="251">
        <f t="shared" si="29"/>
        <v>0.25485739826458365</v>
      </c>
      <c r="DQ14" s="251">
        <f t="shared" si="30"/>
        <v>0.19132662422789609</v>
      </c>
      <c r="DR14" s="251">
        <f t="shared" si="31"/>
        <v>0.15969988549552411</v>
      </c>
      <c r="DS14" s="251">
        <f t="shared" si="32"/>
        <v>0.85943934036234615</v>
      </c>
      <c r="DT14" s="251">
        <f t="shared" si="33"/>
        <v>0.86155759419642741</v>
      </c>
      <c r="DU14" s="251">
        <f t="shared" si="34"/>
        <v>1.1266708860173129</v>
      </c>
      <c r="DV14" s="251">
        <f t="shared" si="35"/>
        <v>0.92723853334888873</v>
      </c>
      <c r="DW14" s="251">
        <f t="shared" si="36"/>
        <v>0.35092624411550055</v>
      </c>
      <c r="DX14" s="251">
        <f t="shared" si="37"/>
        <v>0.27461538946517056</v>
      </c>
      <c r="DY14" s="251">
        <f t="shared" si="38"/>
        <v>0.19584728602734269</v>
      </c>
      <c r="DZ14" s="251">
        <f t="shared" si="39"/>
        <v>0.16654222116470252</v>
      </c>
      <c r="EA14" s="643">
        <f t="shared" si="40"/>
        <v>0.62593470951717367</v>
      </c>
      <c r="EB14" s="643">
        <f t="shared" si="41"/>
        <v>0.55332326959001232</v>
      </c>
      <c r="EC14" s="251">
        <f t="shared" si="42"/>
        <v>0.66793255695869358</v>
      </c>
      <c r="ED14" s="251">
        <f t="shared" si="43"/>
        <v>0.43874756029269724</v>
      </c>
      <c r="EE14" s="140">
        <f t="shared" si="44"/>
        <v>0.43024471896176891</v>
      </c>
      <c r="EF14" s="1342">
        <v>0.25462440456320501</v>
      </c>
      <c r="EG14" s="140">
        <f t="shared" si="165"/>
        <v>2.9824184982695812</v>
      </c>
      <c r="EH14" s="583">
        <v>1.8</v>
      </c>
      <c r="EI14" s="1344">
        <v>5.1184938572634344</v>
      </c>
      <c r="EJ14" s="576">
        <f t="shared" si="166"/>
        <v>0.32583167593279494</v>
      </c>
      <c r="EK14" s="753">
        <f t="shared" si="167"/>
        <v>0.41687459187096665</v>
      </c>
      <c r="EL14" s="753">
        <f t="shared" si="168"/>
        <v>1.0110137555531342</v>
      </c>
      <c r="EM14" s="753">
        <f t="shared" si="169"/>
        <v>0.25006406582606455</v>
      </c>
      <c r="EN14" s="583"/>
      <c r="EO14" s="5"/>
      <c r="EP14" s="193"/>
      <c r="EQ14" s="193"/>
      <c r="ER14" s="193"/>
      <c r="ES14" s="193"/>
      <c r="ET14" s="193"/>
      <c r="EU14" s="193"/>
      <c r="EV14" s="193"/>
      <c r="EW14" s="193"/>
      <c r="EX14" s="193"/>
      <c r="EY14" s="193"/>
      <c r="EZ14" s="193"/>
      <c r="FA14" s="193"/>
      <c r="FB14" s="193"/>
      <c r="FC14" s="193"/>
      <c r="FD14" s="23"/>
      <c r="FE14" s="66"/>
      <c r="FF14" s="66"/>
      <c r="FG14" s="66">
        <f>FH14*FI14</f>
        <v>1823.3999999999999</v>
      </c>
      <c r="FH14" s="193">
        <f>'Assets(BoP)'!DA61*1000</f>
        <v>2025.9999999999998</v>
      </c>
      <c r="FI14" s="184">
        <v>0.9</v>
      </c>
      <c r="FJ14" s="590">
        <f>GO14+GK14</f>
        <v>6864.35</v>
      </c>
      <c r="FK14" s="143">
        <f>FJ14/'Assets(BoP)'!AV61/1000</f>
        <v>1.3236309294253761</v>
      </c>
      <c r="FL14" s="725"/>
      <c r="FM14" s="66">
        <f t="shared" si="170"/>
        <v>4.0907623676750982</v>
      </c>
      <c r="FN14" s="66">
        <f t="shared" si="171"/>
        <v>1.0226905919187745</v>
      </c>
      <c r="FO14" s="184">
        <f t="shared" si="172"/>
        <v>0.25</v>
      </c>
      <c r="FP14" s="66">
        <f t="shared" si="173"/>
        <v>1.575824441637133</v>
      </c>
      <c r="FQ14" s="66">
        <f t="shared" si="190"/>
        <v>0</v>
      </c>
      <c r="FR14" s="184">
        <v>0</v>
      </c>
      <c r="FS14" s="66">
        <f t="shared" si="174"/>
        <v>25.631206655065288</v>
      </c>
      <c r="FT14" s="66">
        <f t="shared" si="191"/>
        <v>6.5033783790469606</v>
      </c>
      <c r="FU14" s="193">
        <f t="shared" si="175"/>
        <v>19.127828276018327</v>
      </c>
      <c r="FV14" s="184">
        <f t="shared" si="176"/>
        <v>0.25372891985019952</v>
      </c>
      <c r="FW14" s="66">
        <f t="shared" si="177"/>
        <v>58.694702257490903</v>
      </c>
      <c r="FX14" s="66">
        <f t="shared" si="192"/>
        <v>-9.0438678362851938E-2</v>
      </c>
      <c r="FY14" s="184">
        <f t="shared" si="193"/>
        <v>-1.5408320493066256E-3</v>
      </c>
      <c r="FZ14" s="66">
        <f t="shared" si="178"/>
        <v>50.848161908934784</v>
      </c>
      <c r="GA14" s="66">
        <f t="shared" si="179"/>
        <v>25.110203411819647</v>
      </c>
      <c r="GB14" s="193">
        <f t="shared" si="180"/>
        <v>25.737958497115137</v>
      </c>
      <c r="GC14" s="184">
        <f t="shared" si="181"/>
        <v>0.49382716049382719</v>
      </c>
      <c r="GD14" s="66">
        <f t="shared" si="182"/>
        <v>3.6876417123911964</v>
      </c>
      <c r="GE14" s="66">
        <f t="shared" si="194"/>
        <v>0.71734036716766159</v>
      </c>
      <c r="GF14" s="184">
        <f t="shared" si="183"/>
        <v>0.19452550521848633</v>
      </c>
      <c r="GG14" s="193">
        <f t="shared" si="47"/>
        <v>144.52829934319442</v>
      </c>
      <c r="GH14" s="193">
        <f t="shared" si="48"/>
        <v>33.263174071590186</v>
      </c>
      <c r="GI14" s="193">
        <f t="shared" si="49"/>
        <v>6719.8217006568057</v>
      </c>
      <c r="GJ14" s="23">
        <f t="shared" si="50"/>
        <v>2.1054914062248343E-2</v>
      </c>
      <c r="GK14" s="66">
        <f>GM14*'Assets(BoP)'!AW61*1000</f>
        <v>3555.5000000000005</v>
      </c>
      <c r="GL14" s="66"/>
      <c r="GM14" s="184">
        <v>1.3</v>
      </c>
      <c r="GN14" s="23">
        <f t="shared" si="51"/>
        <v>0.5179660128052912</v>
      </c>
      <c r="GO14" s="666">
        <f>('Assets(BoP)'!AV61-'Assets(BoP)'!AW61)*1000*GP14</f>
        <v>3308.8499999999995</v>
      </c>
      <c r="GP14" s="184">
        <v>1.35</v>
      </c>
      <c r="GQ14" s="330">
        <f t="shared" si="52"/>
        <v>3164.3217006568052</v>
      </c>
      <c r="GR14" s="330">
        <v>43</v>
      </c>
      <c r="GS14" s="140">
        <f t="shared" si="53"/>
        <v>3.7748553024183978E-2</v>
      </c>
      <c r="GT14" s="625">
        <f>GT$15</f>
        <v>0.52905795518417165</v>
      </c>
      <c r="GU14" s="576">
        <f t="shared" si="54"/>
        <v>0.51096220693601235</v>
      </c>
      <c r="GV14" s="56">
        <f t="shared" si="195"/>
        <v>0.18080611110080802</v>
      </c>
      <c r="GW14" s="389">
        <v>0.125</v>
      </c>
      <c r="GX14" s="56">
        <f t="shared" si="196"/>
        <v>0.27413128892546001</v>
      </c>
      <c r="GY14" s="389">
        <v>0.25</v>
      </c>
      <c r="GZ14" s="56">
        <f t="shared" si="196"/>
        <v>0.45500612349920233</v>
      </c>
      <c r="HA14" s="400">
        <f t="shared" si="55"/>
        <v>0.66100875643718982</v>
      </c>
      <c r="HB14" s="56">
        <f t="shared" si="196"/>
        <v>0.28751542348087894</v>
      </c>
      <c r="HC14" s="56">
        <f t="shared" si="56"/>
        <v>0.12781954887218044</v>
      </c>
      <c r="HD14" s="400">
        <f t="shared" si="196"/>
        <v>0.26008319961214027</v>
      </c>
      <c r="HE14" s="400">
        <v>0.5</v>
      </c>
      <c r="HF14" s="56">
        <f t="shared" si="197"/>
        <v>0.2462495325882772</v>
      </c>
      <c r="HG14" s="56">
        <v>0.2</v>
      </c>
      <c r="HH14" s="6">
        <f t="shared" si="57"/>
        <v>0.28944319276419261</v>
      </c>
      <c r="HI14" s="6">
        <f t="shared" si="58"/>
        <v>0.25983622248909782</v>
      </c>
      <c r="HJ14" s="23">
        <f t="shared" si="59"/>
        <v>0.66100875643718982</v>
      </c>
      <c r="HK14" s="23"/>
      <c r="HL14" s="23"/>
      <c r="HM14" s="31">
        <f t="shared" si="184"/>
        <v>0.41076866865689782</v>
      </c>
      <c r="HN14" s="23">
        <f t="shared" si="60"/>
        <v>0.51951365734291244</v>
      </c>
      <c r="HO14" s="23">
        <f t="shared" si="61"/>
        <v>0.41878643756627976</v>
      </c>
      <c r="HP14" s="575"/>
      <c r="HQ14" s="193"/>
      <c r="HR14" s="193"/>
      <c r="HS14" s="193"/>
      <c r="HT14" s="193"/>
      <c r="HU14" s="193"/>
      <c r="HV14" s="193"/>
      <c r="HW14" s="193"/>
      <c r="HX14" s="193"/>
      <c r="HY14" s="66"/>
      <c r="HZ14" s="66"/>
      <c r="IA14" s="184"/>
      <c r="IB14" s="23"/>
      <c r="IC14" s="23"/>
      <c r="ID14" s="23"/>
      <c r="IE14" s="23"/>
      <c r="IF14" s="23"/>
      <c r="IG14" s="23"/>
      <c r="IH14" s="23"/>
      <c r="II14" s="23"/>
      <c r="IJ14" s="23"/>
      <c r="IK14" s="23"/>
      <c r="IL14" s="23"/>
      <c r="IM14" s="575"/>
      <c r="IN14" s="193"/>
      <c r="IO14" s="193"/>
      <c r="IP14" s="193"/>
      <c r="IQ14" s="193"/>
      <c r="IR14" s="193"/>
      <c r="IS14" s="193"/>
      <c r="IT14" s="193"/>
      <c r="IU14" s="193"/>
      <c r="IV14" s="193"/>
      <c r="IW14" s="193"/>
      <c r="IX14" s="149">
        <f t="shared" si="63"/>
        <v>0</v>
      </c>
      <c r="IY14" s="316">
        <f t="shared" si="64"/>
        <v>0</v>
      </c>
      <c r="IZ14" s="316">
        <f t="shared" si="65"/>
        <v>0</v>
      </c>
      <c r="JA14" s="316">
        <f t="shared" si="66"/>
        <v>0</v>
      </c>
      <c r="JB14" s="316">
        <f t="shared" si="67"/>
        <v>0</v>
      </c>
      <c r="JC14" s="316">
        <f t="shared" si="68"/>
        <v>0</v>
      </c>
      <c r="JD14" s="316">
        <f t="shared" si="69"/>
        <v>0</v>
      </c>
      <c r="JE14" s="316">
        <f t="shared" si="70"/>
        <v>0</v>
      </c>
      <c r="JF14" s="316">
        <f t="shared" si="71"/>
        <v>0</v>
      </c>
      <c r="JG14" s="316">
        <f t="shared" si="72"/>
        <v>0</v>
      </c>
      <c r="JH14" s="316">
        <f t="shared" si="73"/>
        <v>0</v>
      </c>
      <c r="JI14" s="5"/>
      <c r="JJ14" s="593"/>
      <c r="JK14" s="593"/>
      <c r="JL14" s="593"/>
      <c r="JM14" s="593"/>
      <c r="JN14" s="593"/>
      <c r="JO14" s="593"/>
      <c r="JP14" s="552">
        <f t="shared" si="74"/>
        <v>0</v>
      </c>
      <c r="JQ14" s="552">
        <f t="shared" si="75"/>
        <v>0</v>
      </c>
      <c r="JR14" s="552">
        <f t="shared" si="76"/>
        <v>0</v>
      </c>
      <c r="JS14" s="593"/>
      <c r="JT14" s="149"/>
      <c r="JU14" s="593"/>
      <c r="JV14" s="593"/>
      <c r="JW14" s="593"/>
      <c r="JX14" s="593"/>
      <c r="JY14" s="593"/>
      <c r="JZ14" s="593"/>
      <c r="KA14" s="593"/>
      <c r="KB14" s="593"/>
      <c r="KC14" s="657"/>
      <c r="KD14" s="593"/>
      <c r="KE14" s="149"/>
      <c r="KN14" s="657"/>
      <c r="KP14" s="574"/>
      <c r="KY14" s="657"/>
      <c r="LA14" s="149">
        <f>'Assets(MOFA)'!IX14-'Assets(MOFA)'!KE14-'Assets(MOFA)'!KP14</f>
        <v>0</v>
      </c>
      <c r="LB14" s="552">
        <f>'Assets(MOFA)'!IY14-'Assets(MOFA)'!KF14-'Assets(MOFA)'!KQ14</f>
        <v>0</v>
      </c>
      <c r="LC14" s="552">
        <f>'Assets(MOFA)'!IZ14-'Assets(MOFA)'!KG14-'Assets(MOFA)'!KR14</f>
        <v>0</v>
      </c>
      <c r="LD14" s="552">
        <f>'Assets(MOFA)'!JA14-'Assets(MOFA)'!KH14-'Assets(MOFA)'!KS14</f>
        <v>0</v>
      </c>
      <c r="LE14" s="552">
        <f>'Assets(MOFA)'!JB14-'Assets(MOFA)'!KI14-'Assets(MOFA)'!KT14</f>
        <v>0</v>
      </c>
      <c r="LF14" s="552">
        <f>'Assets(MOFA)'!JC14-'Assets(MOFA)'!KJ14-'Assets(MOFA)'!KU14</f>
        <v>0</v>
      </c>
      <c r="LG14" s="552">
        <f>'Assets(MOFA)'!JD14-'Assets(MOFA)'!KK14-'Assets(MOFA)'!KV14</f>
        <v>0</v>
      </c>
      <c r="LH14" s="552">
        <f>'Assets(MOFA)'!JE14-'Assets(MOFA)'!KL14-'Assets(MOFA)'!KW14</f>
        <v>0</v>
      </c>
      <c r="LI14" s="552">
        <f>'Assets(MOFA)'!JF14-'Assets(MOFA)'!KM14-'Assets(MOFA)'!KX14</f>
        <v>0</v>
      </c>
      <c r="LJ14" s="552">
        <f t="shared" si="77"/>
        <v>0</v>
      </c>
      <c r="LK14" s="552">
        <f>'Assets(MOFA)'!JH14-'Assets(MOFA)'!KO14-'Assets(MOFA)'!KZ14</f>
        <v>0</v>
      </c>
      <c r="LL14" s="576" t="e">
        <f t="shared" si="78"/>
        <v>#DIV/0!</v>
      </c>
      <c r="LM14" s="6" t="e">
        <f t="shared" si="79"/>
        <v>#DIV/0!</v>
      </c>
      <c r="LN14" s="6" t="e">
        <f t="shared" si="80"/>
        <v>#DIV/0!</v>
      </c>
      <c r="LO14" s="6" t="e">
        <f t="shared" si="81"/>
        <v>#DIV/0!</v>
      </c>
      <c r="LP14" s="6" t="e">
        <f t="shared" si="82"/>
        <v>#DIV/0!</v>
      </c>
      <c r="LQ14" s="6" t="e">
        <f t="shared" si="83"/>
        <v>#DIV/0!</v>
      </c>
      <c r="LR14" s="6" t="e">
        <f t="shared" si="84"/>
        <v>#DIV/0!</v>
      </c>
      <c r="LS14" s="6" t="e">
        <f t="shared" si="85"/>
        <v>#DIV/0!</v>
      </c>
      <c r="LT14" s="143" t="e">
        <f t="shared" si="86"/>
        <v>#DIV/0!</v>
      </c>
      <c r="LU14" s="62" t="e">
        <f t="shared" si="87"/>
        <v>#DIV/0!</v>
      </c>
      <c r="LV14" s="902" t="e">
        <f t="shared" si="88"/>
        <v>#DIV/0!</v>
      </c>
      <c r="LW14" s="902" t="e">
        <f t="shared" si="89"/>
        <v>#DIV/0!</v>
      </c>
      <c r="LX14" s="143" t="e">
        <f t="shared" si="90"/>
        <v>#DIV/0!</v>
      </c>
      <c r="LY14" s="576" t="e">
        <f t="shared" si="91"/>
        <v>#DIV/0!</v>
      </c>
      <c r="LZ14" s="906" t="e">
        <f t="shared" si="92"/>
        <v>#DIV/0!</v>
      </c>
      <c r="MA14" s="906" t="e">
        <f t="shared" si="93"/>
        <v>#DIV/0!</v>
      </c>
      <c r="MB14" s="906" t="e">
        <f t="shared" si="94"/>
        <v>#DIV/0!</v>
      </c>
      <c r="MC14" s="906" t="e">
        <f t="shared" si="95"/>
        <v>#DIV/0!</v>
      </c>
      <c r="MD14" s="906" t="e">
        <f t="shared" si="96"/>
        <v>#DIV/0!</v>
      </c>
      <c r="ME14" s="906">
        <v>6.1610529375296846E-2</v>
      </c>
      <c r="MF14" s="906" t="e">
        <f t="shared" si="97"/>
        <v>#DIV/0!</v>
      </c>
      <c r="MG14" s="30" t="e">
        <f t="shared" si="98"/>
        <v>#DIV/0!</v>
      </c>
      <c r="MH14" s="140" t="e">
        <f t="shared" si="99"/>
        <v>#DIV/0!</v>
      </c>
      <c r="MI14" s="30" t="e">
        <f t="shared" si="100"/>
        <v>#DIV/0!</v>
      </c>
      <c r="MJ14" s="30" t="e">
        <f t="shared" si="101"/>
        <v>#DIV/0!</v>
      </c>
      <c r="MK14" s="617" t="e">
        <f t="shared" si="102"/>
        <v>#DIV/0!</v>
      </c>
      <c r="ML14" s="615" t="e">
        <f t="shared" si="103"/>
        <v>#DIV/0!</v>
      </c>
      <c r="MM14" s="574"/>
      <c r="MU14" s="593"/>
      <c r="MX14" s="574"/>
      <c r="NI14" s="613">
        <f t="shared" si="104"/>
        <v>20163.214068466092</v>
      </c>
      <c r="NQ14" s="593"/>
      <c r="NY14" s="593"/>
      <c r="NZ14" s="593"/>
      <c r="OA14" s="593"/>
      <c r="OB14" s="593"/>
      <c r="OC14" s="593"/>
      <c r="OD14" s="593"/>
      <c r="OE14" s="593"/>
      <c r="OF14" s="593"/>
      <c r="OG14" s="593"/>
      <c r="OH14" s="593"/>
      <c r="OI14" s="593"/>
      <c r="OJ14" s="593"/>
      <c r="OK14" s="593"/>
      <c r="OL14" s="593"/>
      <c r="OM14" s="593"/>
      <c r="ON14" s="593"/>
      <c r="OO14" s="593"/>
      <c r="OW14" s="593"/>
      <c r="PE14" s="593"/>
      <c r="PN14" s="574"/>
      <c r="PO14" s="593"/>
      <c r="PP14" s="593"/>
      <c r="PQ14" s="593"/>
      <c r="PR14" s="593"/>
      <c r="PS14" s="593"/>
      <c r="PT14" s="593"/>
      <c r="PU14" s="593"/>
      <c r="PV14" s="593"/>
      <c r="PW14" s="593"/>
      <c r="PX14" s="593"/>
      <c r="PY14" s="593"/>
      <c r="PZ14" s="593"/>
      <c r="QA14" s="593"/>
      <c r="QB14" s="593"/>
      <c r="QC14" s="593"/>
      <c r="QD14" s="593"/>
      <c r="QE14" s="593"/>
      <c r="QF14" s="593"/>
      <c r="QG14" s="593"/>
      <c r="QH14" s="593"/>
      <c r="QI14" s="593"/>
      <c r="QJ14" s="593"/>
      <c r="QK14" s="593"/>
      <c r="QL14" s="593"/>
      <c r="QM14" s="593"/>
      <c r="QN14" s="593"/>
      <c r="QO14" s="593"/>
      <c r="QP14" s="593"/>
      <c r="QQ14" s="593"/>
      <c r="QR14" s="593"/>
      <c r="QS14" s="593"/>
      <c r="QT14" s="593"/>
      <c r="QU14" s="593"/>
      <c r="QV14" s="593"/>
      <c r="QW14" s="593"/>
      <c r="QX14" s="593"/>
      <c r="QY14" s="593"/>
      <c r="QZ14" s="593"/>
      <c r="RA14" s="593"/>
      <c r="RB14" s="593"/>
      <c r="RC14" s="593"/>
      <c r="RD14" s="593"/>
      <c r="RE14" s="593"/>
      <c r="RF14" s="593"/>
      <c r="RG14" s="593"/>
      <c r="RH14" s="593"/>
      <c r="RI14" s="593"/>
      <c r="RJ14" s="593"/>
      <c r="RK14" s="593"/>
      <c r="RL14" s="593"/>
      <c r="RM14" s="593"/>
      <c r="RN14" s="593"/>
      <c r="RO14" s="593"/>
      <c r="RP14" s="593"/>
      <c r="RQ14" s="593"/>
      <c r="RR14" s="593"/>
    </row>
    <row r="15" spans="1:486" s="567" customFormat="1">
      <c r="A15" s="568">
        <v>1970</v>
      </c>
      <c r="B15" s="33">
        <f>B66*B64/B65</f>
        <v>21825.396018636173</v>
      </c>
      <c r="C15" s="66">
        <f t="shared" si="185"/>
        <v>29.25243540872512</v>
      </c>
      <c r="D15" s="66">
        <f t="shared" si="105"/>
        <v>24.414866315935818</v>
      </c>
      <c r="E15" s="66">
        <f t="shared" si="105"/>
        <v>318.6975857687421</v>
      </c>
      <c r="F15" s="66">
        <f t="shared" si="105"/>
        <v>257.11351122405762</v>
      </c>
      <c r="G15" s="66">
        <f t="shared" si="105"/>
        <v>187.83142736128761</v>
      </c>
      <c r="H15" s="66">
        <f t="shared" si="105"/>
        <v>46.191261955101979</v>
      </c>
      <c r="I15" s="193">
        <f t="shared" si="106"/>
        <v>863.50108803385012</v>
      </c>
      <c r="J15" s="193">
        <f t="shared" si="107"/>
        <v>20961.894930602324</v>
      </c>
      <c r="K15" s="193">
        <f t="shared" si="108"/>
        <v>19192.894930602324</v>
      </c>
      <c r="L15" s="76">
        <f>L66*L64/L65</f>
        <v>1769</v>
      </c>
      <c r="M15" s="140">
        <f t="shared" si="109"/>
        <v>3.9564051314190482E-2</v>
      </c>
      <c r="N15" s="32">
        <f>L15/B15</f>
        <v>8.105236663240814E-2</v>
      </c>
      <c r="O15" s="193">
        <v>398000</v>
      </c>
      <c r="P15" s="30">
        <f>B15/O15</f>
        <v>5.4837678438784357E-2</v>
      </c>
      <c r="Q15" s="630">
        <f t="shared" si="110"/>
        <v>1.340293453724605E-3</v>
      </c>
      <c r="R15" s="387">
        <f t="shared" si="111"/>
        <v>1.1186448252800802E-3</v>
      </c>
      <c r="S15" s="387">
        <f t="shared" si="111"/>
        <v>1.4602144469525959E-2</v>
      </c>
      <c r="T15" s="387">
        <f t="shared" si="111"/>
        <v>1.1780474040632054E-2</v>
      </c>
      <c r="U15" s="387">
        <f t="shared" si="111"/>
        <v>8.6060948081264112E-3</v>
      </c>
      <c r="V15" s="387">
        <f t="shared" si="111"/>
        <v>2.1163997169013743E-3</v>
      </c>
      <c r="W15" s="5">
        <f>W66*W64/W65</f>
        <v>14508.208982900876</v>
      </c>
      <c r="X15" s="66">
        <f t="shared" si="113"/>
        <v>63.693220439758178</v>
      </c>
      <c r="Y15" s="76">
        <f t="shared" si="3"/>
        <v>21.475749756603502</v>
      </c>
      <c r="Z15" s="76">
        <f t="shared" si="114"/>
        <v>42.217470683154673</v>
      </c>
      <c r="AA15" s="66">
        <f t="shared" si="115"/>
        <v>5.5333054960143357</v>
      </c>
      <c r="AB15" s="66">
        <f t="shared" si="116"/>
        <v>0</v>
      </c>
      <c r="AC15" s="274">
        <f t="shared" si="117"/>
        <v>5.5333054960143357</v>
      </c>
      <c r="AD15" s="66">
        <f t="shared" si="118"/>
        <v>159.13178139369359</v>
      </c>
      <c r="AE15" s="357">
        <f t="shared" si="4"/>
        <v>29.226090870145981</v>
      </c>
      <c r="AF15" s="274">
        <f t="shared" si="119"/>
        <v>129.90569052354761</v>
      </c>
      <c r="AG15" s="66">
        <f t="shared" si="120"/>
        <v>231.26159116093936</v>
      </c>
      <c r="AH15" s="357">
        <f t="shared" si="5"/>
        <v>-1.0444863861528888</v>
      </c>
      <c r="AI15" s="76">
        <f t="shared" si="6"/>
        <v>232.30607754709226</v>
      </c>
      <c r="AJ15" s="66">
        <f t="shared" si="121"/>
        <v>215.61978997285013</v>
      </c>
      <c r="AK15" s="357">
        <f t="shared" si="122"/>
        <v>58.576648458190839</v>
      </c>
      <c r="AL15" s="274">
        <f t="shared" si="123"/>
        <v>157.04314151465928</v>
      </c>
      <c r="AM15" s="66">
        <f t="shared" si="124"/>
        <v>19.306425505908791</v>
      </c>
      <c r="AN15" s="357">
        <f t="shared" si="7"/>
        <v>4.4999432538210611</v>
      </c>
      <c r="AO15" s="274">
        <f t="shared" si="125"/>
        <v>14.806482252087729</v>
      </c>
      <c r="AP15" s="193">
        <f t="shared" si="8"/>
        <v>694.54611396916448</v>
      </c>
      <c r="AQ15" s="271">
        <f t="shared" si="9"/>
        <v>112.73394595260849</v>
      </c>
      <c r="AR15" s="271">
        <f t="shared" si="126"/>
        <v>581.8121680165558</v>
      </c>
      <c r="AS15" s="66">
        <f t="shared" si="127"/>
        <v>13813.662868931711</v>
      </c>
      <c r="AT15" s="193">
        <f t="shared" si="128"/>
        <v>8012.1295287513931</v>
      </c>
      <c r="AU15" s="66">
        <f t="shared" si="187"/>
        <v>5801.5333401803182</v>
      </c>
      <c r="AV15" s="66"/>
      <c r="AW15" s="66"/>
      <c r="AX15" s="271">
        <f>W15-AU15</f>
        <v>8706.6756427205582</v>
      </c>
      <c r="AY15" s="140">
        <f t="shared" si="10"/>
        <v>4.7872629542884619E-2</v>
      </c>
      <c r="AZ15" s="623">
        <f t="shared" si="129"/>
        <v>4.0102273733599342E-2</v>
      </c>
      <c r="BA15" s="248">
        <f t="shared" si="11"/>
        <v>6.6823687006532184E-2</v>
      </c>
      <c r="BB15" s="248">
        <f t="shared" si="130"/>
        <v>4.8488622311836874E-3</v>
      </c>
      <c r="BC15" s="248">
        <f t="shared" si="131"/>
        <v>6.3552447835134405E-4</v>
      </c>
      <c r="BD15" s="248">
        <f t="shared" si="132"/>
        <v>1.4920240038131962E-2</v>
      </c>
      <c r="BE15" s="248">
        <f t="shared" si="133"/>
        <v>2.6681374967875111E-2</v>
      </c>
      <c r="BF15" s="248">
        <f t="shared" si="134"/>
        <v>1.8037095667616753E-2</v>
      </c>
      <c r="BG15" s="248">
        <f t="shared" si="135"/>
        <v>1.7005896233733104E-3</v>
      </c>
      <c r="BH15" s="248">
        <f t="shared" si="136"/>
        <v>1.5555764516483307E-2</v>
      </c>
      <c r="BI15" s="23">
        <f t="shared" si="12"/>
        <v>6.1494691492627034E-2</v>
      </c>
      <c r="BJ15" s="144">
        <f t="shared" si="13"/>
        <v>0.39987936119598944</v>
      </c>
      <c r="BK15" s="623">
        <f t="shared" si="137"/>
        <v>0.39210900538670418</v>
      </c>
      <c r="BL15" s="5">
        <f t="shared" si="138"/>
        <v>1352.3267966009234</v>
      </c>
      <c r="BM15" s="66">
        <f t="shared" si="139"/>
        <v>7.1203358728381065</v>
      </c>
      <c r="BN15" s="66">
        <f t="shared" si="140"/>
        <v>0</v>
      </c>
      <c r="BO15" s="66">
        <f t="shared" si="141"/>
        <v>81.928605978949378</v>
      </c>
      <c r="BP15" s="66">
        <f t="shared" si="142"/>
        <v>-32.449687765345942</v>
      </c>
      <c r="BQ15" s="66">
        <f t="shared" si="143"/>
        <v>7.0659716142487943</v>
      </c>
      <c r="BR15" s="66">
        <f t="shared" si="144"/>
        <v>0</v>
      </c>
      <c r="BS15" s="193">
        <f t="shared" ref="BS15:BS22" si="198">BR15+BQ15+BP15+BO15+BN15+BM15</f>
        <v>63.665225700690335</v>
      </c>
      <c r="BT15" s="66">
        <f t="shared" si="145"/>
        <v>1288.6615709002331</v>
      </c>
      <c r="BU15" s="193">
        <f>BT15-BV15</f>
        <v>798.26600671504434</v>
      </c>
      <c r="BV15" s="66">
        <f t="shared" si="146"/>
        <v>490.39556418518868</v>
      </c>
      <c r="BW15" s="640">
        <f>W15-FJ15</f>
        <v>7042.0329158448731</v>
      </c>
      <c r="BX15" s="357">
        <f t="shared" si="147"/>
        <v>52.955345561456426</v>
      </c>
      <c r="BY15" s="193">
        <f t="shared" si="148"/>
        <v>18.791281037028064</v>
      </c>
      <c r="BZ15" s="647">
        <f t="shared" si="149"/>
        <v>4.8514491387221109E-3</v>
      </c>
      <c r="CA15" s="357">
        <f t="shared" si="150"/>
        <v>3.9683006287968206</v>
      </c>
      <c r="CB15" s="193">
        <f t="shared" si="151"/>
        <v>0</v>
      </c>
      <c r="CC15" s="647">
        <f t="shared" si="14"/>
        <v>5.6351634197391719E-4</v>
      </c>
      <c r="CD15" s="357">
        <f t="shared" si="152"/>
        <v>87.715307257282049</v>
      </c>
      <c r="CE15" s="193">
        <f t="shared" si="153"/>
        <v>11.105666028004567</v>
      </c>
      <c r="CF15" s="655">
        <f t="shared" si="15"/>
        <v>1.0878909846743622E-2</v>
      </c>
      <c r="CG15" s="357">
        <f t="shared" si="154"/>
        <v>166.27765338786705</v>
      </c>
      <c r="CH15" s="193">
        <f t="shared" si="155"/>
        <v>-0.91098060747169252</v>
      </c>
      <c r="CI15" s="23">
        <f t="shared" si="16"/>
        <v>2.3741529753312743E-2</v>
      </c>
      <c r="CJ15" s="357">
        <f t="shared" si="156"/>
        <v>156.3109334089319</v>
      </c>
      <c r="CK15" s="641">
        <f t="shared" si="157"/>
        <v>29.288324229095419</v>
      </c>
      <c r="CL15" s="34">
        <f t="shared" si="158"/>
        <v>1.80377755539924E-2</v>
      </c>
      <c r="CM15" s="357">
        <f t="shared" si="159"/>
        <v>14.679841193721211</v>
      </c>
      <c r="CN15" s="193">
        <f t="shared" si="160"/>
        <v>3.5999546030568488</v>
      </c>
      <c r="CO15" s="23">
        <f t="shared" si="161"/>
        <v>1.5733931839105931E-3</v>
      </c>
      <c r="CP15" s="271">
        <f t="shared" si="17"/>
        <v>481.90738143805549</v>
      </c>
      <c r="CQ15" s="193">
        <f t="shared" si="162"/>
        <v>61.874245289713208</v>
      </c>
      <c r="CR15" s="271">
        <f t="shared" si="18"/>
        <v>6560.1255344068177</v>
      </c>
      <c r="CS15" s="248">
        <f t="shared" si="163"/>
        <v>5.9646573818655395E-2</v>
      </c>
      <c r="CT15" s="30">
        <f t="shared" si="19"/>
        <v>6.8432991892688186E-2</v>
      </c>
      <c r="CU15" s="308">
        <f t="shared" si="20"/>
        <v>0</v>
      </c>
      <c r="CV15" s="644">
        <f>CV14*'Assets(BoP)'!FH62/'Assets(BoP)'!FH61</f>
        <v>7.5198946375704453E-3</v>
      </c>
      <c r="CW15" s="308">
        <f>CW16*'Assets(BoP)'!EY62/'Assets(BoP)'!EY63</f>
        <v>5.6351634197391719E-4</v>
      </c>
      <c r="CX15" s="308">
        <f>CX16*'Assets(BoP)'!FH62/'Assets(BoP)'!FH63</f>
        <v>1.2455963825434397E-2</v>
      </c>
      <c r="CY15" s="308">
        <f>CY16*'Assets(BoP)'!FJ62/'Assets(BoP)'!FJ63</f>
        <v>2.361216645462353E-2</v>
      </c>
      <c r="CZ15" s="308">
        <f t="shared" ref="CZ15:CZ20" si="199">CZ16*DA15/DA16</f>
        <v>2.2196847881415842E-2</v>
      </c>
      <c r="DA15" s="308">
        <f>'Assets(BoP)'!FK62</f>
        <v>2.1546750323527455E-2</v>
      </c>
      <c r="DB15" s="367">
        <f>DB16*'Assets(BoP)'!FN62/'Assets(BoP)'!FN63</f>
        <v>2.0846027516700392E-3</v>
      </c>
      <c r="DC15" s="23">
        <f t="shared" si="21"/>
        <v>8.6828562892564173E-2</v>
      </c>
      <c r="DD15" s="193">
        <f t="shared" si="22"/>
        <v>4837.4995756645549</v>
      </c>
      <c r="DE15" s="66">
        <f t="shared" si="164"/>
        <v>2204.5333401803177</v>
      </c>
      <c r="DF15" s="635">
        <f>'Assets(BoP)'!ES62*1000</f>
        <v>2405</v>
      </c>
      <c r="DG15" s="193">
        <f>'Assets(BoP)'!DA62*1000</f>
        <v>2456</v>
      </c>
      <c r="DH15" s="23">
        <f t="shared" si="23"/>
        <v>0.31305354100518673</v>
      </c>
      <c r="DI15" s="23">
        <f>'Assets(BoP)'!DA62/'Assets(BoP)'!CZ62</f>
        <v>0.30064879422205898</v>
      </c>
      <c r="DJ15" s="23">
        <f t="shared" si="24"/>
        <v>5.597702806725377E-2</v>
      </c>
      <c r="DK15" s="600">
        <f>'Assets(BoP)'!FO62-'Assets(BoP)'!FH62</f>
        <v>7.1154129109517739E-2</v>
      </c>
      <c r="DL15" s="576">
        <f t="shared" si="25"/>
        <v>0.66473978160637592</v>
      </c>
      <c r="DM15" s="251">
        <f t="shared" si="26"/>
        <v>2.1773647065556947</v>
      </c>
      <c r="DN15" s="251">
        <f t="shared" si="27"/>
        <v>1.8594676570712758</v>
      </c>
      <c r="DO15" s="251">
        <f t="shared" si="28"/>
        <v>0.22663673126085043</v>
      </c>
      <c r="DP15" s="251">
        <f t="shared" si="29"/>
        <v>0.22663673126085043</v>
      </c>
      <c r="DQ15" s="251">
        <f t="shared" si="30"/>
        <v>0.49931906766675371</v>
      </c>
      <c r="DR15" s="251">
        <f t="shared" si="31"/>
        <v>0.4193401161804457</v>
      </c>
      <c r="DS15" s="251">
        <f t="shared" si="32"/>
        <v>0.89945328061507435</v>
      </c>
      <c r="DT15" s="251">
        <f t="shared" si="33"/>
        <v>0.90239784378451171</v>
      </c>
      <c r="DU15" s="251">
        <f t="shared" si="34"/>
        <v>1.1479430945180038</v>
      </c>
      <c r="DV15" s="251">
        <f t="shared" si="35"/>
        <v>0.92394475876679205</v>
      </c>
      <c r="DW15" s="251">
        <f t="shared" si="36"/>
        <v>0.41796705023289221</v>
      </c>
      <c r="DX15" s="251">
        <f t="shared" si="37"/>
        <v>0.33036068047056316</v>
      </c>
      <c r="DY15" s="251">
        <f t="shared" si="38"/>
        <v>0.47991579987621574</v>
      </c>
      <c r="DZ15" s="251">
        <f t="shared" si="39"/>
        <v>0.40526227234214224</v>
      </c>
      <c r="EA15" s="643">
        <f t="shared" si="40"/>
        <v>0.80433727715458025</v>
      </c>
      <c r="EB15" s="643">
        <f t="shared" si="41"/>
        <v>0.70171715995508299</v>
      </c>
      <c r="EC15" s="251">
        <f t="shared" si="42"/>
        <v>0.65898922376359736</v>
      </c>
      <c r="ED15" s="251">
        <f t="shared" si="43"/>
        <v>0.43410967925794919</v>
      </c>
      <c r="EE15" s="140">
        <f t="shared" si="44"/>
        <v>0.41745289377770545</v>
      </c>
      <c r="EF15" s="1342">
        <v>0.20825858646767673</v>
      </c>
      <c r="EG15" s="140">
        <f>AU15/L15</f>
        <v>3.2795553081855955</v>
      </c>
      <c r="EH15" s="583">
        <v>1.8</v>
      </c>
      <c r="EI15" s="1344">
        <v>4.8894512877939533</v>
      </c>
      <c r="EJ15" s="576">
        <f t="shared" si="166"/>
        <v>0.32265315643445153</v>
      </c>
      <c r="EK15" s="753">
        <f t="shared" si="167"/>
        <v>0.51610577157953919</v>
      </c>
      <c r="EL15" s="753">
        <f t="shared" si="168"/>
        <v>1.2462031318147642</v>
      </c>
      <c r="EM15" s="753">
        <f t="shared" si="169"/>
        <v>0.22693773971959161</v>
      </c>
      <c r="EN15" s="583"/>
      <c r="EO15" s="5">
        <f>EO66*EO64/EO65</f>
        <v>9952.7958225768598</v>
      </c>
      <c r="EP15" s="193"/>
      <c r="EQ15" s="193"/>
      <c r="ER15" s="193"/>
      <c r="ES15" s="193"/>
      <c r="ET15" s="193"/>
      <c r="EU15" s="193"/>
      <c r="EV15" s="193"/>
      <c r="EW15" s="193"/>
      <c r="EX15" s="193"/>
      <c r="EY15" s="193"/>
      <c r="EZ15" s="193"/>
      <c r="FA15" s="193"/>
      <c r="FB15" s="193"/>
      <c r="FC15" s="193"/>
      <c r="FD15" s="23"/>
      <c r="FE15" s="193">
        <f>FE66*FE64/FE65</f>
        <v>3472.5353862776878</v>
      </c>
      <c r="FF15" s="193"/>
      <c r="FG15" s="193">
        <f>FE15-HY15</f>
        <v>2204.5333401803177</v>
      </c>
      <c r="FH15" s="193">
        <f>'Assets(BoP)'!DA62*1000</f>
        <v>2456</v>
      </c>
      <c r="FI15" s="23">
        <f>FG15/FH15</f>
        <v>0.89761129486169289</v>
      </c>
      <c r="FJ15" s="5">
        <f>FJ66*FJ64/FJ65</f>
        <v>7466.1760670560034</v>
      </c>
      <c r="FK15" s="143">
        <f>FJ15/'Assets(BoP)'!AV62/1000</f>
        <v>1.3506107212474678</v>
      </c>
      <c r="FL15" s="192"/>
      <c r="FM15" s="66">
        <f t="shared" si="170"/>
        <v>10.737874878301751</v>
      </c>
      <c r="FN15" s="66">
        <f t="shared" si="171"/>
        <v>2.6844687195754378</v>
      </c>
      <c r="FO15" s="184">
        <f t="shared" si="172"/>
        <v>0.25</v>
      </c>
      <c r="FP15" s="66">
        <f t="shared" si="173"/>
        <v>1.5650048672175148</v>
      </c>
      <c r="FQ15" s="66">
        <f t="shared" si="190"/>
        <v>0</v>
      </c>
      <c r="FR15" s="184">
        <v>0</v>
      </c>
      <c r="FS15" s="66">
        <f t="shared" si="174"/>
        <v>71.416474136411551</v>
      </c>
      <c r="FT15" s="66">
        <f t="shared" si="191"/>
        <v>18.120424842141414</v>
      </c>
      <c r="FU15" s="193">
        <f t="shared" si="175"/>
        <v>53.296049294270134</v>
      </c>
      <c r="FV15" s="184">
        <f t="shared" si="176"/>
        <v>0.25372891985019952</v>
      </c>
      <c r="FW15" s="66">
        <f t="shared" si="177"/>
        <v>64.983937773072299</v>
      </c>
      <c r="FX15" s="66">
        <f t="shared" si="192"/>
        <v>-0.13350577868119631</v>
      </c>
      <c r="FY15" s="184">
        <f t="shared" si="193"/>
        <v>-2.0544427324088342E-3</v>
      </c>
      <c r="FZ15" s="66">
        <f t="shared" si="178"/>
        <v>59.308856563918219</v>
      </c>
      <c r="GA15" s="66">
        <f t="shared" si="179"/>
        <v>29.288324229095419</v>
      </c>
      <c r="GB15" s="193">
        <f t="shared" si="180"/>
        <v>30.0205323348228</v>
      </c>
      <c r="GC15" s="184">
        <f t="shared" si="181"/>
        <v>0.49382716049382719</v>
      </c>
      <c r="GD15" s="66">
        <f t="shared" si="182"/>
        <v>4.6265843121875809</v>
      </c>
      <c r="GE15" s="66">
        <f t="shared" si="194"/>
        <v>0.89998865076421231</v>
      </c>
      <c r="GF15" s="184">
        <f t="shared" si="183"/>
        <v>0.19452550521848633</v>
      </c>
      <c r="GG15" s="193">
        <f t="shared" si="47"/>
        <v>212.6387325311089</v>
      </c>
      <c r="GH15" s="193">
        <f t="shared" si="48"/>
        <v>50.859700662895293</v>
      </c>
      <c r="GI15" s="193">
        <f t="shared" si="49"/>
        <v>7253.5373345248945</v>
      </c>
      <c r="GJ15" s="23">
        <f t="shared" si="50"/>
        <v>2.8480272983296352E-2</v>
      </c>
      <c r="GK15" s="330">
        <f>GK66*GK64/GK65</f>
        <v>3597</v>
      </c>
      <c r="GL15" s="330"/>
      <c r="GM15" s="23">
        <f>GK15/'Assets(BoP)'!AW62/1000</f>
        <v>1.384526558891455</v>
      </c>
      <c r="GN15" s="23">
        <f t="shared" si="51"/>
        <v>0.48177272645250346</v>
      </c>
      <c r="GO15" s="330">
        <f>FJ15-GK15</f>
        <v>3869.1760670560034</v>
      </c>
      <c r="GP15" s="23">
        <f>GO15/('Assets(BoP)'!AV62-'Assets(BoP)'!AW62)/1000</f>
        <v>1.320537906845052</v>
      </c>
      <c r="GQ15" s="330">
        <f t="shared" si="52"/>
        <v>3656.5373345248945</v>
      </c>
      <c r="GR15" s="330">
        <v>56.554000000000002</v>
      </c>
      <c r="GS15" s="140">
        <f t="shared" si="53"/>
        <v>7.5338943215393375E-2</v>
      </c>
      <c r="GT15" s="582">
        <v>0.52905795518417165</v>
      </c>
      <c r="GU15" s="576">
        <f t="shared" si="54"/>
        <v>0.51461735048450907</v>
      </c>
      <c r="GV15" s="56">
        <f t="shared" si="195"/>
        <v>0.16858740701387148</v>
      </c>
      <c r="GW15" s="389">
        <v>0.125</v>
      </c>
      <c r="GX15" s="56">
        <f t="shared" si="196"/>
        <v>0.2828336278097775</v>
      </c>
      <c r="GY15" s="389">
        <v>0.25</v>
      </c>
      <c r="GZ15" s="56">
        <f t="shared" si="196"/>
        <v>0.44878825279864415</v>
      </c>
      <c r="HA15" s="400">
        <f t="shared" si="55"/>
        <v>0.62000850276733932</v>
      </c>
      <c r="HB15" s="56">
        <f t="shared" si="196"/>
        <v>0.28099753809896055</v>
      </c>
      <c r="HC15" s="56">
        <f t="shared" si="56"/>
        <v>0.12781954887218044</v>
      </c>
      <c r="HD15" s="400">
        <f t="shared" si="196"/>
        <v>0.27506221284876553</v>
      </c>
      <c r="HE15" s="400">
        <v>0.5</v>
      </c>
      <c r="HF15" s="56">
        <f t="shared" si="197"/>
        <v>0.2396396117329746</v>
      </c>
      <c r="HG15" s="56">
        <v>0.2</v>
      </c>
      <c r="HH15" s="6">
        <f t="shared" si="57"/>
        <v>0.30615495249974051</v>
      </c>
      <c r="HI15" s="6">
        <f t="shared" si="58"/>
        <v>0.27806058511930282</v>
      </c>
      <c r="HJ15" s="23">
        <f t="shared" si="59"/>
        <v>0.62000850276733932</v>
      </c>
      <c r="HK15" s="23"/>
      <c r="HL15" s="23"/>
      <c r="HM15" s="31">
        <f t="shared" si="184"/>
        <v>0.44439189259231543</v>
      </c>
      <c r="HN15" s="23">
        <f t="shared" si="60"/>
        <v>0.52509876658701538</v>
      </c>
      <c r="HO15" s="23">
        <f t="shared" si="61"/>
        <v>0.45637521477947546</v>
      </c>
      <c r="HP15" s="575">
        <f>HP66*HP64/HP65</f>
        <v>4430.2114481577491</v>
      </c>
      <c r="HQ15" s="66">
        <f>$HP15*HQ11/$HP11</f>
        <v>0</v>
      </c>
      <c r="HR15" s="66">
        <f t="shared" ref="HR15:HV15" si="200">$HP15*HR11/$HP11</f>
        <v>0</v>
      </c>
      <c r="HS15" s="66">
        <f t="shared" si="200"/>
        <v>101.52894838256296</v>
      </c>
      <c r="HT15" s="66">
        <f t="shared" si="200"/>
        <v>297.0320595148666</v>
      </c>
      <c r="HU15" s="66">
        <f t="shared" si="200"/>
        <v>61.998594518622625</v>
      </c>
      <c r="HV15" s="66">
        <f t="shared" si="200"/>
        <v>0</v>
      </c>
      <c r="HW15" s="193">
        <f>HV15+HU15+HT15+HS15+HR15+HQ15</f>
        <v>460.55960241605214</v>
      </c>
      <c r="HX15" s="193">
        <f>HP15-HW15</f>
        <v>3969.6518457416969</v>
      </c>
      <c r="HY15" s="193">
        <f>HY66*HY64/HY65</f>
        <v>1268.0020460973701</v>
      </c>
      <c r="HZ15" s="193"/>
      <c r="IA15" s="23">
        <f>HY15/HP15</f>
        <v>0.28621704876516757</v>
      </c>
      <c r="IB15" s="23"/>
      <c r="IC15" s="23"/>
      <c r="ID15" s="23"/>
      <c r="IE15" s="23"/>
      <c r="IF15" s="23"/>
      <c r="IG15" s="23"/>
      <c r="IH15" s="23"/>
      <c r="II15" s="23"/>
      <c r="IJ15" s="23"/>
      <c r="IK15" s="23"/>
      <c r="IL15" s="23"/>
      <c r="IM15" s="575"/>
      <c r="IN15" s="193"/>
      <c r="IO15" s="193"/>
      <c r="IP15" s="193"/>
      <c r="IQ15" s="193"/>
      <c r="IR15" s="193"/>
      <c r="IS15" s="193"/>
      <c r="IT15" s="193"/>
      <c r="IU15" s="193"/>
      <c r="IV15" s="193"/>
      <c r="IW15" s="193"/>
      <c r="IX15" s="149">
        <f t="shared" si="63"/>
        <v>0</v>
      </c>
      <c r="IY15" s="316">
        <f t="shared" si="64"/>
        <v>0</v>
      </c>
      <c r="IZ15" s="316">
        <f t="shared" si="65"/>
        <v>0</v>
      </c>
      <c r="JA15" s="316">
        <f t="shared" si="66"/>
        <v>0</v>
      </c>
      <c r="JB15" s="316">
        <f t="shared" si="67"/>
        <v>0</v>
      </c>
      <c r="JC15" s="316">
        <f t="shared" si="68"/>
        <v>0</v>
      </c>
      <c r="JD15" s="316">
        <f t="shared" si="69"/>
        <v>0</v>
      </c>
      <c r="JE15" s="316">
        <f t="shared" si="70"/>
        <v>0</v>
      </c>
      <c r="JF15" s="316">
        <f t="shared" si="71"/>
        <v>0</v>
      </c>
      <c r="JG15" s="316">
        <f t="shared" si="72"/>
        <v>0</v>
      </c>
      <c r="JH15" s="316">
        <f t="shared" si="73"/>
        <v>0</v>
      </c>
      <c r="JI15" s="5"/>
      <c r="JJ15" s="593"/>
      <c r="JK15" s="593"/>
      <c r="JL15" s="593"/>
      <c r="JM15" s="593"/>
      <c r="JN15" s="593"/>
      <c r="JO15" s="593"/>
      <c r="JP15" s="552">
        <f t="shared" si="74"/>
        <v>0</v>
      </c>
      <c r="JQ15" s="552">
        <f t="shared" si="75"/>
        <v>0</v>
      </c>
      <c r="JR15" s="552">
        <f t="shared" si="76"/>
        <v>0</v>
      </c>
      <c r="JS15" s="593"/>
      <c r="JT15" s="149"/>
      <c r="JU15" s="593"/>
      <c r="JV15" s="593"/>
      <c r="JW15" s="593"/>
      <c r="JX15" s="593"/>
      <c r="JY15" s="593"/>
      <c r="JZ15" s="593"/>
      <c r="KA15" s="593"/>
      <c r="KB15" s="593"/>
      <c r="KC15" s="657"/>
      <c r="KD15" s="593"/>
      <c r="KE15" s="149"/>
      <c r="KN15" s="657"/>
      <c r="KP15" s="574"/>
      <c r="KY15" s="657"/>
      <c r="LA15" s="149">
        <f>'Assets(MOFA)'!IX15-'Assets(MOFA)'!KE15-'Assets(MOFA)'!KP15</f>
        <v>0</v>
      </c>
      <c r="LB15" s="552">
        <f>'Assets(MOFA)'!IY15-'Assets(MOFA)'!KF15-'Assets(MOFA)'!KQ15</f>
        <v>0</v>
      </c>
      <c r="LC15" s="552">
        <f>'Assets(MOFA)'!IZ15-'Assets(MOFA)'!KG15-'Assets(MOFA)'!KR15</f>
        <v>0</v>
      </c>
      <c r="LD15" s="552">
        <f>'Assets(MOFA)'!JA15-'Assets(MOFA)'!KH15-'Assets(MOFA)'!KS15</f>
        <v>0</v>
      </c>
      <c r="LE15" s="552">
        <f>'Assets(MOFA)'!JB15-'Assets(MOFA)'!KI15-'Assets(MOFA)'!KT15</f>
        <v>0</v>
      </c>
      <c r="LF15" s="552">
        <f>'Assets(MOFA)'!JC15-'Assets(MOFA)'!KJ15-'Assets(MOFA)'!KU15</f>
        <v>0</v>
      </c>
      <c r="LG15" s="552">
        <f>'Assets(MOFA)'!JD15-'Assets(MOFA)'!KK15-'Assets(MOFA)'!KV15</f>
        <v>0</v>
      </c>
      <c r="LH15" s="552">
        <f>'Assets(MOFA)'!JE15-'Assets(MOFA)'!KL15-'Assets(MOFA)'!KW15</f>
        <v>0</v>
      </c>
      <c r="LI15" s="552">
        <f>'Assets(MOFA)'!JF15-'Assets(MOFA)'!KM15-'Assets(MOFA)'!KX15</f>
        <v>0</v>
      </c>
      <c r="LJ15" s="552">
        <f t="shared" si="77"/>
        <v>0</v>
      </c>
      <c r="LK15" s="552">
        <f>'Assets(MOFA)'!JH15-'Assets(MOFA)'!KO15-'Assets(MOFA)'!KZ15</f>
        <v>0</v>
      </c>
      <c r="LL15" s="576" t="e">
        <f t="shared" si="78"/>
        <v>#DIV/0!</v>
      </c>
      <c r="LM15" s="6" t="e">
        <f t="shared" si="79"/>
        <v>#DIV/0!</v>
      </c>
      <c r="LN15" s="6" t="e">
        <f t="shared" si="80"/>
        <v>#DIV/0!</v>
      </c>
      <c r="LO15" s="6" t="e">
        <f t="shared" si="81"/>
        <v>#DIV/0!</v>
      </c>
      <c r="LP15" s="6" t="e">
        <f t="shared" si="82"/>
        <v>#DIV/0!</v>
      </c>
      <c r="LQ15" s="6" t="e">
        <f t="shared" si="83"/>
        <v>#DIV/0!</v>
      </c>
      <c r="LR15" s="6" t="e">
        <f t="shared" si="84"/>
        <v>#DIV/0!</v>
      </c>
      <c r="LS15" s="6" t="e">
        <f t="shared" si="85"/>
        <v>#DIV/0!</v>
      </c>
      <c r="LT15" s="143" t="e">
        <f t="shared" si="86"/>
        <v>#DIV/0!</v>
      </c>
      <c r="LU15" s="62" t="e">
        <f t="shared" si="87"/>
        <v>#DIV/0!</v>
      </c>
      <c r="LV15" s="902" t="e">
        <f t="shared" si="88"/>
        <v>#DIV/0!</v>
      </c>
      <c r="LW15" s="902" t="e">
        <f t="shared" si="89"/>
        <v>#DIV/0!</v>
      </c>
      <c r="LX15" s="143" t="e">
        <f t="shared" si="90"/>
        <v>#DIV/0!</v>
      </c>
      <c r="LY15" s="576" t="e">
        <f t="shared" si="91"/>
        <v>#DIV/0!</v>
      </c>
      <c r="LZ15" s="906" t="e">
        <f t="shared" si="92"/>
        <v>#DIV/0!</v>
      </c>
      <c r="MA15" s="906" t="e">
        <f t="shared" si="93"/>
        <v>#DIV/0!</v>
      </c>
      <c r="MB15" s="906" t="e">
        <f t="shared" si="94"/>
        <v>#DIV/0!</v>
      </c>
      <c r="MC15" s="906" t="e">
        <f t="shared" si="95"/>
        <v>#DIV/0!</v>
      </c>
      <c r="MD15" s="906" t="e">
        <f t="shared" si="96"/>
        <v>#DIV/0!</v>
      </c>
      <c r="ME15" s="906">
        <v>6.1610529375296846E-2</v>
      </c>
      <c r="MF15" s="906" t="e">
        <f t="shared" si="97"/>
        <v>#DIV/0!</v>
      </c>
      <c r="MG15" s="30" t="e">
        <f t="shared" si="98"/>
        <v>#DIV/0!</v>
      </c>
      <c r="MH15" s="140" t="e">
        <f t="shared" si="99"/>
        <v>#DIV/0!</v>
      </c>
      <c r="MI15" s="30" t="e">
        <f t="shared" si="100"/>
        <v>#DIV/0!</v>
      </c>
      <c r="MJ15" s="30" t="e">
        <f t="shared" si="101"/>
        <v>#DIV/0!</v>
      </c>
      <c r="MK15" s="617" t="e">
        <f t="shared" si="102"/>
        <v>#DIV/0!</v>
      </c>
      <c r="ML15" s="615" t="e">
        <f t="shared" si="103"/>
        <v>#DIV/0!</v>
      </c>
      <c r="MM15" s="574"/>
      <c r="MU15" s="593"/>
      <c r="MX15" s="574"/>
      <c r="NI15" s="613">
        <f t="shared" si="104"/>
        <v>21825.396018636173</v>
      </c>
      <c r="NQ15" s="593"/>
      <c r="NY15" s="593"/>
      <c r="NZ15" s="593"/>
      <c r="OA15" s="593"/>
      <c r="OB15" s="593"/>
      <c r="OC15" s="593"/>
      <c r="OD15" s="593"/>
      <c r="OE15" s="593"/>
      <c r="OF15" s="593"/>
      <c r="OG15" s="593"/>
      <c r="OH15" s="593"/>
      <c r="OI15" s="593"/>
      <c r="OJ15" s="593"/>
      <c r="OK15" s="593"/>
      <c r="OL15" s="593"/>
      <c r="OM15" s="593"/>
      <c r="ON15" s="593"/>
      <c r="OO15" s="593"/>
      <c r="OW15" s="593"/>
      <c r="PE15" s="593"/>
      <c r="PN15" s="574"/>
      <c r="PO15" s="593"/>
      <c r="PP15" s="593"/>
      <c r="PQ15" s="593"/>
      <c r="PR15" s="593"/>
      <c r="PS15" s="593"/>
      <c r="PT15" s="593"/>
      <c r="PU15" s="593"/>
      <c r="PV15" s="593"/>
      <c r="PW15" s="593"/>
      <c r="PX15" s="593"/>
      <c r="PY15" s="593"/>
      <c r="PZ15" s="593"/>
      <c r="QA15" s="593"/>
      <c r="QB15" s="593"/>
      <c r="QC15" s="593"/>
      <c r="QD15" s="593"/>
      <c r="QE15" s="593"/>
      <c r="QF15" s="593"/>
      <c r="QG15" s="593"/>
      <c r="QH15" s="593"/>
      <c r="QI15" s="593"/>
      <c r="QJ15" s="593"/>
      <c r="QK15" s="593"/>
      <c r="QL15" s="593"/>
      <c r="QM15" s="593"/>
      <c r="QN15" s="593"/>
      <c r="QO15" s="593"/>
      <c r="QP15" s="593"/>
      <c r="QQ15" s="593"/>
      <c r="QR15" s="593"/>
      <c r="QS15" s="593"/>
      <c r="QT15" s="593"/>
      <c r="QU15" s="593"/>
      <c r="QV15" s="593"/>
      <c r="QW15" s="593"/>
      <c r="QX15" s="593"/>
      <c r="QY15" s="593"/>
      <c r="QZ15" s="593"/>
      <c r="RA15" s="593"/>
      <c r="RB15" s="593"/>
      <c r="RC15" s="593"/>
      <c r="RD15" s="593"/>
      <c r="RE15" s="593"/>
      <c r="RF15" s="593"/>
      <c r="RG15" s="593"/>
      <c r="RH15" s="593"/>
      <c r="RI15" s="593"/>
      <c r="RJ15" s="593"/>
      <c r="RK15" s="593"/>
      <c r="RL15" s="593"/>
      <c r="RM15" s="593"/>
      <c r="RN15" s="593"/>
      <c r="RO15" s="593"/>
      <c r="RP15" s="593"/>
      <c r="RQ15" s="593"/>
      <c r="RR15" s="593"/>
    </row>
    <row r="16" spans="1:486" s="567" customFormat="1">
      <c r="A16" s="568">
        <v>1971</v>
      </c>
      <c r="B16" s="611">
        <f t="shared" ref="B16:B21" si="201">O16*P16</f>
        <v>23726.05197494715</v>
      </c>
      <c r="C16" s="66">
        <f t="shared" si="185"/>
        <v>31.799872144751401</v>
      </c>
      <c r="D16" s="66">
        <f t="shared" si="105"/>
        <v>26.541025266100856</v>
      </c>
      <c r="E16" s="66">
        <f t="shared" si="105"/>
        <v>346.45123862966</v>
      </c>
      <c r="F16" s="66">
        <f t="shared" si="105"/>
        <v>279.50413937755178</v>
      </c>
      <c r="G16" s="66">
        <f t="shared" si="105"/>
        <v>204.18865271893006</v>
      </c>
      <c r="H16" s="66">
        <f t="shared" si="105"/>
        <v>50.21380968296544</v>
      </c>
      <c r="I16" s="193">
        <f t="shared" si="106"/>
        <v>938.69873781995955</v>
      </c>
      <c r="J16" s="193">
        <f t="shared" si="107"/>
        <v>22787.35323712719</v>
      </c>
      <c r="K16" s="193">
        <f t="shared" si="108"/>
        <v>20861.418157984863</v>
      </c>
      <c r="L16" s="66">
        <f t="shared" si="186"/>
        <v>1925.9350791423271</v>
      </c>
      <c r="M16" s="140">
        <f t="shared" si="109"/>
        <v>3.9564051314190489E-2</v>
      </c>
      <c r="N16" s="631">
        <f t="shared" ref="N16:N21" si="202">N15+(N$22-N$15)/7</f>
        <v>8.1173854005544777E-2</v>
      </c>
      <c r="O16" s="193">
        <v>421700</v>
      </c>
      <c r="P16" s="626">
        <f>P15+P15-P14</f>
        <v>5.6262869278983045E-2</v>
      </c>
      <c r="Q16" s="630">
        <f t="shared" si="110"/>
        <v>1.340293453724605E-3</v>
      </c>
      <c r="R16" s="387">
        <f t="shared" si="111"/>
        <v>1.1186448252800802E-3</v>
      </c>
      <c r="S16" s="387">
        <f t="shared" si="111"/>
        <v>1.4602144469525959E-2</v>
      </c>
      <c r="T16" s="387">
        <f t="shared" si="111"/>
        <v>1.1780474040632054E-2</v>
      </c>
      <c r="U16" s="387">
        <f t="shared" si="111"/>
        <v>8.6060948081264112E-3</v>
      </c>
      <c r="V16" s="387">
        <f t="shared" si="111"/>
        <v>2.1163997169013743E-3</v>
      </c>
      <c r="W16" s="590">
        <f t="shared" si="112"/>
        <v>18588.267365410386</v>
      </c>
      <c r="X16" s="66">
        <f t="shared" si="113"/>
        <v>69.616203274314742</v>
      </c>
      <c r="Y16" s="76">
        <f t="shared" si="3"/>
        <v>21.771590817404878</v>
      </c>
      <c r="Z16" s="76">
        <f t="shared" si="114"/>
        <v>47.844612456909864</v>
      </c>
      <c r="AA16" s="66">
        <f t="shared" si="115"/>
        <v>9.9236047865128896</v>
      </c>
      <c r="AB16" s="66">
        <f t="shared" si="116"/>
        <v>0</v>
      </c>
      <c r="AC16" s="274">
        <f t="shared" si="117"/>
        <v>9.9236047865128896</v>
      </c>
      <c r="AD16" s="66">
        <f t="shared" si="118"/>
        <v>174.51732968696865</v>
      </c>
      <c r="AE16" s="357">
        <f t="shared" si="4"/>
        <v>29.884248177432784</v>
      </c>
      <c r="AF16" s="274">
        <f t="shared" si="119"/>
        <v>144.63308150953586</v>
      </c>
      <c r="AG16" s="66">
        <f t="shared" si="120"/>
        <v>307.38855385378082</v>
      </c>
      <c r="AH16" s="357">
        <f t="shared" si="5"/>
        <v>-1.6951362831143364</v>
      </c>
      <c r="AI16" s="76">
        <f t="shared" si="6"/>
        <v>309.08369013689514</v>
      </c>
      <c r="AJ16" s="66">
        <f t="shared" si="121"/>
        <v>313.8968233247848</v>
      </c>
      <c r="AK16" s="357">
        <f t="shared" si="122"/>
        <v>89.919031606350501</v>
      </c>
      <c r="AL16" s="274">
        <f t="shared" si="123"/>
        <v>223.9777917184343</v>
      </c>
      <c r="AM16" s="66">
        <f t="shared" si="124"/>
        <v>17.662211419994794</v>
      </c>
      <c r="AN16" s="357">
        <f t="shared" si="7"/>
        <v>4.0031595009628331</v>
      </c>
      <c r="AO16" s="274">
        <f t="shared" si="125"/>
        <v>13.65905191903196</v>
      </c>
      <c r="AP16" s="193">
        <f t="shared" si="8"/>
        <v>893.00472634635673</v>
      </c>
      <c r="AQ16" s="271">
        <f t="shared" si="9"/>
        <v>143.88289381903667</v>
      </c>
      <c r="AR16" s="271">
        <f t="shared" si="126"/>
        <v>749.12183252732007</v>
      </c>
      <c r="AS16" s="66">
        <f t="shared" si="127"/>
        <v>17695.262639064029</v>
      </c>
      <c r="AT16" s="193">
        <f t="shared" si="128"/>
        <v>9752.7126390640278</v>
      </c>
      <c r="AU16" s="66">
        <f t="shared" si="187"/>
        <v>7942.5500000000011</v>
      </c>
      <c r="AV16" s="66"/>
      <c r="AW16" s="66"/>
      <c r="AX16" s="271">
        <f t="shared" ref="AX16:AX21" si="203">DD16/(1-HM16)</f>
        <v>10645.717365410384</v>
      </c>
      <c r="AY16" s="140">
        <f t="shared" si="10"/>
        <v>4.8041310617690333E-2</v>
      </c>
      <c r="AZ16" s="623">
        <f t="shared" si="129"/>
        <v>4.0300788545860319E-2</v>
      </c>
      <c r="BA16" s="248">
        <f t="shared" si="11"/>
        <v>7.0368375076473019E-2</v>
      </c>
      <c r="BB16" s="248">
        <f t="shared" si="130"/>
        <v>4.4942591292499046E-3</v>
      </c>
      <c r="BC16" s="248">
        <f t="shared" si="131"/>
        <v>9.3216872530885024E-4</v>
      </c>
      <c r="BD16" s="248">
        <f t="shared" si="132"/>
        <v>1.3586034322071292E-2</v>
      </c>
      <c r="BE16" s="248">
        <f t="shared" si="133"/>
        <v>2.9033617888556466E-2</v>
      </c>
      <c r="BF16" s="248">
        <f t="shared" si="134"/>
        <v>2.1039238975681759E-2</v>
      </c>
      <c r="BG16" s="248">
        <f t="shared" si="135"/>
        <v>1.2830560356047376E-3</v>
      </c>
      <c r="BH16" s="248">
        <f t="shared" si="136"/>
        <v>1.4518203047380142E-2</v>
      </c>
      <c r="BI16" s="23">
        <f t="shared" si="12"/>
        <v>6.7490745057150123E-2</v>
      </c>
      <c r="BJ16" s="140">
        <f t="shared" si="13"/>
        <v>0.42728834505467356</v>
      </c>
      <c r="BK16" s="623">
        <f t="shared" si="137"/>
        <v>0.4195478229828436</v>
      </c>
      <c r="BL16" s="590">
        <f t="shared" si="138"/>
        <v>1715.5591246020563</v>
      </c>
      <c r="BM16" s="66">
        <f t="shared" si="139"/>
        <v>7.7824727040411341</v>
      </c>
      <c r="BN16" s="66">
        <f t="shared" si="140"/>
        <v>0</v>
      </c>
      <c r="BO16" s="66">
        <f t="shared" si="141"/>
        <v>89.84981764923981</v>
      </c>
      <c r="BP16" s="66">
        <f t="shared" si="142"/>
        <v>-43.131514165942306</v>
      </c>
      <c r="BQ16" s="66">
        <f t="shared" si="143"/>
        <v>10.286560633859615</v>
      </c>
      <c r="BR16" s="66">
        <f t="shared" si="144"/>
        <v>0</v>
      </c>
      <c r="BS16" s="193">
        <f t="shared" si="198"/>
        <v>64.787336821198252</v>
      </c>
      <c r="BT16" s="66">
        <f t="shared" si="145"/>
        <v>1650.7717877808579</v>
      </c>
      <c r="BU16" s="193">
        <f t="shared" ref="BU16:BU21" si="204">BT16-BV16</f>
        <v>979.39905579238507</v>
      </c>
      <c r="BV16" s="66">
        <f t="shared" si="146"/>
        <v>671.37273198847288</v>
      </c>
      <c r="BW16" s="645">
        <f>BW17*'Assets(BoP)'!ER63/'Assets(BoP)'!ER64</f>
        <v>8911.5390885937613</v>
      </c>
      <c r="BX16" s="357">
        <f t="shared" si="147"/>
        <v>58.730407865612307</v>
      </c>
      <c r="BY16" s="193">
        <f t="shared" si="148"/>
        <v>19.050141965229269</v>
      </c>
      <c r="BZ16" s="647">
        <f t="shared" si="149"/>
        <v>4.4526838187997639E-3</v>
      </c>
      <c r="CA16" s="357">
        <f t="shared" si="150"/>
        <v>7.0305170719867061</v>
      </c>
      <c r="CB16" s="193">
        <f t="shared" si="151"/>
        <v>0</v>
      </c>
      <c r="CC16" s="647">
        <f t="shared" si="14"/>
        <v>7.8892287876348413E-4</v>
      </c>
      <c r="CD16" s="357">
        <f t="shared" si="152"/>
        <v>97.281128404669289</v>
      </c>
      <c r="CE16" s="193">
        <f t="shared" si="153"/>
        <v>10.287190252742377</v>
      </c>
      <c r="CF16" s="655">
        <f t="shared" si="15"/>
        <v>9.7619431713287293E-3</v>
      </c>
      <c r="CG16" s="357">
        <f t="shared" si="154"/>
        <v>223.01665034280126</v>
      </c>
      <c r="CH16" s="193">
        <f t="shared" si="155"/>
        <v>-1.4784647281297971</v>
      </c>
      <c r="CI16" s="23">
        <f t="shared" si="16"/>
        <v>2.5191508766232246E-2</v>
      </c>
      <c r="CJ16" s="357">
        <f t="shared" si="156"/>
        <v>222.85380382335489</v>
      </c>
      <c r="CK16" s="641">
        <f t="shared" si="157"/>
        <v>44.95951580317525</v>
      </c>
      <c r="CL16" s="34">
        <f t="shared" si="158"/>
        <v>1.9962240669277178E-2</v>
      </c>
      <c r="CM16" s="357">
        <f t="shared" si="159"/>
        <v>13.546391752577319</v>
      </c>
      <c r="CN16" s="193">
        <f t="shared" si="160"/>
        <v>3.2025276007702663</v>
      </c>
      <c r="CO16" s="23">
        <f t="shared" si="161"/>
        <v>1.1607270134792523E-3</v>
      </c>
      <c r="CP16" s="271">
        <f t="shared" si="17"/>
        <v>622.45889926100165</v>
      </c>
      <c r="CQ16" s="193">
        <f t="shared" si="162"/>
        <v>76.020910893787359</v>
      </c>
      <c r="CR16" s="271">
        <f t="shared" si="18"/>
        <v>8289.0801893327589</v>
      </c>
      <c r="CS16" s="248">
        <f t="shared" si="163"/>
        <v>6.1318026317880636E-2</v>
      </c>
      <c r="CT16" s="30">
        <f t="shared" si="19"/>
        <v>6.9848641527894093E-2</v>
      </c>
      <c r="CU16" s="308">
        <f t="shared" si="20"/>
        <v>0</v>
      </c>
      <c r="CV16" s="644">
        <f>CV15*'Assets(BoP)'!FH63/'Assets(BoP)'!FH62</f>
        <v>6.5903776308161768E-3</v>
      </c>
      <c r="CW16" s="308">
        <f>CW17*'Assets(BoP)'!EY63/'Assets(BoP)'!EY64</f>
        <v>7.8892287876348413E-4</v>
      </c>
      <c r="CX16" s="308">
        <f>CX17*'Assets(BoP)'!FH63/'Assets(BoP)'!FH64</f>
        <v>1.0916310576383302E-2</v>
      </c>
      <c r="CY16" s="308">
        <f>CY17*'Assets(BoP)'!FJ63/'Assets(BoP)'!FJ64</f>
        <v>2.5025604233532374E-2</v>
      </c>
      <c r="CZ16" s="308">
        <f t="shared" si="199"/>
        <v>2.5007330564099133E-2</v>
      </c>
      <c r="DA16" s="308">
        <f>'Assets(BoP)'!FK63</f>
        <v>2.4274920060775383E-2</v>
      </c>
      <c r="DB16" s="367">
        <f>DB17*'Assets(BoP)'!FN63/'Assets(BoP)'!FN64</f>
        <v>1.5200956442996355E-3</v>
      </c>
      <c r="DC16" s="23">
        <f t="shared" si="21"/>
        <v>8.845704191178129E-2</v>
      </c>
      <c r="DD16" s="193">
        <f t="shared" si="22"/>
        <v>6177.439088593761</v>
      </c>
      <c r="DE16" s="66">
        <f t="shared" si="164"/>
        <v>2734.1</v>
      </c>
      <c r="DF16" s="635">
        <f>'Assets(BoP)'!ES63*1000</f>
        <v>2833</v>
      </c>
      <c r="DG16" s="193">
        <f>'Assets(BoP)'!DA63*1000</f>
        <v>2878</v>
      </c>
      <c r="DH16" s="23">
        <f t="shared" si="23"/>
        <v>0.30680446697467612</v>
      </c>
      <c r="DI16" s="23">
        <f>'Assets(BoP)'!DA63/'Assets(BoP)'!CZ63</f>
        <v>0.31419213973799126</v>
      </c>
      <c r="DJ16" s="23">
        <f t="shared" si="24"/>
        <v>5.8932330951510799E-2</v>
      </c>
      <c r="DK16" s="600">
        <f>'Assets(BoP)'!FO63-'Assets(BoP)'!FH63</f>
        <v>7.6263367072550547E-2</v>
      </c>
      <c r="DL16" s="576">
        <f t="shared" si="25"/>
        <v>0.78345387530290067</v>
      </c>
      <c r="DM16" s="251">
        <f t="shared" si="26"/>
        <v>2.1891975841105689</v>
      </c>
      <c r="DN16" s="251">
        <f t="shared" si="27"/>
        <v>1.8040528567440197</v>
      </c>
      <c r="DO16" s="251">
        <f t="shared" si="28"/>
        <v>0.37389681397077268</v>
      </c>
      <c r="DP16" s="251">
        <f t="shared" si="29"/>
        <v>0.37389681397077268</v>
      </c>
      <c r="DQ16" s="251">
        <f t="shared" si="30"/>
        <v>0.5037284045432997</v>
      </c>
      <c r="DR16" s="251">
        <f t="shared" si="31"/>
        <v>0.42638865150072175</v>
      </c>
      <c r="DS16" s="251">
        <f t="shared" si="32"/>
        <v>1.0997638694665735</v>
      </c>
      <c r="DT16" s="251">
        <f t="shared" si="33"/>
        <v>1.1042048112765606</v>
      </c>
      <c r="DU16" s="251">
        <f t="shared" si="34"/>
        <v>1.5372882828943013</v>
      </c>
      <c r="DV16" s="251">
        <f t="shared" si="35"/>
        <v>1.2280507798260285</v>
      </c>
      <c r="DW16" s="251">
        <f t="shared" si="36"/>
        <v>0.35174011953103274</v>
      </c>
      <c r="DX16" s="251">
        <f t="shared" si="37"/>
        <v>0.2773799568806371</v>
      </c>
      <c r="DY16" s="251">
        <f t="shared" si="38"/>
        <v>0.49448997292079699</v>
      </c>
      <c r="DZ16" s="251">
        <f t="shared" si="39"/>
        <v>0.42257948389881994</v>
      </c>
      <c r="EA16" s="643">
        <f t="shared" si="40"/>
        <v>0.95132196344513797</v>
      </c>
      <c r="EB16" s="643">
        <f t="shared" si="41"/>
        <v>0.82884921040912318</v>
      </c>
      <c r="EC16" s="251">
        <f t="shared" si="42"/>
        <v>0.77653874300036418</v>
      </c>
      <c r="ED16" s="251">
        <f t="shared" si="43"/>
        <v>0.48833304042782583</v>
      </c>
      <c r="EE16" s="140">
        <f t="shared" si="44"/>
        <v>0.46749998323249681</v>
      </c>
      <c r="EF16" s="1342">
        <v>0.22816316850468399</v>
      </c>
      <c r="EG16" s="140">
        <f t="shared" ref="EG16:EG18" si="205">AU16/L16</f>
        <v>4.1239967463166209</v>
      </c>
      <c r="EH16" s="583">
        <v>2.2400000000000002</v>
      </c>
      <c r="EI16" s="1344">
        <v>4.690083354816533</v>
      </c>
      <c r="EJ16" s="576">
        <f t="shared" si="166"/>
        <v>0.37560143162476622</v>
      </c>
      <c r="EK16" s="753">
        <f t="shared" si="167"/>
        <v>0.61734037360428629</v>
      </c>
      <c r="EL16" s="753">
        <f t="shared" si="168"/>
        <v>1.4196220992130073</v>
      </c>
      <c r="EM16" s="753">
        <f t="shared" si="169"/>
        <v>0.26628008447290286</v>
      </c>
      <c r="EN16" s="583"/>
      <c r="EO16" s="5"/>
      <c r="EP16" s="193"/>
      <c r="EQ16" s="193"/>
      <c r="ER16" s="193"/>
      <c r="ES16" s="193"/>
      <c r="ET16" s="193"/>
      <c r="EU16" s="193"/>
      <c r="EV16" s="193"/>
      <c r="EW16" s="193"/>
      <c r="EX16" s="193"/>
      <c r="EY16" s="193"/>
      <c r="EZ16" s="193"/>
      <c r="FA16" s="193"/>
      <c r="FB16" s="193"/>
      <c r="FC16" s="193"/>
      <c r="FD16" s="23"/>
      <c r="FE16" s="66"/>
      <c r="FF16" s="66"/>
      <c r="FG16" s="66">
        <f>FH16*FI16</f>
        <v>2734.1</v>
      </c>
      <c r="FH16" s="193">
        <f>'Assets(BoP)'!DA63*1000</f>
        <v>2878</v>
      </c>
      <c r="FI16" s="184">
        <v>0.95</v>
      </c>
      <c r="FJ16" s="590">
        <f t="shared" ref="FJ16:FJ21" si="206">GO16+GK16</f>
        <v>9676.7282768166242</v>
      </c>
      <c r="FK16" s="143">
        <f>FJ16/'Assets(BoP)'!AV63/1000</f>
        <v>1.3</v>
      </c>
      <c r="FL16" s="725"/>
      <c r="FM16" s="66">
        <f t="shared" si="170"/>
        <v>10.885795408702439</v>
      </c>
      <c r="FN16" s="66">
        <f t="shared" si="171"/>
        <v>2.7214488521756097</v>
      </c>
      <c r="FO16" s="184">
        <f t="shared" si="172"/>
        <v>0.25</v>
      </c>
      <c r="FP16" s="66">
        <f t="shared" si="173"/>
        <v>2.8930877145261835</v>
      </c>
      <c r="FQ16" s="66">
        <f t="shared" si="190"/>
        <v>0</v>
      </c>
      <c r="FR16" s="184">
        <v>0</v>
      </c>
      <c r="FS16" s="66">
        <f t="shared" si="174"/>
        <v>77.236201282299348</v>
      </c>
      <c r="FT16" s="66">
        <f t="shared" si="191"/>
        <v>19.597057924690407</v>
      </c>
      <c r="FU16" s="193">
        <f t="shared" si="175"/>
        <v>57.639143357608944</v>
      </c>
      <c r="FV16" s="184">
        <f t="shared" si="176"/>
        <v>0.25372891985019952</v>
      </c>
      <c r="FW16" s="66">
        <f t="shared" si="177"/>
        <v>84.371903510979564</v>
      </c>
      <c r="FX16" s="66">
        <f t="shared" si="192"/>
        <v>-0.21667155498453922</v>
      </c>
      <c r="FY16" s="184">
        <f t="shared" si="193"/>
        <v>-2.5680534155110429E-3</v>
      </c>
      <c r="FZ16" s="66">
        <f t="shared" si="178"/>
        <v>91.043019501429882</v>
      </c>
      <c r="GA16" s="66">
        <f t="shared" si="179"/>
        <v>44.95951580317525</v>
      </c>
      <c r="GB16" s="193">
        <f t="shared" si="180"/>
        <v>46.083503698254631</v>
      </c>
      <c r="GC16" s="184">
        <f t="shared" si="181"/>
        <v>0.49382716049382719</v>
      </c>
      <c r="GD16" s="66">
        <f t="shared" si="182"/>
        <v>4.1158196674174752</v>
      </c>
      <c r="GE16" s="66">
        <f t="shared" si="194"/>
        <v>0.80063190019256669</v>
      </c>
      <c r="GF16" s="184">
        <f t="shared" si="183"/>
        <v>0.19452550521848633</v>
      </c>
      <c r="GG16" s="193">
        <f t="shared" si="47"/>
        <v>270.54582708535492</v>
      </c>
      <c r="GH16" s="193">
        <f t="shared" si="48"/>
        <v>67.861982925249293</v>
      </c>
      <c r="GI16" s="193">
        <f t="shared" si="49"/>
        <v>9406.18244973127</v>
      </c>
      <c r="GJ16" s="23">
        <f t="shared" si="50"/>
        <v>2.7958398680422283E-2</v>
      </c>
      <c r="GK16" s="66">
        <f>GM16*'Assets(BoP)'!AW63*1000</f>
        <v>5208.4500000000007</v>
      </c>
      <c r="GL16" s="66"/>
      <c r="GM16" s="184">
        <v>1.3</v>
      </c>
      <c r="GN16" s="23">
        <f t="shared" si="51"/>
        <v>0.53824493682212149</v>
      </c>
      <c r="GO16" s="666">
        <f>('Assets(BoP)'!AV63-'Assets(BoP)'!AW63)*1000*GP16</f>
        <v>4468.2782768166235</v>
      </c>
      <c r="GP16" s="184">
        <v>1.3</v>
      </c>
      <c r="GQ16" s="330">
        <f t="shared" si="52"/>
        <v>4197.7324497312693</v>
      </c>
      <c r="GR16" s="330">
        <v>46.332999999999998</v>
      </c>
      <c r="GS16" s="140">
        <f t="shared" si="53"/>
        <v>9.193961186611263E-2</v>
      </c>
      <c r="GT16" s="582">
        <v>0.52176105057509481</v>
      </c>
      <c r="GU16" s="576">
        <f t="shared" si="54"/>
        <v>0.52058258505703303</v>
      </c>
      <c r="GV16" s="56">
        <f t="shared" si="195"/>
        <v>0.15636870292693494</v>
      </c>
      <c r="GW16" s="389">
        <v>0.125</v>
      </c>
      <c r="GX16" s="56">
        <f t="shared" si="196"/>
        <v>0.29153596669409498</v>
      </c>
      <c r="GY16" s="389">
        <v>0.25</v>
      </c>
      <c r="GZ16" s="56">
        <f t="shared" si="196"/>
        <v>0.44257038209808597</v>
      </c>
      <c r="HA16" s="400">
        <f t="shared" si="55"/>
        <v>0.65576546575092387</v>
      </c>
      <c r="HB16" s="56">
        <f t="shared" si="196"/>
        <v>0.27447965271704217</v>
      </c>
      <c r="HC16" s="56">
        <f t="shared" si="56"/>
        <v>0.12781954887218044</v>
      </c>
      <c r="HD16" s="400">
        <f t="shared" si="196"/>
        <v>0.29004122608539079</v>
      </c>
      <c r="HE16" s="400">
        <v>0.5</v>
      </c>
      <c r="HF16" s="56">
        <f t="shared" si="197"/>
        <v>0.233029690877672</v>
      </c>
      <c r="HG16" s="56">
        <v>0.2</v>
      </c>
      <c r="HH16" s="6">
        <f t="shared" si="57"/>
        <v>0.30296124880801834</v>
      </c>
      <c r="HI16" s="6">
        <f t="shared" si="58"/>
        <v>0.27056192378789579</v>
      </c>
      <c r="HJ16" s="23">
        <f t="shared" si="59"/>
        <v>0.65576546575092387</v>
      </c>
      <c r="HK16" s="23"/>
      <c r="HL16" s="23"/>
      <c r="HM16" s="31">
        <f t="shared" si="184"/>
        <v>0.41972542792980438</v>
      </c>
      <c r="HN16" s="23">
        <f t="shared" si="60"/>
        <v>0.53156500932437134</v>
      </c>
      <c r="HO16" s="23">
        <f t="shared" si="61"/>
        <v>0.43041691117991637</v>
      </c>
      <c r="HP16" s="575"/>
      <c r="HQ16" s="193"/>
      <c r="HR16" s="193"/>
      <c r="HS16" s="193"/>
      <c r="HT16" s="193"/>
      <c r="HU16" s="193"/>
      <c r="HV16" s="193"/>
      <c r="HW16" s="193"/>
      <c r="HX16" s="193"/>
      <c r="HY16" s="193"/>
      <c r="HZ16" s="193"/>
      <c r="IA16" s="193"/>
      <c r="IB16" s="23"/>
      <c r="IC16" s="23"/>
      <c r="ID16" s="23"/>
      <c r="IE16" s="23"/>
      <c r="IF16" s="23"/>
      <c r="IG16" s="23"/>
      <c r="IH16" s="23"/>
      <c r="II16" s="23"/>
      <c r="IJ16" s="23"/>
      <c r="IK16" s="23"/>
      <c r="IL16" s="23"/>
      <c r="IM16" s="575"/>
      <c r="IN16" s="193"/>
      <c r="IO16" s="193"/>
      <c r="IP16" s="193"/>
      <c r="IQ16" s="193"/>
      <c r="IR16" s="193"/>
      <c r="IS16" s="193"/>
      <c r="IT16" s="193"/>
      <c r="IU16" s="193"/>
      <c r="IV16" s="193"/>
      <c r="IW16" s="193"/>
      <c r="IX16" s="149">
        <f t="shared" si="63"/>
        <v>0</v>
      </c>
      <c r="IY16" s="316">
        <f t="shared" si="64"/>
        <v>0</v>
      </c>
      <c r="IZ16" s="316">
        <f t="shared" si="65"/>
        <v>0</v>
      </c>
      <c r="JA16" s="316">
        <f t="shared" si="66"/>
        <v>0</v>
      </c>
      <c r="JB16" s="316">
        <f t="shared" si="67"/>
        <v>0</v>
      </c>
      <c r="JC16" s="316">
        <f t="shared" si="68"/>
        <v>0</v>
      </c>
      <c r="JD16" s="316">
        <f t="shared" si="69"/>
        <v>0</v>
      </c>
      <c r="JE16" s="316">
        <f t="shared" si="70"/>
        <v>0</v>
      </c>
      <c r="JF16" s="316">
        <f t="shared" si="71"/>
        <v>0</v>
      </c>
      <c r="JG16" s="316">
        <f t="shared" si="72"/>
        <v>0</v>
      </c>
      <c r="JH16" s="316">
        <f t="shared" si="73"/>
        <v>0</v>
      </c>
      <c r="JI16" s="5"/>
      <c r="JJ16" s="593"/>
      <c r="JK16" s="593"/>
      <c r="JL16" s="593"/>
      <c r="JM16" s="593"/>
      <c r="JN16" s="593"/>
      <c r="JO16" s="593"/>
      <c r="JP16" s="552">
        <f t="shared" si="74"/>
        <v>0</v>
      </c>
      <c r="JQ16" s="552">
        <f t="shared" si="75"/>
        <v>0</v>
      </c>
      <c r="JR16" s="552">
        <f t="shared" si="76"/>
        <v>0</v>
      </c>
      <c r="JS16" s="593"/>
      <c r="JT16" s="149"/>
      <c r="JU16" s="593"/>
      <c r="JV16" s="593"/>
      <c r="JW16" s="593"/>
      <c r="JX16" s="593"/>
      <c r="JY16" s="593"/>
      <c r="JZ16" s="593"/>
      <c r="KA16" s="593"/>
      <c r="KB16" s="593"/>
      <c r="KC16" s="657"/>
      <c r="KD16" s="593"/>
      <c r="KE16" s="149"/>
      <c r="KL16" s="552">
        <f t="shared" ref="KL16:KL30" si="207">KF16+KG16+KH16+KI16+KJ16+KK16</f>
        <v>0</v>
      </c>
      <c r="KM16" s="552">
        <f t="shared" ref="KM16:KM30" si="208">KE16-KL16</f>
        <v>0</v>
      </c>
      <c r="KN16" s="552">
        <f t="shared" ref="KN16:KN30" si="209">KM16-KO16</f>
        <v>0</v>
      </c>
      <c r="KP16" s="574"/>
      <c r="KY16" s="657"/>
      <c r="LA16" s="149">
        <f>'Assets(MOFA)'!IX16-'Assets(MOFA)'!KE16-'Assets(MOFA)'!KP16</f>
        <v>0</v>
      </c>
      <c r="LB16" s="552">
        <f>'Assets(MOFA)'!IY16-'Assets(MOFA)'!KF16-'Assets(MOFA)'!KQ16</f>
        <v>0</v>
      </c>
      <c r="LC16" s="552">
        <f>'Assets(MOFA)'!IZ16-'Assets(MOFA)'!KG16-'Assets(MOFA)'!KR16</f>
        <v>0</v>
      </c>
      <c r="LD16" s="552">
        <f>'Assets(MOFA)'!JA16-'Assets(MOFA)'!KH16-'Assets(MOFA)'!KS16</f>
        <v>0</v>
      </c>
      <c r="LE16" s="552">
        <f>'Assets(MOFA)'!JB16-'Assets(MOFA)'!KI16-'Assets(MOFA)'!KT16</f>
        <v>0</v>
      </c>
      <c r="LF16" s="552">
        <f>'Assets(MOFA)'!JC16-'Assets(MOFA)'!KJ16-'Assets(MOFA)'!KU16</f>
        <v>0</v>
      </c>
      <c r="LG16" s="552">
        <f>'Assets(MOFA)'!JD16-'Assets(MOFA)'!KK16-'Assets(MOFA)'!KV16</f>
        <v>0</v>
      </c>
      <c r="LH16" s="552">
        <f>'Assets(MOFA)'!JE16-'Assets(MOFA)'!KL16-'Assets(MOFA)'!KW16</f>
        <v>0</v>
      </c>
      <c r="LI16" s="552">
        <f>'Assets(MOFA)'!JF16-'Assets(MOFA)'!KM16-'Assets(MOFA)'!KX16</f>
        <v>0</v>
      </c>
      <c r="LJ16" s="552">
        <f t="shared" si="77"/>
        <v>0</v>
      </c>
      <c r="LK16" s="552">
        <f>'Assets(MOFA)'!JH16-'Assets(MOFA)'!KO16-'Assets(MOFA)'!KZ16</f>
        <v>0</v>
      </c>
      <c r="LL16" s="576" t="e">
        <f t="shared" si="78"/>
        <v>#DIV/0!</v>
      </c>
      <c r="LM16" s="6" t="e">
        <f t="shared" si="79"/>
        <v>#DIV/0!</v>
      </c>
      <c r="LN16" s="6" t="e">
        <f t="shared" si="80"/>
        <v>#DIV/0!</v>
      </c>
      <c r="LO16" s="6" t="e">
        <f t="shared" si="81"/>
        <v>#DIV/0!</v>
      </c>
      <c r="LP16" s="6" t="e">
        <f t="shared" si="82"/>
        <v>#DIV/0!</v>
      </c>
      <c r="LQ16" s="6" t="e">
        <f t="shared" si="83"/>
        <v>#DIV/0!</v>
      </c>
      <c r="LR16" s="6" t="e">
        <f t="shared" si="84"/>
        <v>#DIV/0!</v>
      </c>
      <c r="LS16" s="6" t="e">
        <f t="shared" si="85"/>
        <v>#DIV/0!</v>
      </c>
      <c r="LT16" s="143" t="e">
        <f t="shared" si="86"/>
        <v>#DIV/0!</v>
      </c>
      <c r="LU16" s="62" t="e">
        <f t="shared" si="87"/>
        <v>#DIV/0!</v>
      </c>
      <c r="LV16" s="902" t="e">
        <f t="shared" si="88"/>
        <v>#DIV/0!</v>
      </c>
      <c r="LW16" s="902" t="e">
        <f t="shared" si="89"/>
        <v>#DIV/0!</v>
      </c>
      <c r="LX16" s="143" t="e">
        <f t="shared" si="90"/>
        <v>#DIV/0!</v>
      </c>
      <c r="LY16" s="576" t="e">
        <f t="shared" si="91"/>
        <v>#DIV/0!</v>
      </c>
      <c r="LZ16" s="906" t="e">
        <f t="shared" si="92"/>
        <v>#DIV/0!</v>
      </c>
      <c r="MA16" s="906" t="e">
        <f t="shared" si="93"/>
        <v>#DIV/0!</v>
      </c>
      <c r="MB16" s="906" t="e">
        <f t="shared" si="94"/>
        <v>#DIV/0!</v>
      </c>
      <c r="MC16" s="906" t="e">
        <f t="shared" si="95"/>
        <v>#DIV/0!</v>
      </c>
      <c r="MD16" s="906" t="e">
        <f t="shared" si="96"/>
        <v>#DIV/0!</v>
      </c>
      <c r="ME16" s="906">
        <v>6.1610529375296846E-2</v>
      </c>
      <c r="MF16" s="906" t="e">
        <f t="shared" si="97"/>
        <v>#DIV/0!</v>
      </c>
      <c r="MG16" s="30" t="e">
        <f t="shared" si="98"/>
        <v>#DIV/0!</v>
      </c>
      <c r="MH16" s="140" t="e">
        <f t="shared" si="99"/>
        <v>#DIV/0!</v>
      </c>
      <c r="MI16" s="30" t="e">
        <f t="shared" si="100"/>
        <v>#DIV/0!</v>
      </c>
      <c r="MJ16" s="30" t="e">
        <f t="shared" si="101"/>
        <v>#DIV/0!</v>
      </c>
      <c r="MK16" s="617" t="e">
        <f t="shared" si="102"/>
        <v>#DIV/0!</v>
      </c>
      <c r="ML16" s="615" t="e">
        <f t="shared" si="103"/>
        <v>#DIV/0!</v>
      </c>
      <c r="MM16" s="574"/>
      <c r="MU16" s="593"/>
      <c r="MX16" s="574"/>
      <c r="NI16" s="613">
        <f t="shared" si="104"/>
        <v>23726.05197494715</v>
      </c>
      <c r="NQ16" s="593"/>
      <c r="NY16" s="593"/>
      <c r="NZ16" s="593"/>
      <c r="OA16" s="593"/>
      <c r="OB16" s="593"/>
      <c r="OC16" s="593"/>
      <c r="OD16" s="593"/>
      <c r="OE16" s="593"/>
      <c r="OF16" s="593"/>
      <c r="OG16" s="593"/>
      <c r="OH16" s="593"/>
      <c r="OI16" s="593"/>
      <c r="OJ16" s="593"/>
      <c r="OK16" s="593"/>
      <c r="OL16" s="593"/>
      <c r="OM16" s="593"/>
      <c r="ON16" s="593"/>
      <c r="OO16" s="593"/>
      <c r="OW16" s="593"/>
      <c r="PE16" s="593"/>
      <c r="PN16" s="574"/>
      <c r="PO16" s="593"/>
      <c r="PP16" s="593"/>
      <c r="PQ16" s="593"/>
      <c r="PR16" s="593"/>
      <c r="PS16" s="593"/>
      <c r="PT16" s="593"/>
      <c r="PU16" s="593"/>
      <c r="PV16" s="593"/>
      <c r="PW16" s="593"/>
      <c r="PX16" s="593"/>
      <c r="PY16" s="593"/>
      <c r="PZ16" s="593"/>
      <c r="QA16" s="593"/>
      <c r="QB16" s="593"/>
      <c r="QC16" s="593"/>
      <c r="QD16" s="593"/>
      <c r="QE16" s="593"/>
      <c r="QF16" s="593"/>
      <c r="QG16" s="593"/>
      <c r="QH16" s="593"/>
      <c r="QI16" s="593"/>
      <c r="QJ16" s="593"/>
      <c r="QK16" s="593"/>
      <c r="QL16" s="593"/>
      <c r="QM16" s="593"/>
      <c r="QN16" s="593"/>
      <c r="QO16" s="593"/>
      <c r="QP16" s="593"/>
      <c r="QQ16" s="593"/>
      <c r="QR16" s="593"/>
      <c r="QS16" s="593"/>
      <c r="QT16" s="593"/>
      <c r="QU16" s="593"/>
      <c r="QV16" s="593"/>
      <c r="QW16" s="593"/>
      <c r="QX16" s="593"/>
      <c r="QY16" s="593"/>
      <c r="QZ16" s="593"/>
      <c r="RA16" s="593"/>
      <c r="RB16" s="593"/>
      <c r="RC16" s="593"/>
      <c r="RD16" s="593"/>
      <c r="RE16" s="593"/>
      <c r="RF16" s="593"/>
      <c r="RG16" s="593"/>
      <c r="RH16" s="593"/>
      <c r="RI16" s="593"/>
      <c r="RJ16" s="593"/>
      <c r="RK16" s="593"/>
      <c r="RL16" s="593"/>
      <c r="RM16" s="593"/>
      <c r="RN16" s="593"/>
      <c r="RO16" s="593"/>
      <c r="RP16" s="593"/>
      <c r="RQ16" s="593"/>
      <c r="RR16" s="593"/>
    </row>
    <row r="17" spans="1:486" s="567" customFormat="1">
      <c r="A17" s="568">
        <v>1972</v>
      </c>
      <c r="B17" s="611">
        <f t="shared" si="201"/>
        <v>27009.549747800887</v>
      </c>
      <c r="C17" s="66">
        <f t="shared" si="185"/>
        <v>36.200722715026586</v>
      </c>
      <c r="D17" s="66">
        <f t="shared" si="105"/>
        <v>30.214093058522359</v>
      </c>
      <c r="E17" s="66">
        <f t="shared" si="105"/>
        <v>394.39734747423699</v>
      </c>
      <c r="F17" s="66">
        <f t="shared" si="105"/>
        <v>318.18529965312842</v>
      </c>
      <c r="G17" s="66">
        <f t="shared" si="105"/>
        <v>232.44674585438125</v>
      </c>
      <c r="H17" s="66">
        <f t="shared" si="105"/>
        <v>57.163003439879382</v>
      </c>
      <c r="I17" s="193">
        <f t="shared" si="106"/>
        <v>1068.607212195175</v>
      </c>
      <c r="J17" s="193">
        <f t="shared" si="107"/>
        <v>25940.942535605711</v>
      </c>
      <c r="K17" s="193">
        <f t="shared" si="108"/>
        <v>23745.191968373758</v>
      </c>
      <c r="L17" s="66">
        <f t="shared" si="186"/>
        <v>2195.7505672319517</v>
      </c>
      <c r="M17" s="140">
        <f t="shared" si="109"/>
        <v>3.9564051314190482E-2</v>
      </c>
      <c r="N17" s="631">
        <f t="shared" si="202"/>
        <v>8.1295341378681413E-2</v>
      </c>
      <c r="O17" s="193">
        <v>468200</v>
      </c>
      <c r="P17" s="626">
        <f>P16+P16-P15</f>
        <v>5.7688060119181733E-2</v>
      </c>
      <c r="Q17" s="630">
        <f t="shared" si="110"/>
        <v>1.340293453724605E-3</v>
      </c>
      <c r="R17" s="387">
        <f t="shared" si="111"/>
        <v>1.1186448252800802E-3</v>
      </c>
      <c r="S17" s="387">
        <f t="shared" si="111"/>
        <v>1.4602144469525959E-2</v>
      </c>
      <c r="T17" s="387">
        <f t="shared" si="111"/>
        <v>1.1780474040632054E-2</v>
      </c>
      <c r="U17" s="387">
        <f t="shared" si="111"/>
        <v>8.6060948081264112E-3</v>
      </c>
      <c r="V17" s="387">
        <f t="shared" si="111"/>
        <v>2.1163997169013743E-3</v>
      </c>
      <c r="W17" s="590">
        <f t="shared" si="112"/>
        <v>22297.871023862761</v>
      </c>
      <c r="X17" s="66">
        <f t="shared" si="113"/>
        <v>60.092987193368053</v>
      </c>
      <c r="Y17" s="76">
        <f t="shared" si="3"/>
        <v>17.324808068432088</v>
      </c>
      <c r="Z17" s="76">
        <f t="shared" si="114"/>
        <v>42.768179124935969</v>
      </c>
      <c r="AA17" s="66">
        <f t="shared" si="115"/>
        <v>9.1838025273901103</v>
      </c>
      <c r="AB17" s="66">
        <f t="shared" si="116"/>
        <v>0</v>
      </c>
      <c r="AC17" s="274">
        <f t="shared" si="117"/>
        <v>9.1838025273901103</v>
      </c>
      <c r="AD17" s="66">
        <f t="shared" si="118"/>
        <v>151.14001293108871</v>
      </c>
      <c r="AE17" s="357">
        <f t="shared" si="4"/>
        <v>24.090589051442926</v>
      </c>
      <c r="AF17" s="274">
        <f t="shared" si="119"/>
        <v>127.04942387964579</v>
      </c>
      <c r="AG17" s="66">
        <f t="shared" si="120"/>
        <v>359.27352852383075</v>
      </c>
      <c r="AH17" s="357">
        <f t="shared" si="5"/>
        <v>-2.3210584183406575</v>
      </c>
      <c r="AI17" s="76">
        <f t="shared" si="6"/>
        <v>361.59458694217142</v>
      </c>
      <c r="AJ17" s="66">
        <f t="shared" si="121"/>
        <v>376.68029727323608</v>
      </c>
      <c r="AK17" s="357">
        <f t="shared" si="122"/>
        <v>113.47665621942778</v>
      </c>
      <c r="AL17" s="274">
        <f t="shared" si="123"/>
        <v>263.20364105380827</v>
      </c>
      <c r="AM17" s="66">
        <f t="shared" si="124"/>
        <v>66.153781791241727</v>
      </c>
      <c r="AN17" s="357">
        <f t="shared" si="7"/>
        <v>14.568524800296354</v>
      </c>
      <c r="AO17" s="274">
        <f t="shared" si="125"/>
        <v>51.585256990945375</v>
      </c>
      <c r="AP17" s="193">
        <f t="shared" si="8"/>
        <v>1022.5244102401554</v>
      </c>
      <c r="AQ17" s="271">
        <f t="shared" si="9"/>
        <v>167.13951972125849</v>
      </c>
      <c r="AR17" s="271">
        <f t="shared" si="126"/>
        <v>855.3848905188969</v>
      </c>
      <c r="AS17" s="66">
        <f t="shared" si="127"/>
        <v>21275.346613622605</v>
      </c>
      <c r="AT17" s="193">
        <f t="shared" si="128"/>
        <v>11140.846613622605</v>
      </c>
      <c r="AU17" s="66">
        <f t="shared" si="187"/>
        <v>10134.5</v>
      </c>
      <c r="AV17" s="66"/>
      <c r="AW17" s="66"/>
      <c r="AX17" s="271">
        <f t="shared" si="203"/>
        <v>12163.371023862763</v>
      </c>
      <c r="AY17" s="140">
        <f t="shared" si="10"/>
        <v>4.5857490571448237E-2</v>
      </c>
      <c r="AZ17" s="623">
        <f t="shared" si="129"/>
        <v>3.8361729225336365E-2</v>
      </c>
      <c r="BA17" s="248">
        <f t="shared" si="11"/>
        <v>7.0324656613759168E-2</v>
      </c>
      <c r="BB17" s="248">
        <f t="shared" si="130"/>
        <v>3.516145239755577E-3</v>
      </c>
      <c r="BC17" s="248">
        <f t="shared" si="131"/>
        <v>7.550376050662951E-4</v>
      </c>
      <c r="BD17" s="248">
        <f t="shared" si="132"/>
        <v>1.0445247754951594E-2</v>
      </c>
      <c r="BE17" s="248">
        <f t="shared" si="133"/>
        <v>2.9728155643100544E-2</v>
      </c>
      <c r="BF17" s="248">
        <f t="shared" si="134"/>
        <v>2.1639037445905503E-2</v>
      </c>
      <c r="BG17" s="248">
        <f t="shared" si="135"/>
        <v>4.2410329249796472E-3</v>
      </c>
      <c r="BH17" s="248">
        <f t="shared" si="136"/>
        <v>1.120028536001789E-2</v>
      </c>
      <c r="BI17" s="23">
        <f t="shared" si="12"/>
        <v>7.1640040873499414E-2</v>
      </c>
      <c r="BJ17" s="140">
        <f t="shared" si="13"/>
        <v>0.45450527492755921</v>
      </c>
      <c r="BK17" s="623">
        <f t="shared" si="137"/>
        <v>0.4470095135814473</v>
      </c>
      <c r="BL17" s="590">
        <f t="shared" si="138"/>
        <v>2031.2180540069833</v>
      </c>
      <c r="BM17" s="66">
        <f t="shared" si="139"/>
        <v>6.7178617985510041</v>
      </c>
      <c r="BN17" s="66">
        <f t="shared" si="140"/>
        <v>0</v>
      </c>
      <c r="BO17" s="66">
        <f t="shared" si="141"/>
        <v>77.814063656144114</v>
      </c>
      <c r="BP17" s="66">
        <f t="shared" si="142"/>
        <v>-50.411803207040869</v>
      </c>
      <c r="BQ17" s="66">
        <f t="shared" si="143"/>
        <v>12.344007423968931</v>
      </c>
      <c r="BR17" s="66">
        <f t="shared" si="144"/>
        <v>0</v>
      </c>
      <c r="BS17" s="193">
        <f t="shared" si="198"/>
        <v>46.464129671623184</v>
      </c>
      <c r="BT17" s="66">
        <f t="shared" si="145"/>
        <v>1984.7539243353601</v>
      </c>
      <c r="BU17" s="193">
        <f t="shared" si="204"/>
        <v>1128.0986999631903</v>
      </c>
      <c r="BV17" s="66">
        <f t="shared" si="146"/>
        <v>856.65522437216987</v>
      </c>
      <c r="BW17" s="590">
        <f>BW18*'Assets(BoP)'!ER64/'Assets(BoP)'!ER65</f>
        <v>10691.471023862765</v>
      </c>
      <c r="BX17" s="357">
        <f t="shared" si="147"/>
        <v>51.430583159152008</v>
      </c>
      <c r="BY17" s="193">
        <f t="shared" si="148"/>
        <v>15.159207059878076</v>
      </c>
      <c r="BZ17" s="647">
        <f t="shared" si="149"/>
        <v>3.3925524390720648E-3</v>
      </c>
      <c r="CA17" s="357">
        <f t="shared" si="150"/>
        <v>6.426473217799761</v>
      </c>
      <c r="CB17" s="193">
        <f t="shared" si="151"/>
        <v>0</v>
      </c>
      <c r="CC17" s="647">
        <f t="shared" si="14"/>
        <v>6.0108409810551166E-4</v>
      </c>
      <c r="CD17" s="357">
        <f t="shared" si="152"/>
        <v>85.189688715953324</v>
      </c>
      <c r="CE17" s="193">
        <f t="shared" si="153"/>
        <v>7.3570845245661687</v>
      </c>
      <c r="CF17" s="655">
        <f t="shared" si="15"/>
        <v>7.2798779529654198E-3</v>
      </c>
      <c r="CG17" s="357">
        <f t="shared" si="154"/>
        <v>263.00195886385904</v>
      </c>
      <c r="CH17" s="193">
        <f t="shared" si="155"/>
        <v>-2.0243817784023781</v>
      </c>
      <c r="CI17" s="23">
        <f t="shared" si="16"/>
        <v>2.4788575870498777E-2</v>
      </c>
      <c r="CJ17" s="357">
        <f t="shared" si="156"/>
        <v>261.78518285106549</v>
      </c>
      <c r="CK17" s="641">
        <f t="shared" si="157"/>
        <v>56.738328109713891</v>
      </c>
      <c r="CL17" s="34">
        <f t="shared" si="158"/>
        <v>1.9178544681428634E-2</v>
      </c>
      <c r="CM17" s="357">
        <f t="shared" si="159"/>
        <v>51.175257731958773</v>
      </c>
      <c r="CN17" s="193">
        <f t="shared" si="160"/>
        <v>11.654819840237083</v>
      </c>
      <c r="CO17" s="23">
        <f t="shared" si="161"/>
        <v>3.6964453070596447E-3</v>
      </c>
      <c r="CP17" s="271">
        <f t="shared" si="17"/>
        <v>719.00914453978839</v>
      </c>
      <c r="CQ17" s="193">
        <f t="shared" si="162"/>
        <v>88.885057755992847</v>
      </c>
      <c r="CR17" s="271">
        <f t="shared" si="18"/>
        <v>9972.4618793229765</v>
      </c>
      <c r="CS17" s="248">
        <f t="shared" si="163"/>
        <v>5.8937080349130054E-2</v>
      </c>
      <c r="CT17" s="30">
        <f t="shared" si="19"/>
        <v>6.7250721901130364E-2</v>
      </c>
      <c r="CU17" s="308">
        <f t="shared" si="20"/>
        <v>0</v>
      </c>
      <c r="CV17" s="644">
        <f>CV16*'Assets(BoP)'!FH64/'Assets(BoP)'!FH63</f>
        <v>4.8104309542028245E-3</v>
      </c>
      <c r="CW17" s="308">
        <f>CW18*'Assets(BoP)'!EY64/'Assets(BoP)'!EY65</f>
        <v>6.0108409810551166E-4</v>
      </c>
      <c r="CX17" s="308">
        <f>CX18*'Assets(BoP)'!FH64/'Assets(BoP)'!FH65</f>
        <v>7.9680044519425536E-3</v>
      </c>
      <c r="CY17" s="308">
        <f>CY18*'Assets(BoP)'!FJ64/'Assets(BoP)'!FJ65</f>
        <v>2.4599230384373991E-2</v>
      </c>
      <c r="CZ17" s="308">
        <f t="shared" si="199"/>
        <v>2.4485422283498277E-2</v>
      </c>
      <c r="DA17" s="308">
        <f>'Assets(BoP)'!FK64</f>
        <v>2.3768297342362139E-2</v>
      </c>
      <c r="DB17" s="367">
        <f>DB18*'Assets(BoP)'!FN64/'Assets(BoP)'!FN65</f>
        <v>4.7865497290072116E-3</v>
      </c>
      <c r="DC17" s="23">
        <f t="shared" si="21"/>
        <v>8.2949580773018047E-2</v>
      </c>
      <c r="DD17" s="193">
        <f t="shared" si="22"/>
        <v>7596.4710238627649</v>
      </c>
      <c r="DE17" s="66">
        <f t="shared" si="164"/>
        <v>3095</v>
      </c>
      <c r="DF17" s="635">
        <f>'Assets(BoP)'!ES64*1000</f>
        <v>3063</v>
      </c>
      <c r="DG17" s="193">
        <f>'Assets(BoP)'!DA64*1000</f>
        <v>3095</v>
      </c>
      <c r="DH17" s="23">
        <f t="shared" si="23"/>
        <v>0.28948308358055996</v>
      </c>
      <c r="DI17" s="23">
        <f>'Assets(BoP)'!DA64/'Assets(BoP)'!CZ64</f>
        <v>0.28267421682345423</v>
      </c>
      <c r="DJ17" s="23">
        <f t="shared" si="24"/>
        <v>5.9282717449187818E-2</v>
      </c>
      <c r="DK17" s="600">
        <f>'Assets(BoP)'!FO64-'Assets(BoP)'!FH64</f>
        <v>7.6731260305325094E-2</v>
      </c>
      <c r="DL17" s="576">
        <f t="shared" si="25"/>
        <v>0.82555508077946582</v>
      </c>
      <c r="DM17" s="251">
        <f t="shared" si="26"/>
        <v>1.6599941295764244</v>
      </c>
      <c r="DN17" s="251">
        <f t="shared" si="27"/>
        <v>1.3180888869265919</v>
      </c>
      <c r="DO17" s="251">
        <f t="shared" si="28"/>
        <v>0.30395757733325957</v>
      </c>
      <c r="DP17" s="251">
        <f t="shared" si="29"/>
        <v>0.30395757733325957</v>
      </c>
      <c r="DQ17" s="251">
        <f t="shared" si="30"/>
        <v>0.38321762024771616</v>
      </c>
      <c r="DR17" s="251">
        <f t="shared" si="31"/>
        <v>0.32645594178018816</v>
      </c>
      <c r="DS17" s="251">
        <f t="shared" si="32"/>
        <v>1.129133020650215</v>
      </c>
      <c r="DT17" s="251">
        <f t="shared" si="33"/>
        <v>1.1346344386017735</v>
      </c>
      <c r="DU17" s="251">
        <f t="shared" si="34"/>
        <v>1.6205014868619045</v>
      </c>
      <c r="DV17" s="251">
        <f t="shared" si="35"/>
        <v>1.2662496321803851</v>
      </c>
      <c r="DW17" s="251">
        <f t="shared" si="36"/>
        <v>1.1572831693635255</v>
      </c>
      <c r="DX17" s="251">
        <f t="shared" si="37"/>
        <v>0.95516627592376058</v>
      </c>
      <c r="DY17" s="251">
        <f t="shared" si="38"/>
        <v>0.37757771024096937</v>
      </c>
      <c r="DZ17" s="251">
        <f t="shared" si="39"/>
        <v>0.32483510075854366</v>
      </c>
      <c r="EA17" s="643">
        <f t="shared" si="40"/>
        <v>0.95687582731137055</v>
      </c>
      <c r="EB17" s="643">
        <f t="shared" si="41"/>
        <v>0.82854452031603165</v>
      </c>
      <c r="EC17" s="251">
        <f t="shared" si="42"/>
        <v>0.8201454740675187</v>
      </c>
      <c r="ED17" s="251">
        <f t="shared" si="43"/>
        <v>0.49018576056614477</v>
      </c>
      <c r="EE17" s="140">
        <f t="shared" si="44"/>
        <v>0.46918326154031975</v>
      </c>
      <c r="EF17" s="1342">
        <v>0.23830446205438197</v>
      </c>
      <c r="EG17" s="140">
        <f t="shared" si="205"/>
        <v>4.6155060375441206</v>
      </c>
      <c r="EH17" s="583">
        <v>2.48</v>
      </c>
      <c r="EI17" s="1344">
        <v>4.5349813045284586</v>
      </c>
      <c r="EJ17" s="576">
        <f t="shared" si="166"/>
        <v>0.3958404017724606</v>
      </c>
      <c r="EK17" s="753">
        <f t="shared" si="167"/>
        <v>0.62664767916034159</v>
      </c>
      <c r="EL17" s="753">
        <f t="shared" si="168"/>
        <v>1.409540794928122</v>
      </c>
      <c r="EM17" s="753">
        <f t="shared" si="169"/>
        <v>0.28963597718995382</v>
      </c>
      <c r="EN17" s="583"/>
      <c r="EO17" s="5"/>
      <c r="EP17" s="193"/>
      <c r="EQ17" s="193"/>
      <c r="ER17" s="193"/>
      <c r="ES17" s="193"/>
      <c r="ET17" s="193"/>
      <c r="EU17" s="193"/>
      <c r="EV17" s="193"/>
      <c r="EW17" s="193"/>
      <c r="EX17" s="193"/>
      <c r="EY17" s="193"/>
      <c r="EZ17" s="193"/>
      <c r="FA17" s="193"/>
      <c r="FB17" s="193"/>
      <c r="FC17" s="193"/>
      <c r="FD17" s="23"/>
      <c r="FE17" s="66"/>
      <c r="FF17" s="66"/>
      <c r="FG17" s="66">
        <f t="shared" ref="FG17:FG26" si="210">FH17*FI17</f>
        <v>3095</v>
      </c>
      <c r="FH17" s="193">
        <f>'Assets(BoP)'!DA64*1000</f>
        <v>3095</v>
      </c>
      <c r="FI17" s="184">
        <v>1</v>
      </c>
      <c r="FJ17" s="590">
        <f t="shared" si="206"/>
        <v>11606.399999999998</v>
      </c>
      <c r="FK17" s="143">
        <f>FJ17/'Assets(BoP)'!AV64/1000</f>
        <v>1.3</v>
      </c>
      <c r="FL17" s="725"/>
      <c r="FM17" s="66">
        <f t="shared" si="170"/>
        <v>8.6624040342160438</v>
      </c>
      <c r="FN17" s="66">
        <f t="shared" si="171"/>
        <v>2.1656010085540109</v>
      </c>
      <c r="FO17" s="184">
        <f t="shared" si="172"/>
        <v>0.25</v>
      </c>
      <c r="FP17" s="66">
        <f t="shared" si="173"/>
        <v>2.7573293095903484</v>
      </c>
      <c r="FQ17" s="66">
        <f t="shared" si="190"/>
        <v>0</v>
      </c>
      <c r="FR17" s="184">
        <v>0</v>
      </c>
      <c r="FS17" s="66">
        <f t="shared" si="174"/>
        <v>65.950324215135382</v>
      </c>
      <c r="FT17" s="66">
        <f t="shared" si="191"/>
        <v>16.733504526876757</v>
      </c>
      <c r="FU17" s="193">
        <f t="shared" si="175"/>
        <v>49.216819688258624</v>
      </c>
      <c r="FV17" s="184">
        <f t="shared" si="176"/>
        <v>0.25372891985019952</v>
      </c>
      <c r="FW17" s="66">
        <f t="shared" si="177"/>
        <v>96.271569659971689</v>
      </c>
      <c r="FX17" s="66">
        <f t="shared" si="192"/>
        <v>-0.29667663993827953</v>
      </c>
      <c r="FY17" s="184">
        <f t="shared" si="193"/>
        <v>-3.0816640986132517E-3</v>
      </c>
      <c r="FZ17" s="66">
        <f t="shared" si="178"/>
        <v>114.89511442217062</v>
      </c>
      <c r="GA17" s="66">
        <f t="shared" si="179"/>
        <v>56.738328109713891</v>
      </c>
      <c r="GB17" s="193">
        <f t="shared" si="180"/>
        <v>58.156786312456731</v>
      </c>
      <c r="GC17" s="184">
        <f t="shared" si="181"/>
        <v>0.49382716049382719</v>
      </c>
      <c r="GD17" s="66">
        <f t="shared" si="182"/>
        <v>14.978524059282961</v>
      </c>
      <c r="GE17" s="66">
        <f t="shared" si="194"/>
        <v>2.9137049600592708</v>
      </c>
      <c r="GF17" s="184">
        <f t="shared" si="183"/>
        <v>0.19452550521848633</v>
      </c>
      <c r="GG17" s="193">
        <f t="shared" si="47"/>
        <v>303.51526570036702</v>
      </c>
      <c r="GH17" s="193">
        <f t="shared" si="48"/>
        <v>78.254461965265648</v>
      </c>
      <c r="GI17" s="193">
        <f t="shared" si="49"/>
        <v>11302.884734299631</v>
      </c>
      <c r="GJ17" s="23">
        <f t="shared" si="50"/>
        <v>2.6150681150086768E-2</v>
      </c>
      <c r="GK17" s="66">
        <f>GM17*'Assets(BoP)'!AW64*1000</f>
        <v>7039.5000000000009</v>
      </c>
      <c r="GL17" s="66"/>
      <c r="GM17" s="184">
        <v>1.3</v>
      </c>
      <c r="GN17" s="23">
        <f t="shared" si="51"/>
        <v>0.60651881720430123</v>
      </c>
      <c r="GO17" s="666">
        <f>('Assets(BoP)'!AV64-'Assets(BoP)'!AW64)*1000*GP17</f>
        <v>4566.8999999999978</v>
      </c>
      <c r="GP17" s="184">
        <v>1.3</v>
      </c>
      <c r="GQ17" s="330">
        <f t="shared" si="52"/>
        <v>4263.3847342996296</v>
      </c>
      <c r="GR17" s="330">
        <v>49.201999999999998</v>
      </c>
      <c r="GS17" s="140">
        <f t="shared" si="53"/>
        <v>6.7129715988369698E-2</v>
      </c>
      <c r="GT17" s="582">
        <v>0.50839101524448549</v>
      </c>
      <c r="GU17" s="576">
        <f t="shared" si="54"/>
        <v>0.52051606126786931</v>
      </c>
      <c r="GV17" s="56">
        <f t="shared" si="195"/>
        <v>0.14414999883999841</v>
      </c>
      <c r="GW17" s="389">
        <v>0.125</v>
      </c>
      <c r="GX17" s="56">
        <f t="shared" si="196"/>
        <v>0.30023830557841247</v>
      </c>
      <c r="GY17" s="389">
        <v>0.25</v>
      </c>
      <c r="GZ17" s="56">
        <f t="shared" si="196"/>
        <v>0.43635251139752779</v>
      </c>
      <c r="HA17" s="400">
        <f t="shared" si="55"/>
        <v>0.69460752873846765</v>
      </c>
      <c r="HB17" s="56">
        <f t="shared" si="196"/>
        <v>0.26796176733512378</v>
      </c>
      <c r="HC17" s="56">
        <f t="shared" si="56"/>
        <v>0.12781954887218044</v>
      </c>
      <c r="HD17" s="400">
        <f t="shared" si="196"/>
        <v>0.30502023932201605</v>
      </c>
      <c r="HE17" s="400">
        <v>0.5</v>
      </c>
      <c r="HF17" s="56">
        <f t="shared" si="197"/>
        <v>0.2264197700223694</v>
      </c>
      <c r="HG17" s="56">
        <v>0.2</v>
      </c>
      <c r="HH17" s="6">
        <f t="shared" si="57"/>
        <v>0.29682935943708361</v>
      </c>
      <c r="HI17" s="6">
        <f t="shared" si="58"/>
        <v>0.26334438009356559</v>
      </c>
      <c r="HJ17" s="23">
        <f t="shared" si="59"/>
        <v>0.69460752873846765</v>
      </c>
      <c r="HK17" s="23"/>
      <c r="HL17" s="23"/>
      <c r="HM17" s="31">
        <f t="shared" si="184"/>
        <v>0.37546334737634868</v>
      </c>
      <c r="HN17" s="23">
        <f t="shared" si="60"/>
        <v>0.53126677273790657</v>
      </c>
      <c r="HO17" s="23">
        <f t="shared" si="61"/>
        <v>0.38268049836414803</v>
      </c>
      <c r="HP17" s="575"/>
      <c r="HQ17" s="193"/>
      <c r="HR17" s="193"/>
      <c r="HS17" s="193"/>
      <c r="HT17" s="193"/>
      <c r="HU17" s="193"/>
      <c r="HV17" s="193"/>
      <c r="HW17" s="193"/>
      <c r="HX17" s="193"/>
      <c r="HY17" s="193"/>
      <c r="HZ17" s="193"/>
      <c r="IA17" s="193"/>
      <c r="IB17" s="23"/>
      <c r="IC17" s="23"/>
      <c r="ID17" s="23"/>
      <c r="IE17" s="23"/>
      <c r="IF17" s="23"/>
      <c r="IG17" s="23"/>
      <c r="IH17" s="23"/>
      <c r="II17" s="23"/>
      <c r="IJ17" s="23"/>
      <c r="IK17" s="23"/>
      <c r="IL17" s="23"/>
      <c r="IM17" s="575"/>
      <c r="IN17" s="193"/>
      <c r="IO17" s="193"/>
      <c r="IP17" s="193"/>
      <c r="IQ17" s="193"/>
      <c r="IR17" s="193"/>
      <c r="IS17" s="193"/>
      <c r="IT17" s="193"/>
      <c r="IU17" s="193"/>
      <c r="IV17" s="193"/>
      <c r="IW17" s="193"/>
      <c r="IX17" s="149">
        <f t="shared" si="63"/>
        <v>0</v>
      </c>
      <c r="IY17" s="316">
        <f t="shared" si="64"/>
        <v>0</v>
      </c>
      <c r="IZ17" s="316">
        <f t="shared" si="65"/>
        <v>0</v>
      </c>
      <c r="JA17" s="316">
        <f t="shared" si="66"/>
        <v>0</v>
      </c>
      <c r="JB17" s="316">
        <f t="shared" si="67"/>
        <v>0</v>
      </c>
      <c r="JC17" s="316">
        <f t="shared" si="68"/>
        <v>0</v>
      </c>
      <c r="JD17" s="316">
        <f t="shared" si="69"/>
        <v>0</v>
      </c>
      <c r="JE17" s="316">
        <f t="shared" si="70"/>
        <v>0</v>
      </c>
      <c r="JF17" s="316">
        <f t="shared" si="71"/>
        <v>0</v>
      </c>
      <c r="JG17" s="316">
        <f t="shared" si="72"/>
        <v>0</v>
      </c>
      <c r="JH17" s="316">
        <f t="shared" si="73"/>
        <v>0</v>
      </c>
      <c r="JI17" s="5"/>
      <c r="JJ17" s="593"/>
      <c r="JK17" s="593"/>
      <c r="JL17" s="593"/>
      <c r="JM17" s="593"/>
      <c r="JN17" s="593"/>
      <c r="JO17" s="593"/>
      <c r="JP17" s="552">
        <f t="shared" si="74"/>
        <v>0</v>
      </c>
      <c r="JQ17" s="552">
        <f t="shared" si="75"/>
        <v>0</v>
      </c>
      <c r="JR17" s="552">
        <f t="shared" si="76"/>
        <v>0</v>
      </c>
      <c r="JS17" s="593"/>
      <c r="JT17" s="149"/>
      <c r="JU17" s="593"/>
      <c r="JV17" s="593"/>
      <c r="JW17" s="593"/>
      <c r="JX17" s="593"/>
      <c r="JY17" s="593"/>
      <c r="JZ17" s="593"/>
      <c r="KA17" s="593"/>
      <c r="KB17" s="593"/>
      <c r="KC17" s="657"/>
      <c r="KD17" s="593"/>
      <c r="KE17" s="149"/>
      <c r="KL17" s="552">
        <f t="shared" si="207"/>
        <v>0</v>
      </c>
      <c r="KM17" s="552">
        <f t="shared" si="208"/>
        <v>0</v>
      </c>
      <c r="KN17" s="552">
        <f t="shared" si="209"/>
        <v>0</v>
      </c>
      <c r="KP17" s="574"/>
      <c r="KY17" s="657"/>
      <c r="LA17" s="149">
        <f>'Assets(MOFA)'!IX17-'Assets(MOFA)'!KE17-'Assets(MOFA)'!KP17</f>
        <v>0</v>
      </c>
      <c r="LB17" s="552">
        <f>'Assets(MOFA)'!IY17-'Assets(MOFA)'!KF17-'Assets(MOFA)'!KQ17</f>
        <v>0</v>
      </c>
      <c r="LC17" s="552">
        <f>'Assets(MOFA)'!IZ17-'Assets(MOFA)'!KG17-'Assets(MOFA)'!KR17</f>
        <v>0</v>
      </c>
      <c r="LD17" s="552">
        <f>'Assets(MOFA)'!JA17-'Assets(MOFA)'!KH17-'Assets(MOFA)'!KS17</f>
        <v>0</v>
      </c>
      <c r="LE17" s="552">
        <f>'Assets(MOFA)'!JB17-'Assets(MOFA)'!KI17-'Assets(MOFA)'!KT17</f>
        <v>0</v>
      </c>
      <c r="LF17" s="552">
        <f>'Assets(MOFA)'!JC17-'Assets(MOFA)'!KJ17-'Assets(MOFA)'!KU17</f>
        <v>0</v>
      </c>
      <c r="LG17" s="552">
        <f>'Assets(MOFA)'!JD17-'Assets(MOFA)'!KK17-'Assets(MOFA)'!KV17</f>
        <v>0</v>
      </c>
      <c r="LH17" s="552">
        <f>'Assets(MOFA)'!JE17-'Assets(MOFA)'!KL17-'Assets(MOFA)'!KW17</f>
        <v>0</v>
      </c>
      <c r="LI17" s="552">
        <f>'Assets(MOFA)'!JF17-'Assets(MOFA)'!KM17-'Assets(MOFA)'!KX17</f>
        <v>0</v>
      </c>
      <c r="LJ17" s="552">
        <f t="shared" si="77"/>
        <v>0</v>
      </c>
      <c r="LK17" s="552">
        <f>'Assets(MOFA)'!JH17-'Assets(MOFA)'!KO17-'Assets(MOFA)'!KZ17</f>
        <v>0</v>
      </c>
      <c r="LL17" s="576" t="e">
        <f t="shared" si="78"/>
        <v>#DIV/0!</v>
      </c>
      <c r="LM17" s="6" t="e">
        <f t="shared" si="79"/>
        <v>#DIV/0!</v>
      </c>
      <c r="LN17" s="6" t="e">
        <f t="shared" si="80"/>
        <v>#DIV/0!</v>
      </c>
      <c r="LO17" s="6" t="e">
        <f t="shared" si="81"/>
        <v>#DIV/0!</v>
      </c>
      <c r="LP17" s="6" t="e">
        <f t="shared" si="82"/>
        <v>#DIV/0!</v>
      </c>
      <c r="LQ17" s="6" t="e">
        <f t="shared" si="83"/>
        <v>#DIV/0!</v>
      </c>
      <c r="LR17" s="6" t="e">
        <f t="shared" si="84"/>
        <v>#DIV/0!</v>
      </c>
      <c r="LS17" s="6" t="e">
        <f t="shared" si="85"/>
        <v>#DIV/0!</v>
      </c>
      <c r="LT17" s="143" t="e">
        <f t="shared" si="86"/>
        <v>#DIV/0!</v>
      </c>
      <c r="LU17" s="62" t="e">
        <f t="shared" si="87"/>
        <v>#DIV/0!</v>
      </c>
      <c r="LV17" s="902" t="e">
        <f t="shared" si="88"/>
        <v>#DIV/0!</v>
      </c>
      <c r="LW17" s="902" t="e">
        <f t="shared" si="89"/>
        <v>#DIV/0!</v>
      </c>
      <c r="LX17" s="143" t="e">
        <f t="shared" si="90"/>
        <v>#DIV/0!</v>
      </c>
      <c r="LY17" s="576" t="e">
        <f t="shared" si="91"/>
        <v>#DIV/0!</v>
      </c>
      <c r="LZ17" s="906" t="e">
        <f t="shared" si="92"/>
        <v>#DIV/0!</v>
      </c>
      <c r="MA17" s="906" t="e">
        <f t="shared" si="93"/>
        <v>#DIV/0!</v>
      </c>
      <c r="MB17" s="906" t="e">
        <f t="shared" si="94"/>
        <v>#DIV/0!</v>
      </c>
      <c r="MC17" s="906" t="e">
        <f t="shared" si="95"/>
        <v>#DIV/0!</v>
      </c>
      <c r="MD17" s="906" t="e">
        <f t="shared" si="96"/>
        <v>#DIV/0!</v>
      </c>
      <c r="ME17" s="906">
        <v>6.1610529375296846E-2</v>
      </c>
      <c r="MF17" s="906" t="e">
        <f t="shared" si="97"/>
        <v>#DIV/0!</v>
      </c>
      <c r="MG17" s="30" t="e">
        <f t="shared" si="98"/>
        <v>#DIV/0!</v>
      </c>
      <c r="MH17" s="140" t="e">
        <f t="shared" si="99"/>
        <v>#DIV/0!</v>
      </c>
      <c r="MI17" s="30" t="e">
        <f t="shared" si="100"/>
        <v>#DIV/0!</v>
      </c>
      <c r="MJ17" s="30" t="e">
        <f t="shared" si="101"/>
        <v>#DIV/0!</v>
      </c>
      <c r="MK17" s="617" t="e">
        <f t="shared" si="102"/>
        <v>#DIV/0!</v>
      </c>
      <c r="ML17" s="615" t="e">
        <f t="shared" si="103"/>
        <v>#DIV/0!</v>
      </c>
      <c r="MM17" s="574"/>
      <c r="MU17" s="593"/>
      <c r="MX17" s="574"/>
      <c r="NI17" s="613">
        <f t="shared" si="104"/>
        <v>27009.549747800887</v>
      </c>
      <c r="NQ17" s="593"/>
      <c r="NY17" s="593"/>
      <c r="NZ17" s="593"/>
      <c r="OA17" s="593"/>
      <c r="OB17" s="593"/>
      <c r="OC17" s="593"/>
      <c r="OD17" s="593"/>
      <c r="OE17" s="593"/>
      <c r="OF17" s="593"/>
      <c r="OG17" s="593"/>
      <c r="OH17" s="593"/>
      <c r="OI17" s="593"/>
      <c r="OJ17" s="593"/>
      <c r="OK17" s="593"/>
      <c r="OL17" s="593"/>
      <c r="OM17" s="593"/>
      <c r="ON17" s="593"/>
      <c r="OO17" s="593"/>
      <c r="OW17" s="593"/>
      <c r="PE17" s="593"/>
      <c r="PN17" s="574"/>
      <c r="PO17" s="593"/>
      <c r="PP17" s="593"/>
      <c r="PQ17" s="593"/>
      <c r="PR17" s="593"/>
      <c r="PS17" s="593"/>
      <c r="PT17" s="593"/>
      <c r="PU17" s="593"/>
      <c r="PV17" s="593"/>
      <c r="PW17" s="593"/>
      <c r="PX17" s="593"/>
      <c r="PY17" s="593"/>
      <c r="PZ17" s="593"/>
      <c r="QA17" s="593"/>
      <c r="QB17" s="593"/>
      <c r="QC17" s="593"/>
      <c r="QD17" s="593"/>
      <c r="QE17" s="593"/>
      <c r="QF17" s="593"/>
      <c r="QG17" s="593"/>
      <c r="QH17" s="593"/>
      <c r="QI17" s="593"/>
      <c r="QJ17" s="593"/>
      <c r="QK17" s="593"/>
      <c r="QL17" s="593"/>
      <c r="QM17" s="593"/>
      <c r="QN17" s="593"/>
      <c r="QO17" s="593"/>
      <c r="QP17" s="593"/>
      <c r="QQ17" s="593"/>
      <c r="QR17" s="593"/>
      <c r="QS17" s="593"/>
      <c r="QT17" s="593"/>
      <c r="QU17" s="593"/>
      <c r="QV17" s="593"/>
      <c r="QW17" s="593"/>
      <c r="QX17" s="593"/>
      <c r="QY17" s="593"/>
      <c r="QZ17" s="593"/>
      <c r="RA17" s="593"/>
      <c r="RB17" s="593"/>
      <c r="RC17" s="593"/>
      <c r="RD17" s="593"/>
      <c r="RE17" s="593"/>
      <c r="RF17" s="593"/>
      <c r="RG17" s="593"/>
      <c r="RH17" s="593"/>
      <c r="RI17" s="593"/>
      <c r="RJ17" s="593"/>
      <c r="RK17" s="593"/>
      <c r="RL17" s="593"/>
      <c r="RM17" s="593"/>
      <c r="RN17" s="593"/>
      <c r="RO17" s="593"/>
      <c r="RP17" s="593"/>
      <c r="RQ17" s="593"/>
      <c r="RR17" s="593"/>
    </row>
    <row r="18" spans="1:486" s="567" customFormat="1">
      <c r="A18" s="568">
        <v>1973</v>
      </c>
      <c r="B18" s="611">
        <f t="shared" si="201"/>
        <v>31099.481329730039</v>
      </c>
      <c r="C18" s="66">
        <f t="shared" si="185"/>
        <v>52.465120869488437</v>
      </c>
      <c r="D18" s="66">
        <f t="shared" si="105"/>
        <v>41.517823676345813</v>
      </c>
      <c r="E18" s="66">
        <f t="shared" si="105"/>
        <v>556.57658163264091</v>
      </c>
      <c r="F18" s="66">
        <f t="shared" si="105"/>
        <v>383.88327230916912</v>
      </c>
      <c r="G18" s="66">
        <f t="shared" si="105"/>
        <v>253.085754196392</v>
      </c>
      <c r="H18" s="66">
        <f t="shared" si="105"/>
        <v>67.908696938942299</v>
      </c>
      <c r="I18" s="193">
        <f t="shared" si="106"/>
        <v>1355.4372496229787</v>
      </c>
      <c r="J18" s="193">
        <f t="shared" si="107"/>
        <v>29744.044080107062</v>
      </c>
      <c r="K18" s="193">
        <f t="shared" si="108"/>
        <v>27212.022934414068</v>
      </c>
      <c r="L18" s="66">
        <f t="shared" si="186"/>
        <v>2532.0211456929933</v>
      </c>
      <c r="M18" s="140">
        <f t="shared" si="109"/>
        <v>4.3583918177028474E-2</v>
      </c>
      <c r="N18" s="631">
        <f t="shared" si="202"/>
        <v>8.1416828751818049E-2</v>
      </c>
      <c r="O18" s="193">
        <v>526100</v>
      </c>
      <c r="P18" s="626">
        <f>P17+P17-P16</f>
        <v>5.9113250959380421E-2</v>
      </c>
      <c r="Q18" s="630">
        <f>Q17+(Q$22-Q$17)/5</f>
        <v>1.6870095135423876E-3</v>
      </c>
      <c r="R18" s="387">
        <f t="shared" ref="R18:V21" si="211">R17+(R$22-R$17)/5</f>
        <v>1.3350005177306991E-3</v>
      </c>
      <c r="S18" s="387">
        <f t="shared" si="211"/>
        <v>1.7896651578577061E-2</v>
      </c>
      <c r="T18" s="387">
        <f t="shared" si="211"/>
        <v>1.234371944146187E-2</v>
      </c>
      <c r="U18" s="387">
        <f t="shared" si="211"/>
        <v>8.1379413216917766E-3</v>
      </c>
      <c r="V18" s="387">
        <f t="shared" si="211"/>
        <v>2.1835958040246771E-3</v>
      </c>
      <c r="W18" s="590">
        <f t="shared" si="112"/>
        <v>33961.296166346641</v>
      </c>
      <c r="X18" s="66">
        <f t="shared" si="113"/>
        <v>157.86494493441327</v>
      </c>
      <c r="Y18" s="76">
        <f t="shared" si="3"/>
        <v>83.309306325271834</v>
      </c>
      <c r="Z18" s="76">
        <f t="shared" si="114"/>
        <v>74.55563860914144</v>
      </c>
      <c r="AA18" s="66">
        <f t="shared" si="115"/>
        <v>38.143305579620758</v>
      </c>
      <c r="AB18" s="66">
        <f t="shared" si="116"/>
        <v>4.2850972391661379</v>
      </c>
      <c r="AC18" s="274">
        <f t="shared" si="117"/>
        <v>33.858208340454624</v>
      </c>
      <c r="AD18" s="66">
        <f t="shared" si="118"/>
        <v>398.32092950607239</v>
      </c>
      <c r="AE18" s="357">
        <f t="shared" si="4"/>
        <v>132.59494250665847</v>
      </c>
      <c r="AF18" s="274">
        <f t="shared" si="119"/>
        <v>265.72598699941392</v>
      </c>
      <c r="AG18" s="66">
        <f t="shared" si="120"/>
        <v>594.01315119149308</v>
      </c>
      <c r="AH18" s="357">
        <f t="shared" si="5"/>
        <v>243.00055124441312</v>
      </c>
      <c r="AI18" s="76">
        <f t="shared" si="6"/>
        <v>351.01259994707993</v>
      </c>
      <c r="AJ18" s="66">
        <f t="shared" si="121"/>
        <v>667.30542719257357</v>
      </c>
      <c r="AK18" s="357">
        <f t="shared" si="122"/>
        <v>379.62175631990829</v>
      </c>
      <c r="AL18" s="274">
        <f t="shared" si="123"/>
        <v>287.68367087266529</v>
      </c>
      <c r="AM18" s="66">
        <f t="shared" si="124"/>
        <v>146.62034948171885</v>
      </c>
      <c r="AN18" s="357">
        <f t="shared" si="7"/>
        <v>80.571492260998099</v>
      </c>
      <c r="AO18" s="274">
        <f t="shared" si="125"/>
        <v>66.048857220720748</v>
      </c>
      <c r="AP18" s="193">
        <f t="shared" si="8"/>
        <v>2002.2681078858918</v>
      </c>
      <c r="AQ18" s="271">
        <f t="shared" si="9"/>
        <v>923.38314589641595</v>
      </c>
      <c r="AR18" s="271">
        <f t="shared" si="126"/>
        <v>1078.8849619894759</v>
      </c>
      <c r="AS18" s="66">
        <f t="shared" si="127"/>
        <v>31959.028058460746</v>
      </c>
      <c r="AT18" s="193">
        <f t="shared" si="128"/>
        <v>13383.100386251717</v>
      </c>
      <c r="AU18" s="66">
        <f t="shared" si="187"/>
        <v>18575.927672209029</v>
      </c>
      <c r="AV18" s="66"/>
      <c r="AW18" s="66"/>
      <c r="AX18" s="271">
        <f t="shared" si="203"/>
        <v>15385.368494137607</v>
      </c>
      <c r="AY18" s="140">
        <f t="shared" si="10"/>
        <v>5.8957352454350805E-2</v>
      </c>
      <c r="AZ18" s="623">
        <f t="shared" si="129"/>
        <v>3.1768073771535794E-2</v>
      </c>
      <c r="BA18" s="248">
        <f t="shared" si="11"/>
        <v>7.0124089806530829E-2</v>
      </c>
      <c r="BB18" s="248">
        <f t="shared" si="130"/>
        <v>4.8458792935346263E-3</v>
      </c>
      <c r="BC18" s="248">
        <f t="shared" si="131"/>
        <v>2.2006758143853266E-3</v>
      </c>
      <c r="BD18" s="248">
        <f t="shared" si="132"/>
        <v>1.7271343686091453E-2</v>
      </c>
      <c r="BE18" s="248">
        <f t="shared" si="133"/>
        <v>2.2814702168545958E-2</v>
      </c>
      <c r="BF18" s="248">
        <f t="shared" si="134"/>
        <v>1.869852327438783E-2</v>
      </c>
      <c r="BG18" s="248">
        <f t="shared" si="135"/>
        <v>4.2929655695856618E-3</v>
      </c>
      <c r="BH18" s="248">
        <f t="shared" si="136"/>
        <v>1.9472019500476778E-2</v>
      </c>
      <c r="BI18" s="23">
        <f t="shared" si="12"/>
        <v>0.10425146326465837</v>
      </c>
      <c r="BJ18" s="140">
        <f t="shared" si="13"/>
        <v>0.54697346005941094</v>
      </c>
      <c r="BK18" s="623">
        <f t="shared" si="137"/>
        <v>0.51978418137659588</v>
      </c>
      <c r="BL18" s="590">
        <f t="shared" si="138"/>
        <v>2089.3744432055864</v>
      </c>
      <c r="BM18" s="66">
        <f>BM17+(BM$22-BM$17)/5</f>
        <v>4.9742894388408034</v>
      </c>
      <c r="BN18" s="66">
        <f t="shared" ref="BN18:BV21" si="212">BN17+(BN$22-BN$17)/5</f>
        <v>-1.6</v>
      </c>
      <c r="BO18" s="66">
        <f t="shared" si="212"/>
        <v>76.651250924915288</v>
      </c>
      <c r="BP18" s="66">
        <f t="shared" si="212"/>
        <v>-56.329442565632696</v>
      </c>
      <c r="BQ18" s="66">
        <f t="shared" si="212"/>
        <v>-74.52479406082486</v>
      </c>
      <c r="BR18" s="66">
        <f t="shared" si="212"/>
        <v>1.8</v>
      </c>
      <c r="BS18" s="193">
        <f t="shared" si="198"/>
        <v>-49.028696262701473</v>
      </c>
      <c r="BT18" s="66">
        <f t="shared" si="212"/>
        <v>2138.4031394682879</v>
      </c>
      <c r="BU18" s="193">
        <f t="shared" si="204"/>
        <v>1283.4789599705521</v>
      </c>
      <c r="BV18" s="66">
        <f>BV17+(BV$22-BV$17)/5</f>
        <v>854.92417949773585</v>
      </c>
      <c r="BW18" s="590">
        <f>BW19*'Assets(BoP)'!ER65/'Assets(BoP)'!ER66</f>
        <v>16317.36267466018</v>
      </c>
      <c r="BX18" s="357">
        <f t="shared" si="147"/>
        <v>137.03761835309533</v>
      </c>
      <c r="BY18" s="193">
        <f t="shared" si="148"/>
        <v>72.89564303461286</v>
      </c>
      <c r="BZ18" s="647">
        <f t="shared" si="149"/>
        <v>3.9309033326868957E-3</v>
      </c>
      <c r="CA18" s="357">
        <f t="shared" si="150"/>
        <v>26.359288171913878</v>
      </c>
      <c r="CB18" s="193">
        <f t="shared" si="151"/>
        <v>3.2138229293746035</v>
      </c>
      <c r="CC18" s="647">
        <f t="shared" si="14"/>
        <v>1.4184562606114467E-3</v>
      </c>
      <c r="CD18" s="357">
        <f t="shared" si="152"/>
        <v>226.98929961089496</v>
      </c>
      <c r="CE18" s="193">
        <f t="shared" si="153"/>
        <v>46.929127559069769</v>
      </c>
      <c r="CF18" s="655">
        <f t="shared" si="15"/>
        <v>1.10348820236402E-2</v>
      </c>
      <c r="CG18" s="357">
        <f t="shared" si="154"/>
        <v>438.7120470127328</v>
      </c>
      <c r="CH18" s="193">
        <f t="shared" si="155"/>
        <v>211.94033040866105</v>
      </c>
      <c r="CI18" s="23">
        <f t="shared" si="16"/>
        <v>1.3897571631243675E-2</v>
      </c>
      <c r="CJ18" s="357">
        <f t="shared" si="156"/>
        <v>453.76818926262519</v>
      </c>
      <c r="CK18" s="641">
        <f t="shared" si="157"/>
        <v>208.79196597594955</v>
      </c>
      <c r="CL18" s="34">
        <f t="shared" si="158"/>
        <v>1.5013224144800557E-2</v>
      </c>
      <c r="CM18" s="357">
        <f t="shared" si="159"/>
        <v>114.39175257731959</v>
      </c>
      <c r="CN18" s="193">
        <f t="shared" si="160"/>
        <v>64.457193808798479</v>
      </c>
      <c r="CO18" s="23">
        <f t="shared" si="161"/>
        <v>3.0602101432767861E-3</v>
      </c>
      <c r="CP18" s="271">
        <f t="shared" si="17"/>
        <v>1397.2581949885816</v>
      </c>
      <c r="CQ18" s="193">
        <f t="shared" si="162"/>
        <v>608.22808371646636</v>
      </c>
      <c r="CR18" s="271">
        <f t="shared" si="18"/>
        <v>14920.104479671598</v>
      </c>
      <c r="CS18" s="248">
        <f t="shared" si="163"/>
        <v>4.8355247536259555E-2</v>
      </c>
      <c r="CT18" s="30">
        <f t="shared" si="19"/>
        <v>8.5630148869488221E-2</v>
      </c>
      <c r="CU18" s="308">
        <f t="shared" si="20"/>
        <v>0</v>
      </c>
      <c r="CV18" s="644">
        <f>CV17*'Assets(BoP)'!FH65/'Assets(BoP)'!FH64</f>
        <v>8.3982700565886168E-3</v>
      </c>
      <c r="CW18" s="308">
        <f>CW19*'Assets(BoP)'!EY65/'Assets(BoP)'!EY66</f>
        <v>1.6154135136585623E-3</v>
      </c>
      <c r="CX18" s="308">
        <f>CX19*'Assets(BoP)'!FH65/'Assets(BoP)'!FH66</f>
        <v>1.3910906078185957E-2</v>
      </c>
      <c r="CY18" s="308">
        <f>CY19*'Assets(BoP)'!FJ65/'Assets(BoP)'!FJ66</f>
        <v>2.6886210459366972E-2</v>
      </c>
      <c r="CZ18" s="308">
        <f t="shared" si="199"/>
        <v>2.7808917305447781E-2</v>
      </c>
      <c r="DA18" s="308">
        <f>'Assets(BoP)'!FK65</f>
        <v>2.6994454399526448E-2</v>
      </c>
      <c r="DB18" s="367">
        <f>DB19*'Assets(BoP)'!FN65/'Assets(BoP)'!FN66</f>
        <v>7.0104314562403312E-3</v>
      </c>
      <c r="DC18" s="23">
        <f t="shared" si="21"/>
        <v>8.0985864926283804E-2</v>
      </c>
      <c r="DD18" s="193">
        <f t="shared" si="22"/>
        <v>9742.8126746601811</v>
      </c>
      <c r="DE18" s="66">
        <f t="shared" si="164"/>
        <v>6574.5499999999993</v>
      </c>
      <c r="DF18" s="635">
        <f>'Assets(BoP)'!ES65*1000</f>
        <v>5671</v>
      </c>
      <c r="DG18" s="193">
        <f>'Assets(BoP)'!DA65*1000</f>
        <v>5717</v>
      </c>
      <c r="DH18" s="23">
        <f t="shared" si="23"/>
        <v>0.40291744021905296</v>
      </c>
      <c r="DI18" s="23">
        <f>'Assets(BoP)'!DA65/'Assets(BoP)'!CZ65</f>
        <v>0.34560512634506102</v>
      </c>
      <c r="DJ18" s="23">
        <f t="shared" si="24"/>
        <v>7.1719242791302262E-2</v>
      </c>
      <c r="DK18" s="600">
        <f>'Assets(BoP)'!FO65-'Assets(BoP)'!FH65</f>
        <v>8.8148370555566014E-2</v>
      </c>
      <c r="DL18" s="576">
        <f t="shared" si="25"/>
        <v>1.092021304351491</v>
      </c>
      <c r="DM18" s="251">
        <f t="shared" si="26"/>
        <v>3.0089503715643025</v>
      </c>
      <c r="DN18" s="251">
        <f t="shared" si="27"/>
        <v>1.8135859733479192</v>
      </c>
      <c r="DO18" s="251">
        <f t="shared" si="28"/>
        <v>0.91872121903519621</v>
      </c>
      <c r="DP18" s="251">
        <f t="shared" si="29"/>
        <v>0.82714677532658576</v>
      </c>
      <c r="DQ18" s="251">
        <f t="shared" si="30"/>
        <v>0.71566239516878827</v>
      </c>
      <c r="DR18" s="251">
        <f t="shared" si="31"/>
        <v>0.49345310570800194</v>
      </c>
      <c r="DS18" s="251">
        <f t="shared" si="32"/>
        <v>1.5473796178154153</v>
      </c>
      <c r="DT18" s="251">
        <f t="shared" si="33"/>
        <v>1.0007181573701425</v>
      </c>
      <c r="DU18" s="251">
        <f t="shared" si="34"/>
        <v>2.6366771583466972</v>
      </c>
      <c r="DV18" s="251">
        <f t="shared" si="35"/>
        <v>1.4288393338632546</v>
      </c>
      <c r="DW18" s="251">
        <f t="shared" si="36"/>
        <v>2.1590805904219801</v>
      </c>
      <c r="DX18" s="251">
        <f t="shared" si="37"/>
        <v>1.160252627239317</v>
      </c>
      <c r="DY18" s="251">
        <f t="shared" si="38"/>
        <v>0.7297580970686518</v>
      </c>
      <c r="DZ18" s="251">
        <f t="shared" si="39"/>
        <v>0.51702656509589939</v>
      </c>
      <c r="EA18" s="649">
        <f t="shared" si="40"/>
        <v>1.4772119538863435</v>
      </c>
      <c r="EB18" s="643">
        <f t="shared" si="41"/>
        <v>0.87744610421379921</v>
      </c>
      <c r="EC18" s="251">
        <f t="shared" si="42"/>
        <v>1.0744681514184238</v>
      </c>
      <c r="ED18" s="251">
        <f t="shared" si="43"/>
        <v>0.53856270018482988</v>
      </c>
      <c r="EE18" s="144">
        <f t="shared" si="44"/>
        <v>0.49180836053634919</v>
      </c>
      <c r="EF18" s="1342">
        <v>0.23437452477265128</v>
      </c>
      <c r="EG18" s="140">
        <f t="shared" si="205"/>
        <v>7.3364030564306173</v>
      </c>
      <c r="EH18" s="583">
        <v>3.29</v>
      </c>
      <c r="EI18" s="1344">
        <v>4.3029407127089243</v>
      </c>
      <c r="EJ18" s="576">
        <f t="shared" si="166"/>
        <v>0.52468279138344798</v>
      </c>
      <c r="EK18" s="753">
        <f t="shared" si="167"/>
        <v>0.70374116300446898</v>
      </c>
      <c r="EL18" s="753">
        <f t="shared" si="168"/>
        <v>2.5965620434029191</v>
      </c>
      <c r="EM18" s="753">
        <f t="shared" si="169"/>
        <v>0.30668629450246698</v>
      </c>
      <c r="EN18" s="583"/>
      <c r="EO18" s="5"/>
      <c r="EP18" s="193"/>
      <c r="EQ18" s="193"/>
      <c r="ER18" s="193"/>
      <c r="ES18" s="193"/>
      <c r="ET18" s="193"/>
      <c r="EU18" s="193"/>
      <c r="EV18" s="193"/>
      <c r="EW18" s="193"/>
      <c r="EX18" s="193"/>
      <c r="EY18" s="193"/>
      <c r="EZ18" s="193"/>
      <c r="FA18" s="193"/>
      <c r="FB18" s="193"/>
      <c r="FC18" s="193"/>
      <c r="FD18" s="23"/>
      <c r="FE18" s="66"/>
      <c r="FF18" s="66"/>
      <c r="FG18" s="66">
        <f t="shared" si="210"/>
        <v>6574.5499999999993</v>
      </c>
      <c r="FH18" s="193">
        <f>'Assets(BoP)'!DA65*1000</f>
        <v>5717</v>
      </c>
      <c r="FI18" s="184">
        <v>1.1499999999999999</v>
      </c>
      <c r="FJ18" s="590">
        <f t="shared" si="206"/>
        <v>17643.933491686457</v>
      </c>
      <c r="FK18" s="143">
        <f>FJ18/'Assets(BoP)'!AV65/1000</f>
        <v>1.3000000000000003</v>
      </c>
      <c r="FL18" s="725"/>
      <c r="FM18" s="66">
        <f t="shared" si="170"/>
        <v>20.827326581317958</v>
      </c>
      <c r="FN18" s="66">
        <f t="shared" si="171"/>
        <v>10.413663290658979</v>
      </c>
      <c r="FO18" s="184">
        <v>0.5</v>
      </c>
      <c r="FP18" s="66">
        <f t="shared" si="173"/>
        <v>11.78401740770688</v>
      </c>
      <c r="FQ18" s="66">
        <f t="shared" si="190"/>
        <v>1.0712743097915345</v>
      </c>
      <c r="FR18" s="184">
        <f>FR$22</f>
        <v>9.0909090909090912E-2</v>
      </c>
      <c r="FS18" s="66">
        <f t="shared" si="174"/>
        <v>171.3316298951774</v>
      </c>
      <c r="FT18" s="66">
        <f t="shared" si="191"/>
        <v>85.6658149475887</v>
      </c>
      <c r="FU18" s="193">
        <f t="shared" si="175"/>
        <v>85.6658149475887</v>
      </c>
      <c r="FV18" s="184">
        <v>0.5</v>
      </c>
      <c r="FW18" s="66">
        <f t="shared" si="177"/>
        <v>155.30110417876026</v>
      </c>
      <c r="FX18" s="66">
        <f t="shared" si="192"/>
        <v>31.060220835752052</v>
      </c>
      <c r="FY18" s="184">
        <v>0.2</v>
      </c>
      <c r="FZ18" s="66">
        <f t="shared" si="178"/>
        <v>213.53723792994839</v>
      </c>
      <c r="GA18" s="66">
        <f t="shared" si="179"/>
        <v>170.82979034395873</v>
      </c>
      <c r="GB18" s="193">
        <f t="shared" si="180"/>
        <v>42.707447585989655</v>
      </c>
      <c r="GC18" s="642">
        <v>0.8</v>
      </c>
      <c r="GD18" s="66">
        <f t="shared" si="182"/>
        <v>32.22859690439924</v>
      </c>
      <c r="GE18" s="66">
        <f t="shared" si="194"/>
        <v>16.11429845219962</v>
      </c>
      <c r="GF18" s="184">
        <v>0.5</v>
      </c>
      <c r="GG18" s="193">
        <f t="shared" si="47"/>
        <v>605.00991289731019</v>
      </c>
      <c r="GH18" s="193">
        <f t="shared" si="48"/>
        <v>315.1550621799496</v>
      </c>
      <c r="GI18" s="193">
        <f t="shared" si="49"/>
        <v>17038.923578789148</v>
      </c>
      <c r="GJ18" s="23">
        <f t="shared" si="50"/>
        <v>3.4289967890798349E-2</v>
      </c>
      <c r="GK18" s="66">
        <f>GM18*'Assets(BoP)'!AW65*1000</f>
        <v>12001.377672209028</v>
      </c>
      <c r="GL18" s="66"/>
      <c r="GM18" s="184">
        <v>1.3</v>
      </c>
      <c r="GN18" s="23">
        <f t="shared" si="51"/>
        <v>0.68019853270609343</v>
      </c>
      <c r="GO18" s="666">
        <f>('Assets(BoP)'!AV65-'Assets(BoP)'!AW65)*1000*GP18</f>
        <v>5642.5558194774285</v>
      </c>
      <c r="GP18" s="184">
        <v>1.3</v>
      </c>
      <c r="GQ18" s="330">
        <f t="shared" si="52"/>
        <v>5037.5459065801206</v>
      </c>
      <c r="GR18" s="330">
        <v>59.487000000000002</v>
      </c>
      <c r="GS18" s="140">
        <f t="shared" si="53"/>
        <v>9.0727239069401347E-2</v>
      </c>
      <c r="GT18" s="582">
        <v>0.51827019175496591</v>
      </c>
      <c r="GU18" s="576">
        <f t="shared" si="54"/>
        <v>0.51953062701918917</v>
      </c>
      <c r="GV18" s="56">
        <f t="shared" si="195"/>
        <v>0.13193129475306187</v>
      </c>
      <c r="GW18" s="389">
        <v>0.125</v>
      </c>
      <c r="GX18" s="56">
        <f t="shared" si="196"/>
        <v>0.30894064446272995</v>
      </c>
      <c r="GY18" s="389">
        <v>0.25</v>
      </c>
      <c r="GZ18" s="56">
        <f t="shared" si="196"/>
        <v>0.43013464069696961</v>
      </c>
      <c r="HA18" s="400">
        <f>$HJ18</f>
        <v>0.64607151168896848</v>
      </c>
      <c r="HB18" s="56">
        <f t="shared" si="196"/>
        <v>0.26144388195320539</v>
      </c>
      <c r="HC18" s="56">
        <f t="shared" si="56"/>
        <v>0.12781954887218044</v>
      </c>
      <c r="HD18" s="400">
        <f t="shared" si="196"/>
        <v>0.31999925255864131</v>
      </c>
      <c r="HE18" s="400">
        <v>0.45</v>
      </c>
      <c r="HF18" s="56">
        <f t="shared" si="197"/>
        <v>0.21980984916706681</v>
      </c>
      <c r="HG18" s="56">
        <v>0.2</v>
      </c>
      <c r="HH18" s="6">
        <f t="shared" si="57"/>
        <v>0.30216228811440937</v>
      </c>
      <c r="HI18" s="6">
        <f t="shared" si="58"/>
        <v>0.26866149861136723</v>
      </c>
      <c r="HJ18" s="23">
        <f t="shared" si="59"/>
        <v>0.64607151168896848</v>
      </c>
      <c r="HK18" s="23"/>
      <c r="HL18" s="23"/>
      <c r="HM18" s="31">
        <f t="shared" si="184"/>
        <v>0.36674817516573938</v>
      </c>
      <c r="HN18" s="23">
        <f t="shared" si="60"/>
        <v>0.53314899150314776</v>
      </c>
      <c r="HO18" s="34">
        <f t="shared" si="61"/>
        <v>0.37641097811349633</v>
      </c>
      <c r="HP18" s="575"/>
      <c r="HQ18" s="193"/>
      <c r="HR18" s="193"/>
      <c r="HS18" s="193"/>
      <c r="HT18" s="193"/>
      <c r="HU18" s="193"/>
      <c r="HV18" s="193"/>
      <c r="HW18" s="193"/>
      <c r="HX18" s="193"/>
      <c r="HY18" s="193"/>
      <c r="HZ18" s="193"/>
      <c r="IA18" s="193"/>
      <c r="IB18" s="23"/>
      <c r="IC18" s="23"/>
      <c r="ID18" s="23"/>
      <c r="IE18" s="23"/>
      <c r="IF18" s="23"/>
      <c r="IG18" s="23"/>
      <c r="IH18" s="23"/>
      <c r="II18" s="23"/>
      <c r="IJ18" s="23"/>
      <c r="IK18" s="23"/>
      <c r="IL18" s="23"/>
      <c r="IM18" s="575"/>
      <c r="IN18" s="193"/>
      <c r="IO18" s="193"/>
      <c r="IP18" s="193"/>
      <c r="IQ18" s="193"/>
      <c r="IR18" s="193"/>
      <c r="IS18" s="193"/>
      <c r="IT18" s="193"/>
      <c r="IU18" s="193"/>
      <c r="IV18" s="193"/>
      <c r="IW18" s="193"/>
      <c r="IX18" s="149">
        <f t="shared" si="63"/>
        <v>0</v>
      </c>
      <c r="IY18" s="316">
        <f t="shared" si="64"/>
        <v>0</v>
      </c>
      <c r="IZ18" s="316">
        <f t="shared" si="65"/>
        <v>0</v>
      </c>
      <c r="JA18" s="316">
        <f t="shared" si="66"/>
        <v>0</v>
      </c>
      <c r="JB18" s="316">
        <f t="shared" si="67"/>
        <v>0</v>
      </c>
      <c r="JC18" s="316">
        <f t="shared" si="68"/>
        <v>0</v>
      </c>
      <c r="JD18" s="316">
        <f t="shared" si="69"/>
        <v>0</v>
      </c>
      <c r="JE18" s="316">
        <f t="shared" si="70"/>
        <v>0</v>
      </c>
      <c r="JF18" s="316">
        <f t="shared" si="71"/>
        <v>0</v>
      </c>
      <c r="JG18" s="316">
        <f t="shared" si="72"/>
        <v>0</v>
      </c>
      <c r="JH18" s="316">
        <f t="shared" si="73"/>
        <v>0</v>
      </c>
      <c r="JI18" s="5"/>
      <c r="JJ18" s="593"/>
      <c r="JK18" s="593"/>
      <c r="JL18" s="593"/>
      <c r="JM18" s="593"/>
      <c r="JN18" s="593"/>
      <c r="JO18" s="593"/>
      <c r="JP18" s="552">
        <f t="shared" si="74"/>
        <v>0</v>
      </c>
      <c r="JQ18" s="552">
        <f t="shared" si="75"/>
        <v>0</v>
      </c>
      <c r="JR18" s="552">
        <f t="shared" si="76"/>
        <v>0</v>
      </c>
      <c r="JS18" s="593"/>
      <c r="JT18" s="149"/>
      <c r="JU18" s="593"/>
      <c r="JV18" s="593"/>
      <c r="JW18" s="593"/>
      <c r="JX18" s="593"/>
      <c r="JY18" s="593"/>
      <c r="JZ18" s="593"/>
      <c r="KA18" s="593"/>
      <c r="KB18" s="593"/>
      <c r="KC18" s="657"/>
      <c r="KD18" s="593"/>
      <c r="KE18" s="149"/>
      <c r="KL18" s="552">
        <f t="shared" si="207"/>
        <v>0</v>
      </c>
      <c r="KM18" s="552">
        <f t="shared" si="208"/>
        <v>0</v>
      </c>
      <c r="KN18" s="552">
        <f t="shared" si="209"/>
        <v>0</v>
      </c>
      <c r="KP18" s="574"/>
      <c r="KY18" s="657"/>
      <c r="LA18" s="149">
        <f>'Assets(MOFA)'!IX18-'Assets(MOFA)'!KE18-'Assets(MOFA)'!KP18</f>
        <v>0</v>
      </c>
      <c r="LB18" s="552">
        <f>'Assets(MOFA)'!IY18-'Assets(MOFA)'!KF18-'Assets(MOFA)'!KQ18</f>
        <v>0</v>
      </c>
      <c r="LC18" s="552">
        <f>'Assets(MOFA)'!IZ18-'Assets(MOFA)'!KG18-'Assets(MOFA)'!KR18</f>
        <v>0</v>
      </c>
      <c r="LD18" s="552">
        <f>'Assets(MOFA)'!JA18-'Assets(MOFA)'!KH18-'Assets(MOFA)'!KS18</f>
        <v>0</v>
      </c>
      <c r="LE18" s="552">
        <f>'Assets(MOFA)'!JB18-'Assets(MOFA)'!KI18-'Assets(MOFA)'!KT18</f>
        <v>0</v>
      </c>
      <c r="LF18" s="552">
        <f>'Assets(MOFA)'!JC18-'Assets(MOFA)'!KJ18-'Assets(MOFA)'!KU18</f>
        <v>0</v>
      </c>
      <c r="LG18" s="552">
        <f>'Assets(MOFA)'!JD18-'Assets(MOFA)'!KK18-'Assets(MOFA)'!KV18</f>
        <v>0</v>
      </c>
      <c r="LH18" s="552">
        <f>'Assets(MOFA)'!JE18-'Assets(MOFA)'!KL18-'Assets(MOFA)'!KW18</f>
        <v>0</v>
      </c>
      <c r="LI18" s="552">
        <f>'Assets(MOFA)'!JF18-'Assets(MOFA)'!KM18-'Assets(MOFA)'!KX18</f>
        <v>0</v>
      </c>
      <c r="LJ18" s="552">
        <f t="shared" si="77"/>
        <v>0</v>
      </c>
      <c r="LK18" s="552">
        <f>'Assets(MOFA)'!JH18-'Assets(MOFA)'!KO18-'Assets(MOFA)'!KZ18</f>
        <v>0</v>
      </c>
      <c r="LL18" s="576" t="e">
        <f t="shared" si="78"/>
        <v>#DIV/0!</v>
      </c>
      <c r="LM18" s="6" t="e">
        <f t="shared" si="79"/>
        <v>#DIV/0!</v>
      </c>
      <c r="LN18" s="6" t="e">
        <f t="shared" si="80"/>
        <v>#DIV/0!</v>
      </c>
      <c r="LO18" s="6" t="e">
        <f t="shared" si="81"/>
        <v>#DIV/0!</v>
      </c>
      <c r="LP18" s="6" t="e">
        <f t="shared" si="82"/>
        <v>#DIV/0!</v>
      </c>
      <c r="LQ18" s="6" t="e">
        <f t="shared" si="83"/>
        <v>#DIV/0!</v>
      </c>
      <c r="LR18" s="6" t="e">
        <f t="shared" si="84"/>
        <v>#DIV/0!</v>
      </c>
      <c r="LS18" s="6" t="e">
        <f t="shared" si="85"/>
        <v>#DIV/0!</v>
      </c>
      <c r="LT18" s="143" t="e">
        <f t="shared" si="86"/>
        <v>#DIV/0!</v>
      </c>
      <c r="LU18" s="62" t="e">
        <f t="shared" si="87"/>
        <v>#DIV/0!</v>
      </c>
      <c r="LV18" s="902" t="e">
        <f t="shared" si="88"/>
        <v>#DIV/0!</v>
      </c>
      <c r="LW18" s="902" t="e">
        <f t="shared" si="89"/>
        <v>#DIV/0!</v>
      </c>
      <c r="LX18" s="143" t="e">
        <f t="shared" si="90"/>
        <v>#DIV/0!</v>
      </c>
      <c r="LY18" s="576" t="e">
        <f t="shared" si="91"/>
        <v>#DIV/0!</v>
      </c>
      <c r="LZ18" s="906" t="e">
        <f t="shared" si="92"/>
        <v>#DIV/0!</v>
      </c>
      <c r="MA18" s="906" t="e">
        <f t="shared" si="93"/>
        <v>#DIV/0!</v>
      </c>
      <c r="MB18" s="906" t="e">
        <f t="shared" si="94"/>
        <v>#DIV/0!</v>
      </c>
      <c r="MC18" s="906" t="e">
        <f t="shared" si="95"/>
        <v>#DIV/0!</v>
      </c>
      <c r="MD18" s="906" t="e">
        <f t="shared" si="96"/>
        <v>#DIV/0!</v>
      </c>
      <c r="ME18" s="906">
        <v>6.1610529375296846E-2</v>
      </c>
      <c r="MF18" s="906" t="e">
        <f t="shared" si="97"/>
        <v>#DIV/0!</v>
      </c>
      <c r="MG18" s="30" t="e">
        <f t="shared" si="98"/>
        <v>#DIV/0!</v>
      </c>
      <c r="MH18" s="140" t="e">
        <f t="shared" si="99"/>
        <v>#DIV/0!</v>
      </c>
      <c r="MI18" s="30" t="e">
        <f t="shared" si="100"/>
        <v>#DIV/0!</v>
      </c>
      <c r="MJ18" s="30" t="e">
        <f t="shared" si="101"/>
        <v>#DIV/0!</v>
      </c>
      <c r="MK18" s="617" t="e">
        <f t="shared" si="102"/>
        <v>#DIV/0!</v>
      </c>
      <c r="ML18" s="615" t="e">
        <f t="shared" si="103"/>
        <v>#DIV/0!</v>
      </c>
      <c r="MM18" s="574"/>
      <c r="MU18" s="593"/>
      <c r="MX18" s="574"/>
      <c r="NI18" s="613">
        <f t="shared" si="104"/>
        <v>31099.481329730039</v>
      </c>
      <c r="NQ18" s="593"/>
      <c r="NY18" s="593"/>
      <c r="NZ18" s="593"/>
      <c r="OA18" s="593"/>
      <c r="OB18" s="593"/>
      <c r="OC18" s="593"/>
      <c r="OD18" s="593"/>
      <c r="OE18" s="593"/>
      <c r="OF18" s="593"/>
      <c r="OG18" s="593"/>
      <c r="OH18" s="593"/>
      <c r="OI18" s="593"/>
      <c r="OJ18" s="593"/>
      <c r="OK18" s="593"/>
      <c r="OL18" s="593"/>
      <c r="OM18" s="593"/>
      <c r="ON18" s="593"/>
      <c r="OO18" s="593"/>
      <c r="OW18" s="593"/>
      <c r="PE18" s="593"/>
      <c r="PN18" s="574"/>
      <c r="PO18" s="593"/>
      <c r="PP18" s="593"/>
      <c r="PQ18" s="593"/>
      <c r="PR18" s="593"/>
      <c r="PS18" s="593"/>
      <c r="PT18" s="593"/>
      <c r="PU18" s="593"/>
      <c r="PV18" s="593"/>
      <c r="PW18" s="593"/>
      <c r="PX18" s="593"/>
      <c r="PY18" s="593"/>
      <c r="PZ18" s="593"/>
      <c r="QA18" s="593"/>
      <c r="QB18" s="593"/>
      <c r="QC18" s="593"/>
      <c r="QD18" s="593"/>
      <c r="QE18" s="593"/>
      <c r="QF18" s="593"/>
      <c r="QG18" s="593"/>
      <c r="QH18" s="593"/>
      <c r="QI18" s="593"/>
      <c r="QJ18" s="593"/>
      <c r="QK18" s="593"/>
      <c r="QL18" s="593"/>
      <c r="QM18" s="593"/>
      <c r="QN18" s="593"/>
      <c r="QO18" s="593"/>
      <c r="QP18" s="593"/>
      <c r="QQ18" s="593"/>
      <c r="QR18" s="593"/>
      <c r="QS18" s="593"/>
      <c r="QT18" s="593"/>
      <c r="QU18" s="593"/>
      <c r="QV18" s="593"/>
      <c r="QW18" s="593"/>
      <c r="QX18" s="593"/>
      <c r="QY18" s="593"/>
      <c r="QZ18" s="593"/>
      <c r="RA18" s="593"/>
      <c r="RB18" s="593"/>
      <c r="RC18" s="593"/>
      <c r="RD18" s="593"/>
      <c r="RE18" s="593"/>
      <c r="RF18" s="593"/>
      <c r="RG18" s="593"/>
      <c r="RH18" s="593"/>
      <c r="RI18" s="593"/>
      <c r="RJ18" s="593"/>
      <c r="RK18" s="593"/>
      <c r="RL18" s="593"/>
      <c r="RM18" s="593"/>
      <c r="RN18" s="593"/>
      <c r="RO18" s="593"/>
      <c r="RP18" s="593"/>
      <c r="RQ18" s="593"/>
      <c r="RR18" s="593"/>
    </row>
    <row r="19" spans="1:486" s="567" customFormat="1">
      <c r="A19" s="568">
        <v>1974</v>
      </c>
      <c r="B19" s="611">
        <f t="shared" si="201"/>
        <v>36728.737040305939</v>
      </c>
      <c r="C19" s="66">
        <f t="shared" si="185"/>
        <v>74.696171796091122</v>
      </c>
      <c r="D19" s="66">
        <f t="shared" si="105"/>
        <v>56.979354299595215</v>
      </c>
      <c r="E19" s="66">
        <f t="shared" si="105"/>
        <v>778.32449501728956</v>
      </c>
      <c r="F19" s="66">
        <f t="shared" si="105"/>
        <v>474.05651768100518</v>
      </c>
      <c r="G19" s="66">
        <f t="shared" si="105"/>
        <v>281.70162055609688</v>
      </c>
      <c r="H19" s="66">
        <f t="shared" si="105"/>
        <v>82.668743502427063</v>
      </c>
      <c r="I19" s="193">
        <f t="shared" si="106"/>
        <v>1748.426902852505</v>
      </c>
      <c r="J19" s="193">
        <f t="shared" si="107"/>
        <v>34980.310137453431</v>
      </c>
      <c r="K19" s="193">
        <f t="shared" si="108"/>
        <v>31985.510765790634</v>
      </c>
      <c r="L19" s="66">
        <f t="shared" si="186"/>
        <v>2994.7993716627984</v>
      </c>
      <c r="M19" s="140">
        <f t="shared" si="109"/>
        <v>4.760378503986646E-2</v>
      </c>
      <c r="N19" s="631">
        <f t="shared" si="202"/>
        <v>8.1538316124954685E-2</v>
      </c>
      <c r="O19" s="193">
        <v>577300</v>
      </c>
      <c r="P19" s="626">
        <f>P18+(P$22-P$18)/4</f>
        <v>6.362157810550137E-2</v>
      </c>
      <c r="Q19" s="630">
        <f>Q18+(Q$22-Q$17)/5</f>
        <v>2.0337255733601702E-3</v>
      </c>
      <c r="R19" s="387">
        <f t="shared" si="211"/>
        <v>1.5513562101813179E-3</v>
      </c>
      <c r="S19" s="387">
        <f t="shared" si="211"/>
        <v>2.1191158687628164E-2</v>
      </c>
      <c r="T19" s="387">
        <f t="shared" si="211"/>
        <v>1.2906964842291686E-2</v>
      </c>
      <c r="U19" s="387">
        <f t="shared" si="211"/>
        <v>7.6697878352571421E-3</v>
      </c>
      <c r="V19" s="387">
        <f t="shared" si="211"/>
        <v>2.2507918911479799E-3</v>
      </c>
      <c r="W19" s="590">
        <f t="shared" si="112"/>
        <v>61350.978805566599</v>
      </c>
      <c r="X19" s="66">
        <f t="shared" si="113"/>
        <v>283.83126742476861</v>
      </c>
      <c r="Y19" s="76">
        <f t="shared" si="3"/>
        <v>163.09524641025055</v>
      </c>
      <c r="Z19" s="76">
        <f t="shared" si="114"/>
        <v>120.73602101451806</v>
      </c>
      <c r="AA19" s="66">
        <f t="shared" si="115"/>
        <v>44.339781028476132</v>
      </c>
      <c r="AB19" s="66">
        <f t="shared" si="116"/>
        <v>5.1215346643054449</v>
      </c>
      <c r="AC19" s="274">
        <f t="shared" si="117"/>
        <v>39.218246364170689</v>
      </c>
      <c r="AD19" s="66">
        <f t="shared" si="118"/>
        <v>718.39793685449331</v>
      </c>
      <c r="AE19" s="357">
        <f t="shared" si="4"/>
        <v>355.29775512401653</v>
      </c>
      <c r="AF19" s="274">
        <f t="shared" si="119"/>
        <v>363.10018173047678</v>
      </c>
      <c r="AG19" s="66">
        <f t="shared" si="120"/>
        <v>777.02645757597224</v>
      </c>
      <c r="AH19" s="357">
        <f t="shared" si="5"/>
        <v>309.94358188182287</v>
      </c>
      <c r="AI19" s="76">
        <f t="shared" si="6"/>
        <v>467.08287569414938</v>
      </c>
      <c r="AJ19" s="66">
        <f t="shared" si="121"/>
        <v>1128.9897751280575</v>
      </c>
      <c r="AK19" s="357">
        <f t="shared" si="122"/>
        <v>756.37407394596937</v>
      </c>
      <c r="AL19" s="274">
        <f t="shared" si="123"/>
        <v>372.61570118208817</v>
      </c>
      <c r="AM19" s="66">
        <f t="shared" si="124"/>
        <v>231.47393841668517</v>
      </c>
      <c r="AN19" s="357">
        <f t="shared" si="7"/>
        <v>160.38823799855678</v>
      </c>
      <c r="AO19" s="274">
        <f t="shared" si="125"/>
        <v>71.085700418128397</v>
      </c>
      <c r="AP19" s="193">
        <f t="shared" si="8"/>
        <v>3184.0591564284528</v>
      </c>
      <c r="AQ19" s="271">
        <f t="shared" si="9"/>
        <v>1750.2204300249216</v>
      </c>
      <c r="AR19" s="271">
        <f t="shared" si="126"/>
        <v>1433.8387264035314</v>
      </c>
      <c r="AS19" s="66">
        <f t="shared" si="127"/>
        <v>58166.919649138144</v>
      </c>
      <c r="AT19" s="193">
        <f t="shared" si="128"/>
        <v>13524.943616920056</v>
      </c>
      <c r="AU19" s="66">
        <f t="shared" si="187"/>
        <v>44641.976032218088</v>
      </c>
      <c r="AV19" s="66"/>
      <c r="AW19" s="66"/>
      <c r="AX19" s="271">
        <f t="shared" si="203"/>
        <v>16709.002773348519</v>
      </c>
      <c r="AY19" s="140">
        <f t="shared" si="10"/>
        <v>5.1899076728985312E-2</v>
      </c>
      <c r="AZ19" s="623">
        <f t="shared" si="129"/>
        <v>2.337108151033173E-2</v>
      </c>
      <c r="BA19" s="248">
        <f t="shared" si="11"/>
        <v>8.5812345946255864E-2</v>
      </c>
      <c r="BB19" s="248">
        <f t="shared" si="130"/>
        <v>7.2258065099550109E-3</v>
      </c>
      <c r="BC19" s="248">
        <f t="shared" si="131"/>
        <v>2.3471326742925229E-3</v>
      </c>
      <c r="BD19" s="248">
        <f t="shared" si="132"/>
        <v>2.1730811027791262E-2</v>
      </c>
      <c r="BE19" s="248">
        <f t="shared" si="133"/>
        <v>2.7953964819442362E-2</v>
      </c>
      <c r="BF19" s="248">
        <f t="shared" si="134"/>
        <v>2.2300295609288191E-2</v>
      </c>
      <c r="BG19" s="248">
        <f t="shared" si="135"/>
        <v>4.2543353054864969E-3</v>
      </c>
      <c r="BH19" s="248">
        <f t="shared" si="136"/>
        <v>2.4077943702083784E-2</v>
      </c>
      <c r="BI19" s="23">
        <f t="shared" si="12"/>
        <v>0.1475648339413039</v>
      </c>
      <c r="BJ19" s="140">
        <f t="shared" si="13"/>
        <v>0.72764896178262051</v>
      </c>
      <c r="BK19" s="623">
        <f t="shared" si="137"/>
        <v>0.69912096656396683</v>
      </c>
      <c r="BL19" s="590">
        <f t="shared" si="138"/>
        <v>2147.5308324041898</v>
      </c>
      <c r="BM19" s="66">
        <f>BM18+(BM$22-BM$17)/5</f>
        <v>3.2307170791306028</v>
      </c>
      <c r="BN19" s="66">
        <f t="shared" si="212"/>
        <v>-3.2</v>
      </c>
      <c r="BO19" s="66">
        <f t="shared" si="212"/>
        <v>75.488438193686463</v>
      </c>
      <c r="BP19" s="66">
        <f t="shared" si="212"/>
        <v>-62.247081924224524</v>
      </c>
      <c r="BQ19" s="66">
        <f t="shared" si="212"/>
        <v>-161.39359554561867</v>
      </c>
      <c r="BR19" s="66">
        <f t="shared" si="212"/>
        <v>3.6</v>
      </c>
      <c r="BS19" s="193">
        <f t="shared" si="198"/>
        <v>-144.52152219702612</v>
      </c>
      <c r="BT19" s="66">
        <f t="shared" si="212"/>
        <v>2292.0523546012159</v>
      </c>
      <c r="BU19" s="193">
        <f t="shared" si="204"/>
        <v>1438.8592199779141</v>
      </c>
      <c r="BV19" s="66">
        <f t="shared" si="212"/>
        <v>853.19313462330183</v>
      </c>
      <c r="BW19" s="590">
        <f>BW20*'Assets(BoP)'!ER66/'Assets(BoP)'!ER67</f>
        <v>18949.64243877602</v>
      </c>
      <c r="BX19" s="357">
        <f t="shared" si="147"/>
        <v>249.85309108929974</v>
      </c>
      <c r="BY19" s="193">
        <f t="shared" si="148"/>
        <v>142.70834060896922</v>
      </c>
      <c r="BZ19" s="647">
        <f t="shared" si="149"/>
        <v>5.6541832293934896E-3</v>
      </c>
      <c r="CA19" s="357">
        <f t="shared" si="150"/>
        <v>30.25556070163616</v>
      </c>
      <c r="CB19" s="193">
        <f t="shared" si="151"/>
        <v>3.8411509982290837</v>
      </c>
      <c r="CC19" s="647">
        <f t="shared" si="14"/>
        <v>1.3939265497356381E-3</v>
      </c>
      <c r="CD19" s="357">
        <f t="shared" si="152"/>
        <v>413.85700389105057</v>
      </c>
      <c r="CE19" s="193">
        <f t="shared" si="153"/>
        <v>142.11910204960662</v>
      </c>
      <c r="CF19" s="655">
        <f t="shared" si="15"/>
        <v>1.4340001544588291E-2</v>
      </c>
      <c r="CG19" s="357">
        <f t="shared" si="154"/>
        <v>578.94221351616068</v>
      </c>
      <c r="CH19" s="193">
        <f t="shared" si="155"/>
        <v>270.32673306986055</v>
      </c>
      <c r="CI19" s="23">
        <f t="shared" si="16"/>
        <v>1.6286084628952712E-2</v>
      </c>
      <c r="CJ19" s="357">
        <f t="shared" si="156"/>
        <v>750.8027381550728</v>
      </c>
      <c r="CK19" s="641">
        <f t="shared" si="157"/>
        <v>416.00574067028316</v>
      </c>
      <c r="CL19" s="34">
        <f t="shared" si="158"/>
        <v>1.7667721096399462E-2</v>
      </c>
      <c r="CM19" s="357">
        <f t="shared" si="159"/>
        <v>182.12371134020617</v>
      </c>
      <c r="CN19" s="193">
        <f t="shared" si="160"/>
        <v>128.31059039884542</v>
      </c>
      <c r="CO19" s="23">
        <f t="shared" si="161"/>
        <v>2.8397961130519679E-3</v>
      </c>
      <c r="CP19" s="271">
        <f t="shared" si="17"/>
        <v>2205.8343186934262</v>
      </c>
      <c r="CQ19" s="193">
        <f t="shared" si="162"/>
        <v>1103.311657795794</v>
      </c>
      <c r="CR19" s="271">
        <f t="shared" si="18"/>
        <v>16743.808120082595</v>
      </c>
      <c r="CS19" s="248">
        <f t="shared" si="163"/>
        <v>5.8181713162121569E-2</v>
      </c>
      <c r="CT19" s="30">
        <f t="shared" si="19"/>
        <v>0.11640506283008809</v>
      </c>
      <c r="CU19" s="308">
        <f t="shared" si="20"/>
        <v>0</v>
      </c>
      <c r="CV19" s="644">
        <f>CV18*'Assets(BoP)'!FH66/'Assets(BoP)'!FH65</f>
        <v>1.3185108473499938E-2</v>
      </c>
      <c r="CW19" s="308">
        <f>CW20*'Assets(BoP)'!EY66/'Assets(BoP)'!EY67</f>
        <v>1.5966296355927655E-3</v>
      </c>
      <c r="CX19" s="308">
        <f>CX20*'Assets(BoP)'!FH66/'Assets(BoP)'!FH67</f>
        <v>2.1839831818894314E-2</v>
      </c>
      <c r="CY19" s="308">
        <f>CY20*'Assets(BoP)'!FJ66/'Assets(BoP)'!FJ67</f>
        <v>3.0551616759347956E-2</v>
      </c>
      <c r="CZ19" s="308">
        <f t="shared" si="199"/>
        <v>3.9620944858501934E-2</v>
      </c>
      <c r="DA19" s="308">
        <f>'Assets(BoP)'!FK66</f>
        <v>3.8460533270723837E-2</v>
      </c>
      <c r="DB19" s="367">
        <f>DB20*'Assets(BoP)'!FN66/'Assets(BoP)'!FN67</f>
        <v>9.6109312842511743E-3</v>
      </c>
      <c r="DC19" s="23">
        <f t="shared" si="21"/>
        <v>0.11059186674164753</v>
      </c>
      <c r="DD19" s="193">
        <f t="shared" si="22"/>
        <v>9969.2924387760231</v>
      </c>
      <c r="DE19" s="66">
        <f t="shared" si="164"/>
        <v>8980.3499999999967</v>
      </c>
      <c r="DF19" s="635">
        <f>'Assets(BoP)'!ES66*1000</f>
        <v>6959</v>
      </c>
      <c r="DG19" s="193">
        <f>'Assets(BoP)'!DA66*1000</f>
        <v>7808.9999999999982</v>
      </c>
      <c r="DH19" s="23">
        <f t="shared" si="23"/>
        <v>0.47390603960018829</v>
      </c>
      <c r="DI19" s="23">
        <f>'Assets(BoP)'!DA66/'Assets(BoP)'!CZ66</f>
        <v>0.40763167510570542</v>
      </c>
      <c r="DJ19" s="23">
        <f t="shared" si="24"/>
        <v>9.4565231011193768E-2</v>
      </c>
      <c r="DK19" s="600">
        <f>'Assets(BoP)'!FO66-'Assets(BoP)'!FH66</f>
        <v>0.10809797972355006</v>
      </c>
      <c r="DL19" s="576">
        <f t="shared" si="25"/>
        <v>1.6703808447930113</v>
      </c>
      <c r="DM19" s="251">
        <f t="shared" si="26"/>
        <v>3.7998100920028892</v>
      </c>
      <c r="DN19" s="251">
        <f t="shared" si="27"/>
        <v>1.8937511784429952</v>
      </c>
      <c r="DO19" s="251">
        <f t="shared" si="28"/>
        <v>0.77817275350891657</v>
      </c>
      <c r="DP19" s="251">
        <f t="shared" si="29"/>
        <v>0.69246417069699895</v>
      </c>
      <c r="DQ19" s="251">
        <f t="shared" si="30"/>
        <v>0.92300568908413316</v>
      </c>
      <c r="DR19" s="251">
        <f t="shared" si="31"/>
        <v>0.48125285666187279</v>
      </c>
      <c r="DS19" s="251">
        <f t="shared" si="32"/>
        <v>1.6391008847996411</v>
      </c>
      <c r="DT19" s="251">
        <f t="shared" si="33"/>
        <v>1.0304874650222893</v>
      </c>
      <c r="DU19" s="251">
        <f t="shared" si="34"/>
        <v>4.0077503739572391</v>
      </c>
      <c r="DV19" s="251">
        <f t="shared" si="35"/>
        <v>1.6133315936337962</v>
      </c>
      <c r="DW19" s="251">
        <f t="shared" si="36"/>
        <v>2.8000176198382567</v>
      </c>
      <c r="DX19" s="251">
        <f t="shared" si="37"/>
        <v>0.98854908331248081</v>
      </c>
      <c r="DY19" s="251">
        <f t="shared" si="38"/>
        <v>0.91312606604978508</v>
      </c>
      <c r="DZ19" s="251">
        <f t="shared" si="39"/>
        <v>0.4960004161541669</v>
      </c>
      <c r="EA19" s="649">
        <f t="shared" si="40"/>
        <v>1.8210993843859058</v>
      </c>
      <c r="EB19" s="643">
        <f t="shared" si="41"/>
        <v>0.87910896090210078</v>
      </c>
      <c r="EC19" s="251">
        <f t="shared" si="42"/>
        <v>1.662847453912617</v>
      </c>
      <c r="ED19" s="251">
        <f t="shared" si="43"/>
        <v>0.49531729552225123</v>
      </c>
      <c r="EE19" s="144">
        <f t="shared" si="44"/>
        <v>0.42284594784039992</v>
      </c>
      <c r="EF19" s="1342">
        <v>0.19836070684990351</v>
      </c>
      <c r="EG19" s="140">
        <f t="shared" ref="EG19:EG21" si="213">AU19/L19</f>
        <v>14.906499732378261</v>
      </c>
      <c r="EH19" s="583">
        <v>11.58</v>
      </c>
      <c r="EI19" s="1344">
        <v>3.8972116105537502</v>
      </c>
      <c r="EJ19" s="576">
        <f t="shared" si="166"/>
        <v>0.51593504067348606</v>
      </c>
      <c r="EK19" s="753">
        <f t="shared" si="167"/>
        <v>0.79864555832095641</v>
      </c>
      <c r="EL19" s="753">
        <f t="shared" si="168"/>
        <v>2.9986482850815643</v>
      </c>
      <c r="EM19" s="753">
        <f t="shared" si="169"/>
        <v>0.24271796617316568</v>
      </c>
      <c r="EN19" s="583"/>
      <c r="EO19" s="5"/>
      <c r="EP19" s="193"/>
      <c r="EQ19" s="193"/>
      <c r="ER19" s="193"/>
      <c r="ES19" s="193"/>
      <c r="ET19" s="193"/>
      <c r="EU19" s="193"/>
      <c r="EV19" s="193"/>
      <c r="EW19" s="193"/>
      <c r="EX19" s="193"/>
      <c r="EY19" s="193"/>
      <c r="EZ19" s="193"/>
      <c r="FA19" s="193"/>
      <c r="FB19" s="193"/>
      <c r="FC19" s="193"/>
      <c r="FD19" s="23"/>
      <c r="FE19" s="66"/>
      <c r="FF19" s="66"/>
      <c r="FG19" s="66">
        <f t="shared" si="210"/>
        <v>8980.3499999999967</v>
      </c>
      <c r="FH19" s="193">
        <f>'Assets(BoP)'!DA66*1000</f>
        <v>7808.9999999999982</v>
      </c>
      <c r="FI19" s="184">
        <v>1.1499999999999999</v>
      </c>
      <c r="FJ19" s="590">
        <f t="shared" si="206"/>
        <v>42401.33636679058</v>
      </c>
      <c r="FK19" s="143">
        <f>FJ19/'Assets(BoP)'!AV66/1000</f>
        <v>1.3</v>
      </c>
      <c r="FL19" s="725"/>
      <c r="FM19" s="66">
        <f t="shared" si="170"/>
        <v>33.978176335468866</v>
      </c>
      <c r="FN19" s="66">
        <f t="shared" si="171"/>
        <v>20.386905801281319</v>
      </c>
      <c r="FO19" s="184">
        <v>0.6</v>
      </c>
      <c r="FP19" s="66">
        <f t="shared" si="173"/>
        <v>14.084220326839974</v>
      </c>
      <c r="FQ19" s="66">
        <f t="shared" si="190"/>
        <v>1.2803836660763612</v>
      </c>
      <c r="FR19" s="184">
        <f>FR$22</f>
        <v>9.0909090909090912E-2</v>
      </c>
      <c r="FS19" s="66">
        <f t="shared" si="174"/>
        <v>304.54093296344274</v>
      </c>
      <c r="FT19" s="66">
        <f t="shared" si="191"/>
        <v>213.17865307440991</v>
      </c>
      <c r="FU19" s="193">
        <f t="shared" si="175"/>
        <v>91.362279889032834</v>
      </c>
      <c r="FV19" s="184">
        <v>0.7</v>
      </c>
      <c r="FW19" s="66">
        <f t="shared" si="177"/>
        <v>198.0842440598116</v>
      </c>
      <c r="FX19" s="66">
        <f t="shared" si="192"/>
        <v>39.616848811962321</v>
      </c>
      <c r="FY19" s="184">
        <v>0.2</v>
      </c>
      <c r="FZ19" s="66">
        <f t="shared" si="178"/>
        <v>378.18703697298469</v>
      </c>
      <c r="GA19" s="66">
        <f t="shared" si="179"/>
        <v>340.36833327568621</v>
      </c>
      <c r="GB19" s="193">
        <f t="shared" si="180"/>
        <v>37.818703697298474</v>
      </c>
      <c r="GC19" s="642">
        <v>0.9</v>
      </c>
      <c r="GD19" s="66">
        <f t="shared" si="182"/>
        <v>49.350227076479001</v>
      </c>
      <c r="GE19" s="66">
        <f t="shared" si="194"/>
        <v>32.077647599711355</v>
      </c>
      <c r="GF19" s="184">
        <v>0.65</v>
      </c>
      <c r="GG19" s="193">
        <f t="shared" si="47"/>
        <v>978.22483773502688</v>
      </c>
      <c r="GH19" s="193">
        <f t="shared" si="48"/>
        <v>646.90877222912741</v>
      </c>
      <c r="GI19" s="193">
        <f t="shared" si="49"/>
        <v>41423.111529055554</v>
      </c>
      <c r="GJ19" s="23">
        <f t="shared" si="50"/>
        <v>2.3070613371072628E-2</v>
      </c>
      <c r="GK19" s="66">
        <f>GM19*'Assets(BoP)'!AW66*1000</f>
        <v>35661.62603221809</v>
      </c>
      <c r="GL19" s="66"/>
      <c r="GM19" s="184">
        <v>1.3</v>
      </c>
      <c r="GN19" s="23">
        <f t="shared" si="51"/>
        <v>0.84104957739371766</v>
      </c>
      <c r="GO19" s="666">
        <f>('Assets(BoP)'!AV66-'Assets(BoP)'!AW66)*1000*GP19</f>
        <v>6739.7103345724918</v>
      </c>
      <c r="GP19" s="184">
        <v>1.3</v>
      </c>
      <c r="GQ19" s="330">
        <f t="shared" si="52"/>
        <v>5761.4854968374639</v>
      </c>
      <c r="GR19" s="330">
        <v>83.180999999999997</v>
      </c>
      <c r="GS19" s="140">
        <f t="shared" si="53"/>
        <v>8.8745557178302764E-2</v>
      </c>
      <c r="GT19" s="582">
        <v>0.5431386398409056</v>
      </c>
      <c r="GU19" s="576">
        <f t="shared" si="54"/>
        <v>0.69112730053042526</v>
      </c>
      <c r="GV19" s="56">
        <f t="shared" si="195"/>
        <v>0.11971259066612532</v>
      </c>
      <c r="GW19" s="389">
        <v>0.125</v>
      </c>
      <c r="GX19" s="56">
        <f t="shared" si="196"/>
        <v>0.31764298334704744</v>
      </c>
      <c r="GY19" s="389">
        <v>0.25</v>
      </c>
      <c r="GZ19" s="56">
        <f t="shared" si="196"/>
        <v>0.42391676999641142</v>
      </c>
      <c r="HA19" s="56">
        <v>0.6</v>
      </c>
      <c r="HB19" s="56">
        <f t="shared" si="196"/>
        <v>0.25492599657128701</v>
      </c>
      <c r="HC19" s="56">
        <f t="shared" si="56"/>
        <v>0.12781954887218044</v>
      </c>
      <c r="HD19" s="400">
        <f t="shared" si="196"/>
        <v>0.33497826579526657</v>
      </c>
      <c r="HE19" s="400">
        <v>0.45</v>
      </c>
      <c r="HF19" s="56">
        <f t="shared" si="197"/>
        <v>0.21319992831176421</v>
      </c>
      <c r="HG19" s="56">
        <v>0.2</v>
      </c>
      <c r="HH19" s="6">
        <f t="shared" si="57"/>
        <v>0.30722571085403388</v>
      </c>
      <c r="HI19" s="6">
        <f t="shared" si="58"/>
        <v>0.23106926839459332</v>
      </c>
      <c r="HJ19" s="23">
        <f t="shared" si="59"/>
        <v>0.79883618965435388</v>
      </c>
      <c r="HK19" s="23"/>
      <c r="HL19" s="23"/>
      <c r="HM19" s="31">
        <f t="shared" si="184"/>
        <v>0.40335802357532574</v>
      </c>
      <c r="HN19" s="23">
        <f t="shared" si="60"/>
        <v>0.71214208658321687</v>
      </c>
      <c r="HO19" s="23">
        <f t="shared" si="61"/>
        <v>0.42598961297182014</v>
      </c>
      <c r="HP19" s="575"/>
      <c r="HQ19" s="193"/>
      <c r="HR19" s="193"/>
      <c r="HS19" s="193"/>
      <c r="HT19" s="193"/>
      <c r="HU19" s="193"/>
      <c r="HV19" s="193"/>
      <c r="HW19" s="193"/>
      <c r="HX19" s="193"/>
      <c r="HY19" s="193"/>
      <c r="HZ19" s="193"/>
      <c r="IA19" s="193"/>
      <c r="IB19" s="23"/>
      <c r="IC19" s="23"/>
      <c r="ID19" s="23"/>
      <c r="IE19" s="23"/>
      <c r="IF19" s="23"/>
      <c r="IG19" s="23"/>
      <c r="IH19" s="23"/>
      <c r="II19" s="23"/>
      <c r="IJ19" s="23"/>
      <c r="IK19" s="23"/>
      <c r="IL19" s="23"/>
      <c r="IM19" s="575"/>
      <c r="IN19" s="193"/>
      <c r="IO19" s="193"/>
      <c r="IP19" s="193"/>
      <c r="IQ19" s="193"/>
      <c r="IR19" s="193"/>
      <c r="IS19" s="193"/>
      <c r="IT19" s="193"/>
      <c r="IU19" s="193"/>
      <c r="IV19" s="193"/>
      <c r="IW19" s="193"/>
      <c r="IX19" s="149">
        <f t="shared" si="63"/>
        <v>0</v>
      </c>
      <c r="IY19" s="316">
        <f t="shared" si="64"/>
        <v>0</v>
      </c>
      <c r="IZ19" s="316">
        <f t="shared" si="65"/>
        <v>0</v>
      </c>
      <c r="JA19" s="316">
        <f t="shared" si="66"/>
        <v>0</v>
      </c>
      <c r="JB19" s="316">
        <f t="shared" si="67"/>
        <v>0</v>
      </c>
      <c r="JC19" s="316">
        <f t="shared" si="68"/>
        <v>0</v>
      </c>
      <c r="JD19" s="316">
        <f t="shared" si="69"/>
        <v>0</v>
      </c>
      <c r="JE19" s="316">
        <f t="shared" si="70"/>
        <v>0</v>
      </c>
      <c r="JF19" s="316">
        <f t="shared" si="71"/>
        <v>0</v>
      </c>
      <c r="JG19" s="316">
        <f t="shared" si="72"/>
        <v>0</v>
      </c>
      <c r="JH19" s="316">
        <f t="shared" si="73"/>
        <v>0</v>
      </c>
      <c r="JI19" s="5"/>
      <c r="JJ19" s="593"/>
      <c r="JK19" s="593"/>
      <c r="JL19" s="593"/>
      <c r="JM19" s="593"/>
      <c r="JN19" s="593"/>
      <c r="JO19" s="593"/>
      <c r="JP19" s="552">
        <f t="shared" si="74"/>
        <v>0</v>
      </c>
      <c r="JQ19" s="552">
        <f t="shared" si="75"/>
        <v>0</v>
      </c>
      <c r="JR19" s="552">
        <f t="shared" si="76"/>
        <v>0</v>
      </c>
      <c r="JS19" s="593"/>
      <c r="JT19" s="149"/>
      <c r="JU19" s="593"/>
      <c r="JV19" s="593"/>
      <c r="JW19" s="593"/>
      <c r="JX19" s="593"/>
      <c r="JY19" s="593"/>
      <c r="JZ19" s="593"/>
      <c r="KA19" s="593"/>
      <c r="KB19" s="593"/>
      <c r="KC19" s="657"/>
      <c r="KD19" s="593"/>
      <c r="KE19" s="149"/>
      <c r="KL19" s="552">
        <f t="shared" si="207"/>
        <v>0</v>
      </c>
      <c r="KM19" s="552">
        <f t="shared" si="208"/>
        <v>0</v>
      </c>
      <c r="KN19" s="552">
        <f t="shared" si="209"/>
        <v>0</v>
      </c>
      <c r="KP19" s="574"/>
      <c r="KY19" s="657"/>
      <c r="LA19" s="149">
        <f>'Assets(MOFA)'!IX19-'Assets(MOFA)'!KE19-'Assets(MOFA)'!KP19</f>
        <v>0</v>
      </c>
      <c r="LB19" s="552">
        <f>'Assets(MOFA)'!IY19-'Assets(MOFA)'!KF19-'Assets(MOFA)'!KQ19</f>
        <v>0</v>
      </c>
      <c r="LC19" s="552">
        <f>'Assets(MOFA)'!IZ19-'Assets(MOFA)'!KG19-'Assets(MOFA)'!KR19</f>
        <v>0</v>
      </c>
      <c r="LD19" s="552">
        <f>'Assets(MOFA)'!JA19-'Assets(MOFA)'!KH19-'Assets(MOFA)'!KS19</f>
        <v>0</v>
      </c>
      <c r="LE19" s="552">
        <f>'Assets(MOFA)'!JB19-'Assets(MOFA)'!KI19-'Assets(MOFA)'!KT19</f>
        <v>0</v>
      </c>
      <c r="LF19" s="552">
        <f>'Assets(MOFA)'!JC19-'Assets(MOFA)'!KJ19-'Assets(MOFA)'!KU19</f>
        <v>0</v>
      </c>
      <c r="LG19" s="552">
        <f>'Assets(MOFA)'!JD19-'Assets(MOFA)'!KK19-'Assets(MOFA)'!KV19</f>
        <v>0</v>
      </c>
      <c r="LH19" s="552">
        <f>'Assets(MOFA)'!JE19-'Assets(MOFA)'!KL19-'Assets(MOFA)'!KW19</f>
        <v>0</v>
      </c>
      <c r="LI19" s="552">
        <f>'Assets(MOFA)'!JF19-'Assets(MOFA)'!KM19-'Assets(MOFA)'!KX19</f>
        <v>0</v>
      </c>
      <c r="LJ19" s="552">
        <f t="shared" si="77"/>
        <v>0</v>
      </c>
      <c r="LK19" s="552">
        <f>'Assets(MOFA)'!JH19-'Assets(MOFA)'!KO19-'Assets(MOFA)'!KZ19</f>
        <v>0</v>
      </c>
      <c r="LL19" s="576" t="e">
        <f t="shared" si="78"/>
        <v>#DIV/0!</v>
      </c>
      <c r="LM19" s="6" t="e">
        <f t="shared" si="79"/>
        <v>#DIV/0!</v>
      </c>
      <c r="LN19" s="6" t="e">
        <f t="shared" si="80"/>
        <v>#DIV/0!</v>
      </c>
      <c r="LO19" s="6" t="e">
        <f t="shared" si="81"/>
        <v>#DIV/0!</v>
      </c>
      <c r="LP19" s="6" t="e">
        <f t="shared" si="82"/>
        <v>#DIV/0!</v>
      </c>
      <c r="LQ19" s="6" t="e">
        <f t="shared" si="83"/>
        <v>#DIV/0!</v>
      </c>
      <c r="LR19" s="6" t="e">
        <f t="shared" si="84"/>
        <v>#DIV/0!</v>
      </c>
      <c r="LS19" s="6" t="e">
        <f t="shared" si="85"/>
        <v>#DIV/0!</v>
      </c>
      <c r="LT19" s="143" t="e">
        <f t="shared" si="86"/>
        <v>#DIV/0!</v>
      </c>
      <c r="LU19" s="62" t="e">
        <f t="shared" si="87"/>
        <v>#DIV/0!</v>
      </c>
      <c r="LV19" s="902" t="e">
        <f t="shared" si="88"/>
        <v>#DIV/0!</v>
      </c>
      <c r="LW19" s="902" t="e">
        <f t="shared" si="89"/>
        <v>#DIV/0!</v>
      </c>
      <c r="LX19" s="143" t="e">
        <f t="shared" si="90"/>
        <v>#DIV/0!</v>
      </c>
      <c r="LY19" s="576" t="e">
        <f t="shared" si="91"/>
        <v>#DIV/0!</v>
      </c>
      <c r="LZ19" s="906" t="e">
        <f t="shared" si="92"/>
        <v>#DIV/0!</v>
      </c>
      <c r="MA19" s="906" t="e">
        <f t="shared" si="93"/>
        <v>#DIV/0!</v>
      </c>
      <c r="MB19" s="906" t="e">
        <f t="shared" si="94"/>
        <v>#DIV/0!</v>
      </c>
      <c r="MC19" s="906" t="e">
        <f t="shared" si="95"/>
        <v>#DIV/0!</v>
      </c>
      <c r="MD19" s="906" t="e">
        <f t="shared" si="96"/>
        <v>#DIV/0!</v>
      </c>
      <c r="ME19" s="906">
        <v>6.1610529375296846E-2</v>
      </c>
      <c r="MF19" s="906" t="e">
        <f t="shared" si="97"/>
        <v>#DIV/0!</v>
      </c>
      <c r="MG19" s="30" t="e">
        <f t="shared" si="98"/>
        <v>#DIV/0!</v>
      </c>
      <c r="MH19" s="140" t="e">
        <f t="shared" si="99"/>
        <v>#DIV/0!</v>
      </c>
      <c r="MI19" s="30" t="e">
        <f t="shared" si="100"/>
        <v>#DIV/0!</v>
      </c>
      <c r="MJ19" s="30" t="e">
        <f t="shared" si="101"/>
        <v>#DIV/0!</v>
      </c>
      <c r="MK19" s="617" t="e">
        <f t="shared" si="102"/>
        <v>#DIV/0!</v>
      </c>
      <c r="ML19" s="615" t="e">
        <f t="shared" si="103"/>
        <v>#DIV/0!</v>
      </c>
      <c r="MM19" s="574"/>
      <c r="MU19" s="593"/>
      <c r="MX19" s="574"/>
      <c r="NI19" s="613">
        <f t="shared" ref="NI19:NI37" si="214">B19</f>
        <v>36728.737040305939</v>
      </c>
      <c r="NQ19" s="593"/>
      <c r="NY19" s="593"/>
      <c r="NZ19" s="593"/>
      <c r="OA19" s="593"/>
      <c r="OB19" s="593"/>
      <c r="OC19" s="593"/>
      <c r="OD19" s="593"/>
      <c r="OE19" s="593"/>
      <c r="OF19" s="593"/>
      <c r="OG19" s="593"/>
      <c r="OH19" s="593"/>
      <c r="OI19" s="593"/>
      <c r="OJ19" s="593"/>
      <c r="OK19" s="593"/>
      <c r="OL19" s="593"/>
      <c r="OM19" s="593"/>
      <c r="ON19" s="593"/>
      <c r="OO19" s="593"/>
      <c r="OW19" s="593"/>
      <c r="PE19" s="593"/>
      <c r="PN19" s="574"/>
      <c r="PO19" s="593"/>
      <c r="PP19" s="593"/>
      <c r="PQ19" s="593"/>
      <c r="PR19" s="593"/>
      <c r="PS19" s="593"/>
      <c r="PT19" s="593"/>
      <c r="PU19" s="593"/>
      <c r="PV19" s="593"/>
      <c r="PW19" s="593"/>
      <c r="PX19" s="593"/>
      <c r="PY19" s="593"/>
      <c r="PZ19" s="593"/>
      <c r="QA19" s="593"/>
      <c r="QB19" s="593"/>
      <c r="QC19" s="593"/>
      <c r="QD19" s="593"/>
      <c r="QE19" s="593"/>
      <c r="QF19" s="593"/>
      <c r="QG19" s="593"/>
      <c r="QH19" s="593"/>
      <c r="QI19" s="593"/>
      <c r="QJ19" s="593"/>
      <c r="QK19" s="593"/>
      <c r="QL19" s="593"/>
      <c r="QM19" s="593"/>
      <c r="QN19" s="593"/>
      <c r="QO19" s="593"/>
      <c r="QP19" s="593"/>
      <c r="QQ19" s="593"/>
      <c r="QR19" s="593"/>
      <c r="QS19" s="593"/>
      <c r="QT19" s="593"/>
      <c r="QU19" s="593"/>
      <c r="QV19" s="593"/>
      <c r="QW19" s="593"/>
      <c r="QX19" s="593"/>
      <c r="QY19" s="593"/>
      <c r="QZ19" s="593"/>
      <c r="RA19" s="593"/>
      <c r="RB19" s="593"/>
      <c r="RC19" s="593"/>
      <c r="RD19" s="593"/>
      <c r="RE19" s="593"/>
      <c r="RF19" s="593"/>
      <c r="RG19" s="593"/>
      <c r="RH19" s="593"/>
      <c r="RI19" s="593"/>
      <c r="RJ19" s="593"/>
      <c r="RK19" s="593"/>
      <c r="RL19" s="593"/>
      <c r="RM19" s="593"/>
      <c r="RN19" s="593"/>
      <c r="RO19" s="593"/>
      <c r="RP19" s="593"/>
      <c r="RQ19" s="593"/>
      <c r="RR19" s="593"/>
    </row>
    <row r="20" spans="1:486" s="567" customFormat="1">
      <c r="A20" s="568">
        <v>1975</v>
      </c>
      <c r="B20" s="611">
        <f t="shared" si="201"/>
        <v>41409.356411936038</v>
      </c>
      <c r="C20" s="66">
        <f t="shared" si="185"/>
        <v>98.572556006076951</v>
      </c>
      <c r="D20" s="66">
        <f t="shared" si="105"/>
        <v>73.199812209707446</v>
      </c>
      <c r="E20" s="66">
        <f t="shared" si="105"/>
        <v>1013.9356619582436</v>
      </c>
      <c r="F20" s="66">
        <f t="shared" si="105"/>
        <v>557.79273690112984</v>
      </c>
      <c r="G20" s="66">
        <f t="shared" si="105"/>
        <v>298.21504349883213</v>
      </c>
      <c r="H20" s="66">
        <f t="shared" si="105"/>
        <v>95.986390350818596</v>
      </c>
      <c r="I20" s="193">
        <f t="shared" si="106"/>
        <v>2137.7022009248085</v>
      </c>
      <c r="J20" s="193">
        <f t="shared" si="107"/>
        <v>39271.654211011228</v>
      </c>
      <c r="K20" s="193">
        <f t="shared" si="108"/>
        <v>35890.174303430103</v>
      </c>
      <c r="L20" s="66">
        <f t="shared" si="186"/>
        <v>3381.4799075811247</v>
      </c>
      <c r="M20" s="140">
        <f t="shared" si="109"/>
        <v>5.1623651902704445E-2</v>
      </c>
      <c r="N20" s="631">
        <f t="shared" si="202"/>
        <v>8.1659803498091321E-2</v>
      </c>
      <c r="O20" s="193">
        <v>607800</v>
      </c>
      <c r="P20" s="626">
        <f>P19+(P$22-P$18)/4</f>
        <v>6.8129905251622311E-2</v>
      </c>
      <c r="Q20" s="630">
        <f>Q19+(Q$22-Q$17)/5</f>
        <v>2.3804416331779528E-3</v>
      </c>
      <c r="R20" s="387">
        <f t="shared" si="211"/>
        <v>1.7677119026319368E-3</v>
      </c>
      <c r="S20" s="387">
        <f t="shared" si="211"/>
        <v>2.4485665796679268E-2</v>
      </c>
      <c r="T20" s="387">
        <f t="shared" si="211"/>
        <v>1.3470210243121502E-2</v>
      </c>
      <c r="U20" s="387">
        <f t="shared" si="211"/>
        <v>7.2016343488225075E-3</v>
      </c>
      <c r="V20" s="387">
        <f t="shared" si="211"/>
        <v>2.3179879782712826E-3</v>
      </c>
      <c r="W20" s="590">
        <f t="shared" si="112"/>
        <v>58650.392421020522</v>
      </c>
      <c r="X20" s="66">
        <f t="shared" si="113"/>
        <v>200.75774588865579</v>
      </c>
      <c r="Y20" s="76">
        <f t="shared" si="3"/>
        <v>81.141666177847341</v>
      </c>
      <c r="Z20" s="76">
        <f t="shared" si="114"/>
        <v>119.61607971080845</v>
      </c>
      <c r="AA20" s="66">
        <f t="shared" si="115"/>
        <v>29.450279719227517</v>
      </c>
      <c r="AB20" s="66">
        <f t="shared" si="116"/>
        <v>3.4948949181000488</v>
      </c>
      <c r="AC20" s="274">
        <f t="shared" si="117"/>
        <v>25.955384801127469</v>
      </c>
      <c r="AD20" s="66">
        <f t="shared" si="118"/>
        <v>509.68456509800478</v>
      </c>
      <c r="AE20" s="357">
        <f t="shared" si="4"/>
        <v>133.33930072480604</v>
      </c>
      <c r="AF20" s="274">
        <f t="shared" si="119"/>
        <v>376.34526437319875</v>
      </c>
      <c r="AG20" s="66">
        <f t="shared" si="120"/>
        <v>639.15920696315789</v>
      </c>
      <c r="AH20" s="357">
        <f t="shared" si="5"/>
        <v>0</v>
      </c>
      <c r="AI20" s="76">
        <f t="shared" si="6"/>
        <v>639.15920696315789</v>
      </c>
      <c r="AJ20" s="66">
        <f t="shared" si="121"/>
        <v>1416.4950994340222</v>
      </c>
      <c r="AK20" s="357">
        <f t="shared" si="122"/>
        <v>936.34634476877454</v>
      </c>
      <c r="AL20" s="274">
        <f t="shared" si="123"/>
        <v>480.14875466524768</v>
      </c>
      <c r="AM20" s="66">
        <f t="shared" si="124"/>
        <v>244.72208603164708</v>
      </c>
      <c r="AN20" s="357">
        <f t="shared" si="7"/>
        <v>164.31069712862612</v>
      </c>
      <c r="AO20" s="274">
        <f t="shared" si="125"/>
        <v>80.411388903020963</v>
      </c>
      <c r="AP20" s="193">
        <f t="shared" si="8"/>
        <v>3040.2689831347152</v>
      </c>
      <c r="AQ20" s="271">
        <f t="shared" si="9"/>
        <v>1318.632903718154</v>
      </c>
      <c r="AR20" s="271">
        <f t="shared" si="126"/>
        <v>1721.6360794165612</v>
      </c>
      <c r="AS20" s="66">
        <f t="shared" si="127"/>
        <v>55610.123437885806</v>
      </c>
      <c r="AT20" s="193">
        <f t="shared" si="128"/>
        <v>14913.747405667717</v>
      </c>
      <c r="AU20" s="66">
        <f t="shared" si="187"/>
        <v>40696.37603221809</v>
      </c>
      <c r="AV20" s="66"/>
      <c r="AW20" s="66"/>
      <c r="AX20" s="271">
        <f t="shared" si="203"/>
        <v>17954.016388802444</v>
      </c>
      <c r="AY20" s="140">
        <f t="shared" si="10"/>
        <v>5.1837146481650331E-2</v>
      </c>
      <c r="AZ20" s="623">
        <f t="shared" si="129"/>
        <v>2.9354212450239638E-2</v>
      </c>
      <c r="BA20" s="248">
        <f t="shared" si="11"/>
        <v>9.5891417392840961E-2</v>
      </c>
      <c r="BB20" s="248">
        <f t="shared" si="130"/>
        <v>6.6623577209949849E-3</v>
      </c>
      <c r="BC20" s="248">
        <f t="shared" si="131"/>
        <v>1.4456589678349251E-3</v>
      </c>
      <c r="BD20" s="248">
        <f t="shared" si="132"/>
        <v>2.0961619741414386E-2</v>
      </c>
      <c r="BE20" s="248">
        <f t="shared" si="133"/>
        <v>3.559978965830668E-2</v>
      </c>
      <c r="BF20" s="248">
        <f t="shared" si="134"/>
        <v>2.6743250327247486E-2</v>
      </c>
      <c r="BG20" s="248">
        <f t="shared" si="135"/>
        <v>4.4787409770424358E-3</v>
      </c>
      <c r="BH20" s="248">
        <f t="shared" si="136"/>
        <v>2.2407278709249311E-2</v>
      </c>
      <c r="BI20" s="23">
        <f t="shared" si="12"/>
        <v>0.14094809558127541</v>
      </c>
      <c r="BJ20" s="140">
        <f t="shared" si="13"/>
        <v>0.69388071165969478</v>
      </c>
      <c r="BK20" s="623">
        <f t="shared" si="137"/>
        <v>0.67139777762828401</v>
      </c>
      <c r="BL20" s="590">
        <f t="shared" si="138"/>
        <v>2205.6872216027932</v>
      </c>
      <c r="BM20" s="66">
        <f>BM19+(BM$22-BM$17)/5</f>
        <v>1.4871447194204019</v>
      </c>
      <c r="BN20" s="66">
        <f t="shared" si="212"/>
        <v>-4.8000000000000007</v>
      </c>
      <c r="BO20" s="66">
        <f t="shared" si="212"/>
        <v>74.325625462457637</v>
      </c>
      <c r="BP20" s="66">
        <f t="shared" si="212"/>
        <v>-68.164721282816345</v>
      </c>
      <c r="BQ20" s="66">
        <f t="shared" si="212"/>
        <v>-248.26239703041244</v>
      </c>
      <c r="BR20" s="66">
        <f t="shared" si="212"/>
        <v>5.4</v>
      </c>
      <c r="BS20" s="193">
        <f t="shared" si="198"/>
        <v>-240.01434813135077</v>
      </c>
      <c r="BT20" s="66">
        <f t="shared" si="212"/>
        <v>2445.701569734144</v>
      </c>
      <c r="BU20" s="193">
        <f t="shared" si="204"/>
        <v>1594.2394799852761</v>
      </c>
      <c r="BV20" s="66">
        <f t="shared" si="212"/>
        <v>851.46208974886781</v>
      </c>
      <c r="BW20" s="590">
        <f>BW21*'Assets(BoP)'!ER67/'Assets(BoP)'!ER68</f>
        <v>16249.056054229946</v>
      </c>
      <c r="BX20" s="357">
        <f t="shared" si="147"/>
        <v>179.17751552220702</v>
      </c>
      <c r="BY20" s="193">
        <f t="shared" si="148"/>
        <v>70.998957905616422</v>
      </c>
      <c r="BZ20" s="647">
        <f t="shared" si="149"/>
        <v>6.6575287361649296E-3</v>
      </c>
      <c r="CA20" s="357">
        <f t="shared" si="150"/>
        <v>19.83931869445238</v>
      </c>
      <c r="CB20" s="193">
        <f t="shared" si="151"/>
        <v>2.6211711885750368</v>
      </c>
      <c r="CC20" s="647">
        <f t="shared" si="14"/>
        <v>1.059639861442605E-3</v>
      </c>
      <c r="CD20" s="357">
        <f t="shared" si="152"/>
        <v>296.78988326848253</v>
      </c>
      <c r="CE20" s="193">
        <f t="shared" si="153"/>
        <v>58.826162084473253</v>
      </c>
      <c r="CF20" s="655">
        <f t="shared" si="15"/>
        <v>1.4644772003359707E-2</v>
      </c>
      <c r="CG20" s="357">
        <f t="shared" si="154"/>
        <v>480.38687561214505</v>
      </c>
      <c r="CH20" s="193">
        <f t="shared" si="155"/>
        <v>0</v>
      </c>
      <c r="CI20" s="23">
        <f t="shared" si="16"/>
        <v>2.9563986609984706E-2</v>
      </c>
      <c r="CJ20" s="357">
        <f t="shared" si="156"/>
        <v>920.78232867408269</v>
      </c>
      <c r="CK20" s="641">
        <f t="shared" si="157"/>
        <v>514.99048962282598</v>
      </c>
      <c r="CL20" s="34">
        <f t="shared" si="158"/>
        <v>2.4973256150816293E-2</v>
      </c>
      <c r="CM20" s="357">
        <f t="shared" si="159"/>
        <v>194.16494845360828</v>
      </c>
      <c r="CN20" s="193">
        <f t="shared" si="160"/>
        <v>131.4485577029009</v>
      </c>
      <c r="CO20" s="23">
        <f t="shared" si="161"/>
        <v>3.859694405717868E-3</v>
      </c>
      <c r="CP20" s="271">
        <f t="shared" si="17"/>
        <v>2091.1408702249782</v>
      </c>
      <c r="CQ20" s="193">
        <f t="shared" si="162"/>
        <v>778.88533850439148</v>
      </c>
      <c r="CR20" s="271">
        <f t="shared" si="18"/>
        <v>14157.915184004967</v>
      </c>
      <c r="CS20" s="248">
        <f t="shared" si="163"/>
        <v>8.0758877767486137E-2</v>
      </c>
      <c r="CT20" s="30">
        <f t="shared" si="19"/>
        <v>0.12869306766165126</v>
      </c>
      <c r="CU20" s="308">
        <f t="shared" si="20"/>
        <v>0</v>
      </c>
      <c r="CV20" s="644">
        <f>CV19*'Assets(BoP)'!FH67/'Assets(BoP)'!FH66</f>
        <v>1.1026949191646342E-2</v>
      </c>
      <c r="CW20" s="308">
        <f>CW21*'Assets(BoP)'!EY67/'Assets(BoP)'!EY68</f>
        <v>1.2209520742768206E-3</v>
      </c>
      <c r="CX20" s="308">
        <f>CX21*'Assets(BoP)'!FH67/'Assets(BoP)'!FH68</f>
        <v>1.8265053814693583E-2</v>
      </c>
      <c r="CY20" s="308">
        <f>CY21*'Assets(BoP)'!FJ67/'Assets(BoP)'!FJ68</f>
        <v>2.9563986609984706E-2</v>
      </c>
      <c r="CZ20" s="308">
        <f t="shared" si="199"/>
        <v>5.666681963561724E-2</v>
      </c>
      <c r="DA20" s="308">
        <f>'Assets(BoP)'!FK67</f>
        <v>5.5007171326306621E-2</v>
      </c>
      <c r="DB20" s="367">
        <f>DB21*'Assets(BoP)'!FN67/'Assets(BoP)'!FN68</f>
        <v>1.1949306335432534E-2</v>
      </c>
      <c r="DC20" s="23">
        <f t="shared" si="21"/>
        <v>0.11701620460283536</v>
      </c>
      <c r="DD20" s="193">
        <f t="shared" si="22"/>
        <v>11214.306054229946</v>
      </c>
      <c r="DE20" s="66">
        <f t="shared" si="164"/>
        <v>5034.75</v>
      </c>
      <c r="DF20" s="635">
        <f>'Assets(BoP)'!ES67*1000</f>
        <v>4746</v>
      </c>
      <c r="DG20" s="193">
        <f>'Assets(BoP)'!DA67*1000</f>
        <v>4795</v>
      </c>
      <c r="DH20" s="23">
        <f t="shared" si="23"/>
        <v>0.30984876802670369</v>
      </c>
      <c r="DI20" s="23">
        <f>'Assets(BoP)'!DA67/'Assets(BoP)'!CZ67</f>
        <v>0.28894245254594758</v>
      </c>
      <c r="DJ20" s="23">
        <f t="shared" si="24"/>
        <v>0.11042801384695763</v>
      </c>
      <c r="DK20" s="600">
        <f>'Assets(BoP)'!FO67-'Assets(BoP)'!FH67</f>
        <v>0.12756718107408291</v>
      </c>
      <c r="DL20" s="576">
        <f t="shared" si="25"/>
        <v>1.416356048559954</v>
      </c>
      <c r="DM20" s="251">
        <f t="shared" si="26"/>
        <v>2.0366494897046108</v>
      </c>
      <c r="DN20" s="251">
        <f t="shared" si="27"/>
        <v>1.3025752128036041</v>
      </c>
      <c r="DO20" s="251">
        <f t="shared" si="28"/>
        <v>0.40232725781941209</v>
      </c>
      <c r="DP20" s="251">
        <f t="shared" si="29"/>
        <v>0.35599494354708744</v>
      </c>
      <c r="DQ20" s="251">
        <f t="shared" si="30"/>
        <v>0.50267939497624148</v>
      </c>
      <c r="DR20" s="251">
        <f t="shared" si="31"/>
        <v>0.37527331850162288</v>
      </c>
      <c r="DS20" s="251">
        <f t="shared" si="32"/>
        <v>1.1458722293769315</v>
      </c>
      <c r="DT20" s="251">
        <f t="shared" si="33"/>
        <v>1.1458722293769315</v>
      </c>
      <c r="DU20" s="251">
        <f t="shared" si="34"/>
        <v>4.7499116168482942</v>
      </c>
      <c r="DV20" s="251">
        <f t="shared" si="35"/>
        <v>2.1783988402961922</v>
      </c>
      <c r="DW20" s="251">
        <f t="shared" si="36"/>
        <v>2.5495498386512669</v>
      </c>
      <c r="DX20" s="251">
        <f t="shared" si="37"/>
        <v>0.9766517005713059</v>
      </c>
      <c r="DY20" s="251">
        <f t="shared" si="38"/>
        <v>0.49592241043358831</v>
      </c>
      <c r="DZ20" s="251">
        <f t="shared" si="39"/>
        <v>0.37396673759458005</v>
      </c>
      <c r="EA20" s="643">
        <f t="shared" si="40"/>
        <v>1.4222135252606467</v>
      </c>
      <c r="EB20" s="643">
        <f t="shared" si="41"/>
        <v>0.84887588023994431</v>
      </c>
      <c r="EC20" s="251">
        <f t="shared" si="42"/>
        <v>1.4160372043175482</v>
      </c>
      <c r="ED20" s="251">
        <f t="shared" si="43"/>
        <v>0.47212776623870567</v>
      </c>
      <c r="EE20" s="140">
        <f t="shared" si="44"/>
        <v>0.41553845015019547</v>
      </c>
      <c r="EF20" s="1342">
        <v>0.21795211387638055</v>
      </c>
      <c r="EG20" s="140">
        <f t="shared" si="213"/>
        <v>12.035078469926336</v>
      </c>
      <c r="EH20" s="583">
        <v>11.53</v>
      </c>
      <c r="EI20" s="1344">
        <v>3.5968432845657046</v>
      </c>
      <c r="EJ20" s="576">
        <f t="shared" si="166"/>
        <v>0.39240059402483823</v>
      </c>
      <c r="EK20" s="753">
        <f t="shared" si="167"/>
        <v>0.81275305335248216</v>
      </c>
      <c r="EL20" s="753">
        <f t="shared" si="168"/>
        <v>1.4889190938891337</v>
      </c>
      <c r="EM20" s="753">
        <f t="shared" si="169"/>
        <v>0.25419673660189068</v>
      </c>
      <c r="EN20" s="583"/>
      <c r="EO20" s="5"/>
      <c r="EP20" s="193"/>
      <c r="EQ20" s="193"/>
      <c r="ER20" s="193"/>
      <c r="ES20" s="193"/>
      <c r="ET20" s="193"/>
      <c r="EU20" s="193"/>
      <c r="EV20" s="193"/>
      <c r="EW20" s="193"/>
      <c r="EX20" s="193"/>
      <c r="EY20" s="193"/>
      <c r="EZ20" s="193"/>
      <c r="FA20" s="193"/>
      <c r="FB20" s="193"/>
      <c r="FC20" s="193"/>
      <c r="FD20" s="23"/>
      <c r="FE20" s="66"/>
      <c r="FF20" s="66"/>
      <c r="FG20" s="66">
        <f t="shared" si="210"/>
        <v>5034.75</v>
      </c>
      <c r="FH20" s="193">
        <f>'Assets(BoP)'!DA67*1000</f>
        <v>4795</v>
      </c>
      <c r="FI20" s="184">
        <v>1.05</v>
      </c>
      <c r="FJ20" s="590">
        <f t="shared" si="206"/>
        <v>42401.33636679058</v>
      </c>
      <c r="FK20" s="143">
        <f>FJ20/'Assets(BoP)'!AV67/1000</f>
        <v>1.3</v>
      </c>
      <c r="FL20" s="725"/>
      <c r="FM20" s="66">
        <f t="shared" si="170"/>
        <v>21.580230366448763</v>
      </c>
      <c r="FN20" s="66">
        <f t="shared" si="171"/>
        <v>10.142708272230918</v>
      </c>
      <c r="FO20" s="184">
        <v>0.47</v>
      </c>
      <c r="FP20" s="66">
        <f t="shared" si="173"/>
        <v>9.6109610247751345</v>
      </c>
      <c r="FQ20" s="66">
        <f t="shared" si="190"/>
        <v>0.8737237295250122</v>
      </c>
      <c r="FR20" s="184">
        <f>FR$22</f>
        <v>9.0909090909090912E-2</v>
      </c>
      <c r="FS20" s="66">
        <f t="shared" si="174"/>
        <v>212.89468182952226</v>
      </c>
      <c r="FT20" s="66">
        <f t="shared" si="191"/>
        <v>74.513138640332784</v>
      </c>
      <c r="FU20" s="193">
        <f t="shared" si="175"/>
        <v>138.38154318918947</v>
      </c>
      <c r="FV20" s="184">
        <v>0.35</v>
      </c>
      <c r="FW20" s="66">
        <f t="shared" si="177"/>
        <v>158.77233135101278</v>
      </c>
      <c r="FX20" s="66">
        <f t="shared" si="192"/>
        <v>0</v>
      </c>
      <c r="FY20" s="184">
        <v>0</v>
      </c>
      <c r="FZ20" s="66">
        <f t="shared" si="178"/>
        <v>495.71277075993953</v>
      </c>
      <c r="GA20" s="66">
        <f t="shared" si="179"/>
        <v>421.35585514594857</v>
      </c>
      <c r="GB20" s="193">
        <f t="shared" si="180"/>
        <v>74.356915613990964</v>
      </c>
      <c r="GC20" s="184">
        <v>0.85</v>
      </c>
      <c r="GD20" s="66">
        <f t="shared" si="182"/>
        <v>50.557137578038805</v>
      </c>
      <c r="GE20" s="66">
        <f t="shared" si="194"/>
        <v>32.862139425725225</v>
      </c>
      <c r="GF20" s="184">
        <v>0.65</v>
      </c>
      <c r="GG20" s="193">
        <f t="shared" si="47"/>
        <v>949.1281129097373</v>
      </c>
      <c r="GH20" s="193">
        <f t="shared" si="48"/>
        <v>539.74756521376253</v>
      </c>
      <c r="GI20" s="193">
        <f t="shared" si="49"/>
        <v>41452.208253880839</v>
      </c>
      <c r="GJ20" s="23">
        <f t="shared" si="50"/>
        <v>2.2384391489441591E-2</v>
      </c>
      <c r="GK20" s="66">
        <f>GM20*'Assets(BoP)'!AW67*1000</f>
        <v>35661.62603221809</v>
      </c>
      <c r="GL20" s="66"/>
      <c r="GM20" s="184">
        <v>1.3</v>
      </c>
      <c r="GN20" s="23">
        <f t="shared" si="51"/>
        <v>0.84104957739371766</v>
      </c>
      <c r="GO20" s="666">
        <f>('Assets(BoP)'!AV67-'Assets(BoP)'!AW67)*1000*GP20</f>
        <v>6739.7103345724918</v>
      </c>
      <c r="GP20" s="184">
        <v>1.3</v>
      </c>
      <c r="GQ20" s="330">
        <f t="shared" si="52"/>
        <v>5790.5822216627494</v>
      </c>
      <c r="GR20" s="330">
        <v>73.314999999999998</v>
      </c>
      <c r="GS20" s="140">
        <f t="shared" si="53"/>
        <v>8.9542916813462034E-2</v>
      </c>
      <c r="GT20" s="582">
        <v>0.57397388106448111</v>
      </c>
      <c r="GU20" s="576">
        <f t="shared" si="54"/>
        <v>0.72295059958701624</v>
      </c>
      <c r="GV20" s="56">
        <f t="shared" si="195"/>
        <v>0.10749388657918876</v>
      </c>
      <c r="GW20" s="389">
        <v>0.125</v>
      </c>
      <c r="GX20" s="56">
        <f t="shared" si="196"/>
        <v>0.32634532223136492</v>
      </c>
      <c r="GY20" s="389">
        <v>0.25</v>
      </c>
      <c r="GZ20" s="56">
        <f t="shared" si="196"/>
        <v>0.41769889929585324</v>
      </c>
      <c r="HA20" s="56">
        <f>HA$22</f>
        <v>0.55882352941176472</v>
      </c>
      <c r="HB20" s="56">
        <f t="shared" si="196"/>
        <v>0.24840811118936862</v>
      </c>
      <c r="HC20" s="56">
        <f t="shared" si="56"/>
        <v>0.12781954887218044</v>
      </c>
      <c r="HD20" s="400">
        <f t="shared" si="196"/>
        <v>0.34995727903189183</v>
      </c>
      <c r="HE20" s="400">
        <v>0.45</v>
      </c>
      <c r="HF20" s="56">
        <f t="shared" si="197"/>
        <v>0.20659000745646161</v>
      </c>
      <c r="HG20" s="56">
        <v>0.2</v>
      </c>
      <c r="HH20" s="6">
        <f t="shared" si="57"/>
        <v>0.31218557245258099</v>
      </c>
      <c r="HI20" s="6">
        <f t="shared" si="58"/>
        <v>0.23778576238638552</v>
      </c>
      <c r="HJ20" s="23">
        <f t="shared" si="59"/>
        <v>0.87628505309627225</v>
      </c>
      <c r="HK20" s="23"/>
      <c r="HL20" s="23"/>
      <c r="HM20" s="31">
        <f t="shared" si="184"/>
        <v>0.37538733331979784</v>
      </c>
      <c r="HN20" s="23">
        <f t="shared" si="60"/>
        <v>0.74540759292112035</v>
      </c>
      <c r="HO20" s="23">
        <f t="shared" si="61"/>
        <v>0.38827144272687203</v>
      </c>
      <c r="HP20" s="575"/>
      <c r="HQ20" s="193"/>
      <c r="HR20" s="193"/>
      <c r="HS20" s="193"/>
      <c r="HT20" s="193"/>
      <c r="HU20" s="193"/>
      <c r="HV20" s="193"/>
      <c r="HW20" s="193"/>
      <c r="HX20" s="193"/>
      <c r="HY20" s="193"/>
      <c r="HZ20" s="193"/>
      <c r="IA20" s="193"/>
      <c r="IB20" s="23"/>
      <c r="IC20" s="23"/>
      <c r="ID20" s="23"/>
      <c r="IE20" s="23"/>
      <c r="IF20" s="23"/>
      <c r="IG20" s="23"/>
      <c r="IH20" s="23"/>
      <c r="II20" s="23"/>
      <c r="IJ20" s="23"/>
      <c r="IK20" s="23"/>
      <c r="IL20" s="23"/>
      <c r="IM20" s="575"/>
      <c r="IN20" s="193"/>
      <c r="IO20" s="193"/>
      <c r="IP20" s="193"/>
      <c r="IQ20" s="193"/>
      <c r="IR20" s="193"/>
      <c r="IS20" s="193"/>
      <c r="IT20" s="193"/>
      <c r="IU20" s="193"/>
      <c r="IV20" s="193"/>
      <c r="IW20" s="193"/>
      <c r="IX20" s="149">
        <f t="shared" si="63"/>
        <v>0</v>
      </c>
      <c r="IY20" s="316">
        <f t="shared" si="64"/>
        <v>0</v>
      </c>
      <c r="IZ20" s="316">
        <f t="shared" si="65"/>
        <v>0</v>
      </c>
      <c r="JA20" s="316">
        <f t="shared" si="66"/>
        <v>0</v>
      </c>
      <c r="JB20" s="316">
        <f t="shared" si="67"/>
        <v>0</v>
      </c>
      <c r="JC20" s="316">
        <f t="shared" si="68"/>
        <v>0</v>
      </c>
      <c r="JD20" s="316">
        <f t="shared" si="69"/>
        <v>0</v>
      </c>
      <c r="JE20" s="316">
        <f t="shared" si="70"/>
        <v>0</v>
      </c>
      <c r="JF20" s="316">
        <f t="shared" si="71"/>
        <v>0</v>
      </c>
      <c r="JG20" s="316">
        <f t="shared" si="72"/>
        <v>0</v>
      </c>
      <c r="JH20" s="316">
        <f t="shared" si="73"/>
        <v>0</v>
      </c>
      <c r="JI20" s="5"/>
      <c r="JJ20" s="593"/>
      <c r="JK20" s="593"/>
      <c r="JL20" s="593"/>
      <c r="JM20" s="593"/>
      <c r="JN20" s="593"/>
      <c r="JO20" s="593"/>
      <c r="JP20" s="552">
        <f t="shared" si="74"/>
        <v>0</v>
      </c>
      <c r="JQ20" s="552">
        <f t="shared" si="75"/>
        <v>0</v>
      </c>
      <c r="JR20" s="552">
        <f t="shared" si="76"/>
        <v>0</v>
      </c>
      <c r="JS20" s="593"/>
      <c r="JT20" s="149"/>
      <c r="JU20" s="593"/>
      <c r="JV20" s="593"/>
      <c r="JW20" s="593"/>
      <c r="JX20" s="593"/>
      <c r="JY20" s="593"/>
      <c r="JZ20" s="593"/>
      <c r="KA20" s="593"/>
      <c r="KB20" s="593"/>
      <c r="KC20" s="657"/>
      <c r="KD20" s="593"/>
      <c r="KE20" s="149"/>
      <c r="KL20" s="552">
        <f t="shared" si="207"/>
        <v>0</v>
      </c>
      <c r="KM20" s="552">
        <f t="shared" si="208"/>
        <v>0</v>
      </c>
      <c r="KN20" s="552">
        <f t="shared" si="209"/>
        <v>0</v>
      </c>
      <c r="KP20" s="149"/>
      <c r="KY20" s="657"/>
      <c r="LA20" s="149">
        <f>'Assets(MOFA)'!IX20-'Assets(MOFA)'!KE20-'Assets(MOFA)'!KP20</f>
        <v>0</v>
      </c>
      <c r="LB20" s="552">
        <f>'Assets(MOFA)'!IY20-'Assets(MOFA)'!KF20-'Assets(MOFA)'!KQ20</f>
        <v>0</v>
      </c>
      <c r="LC20" s="552">
        <f>'Assets(MOFA)'!IZ20-'Assets(MOFA)'!KG20-'Assets(MOFA)'!KR20</f>
        <v>0</v>
      </c>
      <c r="LD20" s="552">
        <f>'Assets(MOFA)'!JA20-'Assets(MOFA)'!KH20-'Assets(MOFA)'!KS20</f>
        <v>0</v>
      </c>
      <c r="LE20" s="552">
        <f>'Assets(MOFA)'!JB20-'Assets(MOFA)'!KI20-'Assets(MOFA)'!KT20</f>
        <v>0</v>
      </c>
      <c r="LF20" s="552">
        <f>'Assets(MOFA)'!JC20-'Assets(MOFA)'!KJ20-'Assets(MOFA)'!KU20</f>
        <v>0</v>
      </c>
      <c r="LG20" s="552">
        <f>'Assets(MOFA)'!JD20-'Assets(MOFA)'!KK20-'Assets(MOFA)'!KV20</f>
        <v>0</v>
      </c>
      <c r="LH20" s="552">
        <f>'Assets(MOFA)'!JE20-'Assets(MOFA)'!KL20-'Assets(MOFA)'!KW20</f>
        <v>0</v>
      </c>
      <c r="LI20" s="552">
        <f>'Assets(MOFA)'!JF20-'Assets(MOFA)'!KM20-'Assets(MOFA)'!KX20</f>
        <v>0</v>
      </c>
      <c r="LJ20" s="552">
        <f t="shared" si="77"/>
        <v>0</v>
      </c>
      <c r="LK20" s="552">
        <f>'Assets(MOFA)'!JH20-'Assets(MOFA)'!KO20-'Assets(MOFA)'!KZ20</f>
        <v>0</v>
      </c>
      <c r="LL20" s="576" t="e">
        <f t="shared" si="78"/>
        <v>#DIV/0!</v>
      </c>
      <c r="LM20" s="6" t="e">
        <f t="shared" si="79"/>
        <v>#DIV/0!</v>
      </c>
      <c r="LN20" s="6" t="e">
        <f t="shared" si="80"/>
        <v>#DIV/0!</v>
      </c>
      <c r="LO20" s="6" t="e">
        <f t="shared" si="81"/>
        <v>#DIV/0!</v>
      </c>
      <c r="LP20" s="6" t="e">
        <f t="shared" si="82"/>
        <v>#DIV/0!</v>
      </c>
      <c r="LQ20" s="6" t="e">
        <f t="shared" si="83"/>
        <v>#DIV/0!</v>
      </c>
      <c r="LR20" s="6" t="e">
        <f t="shared" si="84"/>
        <v>#DIV/0!</v>
      </c>
      <c r="LS20" s="6" t="e">
        <f t="shared" si="85"/>
        <v>#DIV/0!</v>
      </c>
      <c r="LT20" s="143" t="e">
        <f t="shared" si="86"/>
        <v>#DIV/0!</v>
      </c>
      <c r="LU20" s="62" t="e">
        <f t="shared" si="87"/>
        <v>#DIV/0!</v>
      </c>
      <c r="LV20" s="902" t="e">
        <f t="shared" si="88"/>
        <v>#DIV/0!</v>
      </c>
      <c r="LW20" s="902" t="e">
        <f t="shared" si="89"/>
        <v>#DIV/0!</v>
      </c>
      <c r="LX20" s="143" t="e">
        <f t="shared" si="90"/>
        <v>#DIV/0!</v>
      </c>
      <c r="LY20" s="576" t="e">
        <f t="shared" si="91"/>
        <v>#DIV/0!</v>
      </c>
      <c r="LZ20" s="906" t="e">
        <f t="shared" si="92"/>
        <v>#DIV/0!</v>
      </c>
      <c r="MA20" s="906" t="e">
        <f t="shared" si="93"/>
        <v>#DIV/0!</v>
      </c>
      <c r="MB20" s="906" t="e">
        <f t="shared" si="94"/>
        <v>#DIV/0!</v>
      </c>
      <c r="MC20" s="906" t="e">
        <f t="shared" si="95"/>
        <v>#DIV/0!</v>
      </c>
      <c r="MD20" s="906" t="e">
        <f t="shared" si="96"/>
        <v>#DIV/0!</v>
      </c>
      <c r="ME20" s="906">
        <v>6.1610529375296846E-2</v>
      </c>
      <c r="MF20" s="906" t="e">
        <f t="shared" si="97"/>
        <v>#DIV/0!</v>
      </c>
      <c r="MG20" s="30" t="e">
        <f t="shared" si="98"/>
        <v>#DIV/0!</v>
      </c>
      <c r="MH20" s="140" t="e">
        <f t="shared" si="99"/>
        <v>#DIV/0!</v>
      </c>
      <c r="MI20" s="30" t="e">
        <f t="shared" si="100"/>
        <v>#DIV/0!</v>
      </c>
      <c r="MJ20" s="30" t="e">
        <f t="shared" si="101"/>
        <v>#DIV/0!</v>
      </c>
      <c r="MK20" s="617" t="e">
        <f t="shared" si="102"/>
        <v>#DIV/0!</v>
      </c>
      <c r="ML20" s="615" t="e">
        <f t="shared" si="103"/>
        <v>#DIV/0!</v>
      </c>
      <c r="MM20" s="574"/>
      <c r="MU20" s="593"/>
      <c r="MX20" s="574"/>
      <c r="NI20" s="613">
        <f t="shared" si="214"/>
        <v>41409.356411936038</v>
      </c>
      <c r="NQ20" s="593"/>
      <c r="NY20" s="593"/>
      <c r="NZ20" s="593"/>
      <c r="OA20" s="593"/>
      <c r="OB20" s="593"/>
      <c r="OC20" s="593"/>
      <c r="OD20" s="593"/>
      <c r="OE20" s="593"/>
      <c r="OF20" s="593"/>
      <c r="OG20" s="593"/>
      <c r="OH20" s="593"/>
      <c r="OI20" s="593"/>
      <c r="OJ20" s="593"/>
      <c r="OK20" s="593"/>
      <c r="OL20" s="593"/>
      <c r="OM20" s="593"/>
      <c r="ON20" s="593"/>
      <c r="OO20" s="593"/>
      <c r="OW20" s="593"/>
      <c r="PE20" s="593"/>
      <c r="PN20" s="574"/>
      <c r="PO20" s="593"/>
      <c r="PP20" s="593"/>
      <c r="PQ20" s="593"/>
      <c r="PR20" s="593"/>
      <c r="PS20" s="593"/>
      <c r="PT20" s="593"/>
      <c r="PU20" s="593"/>
      <c r="PV20" s="593"/>
      <c r="PW20" s="593"/>
      <c r="PX20" s="593"/>
      <c r="PY20" s="593"/>
      <c r="PZ20" s="593"/>
      <c r="QA20" s="593"/>
      <c r="QB20" s="593"/>
      <c r="QC20" s="593"/>
      <c r="QD20" s="593"/>
      <c r="QE20" s="593"/>
      <c r="QF20" s="593"/>
      <c r="QG20" s="593"/>
      <c r="QH20" s="593"/>
      <c r="QI20" s="593"/>
      <c r="QJ20" s="593"/>
      <c r="QK20" s="593"/>
      <c r="QL20" s="593"/>
      <c r="QM20" s="593"/>
      <c r="QN20" s="593"/>
      <c r="QO20" s="593"/>
      <c r="QP20" s="593"/>
      <c r="QQ20" s="593"/>
      <c r="QR20" s="593"/>
      <c r="QS20" s="593"/>
      <c r="QT20" s="593"/>
      <c r="QU20" s="593"/>
      <c r="QV20" s="593"/>
      <c r="QW20" s="593"/>
      <c r="QX20" s="593"/>
      <c r="QY20" s="593"/>
      <c r="QZ20" s="593"/>
      <c r="RA20" s="593"/>
      <c r="RB20" s="593"/>
      <c r="RC20" s="593"/>
      <c r="RD20" s="593"/>
      <c r="RE20" s="593"/>
      <c r="RF20" s="593"/>
      <c r="RG20" s="593"/>
      <c r="RH20" s="593"/>
      <c r="RI20" s="593"/>
      <c r="RJ20" s="593"/>
      <c r="RK20" s="593"/>
      <c r="RL20" s="593"/>
      <c r="RM20" s="593"/>
      <c r="RN20" s="593"/>
      <c r="RO20" s="593"/>
      <c r="RP20" s="593"/>
      <c r="RQ20" s="593"/>
      <c r="RR20" s="593"/>
    </row>
    <row r="21" spans="1:486" s="567" customFormat="1">
      <c r="A21" s="568">
        <v>1976</v>
      </c>
      <c r="B21" s="611">
        <f t="shared" si="201"/>
        <v>49597.385081179091</v>
      </c>
      <c r="C21" s="66">
        <f t="shared" si="185"/>
        <v>135.25989027660947</v>
      </c>
      <c r="D21" s="66">
        <f t="shared" si="105"/>
        <v>98.404564540398425</v>
      </c>
      <c r="E21" s="66">
        <f t="shared" si="105"/>
        <v>1377.8239332272472</v>
      </c>
      <c r="F21" s="66">
        <f t="shared" si="105"/>
        <v>696.0227035926996</v>
      </c>
      <c r="G21" s="66">
        <f t="shared" si="105"/>
        <v>333.96304326860121</v>
      </c>
      <c r="H21" s="66">
        <f t="shared" si="105"/>
        <v>118.2988925808675</v>
      </c>
      <c r="I21" s="193">
        <f t="shared" si="106"/>
        <v>2759.7730274864234</v>
      </c>
      <c r="J21" s="193">
        <f t="shared" si="107"/>
        <v>46837.612053692668</v>
      </c>
      <c r="K21" s="193">
        <f t="shared" si="108"/>
        <v>42781.473877916462</v>
      </c>
      <c r="L21" s="66">
        <f t="shared" si="186"/>
        <v>4056.1381757762092</v>
      </c>
      <c r="M21" s="140">
        <f t="shared" si="109"/>
        <v>5.5643518765542438E-2</v>
      </c>
      <c r="N21" s="631">
        <f t="shared" si="202"/>
        <v>8.1781290871227957E-2</v>
      </c>
      <c r="O21" s="193">
        <v>682800</v>
      </c>
      <c r="P21" s="626">
        <f>P20+(P$22-P$18)/4</f>
        <v>7.2638232397743252E-2</v>
      </c>
      <c r="Q21" s="630">
        <f>Q20+(Q$22-Q$17)/5</f>
        <v>2.7271576929957355E-3</v>
      </c>
      <c r="R21" s="387">
        <f t="shared" si="211"/>
        <v>1.9840675950825557E-3</v>
      </c>
      <c r="S21" s="387">
        <f t="shared" si="211"/>
        <v>2.7780172905730371E-2</v>
      </c>
      <c r="T21" s="387">
        <f t="shared" si="211"/>
        <v>1.4033455643951318E-2</v>
      </c>
      <c r="U21" s="387">
        <f t="shared" si="211"/>
        <v>6.7334808623878729E-3</v>
      </c>
      <c r="V21" s="387">
        <f t="shared" si="211"/>
        <v>2.3851840653945854E-3</v>
      </c>
      <c r="W21" s="590">
        <f>AS21+AP21</f>
        <v>76248.688022413015</v>
      </c>
      <c r="X21" s="66">
        <f t="shared" si="113"/>
        <v>243.52375195858033</v>
      </c>
      <c r="Y21" s="76">
        <f t="shared" si="3"/>
        <v>63.108814152620646</v>
      </c>
      <c r="Z21" s="76">
        <f t="shared" si="114"/>
        <v>180.41493780595968</v>
      </c>
      <c r="AA21" s="66">
        <f t="shared" si="115"/>
        <v>39.908265826759347</v>
      </c>
      <c r="AB21" s="66">
        <f>FQ21/GY21</f>
        <v>4.8622440452504128</v>
      </c>
      <c r="AC21" s="274">
        <f t="shared" si="117"/>
        <v>35.046021781508934</v>
      </c>
      <c r="AD21" s="66">
        <f t="shared" si="118"/>
        <v>620.10173328853818</v>
      </c>
      <c r="AE21" s="357">
        <f>FT21/HA21</f>
        <v>114.15057062642056</v>
      </c>
      <c r="AF21" s="274">
        <f t="shared" si="119"/>
        <v>505.95116266211761</v>
      </c>
      <c r="AG21" s="66">
        <f t="shared" si="120"/>
        <v>649.26417376015957</v>
      </c>
      <c r="AH21" s="357">
        <f t="shared" si="5"/>
        <v>-0.63106853562759713</v>
      </c>
      <c r="AI21" s="76">
        <f t="shared" si="6"/>
        <v>649.89524229578717</v>
      </c>
      <c r="AJ21" s="66">
        <f t="shared" si="121"/>
        <v>1656.2363809621904</v>
      </c>
      <c r="AK21" s="357">
        <f t="shared" si="122"/>
        <v>731.58738856061996</v>
      </c>
      <c r="AL21" s="274">
        <f t="shared" si="123"/>
        <v>924.64899240157047</v>
      </c>
      <c r="AM21" s="66">
        <f t="shared" si="124"/>
        <v>205.07221498161874</v>
      </c>
      <c r="AN21" s="357">
        <f>GE21/HG21</f>
        <v>76.894423709091768</v>
      </c>
      <c r="AO21" s="274">
        <f t="shared" si="125"/>
        <v>128.17779127252697</v>
      </c>
      <c r="AP21" s="193">
        <f t="shared" si="8"/>
        <v>3414.1065207778465</v>
      </c>
      <c r="AQ21" s="271">
        <f t="shared" si="9"/>
        <v>989.97237255837581</v>
      </c>
      <c r="AR21" s="271">
        <f t="shared" si="126"/>
        <v>2424.1341482194707</v>
      </c>
      <c r="AS21" s="66">
        <f t="shared" si="127"/>
        <v>72834.58150163517</v>
      </c>
      <c r="AT21" s="193">
        <f t="shared" si="128"/>
        <v>18815.335001871528</v>
      </c>
      <c r="AU21" s="66">
        <f t="shared" si="187"/>
        <v>54019.246499763642</v>
      </c>
      <c r="AV21" s="66"/>
      <c r="AW21" s="66"/>
      <c r="AX21" s="271">
        <f t="shared" si="203"/>
        <v>22229.44152264938</v>
      </c>
      <c r="AY21" s="140">
        <f t="shared" si="10"/>
        <v>4.4775937912194405E-2</v>
      </c>
      <c r="AZ21" s="623">
        <f t="shared" si="129"/>
        <v>3.1792470284956319E-2</v>
      </c>
      <c r="BA21" s="248">
        <f t="shared" si="11"/>
        <v>0.10905060955982825</v>
      </c>
      <c r="BB21" s="248">
        <f t="shared" si="130"/>
        <v>8.1160355568148899E-3</v>
      </c>
      <c r="BC21" s="248">
        <f t="shared" si="131"/>
        <v>1.5765588058431811E-3</v>
      </c>
      <c r="BD21" s="248">
        <f t="shared" si="132"/>
        <v>2.2760408179693065E-2</v>
      </c>
      <c r="BE21" s="248">
        <f t="shared" si="133"/>
        <v>2.9235788116116847E-2</v>
      </c>
      <c r="BF21" s="248">
        <f t="shared" si="134"/>
        <v>4.1595691527358161E-2</v>
      </c>
      <c r="BG21" s="248">
        <f t="shared" si="135"/>
        <v>5.7661273740020761E-3</v>
      </c>
      <c r="BH21" s="248">
        <f t="shared" si="136"/>
        <v>2.4336966985536248E-2</v>
      </c>
      <c r="BI21" s="23">
        <f t="shared" si="12"/>
        <v>0.12568938291330994</v>
      </c>
      <c r="BJ21" s="140">
        <f t="shared" si="13"/>
        <v>0.7084613243953114</v>
      </c>
      <c r="BK21" s="623">
        <f t="shared" si="137"/>
        <v>0.69547785676807328</v>
      </c>
      <c r="BL21" s="590">
        <f t="shared" si="138"/>
        <v>2263.8436108013966</v>
      </c>
      <c r="BM21" s="66">
        <f>BM20+(BM$22-BM$17)/5</f>
        <v>-0.25642764028979892</v>
      </c>
      <c r="BN21" s="66">
        <f t="shared" si="212"/>
        <v>-6.4</v>
      </c>
      <c r="BO21" s="66">
        <f t="shared" si="212"/>
        <v>73.162812731228811</v>
      </c>
      <c r="BP21" s="66">
        <f t="shared" si="212"/>
        <v>-74.082360641408172</v>
      </c>
      <c r="BQ21" s="66">
        <f t="shared" si="212"/>
        <v>-335.13119851520622</v>
      </c>
      <c r="BR21" s="66">
        <f t="shared" si="212"/>
        <v>7.2</v>
      </c>
      <c r="BS21" s="193">
        <f t="shared" si="198"/>
        <v>-335.50717406567537</v>
      </c>
      <c r="BT21" s="66">
        <f t="shared" si="212"/>
        <v>2599.350784867072</v>
      </c>
      <c r="BU21" s="193">
        <f t="shared" si="204"/>
        <v>1749.6197399926382</v>
      </c>
      <c r="BV21" s="66">
        <f t="shared" si="212"/>
        <v>849.73104487443379</v>
      </c>
      <c r="BW21" s="590">
        <f>BW22*'Assets(BoP)'!ER68/'Assets(BoP)'!ER69</f>
        <v>18836.788022413024</v>
      </c>
      <c r="BX21" s="357">
        <f t="shared" si="147"/>
        <v>220.32198204952863</v>
      </c>
      <c r="BY21" s="193">
        <f t="shared" si="148"/>
        <v>55.220212383543064</v>
      </c>
      <c r="BZ21" s="647">
        <f t="shared" si="149"/>
        <v>8.7648578658706885E-3</v>
      </c>
      <c r="CA21" s="357">
        <f t="shared" si="150"/>
        <v>26.537094702320712</v>
      </c>
      <c r="CB21" s="193">
        <f t="shared" si="151"/>
        <v>3.6466830339378093</v>
      </c>
      <c r="CC21" s="647">
        <f t="shared" si="14"/>
        <v>1.2151971791128434E-3</v>
      </c>
      <c r="CD21" s="357">
        <f t="shared" si="152"/>
        <v>364.9416342412452</v>
      </c>
      <c r="CE21" s="193">
        <f t="shared" si="153"/>
        <v>50.360545864597306</v>
      </c>
      <c r="CF21" s="655">
        <f t="shared" si="15"/>
        <v>1.670035719477983E-2</v>
      </c>
      <c r="CG21" s="357">
        <f t="shared" si="154"/>
        <v>492.21351616062697</v>
      </c>
      <c r="CH21" s="193">
        <f t="shared" si="155"/>
        <v>-0.55040564009625015</v>
      </c>
      <c r="CI21" s="23">
        <f t="shared" si="16"/>
        <v>2.6159657432806814E-2</v>
      </c>
      <c r="CJ21" s="357">
        <f t="shared" si="156"/>
        <v>1051.8156169736214</v>
      </c>
      <c r="CK21" s="641">
        <f t="shared" si="157"/>
        <v>219.47621656818603</v>
      </c>
      <c r="CL21" s="34">
        <f t="shared" si="158"/>
        <v>4.4186906993648453E-2</v>
      </c>
      <c r="CM21" s="357">
        <f t="shared" si="159"/>
        <v>164.06185567010314</v>
      </c>
      <c r="CN21" s="193">
        <f t="shared" si="160"/>
        <v>61.515538967273415</v>
      </c>
      <c r="CO21" s="23">
        <f t="shared" si="161"/>
        <v>5.4439385621802717E-3</v>
      </c>
      <c r="CP21" s="271">
        <f t="shared" si="17"/>
        <v>2319.8916997974461</v>
      </c>
      <c r="CQ21" s="193">
        <f t="shared" si="162"/>
        <v>389.66879117744139</v>
      </c>
      <c r="CR21" s="271">
        <f t="shared" si="18"/>
        <v>16516.896322615579</v>
      </c>
      <c r="CS21" s="248">
        <f t="shared" si="163"/>
        <v>0.10247091522839891</v>
      </c>
      <c r="CT21" s="30">
        <f t="shared" si="19"/>
        <v>0.12315749888129092</v>
      </c>
      <c r="CU21" s="308">
        <f t="shared" si="20"/>
        <v>0</v>
      </c>
      <c r="CV21" s="644">
        <f>CV20*'Assets(BoP)'!FH68/'Assets(BoP)'!FH67</f>
        <v>1.1696366800294067E-2</v>
      </c>
      <c r="CW21" s="308">
        <f>CW22*'Assets(BoP)'!EY68/'Assets(BoP)'!EY69</f>
        <v>1.4087908549347929E-3</v>
      </c>
      <c r="CX21" s="308">
        <f>CX22*'Assets(BoP)'!FH68/'Assets(BoP)'!FH69</f>
        <v>1.9373878062810816E-2</v>
      </c>
      <c r="CY21" s="308">
        <f>CY22*'Assets(BoP)'!FJ68/'Assets(BoP)'!FJ69</f>
        <v>2.6130437714485338E-2</v>
      </c>
      <c r="CZ21" s="308">
        <f>CZ22*DA21/DA22</f>
        <v>5.5838374128440296E-2</v>
      </c>
      <c r="DA21" s="387">
        <f>(DA20+DA22)/2</f>
        <v>5.4202989192196731E-2</v>
      </c>
      <c r="DB21" s="367">
        <f>DB22*'Assets(BoP)'!FN68/'Assets(BoP)'!FN69</f>
        <v>8.7096513203256051E-3</v>
      </c>
      <c r="DC21" s="23">
        <f t="shared" si="21"/>
        <v>0.14342954576466652</v>
      </c>
      <c r="DD21" s="193">
        <f t="shared" si="22"/>
        <v>13457.638022413023</v>
      </c>
      <c r="DE21" s="66">
        <f t="shared" si="164"/>
        <v>5379.1500000000005</v>
      </c>
      <c r="DF21" s="635">
        <f>'Assets(BoP)'!ES68*1000</f>
        <v>5233</v>
      </c>
      <c r="DG21" s="193">
        <f>'Assets(BoP)'!DA68*1000</f>
        <v>5123</v>
      </c>
      <c r="DH21" s="23">
        <f t="shared" si="23"/>
        <v>0.28556620128652499</v>
      </c>
      <c r="DI21" s="23">
        <f>'Assets(BoP)'!DA68/'Assets(BoP)'!CZ68</f>
        <v>0.26964577083004371</v>
      </c>
      <c r="DJ21" s="23">
        <f t="shared" si="24"/>
        <v>0.10378362081848011</v>
      </c>
      <c r="DK21" s="600">
        <f>'Assets(BoP)'!FO68-'Assets(BoP)'!FH68</f>
        <v>0.13808627877945553</v>
      </c>
      <c r="DL21" s="576">
        <f t="shared" si="25"/>
        <v>1.5373529853965506</v>
      </c>
      <c r="DM21" s="251">
        <f t="shared" si="26"/>
        <v>1.8004136441377327</v>
      </c>
      <c r="DN21" s="251">
        <f t="shared" si="27"/>
        <v>1.382264920898691</v>
      </c>
      <c r="DO21" s="251">
        <f t="shared" si="28"/>
        <v>0.40555299455012217</v>
      </c>
      <c r="DP21" s="251">
        <f t="shared" si="29"/>
        <v>0.35746848151458349</v>
      </c>
      <c r="DQ21" s="251">
        <f t="shared" si="30"/>
        <v>0.45005876174330006</v>
      </c>
      <c r="DR21" s="251">
        <f t="shared" si="31"/>
        <v>0.36950897034641605</v>
      </c>
      <c r="DS21" s="251">
        <f t="shared" si="32"/>
        <v>0.9328203956693023</v>
      </c>
      <c r="DT21" s="251">
        <f t="shared" si="33"/>
        <v>0.9336635102707036</v>
      </c>
      <c r="DU21" s="251">
        <f t="shared" si="34"/>
        <v>4.9593403052987082</v>
      </c>
      <c r="DV21" s="251">
        <f t="shared" si="35"/>
        <v>3.3137929202811445</v>
      </c>
      <c r="DW21" s="251">
        <f t="shared" si="36"/>
        <v>1.7335091690857054</v>
      </c>
      <c r="DX21" s="251">
        <f t="shared" si="37"/>
        <v>1.1391037135742359</v>
      </c>
      <c r="DY21" s="251">
        <f t="shared" si="38"/>
        <v>0.44709203223848165</v>
      </c>
      <c r="DZ21" s="251">
        <f t="shared" si="39"/>
        <v>0.3687044658359932</v>
      </c>
      <c r="EA21" s="643">
        <f t="shared" si="40"/>
        <v>1.2370968506375266</v>
      </c>
      <c r="EB21" s="643">
        <f t="shared" si="41"/>
        <v>0.90269564531369162</v>
      </c>
      <c r="EC21" s="251">
        <f t="shared" si="42"/>
        <v>1.5550447238458842</v>
      </c>
      <c r="ED21" s="251">
        <f t="shared" si="43"/>
        <v>0.48811666419287569</v>
      </c>
      <c r="EE21" s="140">
        <f t="shared" si="44"/>
        <v>0.4398010002078</v>
      </c>
      <c r="EF21" s="1342">
        <v>0.24220473179004842</v>
      </c>
      <c r="EG21" s="140">
        <f t="shared" si="213"/>
        <v>13.317900958693588</v>
      </c>
      <c r="EH21" s="583">
        <v>12.8</v>
      </c>
      <c r="EI21" s="1344">
        <v>3.409771030518852</v>
      </c>
      <c r="EJ21" s="576">
        <f t="shared" si="166"/>
        <v>0.3797939748553617</v>
      </c>
      <c r="EK21" s="753">
        <f t="shared" si="167"/>
        <v>0.78275212875921674</v>
      </c>
      <c r="EL21" s="753">
        <f t="shared" si="168"/>
        <v>1.3261752353815242</v>
      </c>
      <c r="EM21" s="753">
        <f t="shared" si="169"/>
        <v>0.26034040702755723</v>
      </c>
      <c r="EN21" s="583"/>
      <c r="EO21" s="5"/>
      <c r="EP21" s="193"/>
      <c r="EQ21" s="193"/>
      <c r="ER21" s="193"/>
      <c r="ES21" s="193"/>
      <c r="ET21" s="193"/>
      <c r="EU21" s="193"/>
      <c r="EV21" s="193"/>
      <c r="EW21" s="193"/>
      <c r="EX21" s="193"/>
      <c r="EY21" s="193"/>
      <c r="EZ21" s="193"/>
      <c r="FA21" s="193"/>
      <c r="FB21" s="193"/>
      <c r="FC21" s="193"/>
      <c r="FD21" s="23"/>
      <c r="FE21" s="66"/>
      <c r="FF21" s="66"/>
      <c r="FG21" s="66">
        <f t="shared" si="210"/>
        <v>5379.1500000000005</v>
      </c>
      <c r="FH21" s="193">
        <f>'Assets(BoP)'!DA68*1000</f>
        <v>5123</v>
      </c>
      <c r="FI21" s="184">
        <v>1.05</v>
      </c>
      <c r="FJ21" s="590">
        <f t="shared" si="206"/>
        <v>57411.899999999994</v>
      </c>
      <c r="FK21" s="143">
        <f>FJ21/'Assets(BoP)'!AV68/1000</f>
        <v>1.3</v>
      </c>
      <c r="FL21" s="725"/>
      <c r="FM21" s="66">
        <f t="shared" si="170"/>
        <v>23.201769909051706</v>
      </c>
      <c r="FN21" s="66">
        <f t="shared" si="171"/>
        <v>7.8886017690775807</v>
      </c>
      <c r="FO21" s="184">
        <v>0.34</v>
      </c>
      <c r="FP21" s="66">
        <f t="shared" si="173"/>
        <v>13.371171124438634</v>
      </c>
      <c r="FQ21" s="66">
        <f t="shared" si="190"/>
        <v>1.2155610113126032</v>
      </c>
      <c r="FR21" s="184">
        <f>FR$22</f>
        <v>9.0909090909090912E-2</v>
      </c>
      <c r="FS21" s="66">
        <f t="shared" si="174"/>
        <v>255.16009904729302</v>
      </c>
      <c r="FT21" s="66">
        <f t="shared" si="191"/>
        <v>63.790024761823254</v>
      </c>
      <c r="FU21" s="193">
        <f t="shared" si="175"/>
        <v>191.37007428546977</v>
      </c>
      <c r="FV21" s="184">
        <v>0.25</v>
      </c>
      <c r="FW21" s="66">
        <f t="shared" si="177"/>
        <v>157.0506575995326</v>
      </c>
      <c r="FX21" s="66">
        <f t="shared" si="192"/>
        <v>-8.0662895531346993E-2</v>
      </c>
      <c r="FY21" s="184">
        <f t="shared" si="193"/>
        <v>-5.1361068310220854E-4</v>
      </c>
      <c r="FZ21" s="66">
        <f t="shared" si="178"/>
        <v>604.42076398856898</v>
      </c>
      <c r="GA21" s="66">
        <f t="shared" si="179"/>
        <v>512.11117199243392</v>
      </c>
      <c r="GB21" s="193">
        <f t="shared" si="180"/>
        <v>92.309591996135055</v>
      </c>
      <c r="GC21" s="184">
        <f>GC$22</f>
        <v>0.84727594170163079</v>
      </c>
      <c r="GD21" s="66">
        <f t="shared" si="182"/>
        <v>41.010359311515614</v>
      </c>
      <c r="GE21" s="66">
        <f t="shared" si="194"/>
        <v>15.378884741818355</v>
      </c>
      <c r="GF21" s="184">
        <v>0.375</v>
      </c>
      <c r="GG21" s="193">
        <f t="shared" si="47"/>
        <v>1094.2148209804006</v>
      </c>
      <c r="GH21" s="193">
        <f t="shared" si="48"/>
        <v>600.30358138093447</v>
      </c>
      <c r="GI21" s="193">
        <f t="shared" si="49"/>
        <v>56317.685179019594</v>
      </c>
      <c r="GJ21" s="23">
        <f t="shared" si="50"/>
        <v>1.90590247140471E-2</v>
      </c>
      <c r="GK21" s="66">
        <f>GM21*'Assets(BoP)'!AW68*1000</f>
        <v>48640.09649976364</v>
      </c>
      <c r="GL21" s="66"/>
      <c r="GM21" s="184">
        <v>1.3</v>
      </c>
      <c r="GN21" s="23">
        <f t="shared" si="51"/>
        <v>0.84721279908457381</v>
      </c>
      <c r="GO21" s="666">
        <f>('Assets(BoP)'!AV68-'Assets(BoP)'!AW68)*1000*GP21</f>
        <v>8771.803500236354</v>
      </c>
      <c r="GP21" s="184">
        <v>1.3</v>
      </c>
      <c r="GQ21" s="330">
        <f t="shared" si="52"/>
        <v>7677.588679255954</v>
      </c>
      <c r="GR21" s="330">
        <v>90.620999999999995</v>
      </c>
      <c r="GS21" s="140">
        <f t="shared" si="53"/>
        <v>0.11940518520357937</v>
      </c>
      <c r="GT21" s="582">
        <v>0.70662172513387222</v>
      </c>
      <c r="GU21" s="576">
        <f t="shared" si="54"/>
        <v>0.75295590637735277</v>
      </c>
      <c r="GV21" s="56">
        <f t="shared" si="195"/>
        <v>9.5275182492252211E-2</v>
      </c>
      <c r="GW21" s="389">
        <v>0.125</v>
      </c>
      <c r="GX21" s="56">
        <f t="shared" si="196"/>
        <v>0.3350476611156824</v>
      </c>
      <c r="GY21" s="389">
        <v>0.25</v>
      </c>
      <c r="GZ21" s="56">
        <f t="shared" si="196"/>
        <v>0.41148102859529506</v>
      </c>
      <c r="HA21" s="56">
        <f>HA$22</f>
        <v>0.55882352941176472</v>
      </c>
      <c r="HB21" s="56">
        <f t="shared" si="196"/>
        <v>0.24189022580745023</v>
      </c>
      <c r="HC21" s="56">
        <f t="shared" si="56"/>
        <v>0.12781954887218044</v>
      </c>
      <c r="HD21" s="400">
        <f t="shared" si="196"/>
        <v>0.36493629226851709</v>
      </c>
      <c r="HE21" s="400">
        <v>0.7</v>
      </c>
      <c r="HF21" s="56">
        <f t="shared" si="197"/>
        <v>0.19998008660115901</v>
      </c>
      <c r="HG21" s="56">
        <v>0.2</v>
      </c>
      <c r="HH21" s="6">
        <f t="shared" si="57"/>
        <v>0.32049814917054853</v>
      </c>
      <c r="HI21" s="6">
        <f t="shared" si="58"/>
        <v>0.20374748648388313</v>
      </c>
      <c r="HJ21" s="23">
        <f t="shared" si="59"/>
        <v>0.9004216025111802</v>
      </c>
      <c r="HK21" s="23"/>
      <c r="HL21" s="23"/>
      <c r="HM21" s="802">
        <f t="shared" si="184"/>
        <v>0.39460296343022583</v>
      </c>
      <c r="HN21" s="23">
        <f t="shared" si="60"/>
        <v>0.77322727772871513</v>
      </c>
      <c r="HO21" s="23">
        <f t="shared" si="61"/>
        <v>0.40804953398343841</v>
      </c>
      <c r="HP21" s="575"/>
      <c r="HQ21" s="193"/>
      <c r="HR21" s="193"/>
      <c r="HS21" s="193"/>
      <c r="HT21" s="193"/>
      <c r="HU21" s="193"/>
      <c r="HV21" s="193"/>
      <c r="HW21" s="193"/>
      <c r="HX21" s="193"/>
      <c r="HY21" s="193"/>
      <c r="HZ21" s="193"/>
      <c r="IA21" s="193"/>
      <c r="IB21" s="23"/>
      <c r="IC21" s="23"/>
      <c r="ID21" s="23"/>
      <c r="IE21" s="23"/>
      <c r="IF21" s="23"/>
      <c r="IG21" s="23"/>
      <c r="IH21" s="23"/>
      <c r="II21" s="23"/>
      <c r="IJ21" s="23"/>
      <c r="IK21" s="23"/>
      <c r="IL21" s="23"/>
      <c r="IM21" s="575"/>
      <c r="IN21" s="193"/>
      <c r="IO21" s="193"/>
      <c r="IP21" s="193"/>
      <c r="IQ21" s="193"/>
      <c r="IR21" s="193"/>
      <c r="IS21" s="193"/>
      <c r="IT21" s="193"/>
      <c r="IU21" s="193"/>
      <c r="IV21" s="193"/>
      <c r="IW21" s="193"/>
      <c r="IX21" s="149">
        <f t="shared" si="63"/>
        <v>0</v>
      </c>
      <c r="IY21" s="316">
        <f t="shared" si="64"/>
        <v>0</v>
      </c>
      <c r="IZ21" s="316">
        <f t="shared" si="65"/>
        <v>0</v>
      </c>
      <c r="JA21" s="316">
        <f t="shared" si="66"/>
        <v>0</v>
      </c>
      <c r="JB21" s="316">
        <f t="shared" si="67"/>
        <v>0</v>
      </c>
      <c r="JC21" s="316">
        <f t="shared" si="68"/>
        <v>0</v>
      </c>
      <c r="JD21" s="316">
        <f t="shared" si="69"/>
        <v>0</v>
      </c>
      <c r="JE21" s="316">
        <f t="shared" si="70"/>
        <v>0</v>
      </c>
      <c r="JF21" s="316">
        <f t="shared" si="71"/>
        <v>0</v>
      </c>
      <c r="JG21" s="316">
        <f t="shared" si="72"/>
        <v>0</v>
      </c>
      <c r="JH21" s="316">
        <f t="shared" si="73"/>
        <v>0</v>
      </c>
      <c r="JI21" s="5"/>
      <c r="JJ21" s="593"/>
      <c r="JK21" s="593"/>
      <c r="JL21" s="593"/>
      <c r="JM21" s="593"/>
      <c r="JN21" s="593"/>
      <c r="JO21" s="593"/>
      <c r="JP21" s="552">
        <f t="shared" si="74"/>
        <v>0</v>
      </c>
      <c r="JQ21" s="552">
        <f t="shared" si="75"/>
        <v>0</v>
      </c>
      <c r="JR21" s="552">
        <f t="shared" si="76"/>
        <v>0</v>
      </c>
      <c r="JS21" s="593"/>
      <c r="JT21" s="149"/>
      <c r="JU21" s="593"/>
      <c r="JV21" s="593"/>
      <c r="JW21" s="593"/>
      <c r="JX21" s="593"/>
      <c r="JY21" s="593"/>
      <c r="JZ21" s="593"/>
      <c r="KA21" s="593"/>
      <c r="KB21" s="593"/>
      <c r="KC21" s="657"/>
      <c r="KD21" s="593"/>
      <c r="KE21" s="149"/>
      <c r="KL21" s="552">
        <f t="shared" si="207"/>
        <v>0</v>
      </c>
      <c r="KM21" s="552">
        <f t="shared" si="208"/>
        <v>0</v>
      </c>
      <c r="KN21" s="552">
        <f t="shared" si="209"/>
        <v>0</v>
      </c>
      <c r="KP21" s="149"/>
      <c r="KY21" s="657"/>
      <c r="LA21" s="149">
        <f>'Assets(MOFA)'!IX21-'Assets(MOFA)'!KE21-'Assets(MOFA)'!KP21</f>
        <v>0</v>
      </c>
      <c r="LB21" s="552">
        <f>'Assets(MOFA)'!IY21-'Assets(MOFA)'!KF21-'Assets(MOFA)'!KQ21</f>
        <v>0</v>
      </c>
      <c r="LC21" s="552">
        <f>'Assets(MOFA)'!IZ21-'Assets(MOFA)'!KG21-'Assets(MOFA)'!KR21</f>
        <v>0</v>
      </c>
      <c r="LD21" s="552">
        <f>'Assets(MOFA)'!JA21-'Assets(MOFA)'!KH21-'Assets(MOFA)'!KS21</f>
        <v>0</v>
      </c>
      <c r="LE21" s="552">
        <f>'Assets(MOFA)'!JB21-'Assets(MOFA)'!KI21-'Assets(MOFA)'!KT21</f>
        <v>0</v>
      </c>
      <c r="LF21" s="552">
        <f>'Assets(MOFA)'!JC21-'Assets(MOFA)'!KJ21-'Assets(MOFA)'!KU21</f>
        <v>0</v>
      </c>
      <c r="LG21" s="552">
        <f>'Assets(MOFA)'!JD21-'Assets(MOFA)'!KK21-'Assets(MOFA)'!KV21</f>
        <v>0</v>
      </c>
      <c r="LH21" s="552">
        <f>'Assets(MOFA)'!JE21-'Assets(MOFA)'!KL21-'Assets(MOFA)'!KW21</f>
        <v>0</v>
      </c>
      <c r="LI21" s="552">
        <f>'Assets(MOFA)'!JF21-'Assets(MOFA)'!KM21-'Assets(MOFA)'!KX21</f>
        <v>0</v>
      </c>
      <c r="LJ21" s="552">
        <f t="shared" si="77"/>
        <v>0</v>
      </c>
      <c r="LK21" s="552">
        <f>'Assets(MOFA)'!JH21-'Assets(MOFA)'!KO21-'Assets(MOFA)'!KZ21</f>
        <v>0</v>
      </c>
      <c r="LL21" s="576" t="e">
        <f t="shared" si="78"/>
        <v>#DIV/0!</v>
      </c>
      <c r="LM21" s="6" t="e">
        <f t="shared" si="79"/>
        <v>#DIV/0!</v>
      </c>
      <c r="LN21" s="6" t="e">
        <f t="shared" si="80"/>
        <v>#DIV/0!</v>
      </c>
      <c r="LO21" s="6" t="e">
        <f t="shared" si="81"/>
        <v>#DIV/0!</v>
      </c>
      <c r="LP21" s="6" t="e">
        <f t="shared" si="82"/>
        <v>#DIV/0!</v>
      </c>
      <c r="LQ21" s="6" t="e">
        <f t="shared" si="83"/>
        <v>#DIV/0!</v>
      </c>
      <c r="LR21" s="6" t="e">
        <f t="shared" si="84"/>
        <v>#DIV/0!</v>
      </c>
      <c r="LS21" s="6" t="e">
        <f t="shared" si="85"/>
        <v>#DIV/0!</v>
      </c>
      <c r="LT21" s="143" t="e">
        <f t="shared" si="86"/>
        <v>#DIV/0!</v>
      </c>
      <c r="LU21" s="62" t="e">
        <f t="shared" si="87"/>
        <v>#DIV/0!</v>
      </c>
      <c r="LV21" s="902" t="e">
        <f t="shared" si="88"/>
        <v>#DIV/0!</v>
      </c>
      <c r="LW21" s="902" t="e">
        <f t="shared" si="89"/>
        <v>#DIV/0!</v>
      </c>
      <c r="LX21" s="143" t="e">
        <f t="shared" si="90"/>
        <v>#DIV/0!</v>
      </c>
      <c r="LY21" s="576" t="e">
        <f t="shared" si="91"/>
        <v>#DIV/0!</v>
      </c>
      <c r="LZ21" s="906" t="e">
        <f t="shared" si="92"/>
        <v>#DIV/0!</v>
      </c>
      <c r="MA21" s="906" t="e">
        <f t="shared" si="93"/>
        <v>#DIV/0!</v>
      </c>
      <c r="MB21" s="906" t="e">
        <f t="shared" si="94"/>
        <v>#DIV/0!</v>
      </c>
      <c r="MC21" s="906" t="e">
        <f t="shared" si="95"/>
        <v>#DIV/0!</v>
      </c>
      <c r="MD21" s="906" t="e">
        <f t="shared" si="96"/>
        <v>#DIV/0!</v>
      </c>
      <c r="ME21" s="906">
        <v>6.1610529375296846E-2</v>
      </c>
      <c r="MF21" s="906" t="e">
        <f t="shared" si="97"/>
        <v>#DIV/0!</v>
      </c>
      <c r="MG21" s="30" t="e">
        <f t="shared" si="98"/>
        <v>#DIV/0!</v>
      </c>
      <c r="MH21" s="140" t="e">
        <f t="shared" si="99"/>
        <v>#DIV/0!</v>
      </c>
      <c r="MI21" s="30" t="e">
        <f t="shared" si="100"/>
        <v>#DIV/0!</v>
      </c>
      <c r="MJ21" s="30" t="e">
        <f t="shared" si="101"/>
        <v>#DIV/0!</v>
      </c>
      <c r="MK21" s="617" t="e">
        <f t="shared" si="102"/>
        <v>#DIV/0!</v>
      </c>
      <c r="ML21" s="615" t="e">
        <f t="shared" si="103"/>
        <v>#DIV/0!</v>
      </c>
      <c r="MM21" s="574"/>
      <c r="MU21" s="593"/>
      <c r="MX21" s="574"/>
      <c r="NI21" s="613">
        <f t="shared" si="214"/>
        <v>49597.385081179091</v>
      </c>
      <c r="NQ21" s="593"/>
      <c r="NY21" s="593"/>
      <c r="NZ21" s="593"/>
      <c r="OA21" s="593"/>
      <c r="OB21" s="593"/>
      <c r="OC21" s="593"/>
      <c r="OD21" s="593"/>
      <c r="OE21" s="593"/>
      <c r="OF21" s="593"/>
      <c r="OG21" s="593"/>
      <c r="OH21" s="593"/>
      <c r="OI21" s="593"/>
      <c r="OJ21" s="593"/>
      <c r="OK21" s="593"/>
      <c r="OL21" s="593"/>
      <c r="OM21" s="593"/>
      <c r="ON21" s="593"/>
      <c r="OO21" s="593"/>
      <c r="OW21" s="593"/>
      <c r="PE21" s="593"/>
      <c r="PN21" s="574"/>
      <c r="PO21" s="593"/>
      <c r="PP21" s="593"/>
      <c r="PQ21" s="593"/>
      <c r="PR21" s="593"/>
      <c r="PS21" s="593"/>
      <c r="PT21" s="593"/>
      <c r="PU21" s="593"/>
      <c r="PV21" s="593"/>
      <c r="PW21" s="593"/>
      <c r="PX21" s="593"/>
      <c r="PY21" s="593"/>
      <c r="PZ21" s="593"/>
      <c r="QA21" s="593"/>
      <c r="QB21" s="593"/>
      <c r="QC21" s="593"/>
      <c r="QD21" s="593"/>
      <c r="QE21" s="593"/>
      <c r="QF21" s="593"/>
      <c r="QG21" s="593"/>
      <c r="QH21" s="593"/>
      <c r="QI21" s="593"/>
      <c r="QJ21" s="593"/>
      <c r="QK21" s="593"/>
      <c r="QL21" s="593"/>
      <c r="QM21" s="593"/>
      <c r="QN21" s="593"/>
      <c r="QO21" s="593"/>
      <c r="QP21" s="593"/>
      <c r="QQ21" s="593"/>
      <c r="QR21" s="593"/>
      <c r="QS21" s="593"/>
      <c r="QT21" s="593"/>
      <c r="QU21" s="593"/>
      <c r="QV21" s="593"/>
      <c r="QW21" s="593"/>
      <c r="QX21" s="593"/>
      <c r="QY21" s="593"/>
      <c r="QZ21" s="593"/>
      <c r="RA21" s="593"/>
      <c r="RB21" s="593"/>
      <c r="RC21" s="593"/>
      <c r="RD21" s="593"/>
      <c r="RE21" s="593"/>
      <c r="RF21" s="593"/>
      <c r="RG21" s="593"/>
      <c r="RH21" s="593"/>
      <c r="RI21" s="593"/>
      <c r="RJ21" s="593"/>
      <c r="RK21" s="593"/>
      <c r="RL21" s="593"/>
      <c r="RM21" s="593"/>
      <c r="RN21" s="593"/>
      <c r="RO21" s="593"/>
      <c r="RP21" s="593"/>
      <c r="RQ21" s="593"/>
      <c r="RR21" s="593"/>
    </row>
    <row r="22" spans="1:486" s="567" customFormat="1">
      <c r="A22" s="568">
        <v>1977</v>
      </c>
      <c r="B22" s="33">
        <v>59534</v>
      </c>
      <c r="C22" s="193">
        <v>183</v>
      </c>
      <c r="D22" s="193">
        <v>131</v>
      </c>
      <c r="E22" s="193">
        <v>1850</v>
      </c>
      <c r="F22" s="193">
        <v>869</v>
      </c>
      <c r="G22" s="193">
        <v>373</v>
      </c>
      <c r="H22" s="193">
        <v>146</v>
      </c>
      <c r="I22" s="193">
        <f t="shared" ref="I22:I28" si="215">H22+G22+F22+E22+D22+C22</f>
        <v>3552</v>
      </c>
      <c r="J22" s="193">
        <f t="shared" ref="J22:J30" si="216">B22-I22</f>
        <v>55982</v>
      </c>
      <c r="K22" s="193">
        <f>J22-L22</f>
        <v>51106</v>
      </c>
      <c r="L22" s="193">
        <v>4876</v>
      </c>
      <c r="M22" s="140">
        <f t="shared" ref="M22:M60" si="217">I22/B22</f>
        <v>5.9663385628380423E-2</v>
      </c>
      <c r="N22" s="32">
        <f>L22/B22</f>
        <v>8.1902778244364566E-2</v>
      </c>
      <c r="O22" s="193">
        <v>771700</v>
      </c>
      <c r="P22" s="30">
        <f>B22/O22</f>
        <v>7.7146559543864193E-2</v>
      </c>
      <c r="Q22" s="629">
        <f t="shared" ref="Q22:Q60" si="218">C22/$B22</f>
        <v>3.0738737528135185E-3</v>
      </c>
      <c r="R22" s="308">
        <f t="shared" ref="R22:R60" si="219">D22/$B22</f>
        <v>2.2004232875331743E-3</v>
      </c>
      <c r="S22" s="308">
        <f t="shared" ref="S22:S60" si="220">E22/$B22</f>
        <v>3.1074680014781468E-2</v>
      </c>
      <c r="T22" s="308">
        <f t="shared" ref="T22:T60" si="221">F22/$B22</f>
        <v>1.4596701044781134E-2</v>
      </c>
      <c r="U22" s="308">
        <f t="shared" ref="U22:U60" si="222">G22/$B22</f>
        <v>6.2653273759532366E-3</v>
      </c>
      <c r="V22" s="308">
        <f t="shared" ref="V22:V60" si="223">H22/$B22</f>
        <v>2.452380152517889E-3</v>
      </c>
      <c r="W22" s="5">
        <f>EO22+FJ22-HP22-IM22</f>
        <v>68698</v>
      </c>
      <c r="X22" s="76">
        <f>EP22+FM22-HQ22-IN22</f>
        <v>301</v>
      </c>
      <c r="Y22" s="76">
        <f t="shared" si="3"/>
        <v>80</v>
      </c>
      <c r="Z22" s="76">
        <f t="shared" si="114"/>
        <v>221</v>
      </c>
      <c r="AA22" s="76">
        <f>ER22+FP22-HR22-IO22</f>
        <v>32</v>
      </c>
      <c r="AB22" s="76">
        <f>ES22+FQ22</f>
        <v>3</v>
      </c>
      <c r="AC22" s="274">
        <f t="shared" si="117"/>
        <v>29</v>
      </c>
      <c r="AD22" s="76">
        <f>ET22+FS22-HS22-IP22</f>
        <v>950</v>
      </c>
      <c r="AE22" s="76">
        <f>EU22+FT22</f>
        <v>102</v>
      </c>
      <c r="AF22" s="274">
        <f t="shared" si="119"/>
        <v>848</v>
      </c>
      <c r="AG22" s="76">
        <f>EV22+FW22-HT22-IQ22</f>
        <v>752</v>
      </c>
      <c r="AH22" s="357">
        <f t="shared" si="5"/>
        <v>-7.8235294117647065</v>
      </c>
      <c r="AI22" s="76">
        <f t="shared" si="6"/>
        <v>759.82352941176475</v>
      </c>
      <c r="AJ22" s="76">
        <f>EX22+FZ22-HU22-IR22</f>
        <v>1653</v>
      </c>
      <c r="AK22" s="86">
        <f>EY22+GA22</f>
        <v>654.08929138862413</v>
      </c>
      <c r="AL22" s="274">
        <f t="shared" si="123"/>
        <v>998.91070861137587</v>
      </c>
      <c r="AM22" s="76">
        <f>EZ22+GD22-HV22-IS22</f>
        <v>181</v>
      </c>
      <c r="AN22" s="76">
        <f>FA22+GE22</f>
        <v>34</v>
      </c>
      <c r="AO22" s="274">
        <f t="shared" si="125"/>
        <v>147</v>
      </c>
      <c r="AP22" s="193">
        <f t="shared" si="8"/>
        <v>3869</v>
      </c>
      <c r="AQ22" s="271">
        <f t="shared" si="9"/>
        <v>865.26576197685938</v>
      </c>
      <c r="AR22" s="271">
        <f t="shared" si="126"/>
        <v>3003.7342380231407</v>
      </c>
      <c r="AS22" s="193">
        <f>W22-AP22</f>
        <v>64829</v>
      </c>
      <c r="AT22" s="193">
        <f t="shared" ref="AT22:AT60" si="224">AS22-AU22</f>
        <v>18671</v>
      </c>
      <c r="AU22" s="193">
        <f t="shared" ref="AU22" si="225">FE22+GK22-HY22-IV22</f>
        <v>46158</v>
      </c>
      <c r="AV22" s="193">
        <f t="shared" ref="AV22" si="226">FF22+GL22-HZ22-IW22</f>
        <v>40185</v>
      </c>
      <c r="AW22" s="23">
        <f>AV22/AU22</f>
        <v>0.87059664630183287</v>
      </c>
      <c r="AX22" s="271">
        <f t="shared" ref="AX22:AX61" si="227">W22-AU22</f>
        <v>22540</v>
      </c>
      <c r="AY22" s="140">
        <f t="shared" si="10"/>
        <v>5.6318961250691434E-2</v>
      </c>
      <c r="AZ22" s="623">
        <f t="shared" si="129"/>
        <v>4.372375088100295E-2</v>
      </c>
      <c r="BA22" s="248">
        <f t="shared" si="11"/>
        <v>0.13326238855470898</v>
      </c>
      <c r="BB22" s="248">
        <f t="shared" si="130"/>
        <v>9.8047914818101146E-3</v>
      </c>
      <c r="BC22" s="248">
        <f t="shared" si="131"/>
        <v>1.2866015971606034E-3</v>
      </c>
      <c r="BD22" s="248">
        <f t="shared" si="132"/>
        <v>3.7622005323868675E-2</v>
      </c>
      <c r="BE22" s="248">
        <f t="shared" si="133"/>
        <v>3.3710005741427004E-2</v>
      </c>
      <c r="BF22" s="248">
        <f t="shared" si="134"/>
        <v>4.43172452800078E-2</v>
      </c>
      <c r="BG22" s="248">
        <f t="shared" si="135"/>
        <v>6.5217391304347823E-3</v>
      </c>
      <c r="BH22" s="248">
        <f t="shared" si="136"/>
        <v>3.8908606921029279E-2</v>
      </c>
      <c r="BI22" s="23">
        <f t="shared" si="12"/>
        <v>0.12950310559006212</v>
      </c>
      <c r="BJ22" s="140">
        <f t="shared" si="13"/>
        <v>0.67189728958630524</v>
      </c>
      <c r="BK22" s="623">
        <f t="shared" si="137"/>
        <v>0.65930207921661677</v>
      </c>
      <c r="BL22" s="5">
        <f>7013-4691</f>
        <v>2322</v>
      </c>
      <c r="BM22" s="76">
        <f>15-17</f>
        <v>-2</v>
      </c>
      <c r="BN22" s="76">
        <f>21-29</f>
        <v>-8</v>
      </c>
      <c r="BO22" s="76">
        <f>256-184</f>
        <v>72</v>
      </c>
      <c r="BP22" s="76">
        <f>113-193</f>
        <v>-80</v>
      </c>
      <c r="BQ22" s="271">
        <f>334-756</f>
        <v>-422</v>
      </c>
      <c r="BR22" s="76">
        <f>13-4</f>
        <v>9</v>
      </c>
      <c r="BS22" s="193">
        <f t="shared" si="198"/>
        <v>-431</v>
      </c>
      <c r="BT22" s="193">
        <f>BL22-BS22</f>
        <v>2753</v>
      </c>
      <c r="BU22" s="193">
        <f>BT22-BV22</f>
        <v>1905</v>
      </c>
      <c r="BV22" s="193">
        <f>1287-439</f>
        <v>848</v>
      </c>
      <c r="BW22" s="5">
        <f>W22-FJ22</f>
        <v>18633</v>
      </c>
      <c r="BX22" s="193">
        <f>X22-FM22</f>
        <v>276</v>
      </c>
      <c r="BY22" s="193">
        <f t="shared" si="148"/>
        <v>70</v>
      </c>
      <c r="BZ22" s="647">
        <f t="shared" si="149"/>
        <v>1.1055653947297805E-2</v>
      </c>
      <c r="CA22" s="193">
        <f>AA22-FP22</f>
        <v>21</v>
      </c>
      <c r="CB22" s="193">
        <f t="shared" si="151"/>
        <v>2</v>
      </c>
      <c r="CC22" s="647">
        <f t="shared" si="14"/>
        <v>1.0196962378575644E-3</v>
      </c>
      <c r="CD22" s="193">
        <f>AD22-FS22</f>
        <v>565</v>
      </c>
      <c r="CE22" s="193">
        <f t="shared" si="153"/>
        <v>45</v>
      </c>
      <c r="CF22" s="655">
        <f t="shared" si="15"/>
        <v>2.7907475983470188E-2</v>
      </c>
      <c r="CG22" s="193">
        <f>AG22-FW22</f>
        <v>575</v>
      </c>
      <c r="CH22" s="193">
        <f t="shared" si="155"/>
        <v>-6.8235294117647065</v>
      </c>
      <c r="CI22" s="23">
        <f t="shared" si="16"/>
        <v>3.1225434949378239E-2</v>
      </c>
      <c r="CJ22" s="193">
        <f>AJ22-FZ22</f>
        <v>1025</v>
      </c>
      <c r="CK22" s="641">
        <f t="shared" si="157"/>
        <v>122</v>
      </c>
      <c r="CL22" s="34">
        <f t="shared" si="158"/>
        <v>4.8462405409756881E-2</v>
      </c>
      <c r="CM22" s="193">
        <f>AM22-GD22</f>
        <v>146</v>
      </c>
      <c r="CN22" s="193">
        <f t="shared" si="160"/>
        <v>25</v>
      </c>
      <c r="CO22" s="23">
        <f t="shared" si="161"/>
        <v>6.4938549884613322E-3</v>
      </c>
      <c r="CP22" s="271">
        <f t="shared" si="17"/>
        <v>2608</v>
      </c>
      <c r="CQ22" s="193">
        <f t="shared" si="162"/>
        <v>257.1764705882353</v>
      </c>
      <c r="CR22" s="271">
        <f t="shared" si="18"/>
        <v>16025</v>
      </c>
      <c r="CS22" s="248">
        <f t="shared" si="163"/>
        <v>0.12616452151622201</v>
      </c>
      <c r="CT22" s="30">
        <f t="shared" si="19"/>
        <v>0.13996672570171201</v>
      </c>
      <c r="CU22" s="308">
        <f t="shared" si="20"/>
        <v>0</v>
      </c>
      <c r="CV22" s="308">
        <f>BX22/$BW22</f>
        <v>1.4812429560457254E-2</v>
      </c>
      <c r="CW22" s="308">
        <f>CA22/$BW22</f>
        <v>1.1270326839478344E-3</v>
      </c>
      <c r="CX22" s="308">
        <f>CD22/$BW22</f>
        <v>3.0322546020501263E-2</v>
      </c>
      <c r="CY22" s="308">
        <f>CG22/$BW22</f>
        <v>3.0859228250952612E-2</v>
      </c>
      <c r="CZ22" s="308">
        <f>CJ22/$BW22</f>
        <v>5.5009928621263353E-2</v>
      </c>
      <c r="DA22" s="308">
        <f>'Assets(BoP)'!FK69</f>
        <v>5.339880705808684E-2</v>
      </c>
      <c r="DB22" s="308">
        <f>CM22/$BW22</f>
        <v>7.8355605645897067E-3</v>
      </c>
      <c r="DC22" s="23">
        <f t="shared" si="21"/>
        <v>0.18022259501776794</v>
      </c>
      <c r="DD22" s="193">
        <f t="shared" si="22"/>
        <v>13044</v>
      </c>
      <c r="DE22" s="66">
        <f t="shared" si="164"/>
        <v>5589</v>
      </c>
      <c r="DF22" s="635">
        <f>'Assets(BoP)'!ES69*1000</f>
        <v>5445.4661331251218</v>
      </c>
      <c r="DG22" s="193">
        <f>'Assets(BoP)'!DA69</f>
        <v>5331</v>
      </c>
      <c r="DH22" s="23">
        <f t="shared" si="23"/>
        <v>0.29995169859925935</v>
      </c>
      <c r="DI22" s="23">
        <f>'Assets(BoP)'!DA69/'Assets(BoP)'!CZ69/1000</f>
        <v>0.27098053169318359</v>
      </c>
      <c r="DJ22" s="23">
        <f t="shared" si="24"/>
        <v>0.10964417968121076</v>
      </c>
      <c r="DK22" s="600">
        <f>'Assets(BoP)'!FO69-'Assets(BoP)'!FH69</f>
        <v>0.12342271331685076</v>
      </c>
      <c r="DL22" s="576">
        <f t="shared" si="25"/>
        <v>1.1539288473813283</v>
      </c>
      <c r="DM22" s="643">
        <f t="shared" si="26"/>
        <v>1.644808743169399</v>
      </c>
      <c r="DN22" s="643">
        <f t="shared" si="27"/>
        <v>1.2661199175755637</v>
      </c>
      <c r="DO22" s="643">
        <f t="shared" si="28"/>
        <v>0.24427480916030533</v>
      </c>
      <c r="DP22" s="643">
        <f t="shared" si="29"/>
        <v>0.22191088631265884</v>
      </c>
      <c r="DQ22" s="643">
        <f t="shared" si="30"/>
        <v>0.51351351351351349</v>
      </c>
      <c r="DR22" s="643">
        <f t="shared" si="31"/>
        <v>0.46106376082590922</v>
      </c>
      <c r="DS22" s="643">
        <f t="shared" si="32"/>
        <v>0.86536248561565021</v>
      </c>
      <c r="DT22" s="643">
        <f t="shared" si="33"/>
        <v>0.87353462828664796</v>
      </c>
      <c r="DU22" s="643">
        <f t="shared" si="34"/>
        <v>4.431635388739946</v>
      </c>
      <c r="DV22" s="643">
        <f t="shared" si="35"/>
        <v>3.286929922978989</v>
      </c>
      <c r="DW22" s="643">
        <f t="shared" si="36"/>
        <v>1.2397260273972603</v>
      </c>
      <c r="DX22" s="643">
        <f t="shared" si="37"/>
        <v>1.0322429397543145</v>
      </c>
      <c r="DY22" s="251">
        <f t="shared" si="38"/>
        <v>0.49570923775870773</v>
      </c>
      <c r="DZ22" s="251">
        <f t="shared" si="39"/>
        <v>0.44519843375925955</v>
      </c>
      <c r="EA22" s="643">
        <f t="shared" si="40"/>
        <v>1.0892454954954955</v>
      </c>
      <c r="EB22" s="643">
        <f t="shared" si="41"/>
        <v>0.86798182350929043</v>
      </c>
      <c r="EC22" s="251">
        <f t="shared" si="42"/>
        <v>1.1580329391590154</v>
      </c>
      <c r="ED22" s="251">
        <f t="shared" si="43"/>
        <v>0.41238245087635844</v>
      </c>
      <c r="EE22" s="140">
        <f t="shared" si="44"/>
        <v>0.36533870778382188</v>
      </c>
      <c r="EF22" s="1342">
        <v>0.24967862992681053</v>
      </c>
      <c r="EG22" s="140">
        <f t="shared" ref="EG22:EG60" si="228">AU22/L22</f>
        <v>9.4663658736669394</v>
      </c>
      <c r="EH22" s="583">
        <v>13.92</v>
      </c>
      <c r="EI22" s="1344">
        <v>3.2019301281863246</v>
      </c>
      <c r="EJ22" s="576">
        <f t="shared" si="166"/>
        <v>0.31298081768401248</v>
      </c>
      <c r="EK22" s="753">
        <f t="shared" si="167"/>
        <v>0.70645536941615761</v>
      </c>
      <c r="EL22" s="753">
        <f t="shared" si="168"/>
        <v>1.1462264150943395</v>
      </c>
      <c r="EM22" s="753">
        <f t="shared" si="169"/>
        <v>0.20420302899855203</v>
      </c>
      <c r="EN22" s="583"/>
      <c r="EO22" s="5">
        <v>20099</v>
      </c>
      <c r="EP22" s="193">
        <v>281</v>
      </c>
      <c r="EQ22" s="66"/>
      <c r="ER22" s="193">
        <v>39</v>
      </c>
      <c r="ES22" s="193">
        <v>2</v>
      </c>
      <c r="ET22" s="193">
        <v>813</v>
      </c>
      <c r="EU22" s="193">
        <v>45</v>
      </c>
      <c r="EV22" s="193">
        <v>1090</v>
      </c>
      <c r="EW22" s="193">
        <v>-12</v>
      </c>
      <c r="EX22" s="193">
        <v>1144</v>
      </c>
      <c r="EY22" s="193">
        <v>122</v>
      </c>
      <c r="EZ22" s="193">
        <v>145</v>
      </c>
      <c r="FA22" s="193">
        <v>25</v>
      </c>
      <c r="FB22" s="193">
        <f>EZ22+EX22+EV22+ET22+ER22+EP22</f>
        <v>3512</v>
      </c>
      <c r="FC22" s="193">
        <f>EO22-FB22</f>
        <v>16587</v>
      </c>
      <c r="FD22" s="23">
        <f>FB22/EO22</f>
        <v>0.17473506144584308</v>
      </c>
      <c r="FE22" s="193">
        <v>5798</v>
      </c>
      <c r="FF22" s="193">
        <v>3483</v>
      </c>
      <c r="FG22" s="193">
        <f>FE22-HY22</f>
        <v>5589</v>
      </c>
      <c r="FH22" s="193">
        <f>'Assets(BoP)'!DA69</f>
        <v>5331</v>
      </c>
      <c r="FI22" s="23">
        <f>FG22/FH22</f>
        <v>1.04839617332583</v>
      </c>
      <c r="FJ22" s="5">
        <v>50065</v>
      </c>
      <c r="FK22" s="143">
        <f>FJ22/'Assets(BoP)'!AV69/1000</f>
        <v>1.180569474739138</v>
      </c>
      <c r="FL22" s="192"/>
      <c r="FM22" s="193">
        <v>25</v>
      </c>
      <c r="FN22" s="271">
        <v>10</v>
      </c>
      <c r="FO22" s="23">
        <f>FO11</f>
        <v>0.25</v>
      </c>
      <c r="FP22" s="193">
        <v>11</v>
      </c>
      <c r="FQ22" s="193">
        <v>1</v>
      </c>
      <c r="FR22" s="23">
        <f>FQ22/FP22</f>
        <v>9.0909090909090912E-2</v>
      </c>
      <c r="FS22" s="193">
        <v>385</v>
      </c>
      <c r="FT22" s="193">
        <v>57</v>
      </c>
      <c r="FU22" s="193">
        <f t="shared" si="175"/>
        <v>328</v>
      </c>
      <c r="FV22" s="23">
        <f>FT22/FS22</f>
        <v>0.14805194805194805</v>
      </c>
      <c r="FW22" s="193">
        <v>177</v>
      </c>
      <c r="FX22" s="193">
        <v>-1</v>
      </c>
      <c r="FY22" s="23">
        <f>FX22/FW22</f>
        <v>-5.6497175141242938E-3</v>
      </c>
      <c r="FZ22" s="193">
        <v>628</v>
      </c>
      <c r="GA22" s="193">
        <f>628-24-7-17-185/3147*815</f>
        <v>532.08929138862413</v>
      </c>
      <c r="GB22" s="193">
        <f t="shared" si="180"/>
        <v>95.910708611375867</v>
      </c>
      <c r="GC22" s="23">
        <f>GA22/FZ22</f>
        <v>0.84727594170163079</v>
      </c>
      <c r="GD22" s="193">
        <v>35</v>
      </c>
      <c r="GE22" s="193">
        <v>9</v>
      </c>
      <c r="GF22" s="23">
        <f>GE22/GD22</f>
        <v>0.25714285714285712</v>
      </c>
      <c r="GG22" s="193">
        <f t="shared" si="47"/>
        <v>1261</v>
      </c>
      <c r="GH22" s="193">
        <f t="shared" si="48"/>
        <v>608.08929138862413</v>
      </c>
      <c r="GI22" s="193">
        <f t="shared" si="49"/>
        <v>48804</v>
      </c>
      <c r="GJ22" s="23">
        <f t="shared" si="50"/>
        <v>2.5187256566463596E-2</v>
      </c>
      <c r="GK22" s="330">
        <v>40225</v>
      </c>
      <c r="GL22" s="330">
        <v>36768</v>
      </c>
      <c r="GM22" s="23">
        <f>GK22/'Assets(BoP)'!AW69/1000</f>
        <v>1.1856688085833873</v>
      </c>
      <c r="GN22" s="23">
        <f t="shared" si="51"/>
        <v>0.80345550783980824</v>
      </c>
      <c r="GO22" s="330">
        <f>FJ22-GK22</f>
        <v>9840</v>
      </c>
      <c r="GP22" s="23">
        <f>GO22/('Assets(BoP)'!AV69-'Assets(BoP)'!AW69)/1000</f>
        <v>1.1601721393621416</v>
      </c>
      <c r="GQ22" s="330">
        <f t="shared" si="52"/>
        <v>8579</v>
      </c>
      <c r="GR22" s="330">
        <v>98.683999999999997</v>
      </c>
      <c r="GS22" s="140">
        <f t="shared" si="53"/>
        <v>0.11064183957290681</v>
      </c>
      <c r="GT22" s="609">
        <v>0.72790528642751573</v>
      </c>
      <c r="GU22" s="143">
        <f t="shared" si="54"/>
        <v>0.72876939648898076</v>
      </c>
      <c r="GV22" s="589">
        <f>(FM22)/X22</f>
        <v>8.3056478405315617E-2</v>
      </c>
      <c r="GW22" s="389">
        <v>0.125</v>
      </c>
      <c r="GX22" s="589">
        <f>(FP22)/AA22</f>
        <v>0.34375</v>
      </c>
      <c r="GY22" s="389">
        <v>0.25</v>
      </c>
      <c r="GZ22" s="589">
        <f>(FS22)/AD22</f>
        <v>0.40526315789473683</v>
      </c>
      <c r="HA22" s="589">
        <f>(FT22)/AE22</f>
        <v>0.55882352941176472</v>
      </c>
      <c r="HB22" s="589">
        <f>FW22/AG22</f>
        <v>0.23537234042553193</v>
      </c>
      <c r="HC22" s="56">
        <f t="shared" si="56"/>
        <v>0.12781954887218044</v>
      </c>
      <c r="HD22" s="637">
        <f>(FZ22)/AJ22</f>
        <v>0.37991530550514219</v>
      </c>
      <c r="HE22" s="637">
        <f>(GA22)/AK22</f>
        <v>0.81348112313382259</v>
      </c>
      <c r="HF22" s="589">
        <f>(GD22)/AM22</f>
        <v>0.19337016574585636</v>
      </c>
      <c r="HG22" s="589">
        <f>(GE22)/AN22</f>
        <v>0.26470588235294118</v>
      </c>
      <c r="HH22" s="6">
        <f t="shared" si="57"/>
        <v>0.32592401137244764</v>
      </c>
      <c r="HI22" s="6">
        <f t="shared" si="58"/>
        <v>0.21736633699027866</v>
      </c>
      <c r="HJ22" s="23">
        <f t="shared" si="59"/>
        <v>0.87146323497551892</v>
      </c>
      <c r="HK22" s="23">
        <f t="shared" si="59"/>
        <v>0.91496827174318773</v>
      </c>
      <c r="HL22" s="23">
        <f>(GK22-GL22)/(AU22-AV22)</f>
        <v>0.5787711367821865</v>
      </c>
      <c r="HM22" s="802">
        <f t="shared" si="184"/>
        <v>0.43655723158828746</v>
      </c>
      <c r="HN22" s="23">
        <f t="shared" si="60"/>
        <v>0.75281124188249082</v>
      </c>
      <c r="HO22" s="23">
        <f t="shared" si="61"/>
        <v>0.45948262010604679</v>
      </c>
      <c r="HP22" s="575">
        <v>2472</v>
      </c>
      <c r="HQ22" s="193">
        <v>9</v>
      </c>
      <c r="HR22" s="193">
        <v>0</v>
      </c>
      <c r="HS22" s="193">
        <v>213</v>
      </c>
      <c r="HT22" s="193">
        <v>442</v>
      </c>
      <c r="HU22" s="193">
        <v>49</v>
      </c>
      <c r="HV22" s="193">
        <v>0</v>
      </c>
      <c r="HW22" s="193">
        <f>HV22+HU22+HT22+HS22+HR22+HQ22</f>
        <v>713</v>
      </c>
      <c r="HX22" s="193">
        <f>HP22-HW22</f>
        <v>1759</v>
      </c>
      <c r="HY22" s="193">
        <v>209</v>
      </c>
      <c r="HZ22" s="193">
        <v>42</v>
      </c>
      <c r="IA22" s="23">
        <f>HY22/HP22</f>
        <v>8.4546925566343037E-2</v>
      </c>
      <c r="IB22" s="23">
        <f>HW22/HP22</f>
        <v>0.28843042071197411</v>
      </c>
      <c r="IC22" s="23"/>
      <c r="ID22" s="23"/>
      <c r="IE22" s="23"/>
      <c r="IF22" s="23"/>
      <c r="IG22" s="23"/>
      <c r="IH22" s="23"/>
      <c r="II22" s="23"/>
      <c r="IJ22" s="23"/>
      <c r="IK22" s="23"/>
      <c r="IL22" s="23"/>
      <c r="IM22" s="575">
        <f>-1108+102</f>
        <v>-1006</v>
      </c>
      <c r="IN22" s="193">
        <f>-10+6</f>
        <v>-4</v>
      </c>
      <c r="IO22" s="193">
        <f>17+1</f>
        <v>18</v>
      </c>
      <c r="IP22" s="193">
        <f>12+23</f>
        <v>35</v>
      </c>
      <c r="IQ22" s="193">
        <f>89-16</f>
        <v>73</v>
      </c>
      <c r="IR22" s="193">
        <f>66+4</f>
        <v>70</v>
      </c>
      <c r="IS22" s="193">
        <f>-2+1</f>
        <v>-1</v>
      </c>
      <c r="IT22" s="193">
        <f>IS22+IR22+IQ22+IP22+IO22+IN22</f>
        <v>191</v>
      </c>
      <c r="IU22" s="193">
        <f>IM22-IT22</f>
        <v>-1197</v>
      </c>
      <c r="IV22" s="193">
        <f>117-461</f>
        <v>-344</v>
      </c>
      <c r="IW22" s="193">
        <f>26-2</f>
        <v>24</v>
      </c>
      <c r="IX22" s="149">
        <f t="shared" si="63"/>
        <v>116809</v>
      </c>
      <c r="IY22" s="316">
        <f t="shared" si="64"/>
        <v>1149</v>
      </c>
      <c r="IZ22" s="316">
        <f t="shared" si="65"/>
        <v>492</v>
      </c>
      <c r="JA22" s="316">
        <f t="shared" si="66"/>
        <v>3684</v>
      </c>
      <c r="JB22" s="316">
        <f t="shared" si="67"/>
        <v>3973</v>
      </c>
      <c r="JC22" s="316">
        <f t="shared" si="68"/>
        <v>10368</v>
      </c>
      <c r="JD22" s="316">
        <f t="shared" si="69"/>
        <v>620</v>
      </c>
      <c r="JE22" s="316">
        <f t="shared" si="70"/>
        <v>20286</v>
      </c>
      <c r="JF22" s="316">
        <f t="shared" si="71"/>
        <v>96523</v>
      </c>
      <c r="JG22" s="316">
        <f t="shared" si="72"/>
        <v>74268</v>
      </c>
      <c r="JH22" s="316">
        <f t="shared" si="73"/>
        <v>22255</v>
      </c>
      <c r="JI22" s="5">
        <v>137401</v>
      </c>
      <c r="JJ22" s="593">
        <v>1237</v>
      </c>
      <c r="JK22" s="593">
        <v>553</v>
      </c>
      <c r="JL22" s="593">
        <v>5275</v>
      </c>
      <c r="JM22" s="536">
        <v>6697</v>
      </c>
      <c r="JN22" s="536">
        <v>12484</v>
      </c>
      <c r="JO22" s="536">
        <v>622</v>
      </c>
      <c r="JP22" s="552">
        <f t="shared" si="74"/>
        <v>26868</v>
      </c>
      <c r="JQ22" s="552">
        <f t="shared" si="75"/>
        <v>110533</v>
      </c>
      <c r="JR22" s="552">
        <f t="shared" si="76"/>
        <v>86165</v>
      </c>
      <c r="JS22" s="593">
        <v>24368</v>
      </c>
      <c r="JT22" s="149">
        <v>20592</v>
      </c>
      <c r="JU22" s="593">
        <v>88</v>
      </c>
      <c r="JV22" s="593">
        <v>61</v>
      </c>
      <c r="JW22" s="593">
        <v>1591</v>
      </c>
      <c r="JX22" s="536">
        <v>2724</v>
      </c>
      <c r="JY22" s="536">
        <v>2116</v>
      </c>
      <c r="JZ22" s="593">
        <v>2</v>
      </c>
      <c r="KA22" s="552">
        <f t="shared" ref="KA22" si="229">JU22+JV22+JW22+JX22+JY22+JZ22</f>
        <v>6582</v>
      </c>
      <c r="KB22" s="552">
        <f t="shared" ref="KB22" si="230">JT22-KA22</f>
        <v>14010</v>
      </c>
      <c r="KC22" s="552">
        <f t="shared" ref="KC22" si="231">KB22-KD22</f>
        <v>11897</v>
      </c>
      <c r="KD22" s="593">
        <v>2113</v>
      </c>
      <c r="KE22" s="149">
        <v>104524</v>
      </c>
      <c r="KF22" s="567">
        <v>627</v>
      </c>
      <c r="KG22" s="567">
        <v>208</v>
      </c>
      <c r="KH22" s="536">
        <v>2858</v>
      </c>
      <c r="KI22" s="536">
        <v>580</v>
      </c>
      <c r="KJ22" s="536">
        <v>2112</v>
      </c>
      <c r="KK22" s="536">
        <v>380</v>
      </c>
      <c r="KL22" s="552">
        <f t="shared" si="207"/>
        <v>6765</v>
      </c>
      <c r="KM22" s="552">
        <f t="shared" si="208"/>
        <v>97759</v>
      </c>
      <c r="KN22" s="552">
        <f t="shared" si="209"/>
        <v>57601</v>
      </c>
      <c r="KO22" s="567">
        <v>40158</v>
      </c>
      <c r="KP22" s="149">
        <v>58707</v>
      </c>
      <c r="KY22" s="657"/>
      <c r="LA22" s="149">
        <f>'Assets(MOFA)'!IX22-'Assets(MOFA)'!KE22-'Assets(MOFA)'!KP22</f>
        <v>-46422</v>
      </c>
      <c r="LB22" s="552">
        <f>'Assets(MOFA)'!IY22-'Assets(MOFA)'!KF22-'Assets(MOFA)'!KQ22</f>
        <v>522</v>
      </c>
      <c r="LC22" s="552">
        <f>'Assets(MOFA)'!IZ22-'Assets(MOFA)'!KG22-'Assets(MOFA)'!KR22</f>
        <v>284</v>
      </c>
      <c r="LD22" s="552">
        <f>'Assets(MOFA)'!JA22-'Assets(MOFA)'!KH22-'Assets(MOFA)'!KS22</f>
        <v>826</v>
      </c>
      <c r="LE22" s="552">
        <f>'Assets(MOFA)'!JB22-'Assets(MOFA)'!KI22-'Assets(MOFA)'!KT22</f>
        <v>3393</v>
      </c>
      <c r="LF22" s="552">
        <f>'Assets(MOFA)'!JC22-'Assets(MOFA)'!KJ22-'Assets(MOFA)'!KU22</f>
        <v>8256</v>
      </c>
      <c r="LG22" s="552">
        <f>'Assets(MOFA)'!JD22-'Assets(MOFA)'!KK22-'Assets(MOFA)'!KV22</f>
        <v>240</v>
      </c>
      <c r="LH22" s="552">
        <f>'Assets(MOFA)'!JE22-'Assets(MOFA)'!KL22-'Assets(MOFA)'!KW22</f>
        <v>13521</v>
      </c>
      <c r="LI22" s="552">
        <f>'Assets(MOFA)'!JF22-'Assets(MOFA)'!KM22-'Assets(MOFA)'!KX22</f>
        <v>-1236</v>
      </c>
      <c r="LJ22" s="552">
        <f t="shared" si="77"/>
        <v>16667</v>
      </c>
      <c r="LK22" s="552">
        <f>'Assets(MOFA)'!JH22-'Assets(MOFA)'!KO22-'Assets(MOFA)'!KZ22</f>
        <v>-17903</v>
      </c>
      <c r="LL22" s="576">
        <f t="shared" si="78"/>
        <v>0.588122490561515</v>
      </c>
      <c r="LM22" s="6">
        <f t="shared" si="79"/>
        <v>0.26196692776327241</v>
      </c>
      <c r="LN22" s="6">
        <f t="shared" si="80"/>
        <v>6.5040650406504072E-2</v>
      </c>
      <c r="LO22" s="6">
        <f t="shared" si="81"/>
        <v>0.25787187839305103</v>
      </c>
      <c r="LP22" s="6">
        <f t="shared" si="82"/>
        <v>0.18927762396174175</v>
      </c>
      <c r="LQ22" s="6">
        <f t="shared" si="83"/>
        <v>0.15943287037037038</v>
      </c>
      <c r="LR22" s="6">
        <f t="shared" si="84"/>
        <v>0.29193548387096774</v>
      </c>
      <c r="LS22" s="6">
        <f t="shared" si="85"/>
        <v>0.19072266587794537</v>
      </c>
      <c r="LT22" s="143">
        <f t="shared" si="86"/>
        <v>0.21490769766631834</v>
      </c>
      <c r="LU22" s="62">
        <f t="shared" si="87"/>
        <v>0.18117436743674367</v>
      </c>
      <c r="LV22" s="902">
        <f t="shared" si="88"/>
        <v>0.67164302808657006</v>
      </c>
      <c r="LW22" s="902">
        <f t="shared" si="89"/>
        <v>0.25140033392578232</v>
      </c>
      <c r="LX22" s="143">
        <f t="shared" si="90"/>
        <v>2.0740507751067176</v>
      </c>
      <c r="LY22" s="576">
        <f t="shared" si="91"/>
        <v>0.57951014048575022</v>
      </c>
      <c r="LZ22" s="906">
        <f t="shared" si="92"/>
        <v>0.25848563968668409</v>
      </c>
      <c r="MA22" s="906">
        <f t="shared" si="93"/>
        <v>0.1016260162601626</v>
      </c>
      <c r="MB22" s="906">
        <f t="shared" si="94"/>
        <v>0.26737242128121608</v>
      </c>
      <c r="MC22" s="906">
        <f t="shared" si="95"/>
        <v>0.20765164862824062</v>
      </c>
      <c r="MD22" s="906">
        <f t="shared" si="96"/>
        <v>0.16618441358024691</v>
      </c>
      <c r="ME22" s="906">
        <v>6.1610529375296846E-2</v>
      </c>
      <c r="MF22" s="906">
        <f t="shared" si="97"/>
        <v>0.29032258064516131</v>
      </c>
      <c r="MG22" s="30">
        <f t="shared" si="98"/>
        <v>0.20013802622498275</v>
      </c>
      <c r="MH22" s="140">
        <f t="shared" si="99"/>
        <v>0.22675026123301986</v>
      </c>
      <c r="MI22" s="30">
        <f t="shared" si="100"/>
        <v>0.18963146314631463</v>
      </c>
      <c r="MJ22" s="30">
        <f t="shared" si="101"/>
        <v>0.65924183873273723</v>
      </c>
      <c r="MK22" s="617">
        <f t="shared" si="102"/>
        <v>0.25140033392578232</v>
      </c>
      <c r="ML22" s="615">
        <f t="shared" si="103"/>
        <v>2.0740507751067176</v>
      </c>
      <c r="MM22" s="574"/>
      <c r="MU22" s="593"/>
      <c r="MX22" s="574"/>
      <c r="NI22" s="613">
        <f t="shared" si="214"/>
        <v>59534</v>
      </c>
      <c r="NQ22" s="593"/>
      <c r="NY22" s="593"/>
      <c r="NZ22" s="593"/>
      <c r="OA22" s="593"/>
      <c r="OB22" s="593"/>
      <c r="OC22" s="593"/>
      <c r="OD22" s="593"/>
      <c r="OE22" s="593"/>
      <c r="OF22" s="593"/>
      <c r="OG22" s="593"/>
      <c r="OH22" s="593"/>
      <c r="OI22" s="593"/>
      <c r="OJ22" s="593"/>
      <c r="OK22" s="593"/>
      <c r="OL22" s="593"/>
      <c r="OM22" s="593"/>
      <c r="ON22" s="593"/>
      <c r="OO22" s="593"/>
      <c r="OW22" s="593"/>
      <c r="PE22" s="593"/>
      <c r="PN22" s="574"/>
      <c r="PO22" s="593"/>
      <c r="PP22" s="593"/>
      <c r="PQ22" s="593"/>
      <c r="PR22" s="593"/>
      <c r="PS22" s="593"/>
      <c r="PT22" s="593"/>
      <c r="PU22" s="593"/>
      <c r="PV22" s="593"/>
      <c r="PW22" s="593"/>
      <c r="PX22" s="593"/>
      <c r="PY22" s="593"/>
      <c r="PZ22" s="593"/>
      <c r="QA22" s="593"/>
      <c r="QB22" s="593"/>
      <c r="QC22" s="593"/>
      <c r="QD22" s="593"/>
      <c r="QE22" s="593"/>
      <c r="QF22" s="593"/>
      <c r="QG22" s="593"/>
      <c r="QH22" s="593"/>
      <c r="QI22" s="593"/>
      <c r="QJ22" s="593"/>
      <c r="QK22" s="593"/>
      <c r="QL22" s="593"/>
      <c r="QM22" s="593"/>
      <c r="QN22" s="593"/>
      <c r="QO22" s="593"/>
      <c r="QP22" s="593"/>
      <c r="QQ22" s="593"/>
      <c r="QR22" s="593"/>
      <c r="QS22" s="593"/>
      <c r="QT22" s="593"/>
      <c r="QU22" s="593"/>
      <c r="QV22" s="593"/>
      <c r="QW22" s="593"/>
      <c r="QX22" s="593"/>
      <c r="QY22" s="593"/>
      <c r="QZ22" s="593"/>
      <c r="RA22" s="593"/>
      <c r="RB22" s="593"/>
      <c r="RC22" s="593"/>
      <c r="RD22" s="593"/>
      <c r="RE22" s="593"/>
      <c r="RF22" s="593"/>
      <c r="RG22" s="593"/>
      <c r="RH22" s="593"/>
      <c r="RI22" s="593"/>
      <c r="RJ22" s="593"/>
      <c r="RK22" s="593"/>
      <c r="RL22" s="593"/>
      <c r="RM22" s="593"/>
      <c r="RN22" s="593"/>
      <c r="RO22" s="593"/>
      <c r="RP22" s="593"/>
      <c r="RQ22" s="593"/>
      <c r="RR22" s="593"/>
    </row>
    <row r="23" spans="1:486" s="567" customFormat="1">
      <c r="A23" s="568">
        <v>1978</v>
      </c>
      <c r="B23" s="611">
        <f>O23*P23</f>
        <v>67013.13691312373</v>
      </c>
      <c r="C23" s="66">
        <f>$B23*Q23</f>
        <v>240.16251862788985</v>
      </c>
      <c r="D23" s="66">
        <f t="shared" ref="D23:H26" si="232">$B23*R23</f>
        <v>138.0446561482153</v>
      </c>
      <c r="E23" s="66">
        <f t="shared" si="232"/>
        <v>2033.1924366899975</v>
      </c>
      <c r="F23" s="66">
        <f t="shared" si="232"/>
        <v>988.7193215840515</v>
      </c>
      <c r="G23" s="66">
        <f t="shared" si="232"/>
        <v>428.04028964414374</v>
      </c>
      <c r="H23" s="66">
        <f t="shared" si="232"/>
        <v>187.96382439222336</v>
      </c>
      <c r="I23" s="193">
        <f t="shared" si="215"/>
        <v>4016.1230470865212</v>
      </c>
      <c r="J23" s="193">
        <f t="shared" si="216"/>
        <v>62997.01386603721</v>
      </c>
      <c r="K23" s="193">
        <f>J23-L23</f>
        <v>57508.451773982393</v>
      </c>
      <c r="L23" s="66">
        <f t="shared" si="186"/>
        <v>5488.5620920548145</v>
      </c>
      <c r="M23" s="140">
        <f t="shared" si="217"/>
        <v>5.9930384281115648E-2</v>
      </c>
      <c r="N23" s="631">
        <f>N22</f>
        <v>8.1902778244364566E-2</v>
      </c>
      <c r="O23" s="193">
        <v>884700</v>
      </c>
      <c r="P23" s="626">
        <f t="shared" ref="P23:Q26" si="233">P22+(P$27-P$22)/5</f>
        <v>7.5746735518394628E-2</v>
      </c>
      <c r="Q23" s="630">
        <f t="shared" si="233"/>
        <v>3.583812513347019E-3</v>
      </c>
      <c r="R23" s="387">
        <f t="shared" ref="R23:V26" si="234">R22+(R$27-R$22)/5</f>
        <v>2.0599640981913336E-3</v>
      </c>
      <c r="S23" s="387">
        <f t="shared" si="234"/>
        <v>3.0340206866093161E-2</v>
      </c>
      <c r="T23" s="387">
        <f t="shared" si="234"/>
        <v>1.475411191190518E-2</v>
      </c>
      <c r="U23" s="387">
        <f t="shared" si="234"/>
        <v>6.387408638981607E-3</v>
      </c>
      <c r="V23" s="387">
        <f t="shared" si="234"/>
        <v>2.8048802525973511E-3</v>
      </c>
      <c r="W23" s="590">
        <f>AS23+AP23</f>
        <v>72894.57984039039</v>
      </c>
      <c r="X23" s="66">
        <f>BX23+FM23</f>
        <v>469.63063245457317</v>
      </c>
      <c r="Y23" s="76">
        <f t="shared" si="3"/>
        <v>99.216541242224878</v>
      </c>
      <c r="Z23" s="76">
        <f t="shared" si="114"/>
        <v>370.4140912123483</v>
      </c>
      <c r="AA23" s="66">
        <f>CA23+FP23</f>
        <v>48.798977847487478</v>
      </c>
      <c r="AB23" s="66">
        <f>FQ23/GY23</f>
        <v>6.1704492650128797</v>
      </c>
      <c r="AC23" s="274">
        <f t="shared" si="117"/>
        <v>42.628528582474601</v>
      </c>
      <c r="AD23" s="66">
        <f>CD23+FS23</f>
        <v>1176.657118021616</v>
      </c>
      <c r="AE23" s="357">
        <f>FT23/HA23</f>
        <v>172.79565667376212</v>
      </c>
      <c r="AF23" s="274">
        <f t="shared" si="119"/>
        <v>1003.8614613478539</v>
      </c>
      <c r="AG23" s="66">
        <f>CG23+FW23</f>
        <v>1080.1821420715492</v>
      </c>
      <c r="AH23" s="357">
        <f t="shared" si="5"/>
        <v>52.074004954583195</v>
      </c>
      <c r="AI23" s="76">
        <f t="shared" si="6"/>
        <v>1028.108137116966</v>
      </c>
      <c r="AJ23" s="66">
        <f>CJ23+FZ23</f>
        <v>2525.7982359591952</v>
      </c>
      <c r="AK23" s="357">
        <f>GA23/HE23</f>
        <v>1091.2933554100271</v>
      </c>
      <c r="AL23" s="274">
        <f t="shared" si="123"/>
        <v>1434.5048805491681</v>
      </c>
      <c r="AM23" s="66">
        <f>CM23+GD23</f>
        <v>314.98661879300369</v>
      </c>
      <c r="AN23" s="357">
        <f>GE23/HG23</f>
        <v>82.779017696676817</v>
      </c>
      <c r="AO23" s="274">
        <f t="shared" si="125"/>
        <v>232.20760109632687</v>
      </c>
      <c r="AP23" s="193">
        <f t="shared" si="8"/>
        <v>5616.0537251474252</v>
      </c>
      <c r="AQ23" s="271">
        <f t="shared" si="9"/>
        <v>1504.3290252422869</v>
      </c>
      <c r="AR23" s="271">
        <f t="shared" si="126"/>
        <v>4111.7246999051376</v>
      </c>
      <c r="AS23" s="66">
        <f>CR23+GI23</f>
        <v>67278.526115242959</v>
      </c>
      <c r="AT23" s="193">
        <f t="shared" si="224"/>
        <v>23590.426115242961</v>
      </c>
      <c r="AU23" s="66">
        <f t="shared" si="187"/>
        <v>43688.1</v>
      </c>
      <c r="AV23" s="66"/>
      <c r="AW23" s="66"/>
      <c r="AX23" s="271">
        <f t="shared" si="227"/>
        <v>29206.479840390391</v>
      </c>
      <c r="AY23" s="140">
        <f t="shared" si="10"/>
        <v>7.704350223904588E-2</v>
      </c>
      <c r="AZ23" s="623">
        <f t="shared" si="129"/>
        <v>5.6406453112263624E-2</v>
      </c>
      <c r="BA23" s="248">
        <f t="shared" si="11"/>
        <v>0.14078124862616714</v>
      </c>
      <c r="BB23" s="248">
        <f t="shared" si="130"/>
        <v>1.2682599657220352E-2</v>
      </c>
      <c r="BC23" s="248">
        <f t="shared" si="131"/>
        <v>1.4595572220765377E-3</v>
      </c>
      <c r="BD23" s="248">
        <f t="shared" si="132"/>
        <v>3.4371189778221345E-2</v>
      </c>
      <c r="BE23" s="248">
        <f t="shared" si="133"/>
        <v>3.5201371159257915E-2</v>
      </c>
      <c r="BF23" s="248">
        <f t="shared" si="134"/>
        <v>4.9115980028697416E-2</v>
      </c>
      <c r="BG23" s="248">
        <f t="shared" si="135"/>
        <v>7.9505507806935712E-3</v>
      </c>
      <c r="BH23" s="248">
        <f t="shared" si="136"/>
        <v>3.5830747000297883E-2</v>
      </c>
      <c r="BI23" s="23">
        <f t="shared" si="12"/>
        <v>0.1520003996163363</v>
      </c>
      <c r="BJ23" s="140">
        <f t="shared" si="13"/>
        <v>0.59933262659115738</v>
      </c>
      <c r="BK23" s="623">
        <f t="shared" si="137"/>
        <v>0.57869557746437505</v>
      </c>
      <c r="BL23" s="590">
        <f>BS23+BT23</f>
        <v>2050</v>
      </c>
      <c r="BM23" s="66">
        <f t="shared" ref="BM23:BR23" si="235">BM22+(BM$27-BM$22)/5</f>
        <v>4.2</v>
      </c>
      <c r="BN23" s="66">
        <f t="shared" si="235"/>
        <v>-11.8</v>
      </c>
      <c r="BO23" s="66">
        <f t="shared" si="235"/>
        <v>65.599999999999994</v>
      </c>
      <c r="BP23" s="66">
        <f t="shared" si="235"/>
        <v>-113.4</v>
      </c>
      <c r="BQ23" s="66">
        <f t="shared" si="235"/>
        <v>-939</v>
      </c>
      <c r="BR23" s="66">
        <f t="shared" si="235"/>
        <v>2.8</v>
      </c>
      <c r="BS23" s="193">
        <f t="shared" ref="BS23:BS28" si="236">BR23+BQ23+BP23+BO23+BN23+BM23</f>
        <v>-991.6</v>
      </c>
      <c r="BT23" s="66">
        <f>BT22+(BT$27-BT$22)/5</f>
        <v>3041.6</v>
      </c>
      <c r="BU23" s="193">
        <f t="shared" ref="BU23:BU30" si="237">BT23-BV23</f>
        <v>2084.3999999999996</v>
      </c>
      <c r="BV23" s="66">
        <f>BV22+(BV$27-BV$22)/5</f>
        <v>957.2</v>
      </c>
      <c r="BW23" s="590">
        <f>BW22*'Assets(BoP)'!DI70/'Assets(BoP)'!DI69</f>
        <v>24112.179840390385</v>
      </c>
      <c r="BX23" s="66">
        <f>CV23*$BW23</f>
        <v>434.19615343949289</v>
      </c>
      <c r="BY23" s="193">
        <f t="shared" si="148"/>
        <v>86.814473586946775</v>
      </c>
      <c r="BZ23" s="647">
        <f t="shared" si="149"/>
        <v>1.440689652084653E-2</v>
      </c>
      <c r="CA23" s="66">
        <f>CW23*$BW23</f>
        <v>31.830242368702063</v>
      </c>
      <c r="CB23" s="193">
        <f t="shared" si="151"/>
        <v>4.6278369487596596</v>
      </c>
      <c r="CC23" s="647">
        <f t="shared" si="14"/>
        <v>1.1281603571310285E-3</v>
      </c>
      <c r="CD23" s="66">
        <f>CX23*$BW23</f>
        <v>693.84572437433951</v>
      </c>
      <c r="CE23" s="193">
        <f t="shared" si="153"/>
        <v>76.23337794430681</v>
      </c>
      <c r="CF23" s="655">
        <f t="shared" si="15"/>
        <v>2.5614123257137807E-2</v>
      </c>
      <c r="CG23" s="66">
        <f>CY23*$BW23</f>
        <v>827.95599135146119</v>
      </c>
      <c r="CH23" s="193">
        <f t="shared" si="155"/>
        <v>45.417929133320683</v>
      </c>
      <c r="CI23" s="23">
        <f t="shared" si="16"/>
        <v>3.2454057136190928E-2</v>
      </c>
      <c r="CJ23" s="66">
        <f>CZ23*$BW23</f>
        <v>1691.2797877044684</v>
      </c>
      <c r="CK23" s="641">
        <f t="shared" si="157"/>
        <v>381.95267439350948</v>
      </c>
      <c r="CL23" s="34">
        <f t="shared" si="158"/>
        <v>5.4301482569307197E-2</v>
      </c>
      <c r="CM23" s="66">
        <f>DB23*$BW23</f>
        <v>253.07626101985883</v>
      </c>
      <c r="CN23" s="193">
        <f t="shared" si="160"/>
        <v>61.110392476076115</v>
      </c>
      <c r="CO23" s="23">
        <f t="shared" si="161"/>
        <v>7.9613651612792033E-3</v>
      </c>
      <c r="CP23" s="271">
        <f t="shared" si="17"/>
        <v>3932.1841602583227</v>
      </c>
      <c r="CQ23" s="193">
        <f t="shared" si="162"/>
        <v>656.15668448291956</v>
      </c>
      <c r="CR23" s="271">
        <f t="shared" si="18"/>
        <v>20179.995680132062</v>
      </c>
      <c r="CS23" s="248">
        <f t="shared" si="163"/>
        <v>0.13586608500189268</v>
      </c>
      <c r="CT23" s="30">
        <f t="shared" si="19"/>
        <v>0.16307875050232951</v>
      </c>
      <c r="CU23" s="308">
        <f t="shared" si="20"/>
        <v>0</v>
      </c>
      <c r="CV23" s="387">
        <f>CV22+(CV$27-CV$22)/5</f>
        <v>1.8007337217689857E-2</v>
      </c>
      <c r="CW23" s="387">
        <f t="shared" ref="CW23:CY26" si="238">CW22+(CW$27-CW$22)/5</f>
        <v>1.320089787791941E-3</v>
      </c>
      <c r="CX23" s="387">
        <f t="shared" si="238"/>
        <v>2.8775736120384955E-2</v>
      </c>
      <c r="CY23" s="387">
        <f t="shared" si="238"/>
        <v>3.4337666558232519E-2</v>
      </c>
      <c r="CZ23" s="387">
        <f>CZ22*DA23/DA22</f>
        <v>7.0142135588728505E-2</v>
      </c>
      <c r="DA23" s="387">
        <f>'Assets(BoP)'!FK70</f>
        <v>6.8087824485867532E-2</v>
      </c>
      <c r="DB23" s="387">
        <f>DB22+(DB$27-DB$22)/5</f>
        <v>1.0495785229501732E-2</v>
      </c>
      <c r="DC23" s="23">
        <f t="shared" si="21"/>
        <v>0.18402912001273028</v>
      </c>
      <c r="DD23" s="193">
        <f t="shared" si="22"/>
        <v>17801.679840390385</v>
      </c>
      <c r="DE23" s="66">
        <f t="shared" si="164"/>
        <v>6310.5</v>
      </c>
      <c r="DF23" s="635">
        <f>'Assets(BoP)'!ES70*1000</f>
        <v>6139.0454811633817</v>
      </c>
      <c r="DG23" s="193">
        <f>'Assets(BoP)'!DA70</f>
        <v>6010</v>
      </c>
      <c r="DH23" s="34">
        <f t="shared" si="23"/>
        <v>0.26171420592298594</v>
      </c>
      <c r="DI23" s="23">
        <f>'Assets(BoP)'!DA70/'Assets(BoP)'!CZ70/1000</f>
        <v>0.23607510409301596</v>
      </c>
      <c r="DJ23" s="23">
        <f t="shared" si="24"/>
        <v>0.13430301438194456</v>
      </c>
      <c r="DK23" s="600">
        <f>'Assets(BoP)'!FO70-'Assets(BoP)'!FH70</f>
        <v>0.14679573073609159</v>
      </c>
      <c r="DL23" s="576">
        <f t="shared" si="25"/>
        <v>1.0877655217795787</v>
      </c>
      <c r="DM23" s="251">
        <f t="shared" si="26"/>
        <v>1.9554701338813967</v>
      </c>
      <c r="DN23" s="251">
        <f t="shared" si="27"/>
        <v>1.6267787938374938</v>
      </c>
      <c r="DO23" s="251">
        <f t="shared" si="28"/>
        <v>0.35350139012330306</v>
      </c>
      <c r="DP23" s="251">
        <f t="shared" si="29"/>
        <v>0.31054634379096596</v>
      </c>
      <c r="DQ23" s="251">
        <f t="shared" si="30"/>
        <v>0.5787239303020395</v>
      </c>
      <c r="DR23" s="251">
        <f t="shared" si="31"/>
        <v>0.49906509511626473</v>
      </c>
      <c r="DS23" s="251">
        <f t="shared" si="32"/>
        <v>1.092506354928882</v>
      </c>
      <c r="DT23" s="251">
        <f t="shared" si="33"/>
        <v>1.0467643744097512</v>
      </c>
      <c r="DU23" s="251">
        <f t="shared" si="34"/>
        <v>5.9008422736538346</v>
      </c>
      <c r="DV23" s="251">
        <f t="shared" si="35"/>
        <v>4.9305789628250043</v>
      </c>
      <c r="DW23" s="251">
        <f t="shared" si="36"/>
        <v>1.6757831982377756</v>
      </c>
      <c r="DX23" s="251">
        <f t="shared" si="37"/>
        <v>1.3077384950168389</v>
      </c>
      <c r="DY23" s="251">
        <f t="shared" si="38"/>
        <v>0.56440455071039863</v>
      </c>
      <c r="DZ23" s="251">
        <f t="shared" si="39"/>
        <v>0.48702189551085362</v>
      </c>
      <c r="EA23" s="643">
        <f t="shared" si="40"/>
        <v>1.3983769071073573</v>
      </c>
      <c r="EB23" s="643">
        <f t="shared" si="41"/>
        <v>1.0743615089371454</v>
      </c>
      <c r="EC23" s="251">
        <f t="shared" si="42"/>
        <v>1.067963733301873</v>
      </c>
      <c r="ED23" s="251">
        <f t="shared" si="43"/>
        <v>0.47471242061129559</v>
      </c>
      <c r="EE23" s="140">
        <f t="shared" si="44"/>
        <v>0.41020798487076626</v>
      </c>
      <c r="EF23" s="1342">
        <v>0.25274726516845297</v>
      </c>
      <c r="EG23" s="140">
        <f t="shared" si="228"/>
        <v>7.9598443576401259</v>
      </c>
      <c r="EH23" s="583">
        <v>14.02</v>
      </c>
      <c r="EI23" s="1344">
        <v>2.9923243509964639</v>
      </c>
      <c r="EJ23" s="576">
        <f t="shared" si="166"/>
        <v>0.35981273151933735</v>
      </c>
      <c r="EK23" s="753">
        <f t="shared" si="167"/>
        <v>0.95083261284406673</v>
      </c>
      <c r="EL23" s="753">
        <f t="shared" si="168"/>
        <v>1.1497546887799657</v>
      </c>
      <c r="EM23" s="753">
        <f t="shared" si="169"/>
        <v>0.24117317111302952</v>
      </c>
      <c r="EN23" s="583"/>
      <c r="EO23" s="5"/>
      <c r="EP23" s="193"/>
      <c r="EQ23" s="193"/>
      <c r="ER23" s="193"/>
      <c r="ES23" s="193"/>
      <c r="ET23" s="193"/>
      <c r="EU23" s="193"/>
      <c r="EV23" s="193"/>
      <c r="EW23" s="193"/>
      <c r="EX23" s="193"/>
      <c r="EY23" s="193"/>
      <c r="EZ23" s="193"/>
      <c r="FA23" s="193"/>
      <c r="FB23" s="193"/>
      <c r="FC23" s="193"/>
      <c r="FD23" s="23"/>
      <c r="FE23" s="66"/>
      <c r="FF23" s="66"/>
      <c r="FG23" s="66">
        <f t="shared" si="210"/>
        <v>6310.5</v>
      </c>
      <c r="FH23" s="193">
        <f>'Assets(BoP)'!DA70</f>
        <v>6010</v>
      </c>
      <c r="FI23" s="184">
        <v>1.05</v>
      </c>
      <c r="FJ23" s="590">
        <f>GK23+GO23</f>
        <v>48782.399999999994</v>
      </c>
      <c r="FK23" s="143">
        <f>FJ23/'Assets(BoP)'!AV70/1000</f>
        <v>1.1999999999999997</v>
      </c>
      <c r="FL23" s="725"/>
      <c r="FM23" s="66">
        <f>GV23*BX23/(1-GV23)</f>
        <v>35.434479015080314</v>
      </c>
      <c r="FN23" s="66">
        <f>FM23*FO23</f>
        <v>12.40206765527811</v>
      </c>
      <c r="FO23" s="184">
        <v>0.35</v>
      </c>
      <c r="FP23" s="66">
        <f>GX23*CA23/(1-GX23)</f>
        <v>16.968735478785419</v>
      </c>
      <c r="FQ23" s="66">
        <f>FP23*FR23</f>
        <v>1.5426123162532199</v>
      </c>
      <c r="FR23" s="184">
        <f>FR$22</f>
        <v>9.0909090909090912E-2</v>
      </c>
      <c r="FS23" s="66">
        <f>GZ23*CD23/(1-GZ23)</f>
        <v>482.81139364727653</v>
      </c>
      <c r="FT23" s="66">
        <f>FS23*FV23</f>
        <v>96.562278729455315</v>
      </c>
      <c r="FU23" s="193">
        <f t="shared" si="175"/>
        <v>386.2491149178212</v>
      </c>
      <c r="FV23" s="184">
        <v>0.2</v>
      </c>
      <c r="FW23" s="66">
        <f>HB23*CG23/(1-HB23)</f>
        <v>252.22615072008787</v>
      </c>
      <c r="FX23" s="66">
        <f>FW23*FY23</f>
        <v>6.6560758212625135</v>
      </c>
      <c r="FY23" s="184">
        <f>FY22+(FY$27-FY$22)/5</f>
        <v>2.6389316897791473E-2</v>
      </c>
      <c r="FZ23" s="66">
        <f>HD23*CJ23/(1-HD23)</f>
        <v>834.51844825472665</v>
      </c>
      <c r="GA23" s="66">
        <f>FZ23*GC23</f>
        <v>709.34068101651758</v>
      </c>
      <c r="GB23" s="193">
        <f t="shared" si="180"/>
        <v>125.17776723820907</v>
      </c>
      <c r="GC23" s="184">
        <v>0.85</v>
      </c>
      <c r="GD23" s="66">
        <f>HF23*CM23/(1-HF23)</f>
        <v>61.91035777314486</v>
      </c>
      <c r="GE23" s="66">
        <f>GD23*GF23</f>
        <v>21.668625220600699</v>
      </c>
      <c r="GF23" s="184">
        <v>0.35</v>
      </c>
      <c r="GG23" s="66">
        <f t="shared" si="47"/>
        <v>1683.8695648891019</v>
      </c>
      <c r="GH23" s="193">
        <f t="shared" si="48"/>
        <v>848.17234075936744</v>
      </c>
      <c r="GI23" s="193">
        <f t="shared" si="49"/>
        <v>47098.530435110893</v>
      </c>
      <c r="GJ23" s="23">
        <f t="shared" si="50"/>
        <v>3.4517972975685943E-2</v>
      </c>
      <c r="GK23" s="66">
        <f>GM23*'Assets(BoP)'!AW70*1000</f>
        <v>37377.599999999999</v>
      </c>
      <c r="GL23" s="66"/>
      <c r="GM23" s="184">
        <v>1.2</v>
      </c>
      <c r="GN23" s="23">
        <f t="shared" si="51"/>
        <v>0.76621076453803016</v>
      </c>
      <c r="GO23" s="666">
        <f>('Assets(BoP)'!AV70-'Assets(BoP)'!AW70)*1000*GP23</f>
        <v>11404.799999999997</v>
      </c>
      <c r="GP23" s="184">
        <v>1.2</v>
      </c>
      <c r="GQ23" s="330">
        <f t="shared" si="52"/>
        <v>9720.9304351108949</v>
      </c>
      <c r="GR23" s="330">
        <v>134.66800000000001</v>
      </c>
      <c r="GS23" s="140">
        <f t="shared" si="53"/>
        <v>0.11325236263380895</v>
      </c>
      <c r="GT23" s="609">
        <v>0.66217422626393907</v>
      </c>
      <c r="GU23" s="143">
        <f t="shared" si="54"/>
        <v>0.66921848108341797</v>
      </c>
      <c r="GV23" s="56">
        <f>GV22+(GV$27-GV$22)/5</f>
        <v>7.5451805240808786E-2</v>
      </c>
      <c r="GW23" s="389">
        <v>0.125</v>
      </c>
      <c r="GX23" s="56">
        <f t="shared" ref="GX23:HG26" si="239">GX22+(GX$27-GX$22)/5</f>
        <v>0.34772727272727272</v>
      </c>
      <c r="GY23" s="389">
        <v>0.25</v>
      </c>
      <c r="GZ23" s="56">
        <f t="shared" si="239"/>
        <v>0.41032462749985837</v>
      </c>
      <c r="HA23" s="56">
        <f>HA22</f>
        <v>0.55882352941176472</v>
      </c>
      <c r="HB23" s="56">
        <f t="shared" si="239"/>
        <v>0.23350335179248033</v>
      </c>
      <c r="HC23" s="56">
        <f t="shared" si="56"/>
        <v>0.12781954887218044</v>
      </c>
      <c r="HD23" s="638">
        <f>HD22+(HD$27-HD$22)/5</f>
        <v>0.33039790604565478</v>
      </c>
      <c r="HE23" s="638">
        <v>0.65</v>
      </c>
      <c r="HF23" s="56">
        <f t="shared" si="239"/>
        <v>0.19654916774045506</v>
      </c>
      <c r="HG23" s="56">
        <f>HG22+(HG$27-HG$22)/5</f>
        <v>0.26176470588235295</v>
      </c>
      <c r="HH23" s="6">
        <f t="shared" si="57"/>
        <v>0.29983145591166849</v>
      </c>
      <c r="HI23" s="6">
        <f t="shared" si="58"/>
        <v>0.20324736822701553</v>
      </c>
      <c r="HJ23" s="23">
        <f t="shared" ref="HJ23:HJ26" si="240">GK23/AU23</f>
        <v>0.85555563185398309</v>
      </c>
      <c r="HK23" s="23"/>
      <c r="HL23" s="23"/>
      <c r="HM23" s="31">
        <f t="shared" si="184"/>
        <v>0.39048868820637556</v>
      </c>
      <c r="HN23" s="23">
        <f t="shared" si="60"/>
        <v>0.700052946380465</v>
      </c>
      <c r="HO23" s="23">
        <f t="shared" si="61"/>
        <v>0.41207099810841114</v>
      </c>
      <c r="HP23" s="575"/>
      <c r="HQ23" s="193"/>
      <c r="HR23" s="193"/>
      <c r="HS23" s="193"/>
      <c r="HT23" s="193"/>
      <c r="HU23" s="193"/>
      <c r="HV23" s="193"/>
      <c r="HW23" s="193"/>
      <c r="HX23" s="193"/>
      <c r="HY23" s="193"/>
      <c r="HZ23" s="193"/>
      <c r="IA23" s="193"/>
      <c r="IB23" s="23"/>
      <c r="IC23" s="23"/>
      <c r="ID23" s="23"/>
      <c r="IE23" s="23"/>
      <c r="IF23" s="23"/>
      <c r="IG23" s="23"/>
      <c r="IH23" s="23"/>
      <c r="II23" s="23"/>
      <c r="IJ23" s="23"/>
      <c r="IK23" s="23"/>
      <c r="IL23" s="23"/>
      <c r="IM23" s="575"/>
      <c r="IN23" s="193"/>
      <c r="IO23" s="193"/>
      <c r="IP23" s="193"/>
      <c r="IQ23" s="193"/>
      <c r="IR23" s="193"/>
      <c r="IS23" s="193"/>
      <c r="IT23" s="193"/>
      <c r="IU23" s="193"/>
      <c r="IV23" s="193"/>
      <c r="IW23" s="193"/>
      <c r="IX23" s="149">
        <f t="shared" si="63"/>
        <v>0</v>
      </c>
      <c r="IY23" s="316">
        <f t="shared" si="64"/>
        <v>0</v>
      </c>
      <c r="IZ23" s="316">
        <f t="shared" si="65"/>
        <v>0</v>
      </c>
      <c r="JA23" s="316">
        <f t="shared" si="66"/>
        <v>0</v>
      </c>
      <c r="JB23" s="316">
        <f t="shared" si="67"/>
        <v>0</v>
      </c>
      <c r="JC23" s="316">
        <f t="shared" si="68"/>
        <v>0</v>
      </c>
      <c r="JD23" s="316">
        <f t="shared" si="69"/>
        <v>0</v>
      </c>
      <c r="JE23" s="316">
        <f t="shared" si="70"/>
        <v>0</v>
      </c>
      <c r="JF23" s="316">
        <f t="shared" si="71"/>
        <v>0</v>
      </c>
      <c r="JG23" s="316">
        <f t="shared" si="72"/>
        <v>0</v>
      </c>
      <c r="JH23" s="316">
        <f t="shared" si="73"/>
        <v>0</v>
      </c>
      <c r="JI23" s="5"/>
      <c r="JJ23" s="593"/>
      <c r="JK23" s="593"/>
      <c r="JL23" s="593"/>
      <c r="JM23" s="593"/>
      <c r="JN23" s="593"/>
      <c r="JO23" s="593"/>
      <c r="JP23" s="552">
        <f t="shared" si="74"/>
        <v>0</v>
      </c>
      <c r="JQ23" s="552">
        <f t="shared" si="75"/>
        <v>0</v>
      </c>
      <c r="JR23" s="552">
        <f t="shared" si="76"/>
        <v>0</v>
      </c>
      <c r="JS23" s="593"/>
      <c r="JT23" s="149"/>
      <c r="JU23" s="593"/>
      <c r="JV23" s="593"/>
      <c r="JW23" s="593"/>
      <c r="JX23" s="593"/>
      <c r="JY23" s="593"/>
      <c r="JZ23" s="593"/>
      <c r="KA23" s="593"/>
      <c r="KB23" s="593"/>
      <c r="KC23" s="657"/>
      <c r="KD23" s="593"/>
      <c r="KE23" s="620">
        <f>KE22+(KE$27-KE$22)/5</f>
        <v>116290.6</v>
      </c>
      <c r="KL23" s="620">
        <f>KL22+(KL$27-KL$22)/5</f>
        <v>7481.4</v>
      </c>
      <c r="KM23" s="620">
        <f>KM22+(KM$27-KM$22)/5</f>
        <v>108809.2</v>
      </c>
      <c r="KN23" s="552">
        <f t="shared" si="209"/>
        <v>62561.799999999996</v>
      </c>
      <c r="KO23" s="620">
        <f>KO22+(KO$27-KO$22)/5</f>
        <v>46247.4</v>
      </c>
      <c r="KP23" s="149"/>
      <c r="KY23" s="657"/>
      <c r="LA23" s="149">
        <f>'Assets(MOFA)'!IX23-'Assets(MOFA)'!KE23-'Assets(MOFA)'!KP23</f>
        <v>-116290.6</v>
      </c>
      <c r="LB23" s="552">
        <f>'Assets(MOFA)'!IY23-'Assets(MOFA)'!KF23-'Assets(MOFA)'!KQ23</f>
        <v>0</v>
      </c>
      <c r="LC23" s="552">
        <f>'Assets(MOFA)'!IZ23-'Assets(MOFA)'!KG23-'Assets(MOFA)'!KR23</f>
        <v>0</v>
      </c>
      <c r="LD23" s="552">
        <f>'Assets(MOFA)'!JA23-'Assets(MOFA)'!KH23-'Assets(MOFA)'!KS23</f>
        <v>0</v>
      </c>
      <c r="LE23" s="552">
        <f>'Assets(MOFA)'!JB23-'Assets(MOFA)'!KI23-'Assets(MOFA)'!KT23</f>
        <v>0</v>
      </c>
      <c r="LF23" s="552">
        <f>'Assets(MOFA)'!JC23-'Assets(MOFA)'!KJ23-'Assets(MOFA)'!KU23</f>
        <v>0</v>
      </c>
      <c r="LG23" s="552">
        <f>'Assets(MOFA)'!JD23-'Assets(MOFA)'!KK23-'Assets(MOFA)'!KV23</f>
        <v>0</v>
      </c>
      <c r="LH23" s="552">
        <f>'Assets(MOFA)'!JE23-'Assets(MOFA)'!KL23-'Assets(MOFA)'!KW23</f>
        <v>-7481.4</v>
      </c>
      <c r="LI23" s="552">
        <f>'Assets(MOFA)'!JF23-'Assets(MOFA)'!KM23-'Assets(MOFA)'!KX23</f>
        <v>-108809.2</v>
      </c>
      <c r="LJ23" s="552">
        <f t="shared" si="77"/>
        <v>-62561.799999999996</v>
      </c>
      <c r="LK23" s="552">
        <f>'Assets(MOFA)'!JH23-'Assets(MOFA)'!KO23-'Assets(MOFA)'!KZ23</f>
        <v>-46247.4</v>
      </c>
      <c r="LL23" s="576" t="e">
        <f t="shared" si="78"/>
        <v>#DIV/0!</v>
      </c>
      <c r="LM23" s="6" t="e">
        <f t="shared" si="79"/>
        <v>#DIV/0!</v>
      </c>
      <c r="LN23" s="6" t="e">
        <f t="shared" si="80"/>
        <v>#DIV/0!</v>
      </c>
      <c r="LO23" s="6" t="e">
        <f t="shared" si="81"/>
        <v>#DIV/0!</v>
      </c>
      <c r="LP23" s="6" t="e">
        <f t="shared" si="82"/>
        <v>#DIV/0!</v>
      </c>
      <c r="LQ23" s="6" t="e">
        <f t="shared" si="83"/>
        <v>#DIV/0!</v>
      </c>
      <c r="LR23" s="6" t="e">
        <f t="shared" si="84"/>
        <v>#DIV/0!</v>
      </c>
      <c r="LS23" s="6" t="e">
        <f t="shared" si="85"/>
        <v>#DIV/0!</v>
      </c>
      <c r="LT23" s="143" t="e">
        <f t="shared" si="86"/>
        <v>#DIV/0!</v>
      </c>
      <c r="LU23" s="62" t="e">
        <f t="shared" si="87"/>
        <v>#DIV/0!</v>
      </c>
      <c r="LV23" s="902" t="e">
        <f t="shared" si="88"/>
        <v>#DIV/0!</v>
      </c>
      <c r="LW23" s="902" t="e">
        <f t="shared" si="89"/>
        <v>#DIV/0!</v>
      </c>
      <c r="LX23" s="143" t="e">
        <f t="shared" si="90"/>
        <v>#DIV/0!</v>
      </c>
      <c r="LY23" s="576" t="e">
        <f t="shared" si="91"/>
        <v>#DIV/0!</v>
      </c>
      <c r="LZ23" s="906" t="e">
        <f t="shared" si="92"/>
        <v>#DIV/0!</v>
      </c>
      <c r="MA23" s="906" t="e">
        <f t="shared" si="93"/>
        <v>#DIV/0!</v>
      </c>
      <c r="MB23" s="906" t="e">
        <f t="shared" si="94"/>
        <v>#DIV/0!</v>
      </c>
      <c r="MC23" s="906" t="e">
        <f t="shared" si="95"/>
        <v>#DIV/0!</v>
      </c>
      <c r="MD23" s="906" t="e">
        <f t="shared" si="96"/>
        <v>#DIV/0!</v>
      </c>
      <c r="ME23" s="906">
        <v>6.1610529375296846E-2</v>
      </c>
      <c r="MF23" s="906" t="e">
        <f t="shared" si="97"/>
        <v>#DIV/0!</v>
      </c>
      <c r="MG23" s="30" t="e">
        <f t="shared" si="98"/>
        <v>#DIV/0!</v>
      </c>
      <c r="MH23" s="140" t="e">
        <f t="shared" si="99"/>
        <v>#DIV/0!</v>
      </c>
      <c r="MI23" s="30" t="e">
        <f t="shared" si="100"/>
        <v>#DIV/0!</v>
      </c>
      <c r="MJ23" s="30" t="e">
        <f t="shared" si="101"/>
        <v>#DIV/0!</v>
      </c>
      <c r="MK23" s="617" t="e">
        <f t="shared" si="102"/>
        <v>#DIV/0!</v>
      </c>
      <c r="ML23" s="615" t="e">
        <f t="shared" si="103"/>
        <v>#DIV/0!</v>
      </c>
      <c r="MM23" s="574"/>
      <c r="MU23" s="593"/>
      <c r="MX23" s="574"/>
      <c r="NI23" s="613">
        <f t="shared" si="214"/>
        <v>67013.13691312373</v>
      </c>
      <c r="NQ23" s="593"/>
      <c r="NY23" s="593"/>
      <c r="NZ23" s="593"/>
      <c r="OA23" s="593"/>
      <c r="OB23" s="593"/>
      <c r="OC23" s="593"/>
      <c r="OD23" s="593"/>
      <c r="OE23" s="593"/>
      <c r="OF23" s="593"/>
      <c r="OG23" s="593"/>
      <c r="OH23" s="593"/>
      <c r="OI23" s="593"/>
      <c r="OJ23" s="593"/>
      <c r="OK23" s="593"/>
      <c r="OL23" s="593"/>
      <c r="OM23" s="593"/>
      <c r="ON23" s="593"/>
      <c r="OO23" s="593"/>
      <c r="OW23" s="593"/>
      <c r="PE23" s="593"/>
      <c r="PN23" s="574"/>
      <c r="PO23" s="593"/>
      <c r="PP23" s="593"/>
      <c r="PQ23" s="593"/>
      <c r="PR23" s="593"/>
      <c r="PS23" s="593"/>
      <c r="PT23" s="593"/>
      <c r="PU23" s="593"/>
      <c r="PV23" s="593"/>
      <c r="PW23" s="593"/>
      <c r="PX23" s="593"/>
      <c r="PY23" s="593"/>
      <c r="PZ23" s="593"/>
      <c r="QA23" s="593"/>
      <c r="QB23" s="593"/>
      <c r="QC23" s="593"/>
      <c r="QD23" s="593"/>
      <c r="QE23" s="593"/>
      <c r="QF23" s="593"/>
      <c r="QG23" s="593"/>
      <c r="QH23" s="593"/>
      <c r="QI23" s="593"/>
      <c r="QJ23" s="593"/>
      <c r="QK23" s="593"/>
      <c r="QL23" s="593"/>
      <c r="QM23" s="593"/>
      <c r="QN23" s="593"/>
      <c r="QO23" s="593"/>
      <c r="QP23" s="593"/>
      <c r="QQ23" s="593"/>
      <c r="QR23" s="593"/>
      <c r="QS23" s="593"/>
      <c r="QT23" s="593"/>
      <c r="QU23" s="593"/>
      <c r="QV23" s="593"/>
      <c r="QW23" s="593"/>
      <c r="QX23" s="593"/>
      <c r="QY23" s="593"/>
      <c r="QZ23" s="593"/>
      <c r="RA23" s="593"/>
      <c r="RB23" s="593"/>
      <c r="RC23" s="593"/>
      <c r="RD23" s="593"/>
      <c r="RE23" s="593"/>
      <c r="RF23" s="593"/>
      <c r="RG23" s="593"/>
      <c r="RH23" s="593"/>
      <c r="RI23" s="593"/>
      <c r="RJ23" s="593"/>
      <c r="RK23" s="593"/>
      <c r="RL23" s="593"/>
      <c r="RM23" s="593"/>
      <c r="RN23" s="593"/>
      <c r="RO23" s="593"/>
      <c r="RP23" s="593"/>
      <c r="RQ23" s="593"/>
      <c r="RR23" s="593"/>
    </row>
    <row r="24" spans="1:486" s="567" customFormat="1">
      <c r="A24" s="568">
        <v>1979</v>
      </c>
      <c r="B24" s="611">
        <f>O24*P24</f>
        <v>74674.03790349394</v>
      </c>
      <c r="C24" s="66">
        <f>$B24*Q24</f>
        <v>305.69693779323052</v>
      </c>
      <c r="D24" s="66">
        <f t="shared" si="232"/>
        <v>143.3371823193697</v>
      </c>
      <c r="E24" s="66">
        <f t="shared" si="232"/>
        <v>2210.7796817742387</v>
      </c>
      <c r="F24" s="66">
        <f t="shared" si="232"/>
        <v>1113.5036172000418</v>
      </c>
      <c r="G24" s="66">
        <f t="shared" si="232"/>
        <v>486.08989567510412</v>
      </c>
      <c r="H24" s="66">
        <f t="shared" si="232"/>
        <v>235.77434013153541</v>
      </c>
      <c r="I24" s="193">
        <f t="shared" si="215"/>
        <v>4495.1816548935203</v>
      </c>
      <c r="J24" s="193">
        <f t="shared" si="216"/>
        <v>70178.856248600423</v>
      </c>
      <c r="K24" s="193">
        <f>J24-L24</f>
        <v>63225.145053866509</v>
      </c>
      <c r="L24" s="66">
        <f t="shared" si="186"/>
        <v>6953.7111947339135</v>
      </c>
      <c r="M24" s="140">
        <f t="shared" si="217"/>
        <v>6.0197382933850886E-2</v>
      </c>
      <c r="N24" s="631">
        <f>N23+(N$26-N$23)/3</f>
        <v>9.3120867572751884E-2</v>
      </c>
      <c r="O24" s="193">
        <v>1004400</v>
      </c>
      <c r="P24" s="626">
        <f t="shared" si="233"/>
        <v>7.4346911492925064E-2</v>
      </c>
      <c r="Q24" s="630">
        <f t="shared" si="233"/>
        <v>4.0937512738805195E-3</v>
      </c>
      <c r="R24" s="387">
        <f t="shared" si="234"/>
        <v>1.9195049088494927E-3</v>
      </c>
      <c r="S24" s="387">
        <f t="shared" si="234"/>
        <v>2.9605733717404853E-2</v>
      </c>
      <c r="T24" s="387">
        <f t="shared" si="234"/>
        <v>1.4911522779029227E-2</v>
      </c>
      <c r="U24" s="387">
        <f t="shared" si="234"/>
        <v>6.5094899020099774E-3</v>
      </c>
      <c r="V24" s="387">
        <f t="shared" si="234"/>
        <v>3.1573803526768131E-3</v>
      </c>
      <c r="W24" s="590">
        <f>AS24+AP24</f>
        <v>103270.88121791287</v>
      </c>
      <c r="X24" s="66">
        <f>BX24+FM24</f>
        <v>822.57772618845513</v>
      </c>
      <c r="Y24" s="76">
        <f t="shared" si="3"/>
        <v>223.23815852692903</v>
      </c>
      <c r="Z24" s="76">
        <f t="shared" si="114"/>
        <v>599.33956766152608</v>
      </c>
      <c r="AA24" s="66">
        <f>CA24+FP24</f>
        <v>84.409310537096033</v>
      </c>
      <c r="AB24" s="66">
        <f t="shared" ref="AB24:AB34" si="241">FQ24/GY24</f>
        <v>10.795322979847613</v>
      </c>
      <c r="AC24" s="274">
        <f t="shared" si="117"/>
        <v>73.613987557248421</v>
      </c>
      <c r="AD24" s="66">
        <f>CD24+FS24</f>
        <v>1684.3937272112198</v>
      </c>
      <c r="AE24" s="357">
        <f>FT24/HA24</f>
        <v>555.29661613839585</v>
      </c>
      <c r="AF24" s="274">
        <f t="shared" si="119"/>
        <v>1129.097111072824</v>
      </c>
      <c r="AG24" s="66">
        <f>CG24+FW24</f>
        <v>1779.8815415104416</v>
      </c>
      <c r="AH24" s="357">
        <f t="shared" si="5"/>
        <v>645.09964399776629</v>
      </c>
      <c r="AI24" s="76">
        <f t="shared" si="6"/>
        <v>1134.7818975126752</v>
      </c>
      <c r="AJ24" s="66">
        <f>CJ24+FZ24</f>
        <v>4310.9221178695698</v>
      </c>
      <c r="AK24" s="357">
        <f>GA24/HE24</f>
        <v>1871.3198001320186</v>
      </c>
      <c r="AL24" s="274">
        <f t="shared" si="123"/>
        <v>2439.6023177375509</v>
      </c>
      <c r="AM24" s="66">
        <f>CM24+GD24</f>
        <v>594.52332911891403</v>
      </c>
      <c r="AN24" s="357">
        <f>GE24/HG24</f>
        <v>275.26799435796789</v>
      </c>
      <c r="AO24" s="274">
        <f t="shared" si="125"/>
        <v>319.25533476094614</v>
      </c>
      <c r="AP24" s="193">
        <f t="shared" si="8"/>
        <v>9276.7077524356973</v>
      </c>
      <c r="AQ24" s="271">
        <f t="shared" si="9"/>
        <v>3581.0175361329252</v>
      </c>
      <c r="AR24" s="271">
        <f t="shared" si="126"/>
        <v>5695.6902163027708</v>
      </c>
      <c r="AS24" s="66">
        <f>CR24+GI24</f>
        <v>93994.173465477172</v>
      </c>
      <c r="AT24" s="193">
        <f t="shared" si="224"/>
        <v>27147.573465477166</v>
      </c>
      <c r="AU24" s="66">
        <f t="shared" si="187"/>
        <v>66846.600000000006</v>
      </c>
      <c r="AV24" s="66"/>
      <c r="AW24" s="66"/>
      <c r="AX24" s="271">
        <f t="shared" si="227"/>
        <v>36424.281217912867</v>
      </c>
      <c r="AY24" s="140">
        <f t="shared" si="10"/>
        <v>8.9828881510760308E-2</v>
      </c>
      <c r="AZ24" s="623">
        <f t="shared" si="129"/>
        <v>5.5152915799026064E-2</v>
      </c>
      <c r="BA24" s="248">
        <f t="shared" si="11"/>
        <v>0.15637069630084352</v>
      </c>
      <c r="BB24" s="248">
        <f t="shared" si="130"/>
        <v>1.6454396562444195E-2</v>
      </c>
      <c r="BC24" s="248">
        <f t="shared" si="131"/>
        <v>2.0210141448459458E-3</v>
      </c>
      <c r="BD24" s="248">
        <f t="shared" si="132"/>
        <v>3.0998473362256834E-2</v>
      </c>
      <c r="BE24" s="248">
        <f t="shared" si="133"/>
        <v>3.1154544703948968E-2</v>
      </c>
      <c r="BF24" s="248">
        <f t="shared" si="134"/>
        <v>6.6977363345684757E-2</v>
      </c>
      <c r="BG24" s="248">
        <f t="shared" si="135"/>
        <v>8.7649041816627964E-3</v>
      </c>
      <c r="BH24" s="248">
        <f t="shared" si="136"/>
        <v>3.3019487507102777E-2</v>
      </c>
      <c r="BI24" s="23">
        <f t="shared" si="12"/>
        <v>0.20844101163733333</v>
      </c>
      <c r="BJ24" s="140">
        <f t="shared" si="13"/>
        <v>0.64729378902990431</v>
      </c>
      <c r="BK24" s="623">
        <f t="shared" si="137"/>
        <v>0.61261782331817016</v>
      </c>
      <c r="BL24" s="590">
        <f>BS24+BT24</f>
        <v>1778</v>
      </c>
      <c r="BM24" s="66">
        <f t="shared" ref="BM24:BN26" si="242">BM23+(BM$27-BM$22)/5</f>
        <v>10.4</v>
      </c>
      <c r="BN24" s="66">
        <f t="shared" si="242"/>
        <v>-15.600000000000001</v>
      </c>
      <c r="BO24" s="66">
        <f>BO23+(BO$27-BO$22)/5</f>
        <v>59.199999999999996</v>
      </c>
      <c r="BP24" s="66">
        <f t="shared" ref="BP24:BV26" si="243">BP23+(BP$27-BP$22)/5</f>
        <v>-146.80000000000001</v>
      </c>
      <c r="BQ24" s="66">
        <f t="shared" si="243"/>
        <v>-1456</v>
      </c>
      <c r="BR24" s="66">
        <f t="shared" si="243"/>
        <v>-3.4000000000000004</v>
      </c>
      <c r="BS24" s="193">
        <f t="shared" si="236"/>
        <v>-1552.1999999999998</v>
      </c>
      <c r="BT24" s="66">
        <f t="shared" si="243"/>
        <v>3330.2</v>
      </c>
      <c r="BU24" s="193">
        <f t="shared" si="237"/>
        <v>2263.7999999999997</v>
      </c>
      <c r="BV24" s="66">
        <f t="shared" si="243"/>
        <v>1066.4000000000001</v>
      </c>
      <c r="BW24" s="590">
        <f>BW23*'Assets(BoP)'!DI71/'Assets(BoP)'!DI70</f>
        <v>36164.481217912878</v>
      </c>
      <c r="BX24" s="66">
        <f>CV24*$BW24</f>
        <v>766.76818655672287</v>
      </c>
      <c r="BY24" s="193">
        <f t="shared" si="148"/>
        <v>195.3333887110629</v>
      </c>
      <c r="BZ24" s="647">
        <f t="shared" si="149"/>
        <v>1.5800995302612517E-2</v>
      </c>
      <c r="CA24" s="66">
        <f>CW24*$BW24</f>
        <v>54.722172342515101</v>
      </c>
      <c r="CB24" s="193">
        <f t="shared" si="151"/>
        <v>8.0964922348857105</v>
      </c>
      <c r="CC24" s="647">
        <f t="shared" si="14"/>
        <v>1.2892672184810687E-3</v>
      </c>
      <c r="CD24" s="66">
        <f>CX24*$BW24</f>
        <v>984.71999087684105</v>
      </c>
      <c r="CE24" s="193">
        <f t="shared" si="153"/>
        <v>205.45974797120647</v>
      </c>
      <c r="CF24" s="655">
        <f t="shared" si="15"/>
        <v>2.1547668227566163E-2</v>
      </c>
      <c r="CG24" s="66">
        <f>CY24*$BW24</f>
        <v>1367.5998141434482</v>
      </c>
      <c r="CH24" s="193">
        <f t="shared" si="155"/>
        <v>562.64329852436754</v>
      </c>
      <c r="CI24" s="23">
        <f t="shared" si="16"/>
        <v>2.2258207183140016E-2</v>
      </c>
      <c r="CJ24" s="66">
        <f>CZ24*$BW24</f>
        <v>3100.0681295488516</v>
      </c>
      <c r="CK24" s="641">
        <f t="shared" si="157"/>
        <v>842.09391005940824</v>
      </c>
      <c r="CL24" s="34">
        <f t="shared" si="158"/>
        <v>6.2436239742629865E-2</v>
      </c>
      <c r="CM24" s="66">
        <f>DB24*$BW24</f>
        <v>475.78027272920235</v>
      </c>
      <c r="CN24" s="193">
        <f t="shared" si="160"/>
        <v>204.0221605241409</v>
      </c>
      <c r="CO24" s="23">
        <f t="shared" si="161"/>
        <v>7.5145032654430864E-3</v>
      </c>
      <c r="CP24" s="271">
        <f t="shared" si="17"/>
        <v>6749.6585661975814</v>
      </c>
      <c r="CQ24" s="193">
        <f t="shared" si="162"/>
        <v>2017.6489980250717</v>
      </c>
      <c r="CR24" s="271">
        <f t="shared" si="18"/>
        <v>29414.822651715298</v>
      </c>
      <c r="CS24" s="248">
        <f t="shared" si="163"/>
        <v>0.13084688093987273</v>
      </c>
      <c r="CT24" s="30">
        <f t="shared" si="19"/>
        <v>0.18663778212458806</v>
      </c>
      <c r="CU24" s="308">
        <f t="shared" si="20"/>
        <v>0</v>
      </c>
      <c r="CV24" s="387">
        <f>CV23+(CV$27-CV$22)/5</f>
        <v>2.1202244874922459E-2</v>
      </c>
      <c r="CW24" s="387">
        <f t="shared" si="238"/>
        <v>1.5131468916360477E-3</v>
      </c>
      <c r="CX24" s="387">
        <f t="shared" si="238"/>
        <v>2.7228926220268648E-2</v>
      </c>
      <c r="CY24" s="387">
        <f t="shared" si="238"/>
        <v>3.7816104865512429E-2</v>
      </c>
      <c r="CZ24" s="387">
        <f>CZ23*DA24/DA23</f>
        <v>8.5721349377834724E-2</v>
      </c>
      <c r="DA24" s="387">
        <f>'Assets(BoP)'!FK71</f>
        <v>8.3210756874469188E-2</v>
      </c>
      <c r="DB24" s="387">
        <f>DB23+(DB$27-DB$22)/5</f>
        <v>1.3156009894413758E-2</v>
      </c>
      <c r="DC24" s="23">
        <f t="shared" si="21"/>
        <v>0.21307793939187994</v>
      </c>
      <c r="DD24" s="193">
        <f t="shared" si="22"/>
        <v>22207.88121791288</v>
      </c>
      <c r="DE24" s="66">
        <f t="shared" si="164"/>
        <v>13956.6</v>
      </c>
      <c r="DF24" s="635">
        <f>'Assets(BoP)'!ES71*1000</f>
        <v>13577.403084130394</v>
      </c>
      <c r="DG24" s="193">
        <f>'Assets(BoP)'!DA71</f>
        <v>13292</v>
      </c>
      <c r="DH24" s="34">
        <f t="shared" si="23"/>
        <v>0.38592009424670137</v>
      </c>
      <c r="DI24" s="23">
        <f>'Assets(BoP)'!DA71/'Assets(BoP)'!CZ71/1000</f>
        <v>0.34811303459654824</v>
      </c>
      <c r="DJ24" s="23">
        <f t="shared" si="24"/>
        <v>0.15940885590431941</v>
      </c>
      <c r="DK24" s="600">
        <f>'Assets(BoP)'!FO71-'Assets(BoP)'!FH71</f>
        <v>0.15411869294881908</v>
      </c>
      <c r="DL24" s="576">
        <f t="shared" si="25"/>
        <v>1.3829556311308151</v>
      </c>
      <c r="DM24" s="251">
        <f t="shared" si="26"/>
        <v>2.6908274977384172</v>
      </c>
      <c r="DN24" s="251">
        <f t="shared" si="27"/>
        <v>2.1217466888593144</v>
      </c>
      <c r="DO24" s="251">
        <f t="shared" si="28"/>
        <v>0.58888635294241776</v>
      </c>
      <c r="DP24" s="251">
        <f t="shared" si="29"/>
        <v>0.51762754789517429</v>
      </c>
      <c r="DQ24" s="251">
        <f t="shared" si="30"/>
        <v>0.76190031105199352</v>
      </c>
      <c r="DR24" s="251">
        <f t="shared" si="31"/>
        <v>0.52442602994919263</v>
      </c>
      <c r="DS24" s="251">
        <f t="shared" si="32"/>
        <v>1.5984515128797148</v>
      </c>
      <c r="DT24" s="251">
        <f t="shared" si="33"/>
        <v>1.0844657366242056</v>
      </c>
      <c r="DU24" s="251">
        <f t="shared" si="34"/>
        <v>8.8685696950815274</v>
      </c>
      <c r="DV24" s="251">
        <f t="shared" si="35"/>
        <v>8.3712573742753733</v>
      </c>
      <c r="DW24" s="251">
        <f t="shared" si="36"/>
        <v>2.5215777458532478</v>
      </c>
      <c r="DX24" s="251">
        <f t="shared" si="37"/>
        <v>1.5412567869126168</v>
      </c>
      <c r="DY24" s="251">
        <f t="shared" si="38"/>
        <v>0.75136585813863044</v>
      </c>
      <c r="DZ24" s="251">
        <f t="shared" si="39"/>
        <v>0.52400479067428196</v>
      </c>
      <c r="EA24" s="649">
        <f t="shared" si="40"/>
        <v>2.0637003050448337</v>
      </c>
      <c r="EB24" s="643">
        <f t="shared" si="41"/>
        <v>1.3815548779591931</v>
      </c>
      <c r="EC24" s="251">
        <f t="shared" si="42"/>
        <v>1.3393517433871216</v>
      </c>
      <c r="ED24" s="251">
        <f t="shared" si="43"/>
        <v>0.53786334160140981</v>
      </c>
      <c r="EE24" s="140">
        <f t="shared" si="44"/>
        <v>0.42937937813109006</v>
      </c>
      <c r="EF24" s="1342">
        <v>0.22419634403613553</v>
      </c>
      <c r="EG24" s="140">
        <f t="shared" si="228"/>
        <v>9.6130825868384253</v>
      </c>
      <c r="EH24" s="583">
        <v>31.61</v>
      </c>
      <c r="EI24" s="1344">
        <v>2.7485773278944454</v>
      </c>
      <c r="EJ24" s="576">
        <f t="shared" si="166"/>
        <v>0.48429791977568648</v>
      </c>
      <c r="EK24" s="753">
        <f t="shared" si="167"/>
        <v>1.3559109107923633</v>
      </c>
      <c r="EL24" s="753">
        <f t="shared" si="168"/>
        <v>2.0070721387694985</v>
      </c>
      <c r="EM24" s="753">
        <f t="shared" si="169"/>
        <v>0.2444948546744371</v>
      </c>
      <c r="EN24" s="583"/>
      <c r="EO24" s="5"/>
      <c r="EP24" s="193"/>
      <c r="EQ24" s="193"/>
      <c r="ER24" s="193"/>
      <c r="ES24" s="193"/>
      <c r="ET24" s="193"/>
      <c r="EU24" s="193"/>
      <c r="EV24" s="193"/>
      <c r="EW24" s="193"/>
      <c r="EX24" s="193"/>
      <c r="EY24" s="193"/>
      <c r="EZ24" s="193"/>
      <c r="FA24" s="193"/>
      <c r="FB24" s="193"/>
      <c r="FC24" s="193"/>
      <c r="FD24" s="23"/>
      <c r="FE24" s="66"/>
      <c r="FF24" s="66"/>
      <c r="FG24" s="66">
        <f t="shared" si="210"/>
        <v>13956.6</v>
      </c>
      <c r="FH24" s="193">
        <f>'Assets(BoP)'!DA71</f>
        <v>13292</v>
      </c>
      <c r="FI24" s="184">
        <v>1.05</v>
      </c>
      <c r="FJ24" s="590">
        <f>GK24+GO24</f>
        <v>67106.399999999994</v>
      </c>
      <c r="FK24" s="143">
        <f>FJ24/'Assets(BoP)'!AV71/1000</f>
        <v>1.2</v>
      </c>
      <c r="FL24" s="725"/>
      <c r="FM24" s="66">
        <f>GV24*BX24/(1-GV24)</f>
        <v>55.809539631732257</v>
      </c>
      <c r="FN24" s="66">
        <f>FM24*FO24</f>
        <v>27.904769815866128</v>
      </c>
      <c r="FO24" s="184">
        <v>0.5</v>
      </c>
      <c r="FP24" s="66">
        <f>GX24*CA24/(1-GX24)</f>
        <v>29.687138194580935</v>
      </c>
      <c r="FQ24" s="66">
        <f>FP24*FR24</f>
        <v>2.6988307449619033</v>
      </c>
      <c r="FR24" s="184">
        <f>FR$22</f>
        <v>9.0909090909090912E-2</v>
      </c>
      <c r="FS24" s="66">
        <f>GZ24*CD24/(1-GZ24)</f>
        <v>699.67373633437876</v>
      </c>
      <c r="FT24" s="66">
        <f>FS24*FV24</f>
        <v>349.83686816718938</v>
      </c>
      <c r="FU24" s="193">
        <f t="shared" si="175"/>
        <v>349.83686816718938</v>
      </c>
      <c r="FV24" s="184">
        <v>0.5</v>
      </c>
      <c r="FW24" s="66">
        <f>HB24*CG24/(1-HB24)</f>
        <v>412.28172736699349</v>
      </c>
      <c r="FX24" s="66">
        <f>FW24*FY24</f>
        <v>82.456345473398699</v>
      </c>
      <c r="FY24" s="184">
        <v>0.2</v>
      </c>
      <c r="FZ24" s="66">
        <f>HD24*CJ24/(1-HD24)</f>
        <v>1210.8539883207181</v>
      </c>
      <c r="GA24" s="66">
        <f>FZ24*GC24</f>
        <v>1029.2258900726104</v>
      </c>
      <c r="GB24" s="193">
        <f t="shared" si="180"/>
        <v>181.62809824810779</v>
      </c>
      <c r="GC24" s="184">
        <v>0.85</v>
      </c>
      <c r="GD24" s="66">
        <f>HF24*CM24/(1-HF24)</f>
        <v>118.74305638971167</v>
      </c>
      <c r="GE24" s="66">
        <f>GD24*GF24</f>
        <v>71.245833833826993</v>
      </c>
      <c r="GF24" s="184">
        <v>0.6</v>
      </c>
      <c r="GG24" s="66">
        <f t="shared" si="47"/>
        <v>2527.049186238115</v>
      </c>
      <c r="GH24" s="193">
        <f t="shared" si="48"/>
        <v>1563.3685381078535</v>
      </c>
      <c r="GI24" s="193">
        <f t="shared" si="49"/>
        <v>64579.350813761877</v>
      </c>
      <c r="GJ24" s="23">
        <f t="shared" si="50"/>
        <v>3.7657349913542006E-2</v>
      </c>
      <c r="GK24" s="66">
        <f>GM24*'Assets(BoP)'!AW71*1000</f>
        <v>52890</v>
      </c>
      <c r="GL24" s="66"/>
      <c r="GM24" s="184">
        <v>1.2</v>
      </c>
      <c r="GN24" s="23">
        <f t="shared" si="51"/>
        <v>0.78815135367118494</v>
      </c>
      <c r="GO24" s="666">
        <f>('Assets(BoP)'!AV71-'Assets(BoP)'!AW71)*1000*GP24</f>
        <v>14216.399999999992</v>
      </c>
      <c r="GP24" s="184">
        <v>1.2</v>
      </c>
      <c r="GQ24" s="330">
        <f t="shared" si="52"/>
        <v>11689.350813761877</v>
      </c>
      <c r="GR24" s="330">
        <v>178.703</v>
      </c>
      <c r="GS24" s="140">
        <f t="shared" si="53"/>
        <v>9.6874539576690552E-2</v>
      </c>
      <c r="GT24" s="609">
        <v>0.62038751655031332</v>
      </c>
      <c r="GU24" s="143">
        <f t="shared" si="54"/>
        <v>0.64980950301371143</v>
      </c>
      <c r="GV24" s="56">
        <f>GV23+(GV$27-GV$22)/5</f>
        <v>6.7847132076301955E-2</v>
      </c>
      <c r="GW24" s="389">
        <v>0.125</v>
      </c>
      <c r="GX24" s="56">
        <f t="shared" si="239"/>
        <v>0.35170454545454544</v>
      </c>
      <c r="GY24" s="389">
        <v>0.25</v>
      </c>
      <c r="GZ24" s="56">
        <f t="shared" si="239"/>
        <v>0.41538609710497992</v>
      </c>
      <c r="HA24" s="56">
        <v>0.63</v>
      </c>
      <c r="HB24" s="56">
        <f t="shared" si="239"/>
        <v>0.23163436315942873</v>
      </c>
      <c r="HC24" s="56">
        <f t="shared" si="56"/>
        <v>0.12781954887218044</v>
      </c>
      <c r="HD24" s="638">
        <f t="shared" si="239"/>
        <v>0.28088050658616737</v>
      </c>
      <c r="HE24" s="638">
        <v>0.55000000000000004</v>
      </c>
      <c r="HF24" s="56">
        <f t="shared" si="239"/>
        <v>0.19972816973505375</v>
      </c>
      <c r="HG24" s="56">
        <f t="shared" si="239"/>
        <v>0.25882352941176473</v>
      </c>
      <c r="HH24" s="6">
        <f t="shared" si="57"/>
        <v>0.27240797637228698</v>
      </c>
      <c r="HI24" s="6">
        <f t="shared" si="58"/>
        <v>0.16919470889970789</v>
      </c>
      <c r="HJ24" s="23">
        <f t="shared" si="240"/>
        <v>0.79121451203202553</v>
      </c>
      <c r="HK24" s="23"/>
      <c r="HL24" s="23"/>
      <c r="HM24" s="31">
        <f t="shared" si="184"/>
        <v>0.39030008347861644</v>
      </c>
      <c r="HN24" s="23">
        <f t="shared" si="60"/>
        <v>0.68705695717917059</v>
      </c>
      <c r="HO24" s="23">
        <f t="shared" si="61"/>
        <v>0.43058547492750715</v>
      </c>
      <c r="HP24" s="575"/>
      <c r="HQ24" s="193"/>
      <c r="HR24" s="193"/>
      <c r="HS24" s="193"/>
      <c r="HT24" s="193"/>
      <c r="HU24" s="193"/>
      <c r="HV24" s="193"/>
      <c r="HW24" s="193"/>
      <c r="HX24" s="193"/>
      <c r="HY24" s="193"/>
      <c r="HZ24" s="193"/>
      <c r="IA24" s="193"/>
      <c r="IB24" s="23"/>
      <c r="IC24" s="23"/>
      <c r="ID24" s="23"/>
      <c r="IE24" s="23"/>
      <c r="IF24" s="23"/>
      <c r="IG24" s="23"/>
      <c r="IH24" s="23"/>
      <c r="II24" s="23"/>
      <c r="IJ24" s="23"/>
      <c r="IK24" s="23"/>
      <c r="IL24" s="23"/>
      <c r="IM24" s="575"/>
      <c r="IN24" s="193"/>
      <c r="IO24" s="193"/>
      <c r="IP24" s="193"/>
      <c r="IQ24" s="193"/>
      <c r="IR24" s="193"/>
      <c r="IS24" s="193"/>
      <c r="IT24" s="193"/>
      <c r="IU24" s="193"/>
      <c r="IV24" s="193"/>
      <c r="IW24" s="193"/>
      <c r="IX24" s="149">
        <f t="shared" si="63"/>
        <v>0</v>
      </c>
      <c r="IY24" s="316">
        <f t="shared" si="64"/>
        <v>0</v>
      </c>
      <c r="IZ24" s="316">
        <f t="shared" si="65"/>
        <v>0</v>
      </c>
      <c r="JA24" s="316">
        <f t="shared" si="66"/>
        <v>0</v>
      </c>
      <c r="JB24" s="316">
        <f t="shared" si="67"/>
        <v>0</v>
      </c>
      <c r="JC24" s="316">
        <f t="shared" si="68"/>
        <v>0</v>
      </c>
      <c r="JD24" s="316">
        <f t="shared" si="69"/>
        <v>0</v>
      </c>
      <c r="JE24" s="316">
        <f t="shared" si="70"/>
        <v>0</v>
      </c>
      <c r="JF24" s="316">
        <f t="shared" si="71"/>
        <v>0</v>
      </c>
      <c r="JG24" s="316">
        <f t="shared" si="72"/>
        <v>0</v>
      </c>
      <c r="JH24" s="316">
        <f t="shared" si="73"/>
        <v>0</v>
      </c>
      <c r="JI24" s="5"/>
      <c r="JJ24" s="593"/>
      <c r="JK24" s="593"/>
      <c r="JL24" s="593"/>
      <c r="JM24" s="593"/>
      <c r="JN24" s="593"/>
      <c r="JO24" s="593"/>
      <c r="JP24" s="552">
        <f t="shared" si="74"/>
        <v>0</v>
      </c>
      <c r="JQ24" s="552">
        <f t="shared" si="75"/>
        <v>0</v>
      </c>
      <c r="JR24" s="552">
        <f t="shared" si="76"/>
        <v>0</v>
      </c>
      <c r="JS24" s="593"/>
      <c r="JT24" s="149"/>
      <c r="JU24" s="593"/>
      <c r="JV24" s="593"/>
      <c r="JW24" s="593"/>
      <c r="JX24" s="593"/>
      <c r="JY24" s="593"/>
      <c r="JZ24" s="593"/>
      <c r="KA24" s="593"/>
      <c r="KB24" s="593"/>
      <c r="KC24" s="657"/>
      <c r="KD24" s="593"/>
      <c r="KE24" s="620">
        <f t="shared" ref="KE24:KE26" si="244">KE23+(KE$27-KE$22)/5</f>
        <v>128057.20000000001</v>
      </c>
      <c r="KL24" s="620">
        <f t="shared" ref="KL24:KM26" si="245">KL23+(KL$27-KL$22)/5</f>
        <v>8197.7999999999993</v>
      </c>
      <c r="KM24" s="620">
        <f t="shared" si="245"/>
        <v>119859.4</v>
      </c>
      <c r="KN24" s="552">
        <f t="shared" si="209"/>
        <v>67522.599999999991</v>
      </c>
      <c r="KO24" s="620">
        <f t="shared" ref="KO24:KO26" si="246">KO23+(KO$27-KO$22)/5</f>
        <v>52336.800000000003</v>
      </c>
      <c r="KP24" s="149"/>
      <c r="KY24" s="657"/>
      <c r="LA24" s="149">
        <f>'Assets(MOFA)'!IX24-'Assets(MOFA)'!KE24-'Assets(MOFA)'!KP24</f>
        <v>-128057.20000000001</v>
      </c>
      <c r="LB24" s="552">
        <f>'Assets(MOFA)'!IY24-'Assets(MOFA)'!KF24-'Assets(MOFA)'!KQ24</f>
        <v>0</v>
      </c>
      <c r="LC24" s="552">
        <f>'Assets(MOFA)'!IZ24-'Assets(MOFA)'!KG24-'Assets(MOFA)'!KR24</f>
        <v>0</v>
      </c>
      <c r="LD24" s="552">
        <f>'Assets(MOFA)'!JA24-'Assets(MOFA)'!KH24-'Assets(MOFA)'!KS24</f>
        <v>0</v>
      </c>
      <c r="LE24" s="552">
        <f>'Assets(MOFA)'!JB24-'Assets(MOFA)'!KI24-'Assets(MOFA)'!KT24</f>
        <v>0</v>
      </c>
      <c r="LF24" s="552">
        <f>'Assets(MOFA)'!JC24-'Assets(MOFA)'!KJ24-'Assets(MOFA)'!KU24</f>
        <v>0</v>
      </c>
      <c r="LG24" s="552">
        <f>'Assets(MOFA)'!JD24-'Assets(MOFA)'!KK24-'Assets(MOFA)'!KV24</f>
        <v>0</v>
      </c>
      <c r="LH24" s="552">
        <f>'Assets(MOFA)'!JE24-'Assets(MOFA)'!KL24-'Assets(MOFA)'!KW24</f>
        <v>-8197.7999999999993</v>
      </c>
      <c r="LI24" s="552">
        <f>'Assets(MOFA)'!JF24-'Assets(MOFA)'!KM24-'Assets(MOFA)'!KX24</f>
        <v>-119859.4</v>
      </c>
      <c r="LJ24" s="552">
        <f t="shared" si="77"/>
        <v>-67522.599999999991</v>
      </c>
      <c r="LK24" s="552">
        <f>'Assets(MOFA)'!JH24-'Assets(MOFA)'!KO24-'Assets(MOFA)'!KZ24</f>
        <v>-52336.800000000003</v>
      </c>
      <c r="LL24" s="576" t="e">
        <f t="shared" si="78"/>
        <v>#DIV/0!</v>
      </c>
      <c r="LM24" s="6" t="e">
        <f t="shared" si="79"/>
        <v>#DIV/0!</v>
      </c>
      <c r="LN24" s="6" t="e">
        <f t="shared" si="80"/>
        <v>#DIV/0!</v>
      </c>
      <c r="LO24" s="6" t="e">
        <f t="shared" si="81"/>
        <v>#DIV/0!</v>
      </c>
      <c r="LP24" s="6" t="e">
        <f t="shared" si="82"/>
        <v>#DIV/0!</v>
      </c>
      <c r="LQ24" s="6" t="e">
        <f t="shared" si="83"/>
        <v>#DIV/0!</v>
      </c>
      <c r="LR24" s="6" t="e">
        <f t="shared" si="84"/>
        <v>#DIV/0!</v>
      </c>
      <c r="LS24" s="6" t="e">
        <f t="shared" si="85"/>
        <v>#DIV/0!</v>
      </c>
      <c r="LT24" s="143" t="e">
        <f t="shared" si="86"/>
        <v>#DIV/0!</v>
      </c>
      <c r="LU24" s="62" t="e">
        <f t="shared" si="87"/>
        <v>#DIV/0!</v>
      </c>
      <c r="LV24" s="902" t="e">
        <f t="shared" si="88"/>
        <v>#DIV/0!</v>
      </c>
      <c r="LW24" s="902" t="e">
        <f t="shared" si="89"/>
        <v>#DIV/0!</v>
      </c>
      <c r="LX24" s="143" t="e">
        <f t="shared" si="90"/>
        <v>#DIV/0!</v>
      </c>
      <c r="LY24" s="576" t="e">
        <f t="shared" si="91"/>
        <v>#DIV/0!</v>
      </c>
      <c r="LZ24" s="906" t="e">
        <f t="shared" si="92"/>
        <v>#DIV/0!</v>
      </c>
      <c r="MA24" s="906" t="e">
        <f t="shared" si="93"/>
        <v>#DIV/0!</v>
      </c>
      <c r="MB24" s="906" t="e">
        <f t="shared" si="94"/>
        <v>#DIV/0!</v>
      </c>
      <c r="MC24" s="906" t="e">
        <f t="shared" si="95"/>
        <v>#DIV/0!</v>
      </c>
      <c r="MD24" s="906" t="e">
        <f t="shared" si="96"/>
        <v>#DIV/0!</v>
      </c>
      <c r="ME24" s="906">
        <v>6.1610529375296846E-2</v>
      </c>
      <c r="MF24" s="906" t="e">
        <f t="shared" si="97"/>
        <v>#DIV/0!</v>
      </c>
      <c r="MG24" s="30" t="e">
        <f t="shared" si="98"/>
        <v>#DIV/0!</v>
      </c>
      <c r="MH24" s="140" t="e">
        <f t="shared" si="99"/>
        <v>#DIV/0!</v>
      </c>
      <c r="MI24" s="30" t="e">
        <f t="shared" si="100"/>
        <v>#DIV/0!</v>
      </c>
      <c r="MJ24" s="30" t="e">
        <f t="shared" si="101"/>
        <v>#DIV/0!</v>
      </c>
      <c r="MK24" s="617" t="e">
        <f t="shared" si="102"/>
        <v>#DIV/0!</v>
      </c>
      <c r="ML24" s="615" t="e">
        <f t="shared" si="103"/>
        <v>#DIV/0!</v>
      </c>
      <c r="MM24" s="574"/>
      <c r="MU24" s="593"/>
      <c r="MX24" s="574"/>
      <c r="NI24" s="613">
        <f t="shared" si="214"/>
        <v>74674.03790349394</v>
      </c>
      <c r="NQ24" s="593"/>
      <c r="NY24" s="593"/>
      <c r="NZ24" s="593"/>
      <c r="OA24" s="593"/>
      <c r="OB24" s="593"/>
      <c r="OC24" s="593"/>
      <c r="OD24" s="593"/>
      <c r="OE24" s="593"/>
      <c r="OF24" s="593"/>
      <c r="OG24" s="593"/>
      <c r="OH24" s="593"/>
      <c r="OI24" s="593"/>
      <c r="OJ24" s="593"/>
      <c r="OK24" s="593"/>
      <c r="OL24" s="593"/>
      <c r="OM24" s="593"/>
      <c r="ON24" s="593"/>
      <c r="OO24" s="593"/>
      <c r="OW24" s="593"/>
      <c r="PE24" s="593"/>
      <c r="PN24" s="574"/>
      <c r="PO24" s="593"/>
      <c r="PP24" s="593"/>
      <c r="PQ24" s="593"/>
      <c r="PR24" s="593"/>
      <c r="PS24" s="593"/>
      <c r="PT24" s="593"/>
      <c r="PU24" s="593"/>
      <c r="PV24" s="593"/>
      <c r="PW24" s="593"/>
      <c r="PX24" s="593"/>
      <c r="PY24" s="593"/>
      <c r="PZ24" s="593"/>
      <c r="QA24" s="593"/>
      <c r="QB24" s="593"/>
      <c r="QC24" s="593"/>
      <c r="QD24" s="593"/>
      <c r="QE24" s="593"/>
      <c r="QF24" s="593"/>
      <c r="QG24" s="593"/>
      <c r="QH24" s="593"/>
      <c r="QI24" s="593"/>
      <c r="QJ24" s="593"/>
      <c r="QK24" s="593"/>
      <c r="QL24" s="593"/>
      <c r="QM24" s="593"/>
      <c r="QN24" s="593"/>
      <c r="QO24" s="593"/>
      <c r="QP24" s="593"/>
      <c r="QQ24" s="593"/>
      <c r="QR24" s="593"/>
      <c r="QS24" s="593"/>
      <c r="QT24" s="593"/>
      <c r="QU24" s="593"/>
      <c r="QV24" s="593"/>
      <c r="QW24" s="593"/>
      <c r="QX24" s="593"/>
      <c r="QY24" s="593"/>
      <c r="QZ24" s="593"/>
      <c r="RA24" s="593"/>
      <c r="RB24" s="593"/>
      <c r="RC24" s="593"/>
      <c r="RD24" s="593"/>
      <c r="RE24" s="593"/>
      <c r="RF24" s="593"/>
      <c r="RG24" s="593"/>
      <c r="RH24" s="593"/>
      <c r="RI24" s="593"/>
      <c r="RJ24" s="593"/>
      <c r="RK24" s="593"/>
      <c r="RL24" s="593"/>
      <c r="RM24" s="593"/>
      <c r="RN24" s="593"/>
      <c r="RO24" s="593"/>
      <c r="RP24" s="593"/>
      <c r="RQ24" s="593"/>
      <c r="RR24" s="593"/>
    </row>
    <row r="25" spans="1:486" s="567" customFormat="1">
      <c r="A25" s="568">
        <v>1980</v>
      </c>
      <c r="B25" s="611">
        <f>O25*P25</f>
        <v>80387.690389135954</v>
      </c>
      <c r="C25" s="66">
        <f>$B25*Q25</f>
        <v>370.08000913402486</v>
      </c>
      <c r="D25" s="66">
        <f t="shared" si="232"/>
        <v>143.01337648789871</v>
      </c>
      <c r="E25" s="66">
        <f t="shared" si="232"/>
        <v>2320.8939557420549</v>
      </c>
      <c r="F25" s="66">
        <f t="shared" si="232"/>
        <v>1211.3567724414029</v>
      </c>
      <c r="G25" s="66">
        <f t="shared" si="232"/>
        <v>533.09668960862427</v>
      </c>
      <c r="H25" s="66">
        <f t="shared" si="232"/>
        <v>282.1511831390518</v>
      </c>
      <c r="I25" s="193">
        <f t="shared" si="215"/>
        <v>4860.5919865530577</v>
      </c>
      <c r="J25" s="193">
        <f t="shared" si="216"/>
        <v>75527.098402582895</v>
      </c>
      <c r="K25" s="193">
        <f>J25-L25</f>
        <v>67139.530639688717</v>
      </c>
      <c r="L25" s="66">
        <f t="shared" si="186"/>
        <v>8387.5677628941776</v>
      </c>
      <c r="M25" s="140">
        <f t="shared" si="217"/>
        <v>6.0464381586586118E-2</v>
      </c>
      <c r="N25" s="631">
        <f>N24+(N$26-N$23)/3</f>
        <v>0.1043389569011392</v>
      </c>
      <c r="O25" s="193">
        <v>1102000</v>
      </c>
      <c r="P25" s="626">
        <f t="shared" si="233"/>
        <v>7.2947087467455499E-2</v>
      </c>
      <c r="Q25" s="630">
        <f t="shared" si="233"/>
        <v>4.6036900344140199E-3</v>
      </c>
      <c r="R25" s="387">
        <f t="shared" si="234"/>
        <v>1.7790457195076517E-3</v>
      </c>
      <c r="S25" s="387">
        <f t="shared" si="234"/>
        <v>2.8871260568716545E-2</v>
      </c>
      <c r="T25" s="387">
        <f t="shared" si="234"/>
        <v>1.5068933646153273E-2</v>
      </c>
      <c r="U25" s="387">
        <f t="shared" si="234"/>
        <v>6.6315711650383477E-3</v>
      </c>
      <c r="V25" s="387">
        <f t="shared" si="234"/>
        <v>3.5098804527562751E-3</v>
      </c>
      <c r="W25" s="590">
        <f>AS25+AP25</f>
        <v>71178.701530015751</v>
      </c>
      <c r="X25" s="66">
        <f>BX25+FM25</f>
        <v>913.37173614603978</v>
      </c>
      <c r="Y25" s="76">
        <f t="shared" si="3"/>
        <v>176.0760297151129</v>
      </c>
      <c r="Z25" s="76">
        <f t="shared" si="114"/>
        <v>737.29570643092688</v>
      </c>
      <c r="AA25" s="66">
        <f>CA25+FP25</f>
        <v>93.165434616960127</v>
      </c>
      <c r="AB25" s="66">
        <f t="shared" si="241"/>
        <v>8.033273012426589</v>
      </c>
      <c r="AC25" s="274">
        <f t="shared" si="117"/>
        <v>85.132161604533536</v>
      </c>
      <c r="AD25" s="66">
        <f>CD25+FS25</f>
        <v>1559.058177316926</v>
      </c>
      <c r="AE25" s="357">
        <f>FT25/HA25</f>
        <v>455.20987292526911</v>
      </c>
      <c r="AF25" s="274">
        <f t="shared" si="119"/>
        <v>1103.8483043916569</v>
      </c>
      <c r="AG25" s="66">
        <f>CG25+FW25</f>
        <v>1886.22663978015</v>
      </c>
      <c r="AH25" s="357">
        <f t="shared" si="5"/>
        <v>678.12721004688512</v>
      </c>
      <c r="AI25" s="76">
        <f t="shared" si="6"/>
        <v>1208.099429733265</v>
      </c>
      <c r="AJ25" s="66">
        <f>CJ25+FZ25</f>
        <v>4010.3373647752783</v>
      </c>
      <c r="AK25" s="357">
        <f>GA25/HE25</f>
        <v>1402.7839693073952</v>
      </c>
      <c r="AL25" s="274">
        <f t="shared" si="123"/>
        <v>2607.5533954678831</v>
      </c>
      <c r="AM25" s="66">
        <f>CM25+GD25</f>
        <v>698.10129209558738</v>
      </c>
      <c r="AN25" s="357">
        <f>GE25/HG25</f>
        <v>276.78688493319964</v>
      </c>
      <c r="AO25" s="274">
        <f t="shared" si="125"/>
        <v>421.31440716238774</v>
      </c>
      <c r="AP25" s="193">
        <f t="shared" si="8"/>
        <v>9160.2606447309427</v>
      </c>
      <c r="AQ25" s="271">
        <f t="shared" si="9"/>
        <v>2997.0172399402882</v>
      </c>
      <c r="AR25" s="271">
        <f t="shared" si="126"/>
        <v>6163.2434047906527</v>
      </c>
      <c r="AS25" s="66">
        <f>CR25+GI25</f>
        <v>62018.440885284814</v>
      </c>
      <c r="AT25" s="193">
        <f t="shared" si="224"/>
        <v>27348.090885284815</v>
      </c>
      <c r="AU25" s="66">
        <f t="shared" si="187"/>
        <v>34670.35</v>
      </c>
      <c r="AV25" s="66"/>
      <c r="AW25" s="66"/>
      <c r="AX25" s="271">
        <f t="shared" si="227"/>
        <v>36508.351530015752</v>
      </c>
      <c r="AY25" s="140">
        <f t="shared" si="10"/>
        <v>0.12869384307141513</v>
      </c>
      <c r="AZ25" s="623">
        <f t="shared" si="129"/>
        <v>8.6588309034994676E-2</v>
      </c>
      <c r="BA25" s="248">
        <f t="shared" si="11"/>
        <v>0.16881735675530227</v>
      </c>
      <c r="BB25" s="248">
        <f t="shared" si="130"/>
        <v>2.0195261509541203E-2</v>
      </c>
      <c r="BC25" s="248">
        <f t="shared" si="131"/>
        <v>2.3318544397859533E-3</v>
      </c>
      <c r="BD25" s="248">
        <f t="shared" si="132"/>
        <v>3.0235501142365073E-2</v>
      </c>
      <c r="BE25" s="248">
        <f t="shared" si="133"/>
        <v>3.3091042983411957E-2</v>
      </c>
      <c r="BF25" s="248">
        <f t="shared" si="134"/>
        <v>7.1423476716664505E-2</v>
      </c>
      <c r="BG25" s="248">
        <f t="shared" si="135"/>
        <v>1.1540219963533532E-2</v>
      </c>
      <c r="BH25" s="248">
        <f t="shared" si="136"/>
        <v>3.2567355582151028E-2</v>
      </c>
      <c r="BI25" s="23">
        <f t="shared" si="12"/>
        <v>0.20820448332663288</v>
      </c>
      <c r="BJ25" s="140">
        <f t="shared" si="13"/>
        <v>0.48708882368948053</v>
      </c>
      <c r="BK25" s="623">
        <f t="shared" si="137"/>
        <v>0.44498328965306011</v>
      </c>
      <c r="BL25" s="590">
        <f>BS25+BT25</f>
        <v>1506</v>
      </c>
      <c r="BM25" s="66">
        <f t="shared" si="242"/>
        <v>16.600000000000001</v>
      </c>
      <c r="BN25" s="66">
        <f t="shared" si="242"/>
        <v>-19.400000000000002</v>
      </c>
      <c r="BO25" s="66">
        <f>BO24+(BO$27-BO$22)/5</f>
        <v>52.8</v>
      </c>
      <c r="BP25" s="66">
        <f t="shared" si="243"/>
        <v>-180.20000000000002</v>
      </c>
      <c r="BQ25" s="66">
        <f t="shared" si="243"/>
        <v>-1973</v>
      </c>
      <c r="BR25" s="66">
        <f t="shared" si="243"/>
        <v>-9.6000000000000014</v>
      </c>
      <c r="BS25" s="193">
        <f t="shared" si="236"/>
        <v>-2112.7999999999997</v>
      </c>
      <c r="BT25" s="66">
        <f t="shared" si="243"/>
        <v>3618.7999999999997</v>
      </c>
      <c r="BU25" s="193">
        <f t="shared" si="237"/>
        <v>2443.1999999999998</v>
      </c>
      <c r="BV25" s="66">
        <f t="shared" si="243"/>
        <v>1175.6000000000001</v>
      </c>
      <c r="BW25" s="590">
        <f>BW24*'Assets(BoP)'!DI72/'Assets(BoP)'!DI71</f>
        <v>35182.301530015764</v>
      </c>
      <c r="BX25" s="66">
        <f>CV25*$BW25</f>
        <v>858.34797686006698</v>
      </c>
      <c r="BY25" s="193">
        <f t="shared" si="148"/>
        <v>154.0665260007238</v>
      </c>
      <c r="BZ25" s="647">
        <f t="shared" si="149"/>
        <v>2.0018060792824647E-2</v>
      </c>
      <c r="CA25" s="66">
        <f>CW25*$BW25</f>
        <v>60.028183440700445</v>
      </c>
      <c r="CB25" s="193">
        <f t="shared" si="151"/>
        <v>6.0249547593199413</v>
      </c>
      <c r="CC25" s="647">
        <f t="shared" si="14"/>
        <v>1.5349544041428807E-3</v>
      </c>
      <c r="CD25" s="66">
        <f>CX25*$BW25</f>
        <v>903.55596030453853</v>
      </c>
      <c r="CE25" s="193">
        <f t="shared" si="153"/>
        <v>168.42765298234957</v>
      </c>
      <c r="CF25" s="655">
        <f t="shared" si="15"/>
        <v>2.0894832781050851E-2</v>
      </c>
      <c r="CG25" s="66">
        <f>CY25*$BW25</f>
        <v>1452.837069449434</v>
      </c>
      <c r="CH25" s="193">
        <f t="shared" si="155"/>
        <v>591.44929598074191</v>
      </c>
      <c r="CI25" s="23">
        <f t="shared" si="16"/>
        <v>2.4483553832707606E-2</v>
      </c>
      <c r="CJ25" s="66">
        <f>CZ25*$BW25</f>
        <v>3082.4932514346483</v>
      </c>
      <c r="CK25" s="641">
        <f t="shared" si="157"/>
        <v>701.39198465369759</v>
      </c>
      <c r="CL25" s="34">
        <f t="shared" si="158"/>
        <v>6.7678951155299358E-2</v>
      </c>
      <c r="CM25" s="66">
        <f>DB25*$BW25</f>
        <v>556.45153333565577</v>
      </c>
      <c r="CN25" s="193">
        <f t="shared" si="160"/>
        <v>205.96200555323384</v>
      </c>
      <c r="CO25" s="23">
        <f t="shared" si="161"/>
        <v>9.9620977747405734E-3</v>
      </c>
      <c r="CP25" s="271">
        <f t="shared" si="17"/>
        <v>6913.7139748250447</v>
      </c>
      <c r="CQ25" s="193">
        <f t="shared" si="162"/>
        <v>1827.3224199300666</v>
      </c>
      <c r="CR25" s="271">
        <f t="shared" si="18"/>
        <v>28268.587555190719</v>
      </c>
      <c r="CS25" s="248">
        <f t="shared" si="163"/>
        <v>0.14457245074076594</v>
      </c>
      <c r="CT25" s="30">
        <f t="shared" si="19"/>
        <v>0.19651113412596424</v>
      </c>
      <c r="CU25" s="308">
        <f t="shared" si="20"/>
        <v>0</v>
      </c>
      <c r="CV25" s="387">
        <f>CV24+(CV$27-CV$22)/5</f>
        <v>2.4397152532155061E-2</v>
      </c>
      <c r="CW25" s="387">
        <f t="shared" si="238"/>
        <v>1.7062039954801544E-3</v>
      </c>
      <c r="CX25" s="387">
        <f t="shared" si="238"/>
        <v>2.568211632015234E-2</v>
      </c>
      <c r="CY25" s="387">
        <f t="shared" si="238"/>
        <v>4.1294543172792339E-2</v>
      </c>
      <c r="CZ25" s="387">
        <f>CZ24*DA25/DA24</f>
        <v>8.7614883546058536E-2</v>
      </c>
      <c r="DA25" s="387">
        <f>'Assets(BoP)'!FK72</f>
        <v>8.5048833531558232E-2</v>
      </c>
      <c r="DB25" s="387">
        <f>DB24+(DB$27-DB$22)/5</f>
        <v>1.5816234559325786E-2</v>
      </c>
      <c r="DC25" s="23">
        <f t="shared" si="21"/>
        <v>0.22446216459429474</v>
      </c>
      <c r="DD25" s="193">
        <f t="shared" si="22"/>
        <v>22660.351530015767</v>
      </c>
      <c r="DE25" s="66">
        <f t="shared" si="164"/>
        <v>12521.949999999999</v>
      </c>
      <c r="DF25" s="635">
        <f>'Assets(BoP)'!ES72*1000</f>
        <v>13464.019715010738</v>
      </c>
      <c r="DG25" s="193">
        <f>'Assets(BoP)'!DA72</f>
        <v>13181</v>
      </c>
      <c r="DH25" s="34">
        <f t="shared" si="23"/>
        <v>0.35591616964901807</v>
      </c>
      <c r="DI25" s="23">
        <f>'Assets(BoP)'!DA72/'Assets(BoP)'!CZ72/1000</f>
        <v>0.35484305174177572</v>
      </c>
      <c r="DJ25" s="23">
        <f t="shared" si="24"/>
        <v>0.17082901780581189</v>
      </c>
      <c r="DK25" s="600">
        <f>'Assets(BoP)'!FO72-'Assets(BoP)'!FH72</f>
        <v>0.15808006360117399</v>
      </c>
      <c r="DL25" s="576">
        <f t="shared" si="25"/>
        <v>0.88544279833713502</v>
      </c>
      <c r="DM25" s="251">
        <f t="shared" si="26"/>
        <v>2.4680385689659374</v>
      </c>
      <c r="DN25" s="251">
        <f t="shared" si="27"/>
        <v>2.2514007555576088</v>
      </c>
      <c r="DO25" s="251">
        <f t="shared" si="28"/>
        <v>0.6514455983412395</v>
      </c>
      <c r="DP25" s="251">
        <f t="shared" si="29"/>
        <v>0.60347485494515529</v>
      </c>
      <c r="DQ25" s="251">
        <f t="shared" si="30"/>
        <v>0.67174899286531664</v>
      </c>
      <c r="DR25" s="251">
        <f t="shared" si="31"/>
        <v>0.49930534494847117</v>
      </c>
      <c r="DS25" s="251">
        <f t="shared" si="32"/>
        <v>1.5571189947438815</v>
      </c>
      <c r="DT25" s="251">
        <f t="shared" si="33"/>
        <v>1.1535349700324178</v>
      </c>
      <c r="DU25" s="251">
        <f t="shared" si="34"/>
        <v>7.522720442551404</v>
      </c>
      <c r="DV25" s="251">
        <f t="shared" si="35"/>
        <v>13.459696817551754</v>
      </c>
      <c r="DW25" s="251">
        <f t="shared" si="36"/>
        <v>2.4742100470000299</v>
      </c>
      <c r="DX25" s="251">
        <f t="shared" si="37"/>
        <v>1.9578719695824947</v>
      </c>
      <c r="DY25" s="251">
        <f t="shared" si="38"/>
        <v>0.67057051631830034</v>
      </c>
      <c r="DZ25" s="251">
        <f t="shared" si="39"/>
        <v>0.5055537288016213</v>
      </c>
      <c r="EA25" s="649">
        <f t="shared" si="40"/>
        <v>1.8845977342004883</v>
      </c>
      <c r="EB25" s="643">
        <f t="shared" si="41"/>
        <v>1.4903103840133947</v>
      </c>
      <c r="EC25" s="251">
        <f t="shared" si="42"/>
        <v>0.8211415796050745</v>
      </c>
      <c r="ED25" s="251">
        <f t="shared" si="43"/>
        <v>0.50705957432230275</v>
      </c>
      <c r="EE25" s="140">
        <f t="shared" si="44"/>
        <v>0.40733217263688054</v>
      </c>
      <c r="EF25" s="1342">
        <v>0.18160749108668489</v>
      </c>
      <c r="EG25" s="140">
        <f t="shared" si="228"/>
        <v>4.1335403754802931</v>
      </c>
      <c r="EH25" s="583">
        <v>36.83</v>
      </c>
      <c r="EI25" s="1344">
        <v>2.4820819500659419</v>
      </c>
      <c r="EJ25" s="576">
        <f t="shared" si="166"/>
        <v>0.43765782248136958</v>
      </c>
      <c r="EK25" s="753">
        <f t="shared" si="167"/>
        <v>1.398667506502985</v>
      </c>
      <c r="EL25" s="753">
        <f t="shared" si="168"/>
        <v>1.4929178939568089</v>
      </c>
      <c r="EM25" s="753">
        <f t="shared" si="169"/>
        <v>0.2345360088931317</v>
      </c>
      <c r="EN25" s="583"/>
      <c r="EO25" s="5"/>
      <c r="EP25" s="193"/>
      <c r="EQ25" s="193"/>
      <c r="ER25" s="193"/>
      <c r="ES25" s="193"/>
      <c r="ET25" s="193"/>
      <c r="EU25" s="193"/>
      <c r="EV25" s="193"/>
      <c r="EW25" s="193"/>
      <c r="EX25" s="193"/>
      <c r="EY25" s="193"/>
      <c r="EZ25" s="193"/>
      <c r="FA25" s="193"/>
      <c r="FB25" s="193"/>
      <c r="FC25" s="193"/>
      <c r="FD25" s="23"/>
      <c r="FE25" s="66"/>
      <c r="FF25" s="66"/>
      <c r="FG25" s="66">
        <f t="shared" si="210"/>
        <v>12521.949999999999</v>
      </c>
      <c r="FH25" s="193">
        <f>'Assets(BoP)'!DA72</f>
        <v>13181</v>
      </c>
      <c r="FI25" s="184">
        <v>0.95</v>
      </c>
      <c r="FJ25" s="590">
        <f>GK25+GO25</f>
        <v>35996.399999999994</v>
      </c>
      <c r="FK25" s="143">
        <f>FJ25/'Assets(BoP)'!AV72/1000</f>
        <v>1.1999999999999997</v>
      </c>
      <c r="FL25" s="725"/>
      <c r="FM25" s="66">
        <f>GV25*BX25/(1-GV25)</f>
        <v>55.023759285972773</v>
      </c>
      <c r="FN25" s="66">
        <f>FM25*FO25</f>
        <v>22.009503714389112</v>
      </c>
      <c r="FO25" s="184">
        <v>0.4</v>
      </c>
      <c r="FP25" s="66">
        <f>GX25*CA25/(1-GX25)</f>
        <v>33.137251176259682</v>
      </c>
      <c r="FQ25" s="66">
        <f>FP25*FR25</f>
        <v>2.0083182531066472</v>
      </c>
      <c r="FR25" s="184">
        <f>(FR$27-FR$24)/3+FR24</f>
        <v>6.0606060606060608E-2</v>
      </c>
      <c r="FS25" s="66">
        <f>GZ25*CD25/(1-GZ25)</f>
        <v>655.50221701238752</v>
      </c>
      <c r="FT25" s="66">
        <f>FS25*FV25</f>
        <v>286.78221994291954</v>
      </c>
      <c r="FU25" s="193">
        <f t="shared" si="175"/>
        <v>368.71999706946798</v>
      </c>
      <c r="FV25" s="654">
        <f>FV24+(FV$27-FV$24)/3</f>
        <v>0.4375</v>
      </c>
      <c r="FW25" s="66">
        <f>HB25*CG25/(1-HB25)</f>
        <v>433.38957033071597</v>
      </c>
      <c r="FX25" s="66">
        <f>FW25*FY25</f>
        <v>86.677914066143202</v>
      </c>
      <c r="FY25" s="184">
        <v>0.2</v>
      </c>
      <c r="FZ25" s="66">
        <f>HD25*CJ25/(1-HD25)</f>
        <v>927.84411334063009</v>
      </c>
      <c r="GA25" s="66">
        <f>FZ25*GC25</f>
        <v>701.39198465369759</v>
      </c>
      <c r="GB25" s="193">
        <f t="shared" si="180"/>
        <v>226.4521286869325</v>
      </c>
      <c r="GC25" s="184">
        <f>GC24+(GC$27-GC$24)/3</f>
        <v>0.75593731163351419</v>
      </c>
      <c r="GD25" s="66">
        <f>HF25*CM25/(1-HF25)</f>
        <v>141.64975875993161</v>
      </c>
      <c r="GE25" s="66">
        <f>GD25*GF25</f>
        <v>70.824879379965807</v>
      </c>
      <c r="GF25" s="184">
        <v>0.5</v>
      </c>
      <c r="GG25" s="66">
        <f t="shared" si="47"/>
        <v>2246.5466699058975</v>
      </c>
      <c r="GH25" s="193">
        <f t="shared" si="48"/>
        <v>1169.694820010222</v>
      </c>
      <c r="GI25" s="193">
        <f t="shared" si="49"/>
        <v>33749.853330094098</v>
      </c>
      <c r="GJ25" s="23">
        <f t="shared" si="50"/>
        <v>6.2410315195572275E-2</v>
      </c>
      <c r="GK25" s="66">
        <f>GM25*'Assets(BoP)'!AW72*1000</f>
        <v>22148.399999999998</v>
      </c>
      <c r="GL25" s="66"/>
      <c r="GM25" s="184">
        <v>1.2</v>
      </c>
      <c r="GN25" s="23">
        <f t="shared" si="51"/>
        <v>0.61529486281961532</v>
      </c>
      <c r="GO25" s="666">
        <f>('Assets(BoP)'!AV72-'Assets(BoP)'!AW72)*1000*GP25</f>
        <v>13848</v>
      </c>
      <c r="GP25" s="184">
        <v>1.2</v>
      </c>
      <c r="GQ25" s="330">
        <f t="shared" si="52"/>
        <v>11601.4533300941</v>
      </c>
      <c r="GR25" s="330">
        <v>183.80699999999999</v>
      </c>
      <c r="GS25" s="140">
        <f t="shared" si="53"/>
        <v>0.11098546826661447</v>
      </c>
      <c r="GT25" s="609">
        <v>0.61791203867823696</v>
      </c>
      <c r="GU25" s="143">
        <f t="shared" si="54"/>
        <v>0.50571869430380756</v>
      </c>
      <c r="GV25" s="56">
        <f>GV24+(GV$27-GV$22)/5</f>
        <v>6.0242458911795124E-2</v>
      </c>
      <c r="GW25" s="389">
        <v>0.125</v>
      </c>
      <c r="GX25" s="56">
        <f t="shared" si="239"/>
        <v>0.35568181818181815</v>
      </c>
      <c r="GY25" s="389">
        <v>0.25</v>
      </c>
      <c r="GZ25" s="56">
        <f t="shared" si="239"/>
        <v>0.42044756671010147</v>
      </c>
      <c r="HA25" s="56">
        <v>0.63</v>
      </c>
      <c r="HB25" s="56">
        <f t="shared" si="239"/>
        <v>0.22976537452637713</v>
      </c>
      <c r="HC25" s="56">
        <f t="shared" si="56"/>
        <v>0.12781954887218044</v>
      </c>
      <c r="HD25" s="638">
        <f t="shared" si="239"/>
        <v>0.23136310712667996</v>
      </c>
      <c r="HE25" s="638">
        <v>0.5</v>
      </c>
      <c r="HF25" s="56">
        <f t="shared" si="239"/>
        <v>0.20290717172965245</v>
      </c>
      <c r="HG25" s="56">
        <f t="shared" si="239"/>
        <v>0.25588235294117651</v>
      </c>
      <c r="HH25" s="6">
        <f t="shared" si="57"/>
        <v>0.24524920818690127</v>
      </c>
      <c r="HI25" s="6">
        <f t="shared" si="58"/>
        <v>0.17472161639091602</v>
      </c>
      <c r="HJ25" s="23">
        <f t="shared" si="240"/>
        <v>0.63882827834158007</v>
      </c>
      <c r="HK25" s="23"/>
      <c r="HL25" s="23"/>
      <c r="HM25" s="31">
        <f t="shared" si="184"/>
        <v>0.37931047060875128</v>
      </c>
      <c r="HN25" s="23">
        <f t="shared" si="60"/>
        <v>0.54419061247478029</v>
      </c>
      <c r="HO25" s="23">
        <f t="shared" si="61"/>
        <v>0.42421437674600154</v>
      </c>
      <c r="HP25" s="575"/>
      <c r="HQ25" s="193"/>
      <c r="HR25" s="193"/>
      <c r="HS25" s="193"/>
      <c r="HT25" s="193"/>
      <c r="HU25" s="193"/>
      <c r="HV25" s="193"/>
      <c r="HW25" s="193"/>
      <c r="HX25" s="193"/>
      <c r="HY25" s="193"/>
      <c r="HZ25" s="193"/>
      <c r="IA25" s="193"/>
      <c r="IB25" s="23"/>
      <c r="IC25" s="23"/>
      <c r="ID25" s="23"/>
      <c r="IE25" s="23"/>
      <c r="IF25" s="23"/>
      <c r="IG25" s="23"/>
      <c r="IH25" s="23"/>
      <c r="II25" s="23"/>
      <c r="IJ25" s="23"/>
      <c r="IK25" s="23"/>
      <c r="IL25" s="23"/>
      <c r="IM25" s="575"/>
      <c r="IN25" s="193"/>
      <c r="IO25" s="193"/>
      <c r="IP25" s="193"/>
      <c r="IQ25" s="193"/>
      <c r="IR25" s="193"/>
      <c r="IS25" s="193"/>
      <c r="IT25" s="193"/>
      <c r="IU25" s="193"/>
      <c r="IV25" s="193"/>
      <c r="IW25" s="193"/>
      <c r="IX25" s="149">
        <f t="shared" si="63"/>
        <v>0</v>
      </c>
      <c r="IY25" s="316">
        <f t="shared" si="64"/>
        <v>0</v>
      </c>
      <c r="IZ25" s="316">
        <f t="shared" si="65"/>
        <v>0</v>
      </c>
      <c r="JA25" s="316">
        <f t="shared" si="66"/>
        <v>0</v>
      </c>
      <c r="JB25" s="316">
        <f t="shared" si="67"/>
        <v>0</v>
      </c>
      <c r="JC25" s="316">
        <f t="shared" si="68"/>
        <v>0</v>
      </c>
      <c r="JD25" s="316">
        <f t="shared" si="69"/>
        <v>0</v>
      </c>
      <c r="JE25" s="316">
        <f t="shared" si="70"/>
        <v>0</v>
      </c>
      <c r="JF25" s="316">
        <f t="shared" si="71"/>
        <v>0</v>
      </c>
      <c r="JG25" s="316">
        <f t="shared" si="72"/>
        <v>0</v>
      </c>
      <c r="JH25" s="316">
        <f t="shared" si="73"/>
        <v>0</v>
      </c>
      <c r="JI25" s="5"/>
      <c r="JJ25" s="593"/>
      <c r="JK25" s="593"/>
      <c r="JL25" s="593"/>
      <c r="JM25" s="593"/>
      <c r="JN25" s="593"/>
      <c r="JO25" s="593"/>
      <c r="JP25" s="552">
        <f t="shared" si="74"/>
        <v>0</v>
      </c>
      <c r="JQ25" s="552">
        <f t="shared" si="75"/>
        <v>0</v>
      </c>
      <c r="JR25" s="552">
        <f t="shared" si="76"/>
        <v>0</v>
      </c>
      <c r="JS25" s="593"/>
      <c r="JT25" s="149"/>
      <c r="JU25" s="593"/>
      <c r="JV25" s="593"/>
      <c r="JW25" s="593"/>
      <c r="JX25" s="593"/>
      <c r="JY25" s="593"/>
      <c r="JZ25" s="593"/>
      <c r="KA25" s="593"/>
      <c r="KB25" s="593"/>
      <c r="KC25" s="657"/>
      <c r="KD25" s="593"/>
      <c r="KE25" s="620">
        <f t="shared" si="244"/>
        <v>139823.80000000002</v>
      </c>
      <c r="KL25" s="620">
        <f t="shared" si="245"/>
        <v>8914.1999999999989</v>
      </c>
      <c r="KM25" s="620">
        <f t="shared" si="245"/>
        <v>130909.59999999999</v>
      </c>
      <c r="KN25" s="552">
        <f t="shared" si="209"/>
        <v>72483.399999999994</v>
      </c>
      <c r="KO25" s="620">
        <f t="shared" si="246"/>
        <v>58426.200000000004</v>
      </c>
      <c r="KP25" s="149"/>
      <c r="KY25" s="657"/>
      <c r="LA25" s="149">
        <f>'Assets(MOFA)'!IX25-'Assets(MOFA)'!KE25-'Assets(MOFA)'!KP25</f>
        <v>-139823.80000000002</v>
      </c>
      <c r="LB25" s="552">
        <f>'Assets(MOFA)'!IY25-'Assets(MOFA)'!KF25-'Assets(MOFA)'!KQ25</f>
        <v>0</v>
      </c>
      <c r="LC25" s="552">
        <f>'Assets(MOFA)'!IZ25-'Assets(MOFA)'!KG25-'Assets(MOFA)'!KR25</f>
        <v>0</v>
      </c>
      <c r="LD25" s="552">
        <f>'Assets(MOFA)'!JA25-'Assets(MOFA)'!KH25-'Assets(MOFA)'!KS25</f>
        <v>0</v>
      </c>
      <c r="LE25" s="552">
        <f>'Assets(MOFA)'!JB25-'Assets(MOFA)'!KI25-'Assets(MOFA)'!KT25</f>
        <v>0</v>
      </c>
      <c r="LF25" s="552">
        <f>'Assets(MOFA)'!JC25-'Assets(MOFA)'!KJ25-'Assets(MOFA)'!KU25</f>
        <v>0</v>
      </c>
      <c r="LG25" s="552">
        <f>'Assets(MOFA)'!JD25-'Assets(MOFA)'!KK25-'Assets(MOFA)'!KV25</f>
        <v>0</v>
      </c>
      <c r="LH25" s="552">
        <f>'Assets(MOFA)'!JE25-'Assets(MOFA)'!KL25-'Assets(MOFA)'!KW25</f>
        <v>-8914.1999999999989</v>
      </c>
      <c r="LI25" s="552">
        <f>'Assets(MOFA)'!JF25-'Assets(MOFA)'!KM25-'Assets(MOFA)'!KX25</f>
        <v>-130909.59999999999</v>
      </c>
      <c r="LJ25" s="552">
        <f t="shared" si="77"/>
        <v>-72483.399999999994</v>
      </c>
      <c r="LK25" s="552">
        <f>'Assets(MOFA)'!JH25-'Assets(MOFA)'!KO25-'Assets(MOFA)'!KZ25</f>
        <v>-58426.200000000004</v>
      </c>
      <c r="LL25" s="576" t="e">
        <f t="shared" si="78"/>
        <v>#DIV/0!</v>
      </c>
      <c r="LM25" s="6" t="e">
        <f t="shared" si="79"/>
        <v>#DIV/0!</v>
      </c>
      <c r="LN25" s="6" t="e">
        <f t="shared" si="80"/>
        <v>#DIV/0!</v>
      </c>
      <c r="LO25" s="6" t="e">
        <f t="shared" si="81"/>
        <v>#DIV/0!</v>
      </c>
      <c r="LP25" s="6" t="e">
        <f t="shared" si="82"/>
        <v>#DIV/0!</v>
      </c>
      <c r="LQ25" s="6" t="e">
        <f t="shared" si="83"/>
        <v>#DIV/0!</v>
      </c>
      <c r="LR25" s="6" t="e">
        <f t="shared" si="84"/>
        <v>#DIV/0!</v>
      </c>
      <c r="LS25" s="6" t="e">
        <f t="shared" si="85"/>
        <v>#DIV/0!</v>
      </c>
      <c r="LT25" s="143" t="e">
        <f t="shared" si="86"/>
        <v>#DIV/0!</v>
      </c>
      <c r="LU25" s="62" t="e">
        <f t="shared" si="87"/>
        <v>#DIV/0!</v>
      </c>
      <c r="LV25" s="902" t="e">
        <f t="shared" si="88"/>
        <v>#DIV/0!</v>
      </c>
      <c r="LW25" s="902" t="e">
        <f t="shared" si="89"/>
        <v>#DIV/0!</v>
      </c>
      <c r="LX25" s="143" t="e">
        <f t="shared" si="90"/>
        <v>#DIV/0!</v>
      </c>
      <c r="LY25" s="576" t="e">
        <f t="shared" si="91"/>
        <v>#DIV/0!</v>
      </c>
      <c r="LZ25" s="906" t="e">
        <f t="shared" si="92"/>
        <v>#DIV/0!</v>
      </c>
      <c r="MA25" s="906" t="e">
        <f t="shared" si="93"/>
        <v>#DIV/0!</v>
      </c>
      <c r="MB25" s="906" t="e">
        <f t="shared" si="94"/>
        <v>#DIV/0!</v>
      </c>
      <c r="MC25" s="906" t="e">
        <f t="shared" si="95"/>
        <v>#DIV/0!</v>
      </c>
      <c r="MD25" s="906" t="e">
        <f t="shared" si="96"/>
        <v>#DIV/0!</v>
      </c>
      <c r="ME25" s="906">
        <v>6.1610529375296846E-2</v>
      </c>
      <c r="MF25" s="906" t="e">
        <f t="shared" si="97"/>
        <v>#DIV/0!</v>
      </c>
      <c r="MG25" s="30" t="e">
        <f t="shared" si="98"/>
        <v>#DIV/0!</v>
      </c>
      <c r="MH25" s="140" t="e">
        <f t="shared" si="99"/>
        <v>#DIV/0!</v>
      </c>
      <c r="MI25" s="30" t="e">
        <f t="shared" si="100"/>
        <v>#DIV/0!</v>
      </c>
      <c r="MJ25" s="30" t="e">
        <f t="shared" si="101"/>
        <v>#DIV/0!</v>
      </c>
      <c r="MK25" s="617" t="e">
        <f t="shared" si="102"/>
        <v>#DIV/0!</v>
      </c>
      <c r="ML25" s="615" t="e">
        <f t="shared" si="103"/>
        <v>#DIV/0!</v>
      </c>
      <c r="MM25" s="574"/>
      <c r="MU25" s="593"/>
      <c r="MX25" s="613"/>
      <c r="MY25" s="552"/>
      <c r="MZ25" s="552"/>
      <c r="NA25" s="552"/>
      <c r="NB25" s="552"/>
      <c r="NC25" s="552"/>
      <c r="ND25" s="552"/>
      <c r="NE25" s="552"/>
      <c r="NF25" s="552"/>
      <c r="NG25" s="552"/>
      <c r="NH25" s="552"/>
      <c r="NI25" s="613">
        <f t="shared" si="214"/>
        <v>80387.690389135954</v>
      </c>
      <c r="NQ25" s="593"/>
      <c r="NY25" s="593"/>
      <c r="NZ25" s="593"/>
      <c r="OA25" s="593"/>
      <c r="OB25" s="593"/>
      <c r="OC25" s="593"/>
      <c r="OD25" s="593"/>
      <c r="OE25" s="593"/>
      <c r="OF25" s="593"/>
      <c r="OG25" s="593"/>
      <c r="OH25" s="593"/>
      <c r="OI25" s="593"/>
      <c r="OJ25" s="593"/>
      <c r="OK25" s="593"/>
      <c r="OL25" s="593"/>
      <c r="OM25" s="593"/>
      <c r="ON25" s="593"/>
      <c r="OO25" s="593"/>
      <c r="OW25" s="593"/>
      <c r="PE25" s="593"/>
      <c r="PN25" s="574"/>
      <c r="PO25" s="593"/>
      <c r="PP25" s="593"/>
      <c r="PQ25" s="593"/>
      <c r="PR25" s="593"/>
      <c r="PS25" s="593"/>
      <c r="PT25" s="593"/>
      <c r="PU25" s="593"/>
      <c r="PV25" s="593"/>
      <c r="PW25" s="593"/>
      <c r="PX25" s="593"/>
      <c r="PY25" s="593"/>
      <c r="PZ25" s="593"/>
      <c r="QA25" s="593"/>
      <c r="QB25" s="593"/>
      <c r="QC25" s="593"/>
      <c r="QD25" s="593"/>
      <c r="QE25" s="593"/>
      <c r="QF25" s="593"/>
      <c r="QG25" s="593"/>
      <c r="QH25" s="593"/>
      <c r="QI25" s="593"/>
      <c r="QJ25" s="593"/>
      <c r="QK25" s="593"/>
      <c r="QL25" s="593"/>
      <c r="QM25" s="593"/>
      <c r="QN25" s="593"/>
      <c r="QO25" s="593"/>
      <c r="QP25" s="593"/>
      <c r="QQ25" s="593"/>
      <c r="QR25" s="593"/>
      <c r="QS25" s="593"/>
      <c r="QT25" s="593"/>
      <c r="QU25" s="593"/>
      <c r="QV25" s="593"/>
      <c r="QW25" s="593"/>
      <c r="QX25" s="593"/>
      <c r="QY25" s="593"/>
      <c r="QZ25" s="593"/>
      <c r="RA25" s="593"/>
      <c r="RB25" s="593"/>
      <c r="RC25" s="593"/>
      <c r="RD25" s="593"/>
      <c r="RE25" s="593"/>
      <c r="RF25" s="593"/>
      <c r="RG25" s="593"/>
      <c r="RH25" s="593"/>
      <c r="RI25" s="593"/>
      <c r="RJ25" s="593"/>
      <c r="RK25" s="593"/>
      <c r="RL25" s="593"/>
      <c r="RM25" s="593"/>
      <c r="RN25" s="593"/>
      <c r="RO25" s="593"/>
      <c r="RP25" s="593"/>
      <c r="RQ25" s="593"/>
      <c r="RR25" s="593"/>
    </row>
    <row r="26" spans="1:486" s="567" customFormat="1">
      <c r="A26" s="568">
        <v>1981</v>
      </c>
      <c r="B26" s="611">
        <f>O26*P26</f>
        <v>87330.589757288035</v>
      </c>
      <c r="C26" s="66">
        <f>$B26*Q26</f>
        <v>446.57621846261708</v>
      </c>
      <c r="D26" s="66">
        <f t="shared" si="232"/>
        <v>143.09872804772849</v>
      </c>
      <c r="E26" s="66">
        <f t="shared" si="232"/>
        <v>2457.202239266509</v>
      </c>
      <c r="F26" s="66">
        <f t="shared" si="232"/>
        <v>1329.7256461921552</v>
      </c>
      <c r="G26" s="66">
        <f t="shared" si="232"/>
        <v>589.8004495588068</v>
      </c>
      <c r="H26" s="66">
        <f t="shared" si="232"/>
        <v>337.30397154622511</v>
      </c>
      <c r="I26" s="193">
        <f t="shared" si="215"/>
        <v>5303.7072530740425</v>
      </c>
      <c r="J26" s="193">
        <f t="shared" si="216"/>
        <v>82026.882504213994</v>
      </c>
      <c r="K26" s="193">
        <f>J26-L26</f>
        <v>71935.217506379238</v>
      </c>
      <c r="L26" s="66">
        <f t="shared" si="186"/>
        <v>10091.664997834749</v>
      </c>
      <c r="M26" s="140">
        <f t="shared" si="217"/>
        <v>6.0731380239321356E-2</v>
      </c>
      <c r="N26" s="591">
        <f>N27</f>
        <v>0.11555704622952652</v>
      </c>
      <c r="O26" s="193">
        <v>1220600</v>
      </c>
      <c r="P26" s="626">
        <f t="shared" si="233"/>
        <v>7.1547263441985934E-2</v>
      </c>
      <c r="Q26" s="630">
        <f t="shared" si="233"/>
        <v>5.1136287949475204E-3</v>
      </c>
      <c r="R26" s="387">
        <f t="shared" si="234"/>
        <v>1.6385865301658108E-3</v>
      </c>
      <c r="S26" s="387">
        <f t="shared" si="234"/>
        <v>2.8136787420028238E-2</v>
      </c>
      <c r="T26" s="387">
        <f t="shared" si="234"/>
        <v>1.5226344513277319E-2</v>
      </c>
      <c r="U26" s="387">
        <f t="shared" si="234"/>
        <v>6.7536524280667181E-3</v>
      </c>
      <c r="V26" s="387">
        <f t="shared" si="234"/>
        <v>3.8623805528357372E-3</v>
      </c>
      <c r="W26" s="590">
        <f>AS26+AP26</f>
        <v>63904.518863416866</v>
      </c>
      <c r="X26" s="66">
        <f>BX26+FM26</f>
        <v>897.87920271657435</v>
      </c>
      <c r="Y26" s="76">
        <f t="shared" si="3"/>
        <v>113.42969543889858</v>
      </c>
      <c r="Z26" s="76">
        <f t="shared" si="114"/>
        <v>784.44950727767582</v>
      </c>
      <c r="AA26" s="66">
        <f>CA26+FP26</f>
        <v>91.437273401720915</v>
      </c>
      <c r="AB26" s="66">
        <f t="shared" si="241"/>
        <v>3.9862117123477501</v>
      </c>
      <c r="AC26" s="274">
        <f t="shared" si="117"/>
        <v>87.451061689373162</v>
      </c>
      <c r="AD26" s="66">
        <f>CD26+FS26</f>
        <v>1295.1481732816314</v>
      </c>
      <c r="AE26" s="357">
        <f t="shared" ref="AE26:AE37" si="247">FT26/HA26</f>
        <v>328.03407803481451</v>
      </c>
      <c r="AF26" s="274">
        <f t="shared" si="119"/>
        <v>967.11409524681699</v>
      </c>
      <c r="AG26" s="66">
        <f>CG26+FW26</f>
        <v>1787.6820213184824</v>
      </c>
      <c r="AH26" s="357">
        <f>FX26/HC26</f>
        <v>637.4709899694036</v>
      </c>
      <c r="AI26" s="76">
        <f t="shared" si="6"/>
        <v>1150.2110313490789</v>
      </c>
      <c r="AJ26" s="66">
        <f>CJ26+FZ26</f>
        <v>3261.527057675271</v>
      </c>
      <c r="AK26" s="357">
        <f>GA26/HE26</f>
        <v>785.10865679271649</v>
      </c>
      <c r="AL26" s="274">
        <f t="shared" si="123"/>
        <v>2476.4184008825546</v>
      </c>
      <c r="AM26" s="66">
        <f>CM26+GD26</f>
        <v>717.45592226767144</v>
      </c>
      <c r="AN26" s="357">
        <f t="shared" ref="AN26:AN37" si="248">GE26/HG26</f>
        <v>233.82155155452261</v>
      </c>
      <c r="AO26" s="274">
        <f t="shared" si="125"/>
        <v>483.63437071314883</v>
      </c>
      <c r="AP26" s="193">
        <f t="shared" si="8"/>
        <v>8051.1296506613517</v>
      </c>
      <c r="AQ26" s="271">
        <f t="shared" si="9"/>
        <v>2101.8511835027039</v>
      </c>
      <c r="AR26" s="271">
        <f t="shared" si="126"/>
        <v>5949.2784671586487</v>
      </c>
      <c r="AS26" s="66">
        <f>CR26+GI26</f>
        <v>55853.389212755515</v>
      </c>
      <c r="AT26" s="193">
        <f t="shared" si="224"/>
        <v>23109.689212755518</v>
      </c>
      <c r="AU26" s="66">
        <f t="shared" si="187"/>
        <v>32743.699999999997</v>
      </c>
      <c r="AV26" s="66"/>
      <c r="AW26" s="66"/>
      <c r="AX26" s="271">
        <f t="shared" si="227"/>
        <v>31160.818863416869</v>
      </c>
      <c r="AY26" s="140">
        <f t="shared" si="10"/>
        <v>0.12598685967527637</v>
      </c>
      <c r="AZ26" s="623">
        <f t="shared" si="129"/>
        <v>9.3096365843455334E-2</v>
      </c>
      <c r="BA26" s="248">
        <f t="shared" si="11"/>
        <v>0.1909217627827863</v>
      </c>
      <c r="BB26" s="248">
        <f t="shared" si="130"/>
        <v>2.517422634867365E-2</v>
      </c>
      <c r="BC26" s="248">
        <f t="shared" si="131"/>
        <v>2.8064429908817843E-3</v>
      </c>
      <c r="BD26" s="248">
        <f t="shared" si="132"/>
        <v>3.1036222105902973E-2</v>
      </c>
      <c r="BE26" s="248">
        <f t="shared" si="133"/>
        <v>3.6912092599063202E-2</v>
      </c>
      <c r="BF26" s="248">
        <f t="shared" si="134"/>
        <v>7.9472186264973155E-2</v>
      </c>
      <c r="BG26" s="248">
        <f t="shared" si="135"/>
        <v>1.5520592473291538E-2</v>
      </c>
      <c r="BH26" s="248">
        <f t="shared" si="136"/>
        <v>3.3842665096784755E-2</v>
      </c>
      <c r="BI26" s="23">
        <f t="shared" si="12"/>
        <v>0.21681013926470702</v>
      </c>
      <c r="BJ26" s="140">
        <f t="shared" si="13"/>
        <v>0.51238473557688635</v>
      </c>
      <c r="BK26" s="623">
        <f t="shared" si="137"/>
        <v>0.47949424174506533</v>
      </c>
      <c r="BL26" s="590">
        <f>BS26+BT26</f>
        <v>1234</v>
      </c>
      <c r="BM26" s="66">
        <f t="shared" si="242"/>
        <v>22.8</v>
      </c>
      <c r="BN26" s="66">
        <f t="shared" si="242"/>
        <v>-23.200000000000003</v>
      </c>
      <c r="BO26" s="66">
        <f>BO25+(BO$27-BO$22)/5</f>
        <v>46.4</v>
      </c>
      <c r="BP26" s="66">
        <f t="shared" si="243"/>
        <v>-213.60000000000002</v>
      </c>
      <c r="BQ26" s="66">
        <f t="shared" si="243"/>
        <v>-2490</v>
      </c>
      <c r="BR26" s="66">
        <f t="shared" si="243"/>
        <v>-15.8</v>
      </c>
      <c r="BS26" s="193">
        <f t="shared" si="236"/>
        <v>-2673.3999999999996</v>
      </c>
      <c r="BT26" s="66">
        <f t="shared" si="243"/>
        <v>3907.3999999999996</v>
      </c>
      <c r="BU26" s="193">
        <f t="shared" si="237"/>
        <v>2622.5999999999995</v>
      </c>
      <c r="BV26" s="66">
        <f t="shared" si="243"/>
        <v>1284.8000000000002</v>
      </c>
      <c r="BW26" s="590">
        <f>BW25*'Assets(BoP)'!DI73/'Assets(BoP)'!DI72</f>
        <v>30828.318863416869</v>
      </c>
      <c r="BX26" s="66">
        <f>CV26*$BW26</f>
        <v>850.61682961703332</v>
      </c>
      <c r="BY26" s="193">
        <f t="shared" si="148"/>
        <v>99.25098350903626</v>
      </c>
      <c r="BZ26" s="647">
        <f t="shared" si="149"/>
        <v>2.4372585785066035E-2</v>
      </c>
      <c r="CA26" s="66">
        <f>CW26*$BW26</f>
        <v>58.551026774851977</v>
      </c>
      <c r="CB26" s="193">
        <f t="shared" si="151"/>
        <v>2.9896587842608127</v>
      </c>
      <c r="CC26" s="647">
        <f t="shared" si="14"/>
        <v>1.8022834211866264E-3</v>
      </c>
      <c r="CD26" s="66">
        <f>CX26*$BW26</f>
        <v>744.05092218314303</v>
      </c>
      <c r="CE26" s="193">
        <f t="shared" si="153"/>
        <v>121.37260887288136</v>
      </c>
      <c r="CF26" s="655">
        <f t="shared" si="15"/>
        <v>2.0198257195567587E-2</v>
      </c>
      <c r="CG26" s="66">
        <f>CY26*$BW26</f>
        <v>1380.2757495335254</v>
      </c>
      <c r="CH26" s="193">
        <f t="shared" si="155"/>
        <v>555.98973561241223</v>
      </c>
      <c r="CI26" s="23">
        <f t="shared" si="16"/>
        <v>2.6737948883072928E-2</v>
      </c>
      <c r="CJ26" s="66">
        <f>CZ26*$BW26</f>
        <v>2668.4323617966152</v>
      </c>
      <c r="CK26" s="641">
        <f t="shared" si="157"/>
        <v>392.55432839635824</v>
      </c>
      <c r="CL26" s="34">
        <f t="shared" si="158"/>
        <v>7.382426669074646E-2</v>
      </c>
      <c r="CM26" s="66">
        <f>DB26*$BW26</f>
        <v>569.59817643172323</v>
      </c>
      <c r="CN26" s="193">
        <f t="shared" si="160"/>
        <v>174.67845322014335</v>
      </c>
      <c r="CO26" s="23">
        <f t="shared" si="161"/>
        <v>1.2810290595515424E-2</v>
      </c>
      <c r="CP26" s="271">
        <f t="shared" si="17"/>
        <v>6271.5250663368925</v>
      </c>
      <c r="CQ26" s="193">
        <f t="shared" si="162"/>
        <v>1346.8357683950924</v>
      </c>
      <c r="CR26" s="271">
        <f t="shared" si="18"/>
        <v>24556.793797079976</v>
      </c>
      <c r="CS26" s="248">
        <f t="shared" si="163"/>
        <v>0.15974563257115507</v>
      </c>
      <c r="CT26" s="30">
        <f t="shared" si="19"/>
        <v>0.20343389771341511</v>
      </c>
      <c r="CU26" s="308">
        <f t="shared" si="20"/>
        <v>0</v>
      </c>
      <c r="CV26" s="387">
        <f>CV25+(CV$27-CV$22)/5</f>
        <v>2.7592060189387663E-2</v>
      </c>
      <c r="CW26" s="387">
        <f t="shared" si="238"/>
        <v>1.899261099324261E-3</v>
      </c>
      <c r="CX26" s="387">
        <f t="shared" si="238"/>
        <v>2.4135306420036032E-2</v>
      </c>
      <c r="CY26" s="387">
        <f t="shared" si="238"/>
        <v>4.4772981480072249E-2</v>
      </c>
      <c r="CZ26" s="387">
        <f>CZ25*DA26/DA25</f>
        <v>8.6557829300357061E-2</v>
      </c>
      <c r="DA26" s="387">
        <f>'Assets(BoP)'!FK73</f>
        <v>8.4022738113315384E-2</v>
      </c>
      <c r="DB26" s="387">
        <f>DB25+(DB$27-DB$22)/5</f>
        <v>1.8476459224237813E-2</v>
      </c>
      <c r="DC26" s="23">
        <f t="shared" si="21"/>
        <v>0.2615158998506934</v>
      </c>
      <c r="DD26" s="193">
        <f t="shared" si="22"/>
        <v>18831.318863416869</v>
      </c>
      <c r="DE26" s="66">
        <f t="shared" si="164"/>
        <v>11997</v>
      </c>
      <c r="DF26" s="635">
        <f>'Assets(BoP)'!ES73*1000</f>
        <v>13616.219012297483</v>
      </c>
      <c r="DG26" s="193">
        <f>'Assets(BoP)'!DA73</f>
        <v>13330</v>
      </c>
      <c r="DH26" s="34">
        <f t="shared" si="23"/>
        <v>0.38915518076584171</v>
      </c>
      <c r="DI26" s="23">
        <f>'Assets(BoP)'!DA73/'Assets(BoP)'!CZ73/1000</f>
        <v>0.40953639128698271</v>
      </c>
      <c r="DJ26" s="23">
        <f t="shared" si="24"/>
        <v>0.17929859129337908</v>
      </c>
      <c r="DK26" s="600">
        <f>'Assets(BoP)'!FO73-'Assets(BoP)'!FH73</f>
        <v>0.17854521022140657</v>
      </c>
      <c r="DL26" s="576">
        <f t="shared" si="25"/>
        <v>0.73175412007433305</v>
      </c>
      <c r="DM26" s="251">
        <f t="shared" si="26"/>
        <v>2.0105844547826854</v>
      </c>
      <c r="DN26" s="251">
        <f t="shared" si="27"/>
        <v>1.9057753353933189</v>
      </c>
      <c r="DO26" s="251">
        <f t="shared" si="28"/>
        <v>0.63898033650741715</v>
      </c>
      <c r="DP26" s="251">
        <f t="shared" si="29"/>
        <v>0.61641613073130685</v>
      </c>
      <c r="DQ26" s="251">
        <f t="shared" si="30"/>
        <v>0.52708244872357013</v>
      </c>
      <c r="DR26" s="251">
        <f t="shared" si="31"/>
        <v>0.41047215792885439</v>
      </c>
      <c r="DS26" s="251">
        <f t="shared" si="32"/>
        <v>1.344399144618851</v>
      </c>
      <c r="DT26" s="251">
        <f t="shared" si="33"/>
        <v>1.0149613569641751</v>
      </c>
      <c r="DU26" s="251">
        <f t="shared" si="34"/>
        <v>5.5298822849575942</v>
      </c>
      <c r="DV26" s="251">
        <f t="shared" si="35"/>
        <v>7.1196514010766796</v>
      </c>
      <c r="DW26" s="251">
        <f t="shared" si="36"/>
        <v>2.1270307579801182</v>
      </c>
      <c r="DX26" s="251">
        <f t="shared" si="37"/>
        <v>1.8233856116578859</v>
      </c>
      <c r="DY26" s="251">
        <f t="shared" si="38"/>
        <v>0.53324036875450975</v>
      </c>
      <c r="DZ26" s="251">
        <f t="shared" si="39"/>
        <v>0.4221685699074802</v>
      </c>
      <c r="EA26" s="643">
        <f t="shared" si="40"/>
        <v>1.518019239465922</v>
      </c>
      <c r="EB26" s="643">
        <f t="shared" si="41"/>
        <v>1.2777898476954204</v>
      </c>
      <c r="EC26" s="251">
        <f t="shared" si="42"/>
        <v>0.68091566456748054</v>
      </c>
      <c r="ED26" s="251">
        <f t="shared" si="43"/>
        <v>0.40343413583839532</v>
      </c>
      <c r="EE26" s="140">
        <f t="shared" si="44"/>
        <v>0.32125695888395894</v>
      </c>
      <c r="EF26" s="1342">
        <v>0.19014621085627489</v>
      </c>
      <c r="EG26" s="140">
        <f t="shared" si="228"/>
        <v>3.2446281170674447</v>
      </c>
      <c r="EH26" s="583">
        <v>35.93</v>
      </c>
      <c r="EI26" s="1344">
        <v>2.2784712365366953</v>
      </c>
      <c r="EJ26" s="576">
        <f t="shared" si="166"/>
        <v>0.3530071072358027</v>
      </c>
      <c r="EK26" s="753">
        <f t="shared" si="167"/>
        <v>1.180761841446319</v>
      </c>
      <c r="EL26" s="753">
        <f t="shared" si="168"/>
        <v>1.188802839033406</v>
      </c>
      <c r="EM26" s="753">
        <f t="shared" si="169"/>
        <v>0.1745986768715361</v>
      </c>
      <c r="EN26" s="583"/>
      <c r="EO26" s="5"/>
      <c r="EP26" s="193"/>
      <c r="EQ26" s="193"/>
      <c r="ER26" s="193"/>
      <c r="ES26" s="193"/>
      <c r="ET26" s="193"/>
      <c r="EU26" s="193"/>
      <c r="EV26" s="193"/>
      <c r="EW26" s="193"/>
      <c r="EX26" s="193"/>
      <c r="EY26" s="193"/>
      <c r="EZ26" s="193"/>
      <c r="FA26" s="193"/>
      <c r="FB26" s="193"/>
      <c r="FC26" s="193"/>
      <c r="FD26" s="23"/>
      <c r="FE26" s="66"/>
      <c r="FF26" s="66"/>
      <c r="FG26" s="66">
        <f t="shared" si="210"/>
        <v>11997</v>
      </c>
      <c r="FH26" s="193">
        <f>'Assets(BoP)'!DA73</f>
        <v>13330</v>
      </c>
      <c r="FI26" s="184">
        <v>0.9</v>
      </c>
      <c r="FJ26" s="590">
        <f>GK26+GO26</f>
        <v>33076.199999999997</v>
      </c>
      <c r="FK26" s="143" t="e">
        <f>FJ26/'Assets(BoP)'!AV73/1000</f>
        <v>#DIV/0!</v>
      </c>
      <c r="FL26" s="725"/>
      <c r="FM26" s="66">
        <f>GV26*BX26/(1-GV26)</f>
        <v>47.262373099541072</v>
      </c>
      <c r="FN26" s="66">
        <f>FM26*FO26</f>
        <v>14.178711929862322</v>
      </c>
      <c r="FO26" s="184">
        <v>0.3</v>
      </c>
      <c r="FP26" s="66">
        <f>GX26*CA26/(1-GX26)</f>
        <v>32.886246626868939</v>
      </c>
      <c r="FQ26" s="66">
        <f>FP26*FR26</f>
        <v>0.99655292808693752</v>
      </c>
      <c r="FR26" s="184">
        <f>(FR$27-FR$24)/3+FR25</f>
        <v>3.0303030303030304E-2</v>
      </c>
      <c r="FS26" s="66">
        <f>GZ26*CD26/(1-GZ26)</f>
        <v>551.09725109848841</v>
      </c>
      <c r="FT26" s="66">
        <f>FS26*FV26</f>
        <v>206.66146916193316</v>
      </c>
      <c r="FU26" s="193">
        <f t="shared" si="175"/>
        <v>344.43578193655526</v>
      </c>
      <c r="FV26" s="654">
        <f>FV25+(FV$27-FV$24)/3</f>
        <v>0.375</v>
      </c>
      <c r="FW26" s="66">
        <f>HB26*CG26/(1-HB26)</f>
        <v>407.40627178495708</v>
      </c>
      <c r="FX26" s="66">
        <f>FW26*FY26</f>
        <v>81.481254356991428</v>
      </c>
      <c r="FY26" s="184">
        <v>0.2</v>
      </c>
      <c r="FZ26" s="66">
        <f>HD26*CJ26/(1-HD26)</f>
        <v>593.09469587865601</v>
      </c>
      <c r="GA26" s="66">
        <f>FZ26*GC26</f>
        <v>392.55432839635824</v>
      </c>
      <c r="GB26" s="193">
        <f t="shared" si="180"/>
        <v>200.54036748229777</v>
      </c>
      <c r="GC26" s="184">
        <f>GC25+(GC$27-GC$24)/3</f>
        <v>0.66187462326702839</v>
      </c>
      <c r="GD26" s="66">
        <f>HF26*CM26/(1-HF26)</f>
        <v>147.85774583594815</v>
      </c>
      <c r="GE26" s="66">
        <f>GD26*GF26</f>
        <v>59.14309833437926</v>
      </c>
      <c r="GF26" s="184">
        <v>0.4</v>
      </c>
      <c r="GG26" s="66">
        <f t="shared" si="47"/>
        <v>1779.6045843244599</v>
      </c>
      <c r="GH26" s="193">
        <f t="shared" si="48"/>
        <v>755.01541510761137</v>
      </c>
      <c r="GI26" s="193">
        <f t="shared" si="49"/>
        <v>31296.595415675536</v>
      </c>
      <c r="GJ26" s="23">
        <f t="shared" si="50"/>
        <v>5.3803175223407163E-2</v>
      </c>
      <c r="GK26" s="66">
        <f>(GK25+GK27)/2</f>
        <v>20746.699999999997</v>
      </c>
      <c r="GL26" s="66"/>
      <c r="GM26" s="184">
        <v>1.2</v>
      </c>
      <c r="GN26" s="23">
        <f t="shared" si="51"/>
        <v>0.62723952570125951</v>
      </c>
      <c r="GO26" s="66">
        <f>(GO25+GO27)/2</f>
        <v>12329.5</v>
      </c>
      <c r="GP26" s="184">
        <v>1.2</v>
      </c>
      <c r="GQ26" s="330">
        <f t="shared" si="52"/>
        <v>10549.895415675539</v>
      </c>
      <c r="GR26" s="330">
        <v>253.49100000000001</v>
      </c>
      <c r="GS26" s="140">
        <f t="shared" si="53"/>
        <v>0.10295920154008194</v>
      </c>
      <c r="GT26" s="609">
        <v>0.7888858135663932</v>
      </c>
      <c r="GU26" s="143">
        <f t="shared" si="54"/>
        <v>0.51758781050669922</v>
      </c>
      <c r="GV26" s="56">
        <f>GV25+(GV$27-GV$22)/5</f>
        <v>5.2637785747288293E-2</v>
      </c>
      <c r="GW26" s="389">
        <v>0.125</v>
      </c>
      <c r="GX26" s="56">
        <f t="shared" si="239"/>
        <v>0.35965909090909087</v>
      </c>
      <c r="GY26" s="389">
        <v>0.25</v>
      </c>
      <c r="GZ26" s="56">
        <f t="shared" si="239"/>
        <v>0.42550903631522302</v>
      </c>
      <c r="HA26" s="56">
        <v>0.63</v>
      </c>
      <c r="HB26" s="56">
        <f t="shared" si="239"/>
        <v>0.22789638589332553</v>
      </c>
      <c r="HC26" s="56">
        <f>HC$27</f>
        <v>0.12781954887218044</v>
      </c>
      <c r="HD26" s="638">
        <f t="shared" si="239"/>
        <v>0.18184570766719255</v>
      </c>
      <c r="HE26" s="638">
        <v>0.5</v>
      </c>
      <c r="HF26" s="56">
        <f t="shared" si="239"/>
        <v>0.20608617372425114</v>
      </c>
      <c r="HG26" s="56">
        <f t="shared" si="239"/>
        <v>0.25294117647058828</v>
      </c>
      <c r="HH26" s="6">
        <f t="shared" si="57"/>
        <v>0.22103787437807265</v>
      </c>
      <c r="HI26" s="6">
        <f t="shared" si="58"/>
        <v>0.17222074489752168</v>
      </c>
      <c r="HJ26" s="23">
        <f t="shared" si="240"/>
        <v>0.63360890797313674</v>
      </c>
      <c r="HK26" s="23"/>
      <c r="HL26" s="23"/>
      <c r="HM26" s="31">
        <f t="shared" si="184"/>
        <v>0.39567317065839253</v>
      </c>
      <c r="HN26" s="23">
        <f t="shared" si="60"/>
        <v>0.56033475956958001</v>
      </c>
      <c r="HO26" s="23">
        <f t="shared" si="61"/>
        <v>0.45651394610068868</v>
      </c>
      <c r="HP26" s="575"/>
      <c r="HQ26" s="193"/>
      <c r="HR26" s="193"/>
      <c r="HS26" s="193"/>
      <c r="HT26" s="193"/>
      <c r="HU26" s="193"/>
      <c r="HV26" s="193"/>
      <c r="HW26" s="193"/>
      <c r="HX26" s="193"/>
      <c r="HY26" s="193"/>
      <c r="HZ26" s="193"/>
      <c r="IA26" s="193"/>
      <c r="IB26" s="23"/>
      <c r="IC26" s="23"/>
      <c r="ID26" s="23"/>
      <c r="IE26" s="23"/>
      <c r="IF26" s="23"/>
      <c r="IG26" s="23"/>
      <c r="IH26" s="23"/>
      <c r="II26" s="23"/>
      <c r="IJ26" s="23"/>
      <c r="IK26" s="23"/>
      <c r="IL26" s="23"/>
      <c r="IM26" s="575"/>
      <c r="IN26" s="193"/>
      <c r="IO26" s="193"/>
      <c r="IP26" s="193"/>
      <c r="IQ26" s="193"/>
      <c r="IR26" s="193"/>
      <c r="IS26" s="193"/>
      <c r="IT26" s="193"/>
      <c r="IU26" s="193"/>
      <c r="IV26" s="193"/>
      <c r="IW26" s="193"/>
      <c r="IX26" s="149">
        <f t="shared" si="63"/>
        <v>0</v>
      </c>
      <c r="IY26" s="316">
        <f t="shared" si="64"/>
        <v>0</v>
      </c>
      <c r="IZ26" s="316">
        <f t="shared" si="65"/>
        <v>0</v>
      </c>
      <c r="JA26" s="316">
        <f t="shared" si="66"/>
        <v>0</v>
      </c>
      <c r="JB26" s="316">
        <f t="shared" si="67"/>
        <v>0</v>
      </c>
      <c r="JC26" s="316">
        <f t="shared" si="68"/>
        <v>0</v>
      </c>
      <c r="JD26" s="316">
        <f t="shared" si="69"/>
        <v>0</v>
      </c>
      <c r="JE26" s="316">
        <f t="shared" si="70"/>
        <v>0</v>
      </c>
      <c r="JF26" s="316">
        <f t="shared" si="71"/>
        <v>0</v>
      </c>
      <c r="JG26" s="316">
        <f t="shared" si="72"/>
        <v>0</v>
      </c>
      <c r="JH26" s="316">
        <f t="shared" si="73"/>
        <v>0</v>
      </c>
      <c r="JI26" s="5"/>
      <c r="JJ26" s="593"/>
      <c r="JK26" s="593"/>
      <c r="JL26" s="593"/>
      <c r="JM26" s="593"/>
      <c r="JN26" s="593"/>
      <c r="JO26" s="593"/>
      <c r="JP26" s="552">
        <f t="shared" si="74"/>
        <v>0</v>
      </c>
      <c r="JQ26" s="552">
        <f t="shared" si="75"/>
        <v>0</v>
      </c>
      <c r="JR26" s="552">
        <f t="shared" si="76"/>
        <v>0</v>
      </c>
      <c r="JS26" s="593"/>
      <c r="JT26" s="149"/>
      <c r="JU26" s="593"/>
      <c r="JV26" s="593"/>
      <c r="JW26" s="593"/>
      <c r="JX26" s="593"/>
      <c r="JY26" s="593"/>
      <c r="JZ26" s="593"/>
      <c r="KA26" s="593"/>
      <c r="KB26" s="593"/>
      <c r="KC26" s="657"/>
      <c r="KD26" s="593"/>
      <c r="KE26" s="620">
        <f t="shared" si="244"/>
        <v>151590.40000000002</v>
      </c>
      <c r="KL26" s="620">
        <f t="shared" si="245"/>
        <v>9630.5999999999985</v>
      </c>
      <c r="KM26" s="620">
        <f t="shared" si="245"/>
        <v>141959.79999999999</v>
      </c>
      <c r="KN26" s="552">
        <f t="shared" si="209"/>
        <v>77444.199999999983</v>
      </c>
      <c r="KO26" s="620">
        <f t="shared" si="246"/>
        <v>64515.600000000006</v>
      </c>
      <c r="KP26" s="149"/>
      <c r="KY26" s="657"/>
      <c r="LA26" s="149">
        <f>'Assets(MOFA)'!IX26-'Assets(MOFA)'!KE26-'Assets(MOFA)'!KP26</f>
        <v>-151590.40000000002</v>
      </c>
      <c r="LB26" s="552">
        <f>'Assets(MOFA)'!IY26-'Assets(MOFA)'!KF26-'Assets(MOFA)'!KQ26</f>
        <v>0</v>
      </c>
      <c r="LC26" s="552">
        <f>'Assets(MOFA)'!IZ26-'Assets(MOFA)'!KG26-'Assets(MOFA)'!KR26</f>
        <v>0</v>
      </c>
      <c r="LD26" s="552">
        <f>'Assets(MOFA)'!JA26-'Assets(MOFA)'!KH26-'Assets(MOFA)'!KS26</f>
        <v>0</v>
      </c>
      <c r="LE26" s="552">
        <f>'Assets(MOFA)'!JB26-'Assets(MOFA)'!KI26-'Assets(MOFA)'!KT26</f>
        <v>0</v>
      </c>
      <c r="LF26" s="552">
        <f>'Assets(MOFA)'!JC26-'Assets(MOFA)'!KJ26-'Assets(MOFA)'!KU26</f>
        <v>0</v>
      </c>
      <c r="LG26" s="552">
        <f>'Assets(MOFA)'!JD26-'Assets(MOFA)'!KK26-'Assets(MOFA)'!KV26</f>
        <v>0</v>
      </c>
      <c r="LH26" s="552">
        <f>'Assets(MOFA)'!JE26-'Assets(MOFA)'!KL26-'Assets(MOFA)'!KW26</f>
        <v>-9630.5999999999985</v>
      </c>
      <c r="LI26" s="552">
        <f>'Assets(MOFA)'!JF26-'Assets(MOFA)'!KM26-'Assets(MOFA)'!KX26</f>
        <v>-141959.79999999999</v>
      </c>
      <c r="LJ26" s="552">
        <f t="shared" si="77"/>
        <v>-77444.199999999983</v>
      </c>
      <c r="LK26" s="552">
        <f>'Assets(MOFA)'!JH26-'Assets(MOFA)'!KO26-'Assets(MOFA)'!KZ26</f>
        <v>-64515.600000000006</v>
      </c>
      <c r="LL26" s="576" t="e">
        <f t="shared" si="78"/>
        <v>#DIV/0!</v>
      </c>
      <c r="LM26" s="6" t="e">
        <f t="shared" si="79"/>
        <v>#DIV/0!</v>
      </c>
      <c r="LN26" s="6" t="e">
        <f t="shared" si="80"/>
        <v>#DIV/0!</v>
      </c>
      <c r="LO26" s="6" t="e">
        <f t="shared" si="81"/>
        <v>#DIV/0!</v>
      </c>
      <c r="LP26" s="6" t="e">
        <f t="shared" si="82"/>
        <v>#DIV/0!</v>
      </c>
      <c r="LQ26" s="6" t="e">
        <f t="shared" si="83"/>
        <v>#DIV/0!</v>
      </c>
      <c r="LR26" s="6" t="e">
        <f t="shared" si="84"/>
        <v>#DIV/0!</v>
      </c>
      <c r="LS26" s="6" t="e">
        <f t="shared" si="85"/>
        <v>#DIV/0!</v>
      </c>
      <c r="LT26" s="143" t="e">
        <f t="shared" si="86"/>
        <v>#DIV/0!</v>
      </c>
      <c r="LU26" s="62" t="e">
        <f t="shared" si="87"/>
        <v>#DIV/0!</v>
      </c>
      <c r="LV26" s="902" t="e">
        <f t="shared" si="88"/>
        <v>#DIV/0!</v>
      </c>
      <c r="LW26" s="902" t="e">
        <f t="shared" si="89"/>
        <v>#DIV/0!</v>
      </c>
      <c r="LX26" s="143" t="e">
        <f t="shared" si="90"/>
        <v>#DIV/0!</v>
      </c>
      <c r="LY26" s="576" t="e">
        <f t="shared" si="91"/>
        <v>#DIV/0!</v>
      </c>
      <c r="LZ26" s="906" t="e">
        <f t="shared" si="92"/>
        <v>#DIV/0!</v>
      </c>
      <c r="MA26" s="906" t="e">
        <f t="shared" si="93"/>
        <v>#DIV/0!</v>
      </c>
      <c r="MB26" s="906" t="e">
        <f t="shared" si="94"/>
        <v>#DIV/0!</v>
      </c>
      <c r="MC26" s="906" t="e">
        <f t="shared" si="95"/>
        <v>#DIV/0!</v>
      </c>
      <c r="MD26" s="906" t="e">
        <f t="shared" si="96"/>
        <v>#DIV/0!</v>
      </c>
      <c r="ME26" s="906">
        <v>6.1610529375296846E-2</v>
      </c>
      <c r="MF26" s="906" t="e">
        <f t="shared" si="97"/>
        <v>#DIV/0!</v>
      </c>
      <c r="MG26" s="30" t="e">
        <f t="shared" si="98"/>
        <v>#DIV/0!</v>
      </c>
      <c r="MH26" s="140" t="e">
        <f t="shared" si="99"/>
        <v>#DIV/0!</v>
      </c>
      <c r="MI26" s="30" t="e">
        <f t="shared" si="100"/>
        <v>#DIV/0!</v>
      </c>
      <c r="MJ26" s="30" t="e">
        <f t="shared" si="101"/>
        <v>#DIV/0!</v>
      </c>
      <c r="MK26" s="617" t="e">
        <f t="shared" si="102"/>
        <v>#DIV/0!</v>
      </c>
      <c r="ML26" s="615" t="e">
        <f t="shared" si="103"/>
        <v>#DIV/0!</v>
      </c>
      <c r="MM26" s="574"/>
      <c r="MU26" s="593"/>
      <c r="MX26" s="613"/>
      <c r="MY26" s="552"/>
      <c r="MZ26" s="552"/>
      <c r="NA26" s="552"/>
      <c r="NB26" s="552"/>
      <c r="NC26" s="552"/>
      <c r="ND26" s="552"/>
      <c r="NE26" s="552"/>
      <c r="NF26" s="552"/>
      <c r="NG26" s="552"/>
      <c r="NH26" s="552"/>
      <c r="NI26" s="613">
        <f t="shared" si="214"/>
        <v>87330.589757288035</v>
      </c>
      <c r="NQ26" s="593"/>
      <c r="NY26" s="593"/>
      <c r="NZ26" s="593"/>
      <c r="OA26" s="593"/>
      <c r="OB26" s="593"/>
      <c r="OC26" s="593"/>
      <c r="OD26" s="593"/>
      <c r="OE26" s="593"/>
      <c r="OF26" s="593"/>
      <c r="OG26" s="593"/>
      <c r="OH26" s="593"/>
      <c r="OI26" s="593"/>
      <c r="OJ26" s="593"/>
      <c r="OK26" s="593"/>
      <c r="OL26" s="593"/>
      <c r="OM26" s="593"/>
      <c r="ON26" s="593"/>
      <c r="OO26" s="593"/>
      <c r="OW26" s="593"/>
      <c r="PE26" s="593"/>
      <c r="PN26" s="574"/>
      <c r="PO26" s="593"/>
      <c r="PP26" s="593"/>
      <c r="PQ26" s="593"/>
      <c r="PR26" s="593"/>
      <c r="PS26" s="593"/>
      <c r="PT26" s="593"/>
      <c r="PU26" s="593"/>
      <c r="PV26" s="593"/>
      <c r="PW26" s="593"/>
      <c r="PX26" s="593"/>
      <c r="PY26" s="593"/>
      <c r="PZ26" s="593"/>
      <c r="QA26" s="593"/>
      <c r="QB26" s="593"/>
      <c r="QC26" s="593"/>
      <c r="QD26" s="593"/>
      <c r="QE26" s="593"/>
      <c r="QF26" s="593"/>
      <c r="QG26" s="593"/>
      <c r="QH26" s="593"/>
      <c r="QI26" s="593"/>
      <c r="QJ26" s="593"/>
      <c r="QK26" s="593"/>
      <c r="QL26" s="593"/>
      <c r="QM26" s="593"/>
      <c r="QN26" s="593"/>
      <c r="QO26" s="593"/>
      <c r="QP26" s="593"/>
      <c r="QQ26" s="593"/>
      <c r="QR26" s="593"/>
      <c r="QS26" s="593"/>
      <c r="QT26" s="593"/>
      <c r="QU26" s="593"/>
      <c r="QV26" s="593"/>
      <c r="QW26" s="593"/>
      <c r="QX26" s="593"/>
      <c r="QY26" s="593"/>
      <c r="QZ26" s="593"/>
      <c r="RA26" s="593"/>
      <c r="RB26" s="593"/>
      <c r="RC26" s="593"/>
      <c r="RD26" s="593"/>
      <c r="RE26" s="593"/>
      <c r="RF26" s="593"/>
      <c r="RG26" s="593"/>
      <c r="RH26" s="593"/>
      <c r="RI26" s="593"/>
      <c r="RJ26" s="593"/>
      <c r="RK26" s="593"/>
      <c r="RL26" s="593"/>
      <c r="RM26" s="593"/>
      <c r="RN26" s="593"/>
      <c r="RO26" s="593"/>
      <c r="RP26" s="593"/>
      <c r="RQ26" s="593"/>
      <c r="RR26" s="593"/>
    </row>
    <row r="27" spans="1:486" s="567" customFormat="1">
      <c r="A27" s="568">
        <v>1982</v>
      </c>
      <c r="B27" s="33">
        <v>89445</v>
      </c>
      <c r="C27" s="193">
        <v>503</v>
      </c>
      <c r="D27" s="193">
        <v>134</v>
      </c>
      <c r="E27" s="193">
        <v>2451</v>
      </c>
      <c r="F27" s="193">
        <v>1376</v>
      </c>
      <c r="G27" s="193">
        <v>615</v>
      </c>
      <c r="H27" s="193">
        <v>377</v>
      </c>
      <c r="I27" s="193">
        <f t="shared" si="215"/>
        <v>5456</v>
      </c>
      <c r="J27" s="193">
        <f t="shared" si="216"/>
        <v>83989</v>
      </c>
      <c r="K27" s="193">
        <f t="shared" ref="K27:K61" si="249">J27-L27</f>
        <v>73653</v>
      </c>
      <c r="L27" s="193">
        <v>10336</v>
      </c>
      <c r="M27" s="140">
        <f t="shared" si="217"/>
        <v>6.0998378892056573E-2</v>
      </c>
      <c r="N27" s="140">
        <f t="shared" ref="N27:N60" si="250">L27/B27</f>
        <v>0.11555704622952652</v>
      </c>
      <c r="O27" s="193">
        <v>1275100</v>
      </c>
      <c r="P27" s="30">
        <f t="shared" ref="P27:P60" si="251">B27/O27</f>
        <v>7.0147439416516355E-2</v>
      </c>
      <c r="Q27" s="629">
        <f t="shared" si="218"/>
        <v>5.6235675554810217E-3</v>
      </c>
      <c r="R27" s="308">
        <f t="shared" si="219"/>
        <v>1.4981273408239701E-3</v>
      </c>
      <c r="S27" s="308">
        <f t="shared" si="220"/>
        <v>2.740231427133993E-2</v>
      </c>
      <c r="T27" s="308">
        <f t="shared" si="221"/>
        <v>1.5383755380401364E-2</v>
      </c>
      <c r="U27" s="308">
        <f t="shared" si="222"/>
        <v>6.8757336910950867E-3</v>
      </c>
      <c r="V27" s="308">
        <f t="shared" si="223"/>
        <v>4.2148806529151992E-3</v>
      </c>
      <c r="W27" s="5">
        <f t="shared" ref="W27:W38" si="252">EO27+FJ27-HP27-IM27</f>
        <v>53575</v>
      </c>
      <c r="X27" s="76">
        <f t="shared" ref="X27:X38" si="253">EP27+FM27-HQ27-IN27</f>
        <v>755</v>
      </c>
      <c r="Y27" s="76">
        <f t="shared" si="3"/>
        <v>64</v>
      </c>
      <c r="Z27" s="76">
        <f t="shared" si="114"/>
        <v>691</v>
      </c>
      <c r="AA27" s="76">
        <f t="shared" ref="AA27:AA38" si="254">ER27+FP27-HR27-IO27</f>
        <v>77</v>
      </c>
      <c r="AB27" s="66">
        <f t="shared" si="241"/>
        <v>0</v>
      </c>
      <c r="AC27" s="274">
        <f t="shared" si="117"/>
        <v>77</v>
      </c>
      <c r="AD27" s="76">
        <f t="shared" ref="AD27:AD38" si="255">ET27+FS27-HS27-IP27</f>
        <v>929</v>
      </c>
      <c r="AE27" s="76">
        <f>EU27+FT27</f>
        <v>198</v>
      </c>
      <c r="AF27" s="274">
        <f t="shared" si="119"/>
        <v>731</v>
      </c>
      <c r="AG27" s="76">
        <f t="shared" ref="AG27:AG38" si="256">EV27+FW27-HT27-IQ27</f>
        <v>1460</v>
      </c>
      <c r="AH27" s="76">
        <f>EW27+FX27</f>
        <v>399</v>
      </c>
      <c r="AI27" s="76">
        <f>AG27-AH27</f>
        <v>1061</v>
      </c>
      <c r="AJ27" s="76">
        <f t="shared" ref="AJ27:AJ38" si="257">EX27+FZ27-HU27-IR27</f>
        <v>4179</v>
      </c>
      <c r="AK27" s="86">
        <f>EY27+GA27</f>
        <v>696</v>
      </c>
      <c r="AL27" s="274">
        <f t="shared" si="123"/>
        <v>3483</v>
      </c>
      <c r="AM27" s="76">
        <f t="shared" ref="AM27:AM38" si="258">EZ27+GD27-HV27-IS27</f>
        <v>626</v>
      </c>
      <c r="AN27" s="76">
        <f>FA27+GE27</f>
        <v>140</v>
      </c>
      <c r="AO27" s="274">
        <f t="shared" si="125"/>
        <v>486</v>
      </c>
      <c r="AP27" s="193">
        <f t="shared" si="8"/>
        <v>8026</v>
      </c>
      <c r="AQ27" s="271">
        <f t="shared" si="9"/>
        <v>1497</v>
      </c>
      <c r="AR27" s="271">
        <f t="shared" si="126"/>
        <v>6529</v>
      </c>
      <c r="AS27" s="193">
        <f t="shared" ref="AS27:AS60" si="259">W27-AP27</f>
        <v>45549</v>
      </c>
      <c r="AT27" s="193">
        <f t="shared" si="224"/>
        <v>18129</v>
      </c>
      <c r="AU27" s="193">
        <f t="shared" ref="AU27:AU38" si="260">FE27+GK27-HY27-IV27</f>
        <v>27420</v>
      </c>
      <c r="AV27" s="193">
        <f t="shared" ref="AV27:AV38" si="261">FF27+GL27-HZ27-IW27</f>
        <v>12488</v>
      </c>
      <c r="AW27" s="23">
        <f>AV27/AU27</f>
        <v>0.45543398978847555</v>
      </c>
      <c r="AX27" s="271">
        <f t="shared" si="227"/>
        <v>26155</v>
      </c>
      <c r="AY27" s="140">
        <f t="shared" si="10"/>
        <v>0.14980867942137191</v>
      </c>
      <c r="AZ27" s="623">
        <f t="shared" si="129"/>
        <v>0.12186654223051796</v>
      </c>
      <c r="BA27" s="248">
        <f t="shared" si="11"/>
        <v>0.24962722232842668</v>
      </c>
      <c r="BB27" s="248">
        <f t="shared" si="130"/>
        <v>2.6419422672529152E-2</v>
      </c>
      <c r="BC27" s="248">
        <f t="shared" si="131"/>
        <v>2.943987765245651E-3</v>
      </c>
      <c r="BD27" s="248">
        <f t="shared" si="132"/>
        <v>2.7948766966163257E-2</v>
      </c>
      <c r="BE27" s="248">
        <f t="shared" si="133"/>
        <v>4.056585738864462E-2</v>
      </c>
      <c r="BF27" s="248">
        <f t="shared" si="134"/>
        <v>0.13316765436818964</v>
      </c>
      <c r="BG27" s="248">
        <f t="shared" si="135"/>
        <v>1.8581533167654367E-2</v>
      </c>
      <c r="BH27" s="248">
        <f t="shared" si="136"/>
        <v>3.0892754731408907E-2</v>
      </c>
      <c r="BI27" s="23">
        <f t="shared" si="12"/>
        <v>0.27134391129803098</v>
      </c>
      <c r="BJ27" s="140">
        <f t="shared" si="13"/>
        <v>0.51180587960802615</v>
      </c>
      <c r="BK27" s="623">
        <f t="shared" si="137"/>
        <v>0.48386374241717217</v>
      </c>
      <c r="BL27" s="5">
        <f>18788-17826</f>
        <v>962</v>
      </c>
      <c r="BM27" s="568">
        <f>106-77</f>
        <v>29</v>
      </c>
      <c r="BN27" s="76">
        <f>24-51</f>
        <v>-27</v>
      </c>
      <c r="BO27" s="76">
        <f>530-490</f>
        <v>40</v>
      </c>
      <c r="BP27" s="76">
        <f>241-488</f>
        <v>-247</v>
      </c>
      <c r="BQ27" s="76">
        <f>2723-5730</f>
        <v>-3007</v>
      </c>
      <c r="BR27" s="76">
        <f>67-89</f>
        <v>-22</v>
      </c>
      <c r="BS27" s="193">
        <f t="shared" si="236"/>
        <v>-3234</v>
      </c>
      <c r="BT27" s="193">
        <f>BL27-BS27</f>
        <v>4196</v>
      </c>
      <c r="BU27" s="193">
        <f t="shared" si="237"/>
        <v>2802</v>
      </c>
      <c r="BV27" s="193">
        <f>3157-1763</f>
        <v>1394</v>
      </c>
      <c r="BW27" s="5">
        <f t="shared" ref="BW27:BW60" si="262">W27-FJ27</f>
        <v>23419</v>
      </c>
      <c r="BX27" s="193">
        <f t="shared" ref="BX27:BX60" si="263">X27-FM27</f>
        <v>721</v>
      </c>
      <c r="BY27" s="193">
        <f t="shared" si="148"/>
        <v>56</v>
      </c>
      <c r="BZ27" s="647">
        <f t="shared" si="149"/>
        <v>2.8395747042999273E-2</v>
      </c>
      <c r="CA27" s="193">
        <f t="shared" ref="CA27:CA60" si="264">AA27-FP27</f>
        <v>49</v>
      </c>
      <c r="CB27" s="193">
        <f t="shared" si="151"/>
        <v>0</v>
      </c>
      <c r="CC27" s="647">
        <f t="shared" si="14"/>
        <v>2.0923182031683677E-3</v>
      </c>
      <c r="CD27" s="193">
        <f t="shared" ref="CD27:CD60" si="265">AD27-FS27</f>
        <v>529</v>
      </c>
      <c r="CE27" s="193">
        <f t="shared" si="153"/>
        <v>73</v>
      </c>
      <c r="CF27" s="655">
        <f t="shared" si="15"/>
        <v>1.9471369400913787E-2</v>
      </c>
      <c r="CG27" s="193">
        <f t="shared" ref="CG27:CG60" si="266">AG27-FW27</f>
        <v>1130</v>
      </c>
      <c r="CH27" s="193">
        <f t="shared" si="155"/>
        <v>348</v>
      </c>
      <c r="CI27" s="23">
        <f t="shared" si="16"/>
        <v>3.3391690507707419E-2</v>
      </c>
      <c r="CJ27" s="193">
        <f t="shared" ref="CJ27:CJ60" si="267">AJ27-FZ27</f>
        <v>3626</v>
      </c>
      <c r="CK27" s="641">
        <f t="shared" si="157"/>
        <v>382</v>
      </c>
      <c r="CL27" s="34">
        <f t="shared" si="158"/>
        <v>0.13852000512404458</v>
      </c>
      <c r="CM27" s="193">
        <f t="shared" ref="CM27:CM60" si="268">AM27-GD27</f>
        <v>495</v>
      </c>
      <c r="CN27" s="193">
        <f t="shared" si="160"/>
        <v>105</v>
      </c>
      <c r="CO27" s="23">
        <f t="shared" si="161"/>
        <v>1.6653144882360478E-2</v>
      </c>
      <c r="CP27" s="271">
        <f t="shared" si="17"/>
        <v>6550</v>
      </c>
      <c r="CQ27" s="193">
        <f t="shared" si="162"/>
        <v>964</v>
      </c>
      <c r="CR27" s="271">
        <f t="shared" si="18"/>
        <v>16869</v>
      </c>
      <c r="CS27" s="248">
        <f t="shared" si="163"/>
        <v>0.2385242751611939</v>
      </c>
      <c r="CT27" s="30">
        <f t="shared" si="19"/>
        <v>0.27968743328066953</v>
      </c>
      <c r="CU27" s="308">
        <f t="shared" si="20"/>
        <v>0</v>
      </c>
      <c r="CV27" s="308">
        <f t="shared" ref="CV27:CV60" si="269">BX27/$BW27</f>
        <v>3.0786967846620265E-2</v>
      </c>
      <c r="CW27" s="308">
        <f t="shared" ref="CW27:CW60" si="270">CA27/$BW27</f>
        <v>2.0923182031683677E-3</v>
      </c>
      <c r="CX27" s="308">
        <f t="shared" ref="CX27:CX60" si="271">CD27/$BW27</f>
        <v>2.2588496519919725E-2</v>
      </c>
      <c r="CY27" s="308">
        <f t="shared" ref="CY27:CY60" si="272">CG27/$BW27</f>
        <v>4.8251419787352152E-2</v>
      </c>
      <c r="CZ27" s="308">
        <f>CJ27/$BW27</f>
        <v>0.1548315470344592</v>
      </c>
      <c r="DA27" s="308">
        <f>'Assets(BoP)'!FK74</f>
        <v>0.13557036926072955</v>
      </c>
      <c r="DB27" s="308">
        <f t="shared" ref="DB27:DB60" si="273">CM27/$BW27</f>
        <v>2.1136683889149837E-2</v>
      </c>
      <c r="DC27" s="23">
        <f t="shared" si="21"/>
        <v>0.36405109489051096</v>
      </c>
      <c r="DD27" s="193">
        <f t="shared" si="22"/>
        <v>15344</v>
      </c>
      <c r="DE27" s="193">
        <f t="shared" ref="DE27:DE61" si="274">AU27-GK27</f>
        <v>8075</v>
      </c>
      <c r="DF27" s="635">
        <f>'Assets(BoP)'!ES74*1000</f>
        <v>9309.6939293382784</v>
      </c>
      <c r="DG27" s="193">
        <f>'Assets(BoP)'!DA74</f>
        <v>9114</v>
      </c>
      <c r="DH27" s="34">
        <f t="shared" si="23"/>
        <v>0.3448054998078483</v>
      </c>
      <c r="DI27" s="23">
        <f>'Assets(BoP)'!DA74/'Assets(BoP)'!CZ74/1000</f>
        <v>0.30927415249923651</v>
      </c>
      <c r="DJ27" s="23">
        <f t="shared" si="24"/>
        <v>0.25709893676074985</v>
      </c>
      <c r="DK27" s="600">
        <f>'Assets(BoP)'!FO74-'Assets(BoP)'!FH74</f>
        <v>0.22974784176986798</v>
      </c>
      <c r="DL27" s="576">
        <f t="shared" si="25"/>
        <v>0.59897143496003136</v>
      </c>
      <c r="DM27" s="643">
        <f t="shared" si="26"/>
        <v>1.5009940357852882</v>
      </c>
      <c r="DN27" s="643">
        <f t="shared" si="27"/>
        <v>1.4429648985938053</v>
      </c>
      <c r="DO27" s="643">
        <f t="shared" si="28"/>
        <v>0.57462686567164178</v>
      </c>
      <c r="DP27" s="643">
        <f t="shared" si="29"/>
        <v>0.57462686567164178</v>
      </c>
      <c r="DQ27" s="643">
        <f t="shared" si="30"/>
        <v>0.37902896776825784</v>
      </c>
      <c r="DR27" s="643">
        <f t="shared" si="31"/>
        <v>0.30761284871374556</v>
      </c>
      <c r="DS27" s="643">
        <f t="shared" si="32"/>
        <v>1.0610465116279071</v>
      </c>
      <c r="DT27" s="643">
        <f t="shared" si="33"/>
        <v>0.86570090641345376</v>
      </c>
      <c r="DU27" s="643">
        <f t="shared" si="34"/>
        <v>6.795121951219512</v>
      </c>
      <c r="DV27" s="643">
        <f t="shared" si="35"/>
        <v>9.8768719276930508</v>
      </c>
      <c r="DW27" s="643">
        <f t="shared" si="36"/>
        <v>1.6604774535809019</v>
      </c>
      <c r="DX27" s="643">
        <f t="shared" si="37"/>
        <v>1.4989505416015207</v>
      </c>
      <c r="DY27" s="251">
        <f t="shared" si="38"/>
        <v>0.38916827852998065</v>
      </c>
      <c r="DZ27" s="251">
        <f t="shared" si="39"/>
        <v>0.32186571518576557</v>
      </c>
      <c r="EA27" s="643">
        <f t="shared" si="40"/>
        <v>1.471041055718475</v>
      </c>
      <c r="EB27" s="643">
        <f t="shared" si="41"/>
        <v>1.3347086801894943</v>
      </c>
      <c r="EC27" s="251">
        <f t="shared" si="42"/>
        <v>0.54232101822857759</v>
      </c>
      <c r="ED27" s="251">
        <f t="shared" si="43"/>
        <v>0.3306197777749687</v>
      </c>
      <c r="EE27" s="140">
        <f t="shared" si="44"/>
        <v>0.24614068673373793</v>
      </c>
      <c r="EF27" s="1342">
        <v>0.16775127557222336</v>
      </c>
      <c r="EG27" s="140">
        <f t="shared" si="228"/>
        <v>2.6528637770897832</v>
      </c>
      <c r="EH27" s="583">
        <v>32.97</v>
      </c>
      <c r="EI27" s="1344">
        <v>2.1592585998852689</v>
      </c>
      <c r="EJ27" s="576">
        <f t="shared" si="166"/>
        <v>0.26182570294594443</v>
      </c>
      <c r="EK27" s="753">
        <f t="shared" si="167"/>
        <v>1.3230445657116872</v>
      </c>
      <c r="EL27" s="753">
        <f t="shared" si="168"/>
        <v>0.78125</v>
      </c>
      <c r="EM27" s="753">
        <f t="shared" si="169"/>
        <v>0.11939771631841202</v>
      </c>
      <c r="EN27" s="583"/>
      <c r="EO27" s="5">
        <v>26139</v>
      </c>
      <c r="EP27" s="193">
        <v>754</v>
      </c>
      <c r="EQ27" s="66">
        <v>0</v>
      </c>
      <c r="ER27" s="193">
        <v>130</v>
      </c>
      <c r="ES27" s="193">
        <v>-2</v>
      </c>
      <c r="ET27" s="193">
        <v>602</v>
      </c>
      <c r="EU27" s="193">
        <v>73</v>
      </c>
      <c r="EV27" s="193">
        <v>1664</v>
      </c>
      <c r="EW27" s="193">
        <v>348</v>
      </c>
      <c r="EX27" s="193">
        <v>3757</v>
      </c>
      <c r="EY27" s="193">
        <v>382</v>
      </c>
      <c r="EZ27" s="193">
        <v>504</v>
      </c>
      <c r="FA27" s="193">
        <v>105</v>
      </c>
      <c r="FB27" s="193">
        <f>EZ27+EX27+EV27+ET27+ER27+EP27</f>
        <v>7411</v>
      </c>
      <c r="FC27" s="193">
        <f>EO27-FB27</f>
        <v>18728</v>
      </c>
      <c r="FD27" s="23">
        <f>FB27/EO27</f>
        <v>0.28352270553578945</v>
      </c>
      <c r="FE27" s="193">
        <v>8194</v>
      </c>
      <c r="FF27" s="193">
        <v>3859</v>
      </c>
      <c r="FG27" s="193">
        <f>FE27-HY27</f>
        <v>8111</v>
      </c>
      <c r="FH27" s="193">
        <f>'Assets(BoP)'!DA74</f>
        <v>9114</v>
      </c>
      <c r="FI27" s="23">
        <f>FG27/FH27</f>
        <v>0.88994952819837614</v>
      </c>
      <c r="FJ27" s="5">
        <v>30156</v>
      </c>
      <c r="FK27" s="143">
        <f>FJ27/'Assets(BoP)'!AV74/1000</f>
        <v>1.3229216933538055</v>
      </c>
      <c r="FL27" s="192"/>
      <c r="FM27" s="193">
        <v>34</v>
      </c>
      <c r="FN27" s="193">
        <v>8</v>
      </c>
      <c r="FO27" s="23">
        <f>FN27/FM27</f>
        <v>0.23529411764705882</v>
      </c>
      <c r="FP27" s="193">
        <v>28</v>
      </c>
      <c r="FQ27" s="193">
        <v>0</v>
      </c>
      <c r="FR27" s="23">
        <f>FQ27/FP27</f>
        <v>0</v>
      </c>
      <c r="FS27" s="193">
        <v>400</v>
      </c>
      <c r="FT27" s="193">
        <v>125</v>
      </c>
      <c r="FU27" s="193">
        <f t="shared" si="175"/>
        <v>275</v>
      </c>
      <c r="FV27" s="23">
        <f>FT27/FS27</f>
        <v>0.3125</v>
      </c>
      <c r="FW27" s="193">
        <v>330</v>
      </c>
      <c r="FX27" s="193">
        <v>51</v>
      </c>
      <c r="FY27" s="23">
        <f>FX27/FW27</f>
        <v>0.15454545454545454</v>
      </c>
      <c r="FZ27" s="193">
        <v>553</v>
      </c>
      <c r="GA27" s="193">
        <v>314</v>
      </c>
      <c r="GB27" s="193">
        <f t="shared" si="180"/>
        <v>239</v>
      </c>
      <c r="GC27" s="23">
        <f>GA27/FZ27</f>
        <v>0.56781193490054249</v>
      </c>
      <c r="GD27" s="193">
        <v>131</v>
      </c>
      <c r="GE27" s="193">
        <v>35</v>
      </c>
      <c r="GF27" s="23">
        <f>GE27/GD27</f>
        <v>0.26717557251908397</v>
      </c>
      <c r="GG27" s="193">
        <f t="shared" si="47"/>
        <v>1476</v>
      </c>
      <c r="GH27" s="193">
        <f t="shared" si="48"/>
        <v>533</v>
      </c>
      <c r="GI27" s="193">
        <f t="shared" si="49"/>
        <v>28680</v>
      </c>
      <c r="GJ27" s="23">
        <f t="shared" si="50"/>
        <v>4.8945483485873457E-2</v>
      </c>
      <c r="GK27" s="330">
        <v>19345</v>
      </c>
      <c r="GL27" s="330">
        <v>8601</v>
      </c>
      <c r="GM27" s="23">
        <f>GK27/'Assets(BoP)'!AW74/1000</f>
        <v>1.4144183666008625</v>
      </c>
      <c r="GN27" s="23">
        <f t="shared" si="51"/>
        <v>0.6414975460936464</v>
      </c>
      <c r="GO27" s="330">
        <f t="shared" ref="GO27:GO61" si="275">FJ27-GK27</f>
        <v>10811</v>
      </c>
      <c r="GP27" s="23">
        <f>GO27/('Assets(BoP)'!AV74-'Assets(BoP)'!AW74)/1000</f>
        <v>1.18567668348322</v>
      </c>
      <c r="GQ27" s="330">
        <f t="shared" si="52"/>
        <v>9335</v>
      </c>
      <c r="GR27" s="330">
        <v>294.32499999999999</v>
      </c>
      <c r="GS27" s="140">
        <f t="shared" si="53"/>
        <v>7.9027697902719712E-2</v>
      </c>
      <c r="GT27" s="609">
        <v>0.89460873789299911</v>
      </c>
      <c r="GU27" s="143">
        <f t="shared" si="54"/>
        <v>0.56287447503499766</v>
      </c>
      <c r="GV27" s="589">
        <f t="shared" ref="GV27:GV60" si="276">(FM27)/X27</f>
        <v>4.5033112582781455E-2</v>
      </c>
      <c r="GW27" s="389">
        <v>0.125</v>
      </c>
      <c r="GX27" s="589">
        <f t="shared" ref="GX27:GX61" si="277">(FP27)/AA27</f>
        <v>0.36363636363636365</v>
      </c>
      <c r="GY27" s="389">
        <v>0.25</v>
      </c>
      <c r="GZ27" s="589">
        <f>(FS27)/AD27</f>
        <v>0.43057050592034446</v>
      </c>
      <c r="HA27" s="589">
        <f>(FT27)/AE27</f>
        <v>0.63131313131313127</v>
      </c>
      <c r="HB27" s="589">
        <f t="shared" ref="HB27:HB60" si="278">(FW27)/AG27</f>
        <v>0.22602739726027396</v>
      </c>
      <c r="HC27" s="589">
        <f>FX27/AH27</f>
        <v>0.12781954887218044</v>
      </c>
      <c r="HD27" s="589">
        <f t="shared" ref="HD27:HD60" si="279">(FZ27)/AJ27</f>
        <v>0.13232830820770519</v>
      </c>
      <c r="HE27" s="589">
        <f>GA27/AK27</f>
        <v>0.4511494252873563</v>
      </c>
      <c r="HF27" s="589">
        <f>(GD27)/AM27</f>
        <v>0.20926517571884984</v>
      </c>
      <c r="HG27" s="589">
        <f>(GE27)/AN27</f>
        <v>0.25</v>
      </c>
      <c r="HH27" s="6">
        <f t="shared" si="57"/>
        <v>0.18390231746822827</v>
      </c>
      <c r="HI27" s="6">
        <f t="shared" si="58"/>
        <v>0.14443253178128351</v>
      </c>
      <c r="HJ27" s="23">
        <f t="shared" ref="HJ27:HK60" si="280">GK27/AU27</f>
        <v>0.7055069292487236</v>
      </c>
      <c r="HK27" s="23">
        <f t="shared" si="280"/>
        <v>0.68874119154388214</v>
      </c>
      <c r="HL27" s="23">
        <f t="shared" ref="HL27:HL60" si="281">(GK27-GL27)/(AU27-AV27)</f>
        <v>0.71952852933297617</v>
      </c>
      <c r="HM27" s="31">
        <f t="shared" ref="HM27:HM60" si="282">GO27/(W27-AU27)</f>
        <v>0.41334352896195758</v>
      </c>
      <c r="HN27" s="23">
        <f t="shared" si="60"/>
        <v>0.62965158400843046</v>
      </c>
      <c r="HO27" s="23">
        <f t="shared" si="61"/>
        <v>0.51492084505488445</v>
      </c>
      <c r="HP27" s="575">
        <v>3103</v>
      </c>
      <c r="HQ27" s="193">
        <v>66</v>
      </c>
      <c r="HR27" s="193">
        <v>99</v>
      </c>
      <c r="HS27" s="193">
        <v>83</v>
      </c>
      <c r="HT27" s="193">
        <v>561</v>
      </c>
      <c r="HU27" s="193">
        <v>145</v>
      </c>
      <c r="HV27" s="193">
        <v>14</v>
      </c>
      <c r="HW27" s="193">
        <f>HV27+HU27+HT27+HS27+HR27+HQ27</f>
        <v>968</v>
      </c>
      <c r="HX27" s="193">
        <f>HP27-HW27</f>
        <v>2135</v>
      </c>
      <c r="HY27" s="193">
        <v>83</v>
      </c>
      <c r="HZ27" s="193">
        <v>3</v>
      </c>
      <c r="IA27" s="193"/>
      <c r="IB27" s="23">
        <f t="shared" ref="IB27:IB38" si="283">HW27/HP27</f>
        <v>0.31195617144698679</v>
      </c>
      <c r="IC27" s="23"/>
      <c r="ID27" s="23"/>
      <c r="IE27" s="23"/>
      <c r="IF27" s="23"/>
      <c r="IG27" s="23"/>
      <c r="IH27" s="23"/>
      <c r="II27" s="23"/>
      <c r="IJ27" s="23"/>
      <c r="IK27" s="23"/>
      <c r="IL27" s="23"/>
      <c r="IM27" s="575">
        <f>1780-2163</f>
        <v>-383</v>
      </c>
      <c r="IN27" s="193">
        <f>-12-21</f>
        <v>-33</v>
      </c>
      <c r="IO27" s="193">
        <v>-18</v>
      </c>
      <c r="IP27" s="193">
        <f>-3-7</f>
        <v>-10</v>
      </c>
      <c r="IQ27" s="193">
        <f>-71+44</f>
        <v>-27</v>
      </c>
      <c r="IR27" s="193">
        <f>-14</f>
        <v>-14</v>
      </c>
      <c r="IS27" s="193">
        <v>-5</v>
      </c>
      <c r="IT27" s="193">
        <f>IS27+IR27+IQ27+IP27+IO27+IN27</f>
        <v>-107</v>
      </c>
      <c r="IU27" s="193">
        <f>IM27-IT27</f>
        <v>-276</v>
      </c>
      <c r="IV27" s="193">
        <f>185-149</f>
        <v>36</v>
      </c>
      <c r="IW27" s="193">
        <f>-1-30</f>
        <v>-31</v>
      </c>
      <c r="IX27" s="149">
        <f t="shared" si="63"/>
        <v>186800</v>
      </c>
      <c r="IY27" s="316">
        <f t="shared" si="64"/>
        <v>1949</v>
      </c>
      <c r="IZ27" s="316">
        <f t="shared" si="65"/>
        <v>551</v>
      </c>
      <c r="JA27" s="316">
        <f t="shared" si="66"/>
        <v>5666</v>
      </c>
      <c r="JB27" s="316">
        <f t="shared" si="67"/>
        <v>6615</v>
      </c>
      <c r="JC27" s="316">
        <f t="shared" si="68"/>
        <v>27624</v>
      </c>
      <c r="JD27" s="316">
        <f t="shared" si="69"/>
        <v>1948</v>
      </c>
      <c r="JE27" s="316">
        <f t="shared" si="70"/>
        <v>44353</v>
      </c>
      <c r="JF27" s="316">
        <f t="shared" si="71"/>
        <v>142447</v>
      </c>
      <c r="JG27" s="316">
        <f t="shared" si="72"/>
        <v>95471</v>
      </c>
      <c r="JH27" s="316">
        <f t="shared" si="73"/>
        <v>46976</v>
      </c>
      <c r="JI27" s="5">
        <v>226181</v>
      </c>
      <c r="JJ27" s="593">
        <v>2424</v>
      </c>
      <c r="JK27" s="593">
        <v>996</v>
      </c>
      <c r="JL27" s="593">
        <v>8303</v>
      </c>
      <c r="JM27" s="536">
        <v>12432</v>
      </c>
      <c r="JN27" s="536">
        <v>32147</v>
      </c>
      <c r="JO27" s="536">
        <v>2098</v>
      </c>
      <c r="JP27" s="552">
        <f t="shared" si="74"/>
        <v>58400</v>
      </c>
      <c r="JQ27" s="552">
        <f t="shared" si="75"/>
        <v>167781</v>
      </c>
      <c r="JR27" s="552">
        <f t="shared" si="76"/>
        <v>115943</v>
      </c>
      <c r="JS27" s="593">
        <v>51838</v>
      </c>
      <c r="JT27" s="149">
        <v>39381</v>
      </c>
      <c r="JU27" s="593">
        <v>475</v>
      </c>
      <c r="JV27" s="593">
        <v>445</v>
      </c>
      <c r="JW27" s="536">
        <v>2637</v>
      </c>
      <c r="JX27" s="536">
        <v>5817</v>
      </c>
      <c r="JY27" s="536">
        <v>4523</v>
      </c>
      <c r="JZ27" s="536">
        <v>150</v>
      </c>
      <c r="KA27" s="552">
        <f t="shared" ref="KA27" si="284">JU27+JV27+JW27+JX27+JY27+JZ27</f>
        <v>14047</v>
      </c>
      <c r="KB27" s="552">
        <f t="shared" ref="KB27" si="285">JT27-KA27</f>
        <v>25334</v>
      </c>
      <c r="KC27" s="552">
        <f t="shared" ref="KC27" si="286">KB27-KD27</f>
        <v>20472</v>
      </c>
      <c r="KD27" s="593">
        <v>4862</v>
      </c>
      <c r="KE27" s="149">
        <v>163357</v>
      </c>
      <c r="KF27" s="567">
        <v>1176</v>
      </c>
      <c r="KG27" s="567">
        <v>216</v>
      </c>
      <c r="KH27" s="536">
        <v>4201</v>
      </c>
      <c r="KI27" s="536">
        <v>1060</v>
      </c>
      <c r="KJ27" s="536">
        <v>2517</v>
      </c>
      <c r="KK27" s="536">
        <v>1177</v>
      </c>
      <c r="KL27" s="552">
        <f t="shared" si="207"/>
        <v>10347</v>
      </c>
      <c r="KM27" s="552">
        <f t="shared" si="208"/>
        <v>153010</v>
      </c>
      <c r="KN27" s="552">
        <f t="shared" si="209"/>
        <v>82405</v>
      </c>
      <c r="KO27" s="567">
        <v>70605</v>
      </c>
      <c r="KP27" s="149">
        <v>75060</v>
      </c>
      <c r="KY27" s="657"/>
      <c r="LA27" s="149">
        <f>'Assets(MOFA)'!IX27-'Assets(MOFA)'!KE27-'Assets(MOFA)'!KP27</f>
        <v>-51617</v>
      </c>
      <c r="LB27" s="552">
        <f>'Assets(MOFA)'!IY27-'Assets(MOFA)'!KF27-'Assets(MOFA)'!KQ27</f>
        <v>773</v>
      </c>
      <c r="LC27" s="552">
        <f>'Assets(MOFA)'!IZ27-'Assets(MOFA)'!KG27-'Assets(MOFA)'!KR27</f>
        <v>335</v>
      </c>
      <c r="LD27" s="552">
        <f>'Assets(MOFA)'!JA27-'Assets(MOFA)'!KH27-'Assets(MOFA)'!KS27</f>
        <v>1465</v>
      </c>
      <c r="LE27" s="552">
        <f>'Assets(MOFA)'!JB27-'Assets(MOFA)'!KI27-'Assets(MOFA)'!KT27</f>
        <v>5555</v>
      </c>
      <c r="LF27" s="552">
        <f>'Assets(MOFA)'!JC27-'Assets(MOFA)'!KJ27-'Assets(MOFA)'!KU27</f>
        <v>25107</v>
      </c>
      <c r="LG27" s="552">
        <f>'Assets(MOFA)'!JD27-'Assets(MOFA)'!KK27-'Assets(MOFA)'!KV27</f>
        <v>771</v>
      </c>
      <c r="LH27" s="552">
        <f>'Assets(MOFA)'!JE27-'Assets(MOFA)'!KL27-'Assets(MOFA)'!KW27</f>
        <v>34006</v>
      </c>
      <c r="LI27" s="552">
        <f>'Assets(MOFA)'!JF27-'Assets(MOFA)'!KM27-'Assets(MOFA)'!KX27</f>
        <v>-10563</v>
      </c>
      <c r="LJ27" s="552">
        <f t="shared" si="77"/>
        <v>13066</v>
      </c>
      <c r="LK27" s="552">
        <f>'Assets(MOFA)'!JH27-'Assets(MOFA)'!KO27-'Assets(MOFA)'!KZ27</f>
        <v>-23629</v>
      </c>
      <c r="LL27" s="576">
        <f t="shared" si="78"/>
        <v>0.28680406852248391</v>
      </c>
      <c r="LM27" s="6">
        <f t="shared" si="79"/>
        <v>0.38737814263724984</v>
      </c>
      <c r="LN27" s="6">
        <f t="shared" si="80"/>
        <v>0.1397459165154265</v>
      </c>
      <c r="LO27" s="6">
        <f t="shared" si="81"/>
        <v>0.16396046593716909</v>
      </c>
      <c r="LP27" s="6">
        <f t="shared" si="82"/>
        <v>0.22071050642479215</v>
      </c>
      <c r="LQ27" s="6">
        <f t="shared" si="83"/>
        <v>0.15128149435273675</v>
      </c>
      <c r="LR27" s="6">
        <f t="shared" si="84"/>
        <v>0.32135523613963041</v>
      </c>
      <c r="LS27" s="6">
        <f t="shared" si="85"/>
        <v>0.18095731968525242</v>
      </c>
      <c r="LT27" s="143">
        <f t="shared" si="86"/>
        <v>0.27026255707762559</v>
      </c>
      <c r="LU27" s="62">
        <f t="shared" si="87"/>
        <v>0.1532165125144056</v>
      </c>
      <c r="LV27" s="902">
        <f t="shared" si="88"/>
        <v>0.31976103392840843</v>
      </c>
      <c r="LW27" s="902">
        <f t="shared" si="89"/>
        <v>0.18989012370248556</v>
      </c>
      <c r="LX27" s="143">
        <f t="shared" si="90"/>
        <v>0.5837023160762943</v>
      </c>
      <c r="LY27" s="576">
        <f t="shared" si="91"/>
        <v>0.28475374732334047</v>
      </c>
      <c r="LZ27" s="906">
        <f t="shared" si="92"/>
        <v>0.37044638276038994</v>
      </c>
      <c r="MA27" s="906">
        <f t="shared" si="93"/>
        <v>0.10707803992740472</v>
      </c>
      <c r="MB27" s="906">
        <f t="shared" si="94"/>
        <v>0.16219555241793152</v>
      </c>
      <c r="MC27" s="906">
        <f t="shared" si="95"/>
        <v>0.2166288737717309</v>
      </c>
      <c r="MD27" s="906">
        <f t="shared" si="96"/>
        <v>0.15077468867651317</v>
      </c>
      <c r="ME27" s="906">
        <v>6.1610529375296846E-2</v>
      </c>
      <c r="MF27" s="906">
        <f t="shared" si="97"/>
        <v>0.31878850102669404</v>
      </c>
      <c r="MG27" s="30">
        <f t="shared" si="98"/>
        <v>0.17854485604130499</v>
      </c>
      <c r="MH27" s="140">
        <f t="shared" si="99"/>
        <v>0.26407914764079149</v>
      </c>
      <c r="MI27" s="30">
        <f t="shared" si="100"/>
        <v>0.15197541443810761</v>
      </c>
      <c r="MJ27" s="30">
        <f t="shared" si="101"/>
        <v>0.31782347118577436</v>
      </c>
      <c r="MK27" s="617">
        <f t="shared" si="102"/>
        <v>0.18989012370248556</v>
      </c>
      <c r="ML27" s="615">
        <f t="shared" si="103"/>
        <v>0.5837023160762943</v>
      </c>
      <c r="MM27" s="574"/>
      <c r="MU27" s="593"/>
      <c r="MX27" s="613"/>
      <c r="MY27" s="552"/>
      <c r="MZ27" s="552"/>
      <c r="NA27" s="552"/>
      <c r="NB27" s="552"/>
      <c r="NC27" s="552"/>
      <c r="ND27" s="552"/>
      <c r="NE27" s="552"/>
      <c r="NF27" s="552"/>
      <c r="NG27" s="552"/>
      <c r="NH27" s="552"/>
      <c r="NI27" s="613">
        <f t="shared" si="214"/>
        <v>89445</v>
      </c>
      <c r="NQ27" s="593"/>
      <c r="NY27" s="593"/>
      <c r="NZ27" s="593"/>
      <c r="OA27" s="593"/>
      <c r="OB27" s="593"/>
      <c r="OC27" s="593"/>
      <c r="OD27" s="593"/>
      <c r="OE27" s="593"/>
      <c r="OF27" s="593"/>
      <c r="OG27" s="593"/>
      <c r="OH27" s="593"/>
      <c r="OI27" s="593"/>
      <c r="OJ27" s="593"/>
      <c r="OK27" s="593"/>
      <c r="OL27" s="593"/>
      <c r="OM27" s="593"/>
      <c r="ON27" s="593"/>
      <c r="OO27" s="593"/>
      <c r="OW27" s="593"/>
      <c r="PE27" s="593"/>
      <c r="PN27" s="574"/>
      <c r="PO27" s="593"/>
      <c r="PP27" s="593"/>
      <c r="PQ27" s="593"/>
      <c r="PR27" s="593"/>
      <c r="PS27" s="593"/>
      <c r="PT27" s="593"/>
      <c r="PU27" s="593"/>
      <c r="PV27" s="593"/>
      <c r="PW27" s="593"/>
      <c r="PX27" s="593"/>
      <c r="PY27" s="593"/>
      <c r="PZ27" s="593"/>
      <c r="QA27" s="593"/>
      <c r="QB27" s="593"/>
      <c r="QC27" s="593"/>
      <c r="QD27" s="593"/>
      <c r="QE27" s="593"/>
      <c r="QF27" s="593"/>
      <c r="QG27" s="593"/>
      <c r="QH27" s="593"/>
      <c r="QI27" s="593"/>
      <c r="QJ27" s="593"/>
      <c r="QK27" s="593"/>
      <c r="QL27" s="593"/>
      <c r="QM27" s="593"/>
      <c r="QN27" s="593"/>
      <c r="QO27" s="593"/>
      <c r="QP27" s="593"/>
      <c r="QQ27" s="593"/>
      <c r="QR27" s="593"/>
      <c r="QS27" s="593"/>
      <c r="QT27" s="593"/>
      <c r="QU27" s="593"/>
      <c r="QV27" s="593"/>
      <c r="QW27" s="593"/>
      <c r="QX27" s="593"/>
      <c r="QY27" s="593"/>
      <c r="QZ27" s="593"/>
      <c r="RA27" s="593"/>
      <c r="RB27" s="593"/>
      <c r="RC27" s="593"/>
      <c r="RD27" s="593"/>
      <c r="RE27" s="593"/>
      <c r="RF27" s="593"/>
      <c r="RG27" s="593"/>
      <c r="RH27" s="593"/>
      <c r="RI27" s="593"/>
      <c r="RJ27" s="593"/>
      <c r="RK27" s="593"/>
      <c r="RL27" s="593"/>
      <c r="RM27" s="593"/>
      <c r="RN27" s="593"/>
      <c r="RO27" s="593"/>
      <c r="RP27" s="593"/>
      <c r="RQ27" s="593"/>
      <c r="RR27" s="593"/>
    </row>
    <row r="28" spans="1:486">
      <c r="A28" s="568">
        <v>1983</v>
      </c>
      <c r="B28" s="33">
        <v>82049</v>
      </c>
      <c r="C28" s="193">
        <v>476</v>
      </c>
      <c r="D28" s="193">
        <v>128</v>
      </c>
      <c r="E28" s="193">
        <v>2330</v>
      </c>
      <c r="F28" s="193">
        <v>1300</v>
      </c>
      <c r="G28" s="193">
        <v>642</v>
      </c>
      <c r="H28" s="193">
        <v>400</v>
      </c>
      <c r="I28" s="193">
        <f t="shared" si="215"/>
        <v>5276</v>
      </c>
      <c r="J28" s="193">
        <f t="shared" si="216"/>
        <v>76773</v>
      </c>
      <c r="K28" s="193">
        <f t="shared" si="249"/>
        <v>67005</v>
      </c>
      <c r="L28" s="193">
        <v>9768</v>
      </c>
      <c r="M28" s="140">
        <f t="shared" si="217"/>
        <v>6.4303038428256284E-2</v>
      </c>
      <c r="N28" s="140">
        <f t="shared" si="250"/>
        <v>0.11905081110068373</v>
      </c>
      <c r="O28" s="193">
        <v>1353000</v>
      </c>
      <c r="P28" s="30">
        <f t="shared" si="251"/>
        <v>6.0642276422764228E-2</v>
      </c>
      <c r="Q28" s="629">
        <f t="shared" si="218"/>
        <v>5.8014113517532205E-3</v>
      </c>
      <c r="R28" s="308">
        <f t="shared" si="219"/>
        <v>1.5600433887067483E-3</v>
      </c>
      <c r="S28" s="308">
        <f t="shared" si="220"/>
        <v>2.8397664810052528E-2</v>
      </c>
      <c r="T28" s="308">
        <f t="shared" si="221"/>
        <v>1.5844190666552915E-2</v>
      </c>
      <c r="U28" s="308">
        <f t="shared" si="222"/>
        <v>7.8245926214822858E-3</v>
      </c>
      <c r="V28" s="308">
        <f t="shared" si="223"/>
        <v>4.8751355897085884E-3</v>
      </c>
      <c r="W28" s="5">
        <f t="shared" si="252"/>
        <v>58034</v>
      </c>
      <c r="X28" s="76">
        <f t="shared" si="253"/>
        <v>955</v>
      </c>
      <c r="Y28" s="76">
        <f t="shared" si="3"/>
        <v>50.016806722689076</v>
      </c>
      <c r="Z28" s="76">
        <f t="shared" si="114"/>
        <v>904.98319327731087</v>
      </c>
      <c r="AA28" s="76">
        <f t="shared" si="254"/>
        <v>83</v>
      </c>
      <c r="AB28" s="66">
        <f t="shared" si="241"/>
        <v>0</v>
      </c>
      <c r="AC28" s="274">
        <f t="shared" si="117"/>
        <v>83</v>
      </c>
      <c r="AD28" s="76">
        <f t="shared" si="255"/>
        <v>1475</v>
      </c>
      <c r="AE28" s="357">
        <f t="shared" si="247"/>
        <v>220.44423326520266</v>
      </c>
      <c r="AF28" s="274">
        <f t="shared" si="119"/>
        <v>1254.5557667347973</v>
      </c>
      <c r="AG28" s="76">
        <f t="shared" si="256"/>
        <v>1241</v>
      </c>
      <c r="AH28" s="357">
        <f>FX28/HC28</f>
        <v>259.42561250360183</v>
      </c>
      <c r="AI28" s="76">
        <f t="shared" ref="AI28:AI60" si="287">AG28-AH28</f>
        <v>981.57438749639823</v>
      </c>
      <c r="AJ28" s="76">
        <f t="shared" si="257"/>
        <v>3641</v>
      </c>
      <c r="AK28" s="357">
        <f t="shared" ref="AK28:AK38" si="288">GA28/HE28</f>
        <v>517.87288503171328</v>
      </c>
      <c r="AL28" s="274">
        <f t="shared" si="123"/>
        <v>3123.1271149682866</v>
      </c>
      <c r="AM28" s="76">
        <f t="shared" si="258"/>
        <v>730</v>
      </c>
      <c r="AN28" s="357">
        <f t="shared" si="248"/>
        <v>160.75223817715829</v>
      </c>
      <c r="AO28" s="274">
        <f t="shared" si="125"/>
        <v>569.24776182284177</v>
      </c>
      <c r="AP28" s="193">
        <f t="shared" si="8"/>
        <v>8125</v>
      </c>
      <c r="AQ28" s="271">
        <f t="shared" si="9"/>
        <v>1208.5117757003652</v>
      </c>
      <c r="AR28" s="271">
        <f t="shared" si="126"/>
        <v>6916.4882242996355</v>
      </c>
      <c r="AS28" s="193">
        <f t="shared" si="259"/>
        <v>49909</v>
      </c>
      <c r="AT28" s="193">
        <f t="shared" si="224"/>
        <v>21127</v>
      </c>
      <c r="AU28" s="193">
        <f t="shared" si="260"/>
        <v>28782</v>
      </c>
      <c r="AV28" s="193">
        <f t="shared" si="261"/>
        <v>11378</v>
      </c>
      <c r="AW28" s="23">
        <f t="shared" ref="AW28:AW61" si="289">AV28/AU28</f>
        <v>0.39531651726773676</v>
      </c>
      <c r="AX28" s="271">
        <f t="shared" si="227"/>
        <v>29252</v>
      </c>
      <c r="AY28" s="140">
        <f t="shared" si="10"/>
        <v>0.1400041355067719</v>
      </c>
      <c r="AZ28" s="623">
        <f t="shared" si="129"/>
        <v>0.11917993287210317</v>
      </c>
      <c r="BA28" s="248">
        <f t="shared" si="11"/>
        <v>0.23644496869614504</v>
      </c>
      <c r="BB28" s="248">
        <f t="shared" si="130"/>
        <v>3.0937480968047E-2</v>
      </c>
      <c r="BC28" s="248">
        <f t="shared" si="131"/>
        <v>2.8374128264734037E-3</v>
      </c>
      <c r="BD28" s="248">
        <f t="shared" si="132"/>
        <v>4.2887862940475772E-2</v>
      </c>
      <c r="BE28" s="248">
        <f t="shared" si="133"/>
        <v>3.3555804303856088E-2</v>
      </c>
      <c r="BF28" s="248">
        <f t="shared" si="134"/>
        <v>0.10676627632190232</v>
      </c>
      <c r="BG28" s="248">
        <f t="shared" si="135"/>
        <v>1.946013133539046E-2</v>
      </c>
      <c r="BH28" s="248">
        <f t="shared" si="136"/>
        <v>4.5725275766949174E-2</v>
      </c>
      <c r="BI28" s="23">
        <f t="shared" si="12"/>
        <v>0.22733488308491728</v>
      </c>
      <c r="BJ28" s="140">
        <f t="shared" si="13"/>
        <v>0.49595064961918878</v>
      </c>
      <c r="BK28" s="623">
        <f t="shared" si="137"/>
        <v>0.47512644698452006</v>
      </c>
      <c r="BL28" s="590">
        <f t="shared" ref="BL28:BL33" si="290">BS28+BT28</f>
        <v>472.28571428571377</v>
      </c>
      <c r="BM28" s="66">
        <f t="shared" ref="BM28:BM33" si="291">BM27+(BM$34-BM$27)/7</f>
        <v>16.428571428571431</v>
      </c>
      <c r="BN28" s="66">
        <f t="shared" ref="BN28:BP33" si="292">BN27+(BN$34-BN$27)/7</f>
        <v>-19.142857142857142</v>
      </c>
      <c r="BO28" s="66">
        <f t="shared" si="292"/>
        <v>13.857142857142858</v>
      </c>
      <c r="BP28" s="66">
        <f>BP27+(BP$34-BP$27)/7</f>
        <v>-270.42857142857144</v>
      </c>
      <c r="BQ28" s="66">
        <f>BQ27+(BQ$34-BQ$27)/7</f>
        <v>-3027.4285714285716</v>
      </c>
      <c r="BR28" s="66">
        <f t="shared" ref="BR28:BV33" si="293">BR27+(BR$34-BR$27)/7</f>
        <v>-29.285714285714285</v>
      </c>
      <c r="BS28" s="193">
        <f t="shared" si="236"/>
        <v>-3316.0000000000005</v>
      </c>
      <c r="BT28" s="66">
        <f t="shared" si="293"/>
        <v>3788.2857142857142</v>
      </c>
      <c r="BU28" s="193">
        <f t="shared" si="237"/>
        <v>2277.8571428571431</v>
      </c>
      <c r="BV28" s="66">
        <f t="shared" si="293"/>
        <v>1510.4285714285713</v>
      </c>
      <c r="BW28" s="5">
        <f t="shared" si="262"/>
        <v>27912</v>
      </c>
      <c r="BX28" s="193">
        <f t="shared" si="263"/>
        <v>924</v>
      </c>
      <c r="BY28" s="193">
        <f t="shared" si="148"/>
        <v>43.764705882352942</v>
      </c>
      <c r="BZ28" s="647">
        <f t="shared" si="149"/>
        <v>3.1536088210004552E-2</v>
      </c>
      <c r="CA28" s="193">
        <f t="shared" si="264"/>
        <v>51</v>
      </c>
      <c r="CB28" s="193">
        <f t="shared" si="151"/>
        <v>0</v>
      </c>
      <c r="CC28" s="647">
        <f t="shared" si="14"/>
        <v>1.8271711092003439E-3</v>
      </c>
      <c r="CD28" s="193">
        <f t="shared" si="265"/>
        <v>989</v>
      </c>
      <c r="CE28" s="193">
        <f t="shared" si="153"/>
        <v>84.474463461546577</v>
      </c>
      <c r="CF28" s="655">
        <f t="shared" si="15"/>
        <v>3.2406331919549065E-2</v>
      </c>
      <c r="CG28" s="193">
        <f t="shared" si="266"/>
        <v>1008</v>
      </c>
      <c r="CH28" s="193">
        <f t="shared" si="155"/>
        <v>227.41289418743523</v>
      </c>
      <c r="CI28" s="23">
        <f t="shared" si="16"/>
        <v>2.7966004077549612E-2</v>
      </c>
      <c r="CJ28" s="193">
        <f t="shared" si="267"/>
        <v>3202</v>
      </c>
      <c r="CK28" s="641">
        <f t="shared" si="157"/>
        <v>279.31210502350746</v>
      </c>
      <c r="CL28" s="34">
        <f t="shared" si="158"/>
        <v>0.10471080162569835</v>
      </c>
      <c r="CM28" s="193">
        <f t="shared" si="268"/>
        <v>621</v>
      </c>
      <c r="CN28" s="193">
        <f t="shared" si="160"/>
        <v>132.07721930290279</v>
      </c>
      <c r="CO28" s="23">
        <f t="shared" si="161"/>
        <v>1.751657999058101E-2</v>
      </c>
      <c r="CP28" s="193">
        <f t="shared" si="17"/>
        <v>6795</v>
      </c>
      <c r="CQ28" s="193">
        <f t="shared" si="162"/>
        <v>767.04138785774501</v>
      </c>
      <c r="CR28" s="271">
        <f t="shared" si="18"/>
        <v>21117</v>
      </c>
      <c r="CS28" s="248">
        <f t="shared" si="163"/>
        <v>0.21596297693258296</v>
      </c>
      <c r="CT28" s="30">
        <f t="shared" si="19"/>
        <v>0.24344368013757522</v>
      </c>
      <c r="CU28" s="308">
        <f t="shared" si="20"/>
        <v>0</v>
      </c>
      <c r="CV28" s="608">
        <f t="shared" si="269"/>
        <v>3.3104041272570939E-2</v>
      </c>
      <c r="CW28" s="608">
        <f t="shared" si="270"/>
        <v>1.8271711092003439E-3</v>
      </c>
      <c r="CX28" s="608">
        <f t="shared" si="271"/>
        <v>3.543278876468902E-2</v>
      </c>
      <c r="CY28" s="608">
        <f t="shared" si="272"/>
        <v>3.6113499570077388E-2</v>
      </c>
      <c r="CZ28" s="608">
        <f>CJ28/$BW28</f>
        <v>0.11471768415018629</v>
      </c>
      <c r="DA28" s="608">
        <f>'Assets(BoP)'!FK75</f>
        <v>8.6668180785827845E-2</v>
      </c>
      <c r="DB28" s="608">
        <f t="shared" si="273"/>
        <v>2.2248495270851248E-2</v>
      </c>
      <c r="DC28" s="23">
        <f t="shared" si="21"/>
        <v>0.32610000606666245</v>
      </c>
      <c r="DD28" s="193">
        <f t="shared" si="22"/>
        <v>18485</v>
      </c>
      <c r="DE28" s="193">
        <f t="shared" si="274"/>
        <v>9427</v>
      </c>
      <c r="DF28" s="193"/>
      <c r="DG28" s="193">
        <f>'Assets(BoP)'!DA75</f>
        <v>8255</v>
      </c>
      <c r="DH28" s="23">
        <f t="shared" si="23"/>
        <v>0.33774004012611064</v>
      </c>
      <c r="DI28" s="23"/>
      <c r="DJ28" s="23">
        <f t="shared" si="24"/>
        <v>0.2080108913728862</v>
      </c>
      <c r="DK28" s="600">
        <f>'Assets(BoP)'!FO75-'Assets(BoP)'!FH75</f>
        <v>0.17294636062136295</v>
      </c>
      <c r="DL28" s="576">
        <f t="shared" si="25"/>
        <v>0.70730904703287056</v>
      </c>
      <c r="DM28" s="251">
        <f t="shared" si="26"/>
        <v>2.0063025210084033</v>
      </c>
      <c r="DN28" s="251">
        <f t="shared" si="27"/>
        <v>1.9715320276181236</v>
      </c>
      <c r="DO28" s="251">
        <f t="shared" si="28"/>
        <v>0.6484375</v>
      </c>
      <c r="DP28" s="251">
        <f t="shared" si="29"/>
        <v>0.6484375</v>
      </c>
      <c r="DQ28" s="251">
        <f t="shared" si="30"/>
        <v>0.63304721030042921</v>
      </c>
      <c r="DR28" s="251">
        <f t="shared" si="31"/>
        <v>0.55629815871325561</v>
      </c>
      <c r="DS28" s="251">
        <f t="shared" si="32"/>
        <v>0.95461538461538464</v>
      </c>
      <c r="DT28" s="251">
        <f t="shared" si="33"/>
        <v>0.80990895789826634</v>
      </c>
      <c r="DU28" s="251">
        <f t="shared" si="34"/>
        <v>5.6713395638629285</v>
      </c>
      <c r="DV28" s="251">
        <f t="shared" si="35"/>
        <v>6.6984687543454857</v>
      </c>
      <c r="DW28" s="251">
        <f t="shared" si="36"/>
        <v>1.825</v>
      </c>
      <c r="DX28" s="251">
        <f t="shared" si="37"/>
        <v>1.6478722863889199</v>
      </c>
      <c r="DY28" s="251">
        <f t="shared" si="38"/>
        <v>0.63384865744507735</v>
      </c>
      <c r="DZ28" s="251">
        <f t="shared" si="39"/>
        <v>0.56124692735859638</v>
      </c>
      <c r="EA28" s="643">
        <f t="shared" si="40"/>
        <v>1.5399924184988627</v>
      </c>
      <c r="EB28" s="643">
        <f t="shared" si="41"/>
        <v>1.4214327671020155</v>
      </c>
      <c r="EC28" s="251">
        <f t="shared" si="42"/>
        <v>0.65008531645239864</v>
      </c>
      <c r="ED28" s="251">
        <f t="shared" si="43"/>
        <v>0.40469833012824946</v>
      </c>
      <c r="EE28" s="140">
        <f t="shared" si="44"/>
        <v>0.3153048279979106</v>
      </c>
      <c r="EF28" s="1342">
        <v>0.19527044006563291</v>
      </c>
      <c r="EG28" s="140">
        <f t="shared" si="228"/>
        <v>2.9465601965601964</v>
      </c>
      <c r="EH28" s="583">
        <v>29.55</v>
      </c>
      <c r="EI28" s="1344">
        <v>2.0701511502209411</v>
      </c>
      <c r="EJ28" s="576">
        <f t="shared" si="166"/>
        <v>0.34018696144986532</v>
      </c>
      <c r="EK28" s="753">
        <f t="shared" si="167"/>
        <v>1.3451623640063157</v>
      </c>
      <c r="EL28" s="753">
        <f t="shared" si="168"/>
        <v>0.96509009009009006</v>
      </c>
      <c r="EM28" s="753">
        <f t="shared" si="169"/>
        <v>0.17446459219461236</v>
      </c>
      <c r="EN28" s="583"/>
      <c r="EO28" s="5">
        <v>30600</v>
      </c>
      <c r="EP28" s="193">
        <v>1090</v>
      </c>
      <c r="EQ28" s="193"/>
      <c r="ER28" s="193">
        <v>88</v>
      </c>
      <c r="ES28" s="193"/>
      <c r="ET28" s="193">
        <v>494</v>
      </c>
      <c r="EU28" s="193"/>
      <c r="EV28" s="193">
        <v>1504</v>
      </c>
      <c r="EW28" s="193"/>
      <c r="EX28" s="193">
        <v>3610</v>
      </c>
      <c r="EY28" s="193"/>
      <c r="EZ28" s="193">
        <v>631</v>
      </c>
      <c r="FA28" s="193"/>
      <c r="FB28" s="193">
        <f t="shared" ref="FB28:FB38" si="294">EZ28+EX28+EV28+ET28+ER28+EP28</f>
        <v>7417</v>
      </c>
      <c r="FC28" s="193">
        <f t="shared" ref="FC28:FC38" si="295">EO28-FB28</f>
        <v>23183</v>
      </c>
      <c r="FD28" s="23">
        <f t="shared" ref="FD28:FD38" si="296">FB28/EO28</f>
        <v>0.24238562091503268</v>
      </c>
      <c r="FE28" s="193">
        <v>9540</v>
      </c>
      <c r="FF28" s="193">
        <v>2690</v>
      </c>
      <c r="FG28" s="193"/>
      <c r="FH28" s="193">
        <f>'Assets(BoP)'!DA75</f>
        <v>8255</v>
      </c>
      <c r="FI28" s="193"/>
      <c r="FJ28" s="5">
        <v>30122</v>
      </c>
      <c r="FK28" s="143" t="e">
        <f>FJ28/'Assets(BoP)'!AV75/1000</f>
        <v>#DIV/0!</v>
      </c>
      <c r="FL28" s="192"/>
      <c r="FM28" s="193">
        <v>31</v>
      </c>
      <c r="FN28" s="66">
        <f t="shared" ref="FN28:FN33" si="297">FM28*FO28</f>
        <v>6.2521008403361344</v>
      </c>
      <c r="FO28" s="184">
        <f t="shared" ref="FO28:FO33" si="298">FO27+(FO$34-FO$27)/7</f>
        <v>0.20168067226890757</v>
      </c>
      <c r="FP28" s="193">
        <v>32</v>
      </c>
      <c r="FQ28" s="66">
        <f t="shared" ref="FQ28:FQ33" si="299">FP28*FR28</f>
        <v>0</v>
      </c>
      <c r="FR28" s="184">
        <v>0</v>
      </c>
      <c r="FS28" s="193">
        <v>486</v>
      </c>
      <c r="FT28" s="66">
        <f t="shared" ref="FT28:FT33" si="300">FS28*FV28</f>
        <v>135.96976980365608</v>
      </c>
      <c r="FU28" s="193">
        <f t="shared" si="175"/>
        <v>350.03023019634395</v>
      </c>
      <c r="FV28" s="184">
        <f t="shared" ref="FV28:FV33" si="301">FV27+(FV$34-FV$27)/7</f>
        <v>0.27977318889641167</v>
      </c>
      <c r="FW28" s="193">
        <v>233</v>
      </c>
      <c r="FX28" s="66">
        <f t="shared" ref="FX28:FX33" si="302">FW28*FY28</f>
        <v>32.012718316166591</v>
      </c>
      <c r="FY28" s="184">
        <f t="shared" ref="FY28:FY33" si="303">FY27+(FY$34-FY$27)/7</f>
        <v>0.13739364084191669</v>
      </c>
      <c r="FZ28" s="193">
        <v>439</v>
      </c>
      <c r="GA28" s="66">
        <f t="shared" ref="GA28:GA33" si="304">FZ28*GC28</f>
        <v>238.56078000820582</v>
      </c>
      <c r="GB28" s="193">
        <f t="shared" si="180"/>
        <v>200.43921999179418</v>
      </c>
      <c r="GC28" s="184">
        <f t="shared" ref="GC28:GC33" si="305">GC27+(GC$34-GC$27)/7</f>
        <v>0.5434186332760953</v>
      </c>
      <c r="GD28" s="193">
        <v>109</v>
      </c>
      <c r="GE28" s="66">
        <f t="shared" ref="GE28:GE33" si="306">GD28*GF28</f>
        <v>28.675018874255514</v>
      </c>
      <c r="GF28" s="184">
        <f t="shared" ref="GF28:GF33" si="307">GF27+(GF$34-GF$27)/7</f>
        <v>0.26307356765372031</v>
      </c>
      <c r="GG28" s="193">
        <f t="shared" si="47"/>
        <v>1330</v>
      </c>
      <c r="GH28" s="193">
        <f t="shared" si="48"/>
        <v>441.47038784262014</v>
      </c>
      <c r="GI28" s="193">
        <f t="shared" si="49"/>
        <v>28792</v>
      </c>
      <c r="GJ28" s="23">
        <f t="shared" si="50"/>
        <v>4.415377464975765E-2</v>
      </c>
      <c r="GK28" s="330">
        <v>19355</v>
      </c>
      <c r="GL28" s="330">
        <v>8342</v>
      </c>
      <c r="GM28" s="23" t="e">
        <f>GK28/'Assets(BoP)'!AW75/1000</f>
        <v>#DIV/0!</v>
      </c>
      <c r="GN28" s="23">
        <f t="shared" si="51"/>
        <v>0.64255361529778898</v>
      </c>
      <c r="GO28" s="330">
        <f t="shared" si="275"/>
        <v>10767</v>
      </c>
      <c r="GP28" s="184"/>
      <c r="GQ28" s="330">
        <f t="shared" si="52"/>
        <v>9437</v>
      </c>
      <c r="GR28" s="330">
        <v>272.81599999999997</v>
      </c>
      <c r="GS28" s="140">
        <f t="shared" si="53"/>
        <v>9.2683991927890438E-2</v>
      </c>
      <c r="GT28" s="609">
        <v>1.0217301993460519</v>
      </c>
      <c r="GU28" s="143">
        <f t="shared" si="54"/>
        <v>0.51904056242892094</v>
      </c>
      <c r="GV28" s="589">
        <f t="shared" si="276"/>
        <v>3.2460732984293195E-2</v>
      </c>
      <c r="GW28" s="389">
        <v>0.125</v>
      </c>
      <c r="GX28" s="589">
        <f t="shared" si="277"/>
        <v>0.38554216867469882</v>
      </c>
      <c r="GY28" s="389">
        <v>0.25</v>
      </c>
      <c r="GZ28" s="589">
        <f t="shared" ref="GZ28:GZ60" si="308">(FS28)/AD28</f>
        <v>0.32949152542372884</v>
      </c>
      <c r="HA28" s="56">
        <f>HA27+(HA$39-HA$27)/12</f>
        <v>0.61679894179894179</v>
      </c>
      <c r="HB28" s="589">
        <f t="shared" si="278"/>
        <v>0.18775181305398872</v>
      </c>
      <c r="HC28" s="56">
        <f>HC27+(HC$39-HC$27)/12</f>
        <v>0.12339844939451432</v>
      </c>
      <c r="HD28" s="589">
        <f t="shared" si="279"/>
        <v>0.12057127162867344</v>
      </c>
      <c r="HE28" s="56">
        <f>HE27+(HE$39-HE$27)/12</f>
        <v>0.46065508912210557</v>
      </c>
      <c r="HF28" s="589">
        <f t="shared" ref="HF28:HF60" si="309">(GD28)/AM28</f>
        <v>0.14931506849315068</v>
      </c>
      <c r="HG28" s="589">
        <f>HG27*HF28/HF27</f>
        <v>0.17838021541357316</v>
      </c>
      <c r="HH28" s="6">
        <f t="shared" si="57"/>
        <v>0.16369230769230769</v>
      </c>
      <c r="HI28" s="6">
        <f t="shared" si="58"/>
        <v>0.12846542686731063</v>
      </c>
      <c r="HJ28" s="23">
        <f t="shared" si="280"/>
        <v>0.67246890417622129</v>
      </c>
      <c r="HK28" s="23">
        <f t="shared" si="280"/>
        <v>0.73316927403761645</v>
      </c>
      <c r="HL28" s="23">
        <f t="shared" si="281"/>
        <v>0.63278556653642837</v>
      </c>
      <c r="HM28" s="31">
        <f t="shared" si="282"/>
        <v>0.368077396417339</v>
      </c>
      <c r="HN28" s="23">
        <f t="shared" si="60"/>
        <v>0.57688993969023628</v>
      </c>
      <c r="HO28" s="23">
        <f t="shared" si="61"/>
        <v>0.44667960429781794</v>
      </c>
      <c r="HP28" s="575">
        <v>3818</v>
      </c>
      <c r="HQ28" s="193">
        <v>171</v>
      </c>
      <c r="HR28" s="193">
        <v>50</v>
      </c>
      <c r="HS28" s="193">
        <v>-504</v>
      </c>
      <c r="HT28" s="193">
        <v>602</v>
      </c>
      <c r="HU28" s="193">
        <v>667</v>
      </c>
      <c r="HV28" s="193">
        <v>14</v>
      </c>
      <c r="HW28" s="193">
        <f t="shared" ref="HW28:HW38" si="310">HV28+HU28+HT28+HS28+HR28+HQ28</f>
        <v>1000</v>
      </c>
      <c r="HX28" s="193">
        <f t="shared" ref="HX28:HX38" si="311">HP28-HW28</f>
        <v>2818</v>
      </c>
      <c r="HY28" s="193">
        <v>454</v>
      </c>
      <c r="HZ28" s="193">
        <v>47</v>
      </c>
      <c r="IA28" s="193"/>
      <c r="IB28" s="23">
        <f t="shared" si="283"/>
        <v>0.26191723415400736</v>
      </c>
      <c r="IC28" s="23"/>
      <c r="ID28" s="23"/>
      <c r="IE28" s="23"/>
      <c r="IF28" s="23"/>
      <c r="IG28" s="23"/>
      <c r="IH28" s="23"/>
      <c r="II28" s="23"/>
      <c r="IJ28" s="23"/>
      <c r="IK28" s="23"/>
      <c r="IL28" s="23"/>
      <c r="IM28" s="575">
        <v>-1130</v>
      </c>
      <c r="IN28" s="193">
        <v>-5</v>
      </c>
      <c r="IO28" s="193">
        <v>-13</v>
      </c>
      <c r="IP28" s="193">
        <v>9</v>
      </c>
      <c r="IQ28" s="193">
        <v>-106</v>
      </c>
      <c r="IR28" s="193">
        <v>-259</v>
      </c>
      <c r="IS28" s="193">
        <v>-4</v>
      </c>
      <c r="IT28" s="193">
        <f t="shared" ref="IT28:IT38" si="312">IS28+IR28+IQ28+IP28+IO28+IN28</f>
        <v>-378</v>
      </c>
      <c r="IU28" s="193">
        <f t="shared" ref="IU28:IU38" si="313">IM28-IT28</f>
        <v>-752</v>
      </c>
      <c r="IV28" s="193">
        <v>-341</v>
      </c>
      <c r="IW28" s="193">
        <v>-393</v>
      </c>
      <c r="IX28" s="149">
        <f t="shared" si="63"/>
        <v>184381.71428571429</v>
      </c>
      <c r="IY28" s="316">
        <f t="shared" si="64"/>
        <v>2449.4285714285716</v>
      </c>
      <c r="IZ28" s="316">
        <f t="shared" si="65"/>
        <v>578.71428571428578</v>
      </c>
      <c r="JA28" s="316">
        <f t="shared" si="66"/>
        <v>4498.4285714285716</v>
      </c>
      <c r="JB28" s="316">
        <f t="shared" si="67"/>
        <v>6305.7142857142853</v>
      </c>
      <c r="JC28" s="316">
        <f t="shared" si="68"/>
        <v>31119.571428571428</v>
      </c>
      <c r="JD28" s="316">
        <f t="shared" si="69"/>
        <v>2419.7142857142858</v>
      </c>
      <c r="JE28" s="316">
        <f t="shared" si="70"/>
        <v>47371.571428571428</v>
      </c>
      <c r="JF28" s="316">
        <f t="shared" si="71"/>
        <v>137010.14285714287</v>
      </c>
      <c r="JG28" s="316">
        <f t="shared" si="72"/>
        <v>89430.571428571449</v>
      </c>
      <c r="JH28" s="316">
        <f t="shared" si="73"/>
        <v>47579.571428571428</v>
      </c>
      <c r="JI28" s="5">
        <v>233083</v>
      </c>
      <c r="JJ28" s="593">
        <v>3247</v>
      </c>
      <c r="JK28" s="593">
        <v>1034</v>
      </c>
      <c r="JL28" s="593">
        <v>8691</v>
      </c>
      <c r="JM28" s="536">
        <v>13079</v>
      </c>
      <c r="JN28" s="536">
        <v>36922</v>
      </c>
      <c r="JO28" s="536">
        <v>2621</v>
      </c>
      <c r="JP28" s="552">
        <f t="shared" si="74"/>
        <v>65594</v>
      </c>
      <c r="JQ28" s="552">
        <f t="shared" si="75"/>
        <v>167489</v>
      </c>
      <c r="JR28" s="552">
        <f t="shared" si="76"/>
        <v>114760</v>
      </c>
      <c r="JS28" s="593">
        <v>52729</v>
      </c>
      <c r="JT28" s="1257">
        <f>JT27+(JT$34-JT$27)/7</f>
        <v>48701.28571428571</v>
      </c>
      <c r="JU28" s="1076">
        <f t="shared" ref="JU28:JZ33" si="314">JU27+(JU$34-JU$27)/7</f>
        <v>797.57142857142856</v>
      </c>
      <c r="JV28" s="1076">
        <f t="shared" si="314"/>
        <v>455.28571428571428</v>
      </c>
      <c r="JW28" s="1076">
        <f t="shared" si="314"/>
        <v>4192.5714285714284</v>
      </c>
      <c r="JX28" s="1076">
        <f t="shared" si="314"/>
        <v>6773.2857142857147</v>
      </c>
      <c r="JY28" s="1076">
        <f t="shared" si="314"/>
        <v>5802.4285714285716</v>
      </c>
      <c r="JZ28" s="1076">
        <f t="shared" si="314"/>
        <v>201.28571428571428</v>
      </c>
      <c r="KA28" s="552">
        <f t="shared" ref="KA28:KA33" si="315">JU28+JV28+JW28+JX28+JY28+JZ28</f>
        <v>18222.428571428572</v>
      </c>
      <c r="KB28" s="552">
        <f t="shared" ref="KB28:KB33" si="316">JT28-KA28</f>
        <v>30478.857142857138</v>
      </c>
      <c r="KC28" s="552">
        <f t="shared" ref="KC28:KC33" si="317">KB28-KD28</f>
        <v>25329.428571428565</v>
      </c>
      <c r="KD28" s="1076">
        <f t="shared" ref="KD28:KD33" si="318">KD27+(KD$34-KD$27)/7</f>
        <v>5149.4285714285716</v>
      </c>
      <c r="KE28" s="149">
        <v>159137</v>
      </c>
      <c r="KF28">
        <v>1399</v>
      </c>
      <c r="KG28">
        <v>231</v>
      </c>
      <c r="KH28">
        <v>4058</v>
      </c>
      <c r="KI28">
        <v>1049</v>
      </c>
      <c r="KJ28">
        <v>2522</v>
      </c>
      <c r="KK28">
        <v>1297</v>
      </c>
      <c r="KL28" s="552">
        <f t="shared" si="207"/>
        <v>10556</v>
      </c>
      <c r="KM28" s="552">
        <f t="shared" si="208"/>
        <v>148581</v>
      </c>
      <c r="KN28" s="552">
        <f t="shared" si="209"/>
        <v>79019</v>
      </c>
      <c r="KO28">
        <v>69562</v>
      </c>
      <c r="KP28" s="149">
        <v>67392</v>
      </c>
      <c r="LA28" s="149">
        <f>'Assets(MOFA)'!IX28-'Assets(MOFA)'!KE28-'Assets(MOFA)'!KP28</f>
        <v>-42147.28571428571</v>
      </c>
      <c r="LB28" s="552">
        <f>'Assets(MOFA)'!IY28-'Assets(MOFA)'!KF28-'Assets(MOFA)'!KQ28</f>
        <v>1050.4285714285716</v>
      </c>
      <c r="LC28" s="552">
        <f>'Assets(MOFA)'!IZ28-'Assets(MOFA)'!KG28-'Assets(MOFA)'!KR28</f>
        <v>347.71428571428578</v>
      </c>
      <c r="LD28" s="552">
        <f>'Assets(MOFA)'!JA28-'Assets(MOFA)'!KH28-'Assets(MOFA)'!KS28</f>
        <v>440.42857142857156</v>
      </c>
      <c r="LE28" s="552">
        <f>'Assets(MOFA)'!JB28-'Assets(MOFA)'!KI28-'Assets(MOFA)'!KT28</f>
        <v>5256.7142857142853</v>
      </c>
      <c r="LF28" s="552">
        <f>'Assets(MOFA)'!JC28-'Assets(MOFA)'!KJ28-'Assets(MOFA)'!KU28</f>
        <v>28597.571428571428</v>
      </c>
      <c r="LG28" s="552">
        <f>'Assets(MOFA)'!JD28-'Assets(MOFA)'!KK28-'Assets(MOFA)'!KV28</f>
        <v>1122.7142857142858</v>
      </c>
      <c r="LH28" s="552">
        <f>'Assets(MOFA)'!JE28-'Assets(MOFA)'!KL28-'Assets(MOFA)'!KW28</f>
        <v>36815.571428571428</v>
      </c>
      <c r="LI28" s="552">
        <f>'Assets(MOFA)'!JF28-'Assets(MOFA)'!KM28-'Assets(MOFA)'!KX28</f>
        <v>-11570.85714285713</v>
      </c>
      <c r="LJ28" s="552">
        <f t="shared" si="77"/>
        <v>10411.571428571442</v>
      </c>
      <c r="LK28" s="552">
        <f>'Assets(MOFA)'!JH28-'Assets(MOFA)'!KO28-'Assets(MOFA)'!KZ28</f>
        <v>-21982.428571428572</v>
      </c>
      <c r="LL28" s="576">
        <f t="shared" si="78"/>
        <v>0.31474921591233096</v>
      </c>
      <c r="LM28" s="6">
        <f t="shared" si="79"/>
        <v>0.38988685407675255</v>
      </c>
      <c r="LN28" s="6">
        <f t="shared" si="80"/>
        <v>0.14342137743766969</v>
      </c>
      <c r="LO28" s="6">
        <f t="shared" si="81"/>
        <v>0.32789227984375496</v>
      </c>
      <c r="LP28" s="6">
        <f t="shared" si="82"/>
        <v>0.19680561848663344</v>
      </c>
      <c r="LQ28" s="6">
        <f t="shared" si="83"/>
        <v>0.11700032593177467</v>
      </c>
      <c r="LR28" s="6">
        <f t="shared" si="84"/>
        <v>0.30168851104026451</v>
      </c>
      <c r="LS28" s="6">
        <f t="shared" si="85"/>
        <v>0.17151637057789332</v>
      </c>
      <c r="LT28" s="143">
        <f t="shared" si="86"/>
        <v>0.26183779914092858</v>
      </c>
      <c r="LU28" s="62">
        <f t="shared" si="87"/>
        <v>0.1436318213571082</v>
      </c>
      <c r="LV28" s="902">
        <f t="shared" si="88"/>
        <v>0.36427230100795455</v>
      </c>
      <c r="LW28" s="902">
        <f t="shared" si="89"/>
        <v>0.23623912564255745</v>
      </c>
      <c r="LX28" s="143">
        <f t="shared" si="90"/>
        <v>0.60492348156621845</v>
      </c>
      <c r="LY28" s="576">
        <f t="shared" si="91"/>
        <v>0.30862062553460523</v>
      </c>
      <c r="LZ28" s="906">
        <f t="shared" si="92"/>
        <v>0.38784556164703138</v>
      </c>
      <c r="MA28" s="906">
        <f t="shared" si="93"/>
        <v>0.12095778820044432</v>
      </c>
      <c r="MB28" s="906">
        <f t="shared" si="94"/>
        <v>0.3298929785004287</v>
      </c>
      <c r="MC28" s="906">
        <f t="shared" si="95"/>
        <v>0.17999546896239241</v>
      </c>
      <c r="MD28" s="906">
        <f t="shared" si="96"/>
        <v>0.10867758920660861</v>
      </c>
      <c r="ME28" s="906">
        <v>6.1610529375296846E-2</v>
      </c>
      <c r="MF28" s="906">
        <f t="shared" si="97"/>
        <v>0.300035423308537</v>
      </c>
      <c r="MG28" s="30">
        <f t="shared" si="98"/>
        <v>0.16353690127593101</v>
      </c>
      <c r="MH28" s="140">
        <f t="shared" si="99"/>
        <v>0.25154683984454901</v>
      </c>
      <c r="MI28" s="30">
        <f t="shared" si="100"/>
        <v>0.13636596849753529</v>
      </c>
      <c r="MJ28" s="30">
        <f t="shared" si="101"/>
        <v>0.35878365626736702</v>
      </c>
      <c r="MK28" s="617">
        <f t="shared" si="102"/>
        <v>0.23623912564255745</v>
      </c>
      <c r="ML28" s="615">
        <f t="shared" si="103"/>
        <v>0.60492348156621845</v>
      </c>
      <c r="MM28" s="574"/>
      <c r="MX28" s="613"/>
      <c r="MY28" s="552"/>
      <c r="MZ28" s="552"/>
      <c r="NA28" s="552"/>
      <c r="NB28" s="552"/>
      <c r="NC28" s="552"/>
      <c r="ND28" s="552"/>
      <c r="NE28" s="552"/>
      <c r="NF28" s="552"/>
      <c r="NG28" s="552"/>
      <c r="NH28" s="552"/>
      <c r="NI28" s="613">
        <f t="shared" si="214"/>
        <v>82049</v>
      </c>
      <c r="PN28" s="574"/>
      <c r="PO28" s="593"/>
      <c r="PP28" s="593"/>
      <c r="PQ28" s="593"/>
      <c r="PR28" s="593"/>
      <c r="PS28" s="593"/>
      <c r="PT28" s="593"/>
      <c r="PU28" s="593"/>
      <c r="PV28" s="593"/>
      <c r="PW28" s="593"/>
      <c r="PX28" s="593"/>
      <c r="PY28" s="593"/>
      <c r="PZ28" s="593"/>
      <c r="QA28" s="593"/>
      <c r="QB28" s="593"/>
      <c r="QC28" s="593"/>
      <c r="QD28" s="593"/>
      <c r="QE28" s="593"/>
      <c r="QF28" s="593"/>
      <c r="QG28" s="593"/>
      <c r="QH28" s="593"/>
      <c r="QI28" s="593"/>
      <c r="QJ28" s="593"/>
      <c r="QK28" s="593"/>
      <c r="QL28" s="593"/>
      <c r="QM28" s="593"/>
      <c r="QN28" s="593"/>
      <c r="QO28" s="593"/>
      <c r="QP28" s="593"/>
      <c r="QQ28" s="593"/>
      <c r="QR28" s="593"/>
      <c r="QS28" s="593"/>
      <c r="QT28" s="593"/>
      <c r="QU28" s="593"/>
      <c r="QV28" s="593"/>
      <c r="QW28" s="593"/>
      <c r="QX28" s="593"/>
      <c r="QY28" s="593"/>
      <c r="QZ28" s="593"/>
      <c r="RA28" s="593"/>
      <c r="RB28" s="593"/>
      <c r="RC28" s="593"/>
      <c r="RD28" s="593"/>
      <c r="RE28" s="593"/>
      <c r="RF28" s="593"/>
      <c r="RG28" s="593"/>
      <c r="RH28" s="593"/>
      <c r="RI28" s="593"/>
      <c r="RJ28" s="593"/>
      <c r="RK28" s="593"/>
      <c r="RL28" s="593"/>
      <c r="RM28" s="593"/>
      <c r="RN28" s="593"/>
      <c r="RO28" s="593"/>
      <c r="RP28" s="593"/>
      <c r="RQ28" s="593"/>
      <c r="RR28" s="593"/>
    </row>
    <row r="29" spans="1:486">
      <c r="A29" s="568">
        <v>1984</v>
      </c>
      <c r="B29" s="33">
        <v>79689</v>
      </c>
      <c r="C29" s="193">
        <v>496</v>
      </c>
      <c r="D29" s="193">
        <v>147</v>
      </c>
      <c r="E29" s="193">
        <v>2131</v>
      </c>
      <c r="F29" s="193">
        <v>1254</v>
      </c>
      <c r="G29" s="193">
        <v>596</v>
      </c>
      <c r="H29" s="193">
        <v>480</v>
      </c>
      <c r="I29" s="193">
        <f>H29+G29+F29+E29+D29+C29</f>
        <v>5104</v>
      </c>
      <c r="J29" s="193">
        <f t="shared" si="216"/>
        <v>74585</v>
      </c>
      <c r="K29" s="193">
        <f t="shared" si="249"/>
        <v>65406</v>
      </c>
      <c r="L29" s="193">
        <v>9179</v>
      </c>
      <c r="M29" s="140">
        <f t="shared" si="217"/>
        <v>6.4048990450375834E-2</v>
      </c>
      <c r="N29" s="140">
        <f t="shared" si="250"/>
        <v>0.11518528278683382</v>
      </c>
      <c r="O29" s="193">
        <v>1501100</v>
      </c>
      <c r="P29" s="30">
        <f t="shared" si="251"/>
        <v>5.3087069482379588E-2</v>
      </c>
      <c r="Q29" s="629">
        <f t="shared" si="218"/>
        <v>6.2241965641431059E-3</v>
      </c>
      <c r="R29" s="308">
        <f t="shared" si="219"/>
        <v>1.8446711591311223E-3</v>
      </c>
      <c r="S29" s="308">
        <f t="shared" si="220"/>
        <v>2.6741457415703548E-2</v>
      </c>
      <c r="T29" s="308">
        <f t="shared" si="221"/>
        <v>1.5736174377894062E-2</v>
      </c>
      <c r="U29" s="308">
        <f t="shared" si="222"/>
        <v>7.4790749036880875E-3</v>
      </c>
      <c r="V29" s="308">
        <f t="shared" si="223"/>
        <v>6.0234160298159095E-3</v>
      </c>
      <c r="W29" s="5">
        <f t="shared" si="252"/>
        <v>64460</v>
      </c>
      <c r="X29" s="76">
        <f t="shared" si="253"/>
        <v>1106</v>
      </c>
      <c r="Y29" s="76">
        <f t="shared" si="3"/>
        <v>28.235294117647062</v>
      </c>
      <c r="Z29" s="76">
        <f t="shared" si="114"/>
        <v>1077.7647058823529</v>
      </c>
      <c r="AA29" s="76">
        <f t="shared" si="254"/>
        <v>68</v>
      </c>
      <c r="AB29" s="66">
        <f t="shared" si="241"/>
        <v>0</v>
      </c>
      <c r="AC29" s="274">
        <f t="shared" si="117"/>
        <v>68</v>
      </c>
      <c r="AD29" s="76">
        <f t="shared" si="255"/>
        <v>1512</v>
      </c>
      <c r="AE29" s="357">
        <f t="shared" si="247"/>
        <v>209.60301348032095</v>
      </c>
      <c r="AF29" s="274">
        <f t="shared" si="119"/>
        <v>1302.3969865196791</v>
      </c>
      <c r="AG29" s="76">
        <f t="shared" si="256"/>
        <v>1500</v>
      </c>
      <c r="AH29" s="357">
        <f t="shared" ref="AH29:AH38" si="319">FX29/HC29</f>
        <v>293.08208574573371</v>
      </c>
      <c r="AI29" s="76">
        <f t="shared" si="287"/>
        <v>1206.9179142542662</v>
      </c>
      <c r="AJ29" s="76">
        <f t="shared" si="257"/>
        <v>3670</v>
      </c>
      <c r="AK29" s="357">
        <f t="shared" si="288"/>
        <v>550.8618889717053</v>
      </c>
      <c r="AL29" s="274">
        <f t="shared" si="123"/>
        <v>3119.1381110282946</v>
      </c>
      <c r="AM29" s="76">
        <f t="shared" si="258"/>
        <v>733</v>
      </c>
      <c r="AN29" s="357">
        <f t="shared" si="248"/>
        <v>158.89601516694168</v>
      </c>
      <c r="AO29" s="274">
        <f t="shared" si="125"/>
        <v>574.10398483305835</v>
      </c>
      <c r="AP29" s="193">
        <f t="shared" si="8"/>
        <v>8589</v>
      </c>
      <c r="AQ29" s="271">
        <f t="shared" si="9"/>
        <v>1240.6782974823486</v>
      </c>
      <c r="AR29" s="271">
        <f t="shared" si="126"/>
        <v>7348.3217025176509</v>
      </c>
      <c r="AS29" s="193">
        <f t="shared" si="259"/>
        <v>55871</v>
      </c>
      <c r="AT29" s="193">
        <f t="shared" si="224"/>
        <v>24875</v>
      </c>
      <c r="AU29" s="193">
        <f t="shared" si="260"/>
        <v>30996</v>
      </c>
      <c r="AV29" s="193">
        <f t="shared" si="261"/>
        <v>12153</v>
      </c>
      <c r="AW29" s="23">
        <f t="shared" si="289"/>
        <v>0.39208284939992255</v>
      </c>
      <c r="AX29" s="271">
        <f t="shared" si="227"/>
        <v>33464</v>
      </c>
      <c r="AY29" s="140">
        <f t="shared" si="10"/>
        <v>0.13324542351846105</v>
      </c>
      <c r="AZ29" s="623">
        <f t="shared" si="129"/>
        <v>0.11399816479239297</v>
      </c>
      <c r="BA29" s="248">
        <f t="shared" si="11"/>
        <v>0.21958886273361375</v>
      </c>
      <c r="BB29" s="248">
        <f t="shared" si="130"/>
        <v>3.2206690947954607E-2</v>
      </c>
      <c r="BC29" s="248">
        <f t="shared" si="131"/>
        <v>2.0320344250537893E-3</v>
      </c>
      <c r="BD29" s="248">
        <f t="shared" si="132"/>
        <v>3.8919345760210347E-2</v>
      </c>
      <c r="BE29" s="248">
        <f t="shared" si="133"/>
        <v>3.6066158087923329E-2</v>
      </c>
      <c r="BF29" s="248">
        <f t="shared" si="134"/>
        <v>9.3208764972157979E-2</v>
      </c>
      <c r="BG29" s="248">
        <f t="shared" si="135"/>
        <v>1.7155868540313722E-2</v>
      </c>
      <c r="BH29" s="248">
        <f t="shared" si="136"/>
        <v>4.0951380185264133E-2</v>
      </c>
      <c r="BI29" s="23">
        <f t="shared" si="12"/>
        <v>0.21148099450155391</v>
      </c>
      <c r="BJ29" s="140">
        <f t="shared" si="13"/>
        <v>0.48085634502016755</v>
      </c>
      <c r="BK29" s="623">
        <f t="shared" si="137"/>
        <v>0.46160908629409947</v>
      </c>
      <c r="BL29" s="590">
        <f t="shared" si="290"/>
        <v>-17.428571428572013</v>
      </c>
      <c r="BM29" s="66">
        <f t="shared" si="291"/>
        <v>3.8571428571428594</v>
      </c>
      <c r="BN29" s="66">
        <f t="shared" si="292"/>
        <v>-11.285714285714285</v>
      </c>
      <c r="BO29" s="66">
        <f t="shared" si="292"/>
        <v>-12.285714285714285</v>
      </c>
      <c r="BP29" s="66">
        <f t="shared" si="292"/>
        <v>-293.85714285714289</v>
      </c>
      <c r="BQ29" s="66">
        <f>BQ28+(BQ$34-BQ$27)/7</f>
        <v>-3047.8571428571431</v>
      </c>
      <c r="BR29" s="66">
        <f t="shared" si="293"/>
        <v>-36.571428571428569</v>
      </c>
      <c r="BS29" s="193">
        <f>BR29+BQ29+BP29+BO29+BN29+BM29</f>
        <v>-3398.0000000000005</v>
      </c>
      <c r="BT29" s="66">
        <f t="shared" si="293"/>
        <v>3380.5714285714284</v>
      </c>
      <c r="BU29" s="193">
        <f t="shared" si="237"/>
        <v>1753.7142857142858</v>
      </c>
      <c r="BV29" s="66">
        <f t="shared" si="293"/>
        <v>1626.8571428571427</v>
      </c>
      <c r="BW29" s="5">
        <f t="shared" si="262"/>
        <v>30873</v>
      </c>
      <c r="BX29" s="193">
        <f t="shared" si="263"/>
        <v>1085</v>
      </c>
      <c r="BY29" s="193">
        <f t="shared" si="148"/>
        <v>24.705882352941178</v>
      </c>
      <c r="BZ29" s="647">
        <f t="shared" si="149"/>
        <v>3.4343734578662868E-2</v>
      </c>
      <c r="CA29" s="193">
        <f t="shared" si="264"/>
        <v>37</v>
      </c>
      <c r="CB29" s="193">
        <f t="shared" si="151"/>
        <v>0</v>
      </c>
      <c r="CC29" s="647">
        <f t="shared" si="14"/>
        <v>1.1984581997214394E-3</v>
      </c>
      <c r="CD29" s="193">
        <f t="shared" si="265"/>
        <v>1001</v>
      </c>
      <c r="CE29" s="193">
        <f t="shared" si="153"/>
        <v>83.362314428188242</v>
      </c>
      <c r="CF29" s="655">
        <f t="shared" si="15"/>
        <v>2.9722984017484914E-2</v>
      </c>
      <c r="CG29" s="193">
        <f t="shared" si="266"/>
        <v>1210</v>
      </c>
      <c r="CH29" s="193">
        <f t="shared" si="155"/>
        <v>258.21195587560385</v>
      </c>
      <c r="CI29" s="23">
        <f t="shared" si="16"/>
        <v>3.082914015885713E-2</v>
      </c>
      <c r="CJ29" s="193">
        <f t="shared" si="267"/>
        <v>3171</v>
      </c>
      <c r="CK29" s="641">
        <f t="shared" si="157"/>
        <v>291.86824847753297</v>
      </c>
      <c r="CL29" s="34">
        <f t="shared" si="158"/>
        <v>9.325727177541758E-2</v>
      </c>
      <c r="CM29" s="193">
        <f t="shared" si="268"/>
        <v>668</v>
      </c>
      <c r="CN29" s="193">
        <f t="shared" si="160"/>
        <v>142.06286358569849</v>
      </c>
      <c r="CO29" s="23">
        <f t="shared" si="161"/>
        <v>1.7035504693884672E-2</v>
      </c>
      <c r="CP29" s="193">
        <f t="shared" si="17"/>
        <v>7172</v>
      </c>
      <c r="CQ29" s="193">
        <f t="shared" si="162"/>
        <v>800.21126471996467</v>
      </c>
      <c r="CR29" s="271">
        <f t="shared" si="18"/>
        <v>23701</v>
      </c>
      <c r="CS29" s="248">
        <f t="shared" si="163"/>
        <v>0.20638709342402861</v>
      </c>
      <c r="CT29" s="30">
        <f t="shared" si="19"/>
        <v>0.23230654617303145</v>
      </c>
      <c r="CU29" s="308">
        <f t="shared" si="20"/>
        <v>0</v>
      </c>
      <c r="CV29" s="608">
        <f t="shared" si="269"/>
        <v>3.5143976937777349E-2</v>
      </c>
      <c r="CW29" s="608">
        <f t="shared" si="270"/>
        <v>1.1984581997214394E-3</v>
      </c>
      <c r="CX29" s="608">
        <f t="shared" si="271"/>
        <v>3.2423152916788135E-2</v>
      </c>
      <c r="CY29" s="608">
        <f t="shared" si="272"/>
        <v>3.9192822207106535E-2</v>
      </c>
      <c r="CZ29" s="608">
        <f>CJ29/$BW29</f>
        <v>0.10271110679234283</v>
      </c>
      <c r="DA29" s="608">
        <f>'Assets(BoP)'!FK76</f>
        <v>8.0895224518888115E-2</v>
      </c>
      <c r="DB29" s="608">
        <f t="shared" si="273"/>
        <v>2.1637029119295176E-2</v>
      </c>
      <c r="DC29" s="23">
        <f t="shared" si="21"/>
        <v>0.29566093152429285</v>
      </c>
      <c r="DD29" s="193">
        <f t="shared" si="22"/>
        <v>21551</v>
      </c>
      <c r="DE29" s="193">
        <f t="shared" si="274"/>
        <v>9322</v>
      </c>
      <c r="DF29" s="193"/>
      <c r="DG29" s="193">
        <f>'Assets(BoP)'!DA76</f>
        <v>0</v>
      </c>
      <c r="DH29" s="23">
        <f t="shared" si="23"/>
        <v>0.30194668480549347</v>
      </c>
      <c r="DI29" s="23"/>
      <c r="DJ29" s="23">
        <f t="shared" si="24"/>
        <v>0.19988339325624335</v>
      </c>
      <c r="DK29" s="600">
        <f>'Assets(BoP)'!FO76-'Assets(BoP)'!FH76</f>
        <v>0.16322215005307422</v>
      </c>
      <c r="DL29" s="576">
        <f t="shared" si="25"/>
        <v>0.80889457767069484</v>
      </c>
      <c r="DM29" s="251">
        <f t="shared" si="26"/>
        <v>2.2298387096774195</v>
      </c>
      <c r="DN29" s="251">
        <f t="shared" si="27"/>
        <v>2.2101712927694859</v>
      </c>
      <c r="DO29" s="251">
        <f t="shared" si="28"/>
        <v>0.46258503401360546</v>
      </c>
      <c r="DP29" s="251">
        <f t="shared" si="29"/>
        <v>0.46258503401360546</v>
      </c>
      <c r="DQ29" s="251">
        <f t="shared" si="30"/>
        <v>0.70952604411074616</v>
      </c>
      <c r="DR29" s="251">
        <f t="shared" si="31"/>
        <v>0.62950292221570303</v>
      </c>
      <c r="DS29" s="251">
        <f t="shared" si="32"/>
        <v>1.1961722488038278</v>
      </c>
      <c r="DT29" s="251">
        <f t="shared" si="33"/>
        <v>1.0340211586742993</v>
      </c>
      <c r="DU29" s="251">
        <f t="shared" si="34"/>
        <v>6.1577181208053693</v>
      </c>
      <c r="DV29" s="251">
        <f t="shared" si="35"/>
        <v>7.2057068974911598</v>
      </c>
      <c r="DW29" s="251">
        <f t="shared" si="36"/>
        <v>1.5270833333333333</v>
      </c>
      <c r="DX29" s="251">
        <f t="shared" si="37"/>
        <v>1.3260426752513919</v>
      </c>
      <c r="DY29" s="251">
        <f t="shared" si="38"/>
        <v>0.69359086918349433</v>
      </c>
      <c r="DZ29" s="251">
        <f t="shared" si="39"/>
        <v>0.61842994686848318</v>
      </c>
      <c r="EA29" s="643">
        <f t="shared" si="40"/>
        <v>1.6827978056426331</v>
      </c>
      <c r="EB29" s="643">
        <f t="shared" si="41"/>
        <v>1.5513943546635445</v>
      </c>
      <c r="EC29" s="251">
        <f t="shared" si="42"/>
        <v>0.74909164041027021</v>
      </c>
      <c r="ED29" s="251">
        <f t="shared" si="43"/>
        <v>0.47459934761026806</v>
      </c>
      <c r="EE29" s="140">
        <f t="shared" si="44"/>
        <v>0.38031679050851602</v>
      </c>
      <c r="EF29" s="1342">
        <v>0.2186550678448469</v>
      </c>
      <c r="EG29" s="140">
        <f t="shared" si="228"/>
        <v>3.3768384355594292</v>
      </c>
      <c r="EH29" s="583">
        <v>28.78</v>
      </c>
      <c r="EI29" s="1344">
        <v>1.9946824062568527</v>
      </c>
      <c r="EJ29" s="576">
        <f t="shared" si="166"/>
        <v>0.38741858976772203</v>
      </c>
      <c r="EK29" s="753">
        <f t="shared" si="167"/>
        <v>1.476296158883134</v>
      </c>
      <c r="EL29" s="753">
        <f t="shared" si="168"/>
        <v>1.0155790391110142</v>
      </c>
      <c r="EM29" s="753">
        <f t="shared" si="169"/>
        <v>0.21984221631043024</v>
      </c>
      <c r="EN29" s="583"/>
      <c r="EO29" s="5">
        <v>36747</v>
      </c>
      <c r="EP29" s="193">
        <v>1306</v>
      </c>
      <c r="EQ29" s="193"/>
      <c r="ER29" s="193">
        <v>12</v>
      </c>
      <c r="ES29" s="193"/>
      <c r="ET29" s="193">
        <v>1517</v>
      </c>
      <c r="EU29" s="193"/>
      <c r="EV29" s="193">
        <v>2021</v>
      </c>
      <c r="EW29" s="193"/>
      <c r="EX29" s="193">
        <v>3678</v>
      </c>
      <c r="EY29" s="193"/>
      <c r="EZ29" s="193">
        <v>670</v>
      </c>
      <c r="FA29" s="193"/>
      <c r="FB29" s="193">
        <f t="shared" si="294"/>
        <v>9204</v>
      </c>
      <c r="FC29" s="193">
        <f t="shared" si="295"/>
        <v>27543</v>
      </c>
      <c r="FD29" s="23">
        <f t="shared" si="296"/>
        <v>0.25046942607559802</v>
      </c>
      <c r="FE29" s="193">
        <v>9640</v>
      </c>
      <c r="FF29" s="193">
        <v>3395</v>
      </c>
      <c r="FG29" s="193"/>
      <c r="FH29" s="193"/>
      <c r="FI29" s="193"/>
      <c r="FJ29" s="5">
        <v>33587</v>
      </c>
      <c r="FK29" s="143">
        <f>FJ29/'Assets(BoP)'!AV76/1000</f>
        <v>1.4398336691387663</v>
      </c>
      <c r="FL29" s="192"/>
      <c r="FM29" s="193">
        <v>21</v>
      </c>
      <c r="FN29" s="66">
        <f t="shared" si="297"/>
        <v>3.5294117647058827</v>
      </c>
      <c r="FO29" s="184">
        <f t="shared" si="298"/>
        <v>0.16806722689075632</v>
      </c>
      <c r="FP29" s="193">
        <v>31</v>
      </c>
      <c r="FQ29" s="66">
        <f t="shared" si="299"/>
        <v>0</v>
      </c>
      <c r="FR29" s="184">
        <v>0</v>
      </c>
      <c r="FS29" s="193">
        <v>511</v>
      </c>
      <c r="FT29" s="66">
        <f t="shared" si="300"/>
        <v>126.24069905213271</v>
      </c>
      <c r="FU29" s="193">
        <f t="shared" si="175"/>
        <v>384.7593009478673</v>
      </c>
      <c r="FV29" s="184">
        <f t="shared" si="301"/>
        <v>0.24704637779282332</v>
      </c>
      <c r="FW29" s="193">
        <v>290</v>
      </c>
      <c r="FX29" s="66">
        <f t="shared" si="302"/>
        <v>34.870129870129865</v>
      </c>
      <c r="FY29" s="184">
        <f t="shared" si="303"/>
        <v>0.12024182713837885</v>
      </c>
      <c r="FZ29" s="193">
        <v>499</v>
      </c>
      <c r="GA29" s="66">
        <f t="shared" si="304"/>
        <v>258.99364049417233</v>
      </c>
      <c r="GB29" s="193">
        <f t="shared" si="180"/>
        <v>240.00635950582767</v>
      </c>
      <c r="GC29" s="184">
        <f t="shared" si="305"/>
        <v>0.51902533165164799</v>
      </c>
      <c r="GD29" s="193">
        <v>65</v>
      </c>
      <c r="GE29" s="66">
        <f t="shared" si="306"/>
        <v>16.833151581243182</v>
      </c>
      <c r="GF29" s="184">
        <f t="shared" si="307"/>
        <v>0.25897156278835665</v>
      </c>
      <c r="GG29" s="193">
        <f t="shared" si="47"/>
        <v>1417</v>
      </c>
      <c r="GH29" s="193">
        <f t="shared" si="48"/>
        <v>440.46703276238389</v>
      </c>
      <c r="GI29" s="193">
        <f t="shared" si="49"/>
        <v>32170</v>
      </c>
      <c r="GJ29" s="23">
        <f t="shared" si="50"/>
        <v>4.2188942150236698E-2</v>
      </c>
      <c r="GK29" s="330">
        <v>21674</v>
      </c>
      <c r="GL29" s="330">
        <v>8918</v>
      </c>
      <c r="GM29" s="23">
        <f>GK29/'Assets(BoP)'!AW76/1000</f>
        <v>1.8957404005947696</v>
      </c>
      <c r="GN29" s="23">
        <f t="shared" si="51"/>
        <v>0.64530919701074818</v>
      </c>
      <c r="GO29" s="330">
        <f t="shared" si="275"/>
        <v>11913</v>
      </c>
      <c r="GP29" s="23">
        <f>GO29/('Assets(BoP)'!AV76-'Assets(BoP)'!AW76)/1000</f>
        <v>1.0015974440894571</v>
      </c>
      <c r="GQ29" s="330">
        <f t="shared" si="52"/>
        <v>10496</v>
      </c>
      <c r="GR29" s="330">
        <v>266.17500000000001</v>
      </c>
      <c r="GS29" s="140">
        <f t="shared" si="53"/>
        <v>7.6885770290286717E-2</v>
      </c>
      <c r="GT29" s="609">
        <v>1.1714013078090579</v>
      </c>
      <c r="GU29" s="143">
        <f t="shared" si="54"/>
        <v>0.5210518150791188</v>
      </c>
      <c r="GV29" s="589">
        <f t="shared" si="276"/>
        <v>1.8987341772151899E-2</v>
      </c>
      <c r="GW29" s="389">
        <v>0.125</v>
      </c>
      <c r="GX29" s="589">
        <f t="shared" si="277"/>
        <v>0.45588235294117646</v>
      </c>
      <c r="GY29" s="389">
        <v>0.25</v>
      </c>
      <c r="GZ29" s="589">
        <f t="shared" si="308"/>
        <v>0.33796296296296297</v>
      </c>
      <c r="HA29" s="56">
        <f t="shared" ref="HA29:HA38" si="320">HA28+(HA$39-HA$27)/12</f>
        <v>0.60228475228475231</v>
      </c>
      <c r="HB29" s="589">
        <f t="shared" si="278"/>
        <v>0.19333333333333333</v>
      </c>
      <c r="HC29" s="56">
        <f t="shared" ref="HC29:HC38" si="321">HC28+(HC$39-HC$27)/12</f>
        <v>0.11897734991684819</v>
      </c>
      <c r="HD29" s="589">
        <f t="shared" si="279"/>
        <v>0.13596730245231609</v>
      </c>
      <c r="HE29" s="56">
        <f t="shared" ref="HE29:HE38" si="322">HE28+(HE$39-HE$27)/12</f>
        <v>0.47016075295685483</v>
      </c>
      <c r="HF29" s="589">
        <f t="shared" si="309"/>
        <v>8.8676671214188263E-2</v>
      </c>
      <c r="HG29" s="589">
        <f>HG28*HF29/HF28</f>
        <v>0.10593816064901117</v>
      </c>
      <c r="HH29" s="6">
        <f t="shared" si="57"/>
        <v>0.16497846082198162</v>
      </c>
      <c r="HI29" s="6">
        <f t="shared" si="58"/>
        <v>0.13289197272120523</v>
      </c>
      <c r="HJ29" s="23">
        <f t="shared" si="280"/>
        <v>0.69925151632468707</v>
      </c>
      <c r="HK29" s="23">
        <f t="shared" si="280"/>
        <v>0.73381058174936231</v>
      </c>
      <c r="HL29" s="23">
        <f t="shared" si="281"/>
        <v>0.67696226715491159</v>
      </c>
      <c r="HM29" s="31">
        <f t="shared" si="282"/>
        <v>0.35599450155390866</v>
      </c>
      <c r="HN29" s="23">
        <f t="shared" si="60"/>
        <v>0.57579066062894879</v>
      </c>
      <c r="HO29" s="23">
        <f t="shared" si="61"/>
        <v>0.4219497487437186</v>
      </c>
      <c r="HP29" s="575">
        <v>5604</v>
      </c>
      <c r="HQ29" s="193">
        <v>239</v>
      </c>
      <c r="HR29" s="193">
        <v>-15</v>
      </c>
      <c r="HS29" s="193">
        <v>502</v>
      </c>
      <c r="HT29" s="193">
        <v>803</v>
      </c>
      <c r="HU29" s="193">
        <v>808</v>
      </c>
      <c r="HV29" s="193">
        <v>11</v>
      </c>
      <c r="HW29" s="193">
        <f t="shared" si="310"/>
        <v>2348</v>
      </c>
      <c r="HX29" s="193">
        <f t="shared" si="311"/>
        <v>3256</v>
      </c>
      <c r="HY29" s="193">
        <v>260</v>
      </c>
      <c r="HZ29" s="193">
        <v>27</v>
      </c>
      <c r="IA29" s="193"/>
      <c r="IB29" s="23">
        <f t="shared" si="283"/>
        <v>0.41898643825838688</v>
      </c>
      <c r="IC29" s="23"/>
      <c r="ID29" s="23"/>
      <c r="IE29" s="23"/>
      <c r="IF29" s="23"/>
      <c r="IG29" s="23"/>
      <c r="IH29" s="23"/>
      <c r="II29" s="23"/>
      <c r="IJ29" s="23"/>
      <c r="IK29" s="23"/>
      <c r="IL29" s="23"/>
      <c r="IM29" s="575">
        <v>270</v>
      </c>
      <c r="IN29" s="193">
        <v>-18</v>
      </c>
      <c r="IO29" s="193">
        <v>-10</v>
      </c>
      <c r="IP29" s="193">
        <v>14</v>
      </c>
      <c r="IQ29" s="193">
        <v>8</v>
      </c>
      <c r="IR29" s="193">
        <v>-301</v>
      </c>
      <c r="IS29" s="193">
        <v>-9</v>
      </c>
      <c r="IT29" s="193">
        <f t="shared" si="312"/>
        <v>-316</v>
      </c>
      <c r="IU29" s="193">
        <f t="shared" si="313"/>
        <v>586</v>
      </c>
      <c r="IV29" s="193">
        <v>58</v>
      </c>
      <c r="IW29" s="193">
        <v>133</v>
      </c>
      <c r="IX29" s="149">
        <f t="shared" si="63"/>
        <v>185992.42857142858</v>
      </c>
      <c r="IY29" s="316">
        <f t="shared" si="64"/>
        <v>2837.8571428571431</v>
      </c>
      <c r="IZ29" s="316">
        <f t="shared" si="65"/>
        <v>60.428571428571445</v>
      </c>
      <c r="JA29" s="316">
        <f t="shared" si="66"/>
        <v>2799.8571428571431</v>
      </c>
      <c r="JB29" s="316">
        <f t="shared" si="67"/>
        <v>5611.4285714285706</v>
      </c>
      <c r="JC29" s="316">
        <f t="shared" si="68"/>
        <v>34006.142857142855</v>
      </c>
      <c r="JD29" s="316">
        <f t="shared" si="69"/>
        <v>2610.4285714285716</v>
      </c>
      <c r="JE29" s="316">
        <f t="shared" si="70"/>
        <v>47926.142857142855</v>
      </c>
      <c r="JF29" s="316">
        <f t="shared" si="71"/>
        <v>138066.28571428574</v>
      </c>
      <c r="JG29" s="316">
        <f t="shared" si="72"/>
        <v>90331.142857142884</v>
      </c>
      <c r="JH29" s="316">
        <f t="shared" si="73"/>
        <v>47735.142857142855</v>
      </c>
      <c r="JI29" s="5">
        <v>244014</v>
      </c>
      <c r="JJ29" s="593">
        <v>3958</v>
      </c>
      <c r="JK29" s="593">
        <v>526</v>
      </c>
      <c r="JL29" s="593">
        <v>8548</v>
      </c>
      <c r="JM29" s="536">
        <v>13341</v>
      </c>
      <c r="JN29" s="536">
        <v>41088</v>
      </c>
      <c r="JO29" s="536">
        <v>2863</v>
      </c>
      <c r="JP29" s="552">
        <f t="shared" si="74"/>
        <v>70324</v>
      </c>
      <c r="JQ29" s="552">
        <f t="shared" si="75"/>
        <v>173690</v>
      </c>
      <c r="JR29" s="552">
        <f t="shared" si="76"/>
        <v>120518</v>
      </c>
      <c r="JS29" s="593">
        <v>53172</v>
      </c>
      <c r="JT29" s="1257">
        <f t="shared" ref="JT29:JT33" si="323">JT28+(JT$34-JT$27)/7</f>
        <v>58021.57142857142</v>
      </c>
      <c r="JU29" s="1076">
        <f t="shared" si="314"/>
        <v>1120.1428571428571</v>
      </c>
      <c r="JV29" s="1076">
        <f t="shared" si="314"/>
        <v>465.57142857142856</v>
      </c>
      <c r="JW29" s="1076">
        <f t="shared" si="314"/>
        <v>5748.1428571428569</v>
      </c>
      <c r="JX29" s="1076">
        <f t="shared" si="314"/>
        <v>7729.5714285714294</v>
      </c>
      <c r="JY29" s="1076">
        <f t="shared" si="314"/>
        <v>7081.8571428571431</v>
      </c>
      <c r="JZ29" s="1076">
        <f t="shared" si="314"/>
        <v>252.57142857142856</v>
      </c>
      <c r="KA29" s="552">
        <f t="shared" si="315"/>
        <v>22397.857142857145</v>
      </c>
      <c r="KB29" s="552">
        <f t="shared" si="316"/>
        <v>35623.714285714275</v>
      </c>
      <c r="KC29" s="552">
        <f t="shared" si="317"/>
        <v>30186.85714285713</v>
      </c>
      <c r="KD29" s="1076">
        <f t="shared" si="318"/>
        <v>5436.8571428571431</v>
      </c>
      <c r="KE29" s="149">
        <v>156888</v>
      </c>
      <c r="KF29">
        <v>1365</v>
      </c>
      <c r="KG29">
        <v>237</v>
      </c>
      <c r="KH29">
        <v>4289</v>
      </c>
      <c r="KI29">
        <v>992</v>
      </c>
      <c r="KJ29">
        <v>2193</v>
      </c>
      <c r="KK29">
        <v>1332</v>
      </c>
      <c r="KL29" s="552">
        <f t="shared" si="207"/>
        <v>10408</v>
      </c>
      <c r="KM29" s="552">
        <f t="shared" si="208"/>
        <v>146480</v>
      </c>
      <c r="KN29" s="552">
        <f t="shared" si="209"/>
        <v>77510</v>
      </c>
      <c r="KO29">
        <v>68970</v>
      </c>
      <c r="KP29" s="149">
        <v>66031</v>
      </c>
      <c r="LA29" s="149">
        <f>'Assets(MOFA)'!IX29-'Assets(MOFA)'!KE29-'Assets(MOFA)'!KP29</f>
        <v>-36926.57142857142</v>
      </c>
      <c r="LB29" s="552">
        <f>'Assets(MOFA)'!IY29-'Assets(MOFA)'!KF29-'Assets(MOFA)'!KQ29</f>
        <v>1472.8571428571431</v>
      </c>
      <c r="LC29" s="552">
        <f>'Assets(MOFA)'!IZ29-'Assets(MOFA)'!KG29-'Assets(MOFA)'!KR29</f>
        <v>-176.57142857142856</v>
      </c>
      <c r="LD29" s="552">
        <f>'Assets(MOFA)'!JA29-'Assets(MOFA)'!KH29-'Assets(MOFA)'!KS29</f>
        <v>-1489.1428571428569</v>
      </c>
      <c r="LE29" s="552">
        <f>'Assets(MOFA)'!JB29-'Assets(MOFA)'!KI29-'Assets(MOFA)'!KT29</f>
        <v>4619.4285714285706</v>
      </c>
      <c r="LF29" s="552">
        <f>'Assets(MOFA)'!JC29-'Assets(MOFA)'!KJ29-'Assets(MOFA)'!KU29</f>
        <v>31813.142857142855</v>
      </c>
      <c r="LG29" s="552">
        <f>'Assets(MOFA)'!JD29-'Assets(MOFA)'!KK29-'Assets(MOFA)'!KV29</f>
        <v>1278.4285714285716</v>
      </c>
      <c r="LH29" s="552">
        <f>'Assets(MOFA)'!JE29-'Assets(MOFA)'!KL29-'Assets(MOFA)'!KW29</f>
        <v>37518.142857142855</v>
      </c>
      <c r="LI29" s="552">
        <f>'Assets(MOFA)'!JF29-'Assets(MOFA)'!KM29-'Assets(MOFA)'!KX29</f>
        <v>-8413.7142857142608</v>
      </c>
      <c r="LJ29" s="552">
        <f t="shared" si="77"/>
        <v>12821.142857142884</v>
      </c>
      <c r="LK29" s="552">
        <f>'Assets(MOFA)'!JH29-'Assets(MOFA)'!KO29-'Assets(MOFA)'!KZ29</f>
        <v>-21234.857142857145</v>
      </c>
      <c r="LL29" s="576">
        <f t="shared" si="78"/>
        <v>0.34657324760531727</v>
      </c>
      <c r="LM29" s="6">
        <f t="shared" si="79"/>
        <v>0.38973068210420336</v>
      </c>
      <c r="LN29" s="6">
        <f t="shared" si="80"/>
        <v>1.1252955082742313</v>
      </c>
      <c r="LO29" s="6">
        <f t="shared" si="81"/>
        <v>0.54002755242614409</v>
      </c>
      <c r="LP29" s="6">
        <f t="shared" si="82"/>
        <v>0.26731160896130352</v>
      </c>
      <c r="LQ29" s="6">
        <f t="shared" si="83"/>
        <v>0.10792167801615675</v>
      </c>
      <c r="LR29" s="6">
        <f t="shared" si="84"/>
        <v>0.28079680402780055</v>
      </c>
      <c r="LS29" s="6">
        <f t="shared" si="85"/>
        <v>0.17921325372671643</v>
      </c>
      <c r="LT29" s="143">
        <f t="shared" si="86"/>
        <v>0.30190653336433387</v>
      </c>
      <c r="LU29" s="62">
        <f t="shared" si="87"/>
        <v>0.1424059829887819</v>
      </c>
      <c r="LV29" s="902">
        <f t="shared" si="88"/>
        <v>0.40466794417588231</v>
      </c>
      <c r="LW29" s="902">
        <f t="shared" si="89"/>
        <v>0.275375681223688</v>
      </c>
      <c r="LX29" s="143">
        <f t="shared" si="90"/>
        <v>0.64933292632561812</v>
      </c>
      <c r="LY29" s="576">
        <f t="shared" si="91"/>
        <v>0.34802491960118193</v>
      </c>
      <c r="LZ29" s="906">
        <f t="shared" si="92"/>
        <v>0.38338786810974074</v>
      </c>
      <c r="MA29" s="906">
        <f t="shared" si="93"/>
        <v>0.95981087470449145</v>
      </c>
      <c r="MB29" s="906">
        <f t="shared" si="94"/>
        <v>0.54502780754120106</v>
      </c>
      <c r="MC29" s="906">
        <f t="shared" si="95"/>
        <v>0.26873727087576377</v>
      </c>
      <c r="MD29" s="906">
        <f t="shared" si="96"/>
        <v>9.9070336031725367E-2</v>
      </c>
      <c r="ME29" s="906">
        <v>6.1610529375296846E-2</v>
      </c>
      <c r="MF29" s="906">
        <f t="shared" si="97"/>
        <v>0.27734909429212495</v>
      </c>
      <c r="MG29" s="30">
        <f t="shared" si="98"/>
        <v>0.17261977507056991</v>
      </c>
      <c r="MH29" s="140">
        <f t="shared" si="99"/>
        <v>0.30018858663359943</v>
      </c>
      <c r="MI29" s="30">
        <f t="shared" si="100"/>
        <v>0.13434987309398794</v>
      </c>
      <c r="MJ29" s="30">
        <f t="shared" si="101"/>
        <v>0.40891228229918541</v>
      </c>
      <c r="MK29" s="617">
        <f t="shared" si="102"/>
        <v>0.275375681223688</v>
      </c>
      <c r="ML29" s="615">
        <f t="shared" si="103"/>
        <v>0.64933292632561812</v>
      </c>
      <c r="MM29" s="574"/>
      <c r="MX29" s="613"/>
      <c r="MY29" s="552"/>
      <c r="MZ29" s="552"/>
      <c r="NA29" s="552"/>
      <c r="NB29" s="552"/>
      <c r="NC29" s="552"/>
      <c r="ND29" s="552"/>
      <c r="NE29" s="552"/>
      <c r="NF29" s="552"/>
      <c r="NG29" s="552"/>
      <c r="NH29" s="552"/>
      <c r="NI29" s="613">
        <f t="shared" si="214"/>
        <v>79689</v>
      </c>
      <c r="PN29" s="574"/>
      <c r="PO29" s="593"/>
      <c r="PP29" s="593"/>
      <c r="PQ29" s="593"/>
      <c r="PR29" s="593"/>
      <c r="PS29" s="593"/>
      <c r="PT29" s="593"/>
      <c r="PU29" s="593"/>
      <c r="PV29" s="593"/>
      <c r="PW29" s="593"/>
      <c r="PX29" s="593"/>
      <c r="PY29" s="593"/>
      <c r="PZ29" s="593"/>
      <c r="QA29" s="593"/>
      <c r="QB29" s="593"/>
      <c r="QC29" s="593"/>
      <c r="QD29" s="593"/>
      <c r="QE29" s="593"/>
      <c r="QF29" s="593"/>
      <c r="QG29" s="593"/>
      <c r="QH29" s="593"/>
      <c r="QI29" s="593"/>
      <c r="QJ29" s="593"/>
      <c r="QK29" s="593"/>
      <c r="QL29" s="593"/>
      <c r="QM29" s="593"/>
      <c r="QN29" s="593"/>
      <c r="QO29" s="593"/>
      <c r="QP29" s="593"/>
      <c r="QQ29" s="593"/>
      <c r="QR29" s="593"/>
      <c r="QS29" s="593"/>
      <c r="QT29" s="593"/>
      <c r="QU29" s="593"/>
      <c r="QV29" s="593"/>
      <c r="QW29" s="593"/>
      <c r="QX29" s="593"/>
      <c r="QY29" s="593"/>
      <c r="QZ29" s="593"/>
      <c r="RA29" s="593"/>
      <c r="RB29" s="593"/>
      <c r="RC29" s="593"/>
      <c r="RD29" s="593"/>
      <c r="RE29" s="593"/>
      <c r="RF29" s="593"/>
      <c r="RG29" s="593"/>
      <c r="RH29" s="593"/>
      <c r="RI29" s="593"/>
      <c r="RJ29" s="593"/>
      <c r="RK29" s="593"/>
      <c r="RL29" s="593"/>
      <c r="RM29" s="593"/>
      <c r="RN29" s="593"/>
      <c r="RO29" s="593"/>
      <c r="RP29" s="593"/>
      <c r="RQ29" s="593"/>
      <c r="RR29" s="593"/>
    </row>
    <row r="30" spans="1:486">
      <c r="A30" s="568">
        <v>1985</v>
      </c>
      <c r="B30" s="33">
        <v>80364</v>
      </c>
      <c r="C30" s="193">
        <v>486</v>
      </c>
      <c r="D30" s="193">
        <v>160</v>
      </c>
      <c r="E30" s="193">
        <v>2114</v>
      </c>
      <c r="F30" s="193">
        <v>1249</v>
      </c>
      <c r="G30" s="193">
        <v>415</v>
      </c>
      <c r="H30" s="193">
        <v>459</v>
      </c>
      <c r="I30" s="193">
        <f>H30+G30+F30+E30+D30+C30</f>
        <v>4883</v>
      </c>
      <c r="J30" s="193">
        <f t="shared" si="216"/>
        <v>75481</v>
      </c>
      <c r="K30" s="193">
        <f t="shared" si="249"/>
        <v>66971</v>
      </c>
      <c r="L30" s="193">
        <v>8510</v>
      </c>
      <c r="M30" s="140">
        <f t="shared" si="217"/>
        <v>6.0761037280374297E-2</v>
      </c>
      <c r="N30" s="140">
        <f t="shared" si="250"/>
        <v>0.10589318600368323</v>
      </c>
      <c r="O30" s="193">
        <v>1615900</v>
      </c>
      <c r="P30" s="30">
        <f t="shared" si="251"/>
        <v>4.9733275573983542E-2</v>
      </c>
      <c r="Q30" s="629">
        <f t="shared" si="218"/>
        <v>6.0474839480364343E-3</v>
      </c>
      <c r="R30" s="308">
        <f t="shared" si="219"/>
        <v>1.9909412174605543E-3</v>
      </c>
      <c r="S30" s="308">
        <f t="shared" si="220"/>
        <v>2.6305310835697576E-2</v>
      </c>
      <c r="T30" s="308">
        <f t="shared" si="221"/>
        <v>1.5541784878801453E-2</v>
      </c>
      <c r="U30" s="308">
        <f t="shared" si="222"/>
        <v>5.1640037827883128E-3</v>
      </c>
      <c r="V30" s="308">
        <f t="shared" si="223"/>
        <v>5.7115126175899655E-3</v>
      </c>
      <c r="W30" s="5">
        <f t="shared" si="252"/>
        <v>62681</v>
      </c>
      <c r="X30" s="76">
        <f t="shared" si="253"/>
        <v>1112</v>
      </c>
      <c r="Y30" s="76">
        <f t="shared" si="3"/>
        <v>24.739495798319332</v>
      </c>
      <c r="Z30" s="76">
        <f t="shared" si="114"/>
        <v>1087.2605042016808</v>
      </c>
      <c r="AA30" s="76">
        <f t="shared" si="254"/>
        <v>48</v>
      </c>
      <c r="AB30" s="66">
        <f t="shared" si="241"/>
        <v>0</v>
      </c>
      <c r="AC30" s="274">
        <f t="shared" si="117"/>
        <v>48</v>
      </c>
      <c r="AD30" s="76">
        <f t="shared" si="255"/>
        <v>1792</v>
      </c>
      <c r="AE30" s="357">
        <f t="shared" si="247"/>
        <v>205.65207458324645</v>
      </c>
      <c r="AF30" s="274">
        <f t="shared" si="119"/>
        <v>1586.3479254167535</v>
      </c>
      <c r="AG30" s="76">
        <f t="shared" si="256"/>
        <v>1731</v>
      </c>
      <c r="AH30" s="357">
        <f t="shared" si="319"/>
        <v>233.07600743967279</v>
      </c>
      <c r="AI30" s="76">
        <f t="shared" si="287"/>
        <v>1497.9239925603272</v>
      </c>
      <c r="AJ30" s="76">
        <f t="shared" si="257"/>
        <v>3607</v>
      </c>
      <c r="AK30" s="357">
        <f t="shared" si="288"/>
        <v>568.19122415942729</v>
      </c>
      <c r="AL30" s="274">
        <f t="shared" si="123"/>
        <v>3038.8087758405727</v>
      </c>
      <c r="AM30" s="76">
        <f t="shared" si="258"/>
        <v>511</v>
      </c>
      <c r="AN30" s="357">
        <f t="shared" si="248"/>
        <v>168.21390822917536</v>
      </c>
      <c r="AO30" s="274">
        <f t="shared" si="125"/>
        <v>342.78609177082467</v>
      </c>
      <c r="AP30" s="193">
        <f t="shared" si="8"/>
        <v>8801</v>
      </c>
      <c r="AQ30" s="271">
        <f t="shared" si="9"/>
        <v>1199.8727102098412</v>
      </c>
      <c r="AR30" s="271">
        <f t="shared" si="126"/>
        <v>7601.127289790159</v>
      </c>
      <c r="AS30" s="193">
        <f t="shared" si="259"/>
        <v>53880</v>
      </c>
      <c r="AT30" s="193">
        <f t="shared" si="224"/>
        <v>25017</v>
      </c>
      <c r="AU30" s="193">
        <f t="shared" si="260"/>
        <v>28863</v>
      </c>
      <c r="AV30" s="193">
        <f t="shared" si="261"/>
        <v>10480</v>
      </c>
      <c r="AW30" s="23">
        <f t="shared" si="289"/>
        <v>0.36309461940893184</v>
      </c>
      <c r="AX30" s="271">
        <f t="shared" si="227"/>
        <v>33818</v>
      </c>
      <c r="AY30" s="140">
        <f t="shared" si="10"/>
        <v>0.14040937445158819</v>
      </c>
      <c r="AZ30" s="623">
        <f t="shared" si="129"/>
        <v>0.1212668478452826</v>
      </c>
      <c r="BA30" s="248">
        <f t="shared" si="11"/>
        <v>0.22476572505145659</v>
      </c>
      <c r="BB30" s="248">
        <f t="shared" si="130"/>
        <v>3.2150349050851047E-2</v>
      </c>
      <c r="BC30" s="248">
        <f t="shared" si="131"/>
        <v>1.4193624696906973E-3</v>
      </c>
      <c r="BD30" s="248">
        <f t="shared" si="132"/>
        <v>4.6908389775171609E-2</v>
      </c>
      <c r="BE30" s="248">
        <f t="shared" si="133"/>
        <v>4.4293689531028656E-2</v>
      </c>
      <c r="BF30" s="248">
        <f t="shared" si="134"/>
        <v>8.9857731854059167E-2</v>
      </c>
      <c r="BG30" s="248">
        <f t="shared" si="135"/>
        <v>1.013620237065541E-2</v>
      </c>
      <c r="BH30" s="248">
        <f t="shared" si="136"/>
        <v>4.8327752244862306E-2</v>
      </c>
      <c r="BI30" s="23">
        <f t="shared" si="12"/>
        <v>0.2072564906262937</v>
      </c>
      <c r="BJ30" s="140">
        <f t="shared" si="13"/>
        <v>0.46047446594661862</v>
      </c>
      <c r="BK30" s="623">
        <f t="shared" si="137"/>
        <v>0.44133193934031301</v>
      </c>
      <c r="BL30" s="590">
        <f t="shared" si="290"/>
        <v>-507.14285714285779</v>
      </c>
      <c r="BM30" s="66">
        <f t="shared" si="291"/>
        <v>-8.7142857142857117</v>
      </c>
      <c r="BN30" s="66">
        <f t="shared" si="292"/>
        <v>-3.4285714285714279</v>
      </c>
      <c r="BO30" s="66">
        <f t="shared" si="292"/>
        <v>-38.428571428571431</v>
      </c>
      <c r="BP30" s="66">
        <f t="shared" si="292"/>
        <v>-317.28571428571433</v>
      </c>
      <c r="BQ30" s="66">
        <f>BQ29+(BQ$34-BQ$27)/7</f>
        <v>-3068.2857142857147</v>
      </c>
      <c r="BR30" s="66">
        <f t="shared" si="293"/>
        <v>-43.857142857142854</v>
      </c>
      <c r="BS30" s="193">
        <f>BR30+BQ30+BP30+BO30+BN30+BM30</f>
        <v>-3480.0000000000005</v>
      </c>
      <c r="BT30" s="66">
        <f t="shared" si="293"/>
        <v>2972.8571428571427</v>
      </c>
      <c r="BU30" s="193">
        <f t="shared" si="237"/>
        <v>1229.5714285714287</v>
      </c>
      <c r="BV30" s="66">
        <f t="shared" si="293"/>
        <v>1743.285714285714</v>
      </c>
      <c r="BW30" s="5">
        <f t="shared" si="262"/>
        <v>29576</v>
      </c>
      <c r="BX30" s="193">
        <f t="shared" si="263"/>
        <v>1089</v>
      </c>
      <c r="BY30" s="193">
        <f t="shared" si="148"/>
        <v>21.647058823529417</v>
      </c>
      <c r="BZ30" s="647">
        <f t="shared" si="149"/>
        <v>3.6088481916975605E-2</v>
      </c>
      <c r="CA30" s="193">
        <f t="shared" si="264"/>
        <v>18</v>
      </c>
      <c r="CB30" s="193">
        <f t="shared" si="151"/>
        <v>0</v>
      </c>
      <c r="CC30" s="647">
        <f t="shared" si="14"/>
        <v>6.0860156883959973E-4</v>
      </c>
      <c r="CD30" s="193">
        <f t="shared" si="265"/>
        <v>1228</v>
      </c>
      <c r="CE30" s="193">
        <f t="shared" si="153"/>
        <v>84.775838970517924</v>
      </c>
      <c r="CF30" s="655">
        <f t="shared" si="15"/>
        <v>3.8653778774326547E-2</v>
      </c>
      <c r="CG30" s="193">
        <f t="shared" si="266"/>
        <v>1472</v>
      </c>
      <c r="CH30" s="193">
        <f t="shared" si="155"/>
        <v>206.37569396004898</v>
      </c>
      <c r="CI30" s="23">
        <f t="shared" si="16"/>
        <v>4.279227434541355E-2</v>
      </c>
      <c r="CJ30" s="193">
        <f t="shared" si="267"/>
        <v>3056</v>
      </c>
      <c r="CK30" s="641">
        <f t="shared" si="157"/>
        <v>295.64897561443968</v>
      </c>
      <c r="CL30" s="34">
        <f t="shared" si="158"/>
        <v>9.3330775777169334E-2</v>
      </c>
      <c r="CM30" s="193">
        <f t="shared" si="268"/>
        <v>445</v>
      </c>
      <c r="CN30" s="193">
        <f t="shared" si="160"/>
        <v>151.39251740625781</v>
      </c>
      <c r="CO30" s="23">
        <f t="shared" si="161"/>
        <v>9.92722080719983E-3</v>
      </c>
      <c r="CP30" s="193">
        <f t="shared" si="17"/>
        <v>7308</v>
      </c>
      <c r="CQ30" s="193">
        <f t="shared" si="162"/>
        <v>759.84008477479392</v>
      </c>
      <c r="CR30" s="271">
        <f t="shared" si="18"/>
        <v>22268</v>
      </c>
      <c r="CS30" s="248">
        <f t="shared" si="163"/>
        <v>0.22140113318992447</v>
      </c>
      <c r="CT30" s="30">
        <f t="shared" si="19"/>
        <v>0.24709223694887747</v>
      </c>
      <c r="CU30" s="308">
        <f t="shared" si="20"/>
        <v>0</v>
      </c>
      <c r="CV30" s="608">
        <f t="shared" si="269"/>
        <v>3.682039491479578E-2</v>
      </c>
      <c r="CW30" s="608">
        <f t="shared" si="270"/>
        <v>6.0860156883959973E-4</v>
      </c>
      <c r="CX30" s="608">
        <f t="shared" si="271"/>
        <v>4.1520151474168245E-2</v>
      </c>
      <c r="CY30" s="608">
        <f t="shared" si="272"/>
        <v>4.9770083851771708E-2</v>
      </c>
      <c r="CZ30" s="608">
        <f>CJ30/$BW30</f>
        <v>0.10332702190965648</v>
      </c>
      <c r="DA30" s="608">
        <f>'Assets(BoP)'!FK77</f>
        <v>7.5203944965298933E-2</v>
      </c>
      <c r="DB30" s="608">
        <f t="shared" si="273"/>
        <v>1.5045983229645659E-2</v>
      </c>
      <c r="DC30" s="23">
        <f t="shared" si="21"/>
        <v>0.30842446965405329</v>
      </c>
      <c r="DD30" s="193">
        <f t="shared" si="22"/>
        <v>21231</v>
      </c>
      <c r="DE30" s="193">
        <f t="shared" si="274"/>
        <v>8345</v>
      </c>
      <c r="DF30" s="193"/>
      <c r="DG30" s="193">
        <f>'Assets(BoP)'!DA77</f>
        <v>0</v>
      </c>
      <c r="DH30" s="23">
        <f t="shared" si="23"/>
        <v>0.28215444955369218</v>
      </c>
      <c r="DI30" s="23"/>
      <c r="DJ30" s="23">
        <f t="shared" si="24"/>
        <v>0.2055720854747092</v>
      </c>
      <c r="DK30" s="600">
        <f>'Assets(BoP)'!FO77-'Assets(BoP)'!FH77</f>
        <v>0.16022430552978872</v>
      </c>
      <c r="DL30" s="576">
        <f t="shared" si="25"/>
        <v>0.77996366532278139</v>
      </c>
      <c r="DM30" s="251">
        <f t="shared" si="26"/>
        <v>2.288065843621399</v>
      </c>
      <c r="DN30" s="251">
        <f t="shared" si="27"/>
        <v>2.2712500090210539</v>
      </c>
      <c r="DO30" s="251">
        <f t="shared" si="28"/>
        <v>0.3</v>
      </c>
      <c r="DP30" s="251">
        <f t="shared" si="29"/>
        <v>0.3</v>
      </c>
      <c r="DQ30" s="251">
        <f t="shared" si="30"/>
        <v>0.84768211920529801</v>
      </c>
      <c r="DR30" s="251">
        <f t="shared" si="31"/>
        <v>0.77256001174936917</v>
      </c>
      <c r="DS30" s="251">
        <f t="shared" si="32"/>
        <v>1.3859087269815853</v>
      </c>
      <c r="DT30" s="251">
        <f t="shared" si="33"/>
        <v>1.2691263908650436</v>
      </c>
      <c r="DU30" s="251">
        <f t="shared" si="34"/>
        <v>8.6915662650602403</v>
      </c>
      <c r="DV30" s="251">
        <f t="shared" si="35"/>
        <v>12.279312732131958</v>
      </c>
      <c r="DW30" s="251">
        <f t="shared" si="36"/>
        <v>1.1132897603485838</v>
      </c>
      <c r="DX30" s="251">
        <f t="shared" si="37"/>
        <v>0.83728153898791335</v>
      </c>
      <c r="DY30" s="251">
        <f t="shared" si="38"/>
        <v>0.80914687774846084</v>
      </c>
      <c r="DZ30" s="251">
        <f t="shared" si="39"/>
        <v>0.7383995405188073</v>
      </c>
      <c r="EA30" s="643">
        <f t="shared" si="40"/>
        <v>1.8023755887773909</v>
      </c>
      <c r="EB30" s="643">
        <f t="shared" si="41"/>
        <v>1.6782389912274451</v>
      </c>
      <c r="EC30" s="251">
        <f t="shared" si="42"/>
        <v>0.71382202143585805</v>
      </c>
      <c r="ED30" s="251">
        <f t="shared" si="43"/>
        <v>0.47064881565396499</v>
      </c>
      <c r="EE30" s="140">
        <f t="shared" si="44"/>
        <v>0.37354974541219332</v>
      </c>
      <c r="EF30" s="1342">
        <v>0.21490274027789549</v>
      </c>
      <c r="EG30" s="140">
        <f t="shared" si="228"/>
        <v>3.3916568742655699</v>
      </c>
      <c r="EH30" s="583">
        <v>27.56</v>
      </c>
      <c r="EI30" s="1344">
        <v>1.9264926492649264</v>
      </c>
      <c r="EJ30" s="576">
        <f t="shared" si="166"/>
        <v>0.36802548404758351</v>
      </c>
      <c r="EK30" s="753">
        <f t="shared" si="167"/>
        <v>1.5939491127199263</v>
      </c>
      <c r="EL30" s="753">
        <f t="shared" si="168"/>
        <v>0.98061104582843717</v>
      </c>
      <c r="EM30" s="753">
        <f t="shared" si="169"/>
        <v>0.20789595496558211</v>
      </c>
      <c r="EN30" s="583"/>
      <c r="EO30" s="579">
        <v>36634</v>
      </c>
      <c r="EP30" s="569">
        <v>1483</v>
      </c>
      <c r="EQ30" s="569"/>
      <c r="ER30" s="569">
        <v>25</v>
      </c>
      <c r="ES30" s="569"/>
      <c r="ET30" s="569">
        <v>1697</v>
      </c>
      <c r="EU30" s="569"/>
      <c r="EV30" s="569">
        <v>2473</v>
      </c>
      <c r="EW30" s="569"/>
      <c r="EX30" s="569">
        <v>4284</v>
      </c>
      <c r="EY30" s="569"/>
      <c r="EZ30" s="569">
        <v>485</v>
      </c>
      <c r="FA30" s="569"/>
      <c r="FB30" s="193">
        <f t="shared" si="294"/>
        <v>10447</v>
      </c>
      <c r="FC30" s="193">
        <f t="shared" si="295"/>
        <v>26187</v>
      </c>
      <c r="FD30" s="23">
        <f t="shared" si="296"/>
        <v>0.28517224436315991</v>
      </c>
      <c r="FE30" s="193">
        <v>9157</v>
      </c>
      <c r="FF30" s="193">
        <v>2511</v>
      </c>
      <c r="FG30" s="193"/>
      <c r="FH30" s="193"/>
      <c r="FI30" s="193"/>
      <c r="FJ30" s="5">
        <v>33105</v>
      </c>
      <c r="FK30" s="143" t="e">
        <f>FJ30/'Assets(BoP)'!AV77/1000</f>
        <v>#DIV/0!</v>
      </c>
      <c r="FL30" s="192"/>
      <c r="FM30" s="193">
        <v>23</v>
      </c>
      <c r="FN30" s="66">
        <f t="shared" si="297"/>
        <v>3.0924369747899165</v>
      </c>
      <c r="FO30" s="184">
        <f t="shared" si="298"/>
        <v>0.13445378151260506</v>
      </c>
      <c r="FP30" s="193">
        <v>30</v>
      </c>
      <c r="FQ30" s="66">
        <f t="shared" si="299"/>
        <v>0</v>
      </c>
      <c r="FR30" s="184">
        <v>0</v>
      </c>
      <c r="FS30" s="193">
        <v>564</v>
      </c>
      <c r="FT30" s="66">
        <f t="shared" si="300"/>
        <v>120.87623561272852</v>
      </c>
      <c r="FU30" s="193">
        <f t="shared" si="175"/>
        <v>443.12376438727148</v>
      </c>
      <c r="FV30" s="184">
        <f t="shared" si="301"/>
        <v>0.21431956668923496</v>
      </c>
      <c r="FW30" s="193">
        <v>259</v>
      </c>
      <c r="FX30" s="66">
        <f t="shared" si="302"/>
        <v>26.700313479623819</v>
      </c>
      <c r="FY30" s="184">
        <f t="shared" si="303"/>
        <v>0.103090013434841</v>
      </c>
      <c r="FZ30" s="193">
        <v>551</v>
      </c>
      <c r="GA30" s="66">
        <f t="shared" si="304"/>
        <v>272.54224854498761</v>
      </c>
      <c r="GB30" s="193">
        <f t="shared" si="180"/>
        <v>278.45775145501239</v>
      </c>
      <c r="GC30" s="184">
        <f t="shared" si="305"/>
        <v>0.49463203002720074</v>
      </c>
      <c r="GD30" s="193">
        <v>66</v>
      </c>
      <c r="GE30" s="66">
        <f t="shared" si="306"/>
        <v>16.821390822917536</v>
      </c>
      <c r="GF30" s="184">
        <f t="shared" si="307"/>
        <v>0.25486955792299298</v>
      </c>
      <c r="GG30" s="193">
        <f t="shared" si="47"/>
        <v>1493</v>
      </c>
      <c r="GH30" s="193">
        <f t="shared" si="48"/>
        <v>440.03262543504741</v>
      </c>
      <c r="GI30" s="193">
        <f t="shared" si="49"/>
        <v>31612</v>
      </c>
      <c r="GJ30" s="23">
        <f t="shared" si="50"/>
        <v>4.5098927654432866E-2</v>
      </c>
      <c r="GK30" s="416">
        <v>20518</v>
      </c>
      <c r="GL30" s="416">
        <v>8191</v>
      </c>
      <c r="GM30" s="23" t="e">
        <f>GK30/'Assets(BoP)'!AW77/1000</f>
        <v>#DIV/0!</v>
      </c>
      <c r="GN30" s="23">
        <f t="shared" si="51"/>
        <v>0.61978553088657307</v>
      </c>
      <c r="GO30" s="330">
        <f t="shared" si="275"/>
        <v>12587</v>
      </c>
      <c r="GP30" s="184"/>
      <c r="GQ30" s="330">
        <f t="shared" si="52"/>
        <v>11094</v>
      </c>
      <c r="GR30" s="330">
        <v>276.19299999999998</v>
      </c>
      <c r="GS30" s="140">
        <f t="shared" si="53"/>
        <v>8.6543395089252698E-2</v>
      </c>
      <c r="GT30" s="609">
        <v>1.2006833729279993</v>
      </c>
      <c r="GU30" s="143">
        <f t="shared" si="54"/>
        <v>0.52815047622086442</v>
      </c>
      <c r="GV30" s="589">
        <f t="shared" si="276"/>
        <v>2.0683453237410072E-2</v>
      </c>
      <c r="GW30" s="389">
        <v>0.125</v>
      </c>
      <c r="GX30" s="589">
        <f t="shared" si="277"/>
        <v>0.625</v>
      </c>
      <c r="GY30" s="389">
        <v>0.25</v>
      </c>
      <c r="GZ30" s="589">
        <f t="shared" si="308"/>
        <v>0.31473214285714285</v>
      </c>
      <c r="HA30" s="56">
        <f t="shared" si="320"/>
        <v>0.58777056277056283</v>
      </c>
      <c r="HB30" s="589">
        <f t="shared" si="278"/>
        <v>0.14962449451184287</v>
      </c>
      <c r="HC30" s="56">
        <f t="shared" si="321"/>
        <v>0.11455625043918206</v>
      </c>
      <c r="HD30" s="589">
        <f t="shared" si="279"/>
        <v>0.15275852509010257</v>
      </c>
      <c r="HE30" s="56">
        <f t="shared" si="322"/>
        <v>0.4796664167916041</v>
      </c>
      <c r="HF30" s="589">
        <f t="shared" si="309"/>
        <v>0.12915851272015655</v>
      </c>
      <c r="HG30" s="56">
        <v>0.1</v>
      </c>
      <c r="HH30" s="6">
        <f t="shared" si="57"/>
        <v>0.16963981365753891</v>
      </c>
      <c r="HI30" s="6">
        <f t="shared" si="58"/>
        <v>0.13852779126318529</v>
      </c>
      <c r="HJ30" s="23">
        <f t="shared" si="280"/>
        <v>0.71087551536569316</v>
      </c>
      <c r="HK30" s="23">
        <f t="shared" si="280"/>
        <v>0.7815839694656489</v>
      </c>
      <c r="HL30" s="23">
        <f t="shared" si="281"/>
        <v>0.67056519610509713</v>
      </c>
      <c r="HM30" s="31">
        <f t="shared" si="282"/>
        <v>0.37219823762493348</v>
      </c>
      <c r="HN30" s="23">
        <f t="shared" si="60"/>
        <v>0.58671121009651073</v>
      </c>
      <c r="HO30" s="23">
        <f t="shared" si="61"/>
        <v>0.44345844825518649</v>
      </c>
      <c r="HP30" s="575">
        <v>6744</v>
      </c>
      <c r="HQ30" s="193">
        <v>320</v>
      </c>
      <c r="HR30" s="193">
        <v>-3</v>
      </c>
      <c r="HS30" s="193">
        <v>436</v>
      </c>
      <c r="HT30" s="193">
        <v>981</v>
      </c>
      <c r="HU30" s="193">
        <v>1162</v>
      </c>
      <c r="HV30" s="193">
        <v>14</v>
      </c>
      <c r="HW30" s="193">
        <f t="shared" si="310"/>
        <v>2910</v>
      </c>
      <c r="HX30" s="193">
        <f t="shared" si="311"/>
        <v>3834</v>
      </c>
      <c r="HY30" s="193">
        <v>704</v>
      </c>
      <c r="HZ30" s="193">
        <v>34</v>
      </c>
      <c r="IA30" s="193"/>
      <c r="IB30" s="23">
        <f t="shared" si="283"/>
        <v>0.43149466192170821</v>
      </c>
      <c r="IC30" s="23"/>
      <c r="ID30" s="23"/>
      <c r="IE30" s="23"/>
      <c r="IF30" s="23"/>
      <c r="IG30" s="23"/>
      <c r="IH30" s="23"/>
      <c r="II30" s="23"/>
      <c r="IJ30" s="23"/>
      <c r="IK30" s="23"/>
      <c r="IL30" s="23"/>
      <c r="IM30" s="575">
        <v>314</v>
      </c>
      <c r="IN30" s="193">
        <v>74</v>
      </c>
      <c r="IO30" s="193">
        <v>10</v>
      </c>
      <c r="IP30" s="193">
        <v>33</v>
      </c>
      <c r="IQ30" s="193">
        <v>20</v>
      </c>
      <c r="IR30" s="193">
        <v>66</v>
      </c>
      <c r="IS30" s="193">
        <v>26</v>
      </c>
      <c r="IT30" s="193">
        <f t="shared" si="312"/>
        <v>229</v>
      </c>
      <c r="IU30" s="193">
        <f t="shared" si="313"/>
        <v>85</v>
      </c>
      <c r="IV30" s="193">
        <v>108</v>
      </c>
      <c r="IW30" s="193">
        <v>188</v>
      </c>
      <c r="IX30" s="149">
        <f t="shared" si="63"/>
        <v>196978.14285714287</v>
      </c>
      <c r="IY30" s="316">
        <f t="shared" si="64"/>
        <v>2731.2857142857142</v>
      </c>
      <c r="IZ30" s="316">
        <f t="shared" si="65"/>
        <v>101.14285714285717</v>
      </c>
      <c r="JA30" s="316">
        <f t="shared" si="66"/>
        <v>3025.2857142857147</v>
      </c>
      <c r="JB30" s="316">
        <f t="shared" si="67"/>
        <v>6852.1428571428569</v>
      </c>
      <c r="JC30" s="316">
        <f t="shared" si="68"/>
        <v>32675.714285714286</v>
      </c>
      <c r="JD30" s="316">
        <f t="shared" si="69"/>
        <v>2921.1428571428573</v>
      </c>
      <c r="JE30" s="316">
        <f t="shared" si="70"/>
        <v>48306.71428571429</v>
      </c>
      <c r="JF30" s="316">
        <f t="shared" si="71"/>
        <v>148671.42857142858</v>
      </c>
      <c r="JG30" s="316">
        <f t="shared" si="72"/>
        <v>101149.71428571429</v>
      </c>
      <c r="JH30" s="316">
        <f t="shared" si="73"/>
        <v>47521.714285714283</v>
      </c>
      <c r="JI30" s="5">
        <v>264320</v>
      </c>
      <c r="JJ30" s="593">
        <v>4174</v>
      </c>
      <c r="JK30" s="593">
        <v>577</v>
      </c>
      <c r="JL30" s="593">
        <v>10329</v>
      </c>
      <c r="JM30" s="536">
        <v>15538</v>
      </c>
      <c r="JN30" s="536">
        <v>41037</v>
      </c>
      <c r="JO30" s="536">
        <v>3225</v>
      </c>
      <c r="JP30" s="552">
        <f t="shared" si="74"/>
        <v>74880</v>
      </c>
      <c r="JQ30" s="552">
        <f t="shared" si="75"/>
        <v>189440</v>
      </c>
      <c r="JR30" s="552">
        <f t="shared" si="76"/>
        <v>136194</v>
      </c>
      <c r="JS30" s="593">
        <v>53246</v>
      </c>
      <c r="JT30" s="1257">
        <f t="shared" si="323"/>
        <v>67341.85714285713</v>
      </c>
      <c r="JU30" s="1076">
        <f t="shared" si="314"/>
        <v>1442.7142857142858</v>
      </c>
      <c r="JV30" s="1076">
        <f t="shared" si="314"/>
        <v>475.85714285714283</v>
      </c>
      <c r="JW30" s="1076">
        <f t="shared" si="314"/>
        <v>7303.7142857142853</v>
      </c>
      <c r="JX30" s="1076">
        <f t="shared" si="314"/>
        <v>8685.8571428571431</v>
      </c>
      <c r="JY30" s="1076">
        <f t="shared" si="314"/>
        <v>8361.2857142857138</v>
      </c>
      <c r="JZ30" s="1076">
        <f t="shared" si="314"/>
        <v>303.85714285714283</v>
      </c>
      <c r="KA30" s="552">
        <f t="shared" si="315"/>
        <v>26573.28571428571</v>
      </c>
      <c r="KB30" s="552">
        <f t="shared" si="316"/>
        <v>40768.57142857142</v>
      </c>
      <c r="KC30" s="552">
        <f t="shared" si="317"/>
        <v>35044.285714285703</v>
      </c>
      <c r="KD30" s="1076">
        <f t="shared" si="318"/>
        <v>5724.2857142857147</v>
      </c>
      <c r="KE30" s="149">
        <v>169657</v>
      </c>
      <c r="KF30">
        <v>1238</v>
      </c>
      <c r="KG30">
        <v>295</v>
      </c>
      <c r="KH30">
        <v>5255</v>
      </c>
      <c r="KI30">
        <v>1171</v>
      </c>
      <c r="KJ30">
        <v>1847</v>
      </c>
      <c r="KK30">
        <v>1466</v>
      </c>
      <c r="KL30" s="552">
        <f t="shared" si="207"/>
        <v>11272</v>
      </c>
      <c r="KM30" s="552">
        <f t="shared" si="208"/>
        <v>158385</v>
      </c>
      <c r="KN30" s="552">
        <f t="shared" si="209"/>
        <v>88443</v>
      </c>
      <c r="KO30">
        <v>69942</v>
      </c>
      <c r="KP30" s="149">
        <v>71356</v>
      </c>
      <c r="LA30" s="149">
        <f>'Assets(MOFA)'!IX30-'Assets(MOFA)'!KE30-'Assets(MOFA)'!KP30</f>
        <v>-44034.85714285713</v>
      </c>
      <c r="LB30" s="552">
        <f>'Assets(MOFA)'!IY30-'Assets(MOFA)'!KF30-'Assets(MOFA)'!KQ30</f>
        <v>1493.2857142857142</v>
      </c>
      <c r="LC30" s="552">
        <f>'Assets(MOFA)'!IZ30-'Assets(MOFA)'!KG30-'Assets(MOFA)'!KR30</f>
        <v>-193.85714285714283</v>
      </c>
      <c r="LD30" s="552">
        <f>'Assets(MOFA)'!JA30-'Assets(MOFA)'!KH30-'Assets(MOFA)'!KS30</f>
        <v>-2229.7142857142853</v>
      </c>
      <c r="LE30" s="552">
        <f>'Assets(MOFA)'!JB30-'Assets(MOFA)'!KI30-'Assets(MOFA)'!KT30</f>
        <v>5681.1428571428569</v>
      </c>
      <c r="LF30" s="552">
        <f>'Assets(MOFA)'!JC30-'Assets(MOFA)'!KJ30-'Assets(MOFA)'!KU30</f>
        <v>30828.714285714286</v>
      </c>
      <c r="LG30" s="552">
        <f>'Assets(MOFA)'!JD30-'Assets(MOFA)'!KK30-'Assets(MOFA)'!KV30</f>
        <v>1455.1428571428573</v>
      </c>
      <c r="LH30" s="552">
        <f>'Assets(MOFA)'!JE30-'Assets(MOFA)'!KL30-'Assets(MOFA)'!KW30</f>
        <v>37034.71428571429</v>
      </c>
      <c r="LI30" s="552">
        <f>'Assets(MOFA)'!JF30-'Assets(MOFA)'!KM30-'Assets(MOFA)'!KX30</f>
        <v>-9713.5714285714203</v>
      </c>
      <c r="LJ30" s="552">
        <f t="shared" si="77"/>
        <v>12706.714285714297</v>
      </c>
      <c r="LK30" s="552">
        <f>'Assets(MOFA)'!JH30-'Assets(MOFA)'!KO30-'Assets(MOFA)'!KZ30</f>
        <v>-22420.285714285717</v>
      </c>
      <c r="LL30" s="576">
        <f t="shared" si="78"/>
        <v>0.31821297069217974</v>
      </c>
      <c r="LM30" s="6">
        <f t="shared" si="79"/>
        <v>0.4071342643443695</v>
      </c>
      <c r="LN30" s="6">
        <f t="shared" si="80"/>
        <v>0.47457627118644058</v>
      </c>
      <c r="LO30" s="6">
        <f t="shared" si="81"/>
        <v>0.59234074703687956</v>
      </c>
      <c r="LP30" s="6">
        <f t="shared" si="82"/>
        <v>0.2526217033253414</v>
      </c>
      <c r="LQ30" s="6">
        <f t="shared" si="83"/>
        <v>0.11038779346828138</v>
      </c>
      <c r="LR30" s="6">
        <f t="shared" si="84"/>
        <v>0.17493153364632236</v>
      </c>
      <c r="LS30" s="6">
        <f t="shared" si="85"/>
        <v>0.18218999429242311</v>
      </c>
      <c r="LT30" s="143">
        <f t="shared" si="86"/>
        <v>0.2682219074167162</v>
      </c>
      <c r="LU30" s="62">
        <f t="shared" si="87"/>
        <v>0.15214173134090139</v>
      </c>
      <c r="LV30" s="902">
        <f t="shared" si="88"/>
        <v>0.36240991640242143</v>
      </c>
      <c r="LW30" s="902">
        <f t="shared" si="89"/>
        <v>0.24732645244390211</v>
      </c>
      <c r="LX30" s="143">
        <f t="shared" si="90"/>
        <v>0.60736445294181307</v>
      </c>
      <c r="LY30" s="576">
        <f t="shared" si="91"/>
        <v>0.31980705618534905</v>
      </c>
      <c r="LZ30" s="906">
        <f t="shared" si="92"/>
        <v>0.43422773157591926</v>
      </c>
      <c r="MA30" s="906">
        <f t="shared" si="93"/>
        <v>0.5734463276836157</v>
      </c>
      <c r="MB30" s="906">
        <f t="shared" si="94"/>
        <v>0.60324880766869704</v>
      </c>
      <c r="MC30" s="906">
        <f t="shared" si="95"/>
        <v>0.25554049827999586</v>
      </c>
      <c r="MD30" s="906">
        <f t="shared" si="96"/>
        <v>0.11240764219822498</v>
      </c>
      <c r="ME30" s="906">
        <v>6.1610529375296846E-2</v>
      </c>
      <c r="MF30" s="906">
        <f t="shared" si="97"/>
        <v>0.18383215962441313</v>
      </c>
      <c r="MG30" s="30">
        <f t="shared" si="98"/>
        <v>0.18693053612777874</v>
      </c>
      <c r="MH30" s="140">
        <f t="shared" si="99"/>
        <v>0.27781839784307455</v>
      </c>
      <c r="MI30" s="30">
        <f t="shared" si="100"/>
        <v>0.15518624184506116</v>
      </c>
      <c r="MJ30" s="30">
        <f t="shared" si="101"/>
        <v>0.36298164696838664</v>
      </c>
      <c r="MK30" s="617">
        <f t="shared" si="102"/>
        <v>0.24732645244390211</v>
      </c>
      <c r="ML30" s="615">
        <f t="shared" si="103"/>
        <v>0.60736445294181307</v>
      </c>
      <c r="MM30" s="574"/>
      <c r="MX30" s="613"/>
      <c r="MY30" s="552"/>
      <c r="MZ30" s="552"/>
      <c r="NA30" s="552"/>
      <c r="NB30" s="552"/>
      <c r="NC30" s="552"/>
      <c r="ND30" s="552"/>
      <c r="NE30" s="552"/>
      <c r="NF30" s="552"/>
      <c r="NG30" s="552"/>
      <c r="NH30" s="552"/>
      <c r="NI30" s="613">
        <f t="shared" si="214"/>
        <v>80364</v>
      </c>
      <c r="PN30" s="574"/>
      <c r="PO30" s="593"/>
      <c r="PP30" s="593"/>
      <c r="PQ30" s="593"/>
      <c r="PR30" s="593"/>
      <c r="PS30" s="593"/>
      <c r="PT30" s="593"/>
      <c r="PU30" s="593"/>
      <c r="PV30" s="593"/>
      <c r="PW30" s="593"/>
      <c r="PX30" s="593"/>
      <c r="PY30" s="593"/>
      <c r="PZ30" s="593"/>
      <c r="QA30" s="593"/>
      <c r="QB30" s="593"/>
      <c r="QC30" s="593"/>
      <c r="QD30" s="593"/>
      <c r="QE30" s="593"/>
      <c r="QF30" s="593"/>
      <c r="QG30" s="593"/>
      <c r="QH30" s="593"/>
      <c r="QI30" s="593"/>
      <c r="QJ30" s="593"/>
      <c r="QK30" s="593"/>
      <c r="QL30" s="593"/>
      <c r="QM30" s="593"/>
      <c r="QN30" s="593"/>
      <c r="QO30" s="593"/>
      <c r="QP30" s="593"/>
      <c r="QQ30" s="593"/>
      <c r="QR30" s="593"/>
      <c r="QS30" s="593"/>
      <c r="QT30" s="593"/>
      <c r="QU30" s="593"/>
      <c r="QV30" s="593"/>
      <c r="QW30" s="593"/>
      <c r="QX30" s="593"/>
      <c r="QY30" s="593"/>
      <c r="QZ30" s="593"/>
      <c r="RA30" s="593"/>
      <c r="RB30" s="593"/>
      <c r="RC30" s="593"/>
      <c r="RD30" s="593"/>
      <c r="RE30" s="593"/>
      <c r="RF30" s="593"/>
      <c r="RG30" s="593"/>
      <c r="RH30" s="593"/>
      <c r="RI30" s="593"/>
      <c r="RJ30" s="593"/>
      <c r="RK30" s="593"/>
      <c r="RL30" s="593"/>
      <c r="RM30" s="593"/>
      <c r="RN30" s="593"/>
      <c r="RO30" s="593"/>
      <c r="RP30" s="593"/>
      <c r="RQ30" s="593"/>
      <c r="RR30" s="593"/>
    </row>
    <row r="31" spans="1:486">
      <c r="A31" s="568">
        <v>1986</v>
      </c>
      <c r="B31" s="33">
        <f t="array" ref="B31:B53">TRANSPOSE(OECD_Comp86!C74:Y74)</f>
        <v>92025</v>
      </c>
      <c r="C31" s="193">
        <f t="array" ref="C31:C53">TRANSPOSE(OECD_Comp86!C39:Z39)</f>
        <v>616</v>
      </c>
      <c r="D31" s="193">
        <f t="array" ref="D31:D53">TRANSPOSE(OECD_Comp86!C47:Y47)</f>
        <v>228</v>
      </c>
      <c r="E31" s="193">
        <f t="array" ref="E31:E53">TRANSPOSE(OECD_Comp86!C53:Y53)</f>
        <v>2744</v>
      </c>
      <c r="F31" s="193">
        <f t="array" ref="F31:F53">TRANSPOSE(OECD_Comp86!C18:Y18)</f>
        <v>1533</v>
      </c>
      <c r="G31" s="193">
        <v>355</v>
      </c>
      <c r="H31" s="193">
        <f t="array" ref="H31:H53">TRANSPOSE(OECD_Comp86!C63:Y63)</f>
        <v>422</v>
      </c>
      <c r="I31" s="193">
        <f t="shared" ref="I31:I38" si="324">H31+G31+F31+E31+D31+C31</f>
        <v>5898</v>
      </c>
      <c r="J31" s="193">
        <f t="shared" ref="J31:J38" si="325">B31-I31</f>
        <v>86127</v>
      </c>
      <c r="K31" s="193">
        <f t="shared" si="249"/>
        <v>77633</v>
      </c>
      <c r="L31" s="193">
        <v>8494</v>
      </c>
      <c r="M31" s="140">
        <f t="shared" si="217"/>
        <v>6.4091279543602275E-2</v>
      </c>
      <c r="N31" s="140">
        <f t="shared" si="250"/>
        <v>9.2301005161640859E-2</v>
      </c>
      <c r="O31" s="193">
        <v>1723400</v>
      </c>
      <c r="P31" s="32">
        <f t="shared" si="251"/>
        <v>5.3397354067540904E-2</v>
      </c>
      <c r="Q31" s="629">
        <f t="shared" si="218"/>
        <v>6.6938331975006787E-3</v>
      </c>
      <c r="R31" s="308">
        <f t="shared" si="219"/>
        <v>2.4775876120619396E-3</v>
      </c>
      <c r="S31" s="308">
        <f t="shared" si="220"/>
        <v>2.9817984243412116E-2</v>
      </c>
      <c r="T31" s="308">
        <f t="shared" si="221"/>
        <v>1.6658516707416464E-2</v>
      </c>
      <c r="U31" s="308">
        <f t="shared" si="222"/>
        <v>3.8576473784297746E-3</v>
      </c>
      <c r="V31" s="308">
        <f t="shared" si="223"/>
        <v>4.5857104047813098E-3</v>
      </c>
      <c r="W31" s="5">
        <f t="shared" si="252"/>
        <v>56360</v>
      </c>
      <c r="X31" s="76">
        <f t="shared" si="253"/>
        <v>864</v>
      </c>
      <c r="Y31" s="76">
        <f t="shared" si="3"/>
        <v>27.428571428571438</v>
      </c>
      <c r="Z31" s="76">
        <f t="shared" si="114"/>
        <v>836.57142857142856</v>
      </c>
      <c r="AA31" s="76">
        <f t="shared" si="254"/>
        <v>91</v>
      </c>
      <c r="AB31" s="66">
        <f t="shared" si="241"/>
        <v>0</v>
      </c>
      <c r="AC31" s="274">
        <f t="shared" si="117"/>
        <v>91</v>
      </c>
      <c r="AD31" s="76">
        <f t="shared" si="255"/>
        <v>2356</v>
      </c>
      <c r="AE31" s="357">
        <f t="shared" si="247"/>
        <v>198.30056899476597</v>
      </c>
      <c r="AF31" s="274">
        <f t="shared" si="119"/>
        <v>2157.6994310052341</v>
      </c>
      <c r="AG31" s="76">
        <f t="shared" si="256"/>
        <v>1609</v>
      </c>
      <c r="AH31" s="357">
        <f t="shared" si="319"/>
        <v>180.24875768198413</v>
      </c>
      <c r="AI31" s="76">
        <f t="shared" si="287"/>
        <v>1428.7512423180158</v>
      </c>
      <c r="AJ31" s="76">
        <f t="shared" si="257"/>
        <v>2627</v>
      </c>
      <c r="AK31" s="357">
        <f t="shared" si="288"/>
        <v>289.34982770887814</v>
      </c>
      <c r="AL31" s="274">
        <f t="shared" si="123"/>
        <v>2337.6501722911216</v>
      </c>
      <c r="AM31" s="76">
        <f t="shared" si="258"/>
        <v>733</v>
      </c>
      <c r="AN31" s="357">
        <f t="shared" si="248"/>
        <v>102.81469675362801</v>
      </c>
      <c r="AO31" s="274">
        <f t="shared" si="125"/>
        <v>630.18530324637197</v>
      </c>
      <c r="AP31" s="193">
        <f t="shared" si="8"/>
        <v>8280</v>
      </c>
      <c r="AQ31" s="271">
        <f t="shared" si="9"/>
        <v>798.14242256782768</v>
      </c>
      <c r="AR31" s="271">
        <f t="shared" si="126"/>
        <v>7481.8575774321725</v>
      </c>
      <c r="AS31" s="193">
        <f t="shared" si="259"/>
        <v>48080</v>
      </c>
      <c r="AT31" s="193">
        <f t="shared" si="224"/>
        <v>32842</v>
      </c>
      <c r="AU31" s="193">
        <f t="shared" si="260"/>
        <v>15238</v>
      </c>
      <c r="AV31" s="193">
        <f t="shared" si="261"/>
        <v>4963</v>
      </c>
      <c r="AW31" s="23">
        <f t="shared" si="289"/>
        <v>0.32569891061819134</v>
      </c>
      <c r="AX31" s="271">
        <f t="shared" si="227"/>
        <v>41122</v>
      </c>
      <c r="AY31" s="140">
        <f t="shared" si="10"/>
        <v>0.14691270404542228</v>
      </c>
      <c r="AZ31" s="623">
        <f t="shared" si="129"/>
        <v>0.13275119903179866</v>
      </c>
      <c r="BA31" s="248">
        <f t="shared" si="11"/>
        <v>0.18194293996965547</v>
      </c>
      <c r="BB31" s="248">
        <f t="shared" si="130"/>
        <v>2.0343646431871712E-2</v>
      </c>
      <c r="BC31" s="248">
        <f t="shared" si="131"/>
        <v>2.2129273868002528E-3</v>
      </c>
      <c r="BD31" s="248">
        <f t="shared" si="132"/>
        <v>5.2470683113789073E-2</v>
      </c>
      <c r="BE31" s="248">
        <f t="shared" si="133"/>
        <v>3.4744206077477163E-2</v>
      </c>
      <c r="BF31" s="248">
        <f t="shared" si="134"/>
        <v>5.6846704252981897E-2</v>
      </c>
      <c r="BG31" s="248">
        <f t="shared" si="135"/>
        <v>1.5324772706735372E-2</v>
      </c>
      <c r="BH31" s="248">
        <f t="shared" si="136"/>
        <v>5.4683610500589327E-2</v>
      </c>
      <c r="BI31" s="23">
        <f t="shared" si="12"/>
        <v>0.14405914109235932</v>
      </c>
      <c r="BJ31" s="140">
        <f t="shared" si="13"/>
        <v>0.27036905606813344</v>
      </c>
      <c r="BK31" s="623">
        <f t="shared" si="137"/>
        <v>0.25620755105450982</v>
      </c>
      <c r="BL31" s="590">
        <f t="shared" si="290"/>
        <v>-996.85714285714357</v>
      </c>
      <c r="BM31" s="66">
        <f t="shared" si="291"/>
        <v>-21.285714285714285</v>
      </c>
      <c r="BN31" s="66">
        <f t="shared" si="292"/>
        <v>4.4285714285714288</v>
      </c>
      <c r="BO31" s="66">
        <f t="shared" si="292"/>
        <v>-64.571428571428569</v>
      </c>
      <c r="BP31" s="66">
        <f t="shared" si="292"/>
        <v>-340.71428571428578</v>
      </c>
      <c r="BQ31" s="66">
        <f>BQ30+(BQ$34-BQ$27)/7</f>
        <v>-3088.7142857142862</v>
      </c>
      <c r="BR31" s="66">
        <f t="shared" si="293"/>
        <v>-51.142857142857139</v>
      </c>
      <c r="BS31" s="193">
        <f>BR31+BQ31+BP31+BO31+BN31+BM31</f>
        <v>-3562.0000000000005</v>
      </c>
      <c r="BT31" s="66">
        <f t="shared" si="293"/>
        <v>2565.1428571428569</v>
      </c>
      <c r="BU31" s="193">
        <f t="shared" ref="BU31:BU39" si="326">BT31-BV31</f>
        <v>705.42857142857156</v>
      </c>
      <c r="BV31" s="66">
        <f t="shared" si="293"/>
        <v>1859.7142857142853</v>
      </c>
      <c r="BW31" s="5">
        <f t="shared" si="262"/>
        <v>31906</v>
      </c>
      <c r="BX31" s="193">
        <f t="shared" si="263"/>
        <v>830</v>
      </c>
      <c r="BY31" s="193">
        <f t="shared" si="148"/>
        <v>24.000000000000007</v>
      </c>
      <c r="BZ31" s="647">
        <f t="shared" si="149"/>
        <v>2.5261706262145051E-2</v>
      </c>
      <c r="CA31" s="193">
        <f t="shared" si="264"/>
        <v>47</v>
      </c>
      <c r="CB31" s="193">
        <f t="shared" si="151"/>
        <v>0</v>
      </c>
      <c r="CC31" s="647">
        <f t="shared" si="14"/>
        <v>1.4730771641697487E-3</v>
      </c>
      <c r="CD31" s="193">
        <f t="shared" si="265"/>
        <v>1730</v>
      </c>
      <c r="CE31" s="193">
        <f t="shared" si="153"/>
        <v>84.623503998151193</v>
      </c>
      <c r="CF31" s="655">
        <f t="shared" si="15"/>
        <v>5.1569500908977897E-2</v>
      </c>
      <c r="CG31" s="193">
        <f t="shared" si="266"/>
        <v>1378</v>
      </c>
      <c r="CH31" s="193">
        <f t="shared" si="155"/>
        <v>160.3970335440531</v>
      </c>
      <c r="CI31" s="23">
        <f t="shared" si="16"/>
        <v>3.8162194147055316E-2</v>
      </c>
      <c r="CJ31" s="193">
        <f t="shared" si="267"/>
        <v>2326</v>
      </c>
      <c r="CK31" s="641">
        <f t="shared" si="157"/>
        <v>147.80797045964934</v>
      </c>
      <c r="CL31" s="34">
        <f t="shared" si="158"/>
        <v>6.8269041231754229E-2</v>
      </c>
      <c r="CM31" s="193">
        <f t="shared" si="268"/>
        <v>692</v>
      </c>
      <c r="CN31" s="193">
        <f t="shared" si="160"/>
        <v>92.533227078265213</v>
      </c>
      <c r="CO31" s="23">
        <f t="shared" si="161"/>
        <v>1.8788527954671057E-2</v>
      </c>
      <c r="CP31" s="193">
        <f t="shared" si="17"/>
        <v>7003</v>
      </c>
      <c r="CQ31" s="193">
        <f t="shared" si="162"/>
        <v>509.36173508011882</v>
      </c>
      <c r="CR31" s="271">
        <f t="shared" si="18"/>
        <v>24903</v>
      </c>
      <c r="CS31" s="248">
        <f t="shared" si="163"/>
        <v>0.2035240476687733</v>
      </c>
      <c r="CT31" s="30">
        <f t="shared" si="19"/>
        <v>0.21948849746129254</v>
      </c>
      <c r="CU31" s="308">
        <f t="shared" si="20"/>
        <v>0</v>
      </c>
      <c r="CV31" s="608">
        <f t="shared" si="269"/>
        <v>2.6013915877891307E-2</v>
      </c>
      <c r="CW31" s="608">
        <f t="shared" si="270"/>
        <v>1.4730771641697487E-3</v>
      </c>
      <c r="CX31" s="608">
        <f t="shared" si="271"/>
        <v>5.4221776468375851E-2</v>
      </c>
      <c r="CY31" s="608">
        <f t="shared" si="272"/>
        <v>4.3189368770764118E-2</v>
      </c>
      <c r="CZ31" s="608">
        <f t="shared" ref="CZ31:CZ60" si="327">CJ31/$BW31</f>
        <v>7.2901648592741175E-2</v>
      </c>
      <c r="DA31" s="608">
        <f>'Assets(BoP)'!FK78</f>
        <v>6.4293441712230642E-2</v>
      </c>
      <c r="DB31" s="608">
        <f t="shared" si="273"/>
        <v>2.1688710587350342E-2</v>
      </c>
      <c r="DC31" s="23">
        <f t="shared" si="21"/>
        <v>0.24849373430735808</v>
      </c>
      <c r="DD31" s="193">
        <f t="shared" si="22"/>
        <v>26132</v>
      </c>
      <c r="DE31" s="193">
        <f t="shared" si="274"/>
        <v>5774</v>
      </c>
      <c r="DF31" s="193"/>
      <c r="DG31" s="193">
        <f>'Assets(BoP)'!DA78</f>
        <v>0</v>
      </c>
      <c r="DH31" s="23">
        <f t="shared" si="23"/>
        <v>0.18096909672161976</v>
      </c>
      <c r="DI31" s="23"/>
      <c r="DJ31" s="23">
        <f t="shared" si="24"/>
        <v>0.16526672099291667</v>
      </c>
      <c r="DK31" s="600">
        <f>'Assets(BoP)'!FO78-'Assets(BoP)'!FH78</f>
        <v>0.15770446646816833</v>
      </c>
      <c r="DL31" s="576">
        <f t="shared" si="25"/>
        <v>0.61244227112197769</v>
      </c>
      <c r="DM31" s="251">
        <f t="shared" si="26"/>
        <v>1.4025974025974026</v>
      </c>
      <c r="DN31" s="251">
        <f t="shared" si="27"/>
        <v>1.3926361264839702</v>
      </c>
      <c r="DO31" s="251">
        <f t="shared" si="28"/>
        <v>0.39912280701754388</v>
      </c>
      <c r="DP31" s="251">
        <f t="shared" si="29"/>
        <v>0.39912280701754388</v>
      </c>
      <c r="DQ31" s="251">
        <f t="shared" si="30"/>
        <v>0.85860058309037901</v>
      </c>
      <c r="DR31" s="251">
        <f t="shared" si="31"/>
        <v>0.81933923155635169</v>
      </c>
      <c r="DS31" s="251">
        <f t="shared" si="32"/>
        <v>1.0495759947814742</v>
      </c>
      <c r="DT31" s="251">
        <f t="shared" si="33"/>
        <v>0.99736542703476072</v>
      </c>
      <c r="DU31" s="251">
        <f t="shared" si="34"/>
        <v>7.4</v>
      </c>
      <c r="DV31" s="251">
        <f t="shared" si="35"/>
        <v>12.067784328049981</v>
      </c>
      <c r="DW31" s="251">
        <f t="shared" si="36"/>
        <v>1.7369668246445498</v>
      </c>
      <c r="DX31" s="251">
        <f t="shared" si="37"/>
        <v>1.7280083723120736</v>
      </c>
      <c r="DY31" s="251">
        <f t="shared" si="38"/>
        <v>0.82335127860026913</v>
      </c>
      <c r="DZ31" s="251">
        <f t="shared" si="39"/>
        <v>0.78585658659873592</v>
      </c>
      <c r="EA31" s="643">
        <f t="shared" si="40"/>
        <v>1.4038657171922686</v>
      </c>
      <c r="EB31" s="643">
        <f t="shared" si="41"/>
        <v>1.3720380659129294</v>
      </c>
      <c r="EC31" s="251">
        <f t="shared" si="42"/>
        <v>0.5582453818198706</v>
      </c>
      <c r="ED31" s="251">
        <f t="shared" si="43"/>
        <v>0.49229627323987502</v>
      </c>
      <c r="EE31" s="140">
        <f t="shared" si="44"/>
        <v>0.42304174771038089</v>
      </c>
      <c r="EF31" s="1342">
        <v>0.1823102985865345</v>
      </c>
      <c r="EG31" s="140">
        <f t="shared" si="228"/>
        <v>1.7939722156816575</v>
      </c>
      <c r="EH31" s="583">
        <v>14.43</v>
      </c>
      <c r="EI31" s="1344">
        <v>1.8856910878090072</v>
      </c>
      <c r="EJ31" s="576">
        <f t="shared" si="166"/>
        <v>0.34671013311600107</v>
      </c>
      <c r="EK31" s="753">
        <f t="shared" si="167"/>
        <v>1.2612215614245912</v>
      </c>
      <c r="EL31" s="753">
        <f t="shared" si="168"/>
        <v>0.67977395808806218</v>
      </c>
      <c r="EM31" s="753">
        <f t="shared" si="169"/>
        <v>0.24640294720028855</v>
      </c>
      <c r="EN31" s="583"/>
      <c r="EO31" s="5">
        <v>40779</v>
      </c>
      <c r="EP31" s="193">
        <v>1124</v>
      </c>
      <c r="EQ31" s="193"/>
      <c r="ER31" s="193">
        <v>77</v>
      </c>
      <c r="ES31" s="193"/>
      <c r="ET31" s="193">
        <v>2682</v>
      </c>
      <c r="EU31" s="193"/>
      <c r="EV31" s="193">
        <v>2686</v>
      </c>
      <c r="EW31" s="193"/>
      <c r="EX31" s="193">
        <v>4359</v>
      </c>
      <c r="EY31" s="193"/>
      <c r="EZ31" s="193">
        <v>721</v>
      </c>
      <c r="FA31" s="193"/>
      <c r="FB31" s="193">
        <f t="shared" si="294"/>
        <v>11649</v>
      </c>
      <c r="FC31" s="193">
        <f t="shared" si="295"/>
        <v>29130</v>
      </c>
      <c r="FD31" s="23">
        <f t="shared" si="296"/>
        <v>0.28566173765908925</v>
      </c>
      <c r="FE31" s="193">
        <v>6240</v>
      </c>
      <c r="FF31" s="193">
        <v>1680</v>
      </c>
      <c r="FG31" s="193"/>
      <c r="FH31" s="193"/>
      <c r="FI31" s="193"/>
      <c r="FJ31" s="5">
        <v>24454</v>
      </c>
      <c r="FK31" s="143">
        <f>FJ31/'Assets(BoP)'!AV78/1000</f>
        <v>1.0585230715955329</v>
      </c>
      <c r="FL31" s="192"/>
      <c r="FM31" s="193">
        <v>34</v>
      </c>
      <c r="FN31" s="66">
        <f t="shared" si="297"/>
        <v>3.4285714285714297</v>
      </c>
      <c r="FO31" s="184">
        <f t="shared" si="298"/>
        <v>0.10084033613445381</v>
      </c>
      <c r="FP31" s="193">
        <v>44</v>
      </c>
      <c r="FQ31" s="66">
        <f t="shared" si="299"/>
        <v>0</v>
      </c>
      <c r="FR31" s="184">
        <v>0</v>
      </c>
      <c r="FS31" s="193">
        <v>626</v>
      </c>
      <c r="FT31" s="66">
        <f t="shared" si="300"/>
        <v>113.67706499661477</v>
      </c>
      <c r="FU31" s="193">
        <f t="shared" si="175"/>
        <v>512.32293500338528</v>
      </c>
      <c r="FV31" s="184">
        <f t="shared" si="301"/>
        <v>0.18159275558564661</v>
      </c>
      <c r="FW31" s="193">
        <v>231</v>
      </c>
      <c r="FX31" s="66">
        <f t="shared" si="302"/>
        <v>19.851724137931029</v>
      </c>
      <c r="FY31" s="184">
        <f t="shared" si="303"/>
        <v>8.5938199731303164E-2</v>
      </c>
      <c r="FZ31" s="193">
        <v>301</v>
      </c>
      <c r="GA31" s="66">
        <f t="shared" si="304"/>
        <v>141.5418572492288</v>
      </c>
      <c r="GB31" s="193">
        <f t="shared" si="180"/>
        <v>159.4581427507712</v>
      </c>
      <c r="GC31" s="184">
        <f t="shared" si="305"/>
        <v>0.47023872840275349</v>
      </c>
      <c r="GD31" s="193">
        <v>41</v>
      </c>
      <c r="GE31" s="66">
        <f t="shared" si="306"/>
        <v>10.281469675362802</v>
      </c>
      <c r="GF31" s="184">
        <f t="shared" si="307"/>
        <v>0.25076755305762932</v>
      </c>
      <c r="GG31" s="193">
        <f t="shared" si="47"/>
        <v>1277</v>
      </c>
      <c r="GH31" s="193">
        <f t="shared" si="48"/>
        <v>288.78068748770886</v>
      </c>
      <c r="GI31" s="193">
        <f t="shared" si="49"/>
        <v>23177</v>
      </c>
      <c r="GJ31" s="23">
        <f t="shared" si="50"/>
        <v>5.2220495624437722E-2</v>
      </c>
      <c r="GK31" s="416">
        <v>9464</v>
      </c>
      <c r="GL31" s="416">
        <v>3223</v>
      </c>
      <c r="GM31" s="23">
        <f>GK31/'Assets(BoP)'!AW78/1000</f>
        <v>1.1862622211080471</v>
      </c>
      <c r="GN31" s="23">
        <f t="shared" si="51"/>
        <v>0.38701234971783754</v>
      </c>
      <c r="GO31" s="330">
        <f t="shared" si="275"/>
        <v>14990</v>
      </c>
      <c r="GP31" s="23">
        <f>GO31/('Assets(BoP)'!AV78-'Assets(BoP)'!AW78)/1000</f>
        <v>0.99113991007669922</v>
      </c>
      <c r="GQ31" s="330">
        <f t="shared" si="52"/>
        <v>13713</v>
      </c>
      <c r="GR31" s="330">
        <v>327.529</v>
      </c>
      <c r="GS31" s="140">
        <f t="shared" si="53"/>
        <v>8.8073232835305507E-2</v>
      </c>
      <c r="GT31" s="582">
        <v>0.94357834178132449</v>
      </c>
      <c r="GU31" s="576">
        <f t="shared" si="54"/>
        <v>0.43388928317955999</v>
      </c>
      <c r="GV31" s="589">
        <f t="shared" si="276"/>
        <v>3.9351851851851853E-2</v>
      </c>
      <c r="GW31" s="389">
        <v>0.125</v>
      </c>
      <c r="GX31" s="589">
        <f t="shared" si="277"/>
        <v>0.48351648351648352</v>
      </c>
      <c r="GY31" s="389">
        <v>0.25</v>
      </c>
      <c r="GZ31" s="589">
        <f t="shared" si="308"/>
        <v>0.26570458404074704</v>
      </c>
      <c r="HA31" s="56">
        <f t="shared" si="320"/>
        <v>0.57325637325637335</v>
      </c>
      <c r="HB31" s="589">
        <f t="shared" si="278"/>
        <v>0.14356743318831572</v>
      </c>
      <c r="HC31" s="56">
        <f t="shared" si="321"/>
        <v>0.11013515096151594</v>
      </c>
      <c r="HD31" s="589">
        <f t="shared" si="279"/>
        <v>0.11457936810049486</v>
      </c>
      <c r="HE31" s="56">
        <f t="shared" si="322"/>
        <v>0.48917208062635337</v>
      </c>
      <c r="HF31" s="589">
        <f t="shared" si="309"/>
        <v>5.593451568894952E-2</v>
      </c>
      <c r="HG31" s="56">
        <v>0.1</v>
      </c>
      <c r="HH31" s="6">
        <f t="shared" si="57"/>
        <v>0.15422705314009663</v>
      </c>
      <c r="HI31" s="6">
        <f t="shared" si="58"/>
        <v>0.13208208018996467</v>
      </c>
      <c r="HJ31" s="23">
        <f t="shared" si="280"/>
        <v>0.62107888174301085</v>
      </c>
      <c r="HK31" s="23">
        <f t="shared" si="280"/>
        <v>0.64940560145073545</v>
      </c>
      <c r="HL31" s="23">
        <f t="shared" si="281"/>
        <v>0.60739659367396592</v>
      </c>
      <c r="HM31" s="31">
        <f t="shared" si="282"/>
        <v>0.36452507173775595</v>
      </c>
      <c r="HN31" s="23">
        <f t="shared" si="60"/>
        <v>0.48205074875207987</v>
      </c>
      <c r="HO31" s="23">
        <f t="shared" si="61"/>
        <v>0.41754460751476768</v>
      </c>
      <c r="HP31" s="575">
        <v>8104</v>
      </c>
      <c r="HQ31" s="193">
        <v>286</v>
      </c>
      <c r="HR31" s="193">
        <v>24</v>
      </c>
      <c r="HS31" s="193">
        <v>555</v>
      </c>
      <c r="HT31" s="193">
        <v>937</v>
      </c>
      <c r="HU31" s="193">
        <v>1856</v>
      </c>
      <c r="HV31" s="193">
        <v>20</v>
      </c>
      <c r="HW31" s="193">
        <f t="shared" si="310"/>
        <v>3678</v>
      </c>
      <c r="HX31" s="193">
        <f t="shared" si="311"/>
        <v>4426</v>
      </c>
      <c r="HY31" s="193">
        <v>824</v>
      </c>
      <c r="HZ31" s="193">
        <v>38</v>
      </c>
      <c r="IA31" s="193"/>
      <c r="IB31" s="23">
        <f t="shared" si="283"/>
        <v>0.45384995064165845</v>
      </c>
      <c r="IC31" s="23"/>
      <c r="ID31" s="23"/>
      <c r="IE31" s="23"/>
      <c r="IF31" s="23"/>
      <c r="IG31" s="23"/>
      <c r="IH31" s="23"/>
      <c r="II31" s="23"/>
      <c r="IJ31" s="23"/>
      <c r="IK31" s="23"/>
      <c r="IL31" s="23"/>
      <c r="IM31" s="575">
        <v>769</v>
      </c>
      <c r="IN31" s="193">
        <v>8</v>
      </c>
      <c r="IO31" s="193">
        <v>6</v>
      </c>
      <c r="IP31" s="193">
        <v>397</v>
      </c>
      <c r="IQ31" s="193">
        <v>371</v>
      </c>
      <c r="IR31" s="193">
        <v>177</v>
      </c>
      <c r="IS31" s="193">
        <v>9</v>
      </c>
      <c r="IT31" s="193">
        <f t="shared" si="312"/>
        <v>968</v>
      </c>
      <c r="IU31" s="193">
        <f t="shared" si="313"/>
        <v>-199</v>
      </c>
      <c r="IV31" s="193">
        <v>-358</v>
      </c>
      <c r="IW31" s="193">
        <v>-98</v>
      </c>
      <c r="IX31" s="149">
        <f t="shared" si="63"/>
        <v>216265.85714285716</v>
      </c>
      <c r="IY31" s="316">
        <f t="shared" si="64"/>
        <v>3848.7142857142858</v>
      </c>
      <c r="IZ31" s="316">
        <f t="shared" si="65"/>
        <v>397.85714285714289</v>
      </c>
      <c r="JA31" s="316">
        <f t="shared" si="66"/>
        <v>4630.7142857142862</v>
      </c>
      <c r="JB31" s="316">
        <f t="shared" si="67"/>
        <v>7059.8571428571431</v>
      </c>
      <c r="JC31" s="316">
        <f t="shared" si="68"/>
        <v>32124.285714285717</v>
      </c>
      <c r="JD31" s="316">
        <f t="shared" si="69"/>
        <v>3662.8571428571431</v>
      </c>
      <c r="JE31" s="316">
        <f t="shared" si="70"/>
        <v>51724.28571428571</v>
      </c>
      <c r="JF31" s="316">
        <f t="shared" si="71"/>
        <v>164541.57142857145</v>
      </c>
      <c r="JG31" s="316">
        <f t="shared" si="72"/>
        <v>116621.28571428574</v>
      </c>
      <c r="JH31" s="316">
        <f t="shared" si="73"/>
        <v>47920.28571428571</v>
      </c>
      <c r="JI31" s="5">
        <v>292928</v>
      </c>
      <c r="JJ31" s="593">
        <v>5614</v>
      </c>
      <c r="JK31" s="593">
        <v>884</v>
      </c>
      <c r="JL31" s="593">
        <v>13490</v>
      </c>
      <c r="JM31" s="536">
        <v>16702</v>
      </c>
      <c r="JN31" s="536">
        <v>41765</v>
      </c>
      <c r="JO31" s="536">
        <v>4018</v>
      </c>
      <c r="JP31" s="552">
        <f t="shared" si="74"/>
        <v>82473</v>
      </c>
      <c r="JQ31" s="552">
        <f t="shared" si="75"/>
        <v>210455</v>
      </c>
      <c r="JR31" s="552">
        <f t="shared" si="76"/>
        <v>156523</v>
      </c>
      <c r="JS31" s="593">
        <v>53932</v>
      </c>
      <c r="JT31" s="1257">
        <f t="shared" si="323"/>
        <v>76662.142857142841</v>
      </c>
      <c r="JU31" s="1076">
        <f t="shared" si="314"/>
        <v>1765.2857142857142</v>
      </c>
      <c r="JV31" s="1076">
        <f t="shared" si="314"/>
        <v>486.14285714285711</v>
      </c>
      <c r="JW31" s="1076">
        <f t="shared" si="314"/>
        <v>8859.2857142857138</v>
      </c>
      <c r="JX31" s="1076">
        <f t="shared" si="314"/>
        <v>9642.1428571428569</v>
      </c>
      <c r="JY31" s="1076">
        <f t="shared" si="314"/>
        <v>9640.7142857142844</v>
      </c>
      <c r="JZ31" s="1076">
        <f t="shared" si="314"/>
        <v>355.14285714285711</v>
      </c>
      <c r="KA31" s="552">
        <f t="shared" si="315"/>
        <v>30748.714285714286</v>
      </c>
      <c r="KB31" s="552">
        <f t="shared" si="316"/>
        <v>45913.428571428551</v>
      </c>
      <c r="KC31" s="552">
        <f t="shared" si="317"/>
        <v>39901.714285714261</v>
      </c>
      <c r="KD31" s="1076">
        <f t="shared" si="318"/>
        <v>6011.7142857142862</v>
      </c>
      <c r="KE31" s="149">
        <v>183183</v>
      </c>
      <c r="KF31">
        <v>1393</v>
      </c>
      <c r="KG31">
        <v>433</v>
      </c>
      <c r="KH31">
        <v>6441</v>
      </c>
      <c r="KI31">
        <v>1450</v>
      </c>
      <c r="KJ31">
        <v>1951</v>
      </c>
      <c r="KK31">
        <v>1499</v>
      </c>
      <c r="KL31" s="552">
        <f t="shared" ref="KL31" si="328">KF31+KG31+KH31+KI31+KJ31+KK31</f>
        <v>13167</v>
      </c>
      <c r="KM31" s="552">
        <f t="shared" ref="KM31" si="329">KE31-KL31</f>
        <v>170016</v>
      </c>
      <c r="KN31" s="552">
        <f t="shared" ref="KN31" si="330">KM31-KO31</f>
        <v>101688</v>
      </c>
      <c r="KO31">
        <v>68328</v>
      </c>
      <c r="KP31" s="149">
        <v>76500</v>
      </c>
      <c r="LA31" s="149">
        <f>'Assets(MOFA)'!IX31-'Assets(MOFA)'!KE31-'Assets(MOFA)'!KP31</f>
        <v>-43417.142857142841</v>
      </c>
      <c r="LB31" s="552">
        <f>'Assets(MOFA)'!IY31-'Assets(MOFA)'!KF31-'Assets(MOFA)'!KQ31</f>
        <v>2455.7142857142858</v>
      </c>
      <c r="LC31" s="552">
        <f>'Assets(MOFA)'!IZ31-'Assets(MOFA)'!KG31-'Assets(MOFA)'!KR31</f>
        <v>-35.14285714285711</v>
      </c>
      <c r="LD31" s="552">
        <f>'Assets(MOFA)'!JA31-'Assets(MOFA)'!KH31-'Assets(MOFA)'!KS31</f>
        <v>-1810.2857142857138</v>
      </c>
      <c r="LE31" s="552">
        <f>'Assets(MOFA)'!JB31-'Assets(MOFA)'!KI31-'Assets(MOFA)'!KT31</f>
        <v>5609.8571428571431</v>
      </c>
      <c r="LF31" s="552">
        <f>'Assets(MOFA)'!JC31-'Assets(MOFA)'!KJ31-'Assets(MOFA)'!KU31</f>
        <v>30173.285714285717</v>
      </c>
      <c r="LG31" s="552">
        <f>'Assets(MOFA)'!JD31-'Assets(MOFA)'!KK31-'Assets(MOFA)'!KV31</f>
        <v>2163.8571428571431</v>
      </c>
      <c r="LH31" s="552">
        <f>'Assets(MOFA)'!JE31-'Assets(MOFA)'!KL31-'Assets(MOFA)'!KW31</f>
        <v>38557.28571428571</v>
      </c>
      <c r="LI31" s="552">
        <f>'Assets(MOFA)'!JF31-'Assets(MOFA)'!KM31-'Assets(MOFA)'!KX31</f>
        <v>-5474.4285714285506</v>
      </c>
      <c r="LJ31" s="552">
        <f t="shared" si="77"/>
        <v>14933.285714285739</v>
      </c>
      <c r="LK31" s="552">
        <f>'Assets(MOFA)'!JH31-'Assets(MOFA)'!KO31-'Assets(MOFA)'!KZ31</f>
        <v>-20407.71428571429</v>
      </c>
      <c r="LL31" s="576">
        <f t="shared" si="78"/>
        <v>0.26060516784566085</v>
      </c>
      <c r="LM31" s="6">
        <f t="shared" si="79"/>
        <v>0.2244905534315727</v>
      </c>
      <c r="LN31" s="6">
        <f t="shared" si="80"/>
        <v>0.22872531418312386</v>
      </c>
      <c r="LO31" s="6">
        <f t="shared" si="81"/>
        <v>0.50877680086379762</v>
      </c>
      <c r="LP31" s="6">
        <f t="shared" si="82"/>
        <v>0.22790829438070376</v>
      </c>
      <c r="LQ31" s="6">
        <f t="shared" si="83"/>
        <v>8.1776137323787065E-2</v>
      </c>
      <c r="LR31" s="6">
        <f t="shared" si="84"/>
        <v>0.2001170046801872</v>
      </c>
      <c r="LS31" s="6">
        <f t="shared" si="85"/>
        <v>0.16007954262987822</v>
      </c>
      <c r="LT31" s="143">
        <f t="shared" si="86"/>
        <v>0.22001960784313723</v>
      </c>
      <c r="LU31" s="62">
        <f t="shared" si="87"/>
        <v>0.13657092321298112</v>
      </c>
      <c r="LV31" s="902">
        <f t="shared" si="88"/>
        <v>0.29220579080753362</v>
      </c>
      <c r="LW31" s="902">
        <f t="shared" si="89"/>
        <v>0.28161239861872794</v>
      </c>
      <c r="LX31" s="143">
        <f t="shared" si="90"/>
        <v>0.31798641792023663</v>
      </c>
      <c r="LY31" s="576">
        <f t="shared" si="91"/>
        <v>0.26416097647009862</v>
      </c>
      <c r="LZ31" s="906">
        <f t="shared" si="92"/>
        <v>0.22656916966705021</v>
      </c>
      <c r="MA31" s="906">
        <f t="shared" si="93"/>
        <v>0.2438061041292639</v>
      </c>
      <c r="MB31" s="906">
        <f t="shared" si="94"/>
        <v>0.59450871510103342</v>
      </c>
      <c r="MC31" s="906">
        <f t="shared" si="95"/>
        <v>0.28045893279912582</v>
      </c>
      <c r="MD31" s="906">
        <f t="shared" si="96"/>
        <v>8.7285987459420997E-2</v>
      </c>
      <c r="ME31" s="906">
        <v>6.1610529375296846E-2</v>
      </c>
      <c r="MF31" s="906">
        <f t="shared" si="97"/>
        <v>0.20257410296411854</v>
      </c>
      <c r="MG31" s="30">
        <f t="shared" si="98"/>
        <v>0.17879415582622146</v>
      </c>
      <c r="MH31" s="140">
        <f t="shared" si="99"/>
        <v>0.24664705882352939</v>
      </c>
      <c r="MI31" s="30">
        <f t="shared" si="100"/>
        <v>0.15218210481793362</v>
      </c>
      <c r="MJ31" s="30">
        <f t="shared" si="101"/>
        <v>0.29099637000115469</v>
      </c>
      <c r="MK31" s="617">
        <f t="shared" si="102"/>
        <v>0.28161239861872794</v>
      </c>
      <c r="ML31" s="615">
        <f t="shared" si="103"/>
        <v>0.31798641792023663</v>
      </c>
      <c r="MM31" s="574"/>
      <c r="MX31" s="613"/>
      <c r="MY31" s="552"/>
      <c r="MZ31" s="552"/>
      <c r="NA31" s="552"/>
      <c r="NB31" s="552"/>
      <c r="NC31" s="552"/>
      <c r="ND31" s="552"/>
      <c r="NE31" s="552"/>
      <c r="NF31" s="552"/>
      <c r="NG31" s="552"/>
      <c r="NH31" s="552"/>
      <c r="NI31" s="613">
        <f t="shared" si="214"/>
        <v>92025</v>
      </c>
      <c r="PN31" s="574"/>
      <c r="PO31" s="593"/>
      <c r="PP31" s="593"/>
      <c r="PQ31" s="593"/>
      <c r="PR31" s="593"/>
      <c r="PS31" s="593"/>
      <c r="PT31" s="593"/>
      <c r="PU31" s="593"/>
      <c r="PV31" s="593"/>
      <c r="PW31" s="593"/>
      <c r="PX31" s="593"/>
      <c r="PY31" s="593"/>
      <c r="PZ31" s="593"/>
      <c r="QA31" s="593"/>
      <c r="QB31" s="593"/>
      <c r="QC31" s="593"/>
      <c r="QD31" s="593"/>
      <c r="QE31" s="593"/>
      <c r="QF31" s="593"/>
      <c r="QG31" s="593"/>
      <c r="QH31" s="593"/>
      <c r="QI31" s="593"/>
      <c r="QJ31" s="593"/>
      <c r="QK31" s="593"/>
      <c r="QL31" s="593"/>
      <c r="QM31" s="593"/>
      <c r="QN31" s="593"/>
      <c r="QO31" s="593"/>
      <c r="QP31" s="593"/>
      <c r="QQ31" s="593"/>
      <c r="QR31" s="593"/>
      <c r="QS31" s="593"/>
      <c r="QT31" s="593"/>
      <c r="QU31" s="593"/>
      <c r="QV31" s="593"/>
      <c r="QW31" s="593"/>
      <c r="QX31" s="593"/>
      <c r="QY31" s="593"/>
      <c r="QZ31" s="593"/>
      <c r="RA31" s="593"/>
      <c r="RB31" s="593"/>
      <c r="RC31" s="593"/>
      <c r="RD31" s="593"/>
      <c r="RE31" s="593"/>
      <c r="RF31" s="593"/>
      <c r="RG31" s="593"/>
      <c r="RH31" s="593"/>
      <c r="RI31" s="593"/>
      <c r="RJ31" s="593"/>
      <c r="RK31" s="593"/>
      <c r="RL31" s="593"/>
      <c r="RM31" s="593"/>
      <c r="RN31" s="593"/>
      <c r="RO31" s="593"/>
      <c r="RP31" s="593"/>
      <c r="RQ31" s="593"/>
      <c r="RR31" s="593"/>
    </row>
    <row r="32" spans="1:486">
      <c r="A32" s="568">
        <v>1987</v>
      </c>
      <c r="B32" s="33">
        <v>105452</v>
      </c>
      <c r="C32" s="193">
        <v>815</v>
      </c>
      <c r="D32" s="193">
        <v>292</v>
      </c>
      <c r="E32" s="193">
        <v>3266</v>
      </c>
      <c r="F32" s="193">
        <v>1902</v>
      </c>
      <c r="G32" s="193">
        <v>392</v>
      </c>
      <c r="H32" s="193">
        <v>487</v>
      </c>
      <c r="I32" s="193">
        <f t="shared" si="324"/>
        <v>7154</v>
      </c>
      <c r="J32" s="193">
        <f t="shared" si="325"/>
        <v>98298</v>
      </c>
      <c r="K32" s="193">
        <f t="shared" si="249"/>
        <v>89829</v>
      </c>
      <c r="L32" s="193">
        <v>8469</v>
      </c>
      <c r="M32" s="140">
        <f t="shared" si="217"/>
        <v>6.7841292720858773E-2</v>
      </c>
      <c r="N32" s="140">
        <f t="shared" si="250"/>
        <v>8.0311421310169551E-2</v>
      </c>
      <c r="O32" s="193">
        <v>1847600</v>
      </c>
      <c r="P32" s="32">
        <f t="shared" si="251"/>
        <v>5.7075124485819438E-2</v>
      </c>
      <c r="Q32" s="629">
        <f t="shared" si="218"/>
        <v>7.7286348291165652E-3</v>
      </c>
      <c r="R32" s="308">
        <f t="shared" si="219"/>
        <v>2.7690323559534198E-3</v>
      </c>
      <c r="S32" s="308">
        <f t="shared" si="220"/>
        <v>3.097143724158859E-2</v>
      </c>
      <c r="T32" s="308">
        <f t="shared" si="221"/>
        <v>1.8036642263778782E-2</v>
      </c>
      <c r="U32" s="308">
        <f t="shared" si="222"/>
        <v>3.7173311079922618E-3</v>
      </c>
      <c r="V32" s="308">
        <f t="shared" si="223"/>
        <v>4.6182149224291624E-3</v>
      </c>
      <c r="W32" s="5">
        <f t="shared" si="252"/>
        <v>70626</v>
      </c>
      <c r="X32" s="76">
        <f t="shared" si="253"/>
        <v>1988</v>
      </c>
      <c r="Y32" s="76">
        <f t="shared" si="3"/>
        <v>30.655462184873969</v>
      </c>
      <c r="Z32" s="76">
        <f t="shared" si="114"/>
        <v>1957.3445378151259</v>
      </c>
      <c r="AA32" s="76">
        <f t="shared" si="254"/>
        <v>143</v>
      </c>
      <c r="AB32" s="66">
        <f t="shared" si="241"/>
        <v>0</v>
      </c>
      <c r="AC32" s="274">
        <f t="shared" si="117"/>
        <v>143</v>
      </c>
      <c r="AD32" s="76">
        <f t="shared" si="255"/>
        <v>3514</v>
      </c>
      <c r="AE32" s="357">
        <f t="shared" si="247"/>
        <v>215.00939197469631</v>
      </c>
      <c r="AF32" s="274">
        <f t="shared" si="119"/>
        <v>3298.9906080253036</v>
      </c>
      <c r="AG32" s="76">
        <f t="shared" si="256"/>
        <v>2139</v>
      </c>
      <c r="AH32" s="357">
        <f t="shared" si="319"/>
        <v>233.59536634295355</v>
      </c>
      <c r="AI32" s="76">
        <f t="shared" si="287"/>
        <v>1905.4046336570464</v>
      </c>
      <c r="AJ32" s="76">
        <f t="shared" si="257"/>
        <v>3345</v>
      </c>
      <c r="AK32" s="357">
        <f t="shared" si="288"/>
        <v>322.75392446258013</v>
      </c>
      <c r="AL32" s="274">
        <f t="shared" si="123"/>
        <v>3022.24607553742</v>
      </c>
      <c r="AM32" s="76">
        <f t="shared" si="258"/>
        <v>955</v>
      </c>
      <c r="AN32" s="357">
        <f t="shared" si="248"/>
        <v>123.33277409613284</v>
      </c>
      <c r="AO32" s="274">
        <f t="shared" si="125"/>
        <v>831.66722590386712</v>
      </c>
      <c r="AP32" s="193">
        <f t="shared" si="8"/>
        <v>12084</v>
      </c>
      <c r="AQ32" s="271">
        <f t="shared" si="9"/>
        <v>925.3469190612368</v>
      </c>
      <c r="AR32" s="271">
        <f t="shared" si="126"/>
        <v>11158.653080938764</v>
      </c>
      <c r="AS32" s="193">
        <f t="shared" si="259"/>
        <v>58542</v>
      </c>
      <c r="AT32" s="193">
        <f t="shared" si="224"/>
        <v>43404</v>
      </c>
      <c r="AU32" s="193">
        <f t="shared" si="260"/>
        <v>15138</v>
      </c>
      <c r="AV32" s="193">
        <f t="shared" si="261"/>
        <v>5498</v>
      </c>
      <c r="AW32" s="23">
        <f t="shared" si="289"/>
        <v>0.36319196723477343</v>
      </c>
      <c r="AX32" s="271">
        <f t="shared" si="227"/>
        <v>55488</v>
      </c>
      <c r="AY32" s="140">
        <f t="shared" si="10"/>
        <v>0.17109846232265738</v>
      </c>
      <c r="AZ32" s="623">
        <f t="shared" si="129"/>
        <v>0.15799639057767342</v>
      </c>
      <c r="BA32" s="248">
        <f t="shared" si="11"/>
        <v>0.20110029341368876</v>
      </c>
      <c r="BB32" s="248">
        <f t="shared" si="130"/>
        <v>3.5275096197648605E-2</v>
      </c>
      <c r="BC32" s="248">
        <f t="shared" si="131"/>
        <v>2.5771337946943482E-3</v>
      </c>
      <c r="BD32" s="248">
        <f t="shared" si="132"/>
        <v>5.9454127163085776E-2</v>
      </c>
      <c r="BE32" s="248">
        <f t="shared" si="133"/>
        <v>3.4339039678075375E-2</v>
      </c>
      <c r="BF32" s="248">
        <f t="shared" si="134"/>
        <v>5.446666081922974E-2</v>
      </c>
      <c r="BG32" s="248">
        <f t="shared" si="135"/>
        <v>1.498823576095493E-2</v>
      </c>
      <c r="BH32" s="248">
        <f t="shared" si="136"/>
        <v>6.2031260957780124E-2</v>
      </c>
      <c r="BI32" s="23">
        <f t="shared" si="12"/>
        <v>0.15444780853517878</v>
      </c>
      <c r="BJ32" s="140">
        <f t="shared" si="13"/>
        <v>0.21434032792456037</v>
      </c>
      <c r="BK32" s="623">
        <f t="shared" si="137"/>
        <v>0.20123825617957639</v>
      </c>
      <c r="BL32" s="590">
        <f t="shared" si="290"/>
        <v>-1486.5714285714298</v>
      </c>
      <c r="BM32" s="66">
        <f t="shared" si="291"/>
        <v>-33.857142857142854</v>
      </c>
      <c r="BN32" s="66">
        <f t="shared" si="292"/>
        <v>12.285714285714285</v>
      </c>
      <c r="BO32" s="66">
        <f t="shared" si="292"/>
        <v>-90.714285714285708</v>
      </c>
      <c r="BP32" s="66">
        <f t="shared" si="292"/>
        <v>-364.14285714285722</v>
      </c>
      <c r="BQ32" s="66">
        <f>BQ31+(BQ$34-BQ$27)/7</f>
        <v>-3109.1428571428578</v>
      </c>
      <c r="BR32" s="66">
        <f t="shared" si="293"/>
        <v>-58.428571428571423</v>
      </c>
      <c r="BS32" s="193">
        <f>BR32+BQ32+BP32+BO32+BN32+BM32</f>
        <v>-3644.0000000000009</v>
      </c>
      <c r="BT32" s="66">
        <f t="shared" si="293"/>
        <v>2157.4285714285711</v>
      </c>
      <c r="BU32" s="193">
        <f t="shared" si="326"/>
        <v>181.28571428571445</v>
      </c>
      <c r="BV32" s="66">
        <f t="shared" si="293"/>
        <v>1976.1428571428567</v>
      </c>
      <c r="BW32" s="5">
        <f t="shared" si="262"/>
        <v>42698</v>
      </c>
      <c r="BX32" s="193">
        <f t="shared" si="263"/>
        <v>1931</v>
      </c>
      <c r="BY32" s="193">
        <f t="shared" si="148"/>
        <v>26.823529411764724</v>
      </c>
      <c r="BZ32" s="647">
        <f t="shared" si="149"/>
        <v>4.4596385558767049E-2</v>
      </c>
      <c r="CA32" s="193">
        <f t="shared" si="264"/>
        <v>95</v>
      </c>
      <c r="CB32" s="193">
        <f t="shared" si="151"/>
        <v>0</v>
      </c>
      <c r="CC32" s="647">
        <f t="shared" si="14"/>
        <v>2.224928568082814E-3</v>
      </c>
      <c r="CD32" s="193">
        <f t="shared" si="265"/>
        <v>2707</v>
      </c>
      <c r="CE32" s="193">
        <f t="shared" si="153"/>
        <v>94.874574777675306</v>
      </c>
      <c r="CF32" s="655">
        <f t="shared" si="15"/>
        <v>6.1176762968343359E-2</v>
      </c>
      <c r="CG32" s="193">
        <f t="shared" si="266"/>
        <v>1780</v>
      </c>
      <c r="CH32" s="193">
        <f t="shared" si="155"/>
        <v>208.9010537589858</v>
      </c>
      <c r="CI32" s="23">
        <f t="shared" si="16"/>
        <v>3.6795609776594081E-2</v>
      </c>
      <c r="CJ32" s="193">
        <f t="shared" si="267"/>
        <v>2984</v>
      </c>
      <c r="CK32" s="641">
        <f t="shared" si="157"/>
        <v>161.80372539561156</v>
      </c>
      <c r="CL32" s="34">
        <f t="shared" si="158"/>
        <v>6.6096685432675731E-2</v>
      </c>
      <c r="CM32" s="193">
        <f t="shared" si="268"/>
        <v>905</v>
      </c>
      <c r="CN32" s="193">
        <f t="shared" si="160"/>
        <v>110.99949668651955</v>
      </c>
      <c r="CO32" s="23">
        <f t="shared" si="161"/>
        <v>1.8595730556782059E-2</v>
      </c>
      <c r="CP32" s="193">
        <f t="shared" si="17"/>
        <v>10402</v>
      </c>
      <c r="CQ32" s="193">
        <f t="shared" si="162"/>
        <v>603.40238003055697</v>
      </c>
      <c r="CR32" s="271">
        <f t="shared" si="18"/>
        <v>32296</v>
      </c>
      <c r="CS32" s="248">
        <f t="shared" si="163"/>
        <v>0.2294861028612451</v>
      </c>
      <c r="CT32" s="30">
        <f t="shared" si="19"/>
        <v>0.24361796805470981</v>
      </c>
      <c r="CU32" s="308">
        <f t="shared" si="20"/>
        <v>0</v>
      </c>
      <c r="CV32" s="608">
        <f t="shared" si="269"/>
        <v>4.5224600683872782E-2</v>
      </c>
      <c r="CW32" s="608">
        <f t="shared" si="270"/>
        <v>2.224928568082814E-3</v>
      </c>
      <c r="CX32" s="608">
        <f t="shared" si="271"/>
        <v>6.3398754040001878E-2</v>
      </c>
      <c r="CY32" s="608">
        <f t="shared" si="272"/>
        <v>4.1688135275656943E-2</v>
      </c>
      <c r="CZ32" s="608">
        <f t="shared" si="327"/>
        <v>6.9886177338517028E-2</v>
      </c>
      <c r="DA32" s="608">
        <f>'Assets(BoP)'!FK79</f>
        <v>6.3329947799796879E-2</v>
      </c>
      <c r="DB32" s="608">
        <f t="shared" si="273"/>
        <v>2.1195372148578386E-2</v>
      </c>
      <c r="DC32" s="23">
        <f t="shared" si="21"/>
        <v>0.26613606442417959</v>
      </c>
      <c r="DD32" s="193">
        <f t="shared" si="22"/>
        <v>36818</v>
      </c>
      <c r="DE32" s="193">
        <f t="shared" si="274"/>
        <v>5880</v>
      </c>
      <c r="DF32" s="193"/>
      <c r="DG32" s="193">
        <f>'Assets(BoP)'!DA79</f>
        <v>0</v>
      </c>
      <c r="DH32" s="23">
        <f t="shared" si="23"/>
        <v>0.13771136821396787</v>
      </c>
      <c r="DI32" s="23"/>
      <c r="DJ32" s="23">
        <f t="shared" si="24"/>
        <v>0.18021921401470795</v>
      </c>
      <c r="DK32" s="600">
        <f>'Assets(BoP)'!FO79-'Assets(BoP)'!FH79</f>
        <v>0.17369015151880252</v>
      </c>
      <c r="DL32" s="576">
        <f t="shared" si="25"/>
        <v>0.66974547661495276</v>
      </c>
      <c r="DM32" s="251">
        <f t="shared" si="26"/>
        <v>2.4392638036809817</v>
      </c>
      <c r="DN32" s="251">
        <f t="shared" si="27"/>
        <v>2.4532747413426166</v>
      </c>
      <c r="DO32" s="251">
        <f t="shared" si="28"/>
        <v>0.48972602739726029</v>
      </c>
      <c r="DP32" s="251">
        <f t="shared" si="29"/>
        <v>0.48972602739726029</v>
      </c>
      <c r="DQ32" s="251">
        <f t="shared" si="30"/>
        <v>1.0759338640538885</v>
      </c>
      <c r="DR32" s="251">
        <f t="shared" si="31"/>
        <v>1.0487260904837956</v>
      </c>
      <c r="DS32" s="251">
        <f t="shared" si="32"/>
        <v>1.1246056782334384</v>
      </c>
      <c r="DT32" s="251">
        <f t="shared" si="33"/>
        <v>1.075701000549306</v>
      </c>
      <c r="DU32" s="251">
        <f t="shared" si="34"/>
        <v>8.533163265306122</v>
      </c>
      <c r="DV32" s="251">
        <f t="shared" si="35"/>
        <v>14.294017231668247</v>
      </c>
      <c r="DW32" s="251">
        <f t="shared" si="36"/>
        <v>1.9609856262833676</v>
      </c>
      <c r="DX32" s="251">
        <f t="shared" si="37"/>
        <v>1.9896292493335299</v>
      </c>
      <c r="DY32" s="251">
        <f t="shared" si="38"/>
        <v>1.0278246205733559</v>
      </c>
      <c r="DZ32" s="251">
        <f t="shared" si="39"/>
        <v>1.0012445091004565</v>
      </c>
      <c r="EA32" s="643">
        <f t="shared" si="40"/>
        <v>1.689124965054515</v>
      </c>
      <c r="EB32" s="643">
        <f t="shared" si="41"/>
        <v>1.6814539936788921</v>
      </c>
      <c r="EC32" s="251">
        <f t="shared" si="42"/>
        <v>0.59555636940731249</v>
      </c>
      <c r="ED32" s="251">
        <f t="shared" si="43"/>
        <v>0.57214150933668784</v>
      </c>
      <c r="EE32" s="140">
        <f t="shared" si="44"/>
        <v>0.48318471763016396</v>
      </c>
      <c r="EF32" s="1342">
        <v>0.18558160680652075</v>
      </c>
      <c r="EG32" s="140">
        <f t="shared" si="228"/>
        <v>1.7874601487778958</v>
      </c>
      <c r="EH32" s="583">
        <v>18.435039370078748</v>
      </c>
      <c r="EI32" s="1344">
        <v>1.8299580888516345</v>
      </c>
      <c r="EJ32" s="576">
        <f t="shared" si="166"/>
        <v>0.40490460114554488</v>
      </c>
      <c r="EK32" s="753">
        <f t="shared" si="167"/>
        <v>1.5590658398233954</v>
      </c>
      <c r="EL32" s="753">
        <f t="shared" si="168"/>
        <v>0.6942968473255402</v>
      </c>
      <c r="EM32" s="753">
        <f t="shared" si="169"/>
        <v>0.29406984381435841</v>
      </c>
      <c r="EN32" s="583"/>
      <c r="EO32" s="5">
        <v>54246</v>
      </c>
      <c r="EP32" s="193">
        <v>2373</v>
      </c>
      <c r="EQ32" s="193"/>
      <c r="ER32" s="193">
        <v>168</v>
      </c>
      <c r="ES32" s="193"/>
      <c r="ET32" s="193">
        <v>4362</v>
      </c>
      <c r="EU32" s="193"/>
      <c r="EV32" s="193">
        <v>4140</v>
      </c>
      <c r="EW32" s="193"/>
      <c r="EX32" s="193">
        <v>4153</v>
      </c>
      <c r="EY32" s="193"/>
      <c r="EZ32" s="193">
        <v>929</v>
      </c>
      <c r="FA32" s="193"/>
      <c r="FB32" s="193">
        <f t="shared" si="294"/>
        <v>16125</v>
      </c>
      <c r="FC32" s="193">
        <f t="shared" si="295"/>
        <v>38121</v>
      </c>
      <c r="FD32" s="23">
        <f t="shared" si="296"/>
        <v>0.2972569406039155</v>
      </c>
      <c r="FE32" s="193">
        <v>6658</v>
      </c>
      <c r="FF32" s="193">
        <v>2013</v>
      </c>
      <c r="FG32" s="193"/>
      <c r="FH32" s="193"/>
      <c r="FI32" s="193"/>
      <c r="FJ32" s="5">
        <v>27928</v>
      </c>
      <c r="FK32" s="143" t="e">
        <f>FJ32/'Assets(BoP)'!AV79/1000</f>
        <v>#DIV/0!</v>
      </c>
      <c r="FL32" s="192"/>
      <c r="FM32" s="193">
        <v>57</v>
      </c>
      <c r="FN32" s="66">
        <f t="shared" si="297"/>
        <v>3.8319327731092461</v>
      </c>
      <c r="FO32" s="184">
        <f t="shared" si="298"/>
        <v>6.722689075630256E-2</v>
      </c>
      <c r="FP32" s="193">
        <v>48</v>
      </c>
      <c r="FQ32" s="66">
        <f t="shared" si="299"/>
        <v>0</v>
      </c>
      <c r="FR32" s="184">
        <v>0</v>
      </c>
      <c r="FS32" s="193">
        <v>807</v>
      </c>
      <c r="FT32" s="66">
        <f t="shared" si="300"/>
        <v>120.13481719702101</v>
      </c>
      <c r="FU32" s="193">
        <f t="shared" si="175"/>
        <v>686.86518280297901</v>
      </c>
      <c r="FV32" s="184">
        <f t="shared" si="301"/>
        <v>0.14886594448205825</v>
      </c>
      <c r="FW32" s="193">
        <v>359</v>
      </c>
      <c r="FX32" s="66">
        <f t="shared" si="302"/>
        <v>24.694312583967751</v>
      </c>
      <c r="FY32" s="184">
        <f t="shared" si="303"/>
        <v>6.8786386027765323E-2</v>
      </c>
      <c r="FZ32" s="193">
        <v>361</v>
      </c>
      <c r="GA32" s="66">
        <f t="shared" si="304"/>
        <v>160.95019906696857</v>
      </c>
      <c r="GB32" s="193">
        <f t="shared" si="180"/>
        <v>200.04980093303143</v>
      </c>
      <c r="GC32" s="184">
        <f t="shared" si="305"/>
        <v>0.44584542677830624</v>
      </c>
      <c r="GD32" s="193">
        <v>50</v>
      </c>
      <c r="GE32" s="66">
        <f t="shared" si="306"/>
        <v>12.333277409613284</v>
      </c>
      <c r="GF32" s="184">
        <f t="shared" si="307"/>
        <v>0.24666554819226569</v>
      </c>
      <c r="GG32" s="193">
        <f t="shared" si="47"/>
        <v>1682</v>
      </c>
      <c r="GH32" s="193">
        <f t="shared" si="48"/>
        <v>321.94453903067983</v>
      </c>
      <c r="GI32" s="193">
        <f t="shared" si="49"/>
        <v>26246</v>
      </c>
      <c r="GJ32" s="23">
        <f t="shared" si="50"/>
        <v>6.0226296190203379E-2</v>
      </c>
      <c r="GK32" s="330">
        <v>9258</v>
      </c>
      <c r="GL32" s="330">
        <v>3750</v>
      </c>
      <c r="GM32" s="23" t="e">
        <f>GK32/'Assets(BoP)'!AW79/1000</f>
        <v>#DIV/0!</v>
      </c>
      <c r="GN32" s="23">
        <f t="shared" si="51"/>
        <v>0.33149527356058434</v>
      </c>
      <c r="GO32" s="330">
        <f t="shared" si="275"/>
        <v>18670</v>
      </c>
      <c r="GP32" s="23"/>
      <c r="GQ32" s="330">
        <f t="shared" si="52"/>
        <v>16988</v>
      </c>
      <c r="GR32" s="330">
        <v>324.697</v>
      </c>
      <c r="GS32" s="140">
        <f t="shared" si="53"/>
        <v>0.13990976461113791</v>
      </c>
      <c r="GT32" s="582">
        <v>0.85442791527630391</v>
      </c>
      <c r="GU32" s="576">
        <f t="shared" si="54"/>
        <v>0.39543510888341404</v>
      </c>
      <c r="GV32" s="589">
        <f t="shared" si="276"/>
        <v>2.8672032193158954E-2</v>
      </c>
      <c r="GW32" s="389">
        <v>0.125</v>
      </c>
      <c r="GX32" s="589">
        <f t="shared" si="277"/>
        <v>0.33566433566433568</v>
      </c>
      <c r="GY32" s="389">
        <v>0.25</v>
      </c>
      <c r="GZ32" s="589">
        <f t="shared" si="308"/>
        <v>0.2296528173022197</v>
      </c>
      <c r="HA32" s="56">
        <f t="shared" si="320"/>
        <v>0.55874218374218387</v>
      </c>
      <c r="HB32" s="589">
        <f t="shared" si="278"/>
        <v>0.16783543712014962</v>
      </c>
      <c r="HC32" s="56">
        <f t="shared" si="321"/>
        <v>0.10571405148384981</v>
      </c>
      <c r="HD32" s="589">
        <f t="shared" si="279"/>
        <v>0.10792227204783258</v>
      </c>
      <c r="HE32" s="56">
        <f t="shared" si="322"/>
        <v>0.49867774446110263</v>
      </c>
      <c r="HF32" s="589">
        <f t="shared" si="309"/>
        <v>5.2356020942408377E-2</v>
      </c>
      <c r="HG32" s="56">
        <v>0.1</v>
      </c>
      <c r="HH32" s="6">
        <f t="shared" si="57"/>
        <v>0.13919232042370075</v>
      </c>
      <c r="HI32" s="6">
        <f t="shared" si="58"/>
        <v>0.12188347922497653</v>
      </c>
      <c r="HJ32" s="23">
        <f t="shared" si="280"/>
        <v>0.61157352358303607</v>
      </c>
      <c r="HK32" s="23">
        <f t="shared" si="280"/>
        <v>0.682066205893052</v>
      </c>
      <c r="HL32" s="23">
        <f t="shared" si="281"/>
        <v>0.5713692946058091</v>
      </c>
      <c r="HM32" s="31">
        <f t="shared" si="282"/>
        <v>0.33646914648212228</v>
      </c>
      <c r="HN32" s="23">
        <f t="shared" si="60"/>
        <v>0.44832769635475384</v>
      </c>
      <c r="HO32" s="23">
        <f t="shared" si="61"/>
        <v>0.39139249838724544</v>
      </c>
      <c r="HP32" s="575">
        <v>10398</v>
      </c>
      <c r="HQ32" s="193">
        <v>421</v>
      </c>
      <c r="HR32" s="193">
        <v>73</v>
      </c>
      <c r="HS32" s="193">
        <v>1439</v>
      </c>
      <c r="HT32" s="193">
        <v>2245</v>
      </c>
      <c r="HU32" s="193">
        <v>1027</v>
      </c>
      <c r="HV32" s="193">
        <v>5</v>
      </c>
      <c r="HW32" s="193">
        <f t="shared" si="310"/>
        <v>5210</v>
      </c>
      <c r="HX32" s="193">
        <f t="shared" si="311"/>
        <v>5188</v>
      </c>
      <c r="HY32" s="193">
        <v>1005</v>
      </c>
      <c r="HZ32" s="193">
        <v>103</v>
      </c>
      <c r="IA32" s="193"/>
      <c r="IB32" s="23">
        <f t="shared" si="283"/>
        <v>0.50105789574918258</v>
      </c>
      <c r="IC32" s="23"/>
      <c r="ID32" s="23"/>
      <c r="IE32" s="23"/>
      <c r="IF32" s="23"/>
      <c r="IG32" s="23"/>
      <c r="IH32" s="23"/>
      <c r="II32" s="23"/>
      <c r="IJ32" s="23"/>
      <c r="IK32" s="23"/>
      <c r="IL32" s="23"/>
      <c r="IM32" s="575">
        <v>1150</v>
      </c>
      <c r="IN32" s="193">
        <v>21</v>
      </c>
      <c r="IO32" s="193">
        <v>0</v>
      </c>
      <c r="IP32" s="193">
        <v>216</v>
      </c>
      <c r="IQ32" s="193">
        <v>115</v>
      </c>
      <c r="IR32" s="193">
        <v>142</v>
      </c>
      <c r="IS32" s="193">
        <v>19</v>
      </c>
      <c r="IT32" s="193">
        <f t="shared" si="312"/>
        <v>513</v>
      </c>
      <c r="IU32" s="193">
        <f t="shared" si="313"/>
        <v>637</v>
      </c>
      <c r="IV32" s="193">
        <v>-227</v>
      </c>
      <c r="IW32" s="193">
        <v>162</v>
      </c>
      <c r="IX32" s="149">
        <f t="shared" si="63"/>
        <v>267399.57142857148</v>
      </c>
      <c r="IY32" s="316">
        <f t="shared" si="64"/>
        <v>5473.1428571428569</v>
      </c>
      <c r="IZ32" s="316">
        <f t="shared" si="65"/>
        <v>429.57142857142861</v>
      </c>
      <c r="JA32" s="316">
        <f t="shared" si="66"/>
        <v>6480.1428571428569</v>
      </c>
      <c r="JB32" s="316">
        <f t="shared" si="67"/>
        <v>10229.571428571429</v>
      </c>
      <c r="JC32" s="316">
        <f t="shared" si="68"/>
        <v>34300.857142857145</v>
      </c>
      <c r="JD32" s="316">
        <f t="shared" si="69"/>
        <v>4099.5714285714284</v>
      </c>
      <c r="JE32" s="316">
        <f t="shared" si="70"/>
        <v>61012.857142857145</v>
      </c>
      <c r="JF32" s="316">
        <f t="shared" si="71"/>
        <v>206386.71428571432</v>
      </c>
      <c r="JG32" s="316">
        <f t="shared" si="72"/>
        <v>153335.85714285716</v>
      </c>
      <c r="JH32" s="316">
        <f t="shared" si="73"/>
        <v>53050.857142857145</v>
      </c>
      <c r="JI32" s="5">
        <v>353382</v>
      </c>
      <c r="JJ32" s="593">
        <v>7561</v>
      </c>
      <c r="JK32" s="593">
        <v>926</v>
      </c>
      <c r="JL32" s="593">
        <v>16895</v>
      </c>
      <c r="JM32" s="536">
        <v>20828</v>
      </c>
      <c r="JN32" s="536">
        <v>45221</v>
      </c>
      <c r="JO32" s="536">
        <v>4506</v>
      </c>
      <c r="JP32" s="552">
        <f t="shared" si="74"/>
        <v>95937</v>
      </c>
      <c r="JQ32" s="552">
        <f t="shared" si="75"/>
        <v>257445</v>
      </c>
      <c r="JR32" s="552">
        <f t="shared" si="76"/>
        <v>198095</v>
      </c>
      <c r="JS32" s="593">
        <v>59350</v>
      </c>
      <c r="JT32" s="1257">
        <f t="shared" si="323"/>
        <v>85982.428571428551</v>
      </c>
      <c r="JU32" s="1076">
        <f t="shared" si="314"/>
        <v>2087.8571428571427</v>
      </c>
      <c r="JV32" s="1076">
        <f t="shared" si="314"/>
        <v>496.42857142857139</v>
      </c>
      <c r="JW32" s="1076">
        <f t="shared" si="314"/>
        <v>10414.857142857143</v>
      </c>
      <c r="JX32" s="1076">
        <f t="shared" si="314"/>
        <v>10598.428571428571</v>
      </c>
      <c r="JY32" s="1076">
        <f t="shared" si="314"/>
        <v>10920.142857142855</v>
      </c>
      <c r="JZ32" s="1076">
        <f t="shared" si="314"/>
        <v>406.42857142857139</v>
      </c>
      <c r="KA32" s="552">
        <f t="shared" si="315"/>
        <v>34924.142857142855</v>
      </c>
      <c r="KB32" s="552">
        <f t="shared" si="316"/>
        <v>51058.285714285696</v>
      </c>
      <c r="KC32" s="552">
        <f t="shared" si="317"/>
        <v>44759.142857142841</v>
      </c>
      <c r="KD32" s="1076">
        <f t="shared" si="318"/>
        <v>6299.1428571428578</v>
      </c>
      <c r="KE32" s="149">
        <v>203204</v>
      </c>
      <c r="KF32">
        <v>1655</v>
      </c>
      <c r="KG32">
        <v>590</v>
      </c>
      <c r="KH32">
        <v>7372</v>
      </c>
      <c r="KI32">
        <v>1842</v>
      </c>
      <c r="KJ32">
        <v>1802</v>
      </c>
      <c r="KK32">
        <v>1519</v>
      </c>
      <c r="KL32" s="552">
        <f t="shared" ref="KL32" si="331">KF32+KG32+KH32+KI32+KJ32+KK32</f>
        <v>14780</v>
      </c>
      <c r="KM32" s="552">
        <f t="shared" ref="KM32" si="332">KE32-KL32</f>
        <v>188424</v>
      </c>
      <c r="KN32" s="552">
        <f t="shared" ref="KN32" si="333">KM32-KO32</f>
        <v>115532</v>
      </c>
      <c r="KO32">
        <v>72892</v>
      </c>
      <c r="KP32" s="149">
        <v>88878</v>
      </c>
      <c r="LA32" s="149">
        <f>'Assets(MOFA)'!IX32-'Assets(MOFA)'!KE32-'Assets(MOFA)'!KP32</f>
        <v>-24682.428571428522</v>
      </c>
      <c r="LB32" s="552">
        <f>'Assets(MOFA)'!IY32-'Assets(MOFA)'!KF32-'Assets(MOFA)'!KQ32</f>
        <v>3818.1428571428569</v>
      </c>
      <c r="LC32" s="552">
        <f>'Assets(MOFA)'!IZ32-'Assets(MOFA)'!KG32-'Assets(MOFA)'!KR32</f>
        <v>-160.42857142857139</v>
      </c>
      <c r="LD32" s="552">
        <f>'Assets(MOFA)'!JA32-'Assets(MOFA)'!KH32-'Assets(MOFA)'!KS32</f>
        <v>-891.85714285714312</v>
      </c>
      <c r="LE32" s="552">
        <f>'Assets(MOFA)'!JB32-'Assets(MOFA)'!KI32-'Assets(MOFA)'!KT32</f>
        <v>8387.5714285714294</v>
      </c>
      <c r="LF32" s="552">
        <f>'Assets(MOFA)'!JC32-'Assets(MOFA)'!KJ32-'Assets(MOFA)'!KU32</f>
        <v>32498.857142857145</v>
      </c>
      <c r="LG32" s="552">
        <f>'Assets(MOFA)'!JD32-'Assets(MOFA)'!KK32-'Assets(MOFA)'!KV32</f>
        <v>2580.5714285714284</v>
      </c>
      <c r="LH32" s="552">
        <f>'Assets(MOFA)'!JE32-'Assets(MOFA)'!KL32-'Assets(MOFA)'!KW32</f>
        <v>46232.857142857145</v>
      </c>
      <c r="LI32" s="552">
        <f>'Assets(MOFA)'!JF32-'Assets(MOFA)'!KM32-'Assets(MOFA)'!KX32</f>
        <v>17962.714285714319</v>
      </c>
      <c r="LJ32" s="552">
        <f t="shared" si="77"/>
        <v>37803.857142857174</v>
      </c>
      <c r="LK32" s="552">
        <f>'Assets(MOFA)'!JH32-'Assets(MOFA)'!KO32-'Assets(MOFA)'!KZ32</f>
        <v>-19841.142857142855</v>
      </c>
      <c r="LL32" s="576">
        <f t="shared" si="78"/>
        <v>0.26412159010832903</v>
      </c>
      <c r="LM32" s="6">
        <f t="shared" si="79"/>
        <v>0.36322823136354149</v>
      </c>
      <c r="LN32" s="6">
        <f t="shared" si="80"/>
        <v>0.33288992351180574</v>
      </c>
      <c r="LO32" s="6">
        <f t="shared" si="81"/>
        <v>0.54227199576728913</v>
      </c>
      <c r="LP32" s="6">
        <f t="shared" si="82"/>
        <v>0.2090996690267711</v>
      </c>
      <c r="LQ32" s="6">
        <f t="shared" si="83"/>
        <v>9.7519428918894147E-2</v>
      </c>
      <c r="LR32" s="6">
        <f t="shared" si="84"/>
        <v>0.23295117956580827</v>
      </c>
      <c r="LS32" s="6">
        <f t="shared" si="85"/>
        <v>0.19805661570160854</v>
      </c>
      <c r="LT32" s="143">
        <f t="shared" si="86"/>
        <v>0.25663704045709007</v>
      </c>
      <c r="LU32" s="62">
        <f t="shared" si="87"/>
        <v>0.16990785998044886</v>
      </c>
      <c r="LV32" s="902">
        <f t="shared" si="88"/>
        <v>0.28365197925946223</v>
      </c>
      <c r="LW32" s="902">
        <f t="shared" si="89"/>
        <v>0.28306490607452733</v>
      </c>
      <c r="LX32" s="143">
        <f t="shared" si="90"/>
        <v>0.28534882969441722</v>
      </c>
      <c r="LY32" s="576">
        <f t="shared" si="91"/>
        <v>0.26842227015002157</v>
      </c>
      <c r="LZ32" s="906">
        <f t="shared" si="92"/>
        <v>0.36706514930048029</v>
      </c>
      <c r="MA32" s="906">
        <f t="shared" si="93"/>
        <v>0.33288992351180574</v>
      </c>
      <c r="MB32" s="906">
        <f t="shared" si="94"/>
        <v>0.57560459425497679</v>
      </c>
      <c r="MC32" s="906">
        <f t="shared" si="95"/>
        <v>0.22034158671638246</v>
      </c>
      <c r="MD32" s="906">
        <f t="shared" si="96"/>
        <v>0.10165926715700566</v>
      </c>
      <c r="ME32" s="906">
        <v>6.1610529375296846E-2</v>
      </c>
      <c r="MF32" s="906">
        <f t="shared" si="97"/>
        <v>0.23758581036345264</v>
      </c>
      <c r="MG32" s="30">
        <f t="shared" si="98"/>
        <v>0.20646467957573345</v>
      </c>
      <c r="MH32" s="140">
        <f t="shared" si="99"/>
        <v>0.26446441969181045</v>
      </c>
      <c r="MI32" s="30">
        <f t="shared" si="100"/>
        <v>0.17859495136476772</v>
      </c>
      <c r="MJ32" s="30">
        <f t="shared" si="101"/>
        <v>0.28673841823982299</v>
      </c>
      <c r="MK32" s="617">
        <f t="shared" si="102"/>
        <v>0.28306490607452733</v>
      </c>
      <c r="ML32" s="615">
        <f t="shared" si="103"/>
        <v>0.28534882969441722</v>
      </c>
      <c r="MM32" s="574"/>
      <c r="MX32" s="613"/>
      <c r="MY32" s="552"/>
      <c r="MZ32" s="552"/>
      <c r="NA32" s="552"/>
      <c r="NB32" s="552"/>
      <c r="NC32" s="552"/>
      <c r="ND32" s="552"/>
      <c r="NE32" s="552"/>
      <c r="NF32" s="552"/>
      <c r="NG32" s="552"/>
      <c r="NH32" s="552"/>
      <c r="NI32" s="613">
        <f t="shared" si="214"/>
        <v>105452</v>
      </c>
      <c r="PN32" s="574"/>
      <c r="PO32" s="593"/>
      <c r="PP32" s="593"/>
      <c r="PQ32" s="593"/>
      <c r="PR32" s="593"/>
      <c r="PS32" s="593"/>
      <c r="PT32" s="593"/>
      <c r="PU32" s="593"/>
      <c r="PV32" s="593"/>
      <c r="PW32" s="593"/>
      <c r="PX32" s="593"/>
      <c r="PY32" s="593"/>
      <c r="PZ32" s="593"/>
      <c r="QA32" s="593"/>
      <c r="QB32" s="593"/>
      <c r="QC32" s="593"/>
      <c r="QD32" s="593"/>
      <c r="QE32" s="593"/>
      <c r="QF32" s="593"/>
      <c r="QG32" s="593"/>
      <c r="QH32" s="593"/>
      <c r="QI32" s="593"/>
      <c r="QJ32" s="593"/>
      <c r="QK32" s="593"/>
      <c r="QL32" s="593"/>
      <c r="QM32" s="593"/>
      <c r="QN32" s="593"/>
      <c r="QO32" s="593"/>
      <c r="QP32" s="593"/>
      <c r="QQ32" s="593"/>
      <c r="QR32" s="593"/>
      <c r="QS32" s="593"/>
      <c r="QT32" s="593"/>
      <c r="QU32" s="593"/>
      <c r="QV32" s="593"/>
      <c r="QW32" s="593"/>
      <c r="QX32" s="593"/>
      <c r="QY32" s="593"/>
      <c r="QZ32" s="593"/>
      <c r="RA32" s="593"/>
      <c r="RB32" s="593"/>
      <c r="RC32" s="593"/>
      <c r="RD32" s="593"/>
      <c r="RE32" s="593"/>
      <c r="RF32" s="593"/>
      <c r="RG32" s="593"/>
      <c r="RH32" s="593"/>
      <c r="RI32" s="593"/>
      <c r="RJ32" s="593"/>
      <c r="RK32" s="593"/>
      <c r="RL32" s="593"/>
      <c r="RM32" s="593"/>
      <c r="RN32" s="593"/>
      <c r="RO32" s="593"/>
      <c r="RP32" s="593"/>
      <c r="RQ32" s="593"/>
      <c r="RR32" s="593"/>
    </row>
    <row r="33" spans="1:486">
      <c r="A33" s="568">
        <v>1988</v>
      </c>
      <c r="B33" s="33">
        <v>117418</v>
      </c>
      <c r="C33" s="193">
        <v>876</v>
      </c>
      <c r="D33" s="193">
        <v>312</v>
      </c>
      <c r="E33" s="193">
        <v>3544</v>
      </c>
      <c r="F33" s="193">
        <v>2140</v>
      </c>
      <c r="G33" s="193">
        <v>350</v>
      </c>
      <c r="H33" s="193">
        <v>652.5</v>
      </c>
      <c r="I33" s="193">
        <f t="shared" si="324"/>
        <v>7874.5</v>
      </c>
      <c r="J33" s="193">
        <f t="shared" si="325"/>
        <v>109543.5</v>
      </c>
      <c r="K33" s="193">
        <f t="shared" si="249"/>
        <v>100672.5</v>
      </c>
      <c r="L33" s="193">
        <v>8871</v>
      </c>
      <c r="M33" s="140">
        <f t="shared" si="217"/>
        <v>6.7063823263894803E-2</v>
      </c>
      <c r="N33" s="140">
        <f t="shared" si="250"/>
        <v>7.5550597012383106E-2</v>
      </c>
      <c r="O33" s="193">
        <v>2002300</v>
      </c>
      <c r="P33" s="32">
        <f t="shared" si="251"/>
        <v>5.8641562203466016E-2</v>
      </c>
      <c r="Q33" s="629">
        <f t="shared" si="218"/>
        <v>7.4605256434277538E-3</v>
      </c>
      <c r="R33" s="308">
        <f t="shared" si="219"/>
        <v>2.6571735168372823E-3</v>
      </c>
      <c r="S33" s="308">
        <f t="shared" si="220"/>
        <v>3.018276584510041E-2</v>
      </c>
      <c r="T33" s="308">
        <f t="shared" si="221"/>
        <v>1.8225485019332639E-2</v>
      </c>
      <c r="U33" s="308">
        <f t="shared" si="222"/>
        <v>2.9808036246572077E-3</v>
      </c>
      <c r="V33" s="308">
        <f t="shared" si="223"/>
        <v>5.5570696145395082E-3</v>
      </c>
      <c r="W33" s="5">
        <f t="shared" si="252"/>
        <v>80267</v>
      </c>
      <c r="X33" s="76">
        <f t="shared" si="253"/>
        <v>1839</v>
      </c>
      <c r="Y33" s="76">
        <f t="shared" si="3"/>
        <v>15.058823529411782</v>
      </c>
      <c r="Z33" s="76">
        <f t="shared" si="114"/>
        <v>1823.9411764705883</v>
      </c>
      <c r="AA33" s="76">
        <f t="shared" si="254"/>
        <v>124</v>
      </c>
      <c r="AB33" s="66">
        <f t="shared" si="241"/>
        <v>0</v>
      </c>
      <c r="AC33" s="274">
        <f t="shared" si="117"/>
        <v>124</v>
      </c>
      <c r="AD33" s="76">
        <f t="shared" si="255"/>
        <v>4269</v>
      </c>
      <c r="AE33" s="357">
        <f t="shared" si="247"/>
        <v>244.98505503674664</v>
      </c>
      <c r="AF33" s="274">
        <f t="shared" si="119"/>
        <v>4024.0149449632536</v>
      </c>
      <c r="AG33" s="76">
        <f t="shared" si="256"/>
        <v>2053</v>
      </c>
      <c r="AH33" s="357">
        <f t="shared" si="319"/>
        <v>230.40918670359261</v>
      </c>
      <c r="AI33" s="76">
        <f t="shared" si="287"/>
        <v>1822.5908132964073</v>
      </c>
      <c r="AJ33" s="76">
        <f t="shared" si="257"/>
        <v>1792</v>
      </c>
      <c r="AK33" s="357">
        <f t="shared" si="288"/>
        <v>264.55650800352669</v>
      </c>
      <c r="AL33" s="274">
        <f t="shared" si="123"/>
        <v>1527.4434919964733</v>
      </c>
      <c r="AM33" s="76">
        <f t="shared" si="258"/>
        <v>1146</v>
      </c>
      <c r="AN33" s="357">
        <f t="shared" si="248"/>
        <v>228.00973072728794</v>
      </c>
      <c r="AO33" s="274">
        <f t="shared" si="125"/>
        <v>917.99026927271211</v>
      </c>
      <c r="AP33" s="193">
        <f t="shared" si="8"/>
        <v>11223</v>
      </c>
      <c r="AQ33" s="271">
        <f t="shared" si="9"/>
        <v>983.01930400056574</v>
      </c>
      <c r="AR33" s="271">
        <f t="shared" si="126"/>
        <v>10239.980695999435</v>
      </c>
      <c r="AS33" s="193">
        <f t="shared" si="259"/>
        <v>69044</v>
      </c>
      <c r="AT33" s="193">
        <f t="shared" si="224"/>
        <v>56386</v>
      </c>
      <c r="AU33" s="193">
        <f t="shared" si="260"/>
        <v>12658</v>
      </c>
      <c r="AV33" s="193">
        <f t="shared" si="261"/>
        <v>4863</v>
      </c>
      <c r="AW33" s="23">
        <f t="shared" si="289"/>
        <v>0.38418391531047558</v>
      </c>
      <c r="AX33" s="271">
        <f t="shared" si="227"/>
        <v>67609</v>
      </c>
      <c r="AY33" s="140">
        <f t="shared" si="10"/>
        <v>0.13982084792006677</v>
      </c>
      <c r="AZ33" s="623">
        <f t="shared" si="129"/>
        <v>0.12757398053994087</v>
      </c>
      <c r="BA33" s="248">
        <f t="shared" si="11"/>
        <v>0.15145883974026292</v>
      </c>
      <c r="BB33" s="248">
        <f t="shared" si="130"/>
        <v>2.6977786633001349E-2</v>
      </c>
      <c r="BC33" s="248">
        <f t="shared" si="131"/>
        <v>1.834075344998447E-3</v>
      </c>
      <c r="BD33" s="248">
        <f t="shared" si="132"/>
        <v>5.9518924181148271E-2</v>
      </c>
      <c r="BE33" s="248">
        <f t="shared" si="133"/>
        <v>2.6957813505545228E-2</v>
      </c>
      <c r="BF33" s="248">
        <f t="shared" si="134"/>
        <v>2.2592310077008584E-2</v>
      </c>
      <c r="BG33" s="248">
        <f t="shared" si="135"/>
        <v>1.3577929998561021E-2</v>
      </c>
      <c r="BH33" s="248">
        <f t="shared" si="136"/>
        <v>6.1352999526146715E-2</v>
      </c>
      <c r="BI33" s="23">
        <f t="shared" si="12"/>
        <v>0.10285612862192903</v>
      </c>
      <c r="BJ33" s="140">
        <f t="shared" si="13"/>
        <v>0.15769868065331955</v>
      </c>
      <c r="BK33" s="623">
        <f t="shared" si="137"/>
        <v>0.14545181327319365</v>
      </c>
      <c r="BL33" s="590">
        <f t="shared" si="290"/>
        <v>-1976.2857142857156</v>
      </c>
      <c r="BM33" s="66">
        <f t="shared" si="291"/>
        <v>-46.428571428571423</v>
      </c>
      <c r="BN33" s="66">
        <f t="shared" si="292"/>
        <v>20.142857142857142</v>
      </c>
      <c r="BO33" s="66">
        <f t="shared" si="292"/>
        <v>-116.85714285714285</v>
      </c>
      <c r="BP33" s="66">
        <f t="shared" si="292"/>
        <v>-387.57142857142867</v>
      </c>
      <c r="BQ33" s="66">
        <f>BQ32+(BQ$34-BQ$27)/7</f>
        <v>-3129.5714285714294</v>
      </c>
      <c r="BR33" s="66">
        <f t="shared" si="293"/>
        <v>-65.714285714285708</v>
      </c>
      <c r="BS33" s="193">
        <f>BR33+BQ33+BP33+BO33+BN33+BM33</f>
        <v>-3726.0000000000009</v>
      </c>
      <c r="BT33" s="66">
        <f t="shared" si="293"/>
        <v>1749.7142857142853</v>
      </c>
      <c r="BU33" s="193">
        <f t="shared" si="326"/>
        <v>-342.85714285714266</v>
      </c>
      <c r="BV33" s="66">
        <f t="shared" si="293"/>
        <v>2092.571428571428</v>
      </c>
      <c r="BW33" s="5">
        <f t="shared" si="262"/>
        <v>49425</v>
      </c>
      <c r="BX33" s="193">
        <f t="shared" si="263"/>
        <v>1783</v>
      </c>
      <c r="BY33" s="193">
        <f t="shared" si="148"/>
        <v>13.176470588235309</v>
      </c>
      <c r="BZ33" s="647">
        <f t="shared" si="149"/>
        <v>3.5808265643131304E-2</v>
      </c>
      <c r="CA33" s="193">
        <f t="shared" si="264"/>
        <v>70</v>
      </c>
      <c r="CB33" s="193">
        <f t="shared" si="151"/>
        <v>0</v>
      </c>
      <c r="CC33" s="647">
        <f t="shared" si="14"/>
        <v>1.4162873039959534E-3</v>
      </c>
      <c r="CD33" s="193">
        <f t="shared" si="265"/>
        <v>3121</v>
      </c>
      <c r="CE33" s="193">
        <f t="shared" si="153"/>
        <v>111.6573299182632</v>
      </c>
      <c r="CF33" s="655">
        <f t="shared" si="15"/>
        <v>6.0887054528714957E-2</v>
      </c>
      <c r="CG33" s="193">
        <f t="shared" si="266"/>
        <v>1601</v>
      </c>
      <c r="CH33" s="193">
        <f t="shared" si="155"/>
        <v>207.07036001304178</v>
      </c>
      <c r="CI33" s="23">
        <f t="shared" si="16"/>
        <v>2.8202926453959699E-2</v>
      </c>
      <c r="CJ33" s="193">
        <f t="shared" si="267"/>
        <v>1473</v>
      </c>
      <c r="CK33" s="641">
        <f t="shared" si="157"/>
        <v>130.11328007944567</v>
      </c>
      <c r="CL33" s="34">
        <f t="shared" si="158"/>
        <v>2.7170191601832153E-2</v>
      </c>
      <c r="CM33" s="193">
        <f t="shared" si="268"/>
        <v>1052</v>
      </c>
      <c r="CN33" s="193">
        <f t="shared" si="160"/>
        <v>205.20875765455915</v>
      </c>
      <c r="CO33" s="23">
        <f t="shared" si="161"/>
        <v>1.7132852652411549E-2</v>
      </c>
      <c r="CP33" s="193">
        <f t="shared" si="17"/>
        <v>9100</v>
      </c>
      <c r="CQ33" s="193">
        <f t="shared" si="162"/>
        <v>667.22619825354502</v>
      </c>
      <c r="CR33" s="271">
        <f t="shared" si="18"/>
        <v>40325</v>
      </c>
      <c r="CS33" s="248">
        <f t="shared" si="163"/>
        <v>0.1706175781840456</v>
      </c>
      <c r="CT33" s="30">
        <f t="shared" si="19"/>
        <v>0.18411734951947395</v>
      </c>
      <c r="CU33" s="308">
        <f t="shared" si="20"/>
        <v>0</v>
      </c>
      <c r="CV33" s="608">
        <f t="shared" si="269"/>
        <v>3.6074860900354069E-2</v>
      </c>
      <c r="CW33" s="608">
        <f t="shared" si="270"/>
        <v>1.4162873039959534E-3</v>
      </c>
      <c r="CX33" s="608">
        <f t="shared" si="271"/>
        <v>6.3146181082448155E-2</v>
      </c>
      <c r="CY33" s="608">
        <f t="shared" si="272"/>
        <v>3.2392513909964595E-2</v>
      </c>
      <c r="CZ33" s="608">
        <f t="shared" si="327"/>
        <v>2.9802731411229137E-2</v>
      </c>
      <c r="DA33" s="608">
        <f>'Assets(BoP)'!FK80</f>
        <v>5.6803913116812543E-2</v>
      </c>
      <c r="DB33" s="608">
        <f t="shared" si="273"/>
        <v>2.1284774911482042E-2</v>
      </c>
      <c r="DC33" s="23">
        <f t="shared" si="21"/>
        <v>0.19070476043660992</v>
      </c>
      <c r="DD33" s="193">
        <f t="shared" si="22"/>
        <v>44219</v>
      </c>
      <c r="DE33" s="193">
        <f t="shared" si="274"/>
        <v>5206</v>
      </c>
      <c r="DF33" s="193"/>
      <c r="DG33" s="193">
        <f>'Assets(BoP)'!DA80</f>
        <v>0</v>
      </c>
      <c r="DH33" s="23">
        <f t="shared" si="23"/>
        <v>0.10533131006575619</v>
      </c>
      <c r="DI33" s="23"/>
      <c r="DJ33" s="23">
        <f t="shared" si="24"/>
        <v>0.12097116843702579</v>
      </c>
      <c r="DK33" s="600">
        <f>'Assets(BoP)'!FO80-'Assets(BoP)'!FH80</f>
        <v>0.14901925059028667</v>
      </c>
      <c r="DL33" s="576">
        <f t="shared" si="25"/>
        <v>0.68360047011531455</v>
      </c>
      <c r="DM33" s="251">
        <f t="shared" si="26"/>
        <v>2.0993150684931505</v>
      </c>
      <c r="DN33" s="251">
        <f t="shared" si="27"/>
        <v>2.1075147681418378</v>
      </c>
      <c r="DO33" s="251">
        <f t="shared" si="28"/>
        <v>0.39743589743589741</v>
      </c>
      <c r="DP33" s="251">
        <f t="shared" si="29"/>
        <v>0.39743589743589741</v>
      </c>
      <c r="DQ33" s="251">
        <f t="shared" si="30"/>
        <v>1.2045711060948081</v>
      </c>
      <c r="DR33" s="251">
        <f t="shared" si="31"/>
        <v>1.1932520811139518</v>
      </c>
      <c r="DS33" s="251">
        <f t="shared" si="32"/>
        <v>0.95934579439252332</v>
      </c>
      <c r="DT33" s="251">
        <f t="shared" si="33"/>
        <v>0.92118699202565979</v>
      </c>
      <c r="DU33" s="251">
        <f t="shared" si="34"/>
        <v>5.12</v>
      </c>
      <c r="DV33" s="251">
        <f t="shared" si="35"/>
        <v>9.2801196990421477</v>
      </c>
      <c r="DW33" s="251">
        <f t="shared" si="36"/>
        <v>1.7563218390804598</v>
      </c>
      <c r="DX33" s="251">
        <f t="shared" si="37"/>
        <v>1.8631608797471628</v>
      </c>
      <c r="DY33" s="251">
        <f t="shared" si="38"/>
        <v>1.1392634854771784</v>
      </c>
      <c r="DZ33" s="251">
        <f t="shared" si="39"/>
        <v>1.1258596237215512</v>
      </c>
      <c r="EA33" s="643">
        <f t="shared" si="40"/>
        <v>1.4252333481490889</v>
      </c>
      <c r="EB33" s="643">
        <f t="shared" si="41"/>
        <v>1.4250738801717022</v>
      </c>
      <c r="EC33" s="251">
        <f t="shared" si="42"/>
        <v>0.63028842423329545</v>
      </c>
      <c r="ED33" s="251">
        <f t="shared" si="43"/>
        <v>0.62285461597280445</v>
      </c>
      <c r="EE33" s="140">
        <f t="shared" si="44"/>
        <v>0.5600933720728104</v>
      </c>
      <c r="EF33" s="1342">
        <v>0.19190095035281768</v>
      </c>
      <c r="EG33" s="140">
        <f t="shared" si="228"/>
        <v>1.426896629466802</v>
      </c>
      <c r="EH33" s="583">
        <v>14.9238416988417</v>
      </c>
      <c r="EI33" s="1344">
        <v>1.7613353987155904</v>
      </c>
      <c r="EJ33" s="576">
        <f t="shared" si="166"/>
        <v>0.42093205471052136</v>
      </c>
      <c r="EK33" s="753">
        <f t="shared" si="167"/>
        <v>1.2516084125044764</v>
      </c>
      <c r="EL33" s="753">
        <f t="shared" si="168"/>
        <v>0.58685604779618983</v>
      </c>
      <c r="EM33" s="753">
        <f t="shared" si="169"/>
        <v>0.34884402393901015</v>
      </c>
      <c r="EN33" s="583"/>
      <c r="EO33" s="5">
        <v>66399</v>
      </c>
      <c r="EP33" s="193">
        <v>2199</v>
      </c>
      <c r="EQ33" s="193"/>
      <c r="ER33" s="193">
        <v>171</v>
      </c>
      <c r="ES33" s="193"/>
      <c r="ET33" s="193">
        <v>4814</v>
      </c>
      <c r="EU33" s="193"/>
      <c r="EV33" s="193">
        <v>4410</v>
      </c>
      <c r="EW33" s="193"/>
      <c r="EX33" s="193">
        <v>3244</v>
      </c>
      <c r="EY33" s="193"/>
      <c r="EZ33" s="193">
        <v>1070</v>
      </c>
      <c r="FA33" s="193"/>
      <c r="FB33" s="193">
        <f t="shared" si="294"/>
        <v>15908</v>
      </c>
      <c r="FC33" s="193">
        <f t="shared" si="295"/>
        <v>50491</v>
      </c>
      <c r="FD33" s="23">
        <f t="shared" si="296"/>
        <v>0.23958192141447912</v>
      </c>
      <c r="FE33" s="193">
        <v>7290</v>
      </c>
      <c r="FF33" s="193">
        <v>1703</v>
      </c>
      <c r="FG33" s="193"/>
      <c r="FH33" s="193"/>
      <c r="FI33" s="193"/>
      <c r="FJ33" s="5">
        <v>30842</v>
      </c>
      <c r="FK33" s="143">
        <f>FJ33/'Assets(BoP)'!AV80/1000</f>
        <v>1.048120709576565</v>
      </c>
      <c r="FL33" s="192"/>
      <c r="FM33" s="193">
        <v>56</v>
      </c>
      <c r="FN33" s="66">
        <f t="shared" si="297"/>
        <v>1.8823529411764728</v>
      </c>
      <c r="FO33" s="184">
        <f t="shared" si="298"/>
        <v>3.3613445378151301E-2</v>
      </c>
      <c r="FP33" s="193">
        <v>54</v>
      </c>
      <c r="FQ33" s="66">
        <f t="shared" si="299"/>
        <v>0</v>
      </c>
      <c r="FR33" s="184">
        <v>0</v>
      </c>
      <c r="FS33" s="193">
        <v>1148</v>
      </c>
      <c r="FT33" s="66">
        <f t="shared" si="300"/>
        <v>133.32772511848344</v>
      </c>
      <c r="FU33" s="193">
        <f t="shared" si="175"/>
        <v>1014.6722748815166</v>
      </c>
      <c r="FV33" s="184">
        <f t="shared" si="301"/>
        <v>0.1161391333784699</v>
      </c>
      <c r="FW33" s="193">
        <v>452</v>
      </c>
      <c r="FX33" s="66">
        <f t="shared" si="302"/>
        <v>23.338826690550821</v>
      </c>
      <c r="FY33" s="184">
        <f t="shared" si="303"/>
        <v>5.1634572324227482E-2</v>
      </c>
      <c r="FZ33" s="193">
        <v>319</v>
      </c>
      <c r="GA33" s="66">
        <f t="shared" si="304"/>
        <v>134.44322792408101</v>
      </c>
      <c r="GB33" s="193">
        <f t="shared" si="180"/>
        <v>184.55677207591899</v>
      </c>
      <c r="GC33" s="184">
        <f t="shared" si="305"/>
        <v>0.42145212515385899</v>
      </c>
      <c r="GD33" s="193">
        <v>94</v>
      </c>
      <c r="GE33" s="66">
        <f t="shared" si="306"/>
        <v>22.800973072728794</v>
      </c>
      <c r="GF33" s="184">
        <f t="shared" si="307"/>
        <v>0.24256354332690205</v>
      </c>
      <c r="GG33" s="193">
        <f t="shared" si="47"/>
        <v>2123</v>
      </c>
      <c r="GH33" s="193">
        <f t="shared" si="48"/>
        <v>315.79310574702049</v>
      </c>
      <c r="GI33" s="193">
        <f t="shared" si="49"/>
        <v>28719</v>
      </c>
      <c r="GJ33" s="23">
        <f t="shared" si="50"/>
        <v>6.8834705920498021E-2</v>
      </c>
      <c r="GK33" s="330">
        <v>7452</v>
      </c>
      <c r="GL33" s="330">
        <v>3115</v>
      </c>
      <c r="GM33" s="23">
        <f>GK33/'Assets(BoP)'!AW80/1000</f>
        <v>1.1620146577264929</v>
      </c>
      <c r="GN33" s="23">
        <f t="shared" si="51"/>
        <v>0.2416185720770378</v>
      </c>
      <c r="GO33" s="330">
        <f t="shared" si="275"/>
        <v>23390</v>
      </c>
      <c r="GP33" s="23">
        <f>GO33/('Assets(BoP)'!AV80-'Assets(BoP)'!AW80)/1000</f>
        <v>1.016382044931126</v>
      </c>
      <c r="GQ33" s="330">
        <f t="shared" si="52"/>
        <v>21267</v>
      </c>
      <c r="GR33" s="330">
        <v>425.197</v>
      </c>
      <c r="GS33" s="140">
        <f t="shared" si="53"/>
        <v>0.10609040037235502</v>
      </c>
      <c r="GT33" s="582">
        <v>0.83354178200120876</v>
      </c>
      <c r="GU33" s="576">
        <f t="shared" si="54"/>
        <v>0.38424259035469122</v>
      </c>
      <c r="GV33" s="589">
        <f t="shared" si="276"/>
        <v>3.0451332245785754E-2</v>
      </c>
      <c r="GW33" s="389">
        <v>0.125</v>
      </c>
      <c r="GX33" s="589">
        <f t="shared" si="277"/>
        <v>0.43548387096774194</v>
      </c>
      <c r="GY33" s="389">
        <v>0.25</v>
      </c>
      <c r="GZ33" s="589">
        <f t="shared" si="308"/>
        <v>0.26891543687046149</v>
      </c>
      <c r="HA33" s="56">
        <f t="shared" si="320"/>
        <v>0.54422799422799439</v>
      </c>
      <c r="HB33" s="589">
        <f t="shared" si="278"/>
        <v>0.2201656113005358</v>
      </c>
      <c r="HC33" s="56">
        <f t="shared" si="321"/>
        <v>0.10129295200618368</v>
      </c>
      <c r="HD33" s="589">
        <f t="shared" si="279"/>
        <v>0.17801339285714285</v>
      </c>
      <c r="HE33" s="56">
        <f t="shared" si="322"/>
        <v>0.50818340829585196</v>
      </c>
      <c r="HF33" s="589">
        <f t="shared" si="309"/>
        <v>8.2024432809773118E-2</v>
      </c>
      <c r="HG33" s="56">
        <v>0.1</v>
      </c>
      <c r="HH33" s="6">
        <f t="shared" si="57"/>
        <v>0.18916510736879621</v>
      </c>
      <c r="HI33" s="6">
        <f t="shared" si="58"/>
        <v>0.17648538096942123</v>
      </c>
      <c r="HJ33" s="23">
        <f t="shared" si="280"/>
        <v>0.58871859693474482</v>
      </c>
      <c r="HK33" s="23">
        <f t="shared" si="280"/>
        <v>0.64055110014394412</v>
      </c>
      <c r="HL33" s="23">
        <f t="shared" si="281"/>
        <v>0.55638229634381009</v>
      </c>
      <c r="HM33" s="31">
        <f t="shared" si="282"/>
        <v>0.34595985741543284</v>
      </c>
      <c r="HN33" s="23">
        <f t="shared" si="60"/>
        <v>0.41595214645733158</v>
      </c>
      <c r="HO33" s="23">
        <f t="shared" si="61"/>
        <v>0.3771680913701983</v>
      </c>
      <c r="HP33" s="575">
        <v>15856</v>
      </c>
      <c r="HQ33" s="193">
        <v>440</v>
      </c>
      <c r="HR33" s="193">
        <v>110</v>
      </c>
      <c r="HS33" s="193">
        <v>1583</v>
      </c>
      <c r="HT33" s="193">
        <v>2782</v>
      </c>
      <c r="HU33" s="193">
        <v>1989</v>
      </c>
      <c r="HV33" s="193">
        <v>23</v>
      </c>
      <c r="HW33" s="193">
        <f t="shared" si="310"/>
        <v>6927</v>
      </c>
      <c r="HX33" s="193">
        <f t="shared" si="311"/>
        <v>8929</v>
      </c>
      <c r="HY33" s="193">
        <v>1361</v>
      </c>
      <c r="HZ33" s="193">
        <v>170</v>
      </c>
      <c r="IA33" s="193"/>
      <c r="IB33" s="23">
        <f t="shared" si="283"/>
        <v>0.43686932391523714</v>
      </c>
      <c r="IC33" s="23"/>
      <c r="ID33" s="23"/>
      <c r="IE33" s="23"/>
      <c r="IF33" s="23"/>
      <c r="IG33" s="23"/>
      <c r="IH33" s="23"/>
      <c r="II33" s="23"/>
      <c r="IJ33" s="23"/>
      <c r="IK33" s="23"/>
      <c r="IL33" s="23"/>
      <c r="IM33" s="575">
        <v>1118</v>
      </c>
      <c r="IN33" s="193">
        <v>-24</v>
      </c>
      <c r="IO33" s="193">
        <v>-9</v>
      </c>
      <c r="IP33" s="193">
        <v>110</v>
      </c>
      <c r="IQ33" s="193">
        <v>27</v>
      </c>
      <c r="IR33" s="193">
        <v>-218</v>
      </c>
      <c r="IS33" s="193">
        <v>-5</v>
      </c>
      <c r="IT33" s="193">
        <f t="shared" si="312"/>
        <v>-119</v>
      </c>
      <c r="IU33" s="193">
        <f t="shared" si="313"/>
        <v>1237</v>
      </c>
      <c r="IV33" s="193">
        <v>723</v>
      </c>
      <c r="IW33" s="193">
        <v>-215</v>
      </c>
      <c r="IX33" s="149">
        <f t="shared" si="63"/>
        <v>273075.28571428574</v>
      </c>
      <c r="IY33" s="316">
        <f t="shared" si="64"/>
        <v>6393.5714285714294</v>
      </c>
      <c r="IZ33" s="316">
        <f t="shared" si="65"/>
        <v>360.28571428571433</v>
      </c>
      <c r="JA33" s="316">
        <f t="shared" si="66"/>
        <v>7391.5714285714275</v>
      </c>
      <c r="JB33" s="316">
        <f t="shared" si="67"/>
        <v>7086.2857142857156</v>
      </c>
      <c r="JC33" s="316">
        <f t="shared" si="68"/>
        <v>31773.428571428572</v>
      </c>
      <c r="JD33" s="316">
        <f t="shared" si="69"/>
        <v>3751.2857142857142</v>
      </c>
      <c r="JE33" s="316">
        <f t="shared" si="70"/>
        <v>56756.42857142858</v>
      </c>
      <c r="JF33" s="316">
        <f t="shared" si="71"/>
        <v>216318.85714285716</v>
      </c>
      <c r="JG33" s="316">
        <f t="shared" si="72"/>
        <v>165419.42857142858</v>
      </c>
      <c r="JH33" s="316">
        <f t="shared" si="73"/>
        <v>50899.428571428572</v>
      </c>
      <c r="JI33" s="5">
        <v>368378</v>
      </c>
      <c r="JJ33" s="593">
        <v>8804</v>
      </c>
      <c r="JK33" s="593">
        <v>867</v>
      </c>
      <c r="JL33" s="593">
        <v>19362</v>
      </c>
      <c r="JM33" s="536">
        <v>18641</v>
      </c>
      <c r="JN33" s="536">
        <v>43973</v>
      </c>
      <c r="JO33" s="536">
        <v>4209</v>
      </c>
      <c r="JP33" s="552">
        <f t="shared" si="74"/>
        <v>95856</v>
      </c>
      <c r="JQ33" s="552">
        <f t="shared" si="75"/>
        <v>272522</v>
      </c>
      <c r="JR33" s="552">
        <f t="shared" si="76"/>
        <v>215036</v>
      </c>
      <c r="JS33" s="593">
        <v>57486</v>
      </c>
      <c r="JT33" s="1257">
        <f t="shared" si="323"/>
        <v>95302.714285714261</v>
      </c>
      <c r="JU33" s="1076">
        <f t="shared" si="314"/>
        <v>2410.4285714285711</v>
      </c>
      <c r="JV33" s="1076">
        <f t="shared" si="314"/>
        <v>506.71428571428567</v>
      </c>
      <c r="JW33" s="1076">
        <f t="shared" si="314"/>
        <v>11970.428571428572</v>
      </c>
      <c r="JX33" s="1076">
        <f t="shared" si="314"/>
        <v>11554.714285714284</v>
      </c>
      <c r="JY33" s="1076">
        <f t="shared" si="314"/>
        <v>12199.571428571426</v>
      </c>
      <c r="JZ33" s="1076">
        <f t="shared" si="314"/>
        <v>457.71428571428567</v>
      </c>
      <c r="KA33" s="552">
        <f t="shared" si="315"/>
        <v>39099.57142857142</v>
      </c>
      <c r="KB33" s="552">
        <f t="shared" si="316"/>
        <v>56203.142857142841</v>
      </c>
      <c r="KC33" s="552">
        <f t="shared" si="317"/>
        <v>49616.571428571413</v>
      </c>
      <c r="KD33" s="1076">
        <f t="shared" si="318"/>
        <v>6586.5714285714294</v>
      </c>
      <c r="KE33" s="149">
        <v>222274</v>
      </c>
      <c r="KF33">
        <v>1646</v>
      </c>
      <c r="KG33">
        <v>660</v>
      </c>
      <c r="KH33">
        <v>7389</v>
      </c>
      <c r="KI33">
        <v>1820</v>
      </c>
      <c r="KJ33">
        <v>1853</v>
      </c>
      <c r="KK33">
        <v>1712</v>
      </c>
      <c r="KL33" s="552">
        <f t="shared" ref="KL33" si="334">KF33+KG33+KH33+KI33+KJ33+KK33</f>
        <v>15080</v>
      </c>
      <c r="KM33" s="552">
        <f t="shared" ref="KM33" si="335">KE33-KL33</f>
        <v>207194</v>
      </c>
      <c r="KN33" s="552">
        <f t="shared" ref="KN33" si="336">KM33-KO33</f>
        <v>126159</v>
      </c>
      <c r="KO33">
        <v>81035</v>
      </c>
      <c r="KP33" s="149">
        <v>98681</v>
      </c>
      <c r="LA33" s="149">
        <f>'Assets(MOFA)'!IX33-'Assets(MOFA)'!KE33-'Assets(MOFA)'!KP33</f>
        <v>-47879.714285714261</v>
      </c>
      <c r="LB33" s="552">
        <f>'Assets(MOFA)'!IY33-'Assets(MOFA)'!KF33-'Assets(MOFA)'!KQ33</f>
        <v>4747.5714285714294</v>
      </c>
      <c r="LC33" s="552">
        <f>'Assets(MOFA)'!IZ33-'Assets(MOFA)'!KG33-'Assets(MOFA)'!KR33</f>
        <v>-299.71428571428567</v>
      </c>
      <c r="LD33" s="552">
        <f>'Assets(MOFA)'!JA33-'Assets(MOFA)'!KH33-'Assets(MOFA)'!KS33</f>
        <v>2.571428571427532</v>
      </c>
      <c r="LE33" s="552">
        <f>'Assets(MOFA)'!JB33-'Assets(MOFA)'!KI33-'Assets(MOFA)'!KT33</f>
        <v>5266.2857142857156</v>
      </c>
      <c r="LF33" s="552">
        <f>'Assets(MOFA)'!JC33-'Assets(MOFA)'!KJ33-'Assets(MOFA)'!KU33</f>
        <v>29920.428571428572</v>
      </c>
      <c r="LG33" s="552">
        <f>'Assets(MOFA)'!JD33-'Assets(MOFA)'!KK33-'Assets(MOFA)'!KV33</f>
        <v>2039.2857142857142</v>
      </c>
      <c r="LH33" s="552">
        <f>'Assets(MOFA)'!JE33-'Assets(MOFA)'!KL33-'Assets(MOFA)'!KW33</f>
        <v>41676.42857142858</v>
      </c>
      <c r="LI33" s="552">
        <f>'Assets(MOFA)'!JF33-'Assets(MOFA)'!KM33-'Assets(MOFA)'!KX33</f>
        <v>9124.8571428571595</v>
      </c>
      <c r="LJ33" s="552">
        <f t="shared" si="77"/>
        <v>39260.428571428587</v>
      </c>
      <c r="LK33" s="552">
        <f>'Assets(MOFA)'!JH33-'Assets(MOFA)'!KO33-'Assets(MOFA)'!KZ33</f>
        <v>-30135.571428571428</v>
      </c>
      <c r="LL33" s="576">
        <f t="shared" si="78"/>
        <v>0.29393725539843274</v>
      </c>
      <c r="LM33" s="6">
        <f t="shared" si="79"/>
        <v>0.28763266674114618</v>
      </c>
      <c r="LN33" s="6">
        <f t="shared" si="80"/>
        <v>0.34417129262490082</v>
      </c>
      <c r="LO33" s="6">
        <f t="shared" si="81"/>
        <v>0.57754971879167405</v>
      </c>
      <c r="LP33" s="6">
        <f t="shared" si="82"/>
        <v>0.28971453915006851</v>
      </c>
      <c r="LQ33" s="6">
        <f t="shared" si="83"/>
        <v>5.6399327380470654E-2</v>
      </c>
      <c r="LR33" s="6">
        <f t="shared" si="84"/>
        <v>0.30549525876842226</v>
      </c>
      <c r="LS33" s="6">
        <f t="shared" si="85"/>
        <v>0.19773971482148023</v>
      </c>
      <c r="LT33" s="143">
        <f t="shared" si="86"/>
        <v>0.29237758875126429</v>
      </c>
      <c r="LU33" s="62">
        <f t="shared" si="87"/>
        <v>0.15648210729478776</v>
      </c>
      <c r="LV33" s="902">
        <f t="shared" si="88"/>
        <v>0.31917698212691314</v>
      </c>
      <c r="LW33" s="902">
        <f t="shared" si="89"/>
        <v>0.34086685274488399</v>
      </c>
      <c r="LX33" s="143">
        <f t="shared" si="90"/>
        <v>0.24868648539416666</v>
      </c>
      <c r="LY33" s="576">
        <f t="shared" si="91"/>
        <v>0.29803136445365402</v>
      </c>
      <c r="LZ33" s="906">
        <f t="shared" si="92"/>
        <v>0.28387889621271362</v>
      </c>
      <c r="MA33" s="906">
        <f t="shared" si="93"/>
        <v>0.3191911181601903</v>
      </c>
      <c r="MB33" s="906">
        <f t="shared" si="94"/>
        <v>0.5924315339865871</v>
      </c>
      <c r="MC33" s="906">
        <f t="shared" si="95"/>
        <v>0.2935247157487299</v>
      </c>
      <c r="MD33" s="906">
        <f t="shared" si="96"/>
        <v>4.9538248491551792E-2</v>
      </c>
      <c r="ME33" s="906">
        <v>6.1610529375296846E-2</v>
      </c>
      <c r="MF33" s="906">
        <f t="shared" si="97"/>
        <v>0.30416238242126509</v>
      </c>
      <c r="MG33" s="30">
        <f t="shared" si="98"/>
        <v>0.19564303603116071</v>
      </c>
      <c r="MH33" s="140">
        <f t="shared" si="99"/>
        <v>0.29226151983949322</v>
      </c>
      <c r="MI33" s="30">
        <f t="shared" si="100"/>
        <v>0.15352197689001976</v>
      </c>
      <c r="MJ33" s="30">
        <f t="shared" si="101"/>
        <v>0.32489539251580996</v>
      </c>
      <c r="MK33" s="617">
        <f t="shared" si="102"/>
        <v>0.34086685274488399</v>
      </c>
      <c r="ML33" s="615">
        <f t="shared" si="103"/>
        <v>0.24868648539416666</v>
      </c>
      <c r="MM33" s="574"/>
      <c r="MX33" s="613"/>
      <c r="MY33" s="552"/>
      <c r="MZ33" s="552"/>
      <c r="NA33" s="552"/>
      <c r="NB33" s="552"/>
      <c r="NC33" s="552"/>
      <c r="ND33" s="552"/>
      <c r="NE33" s="552"/>
      <c r="NF33" s="552"/>
      <c r="NG33" s="552"/>
      <c r="NH33" s="552"/>
      <c r="NI33" s="613">
        <f t="shared" si="214"/>
        <v>117418</v>
      </c>
      <c r="PN33" s="574"/>
      <c r="PO33" s="593"/>
      <c r="PP33" s="593"/>
      <c r="PQ33" s="593"/>
      <c r="PR33" s="593"/>
      <c r="PS33" s="593"/>
      <c r="PT33" s="593"/>
      <c r="PU33" s="593"/>
      <c r="PV33" s="593"/>
      <c r="PW33" s="593"/>
      <c r="PX33" s="593"/>
      <c r="PY33" s="593"/>
      <c r="PZ33" s="593"/>
      <c r="QA33" s="593"/>
      <c r="QB33" s="593"/>
      <c r="QC33" s="593"/>
      <c r="QD33" s="593"/>
      <c r="QE33" s="593"/>
      <c r="QF33" s="593"/>
      <c r="QG33" s="593"/>
      <c r="QH33" s="593"/>
      <c r="QI33" s="593"/>
      <c r="QJ33" s="593"/>
      <c r="QK33" s="593"/>
      <c r="QL33" s="593"/>
      <c r="QM33" s="593"/>
      <c r="QN33" s="593"/>
      <c r="QO33" s="593"/>
      <c r="QP33" s="593"/>
      <c r="QQ33" s="593"/>
      <c r="QR33" s="593"/>
      <c r="QS33" s="593"/>
      <c r="QT33" s="593"/>
      <c r="QU33" s="593"/>
      <c r="QV33" s="593"/>
      <c r="QW33" s="593"/>
      <c r="QX33" s="593"/>
      <c r="QY33" s="593"/>
      <c r="QZ33" s="593"/>
      <c r="RA33" s="593"/>
      <c r="RB33" s="593"/>
      <c r="RC33" s="593"/>
      <c r="RD33" s="593"/>
      <c r="RE33" s="593"/>
      <c r="RF33" s="593"/>
      <c r="RG33" s="593"/>
      <c r="RH33" s="593"/>
      <c r="RI33" s="593"/>
      <c r="RJ33" s="593"/>
      <c r="RK33" s="593"/>
      <c r="RL33" s="593"/>
      <c r="RM33" s="593"/>
      <c r="RN33" s="593"/>
      <c r="RO33" s="593"/>
      <c r="RP33" s="593"/>
      <c r="RQ33" s="593"/>
      <c r="RR33" s="593"/>
    </row>
    <row r="34" spans="1:486">
      <c r="A34" s="568">
        <v>1989</v>
      </c>
      <c r="B34" s="33">
        <v>132565</v>
      </c>
      <c r="C34" s="193">
        <v>973</v>
      </c>
      <c r="D34" s="193">
        <v>277</v>
      </c>
      <c r="E34" s="193">
        <v>4345</v>
      </c>
      <c r="F34" s="193">
        <v>2245</v>
      </c>
      <c r="G34" s="193">
        <v>469</v>
      </c>
      <c r="H34" s="193">
        <v>818</v>
      </c>
      <c r="I34" s="193">
        <f t="shared" si="324"/>
        <v>9127</v>
      </c>
      <c r="J34" s="193">
        <f t="shared" si="325"/>
        <v>123438</v>
      </c>
      <c r="K34" s="193">
        <f t="shared" si="249"/>
        <v>114161</v>
      </c>
      <c r="L34" s="193">
        <v>9277</v>
      </c>
      <c r="M34" s="140">
        <f t="shared" si="217"/>
        <v>6.8849243767208537E-2</v>
      </c>
      <c r="N34" s="140">
        <f t="shared" si="250"/>
        <v>6.9980764153434169E-2</v>
      </c>
      <c r="O34" s="193">
        <v>2119300</v>
      </c>
      <c r="P34" s="32">
        <f t="shared" si="251"/>
        <v>6.2551314113150569E-2</v>
      </c>
      <c r="Q34" s="629">
        <f t="shared" si="218"/>
        <v>7.3397955719835557E-3</v>
      </c>
      <c r="R34" s="308">
        <f t="shared" si="219"/>
        <v>2.0895409798966547E-3</v>
      </c>
      <c r="S34" s="308">
        <f t="shared" si="220"/>
        <v>3.2776373854335607E-2</v>
      </c>
      <c r="T34" s="308">
        <f t="shared" si="221"/>
        <v>1.6935088447176855E-2</v>
      </c>
      <c r="U34" s="308">
        <f t="shared" si="222"/>
        <v>3.5378870742654549E-3</v>
      </c>
      <c r="V34" s="308">
        <f t="shared" si="223"/>
        <v>6.1705578395504094E-3</v>
      </c>
      <c r="W34" s="5">
        <f t="shared" si="252"/>
        <v>85594</v>
      </c>
      <c r="X34" s="76">
        <f t="shared" si="253"/>
        <v>2679</v>
      </c>
      <c r="Y34" s="76">
        <f t="shared" si="3"/>
        <v>0</v>
      </c>
      <c r="Z34" s="76">
        <f t="shared" si="114"/>
        <v>2679</v>
      </c>
      <c r="AA34" s="76">
        <f t="shared" si="254"/>
        <v>153</v>
      </c>
      <c r="AB34" s="66">
        <f t="shared" si="241"/>
        <v>0</v>
      </c>
      <c r="AC34" s="274">
        <f t="shared" si="117"/>
        <v>153</v>
      </c>
      <c r="AD34" s="76">
        <f t="shared" si="255"/>
        <v>4046</v>
      </c>
      <c r="AE34" s="357">
        <f t="shared" si="247"/>
        <v>166.12744319084692</v>
      </c>
      <c r="AF34" s="274">
        <f t="shared" si="119"/>
        <v>3879.8725568091531</v>
      </c>
      <c r="AG34" s="76">
        <f t="shared" si="256"/>
        <v>2137</v>
      </c>
      <c r="AH34" s="357">
        <f t="shared" si="319"/>
        <v>154.84374055491747</v>
      </c>
      <c r="AI34" s="76">
        <f t="shared" si="287"/>
        <v>1982.1562594450825</v>
      </c>
      <c r="AJ34" s="76">
        <f t="shared" si="257"/>
        <v>4128</v>
      </c>
      <c r="AK34" s="357">
        <f t="shared" si="288"/>
        <v>260.77428956418566</v>
      </c>
      <c r="AL34" s="274">
        <f t="shared" si="123"/>
        <v>3867.2257104358141</v>
      </c>
      <c r="AM34" s="76">
        <f t="shared" si="258"/>
        <v>1231</v>
      </c>
      <c r="AN34" s="357">
        <f t="shared" si="248"/>
        <v>310</v>
      </c>
      <c r="AO34" s="274">
        <f t="shared" si="125"/>
        <v>921</v>
      </c>
      <c r="AP34" s="193">
        <f t="shared" si="8"/>
        <v>14374</v>
      </c>
      <c r="AQ34" s="271">
        <f t="shared" si="9"/>
        <v>891.74547330995006</v>
      </c>
      <c r="AR34" s="271">
        <f t="shared" si="126"/>
        <v>13482.254526690049</v>
      </c>
      <c r="AS34" s="193">
        <f t="shared" si="259"/>
        <v>71220</v>
      </c>
      <c r="AT34" s="193">
        <f t="shared" si="224"/>
        <v>57797</v>
      </c>
      <c r="AU34" s="193">
        <f t="shared" si="260"/>
        <v>13423</v>
      </c>
      <c r="AV34" s="193">
        <f t="shared" si="261"/>
        <v>5354</v>
      </c>
      <c r="AW34" s="23">
        <f t="shared" si="289"/>
        <v>0.39886761528719361</v>
      </c>
      <c r="AX34" s="271">
        <f t="shared" si="227"/>
        <v>72171</v>
      </c>
      <c r="AY34" s="140">
        <f t="shared" si="10"/>
        <v>0.16793233170549338</v>
      </c>
      <c r="AZ34" s="623">
        <f t="shared" si="129"/>
        <v>0.15751401414456678</v>
      </c>
      <c r="BA34" s="248">
        <f t="shared" si="11"/>
        <v>0.18680986167144767</v>
      </c>
      <c r="BB34" s="248">
        <f t="shared" si="130"/>
        <v>3.712017292264206E-2</v>
      </c>
      <c r="BC34" s="248">
        <f t="shared" si="131"/>
        <v>2.1199650829280461E-3</v>
      </c>
      <c r="BD34" s="248">
        <f t="shared" si="132"/>
        <v>5.3759440174157944E-2</v>
      </c>
      <c r="BE34" s="248">
        <f t="shared" si="133"/>
        <v>2.7464719339417253E-2</v>
      </c>
      <c r="BF34" s="248">
        <f t="shared" si="134"/>
        <v>5.3584205711931579E-2</v>
      </c>
      <c r="BG34" s="248">
        <f t="shared" si="135"/>
        <v>1.2761358440370785E-2</v>
      </c>
      <c r="BH34" s="248">
        <f t="shared" si="136"/>
        <v>5.5879405257085991E-2</v>
      </c>
      <c r="BI34" s="23">
        <f t="shared" si="12"/>
        <v>0.14310457108811017</v>
      </c>
      <c r="BJ34" s="140">
        <f t="shared" si="13"/>
        <v>0.15682173984157768</v>
      </c>
      <c r="BK34" s="623">
        <f t="shared" si="137"/>
        <v>0.14640342228065109</v>
      </c>
      <c r="BL34" s="5">
        <f>27234-29700</f>
        <v>-2466</v>
      </c>
      <c r="BM34" s="76">
        <f>88-147</f>
        <v>-59</v>
      </c>
      <c r="BN34" s="76">
        <f>62-34</f>
        <v>28</v>
      </c>
      <c r="BO34" s="76">
        <f>1026-1169</f>
        <v>-143</v>
      </c>
      <c r="BP34" s="76">
        <f>330-741</f>
        <v>-411</v>
      </c>
      <c r="BQ34" s="76">
        <f>1987-5137</f>
        <v>-3150</v>
      </c>
      <c r="BR34" s="76">
        <f>62-135</f>
        <v>-73</v>
      </c>
      <c r="BS34" s="193">
        <f t="shared" ref="BS34:BS39" si="337">BR34+BQ34+BP34+BO34+BN34+BM34</f>
        <v>-3808</v>
      </c>
      <c r="BT34" s="193">
        <f>BL34-BS34</f>
        <v>1342</v>
      </c>
      <c r="BU34" s="193">
        <f t="shared" si="326"/>
        <v>-867</v>
      </c>
      <c r="BV34" s="193">
        <f>3519-1310</f>
        <v>2209</v>
      </c>
      <c r="BW34" s="5">
        <f t="shared" si="262"/>
        <v>52303</v>
      </c>
      <c r="BX34" s="193">
        <f t="shared" si="263"/>
        <v>2621</v>
      </c>
      <c r="BY34" s="193">
        <f t="shared" si="148"/>
        <v>0</v>
      </c>
      <c r="BZ34" s="647">
        <f t="shared" si="149"/>
        <v>5.0111848268741752E-2</v>
      </c>
      <c r="CA34" s="193">
        <f t="shared" si="264"/>
        <v>102</v>
      </c>
      <c r="CB34" s="193">
        <f t="shared" si="151"/>
        <v>0</v>
      </c>
      <c r="CC34" s="647">
        <f t="shared" si="14"/>
        <v>1.9501749421639294E-3</v>
      </c>
      <c r="CD34" s="193">
        <f t="shared" si="265"/>
        <v>2991</v>
      </c>
      <c r="CE34" s="193">
        <f t="shared" si="153"/>
        <v>78.127443190846918</v>
      </c>
      <c r="CF34" s="655">
        <f t="shared" si="15"/>
        <v>5.5692265392217527E-2</v>
      </c>
      <c r="CG34" s="193">
        <f t="shared" si="266"/>
        <v>1702</v>
      </c>
      <c r="CH34" s="193">
        <f t="shared" si="155"/>
        <v>139.84374055491747</v>
      </c>
      <c r="CI34" s="23">
        <f t="shared" si="16"/>
        <v>2.9867431303081705E-2</v>
      </c>
      <c r="CJ34" s="193">
        <f t="shared" si="267"/>
        <v>3788</v>
      </c>
      <c r="CK34" s="641">
        <f t="shared" si="157"/>
        <v>125.77428956418566</v>
      </c>
      <c r="CL34" s="34">
        <f t="shared" si="158"/>
        <v>7.0019419735690383E-2</v>
      </c>
      <c r="CM34" s="193">
        <f t="shared" si="268"/>
        <v>1101</v>
      </c>
      <c r="CN34" s="193">
        <f t="shared" si="160"/>
        <v>279</v>
      </c>
      <c r="CO34" s="23">
        <f t="shared" si="161"/>
        <v>1.5716115710379903E-2</v>
      </c>
      <c r="CP34" s="193">
        <f t="shared" si="17"/>
        <v>12305</v>
      </c>
      <c r="CQ34" s="193">
        <f t="shared" si="162"/>
        <v>622.74547330995006</v>
      </c>
      <c r="CR34" s="271">
        <f t="shared" si="18"/>
        <v>39998</v>
      </c>
      <c r="CS34" s="248">
        <f t="shared" si="163"/>
        <v>0.22335725535227521</v>
      </c>
      <c r="CT34" s="30">
        <f t="shared" si="19"/>
        <v>0.23526375160124657</v>
      </c>
      <c r="CU34" s="308">
        <f t="shared" si="20"/>
        <v>0</v>
      </c>
      <c r="CV34" s="608">
        <f t="shared" si="269"/>
        <v>5.0111848268741752E-2</v>
      </c>
      <c r="CW34" s="608">
        <f t="shared" si="270"/>
        <v>1.9501749421639294E-3</v>
      </c>
      <c r="CX34" s="608">
        <f t="shared" si="271"/>
        <v>5.7186012274630521E-2</v>
      </c>
      <c r="CY34" s="608">
        <f t="shared" si="272"/>
        <v>3.2541154427088312E-2</v>
      </c>
      <c r="CZ34" s="608">
        <f t="shared" si="327"/>
        <v>7.2424143930558474E-2</v>
      </c>
      <c r="DA34" s="608">
        <f>'Assets(BoP)'!FK81</f>
        <v>5.2660664573668248E-2</v>
      </c>
      <c r="DB34" s="608">
        <f t="shared" si="273"/>
        <v>2.1050417758063589E-2</v>
      </c>
      <c r="DC34" s="23">
        <f t="shared" si="21"/>
        <v>0.24872795364269398</v>
      </c>
      <c r="DD34" s="193">
        <f t="shared" si="22"/>
        <v>46968</v>
      </c>
      <c r="DE34" s="193">
        <f t="shared" si="274"/>
        <v>5335</v>
      </c>
      <c r="DF34" s="193"/>
      <c r="DG34" s="193">
        <f>'Assets(BoP)'!DA81</f>
        <v>0</v>
      </c>
      <c r="DH34" s="23">
        <f t="shared" si="23"/>
        <v>0.10200179722004474</v>
      </c>
      <c r="DI34" s="23"/>
      <c r="DJ34" s="23">
        <f t="shared" si="24"/>
        <v>0.17807773932661608</v>
      </c>
      <c r="DK34" s="600">
        <f>'Assets(BoP)'!FO81-'Assets(BoP)'!FH81</f>
        <v>0.16636891613511065</v>
      </c>
      <c r="DL34" s="576">
        <f t="shared" si="25"/>
        <v>0.64567570625730775</v>
      </c>
      <c r="DM34" s="251">
        <f t="shared" si="26"/>
        <v>2.7533401849948613</v>
      </c>
      <c r="DN34" s="251">
        <f t="shared" si="27"/>
        <v>2.7533401849948613</v>
      </c>
      <c r="DO34" s="251">
        <f t="shared" si="28"/>
        <v>0.55234657039711188</v>
      </c>
      <c r="DP34" s="251">
        <f t="shared" si="29"/>
        <v>0.55234657039711188</v>
      </c>
      <c r="DQ34" s="251">
        <f t="shared" si="30"/>
        <v>0.9311852704257767</v>
      </c>
      <c r="DR34" s="251">
        <f t="shared" si="31"/>
        <v>0.91718748251926208</v>
      </c>
      <c r="DS34" s="251">
        <f t="shared" si="32"/>
        <v>0.95189309576837422</v>
      </c>
      <c r="DT34" s="251">
        <f t="shared" si="33"/>
        <v>0.92711494726596588</v>
      </c>
      <c r="DU34" s="251">
        <f t="shared" si="34"/>
        <v>8.8017057569296373</v>
      </c>
      <c r="DV34" s="251">
        <f t="shared" si="35"/>
        <v>13.391978254889073</v>
      </c>
      <c r="DW34" s="251">
        <f t="shared" si="36"/>
        <v>1.5048899755501222</v>
      </c>
      <c r="DX34" s="251">
        <f t="shared" si="37"/>
        <v>1.5254643797050003</v>
      </c>
      <c r="DY34" s="251">
        <f t="shared" si="38"/>
        <v>0.90848117697966246</v>
      </c>
      <c r="DZ34" s="251">
        <f t="shared" si="39"/>
        <v>0.89476529729502907</v>
      </c>
      <c r="EA34" s="643">
        <f t="shared" si="40"/>
        <v>1.5748876958474856</v>
      </c>
      <c r="EB34" s="643">
        <f t="shared" si="41"/>
        <v>1.5841551947528685</v>
      </c>
      <c r="EC34" s="251">
        <f t="shared" si="42"/>
        <v>0.57696981480581344</v>
      </c>
      <c r="ED34" s="251">
        <f t="shared" si="43"/>
        <v>0.58538543897216277</v>
      </c>
      <c r="EE34" s="140">
        <f t="shared" si="44"/>
        <v>0.50627622392936289</v>
      </c>
      <c r="EF34" s="1342">
        <v>0.17965047477223955</v>
      </c>
      <c r="EG34" s="140">
        <f t="shared" si="228"/>
        <v>1.4469117171499408</v>
      </c>
      <c r="EH34" s="583">
        <v>18.226113281250004</v>
      </c>
      <c r="EI34" s="1344">
        <v>1.6886650887207808</v>
      </c>
      <c r="EJ34" s="576">
        <f t="shared" si="166"/>
        <v>0.39454607173839251</v>
      </c>
      <c r="EK34" s="753">
        <f t="shared" si="167"/>
        <v>1.4522740541437251</v>
      </c>
      <c r="EL34" s="753">
        <f t="shared" si="168"/>
        <v>0.57507815026409403</v>
      </c>
      <c r="EM34" s="753">
        <f t="shared" si="169"/>
        <v>0.30363258906281482</v>
      </c>
      <c r="EN34" s="583"/>
      <c r="EO34" s="5">
        <v>72142</v>
      </c>
      <c r="EP34" s="193">
        <v>3084</v>
      </c>
      <c r="EQ34" s="193"/>
      <c r="ER34" s="193">
        <v>236</v>
      </c>
      <c r="ES34" s="193"/>
      <c r="ET34" s="193">
        <v>5585</v>
      </c>
      <c r="EU34" s="193"/>
      <c r="EV34" s="193">
        <v>5475</v>
      </c>
      <c r="EW34" s="193"/>
      <c r="EX34" s="193">
        <v>5592</v>
      </c>
      <c r="EY34" s="193"/>
      <c r="EZ34" s="193">
        <v>1128</v>
      </c>
      <c r="FA34" s="193"/>
      <c r="FB34" s="193">
        <f t="shared" si="294"/>
        <v>21100</v>
      </c>
      <c r="FC34" s="193">
        <f t="shared" si="295"/>
        <v>51042</v>
      </c>
      <c r="FD34" s="23">
        <f t="shared" si="296"/>
        <v>0.29247872251947549</v>
      </c>
      <c r="FE34" s="193">
        <v>7659</v>
      </c>
      <c r="FF34" s="193">
        <v>1840</v>
      </c>
      <c r="FG34" s="193"/>
      <c r="FH34" s="193"/>
      <c r="FI34" s="193"/>
      <c r="FJ34" s="5">
        <v>33291</v>
      </c>
      <c r="FK34" s="143" t="e">
        <f>FJ34/'Assets(BoP)'!AV81/1000</f>
        <v>#DIV/0!</v>
      </c>
      <c r="FL34" s="192"/>
      <c r="FM34" s="193">
        <v>58</v>
      </c>
      <c r="FN34" s="193">
        <v>0</v>
      </c>
      <c r="FO34" s="23">
        <f>FN34/FM34</f>
        <v>0</v>
      </c>
      <c r="FP34" s="193">
        <v>51</v>
      </c>
      <c r="FQ34" s="193">
        <v>0</v>
      </c>
      <c r="FR34" s="23">
        <f>FQ34/FP34</f>
        <v>0</v>
      </c>
      <c r="FS34" s="193">
        <v>1055</v>
      </c>
      <c r="FT34" s="193">
        <v>88</v>
      </c>
      <c r="FU34" s="193">
        <f t="shared" si="175"/>
        <v>967</v>
      </c>
      <c r="FV34" s="23">
        <f>FT34/FS34</f>
        <v>8.3412322274881517E-2</v>
      </c>
      <c r="FW34" s="193">
        <v>435</v>
      </c>
      <c r="FX34" s="193">
        <v>15</v>
      </c>
      <c r="FY34" s="23">
        <f>FX34/FW34</f>
        <v>3.4482758620689655E-2</v>
      </c>
      <c r="FZ34" s="193">
        <v>340</v>
      </c>
      <c r="GA34" s="193">
        <v>135</v>
      </c>
      <c r="GB34" s="193">
        <f t="shared" si="180"/>
        <v>205</v>
      </c>
      <c r="GC34" s="23">
        <f>GA34/FZ34</f>
        <v>0.39705882352941174</v>
      </c>
      <c r="GD34" s="193">
        <v>130</v>
      </c>
      <c r="GE34" s="193">
        <v>31</v>
      </c>
      <c r="GF34" s="23">
        <f>GE34/GD34</f>
        <v>0.23846153846153847</v>
      </c>
      <c r="GG34" s="193">
        <f t="shared" si="47"/>
        <v>2069</v>
      </c>
      <c r="GH34" s="193">
        <f t="shared" si="48"/>
        <v>269</v>
      </c>
      <c r="GI34" s="193">
        <f t="shared" si="49"/>
        <v>31222</v>
      </c>
      <c r="GJ34" s="23">
        <f t="shared" si="50"/>
        <v>6.2148929140007809E-2</v>
      </c>
      <c r="GK34" s="330">
        <v>8088</v>
      </c>
      <c r="GL34" s="330">
        <v>3719</v>
      </c>
      <c r="GM34" s="23" t="e">
        <f>GK34/'Assets(BoP)'!AW81/1000</f>
        <v>#DIV/0!</v>
      </c>
      <c r="GN34" s="23">
        <f t="shared" si="51"/>
        <v>0.24294854465170768</v>
      </c>
      <c r="GO34" s="330">
        <f t="shared" si="275"/>
        <v>25203</v>
      </c>
      <c r="GP34" s="23"/>
      <c r="GQ34" s="330">
        <f t="shared" si="52"/>
        <v>23134</v>
      </c>
      <c r="GR34" s="330">
        <v>384.78100000000001</v>
      </c>
      <c r="GS34" s="140">
        <f t="shared" si="53"/>
        <v>0.13503682278044074</v>
      </c>
      <c r="GT34" s="582">
        <v>0.89585523631518571</v>
      </c>
      <c r="GU34" s="576">
        <f t="shared" si="54"/>
        <v>0.38894081360843052</v>
      </c>
      <c r="GV34" s="589">
        <f t="shared" si="276"/>
        <v>2.1649869354236656E-2</v>
      </c>
      <c r="GW34" s="389">
        <v>0.125</v>
      </c>
      <c r="GX34" s="589">
        <f t="shared" si="277"/>
        <v>0.33333333333333331</v>
      </c>
      <c r="GY34" s="389">
        <v>0.25</v>
      </c>
      <c r="GZ34" s="589">
        <f t="shared" si="308"/>
        <v>0.26075135936727634</v>
      </c>
      <c r="HA34" s="56">
        <f t="shared" si="320"/>
        <v>0.52971380471380491</v>
      </c>
      <c r="HB34" s="589">
        <f t="shared" si="278"/>
        <v>0.20355638745905474</v>
      </c>
      <c r="HC34" s="56">
        <f t="shared" si="321"/>
        <v>9.6871852528517557E-2</v>
      </c>
      <c r="HD34" s="589">
        <f t="shared" si="279"/>
        <v>8.2364341085271311E-2</v>
      </c>
      <c r="HE34" s="56">
        <f t="shared" si="322"/>
        <v>0.51768907213060122</v>
      </c>
      <c r="HF34" s="589">
        <f t="shared" si="309"/>
        <v>0.10560519902518278</v>
      </c>
      <c r="HG34" s="56">
        <v>0.1</v>
      </c>
      <c r="HH34" s="6">
        <f t="shared" si="57"/>
        <v>0.14394044803116737</v>
      </c>
      <c r="HI34" s="6">
        <f t="shared" si="58"/>
        <v>0.13350882795133728</v>
      </c>
      <c r="HJ34" s="23">
        <f t="shared" si="280"/>
        <v>0.60254786560381435</v>
      </c>
      <c r="HK34" s="23">
        <f t="shared" si="280"/>
        <v>0.69462084422861414</v>
      </c>
      <c r="HL34" s="23">
        <f t="shared" si="281"/>
        <v>0.54145495104721775</v>
      </c>
      <c r="HM34" s="31">
        <f t="shared" si="282"/>
        <v>0.34921228748389244</v>
      </c>
      <c r="HN34" s="23">
        <f t="shared" si="60"/>
        <v>0.43838809323223815</v>
      </c>
      <c r="HO34" s="23">
        <f t="shared" si="61"/>
        <v>0.40026298942851707</v>
      </c>
      <c r="HP34" s="575">
        <v>17710</v>
      </c>
      <c r="HQ34" s="193">
        <v>464</v>
      </c>
      <c r="HR34" s="193">
        <v>126</v>
      </c>
      <c r="HS34" s="193">
        <v>2645</v>
      </c>
      <c r="HT34" s="193">
        <v>3645</v>
      </c>
      <c r="HU34" s="193">
        <v>1834</v>
      </c>
      <c r="HV34" s="193">
        <v>29</v>
      </c>
      <c r="HW34" s="193">
        <f t="shared" si="310"/>
        <v>8743</v>
      </c>
      <c r="HX34" s="193">
        <f t="shared" si="311"/>
        <v>8967</v>
      </c>
      <c r="HY34" s="193">
        <v>1126</v>
      </c>
      <c r="HZ34" s="193">
        <v>166</v>
      </c>
      <c r="IA34" s="193"/>
      <c r="IB34" s="23">
        <f t="shared" si="283"/>
        <v>0.49367588932806322</v>
      </c>
      <c r="IC34" s="23"/>
      <c r="ID34" s="23"/>
      <c r="IE34" s="23"/>
      <c r="IF34" s="23"/>
      <c r="IG34" s="23"/>
      <c r="IH34" s="23"/>
      <c r="II34" s="23"/>
      <c r="IJ34" s="23"/>
      <c r="IK34" s="23"/>
      <c r="IL34" s="23"/>
      <c r="IM34" s="575">
        <v>2129</v>
      </c>
      <c r="IN34" s="193">
        <v>-1</v>
      </c>
      <c r="IO34" s="193">
        <v>8</v>
      </c>
      <c r="IP34" s="193">
        <v>-51</v>
      </c>
      <c r="IQ34" s="193">
        <v>128</v>
      </c>
      <c r="IR34" s="193">
        <v>-30</v>
      </c>
      <c r="IS34" s="193">
        <v>-2</v>
      </c>
      <c r="IT34" s="193">
        <f t="shared" si="312"/>
        <v>52</v>
      </c>
      <c r="IU34" s="193">
        <f t="shared" si="313"/>
        <v>2077</v>
      </c>
      <c r="IV34" s="193">
        <v>1198</v>
      </c>
      <c r="IW34" s="193">
        <v>39</v>
      </c>
      <c r="IX34" s="149">
        <f t="shared" si="63"/>
        <v>302451</v>
      </c>
      <c r="IY34" s="316">
        <f t="shared" si="64"/>
        <v>6759</v>
      </c>
      <c r="IZ34" s="316">
        <f t="shared" si="65"/>
        <v>730</v>
      </c>
      <c r="JA34" s="316">
        <f t="shared" si="66"/>
        <v>12192</v>
      </c>
      <c r="JB34" s="316">
        <f t="shared" si="67"/>
        <v>10753</v>
      </c>
      <c r="JC34" s="316">
        <f t="shared" si="68"/>
        <v>30095</v>
      </c>
      <c r="JD34" s="316">
        <f t="shared" si="69"/>
        <v>5029</v>
      </c>
      <c r="JE34" s="316">
        <f t="shared" si="70"/>
        <v>65558</v>
      </c>
      <c r="JF34" s="316">
        <f t="shared" si="71"/>
        <v>236893</v>
      </c>
      <c r="JG34" s="316">
        <f t="shared" si="72"/>
        <v>194163</v>
      </c>
      <c r="JH34" s="316">
        <f t="shared" si="73"/>
        <v>42730</v>
      </c>
      <c r="JI34" s="5">
        <v>407074</v>
      </c>
      <c r="JJ34" s="593">
        <v>9492</v>
      </c>
      <c r="JK34" s="593">
        <v>1247</v>
      </c>
      <c r="JL34" s="593">
        <v>25718</v>
      </c>
      <c r="JM34" s="536">
        <v>23264</v>
      </c>
      <c r="JN34" s="536">
        <v>43574</v>
      </c>
      <c r="JO34" s="536">
        <v>5538</v>
      </c>
      <c r="JP34" s="552">
        <f t="shared" si="74"/>
        <v>108833</v>
      </c>
      <c r="JQ34" s="552">
        <f t="shared" si="75"/>
        <v>298241</v>
      </c>
      <c r="JR34" s="552">
        <f t="shared" si="76"/>
        <v>248637</v>
      </c>
      <c r="JS34" s="593">
        <v>49604</v>
      </c>
      <c r="JT34" s="149">
        <v>104623</v>
      </c>
      <c r="JU34" s="593">
        <v>2733</v>
      </c>
      <c r="JV34" s="593">
        <v>517</v>
      </c>
      <c r="JW34" s="536">
        <v>13526</v>
      </c>
      <c r="JX34" s="536">
        <v>12511</v>
      </c>
      <c r="JY34" s="536">
        <v>13479</v>
      </c>
      <c r="JZ34" s="536">
        <v>509</v>
      </c>
      <c r="KA34" s="552">
        <f t="shared" ref="KA34" si="338">JU34+JV34+JW34+JX34+JY34+JZ34</f>
        <v>43275</v>
      </c>
      <c r="KB34" s="552">
        <f t="shared" ref="KB34" si="339">JT34-KA34</f>
        <v>61348</v>
      </c>
      <c r="KC34" s="552">
        <f t="shared" ref="KC34" si="340">KB34-KD34</f>
        <v>54474</v>
      </c>
      <c r="KD34" s="593">
        <v>6874</v>
      </c>
      <c r="KE34" s="149">
        <v>248069</v>
      </c>
      <c r="KF34">
        <v>1874</v>
      </c>
      <c r="KG34">
        <v>633</v>
      </c>
      <c r="KH34">
        <v>8182</v>
      </c>
      <c r="KI34">
        <v>1977</v>
      </c>
      <c r="KJ34">
        <v>2140</v>
      </c>
      <c r="KK34">
        <v>2153</v>
      </c>
      <c r="KL34" s="552">
        <f t="shared" ref="KL34" si="341">KF34+KG34+KH34+KI34+KJ34+KK34</f>
        <v>16959</v>
      </c>
      <c r="KM34" s="552">
        <f t="shared" ref="KM34" si="342">KE34-KL34</f>
        <v>231110</v>
      </c>
      <c r="KN34" s="552">
        <f t="shared" ref="KN34" si="343">KM34-KO34</f>
        <v>147800</v>
      </c>
      <c r="KO34">
        <v>83310</v>
      </c>
      <c r="KP34" s="149">
        <v>100863</v>
      </c>
      <c r="LA34" s="149">
        <f>'Assets(MOFA)'!IX34-'Assets(MOFA)'!KE34-'Assets(MOFA)'!KP34</f>
        <v>-46481</v>
      </c>
      <c r="LB34" s="552">
        <f>'Assets(MOFA)'!IY34-'Assets(MOFA)'!KF34-'Assets(MOFA)'!KQ34</f>
        <v>4885</v>
      </c>
      <c r="LC34" s="552">
        <f>'Assets(MOFA)'!IZ34-'Assets(MOFA)'!KG34-'Assets(MOFA)'!KR34</f>
        <v>97</v>
      </c>
      <c r="LD34" s="552">
        <f>'Assets(MOFA)'!JA34-'Assets(MOFA)'!KH34-'Assets(MOFA)'!KS34</f>
        <v>4010</v>
      </c>
      <c r="LE34" s="552">
        <f>'Assets(MOFA)'!JB34-'Assets(MOFA)'!KI34-'Assets(MOFA)'!KT34</f>
        <v>8776</v>
      </c>
      <c r="LF34" s="552">
        <f>'Assets(MOFA)'!JC34-'Assets(MOFA)'!KJ34-'Assets(MOFA)'!KU34</f>
        <v>27955</v>
      </c>
      <c r="LG34" s="552">
        <f>'Assets(MOFA)'!JD34-'Assets(MOFA)'!KK34-'Assets(MOFA)'!KV34</f>
        <v>2876</v>
      </c>
      <c r="LH34" s="552">
        <f>'Assets(MOFA)'!JE34-'Assets(MOFA)'!KL34-'Assets(MOFA)'!KW34</f>
        <v>48599</v>
      </c>
      <c r="LI34" s="552">
        <f>'Assets(MOFA)'!JF34-'Assets(MOFA)'!KM34-'Assets(MOFA)'!KX34</f>
        <v>5783</v>
      </c>
      <c r="LJ34" s="552">
        <f t="shared" si="77"/>
        <v>46363</v>
      </c>
      <c r="LK34" s="552">
        <f>'Assets(MOFA)'!JH34-'Assets(MOFA)'!KO34-'Assets(MOFA)'!KZ34</f>
        <v>-40580</v>
      </c>
      <c r="LL34" s="576">
        <f t="shared" si="78"/>
        <v>0.28300121341969442</v>
      </c>
      <c r="LM34" s="6">
        <f t="shared" si="79"/>
        <v>0.39636040834442965</v>
      </c>
      <c r="LN34" s="6">
        <f t="shared" si="80"/>
        <v>0.20958904109589041</v>
      </c>
      <c r="LO34" s="6">
        <f t="shared" si="81"/>
        <v>0.33185695538057741</v>
      </c>
      <c r="LP34" s="6">
        <f t="shared" si="82"/>
        <v>0.19873523667813633</v>
      </c>
      <c r="LQ34" s="6">
        <f t="shared" si="83"/>
        <v>0.13716564213324473</v>
      </c>
      <c r="LR34" s="6">
        <f t="shared" si="84"/>
        <v>0.24478027440843109</v>
      </c>
      <c r="LS34" s="6">
        <f t="shared" si="85"/>
        <v>0.21925623112358522</v>
      </c>
      <c r="LT34" s="143">
        <f t="shared" si="86"/>
        <v>0.26826671398784435</v>
      </c>
      <c r="LU34" s="62">
        <f t="shared" si="87"/>
        <v>0.19357463328451543</v>
      </c>
      <c r="LV34" s="902">
        <f t="shared" si="88"/>
        <v>0.3006420620280042</v>
      </c>
      <c r="LW34" s="902">
        <f t="shared" si="89"/>
        <v>0.29767257407436021</v>
      </c>
      <c r="LX34" s="143">
        <f t="shared" si="90"/>
        <v>0.31413526796161945</v>
      </c>
      <c r="LY34" s="576">
        <f t="shared" si="91"/>
        <v>0.29004037017566481</v>
      </c>
      <c r="LZ34" s="906">
        <f t="shared" si="92"/>
        <v>0.39621245746412193</v>
      </c>
      <c r="MA34" s="906">
        <f t="shared" si="93"/>
        <v>0.22054794520547946</v>
      </c>
      <c r="MB34" s="906">
        <f t="shared" si="94"/>
        <v>0.32767388451443569</v>
      </c>
      <c r="MC34" s="906">
        <f t="shared" si="95"/>
        <v>0.21063889147214732</v>
      </c>
      <c r="MD34" s="906">
        <f t="shared" si="96"/>
        <v>0.13616879880378802</v>
      </c>
      <c r="ME34" s="906">
        <v>6.1610529375296846E-2</v>
      </c>
      <c r="MF34" s="906">
        <f t="shared" si="97"/>
        <v>0.24438258103002586</v>
      </c>
      <c r="MG34" s="30">
        <f t="shared" si="98"/>
        <v>0.22004942188596358</v>
      </c>
      <c r="MH34" s="140">
        <f t="shared" si="99"/>
        <v>0.27381216450024398</v>
      </c>
      <c r="MI34" s="30">
        <f t="shared" si="100"/>
        <v>0.19187762977427528</v>
      </c>
      <c r="MJ34" s="30">
        <f t="shared" si="101"/>
        <v>0.30940973350837719</v>
      </c>
      <c r="MK34" s="617">
        <f t="shared" si="102"/>
        <v>0.29767257407436021</v>
      </c>
      <c r="ML34" s="615">
        <f t="shared" si="103"/>
        <v>0.31413526796161945</v>
      </c>
      <c r="MM34" s="574"/>
      <c r="MX34" s="613"/>
      <c r="MY34" s="552"/>
      <c r="MZ34" s="552"/>
      <c r="NA34" s="552"/>
      <c r="NB34" s="552"/>
      <c r="NC34" s="552"/>
      <c r="ND34" s="552"/>
      <c r="NE34" s="552"/>
      <c r="NF34" s="552"/>
      <c r="NG34" s="552"/>
      <c r="NH34" s="552"/>
      <c r="NI34" s="613">
        <f t="shared" si="214"/>
        <v>132565</v>
      </c>
      <c r="PN34" s="574"/>
      <c r="PO34" s="593"/>
      <c r="PP34" s="593"/>
      <c r="PQ34" s="593"/>
      <c r="PR34" s="593"/>
      <c r="PS34" s="593"/>
      <c r="PT34" s="593"/>
      <c r="PU34" s="593"/>
      <c r="PV34" s="593"/>
      <c r="PW34" s="593"/>
      <c r="PX34" s="593"/>
      <c r="PY34" s="593"/>
      <c r="PZ34" s="593"/>
      <c r="QA34" s="593"/>
      <c r="QB34" s="593"/>
      <c r="QC34" s="593"/>
      <c r="QD34" s="593"/>
      <c r="QE34" s="593"/>
      <c r="QF34" s="593"/>
      <c r="QG34" s="593"/>
      <c r="QH34" s="593"/>
      <c r="QI34" s="593"/>
      <c r="QJ34" s="593"/>
      <c r="QK34" s="593"/>
      <c r="QL34" s="593"/>
      <c r="QM34" s="593"/>
      <c r="QN34" s="593"/>
      <c r="QO34" s="593"/>
      <c r="QP34" s="593"/>
      <c r="QQ34" s="593"/>
      <c r="QR34" s="593"/>
      <c r="QS34" s="593"/>
      <c r="QT34" s="593"/>
      <c r="QU34" s="593"/>
      <c r="QV34" s="593"/>
      <c r="QW34" s="593"/>
      <c r="QX34" s="593"/>
      <c r="QY34" s="593"/>
      <c r="QZ34" s="593"/>
      <c r="RA34" s="593"/>
      <c r="RB34" s="593"/>
      <c r="RC34" s="593"/>
      <c r="RD34" s="593"/>
      <c r="RE34" s="593"/>
      <c r="RF34" s="593"/>
      <c r="RG34" s="593"/>
      <c r="RH34" s="593"/>
      <c r="RI34" s="593"/>
      <c r="RJ34" s="593"/>
      <c r="RK34" s="593"/>
      <c r="RL34" s="593"/>
      <c r="RM34" s="593"/>
      <c r="RN34" s="593"/>
      <c r="RO34" s="593"/>
      <c r="RP34" s="593"/>
      <c r="RQ34" s="593"/>
      <c r="RR34" s="593"/>
    </row>
    <row r="35" spans="1:486">
      <c r="A35" s="568">
        <v>1990</v>
      </c>
      <c r="B35" s="33">
        <v>151051</v>
      </c>
      <c r="C35" s="193">
        <v>1108</v>
      </c>
      <c r="D35" s="193">
        <v>327</v>
      </c>
      <c r="E35" s="193">
        <v>4879</v>
      </c>
      <c r="F35" s="193">
        <v>2634</v>
      </c>
      <c r="G35" s="193">
        <v>506</v>
      </c>
      <c r="H35" s="193">
        <v>1019</v>
      </c>
      <c r="I35" s="193">
        <f t="shared" si="324"/>
        <v>10473</v>
      </c>
      <c r="J35" s="193">
        <f t="shared" si="325"/>
        <v>140578</v>
      </c>
      <c r="K35" s="193">
        <f t="shared" si="249"/>
        <v>132683</v>
      </c>
      <c r="L35" s="193">
        <v>7895</v>
      </c>
      <c r="M35" s="140">
        <f t="shared" si="217"/>
        <v>6.9334198383327481E-2</v>
      </c>
      <c r="N35" s="140">
        <f t="shared" si="250"/>
        <v>5.2267115080337108E-2</v>
      </c>
      <c r="O35" s="193">
        <v>2234900</v>
      </c>
      <c r="P35" s="32">
        <f t="shared" si="251"/>
        <v>6.7587364087878646E-2</v>
      </c>
      <c r="Q35" s="629">
        <f t="shared" si="218"/>
        <v>7.3352708687794187E-3</v>
      </c>
      <c r="R35" s="308">
        <f t="shared" si="219"/>
        <v>2.1648317455693774E-3</v>
      </c>
      <c r="S35" s="308">
        <f t="shared" si="220"/>
        <v>3.2300348888785906E-2</v>
      </c>
      <c r="T35" s="308">
        <f t="shared" si="221"/>
        <v>1.7437819014769845E-2</v>
      </c>
      <c r="U35" s="308">
        <f t="shared" si="222"/>
        <v>3.3498619671501677E-3</v>
      </c>
      <c r="V35" s="308">
        <f t="shared" si="223"/>
        <v>6.7460658982727685E-3</v>
      </c>
      <c r="W35" s="5">
        <f t="shared" si="252"/>
        <v>84575</v>
      </c>
      <c r="X35" s="76">
        <f t="shared" si="253"/>
        <v>3152</v>
      </c>
      <c r="Y35" s="76">
        <v>0</v>
      </c>
      <c r="Z35" s="76">
        <f t="shared" si="114"/>
        <v>3152</v>
      </c>
      <c r="AA35" s="76">
        <f t="shared" si="254"/>
        <v>205</v>
      </c>
      <c r="AB35" s="66">
        <v>0</v>
      </c>
      <c r="AC35" s="274">
        <f t="shared" si="117"/>
        <v>205</v>
      </c>
      <c r="AD35" s="76">
        <f t="shared" si="255"/>
        <v>4521</v>
      </c>
      <c r="AE35" s="357">
        <f t="shared" si="247"/>
        <v>183.09912040382989</v>
      </c>
      <c r="AF35" s="274">
        <f t="shared" si="119"/>
        <v>4337.9008795961699</v>
      </c>
      <c r="AG35" s="76">
        <f t="shared" si="256"/>
        <v>2579</v>
      </c>
      <c r="AH35" s="357">
        <f t="shared" si="319"/>
        <v>209.72022902597345</v>
      </c>
      <c r="AI35" s="76">
        <f t="shared" si="287"/>
        <v>2369.2797709740266</v>
      </c>
      <c r="AJ35" s="76">
        <f t="shared" si="257"/>
        <v>3943</v>
      </c>
      <c r="AK35" s="357">
        <f t="shared" si="288"/>
        <v>326.31585306896284</v>
      </c>
      <c r="AL35" s="274">
        <f t="shared" si="123"/>
        <v>3616.684146931037</v>
      </c>
      <c r="AM35" s="76">
        <f t="shared" si="258"/>
        <v>2141</v>
      </c>
      <c r="AN35" s="357">
        <f t="shared" si="248"/>
        <v>360.27379400260753</v>
      </c>
      <c r="AO35" s="274">
        <f t="shared" si="125"/>
        <v>1780.7262059973925</v>
      </c>
      <c r="AP35" s="193">
        <f t="shared" si="8"/>
        <v>16541</v>
      </c>
      <c r="AQ35" s="271">
        <f t="shared" si="9"/>
        <v>1079.4089965013738</v>
      </c>
      <c r="AR35" s="271">
        <f t="shared" si="126"/>
        <v>15461.591003498626</v>
      </c>
      <c r="AS35" s="193">
        <f t="shared" si="259"/>
        <v>68034</v>
      </c>
      <c r="AT35" s="193">
        <f t="shared" si="224"/>
        <v>50880</v>
      </c>
      <c r="AU35" s="193">
        <f t="shared" si="260"/>
        <v>17154</v>
      </c>
      <c r="AV35" s="193">
        <f t="shared" si="261"/>
        <v>7018</v>
      </c>
      <c r="AW35" s="23">
        <f t="shared" si="289"/>
        <v>0.40911740701877114</v>
      </c>
      <c r="AX35" s="271">
        <f t="shared" si="227"/>
        <v>67421</v>
      </c>
      <c r="AY35" s="140">
        <f t="shared" si="10"/>
        <v>0.19557788944723617</v>
      </c>
      <c r="AZ35" s="623">
        <f t="shared" si="129"/>
        <v>0.18281514636120161</v>
      </c>
      <c r="BA35" s="248">
        <f t="shared" si="11"/>
        <v>0.22932900733448963</v>
      </c>
      <c r="BB35" s="248">
        <f t="shared" si="130"/>
        <v>4.6751012295872203E-2</v>
      </c>
      <c r="BC35" s="248">
        <f t="shared" si="131"/>
        <v>3.0405956601059019E-3</v>
      </c>
      <c r="BD35" s="248">
        <f t="shared" si="132"/>
        <v>6.434050043155945E-2</v>
      </c>
      <c r="BE35" s="248">
        <f t="shared" si="133"/>
        <v>3.5141569703416246E-2</v>
      </c>
      <c r="BF35" s="248">
        <f t="shared" si="134"/>
        <v>5.3643288395767444E-2</v>
      </c>
      <c r="BG35" s="248">
        <f t="shared" si="135"/>
        <v>2.6412040847768388E-2</v>
      </c>
      <c r="BH35" s="248">
        <f t="shared" si="136"/>
        <v>6.7381096091665357E-2</v>
      </c>
      <c r="BI35" s="23">
        <f t="shared" si="12"/>
        <v>0.17828273089986799</v>
      </c>
      <c r="BJ35" s="140">
        <f t="shared" si="13"/>
        <v>0.20282589417676619</v>
      </c>
      <c r="BK35" s="623">
        <f t="shared" si="137"/>
        <v>0.1900631510907316</v>
      </c>
      <c r="BL35" s="590">
        <f>BS35+BT35</f>
        <v>-2979.4</v>
      </c>
      <c r="BM35" s="66">
        <f>BM34+(BM$39-BM$34)/5</f>
        <v>-107.8</v>
      </c>
      <c r="BN35" s="66">
        <f t="shared" ref="BN35:BV38" si="344">BN34+(BN$39-BN$34)/5</f>
        <v>25.6</v>
      </c>
      <c r="BO35" s="66">
        <f t="shared" si="344"/>
        <v>-190.6</v>
      </c>
      <c r="BP35" s="66">
        <f t="shared" si="344"/>
        <v>-422.4</v>
      </c>
      <c r="BQ35" s="66">
        <f t="shared" si="344"/>
        <v>-2907.2</v>
      </c>
      <c r="BR35" s="66">
        <f>BR34+(BR$39-BR$34)/5</f>
        <v>-74</v>
      </c>
      <c r="BS35" s="193">
        <f t="shared" si="337"/>
        <v>-3676.4</v>
      </c>
      <c r="BT35" s="66">
        <f>BT34+(BT$39-BT$34)/5</f>
        <v>697</v>
      </c>
      <c r="BU35" s="193">
        <f t="shared" si="326"/>
        <v>-1378</v>
      </c>
      <c r="BV35" s="66">
        <f>BV34+(BV$39-BV$34)/5</f>
        <v>2075</v>
      </c>
      <c r="BW35" s="5">
        <f t="shared" si="262"/>
        <v>52882</v>
      </c>
      <c r="BX35" s="193">
        <f t="shared" si="263"/>
        <v>2985</v>
      </c>
      <c r="BY35" s="193">
        <f t="shared" si="148"/>
        <v>0</v>
      </c>
      <c r="BZ35" s="647">
        <f t="shared" si="149"/>
        <v>5.6446427896070496E-2</v>
      </c>
      <c r="CA35" s="193">
        <f t="shared" si="264"/>
        <v>148</v>
      </c>
      <c r="CB35" s="193">
        <f t="shared" si="151"/>
        <v>0</v>
      </c>
      <c r="CC35" s="647">
        <f t="shared" si="14"/>
        <v>2.79868386218373E-3</v>
      </c>
      <c r="CD35" s="193">
        <f t="shared" si="265"/>
        <v>3297</v>
      </c>
      <c r="CE35" s="193">
        <f t="shared" si="153"/>
        <v>88.766524028388673</v>
      </c>
      <c r="CF35" s="655">
        <f t="shared" si="15"/>
        <v>6.0667778752157848E-2</v>
      </c>
      <c r="CG35" s="193">
        <f t="shared" si="266"/>
        <v>1984</v>
      </c>
      <c r="CH35" s="193">
        <f t="shared" si="155"/>
        <v>190.33143592252517</v>
      </c>
      <c r="CI35" s="23">
        <f t="shared" si="16"/>
        <v>3.391831935398576E-2</v>
      </c>
      <c r="CJ35" s="193">
        <f t="shared" si="267"/>
        <v>3535</v>
      </c>
      <c r="CK35" s="641">
        <f t="shared" si="157"/>
        <v>154.28385306896286</v>
      </c>
      <c r="CL35" s="34">
        <f t="shared" si="158"/>
        <v>6.3929430561080094E-2</v>
      </c>
      <c r="CM35" s="193">
        <f t="shared" si="268"/>
        <v>1958</v>
      </c>
      <c r="CN35" s="193">
        <f t="shared" si="160"/>
        <v>324.24641460234676</v>
      </c>
      <c r="CO35" s="23">
        <f t="shared" si="161"/>
        <v>3.0894322934035271E-2</v>
      </c>
      <c r="CP35" s="193">
        <f t="shared" si="17"/>
        <v>13907</v>
      </c>
      <c r="CQ35" s="193">
        <f t="shared" si="162"/>
        <v>757.62822762222345</v>
      </c>
      <c r="CR35" s="271">
        <f t="shared" si="18"/>
        <v>38975</v>
      </c>
      <c r="CS35" s="248">
        <f t="shared" si="163"/>
        <v>0.2486549633595132</v>
      </c>
      <c r="CT35" s="30">
        <f t="shared" si="19"/>
        <v>0.26298173291479143</v>
      </c>
      <c r="CU35" s="308">
        <f t="shared" si="20"/>
        <v>0</v>
      </c>
      <c r="CV35" s="608">
        <f t="shared" si="269"/>
        <v>5.6446427896070496E-2</v>
      </c>
      <c r="CW35" s="608">
        <f t="shared" si="270"/>
        <v>2.79868386218373E-3</v>
      </c>
      <c r="CX35" s="608">
        <f t="shared" si="271"/>
        <v>6.2346356037971333E-2</v>
      </c>
      <c r="CY35" s="608">
        <f t="shared" si="272"/>
        <v>3.7517491774138649E-2</v>
      </c>
      <c r="CZ35" s="608">
        <f t="shared" si="327"/>
        <v>6.6846942248780308E-2</v>
      </c>
      <c r="DA35" s="608">
        <f>'Assets(BoP)'!FK82</f>
        <v>5.1569628601634325E-2</v>
      </c>
      <c r="DB35" s="608">
        <f t="shared" si="273"/>
        <v>3.7025831095646909E-2</v>
      </c>
      <c r="DC35" s="23">
        <f t="shared" si="21"/>
        <v>0.30226356279745714</v>
      </c>
      <c r="DD35" s="193">
        <f t="shared" si="22"/>
        <v>43503</v>
      </c>
      <c r="DE35" s="193">
        <f t="shared" si="274"/>
        <v>9379</v>
      </c>
      <c r="DF35" s="193"/>
      <c r="DG35" s="193">
        <f>'Assets(BoP)'!DA82</f>
        <v>0</v>
      </c>
      <c r="DH35" s="23">
        <f t="shared" si="23"/>
        <v>0.17735713475284595</v>
      </c>
      <c r="DI35" s="23"/>
      <c r="DJ35" s="23">
        <f t="shared" si="24"/>
        <v>0.20063537687682012</v>
      </c>
      <c r="DK35" s="600">
        <f>'Assets(BoP)'!FO82-'Assets(BoP)'!FH82</f>
        <v>0.1801607011873578</v>
      </c>
      <c r="DL35" s="576">
        <f t="shared" si="25"/>
        <v>0.5599102289955048</v>
      </c>
      <c r="DM35" s="251">
        <f t="shared" si="26"/>
        <v>2.8447653429602888</v>
      </c>
      <c r="DN35" s="251">
        <f t="shared" si="27"/>
        <v>2.8447653429602888</v>
      </c>
      <c r="DO35" s="251">
        <f t="shared" si="28"/>
        <v>0.62691131498470953</v>
      </c>
      <c r="DP35" s="251">
        <f t="shared" si="29"/>
        <v>0.62691131498470953</v>
      </c>
      <c r="DQ35" s="251">
        <f t="shared" si="30"/>
        <v>0.92662430825988928</v>
      </c>
      <c r="DR35" s="251">
        <f t="shared" si="31"/>
        <v>0.90472265973447186</v>
      </c>
      <c r="DS35" s="251">
        <f t="shared" si="32"/>
        <v>0.97911921032649962</v>
      </c>
      <c r="DT35" s="251">
        <f t="shared" si="33"/>
        <v>0.93371446943736902</v>
      </c>
      <c r="DU35" s="251">
        <f t="shared" si="34"/>
        <v>7.7924901185770752</v>
      </c>
      <c r="DV35" s="251">
        <f t="shared" si="35"/>
        <v>10.164490879295267</v>
      </c>
      <c r="DW35" s="251">
        <f t="shared" si="36"/>
        <v>2.1010794896957803</v>
      </c>
      <c r="DX35" s="251">
        <f t="shared" si="37"/>
        <v>2.0871472059730465</v>
      </c>
      <c r="DY35" s="251">
        <f t="shared" si="38"/>
        <v>0.90779869381482903</v>
      </c>
      <c r="DZ35" s="251">
        <f t="shared" si="39"/>
        <v>0.88698562367284217</v>
      </c>
      <c r="EA35" s="643">
        <f t="shared" si="40"/>
        <v>1.5793946338202998</v>
      </c>
      <c r="EB35" s="643">
        <f t="shared" si="41"/>
        <v>1.5498461696368608</v>
      </c>
      <c r="EC35" s="251">
        <f t="shared" si="42"/>
        <v>0.4839590832135896</v>
      </c>
      <c r="ED35" s="251">
        <f t="shared" si="43"/>
        <v>0.47096174802313562</v>
      </c>
      <c r="EE35" s="140">
        <f t="shared" si="44"/>
        <v>0.38347037676265988</v>
      </c>
      <c r="EF35" s="1342">
        <v>0.16781584714661693</v>
      </c>
      <c r="EG35" s="140">
        <f t="shared" si="228"/>
        <v>2.1727675744141863</v>
      </c>
      <c r="EH35" s="583">
        <v>23.725820312500002</v>
      </c>
      <c r="EI35" s="1344">
        <v>1.618579478054567</v>
      </c>
      <c r="EJ35" s="576">
        <f t="shared" si="166"/>
        <v>0.35009367697002997</v>
      </c>
      <c r="EK35" s="753">
        <f t="shared" si="167"/>
        <v>1.3369639086188074</v>
      </c>
      <c r="EL35" s="753">
        <f t="shared" si="168"/>
        <v>1.1879670677644079</v>
      </c>
      <c r="EM35" s="753">
        <f t="shared" si="169"/>
        <v>0.22305796522538682</v>
      </c>
      <c r="EN35" s="583"/>
      <c r="EO35" s="5">
        <v>73254</v>
      </c>
      <c r="EP35" s="193">
        <v>3738</v>
      </c>
      <c r="EQ35" s="193"/>
      <c r="ER35" s="193">
        <v>209</v>
      </c>
      <c r="ES35" s="193"/>
      <c r="ET35" s="193">
        <v>7082</v>
      </c>
      <c r="EU35" s="193"/>
      <c r="EV35" s="193">
        <v>5186</v>
      </c>
      <c r="EW35" s="193"/>
      <c r="EX35" s="193">
        <v>5442</v>
      </c>
      <c r="EY35" s="193"/>
      <c r="EZ35" s="193">
        <v>1982</v>
      </c>
      <c r="FA35" s="193"/>
      <c r="FB35" s="193">
        <f t="shared" si="294"/>
        <v>23639</v>
      </c>
      <c r="FC35" s="193">
        <f t="shared" si="295"/>
        <v>49615</v>
      </c>
      <c r="FD35" s="23">
        <f t="shared" si="296"/>
        <v>0.32269910175553551</v>
      </c>
      <c r="FE35" s="193">
        <v>11546</v>
      </c>
      <c r="FF35" s="193">
        <v>2450</v>
      </c>
      <c r="FG35" s="193"/>
      <c r="FH35" s="193"/>
      <c r="FI35" s="193"/>
      <c r="FJ35" s="5">
        <f>31693</f>
        <v>31693</v>
      </c>
      <c r="FK35" s="143">
        <f>FJ35/'Assets(BoP)'!AV82/1000</f>
        <v>1.1518863124227667</v>
      </c>
      <c r="FL35" s="192"/>
      <c r="FM35" s="193">
        <v>167</v>
      </c>
      <c r="FN35" s="66">
        <f>FM35*FO35</f>
        <v>0</v>
      </c>
      <c r="FO35" s="184">
        <v>0</v>
      </c>
      <c r="FP35" s="193">
        <v>57</v>
      </c>
      <c r="FQ35" s="66">
        <f>FP35*FR35</f>
        <v>0</v>
      </c>
      <c r="FR35" s="184">
        <v>0</v>
      </c>
      <c r="FS35" s="193">
        <v>1224</v>
      </c>
      <c r="FT35" s="66">
        <f>FS35*FV35</f>
        <v>94.332596375441213</v>
      </c>
      <c r="FU35" s="193">
        <f t="shared" si="175"/>
        <v>1129.6674036245588</v>
      </c>
      <c r="FV35" s="184">
        <f>FV34+(FV$39-FV$34)/5</f>
        <v>7.706911468581798E-2</v>
      </c>
      <c r="FW35" s="193">
        <v>595</v>
      </c>
      <c r="FX35" s="66">
        <f>FW35*FY35</f>
        <v>19.388793103448275</v>
      </c>
      <c r="FY35" s="184">
        <f>FY34+(FY$39-FY$34)/5</f>
        <v>3.2586206896551721E-2</v>
      </c>
      <c r="FZ35" s="193">
        <v>408</v>
      </c>
      <c r="GA35" s="66">
        <f>FZ35*GC35</f>
        <v>172.03199999999998</v>
      </c>
      <c r="GB35" s="193">
        <f t="shared" si="180"/>
        <v>235.96800000000002</v>
      </c>
      <c r="GC35" s="184">
        <f>GC34+(GC$39-GC$34)/5</f>
        <v>0.42164705882352937</v>
      </c>
      <c r="GD35" s="193">
        <v>183</v>
      </c>
      <c r="GE35" s="66">
        <f>GD35*GF35</f>
        <v>36.027379400260756</v>
      </c>
      <c r="GF35" s="184">
        <f>GF34+(GF$39-GF$34)/5</f>
        <v>0.196870925684485</v>
      </c>
      <c r="GG35" s="193">
        <f t="shared" si="47"/>
        <v>2634</v>
      </c>
      <c r="GH35" s="193">
        <f t="shared" si="48"/>
        <v>321.78076887915023</v>
      </c>
      <c r="GI35" s="193">
        <f t="shared" si="49"/>
        <v>29059</v>
      </c>
      <c r="GJ35" s="23">
        <f t="shared" si="50"/>
        <v>8.3109834979332969E-2</v>
      </c>
      <c r="GK35" s="330">
        <v>7775</v>
      </c>
      <c r="GL35" s="330">
        <v>4937</v>
      </c>
      <c r="GM35" s="23" t="e">
        <f>GK35/'Assets(BoP)'!AW82/1000</f>
        <v>#DIV/0!</v>
      </c>
      <c r="GN35" s="23">
        <f t="shared" si="51"/>
        <v>0.24532231092039253</v>
      </c>
      <c r="GO35" s="330">
        <f t="shared" si="275"/>
        <v>23918</v>
      </c>
      <c r="GP35" s="23"/>
      <c r="GQ35" s="330">
        <f t="shared" si="52"/>
        <v>21284</v>
      </c>
      <c r="GR35" s="330">
        <v>603.03700000000003</v>
      </c>
      <c r="GS35" s="140">
        <f t="shared" si="53"/>
        <v>0.21259175536066674</v>
      </c>
      <c r="GT35" s="582">
        <v>0.76766882860736763</v>
      </c>
      <c r="GU35" s="576">
        <f t="shared" si="54"/>
        <v>0.37473248595920783</v>
      </c>
      <c r="GV35" s="589">
        <f t="shared" si="276"/>
        <v>5.298223350253807E-2</v>
      </c>
      <c r="GW35" s="589"/>
      <c r="GX35" s="589">
        <f t="shared" si="277"/>
        <v>0.2780487804878049</v>
      </c>
      <c r="GY35" s="589"/>
      <c r="GZ35" s="589">
        <f t="shared" si="308"/>
        <v>0.27073656270736562</v>
      </c>
      <c r="HA35" s="56">
        <f t="shared" si="320"/>
        <v>0.51519961519961543</v>
      </c>
      <c r="HB35" s="589">
        <f t="shared" si="278"/>
        <v>0.23070957735556416</v>
      </c>
      <c r="HC35" s="56">
        <f t="shared" si="321"/>
        <v>9.2450753050851431E-2</v>
      </c>
      <c r="HD35" s="589">
        <f t="shared" si="279"/>
        <v>0.10347451179305098</v>
      </c>
      <c r="HE35" s="56">
        <f t="shared" si="322"/>
        <v>0.52719473596535049</v>
      </c>
      <c r="HF35" s="589">
        <f t="shared" si="309"/>
        <v>8.5474077533862686E-2</v>
      </c>
      <c r="HG35" s="56">
        <v>0.1</v>
      </c>
      <c r="HH35" s="6">
        <f t="shared" si="57"/>
        <v>0.15924067468714104</v>
      </c>
      <c r="HI35" s="6">
        <f t="shared" si="58"/>
        <v>0.14954600924301023</v>
      </c>
      <c r="HJ35" s="23">
        <f t="shared" si="280"/>
        <v>0.45324705608021454</v>
      </c>
      <c r="HK35" s="23">
        <f t="shared" si="280"/>
        <v>0.70347677400968933</v>
      </c>
      <c r="HL35" s="23">
        <f t="shared" si="281"/>
        <v>0.27999210734017366</v>
      </c>
      <c r="HM35" s="31">
        <f t="shared" si="282"/>
        <v>0.35475593657762416</v>
      </c>
      <c r="HN35" s="23">
        <f t="shared" si="60"/>
        <v>0.42712467295763884</v>
      </c>
      <c r="HO35" s="23">
        <f t="shared" si="61"/>
        <v>0.41831761006289309</v>
      </c>
      <c r="HP35" s="575">
        <v>19814</v>
      </c>
      <c r="HQ35" s="193">
        <v>762</v>
      </c>
      <c r="HR35" s="193">
        <v>88</v>
      </c>
      <c r="HS35" s="193">
        <v>3781</v>
      </c>
      <c r="HT35" s="193">
        <v>3203</v>
      </c>
      <c r="HU35" s="193">
        <v>1898</v>
      </c>
      <c r="HV35" s="193">
        <v>53</v>
      </c>
      <c r="HW35" s="193">
        <f t="shared" si="310"/>
        <v>9785</v>
      </c>
      <c r="HX35" s="193">
        <f t="shared" si="311"/>
        <v>10029</v>
      </c>
      <c r="HY35" s="193">
        <v>1878</v>
      </c>
      <c r="HZ35" s="193">
        <v>301</v>
      </c>
      <c r="IA35" s="193"/>
      <c r="IB35" s="23">
        <f t="shared" si="283"/>
        <v>0.49384273745836277</v>
      </c>
      <c r="IC35" s="23"/>
      <c r="ID35" s="23"/>
      <c r="IE35" s="23"/>
      <c r="IF35" s="23"/>
      <c r="IG35" s="23"/>
      <c r="IH35" s="23"/>
      <c r="II35" s="23"/>
      <c r="IJ35" s="23"/>
      <c r="IK35" s="23"/>
      <c r="IL35" s="23"/>
      <c r="IM35" s="575">
        <v>558</v>
      </c>
      <c r="IN35" s="193">
        <v>-9</v>
      </c>
      <c r="IO35" s="193">
        <v>-27</v>
      </c>
      <c r="IP35" s="193">
        <v>4</v>
      </c>
      <c r="IQ35" s="193">
        <v>-1</v>
      </c>
      <c r="IR35" s="193">
        <v>9</v>
      </c>
      <c r="IS35" s="193">
        <v>-29</v>
      </c>
      <c r="IT35" s="193">
        <f t="shared" si="312"/>
        <v>-53</v>
      </c>
      <c r="IU35" s="193">
        <f t="shared" si="313"/>
        <v>611</v>
      </c>
      <c r="IV35" s="193">
        <v>289</v>
      </c>
      <c r="IW35" s="193">
        <v>68</v>
      </c>
      <c r="IX35" s="149">
        <f t="shared" si="63"/>
        <v>341242</v>
      </c>
      <c r="IY35" s="316">
        <f t="shared" si="64"/>
        <v>6699</v>
      </c>
      <c r="IZ35" s="316">
        <f t="shared" si="65"/>
        <v>-128</v>
      </c>
      <c r="JA35" s="316">
        <f t="shared" si="66"/>
        <v>16368.4</v>
      </c>
      <c r="JB35" s="316">
        <f t="shared" si="67"/>
        <v>13158.2</v>
      </c>
      <c r="JC35" s="316">
        <f t="shared" si="68"/>
        <v>32867.599999999999</v>
      </c>
      <c r="JD35" s="316">
        <f t="shared" si="69"/>
        <v>5141.2</v>
      </c>
      <c r="JE35" s="316">
        <f t="shared" si="70"/>
        <v>74106.399999999994</v>
      </c>
      <c r="JF35" s="316">
        <f t="shared" si="71"/>
        <v>267135.59999999998</v>
      </c>
      <c r="JG35" s="316">
        <f t="shared" si="72"/>
        <v>219508.59999999998</v>
      </c>
      <c r="JH35" s="316">
        <f t="shared" si="73"/>
        <v>47627</v>
      </c>
      <c r="JI35" s="5">
        <v>465246</v>
      </c>
      <c r="JJ35" s="593">
        <v>10225</v>
      </c>
      <c r="JK35" s="593">
        <v>1313</v>
      </c>
      <c r="JL35" s="593">
        <v>32346</v>
      </c>
      <c r="JM35" s="536">
        <v>26095</v>
      </c>
      <c r="JN35" s="536">
        <v>47835</v>
      </c>
      <c r="JO35" s="536">
        <v>6141</v>
      </c>
      <c r="JP35" s="552">
        <f t="shared" si="74"/>
        <v>123955</v>
      </c>
      <c r="JQ35" s="552">
        <f t="shared" si="75"/>
        <v>341291</v>
      </c>
      <c r="JR35" s="552">
        <f t="shared" si="76"/>
        <v>285761</v>
      </c>
      <c r="JS35" s="593">
        <v>55530</v>
      </c>
      <c r="JT35" s="1257">
        <f>JT34+(JT$39-JT$34)/5</f>
        <v>124004</v>
      </c>
      <c r="JU35" s="261">
        <f>JU34+(JU$39-JU$34)/5</f>
        <v>3526</v>
      </c>
      <c r="JV35" s="261">
        <f t="shared" ref="JV35:JZ38" si="345">JV34+(JV$39-JV$34)/5</f>
        <v>1441</v>
      </c>
      <c r="JW35" s="1076">
        <f t="shared" si="345"/>
        <v>15977.6</v>
      </c>
      <c r="JX35" s="1076">
        <f t="shared" si="345"/>
        <v>12936.8</v>
      </c>
      <c r="JY35" s="1076">
        <f t="shared" si="345"/>
        <v>14967.4</v>
      </c>
      <c r="JZ35" s="1076">
        <f t="shared" si="345"/>
        <v>999.8</v>
      </c>
      <c r="KA35" s="552">
        <f t="shared" ref="KA35:KA38" si="346">JU35+JV35+JW35+JX35+JY35+JZ35</f>
        <v>49848.6</v>
      </c>
      <c r="KB35" s="552">
        <f t="shared" ref="KB35:KB38" si="347">JT35-KA35</f>
        <v>74155.399999999994</v>
      </c>
      <c r="KC35" s="552">
        <f t="shared" ref="KC35:KC38" si="348">KB35-KD35</f>
        <v>66252.399999999994</v>
      </c>
      <c r="KD35" s="261">
        <f t="shared" ref="KD35:KD38" si="349">KD34+(KD$39-KD$34)/5</f>
        <v>7903</v>
      </c>
      <c r="KE35" s="149">
        <v>284718</v>
      </c>
      <c r="KF35">
        <v>2229</v>
      </c>
      <c r="KG35">
        <v>695</v>
      </c>
      <c r="KH35">
        <v>9882</v>
      </c>
      <c r="KI35">
        <v>2784</v>
      </c>
      <c r="KJ35">
        <v>2257</v>
      </c>
      <c r="KK35">
        <v>2547</v>
      </c>
      <c r="KL35" s="552">
        <f t="shared" ref="KL35" si="350">KF35+KG35+KH35+KI35+KJ35+KK35</f>
        <v>20394</v>
      </c>
      <c r="KM35" s="552">
        <f t="shared" ref="KM35" si="351">KE35-KL35</f>
        <v>264324</v>
      </c>
      <c r="KN35" s="552">
        <f t="shared" ref="KN35" si="352">KM35-KO35</f>
        <v>176050</v>
      </c>
      <c r="KO35">
        <v>88274</v>
      </c>
      <c r="KP35" s="149">
        <v>118641</v>
      </c>
      <c r="LA35" s="149">
        <f>'Assets(MOFA)'!IX35-'Assets(MOFA)'!KE35-'Assets(MOFA)'!KP35</f>
        <v>-62117</v>
      </c>
      <c r="LB35" s="552">
        <f>'Assets(MOFA)'!IY35-'Assets(MOFA)'!KF35-'Assets(MOFA)'!KQ35</f>
        <v>4470</v>
      </c>
      <c r="LC35" s="552">
        <f>'Assets(MOFA)'!IZ35-'Assets(MOFA)'!KG35-'Assets(MOFA)'!KR35</f>
        <v>-823</v>
      </c>
      <c r="LD35" s="552">
        <f>'Assets(MOFA)'!JA35-'Assets(MOFA)'!KH35-'Assets(MOFA)'!KS35</f>
        <v>6486.4</v>
      </c>
      <c r="LE35" s="552">
        <f>'Assets(MOFA)'!JB35-'Assets(MOFA)'!KI35-'Assets(MOFA)'!KT35</f>
        <v>10374.200000000001</v>
      </c>
      <c r="LF35" s="552">
        <f>'Assets(MOFA)'!JC35-'Assets(MOFA)'!KJ35-'Assets(MOFA)'!KU35</f>
        <v>30610.6</v>
      </c>
      <c r="LG35" s="552">
        <f>'Assets(MOFA)'!JD35-'Assets(MOFA)'!KK35-'Assets(MOFA)'!KV35</f>
        <v>2594.1999999999998</v>
      </c>
      <c r="LH35" s="552">
        <f>'Assets(MOFA)'!JE35-'Assets(MOFA)'!KL35-'Assets(MOFA)'!KW35</f>
        <v>53712.399999999994</v>
      </c>
      <c r="LI35" s="552">
        <f>'Assets(MOFA)'!JF35-'Assets(MOFA)'!KM35-'Assets(MOFA)'!KX35</f>
        <v>2811.5999999999767</v>
      </c>
      <c r="LJ35" s="552">
        <f t="shared" si="77"/>
        <v>43458.599999999977</v>
      </c>
      <c r="LK35" s="552">
        <f>'Assets(MOFA)'!JH35-'Assets(MOFA)'!KO35-'Assets(MOFA)'!KZ35</f>
        <v>-40647</v>
      </c>
      <c r="LL35" s="576">
        <f t="shared" si="78"/>
        <v>0.24784463811605839</v>
      </c>
      <c r="LM35" s="6">
        <f t="shared" si="79"/>
        <v>0.4705179877593671</v>
      </c>
      <c r="LN35" s="6">
        <f t="shared" si="80"/>
        <v>-1.6015625</v>
      </c>
      <c r="LO35" s="6">
        <f t="shared" si="81"/>
        <v>0.27620292759218984</v>
      </c>
      <c r="LP35" s="6">
        <f t="shared" si="82"/>
        <v>0.19599945281269474</v>
      </c>
      <c r="LQ35" s="6">
        <f t="shared" si="83"/>
        <v>0.11996616728936704</v>
      </c>
      <c r="LR35" s="6">
        <f t="shared" si="84"/>
        <v>0.41643974169454606</v>
      </c>
      <c r="LS35" s="6">
        <f t="shared" si="85"/>
        <v>0.22320609286107546</v>
      </c>
      <c r="LT35" s="143">
        <f t="shared" si="86"/>
        <v>0.31490015360983103</v>
      </c>
      <c r="LU35" s="62">
        <f t="shared" si="87"/>
        <v>0.17652928239797996</v>
      </c>
      <c r="LV35" s="902">
        <f t="shared" si="88"/>
        <v>0.25467964584278546</v>
      </c>
      <c r="LW35" s="902">
        <f t="shared" si="89"/>
        <v>0.23179046287935873</v>
      </c>
      <c r="LX35" s="143">
        <f t="shared" si="90"/>
        <v>0.36017385096688853</v>
      </c>
      <c r="LY35" s="576">
        <f t="shared" si="91"/>
        <v>0.24947984128565651</v>
      </c>
      <c r="LZ35" s="906">
        <f t="shared" si="92"/>
        <v>0.46917450365726227</v>
      </c>
      <c r="MA35" s="906">
        <f t="shared" si="93"/>
        <v>-1.390625</v>
      </c>
      <c r="MB35" s="906">
        <f t="shared" si="94"/>
        <v>0.27644730089685005</v>
      </c>
      <c r="MC35" s="906">
        <f t="shared" si="95"/>
        <v>0.19592345457585383</v>
      </c>
      <c r="MD35" s="906">
        <f t="shared" si="96"/>
        <v>0.12023999318477772</v>
      </c>
      <c r="ME35" s="906">
        <v>6.1610529375296846E-2</v>
      </c>
      <c r="MF35" s="906">
        <f t="shared" si="97"/>
        <v>0.41079903524468997</v>
      </c>
      <c r="MG35" s="30">
        <f t="shared" si="98"/>
        <v>0.22249090496907151</v>
      </c>
      <c r="MH35" s="140">
        <f t="shared" si="99"/>
        <v>0.31334005376344082</v>
      </c>
      <c r="MI35" s="30">
        <f t="shared" si="100"/>
        <v>0.17624419646493444</v>
      </c>
      <c r="MJ35" s="30">
        <f t="shared" si="101"/>
        <v>0.25696687375250626</v>
      </c>
      <c r="MK35" s="617">
        <f t="shared" si="102"/>
        <v>0.23179046287935873</v>
      </c>
      <c r="ML35" s="615">
        <f t="shared" si="103"/>
        <v>0.36017385096688853</v>
      </c>
      <c r="MM35" s="574"/>
      <c r="MX35" s="613"/>
      <c r="MY35" s="552"/>
      <c r="MZ35" s="552"/>
      <c r="NA35" s="552"/>
      <c r="NB35" s="552"/>
      <c r="NC35" s="552"/>
      <c r="ND35" s="552"/>
      <c r="NE35" s="552"/>
      <c r="NF35" s="552"/>
      <c r="NG35" s="552"/>
      <c r="NH35" s="552"/>
      <c r="NI35" s="613">
        <f t="shared" si="214"/>
        <v>151051</v>
      </c>
      <c r="PN35" s="574"/>
      <c r="PO35" s="593"/>
      <c r="PP35" s="593"/>
      <c r="PQ35" s="593"/>
      <c r="PR35" s="593"/>
      <c r="PS35" s="593"/>
      <c r="PT35" s="593"/>
      <c r="PU35" s="593"/>
      <c r="PV35" s="593"/>
      <c r="PW35" s="593"/>
      <c r="PX35" s="593"/>
      <c r="PY35" s="593"/>
      <c r="PZ35" s="593"/>
      <c r="QA35" s="593"/>
      <c r="QB35" s="593"/>
      <c r="QC35" s="593"/>
      <c r="QD35" s="593"/>
      <c r="QE35" s="593"/>
      <c r="QF35" s="593"/>
      <c r="QG35" s="593"/>
      <c r="QH35" s="593"/>
      <c r="QI35" s="593"/>
      <c r="QJ35" s="593"/>
      <c r="QK35" s="593"/>
      <c r="QL35" s="593"/>
      <c r="QM35" s="593"/>
      <c r="QN35" s="593"/>
      <c r="QO35" s="593"/>
      <c r="QP35" s="593"/>
      <c r="QQ35" s="593"/>
      <c r="QR35" s="593"/>
      <c r="QS35" s="593"/>
      <c r="QT35" s="593"/>
      <c r="QU35" s="593"/>
      <c r="QV35" s="593"/>
      <c r="QW35" s="593"/>
      <c r="QX35" s="593"/>
      <c r="QY35" s="593"/>
      <c r="QZ35" s="593"/>
      <c r="RA35" s="593"/>
      <c r="RB35" s="593"/>
      <c r="RC35" s="593"/>
      <c r="RD35" s="593"/>
      <c r="RE35" s="593"/>
      <c r="RF35" s="593"/>
      <c r="RG35" s="593"/>
      <c r="RH35" s="593"/>
      <c r="RI35" s="593"/>
      <c r="RJ35" s="593"/>
      <c r="RK35" s="593"/>
      <c r="RL35" s="593"/>
      <c r="RM35" s="593"/>
      <c r="RN35" s="593"/>
      <c r="RO35" s="593"/>
      <c r="RP35" s="593"/>
      <c r="RQ35" s="593"/>
      <c r="RR35" s="593"/>
    </row>
    <row r="36" spans="1:486">
      <c r="A36" s="568">
        <v>1991</v>
      </c>
      <c r="B36" s="33">
        <v>160082</v>
      </c>
      <c r="C36" s="193">
        <v>1178</v>
      </c>
      <c r="D36" s="193">
        <v>364</v>
      </c>
      <c r="E36" s="193">
        <v>5243</v>
      </c>
      <c r="F36" s="193">
        <v>3086</v>
      </c>
      <c r="G36" s="193">
        <v>490</v>
      </c>
      <c r="H36" s="193">
        <v>1163</v>
      </c>
      <c r="I36" s="193">
        <f t="shared" si="324"/>
        <v>11524</v>
      </c>
      <c r="J36" s="193">
        <f t="shared" si="325"/>
        <v>148558</v>
      </c>
      <c r="K36" s="193">
        <f t="shared" si="249"/>
        <v>140390</v>
      </c>
      <c r="L36" s="193">
        <v>8168</v>
      </c>
      <c r="M36" s="140">
        <f t="shared" si="217"/>
        <v>7.1988106095625989E-2</v>
      </c>
      <c r="N36" s="140">
        <f t="shared" si="250"/>
        <v>5.1023850276733174E-2</v>
      </c>
      <c r="O36" s="193">
        <v>2277800</v>
      </c>
      <c r="P36" s="32">
        <f t="shared" si="251"/>
        <v>7.0279216788128901E-2</v>
      </c>
      <c r="Q36" s="629">
        <f t="shared" si="218"/>
        <v>7.3587286515660721E-3</v>
      </c>
      <c r="R36" s="308">
        <f t="shared" si="219"/>
        <v>2.2738346597368847E-3</v>
      </c>
      <c r="S36" s="308">
        <f t="shared" si="220"/>
        <v>3.2751964618133206E-2</v>
      </c>
      <c r="T36" s="308">
        <f t="shared" si="221"/>
        <v>1.9277620219637435E-2</v>
      </c>
      <c r="U36" s="308">
        <f t="shared" si="222"/>
        <v>3.0609312727227296E-3</v>
      </c>
      <c r="V36" s="308">
        <f t="shared" si="223"/>
        <v>7.2650266738296622E-3</v>
      </c>
      <c r="W36" s="5">
        <f t="shared" si="252"/>
        <v>73301</v>
      </c>
      <c r="X36" s="76">
        <f t="shared" si="253"/>
        <v>3014</v>
      </c>
      <c r="Y36" s="76">
        <v>0</v>
      </c>
      <c r="Z36" s="76">
        <f t="shared" si="114"/>
        <v>3014</v>
      </c>
      <c r="AA36" s="76">
        <f t="shared" si="254"/>
        <v>201</v>
      </c>
      <c r="AB36" s="66">
        <v>0</v>
      </c>
      <c r="AC36" s="274">
        <f t="shared" si="117"/>
        <v>201</v>
      </c>
      <c r="AD36" s="76">
        <f t="shared" si="255"/>
        <v>4095</v>
      </c>
      <c r="AE36" s="357">
        <f t="shared" si="247"/>
        <v>179.68039254171231</v>
      </c>
      <c r="AF36" s="274">
        <f t="shared" si="119"/>
        <v>3915.3196074582875</v>
      </c>
      <c r="AG36" s="76">
        <f t="shared" si="256"/>
        <v>2794</v>
      </c>
      <c r="AH36" s="357">
        <f t="shared" si="319"/>
        <v>240.90236486625975</v>
      </c>
      <c r="AI36" s="76">
        <f t="shared" si="287"/>
        <v>2553.0976351337404</v>
      </c>
      <c r="AJ36" s="76">
        <f t="shared" si="257"/>
        <v>3436</v>
      </c>
      <c r="AK36" s="357">
        <f t="shared" si="288"/>
        <v>416.55247962589578</v>
      </c>
      <c r="AL36" s="274">
        <f t="shared" si="123"/>
        <v>3019.447520374104</v>
      </c>
      <c r="AM36" s="76">
        <f t="shared" si="258"/>
        <v>1727</v>
      </c>
      <c r="AN36" s="357">
        <f t="shared" si="248"/>
        <v>259.31812255541064</v>
      </c>
      <c r="AO36" s="274">
        <f t="shared" si="125"/>
        <v>1467.6818774445894</v>
      </c>
      <c r="AP36" s="193">
        <f t="shared" si="8"/>
        <v>15267</v>
      </c>
      <c r="AQ36" s="271">
        <f t="shared" si="9"/>
        <v>1096.4533595892785</v>
      </c>
      <c r="AR36" s="271">
        <f t="shared" si="126"/>
        <v>14170.546640410721</v>
      </c>
      <c r="AS36" s="193">
        <f t="shared" si="259"/>
        <v>58034</v>
      </c>
      <c r="AT36" s="193">
        <f t="shared" si="224"/>
        <v>43085</v>
      </c>
      <c r="AU36" s="193">
        <f t="shared" si="260"/>
        <v>14949</v>
      </c>
      <c r="AV36" s="193">
        <f t="shared" si="261"/>
        <v>6974</v>
      </c>
      <c r="AW36" s="23">
        <f t="shared" si="289"/>
        <v>0.46651949963208239</v>
      </c>
      <c r="AX36" s="271">
        <f t="shared" si="227"/>
        <v>58352</v>
      </c>
      <c r="AY36" s="140">
        <f t="shared" si="10"/>
        <v>0.20827819538614753</v>
      </c>
      <c r="AZ36" s="623">
        <f t="shared" si="129"/>
        <v>0.19331996344402833</v>
      </c>
      <c r="BA36" s="248">
        <f t="shared" si="11"/>
        <v>0.24284594599003839</v>
      </c>
      <c r="BB36" s="248">
        <f t="shared" si="130"/>
        <v>5.1652042774883465E-2</v>
      </c>
      <c r="BC36" s="248">
        <f t="shared" si="131"/>
        <v>3.444612009871127E-3</v>
      </c>
      <c r="BD36" s="248">
        <f t="shared" si="132"/>
        <v>6.7098293245446389E-2</v>
      </c>
      <c r="BE36" s="248">
        <f t="shared" si="133"/>
        <v>4.3753386947041069E-2</v>
      </c>
      <c r="BF36" s="248">
        <f t="shared" si="134"/>
        <v>5.1745398964458872E-2</v>
      </c>
      <c r="BG36" s="248">
        <f t="shared" si="135"/>
        <v>2.5152212048337494E-2</v>
      </c>
      <c r="BH36" s="248">
        <f t="shared" si="136"/>
        <v>7.054290525531752E-2</v>
      </c>
      <c r="BI36" s="23">
        <f t="shared" si="12"/>
        <v>0.19145873320537429</v>
      </c>
      <c r="BJ36" s="140">
        <f t="shared" si="13"/>
        <v>0.20393991896427061</v>
      </c>
      <c r="BK36" s="623">
        <f t="shared" si="137"/>
        <v>0.18898168702215143</v>
      </c>
      <c r="BL36" s="590">
        <f>BS36+BT36</f>
        <v>-3492.7999999999997</v>
      </c>
      <c r="BM36" s="66">
        <f>BM35+(BM$39-BM$34)/5</f>
        <v>-156.6</v>
      </c>
      <c r="BN36" s="66">
        <f t="shared" si="344"/>
        <v>23.200000000000003</v>
      </c>
      <c r="BO36" s="66">
        <f t="shared" si="344"/>
        <v>-238.2</v>
      </c>
      <c r="BP36" s="66">
        <f t="shared" si="344"/>
        <v>-433.79999999999995</v>
      </c>
      <c r="BQ36" s="66">
        <f t="shared" si="344"/>
        <v>-2664.3999999999996</v>
      </c>
      <c r="BR36" s="66">
        <f t="shared" si="344"/>
        <v>-75</v>
      </c>
      <c r="BS36" s="193">
        <f t="shared" si="337"/>
        <v>-3544.7999999999997</v>
      </c>
      <c r="BT36" s="66">
        <f t="shared" si="344"/>
        <v>52</v>
      </c>
      <c r="BU36" s="193">
        <f t="shared" si="326"/>
        <v>-1889</v>
      </c>
      <c r="BV36" s="66">
        <f t="shared" si="344"/>
        <v>1941</v>
      </c>
      <c r="BW36" s="5">
        <f t="shared" si="262"/>
        <v>46424</v>
      </c>
      <c r="BX36" s="193">
        <f t="shared" si="263"/>
        <v>2774</v>
      </c>
      <c r="BY36" s="193">
        <f t="shared" si="148"/>
        <v>0</v>
      </c>
      <c r="BZ36" s="647">
        <f t="shared" si="149"/>
        <v>5.9753575736687922E-2</v>
      </c>
      <c r="CA36" s="193">
        <f t="shared" si="264"/>
        <v>167</v>
      </c>
      <c r="CB36" s="193">
        <f t="shared" si="151"/>
        <v>0</v>
      </c>
      <c r="CC36" s="647">
        <f t="shared" si="14"/>
        <v>3.5972772703773909E-3</v>
      </c>
      <c r="CD36" s="193">
        <f t="shared" si="265"/>
        <v>2823</v>
      </c>
      <c r="CE36" s="193">
        <f t="shared" si="153"/>
        <v>89.717038714640651</v>
      </c>
      <c r="CF36" s="655">
        <f t="shared" si="15"/>
        <v>5.8876507006836103E-2</v>
      </c>
      <c r="CG36" s="193">
        <f t="shared" si="266"/>
        <v>2103</v>
      </c>
      <c r="CH36" s="193">
        <f t="shared" si="155"/>
        <v>219.69581314212181</v>
      </c>
      <c r="CI36" s="23">
        <f t="shared" si="16"/>
        <v>4.0567469129283953E-2</v>
      </c>
      <c r="CJ36" s="193">
        <f t="shared" si="267"/>
        <v>2935</v>
      </c>
      <c r="CK36" s="641">
        <f t="shared" si="157"/>
        <v>192.98859727295462</v>
      </c>
      <c r="CL36" s="34">
        <f t="shared" si="158"/>
        <v>5.9064522719434895E-2</v>
      </c>
      <c r="CM36" s="193">
        <f t="shared" si="268"/>
        <v>1560</v>
      </c>
      <c r="CN36" s="193">
        <f t="shared" si="160"/>
        <v>233.38631029986956</v>
      </c>
      <c r="CO36" s="23">
        <f t="shared" si="161"/>
        <v>2.8576031572034515E-2</v>
      </c>
      <c r="CP36" s="193">
        <f t="shared" si="17"/>
        <v>12362</v>
      </c>
      <c r="CQ36" s="193">
        <f t="shared" si="162"/>
        <v>735.78775942958669</v>
      </c>
      <c r="CR36" s="193">
        <f t="shared" si="18"/>
        <v>34062</v>
      </c>
      <c r="CS36" s="248">
        <f t="shared" si="163"/>
        <v>0.25043538343465477</v>
      </c>
      <c r="CT36" s="30">
        <f t="shared" si="19"/>
        <v>0.26628468033775632</v>
      </c>
      <c r="CU36" s="308">
        <f t="shared" si="20"/>
        <v>0</v>
      </c>
      <c r="CV36" s="608">
        <f t="shared" si="269"/>
        <v>5.9753575736687922E-2</v>
      </c>
      <c r="CW36" s="608">
        <f t="shared" si="270"/>
        <v>3.5972772703773909E-3</v>
      </c>
      <c r="CX36" s="608">
        <f t="shared" si="271"/>
        <v>6.0809064277098056E-2</v>
      </c>
      <c r="CY36" s="608">
        <f t="shared" si="272"/>
        <v>4.5299844907806308E-2</v>
      </c>
      <c r="CZ36" s="608">
        <f t="shared" si="327"/>
        <v>6.3221609512321211E-2</v>
      </c>
      <c r="DA36" s="608">
        <f>'Assets(BoP)'!FK83</f>
        <v>6.4151505381423321E-2</v>
      </c>
      <c r="DB36" s="608">
        <f t="shared" si="273"/>
        <v>3.3603308633465452E-2</v>
      </c>
      <c r="DC36" s="23">
        <f t="shared" si="21"/>
        <v>0.31207956838380885</v>
      </c>
      <c r="DD36" s="193">
        <f t="shared" si="22"/>
        <v>37254</v>
      </c>
      <c r="DE36" s="193">
        <f t="shared" si="274"/>
        <v>9170</v>
      </c>
      <c r="DF36" s="193"/>
      <c r="DG36" s="193">
        <f>'Assets(BoP)'!DA83</f>
        <v>0</v>
      </c>
      <c r="DH36" s="23">
        <f t="shared" si="23"/>
        <v>0.19752714113389627</v>
      </c>
      <c r="DI36" s="23"/>
      <c r="DJ36" s="23">
        <f t="shared" si="24"/>
        <v>0.20547561606065828</v>
      </c>
      <c r="DK36" s="600">
        <f>'Assets(BoP)'!FO83-'Assets(BoP)'!FH83</f>
        <v>0.18635149878351867</v>
      </c>
      <c r="DL36" s="576">
        <f t="shared" si="25"/>
        <v>0.45789657800377309</v>
      </c>
      <c r="DM36" s="251">
        <f t="shared" si="26"/>
        <v>2.5585738539898131</v>
      </c>
      <c r="DN36" s="251">
        <f t="shared" si="27"/>
        <v>2.5585738539898131</v>
      </c>
      <c r="DO36" s="251">
        <f t="shared" si="28"/>
        <v>0.55219780219780223</v>
      </c>
      <c r="DP36" s="251">
        <f t="shared" si="29"/>
        <v>0.55219780219780223</v>
      </c>
      <c r="DQ36" s="251">
        <f t="shared" si="30"/>
        <v>0.78104138851802407</v>
      </c>
      <c r="DR36" s="251">
        <f t="shared" si="31"/>
        <v>0.76102106220239663</v>
      </c>
      <c r="DS36" s="251">
        <f t="shared" si="32"/>
        <v>0.90537913156189243</v>
      </c>
      <c r="DT36" s="251">
        <f t="shared" si="33"/>
        <v>0.86417576522322725</v>
      </c>
      <c r="DU36" s="251">
        <f t="shared" si="34"/>
        <v>7.0122448979591834</v>
      </c>
      <c r="DV36" s="251">
        <f t="shared" si="35"/>
        <v>11.507065067113414</v>
      </c>
      <c r="DW36" s="251">
        <f t="shared" si="36"/>
        <v>1.4849527085124679</v>
      </c>
      <c r="DX36" s="251">
        <f t="shared" si="37"/>
        <v>1.4370569080290339</v>
      </c>
      <c r="DY36" s="251">
        <f t="shared" si="38"/>
        <v>0.76618512573568753</v>
      </c>
      <c r="DZ36" s="251">
        <f t="shared" si="39"/>
        <v>0.74722289705147138</v>
      </c>
      <c r="EA36" s="643">
        <f t="shared" si="40"/>
        <v>1.3248004165220411</v>
      </c>
      <c r="EB36" s="643">
        <f t="shared" si="41"/>
        <v>1.29708616778208</v>
      </c>
      <c r="EC36" s="251">
        <f t="shared" si="42"/>
        <v>0.39064877017730448</v>
      </c>
      <c r="ED36" s="251">
        <f t="shared" si="43"/>
        <v>0.38411206340429455</v>
      </c>
      <c r="EE36" s="140">
        <f t="shared" si="44"/>
        <v>0.30689507799700833</v>
      </c>
      <c r="EF36" s="1342">
        <v>0.17934296827668561</v>
      </c>
      <c r="EG36" s="140">
        <f t="shared" si="228"/>
        <v>1.8301909892262487</v>
      </c>
      <c r="EH36" s="583">
        <v>20.000914396887151</v>
      </c>
      <c r="EI36" s="1344">
        <v>1.5671768219146613</v>
      </c>
      <c r="EJ36" s="576">
        <f t="shared" si="166"/>
        <v>0.29000137429567346</v>
      </c>
      <c r="EK36" s="753">
        <f t="shared" si="167"/>
        <v>1.0697054043361507</v>
      </c>
      <c r="EL36" s="753">
        <f t="shared" si="168"/>
        <v>1.1226738491674828</v>
      </c>
      <c r="EM36" s="753">
        <f t="shared" si="169"/>
        <v>0.17730607593133413</v>
      </c>
      <c r="EN36" s="583"/>
      <c r="EO36" s="5">
        <v>65990</v>
      </c>
      <c r="EP36" s="193">
        <v>3763</v>
      </c>
      <c r="EQ36" s="193"/>
      <c r="ER36" s="193">
        <v>267</v>
      </c>
      <c r="ES36" s="193"/>
      <c r="ET36" s="193">
        <v>5856</v>
      </c>
      <c r="EU36" s="193"/>
      <c r="EV36" s="193">
        <v>4615</v>
      </c>
      <c r="EW36" s="193"/>
      <c r="EX36" s="193">
        <v>4424</v>
      </c>
      <c r="EY36" s="193"/>
      <c r="EZ36" s="193">
        <v>1750</v>
      </c>
      <c r="FA36" s="193"/>
      <c r="FB36" s="193">
        <f t="shared" si="294"/>
        <v>20675</v>
      </c>
      <c r="FC36" s="193">
        <f t="shared" si="295"/>
        <v>45315</v>
      </c>
      <c r="FD36" s="23">
        <f t="shared" si="296"/>
        <v>0.31330504621912408</v>
      </c>
      <c r="FE36" s="193">
        <v>12532</v>
      </c>
      <c r="FF36" s="193">
        <v>3002</v>
      </c>
      <c r="FG36" s="193"/>
      <c r="FH36" s="193"/>
      <c r="FI36" s="193"/>
      <c r="FJ36" s="5">
        <v>26877</v>
      </c>
      <c r="FK36" s="143">
        <f>FJ36/'Assets(BoP)'!AV83/1000</f>
        <v>1.1342899345853554</v>
      </c>
      <c r="FL36" s="192"/>
      <c r="FM36" s="193">
        <v>240</v>
      </c>
      <c r="FN36" s="66">
        <f>FM36*FO36</f>
        <v>0</v>
      </c>
      <c r="FO36" s="184">
        <v>0</v>
      </c>
      <c r="FP36" s="193">
        <v>34</v>
      </c>
      <c r="FQ36" s="66">
        <f>FP36*FR36</f>
        <v>0</v>
      </c>
      <c r="FR36" s="184">
        <v>0</v>
      </c>
      <c r="FS36" s="193">
        <v>1272</v>
      </c>
      <c r="FT36" s="66">
        <f>FS36*FV36</f>
        <v>89.963353827071657</v>
      </c>
      <c r="FU36" s="193">
        <f t="shared" si="175"/>
        <v>1182.0366461729284</v>
      </c>
      <c r="FV36" s="184">
        <f>FV35+(FV$39-FV$34)/5</f>
        <v>7.0725907096754442E-2</v>
      </c>
      <c r="FW36" s="193">
        <v>691</v>
      </c>
      <c r="FX36" s="66">
        <f>FW36*FY36</f>
        <v>21.206551724137931</v>
      </c>
      <c r="FY36" s="184">
        <f>FY35+(FY$39-FY$34)/5</f>
        <v>3.0689655172413791E-2</v>
      </c>
      <c r="FZ36" s="193">
        <v>501</v>
      </c>
      <c r="GA36" s="66">
        <f>FZ36*GC36</f>
        <v>223.56388235294116</v>
      </c>
      <c r="GB36" s="193">
        <f t="shared" si="180"/>
        <v>277.43611764705884</v>
      </c>
      <c r="GC36" s="184">
        <f>GC35+(GC$39-GC$34)/5</f>
        <v>0.44623529411764701</v>
      </c>
      <c r="GD36" s="193">
        <v>167</v>
      </c>
      <c r="GE36" s="66">
        <f>GD36*GF36</f>
        <v>25.931812255541068</v>
      </c>
      <c r="GF36" s="184">
        <f>GF35+(GF$39-GF$34)/5</f>
        <v>0.15528031290743155</v>
      </c>
      <c r="GG36" s="193">
        <f t="shared" si="47"/>
        <v>2905</v>
      </c>
      <c r="GH36" s="193">
        <f t="shared" si="48"/>
        <v>360.66560015969179</v>
      </c>
      <c r="GI36" s="193">
        <f t="shared" si="49"/>
        <v>23972</v>
      </c>
      <c r="GJ36" s="23">
        <f t="shared" si="50"/>
        <v>0.10808497972243926</v>
      </c>
      <c r="GK36" s="330">
        <v>5779</v>
      </c>
      <c r="GL36" s="330">
        <v>4253</v>
      </c>
      <c r="GM36" s="23">
        <f>GK36/'Assets(BoP)'!AW83/1000</f>
        <v>0.80813872185708291</v>
      </c>
      <c r="GN36" s="23">
        <f t="shared" si="51"/>
        <v>0.21501655690739294</v>
      </c>
      <c r="GO36" s="330">
        <f t="shared" si="275"/>
        <v>21098</v>
      </c>
      <c r="GP36" s="23">
        <f>GO36/('Assets(BoP)'!AV83-'Assets(BoP)'!AW83)/1000</f>
        <v>1.2752659574468084</v>
      </c>
      <c r="GQ36" s="330">
        <f t="shared" si="52"/>
        <v>18193</v>
      </c>
      <c r="GR36" s="330">
        <v>754.37699999999995</v>
      </c>
      <c r="GS36" s="140">
        <f t="shared" si="53"/>
        <v>0.25097851937146154</v>
      </c>
      <c r="GT36" s="582">
        <v>0.78888509378285432</v>
      </c>
      <c r="GU36" s="576">
        <f t="shared" si="54"/>
        <v>0.36666621192071047</v>
      </c>
      <c r="GV36" s="589">
        <f t="shared" si="276"/>
        <v>7.9628400796284013E-2</v>
      </c>
      <c r="GW36" s="589"/>
      <c r="GX36" s="589">
        <f t="shared" si="277"/>
        <v>0.1691542288557214</v>
      </c>
      <c r="GY36" s="589"/>
      <c r="GZ36" s="589">
        <f t="shared" si="308"/>
        <v>0.31062271062271063</v>
      </c>
      <c r="HA36" s="56">
        <f t="shared" si="320"/>
        <v>0.50068542568542596</v>
      </c>
      <c r="HB36" s="589">
        <f t="shared" si="278"/>
        <v>0.24731567644953473</v>
      </c>
      <c r="HC36" s="56">
        <f t="shared" si="321"/>
        <v>8.8029653573185304E-2</v>
      </c>
      <c r="HD36" s="589">
        <f t="shared" si="279"/>
        <v>0.14580908032596043</v>
      </c>
      <c r="HE36" s="56">
        <f t="shared" si="322"/>
        <v>0.53670039980009976</v>
      </c>
      <c r="HF36" s="589">
        <f t="shared" si="309"/>
        <v>9.6699478865083954E-2</v>
      </c>
      <c r="HG36" s="56">
        <v>0.1</v>
      </c>
      <c r="HH36" s="6">
        <f t="shared" si="57"/>
        <v>0.1902796882164145</v>
      </c>
      <c r="HI36" s="6">
        <f t="shared" si="58"/>
        <v>0.17955089979270997</v>
      </c>
      <c r="HJ36" s="23">
        <f t="shared" si="280"/>
        <v>0.3865810422101813</v>
      </c>
      <c r="HK36" s="23">
        <f t="shared" si="280"/>
        <v>0.60983653570404361</v>
      </c>
      <c r="HL36" s="23">
        <f t="shared" si="281"/>
        <v>0.19134796238244514</v>
      </c>
      <c r="HM36" s="31">
        <f t="shared" si="282"/>
        <v>0.36156429942418428</v>
      </c>
      <c r="HN36" s="23">
        <f t="shared" si="60"/>
        <v>0.41306820139917977</v>
      </c>
      <c r="HO36" s="23">
        <f t="shared" si="61"/>
        <v>0.42225832656376927</v>
      </c>
      <c r="HP36" s="575">
        <v>17982</v>
      </c>
      <c r="HQ36" s="193">
        <v>964</v>
      </c>
      <c r="HR36" s="193">
        <v>101</v>
      </c>
      <c r="HS36" s="193">
        <v>2910</v>
      </c>
      <c r="HT36" s="193">
        <v>2372</v>
      </c>
      <c r="HU36" s="193">
        <v>1659</v>
      </c>
      <c r="HV36" s="193">
        <v>174</v>
      </c>
      <c r="HW36" s="193">
        <f t="shared" si="310"/>
        <v>8180</v>
      </c>
      <c r="HX36" s="193">
        <f t="shared" si="311"/>
        <v>9802</v>
      </c>
      <c r="HY36" s="193">
        <v>1916</v>
      </c>
      <c r="HZ36" s="193">
        <v>276</v>
      </c>
      <c r="IA36" s="193"/>
      <c r="IB36" s="23">
        <f t="shared" si="283"/>
        <v>0.45489934378823266</v>
      </c>
      <c r="IC36" s="23"/>
      <c r="ID36" s="23"/>
      <c r="IE36" s="23"/>
      <c r="IF36" s="23"/>
      <c r="IG36" s="23"/>
      <c r="IH36" s="23"/>
      <c r="II36" s="23"/>
      <c r="IJ36" s="23"/>
      <c r="IK36" s="23"/>
      <c r="IL36" s="23"/>
      <c r="IM36" s="575">
        <v>1584</v>
      </c>
      <c r="IN36" s="193">
        <v>25</v>
      </c>
      <c r="IO36" s="193">
        <v>-1</v>
      </c>
      <c r="IP36" s="193">
        <v>123</v>
      </c>
      <c r="IQ36" s="193">
        <v>140</v>
      </c>
      <c r="IR36" s="193">
        <v>-170</v>
      </c>
      <c r="IS36" s="193">
        <v>16</v>
      </c>
      <c r="IT36" s="193">
        <f t="shared" si="312"/>
        <v>133</v>
      </c>
      <c r="IU36" s="193">
        <f t="shared" si="313"/>
        <v>1451</v>
      </c>
      <c r="IV36" s="193">
        <v>1446</v>
      </c>
      <c r="IW36" s="193">
        <v>5</v>
      </c>
      <c r="IX36" s="149">
        <f t="shared" si="63"/>
        <v>363651</v>
      </c>
      <c r="IY36" s="316">
        <f t="shared" si="64"/>
        <v>7932</v>
      </c>
      <c r="IZ36" s="316">
        <f t="shared" si="65"/>
        <v>-791</v>
      </c>
      <c r="JA36" s="316">
        <f t="shared" si="66"/>
        <v>16930.8</v>
      </c>
      <c r="JB36" s="316">
        <f t="shared" si="67"/>
        <v>12941.400000000001</v>
      </c>
      <c r="JC36" s="316">
        <f t="shared" si="68"/>
        <v>36917.199999999997</v>
      </c>
      <c r="JD36" s="316">
        <f t="shared" si="69"/>
        <v>5827.4</v>
      </c>
      <c r="JE36" s="316">
        <f t="shared" si="70"/>
        <v>79757.799999999988</v>
      </c>
      <c r="JF36" s="316">
        <f t="shared" si="71"/>
        <v>283893.2</v>
      </c>
      <c r="JG36" s="316">
        <f t="shared" si="72"/>
        <v>229284.2</v>
      </c>
      <c r="JH36" s="316">
        <f t="shared" si="73"/>
        <v>54609</v>
      </c>
      <c r="JI36" s="5">
        <v>507036</v>
      </c>
      <c r="JJ36" s="593">
        <v>12251</v>
      </c>
      <c r="JK36" s="593">
        <v>1574</v>
      </c>
      <c r="JL36" s="593">
        <v>35360</v>
      </c>
      <c r="JM36" s="536">
        <v>26304</v>
      </c>
      <c r="JN36" s="536">
        <v>53373</v>
      </c>
      <c r="JO36" s="536">
        <v>7318</v>
      </c>
      <c r="JP36" s="552">
        <f t="shared" si="74"/>
        <v>136180</v>
      </c>
      <c r="JQ36" s="552">
        <f t="shared" si="75"/>
        <v>370856</v>
      </c>
      <c r="JR36" s="552">
        <f t="shared" si="76"/>
        <v>307315</v>
      </c>
      <c r="JS36" s="593">
        <v>63541</v>
      </c>
      <c r="JT36" s="1257">
        <f t="shared" ref="JT36:JU38" si="353">JT35+(JT$39-JT$34)/5</f>
        <v>143385</v>
      </c>
      <c r="JU36" s="261">
        <f t="shared" si="353"/>
        <v>4319</v>
      </c>
      <c r="JV36" s="261">
        <f t="shared" si="345"/>
        <v>2365</v>
      </c>
      <c r="JW36" s="1076">
        <f t="shared" si="345"/>
        <v>18429.2</v>
      </c>
      <c r="JX36" s="1076">
        <f t="shared" si="345"/>
        <v>13362.599999999999</v>
      </c>
      <c r="JY36" s="1076">
        <f t="shared" si="345"/>
        <v>16455.8</v>
      </c>
      <c r="JZ36" s="1076">
        <f t="shared" si="345"/>
        <v>1490.6</v>
      </c>
      <c r="KA36" s="552">
        <f t="shared" si="346"/>
        <v>56422.200000000004</v>
      </c>
      <c r="KB36" s="552">
        <f t="shared" si="347"/>
        <v>86962.799999999988</v>
      </c>
      <c r="KC36" s="552">
        <f t="shared" si="348"/>
        <v>78030.799999999988</v>
      </c>
      <c r="KD36" s="261">
        <f t="shared" si="349"/>
        <v>8932</v>
      </c>
      <c r="KE36" s="149">
        <v>305598</v>
      </c>
      <c r="KF36">
        <v>2370</v>
      </c>
      <c r="KG36">
        <v>652</v>
      </c>
      <c r="KH36">
        <v>10309</v>
      </c>
      <c r="KI36">
        <v>3024</v>
      </c>
      <c r="KJ36">
        <v>2651</v>
      </c>
      <c r="KK36">
        <v>2992</v>
      </c>
      <c r="KL36" s="552">
        <f t="shared" ref="KL36" si="354">KF36+KG36+KH36+KI36+KJ36+KK36</f>
        <v>21998</v>
      </c>
      <c r="KM36" s="552">
        <f t="shared" ref="KM36" si="355">KE36-KL36</f>
        <v>283600</v>
      </c>
      <c r="KN36" s="552">
        <f t="shared" ref="KN36" si="356">KM36-KO36</f>
        <v>190642</v>
      </c>
      <c r="KO36">
        <v>92958</v>
      </c>
      <c r="KP36" s="149">
        <v>117804</v>
      </c>
      <c r="LA36" s="149">
        <f>'Assets(MOFA)'!IX36-'Assets(MOFA)'!KE36-'Assets(MOFA)'!KP36</f>
        <v>-59751</v>
      </c>
      <c r="LB36" s="552">
        <f>'Assets(MOFA)'!IY36-'Assets(MOFA)'!KF36-'Assets(MOFA)'!KQ36</f>
        <v>5562</v>
      </c>
      <c r="LC36" s="552">
        <f>'Assets(MOFA)'!IZ36-'Assets(MOFA)'!KG36-'Assets(MOFA)'!KR36</f>
        <v>-1443</v>
      </c>
      <c r="LD36" s="552">
        <f>'Assets(MOFA)'!JA36-'Assets(MOFA)'!KH36-'Assets(MOFA)'!KS36</f>
        <v>6621.7999999999993</v>
      </c>
      <c r="LE36" s="552">
        <f>'Assets(MOFA)'!JB36-'Assets(MOFA)'!KI36-'Assets(MOFA)'!KT36</f>
        <v>9917.4000000000015</v>
      </c>
      <c r="LF36" s="552">
        <f>'Assets(MOFA)'!JC36-'Assets(MOFA)'!KJ36-'Assets(MOFA)'!KU36</f>
        <v>34266.199999999997</v>
      </c>
      <c r="LG36" s="552">
        <f>'Assets(MOFA)'!JD36-'Assets(MOFA)'!KK36-'Assets(MOFA)'!KV36</f>
        <v>2835.3999999999996</v>
      </c>
      <c r="LH36" s="552">
        <f>'Assets(MOFA)'!JE36-'Assets(MOFA)'!KL36-'Assets(MOFA)'!KW36</f>
        <v>57759.799999999988</v>
      </c>
      <c r="LI36" s="552">
        <f>'Assets(MOFA)'!JF36-'Assets(MOFA)'!KM36-'Assets(MOFA)'!KX36</f>
        <v>293.20000000001164</v>
      </c>
      <c r="LJ36" s="552">
        <f t="shared" si="77"/>
        <v>38642.200000000012</v>
      </c>
      <c r="LK36" s="552">
        <f>'Assets(MOFA)'!JH36-'Assets(MOFA)'!KO36-'Assets(MOFA)'!KZ36</f>
        <v>-38349</v>
      </c>
      <c r="LL36" s="576">
        <f t="shared" si="78"/>
        <v>0.2015696368221179</v>
      </c>
      <c r="LM36" s="6">
        <f t="shared" si="79"/>
        <v>0.3799798285426122</v>
      </c>
      <c r="LN36" s="6">
        <f t="shared" si="80"/>
        <v>-0.25410872313527183</v>
      </c>
      <c r="LO36" s="6">
        <f t="shared" si="81"/>
        <v>0.24186689347225176</v>
      </c>
      <c r="LP36" s="6">
        <f t="shared" si="82"/>
        <v>0.21589627088259383</v>
      </c>
      <c r="LQ36" s="6">
        <f t="shared" si="83"/>
        <v>9.307314747597327E-2</v>
      </c>
      <c r="LR36" s="6">
        <f t="shared" si="84"/>
        <v>0.29635858187184683</v>
      </c>
      <c r="LS36" s="6">
        <f t="shared" si="85"/>
        <v>0.19141701501295175</v>
      </c>
      <c r="LT36" s="143">
        <f t="shared" si="86"/>
        <v>0.282201282358581</v>
      </c>
      <c r="LU36" s="62">
        <f t="shared" si="87"/>
        <v>0.14573006389354845</v>
      </c>
      <c r="LV36" s="902">
        <f t="shared" si="88"/>
        <v>0.20442194459043048</v>
      </c>
      <c r="LW36" s="902">
        <f t="shared" si="89"/>
        <v>0.18791089835235048</v>
      </c>
      <c r="LX36" s="143">
        <f t="shared" si="90"/>
        <v>0.27374608581003129</v>
      </c>
      <c r="LY36" s="576">
        <f t="shared" si="91"/>
        <v>0.20592546150017463</v>
      </c>
      <c r="LZ36" s="906">
        <f t="shared" si="92"/>
        <v>0.38313161875945539</v>
      </c>
      <c r="MA36" s="906">
        <f t="shared" si="93"/>
        <v>-0.25284450063211122</v>
      </c>
      <c r="MB36" s="906">
        <f t="shared" si="94"/>
        <v>0.2491317598695868</v>
      </c>
      <c r="MC36" s="906">
        <f t="shared" si="95"/>
        <v>0.22671426584449902</v>
      </c>
      <c r="MD36" s="906">
        <f t="shared" si="96"/>
        <v>8.846824786278483E-2</v>
      </c>
      <c r="ME36" s="906">
        <v>6.1610529375296846E-2</v>
      </c>
      <c r="MF36" s="906">
        <f t="shared" si="97"/>
        <v>0.29910423173284828</v>
      </c>
      <c r="MG36" s="30">
        <f t="shared" si="98"/>
        <v>0.19308456351604486</v>
      </c>
      <c r="MH36" s="140">
        <f t="shared" si="99"/>
        <v>0.28898010546500474</v>
      </c>
      <c r="MI36" s="30">
        <f t="shared" si="100"/>
        <v>0.14482537648189683</v>
      </c>
      <c r="MJ36" s="30">
        <f t="shared" si="101"/>
        <v>0.20953302157290135</v>
      </c>
      <c r="MK36" s="617">
        <f t="shared" si="102"/>
        <v>0.18791089835235048</v>
      </c>
      <c r="ML36" s="615">
        <f t="shared" si="103"/>
        <v>0.27374608581003129</v>
      </c>
      <c r="MM36" s="574"/>
      <c r="MX36" s="613"/>
      <c r="MY36" s="552"/>
      <c r="MZ36" s="552"/>
      <c r="NA36" s="552"/>
      <c r="NB36" s="552"/>
      <c r="NC36" s="552"/>
      <c r="ND36" s="552"/>
      <c r="NE36" s="552"/>
      <c r="NF36" s="552"/>
      <c r="NG36" s="552"/>
      <c r="NH36" s="552"/>
      <c r="NI36" s="613">
        <f t="shared" si="214"/>
        <v>160082</v>
      </c>
      <c r="PN36" s="574"/>
      <c r="PO36" s="593"/>
      <c r="PP36" s="593"/>
      <c r="PQ36" s="593"/>
      <c r="PR36" s="593"/>
      <c r="PS36" s="593"/>
      <c r="PT36" s="593"/>
      <c r="PU36" s="593"/>
      <c r="PV36" s="593"/>
      <c r="PW36" s="593"/>
      <c r="PX36" s="593"/>
      <c r="PY36" s="593"/>
      <c r="PZ36" s="593"/>
      <c r="QA36" s="593"/>
      <c r="QB36" s="593"/>
      <c r="QC36" s="593"/>
      <c r="QD36" s="593"/>
      <c r="QE36" s="593"/>
      <c r="QF36" s="593"/>
      <c r="QG36" s="593"/>
      <c r="QH36" s="593"/>
      <c r="QI36" s="593"/>
      <c r="QJ36" s="593"/>
      <c r="QK36" s="593"/>
      <c r="QL36" s="593"/>
      <c r="QM36" s="593"/>
      <c r="QN36" s="593"/>
      <c r="QO36" s="593"/>
      <c r="QP36" s="593"/>
      <c r="QQ36" s="593"/>
      <c r="QR36" s="593"/>
      <c r="QS36" s="593"/>
      <c r="QT36" s="593"/>
      <c r="QU36" s="593"/>
      <c r="QV36" s="593"/>
      <c r="QW36" s="593"/>
      <c r="QX36" s="593"/>
      <c r="QY36" s="593"/>
      <c r="QZ36" s="593"/>
      <c r="RA36" s="593"/>
      <c r="RB36" s="593"/>
      <c r="RC36" s="593"/>
      <c r="RD36" s="593"/>
      <c r="RE36" s="593"/>
      <c r="RF36" s="593"/>
      <c r="RG36" s="593"/>
      <c r="RH36" s="593"/>
      <c r="RI36" s="593"/>
      <c r="RJ36" s="593"/>
      <c r="RK36" s="593"/>
      <c r="RL36" s="593"/>
      <c r="RM36" s="593"/>
      <c r="RN36" s="593"/>
      <c r="RO36" s="593"/>
      <c r="RP36" s="593"/>
      <c r="RQ36" s="593"/>
      <c r="RR36" s="593"/>
    </row>
    <row r="37" spans="1:486">
      <c r="A37" s="568">
        <v>1992</v>
      </c>
      <c r="B37" s="33">
        <v>169575</v>
      </c>
      <c r="C37" s="193">
        <v>1330</v>
      </c>
      <c r="D37" s="193">
        <v>393</v>
      </c>
      <c r="E37" s="193">
        <v>5550</v>
      </c>
      <c r="F37" s="193">
        <v>2683</v>
      </c>
      <c r="G37" s="193">
        <v>552</v>
      </c>
      <c r="H37" s="193">
        <v>1367</v>
      </c>
      <c r="I37" s="193">
        <f t="shared" si="324"/>
        <v>11875</v>
      </c>
      <c r="J37" s="193">
        <f t="shared" si="325"/>
        <v>157700</v>
      </c>
      <c r="K37" s="193">
        <f t="shared" si="249"/>
        <v>149193</v>
      </c>
      <c r="L37" s="193">
        <v>8507</v>
      </c>
      <c r="M37" s="140">
        <f t="shared" si="217"/>
        <v>7.0028011204481794E-2</v>
      </c>
      <c r="N37" s="140">
        <f t="shared" si="250"/>
        <v>5.0166592952970664E-2</v>
      </c>
      <c r="O37" s="193">
        <v>2420500</v>
      </c>
      <c r="P37" s="32">
        <f t="shared" si="251"/>
        <v>7.0057839289403012E-2</v>
      </c>
      <c r="Q37" s="629">
        <f t="shared" si="218"/>
        <v>7.8431372549019607E-3</v>
      </c>
      <c r="R37" s="308">
        <f t="shared" si="219"/>
        <v>2.3175586023883236E-3</v>
      </c>
      <c r="S37" s="308">
        <f t="shared" si="220"/>
        <v>3.2728881026094649E-2</v>
      </c>
      <c r="T37" s="308">
        <f t="shared" si="221"/>
        <v>1.5821907710452603E-2</v>
      </c>
      <c r="U37" s="308">
        <f t="shared" si="222"/>
        <v>3.2551968155683326E-3</v>
      </c>
      <c r="V37" s="308">
        <f t="shared" si="223"/>
        <v>8.0613297950759243E-3</v>
      </c>
      <c r="W37" s="5">
        <f t="shared" si="252"/>
        <v>69447</v>
      </c>
      <c r="X37" s="76">
        <f t="shared" si="253"/>
        <v>3465</v>
      </c>
      <c r="Y37" s="76">
        <v>0</v>
      </c>
      <c r="Z37" s="76">
        <f t="shared" si="114"/>
        <v>3465</v>
      </c>
      <c r="AA37" s="76">
        <f t="shared" si="254"/>
        <v>192</v>
      </c>
      <c r="AB37" s="66">
        <v>0</v>
      </c>
      <c r="AC37" s="274">
        <f t="shared" si="117"/>
        <v>192</v>
      </c>
      <c r="AD37" s="76">
        <f t="shared" si="255"/>
        <v>3595</v>
      </c>
      <c r="AE37" s="357">
        <f t="shared" si="247"/>
        <v>144.61140979067656</v>
      </c>
      <c r="AF37" s="274">
        <f t="shared" si="119"/>
        <v>3450.3885902093234</v>
      </c>
      <c r="AG37" s="76">
        <f t="shared" si="256"/>
        <v>1502</v>
      </c>
      <c r="AH37" s="357">
        <f t="shared" si="319"/>
        <v>119.49981679072215</v>
      </c>
      <c r="AI37" s="76">
        <f t="shared" si="287"/>
        <v>1382.5001832092778</v>
      </c>
      <c r="AJ37" s="76">
        <f t="shared" si="257"/>
        <v>3228</v>
      </c>
      <c r="AK37" s="357">
        <f t="shared" si="288"/>
        <v>290.4902379806561</v>
      </c>
      <c r="AL37" s="274">
        <f t="shared" si="123"/>
        <v>2937.5097620193437</v>
      </c>
      <c r="AM37" s="76">
        <f t="shared" si="258"/>
        <v>1506</v>
      </c>
      <c r="AN37" s="357">
        <f t="shared" si="248"/>
        <v>142.1121251629726</v>
      </c>
      <c r="AO37" s="274">
        <f t="shared" si="125"/>
        <v>1363.8878748370273</v>
      </c>
      <c r="AP37" s="193">
        <f t="shared" si="8"/>
        <v>13488</v>
      </c>
      <c r="AQ37" s="271">
        <f t="shared" si="9"/>
        <v>696.71358972502753</v>
      </c>
      <c r="AR37" s="271">
        <f t="shared" si="126"/>
        <v>12791.286410274972</v>
      </c>
      <c r="AS37" s="193">
        <f t="shared" si="259"/>
        <v>55959</v>
      </c>
      <c r="AT37" s="193">
        <f t="shared" si="224"/>
        <v>41929</v>
      </c>
      <c r="AU37" s="193">
        <f t="shared" si="260"/>
        <v>14030</v>
      </c>
      <c r="AV37" s="193">
        <f t="shared" si="261"/>
        <v>6952</v>
      </c>
      <c r="AW37" s="23">
        <f t="shared" si="289"/>
        <v>0.49550962223806128</v>
      </c>
      <c r="AX37" s="271">
        <f t="shared" si="227"/>
        <v>55417</v>
      </c>
      <c r="AY37" s="140">
        <f t="shared" si="10"/>
        <v>0.19422005270206055</v>
      </c>
      <c r="AZ37" s="623">
        <f t="shared" si="129"/>
        <v>0.18418774619889947</v>
      </c>
      <c r="BA37" s="248">
        <f t="shared" si="11"/>
        <v>0.23081881751583397</v>
      </c>
      <c r="BB37" s="248">
        <f t="shared" si="130"/>
        <v>6.2525939693595822E-2</v>
      </c>
      <c r="BC37" s="248">
        <f t="shared" si="131"/>
        <v>3.4646408141905914E-3</v>
      </c>
      <c r="BD37" s="248">
        <f t="shared" si="132"/>
        <v>6.2262276741962275E-2</v>
      </c>
      <c r="BE37" s="248">
        <f t="shared" si="133"/>
        <v>2.4947221668608511E-2</v>
      </c>
      <c r="BF37" s="248">
        <f t="shared" si="134"/>
        <v>5.3007376112372447E-2</v>
      </c>
      <c r="BG37" s="248">
        <f t="shared" si="135"/>
        <v>2.4611362485104343E-2</v>
      </c>
      <c r="BH37" s="248">
        <f t="shared" si="136"/>
        <v>6.572691755615287E-2</v>
      </c>
      <c r="BI37" s="23">
        <f t="shared" si="12"/>
        <v>0.17851922695201833</v>
      </c>
      <c r="BJ37" s="140">
        <f t="shared" si="13"/>
        <v>0.20202456549598974</v>
      </c>
      <c r="BK37" s="623">
        <f t="shared" si="137"/>
        <v>0.19199225899282865</v>
      </c>
      <c r="BL37" s="590">
        <f>BS37+BT37</f>
        <v>-4006.1999999999994</v>
      </c>
      <c r="BM37" s="66">
        <f>BM36+(BM$39-BM$34)/5</f>
        <v>-205.39999999999998</v>
      </c>
      <c r="BN37" s="66">
        <f t="shared" si="344"/>
        <v>20.800000000000004</v>
      </c>
      <c r="BO37" s="66">
        <f t="shared" si="344"/>
        <v>-285.8</v>
      </c>
      <c r="BP37" s="66">
        <f t="shared" si="344"/>
        <v>-445.19999999999993</v>
      </c>
      <c r="BQ37" s="66">
        <f t="shared" si="344"/>
        <v>-2421.5999999999995</v>
      </c>
      <c r="BR37" s="66">
        <f t="shared" si="344"/>
        <v>-76</v>
      </c>
      <c r="BS37" s="193">
        <f t="shared" si="337"/>
        <v>-3413.1999999999994</v>
      </c>
      <c r="BT37" s="66">
        <f t="shared" si="344"/>
        <v>-593</v>
      </c>
      <c r="BU37" s="193">
        <f t="shared" si="326"/>
        <v>-2400</v>
      </c>
      <c r="BV37" s="66">
        <f t="shared" si="344"/>
        <v>1807</v>
      </c>
      <c r="BW37" s="5">
        <f t="shared" si="262"/>
        <v>42761</v>
      </c>
      <c r="BX37" s="193">
        <f t="shared" si="263"/>
        <v>3155</v>
      </c>
      <c r="BY37" s="193">
        <f t="shared" si="148"/>
        <v>0</v>
      </c>
      <c r="BZ37" s="647">
        <f t="shared" si="149"/>
        <v>7.378218470101261E-2</v>
      </c>
      <c r="CA37" s="193">
        <f t="shared" si="264"/>
        <v>140</v>
      </c>
      <c r="CB37" s="193">
        <f t="shared" si="151"/>
        <v>0</v>
      </c>
      <c r="CC37" s="647">
        <f t="shared" si="14"/>
        <v>3.2740113654965972E-3</v>
      </c>
      <c r="CD37" s="193">
        <f t="shared" si="265"/>
        <v>2503</v>
      </c>
      <c r="CE37" s="193">
        <f t="shared" si="153"/>
        <v>74.30550192827809</v>
      </c>
      <c r="CF37" s="655">
        <f t="shared" si="15"/>
        <v>5.6796952785756222E-2</v>
      </c>
      <c r="CG37" s="193">
        <f t="shared" si="266"/>
        <v>1155</v>
      </c>
      <c r="CH37" s="193">
        <f t="shared" si="155"/>
        <v>109.50860989417043</v>
      </c>
      <c r="CI37" s="23">
        <f t="shared" si="16"/>
        <v>2.4449647812395163E-2</v>
      </c>
      <c r="CJ37" s="193">
        <f t="shared" si="267"/>
        <v>2891</v>
      </c>
      <c r="CK37" s="641">
        <f t="shared" si="157"/>
        <v>131.82270856889141</v>
      </c>
      <c r="CL37" s="34">
        <f t="shared" si="158"/>
        <v>6.4525555796896908E-2</v>
      </c>
      <c r="CM37" s="193">
        <f t="shared" si="268"/>
        <v>1381</v>
      </c>
      <c r="CN37" s="193">
        <f t="shared" si="160"/>
        <v>127.90091264667534</v>
      </c>
      <c r="CO37" s="23">
        <f t="shared" si="161"/>
        <v>2.9304718957772844E-2</v>
      </c>
      <c r="CP37" s="193">
        <f t="shared" si="17"/>
        <v>11225</v>
      </c>
      <c r="CQ37" s="193">
        <f t="shared" si="162"/>
        <v>443.53773303801529</v>
      </c>
      <c r="CR37" s="193">
        <f t="shared" si="18"/>
        <v>31536</v>
      </c>
      <c r="CS37" s="248">
        <f t="shared" si="163"/>
        <v>0.25213307141933033</v>
      </c>
      <c r="CT37" s="30">
        <f t="shared" si="19"/>
        <v>0.26250555412642362</v>
      </c>
      <c r="CU37" s="308">
        <f t="shared" si="20"/>
        <v>0</v>
      </c>
      <c r="CV37" s="608">
        <f t="shared" si="269"/>
        <v>7.378218470101261E-2</v>
      </c>
      <c r="CW37" s="608">
        <f t="shared" si="270"/>
        <v>3.2740113654965972E-3</v>
      </c>
      <c r="CX37" s="608">
        <f t="shared" si="271"/>
        <v>5.8534646055985594E-2</v>
      </c>
      <c r="CY37" s="608">
        <f t="shared" si="272"/>
        <v>2.7010593765346928E-2</v>
      </c>
      <c r="CZ37" s="608">
        <f t="shared" si="327"/>
        <v>6.7608334697504741E-2</v>
      </c>
      <c r="DA37" s="608">
        <f>'Assets(BoP)'!FK84</f>
        <v>8.3391627250883588E-2</v>
      </c>
      <c r="DB37" s="608">
        <f t="shared" si="273"/>
        <v>3.229578354107715E-2</v>
      </c>
      <c r="DC37" s="23">
        <f t="shared" si="21"/>
        <v>0.29573903519206673</v>
      </c>
      <c r="DD37" s="193">
        <f t="shared" si="22"/>
        <v>36456</v>
      </c>
      <c r="DE37" s="193">
        <f t="shared" si="274"/>
        <v>6305</v>
      </c>
      <c r="DF37" s="193"/>
      <c r="DG37" s="193">
        <f>'Assets(BoP)'!DA84</f>
        <v>0</v>
      </c>
      <c r="DH37" s="23">
        <f t="shared" si="23"/>
        <v>0.14744744042468605</v>
      </c>
      <c r="DI37" s="23"/>
      <c r="DJ37" s="23">
        <f t="shared" si="24"/>
        <v>0.20397090807043802</v>
      </c>
      <c r="DK37" s="600">
        <f>'Assets(BoP)'!FO84-'Assets(BoP)'!FH84</f>
        <v>0.21097836744344667</v>
      </c>
      <c r="DL37" s="576">
        <f t="shared" si="25"/>
        <v>0.40953560371517028</v>
      </c>
      <c r="DM37" s="251">
        <f t="shared" si="26"/>
        <v>2.6052631578947367</v>
      </c>
      <c r="DN37" s="251">
        <f t="shared" si="27"/>
        <v>2.6052631578947367</v>
      </c>
      <c r="DO37" s="251">
        <f t="shared" si="28"/>
        <v>0.48854961832061067</v>
      </c>
      <c r="DP37" s="251">
        <f t="shared" si="29"/>
        <v>0.48854961832061067</v>
      </c>
      <c r="DQ37" s="251">
        <f t="shared" si="30"/>
        <v>0.64774774774774779</v>
      </c>
      <c r="DR37" s="251">
        <f t="shared" si="31"/>
        <v>0.63167138512513321</v>
      </c>
      <c r="DS37" s="251">
        <f t="shared" si="32"/>
        <v>0.55982109578829664</v>
      </c>
      <c r="DT37" s="251">
        <f t="shared" si="33"/>
        <v>0.52958357041042536</v>
      </c>
      <c r="DU37" s="251">
        <f t="shared" si="34"/>
        <v>5.8478260869565215</v>
      </c>
      <c r="DV37" s="251">
        <f t="shared" si="35"/>
        <v>7.8153711321109949</v>
      </c>
      <c r="DW37" s="251">
        <f t="shared" si="36"/>
        <v>1.1016825164594002</v>
      </c>
      <c r="DX37" s="251">
        <f t="shared" si="37"/>
        <v>1.0648458932928391</v>
      </c>
      <c r="DY37" s="251">
        <f t="shared" si="38"/>
        <v>0.63722025912838631</v>
      </c>
      <c r="DZ37" s="251">
        <f t="shared" si="39"/>
        <v>0.62206526715774646</v>
      </c>
      <c r="EA37" s="643">
        <f t="shared" si="40"/>
        <v>1.1358315789473685</v>
      </c>
      <c r="EB37" s="643">
        <f t="shared" si="41"/>
        <v>1.116893961874085</v>
      </c>
      <c r="EC37" s="251">
        <f t="shared" si="42"/>
        <v>0.35484464172479391</v>
      </c>
      <c r="ED37" s="251">
        <f t="shared" si="43"/>
        <v>0.34405965182407433</v>
      </c>
      <c r="EE37" s="140">
        <f t="shared" si="44"/>
        <v>0.28103865462856836</v>
      </c>
      <c r="EF37" s="1342">
        <v>0.18018559939714487</v>
      </c>
      <c r="EG37" s="140">
        <f t="shared" si="228"/>
        <v>1.6492300458445985</v>
      </c>
      <c r="EH37" s="583">
        <v>19.320836575875479</v>
      </c>
      <c r="EI37" s="1344">
        <v>1.5267994517022407</v>
      </c>
      <c r="EJ37" s="576">
        <f t="shared" si="166"/>
        <v>0.25216570838861863</v>
      </c>
      <c r="EK37" s="753">
        <f t="shared" si="167"/>
        <v>0.95609511941032388</v>
      </c>
      <c r="EL37" s="753">
        <f t="shared" si="168"/>
        <v>0.74115434348183851</v>
      </c>
      <c r="EM37" s="753">
        <f t="shared" si="169"/>
        <v>0.16911651350934695</v>
      </c>
      <c r="EN37" s="583"/>
      <c r="EO37" s="5">
        <v>62948</v>
      </c>
      <c r="EP37" s="193">
        <v>4183</v>
      </c>
      <c r="EQ37" s="193"/>
      <c r="ER37" s="193">
        <v>254</v>
      </c>
      <c r="ES37" s="193"/>
      <c r="ET37" s="193">
        <v>5166</v>
      </c>
      <c r="EU37" s="193"/>
      <c r="EV37" s="193">
        <v>3479</v>
      </c>
      <c r="EW37" s="193"/>
      <c r="EX37" s="193">
        <v>4477</v>
      </c>
      <c r="EY37" s="193"/>
      <c r="EZ37" s="193">
        <v>1630</v>
      </c>
      <c r="FA37" s="193"/>
      <c r="FB37" s="193">
        <f t="shared" si="294"/>
        <v>19189</v>
      </c>
      <c r="FC37" s="193">
        <f t="shared" si="295"/>
        <v>43759</v>
      </c>
      <c r="FD37" s="23">
        <f t="shared" si="296"/>
        <v>0.30483891465971913</v>
      </c>
      <c r="FE37" s="193">
        <v>9845</v>
      </c>
      <c r="FF37" s="193">
        <v>3421</v>
      </c>
      <c r="FG37" s="193"/>
      <c r="FH37" s="193"/>
      <c r="FI37" s="193"/>
      <c r="FJ37" s="5">
        <v>26686</v>
      </c>
      <c r="FK37" s="143">
        <f>FJ37/'Assets(BoP)'!AV84/1000</f>
        <v>1.1821375062559907</v>
      </c>
      <c r="FL37" s="192"/>
      <c r="FM37" s="193">
        <v>310</v>
      </c>
      <c r="FN37" s="66">
        <f>FM37*FO37</f>
        <v>0</v>
      </c>
      <c r="FO37" s="184">
        <v>0</v>
      </c>
      <c r="FP37" s="193">
        <v>52</v>
      </c>
      <c r="FQ37" s="66">
        <f>FP37*FR37</f>
        <v>0</v>
      </c>
      <c r="FR37" s="184">
        <v>0</v>
      </c>
      <c r="FS37" s="193">
        <v>1092</v>
      </c>
      <c r="FT37" s="66">
        <f>FS37*FV37</f>
        <v>70.30590786239847</v>
      </c>
      <c r="FU37" s="193">
        <f t="shared" si="175"/>
        <v>1021.6940921376015</v>
      </c>
      <c r="FV37" s="184">
        <f>FV36+(FV$39-FV$34)/5</f>
        <v>6.4382699507690905E-2</v>
      </c>
      <c r="FW37" s="193">
        <v>347</v>
      </c>
      <c r="FX37" s="66">
        <f>FW37*FY37</f>
        <v>9.9912068965517236</v>
      </c>
      <c r="FY37" s="184">
        <f>FY36+(FY$39-FY$34)/5</f>
        <v>2.8793103448275861E-2</v>
      </c>
      <c r="FZ37" s="193">
        <v>337</v>
      </c>
      <c r="GA37" s="66">
        <f>FZ37*GC37</f>
        <v>158.66752941176469</v>
      </c>
      <c r="GB37" s="193">
        <f t="shared" si="180"/>
        <v>178.33247058823531</v>
      </c>
      <c r="GC37" s="184">
        <f>GC36+(GC$39-GC$34)/5</f>
        <v>0.47082352941176464</v>
      </c>
      <c r="GD37" s="193">
        <v>125</v>
      </c>
      <c r="GE37" s="66">
        <f>GD37*GF37</f>
        <v>14.211212516297261</v>
      </c>
      <c r="GF37" s="184">
        <f>GF36+(GF$39-GF$34)/5</f>
        <v>0.11368970013037809</v>
      </c>
      <c r="GG37" s="193">
        <f t="shared" si="47"/>
        <v>2263</v>
      </c>
      <c r="GH37" s="193">
        <f t="shared" si="48"/>
        <v>253.17585668701213</v>
      </c>
      <c r="GI37" s="193">
        <f t="shared" si="49"/>
        <v>24423</v>
      </c>
      <c r="GJ37" s="23">
        <f t="shared" si="50"/>
        <v>8.4801019261035754E-2</v>
      </c>
      <c r="GK37" s="330">
        <v>7725</v>
      </c>
      <c r="GL37" s="330">
        <v>3921</v>
      </c>
      <c r="GM37" s="23">
        <f>GK37/'Assets(BoP)'!AW84/1000</f>
        <v>1.2514790943859861</v>
      </c>
      <c r="GN37" s="23">
        <f t="shared" si="51"/>
        <v>0.28947762871917859</v>
      </c>
      <c r="GO37" s="330">
        <f t="shared" si="275"/>
        <v>18961</v>
      </c>
      <c r="GP37" s="23">
        <f>GO37/('Assets(BoP)'!AV84-'Assets(BoP)'!AW84)/1000</f>
        <v>1.1560410997273081</v>
      </c>
      <c r="GQ37" s="330">
        <f t="shared" si="52"/>
        <v>16698</v>
      </c>
      <c r="GR37" s="330">
        <v>938.00599999999997</v>
      </c>
      <c r="GS37" s="140">
        <f t="shared" si="53"/>
        <v>0.24662739010894782</v>
      </c>
      <c r="GT37" s="582">
        <v>0.74625152156946351</v>
      </c>
      <c r="GU37" s="576">
        <f t="shared" si="54"/>
        <v>0.38426425907526601</v>
      </c>
      <c r="GV37" s="589">
        <f t="shared" si="276"/>
        <v>8.9466089466089471E-2</v>
      </c>
      <c r="GW37" s="589"/>
      <c r="GX37" s="589">
        <f t="shared" si="277"/>
        <v>0.27083333333333331</v>
      </c>
      <c r="GY37" s="589"/>
      <c r="GZ37" s="589">
        <f t="shared" si="308"/>
        <v>0.30375521557719054</v>
      </c>
      <c r="HA37" s="56">
        <f t="shared" si="320"/>
        <v>0.48617123617123642</v>
      </c>
      <c r="HB37" s="589">
        <f t="shared" si="278"/>
        <v>0.23102529960053261</v>
      </c>
      <c r="HC37" s="56">
        <f t="shared" si="321"/>
        <v>8.3608554095519177E-2</v>
      </c>
      <c r="HD37" s="589">
        <f t="shared" si="279"/>
        <v>0.10439900867410161</v>
      </c>
      <c r="HE37" s="56">
        <f t="shared" si="322"/>
        <v>0.54620606363484903</v>
      </c>
      <c r="HF37" s="589">
        <f t="shared" si="309"/>
        <v>8.3001328021248336E-2</v>
      </c>
      <c r="HG37" s="56">
        <v>0.1</v>
      </c>
      <c r="HH37" s="6">
        <f t="shared" si="57"/>
        <v>0.16777876631079477</v>
      </c>
      <c r="HI37" s="6">
        <f t="shared" si="58"/>
        <v>0.15712447355557127</v>
      </c>
      <c r="HJ37" s="23">
        <f t="shared" si="280"/>
        <v>0.55060584461867423</v>
      </c>
      <c r="HK37" s="23">
        <f t="shared" si="280"/>
        <v>0.56401035673187572</v>
      </c>
      <c r="HL37" s="23">
        <f t="shared" si="281"/>
        <v>0.53743995478948858</v>
      </c>
      <c r="HM37" s="31">
        <f t="shared" si="282"/>
        <v>0.34215132540556148</v>
      </c>
      <c r="HN37" s="23">
        <f t="shared" si="60"/>
        <v>0.43644453975231867</v>
      </c>
      <c r="HO37" s="23">
        <f t="shared" si="61"/>
        <v>0.39824465167306639</v>
      </c>
      <c r="HP37" s="575">
        <v>19965</v>
      </c>
      <c r="HQ37" s="193">
        <v>1092</v>
      </c>
      <c r="HR37" s="193">
        <v>94</v>
      </c>
      <c r="HS37" s="193">
        <v>2633</v>
      </c>
      <c r="HT37" s="193">
        <v>2424</v>
      </c>
      <c r="HU37" s="193">
        <v>1681</v>
      </c>
      <c r="HV37" s="193">
        <v>278</v>
      </c>
      <c r="HW37" s="193">
        <f t="shared" si="310"/>
        <v>8202</v>
      </c>
      <c r="HX37" s="193">
        <f t="shared" si="311"/>
        <v>11763</v>
      </c>
      <c r="HY37" s="193">
        <v>1438</v>
      </c>
      <c r="HZ37" s="193">
        <v>185</v>
      </c>
      <c r="IA37" s="193"/>
      <c r="IB37" s="23">
        <f t="shared" si="283"/>
        <v>0.41081893313298273</v>
      </c>
      <c r="IC37" s="23"/>
      <c r="ID37" s="23"/>
      <c r="IE37" s="23"/>
      <c r="IF37" s="23"/>
      <c r="IG37" s="23"/>
      <c r="IH37" s="23"/>
      <c r="II37" s="23"/>
      <c r="IJ37" s="23"/>
      <c r="IK37" s="23"/>
      <c r="IL37" s="23"/>
      <c r="IM37" s="575">
        <v>222</v>
      </c>
      <c r="IN37" s="193">
        <v>-64</v>
      </c>
      <c r="IO37" s="193">
        <v>20</v>
      </c>
      <c r="IP37" s="193">
        <v>30</v>
      </c>
      <c r="IQ37" s="193">
        <v>-100</v>
      </c>
      <c r="IR37" s="193">
        <v>-95</v>
      </c>
      <c r="IS37" s="193">
        <v>-29</v>
      </c>
      <c r="IT37" s="193">
        <f t="shared" si="312"/>
        <v>-238</v>
      </c>
      <c r="IU37" s="193">
        <f t="shared" si="313"/>
        <v>460</v>
      </c>
      <c r="IV37" s="193">
        <v>2102</v>
      </c>
      <c r="IW37" s="193">
        <v>205</v>
      </c>
      <c r="IX37" s="149">
        <f t="shared" si="63"/>
        <v>377134</v>
      </c>
      <c r="IY37" s="316">
        <f t="shared" si="64"/>
        <v>8011</v>
      </c>
      <c r="IZ37" s="316">
        <f t="shared" si="65"/>
        <v>-1446</v>
      </c>
      <c r="JA37" s="316">
        <f t="shared" si="66"/>
        <v>16524.2</v>
      </c>
      <c r="JB37" s="316">
        <f t="shared" si="67"/>
        <v>13806.600000000002</v>
      </c>
      <c r="JC37" s="316">
        <f t="shared" si="68"/>
        <v>38424.800000000003</v>
      </c>
      <c r="JD37" s="316">
        <f t="shared" si="69"/>
        <v>6453.6</v>
      </c>
      <c r="JE37" s="316">
        <f t="shared" si="70"/>
        <v>81774.200000000012</v>
      </c>
      <c r="JF37" s="316">
        <f t="shared" si="71"/>
        <v>295359.8</v>
      </c>
      <c r="JG37" s="316">
        <f t="shared" si="72"/>
        <v>240952.8</v>
      </c>
      <c r="JH37" s="316">
        <f t="shared" si="73"/>
        <v>54407</v>
      </c>
      <c r="JI37" s="5">
        <v>539900</v>
      </c>
      <c r="JJ37" s="593">
        <v>13123</v>
      </c>
      <c r="JK37" s="593">
        <v>1843</v>
      </c>
      <c r="JL37" s="593">
        <v>37405</v>
      </c>
      <c r="JM37" s="536">
        <v>27595</v>
      </c>
      <c r="JN37" s="536">
        <v>56369</v>
      </c>
      <c r="JO37" s="536">
        <v>8435</v>
      </c>
      <c r="JP37" s="552">
        <f t="shared" si="74"/>
        <v>144770</v>
      </c>
      <c r="JQ37" s="552">
        <f t="shared" si="75"/>
        <v>395130</v>
      </c>
      <c r="JR37" s="552">
        <f t="shared" si="76"/>
        <v>330762</v>
      </c>
      <c r="JS37" s="593">
        <v>64368</v>
      </c>
      <c r="JT37" s="1257">
        <f t="shared" si="353"/>
        <v>162766</v>
      </c>
      <c r="JU37" s="261">
        <f t="shared" si="353"/>
        <v>5112</v>
      </c>
      <c r="JV37" s="261">
        <f t="shared" si="345"/>
        <v>3289</v>
      </c>
      <c r="JW37" s="1076">
        <f t="shared" si="345"/>
        <v>20880.8</v>
      </c>
      <c r="JX37" s="1076">
        <f t="shared" si="345"/>
        <v>13788.399999999998</v>
      </c>
      <c r="JY37" s="1076">
        <f t="shared" si="345"/>
        <v>17944.2</v>
      </c>
      <c r="JZ37" s="1076">
        <f t="shared" si="345"/>
        <v>1981.3999999999999</v>
      </c>
      <c r="KA37" s="552">
        <f t="shared" si="346"/>
        <v>62995.799999999996</v>
      </c>
      <c r="KB37" s="552">
        <f t="shared" si="347"/>
        <v>99770.200000000012</v>
      </c>
      <c r="KC37" s="552">
        <f t="shared" si="348"/>
        <v>89809.200000000012</v>
      </c>
      <c r="KD37" s="261">
        <f t="shared" si="349"/>
        <v>9961</v>
      </c>
      <c r="KE37" s="149">
        <v>310848</v>
      </c>
      <c r="KF37">
        <v>2949</v>
      </c>
      <c r="KG37">
        <v>709</v>
      </c>
      <c r="KH37">
        <v>10488</v>
      </c>
      <c r="KI37">
        <v>3186</v>
      </c>
      <c r="KJ37">
        <v>3010</v>
      </c>
      <c r="KK37">
        <v>3634</v>
      </c>
      <c r="KL37" s="552">
        <f t="shared" ref="KL37" si="357">KF37+KG37+KH37+KI37+KJ37+KK37</f>
        <v>23976</v>
      </c>
      <c r="KM37" s="552">
        <f t="shared" ref="KM37" si="358">KE37-KL37</f>
        <v>286872</v>
      </c>
      <c r="KN37" s="552">
        <f t="shared" ref="KN37" si="359">KM37-KO37</f>
        <v>193725</v>
      </c>
      <c r="KO37" s="1246">
        <v>93147</v>
      </c>
      <c r="KP37" s="149">
        <v>115592</v>
      </c>
      <c r="LA37" s="149">
        <f>'Assets(MOFA)'!IX37-'Assets(MOFA)'!KE37-'Assets(MOFA)'!KP37</f>
        <v>-49306</v>
      </c>
      <c r="LB37" s="552">
        <f>'Assets(MOFA)'!IY37-'Assets(MOFA)'!KF37-'Assets(MOFA)'!KQ37</f>
        <v>5062</v>
      </c>
      <c r="LC37" s="552">
        <f>'Assets(MOFA)'!IZ37-'Assets(MOFA)'!KG37-'Assets(MOFA)'!KR37</f>
        <v>-2155</v>
      </c>
      <c r="LD37" s="552">
        <f>'Assets(MOFA)'!JA37-'Assets(MOFA)'!KH37-'Assets(MOFA)'!KS37</f>
        <v>6036.2000000000007</v>
      </c>
      <c r="LE37" s="552">
        <f>'Assets(MOFA)'!JB37-'Assets(MOFA)'!KI37-'Assets(MOFA)'!KT37</f>
        <v>10620.600000000002</v>
      </c>
      <c r="LF37" s="552">
        <f>'Assets(MOFA)'!JC37-'Assets(MOFA)'!KJ37-'Assets(MOFA)'!KU37</f>
        <v>35414.800000000003</v>
      </c>
      <c r="LG37" s="552">
        <f>'Assets(MOFA)'!JD37-'Assets(MOFA)'!KK37-'Assets(MOFA)'!KV37</f>
        <v>2819.6000000000004</v>
      </c>
      <c r="LH37" s="552">
        <f>'Assets(MOFA)'!JE37-'Assets(MOFA)'!KL37-'Assets(MOFA)'!KW37</f>
        <v>57798.200000000012</v>
      </c>
      <c r="LI37" s="552">
        <f>'Assets(MOFA)'!JF37-'Assets(MOFA)'!KM37-'Assets(MOFA)'!KX37</f>
        <v>8487.7999999999884</v>
      </c>
      <c r="LJ37" s="552">
        <f t="shared" si="77"/>
        <v>47227.799999999988</v>
      </c>
      <c r="LK37" s="552">
        <f>'Assets(MOFA)'!JH37-'Assets(MOFA)'!KO37-'Assets(MOFA)'!KZ37</f>
        <v>-38740</v>
      </c>
      <c r="LL37" s="576">
        <f t="shared" si="78"/>
        <v>0.18414409732349774</v>
      </c>
      <c r="LM37" s="6">
        <f t="shared" si="79"/>
        <v>0.43253027087754337</v>
      </c>
      <c r="LN37" s="6">
        <f t="shared" si="80"/>
        <v>-0.13278008298755187</v>
      </c>
      <c r="LO37" s="6">
        <f t="shared" si="81"/>
        <v>0.217559700318321</v>
      </c>
      <c r="LP37" s="6">
        <f t="shared" si="82"/>
        <v>0.10878855040343023</v>
      </c>
      <c r="LQ37" s="6">
        <f t="shared" si="83"/>
        <v>8.4008244675313856E-2</v>
      </c>
      <c r="LR37" s="6">
        <f t="shared" si="84"/>
        <v>0.23335812569728523</v>
      </c>
      <c r="LS37" s="6">
        <f t="shared" si="85"/>
        <v>0.16494199882114405</v>
      </c>
      <c r="LT37" s="143">
        <f t="shared" si="86"/>
        <v>0.22896092136166837</v>
      </c>
      <c r="LU37" s="62">
        <f t="shared" si="87"/>
        <v>0.13111414313216083</v>
      </c>
      <c r="LV37" s="902">
        <f t="shared" si="88"/>
        <v>0.18946044790117003</v>
      </c>
      <c r="LW37" s="902">
        <f t="shared" si="89"/>
        <v>0.17401333373175162</v>
      </c>
      <c r="LX37" s="143">
        <f t="shared" si="90"/>
        <v>0.25787122980498833</v>
      </c>
      <c r="LY37" s="576">
        <f t="shared" si="91"/>
        <v>0.1847327475114946</v>
      </c>
      <c r="LZ37" s="906">
        <f t="shared" si="92"/>
        <v>0.4245412557733117</v>
      </c>
      <c r="MA37" s="906">
        <f t="shared" si="93"/>
        <v>-0.14661134163208853</v>
      </c>
      <c r="MB37" s="906">
        <f t="shared" si="94"/>
        <v>0.21937521937521937</v>
      </c>
      <c r="MC37" s="906">
        <f t="shared" si="95"/>
        <v>0.10154563759361464</v>
      </c>
      <c r="MD37" s="906">
        <f t="shared" si="96"/>
        <v>8.1535883075513724E-2</v>
      </c>
      <c r="ME37" s="906">
        <v>6.1610529375296846E-2</v>
      </c>
      <c r="MF37" s="906">
        <f t="shared" si="97"/>
        <v>0.22886450973100284</v>
      </c>
      <c r="MG37" s="30">
        <f t="shared" si="98"/>
        <v>0.16203154540185044</v>
      </c>
      <c r="MH37" s="140">
        <f t="shared" si="99"/>
        <v>0.22213418602676926</v>
      </c>
      <c r="MI37" s="30">
        <f t="shared" si="100"/>
        <v>0.13027306879988038</v>
      </c>
      <c r="MJ37" s="30">
        <f t="shared" si="101"/>
        <v>0.19101787040755039</v>
      </c>
      <c r="MK37" s="617">
        <f t="shared" si="102"/>
        <v>0.17401333373175162</v>
      </c>
      <c r="ML37" s="615">
        <f t="shared" si="103"/>
        <v>0.25787122980498833</v>
      </c>
      <c r="MM37" s="574"/>
      <c r="MX37" s="613"/>
      <c r="MY37" s="552"/>
      <c r="MZ37" s="552"/>
      <c r="NA37" s="552"/>
      <c r="NB37" s="552"/>
      <c r="NC37" s="552"/>
      <c r="ND37" s="552"/>
      <c r="NE37" s="552"/>
      <c r="NF37" s="552"/>
      <c r="NG37" s="552"/>
      <c r="NH37" s="552"/>
      <c r="NI37" s="613">
        <f t="shared" si="214"/>
        <v>169575</v>
      </c>
      <c r="PN37" s="574"/>
      <c r="PO37" s="593"/>
      <c r="PP37" s="593"/>
      <c r="PQ37" s="593"/>
      <c r="PR37" s="593"/>
      <c r="PS37" s="593"/>
      <c r="PT37" s="593"/>
      <c r="PU37" s="593"/>
      <c r="PV37" s="593"/>
      <c r="PW37" s="593"/>
      <c r="PX37" s="593"/>
      <c r="PY37" s="593"/>
      <c r="PZ37" s="593"/>
      <c r="QA37" s="593"/>
      <c r="QB37" s="593"/>
      <c r="QC37" s="593"/>
      <c r="QD37" s="593"/>
      <c r="QE37" s="593"/>
      <c r="QF37" s="593"/>
      <c r="QG37" s="593"/>
      <c r="QH37" s="593"/>
      <c r="QI37" s="593"/>
      <c r="QJ37" s="593"/>
      <c r="QK37" s="593"/>
      <c r="QL37" s="593"/>
      <c r="QM37" s="593"/>
      <c r="QN37" s="593"/>
      <c r="QO37" s="593"/>
      <c r="QP37" s="593"/>
      <c r="QQ37" s="593"/>
      <c r="QR37" s="593"/>
      <c r="QS37" s="593"/>
      <c r="QT37" s="593"/>
      <c r="QU37" s="593"/>
      <c r="QV37" s="593"/>
      <c r="QW37" s="593"/>
      <c r="QX37" s="593"/>
      <c r="QY37" s="593"/>
      <c r="QZ37" s="593"/>
      <c r="RA37" s="593"/>
      <c r="RB37" s="593"/>
      <c r="RC37" s="593"/>
      <c r="RD37" s="593"/>
      <c r="RE37" s="593"/>
      <c r="RF37" s="593"/>
      <c r="RG37" s="593"/>
      <c r="RH37" s="593"/>
      <c r="RI37" s="593"/>
      <c r="RJ37" s="593"/>
      <c r="RK37" s="593"/>
      <c r="RL37" s="593"/>
      <c r="RM37" s="593"/>
      <c r="RN37" s="593"/>
      <c r="RO37" s="593"/>
      <c r="RP37" s="593"/>
      <c r="RQ37" s="593"/>
      <c r="RR37" s="593"/>
    </row>
    <row r="38" spans="1:486">
      <c r="A38" s="568">
        <v>1993</v>
      </c>
      <c r="B38" s="33">
        <v>166448</v>
      </c>
      <c r="C38" s="193">
        <v>1346</v>
      </c>
      <c r="D38" s="193">
        <v>350</v>
      </c>
      <c r="E38" s="193">
        <v>5489</v>
      </c>
      <c r="F38" s="193">
        <v>3069</v>
      </c>
      <c r="G38" s="193">
        <v>606</v>
      </c>
      <c r="H38" s="193">
        <v>1695</v>
      </c>
      <c r="I38" s="193">
        <f t="shared" si="324"/>
        <v>12555</v>
      </c>
      <c r="J38" s="193">
        <f t="shared" si="325"/>
        <v>153893</v>
      </c>
      <c r="K38" s="193">
        <f t="shared" si="249"/>
        <v>145917</v>
      </c>
      <c r="L38" s="193">
        <v>7976</v>
      </c>
      <c r="M38" s="140">
        <f t="shared" si="217"/>
        <v>7.5428962799192534E-2</v>
      </c>
      <c r="N38" s="140">
        <f t="shared" si="250"/>
        <v>4.7918869556858597E-2</v>
      </c>
      <c r="O38" s="193">
        <v>2515700</v>
      </c>
      <c r="P38" s="32">
        <f t="shared" si="251"/>
        <v>6.6163692014151135E-2</v>
      </c>
      <c r="Q38" s="629">
        <f t="shared" si="218"/>
        <v>8.0866096318369697E-3</v>
      </c>
      <c r="R38" s="308">
        <f t="shared" si="219"/>
        <v>2.1027588195712773E-3</v>
      </c>
      <c r="S38" s="308">
        <f t="shared" si="220"/>
        <v>3.2977266173219263E-2</v>
      </c>
      <c r="T38" s="308">
        <f t="shared" si="221"/>
        <v>1.8438190906469289E-2</v>
      </c>
      <c r="U38" s="308">
        <f t="shared" si="222"/>
        <v>3.6407766990291263E-3</v>
      </c>
      <c r="V38" s="308">
        <f t="shared" si="223"/>
        <v>1.0183360569066616E-2</v>
      </c>
      <c r="W38" s="5">
        <f t="shared" si="252"/>
        <v>73787</v>
      </c>
      <c r="X38" s="76">
        <f t="shared" si="253"/>
        <v>3327</v>
      </c>
      <c r="Y38" s="76">
        <v>0</v>
      </c>
      <c r="Z38" s="76">
        <f t="shared" si="114"/>
        <v>3327</v>
      </c>
      <c r="AA38" s="76">
        <f t="shared" si="254"/>
        <v>115</v>
      </c>
      <c r="AB38" s="66">
        <v>0</v>
      </c>
      <c r="AC38" s="274">
        <f t="shared" si="117"/>
        <v>115</v>
      </c>
      <c r="AD38" s="76">
        <f t="shared" si="255"/>
        <v>2987</v>
      </c>
      <c r="AE38" s="357">
        <f>FT38/HA38</f>
        <v>99.674093257577695</v>
      </c>
      <c r="AF38" s="274">
        <f t="shared" si="119"/>
        <v>2887.3259067424224</v>
      </c>
      <c r="AG38" s="76">
        <f t="shared" si="256"/>
        <v>1995</v>
      </c>
      <c r="AH38" s="357">
        <f t="shared" si="319"/>
        <v>122.61607876236398</v>
      </c>
      <c r="AI38" s="76">
        <f t="shared" si="287"/>
        <v>1872.3839212376361</v>
      </c>
      <c r="AJ38" s="76">
        <f t="shared" si="257"/>
        <v>3234</v>
      </c>
      <c r="AK38" s="357">
        <f t="shared" si="288"/>
        <v>333.41747319906329</v>
      </c>
      <c r="AL38" s="274">
        <f t="shared" si="123"/>
        <v>2900.5825268009366</v>
      </c>
      <c r="AM38" s="76">
        <f t="shared" si="258"/>
        <v>2540</v>
      </c>
      <c r="AN38" s="357">
        <f t="shared" ref="AN38:AN43" si="360">GE38/HG38</f>
        <v>157.17601043024766</v>
      </c>
      <c r="AO38" s="274">
        <f t="shared" si="125"/>
        <v>2382.8239895697525</v>
      </c>
      <c r="AP38" s="193">
        <f t="shared" si="8"/>
        <v>14198</v>
      </c>
      <c r="AQ38" s="271">
        <f t="shared" si="9"/>
        <v>712.88365564925266</v>
      </c>
      <c r="AR38" s="271">
        <f t="shared" si="126"/>
        <v>13485.116344350747</v>
      </c>
      <c r="AS38" s="193">
        <f t="shared" si="259"/>
        <v>59589</v>
      </c>
      <c r="AT38" s="193">
        <f t="shared" si="224"/>
        <v>43363</v>
      </c>
      <c r="AU38" s="193">
        <f t="shared" si="260"/>
        <v>16226</v>
      </c>
      <c r="AV38" s="193">
        <f t="shared" si="261"/>
        <v>6075</v>
      </c>
      <c r="AW38" s="23">
        <f t="shared" si="289"/>
        <v>0.37439911253543695</v>
      </c>
      <c r="AX38" s="271">
        <f t="shared" si="227"/>
        <v>57561</v>
      </c>
      <c r="AY38" s="140">
        <f t="shared" si="10"/>
        <v>0.19241871874449429</v>
      </c>
      <c r="AZ38" s="623">
        <f t="shared" si="129"/>
        <v>0.1827573467460494</v>
      </c>
      <c r="BA38" s="248">
        <f t="shared" si="11"/>
        <v>0.2342752270521837</v>
      </c>
      <c r="BB38" s="248">
        <f t="shared" si="130"/>
        <v>5.7799551779850938E-2</v>
      </c>
      <c r="BC38" s="248">
        <f t="shared" si="131"/>
        <v>1.9978805093726656E-3</v>
      </c>
      <c r="BD38" s="248">
        <f t="shared" si="132"/>
        <v>5.0161149159021257E-2</v>
      </c>
      <c r="BE38" s="248">
        <f t="shared" si="133"/>
        <v>3.2528689933073368E-2</v>
      </c>
      <c r="BF38" s="248">
        <f t="shared" si="134"/>
        <v>5.0391454748891382E-2</v>
      </c>
      <c r="BG38" s="248">
        <f t="shared" si="135"/>
        <v>4.1396500921974125E-2</v>
      </c>
      <c r="BH38" s="248">
        <f t="shared" si="136"/>
        <v>5.2159029668393919E-2</v>
      </c>
      <c r="BI38" s="23">
        <f t="shared" si="12"/>
        <v>0.19476729035284307</v>
      </c>
      <c r="BJ38" s="140">
        <f t="shared" si="13"/>
        <v>0.21990323498719286</v>
      </c>
      <c r="BK38" s="623">
        <f t="shared" si="137"/>
        <v>0.21024186298874797</v>
      </c>
      <c r="BL38" s="590">
        <f>BS38+BT38</f>
        <v>-4519.5999999999985</v>
      </c>
      <c r="BM38" s="66">
        <f>BM37+(BM$39-BM$34)/5</f>
        <v>-254.2</v>
      </c>
      <c r="BN38" s="66">
        <f t="shared" si="344"/>
        <v>18.400000000000006</v>
      </c>
      <c r="BO38" s="66">
        <f t="shared" si="344"/>
        <v>-333.40000000000003</v>
      </c>
      <c r="BP38" s="66">
        <f t="shared" si="344"/>
        <v>-456.59999999999991</v>
      </c>
      <c r="BQ38" s="66">
        <f t="shared" si="344"/>
        <v>-2178.7999999999993</v>
      </c>
      <c r="BR38" s="66">
        <f t="shared" si="344"/>
        <v>-77</v>
      </c>
      <c r="BS38" s="193">
        <f t="shared" si="337"/>
        <v>-3281.599999999999</v>
      </c>
      <c r="BT38" s="66">
        <f t="shared" si="344"/>
        <v>-1238</v>
      </c>
      <c r="BU38" s="193">
        <f t="shared" si="326"/>
        <v>-2911</v>
      </c>
      <c r="BV38" s="66">
        <f t="shared" si="344"/>
        <v>1673</v>
      </c>
      <c r="BW38" s="5">
        <f t="shared" si="262"/>
        <v>49471</v>
      </c>
      <c r="BX38" s="193">
        <f t="shared" si="263"/>
        <v>3005</v>
      </c>
      <c r="BY38" s="193">
        <f t="shared" si="148"/>
        <v>0</v>
      </c>
      <c r="BZ38" s="647">
        <f t="shared" si="149"/>
        <v>6.0742657314386203E-2</v>
      </c>
      <c r="CA38" s="193">
        <f t="shared" si="264"/>
        <v>93</v>
      </c>
      <c r="CB38" s="193">
        <f t="shared" si="151"/>
        <v>0</v>
      </c>
      <c r="CC38" s="647">
        <f t="shared" si="14"/>
        <v>1.8798892280325848E-3</v>
      </c>
      <c r="CD38" s="193">
        <f t="shared" si="265"/>
        <v>2177</v>
      </c>
      <c r="CE38" s="193">
        <f t="shared" si="153"/>
        <v>52.662104803489527</v>
      </c>
      <c r="CF38" s="655">
        <f t="shared" si="15"/>
        <v>4.2941074471842304E-2</v>
      </c>
      <c r="CG38" s="193">
        <f t="shared" si="266"/>
        <v>1634</v>
      </c>
      <c r="CH38" s="193">
        <f t="shared" si="155"/>
        <v>112.90642358995019</v>
      </c>
      <c r="CI38" s="23">
        <f t="shared" si="16"/>
        <v>3.0747176657234535E-2</v>
      </c>
      <c r="CJ38" s="193">
        <f t="shared" si="267"/>
        <v>2860</v>
      </c>
      <c r="CK38" s="641">
        <f t="shared" si="157"/>
        <v>148.13347319906333</v>
      </c>
      <c r="CL38" s="34">
        <f t="shared" si="158"/>
        <v>5.4817297544034624E-2</v>
      </c>
      <c r="CM38" s="193">
        <f t="shared" si="268"/>
        <v>2322</v>
      </c>
      <c r="CN38" s="193">
        <f t="shared" si="160"/>
        <v>141.4584093872229</v>
      </c>
      <c r="CO38" s="23">
        <f t="shared" si="161"/>
        <v>4.4077168252365573E-2</v>
      </c>
      <c r="CP38" s="193">
        <f t="shared" si="17"/>
        <v>12091</v>
      </c>
      <c r="CQ38" s="193">
        <f t="shared" si="162"/>
        <v>455.16041097972595</v>
      </c>
      <c r="CR38" s="193">
        <f t="shared" si="18"/>
        <v>37380</v>
      </c>
      <c r="CS38" s="248">
        <f t="shared" si="163"/>
        <v>0.2352052634678958</v>
      </c>
      <c r="CT38" s="30">
        <f t="shared" si="19"/>
        <v>0.24440581350690305</v>
      </c>
      <c r="CU38" s="308">
        <f t="shared" si="20"/>
        <v>0</v>
      </c>
      <c r="CV38" s="608">
        <f t="shared" si="269"/>
        <v>6.0742657314386203E-2</v>
      </c>
      <c r="CW38" s="608">
        <f t="shared" si="270"/>
        <v>1.8798892280325848E-3</v>
      </c>
      <c r="CX38" s="608">
        <f t="shared" si="271"/>
        <v>4.4005579026096094E-2</v>
      </c>
      <c r="CY38" s="608">
        <f t="shared" si="272"/>
        <v>3.3029451597905844E-2</v>
      </c>
      <c r="CZ38" s="608">
        <f t="shared" si="327"/>
        <v>5.7811647227668732E-2</v>
      </c>
      <c r="DA38" s="608">
        <f>'Assets(BoP)'!FK85</f>
        <v>6.2574637219738757E-2</v>
      </c>
      <c r="DB38" s="608">
        <f t="shared" si="273"/>
        <v>4.6936589112813565E-2</v>
      </c>
      <c r="DC38" s="23">
        <f t="shared" si="21"/>
        <v>0.28596312580536432</v>
      </c>
      <c r="DD38" s="193">
        <f t="shared" si="22"/>
        <v>40690</v>
      </c>
      <c r="DE38" s="193">
        <f t="shared" si="274"/>
        <v>8781</v>
      </c>
      <c r="DF38" s="193"/>
      <c r="DG38" s="193">
        <f>'Assets(BoP)'!DA85</f>
        <v>0</v>
      </c>
      <c r="DH38" s="23">
        <f t="shared" si="23"/>
        <v>0.17749792807907663</v>
      </c>
      <c r="DI38" s="23"/>
      <c r="DJ38" s="23">
        <f t="shared" si="24"/>
        <v>0.20040023448080693</v>
      </c>
      <c r="DK38" s="600">
        <f>'Assets(BoP)'!FO85-'Assets(BoP)'!FH85</f>
        <v>0.20759089704627795</v>
      </c>
      <c r="DL38" s="576">
        <f t="shared" si="25"/>
        <v>0.44330361434201671</v>
      </c>
      <c r="DM38" s="251">
        <f t="shared" si="26"/>
        <v>2.4717682020802378</v>
      </c>
      <c r="DN38" s="251">
        <f t="shared" si="27"/>
        <v>2.4717682020802378</v>
      </c>
      <c r="DO38" s="251">
        <f t="shared" si="28"/>
        <v>0.32857142857142857</v>
      </c>
      <c r="DP38" s="251">
        <f t="shared" si="29"/>
        <v>0.32857142857142857</v>
      </c>
      <c r="DQ38" s="251">
        <f t="shared" si="30"/>
        <v>0.54417926762616142</v>
      </c>
      <c r="DR38" s="251">
        <f t="shared" si="31"/>
        <v>0.5307579971968448</v>
      </c>
      <c r="DS38" s="251">
        <f t="shared" si="32"/>
        <v>0.65004887585532745</v>
      </c>
      <c r="DT38" s="251">
        <f t="shared" si="33"/>
        <v>0.62231760257169944</v>
      </c>
      <c r="DU38" s="251">
        <f t="shared" si="34"/>
        <v>5.3366336633663369</v>
      </c>
      <c r="DV38" s="251">
        <f t="shared" si="35"/>
        <v>6.5608247534487596</v>
      </c>
      <c r="DW38" s="251">
        <f t="shared" si="36"/>
        <v>1.4985250737463127</v>
      </c>
      <c r="DX38" s="251">
        <f t="shared" si="37"/>
        <v>1.4729346867958109</v>
      </c>
      <c r="DY38" s="251">
        <f t="shared" si="38"/>
        <v>0.531255351943826</v>
      </c>
      <c r="DZ38" s="251">
        <f t="shared" si="39"/>
        <v>0.51853602073617533</v>
      </c>
      <c r="EA38" s="643">
        <f t="shared" si="40"/>
        <v>1.1308641975308642</v>
      </c>
      <c r="EB38" s="643">
        <f t="shared" si="41"/>
        <v>1.104922858194326</v>
      </c>
      <c r="EC38" s="251">
        <f t="shared" si="42"/>
        <v>0.38721059437401312</v>
      </c>
      <c r="ED38" s="251">
        <f t="shared" si="43"/>
        <v>0.3632250492200515</v>
      </c>
      <c r="EE38" s="140">
        <f t="shared" si="44"/>
        <v>0.29717579171720909</v>
      </c>
      <c r="EF38" s="1342">
        <v>0.18953404527816489</v>
      </c>
      <c r="EG38" s="140">
        <f t="shared" si="228"/>
        <v>2.0343530591775325</v>
      </c>
      <c r="EH38" s="583">
        <v>16.971634241245138</v>
      </c>
      <c r="EI38" s="1344">
        <v>1.4896082097190191</v>
      </c>
      <c r="EJ38" s="576">
        <f t="shared" si="166"/>
        <v>0.29721594732288764</v>
      </c>
      <c r="EK38" s="753">
        <f t="shared" si="167"/>
        <v>0.95834747314694146</v>
      </c>
      <c r="EL38" s="753">
        <f t="shared" si="168"/>
        <v>1.1009277833500501</v>
      </c>
      <c r="EM38" s="753">
        <f t="shared" si="169"/>
        <v>0.19599498344949526</v>
      </c>
      <c r="EN38" s="583"/>
      <c r="EO38" s="5">
        <v>66570</v>
      </c>
      <c r="EP38" s="193">
        <v>3780</v>
      </c>
      <c r="EQ38" s="193"/>
      <c r="ER38" s="193">
        <v>-100</v>
      </c>
      <c r="ES38" s="193"/>
      <c r="ET38" s="193">
        <v>4108</v>
      </c>
      <c r="EU38" s="193"/>
      <c r="EV38" s="193">
        <v>3842</v>
      </c>
      <c r="EW38" s="193"/>
      <c r="EX38" s="193">
        <v>4314</v>
      </c>
      <c r="EY38" s="193"/>
      <c r="EZ38" s="193">
        <v>2503</v>
      </c>
      <c r="FA38" s="193"/>
      <c r="FB38" s="193">
        <f t="shared" si="294"/>
        <v>18447</v>
      </c>
      <c r="FC38" s="193">
        <f t="shared" si="295"/>
        <v>48123</v>
      </c>
      <c r="FD38" s="23">
        <f t="shared" si="296"/>
        <v>0.27710680486705724</v>
      </c>
      <c r="FE38" s="193">
        <v>10182</v>
      </c>
      <c r="FF38" s="193">
        <v>2768</v>
      </c>
      <c r="FG38" s="193"/>
      <c r="FH38" s="193"/>
      <c r="FI38" s="193"/>
      <c r="FJ38" s="5">
        <v>24316</v>
      </c>
      <c r="FK38" s="143">
        <f>FJ38/'Assets(BoP)'!AV85/1000</f>
        <v>1.0253116108612697</v>
      </c>
      <c r="FL38" s="192"/>
      <c r="FM38" s="193">
        <v>322</v>
      </c>
      <c r="FN38" s="66">
        <f>FM38*FO38</f>
        <v>0</v>
      </c>
      <c r="FO38" s="184">
        <v>0</v>
      </c>
      <c r="FP38" s="193">
        <v>22</v>
      </c>
      <c r="FQ38" s="66">
        <f>FP38*FR38</f>
        <v>0</v>
      </c>
      <c r="FR38" s="184">
        <v>0</v>
      </c>
      <c r="FS38" s="193">
        <v>810</v>
      </c>
      <c r="FT38" s="66">
        <f>FS38*FV38</f>
        <v>47.011988454088169</v>
      </c>
      <c r="FU38" s="193">
        <f t="shared" si="175"/>
        <v>762.98801154591183</v>
      </c>
      <c r="FV38" s="184">
        <f>FV37+(FV$39-FV$34)/5</f>
        <v>5.8039491918627367E-2</v>
      </c>
      <c r="FW38" s="193">
        <v>361</v>
      </c>
      <c r="FX38" s="66">
        <f>FW38*FY38</f>
        <v>9.7096551724137932</v>
      </c>
      <c r="FY38" s="184">
        <f>FY37+(FY$39-FY$34)/5</f>
        <v>2.6896551724137931E-2</v>
      </c>
      <c r="FZ38" s="193">
        <v>374</v>
      </c>
      <c r="GA38" s="66">
        <f>FZ38*GC38</f>
        <v>185.28399999999996</v>
      </c>
      <c r="GB38" s="193">
        <f t="shared" si="180"/>
        <v>188.71600000000004</v>
      </c>
      <c r="GC38" s="184">
        <f>GC37+(GC$39-GC$34)/5</f>
        <v>0.49541176470588227</v>
      </c>
      <c r="GD38" s="193">
        <v>218</v>
      </c>
      <c r="GE38" s="66">
        <f>GD38*GF38</f>
        <v>15.717601043024768</v>
      </c>
      <c r="GF38" s="184">
        <f>GF37+(GF$39-GF$34)/5</f>
        <v>7.2099087353324626E-2</v>
      </c>
      <c r="GG38" s="193">
        <f t="shared" si="47"/>
        <v>2107</v>
      </c>
      <c r="GH38" s="193">
        <f t="shared" si="48"/>
        <v>257.72324466952671</v>
      </c>
      <c r="GI38" s="193">
        <f t="shared" si="49"/>
        <v>22209</v>
      </c>
      <c r="GJ38" s="23">
        <f t="shared" si="50"/>
        <v>8.6650764928442175E-2</v>
      </c>
      <c r="GK38" s="330">
        <v>7445</v>
      </c>
      <c r="GL38" s="330">
        <v>3390</v>
      </c>
      <c r="GM38" s="23">
        <f>GK38/'Assets(BoP)'!AW85/1000</f>
        <v>1.333883967323874</v>
      </c>
      <c r="GN38" s="23">
        <f t="shared" si="51"/>
        <v>0.30617700279651261</v>
      </c>
      <c r="GO38" s="330">
        <f t="shared" si="275"/>
        <v>16871</v>
      </c>
      <c r="GP38" s="23">
        <f>GO38/('Assets(BoP)'!AV85-'Assets(BoP)'!AW85)/1000</f>
        <v>0.93033787074551422</v>
      </c>
      <c r="GQ38" s="330">
        <f t="shared" si="52"/>
        <v>14764</v>
      </c>
      <c r="GR38" s="330">
        <v>1209.895</v>
      </c>
      <c r="GS38" s="140">
        <f t="shared" si="53"/>
        <v>0.22886053179089608</v>
      </c>
      <c r="GT38" s="582">
        <v>0.85992923326442927</v>
      </c>
      <c r="GU38" s="576">
        <f t="shared" si="54"/>
        <v>0.32954314445634053</v>
      </c>
      <c r="GV38" s="589">
        <f t="shared" si="276"/>
        <v>9.6783889389840699E-2</v>
      </c>
      <c r="GW38" s="589"/>
      <c r="GX38" s="589">
        <f t="shared" si="277"/>
        <v>0.19130434782608696</v>
      </c>
      <c r="GY38" s="589"/>
      <c r="GZ38" s="589">
        <f t="shared" si="308"/>
        <v>0.27117509206561768</v>
      </c>
      <c r="HA38" s="56">
        <f t="shared" si="320"/>
        <v>0.47165704665704689</v>
      </c>
      <c r="HB38" s="589">
        <f t="shared" si="278"/>
        <v>0.18095238095238095</v>
      </c>
      <c r="HC38" s="56">
        <f t="shared" si="321"/>
        <v>7.9187454617853051E-2</v>
      </c>
      <c r="HD38" s="589">
        <f t="shared" si="279"/>
        <v>0.11564625850340136</v>
      </c>
      <c r="HE38" s="56">
        <f t="shared" si="322"/>
        <v>0.55571172746959829</v>
      </c>
      <c r="HF38" s="589">
        <f t="shared" si="309"/>
        <v>8.5826771653543313E-2</v>
      </c>
      <c r="HG38" s="56">
        <v>0.1</v>
      </c>
      <c r="HH38" s="6">
        <f t="shared" si="57"/>
        <v>0.14840118326524862</v>
      </c>
      <c r="HI38" s="6">
        <f t="shared" si="58"/>
        <v>0.13713465335470998</v>
      </c>
      <c r="HJ38" s="23">
        <f t="shared" si="280"/>
        <v>0.45883150499198816</v>
      </c>
      <c r="HK38" s="23">
        <f t="shared" si="280"/>
        <v>0.55802469135802468</v>
      </c>
      <c r="HL38" s="23">
        <f t="shared" si="281"/>
        <v>0.39946803270613734</v>
      </c>
      <c r="HM38" s="31">
        <f t="shared" si="282"/>
        <v>0.29309775716196729</v>
      </c>
      <c r="HN38" s="23">
        <f t="shared" si="60"/>
        <v>0.37270301565725217</v>
      </c>
      <c r="HO38" s="23">
        <f t="shared" si="61"/>
        <v>0.34047459815972142</v>
      </c>
      <c r="HP38" s="575">
        <v>20282</v>
      </c>
      <c r="HQ38" s="193">
        <v>727</v>
      </c>
      <c r="HR38" s="193">
        <v>-194</v>
      </c>
      <c r="HS38" s="193">
        <v>1912</v>
      </c>
      <c r="HT38" s="193">
        <v>2378</v>
      </c>
      <c r="HU38" s="193">
        <v>1283</v>
      </c>
      <c r="HV38" s="193">
        <v>188</v>
      </c>
      <c r="HW38" s="193">
        <f t="shared" si="310"/>
        <v>6294</v>
      </c>
      <c r="HX38" s="193">
        <f t="shared" si="311"/>
        <v>13988</v>
      </c>
      <c r="HY38" s="193">
        <v>1126</v>
      </c>
      <c r="HZ38" s="193">
        <v>121</v>
      </c>
      <c r="IA38" s="193"/>
      <c r="IB38" s="23">
        <f t="shared" si="283"/>
        <v>0.31032442559905332</v>
      </c>
      <c r="IC38" s="23"/>
      <c r="ID38" s="23"/>
      <c r="IE38" s="23"/>
      <c r="IF38" s="23"/>
      <c r="IG38" s="23"/>
      <c r="IH38" s="23"/>
      <c r="II38" s="23"/>
      <c r="IJ38" s="23"/>
      <c r="IK38" s="23"/>
      <c r="IL38" s="23"/>
      <c r="IM38" s="575">
        <v>-3183</v>
      </c>
      <c r="IN38" s="193">
        <v>48</v>
      </c>
      <c r="IO38" s="193">
        <v>1</v>
      </c>
      <c r="IP38" s="193">
        <v>19</v>
      </c>
      <c r="IQ38" s="193">
        <v>-170</v>
      </c>
      <c r="IR38" s="193">
        <v>171</v>
      </c>
      <c r="IS38" s="193">
        <v>-7</v>
      </c>
      <c r="IT38" s="193">
        <f t="shared" si="312"/>
        <v>62</v>
      </c>
      <c r="IU38" s="193">
        <f t="shared" si="313"/>
        <v>-3245</v>
      </c>
      <c r="IV38" s="193">
        <v>275</v>
      </c>
      <c r="IW38" s="193">
        <v>-38</v>
      </c>
      <c r="IX38" s="149">
        <f t="shared" si="63"/>
        <v>407356</v>
      </c>
      <c r="IY38" s="316">
        <f t="shared" si="64"/>
        <v>10055</v>
      </c>
      <c r="IZ38" s="316">
        <f t="shared" si="65"/>
        <v>2527</v>
      </c>
      <c r="JA38" s="316">
        <f t="shared" si="66"/>
        <v>17009.600000000002</v>
      </c>
      <c r="JB38" s="316">
        <f t="shared" si="67"/>
        <v>16080.800000000003</v>
      </c>
      <c r="JC38" s="316">
        <f t="shared" si="68"/>
        <v>36492.399999999994</v>
      </c>
      <c r="JD38" s="316">
        <f t="shared" si="69"/>
        <v>8985.7999999999993</v>
      </c>
      <c r="JE38" s="316">
        <f t="shared" si="70"/>
        <v>91150.6</v>
      </c>
      <c r="JF38" s="316">
        <f t="shared" si="71"/>
        <v>316205.40000000002</v>
      </c>
      <c r="JG38" s="316">
        <f t="shared" si="72"/>
        <v>262114.40000000002</v>
      </c>
      <c r="JH38" s="316">
        <f t="shared" si="73"/>
        <v>54091</v>
      </c>
      <c r="JI38" s="5">
        <v>589503</v>
      </c>
      <c r="JJ38" s="593">
        <v>15960</v>
      </c>
      <c r="JK38" s="593">
        <v>6740</v>
      </c>
      <c r="JL38" s="593">
        <v>40342</v>
      </c>
      <c r="JM38" s="536">
        <v>30295</v>
      </c>
      <c r="JN38" s="536">
        <v>55925</v>
      </c>
      <c r="JO38" s="536">
        <v>11458</v>
      </c>
      <c r="JP38" s="552">
        <f t="shared" si="74"/>
        <v>160720</v>
      </c>
      <c r="JQ38" s="552">
        <f t="shared" si="75"/>
        <v>428783</v>
      </c>
      <c r="JR38" s="552">
        <f t="shared" si="76"/>
        <v>363702</v>
      </c>
      <c r="JS38" s="593">
        <v>65081</v>
      </c>
      <c r="JT38" s="1257">
        <f t="shared" si="353"/>
        <v>182147</v>
      </c>
      <c r="JU38" s="261">
        <f t="shared" si="353"/>
        <v>5905</v>
      </c>
      <c r="JV38" s="261">
        <f t="shared" si="345"/>
        <v>4213</v>
      </c>
      <c r="JW38" s="1076">
        <f t="shared" si="345"/>
        <v>23332.399999999998</v>
      </c>
      <c r="JX38" s="1076">
        <f t="shared" si="345"/>
        <v>14214.199999999997</v>
      </c>
      <c r="JY38" s="1076">
        <f t="shared" si="345"/>
        <v>19432.600000000002</v>
      </c>
      <c r="JZ38" s="1076">
        <f t="shared" si="345"/>
        <v>2472.1999999999998</v>
      </c>
      <c r="KA38" s="552">
        <f t="shared" si="346"/>
        <v>69569.399999999994</v>
      </c>
      <c r="KB38" s="552">
        <f t="shared" si="347"/>
        <v>112577.60000000001</v>
      </c>
      <c r="KC38" s="552">
        <f t="shared" si="348"/>
        <v>101587.6</v>
      </c>
      <c r="KD38" s="261">
        <f t="shared" si="349"/>
        <v>10990</v>
      </c>
      <c r="KE38" s="149">
        <v>316671</v>
      </c>
      <c r="KF38">
        <v>3308</v>
      </c>
      <c r="KG38">
        <v>648</v>
      </c>
      <c r="KH38">
        <v>11258</v>
      </c>
      <c r="KI38">
        <v>2616</v>
      </c>
      <c r="KJ38">
        <v>3079</v>
      </c>
      <c r="KK38">
        <v>4552</v>
      </c>
      <c r="KL38" s="552">
        <f t="shared" ref="KL38" si="361">KF38+KG38+KH38+KI38+KJ38+KK38</f>
        <v>25461</v>
      </c>
      <c r="KM38" s="552">
        <f t="shared" ref="KM38" si="362">KE38-KL38</f>
        <v>291210</v>
      </c>
      <c r="KN38" s="552">
        <f t="shared" ref="KN38" si="363">KM38-KO38</f>
        <v>194524</v>
      </c>
      <c r="KO38">
        <v>96686</v>
      </c>
      <c r="KP38" s="149">
        <v>110103</v>
      </c>
      <c r="LA38" s="149">
        <f>'Assets(MOFA)'!IX38-'Assets(MOFA)'!KE38-'Assets(MOFA)'!KP38</f>
        <v>-19418</v>
      </c>
      <c r="LB38" s="552">
        <f>'Assets(MOFA)'!IY38-'Assets(MOFA)'!KF38-'Assets(MOFA)'!KQ38</f>
        <v>6747</v>
      </c>
      <c r="LC38" s="552">
        <f>'Assets(MOFA)'!IZ38-'Assets(MOFA)'!KG38-'Assets(MOFA)'!KR38</f>
        <v>1879</v>
      </c>
      <c r="LD38" s="552">
        <f>'Assets(MOFA)'!JA38-'Assets(MOFA)'!KH38-'Assets(MOFA)'!KS38</f>
        <v>5751.6000000000022</v>
      </c>
      <c r="LE38" s="552">
        <f>'Assets(MOFA)'!JB38-'Assets(MOFA)'!KI38-'Assets(MOFA)'!KT38</f>
        <v>13464.800000000003</v>
      </c>
      <c r="LF38" s="552">
        <f>'Assets(MOFA)'!JC38-'Assets(MOFA)'!KJ38-'Assets(MOFA)'!KU38</f>
        <v>33413.399999999994</v>
      </c>
      <c r="LG38" s="552">
        <f>'Assets(MOFA)'!JD38-'Assets(MOFA)'!KK38-'Assets(MOFA)'!KV38</f>
        <v>4433.7999999999993</v>
      </c>
      <c r="LH38" s="552">
        <f>'Assets(MOFA)'!JE38-'Assets(MOFA)'!KL38-'Assets(MOFA)'!KW38</f>
        <v>65689.600000000006</v>
      </c>
      <c r="LI38" s="552">
        <f>'Assets(MOFA)'!JF38-'Assets(MOFA)'!KM38-'Assets(MOFA)'!KX38</f>
        <v>24995.400000000023</v>
      </c>
      <c r="LJ38" s="552">
        <f t="shared" si="77"/>
        <v>67590.400000000023</v>
      </c>
      <c r="LK38" s="552">
        <f>'Assets(MOFA)'!JH38-'Assets(MOFA)'!KO38-'Assets(MOFA)'!KZ38</f>
        <v>-42595</v>
      </c>
      <c r="LL38" s="576">
        <f t="shared" si="78"/>
        <v>0.18113640157503511</v>
      </c>
      <c r="LM38" s="6">
        <f t="shared" si="79"/>
        <v>0.3308801591248135</v>
      </c>
      <c r="LN38" s="6">
        <f t="shared" si="80"/>
        <v>4.5508508112386228E-2</v>
      </c>
      <c r="LO38" s="6">
        <f t="shared" si="81"/>
        <v>0.17560671620731819</v>
      </c>
      <c r="LP38" s="6">
        <f t="shared" si="82"/>
        <v>0.12406099199044822</v>
      </c>
      <c r="LQ38" s="6">
        <f t="shared" si="83"/>
        <v>8.8621192357860826E-2</v>
      </c>
      <c r="LR38" s="6">
        <f t="shared" si="84"/>
        <v>0.28266820984219548</v>
      </c>
      <c r="LS38" s="6">
        <f t="shared" si="85"/>
        <v>0.15576419683468895</v>
      </c>
      <c r="LT38" s="143">
        <f t="shared" si="86"/>
        <v>0.22385084961960727</v>
      </c>
      <c r="LU38" s="62">
        <f t="shared" si="87"/>
        <v>0.11308429563261882</v>
      </c>
      <c r="LV38" s="902">
        <f t="shared" si="88"/>
        <v>0.18845029212024841</v>
      </c>
      <c r="LW38" s="902">
        <f t="shared" si="89"/>
        <v>0.16543539767368751</v>
      </c>
      <c r="LX38" s="143">
        <f t="shared" si="90"/>
        <v>0.29997596642694718</v>
      </c>
      <c r="LY38" s="576">
        <f t="shared" si="91"/>
        <v>0.17332259743320338</v>
      </c>
      <c r="LZ38" s="906">
        <f t="shared" si="92"/>
        <v>0.33565390353058178</v>
      </c>
      <c r="MA38" s="906">
        <f t="shared" si="93"/>
        <v>4.5904234269885241E-2</v>
      </c>
      <c r="MB38" s="906">
        <f t="shared" si="94"/>
        <v>0.17672373248048159</v>
      </c>
      <c r="MC38" s="906">
        <f t="shared" si="95"/>
        <v>0.1134893786378787</v>
      </c>
      <c r="MD38" s="906">
        <f t="shared" si="96"/>
        <v>9.3307099560456436E-2</v>
      </c>
      <c r="ME38" s="906">
        <v>6.1610529375296846E-2</v>
      </c>
      <c r="MF38" s="906">
        <f t="shared" si="97"/>
        <v>0.28188920296467762</v>
      </c>
      <c r="MG38" s="30">
        <f t="shared" si="98"/>
        <v>0.15644438983396708</v>
      </c>
      <c r="MH38" s="140">
        <f t="shared" si="99"/>
        <v>0.22017789622340664</v>
      </c>
      <c r="MI38" s="30">
        <f t="shared" si="100"/>
        <v>0.11649324456977636</v>
      </c>
      <c r="MJ38" s="30">
        <f t="shared" si="101"/>
        <v>0.17818797528441954</v>
      </c>
      <c r="MK38" s="617">
        <f t="shared" si="102"/>
        <v>0.16543539767368751</v>
      </c>
      <c r="ML38" s="615">
        <f t="shared" si="103"/>
        <v>0.29997596642694718</v>
      </c>
      <c r="MM38" s="574"/>
      <c r="MX38" s="613"/>
      <c r="MY38" s="552"/>
      <c r="MZ38" s="552"/>
      <c r="NA38" s="552"/>
      <c r="NB38" s="552"/>
      <c r="NC38" s="552"/>
      <c r="ND38" s="552"/>
      <c r="NE38" s="552"/>
      <c r="NF38" s="552"/>
      <c r="NG38" s="552"/>
      <c r="NH38" s="552"/>
      <c r="NI38" s="613">
        <f t="shared" ref="NI38:NI59" si="364">B38</f>
        <v>166448</v>
      </c>
      <c r="PN38" s="574"/>
      <c r="PO38" s="593"/>
      <c r="PP38" s="593"/>
      <c r="PQ38" s="593"/>
      <c r="PR38" s="593"/>
      <c r="PS38" s="593"/>
      <c r="PT38" s="593"/>
      <c r="PU38" s="593"/>
      <c r="PV38" s="593"/>
      <c r="PW38" s="593"/>
      <c r="PX38" s="593"/>
      <c r="PY38" s="593"/>
      <c r="PZ38" s="593"/>
      <c r="QA38" s="593"/>
      <c r="QB38" s="593"/>
      <c r="QC38" s="593"/>
      <c r="QD38" s="593"/>
      <c r="QE38" s="593"/>
      <c r="QF38" s="593"/>
      <c r="QG38" s="593"/>
      <c r="QH38" s="593"/>
      <c r="QI38" s="593"/>
      <c r="QJ38" s="593"/>
      <c r="QK38" s="593"/>
      <c r="QL38" s="593"/>
      <c r="QM38" s="593"/>
      <c r="QN38" s="593"/>
      <c r="QO38" s="593"/>
      <c r="QP38" s="593"/>
      <c r="QQ38" s="593"/>
      <c r="QR38" s="593"/>
      <c r="QS38" s="593"/>
      <c r="QT38" s="593"/>
      <c r="QU38" s="593"/>
      <c r="QV38" s="593"/>
      <c r="QW38" s="593"/>
      <c r="QX38" s="593"/>
      <c r="QY38" s="593"/>
      <c r="QZ38" s="593"/>
      <c r="RA38" s="593"/>
      <c r="RB38" s="593"/>
      <c r="RC38" s="593"/>
      <c r="RD38" s="593"/>
      <c r="RE38" s="593"/>
      <c r="RF38" s="593"/>
      <c r="RG38" s="593"/>
      <c r="RH38" s="593"/>
      <c r="RI38" s="593"/>
      <c r="RJ38" s="593"/>
      <c r="RK38" s="593"/>
      <c r="RL38" s="593"/>
      <c r="RM38" s="593"/>
      <c r="RN38" s="593"/>
      <c r="RO38" s="593"/>
      <c r="RP38" s="593"/>
      <c r="RQ38" s="593"/>
      <c r="RR38" s="593"/>
    </row>
    <row r="39" spans="1:486">
      <c r="A39" s="568">
        <v>1994</v>
      </c>
      <c r="B39" s="33">
        <v>183591</v>
      </c>
      <c r="C39" s="193">
        <v>1573</v>
      </c>
      <c r="D39" s="193">
        <v>438</v>
      </c>
      <c r="E39" s="193">
        <v>5987</v>
      </c>
      <c r="F39" s="193">
        <v>3423</v>
      </c>
      <c r="G39" s="193">
        <v>940</v>
      </c>
      <c r="H39" s="193">
        <v>2106</v>
      </c>
      <c r="I39" s="193">
        <f>H39+G39+F39+E39+D39+C39</f>
        <v>14467</v>
      </c>
      <c r="J39" s="193">
        <f>B39-I39</f>
        <v>169124</v>
      </c>
      <c r="K39" s="193">
        <f t="shared" si="249"/>
        <v>160930</v>
      </c>
      <c r="L39" s="193">
        <v>8194</v>
      </c>
      <c r="M39" s="140">
        <f t="shared" si="217"/>
        <v>7.8800159049190868E-2</v>
      </c>
      <c r="N39" s="140">
        <f t="shared" si="250"/>
        <v>4.4631817463819036E-2</v>
      </c>
      <c r="O39" s="193">
        <v>2649000</v>
      </c>
      <c r="P39" s="32">
        <f t="shared" si="251"/>
        <v>6.9305775764439415E-2</v>
      </c>
      <c r="Q39" s="629">
        <f t="shared" si="218"/>
        <v>8.5679581243089265E-3</v>
      </c>
      <c r="R39" s="308">
        <f t="shared" si="219"/>
        <v>2.3857378629671389E-3</v>
      </c>
      <c r="S39" s="308">
        <f t="shared" si="220"/>
        <v>3.2610531017315661E-2</v>
      </c>
      <c r="T39" s="308">
        <f t="shared" si="221"/>
        <v>1.8644704805791133E-2</v>
      </c>
      <c r="U39" s="308">
        <f t="shared" si="222"/>
        <v>5.120076692212581E-3</v>
      </c>
      <c r="V39" s="308">
        <f t="shared" si="223"/>
        <v>1.1471150546595421E-2</v>
      </c>
      <c r="W39" s="5">
        <v>84900</v>
      </c>
      <c r="X39" s="193">
        <v>3866</v>
      </c>
      <c r="Y39" s="193">
        <v>0</v>
      </c>
      <c r="Z39" s="76">
        <f t="shared" si="114"/>
        <v>3866</v>
      </c>
      <c r="AA39" s="193">
        <v>242</v>
      </c>
      <c r="AB39" s="66">
        <v>0</v>
      </c>
      <c r="AC39" s="274">
        <f t="shared" si="117"/>
        <v>242</v>
      </c>
      <c r="AD39" s="193">
        <v>3736</v>
      </c>
      <c r="AE39" s="193">
        <v>140</v>
      </c>
      <c r="AF39" s="274">
        <f t="shared" si="119"/>
        <v>3596</v>
      </c>
      <c r="AG39" s="193">
        <v>2343</v>
      </c>
      <c r="AH39" s="193">
        <v>107</v>
      </c>
      <c r="AI39" s="76">
        <f t="shared" si="287"/>
        <v>2236</v>
      </c>
      <c r="AJ39" s="193">
        <v>3031</v>
      </c>
      <c r="AK39" s="274">
        <v>276</v>
      </c>
      <c r="AL39" s="274">
        <f t="shared" si="123"/>
        <v>2755</v>
      </c>
      <c r="AM39" s="193">
        <v>2853</v>
      </c>
      <c r="AN39" s="193">
        <v>186</v>
      </c>
      <c r="AO39" s="274">
        <f t="shared" si="125"/>
        <v>2667</v>
      </c>
      <c r="AP39" s="193">
        <f t="shared" si="8"/>
        <v>16071</v>
      </c>
      <c r="AQ39" s="271">
        <f t="shared" si="9"/>
        <v>709</v>
      </c>
      <c r="AR39" s="271">
        <f t="shared" si="126"/>
        <v>15362</v>
      </c>
      <c r="AS39" s="193">
        <f t="shared" si="259"/>
        <v>68829</v>
      </c>
      <c r="AT39" s="193">
        <f t="shared" si="224"/>
        <v>54507</v>
      </c>
      <c r="AU39" s="193">
        <v>14322</v>
      </c>
      <c r="AV39" s="193">
        <v>5307</v>
      </c>
      <c r="AW39" s="23">
        <f t="shared" si="289"/>
        <v>0.37054880603267698</v>
      </c>
      <c r="AX39" s="271">
        <f t="shared" si="227"/>
        <v>70578</v>
      </c>
      <c r="AY39" s="140">
        <f t="shared" si="10"/>
        <v>0.18929328621908129</v>
      </c>
      <c r="AZ39" s="623">
        <f t="shared" si="129"/>
        <v>0.18094228504122498</v>
      </c>
      <c r="BA39" s="248">
        <f t="shared" si="11"/>
        <v>0.21765989401796593</v>
      </c>
      <c r="BB39" s="248">
        <f t="shared" si="130"/>
        <v>5.4776275893337868E-2</v>
      </c>
      <c r="BC39" s="248">
        <f t="shared" si="131"/>
        <v>3.4288305137578283E-3</v>
      </c>
      <c r="BD39" s="248">
        <f t="shared" si="132"/>
        <v>5.0950721187905577E-2</v>
      </c>
      <c r="BE39" s="248">
        <f t="shared" si="133"/>
        <v>3.1681260449431835E-2</v>
      </c>
      <c r="BF39" s="248">
        <f t="shared" si="134"/>
        <v>3.9034826716540565E-2</v>
      </c>
      <c r="BG39" s="248">
        <f t="shared" si="135"/>
        <v>3.7787979256992267E-2</v>
      </c>
      <c r="BH39" s="248">
        <f t="shared" si="136"/>
        <v>5.4379551701663406E-2</v>
      </c>
      <c r="BI39" s="23">
        <f t="shared" si="12"/>
        <v>0.17477117515373061</v>
      </c>
      <c r="BJ39" s="140">
        <f t="shared" si="13"/>
        <v>0.16869257950530037</v>
      </c>
      <c r="BK39" s="623">
        <f t="shared" si="137"/>
        <v>0.16034157832744406</v>
      </c>
      <c r="BL39" s="5">
        <v>-5033</v>
      </c>
      <c r="BM39" s="193">
        <v>-303</v>
      </c>
      <c r="BN39" s="193">
        <v>16</v>
      </c>
      <c r="BO39" s="193">
        <v>-381</v>
      </c>
      <c r="BP39" s="193">
        <v>-468</v>
      </c>
      <c r="BQ39" s="193">
        <v>-1936</v>
      </c>
      <c r="BR39" s="193">
        <v>-78</v>
      </c>
      <c r="BS39" s="193">
        <f t="shared" si="337"/>
        <v>-3150</v>
      </c>
      <c r="BT39" s="193">
        <f t="shared" ref="BT39:BT60" si="365">BL39-BS39</f>
        <v>-1883</v>
      </c>
      <c r="BU39" s="193">
        <f t="shared" si="326"/>
        <v>-3422</v>
      </c>
      <c r="BV39" s="193">
        <v>1539</v>
      </c>
      <c r="BW39" s="5">
        <f t="shared" si="262"/>
        <v>55623</v>
      </c>
      <c r="BX39" s="193">
        <f t="shared" si="263"/>
        <v>3463</v>
      </c>
      <c r="BY39" s="193">
        <f t="shared" si="148"/>
        <v>0</v>
      </c>
      <c r="BZ39" s="647">
        <f t="shared" si="149"/>
        <v>6.2258418280207825E-2</v>
      </c>
      <c r="CA39" s="193">
        <f t="shared" si="264"/>
        <v>186</v>
      </c>
      <c r="CB39" s="193">
        <f t="shared" si="151"/>
        <v>-3</v>
      </c>
      <c r="CC39" s="647">
        <f t="shared" si="14"/>
        <v>3.3978749797745535E-3</v>
      </c>
      <c r="CD39" s="193">
        <f t="shared" si="265"/>
        <v>2498</v>
      </c>
      <c r="CE39" s="193">
        <f t="shared" si="153"/>
        <v>76</v>
      </c>
      <c r="CF39" s="655">
        <f t="shared" si="15"/>
        <v>4.3543138629703541E-2</v>
      </c>
      <c r="CG39" s="193">
        <f t="shared" si="266"/>
        <v>2023</v>
      </c>
      <c r="CH39" s="193">
        <f t="shared" si="155"/>
        <v>99</v>
      </c>
      <c r="CI39" s="23">
        <f t="shared" si="16"/>
        <v>3.4590007730615033E-2</v>
      </c>
      <c r="CJ39" s="193">
        <f t="shared" si="267"/>
        <v>2731</v>
      </c>
      <c r="CK39" s="641">
        <f t="shared" si="157"/>
        <v>120</v>
      </c>
      <c r="CL39" s="34">
        <f t="shared" si="158"/>
        <v>4.6941013609478097E-2</v>
      </c>
      <c r="CM39" s="193">
        <f t="shared" si="268"/>
        <v>2558</v>
      </c>
      <c r="CN39" s="193">
        <f t="shared" si="160"/>
        <v>177</v>
      </c>
      <c r="CO39" s="23">
        <f t="shared" si="161"/>
        <v>4.2806033475360911E-2</v>
      </c>
      <c r="CP39" s="193">
        <f t="shared" si="17"/>
        <v>13459</v>
      </c>
      <c r="CQ39" s="193">
        <f t="shared" si="162"/>
        <v>469</v>
      </c>
      <c r="CR39" s="193">
        <f t="shared" si="18"/>
        <v>42164</v>
      </c>
      <c r="CS39" s="248">
        <f t="shared" si="163"/>
        <v>0.23353648670513996</v>
      </c>
      <c r="CT39" s="30">
        <f t="shared" si="19"/>
        <v>0.24196825054383977</v>
      </c>
      <c r="CU39" s="308">
        <f t="shared" si="20"/>
        <v>0</v>
      </c>
      <c r="CV39" s="608">
        <f t="shared" si="269"/>
        <v>6.2258418280207825E-2</v>
      </c>
      <c r="CW39" s="608">
        <f t="shared" si="270"/>
        <v>3.3439404562860685E-3</v>
      </c>
      <c r="CX39" s="608">
        <f t="shared" si="271"/>
        <v>4.4909479891411828E-2</v>
      </c>
      <c r="CY39" s="608">
        <f t="shared" si="272"/>
        <v>3.6369847005735034E-2</v>
      </c>
      <c r="CZ39" s="608">
        <f t="shared" si="327"/>
        <v>4.9098394549017495E-2</v>
      </c>
      <c r="DA39" s="608">
        <f>'Assets(BoP)'!FK86</f>
        <v>7.9863630806143185E-2</v>
      </c>
      <c r="DB39" s="608">
        <f t="shared" si="273"/>
        <v>4.5988170361181524E-2</v>
      </c>
      <c r="DC39" s="23">
        <f t="shared" si="21"/>
        <v>0.27057426732487661</v>
      </c>
      <c r="DD39" s="193">
        <f t="shared" si="22"/>
        <v>48009</v>
      </c>
      <c r="DE39" s="193">
        <f t="shared" si="274"/>
        <v>7614</v>
      </c>
      <c r="DF39" s="193"/>
      <c r="DG39" s="193">
        <f>'Assets(BoP)'!DA86</f>
        <v>0</v>
      </c>
      <c r="DH39" s="23">
        <f t="shared" si="23"/>
        <v>0.13688582061377488</v>
      </c>
      <c r="DI39" s="23"/>
      <c r="DJ39" s="23">
        <f t="shared" si="24"/>
        <v>0.19705877065242794</v>
      </c>
      <c r="DK39" s="600">
        <f>'Assets(BoP)'!FO86-'Assets(BoP)'!FH86</f>
        <v>0.22055084551199122</v>
      </c>
      <c r="DL39" s="576">
        <f t="shared" si="25"/>
        <v>0.46244096932856188</v>
      </c>
      <c r="DM39" s="251">
        <f t="shared" si="26"/>
        <v>2.4577240940877303</v>
      </c>
      <c r="DN39" s="251">
        <f t="shared" si="27"/>
        <v>2.4577240940877303</v>
      </c>
      <c r="DO39" s="251">
        <f t="shared" si="28"/>
        <v>0.55251141552511418</v>
      </c>
      <c r="DP39" s="251">
        <f t="shared" si="29"/>
        <v>0.55251141552511418</v>
      </c>
      <c r="DQ39" s="251">
        <f t="shared" si="30"/>
        <v>0.62401870719893104</v>
      </c>
      <c r="DR39" s="251">
        <f t="shared" si="31"/>
        <v>0.6087793311699734</v>
      </c>
      <c r="DS39" s="251">
        <f t="shared" si="32"/>
        <v>0.68448729184925505</v>
      </c>
      <c r="DT39" s="251">
        <f t="shared" si="33"/>
        <v>0.66512335191680361</v>
      </c>
      <c r="DU39" s="251">
        <f t="shared" si="34"/>
        <v>3.2244680851063832</v>
      </c>
      <c r="DV39" s="251">
        <f t="shared" si="35"/>
        <v>3.5225989578199925</v>
      </c>
      <c r="DW39" s="251">
        <f t="shared" si="36"/>
        <v>1.3547008547008548</v>
      </c>
      <c r="DX39" s="251">
        <f t="shared" si="37"/>
        <v>1.3337771484983891</v>
      </c>
      <c r="DY39" s="251">
        <f t="shared" si="38"/>
        <v>0.61914396887159528</v>
      </c>
      <c r="DZ39" s="251">
        <f t="shared" si="39"/>
        <v>0.60489505587493753</v>
      </c>
      <c r="EA39" s="643">
        <f t="shared" si="40"/>
        <v>1.1108730213589548</v>
      </c>
      <c r="EB39" s="643">
        <f t="shared" si="41"/>
        <v>1.0924972908357244</v>
      </c>
      <c r="EC39" s="251">
        <f t="shared" si="42"/>
        <v>0.4069735815141553</v>
      </c>
      <c r="ED39" s="251">
        <f t="shared" si="43"/>
        <v>0.40239000667058161</v>
      </c>
      <c r="EE39" s="140">
        <f t="shared" si="44"/>
        <v>0.33870005592493629</v>
      </c>
      <c r="EF39" s="1342">
        <v>0.21749526427568899</v>
      </c>
      <c r="EG39" s="140">
        <f t="shared" si="228"/>
        <v>1.7478642909445936</v>
      </c>
      <c r="EH39" s="583">
        <v>15.817626459143968</v>
      </c>
      <c r="EI39" s="1344">
        <v>1.4592596553614159</v>
      </c>
      <c r="EJ39" s="576">
        <f t="shared" si="166"/>
        <v>0.30297236792653237</v>
      </c>
      <c r="EK39" s="753">
        <f t="shared" si="167"/>
        <v>0.93036422814934361</v>
      </c>
      <c r="EL39" s="753">
        <f t="shared" si="168"/>
        <v>0.92921649987795951</v>
      </c>
      <c r="EM39" s="753">
        <f t="shared" si="169"/>
        <v>0.2146896166034922</v>
      </c>
      <c r="EN39" s="583"/>
      <c r="EO39" s="5">
        <v>81095</v>
      </c>
      <c r="EP39" s="193"/>
      <c r="EQ39" s="193"/>
      <c r="ER39" s="193"/>
      <c r="ES39" s="193"/>
      <c r="ET39" s="193"/>
      <c r="EU39" s="193"/>
      <c r="EV39" s="193"/>
      <c r="EW39" s="193"/>
      <c r="EX39" s="193"/>
      <c r="EY39" s="193"/>
      <c r="EZ39" s="193"/>
      <c r="FA39" s="193"/>
      <c r="FB39" s="193"/>
      <c r="FC39" s="193"/>
      <c r="FD39" s="193"/>
      <c r="FE39" s="193">
        <v>6293</v>
      </c>
      <c r="FF39" s="193"/>
      <c r="FG39" s="193"/>
      <c r="FH39" s="193"/>
      <c r="FI39" s="193"/>
      <c r="FJ39" s="5">
        <v>29277</v>
      </c>
      <c r="FK39" s="143">
        <f>FJ39/'Assets(BoP)'!AV86/1000</f>
        <v>1.1060603318755238</v>
      </c>
      <c r="FL39" s="192"/>
      <c r="FM39" s="193">
        <v>403</v>
      </c>
      <c r="FN39" s="193">
        <v>0</v>
      </c>
      <c r="FO39" s="23">
        <f>FN39/FM39</f>
        <v>0</v>
      </c>
      <c r="FP39" s="193">
        <v>56</v>
      </c>
      <c r="FQ39" s="193">
        <v>3</v>
      </c>
      <c r="FR39" s="23">
        <f>FQ39/FP39</f>
        <v>5.3571428571428568E-2</v>
      </c>
      <c r="FS39" s="193">
        <v>1238</v>
      </c>
      <c r="FT39" s="193">
        <v>64</v>
      </c>
      <c r="FU39" s="193">
        <f t="shared" si="175"/>
        <v>1174</v>
      </c>
      <c r="FV39" s="23">
        <f>FT39/FS39</f>
        <v>5.1696284329563816E-2</v>
      </c>
      <c r="FW39" s="193">
        <v>320</v>
      </c>
      <c r="FX39" s="193">
        <v>8</v>
      </c>
      <c r="FY39" s="23">
        <f>FX39/FW39</f>
        <v>2.5000000000000001E-2</v>
      </c>
      <c r="FZ39" s="193">
        <v>300</v>
      </c>
      <c r="GA39" s="193">
        <v>156</v>
      </c>
      <c r="GB39" s="193">
        <f t="shared" si="180"/>
        <v>144</v>
      </c>
      <c r="GC39" s="23">
        <f t="shared" ref="GC39:GC61" si="366">GA39/FZ39</f>
        <v>0.52</v>
      </c>
      <c r="GD39" s="193">
        <v>295</v>
      </c>
      <c r="GE39" s="193">
        <v>9</v>
      </c>
      <c r="GF39" s="23">
        <f>GE39/GD39</f>
        <v>3.0508474576271188E-2</v>
      </c>
      <c r="GG39" s="193">
        <f t="shared" si="47"/>
        <v>2612</v>
      </c>
      <c r="GH39" s="193">
        <f t="shared" si="48"/>
        <v>240</v>
      </c>
      <c r="GI39" s="193">
        <f t="shared" si="49"/>
        <v>26665</v>
      </c>
      <c r="GJ39" s="23">
        <f t="shared" si="50"/>
        <v>8.9216791337910301E-2</v>
      </c>
      <c r="GK39" s="330">
        <v>6708</v>
      </c>
      <c r="GL39" s="330">
        <v>2836</v>
      </c>
      <c r="GM39" s="23">
        <f>GK39/'Assets(BoP)'!AW86/1000</f>
        <v>1.0519013257594765</v>
      </c>
      <c r="GN39" s="23">
        <f t="shared" si="51"/>
        <v>0.22912183625371452</v>
      </c>
      <c r="GO39" s="330">
        <f t="shared" si="275"/>
        <v>22569</v>
      </c>
      <c r="GP39" s="23">
        <f>GO39/('Assets(BoP)'!AV86-'Assets(BoP)'!AW86)/1000</f>
        <v>1.1232494113877454</v>
      </c>
      <c r="GQ39" s="330">
        <f t="shared" si="52"/>
        <v>19957</v>
      </c>
      <c r="GR39" s="330">
        <v>1448.2629999999999</v>
      </c>
      <c r="GS39" s="140">
        <f t="shared" si="53"/>
        <v>0.23624160258224924</v>
      </c>
      <c r="GT39" s="582">
        <v>0.84898256099398517</v>
      </c>
      <c r="GU39" s="576">
        <f t="shared" si="54"/>
        <v>0.34484098939929331</v>
      </c>
      <c r="GV39" s="589">
        <f t="shared" si="276"/>
        <v>0.10424211070874288</v>
      </c>
      <c r="GW39" s="589"/>
      <c r="GX39" s="589">
        <f t="shared" si="277"/>
        <v>0.23140495867768596</v>
      </c>
      <c r="GY39" s="589"/>
      <c r="GZ39" s="589">
        <f t="shared" si="308"/>
        <v>0.33137044967880086</v>
      </c>
      <c r="HA39" s="589">
        <f>FT39/AE39</f>
        <v>0.45714285714285713</v>
      </c>
      <c r="HB39" s="589">
        <f t="shared" si="278"/>
        <v>0.1365770379854887</v>
      </c>
      <c r="HC39" s="589">
        <f>FX39/AH39</f>
        <v>7.476635514018691E-2</v>
      </c>
      <c r="HD39" s="589">
        <f t="shared" si="279"/>
        <v>9.8977235235895744E-2</v>
      </c>
      <c r="HE39" s="589">
        <f>GA39/AK39</f>
        <v>0.56521739130434778</v>
      </c>
      <c r="HF39" s="589">
        <f t="shared" si="309"/>
        <v>0.10339992989835262</v>
      </c>
      <c r="HG39" s="589">
        <f>GE39/AN39</f>
        <v>4.8387096774193547E-2</v>
      </c>
      <c r="HH39" s="6">
        <f t="shared" si="57"/>
        <v>0.16252877854520564</v>
      </c>
      <c r="HI39" s="6">
        <f t="shared" si="58"/>
        <v>0.15440697825803931</v>
      </c>
      <c r="HJ39" s="23">
        <f t="shared" si="280"/>
        <v>0.46837033933808125</v>
      </c>
      <c r="HK39" s="23">
        <f t="shared" si="280"/>
        <v>0.53438854343320141</v>
      </c>
      <c r="HL39" s="23">
        <f t="shared" si="281"/>
        <v>0.42950637825845811</v>
      </c>
      <c r="HM39" s="31">
        <f t="shared" si="282"/>
        <v>0.31977386721074558</v>
      </c>
      <c r="HN39" s="23">
        <f t="shared" si="60"/>
        <v>0.38740937686149735</v>
      </c>
      <c r="HO39" s="23">
        <f t="shared" si="61"/>
        <v>0.36613645953730711</v>
      </c>
      <c r="HP39" s="575">
        <f>25950+1147</f>
        <v>27097</v>
      </c>
      <c r="HQ39" s="193"/>
      <c r="HR39" s="193"/>
      <c r="HS39" s="193"/>
      <c r="HT39" s="193"/>
      <c r="HU39" s="193"/>
      <c r="HV39" s="193"/>
      <c r="HW39" s="193"/>
      <c r="HX39" s="193"/>
      <c r="HY39" s="193">
        <v>715</v>
      </c>
      <c r="HZ39" s="193"/>
      <c r="IA39" s="193"/>
      <c r="IB39" s="193"/>
      <c r="IC39" s="193">
        <v>1147</v>
      </c>
      <c r="ID39" s="193"/>
      <c r="IE39" s="193"/>
      <c r="IF39" s="193"/>
      <c r="IG39" s="193"/>
      <c r="IH39" s="193"/>
      <c r="II39" s="193"/>
      <c r="IJ39" s="193"/>
      <c r="IK39" s="193"/>
      <c r="IL39" s="193"/>
      <c r="IM39" s="575">
        <v>90</v>
      </c>
      <c r="IN39" s="193"/>
      <c r="IO39" s="193"/>
      <c r="IP39" s="193"/>
      <c r="IQ39" s="193"/>
      <c r="IR39" s="193"/>
      <c r="IS39" s="193"/>
      <c r="IT39" s="193"/>
      <c r="IU39" s="193"/>
      <c r="IV39" s="193">
        <v>-738</v>
      </c>
      <c r="IW39" s="193"/>
      <c r="IX39" s="149">
        <f t="shared" si="63"/>
        <v>481155</v>
      </c>
      <c r="IY39" s="316">
        <f t="shared" si="64"/>
        <v>12792</v>
      </c>
      <c r="IZ39" s="316">
        <f t="shared" si="65"/>
        <v>3013</v>
      </c>
      <c r="JA39" s="316">
        <f t="shared" si="66"/>
        <v>25988</v>
      </c>
      <c r="JB39" s="316">
        <f t="shared" si="67"/>
        <v>19332</v>
      </c>
      <c r="JC39" s="316">
        <f t="shared" si="68"/>
        <v>40212</v>
      </c>
      <c r="JD39" s="316">
        <f t="shared" si="69"/>
        <v>12468</v>
      </c>
      <c r="JE39" s="316">
        <f t="shared" si="70"/>
        <v>113805</v>
      </c>
      <c r="JF39" s="316">
        <f t="shared" si="71"/>
        <v>367350</v>
      </c>
      <c r="JG39" s="316">
        <f t="shared" si="72"/>
        <v>314154</v>
      </c>
      <c r="JH39" s="316">
        <f t="shared" si="73"/>
        <v>53196</v>
      </c>
      <c r="JI39" s="5">
        <v>682683</v>
      </c>
      <c r="JJ39" s="593">
        <v>19490</v>
      </c>
      <c r="JK39" s="593">
        <v>8150</v>
      </c>
      <c r="JL39" s="593">
        <v>51772</v>
      </c>
      <c r="JM39" s="536">
        <v>33972</v>
      </c>
      <c r="JN39" s="536">
        <v>61133</v>
      </c>
      <c r="JO39" s="536">
        <v>15431</v>
      </c>
      <c r="JP39" s="552">
        <f t="shared" si="74"/>
        <v>189948</v>
      </c>
      <c r="JQ39" s="552">
        <f t="shared" si="75"/>
        <v>492735</v>
      </c>
      <c r="JR39" s="552">
        <f t="shared" si="76"/>
        <v>427520</v>
      </c>
      <c r="JS39" s="593">
        <v>65215</v>
      </c>
      <c r="JT39" s="149">
        <v>201528</v>
      </c>
      <c r="JU39" s="593">
        <v>6698</v>
      </c>
      <c r="JV39" s="593">
        <v>5137</v>
      </c>
      <c r="JW39" s="536">
        <v>25784</v>
      </c>
      <c r="JX39" s="536">
        <v>14640</v>
      </c>
      <c r="JY39" s="536">
        <v>20921</v>
      </c>
      <c r="JZ39" s="536">
        <v>2963</v>
      </c>
      <c r="KA39" s="552">
        <f t="shared" ref="KA39" si="367">JU39+JV39+JW39+JX39+JY39+JZ39</f>
        <v>76143</v>
      </c>
      <c r="KB39" s="552">
        <f t="shared" ref="KB39" si="368">JT39-KA39</f>
        <v>125385</v>
      </c>
      <c r="KC39" s="552">
        <f t="shared" ref="KC39:KC43" si="369">KB39-KD39</f>
        <v>113366</v>
      </c>
      <c r="KD39" s="593">
        <v>12019</v>
      </c>
      <c r="KE39" s="149">
        <v>349638</v>
      </c>
      <c r="KF39">
        <v>3840</v>
      </c>
      <c r="KG39">
        <v>778</v>
      </c>
      <c r="KH39">
        <v>11018</v>
      </c>
      <c r="KI39">
        <v>3020</v>
      </c>
      <c r="KJ39">
        <v>3527</v>
      </c>
      <c r="KK39">
        <v>5408</v>
      </c>
      <c r="KL39" s="552">
        <f t="shared" ref="KL39" si="370">KF39+KG39+KH39+KI39+KJ39+KK39</f>
        <v>27591</v>
      </c>
      <c r="KM39" s="552">
        <f t="shared" ref="KM39" si="371">KE39-KL39</f>
        <v>322047</v>
      </c>
      <c r="KN39" s="552">
        <f t="shared" ref="KN39:KN43" si="372">KM39-KO39</f>
        <v>220895</v>
      </c>
      <c r="KO39">
        <v>101152</v>
      </c>
      <c r="KP39" s="149">
        <v>123211</v>
      </c>
      <c r="LA39" s="149">
        <f>'Assets(MOFA)'!IX39-'Assets(MOFA)'!KE39-'Assets(MOFA)'!KP39</f>
        <v>8306</v>
      </c>
      <c r="LB39" s="552">
        <f>'Assets(MOFA)'!IY39-'Assets(MOFA)'!KF39-'Assets(MOFA)'!KQ39</f>
        <v>8952</v>
      </c>
      <c r="LC39" s="552">
        <f>'Assets(MOFA)'!IZ39-'Assets(MOFA)'!KG39-'Assets(MOFA)'!KR39</f>
        <v>2235</v>
      </c>
      <c r="LD39" s="552">
        <f>'Assets(MOFA)'!JA39-'Assets(MOFA)'!KH39-'Assets(MOFA)'!KS39</f>
        <v>14970</v>
      </c>
      <c r="LE39" s="552">
        <f>'Assets(MOFA)'!JB39-'Assets(MOFA)'!KI39-'Assets(MOFA)'!KT39</f>
        <v>16312</v>
      </c>
      <c r="LF39" s="552">
        <f>'Assets(MOFA)'!JC39-'Assets(MOFA)'!KJ39-'Assets(MOFA)'!KU39</f>
        <v>36685</v>
      </c>
      <c r="LG39" s="552">
        <f>'Assets(MOFA)'!JD39-'Assets(MOFA)'!KK39-'Assets(MOFA)'!KV39</f>
        <v>7060</v>
      </c>
      <c r="LH39" s="552">
        <f>'Assets(MOFA)'!JE39-'Assets(MOFA)'!KL39-'Assets(MOFA)'!KW39</f>
        <v>86214</v>
      </c>
      <c r="LI39" s="552">
        <f>'Assets(MOFA)'!JF39-'Assets(MOFA)'!KM39-'Assets(MOFA)'!KX39</f>
        <v>45303</v>
      </c>
      <c r="LJ39" s="552">
        <f t="shared" si="77"/>
        <v>93259</v>
      </c>
      <c r="LK39" s="552">
        <f>'Assets(MOFA)'!JH39-'Assets(MOFA)'!KO39-'Assets(MOFA)'!KZ39</f>
        <v>-47956</v>
      </c>
      <c r="LL39" s="576">
        <f t="shared" si="78"/>
        <v>0.17645041618605231</v>
      </c>
      <c r="LM39" s="6">
        <f t="shared" si="79"/>
        <v>0.30222013758599126</v>
      </c>
      <c r="LN39" s="6">
        <f t="shared" si="80"/>
        <v>8.0318619316296053E-2</v>
      </c>
      <c r="LO39" s="6">
        <f t="shared" si="81"/>
        <v>0.14375865784208097</v>
      </c>
      <c r="LP39" s="6">
        <f t="shared" si="82"/>
        <v>0.12119801365611421</v>
      </c>
      <c r="LQ39" s="6">
        <f t="shared" si="83"/>
        <v>7.5375509798070228E-2</v>
      </c>
      <c r="LR39" s="6">
        <f t="shared" si="84"/>
        <v>0.22882579403272377</v>
      </c>
      <c r="LS39" s="6">
        <f t="shared" si="85"/>
        <v>0.14121523658890206</v>
      </c>
      <c r="LT39" s="143">
        <f t="shared" si="86"/>
        <v>0.20322030857552925</v>
      </c>
      <c r="LU39" s="62">
        <f t="shared" si="87"/>
        <v>0.10126710300088133</v>
      </c>
      <c r="LV39" s="902">
        <f t="shared" si="88"/>
        <v>0.18736627194773378</v>
      </c>
      <c r="LW39" s="902">
        <f t="shared" si="89"/>
        <v>0.17350407761798353</v>
      </c>
      <c r="LX39" s="143">
        <f t="shared" si="90"/>
        <v>0.26923076923076922</v>
      </c>
      <c r="LY39" s="576">
        <f t="shared" si="91"/>
        <v>0.17902131329820953</v>
      </c>
      <c r="LZ39" s="906">
        <f t="shared" si="92"/>
        <v>0.30222013758599126</v>
      </c>
      <c r="MA39" s="906">
        <f t="shared" si="93"/>
        <v>8.0318619316296053E-2</v>
      </c>
      <c r="MB39" s="906">
        <f t="shared" si="94"/>
        <v>0.14375865784208097</v>
      </c>
      <c r="MC39" s="906">
        <f t="shared" si="95"/>
        <v>0.12119801365611421</v>
      </c>
      <c r="MD39" s="906">
        <f t="shared" si="96"/>
        <v>7.5375509798070228E-2</v>
      </c>
      <c r="ME39" s="906">
        <v>6.1610529375296846E-2</v>
      </c>
      <c r="MF39" s="906">
        <f t="shared" si="97"/>
        <v>0.22882579403272377</v>
      </c>
      <c r="MG39" s="30">
        <f t="shared" si="98"/>
        <v>0.14121523658890206</v>
      </c>
      <c r="MH39" s="140">
        <f t="shared" si="99"/>
        <v>0.20322030857552925</v>
      </c>
      <c r="MI39" s="30">
        <f t="shared" si="100"/>
        <v>0.10126710300088133</v>
      </c>
      <c r="MJ39" s="30">
        <f t="shared" si="101"/>
        <v>0.18736627194773378</v>
      </c>
      <c r="MK39" s="617">
        <f t="shared" si="102"/>
        <v>0.17350407761798353</v>
      </c>
      <c r="ML39" s="615">
        <f t="shared" si="103"/>
        <v>0.26923076923076922</v>
      </c>
      <c r="MM39" s="574"/>
      <c r="MX39" s="613"/>
      <c r="MY39" s="552"/>
      <c r="MZ39" s="552"/>
      <c r="NA39" s="552"/>
      <c r="NB39" s="552"/>
      <c r="NC39" s="552"/>
      <c r="ND39" s="552"/>
      <c r="NE39" s="552"/>
      <c r="NF39" s="552"/>
      <c r="NG39" s="552"/>
      <c r="NH39" s="552"/>
      <c r="NI39" s="613">
        <f t="shared" si="364"/>
        <v>183591</v>
      </c>
      <c r="PN39" s="574"/>
      <c r="PO39" s="593"/>
      <c r="PP39" s="593"/>
      <c r="PQ39" s="593"/>
      <c r="PR39" s="593"/>
      <c r="PS39" s="593"/>
      <c r="PT39" s="593"/>
      <c r="PU39" s="593"/>
      <c r="PV39" s="593"/>
      <c r="PW39" s="593"/>
      <c r="PX39" s="593"/>
      <c r="PY39" s="593"/>
      <c r="PZ39" s="593"/>
      <c r="QA39" s="593"/>
      <c r="QB39" s="593"/>
      <c r="QC39" s="593"/>
      <c r="QD39" s="593"/>
      <c r="QE39" s="593"/>
      <c r="QF39" s="593"/>
      <c r="QG39" s="593"/>
      <c r="QH39" s="593"/>
      <c r="QI39" s="593"/>
      <c r="QJ39" s="593"/>
      <c r="QK39" s="593"/>
      <c r="QL39" s="593"/>
      <c r="QM39" s="593"/>
      <c r="QN39" s="593"/>
      <c r="QO39" s="593"/>
      <c r="QP39" s="593"/>
      <c r="QQ39" s="593"/>
      <c r="QR39" s="593"/>
      <c r="QS39" s="593"/>
      <c r="QT39" s="593"/>
      <c r="QU39" s="593"/>
      <c r="QV39" s="593"/>
      <c r="QW39" s="593"/>
      <c r="QX39" s="593"/>
      <c r="QY39" s="593"/>
      <c r="QZ39" s="593"/>
      <c r="RA39" s="593"/>
      <c r="RB39" s="593"/>
      <c r="RC39" s="593"/>
      <c r="RD39" s="593"/>
      <c r="RE39" s="593"/>
      <c r="RF39" s="593"/>
      <c r="RG39" s="593"/>
      <c r="RH39" s="593"/>
      <c r="RI39" s="593"/>
      <c r="RJ39" s="593"/>
      <c r="RK39" s="593"/>
      <c r="RL39" s="593"/>
      <c r="RM39" s="593"/>
      <c r="RN39" s="593"/>
      <c r="RO39" s="593"/>
      <c r="RP39" s="593"/>
      <c r="RQ39" s="593"/>
      <c r="RR39" s="593"/>
    </row>
    <row r="40" spans="1:486">
      <c r="A40" s="568">
        <v>1995</v>
      </c>
      <c r="B40" s="33">
        <v>199701</v>
      </c>
      <c r="C40" s="193">
        <v>1875</v>
      </c>
      <c r="D40" s="193">
        <v>445</v>
      </c>
      <c r="E40" s="193">
        <v>6664</v>
      </c>
      <c r="F40" s="193">
        <v>3867</v>
      </c>
      <c r="G40" s="193">
        <v>1004</v>
      </c>
      <c r="H40" s="193">
        <v>2396</v>
      </c>
      <c r="I40" s="193">
        <f>H40+G40+F40+E40+D40+C40</f>
        <v>16251</v>
      </c>
      <c r="J40" s="193">
        <f>B40-I40</f>
        <v>183450</v>
      </c>
      <c r="K40" s="193">
        <f t="shared" si="249"/>
        <v>174998</v>
      </c>
      <c r="L40" s="193">
        <v>8452</v>
      </c>
      <c r="M40" s="140">
        <f t="shared" si="217"/>
        <v>8.1376658103865282E-2</v>
      </c>
      <c r="N40" s="140">
        <f t="shared" si="250"/>
        <v>4.2323273293573896E-2</v>
      </c>
      <c r="O40" s="193">
        <v>2787900</v>
      </c>
      <c r="P40" s="32">
        <f t="shared" si="251"/>
        <v>7.1631335413752287E-2</v>
      </c>
      <c r="Q40" s="629">
        <f t="shared" si="218"/>
        <v>9.3890366097315481E-3</v>
      </c>
      <c r="R40" s="308">
        <f t="shared" si="219"/>
        <v>2.2283313553762875E-3</v>
      </c>
      <c r="S40" s="308">
        <f t="shared" si="220"/>
        <v>3.3369887982533888E-2</v>
      </c>
      <c r="T40" s="308">
        <f t="shared" si="221"/>
        <v>1.9363949103910347E-2</v>
      </c>
      <c r="U40" s="308">
        <f t="shared" si="222"/>
        <v>5.0275161366242537E-3</v>
      </c>
      <c r="V40" s="308">
        <f t="shared" si="223"/>
        <v>1.1997936915688954E-2</v>
      </c>
      <c r="W40" s="5">
        <v>114880</v>
      </c>
      <c r="X40" s="193">
        <v>5234</v>
      </c>
      <c r="Y40" s="76">
        <v>0</v>
      </c>
      <c r="Z40" s="76">
        <f t="shared" si="114"/>
        <v>5234</v>
      </c>
      <c r="AA40" s="193">
        <v>254</v>
      </c>
      <c r="AB40" s="66">
        <v>0</v>
      </c>
      <c r="AC40" s="274">
        <f t="shared" si="117"/>
        <v>254</v>
      </c>
      <c r="AD40" s="193">
        <v>6551</v>
      </c>
      <c r="AE40" s="357">
        <f>FT40/HA40</f>
        <v>250.42589910692735</v>
      </c>
      <c r="AF40" s="274">
        <f t="shared" si="119"/>
        <v>6300.5741008930727</v>
      </c>
      <c r="AG40" s="193">
        <v>3592</v>
      </c>
      <c r="AH40" s="357">
        <f>FX40/HC40</f>
        <v>50</v>
      </c>
      <c r="AI40" s="76">
        <f t="shared" si="287"/>
        <v>3542</v>
      </c>
      <c r="AJ40" s="193">
        <v>4359</v>
      </c>
      <c r="AK40" s="357">
        <f>(AK39+AK41)/2</f>
        <v>366.5</v>
      </c>
      <c r="AL40" s="274">
        <f t="shared" si="123"/>
        <v>3992.5</v>
      </c>
      <c r="AM40" s="193">
        <v>3961</v>
      </c>
      <c r="AN40" s="357">
        <f t="shared" si="360"/>
        <v>111.17173524150269</v>
      </c>
      <c r="AO40" s="274">
        <f t="shared" si="125"/>
        <v>3849.8282647584974</v>
      </c>
      <c r="AP40" s="193">
        <f t="shared" si="8"/>
        <v>23951</v>
      </c>
      <c r="AQ40" s="271">
        <f t="shared" si="9"/>
        <v>778.09763434843001</v>
      </c>
      <c r="AR40" s="271">
        <f t="shared" si="126"/>
        <v>23172.902365651567</v>
      </c>
      <c r="AS40" s="193">
        <f t="shared" si="259"/>
        <v>90929</v>
      </c>
      <c r="AT40" s="193">
        <f t="shared" si="224"/>
        <v>73780</v>
      </c>
      <c r="AU40" s="193">
        <v>17149</v>
      </c>
      <c r="AV40" s="193">
        <v>6887</v>
      </c>
      <c r="AW40" s="23">
        <f t="shared" si="289"/>
        <v>0.40159776080237913</v>
      </c>
      <c r="AX40" s="271">
        <f t="shared" si="227"/>
        <v>97731</v>
      </c>
      <c r="AY40" s="140">
        <f t="shared" si="10"/>
        <v>0.20848711699164346</v>
      </c>
      <c r="AZ40" s="623">
        <f t="shared" si="129"/>
        <v>0.20171398298791407</v>
      </c>
      <c r="BA40" s="248">
        <f t="shared" si="11"/>
        <v>0.23710902749026994</v>
      </c>
      <c r="BB40" s="248">
        <f t="shared" si="130"/>
        <v>5.3555166733175757E-2</v>
      </c>
      <c r="BC40" s="248">
        <f t="shared" si="131"/>
        <v>2.5989706439103252E-3</v>
      </c>
      <c r="BD40" s="248">
        <f t="shared" si="132"/>
        <v>6.4468532000010972E-2</v>
      </c>
      <c r="BE40" s="248">
        <f t="shared" si="133"/>
        <v>3.62423386642928E-2</v>
      </c>
      <c r="BF40" s="248">
        <f t="shared" si="134"/>
        <v>4.0851930298472339E-2</v>
      </c>
      <c r="BG40" s="248">
        <f t="shared" si="135"/>
        <v>3.9392089150407726E-2</v>
      </c>
      <c r="BH40" s="248">
        <f t="shared" si="136"/>
        <v>6.7067502643921292E-2</v>
      </c>
      <c r="BI40" s="23">
        <f t="shared" si="12"/>
        <v>0.17803972127574669</v>
      </c>
      <c r="BJ40" s="140">
        <f t="shared" si="13"/>
        <v>0.1492775069637883</v>
      </c>
      <c r="BK40" s="623">
        <f t="shared" si="137"/>
        <v>0.14250437296005891</v>
      </c>
      <c r="BL40" s="5">
        <v>-8213</v>
      </c>
      <c r="BM40" s="193">
        <v>-166</v>
      </c>
      <c r="BN40" s="193">
        <v>-9</v>
      </c>
      <c r="BO40" s="193">
        <v>-990</v>
      </c>
      <c r="BP40" s="193">
        <v>-1258</v>
      </c>
      <c r="BQ40" s="193">
        <v>-2431</v>
      </c>
      <c r="BR40" s="193">
        <v>-28</v>
      </c>
      <c r="BS40" s="193">
        <f>BR40+BQ40+BP40+BO40+BN40+BM40</f>
        <v>-4882</v>
      </c>
      <c r="BT40" s="193">
        <f t="shared" si="365"/>
        <v>-3331</v>
      </c>
      <c r="BU40" s="193">
        <f t="shared" ref="BU40:BU61" si="373">BT40-BV40</f>
        <v>-4371</v>
      </c>
      <c r="BV40" s="193">
        <v>1040</v>
      </c>
      <c r="BW40" s="5">
        <f t="shared" si="262"/>
        <v>76079</v>
      </c>
      <c r="BX40" s="193">
        <f t="shared" si="263"/>
        <v>4614</v>
      </c>
      <c r="BY40" s="193">
        <f t="shared" si="148"/>
        <v>0</v>
      </c>
      <c r="BZ40" s="647">
        <f t="shared" si="149"/>
        <v>6.0647484851273019E-2</v>
      </c>
      <c r="CA40" s="193">
        <f t="shared" si="264"/>
        <v>174</v>
      </c>
      <c r="CB40" s="193">
        <f t="shared" si="151"/>
        <v>0</v>
      </c>
      <c r="CC40" s="647">
        <f t="shared" si="14"/>
        <v>2.2870963077853282E-3</v>
      </c>
      <c r="CD40" s="193">
        <f t="shared" si="265"/>
        <v>4830</v>
      </c>
      <c r="CE40" s="193">
        <f t="shared" si="153"/>
        <v>129.42589910692735</v>
      </c>
      <c r="CF40" s="655">
        <f t="shared" si="15"/>
        <v>6.1785434888643027E-2</v>
      </c>
      <c r="CG40" s="193">
        <f t="shared" si="266"/>
        <v>2969</v>
      </c>
      <c r="CH40" s="193">
        <f t="shared" si="155"/>
        <v>45</v>
      </c>
      <c r="CI40" s="23">
        <f t="shared" si="16"/>
        <v>3.8433733356116669E-2</v>
      </c>
      <c r="CJ40" s="193">
        <f t="shared" si="267"/>
        <v>3840</v>
      </c>
      <c r="CK40" s="641">
        <f t="shared" si="157"/>
        <v>176.5</v>
      </c>
      <c r="CL40" s="34">
        <f t="shared" si="158"/>
        <v>4.8153892664204313E-2</v>
      </c>
      <c r="CM40" s="193">
        <f t="shared" si="268"/>
        <v>3511</v>
      </c>
      <c r="CN40" s="193">
        <f t="shared" si="160"/>
        <v>100.05456171735241</v>
      </c>
      <c r="CO40" s="23">
        <f t="shared" si="161"/>
        <v>4.483425699973248E-2</v>
      </c>
      <c r="CP40" s="193">
        <f t="shared" si="17"/>
        <v>19938</v>
      </c>
      <c r="CQ40" s="193">
        <f t="shared" si="162"/>
        <v>450.9804608242797</v>
      </c>
      <c r="CR40" s="193">
        <f t="shared" si="18"/>
        <v>56141</v>
      </c>
      <c r="CS40" s="248">
        <f t="shared" si="163"/>
        <v>0.25614189906775481</v>
      </c>
      <c r="CT40" s="30">
        <f t="shared" si="19"/>
        <v>0.26206969071622921</v>
      </c>
      <c r="CU40" s="308">
        <f t="shared" si="20"/>
        <v>0</v>
      </c>
      <c r="CV40" s="608">
        <f t="shared" si="269"/>
        <v>6.0647484851273019E-2</v>
      </c>
      <c r="CW40" s="608">
        <f t="shared" si="270"/>
        <v>2.2870963077853282E-3</v>
      </c>
      <c r="CX40" s="608">
        <f t="shared" si="271"/>
        <v>6.3486638888523766E-2</v>
      </c>
      <c r="CY40" s="608">
        <f t="shared" si="272"/>
        <v>3.9025223780543905E-2</v>
      </c>
      <c r="CZ40" s="608">
        <f t="shared" si="327"/>
        <v>5.0473849551124488E-2</v>
      </c>
      <c r="DA40" s="608">
        <f>'Assets(BoP)'!FK87</f>
        <v>6.1837304285087699E-2</v>
      </c>
      <c r="DB40" s="608">
        <f t="shared" si="273"/>
        <v>4.6149397336978669E-2</v>
      </c>
      <c r="DC40" s="23">
        <f t="shared" si="21"/>
        <v>0.28991638209913889</v>
      </c>
      <c r="DD40" s="193">
        <f t="shared" si="22"/>
        <v>67216</v>
      </c>
      <c r="DE40" s="193">
        <f t="shared" si="274"/>
        <v>8863</v>
      </c>
      <c r="DF40" s="193"/>
      <c r="DG40" s="193">
        <f>'Assets(BoP)'!DA87</f>
        <v>0</v>
      </c>
      <c r="DH40" s="23">
        <f t="shared" si="23"/>
        <v>0.11649732514885842</v>
      </c>
      <c r="DI40" s="23"/>
      <c r="DJ40" s="23">
        <f t="shared" si="24"/>
        <v>0.19858305182770541</v>
      </c>
      <c r="DK40" s="600">
        <f>'Assets(BoP)'!FO87-'Assets(BoP)'!FH87</f>
        <v>0.18203739056992296</v>
      </c>
      <c r="DL40" s="576">
        <f t="shared" si="25"/>
        <v>0.57526001372051216</v>
      </c>
      <c r="DM40" s="251">
        <f t="shared" si="26"/>
        <v>2.7914666666666665</v>
      </c>
      <c r="DN40" s="251">
        <f t="shared" si="27"/>
        <v>2.7914666666666665</v>
      </c>
      <c r="DO40" s="251">
        <f t="shared" si="28"/>
        <v>0.57078651685393256</v>
      </c>
      <c r="DP40" s="251">
        <f t="shared" si="29"/>
        <v>0.57078651685393256</v>
      </c>
      <c r="DQ40" s="251">
        <f t="shared" si="30"/>
        <v>0.98304321728691479</v>
      </c>
      <c r="DR40" s="251">
        <f t="shared" si="31"/>
        <v>0.96330570678457716</v>
      </c>
      <c r="DS40" s="251">
        <f t="shared" si="32"/>
        <v>0.92888544091026637</v>
      </c>
      <c r="DT40" s="251">
        <f t="shared" si="33"/>
        <v>0.92182997288177337</v>
      </c>
      <c r="DU40" s="251">
        <f t="shared" si="34"/>
        <v>4.3416334661354581</v>
      </c>
      <c r="DV40" s="251">
        <f t="shared" si="35"/>
        <v>4.8489860578707926</v>
      </c>
      <c r="DW40" s="251">
        <f t="shared" si="36"/>
        <v>1.6531719532554257</v>
      </c>
      <c r="DX40" s="251">
        <f t="shared" si="37"/>
        <v>1.644376677807998</v>
      </c>
      <c r="DY40" s="251">
        <f t="shared" si="38"/>
        <v>0.95723730482486991</v>
      </c>
      <c r="DZ40" s="251">
        <f t="shared" si="39"/>
        <v>0.93830117720245654</v>
      </c>
      <c r="EA40" s="643">
        <f t="shared" si="40"/>
        <v>1.4738169958771767</v>
      </c>
      <c r="EB40" s="643">
        <f t="shared" si="41"/>
        <v>1.4603994778673741</v>
      </c>
      <c r="EC40" s="251">
        <f t="shared" si="42"/>
        <v>0.49566094303624963</v>
      </c>
      <c r="ED40" s="251">
        <f t="shared" si="43"/>
        <v>0.51101443667679303</v>
      </c>
      <c r="EE40" s="140">
        <f t="shared" si="44"/>
        <v>0.42160481834078106</v>
      </c>
      <c r="EF40" s="1342">
        <v>0.23206331670187852</v>
      </c>
      <c r="EG40" s="140">
        <f t="shared" si="228"/>
        <v>2.0289872219592997</v>
      </c>
      <c r="EH40" s="583">
        <v>17.016679687499998</v>
      </c>
      <c r="EI40" s="1344">
        <v>1.4295798627481797</v>
      </c>
      <c r="EJ40" s="576">
        <f t="shared" si="166"/>
        <v>0.38096454199027546</v>
      </c>
      <c r="EK40" s="753">
        <f t="shared" si="167"/>
        <v>1.2317238155806718</v>
      </c>
      <c r="EL40" s="753">
        <f t="shared" si="168"/>
        <v>1.0486275437766208</v>
      </c>
      <c r="EM40" s="753">
        <f t="shared" si="169"/>
        <v>0.27016308757814372</v>
      </c>
      <c r="EN40" s="583"/>
      <c r="EO40" s="5">
        <v>108662</v>
      </c>
      <c r="EP40" s="193"/>
      <c r="EQ40" s="193"/>
      <c r="ER40" s="193"/>
      <c r="ES40" s="193"/>
      <c r="ET40" s="193"/>
      <c r="EU40" s="193"/>
      <c r="EV40" s="193"/>
      <c r="EW40" s="193"/>
      <c r="EX40" s="193"/>
      <c r="EY40" s="193"/>
      <c r="EZ40" s="193"/>
      <c r="FA40" s="193"/>
      <c r="FB40" s="193"/>
      <c r="FC40" s="193"/>
      <c r="FD40" s="193"/>
      <c r="FE40" s="193"/>
      <c r="FF40" s="193"/>
      <c r="FG40" s="193"/>
      <c r="FH40" s="193"/>
      <c r="FI40" s="193"/>
      <c r="FJ40" s="5">
        <v>38801</v>
      </c>
      <c r="FK40" s="143">
        <f>FJ40/'Assets(BoP)'!AV87/1000</f>
        <v>1.2544778532169414</v>
      </c>
      <c r="FL40" s="192"/>
      <c r="FM40" s="193">
        <v>620</v>
      </c>
      <c r="FN40" s="66">
        <f t="shared" ref="FN40:FN60" si="374">FM40*FO40</f>
        <v>0</v>
      </c>
      <c r="FO40" s="184">
        <f>FO39</f>
        <v>0</v>
      </c>
      <c r="FP40" s="193">
        <v>80</v>
      </c>
      <c r="FQ40" s="66">
        <f t="shared" ref="FQ40:FQ60" si="375">FP40*FR40</f>
        <v>0</v>
      </c>
      <c r="FR40" s="184">
        <v>0</v>
      </c>
      <c r="FS40" s="193">
        <v>1721</v>
      </c>
      <c r="FT40" s="66">
        <v>121</v>
      </c>
      <c r="FU40" s="193">
        <f t="shared" si="175"/>
        <v>1600</v>
      </c>
      <c r="FV40" s="23">
        <f t="shared" ref="FV40:FV61" si="376">FT40/FS40</f>
        <v>7.0307960488088322E-2</v>
      </c>
      <c r="FW40" s="193">
        <v>623</v>
      </c>
      <c r="FX40" s="66">
        <v>5</v>
      </c>
      <c r="FY40" s="23">
        <f>FX40/FW40</f>
        <v>8.0256821829855531E-3</v>
      </c>
      <c r="FZ40" s="193">
        <v>519</v>
      </c>
      <c r="GA40" s="271">
        <v>190</v>
      </c>
      <c r="GB40" s="193">
        <f t="shared" si="180"/>
        <v>329</v>
      </c>
      <c r="GC40" s="23">
        <f t="shared" si="366"/>
        <v>0.36608863198458574</v>
      </c>
      <c r="GD40" s="193">
        <v>450</v>
      </c>
      <c r="GE40" s="66">
        <f>GE39*GK40/GK39</f>
        <v>11.117173524150269</v>
      </c>
      <c r="GF40" s="23">
        <f t="shared" ref="GF40:GF61" si="377">GE40/GD40</f>
        <v>2.4704830053667266E-2</v>
      </c>
      <c r="GG40" s="193">
        <f t="shared" si="47"/>
        <v>4013</v>
      </c>
      <c r="GH40" s="193">
        <f t="shared" si="48"/>
        <v>327.11717352415025</v>
      </c>
      <c r="GI40" s="193">
        <f t="shared" si="49"/>
        <v>34788</v>
      </c>
      <c r="GJ40" s="23">
        <f t="shared" si="50"/>
        <v>0.1034251694543955</v>
      </c>
      <c r="GK40" s="330">
        <v>8286</v>
      </c>
      <c r="GL40" s="330">
        <v>3437</v>
      </c>
      <c r="GM40" s="23">
        <f>GK40/'Assets(BoP)'!AW87/1000</f>
        <v>1.1410702321514186</v>
      </c>
      <c r="GN40" s="23">
        <f t="shared" si="51"/>
        <v>0.21355119713409448</v>
      </c>
      <c r="GO40" s="330">
        <f t="shared" si="275"/>
        <v>30515</v>
      </c>
      <c r="GP40" s="23">
        <f>GO40/('Assets(BoP)'!AV87-'Assets(BoP)'!AW87)/1000</f>
        <v>1.289271981797099</v>
      </c>
      <c r="GQ40" s="330">
        <f t="shared" si="52"/>
        <v>26502</v>
      </c>
      <c r="GR40" s="330">
        <v>1458.155</v>
      </c>
      <c r="GS40" s="140">
        <f t="shared" si="53"/>
        <v>0.33674481408629348</v>
      </c>
      <c r="GT40" s="582">
        <v>0.79197763610322458</v>
      </c>
      <c r="GU40" s="576">
        <f t="shared" si="54"/>
        <v>0.33775243732590532</v>
      </c>
      <c r="GV40" s="589">
        <f t="shared" si="276"/>
        <v>0.11845624761176921</v>
      </c>
      <c r="GW40" s="589"/>
      <c r="GX40" s="589">
        <f t="shared" si="277"/>
        <v>0.31496062992125984</v>
      </c>
      <c r="GY40" s="589"/>
      <c r="GZ40" s="589">
        <f t="shared" si="308"/>
        <v>0.26270798351396735</v>
      </c>
      <c r="HA40" s="56">
        <f>HJ40</f>
        <v>0.48317686162458451</v>
      </c>
      <c r="HB40" s="589">
        <f t="shared" si="278"/>
        <v>0.17344097995545657</v>
      </c>
      <c r="HC40" s="56">
        <v>0.1</v>
      </c>
      <c r="HD40" s="589">
        <f t="shared" si="279"/>
        <v>0.11906400550584996</v>
      </c>
      <c r="HE40" s="589">
        <f>GA40/AK40</f>
        <v>0.51841746248294684</v>
      </c>
      <c r="HF40" s="589">
        <f t="shared" si="309"/>
        <v>0.11360767482958849</v>
      </c>
      <c r="HG40" s="56">
        <v>0.1</v>
      </c>
      <c r="HH40" s="6">
        <f t="shared" si="57"/>
        <v>0.16755041543150598</v>
      </c>
      <c r="HI40" s="6">
        <f t="shared" si="58"/>
        <v>0.15906004212658803</v>
      </c>
      <c r="HJ40" s="23">
        <f t="shared" si="280"/>
        <v>0.48317686162458451</v>
      </c>
      <c r="HK40" s="23">
        <f t="shared" si="280"/>
        <v>0.49905619282706548</v>
      </c>
      <c r="HL40" s="23">
        <f t="shared" si="281"/>
        <v>0.47251997661274603</v>
      </c>
      <c r="HM40" s="31">
        <f t="shared" si="282"/>
        <v>0.31223460314536838</v>
      </c>
      <c r="HN40" s="23">
        <f t="shared" si="60"/>
        <v>0.38258421405712151</v>
      </c>
      <c r="HO40" s="23">
        <f t="shared" si="61"/>
        <v>0.35920303605313092</v>
      </c>
      <c r="HP40" s="575">
        <v>33058</v>
      </c>
      <c r="HQ40" s="193"/>
      <c r="HR40" s="193"/>
      <c r="HS40" s="193"/>
      <c r="HT40" s="193"/>
      <c r="HU40" s="193"/>
      <c r="HV40" s="193"/>
      <c r="HW40" s="193"/>
      <c r="HX40" s="193"/>
      <c r="HY40" s="193"/>
      <c r="HZ40" s="193"/>
      <c r="IA40" s="193"/>
      <c r="IB40" s="193"/>
      <c r="IC40" s="193"/>
      <c r="ID40" s="193"/>
      <c r="IE40" s="193"/>
      <c r="IF40" s="193"/>
      <c r="IG40" s="193"/>
      <c r="IH40" s="193"/>
      <c r="II40" s="193"/>
      <c r="IJ40" s="193"/>
      <c r="IK40" s="193"/>
      <c r="IL40" s="193"/>
      <c r="IM40" s="575">
        <v>1239</v>
      </c>
      <c r="IN40" s="193"/>
      <c r="IO40" s="193"/>
      <c r="IP40" s="193"/>
      <c r="IQ40" s="193"/>
      <c r="IR40" s="193"/>
      <c r="IS40" s="193"/>
      <c r="IT40" s="193"/>
      <c r="IU40" s="193"/>
      <c r="IV40" s="193"/>
      <c r="IW40" s="193"/>
      <c r="IX40" s="149">
        <f t="shared" si="63"/>
        <v>553735</v>
      </c>
      <c r="IY40" s="316">
        <f t="shared" si="64"/>
        <v>16810</v>
      </c>
      <c r="IZ40" s="316">
        <f t="shared" si="65"/>
        <v>3538</v>
      </c>
      <c r="JA40" s="316">
        <f t="shared" si="66"/>
        <v>27470</v>
      </c>
      <c r="JB40" s="316">
        <f t="shared" si="67"/>
        <v>22371</v>
      </c>
      <c r="JC40" s="316">
        <f t="shared" si="68"/>
        <v>48883</v>
      </c>
      <c r="JD40" s="316">
        <f t="shared" si="69"/>
        <v>15341</v>
      </c>
      <c r="JE40" s="316">
        <f t="shared" si="70"/>
        <v>134413</v>
      </c>
      <c r="JF40" s="316">
        <f t="shared" si="71"/>
        <v>419322</v>
      </c>
      <c r="JG40" s="316">
        <f t="shared" si="72"/>
        <v>362500</v>
      </c>
      <c r="JH40" s="316">
        <f t="shared" si="73"/>
        <v>56822</v>
      </c>
      <c r="JI40" s="5">
        <v>795789</v>
      </c>
      <c r="JJ40" s="593">
        <v>24952</v>
      </c>
      <c r="JK40" s="593">
        <v>9903</v>
      </c>
      <c r="JL40" s="536">
        <v>62178</v>
      </c>
      <c r="JM40" s="536">
        <v>42478</v>
      </c>
      <c r="JN40" s="536">
        <v>72905</v>
      </c>
      <c r="JO40" s="536">
        <v>19043</v>
      </c>
      <c r="JP40" s="552">
        <f t="shared" si="74"/>
        <v>231459</v>
      </c>
      <c r="JQ40" s="552">
        <f t="shared" si="75"/>
        <v>564330</v>
      </c>
      <c r="JR40" s="552">
        <f t="shared" si="76"/>
        <v>495024</v>
      </c>
      <c r="JS40" s="593">
        <v>69306</v>
      </c>
      <c r="JT40" s="149">
        <v>242054</v>
      </c>
      <c r="JU40" s="593">
        <v>8142</v>
      </c>
      <c r="JV40" s="536">
        <v>6365</v>
      </c>
      <c r="JW40" s="536">
        <v>34708</v>
      </c>
      <c r="JX40" s="536">
        <v>20107</v>
      </c>
      <c r="JY40" s="536">
        <v>24022</v>
      </c>
      <c r="JZ40" s="536">
        <v>3702</v>
      </c>
      <c r="KA40" s="552">
        <f t="shared" ref="KA40" si="378">JU40+JV40+JW40+JX40+JY40+JZ40</f>
        <v>97046</v>
      </c>
      <c r="KB40" s="552">
        <f t="shared" ref="KB40" si="379">JT40-KA40</f>
        <v>145008</v>
      </c>
      <c r="KC40" s="552">
        <f t="shared" si="369"/>
        <v>132524</v>
      </c>
      <c r="KD40" s="593">
        <v>12484</v>
      </c>
      <c r="KE40" s="149">
        <v>391512</v>
      </c>
      <c r="KF40">
        <v>4514</v>
      </c>
      <c r="KG40">
        <v>818</v>
      </c>
      <c r="KH40">
        <v>12269</v>
      </c>
      <c r="KI40">
        <v>3448</v>
      </c>
      <c r="KJ40">
        <v>4532</v>
      </c>
      <c r="KK40">
        <v>6640</v>
      </c>
      <c r="KL40" s="552">
        <f t="shared" ref="KL40" si="380">KF40+KG40+KH40+KI40+KJ40+KK40</f>
        <v>32221</v>
      </c>
      <c r="KM40" s="552">
        <f t="shared" ref="KM40" si="381">KE40-KL40</f>
        <v>359291</v>
      </c>
      <c r="KN40" s="552">
        <f t="shared" si="372"/>
        <v>254780</v>
      </c>
      <c r="KO40">
        <v>104511</v>
      </c>
      <c r="KP40" s="149">
        <v>141467</v>
      </c>
      <c r="KZ40">
        <v>41659</v>
      </c>
      <c r="LA40" s="149">
        <f>'Assets(MOFA)'!IX40-'Assets(MOFA)'!KE40-'Assets(MOFA)'!KP40</f>
        <v>20756</v>
      </c>
      <c r="LB40" s="552">
        <f>'Assets(MOFA)'!IY40-'Assets(MOFA)'!KF40-'Assets(MOFA)'!KQ40</f>
        <v>12296</v>
      </c>
      <c r="LC40" s="552">
        <f>'Assets(MOFA)'!IZ40-'Assets(MOFA)'!KG40-'Assets(MOFA)'!KR40</f>
        <v>2720</v>
      </c>
      <c r="LD40" s="552">
        <f>'Assets(MOFA)'!JA40-'Assets(MOFA)'!KH40-'Assets(MOFA)'!KS40</f>
        <v>15201</v>
      </c>
      <c r="LE40" s="552">
        <f>'Assets(MOFA)'!JB40-'Assets(MOFA)'!KI40-'Assets(MOFA)'!KT40</f>
        <v>18923</v>
      </c>
      <c r="LF40" s="552">
        <f>'Assets(MOFA)'!JC40-'Assets(MOFA)'!KJ40-'Assets(MOFA)'!KU40</f>
        <v>44351</v>
      </c>
      <c r="LG40" s="552">
        <f>'Assets(MOFA)'!JD40-'Assets(MOFA)'!KK40-'Assets(MOFA)'!KV40</f>
        <v>8701</v>
      </c>
      <c r="LH40" s="552">
        <f>'Assets(MOFA)'!JE40-'Assets(MOFA)'!KL40-'Assets(MOFA)'!KW40</f>
        <v>102192</v>
      </c>
      <c r="LI40" s="552">
        <f>'Assets(MOFA)'!JF40-'Assets(MOFA)'!KM40-'Assets(MOFA)'!KX40</f>
        <v>60031</v>
      </c>
      <c r="LJ40" s="552">
        <f t="shared" si="77"/>
        <v>149379</v>
      </c>
      <c r="LK40" s="552">
        <f>'Assets(MOFA)'!JH40-'Assets(MOFA)'!KO40-'Assets(MOFA)'!KZ40</f>
        <v>-89348</v>
      </c>
      <c r="LL40" s="576">
        <f t="shared" si="78"/>
        <v>0.2074638590661598</v>
      </c>
      <c r="LM40" s="6">
        <f t="shared" si="79"/>
        <v>0.31136228435455088</v>
      </c>
      <c r="LN40" s="6">
        <f t="shared" si="80"/>
        <v>7.1791972866025996E-2</v>
      </c>
      <c r="LO40" s="6">
        <f t="shared" si="81"/>
        <v>0.23847834000728066</v>
      </c>
      <c r="LP40" s="6">
        <f t="shared" si="82"/>
        <v>0.16056501720978053</v>
      </c>
      <c r="LQ40" s="6">
        <f t="shared" si="83"/>
        <v>8.9172104821717155E-2</v>
      </c>
      <c r="LR40" s="6">
        <f t="shared" si="84"/>
        <v>0.25819698846229061</v>
      </c>
      <c r="LS40" s="6">
        <f t="shared" si="85"/>
        <v>0.17818960963597272</v>
      </c>
      <c r="LT40" s="143">
        <f t="shared" si="86"/>
        <v>0.23452918088111221</v>
      </c>
      <c r="LU40" s="62">
        <f t="shared" si="87"/>
        <v>0.13974039628994506</v>
      </c>
      <c r="LV40" s="902">
        <f t="shared" si="88"/>
        <v>0.21684767314855885</v>
      </c>
      <c r="LW40" s="902">
        <f t="shared" si="89"/>
        <v>0.20353103448275861</v>
      </c>
      <c r="LX40" s="143">
        <f t="shared" si="90"/>
        <v>0.30180211889761011</v>
      </c>
      <c r="LY40" s="576">
        <f t="shared" si="91"/>
        <v>0.20970139145981381</v>
      </c>
      <c r="LZ40" s="906">
        <f t="shared" si="92"/>
        <v>0.31136228435455088</v>
      </c>
      <c r="MA40" s="906">
        <f t="shared" si="93"/>
        <v>7.1791972866025996E-2</v>
      </c>
      <c r="MB40" s="906">
        <f t="shared" si="94"/>
        <v>0.23847834000728066</v>
      </c>
      <c r="MC40" s="906">
        <f t="shared" si="95"/>
        <v>0.16056501720978053</v>
      </c>
      <c r="MD40" s="906">
        <f t="shared" si="96"/>
        <v>8.9172104821717155E-2</v>
      </c>
      <c r="ME40" s="906">
        <v>6.1610529375296846E-2</v>
      </c>
      <c r="MF40" s="906">
        <f t="shared" si="97"/>
        <v>0.25819698846229061</v>
      </c>
      <c r="MG40" s="30">
        <f t="shared" si="98"/>
        <v>0.17818960963597272</v>
      </c>
      <c r="MH40" s="140">
        <f t="shared" si="99"/>
        <v>0.23452918088111221</v>
      </c>
      <c r="MI40" s="30">
        <f t="shared" si="100"/>
        <v>0.13974039628994506</v>
      </c>
      <c r="MJ40" s="30">
        <f t="shared" si="101"/>
        <v>0.21684767314855885</v>
      </c>
      <c r="MK40" s="617">
        <f t="shared" si="102"/>
        <v>0.20353103448275861</v>
      </c>
      <c r="ML40" s="615">
        <f t="shared" si="103"/>
        <v>0.30180211889761011</v>
      </c>
      <c r="MM40" s="574"/>
      <c r="MX40" s="613"/>
      <c r="MY40" s="552"/>
      <c r="MZ40" s="552"/>
      <c r="NA40" s="552"/>
      <c r="NB40" s="552"/>
      <c r="NC40" s="552"/>
      <c r="ND40" s="552"/>
      <c r="NE40" s="552"/>
      <c r="NF40" s="552"/>
      <c r="NG40" s="552"/>
      <c r="NH40" s="552"/>
      <c r="NI40" s="613">
        <f t="shared" si="364"/>
        <v>199701</v>
      </c>
      <c r="PN40" s="574"/>
      <c r="PO40" s="593"/>
      <c r="PP40" s="593"/>
      <c r="PQ40" s="593"/>
      <c r="PR40" s="593"/>
      <c r="PS40" s="593"/>
      <c r="PT40" s="593"/>
      <c r="PU40" s="593"/>
      <c r="PV40" s="593"/>
      <c r="PW40" s="593"/>
      <c r="PX40" s="593"/>
      <c r="PY40" s="593"/>
      <c r="PZ40" s="593"/>
      <c r="QA40" s="593"/>
      <c r="QB40" s="593"/>
      <c r="QC40" s="593"/>
      <c r="QD40" s="593"/>
      <c r="QE40" s="593"/>
      <c r="QF40" s="593"/>
      <c r="QG40" s="593"/>
      <c r="QH40" s="593"/>
      <c r="QI40" s="593"/>
      <c r="QJ40" s="593"/>
      <c r="QK40" s="593"/>
      <c r="QL40" s="593"/>
      <c r="QM40" s="593"/>
      <c r="QN40" s="593"/>
      <c r="QO40" s="593"/>
      <c r="QP40" s="593"/>
      <c r="QQ40" s="593"/>
      <c r="QR40" s="593"/>
      <c r="QS40" s="593"/>
      <c r="QT40" s="593"/>
      <c r="QU40" s="593"/>
      <c r="QV40" s="593"/>
      <c r="QW40" s="593"/>
      <c r="QX40" s="593"/>
      <c r="QY40" s="593"/>
      <c r="QZ40" s="593"/>
      <c r="RA40" s="593"/>
      <c r="RB40" s="593"/>
      <c r="RC40" s="593"/>
      <c r="RD40" s="593"/>
      <c r="RE40" s="593"/>
      <c r="RF40" s="593"/>
      <c r="RG40" s="593"/>
      <c r="RH40" s="593"/>
      <c r="RI40" s="593"/>
      <c r="RJ40" s="593"/>
      <c r="RK40" s="593"/>
      <c r="RL40" s="593"/>
      <c r="RM40" s="593"/>
      <c r="RN40" s="593"/>
      <c r="RO40" s="593"/>
      <c r="RP40" s="593"/>
      <c r="RQ40" s="593"/>
      <c r="RR40" s="593"/>
    </row>
    <row r="41" spans="1:486">
      <c r="A41" s="568">
        <v>1996</v>
      </c>
      <c r="B41" s="33">
        <v>210744</v>
      </c>
      <c r="C41" s="193">
        <v>1887</v>
      </c>
      <c r="D41" s="193">
        <v>430</v>
      </c>
      <c r="E41" s="193">
        <v>7212</v>
      </c>
      <c r="F41" s="193">
        <v>3980</v>
      </c>
      <c r="G41" s="193">
        <v>1071</v>
      </c>
      <c r="H41" s="193">
        <v>2737</v>
      </c>
      <c r="I41" s="193">
        <f>H41+G41+F41+E41+D41+C41</f>
        <v>17317</v>
      </c>
      <c r="J41" s="193">
        <f>B41-I41</f>
        <v>193427</v>
      </c>
      <c r="K41" s="193">
        <f t="shared" si="249"/>
        <v>184582</v>
      </c>
      <c r="L41" s="193">
        <v>8845</v>
      </c>
      <c r="M41" s="140">
        <f t="shared" si="217"/>
        <v>8.2170785407888247E-2</v>
      </c>
      <c r="N41" s="140">
        <f t="shared" si="250"/>
        <v>4.1970352655354363E-2</v>
      </c>
      <c r="O41" s="193">
        <v>2953700</v>
      </c>
      <c r="P41" s="32">
        <f t="shared" si="251"/>
        <v>7.1349155296746458E-2</v>
      </c>
      <c r="Q41" s="629">
        <f t="shared" si="218"/>
        <v>8.9539915727138136E-3</v>
      </c>
      <c r="R41" s="308">
        <f t="shared" si="219"/>
        <v>2.0403902364954638E-3</v>
      </c>
      <c r="S41" s="308">
        <f t="shared" si="220"/>
        <v>3.4221614850244844E-2</v>
      </c>
      <c r="T41" s="308">
        <f t="shared" si="221"/>
        <v>1.8885472421516152E-2</v>
      </c>
      <c r="U41" s="308">
        <f t="shared" si="222"/>
        <v>5.0819952169456782E-3</v>
      </c>
      <c r="V41" s="308">
        <f t="shared" si="223"/>
        <v>1.2987321109972288E-2</v>
      </c>
      <c r="W41" s="5">
        <v>130287</v>
      </c>
      <c r="X41" s="193">
        <v>5671</v>
      </c>
      <c r="Y41" s="76">
        <v>0</v>
      </c>
      <c r="Z41" s="76">
        <f t="shared" si="114"/>
        <v>5671</v>
      </c>
      <c r="AA41" s="193">
        <v>468</v>
      </c>
      <c r="AB41" s="66">
        <v>0</v>
      </c>
      <c r="AC41" s="274">
        <f t="shared" si="117"/>
        <v>468</v>
      </c>
      <c r="AD41" s="193">
        <v>5811</v>
      </c>
      <c r="AE41" s="357">
        <f>FT41/HA41</f>
        <v>262.3854192380482</v>
      </c>
      <c r="AF41" s="274">
        <f t="shared" si="119"/>
        <v>5548.6145807619514</v>
      </c>
      <c r="AG41" s="193">
        <v>2956</v>
      </c>
      <c r="AH41" s="357">
        <f t="shared" ref="AH41:AH60" si="382">FX41/HC41</f>
        <v>360</v>
      </c>
      <c r="AI41" s="76">
        <f t="shared" si="287"/>
        <v>2596</v>
      </c>
      <c r="AJ41" s="193">
        <v>4902</v>
      </c>
      <c r="AK41" s="274">
        <v>457</v>
      </c>
      <c r="AL41" s="274">
        <f t="shared" si="123"/>
        <v>4445</v>
      </c>
      <c r="AM41" s="193">
        <v>5897</v>
      </c>
      <c r="AN41" s="357">
        <f t="shared" si="360"/>
        <v>163.05456171735244</v>
      </c>
      <c r="AO41" s="274">
        <f t="shared" si="125"/>
        <v>5733.945438282648</v>
      </c>
      <c r="AP41" s="193">
        <f t="shared" si="8"/>
        <v>25705</v>
      </c>
      <c r="AQ41" s="271">
        <f t="shared" si="9"/>
        <v>1242.4399809554006</v>
      </c>
      <c r="AR41" s="271">
        <f t="shared" si="126"/>
        <v>24462.560019044598</v>
      </c>
      <c r="AS41" s="193">
        <f t="shared" si="259"/>
        <v>104582</v>
      </c>
      <c r="AT41" s="193">
        <f t="shared" si="224"/>
        <v>80053</v>
      </c>
      <c r="AU41" s="193">
        <v>24529</v>
      </c>
      <c r="AV41" s="193">
        <v>8244</v>
      </c>
      <c r="AW41" s="23">
        <f t="shared" si="289"/>
        <v>0.33609197276692893</v>
      </c>
      <c r="AX41" s="271">
        <f t="shared" si="227"/>
        <v>105758</v>
      </c>
      <c r="AY41" s="140">
        <f t="shared" si="10"/>
        <v>0.19729520213068072</v>
      </c>
      <c r="AZ41" s="623">
        <f t="shared" si="129"/>
        <v>0.18775902445404835</v>
      </c>
      <c r="BA41" s="248">
        <f t="shared" si="11"/>
        <v>0.23130694622671191</v>
      </c>
      <c r="BB41" s="248">
        <f t="shared" si="130"/>
        <v>5.3622420998884243E-2</v>
      </c>
      <c r="BC41" s="248">
        <f t="shared" si="131"/>
        <v>4.425197148206282E-3</v>
      </c>
      <c r="BD41" s="248">
        <f t="shared" si="132"/>
        <v>5.2465199613853812E-2</v>
      </c>
      <c r="BE41" s="248">
        <f t="shared" si="133"/>
        <v>2.4546606403298095E-2</v>
      </c>
      <c r="BF41" s="248">
        <f t="shared" si="134"/>
        <v>4.2029917358497704E-2</v>
      </c>
      <c r="BG41" s="248">
        <f t="shared" si="135"/>
        <v>5.4217604703971786E-2</v>
      </c>
      <c r="BH41" s="248">
        <f t="shared" si="136"/>
        <v>5.6890396762060091E-2</v>
      </c>
      <c r="BI41" s="23">
        <f t="shared" si="12"/>
        <v>0.18810870099661492</v>
      </c>
      <c r="BJ41" s="140">
        <f t="shared" si="13"/>
        <v>0.18826897541581278</v>
      </c>
      <c r="BK41" s="623">
        <f t="shared" si="137"/>
        <v>0.17873279773918041</v>
      </c>
      <c r="BL41" s="5">
        <v>-7598</v>
      </c>
      <c r="BM41" s="66">
        <f>9288-1887-5671-563-1453/8950*9288</f>
        <v>-340.87307262569834</v>
      </c>
      <c r="BN41" s="193">
        <v>7</v>
      </c>
      <c r="BO41" s="193">
        <v>-1411</v>
      </c>
      <c r="BP41" s="193">
        <v>-745</v>
      </c>
      <c r="BQ41" s="193">
        <v>-2592</v>
      </c>
      <c r="BR41" s="193">
        <v>-55</v>
      </c>
      <c r="BS41" s="193">
        <f>BR41+BQ41+BP41+BO41+BN41+BM41</f>
        <v>-5136.8730726256981</v>
      </c>
      <c r="BT41" s="193">
        <f t="shared" si="365"/>
        <v>-2461.1269273743019</v>
      </c>
      <c r="BU41" s="193">
        <f t="shared" si="373"/>
        <v>-3507.1269273743019</v>
      </c>
      <c r="BV41" s="193">
        <v>1046</v>
      </c>
      <c r="BW41" s="5">
        <f t="shared" si="262"/>
        <v>85095</v>
      </c>
      <c r="BX41" s="193">
        <f t="shared" si="263"/>
        <v>5030</v>
      </c>
      <c r="BY41" s="193">
        <f t="shared" si="148"/>
        <v>0</v>
      </c>
      <c r="BZ41" s="647">
        <f t="shared" si="149"/>
        <v>5.9110406016804749E-2</v>
      </c>
      <c r="CA41" s="193">
        <f t="shared" si="264"/>
        <v>361</v>
      </c>
      <c r="CB41" s="193">
        <f t="shared" si="151"/>
        <v>0</v>
      </c>
      <c r="CC41" s="647">
        <f t="shared" si="14"/>
        <v>4.2423174099535813E-3</v>
      </c>
      <c r="CD41" s="193">
        <f t="shared" si="265"/>
        <v>3917</v>
      </c>
      <c r="CE41" s="193">
        <f t="shared" si="153"/>
        <v>132.3854192380482</v>
      </c>
      <c r="CF41" s="655">
        <f t="shared" si="15"/>
        <v>4.4475169877924103E-2</v>
      </c>
      <c r="CG41" s="193">
        <f t="shared" si="266"/>
        <v>2372</v>
      </c>
      <c r="CH41" s="193">
        <f t="shared" si="155"/>
        <v>324</v>
      </c>
      <c r="CI41" s="23">
        <f t="shared" si="16"/>
        <v>2.4067218990539985E-2</v>
      </c>
      <c r="CJ41" s="193">
        <f t="shared" si="267"/>
        <v>4181</v>
      </c>
      <c r="CK41" s="641">
        <f t="shared" si="157"/>
        <v>164</v>
      </c>
      <c r="CL41" s="34">
        <f t="shared" si="158"/>
        <v>4.7206063811034725E-2</v>
      </c>
      <c r="CM41" s="193">
        <f t="shared" si="268"/>
        <v>5434</v>
      </c>
      <c r="CN41" s="193">
        <f t="shared" si="160"/>
        <v>146.7491055456172</v>
      </c>
      <c r="CO41" s="23">
        <f t="shared" si="161"/>
        <v>6.2133508366583025E-2</v>
      </c>
      <c r="CP41" s="193">
        <f t="shared" si="17"/>
        <v>21295</v>
      </c>
      <c r="CQ41" s="193">
        <f t="shared" si="162"/>
        <v>767.13452478366537</v>
      </c>
      <c r="CR41" s="193">
        <f t="shared" si="18"/>
        <v>63800</v>
      </c>
      <c r="CS41" s="248">
        <f t="shared" si="163"/>
        <v>0.24123468447284019</v>
      </c>
      <c r="CT41" s="30">
        <f t="shared" si="19"/>
        <v>0.25024972090017039</v>
      </c>
      <c r="CU41" s="308">
        <f t="shared" si="20"/>
        <v>0</v>
      </c>
      <c r="CV41" s="608">
        <f t="shared" si="269"/>
        <v>5.9110406016804749E-2</v>
      </c>
      <c r="CW41" s="608">
        <f t="shared" si="270"/>
        <v>4.2423174099535813E-3</v>
      </c>
      <c r="CX41" s="608">
        <f t="shared" si="271"/>
        <v>4.6030906633762268E-2</v>
      </c>
      <c r="CY41" s="608">
        <f t="shared" si="272"/>
        <v>2.7874728244902756E-2</v>
      </c>
      <c r="CZ41" s="608">
        <f t="shared" si="327"/>
        <v>4.9133321581761563E-2</v>
      </c>
      <c r="DA41" s="608">
        <f>'Assets(BoP)'!FK88</f>
        <v>5.8327066753460104E-2</v>
      </c>
      <c r="DB41" s="608">
        <f t="shared" si="273"/>
        <v>6.3858041012985492E-2</v>
      </c>
      <c r="DC41" s="23">
        <f t="shared" si="21"/>
        <v>0.28229026080139075</v>
      </c>
      <c r="DD41" s="193">
        <f t="shared" si="22"/>
        <v>72719</v>
      </c>
      <c r="DE41" s="193">
        <f t="shared" si="274"/>
        <v>12376</v>
      </c>
      <c r="DF41" s="193"/>
      <c r="DG41" s="193">
        <f>'Assets(BoP)'!DA88</f>
        <v>0</v>
      </c>
      <c r="DH41" s="23">
        <f t="shared" si="23"/>
        <v>0.14543745225923968</v>
      </c>
      <c r="DI41" s="23"/>
      <c r="DJ41" s="23">
        <f t="shared" si="24"/>
        <v>0.20421881426640814</v>
      </c>
      <c r="DK41" s="600">
        <f>'Assets(BoP)'!FO88-'Assets(BoP)'!FH88</f>
        <v>0.17577996267169593</v>
      </c>
      <c r="DL41" s="576">
        <f t="shared" si="25"/>
        <v>0.61822400637740571</v>
      </c>
      <c r="DM41" s="251">
        <f t="shared" si="26"/>
        <v>3.0052994170641227</v>
      </c>
      <c r="DN41" s="251">
        <f t="shared" si="27"/>
        <v>3.0052994170641227</v>
      </c>
      <c r="DO41" s="251">
        <f t="shared" si="28"/>
        <v>1.0883720930232559</v>
      </c>
      <c r="DP41" s="251">
        <f t="shared" si="29"/>
        <v>1.0883720930232559</v>
      </c>
      <c r="DQ41" s="251">
        <f t="shared" si="30"/>
        <v>0.80574043261231276</v>
      </c>
      <c r="DR41" s="251">
        <f t="shared" si="31"/>
        <v>0.77958606844819922</v>
      </c>
      <c r="DS41" s="251">
        <f t="shared" si="32"/>
        <v>0.74271356783919595</v>
      </c>
      <c r="DT41" s="251">
        <f t="shared" si="33"/>
        <v>0.67425308567593689</v>
      </c>
      <c r="DU41" s="251">
        <f t="shared" si="34"/>
        <v>4.5770308123249297</v>
      </c>
      <c r="DV41" s="251">
        <f t="shared" si="35"/>
        <v>4.9050509452009887</v>
      </c>
      <c r="DW41" s="251">
        <f t="shared" si="36"/>
        <v>2.154548776032152</v>
      </c>
      <c r="DX41" s="251">
        <f t="shared" si="37"/>
        <v>2.1409669898227048</v>
      </c>
      <c r="DY41" s="251">
        <f t="shared" si="38"/>
        <v>0.8216435488092122</v>
      </c>
      <c r="DZ41" s="251">
        <f t="shared" si="39"/>
        <v>0.79717864942084116</v>
      </c>
      <c r="EA41" s="643">
        <f t="shared" si="40"/>
        <v>1.4843795114627245</v>
      </c>
      <c r="EB41" s="643">
        <f t="shared" si="41"/>
        <v>1.4501501602936302</v>
      </c>
      <c r="EC41" s="251">
        <f t="shared" si="42"/>
        <v>0.54067942944883596</v>
      </c>
      <c r="ED41" s="251">
        <f t="shared" si="43"/>
        <v>0.52381636362735828</v>
      </c>
      <c r="EE41" s="140">
        <f t="shared" si="44"/>
        <v>0.43369884387426727</v>
      </c>
      <c r="EF41" s="1342">
        <v>0.24641288527563929</v>
      </c>
      <c r="EG41" s="140">
        <f t="shared" si="228"/>
        <v>2.7732052006783494</v>
      </c>
      <c r="EH41" s="583">
        <v>20.668488372093023</v>
      </c>
      <c r="EI41" s="1344">
        <v>1.3997896923609598</v>
      </c>
      <c r="EJ41" s="576">
        <f t="shared" si="166"/>
        <v>0.40378373761530578</v>
      </c>
      <c r="EK41" s="753">
        <f t="shared" si="167"/>
        <v>1.2241748243433961</v>
      </c>
      <c r="EL41" s="753">
        <f t="shared" si="168"/>
        <v>1.399208592425099</v>
      </c>
      <c r="EM41" s="753">
        <f t="shared" si="169"/>
        <v>0.27859704629920579</v>
      </c>
      <c r="EN41" s="583"/>
      <c r="EO41" s="5">
        <v>118918</v>
      </c>
      <c r="EP41" s="193"/>
      <c r="EQ41" s="193"/>
      <c r="ER41" s="193"/>
      <c r="ES41" s="193"/>
      <c r="ET41" s="193"/>
      <c r="EU41" s="193"/>
      <c r="EV41" s="193"/>
      <c r="EW41" s="193"/>
      <c r="EX41" s="193"/>
      <c r="EY41" s="193"/>
      <c r="EZ41" s="193"/>
      <c r="FA41" s="193"/>
      <c r="FB41" s="193"/>
      <c r="FC41" s="193"/>
      <c r="FD41" s="193"/>
      <c r="FE41" s="193"/>
      <c r="FF41" s="193"/>
      <c r="FG41" s="193"/>
      <c r="FH41" s="193"/>
      <c r="FI41" s="193"/>
      <c r="FJ41" s="5">
        <v>45192</v>
      </c>
      <c r="FK41" s="143">
        <f>FJ41/'Assets(BoP)'!AV88/1000</f>
        <v>1.0974951480062984</v>
      </c>
      <c r="FL41" s="192"/>
      <c r="FM41" s="193">
        <v>641</v>
      </c>
      <c r="FN41" s="66">
        <f t="shared" si="374"/>
        <v>0</v>
      </c>
      <c r="FO41" s="184">
        <f t="shared" ref="FO41:FO61" si="383">FO40</f>
        <v>0</v>
      </c>
      <c r="FP41" s="193">
        <v>107</v>
      </c>
      <c r="FQ41" s="66">
        <f t="shared" si="375"/>
        <v>0</v>
      </c>
      <c r="FR41" s="184">
        <v>0</v>
      </c>
      <c r="FS41" s="193">
        <v>1894</v>
      </c>
      <c r="FT41" s="66">
        <v>130</v>
      </c>
      <c r="FU41" s="193">
        <f t="shared" si="175"/>
        <v>1764</v>
      </c>
      <c r="FV41" s="23">
        <f t="shared" si="376"/>
        <v>6.863780359028511E-2</v>
      </c>
      <c r="FW41" s="193">
        <v>584</v>
      </c>
      <c r="FX41" s="66">
        <v>36</v>
      </c>
      <c r="FY41" s="23">
        <f>FX41/FW41</f>
        <v>6.1643835616438353E-2</v>
      </c>
      <c r="FZ41" s="193">
        <v>721</v>
      </c>
      <c r="GA41" s="271">
        <v>293</v>
      </c>
      <c r="GB41" s="193">
        <f t="shared" si="180"/>
        <v>428</v>
      </c>
      <c r="GC41" s="23">
        <f t="shared" si="366"/>
        <v>0.40638002773925103</v>
      </c>
      <c r="GD41" s="193">
        <v>463</v>
      </c>
      <c r="GE41" s="66">
        <f t="shared" ref="GE41:GE61" si="384">GE40*GK41/GK40</f>
        <v>16.305456171735244</v>
      </c>
      <c r="GF41" s="23">
        <f t="shared" si="377"/>
        <v>3.5216967973510246E-2</v>
      </c>
      <c r="GG41" s="193">
        <f t="shared" si="47"/>
        <v>4410</v>
      </c>
      <c r="GH41" s="193">
        <f t="shared" si="48"/>
        <v>475.30545617173527</v>
      </c>
      <c r="GI41" s="193">
        <f t="shared" si="49"/>
        <v>40782</v>
      </c>
      <c r="GJ41" s="23">
        <f t="shared" si="50"/>
        <v>9.7583643122676575E-2</v>
      </c>
      <c r="GK41" s="330">
        <v>12153</v>
      </c>
      <c r="GL41" s="330">
        <v>4624</v>
      </c>
      <c r="GM41" s="23">
        <f>GK41/'Assets(BoP)'!AW88/1000</f>
        <v>1.2908834186646254</v>
      </c>
      <c r="GN41" s="23">
        <f t="shared" si="51"/>
        <v>0.26891927774827401</v>
      </c>
      <c r="GO41" s="330">
        <f t="shared" si="275"/>
        <v>33039</v>
      </c>
      <c r="GP41" s="23">
        <f>GO41/('Assets(BoP)'!AV88-'Assets(BoP)'!AW88)/1000</f>
        <v>1.0401751476249665</v>
      </c>
      <c r="GQ41" s="330">
        <f t="shared" si="52"/>
        <v>28629</v>
      </c>
      <c r="GR41" s="330">
        <v>1813.46</v>
      </c>
      <c r="GS41" s="140">
        <f t="shared" si="53"/>
        <v>0.28052005928832108</v>
      </c>
      <c r="GT41" s="582">
        <v>0.79362231937129291</v>
      </c>
      <c r="GU41" s="576">
        <f t="shared" si="54"/>
        <v>0.34686499804278248</v>
      </c>
      <c r="GV41" s="589">
        <f t="shared" si="276"/>
        <v>0.11303121142655616</v>
      </c>
      <c r="GW41" s="589"/>
      <c r="GX41" s="589">
        <f t="shared" si="277"/>
        <v>0.22863247863247863</v>
      </c>
      <c r="GY41" s="589"/>
      <c r="GZ41" s="589">
        <f t="shared" si="308"/>
        <v>0.32593357425572189</v>
      </c>
      <c r="HA41" s="56">
        <f t="shared" ref="HA41:HA60" si="385">HJ41</f>
        <v>0.49545436014513433</v>
      </c>
      <c r="HB41" s="589">
        <f t="shared" si="278"/>
        <v>0.19756427604871449</v>
      </c>
      <c r="HC41" s="56">
        <v>0.1</v>
      </c>
      <c r="HD41" s="589">
        <f t="shared" si="279"/>
        <v>0.14708282333741329</v>
      </c>
      <c r="HE41" s="589">
        <f>GA41/AK41</f>
        <v>0.64113785557986869</v>
      </c>
      <c r="HF41" s="589">
        <f t="shared" si="309"/>
        <v>7.8514498897744617E-2</v>
      </c>
      <c r="HG41" s="56">
        <v>0.1</v>
      </c>
      <c r="HH41" s="6">
        <f t="shared" si="57"/>
        <v>0.17156195292744603</v>
      </c>
      <c r="HI41" s="6">
        <f t="shared" si="58"/>
        <v>0.1608455754739089</v>
      </c>
      <c r="HJ41" s="23">
        <f t="shared" si="280"/>
        <v>0.49545436014513433</v>
      </c>
      <c r="HK41" s="23">
        <f t="shared" si="280"/>
        <v>0.56089277049975739</v>
      </c>
      <c r="HL41" s="23">
        <f t="shared" si="281"/>
        <v>0.46232729505680076</v>
      </c>
      <c r="HM41" s="31">
        <f t="shared" si="282"/>
        <v>0.31240189867433199</v>
      </c>
      <c r="HN41" s="23">
        <f t="shared" si="60"/>
        <v>0.38995238186303571</v>
      </c>
      <c r="HO41" s="23">
        <f t="shared" si="61"/>
        <v>0.3576255730578492</v>
      </c>
      <c r="HP41" s="575">
        <v>36612</v>
      </c>
      <c r="HQ41" s="193"/>
      <c r="HR41" s="193"/>
      <c r="HS41" s="193"/>
      <c r="HT41" s="193"/>
      <c r="HU41" s="193"/>
      <c r="HV41" s="193"/>
      <c r="HW41" s="193"/>
      <c r="HX41" s="193"/>
      <c r="HY41" s="193"/>
      <c r="HZ41" s="193"/>
      <c r="IA41" s="193"/>
      <c r="IB41" s="193"/>
      <c r="IC41" s="193"/>
      <c r="ID41" s="193"/>
      <c r="IE41" s="193"/>
      <c r="IF41" s="193"/>
      <c r="IG41" s="193"/>
      <c r="IH41" s="193"/>
      <c r="II41" s="193"/>
      <c r="IJ41" s="193"/>
      <c r="IK41" s="193"/>
      <c r="IL41" s="193"/>
      <c r="IM41" s="575">
        <v>1347</v>
      </c>
      <c r="IN41" s="193"/>
      <c r="IO41" s="193"/>
      <c r="IP41" s="193"/>
      <c r="IQ41" s="193"/>
      <c r="IR41" s="193"/>
      <c r="IS41" s="193"/>
      <c r="IT41" s="193"/>
      <c r="IU41" s="193"/>
      <c r="IV41" s="193"/>
      <c r="IW41" s="193"/>
      <c r="IX41" s="149">
        <f t="shared" si="63"/>
        <v>632812</v>
      </c>
      <c r="IY41" s="316">
        <f t="shared" si="64"/>
        <v>18437</v>
      </c>
      <c r="IZ41" s="316">
        <f t="shared" si="65"/>
        <v>4007</v>
      </c>
      <c r="JA41" s="316">
        <f t="shared" si="66"/>
        <v>31503</v>
      </c>
      <c r="JB41" s="316">
        <f t="shared" si="67"/>
        <v>23117</v>
      </c>
      <c r="JC41" s="316">
        <f t="shared" si="68"/>
        <v>43642</v>
      </c>
      <c r="JD41" s="316">
        <f t="shared" si="69"/>
        <v>17753</v>
      </c>
      <c r="JE41" s="316">
        <f t="shared" si="70"/>
        <v>138459</v>
      </c>
      <c r="JF41" s="316">
        <f t="shared" si="71"/>
        <v>494353</v>
      </c>
      <c r="JG41" s="316">
        <f t="shared" si="72"/>
        <v>432585</v>
      </c>
      <c r="JH41" s="316">
        <f t="shared" si="73"/>
        <v>61768</v>
      </c>
      <c r="JI41" s="5">
        <v>920143</v>
      </c>
      <c r="JJ41" s="593">
        <v>28088</v>
      </c>
      <c r="JK41" s="593">
        <v>11463</v>
      </c>
      <c r="JL41" s="536">
        <v>79982</v>
      </c>
      <c r="JM41" s="536">
        <v>46614</v>
      </c>
      <c r="JN41" s="536">
        <v>79016</v>
      </c>
      <c r="JO41" s="536">
        <v>23526</v>
      </c>
      <c r="JP41" s="552">
        <f t="shared" si="74"/>
        <v>268689</v>
      </c>
      <c r="JQ41" s="552">
        <f t="shared" si="75"/>
        <v>651454</v>
      </c>
      <c r="JR41" s="552">
        <f t="shared" si="76"/>
        <v>576119</v>
      </c>
      <c r="JS41" s="593">
        <v>75335</v>
      </c>
      <c r="JT41" s="149">
        <v>287331</v>
      </c>
      <c r="JU41" s="593">
        <v>9651</v>
      </c>
      <c r="JV41" s="536">
        <v>7456</v>
      </c>
      <c r="JW41" s="536">
        <v>48479</v>
      </c>
      <c r="JX41" s="536">
        <v>23497</v>
      </c>
      <c r="JY41" s="536">
        <v>35374</v>
      </c>
      <c r="JZ41" s="536">
        <v>5773</v>
      </c>
      <c r="KA41" s="552">
        <f t="shared" ref="KA41" si="386">JU41+JV41+JW41+JX41+JY41+JZ41</f>
        <v>130230</v>
      </c>
      <c r="KB41" s="552">
        <f t="shared" ref="KB41" si="387">JT41-KA41</f>
        <v>157101</v>
      </c>
      <c r="KC41" s="552">
        <f t="shared" si="369"/>
        <v>143534</v>
      </c>
      <c r="KD41" s="593">
        <v>13567</v>
      </c>
      <c r="KE41" s="149">
        <v>424929</v>
      </c>
      <c r="KF41">
        <v>4796</v>
      </c>
      <c r="KG41">
        <v>751</v>
      </c>
      <c r="KH41">
        <v>12884</v>
      </c>
      <c r="KI41">
        <v>3045</v>
      </c>
      <c r="KJ41">
        <v>4762</v>
      </c>
      <c r="KK41">
        <v>7586</v>
      </c>
      <c r="KL41" s="552">
        <f t="shared" ref="KL41" si="388">KF41+KG41+KH41+KI41+KJ41+KK41</f>
        <v>33824</v>
      </c>
      <c r="KM41" s="552">
        <f t="shared" ref="KM41" si="389">KE41-KL41</f>
        <v>391105</v>
      </c>
      <c r="KN41" s="552">
        <f t="shared" si="372"/>
        <v>279404</v>
      </c>
      <c r="KO41">
        <v>111701</v>
      </c>
      <c r="KP41" s="149">
        <v>146166</v>
      </c>
      <c r="KZ41">
        <v>10428</v>
      </c>
      <c r="LA41" s="149">
        <f>'Assets(MOFA)'!IX41-'Assets(MOFA)'!KE41-'Assets(MOFA)'!KP41</f>
        <v>61717</v>
      </c>
      <c r="LB41" s="552">
        <f>'Assets(MOFA)'!IY41-'Assets(MOFA)'!KF41-'Assets(MOFA)'!KQ41</f>
        <v>13641</v>
      </c>
      <c r="LC41" s="552">
        <f>'Assets(MOFA)'!IZ41-'Assets(MOFA)'!KG41-'Assets(MOFA)'!KR41</f>
        <v>3256</v>
      </c>
      <c r="LD41" s="552">
        <f>'Assets(MOFA)'!JA41-'Assets(MOFA)'!KH41-'Assets(MOFA)'!KS41</f>
        <v>18619</v>
      </c>
      <c r="LE41" s="552">
        <f>'Assets(MOFA)'!JB41-'Assets(MOFA)'!KI41-'Assets(MOFA)'!KT41</f>
        <v>20072</v>
      </c>
      <c r="LF41" s="552">
        <f>'Assets(MOFA)'!JC41-'Assets(MOFA)'!KJ41-'Assets(MOFA)'!KU41</f>
        <v>38880</v>
      </c>
      <c r="LG41" s="552">
        <f>'Assets(MOFA)'!JD41-'Assets(MOFA)'!KK41-'Assets(MOFA)'!KV41</f>
        <v>10167</v>
      </c>
      <c r="LH41" s="552">
        <f>'Assets(MOFA)'!JE41-'Assets(MOFA)'!KL41-'Assets(MOFA)'!KW41</f>
        <v>104635</v>
      </c>
      <c r="LI41" s="552">
        <f>'Assets(MOFA)'!JF41-'Assets(MOFA)'!KM41-'Assets(MOFA)'!KX41</f>
        <v>103248</v>
      </c>
      <c r="LJ41" s="552">
        <f t="shared" si="77"/>
        <v>163609</v>
      </c>
      <c r="LK41" s="552">
        <f>'Assets(MOFA)'!JH41-'Assets(MOFA)'!KO41-'Assets(MOFA)'!KZ41</f>
        <v>-60361</v>
      </c>
      <c r="LL41" s="576">
        <f t="shared" si="78"/>
        <v>0.20588579230482354</v>
      </c>
      <c r="LM41" s="6">
        <f t="shared" si="79"/>
        <v>0.30758800238650541</v>
      </c>
      <c r="LN41" s="6">
        <f t="shared" si="80"/>
        <v>0.11679560768654854</v>
      </c>
      <c r="LO41" s="6">
        <f t="shared" si="81"/>
        <v>0.18445862298828683</v>
      </c>
      <c r="LP41" s="6">
        <f t="shared" si="82"/>
        <v>0.12787126357226283</v>
      </c>
      <c r="LQ41" s="6">
        <f t="shared" si="83"/>
        <v>0.11232299161358325</v>
      </c>
      <c r="LR41" s="6">
        <f t="shared" si="84"/>
        <v>0.33216921083760492</v>
      </c>
      <c r="LS41" s="6">
        <f t="shared" si="85"/>
        <v>0.18565062581702887</v>
      </c>
      <c r="LT41" s="143">
        <f t="shared" si="86"/>
        <v>0.24489520629942502</v>
      </c>
      <c r="LU41" s="62">
        <f t="shared" si="87"/>
        <v>0.14125985445724681</v>
      </c>
      <c r="LV41" s="902">
        <f t="shared" si="88"/>
        <v>0.2115532827756684</v>
      </c>
      <c r="LW41" s="902">
        <f t="shared" si="89"/>
        <v>0.18505727198122912</v>
      </c>
      <c r="LX41" s="143">
        <f t="shared" si="90"/>
        <v>0.39711501100893665</v>
      </c>
      <c r="LY41" s="576">
        <f t="shared" si="91"/>
        <v>0.20801438657926841</v>
      </c>
      <c r="LZ41" s="906">
        <f t="shared" si="92"/>
        <v>0.30758800238650541</v>
      </c>
      <c r="MA41" s="906">
        <f t="shared" si="93"/>
        <v>0.11679560768654854</v>
      </c>
      <c r="MB41" s="906">
        <f t="shared" si="94"/>
        <v>0.18445862298828683</v>
      </c>
      <c r="MC41" s="906">
        <f t="shared" si="95"/>
        <v>0.12787126357226283</v>
      </c>
      <c r="MD41" s="906">
        <f t="shared" si="96"/>
        <v>0.11232299161358325</v>
      </c>
      <c r="ME41" s="906">
        <v>6.1610529375296846E-2</v>
      </c>
      <c r="MF41" s="906">
        <f t="shared" si="97"/>
        <v>0.33216921083760492</v>
      </c>
      <c r="MG41" s="30">
        <f t="shared" si="98"/>
        <v>0.18565062581702887</v>
      </c>
      <c r="MH41" s="140">
        <f t="shared" si="99"/>
        <v>0.24489520629942502</v>
      </c>
      <c r="MI41" s="30">
        <f t="shared" si="100"/>
        <v>0.14125985445724681</v>
      </c>
      <c r="MJ41" s="30">
        <f t="shared" si="101"/>
        <v>0.2115532827756684</v>
      </c>
      <c r="MK41" s="617">
        <f t="shared" si="102"/>
        <v>0.18505727198122912</v>
      </c>
      <c r="ML41" s="615">
        <f t="shared" si="103"/>
        <v>0.39711501100893665</v>
      </c>
      <c r="MM41" s="574"/>
      <c r="MX41" s="613"/>
      <c r="MY41" s="552"/>
      <c r="MZ41" s="552"/>
      <c r="NA41" s="552"/>
      <c r="NB41" s="552"/>
      <c r="NC41" s="552"/>
      <c r="ND41" s="552"/>
      <c r="NE41" s="552"/>
      <c r="NF41" s="552"/>
      <c r="NG41" s="552"/>
      <c r="NH41" s="552"/>
      <c r="NI41" s="613">
        <f t="shared" si="364"/>
        <v>210744</v>
      </c>
      <c r="PN41" s="574"/>
      <c r="PO41" s="593"/>
      <c r="PP41" s="593"/>
      <c r="PQ41" s="593"/>
      <c r="PR41" s="593"/>
      <c r="PS41" s="593"/>
      <c r="PT41" s="593"/>
      <c r="PU41" s="593"/>
      <c r="PV41" s="593"/>
      <c r="PW41" s="593"/>
      <c r="PX41" s="593"/>
      <c r="PY41" s="593"/>
      <c r="PZ41" s="593"/>
      <c r="QA41" s="593"/>
      <c r="QB41" s="593"/>
      <c r="QC41" s="593"/>
      <c r="QD41" s="593"/>
      <c r="QE41" s="593"/>
      <c r="QF41" s="593"/>
      <c r="QG41" s="593"/>
      <c r="QH41" s="593"/>
      <c r="QI41" s="593"/>
      <c r="QJ41" s="593"/>
      <c r="QK41" s="593"/>
      <c r="QL41" s="593"/>
      <c r="QM41" s="593"/>
      <c r="QN41" s="593"/>
      <c r="QO41" s="593"/>
      <c r="QP41" s="593"/>
      <c r="QQ41" s="593"/>
      <c r="QR41" s="593"/>
      <c r="QS41" s="593"/>
      <c r="QT41" s="593"/>
      <c r="QU41" s="593"/>
      <c r="QV41" s="593"/>
      <c r="QW41" s="593"/>
      <c r="QX41" s="593"/>
      <c r="QY41" s="593"/>
      <c r="QZ41" s="593"/>
      <c r="RA41" s="593"/>
      <c r="RB41" s="593"/>
      <c r="RC41" s="593"/>
      <c r="RD41" s="593"/>
      <c r="RE41" s="593"/>
      <c r="RF41" s="593"/>
      <c r="RG41" s="593"/>
      <c r="RH41" s="593"/>
      <c r="RI41" s="593"/>
      <c r="RJ41" s="593"/>
      <c r="RK41" s="593"/>
      <c r="RL41" s="593"/>
      <c r="RM41" s="593"/>
      <c r="RN41" s="593"/>
      <c r="RO41" s="593"/>
      <c r="RP41" s="593"/>
      <c r="RQ41" s="593"/>
      <c r="RR41" s="593"/>
    </row>
    <row r="42" spans="1:486">
      <c r="A42" s="568">
        <v>1997</v>
      </c>
      <c r="B42" s="33">
        <v>219104</v>
      </c>
      <c r="C42" s="193">
        <v>2086</v>
      </c>
      <c r="D42" s="193">
        <v>398</v>
      </c>
      <c r="E42" s="193">
        <v>7556</v>
      </c>
      <c r="F42" s="193">
        <v>3602</v>
      </c>
      <c r="G42" s="193">
        <v>931</v>
      </c>
      <c r="H42" s="193">
        <v>2873</v>
      </c>
      <c r="I42" s="193">
        <f>H42+G42+F42+E42+D42+C42</f>
        <v>17446</v>
      </c>
      <c r="J42" s="193">
        <f>B42-I42</f>
        <v>201658</v>
      </c>
      <c r="K42" s="193">
        <f t="shared" si="249"/>
        <v>192459</v>
      </c>
      <c r="L42" s="193">
        <v>9199</v>
      </c>
      <c r="M42" s="140">
        <f t="shared" si="217"/>
        <v>7.9624288009347163E-2</v>
      </c>
      <c r="N42" s="140">
        <f t="shared" si="250"/>
        <v>4.1984628304366875E-2</v>
      </c>
      <c r="O42" s="193">
        <v>3176600</v>
      </c>
      <c r="P42" s="32">
        <f t="shared" si="251"/>
        <v>6.897437511805074E-2</v>
      </c>
      <c r="Q42" s="629">
        <f t="shared" si="218"/>
        <v>9.5205929604206228E-3</v>
      </c>
      <c r="R42" s="308">
        <f t="shared" si="219"/>
        <v>1.8164889732729663E-3</v>
      </c>
      <c r="S42" s="308">
        <f t="shared" si="220"/>
        <v>3.4485906236307873E-2</v>
      </c>
      <c r="T42" s="308">
        <f t="shared" si="221"/>
        <v>1.6439681612384988E-2</v>
      </c>
      <c r="U42" s="308">
        <f t="shared" si="222"/>
        <v>4.2491237038118886E-3</v>
      </c>
      <c r="V42" s="308">
        <f t="shared" si="223"/>
        <v>1.3112494523148823E-2</v>
      </c>
      <c r="W42" s="5">
        <v>144277</v>
      </c>
      <c r="X42" s="193">
        <v>8123</v>
      </c>
      <c r="Y42" s="76">
        <v>0</v>
      </c>
      <c r="Z42" s="76">
        <f t="shared" si="114"/>
        <v>8123</v>
      </c>
      <c r="AA42" s="193">
        <v>413</v>
      </c>
      <c r="AB42" s="66">
        <v>0</v>
      </c>
      <c r="AC42" s="274">
        <f t="shared" si="117"/>
        <v>413</v>
      </c>
      <c r="AD42" s="193">
        <v>7450</v>
      </c>
      <c r="AE42" s="357">
        <f>FT42/HA42</f>
        <v>402.87512690355334</v>
      </c>
      <c r="AF42" s="274">
        <f t="shared" si="119"/>
        <v>7047.1248730964471</v>
      </c>
      <c r="AG42" s="193">
        <v>3352</v>
      </c>
      <c r="AH42" s="357">
        <f t="shared" si="382"/>
        <v>240</v>
      </c>
      <c r="AI42" s="76">
        <f t="shared" si="287"/>
        <v>3112</v>
      </c>
      <c r="AJ42" s="193">
        <v>8014</v>
      </c>
      <c r="AK42" s="274">
        <v>427</v>
      </c>
      <c r="AL42" s="274">
        <f t="shared" si="123"/>
        <v>7587</v>
      </c>
      <c r="AM42" s="193">
        <v>5077</v>
      </c>
      <c r="AN42" s="357">
        <f t="shared" si="360"/>
        <v>145.37119856887301</v>
      </c>
      <c r="AO42" s="274">
        <f t="shared" si="125"/>
        <v>4931.6288014311267</v>
      </c>
      <c r="AP42" s="193">
        <f t="shared" si="8"/>
        <v>32429</v>
      </c>
      <c r="AQ42" s="271">
        <f t="shared" si="9"/>
        <v>1215.2463254724264</v>
      </c>
      <c r="AR42" s="271">
        <f t="shared" si="126"/>
        <v>31213.753674527572</v>
      </c>
      <c r="AS42" s="193">
        <f t="shared" si="259"/>
        <v>111848</v>
      </c>
      <c r="AT42" s="193">
        <f t="shared" si="224"/>
        <v>87046</v>
      </c>
      <c r="AU42" s="193">
        <v>24802</v>
      </c>
      <c r="AV42" s="193">
        <v>7848</v>
      </c>
      <c r="AW42" s="23">
        <f t="shared" si="289"/>
        <v>0.31642609466978472</v>
      </c>
      <c r="AX42" s="271">
        <f t="shared" si="227"/>
        <v>119475</v>
      </c>
      <c r="AY42" s="140">
        <f t="shared" si="10"/>
        <v>0.2247690207032306</v>
      </c>
      <c r="AZ42" s="623">
        <f t="shared" si="129"/>
        <v>0.21634601270145326</v>
      </c>
      <c r="BA42" s="248">
        <f t="shared" si="11"/>
        <v>0.26125761602450365</v>
      </c>
      <c r="BB42" s="248">
        <f t="shared" si="130"/>
        <v>6.7989119062565384E-2</v>
      </c>
      <c r="BC42" s="248">
        <f t="shared" si="131"/>
        <v>3.4567901234567903E-3</v>
      </c>
      <c r="BD42" s="248">
        <f t="shared" si="132"/>
        <v>5.8984096029265097E-2</v>
      </c>
      <c r="BE42" s="248">
        <f t="shared" si="133"/>
        <v>2.604729022808119E-2</v>
      </c>
      <c r="BF42" s="248">
        <f t="shared" si="134"/>
        <v>6.3502824858757065E-2</v>
      </c>
      <c r="BG42" s="248">
        <f t="shared" si="135"/>
        <v>4.1277495722378127E-2</v>
      </c>
      <c r="BH42" s="248">
        <f t="shared" si="136"/>
        <v>6.2440886152721885E-2</v>
      </c>
      <c r="BI42" s="23">
        <f t="shared" si="12"/>
        <v>0.20907302783008996</v>
      </c>
      <c r="BJ42" s="140">
        <f t="shared" si="13"/>
        <v>0.1719054319122244</v>
      </c>
      <c r="BK42" s="623">
        <f t="shared" si="137"/>
        <v>0.16348242391044707</v>
      </c>
      <c r="BL42" s="5">
        <v>-8431</v>
      </c>
      <c r="BM42" s="66">
        <f>11677-2086-8123-1453/8950*11677-647</f>
        <v>-1074.7185474860335</v>
      </c>
      <c r="BN42" s="193">
        <v>2</v>
      </c>
      <c r="BO42" s="193">
        <v>-1784</v>
      </c>
      <c r="BP42" s="193">
        <v>-845</v>
      </c>
      <c r="BQ42" s="193">
        <v>-2607</v>
      </c>
      <c r="BR42" s="193">
        <v>-77</v>
      </c>
      <c r="BS42" s="193">
        <f>BR42+BQ42+BP42+BO42+BN42+BM42</f>
        <v>-6385.7185474860335</v>
      </c>
      <c r="BT42" s="193">
        <f t="shared" si="365"/>
        <v>-2045.2814525139665</v>
      </c>
      <c r="BU42" s="193">
        <f t="shared" si="373"/>
        <v>-3009.2814525139665</v>
      </c>
      <c r="BV42" s="193">
        <f>964</f>
        <v>964</v>
      </c>
      <c r="BW42" s="5">
        <f t="shared" si="262"/>
        <v>96697</v>
      </c>
      <c r="BX42" s="193">
        <f t="shared" si="263"/>
        <v>7310</v>
      </c>
      <c r="BY42" s="193">
        <f t="shared" si="148"/>
        <v>0</v>
      </c>
      <c r="BZ42" s="647">
        <f t="shared" si="149"/>
        <v>7.55969678480201E-2</v>
      </c>
      <c r="CA42" s="193">
        <f t="shared" si="264"/>
        <v>311</v>
      </c>
      <c r="CB42" s="193">
        <f t="shared" si="151"/>
        <v>0</v>
      </c>
      <c r="CC42" s="647">
        <f t="shared" si="14"/>
        <v>3.2162321478432631E-3</v>
      </c>
      <c r="CD42" s="193">
        <f t="shared" si="265"/>
        <v>5858</v>
      </c>
      <c r="CE42" s="193">
        <f t="shared" si="153"/>
        <v>226.87512690355334</v>
      </c>
      <c r="CF42" s="655">
        <f t="shared" si="15"/>
        <v>5.8234742268079127E-2</v>
      </c>
      <c r="CG42" s="193">
        <f t="shared" si="266"/>
        <v>2684</v>
      </c>
      <c r="CH42" s="193">
        <f t="shared" si="155"/>
        <v>216</v>
      </c>
      <c r="CI42" s="23">
        <f t="shared" si="16"/>
        <v>2.5523025533367116E-2</v>
      </c>
      <c r="CJ42" s="193">
        <f t="shared" si="267"/>
        <v>6991</v>
      </c>
      <c r="CK42" s="641">
        <f t="shared" si="157"/>
        <v>175</v>
      </c>
      <c r="CL42" s="34">
        <f t="shared" si="158"/>
        <v>7.0488226108359101E-2</v>
      </c>
      <c r="CM42" s="193">
        <f t="shared" si="268"/>
        <v>4666</v>
      </c>
      <c r="CN42" s="193">
        <f t="shared" si="160"/>
        <v>130.83407871198571</v>
      </c>
      <c r="CO42" s="23">
        <f t="shared" si="161"/>
        <v>4.6900792385368872E-2</v>
      </c>
      <c r="CP42" s="193">
        <f t="shared" si="17"/>
        <v>27820</v>
      </c>
      <c r="CQ42" s="193">
        <f t="shared" si="162"/>
        <v>748.70920561553908</v>
      </c>
      <c r="CR42" s="193">
        <f t="shared" si="18"/>
        <v>68877</v>
      </c>
      <c r="CS42" s="248">
        <f t="shared" si="163"/>
        <v>0.27995998629103758</v>
      </c>
      <c r="CT42" s="30">
        <f t="shared" si="19"/>
        <v>0.28770282428617228</v>
      </c>
      <c r="CU42" s="308">
        <f t="shared" si="20"/>
        <v>0</v>
      </c>
      <c r="CV42" s="608">
        <f t="shared" si="269"/>
        <v>7.55969678480201E-2</v>
      </c>
      <c r="CW42" s="608">
        <f t="shared" si="270"/>
        <v>3.2162321478432631E-3</v>
      </c>
      <c r="CX42" s="608">
        <f t="shared" si="271"/>
        <v>6.0580990103105574E-2</v>
      </c>
      <c r="CY42" s="608">
        <f t="shared" si="272"/>
        <v>2.7756807346660185E-2</v>
      </c>
      <c r="CZ42" s="608">
        <f t="shared" si="327"/>
        <v>7.2298003040425246E-2</v>
      </c>
      <c r="DA42" s="608">
        <f>'Assets(BoP)'!FK89</f>
        <v>6.816744544529181E-2</v>
      </c>
      <c r="DB42" s="608">
        <f t="shared" si="273"/>
        <v>4.8253823800117897E-2</v>
      </c>
      <c r="DC42" s="23">
        <f t="shared" si="21"/>
        <v>0.32722459560479222</v>
      </c>
      <c r="DD42" s="193">
        <f t="shared" si="22"/>
        <v>82730</v>
      </c>
      <c r="DE42" s="193">
        <f t="shared" si="274"/>
        <v>13967</v>
      </c>
      <c r="DF42" s="193"/>
      <c r="DG42" s="193">
        <f>'Assets(BoP)'!DA89</f>
        <v>0</v>
      </c>
      <c r="DH42" s="23">
        <f t="shared" si="23"/>
        <v>0.14444088234381625</v>
      </c>
      <c r="DI42" s="23"/>
      <c r="DJ42" s="23">
        <f t="shared" si="24"/>
        <v>0.2271218341830667</v>
      </c>
      <c r="DK42" s="600">
        <f>'Assets(BoP)'!FO89-'Assets(BoP)'!FH89</f>
        <v>0.19010790952273757</v>
      </c>
      <c r="DL42" s="576">
        <f t="shared" si="25"/>
        <v>0.65848638089674305</v>
      </c>
      <c r="DM42" s="251">
        <f t="shared" si="26"/>
        <v>3.8940556088207097</v>
      </c>
      <c r="DN42" s="251">
        <f t="shared" si="27"/>
        <v>3.8940556088207097</v>
      </c>
      <c r="DO42" s="251">
        <f t="shared" si="28"/>
        <v>1.0376884422110553</v>
      </c>
      <c r="DP42" s="251">
        <f t="shared" si="29"/>
        <v>1.0376884422110553</v>
      </c>
      <c r="DQ42" s="251">
        <f t="shared" si="30"/>
        <v>0.98597141344626782</v>
      </c>
      <c r="DR42" s="251">
        <f t="shared" si="31"/>
        <v>0.95146882807920963</v>
      </c>
      <c r="DS42" s="251">
        <f t="shared" si="32"/>
        <v>0.93059411438089945</v>
      </c>
      <c r="DT42" s="251">
        <f t="shared" si="33"/>
        <v>0.88585643152471638</v>
      </c>
      <c r="DU42" s="251">
        <f t="shared" si="34"/>
        <v>8.6079484425349087</v>
      </c>
      <c r="DV42" s="251">
        <f t="shared" si="35"/>
        <v>9.8197478443656845</v>
      </c>
      <c r="DW42" s="251">
        <f t="shared" si="36"/>
        <v>1.7671423599025409</v>
      </c>
      <c r="DX42" s="251">
        <f t="shared" si="37"/>
        <v>1.7493739019870937</v>
      </c>
      <c r="DY42" s="251">
        <f t="shared" si="38"/>
        <v>0.98855921548906212</v>
      </c>
      <c r="DZ42" s="251">
        <f t="shared" si="39"/>
        <v>0.95586566046257393</v>
      </c>
      <c r="EA42" s="643">
        <f t="shared" si="40"/>
        <v>1.85882150636249</v>
      </c>
      <c r="EB42" s="643">
        <f t="shared" si="41"/>
        <v>1.8366143664068701</v>
      </c>
      <c r="EC42" s="251">
        <f t="shared" si="42"/>
        <v>0.55464201767348675</v>
      </c>
      <c r="ED42" s="251">
        <f t="shared" si="43"/>
        <v>0.56918606036063935</v>
      </c>
      <c r="EE42" s="140">
        <f t="shared" si="44"/>
        <v>0.45228334346536148</v>
      </c>
      <c r="EF42" s="1342">
        <v>0.24950811848473423</v>
      </c>
      <c r="EG42" s="140">
        <f t="shared" si="228"/>
        <v>2.6961626263724319</v>
      </c>
      <c r="EH42" s="583">
        <v>19.092587548638125</v>
      </c>
      <c r="EI42" s="1344">
        <v>1.3760384232354683</v>
      </c>
      <c r="EJ42" s="576">
        <f t="shared" si="166"/>
        <v>0.44132923178034178</v>
      </c>
      <c r="EK42" s="753">
        <f t="shared" si="167"/>
        <v>1.5968547670695825</v>
      </c>
      <c r="EL42" s="753">
        <f t="shared" si="168"/>
        <v>1.5183172083922165</v>
      </c>
      <c r="EM42" s="753">
        <f t="shared" si="169"/>
        <v>0.28530752004323001</v>
      </c>
      <c r="EN42" s="583"/>
      <c r="EO42" s="5">
        <f t="array" ref="EO42:EO53">TRANSPOSE(MOFA_inc97!B8:M8)</f>
        <v>140512</v>
      </c>
      <c r="EP42" s="193">
        <f t="array" ref="EP42:EP53">TRANSPOSE(MOFA_inc97!B20:M20)</f>
        <v>8546</v>
      </c>
      <c r="EQ42" s="193"/>
      <c r="ER42" s="193">
        <f t="array" ref="ER42:ER53">TRANSPOSE(MOFA_inc97!B22:M22)</f>
        <v>2250</v>
      </c>
      <c r="ES42" s="193"/>
      <c r="ET42" s="193">
        <f t="array" ref="ET42:ET53">TRANSPOSE(MOFA_inc97!B23:M23)</f>
        <v>16020</v>
      </c>
      <c r="EU42" s="193"/>
      <c r="EV42" s="193">
        <f t="array" ref="EV42:EV53">TRANSPOSE(MOFA_inc97!B30:M30)</f>
        <v>9041</v>
      </c>
      <c r="EW42" s="193"/>
      <c r="EX42" s="193">
        <f t="array" ref="EX42:EX53">TRANSPOSE(MOFA_inc97!B97:M97)</f>
        <v>10022</v>
      </c>
      <c r="EY42" s="193"/>
      <c r="EZ42" s="193">
        <f t="array" ref="EZ42:EZ53">TRANSPOSE(MOFA_inc97!B202:M202)</f>
        <v>5354</v>
      </c>
      <c r="FA42" s="193"/>
      <c r="FB42" s="193">
        <f>EZ42+EX42+EV42+ET42+ER42+EP42</f>
        <v>51233</v>
      </c>
      <c r="FC42" s="193">
        <f>EO42-FB42</f>
        <v>89279</v>
      </c>
      <c r="FD42" s="23">
        <f>FB42/EO42</f>
        <v>0.36461654520610337</v>
      </c>
      <c r="FE42" s="23"/>
      <c r="FF42" s="23"/>
      <c r="FG42" s="23"/>
      <c r="FH42" s="23"/>
      <c r="FI42" s="23"/>
      <c r="FJ42" s="5">
        <v>47580</v>
      </c>
      <c r="FK42" s="143">
        <f>FJ42/'Assets(BoP)'!AV89/1000</f>
        <v>1.0554616948372306</v>
      </c>
      <c r="FL42" s="192"/>
      <c r="FM42" s="193">
        <v>813</v>
      </c>
      <c r="FN42" s="66">
        <f t="shared" si="374"/>
        <v>0</v>
      </c>
      <c r="FO42" s="184">
        <f t="shared" si="383"/>
        <v>0</v>
      </c>
      <c r="FP42" s="193">
        <v>102</v>
      </c>
      <c r="FQ42" s="66">
        <f t="shared" si="375"/>
        <v>0</v>
      </c>
      <c r="FR42" s="184">
        <v>0</v>
      </c>
      <c r="FS42" s="193">
        <v>1592</v>
      </c>
      <c r="FT42" s="66">
        <v>176</v>
      </c>
      <c r="FU42" s="193">
        <f t="shared" si="175"/>
        <v>1416</v>
      </c>
      <c r="FV42" s="23">
        <f t="shared" si="376"/>
        <v>0.11055276381909548</v>
      </c>
      <c r="FW42" s="193">
        <v>668</v>
      </c>
      <c r="FX42" s="66">
        <v>24</v>
      </c>
      <c r="FY42" s="23">
        <f>FX42/FW42</f>
        <v>3.5928143712574849E-2</v>
      </c>
      <c r="FZ42" s="193">
        <v>1023</v>
      </c>
      <c r="GA42" s="271">
        <v>252</v>
      </c>
      <c r="GB42" s="193">
        <f t="shared" si="180"/>
        <v>771</v>
      </c>
      <c r="GC42" s="23">
        <f t="shared" si="366"/>
        <v>0.24633431085043989</v>
      </c>
      <c r="GD42" s="193">
        <v>411</v>
      </c>
      <c r="GE42" s="66">
        <f t="shared" si="384"/>
        <v>14.537119856887301</v>
      </c>
      <c r="GF42" s="23">
        <f t="shared" si="377"/>
        <v>3.5370121306295139E-2</v>
      </c>
      <c r="GG42" s="193">
        <f t="shared" si="47"/>
        <v>4609</v>
      </c>
      <c r="GH42" s="193">
        <f t="shared" si="48"/>
        <v>466.53711985688733</v>
      </c>
      <c r="GI42" s="193">
        <f t="shared" si="49"/>
        <v>42971</v>
      </c>
      <c r="GJ42" s="23">
        <f t="shared" si="50"/>
        <v>9.6868432114333755E-2</v>
      </c>
      <c r="GK42" s="330">
        <v>10835</v>
      </c>
      <c r="GL42" s="330">
        <v>4528</v>
      </c>
      <c r="GM42" s="23">
        <f>GK42/'Assets(BoP)'!AW89/1000</f>
        <v>1.29687543388772</v>
      </c>
      <c r="GN42" s="23">
        <f t="shared" si="51"/>
        <v>0.22772173182009248</v>
      </c>
      <c r="GO42" s="330">
        <f t="shared" si="275"/>
        <v>36745</v>
      </c>
      <c r="GP42" s="23">
        <f>GO42/('Assets(BoP)'!AV89-'Assets(BoP)'!AW89)/1000</f>
        <v>1.0005418092507954</v>
      </c>
      <c r="GQ42" s="330">
        <f t="shared" si="52"/>
        <v>32136</v>
      </c>
      <c r="GR42" s="330">
        <v>2154.9180000000001</v>
      </c>
      <c r="GS42" s="140">
        <f t="shared" si="53"/>
        <v>0.31599701651363832</v>
      </c>
      <c r="GT42" s="582">
        <v>0.83757399610275096</v>
      </c>
      <c r="GU42" s="576">
        <f t="shared" si="54"/>
        <v>0.32978229378209972</v>
      </c>
      <c r="GV42" s="589">
        <f t="shared" si="276"/>
        <v>0.10008617505847593</v>
      </c>
      <c r="GW42" s="589"/>
      <c r="GX42" s="589">
        <f t="shared" si="277"/>
        <v>0.24697336561743341</v>
      </c>
      <c r="GY42" s="589"/>
      <c r="GZ42" s="589">
        <f t="shared" si="308"/>
        <v>0.21369127516778524</v>
      </c>
      <c r="HA42" s="56">
        <f t="shared" si="385"/>
        <v>0.43685993065075396</v>
      </c>
      <c r="HB42" s="589">
        <f t="shared" si="278"/>
        <v>0.19928400954653938</v>
      </c>
      <c r="HC42" s="56">
        <v>0.1</v>
      </c>
      <c r="HD42" s="589">
        <f t="shared" si="279"/>
        <v>0.12765160968305467</v>
      </c>
      <c r="HE42" s="589">
        <f>GA42/AK42</f>
        <v>0.5901639344262295</v>
      </c>
      <c r="HF42" s="589">
        <f t="shared" si="309"/>
        <v>8.0953318889107742E-2</v>
      </c>
      <c r="HG42" s="56">
        <v>0.1</v>
      </c>
      <c r="HH42" s="6">
        <f t="shared" si="57"/>
        <v>0.14212587498843626</v>
      </c>
      <c r="HI42" s="6">
        <f t="shared" si="58"/>
        <v>0.13271274334184383</v>
      </c>
      <c r="HJ42" s="23">
        <f t="shared" si="280"/>
        <v>0.43685993065075396</v>
      </c>
      <c r="HK42" s="23">
        <f t="shared" si="280"/>
        <v>0.57696228338430178</v>
      </c>
      <c r="HL42" s="23">
        <f t="shared" si="281"/>
        <v>0.37200660611065234</v>
      </c>
      <c r="HM42" s="31">
        <f t="shared" si="282"/>
        <v>0.30755388156518099</v>
      </c>
      <c r="HN42" s="23">
        <f t="shared" si="60"/>
        <v>0.3841910449896288</v>
      </c>
      <c r="HO42" s="23">
        <f t="shared" si="61"/>
        <v>0.36918410955127173</v>
      </c>
      <c r="HP42" s="575">
        <v>41781</v>
      </c>
      <c r="HQ42" s="193"/>
      <c r="HR42" s="193"/>
      <c r="HS42" s="193"/>
      <c r="HT42" s="193"/>
      <c r="HU42" s="193"/>
      <c r="HV42" s="193"/>
      <c r="HW42" s="193"/>
      <c r="HX42" s="193"/>
      <c r="HY42" s="193"/>
      <c r="HZ42" s="193"/>
      <c r="IA42" s="193"/>
      <c r="IB42" s="193"/>
      <c r="IC42" s="193"/>
      <c r="ID42" s="193"/>
      <c r="IE42" s="193"/>
      <c r="IF42" s="193"/>
      <c r="IG42" s="193"/>
      <c r="IH42" s="193"/>
      <c r="II42" s="193"/>
      <c r="IJ42" s="193"/>
      <c r="IK42" s="193"/>
      <c r="IL42" s="193"/>
      <c r="IM42" s="575">
        <v>3446</v>
      </c>
      <c r="IN42" s="193"/>
      <c r="IO42" s="193"/>
      <c r="IP42" s="193"/>
      <c r="IQ42" s="193"/>
      <c r="IR42" s="193"/>
      <c r="IS42" s="193"/>
      <c r="IT42" s="193"/>
      <c r="IU42" s="193"/>
      <c r="IV42" s="193"/>
      <c r="IW42" s="193"/>
      <c r="IX42" s="149">
        <f t="shared" si="63"/>
        <v>699215</v>
      </c>
      <c r="IY42" s="316">
        <f t="shared" si="64"/>
        <v>21687</v>
      </c>
      <c r="IZ42" s="316">
        <f t="shared" si="65"/>
        <v>3575</v>
      </c>
      <c r="JA42" s="316">
        <f t="shared" si="66"/>
        <v>39643</v>
      </c>
      <c r="JB42" s="316">
        <f t="shared" si="67"/>
        <v>21770</v>
      </c>
      <c r="JC42" s="316">
        <f t="shared" si="68"/>
        <v>55062</v>
      </c>
      <c r="JD42" s="316">
        <f t="shared" si="69"/>
        <v>21783</v>
      </c>
      <c r="JE42" s="316">
        <f t="shared" si="70"/>
        <v>163520</v>
      </c>
      <c r="JF42" s="316">
        <f t="shared" si="71"/>
        <v>535695</v>
      </c>
      <c r="JG42" s="316">
        <f t="shared" si="72"/>
        <v>468030</v>
      </c>
      <c r="JH42" s="316">
        <f t="shared" si="73"/>
        <v>67665</v>
      </c>
      <c r="JI42" s="5">
        <v>1025360</v>
      </c>
      <c r="JJ42" s="593">
        <v>30467</v>
      </c>
      <c r="JK42" s="593">
        <v>13268</v>
      </c>
      <c r="JL42" s="593">
        <v>103154</v>
      </c>
      <c r="JM42" s="536">
        <v>50623</v>
      </c>
      <c r="JN42" s="536">
        <v>90195</v>
      </c>
      <c r="JO42" s="536">
        <v>27829</v>
      </c>
      <c r="JP42" s="552">
        <f t="shared" si="74"/>
        <v>315536</v>
      </c>
      <c r="JQ42" s="552">
        <f t="shared" si="75"/>
        <v>709824</v>
      </c>
      <c r="JR42" s="552">
        <f t="shared" si="76"/>
        <v>627039</v>
      </c>
      <c r="JS42" s="593">
        <v>82785</v>
      </c>
      <c r="JT42" s="149">
        <v>326145</v>
      </c>
      <c r="JU42" s="593">
        <v>8780</v>
      </c>
      <c r="JV42" s="593">
        <v>9693</v>
      </c>
      <c r="JW42" s="536">
        <v>63511</v>
      </c>
      <c r="JX42" s="536">
        <v>28853</v>
      </c>
      <c r="JY42" s="536">
        <v>35133</v>
      </c>
      <c r="JZ42" s="536">
        <v>6046</v>
      </c>
      <c r="KA42" s="552">
        <f t="shared" ref="KA42" si="390">JU42+JV42+JW42+JX42+JY42+JZ42</f>
        <v>152016</v>
      </c>
      <c r="KB42" s="552">
        <f t="shared" ref="KB42" si="391">JT42-KA42</f>
        <v>174129</v>
      </c>
      <c r="KC42" s="552">
        <f t="shared" si="369"/>
        <v>159009</v>
      </c>
      <c r="KD42" s="593">
        <v>15120</v>
      </c>
      <c r="KE42" s="149">
        <v>451690</v>
      </c>
      <c r="KF42">
        <v>5358</v>
      </c>
      <c r="KG42">
        <v>712</v>
      </c>
      <c r="KH42">
        <v>12681</v>
      </c>
      <c r="KI42">
        <v>3171</v>
      </c>
      <c r="KJ42">
        <v>5500</v>
      </c>
      <c r="KK42">
        <v>8096</v>
      </c>
      <c r="KL42" s="552">
        <f t="shared" ref="KL42" si="392">KF42+KG42+KH42+KI42+KJ42+KK42</f>
        <v>35518</v>
      </c>
      <c r="KM42" s="552">
        <f t="shared" ref="KM42" si="393">KE42-KL42</f>
        <v>416172</v>
      </c>
      <c r="KN42" s="552">
        <f t="shared" si="372"/>
        <v>296366</v>
      </c>
      <c r="KO42">
        <v>119806</v>
      </c>
      <c r="KP42" s="149">
        <v>150782</v>
      </c>
      <c r="KQ42">
        <v>2329</v>
      </c>
      <c r="KR42">
        <v>309</v>
      </c>
      <c r="KS42">
        <v>8041</v>
      </c>
      <c r="KT42">
        <v>5212</v>
      </c>
      <c r="KU42">
        <v>1750</v>
      </c>
      <c r="KV42">
        <v>4263</v>
      </c>
      <c r="KW42" s="552">
        <f t="shared" ref="KW42" si="394">KQ42+KR42+KS42+KT42+KU42+KV42</f>
        <v>21904</v>
      </c>
      <c r="KX42" s="552">
        <f t="shared" ref="KX42" si="395">KP42-KW42</f>
        <v>128878</v>
      </c>
      <c r="KY42" s="552">
        <f t="shared" ref="KY42:KY43" si="396">KX42-KZ42</f>
        <v>118575.77879322466</v>
      </c>
      <c r="KZ42" s="1076">
        <f>KZ43*KP43/KP42</f>
        <v>10302.221206775344</v>
      </c>
      <c r="LA42" s="149">
        <f>'Assets(MOFA)'!IX42-'Assets(MOFA)'!KE42-'Assets(MOFA)'!KP42</f>
        <v>96743</v>
      </c>
      <c r="LB42" s="552">
        <f>'Assets(MOFA)'!IY42-'Assets(MOFA)'!KF42-'Assets(MOFA)'!KQ42</f>
        <v>14000</v>
      </c>
      <c r="LC42" s="552">
        <f>'Assets(MOFA)'!IZ42-'Assets(MOFA)'!KG42-'Assets(MOFA)'!KR42</f>
        <v>2554</v>
      </c>
      <c r="LD42" s="552">
        <f>'Assets(MOFA)'!JA42-'Assets(MOFA)'!KH42-'Assets(MOFA)'!KS42</f>
        <v>18921</v>
      </c>
      <c r="LE42" s="552">
        <f>'Assets(MOFA)'!JB42-'Assets(MOFA)'!KI42-'Assets(MOFA)'!KT42</f>
        <v>13387</v>
      </c>
      <c r="LF42" s="552">
        <f>'Assets(MOFA)'!JC42-'Assets(MOFA)'!KJ42-'Assets(MOFA)'!KU42</f>
        <v>47812</v>
      </c>
      <c r="LG42" s="552">
        <f>'Assets(MOFA)'!JD42-'Assets(MOFA)'!KK42-'Assets(MOFA)'!KV42</f>
        <v>9424</v>
      </c>
      <c r="LH42" s="552">
        <f>'Assets(MOFA)'!JE42-'Assets(MOFA)'!KL42-'Assets(MOFA)'!KW42</f>
        <v>106098</v>
      </c>
      <c r="LI42" s="552">
        <f>'Assets(MOFA)'!JF42-'Assets(MOFA)'!KM42-'Assets(MOFA)'!KX42</f>
        <v>-9355</v>
      </c>
      <c r="LJ42" s="552">
        <f t="shared" si="77"/>
        <v>53088.221206775343</v>
      </c>
      <c r="LK42" s="552">
        <f>'Assets(MOFA)'!JH42-'Assets(MOFA)'!KO42-'Assets(MOFA)'!KZ42</f>
        <v>-62443.221206775343</v>
      </c>
      <c r="LL42" s="576">
        <f t="shared" si="78"/>
        <v>0.20634139713821928</v>
      </c>
      <c r="LM42" s="6">
        <f t="shared" si="79"/>
        <v>0.37455618573338867</v>
      </c>
      <c r="LN42" s="6">
        <f t="shared" si="80"/>
        <v>0.11552447552447552</v>
      </c>
      <c r="LO42" s="6">
        <f t="shared" si="81"/>
        <v>0.18792725071261004</v>
      </c>
      <c r="LP42" s="6">
        <f t="shared" si="82"/>
        <v>0.15397335783187874</v>
      </c>
      <c r="LQ42" s="6">
        <f t="shared" si="83"/>
        <v>0.14554502197522792</v>
      </c>
      <c r="LR42" s="6">
        <f t="shared" si="84"/>
        <v>0.23307166138732038</v>
      </c>
      <c r="LS42" s="6">
        <f t="shared" si="85"/>
        <v>0.19831824853228963</v>
      </c>
      <c r="LT42" s="143">
        <f t="shared" si="86"/>
        <v>0.25370938074800736</v>
      </c>
      <c r="LU42" s="62">
        <f t="shared" si="87"/>
        <v>0.16154863654863655</v>
      </c>
      <c r="LV42" s="902">
        <f t="shared" si="88"/>
        <v>0.20879044978952577</v>
      </c>
      <c r="LW42" s="902">
        <f t="shared" si="89"/>
        <v>0.18598380445697926</v>
      </c>
      <c r="LX42" s="143">
        <f t="shared" si="90"/>
        <v>0.36654104780905933</v>
      </c>
      <c r="LY42" s="576">
        <f t="shared" si="91"/>
        <v>0.21126978111167524</v>
      </c>
      <c r="LZ42" s="906">
        <f t="shared" si="92"/>
        <v>0.37455618573338867</v>
      </c>
      <c r="MA42" s="906">
        <f t="shared" si="93"/>
        <v>0.11552447552447552</v>
      </c>
      <c r="MB42" s="906">
        <f t="shared" si="94"/>
        <v>0.18792725071261004</v>
      </c>
      <c r="MC42" s="906">
        <f t="shared" si="95"/>
        <v>0.15397335783187874</v>
      </c>
      <c r="MD42" s="906">
        <f t="shared" si="96"/>
        <v>0.14554502197522792</v>
      </c>
      <c r="ME42" s="906">
        <v>6.1610529375296846E-2</v>
      </c>
      <c r="MF42" s="906">
        <f t="shared" si="97"/>
        <v>0.23307166138732038</v>
      </c>
      <c r="MG42" s="30">
        <f t="shared" si="98"/>
        <v>0.19831824853228963</v>
      </c>
      <c r="MH42" s="140">
        <f t="shared" si="99"/>
        <v>0.25370938074800736</v>
      </c>
      <c r="MI42" s="30">
        <f t="shared" si="100"/>
        <v>0.16154863654863655</v>
      </c>
      <c r="MJ42" s="30">
        <f t="shared" si="101"/>
        <v>0.20879044978952577</v>
      </c>
      <c r="MK42" s="617">
        <f t="shared" si="102"/>
        <v>0.18598380445697926</v>
      </c>
      <c r="ML42" s="615">
        <f t="shared" si="103"/>
        <v>0.36654104780905933</v>
      </c>
      <c r="MM42" s="574"/>
      <c r="MX42" s="613"/>
      <c r="MY42" s="552"/>
      <c r="MZ42" s="552"/>
      <c r="NA42" s="552"/>
      <c r="NB42" s="552"/>
      <c r="NC42" s="552"/>
      <c r="ND42" s="552"/>
      <c r="NE42" s="552"/>
      <c r="NF42" s="552"/>
      <c r="NG42" s="552"/>
      <c r="NH42" s="552"/>
      <c r="NI42" s="613">
        <f t="shared" si="364"/>
        <v>219104</v>
      </c>
      <c r="PN42" s="574"/>
      <c r="PO42" s="593"/>
      <c r="PP42" s="593"/>
      <c r="PQ42" s="593"/>
      <c r="PR42" s="593"/>
      <c r="PS42" s="593"/>
      <c r="PT42" s="593"/>
      <c r="PU42" s="593"/>
      <c r="PV42" s="593"/>
      <c r="PW42" s="593"/>
      <c r="PX42" s="593"/>
      <c r="PY42" s="593"/>
      <c r="PZ42" s="593"/>
      <c r="QA42" s="593"/>
      <c r="QB42" s="593"/>
      <c r="QC42" s="593"/>
      <c r="QD42" s="593"/>
      <c r="QE42" s="593"/>
      <c r="QF42" s="593"/>
      <c r="QG42" s="593"/>
      <c r="QH42" s="593"/>
      <c r="QI42" s="593"/>
      <c r="QJ42" s="593"/>
      <c r="QK42" s="593"/>
      <c r="QL42" s="593"/>
      <c r="QM42" s="593"/>
      <c r="QN42" s="593"/>
      <c r="QO42" s="593"/>
      <c r="QP42" s="593"/>
      <c r="QQ42" s="593"/>
      <c r="QR42" s="593"/>
      <c r="QS42" s="593"/>
      <c r="QT42" s="593"/>
      <c r="QU42" s="593"/>
      <c r="QV42" s="593"/>
      <c r="QW42" s="593"/>
      <c r="QX42" s="593"/>
      <c r="QY42" s="593"/>
      <c r="QZ42" s="593"/>
      <c r="RA42" s="593"/>
      <c r="RB42" s="593"/>
      <c r="RC42" s="593"/>
      <c r="RD42" s="593"/>
      <c r="RE42" s="593"/>
      <c r="RF42" s="593"/>
      <c r="RG42" s="593"/>
      <c r="RH42" s="593"/>
      <c r="RI42" s="593"/>
      <c r="RJ42" s="593"/>
      <c r="RK42" s="593"/>
      <c r="RL42" s="593"/>
      <c r="RM42" s="593"/>
      <c r="RN42" s="593"/>
      <c r="RO42" s="593"/>
      <c r="RP42" s="593"/>
      <c r="RQ42" s="593"/>
      <c r="RR42" s="593"/>
    </row>
    <row r="43" spans="1:486">
      <c r="A43" s="568">
        <v>1998</v>
      </c>
      <c r="B43" s="33">
        <v>224556</v>
      </c>
      <c r="C43" s="193">
        <v>2429</v>
      </c>
      <c r="D43" s="193">
        <v>415</v>
      </c>
      <c r="E43" s="193">
        <v>7433</v>
      </c>
      <c r="F43" s="193">
        <v>3720</v>
      </c>
      <c r="G43" s="193">
        <v>894</v>
      </c>
      <c r="H43" s="193">
        <v>2868</v>
      </c>
      <c r="I43" s="193">
        <f>H43+G43+F43+E43+D43+C43</f>
        <v>17759</v>
      </c>
      <c r="J43" s="193">
        <f>B43-I43</f>
        <v>206797</v>
      </c>
      <c r="K43" s="193">
        <f t="shared" si="249"/>
        <v>198122</v>
      </c>
      <c r="L43" s="193">
        <v>8675</v>
      </c>
      <c r="M43" s="140">
        <f t="shared" si="217"/>
        <v>7.9084949856605927E-2</v>
      </c>
      <c r="N43" s="140">
        <f t="shared" si="250"/>
        <v>3.863178895242167E-2</v>
      </c>
      <c r="O43" s="193">
        <v>3447500</v>
      </c>
      <c r="P43" s="32">
        <f t="shared" si="251"/>
        <v>6.5135895576504718E-2</v>
      </c>
      <c r="Q43" s="629">
        <f t="shared" si="218"/>
        <v>1.0816900906678067E-2</v>
      </c>
      <c r="R43" s="308">
        <f t="shared" si="219"/>
        <v>1.8480913446979818E-3</v>
      </c>
      <c r="S43" s="308">
        <f t="shared" si="220"/>
        <v>3.3100874614795418E-2</v>
      </c>
      <c r="T43" s="308">
        <f t="shared" si="221"/>
        <v>1.6566023619943356E-2</v>
      </c>
      <c r="U43" s="308">
        <f t="shared" si="222"/>
        <v>3.9811895473734838E-3</v>
      </c>
      <c r="V43" s="308">
        <f t="shared" si="223"/>
        <v>1.2771869823117619E-2</v>
      </c>
      <c r="W43" s="5">
        <v>124176</v>
      </c>
      <c r="X43" s="193">
        <v>10813</v>
      </c>
      <c r="Y43" s="193">
        <v>0</v>
      </c>
      <c r="Z43" s="76">
        <f t="shared" si="114"/>
        <v>10813</v>
      </c>
      <c r="AA43" s="193">
        <v>573</v>
      </c>
      <c r="AB43" s="66">
        <v>0</v>
      </c>
      <c r="AC43" s="274">
        <f t="shared" si="117"/>
        <v>573</v>
      </c>
      <c r="AD43" s="193">
        <v>6832</v>
      </c>
      <c r="AE43" s="357">
        <f>FT43/HA43</f>
        <v>349.8977675777175</v>
      </c>
      <c r="AF43" s="274">
        <f t="shared" si="119"/>
        <v>6482.1022324222822</v>
      </c>
      <c r="AG43" s="193">
        <v>3438</v>
      </c>
      <c r="AH43" s="357">
        <f t="shared" si="382"/>
        <v>180</v>
      </c>
      <c r="AI43" s="76">
        <f t="shared" si="287"/>
        <v>3258</v>
      </c>
      <c r="AJ43" s="193">
        <v>7964</v>
      </c>
      <c r="AK43" s="274">
        <v>281</v>
      </c>
      <c r="AL43" s="274">
        <f t="shared" si="123"/>
        <v>7683</v>
      </c>
      <c r="AM43" s="193">
        <v>3085</v>
      </c>
      <c r="AN43" s="357">
        <f t="shared" si="360"/>
        <v>64.30679785330949</v>
      </c>
      <c r="AO43" s="274">
        <f t="shared" si="125"/>
        <v>3020.6932021466905</v>
      </c>
      <c r="AP43" s="193">
        <f t="shared" ref="AP43:AP61" si="397">AM43+AJ43+AG43+AD43+AA43+X43</f>
        <v>32705</v>
      </c>
      <c r="AQ43" s="271">
        <f t="shared" ref="AQ43:AQ61" si="398">AN43+AK43+AH43+AE43+AB43+Y43</f>
        <v>875.20456543102705</v>
      </c>
      <c r="AR43" s="271">
        <f t="shared" si="126"/>
        <v>31829.795434568972</v>
      </c>
      <c r="AS43" s="193">
        <f t="shared" si="259"/>
        <v>91471</v>
      </c>
      <c r="AT43" s="193">
        <f t="shared" si="224"/>
        <v>78766</v>
      </c>
      <c r="AU43" s="193">
        <v>12705</v>
      </c>
      <c r="AV43" s="193">
        <v>4568</v>
      </c>
      <c r="AW43" s="23">
        <f t="shared" si="289"/>
        <v>0.35954348681621406</v>
      </c>
      <c r="AX43" s="271">
        <f t="shared" si="227"/>
        <v>111471</v>
      </c>
      <c r="AY43" s="140">
        <f t="shared" ref="AY43:AY60" si="399">AP43/W43</f>
        <v>0.26337617575054761</v>
      </c>
      <c r="AZ43" s="623">
        <f t="shared" si="129"/>
        <v>0.25632807816783415</v>
      </c>
      <c r="BA43" s="248">
        <f t="shared" ref="BA43:BA60" si="400">(AP43-AQ43)/(W43-AU43)</f>
        <v>0.28554328421355307</v>
      </c>
      <c r="BB43" s="248">
        <f t="shared" si="130"/>
        <v>9.7002807905195068E-2</v>
      </c>
      <c r="BC43" s="248">
        <f t="shared" si="131"/>
        <v>5.1403504050380813E-3</v>
      </c>
      <c r="BD43" s="248">
        <f t="shared" si="132"/>
        <v>5.8150570394293423E-2</v>
      </c>
      <c r="BE43" s="248">
        <f t="shared" si="133"/>
        <v>2.9227332669483543E-2</v>
      </c>
      <c r="BF43" s="248">
        <f t="shared" si="134"/>
        <v>6.8923755954463498E-2</v>
      </c>
      <c r="BG43" s="248">
        <f t="shared" si="135"/>
        <v>2.7098466885079442E-2</v>
      </c>
      <c r="BH43" s="248">
        <f t="shared" si="136"/>
        <v>6.3290920799331504E-2</v>
      </c>
      <c r="BI43" s="23">
        <f t="shared" ref="BI43:BI60" si="401">(AP43-AD43)/(W43-AU43)</f>
        <v>0.23210521122085565</v>
      </c>
      <c r="BJ43" s="140">
        <f t="shared" ref="BJ43:BJ60" si="402">AU43/W43</f>
        <v>0.10231445689988404</v>
      </c>
      <c r="BK43" s="623">
        <f t="shared" si="137"/>
        <v>9.5266359317170562E-2</v>
      </c>
      <c r="BL43" s="5">
        <v>-9698</v>
      </c>
      <c r="BM43" s="66">
        <f>(BM42+BM44)/2</f>
        <v>-1229.8592737430167</v>
      </c>
      <c r="BN43" s="193">
        <v>63</v>
      </c>
      <c r="BO43" s="193">
        <v>-1845</v>
      </c>
      <c r="BP43" s="193">
        <v>-816</v>
      </c>
      <c r="BQ43" s="193">
        <v>-2472</v>
      </c>
      <c r="BR43" s="193">
        <v>-128</v>
      </c>
      <c r="BS43" s="193">
        <f t="shared" ref="BS43:BS60" si="403">BR43+BQ43+BP43+BO43+BN43+BM43</f>
        <v>-6427.8592737430172</v>
      </c>
      <c r="BT43" s="193">
        <f t="shared" si="365"/>
        <v>-3270.1407262569828</v>
      </c>
      <c r="BU43" s="193">
        <f t="shared" si="373"/>
        <v>-4215.1407262569828</v>
      </c>
      <c r="BV43" s="193">
        <v>945</v>
      </c>
      <c r="BW43" s="5">
        <f t="shared" si="262"/>
        <v>83640</v>
      </c>
      <c r="BX43" s="193">
        <f t="shared" si="263"/>
        <v>9709</v>
      </c>
      <c r="BY43" s="193">
        <f t="shared" si="148"/>
        <v>0</v>
      </c>
      <c r="BZ43" s="647">
        <f t="shared" si="149"/>
        <v>0.11608082257293161</v>
      </c>
      <c r="CA43" s="193">
        <f t="shared" si="264"/>
        <v>479</v>
      </c>
      <c r="CB43" s="193">
        <f t="shared" si="151"/>
        <v>0</v>
      </c>
      <c r="CC43" s="647">
        <f t="shared" ref="CC43:CC60" si="404">(CA43-CB43)/BW43</f>
        <v>5.7269249163079865E-3</v>
      </c>
      <c r="CD43" s="193">
        <f t="shared" si="265"/>
        <v>4576</v>
      </c>
      <c r="CE43" s="193">
        <f t="shared" si="153"/>
        <v>217.8977675777175</v>
      </c>
      <c r="CF43" s="655">
        <f t="shared" ref="CF43:CF60" si="405">(CD43-CE43)/BW43</f>
        <v>5.2105478627717389E-2</v>
      </c>
      <c r="CG43" s="193">
        <f t="shared" si="266"/>
        <v>2908</v>
      </c>
      <c r="CH43" s="193">
        <f t="shared" si="155"/>
        <v>162</v>
      </c>
      <c r="CI43" s="23">
        <f t="shared" ref="CI43:CI60" si="406">(CG43-CH43)/BW43</f>
        <v>3.2831181252988999E-2</v>
      </c>
      <c r="CJ43" s="193">
        <f t="shared" si="267"/>
        <v>7066</v>
      </c>
      <c r="CK43" s="641">
        <f t="shared" si="157"/>
        <v>133</v>
      </c>
      <c r="CL43" s="34">
        <f t="shared" si="158"/>
        <v>8.2890961262553797E-2</v>
      </c>
      <c r="CM43" s="193">
        <f t="shared" si="268"/>
        <v>2790</v>
      </c>
      <c r="CN43" s="193">
        <f t="shared" si="160"/>
        <v>57.876118067978538</v>
      </c>
      <c r="CO43" s="23">
        <f t="shared" si="161"/>
        <v>3.2665278358823789E-2</v>
      </c>
      <c r="CP43" s="193">
        <f t="shared" ref="CP43:CP60" si="407">CM43+CJ43+CG43+CD43+CA43+BX43</f>
        <v>27528</v>
      </c>
      <c r="CQ43" s="193">
        <f t="shared" si="162"/>
        <v>570.77388564569605</v>
      </c>
      <c r="CR43" s="193">
        <f t="shared" ref="CR43:CR60" si="408">BW43-CP43</f>
        <v>56112</v>
      </c>
      <c r="CS43" s="248">
        <f t="shared" si="163"/>
        <v>0.32230064699132355</v>
      </c>
      <c r="CT43" s="30">
        <f t="shared" ref="CT43:CT60" si="409">CP43/BW43</f>
        <v>0.32912482065997128</v>
      </c>
      <c r="CU43" s="308">
        <f t="shared" ref="CU43:CU60" si="410">CV43+CW43+CX43+CY43+CZ43+DB43-CT43</f>
        <v>0</v>
      </c>
      <c r="CV43" s="608">
        <f t="shared" si="269"/>
        <v>0.11608082257293161</v>
      </c>
      <c r="CW43" s="608">
        <f t="shared" si="270"/>
        <v>5.7269249163079865E-3</v>
      </c>
      <c r="CX43" s="608">
        <f t="shared" si="271"/>
        <v>5.471066475370636E-2</v>
      </c>
      <c r="CY43" s="608">
        <f t="shared" si="272"/>
        <v>3.4768053562888569E-2</v>
      </c>
      <c r="CZ43" s="608">
        <f t="shared" si="327"/>
        <v>8.4481109516977529E-2</v>
      </c>
      <c r="DA43" s="608">
        <f>'Assets(BoP)'!FK90</f>
        <v>7.8018834412017984E-2</v>
      </c>
      <c r="DB43" s="608">
        <f t="shared" si="273"/>
        <v>3.3357245337159253E-2</v>
      </c>
      <c r="DC43" s="23">
        <f t="shared" ref="DC43:DC60" si="411">(CP43-CQ43)/(BW43-DE43)</f>
        <v>0.35597435709848807</v>
      </c>
      <c r="DD43" s="193">
        <f t="shared" ref="DD43:DD61" si="412">BW43-DE43</f>
        <v>75728</v>
      </c>
      <c r="DE43" s="193">
        <f t="shared" si="274"/>
        <v>7912</v>
      </c>
      <c r="DF43" s="193"/>
      <c r="DG43" s="193">
        <f>'Assets(BoP)'!DA90</f>
        <v>0</v>
      </c>
      <c r="DH43" s="23">
        <f t="shared" ref="DH43:DH61" si="413">DE43/BW43</f>
        <v>9.4595887135341936E-2</v>
      </c>
      <c r="DI43" s="23"/>
      <c r="DJ43" s="23">
        <f t="shared" ref="DJ43:DJ61" si="414">CV43+CW43+CY43+CZ43+DB43</f>
        <v>0.27441415590626494</v>
      </c>
      <c r="DK43" s="600">
        <f>'Assets(BoP)'!FO90-'Assets(BoP)'!FH90</f>
        <v>0.23901843354318303</v>
      </c>
      <c r="DL43" s="576">
        <f t="shared" ref="DL43:DL61" si="415">W43/B43</f>
        <v>0.55298455619088338</v>
      </c>
      <c r="DM43" s="251">
        <f t="shared" ref="DM43:DM60" si="416">X43/C43</f>
        <v>4.451626183614656</v>
      </c>
      <c r="DN43" s="251">
        <f t="shared" ref="DN43:DN60" si="417">Z43/(C43-Y43/$EG43)</f>
        <v>4.451626183614656</v>
      </c>
      <c r="DO43" s="251">
        <f t="shared" ref="DO43:DO60" si="418">AA43/D43</f>
        <v>1.380722891566265</v>
      </c>
      <c r="DP43" s="251">
        <f t="shared" ref="DP43:DP60" si="419">AC43/(D43-AB43/$EG43)</f>
        <v>1.380722891566265</v>
      </c>
      <c r="DQ43" s="251">
        <f t="shared" ref="DQ43:DQ60" si="420">AD43/E43</f>
        <v>0.91914435624915913</v>
      </c>
      <c r="DR43" s="251">
        <f t="shared" ref="DR43:DR60" si="421">AF43/(E43-AE43/EG43)</f>
        <v>0.90103168766787556</v>
      </c>
      <c r="DS43" s="251">
        <f t="shared" ref="DS43:DS60" si="422">AG43/F43</f>
        <v>0.92419354838709677</v>
      </c>
      <c r="DT43" s="251">
        <f t="shared" ref="DT43:DT60" si="423">AI43/(F43-AH43/$EG43)</f>
        <v>0.90573071545323858</v>
      </c>
      <c r="DU43" s="251">
        <f t="shared" ref="DU43:DU60" si="424">AJ43/G43</f>
        <v>8.9082774049216997</v>
      </c>
      <c r="DV43" s="251">
        <f t="shared" ref="DV43:DV60" si="425">AL43/(G43-AK43/$EG43)</f>
        <v>10.942377162061499</v>
      </c>
      <c r="DW43" s="251">
        <f t="shared" ref="DW43:DW60" si="426">AM43/H43</f>
        <v>1.0756624825662482</v>
      </c>
      <c r="DX43" s="251">
        <f t="shared" ref="DX43:DX60" si="427">AO43/(H43-AN43/EG43)</f>
        <v>1.0696160294816126</v>
      </c>
      <c r="DY43" s="251">
        <f t="shared" ref="DY43:DY60" si="428">(AD43+AA43)/(E43+D43)</f>
        <v>0.94355249745157999</v>
      </c>
      <c r="DZ43" s="251">
        <f t="shared" ref="DZ43:DZ60" si="429">(AF43+AC43)/(E43-AB43/EG43+D43-AE43/EG43)</f>
        <v>0.92719406365124291</v>
      </c>
      <c r="EA43" s="643">
        <f t="shared" ref="EA43:EA60" si="430">AP43/I43</f>
        <v>1.8416014415226083</v>
      </c>
      <c r="EB43" s="643">
        <f t="shared" ref="EB43:EB60" si="431">AR43/(I43-AQ43/EG43)</f>
        <v>1.8547309433154595</v>
      </c>
      <c r="EC43" s="251">
        <f t="shared" ref="EC43:EC60" si="432">AS43/J43</f>
        <v>0.44232266425528416</v>
      </c>
      <c r="ED43" s="251">
        <f t="shared" ref="ED43:ED60" si="433">AX43/(B43-L43)</f>
        <v>0.51635391720438573</v>
      </c>
      <c r="EE43" s="140">
        <f t="shared" ref="EE43:EE60" si="434">(AS43-AU43)/(J43-L43)</f>
        <v>0.39756311767496794</v>
      </c>
      <c r="EF43" s="1342">
        <v>0.21876697797609326</v>
      </c>
      <c r="EG43" s="140">
        <f t="shared" si="228"/>
        <v>1.4645533141210374</v>
      </c>
      <c r="EH43" s="583">
        <v>12.71566147859922</v>
      </c>
      <c r="EI43" s="1344">
        <v>1.365554943955164</v>
      </c>
      <c r="EJ43" s="576">
        <f t="shared" si="166"/>
        <v>0.37246833751937158</v>
      </c>
      <c r="EK43" s="753">
        <f t="shared" si="167"/>
        <v>1.5733927540425523</v>
      </c>
      <c r="EL43" s="753">
        <f t="shared" si="168"/>
        <v>0.91204610951008647</v>
      </c>
      <c r="EM43" s="753">
        <f t="shared" si="169"/>
        <v>0.2432844409000515</v>
      </c>
      <c r="EN43" s="583"/>
      <c r="EO43" s="5">
        <v>134531</v>
      </c>
      <c r="EP43" s="193">
        <v>10925</v>
      </c>
      <c r="EQ43" s="193"/>
      <c r="ER43" s="193">
        <v>3613</v>
      </c>
      <c r="ES43" s="193"/>
      <c r="ET43" s="193">
        <v>14131</v>
      </c>
      <c r="EU43" s="193"/>
      <c r="EV43" s="193">
        <v>10913</v>
      </c>
      <c r="EW43" s="193"/>
      <c r="EX43" s="193">
        <v>14193</v>
      </c>
      <c r="EY43" s="193"/>
      <c r="EZ43" s="193">
        <v>3173</v>
      </c>
      <c r="FA43" s="193"/>
      <c r="FB43" s="193">
        <f t="shared" ref="FB43:FB53" si="435">EZ43+EX43+EV43+ET43+ER43+EP43</f>
        <v>56948</v>
      </c>
      <c r="FC43" s="193">
        <f t="shared" ref="FC43:FC53" si="436">EO43-FB43</f>
        <v>77583</v>
      </c>
      <c r="FD43" s="23">
        <f t="shared" ref="FD43:FD53" si="437">FB43/EO43</f>
        <v>0.42330763913150127</v>
      </c>
      <c r="FE43" s="23"/>
      <c r="FF43" s="23"/>
      <c r="FG43" s="23"/>
      <c r="FH43" s="23"/>
      <c r="FI43" s="23"/>
      <c r="FJ43" s="5">
        <v>40536</v>
      </c>
      <c r="FK43" s="143">
        <f>FJ43/'Assets(BoP)'!AV90/1000</f>
        <v>0.99635490822528139</v>
      </c>
      <c r="FL43" s="192"/>
      <c r="FM43" s="193">
        <v>1104</v>
      </c>
      <c r="FN43" s="66">
        <f t="shared" si="374"/>
        <v>0</v>
      </c>
      <c r="FO43" s="184">
        <f t="shared" si="383"/>
        <v>0</v>
      </c>
      <c r="FP43" s="193">
        <v>94</v>
      </c>
      <c r="FQ43" s="66">
        <f t="shared" si="375"/>
        <v>0</v>
      </c>
      <c r="FR43" s="184">
        <v>0</v>
      </c>
      <c r="FS43" s="193">
        <v>2256</v>
      </c>
      <c r="FT43" s="66">
        <v>132</v>
      </c>
      <c r="FU43" s="193">
        <f t="shared" si="175"/>
        <v>2124</v>
      </c>
      <c r="FV43" s="23">
        <f t="shared" si="376"/>
        <v>5.8510638297872342E-2</v>
      </c>
      <c r="FW43" s="193">
        <v>530</v>
      </c>
      <c r="FX43" s="66">
        <v>18</v>
      </c>
      <c r="FY43" s="23">
        <f t="shared" ref="FY43:FY61" si="438">FX43/FW43</f>
        <v>3.3962264150943396E-2</v>
      </c>
      <c r="FZ43" s="193">
        <v>898</v>
      </c>
      <c r="GA43" s="271">
        <v>148</v>
      </c>
      <c r="GB43" s="193">
        <f t="shared" si="180"/>
        <v>750</v>
      </c>
      <c r="GC43" s="23">
        <f t="shared" si="366"/>
        <v>0.16481069042316257</v>
      </c>
      <c r="GD43" s="193">
        <v>295</v>
      </c>
      <c r="GE43" s="66">
        <f t="shared" si="384"/>
        <v>6.4306797853309492</v>
      </c>
      <c r="GF43" s="23">
        <f t="shared" si="377"/>
        <v>2.1798914526545591E-2</v>
      </c>
      <c r="GG43" s="193">
        <f t="shared" ref="GG43:GG61" si="439">GD43+FZ43+FW43+FS43+FP43+FM43</f>
        <v>5177</v>
      </c>
      <c r="GH43" s="193">
        <f t="shared" ref="GH43:GH61" si="440">FN43+FQ43+FT43+FX43+GA43+GE43</f>
        <v>304.43067978533094</v>
      </c>
      <c r="GI43" s="193">
        <f t="shared" ref="GI43:GI61" si="441">FJ43-GG43</f>
        <v>35359</v>
      </c>
      <c r="GJ43" s="23">
        <f t="shared" ref="GJ43:GJ61" si="442">GG43/FJ43</f>
        <v>0.12771363726070653</v>
      </c>
      <c r="GK43" s="330">
        <v>4793</v>
      </c>
      <c r="GL43" s="330">
        <v>2288</v>
      </c>
      <c r="GM43" s="23">
        <f>GK43/'Assets(BoP)'!AW90/1000</f>
        <v>0.88631596933158119</v>
      </c>
      <c r="GN43" s="23">
        <f t="shared" ref="GN43:GN61" si="443">GK43/FJ43</f>
        <v>0.11824057627787646</v>
      </c>
      <c r="GO43" s="330">
        <f t="shared" si="275"/>
        <v>35743</v>
      </c>
      <c r="GP43" s="23">
        <f>GO43/('Assets(BoP)'!AV90-'Assets(BoP)'!AW90)/1000</f>
        <v>1.013223526583688</v>
      </c>
      <c r="GQ43" s="330">
        <f t="shared" ref="GQ43:GQ61" si="444">FJ43-GG43-GK43</f>
        <v>30566</v>
      </c>
      <c r="GR43" s="330">
        <v>2614.279</v>
      </c>
      <c r="GS43" s="140">
        <f t="shared" ref="GS43:GS61" si="445">(FM43-FN43)/GR43*GT43</f>
        <v>0.37656158798207123</v>
      </c>
      <c r="GT43" s="582">
        <v>0.89170022796030912</v>
      </c>
      <c r="GU43" s="576">
        <f t="shared" ref="GU43:GU60" si="446">FJ43/W43</f>
        <v>0.32643989176652494</v>
      </c>
      <c r="GV43" s="589">
        <f t="shared" si="276"/>
        <v>0.10209932488671045</v>
      </c>
      <c r="GW43" s="589"/>
      <c r="GX43" s="589">
        <f t="shared" si="277"/>
        <v>0.16404886561954624</v>
      </c>
      <c r="GY43" s="589"/>
      <c r="GZ43" s="589">
        <f t="shared" si="308"/>
        <v>0.33021077283372363</v>
      </c>
      <c r="HA43" s="56">
        <f t="shared" si="385"/>
        <v>0.37725304998032272</v>
      </c>
      <c r="HB43" s="589">
        <f t="shared" si="278"/>
        <v>0.15415939499709133</v>
      </c>
      <c r="HC43" s="56">
        <v>0.1</v>
      </c>
      <c r="HD43" s="589">
        <f t="shared" si="279"/>
        <v>0.11275740833751884</v>
      </c>
      <c r="HE43" s="589">
        <f>GA43/AK43</f>
        <v>0.5266903914590747</v>
      </c>
      <c r="HF43" s="589">
        <f t="shared" si="309"/>
        <v>9.5623987034035657E-2</v>
      </c>
      <c r="HG43" s="56">
        <v>0.1</v>
      </c>
      <c r="HH43" s="6">
        <f t="shared" si="57"/>
        <v>0.15829383886255924</v>
      </c>
      <c r="HI43" s="6">
        <f t="shared" ref="HI43:HI60" si="447">(GG43-GH43)/AR43</f>
        <v>0.15308201808054292</v>
      </c>
      <c r="HJ43" s="23">
        <f t="shared" si="280"/>
        <v>0.37725304998032272</v>
      </c>
      <c r="HK43" s="23">
        <f t="shared" si="280"/>
        <v>0.50087565674255696</v>
      </c>
      <c r="HL43" s="23">
        <f t="shared" si="281"/>
        <v>0.30785301708246282</v>
      </c>
      <c r="HM43" s="31">
        <f t="shared" si="282"/>
        <v>0.32064841976837027</v>
      </c>
      <c r="HN43" s="23">
        <f t="shared" ref="HN43:HN60" si="448">GI43/AS43</f>
        <v>0.38655967465098229</v>
      </c>
      <c r="HO43" s="23">
        <f t="shared" ref="HO43:HO60" si="449">GQ43/(W43-AP43-AU43)</f>
        <v>0.38806083843282635</v>
      </c>
      <c r="HP43" s="575">
        <v>50151</v>
      </c>
      <c r="HQ43" s="193"/>
      <c r="HR43" s="193"/>
      <c r="HS43" s="193"/>
      <c r="HT43" s="193"/>
      <c r="HU43" s="193"/>
      <c r="HV43" s="193"/>
      <c r="HW43" s="193"/>
      <c r="HX43" s="193"/>
      <c r="HY43" s="193"/>
      <c r="HZ43" s="193"/>
      <c r="IA43" s="193"/>
      <c r="IB43" s="193"/>
      <c r="IC43" s="193"/>
      <c r="ID43" s="193"/>
      <c r="IE43" s="193"/>
      <c r="IF43" s="193"/>
      <c r="IG43" s="193"/>
      <c r="IH43" s="193"/>
      <c r="II43" s="193"/>
      <c r="IJ43" s="193"/>
      <c r="IK43" s="193"/>
      <c r="IL43" s="193"/>
      <c r="IM43" s="575">
        <v>2843</v>
      </c>
      <c r="IN43" s="193"/>
      <c r="IO43" s="193"/>
      <c r="IP43" s="193"/>
      <c r="IQ43" s="193"/>
      <c r="IR43" s="193"/>
      <c r="IS43" s="193"/>
      <c r="IT43" s="193"/>
      <c r="IU43" s="193"/>
      <c r="IV43" s="193"/>
      <c r="IW43" s="193"/>
      <c r="IX43" s="149">
        <f t="shared" si="63"/>
        <v>775184</v>
      </c>
      <c r="IY43" s="316">
        <f t="shared" si="64"/>
        <v>26583</v>
      </c>
      <c r="IZ43" s="316">
        <f t="shared" si="65"/>
        <v>-526</v>
      </c>
      <c r="JA43" s="316">
        <f t="shared" si="66"/>
        <v>45923</v>
      </c>
      <c r="JB43" s="316">
        <f t="shared" si="67"/>
        <v>21457</v>
      </c>
      <c r="JC43" s="316">
        <f t="shared" si="68"/>
        <v>63838</v>
      </c>
      <c r="JD43" s="316">
        <f t="shared" si="69"/>
        <v>23136</v>
      </c>
      <c r="JE43" s="316">
        <f t="shared" si="70"/>
        <v>180411</v>
      </c>
      <c r="JF43" s="316">
        <f t="shared" si="71"/>
        <v>594773</v>
      </c>
      <c r="JG43" s="316">
        <f t="shared" si="72"/>
        <v>519831</v>
      </c>
      <c r="JH43" s="316">
        <f t="shared" si="73"/>
        <v>74942</v>
      </c>
      <c r="JI43" s="5">
        <v>1192648</v>
      </c>
      <c r="JJ43" s="552">
        <v>36198</v>
      </c>
      <c r="JK43" s="552">
        <v>17114</v>
      </c>
      <c r="JL43" s="552">
        <v>121745</v>
      </c>
      <c r="JM43" s="552">
        <v>55471</v>
      </c>
      <c r="JN43" s="552">
        <v>110250</v>
      </c>
      <c r="JO43" s="552">
        <v>30088</v>
      </c>
      <c r="JP43" s="552">
        <f t="shared" si="74"/>
        <v>370866</v>
      </c>
      <c r="JQ43" s="552">
        <f t="shared" si="75"/>
        <v>821782</v>
      </c>
      <c r="JR43" s="552">
        <f t="shared" si="76"/>
        <v>731855</v>
      </c>
      <c r="JS43" s="552">
        <v>89927</v>
      </c>
      <c r="JT43" s="149">
        <v>417464</v>
      </c>
      <c r="JU43" s="552">
        <v>9615</v>
      </c>
      <c r="JV43" s="552">
        <v>17640</v>
      </c>
      <c r="JW43" s="552">
        <v>75822</v>
      </c>
      <c r="JX43" s="552">
        <v>34014</v>
      </c>
      <c r="JY43" s="552">
        <v>46412</v>
      </c>
      <c r="JZ43" s="552">
        <v>6952</v>
      </c>
      <c r="KA43" s="552">
        <f t="shared" ref="KA43" si="450">JU43+JV43+JW43+JX43+JY43+JZ43</f>
        <v>190455</v>
      </c>
      <c r="KB43" s="552">
        <f t="shared" ref="KB43" si="451">JT43-KA43</f>
        <v>227009</v>
      </c>
      <c r="KC43" s="552">
        <f t="shared" si="369"/>
        <v>212024</v>
      </c>
      <c r="KD43" s="552">
        <v>14985</v>
      </c>
      <c r="KE43" s="149">
        <v>514257</v>
      </c>
      <c r="KF43" s="552">
        <v>7060</v>
      </c>
      <c r="KG43" s="552">
        <v>727</v>
      </c>
      <c r="KH43" s="552">
        <v>13543</v>
      </c>
      <c r="KI43" s="552">
        <v>3393</v>
      </c>
      <c r="KJ43" s="552">
        <v>6448</v>
      </c>
      <c r="KK43" s="552">
        <v>8777</v>
      </c>
      <c r="KL43" s="552">
        <f t="shared" ref="KL43" si="452">KF43+KG43+KH43+KI43+KJ43+KK43</f>
        <v>39948</v>
      </c>
      <c r="KM43" s="552">
        <f t="shared" ref="KM43" si="453">KE43-KL43</f>
        <v>474309</v>
      </c>
      <c r="KN43" s="552">
        <f t="shared" si="372"/>
        <v>342870</v>
      </c>
      <c r="KO43" s="552">
        <v>131439</v>
      </c>
      <c r="KP43" s="149">
        <v>155822</v>
      </c>
      <c r="KQ43" s="552">
        <v>2745</v>
      </c>
      <c r="KR43" s="552">
        <v>394</v>
      </c>
      <c r="KS43" s="552">
        <v>8417</v>
      </c>
      <c r="KT43" s="552">
        <v>5952</v>
      </c>
      <c r="KU43" s="552">
        <v>1381</v>
      </c>
      <c r="KV43" s="552">
        <v>3683</v>
      </c>
      <c r="KW43" s="552">
        <f t="shared" ref="KW43" si="454">KQ43+KR43+KS43+KT43+KU43+KV43</f>
        <v>22572</v>
      </c>
      <c r="KX43" s="552">
        <f t="shared" ref="KX43" si="455">KP43-KW43</f>
        <v>133250</v>
      </c>
      <c r="KY43" s="552">
        <f t="shared" si="396"/>
        <v>123281</v>
      </c>
      <c r="KZ43" s="552">
        <v>9969</v>
      </c>
      <c r="LA43" s="149">
        <f>'Assets(MOFA)'!IX43-'Assets(MOFA)'!KE43-'Assets(MOFA)'!KP43</f>
        <v>105105</v>
      </c>
      <c r="LB43" s="552">
        <f>'Assets(MOFA)'!IY43-'Assets(MOFA)'!KF43-'Assets(MOFA)'!KQ43</f>
        <v>16778</v>
      </c>
      <c r="LC43" s="552">
        <f>'Assets(MOFA)'!IZ43-'Assets(MOFA)'!KG43-'Assets(MOFA)'!KR43</f>
        <v>-1647</v>
      </c>
      <c r="LD43" s="552">
        <f>'Assets(MOFA)'!JA43-'Assets(MOFA)'!KH43-'Assets(MOFA)'!KS43</f>
        <v>23963</v>
      </c>
      <c r="LE43" s="552">
        <f>'Assets(MOFA)'!JB43-'Assets(MOFA)'!KI43-'Assets(MOFA)'!KT43</f>
        <v>12112</v>
      </c>
      <c r="LF43" s="552">
        <f>'Assets(MOFA)'!JC43-'Assets(MOFA)'!KJ43-'Assets(MOFA)'!KU43</f>
        <v>56009</v>
      </c>
      <c r="LG43" s="552">
        <f>'Assets(MOFA)'!JD43-'Assets(MOFA)'!KK43-'Assets(MOFA)'!KV43</f>
        <v>10676</v>
      </c>
      <c r="LH43" s="552">
        <f>'Assets(MOFA)'!JE43-'Assets(MOFA)'!KL43-'Assets(MOFA)'!KW43</f>
        <v>117891</v>
      </c>
      <c r="LI43" s="552">
        <f>'Assets(MOFA)'!JF43-'Assets(MOFA)'!KM43-'Assets(MOFA)'!KX43</f>
        <v>-12786</v>
      </c>
      <c r="LJ43" s="552">
        <f t="shared" si="77"/>
        <v>53680</v>
      </c>
      <c r="LK43" s="552">
        <f>'Assets(MOFA)'!JH43-'Assets(MOFA)'!KO43-'Assets(MOFA)'!KZ43</f>
        <v>-66466</v>
      </c>
      <c r="LL43" s="576">
        <f t="shared" si="78"/>
        <v>0.16018906478977896</v>
      </c>
      <c r="LM43" s="6">
        <f t="shared" si="79"/>
        <v>0.40676372117518717</v>
      </c>
      <c r="LN43" s="6">
        <f t="shared" si="80"/>
        <v>-1.0893536121673004</v>
      </c>
      <c r="LO43" s="6">
        <f t="shared" si="81"/>
        <v>0.14877076846024867</v>
      </c>
      <c r="LP43" s="6">
        <f t="shared" si="82"/>
        <v>0.16022743160740086</v>
      </c>
      <c r="LQ43" s="6">
        <f t="shared" si="83"/>
        <v>0.12475328174441555</v>
      </c>
      <c r="LR43" s="6">
        <f t="shared" si="84"/>
        <v>0.13334197786998617</v>
      </c>
      <c r="LS43" s="6">
        <f t="shared" si="85"/>
        <v>0.18128052058909933</v>
      </c>
      <c r="LT43" s="143">
        <f t="shared" si="86"/>
        <v>0.24356524671237495</v>
      </c>
      <c r="LU43" s="62">
        <f t="shared" si="87"/>
        <v>0.14069666315741292</v>
      </c>
      <c r="LV43" s="902">
        <f t="shared" si="88"/>
        <v>0.15379144648462523</v>
      </c>
      <c r="LW43" s="902">
        <f t="shared" si="89"/>
        <v>0.15152232167762214</v>
      </c>
      <c r="LX43" s="143">
        <f t="shared" si="90"/>
        <v>0.16953110405380162</v>
      </c>
      <c r="LY43" s="576">
        <f t="shared" si="91"/>
        <v>0.16385658114718571</v>
      </c>
      <c r="LZ43" s="906">
        <f t="shared" si="92"/>
        <v>0.40676372117518717</v>
      </c>
      <c r="MA43" s="906">
        <f t="shared" si="93"/>
        <v>-1.0893536121673004</v>
      </c>
      <c r="MB43" s="906">
        <f t="shared" si="94"/>
        <v>0.14877076846024867</v>
      </c>
      <c r="MC43" s="906">
        <f t="shared" si="95"/>
        <v>0.16022743160740086</v>
      </c>
      <c r="MD43" s="906">
        <f t="shared" si="96"/>
        <v>0.12475328174441555</v>
      </c>
      <c r="ME43" s="906">
        <v>6.1610529375296846E-2</v>
      </c>
      <c r="MF43" s="906">
        <f t="shared" si="97"/>
        <v>0.13334197786998617</v>
      </c>
      <c r="MG43" s="30">
        <f t="shared" si="98"/>
        <v>0.18128052058909933</v>
      </c>
      <c r="MH43" s="140">
        <f t="shared" si="99"/>
        <v>0.24356524671237495</v>
      </c>
      <c r="MI43" s="30">
        <f t="shared" si="100"/>
        <v>0.14069666315741292</v>
      </c>
      <c r="MJ43" s="30">
        <f t="shared" si="101"/>
        <v>0.15379144648462523</v>
      </c>
      <c r="MK43" s="617">
        <f t="shared" si="102"/>
        <v>0.15152232167762214</v>
      </c>
      <c r="ML43" s="615">
        <f t="shared" si="103"/>
        <v>0.16953110405380162</v>
      </c>
      <c r="MM43" s="574"/>
      <c r="MX43" s="613"/>
      <c r="MY43" s="552"/>
      <c r="MZ43" s="552"/>
      <c r="NA43" s="552"/>
      <c r="NB43" s="552"/>
      <c r="NC43" s="552"/>
      <c r="ND43" s="552"/>
      <c r="NE43" s="552"/>
      <c r="NF43" s="552"/>
      <c r="NG43" s="552"/>
      <c r="NH43" s="552"/>
      <c r="NI43" s="613">
        <f t="shared" si="364"/>
        <v>224556</v>
      </c>
      <c r="PN43" s="574"/>
      <c r="PO43" s="593"/>
      <c r="PP43" s="593"/>
      <c r="PQ43" s="593"/>
      <c r="PR43" s="593"/>
      <c r="PS43" s="593"/>
      <c r="PT43" s="593"/>
      <c r="PU43" s="593"/>
      <c r="PV43" s="593"/>
      <c r="PW43" s="593"/>
      <c r="PX43" s="593"/>
      <c r="PY43" s="593"/>
      <c r="PZ43" s="593"/>
      <c r="QA43" s="593"/>
      <c r="QB43" s="593"/>
      <c r="QC43" s="593"/>
      <c r="QD43" s="593"/>
      <c r="QE43" s="593"/>
      <c r="QF43" s="593"/>
      <c r="QG43" s="593"/>
      <c r="QH43" s="593"/>
      <c r="QI43" s="593"/>
      <c r="QJ43" s="593"/>
      <c r="QK43" s="593"/>
      <c r="QL43" s="593"/>
      <c r="QM43" s="593"/>
      <c r="QN43" s="593"/>
      <c r="QO43" s="593"/>
      <c r="QP43" s="593"/>
      <c r="QQ43" s="593"/>
      <c r="QR43" s="593"/>
      <c r="QS43" s="593"/>
      <c r="QT43" s="593"/>
      <c r="QU43" s="593"/>
      <c r="QV43" s="593"/>
      <c r="QW43" s="593"/>
      <c r="QX43" s="593"/>
      <c r="QY43" s="593"/>
      <c r="QZ43" s="593"/>
      <c r="RA43" s="593"/>
      <c r="RB43" s="593"/>
      <c r="RC43" s="593"/>
      <c r="RD43" s="593"/>
      <c r="RE43" s="593"/>
      <c r="RF43" s="593"/>
      <c r="RG43" s="593"/>
      <c r="RH43" s="593"/>
      <c r="RI43" s="593"/>
      <c r="RJ43" s="593"/>
      <c r="RK43" s="593"/>
      <c r="RL43" s="593"/>
      <c r="RM43" s="593"/>
      <c r="RN43" s="593"/>
      <c r="RO43" s="593"/>
      <c r="RP43" s="593"/>
      <c r="RQ43" s="593"/>
      <c r="RR43" s="593"/>
    </row>
    <row r="44" spans="1:486">
      <c r="A44" s="568">
        <v>1999</v>
      </c>
      <c r="B44" s="33">
        <v>254923</v>
      </c>
      <c r="C44" s="193">
        <v>2844</v>
      </c>
      <c r="D44" s="193">
        <v>488</v>
      </c>
      <c r="E44" s="193">
        <v>7686</v>
      </c>
      <c r="F44" s="193">
        <v>4099</v>
      </c>
      <c r="G44" s="193">
        <v>1299</v>
      </c>
      <c r="H44" s="193">
        <v>3442</v>
      </c>
      <c r="I44" s="193">
        <f t="shared" ref="I44:I52" si="456">H44+G44+F44+E44+D44+C44</f>
        <v>19858</v>
      </c>
      <c r="J44" s="193">
        <f t="shared" ref="J44:J52" si="457">B44-I44</f>
        <v>235065</v>
      </c>
      <c r="K44" s="193">
        <f t="shared" si="249"/>
        <v>228665</v>
      </c>
      <c r="L44" s="193">
        <v>6400</v>
      </c>
      <c r="M44" s="140">
        <f t="shared" si="217"/>
        <v>7.7898031954747121E-2</v>
      </c>
      <c r="N44" s="140">
        <f t="shared" si="250"/>
        <v>2.5105620128430938E-2</v>
      </c>
      <c r="O44" s="193">
        <v>3684300</v>
      </c>
      <c r="P44" s="32">
        <f t="shared" si="251"/>
        <v>6.9191705344298776E-2</v>
      </c>
      <c r="Q44" s="629">
        <f t="shared" si="218"/>
        <v>1.1156309944571499E-2</v>
      </c>
      <c r="R44" s="308">
        <f t="shared" si="219"/>
        <v>1.9143035347928591E-3</v>
      </c>
      <c r="S44" s="308">
        <f t="shared" si="220"/>
        <v>3.0150280672987528E-2</v>
      </c>
      <c r="T44" s="308">
        <f t="shared" si="221"/>
        <v>1.6079365141631004E-2</v>
      </c>
      <c r="U44" s="308">
        <f t="shared" si="222"/>
        <v>5.0956563354424668E-3</v>
      </c>
      <c r="V44" s="308">
        <f t="shared" si="223"/>
        <v>1.3502116325321764E-2</v>
      </c>
      <c r="W44" s="5">
        <v>141956</v>
      </c>
      <c r="X44" s="193">
        <v>11273</v>
      </c>
      <c r="Y44" s="76">
        <v>0</v>
      </c>
      <c r="Z44" s="76">
        <f t="shared" si="114"/>
        <v>11273</v>
      </c>
      <c r="AA44" s="193">
        <v>356</v>
      </c>
      <c r="AB44" s="66">
        <v>0</v>
      </c>
      <c r="AC44" s="274">
        <f t="shared" si="117"/>
        <v>356</v>
      </c>
      <c r="AD44" s="193">
        <v>6092</v>
      </c>
      <c r="AE44" s="357">
        <f>FT44/HA44</f>
        <v>370.87638133207253</v>
      </c>
      <c r="AF44" s="274">
        <f t="shared" si="119"/>
        <v>5721.1236186679271</v>
      </c>
      <c r="AG44" s="193">
        <v>3554</v>
      </c>
      <c r="AH44" s="357">
        <f t="shared" si="382"/>
        <v>191.30067425789665</v>
      </c>
      <c r="AI44" s="76">
        <f t="shared" si="287"/>
        <v>3362.6993257421032</v>
      </c>
      <c r="AJ44" s="193">
        <v>8003</v>
      </c>
      <c r="AK44" s="357">
        <f t="shared" ref="AK44:AK60" si="458">GA44/HE44</f>
        <v>578.04297934487795</v>
      </c>
      <c r="AL44" s="274">
        <f t="shared" si="123"/>
        <v>7424.9570206551216</v>
      </c>
      <c r="AM44" s="193">
        <v>4887</v>
      </c>
      <c r="AN44" s="357">
        <f>GE44/HG44</f>
        <v>95.004472271914153</v>
      </c>
      <c r="AO44" s="274">
        <f t="shared" si="125"/>
        <v>4791.995527728086</v>
      </c>
      <c r="AP44" s="193">
        <f t="shared" si="397"/>
        <v>34165</v>
      </c>
      <c r="AQ44" s="271">
        <f t="shared" si="398"/>
        <v>1235.2245072067612</v>
      </c>
      <c r="AR44" s="271">
        <f t="shared" si="126"/>
        <v>32929.77549279324</v>
      </c>
      <c r="AS44" s="193">
        <f t="shared" si="259"/>
        <v>107791</v>
      </c>
      <c r="AT44" s="193">
        <f t="shared" si="224"/>
        <v>89071</v>
      </c>
      <c r="AU44" s="193">
        <v>18720</v>
      </c>
      <c r="AV44" s="193">
        <v>6985</v>
      </c>
      <c r="AW44" s="23">
        <f t="shared" si="289"/>
        <v>0.37313034188034189</v>
      </c>
      <c r="AX44" s="271">
        <f t="shared" si="227"/>
        <v>123236</v>
      </c>
      <c r="AY44" s="140">
        <f t="shared" si="399"/>
        <v>0.24067316633323002</v>
      </c>
      <c r="AZ44" s="623">
        <f t="shared" si="129"/>
        <v>0.23197170597081659</v>
      </c>
      <c r="BA44" s="248">
        <f t="shared" si="400"/>
        <v>0.26720905817125873</v>
      </c>
      <c r="BB44" s="248">
        <f t="shared" si="130"/>
        <v>9.1474893699892895E-2</v>
      </c>
      <c r="BC44" s="248">
        <f t="shared" si="131"/>
        <v>2.8887662695965466E-3</v>
      </c>
      <c r="BD44" s="248">
        <f t="shared" si="132"/>
        <v>4.6424126218539447E-2</v>
      </c>
      <c r="BE44" s="248">
        <f t="shared" si="133"/>
        <v>2.7286664008423701E-2</v>
      </c>
      <c r="BF44" s="248">
        <f t="shared" si="134"/>
        <v>6.0249902793462311E-2</v>
      </c>
      <c r="BG44" s="248">
        <f t="shared" si="135"/>
        <v>3.8884705181343814E-2</v>
      </c>
      <c r="BH44" s="248">
        <f t="shared" si="136"/>
        <v>4.9312892488135994E-2</v>
      </c>
      <c r="BI44" s="23">
        <f t="shared" si="401"/>
        <v>0.22779869518647147</v>
      </c>
      <c r="BJ44" s="140">
        <f t="shared" si="402"/>
        <v>0.13187184761475387</v>
      </c>
      <c r="BK44" s="623">
        <f t="shared" si="137"/>
        <v>0.12317038725234045</v>
      </c>
      <c r="BL44" s="5">
        <v>-4534</v>
      </c>
      <c r="BM44" s="193">
        <v>-1385</v>
      </c>
      <c r="BN44" s="193">
        <v>157</v>
      </c>
      <c r="BO44" s="193">
        <v>-518</v>
      </c>
      <c r="BP44" s="193">
        <v>-1045</v>
      </c>
      <c r="BQ44" s="193">
        <v>-2937</v>
      </c>
      <c r="BR44" s="193">
        <v>-158</v>
      </c>
      <c r="BS44" s="193">
        <f t="shared" si="403"/>
        <v>-5886</v>
      </c>
      <c r="BT44" s="193">
        <f t="shared" si="365"/>
        <v>1352</v>
      </c>
      <c r="BU44" s="193">
        <f t="shared" si="373"/>
        <v>-795</v>
      </c>
      <c r="BV44" s="193">
        <v>2147</v>
      </c>
      <c r="BW44" s="5">
        <f t="shared" si="262"/>
        <v>96888</v>
      </c>
      <c r="BX44" s="193">
        <f t="shared" si="263"/>
        <v>10170</v>
      </c>
      <c r="BY44" s="193">
        <f t="shared" ref="BY44:BY60" si="459">Y44-FN44</f>
        <v>0</v>
      </c>
      <c r="BZ44" s="647">
        <f t="shared" si="149"/>
        <v>0.10496655932623235</v>
      </c>
      <c r="CA44" s="193">
        <f t="shared" si="264"/>
        <v>256</v>
      </c>
      <c r="CB44" s="193">
        <f t="shared" ref="CB44:CB60" si="460">AB44-FQ44</f>
        <v>0</v>
      </c>
      <c r="CC44" s="647">
        <f t="shared" si="404"/>
        <v>2.6422260754685825E-3</v>
      </c>
      <c r="CD44" s="193">
        <f t="shared" si="265"/>
        <v>4238</v>
      </c>
      <c r="CE44" s="193">
        <f t="shared" ref="CE44:CE60" si="461">AE44-FT44</f>
        <v>230.58922020961498</v>
      </c>
      <c r="CF44" s="655">
        <f t="shared" si="405"/>
        <v>4.1361270537015778E-2</v>
      </c>
      <c r="CG44" s="193">
        <f t="shared" si="266"/>
        <v>2837</v>
      </c>
      <c r="CH44" s="193">
        <f t="shared" ref="CH44:CH60" si="462">AH44-FX44</f>
        <v>172.17060683210698</v>
      </c>
      <c r="CI44" s="23">
        <f t="shared" si="406"/>
        <v>2.7504225426966115E-2</v>
      </c>
      <c r="CJ44" s="193">
        <f t="shared" si="267"/>
        <v>7350</v>
      </c>
      <c r="CK44" s="641">
        <f t="shared" ref="CK44:CK60" si="463">AK44-GA44</f>
        <v>359.39328186939287</v>
      </c>
      <c r="CL44" s="34">
        <f t="shared" si="158"/>
        <v>7.2151419351525539E-2</v>
      </c>
      <c r="CM44" s="193">
        <f t="shared" si="268"/>
        <v>4351</v>
      </c>
      <c r="CN44" s="193">
        <f t="shared" ref="CN44:CN60" si="464">AN44-GE44</f>
        <v>85.504025044722738</v>
      </c>
      <c r="CO44" s="23">
        <f t="shared" si="161"/>
        <v>4.402501831966061E-2</v>
      </c>
      <c r="CP44" s="193">
        <f t="shared" si="407"/>
        <v>29202</v>
      </c>
      <c r="CQ44" s="193">
        <f t="shared" si="162"/>
        <v>847.65713395583759</v>
      </c>
      <c r="CR44" s="193">
        <f t="shared" si="408"/>
        <v>67686</v>
      </c>
      <c r="CS44" s="248">
        <f t="shared" si="163"/>
        <v>0.29265071903686901</v>
      </c>
      <c r="CT44" s="30">
        <f t="shared" si="409"/>
        <v>0.30139955412434977</v>
      </c>
      <c r="CU44" s="308">
        <f t="shared" si="410"/>
        <v>0</v>
      </c>
      <c r="CV44" s="608">
        <f t="shared" si="269"/>
        <v>0.10496655932623235</v>
      </c>
      <c r="CW44" s="608">
        <f t="shared" si="270"/>
        <v>2.6422260754685825E-3</v>
      </c>
      <c r="CX44" s="608">
        <f t="shared" si="271"/>
        <v>4.3741226983733797E-2</v>
      </c>
      <c r="CY44" s="608">
        <f t="shared" si="272"/>
        <v>2.9281231937907687E-2</v>
      </c>
      <c r="CZ44" s="608">
        <f t="shared" si="327"/>
        <v>7.586078771364875E-2</v>
      </c>
      <c r="DA44" s="608">
        <f>'Assets(BoP)'!FK91</f>
        <v>8.5108097893772369E-2</v>
      </c>
      <c r="DB44" s="608">
        <f t="shared" si="273"/>
        <v>4.4907522087358598E-2</v>
      </c>
      <c r="DC44" s="23">
        <f t="shared" si="411"/>
        <v>0.33260616389686876</v>
      </c>
      <c r="DD44" s="193">
        <f t="shared" si="412"/>
        <v>85249</v>
      </c>
      <c r="DE44" s="193">
        <f t="shared" si="274"/>
        <v>11639</v>
      </c>
      <c r="DF44" s="193"/>
      <c r="DG44" s="193">
        <f>'Assets(BoP)'!DA91*1000</f>
        <v>10572.582892690512</v>
      </c>
      <c r="DH44" s="23">
        <f t="shared" si="413"/>
        <v>0.1201283956733548</v>
      </c>
      <c r="DI44" s="23"/>
      <c r="DJ44" s="23">
        <f t="shared" si="414"/>
        <v>0.25765832714061598</v>
      </c>
      <c r="DK44" s="600">
        <f>'Assets(BoP)'!FO91-'Assets(BoP)'!FH91</f>
        <v>0.237117592020961</v>
      </c>
      <c r="DL44" s="576">
        <f t="shared" si="415"/>
        <v>0.55685834546117852</v>
      </c>
      <c r="DM44" s="251">
        <f t="shared" si="416"/>
        <v>3.9637834036568216</v>
      </c>
      <c r="DN44" s="251">
        <f t="shared" si="417"/>
        <v>3.9637834036568216</v>
      </c>
      <c r="DO44" s="251">
        <f t="shared" si="418"/>
        <v>0.72950819672131151</v>
      </c>
      <c r="DP44" s="251">
        <f t="shared" si="419"/>
        <v>0.72950819672131151</v>
      </c>
      <c r="DQ44" s="251">
        <f t="shared" si="420"/>
        <v>0.79260994015092379</v>
      </c>
      <c r="DR44" s="251">
        <f t="shared" si="421"/>
        <v>0.75684200640884203</v>
      </c>
      <c r="DS44" s="251">
        <f t="shared" si="422"/>
        <v>0.86704074164430345</v>
      </c>
      <c r="DT44" s="251">
        <f t="shared" si="423"/>
        <v>0.83367238769276375</v>
      </c>
      <c r="DU44" s="251">
        <f t="shared" si="424"/>
        <v>6.1608929946112392</v>
      </c>
      <c r="DV44" s="251">
        <f t="shared" si="425"/>
        <v>6.7415127790658174</v>
      </c>
      <c r="DW44" s="251">
        <f t="shared" si="426"/>
        <v>1.4198140615920976</v>
      </c>
      <c r="DX44" s="251">
        <f t="shared" si="427"/>
        <v>1.4054751855559695</v>
      </c>
      <c r="DY44" s="251">
        <f t="shared" si="428"/>
        <v>0.78884267188646928</v>
      </c>
      <c r="DZ44" s="251">
        <f t="shared" si="429"/>
        <v>0.7551844247146019</v>
      </c>
      <c r="EA44" s="643">
        <f t="shared" si="430"/>
        <v>1.7204653036559574</v>
      </c>
      <c r="EB44" s="643">
        <f t="shared" si="431"/>
        <v>1.6942931697459387</v>
      </c>
      <c r="EC44" s="251">
        <f t="shared" si="432"/>
        <v>0.45855827111649972</v>
      </c>
      <c r="ED44" s="251">
        <f t="shared" si="433"/>
        <v>0.49587362135496516</v>
      </c>
      <c r="EE44" s="140">
        <f t="shared" si="434"/>
        <v>0.38952616272713358</v>
      </c>
      <c r="EF44" s="1342">
        <v>0.20684594572880907</v>
      </c>
      <c r="EG44" s="140">
        <f t="shared" si="228"/>
        <v>2.9249999999999998</v>
      </c>
      <c r="EH44" s="583">
        <v>17.970077821011671</v>
      </c>
      <c r="EI44" s="1344">
        <v>1.3457896683516213</v>
      </c>
      <c r="EJ44" s="576">
        <f t="shared" si="166"/>
        <v>0.38006770671928386</v>
      </c>
      <c r="EK44" s="753">
        <f t="shared" si="167"/>
        <v>1.4621749997785847</v>
      </c>
      <c r="EL44" s="753">
        <f t="shared" si="168"/>
        <v>1.81859375</v>
      </c>
      <c r="EM44" s="753">
        <f t="shared" si="169"/>
        <v>0.24510528502394333</v>
      </c>
      <c r="EN44" s="583"/>
      <c r="EO44" s="5">
        <v>162759</v>
      </c>
      <c r="EP44" s="193">
        <v>12252</v>
      </c>
      <c r="EQ44" s="193"/>
      <c r="ER44" s="193">
        <v>3932</v>
      </c>
      <c r="ES44" s="193"/>
      <c r="ET44" s="193">
        <v>17536</v>
      </c>
      <c r="EU44" s="193"/>
      <c r="EV44" s="193">
        <v>10982</v>
      </c>
      <c r="EW44" s="193"/>
      <c r="EX44" s="193">
        <v>16897</v>
      </c>
      <c r="EY44" s="193"/>
      <c r="EZ44" s="193">
        <v>3834</v>
      </c>
      <c r="FA44" s="193"/>
      <c r="FB44" s="193">
        <f t="shared" si="435"/>
        <v>65433</v>
      </c>
      <c r="FC44" s="193">
        <f t="shared" si="436"/>
        <v>97326</v>
      </c>
      <c r="FD44" s="23">
        <f t="shared" si="437"/>
        <v>0.40202385121560097</v>
      </c>
      <c r="FE44" s="23"/>
      <c r="FF44" s="23"/>
      <c r="FG44" s="23"/>
      <c r="FH44" s="23"/>
      <c r="FI44" s="23"/>
      <c r="FJ44" s="5">
        <v>45068</v>
      </c>
      <c r="FK44" s="143">
        <f>FJ44/'Assets(BoP)'!AV91/1000</f>
        <v>1.0910071818183997</v>
      </c>
      <c r="FL44" s="192"/>
      <c r="FM44" s="193">
        <v>1103</v>
      </c>
      <c r="FN44" s="66">
        <f t="shared" si="374"/>
        <v>0</v>
      </c>
      <c r="FO44" s="184">
        <f t="shared" si="383"/>
        <v>0</v>
      </c>
      <c r="FP44" s="193">
        <v>100</v>
      </c>
      <c r="FQ44" s="66">
        <f t="shared" si="375"/>
        <v>0</v>
      </c>
      <c r="FR44" s="184">
        <v>0</v>
      </c>
      <c r="FS44" s="193">
        <v>1854</v>
      </c>
      <c r="FT44" s="66">
        <f t="shared" ref="FT44:FT61" si="465">FT43*GO44/GO43</f>
        <v>140.28716112245755</v>
      </c>
      <c r="FU44" s="193">
        <f t="shared" si="175"/>
        <v>1713.7128388775425</v>
      </c>
      <c r="FV44" s="23">
        <f t="shared" si="376"/>
        <v>7.5667292946309361E-2</v>
      </c>
      <c r="FW44" s="193">
        <v>717</v>
      </c>
      <c r="FX44" s="66">
        <f t="shared" ref="FX44:FX61" si="466">FX43*GO44/GO43</f>
        <v>19.130067425789665</v>
      </c>
      <c r="FY44" s="23">
        <f t="shared" si="438"/>
        <v>2.6680707706819618E-2</v>
      </c>
      <c r="FZ44" s="193">
        <v>653</v>
      </c>
      <c r="GA44" s="66">
        <f t="shared" ref="GA44:GA61" si="467">GA43*GK44/GK43</f>
        <v>218.64969747548508</v>
      </c>
      <c r="GB44" s="193">
        <f t="shared" si="180"/>
        <v>434.35030252451492</v>
      </c>
      <c r="GC44" s="23">
        <f t="shared" si="366"/>
        <v>0.33483874039124822</v>
      </c>
      <c r="GD44" s="193">
        <v>536</v>
      </c>
      <c r="GE44" s="66">
        <f t="shared" si="384"/>
        <v>9.5004472271914153</v>
      </c>
      <c r="GF44" s="23">
        <f t="shared" si="377"/>
        <v>1.7724714976103388E-2</v>
      </c>
      <c r="GG44" s="193">
        <f t="shared" si="439"/>
        <v>4963</v>
      </c>
      <c r="GH44" s="193">
        <f t="shared" si="440"/>
        <v>387.56737325092377</v>
      </c>
      <c r="GI44" s="193">
        <f t="shared" si="441"/>
        <v>40105</v>
      </c>
      <c r="GJ44" s="23">
        <f t="shared" si="442"/>
        <v>0.11012248158338511</v>
      </c>
      <c r="GK44" s="330">
        <v>7081</v>
      </c>
      <c r="GL44" s="330">
        <v>3010</v>
      </c>
      <c r="GM44" s="23">
        <f>GK44/'Assets(BoP)'!AW91/1000</f>
        <v>1.0321263727309908</v>
      </c>
      <c r="GN44" s="23">
        <f t="shared" si="443"/>
        <v>0.15711813259962723</v>
      </c>
      <c r="GO44" s="330">
        <f t="shared" si="275"/>
        <v>37987</v>
      </c>
      <c r="GP44" s="23">
        <f>GO44/('Assets(BoP)'!AV91-'Assets(BoP)'!AW91)/1000</f>
        <v>1.1027337561442201</v>
      </c>
      <c r="GQ44" s="330">
        <f t="shared" si="444"/>
        <v>33024</v>
      </c>
      <c r="GR44" s="330">
        <v>3442</v>
      </c>
      <c r="GS44" s="140">
        <f t="shared" si="445"/>
        <v>0.30078613749104194</v>
      </c>
      <c r="GT44" s="582">
        <v>0.93862727583333305</v>
      </c>
      <c r="GU44" s="576">
        <f t="shared" si="446"/>
        <v>0.31747865535799824</v>
      </c>
      <c r="GV44" s="589">
        <f t="shared" si="276"/>
        <v>9.7844406990153468E-2</v>
      </c>
      <c r="GW44" s="589"/>
      <c r="GX44" s="589">
        <f t="shared" si="277"/>
        <v>0.2808988764044944</v>
      </c>
      <c r="GY44" s="589"/>
      <c r="GZ44" s="589">
        <f t="shared" si="308"/>
        <v>0.30433355219960606</v>
      </c>
      <c r="HA44" s="56">
        <f t="shared" si="385"/>
        <v>0.378258547008547</v>
      </c>
      <c r="HB44" s="589">
        <f t="shared" si="278"/>
        <v>0.20174451322453574</v>
      </c>
      <c r="HC44" s="56">
        <v>0.1</v>
      </c>
      <c r="HD44" s="589">
        <f t="shared" si="279"/>
        <v>8.1594402099212801E-2</v>
      </c>
      <c r="HE44" s="56">
        <f>HJ44</f>
        <v>0.378258547008547</v>
      </c>
      <c r="HF44" s="589">
        <f t="shared" si="309"/>
        <v>0.10967873951299366</v>
      </c>
      <c r="HG44" s="56">
        <v>0.1</v>
      </c>
      <c r="HH44" s="6">
        <f t="shared" si="57"/>
        <v>0.14526562271330309</v>
      </c>
      <c r="HI44" s="6">
        <f t="shared" si="447"/>
        <v>0.13894515095465562</v>
      </c>
      <c r="HJ44" s="23">
        <f t="shared" si="280"/>
        <v>0.378258547008547</v>
      </c>
      <c r="HK44" s="23">
        <f t="shared" si="280"/>
        <v>0.43092340730136008</v>
      </c>
      <c r="HL44" s="23">
        <f t="shared" si="281"/>
        <v>0.34691095014912654</v>
      </c>
      <c r="HM44" s="31">
        <f t="shared" si="282"/>
        <v>0.30824596708753937</v>
      </c>
      <c r="HN44" s="23">
        <f t="shared" si="448"/>
        <v>0.37206260262916196</v>
      </c>
      <c r="HO44" s="23">
        <f t="shared" si="449"/>
        <v>0.37076040462103266</v>
      </c>
      <c r="HP44" s="575">
        <v>65515</v>
      </c>
      <c r="HQ44" s="193"/>
      <c r="HR44" s="193"/>
      <c r="HS44" s="193"/>
      <c r="HT44" s="193"/>
      <c r="HU44" s="193"/>
      <c r="HV44" s="193"/>
      <c r="HW44" s="193"/>
      <c r="HX44" s="193"/>
      <c r="HY44" s="193"/>
      <c r="HZ44" s="193"/>
      <c r="IA44" s="193"/>
      <c r="IB44" s="193"/>
      <c r="IC44" s="193">
        <v>4083</v>
      </c>
      <c r="ID44" s="193"/>
      <c r="IE44" s="193"/>
      <c r="IF44" s="193"/>
      <c r="IG44" s="193"/>
      <c r="IH44" s="193"/>
      <c r="II44" s="193"/>
      <c r="IJ44" s="193"/>
      <c r="IK44" s="193"/>
      <c r="IL44" s="193"/>
      <c r="IM44" s="575">
        <v>4083</v>
      </c>
      <c r="IN44" s="193"/>
      <c r="IO44" s="193"/>
      <c r="IP44" s="193"/>
      <c r="IQ44" s="193"/>
      <c r="IR44" s="193"/>
      <c r="IS44" s="193"/>
      <c r="IT44" s="193"/>
      <c r="IU44" s="193"/>
      <c r="IV44" s="193"/>
      <c r="IW44" s="193"/>
      <c r="IX44" s="149">
        <f t="shared" si="63"/>
        <v>916404</v>
      </c>
      <c r="IY44" s="316">
        <f t="shared" si="64"/>
        <v>33667</v>
      </c>
      <c r="IZ44" s="316">
        <f t="shared" si="65"/>
        <v>4948</v>
      </c>
      <c r="JA44" s="316">
        <f t="shared" si="66"/>
        <v>59388</v>
      </c>
      <c r="JB44" s="316">
        <f t="shared" si="67"/>
        <v>20347</v>
      </c>
      <c r="JC44" s="316">
        <f t="shared" si="68"/>
        <v>83834</v>
      </c>
      <c r="JD44" s="316">
        <f t="shared" si="69"/>
        <v>27963</v>
      </c>
      <c r="JE44" s="316">
        <f t="shared" si="70"/>
        <v>230147</v>
      </c>
      <c r="JF44" s="316">
        <f t="shared" si="71"/>
        <v>686257</v>
      </c>
      <c r="JG44" s="316">
        <f t="shared" si="72"/>
        <v>618271</v>
      </c>
      <c r="JH44" s="316">
        <f t="shared" si="73"/>
        <v>67986</v>
      </c>
      <c r="JI44" s="5">
        <v>1447457</v>
      </c>
      <c r="JJ44" s="552">
        <v>46237</v>
      </c>
      <c r="JK44" s="552">
        <v>29055</v>
      </c>
      <c r="JL44" s="552">
        <v>151851</v>
      </c>
      <c r="JM44" s="552">
        <v>60582</v>
      </c>
      <c r="JN44" s="552">
        <v>154033</v>
      </c>
      <c r="JO44" s="552">
        <v>37240</v>
      </c>
      <c r="JP44" s="552">
        <f t="shared" si="74"/>
        <v>478998</v>
      </c>
      <c r="JQ44" s="552">
        <f t="shared" si="75"/>
        <v>968459</v>
      </c>
      <c r="JR44" s="552">
        <f t="shared" si="76"/>
        <v>888647</v>
      </c>
      <c r="JS44" s="552">
        <v>79812</v>
      </c>
      <c r="JT44" s="149">
        <v>531053</v>
      </c>
      <c r="JU44" s="552">
        <v>12570</v>
      </c>
      <c r="JV44" s="552">
        <v>24107</v>
      </c>
      <c r="JW44" s="552">
        <v>92463</v>
      </c>
      <c r="JX44" s="552">
        <v>40235</v>
      </c>
      <c r="JY44" s="552">
        <v>70199</v>
      </c>
      <c r="JZ44" s="552">
        <v>9277</v>
      </c>
      <c r="KA44" s="552">
        <f t="shared" ref="KA44" si="468">JU44+JV44+JW44+JX44+JY44+JZ44</f>
        <v>248851</v>
      </c>
      <c r="KB44" s="552">
        <f t="shared" ref="KB44" si="469">JT44-KA44</f>
        <v>282202</v>
      </c>
      <c r="KC44" s="552">
        <f t="shared" ref="KC44:KC48" si="470">KB44-KD44</f>
        <v>270376</v>
      </c>
      <c r="KD44" s="552">
        <v>11826</v>
      </c>
      <c r="KE44" s="149">
        <v>592891</v>
      </c>
      <c r="KF44" s="552">
        <v>8098</v>
      </c>
      <c r="KG44" s="552">
        <v>583</v>
      </c>
      <c r="KH44" s="552">
        <v>15173</v>
      </c>
      <c r="KI44" s="552">
        <v>3962</v>
      </c>
      <c r="KJ44" s="552">
        <v>13244</v>
      </c>
      <c r="KK44" s="552">
        <v>9747</v>
      </c>
      <c r="KL44" s="552">
        <f t="shared" ref="KL44" si="471">KF44+KG44+KH44+KI44+KJ44+KK44</f>
        <v>50807</v>
      </c>
      <c r="KM44" s="552">
        <f t="shared" ref="KM44" si="472">KE44-KL44</f>
        <v>542084</v>
      </c>
      <c r="KN44" s="552">
        <f t="shared" ref="KN44" si="473">KM44-KO44</f>
        <v>412616</v>
      </c>
      <c r="KO44" s="552">
        <v>129468</v>
      </c>
      <c r="KP44" s="149">
        <v>154788</v>
      </c>
      <c r="KQ44" s="552">
        <v>2904</v>
      </c>
      <c r="KR44" s="552">
        <v>479</v>
      </c>
      <c r="KS44" s="552">
        <v>7789</v>
      </c>
      <c r="KT44" s="552">
        <v>5640</v>
      </c>
      <c r="KU44" s="552">
        <v>1743</v>
      </c>
      <c r="KV44" s="552">
        <v>4117</v>
      </c>
      <c r="KW44" s="552">
        <f t="shared" ref="KW44" si="474">KQ44+KR44+KS44+KT44+KU44+KV44</f>
        <v>22672</v>
      </c>
      <c r="KX44" s="552">
        <f t="shared" ref="KX44" si="475">KP44-KW44</f>
        <v>132116</v>
      </c>
      <c r="KY44" s="552">
        <f t="shared" ref="KY44:KY48" si="476">KX44-KZ44</f>
        <v>121766.49954776856</v>
      </c>
      <c r="KZ44" s="1076">
        <f>KZ45*KP45/KP44</f>
        <v>10349.500452231439</v>
      </c>
      <c r="LA44" s="149">
        <f>'Assets(MOFA)'!IX44-'Assets(MOFA)'!KE44-'Assets(MOFA)'!KP44</f>
        <v>168725</v>
      </c>
      <c r="LB44" s="552">
        <f>'Assets(MOFA)'!IY44-'Assets(MOFA)'!KF44-'Assets(MOFA)'!KQ44</f>
        <v>22665</v>
      </c>
      <c r="LC44" s="552">
        <f>'Assets(MOFA)'!IZ44-'Assets(MOFA)'!KG44-'Assets(MOFA)'!KR44</f>
        <v>3886</v>
      </c>
      <c r="LD44" s="552">
        <f>'Assets(MOFA)'!JA44-'Assets(MOFA)'!KH44-'Assets(MOFA)'!KS44</f>
        <v>36426</v>
      </c>
      <c r="LE44" s="552">
        <f>'Assets(MOFA)'!JB44-'Assets(MOFA)'!KI44-'Assets(MOFA)'!KT44</f>
        <v>10745</v>
      </c>
      <c r="LF44" s="552">
        <f>'Assets(MOFA)'!JC44-'Assets(MOFA)'!KJ44-'Assets(MOFA)'!KU44</f>
        <v>68847</v>
      </c>
      <c r="LG44" s="552">
        <f>'Assets(MOFA)'!JD44-'Assets(MOFA)'!KK44-'Assets(MOFA)'!KV44</f>
        <v>14099</v>
      </c>
      <c r="LH44" s="552">
        <f>'Assets(MOFA)'!JE44-'Assets(MOFA)'!KL44-'Assets(MOFA)'!KW44</f>
        <v>156668</v>
      </c>
      <c r="LI44" s="552">
        <f>'Assets(MOFA)'!JF44-'Assets(MOFA)'!KM44-'Assets(MOFA)'!KX44</f>
        <v>12057</v>
      </c>
      <c r="LJ44" s="552">
        <f t="shared" si="77"/>
        <v>83888.500452231441</v>
      </c>
      <c r="LK44" s="552">
        <f>'Assets(MOFA)'!JH44-'Assets(MOFA)'!KO44-'Assets(MOFA)'!KZ44</f>
        <v>-71831.500452231441</v>
      </c>
      <c r="LL44" s="576">
        <f t="shared" si="78"/>
        <v>0.15490547836980195</v>
      </c>
      <c r="LM44" s="6">
        <f t="shared" si="79"/>
        <v>0.33483826892803042</v>
      </c>
      <c r="LN44" s="6">
        <f t="shared" si="80"/>
        <v>7.1948261924009702E-2</v>
      </c>
      <c r="LO44" s="6">
        <f t="shared" si="81"/>
        <v>0.10257964571967401</v>
      </c>
      <c r="LP44" s="6">
        <f t="shared" si="82"/>
        <v>0.17466948444488131</v>
      </c>
      <c r="LQ44" s="6">
        <f t="shared" si="83"/>
        <v>9.5462461531121021E-2</v>
      </c>
      <c r="LR44" s="6">
        <f t="shared" si="84"/>
        <v>0.17476665593820406</v>
      </c>
      <c r="LS44" s="6">
        <f t="shared" si="85"/>
        <v>0.14844860024245374</v>
      </c>
      <c r="LT44" s="143">
        <f t="shared" si="86"/>
        <v>0.24048208643887919</v>
      </c>
      <c r="LU44" s="62">
        <f t="shared" si="87"/>
        <v>9.7529864345009112E-2</v>
      </c>
      <c r="LV44" s="902">
        <f t="shared" si="88"/>
        <v>0.1570708932659339</v>
      </c>
      <c r="LW44" s="902">
        <f t="shared" si="89"/>
        <v>0.14406465773099497</v>
      </c>
      <c r="LX44" s="143">
        <f t="shared" si="90"/>
        <v>0.27535080751919511</v>
      </c>
      <c r="LY44" s="576">
        <f t="shared" si="91"/>
        <v>0.16381639538893328</v>
      </c>
      <c r="LZ44" s="906">
        <f t="shared" si="92"/>
        <v>0.33483826892803042</v>
      </c>
      <c r="MA44" s="906">
        <f t="shared" si="93"/>
        <v>7.1948261924009702E-2</v>
      </c>
      <c r="MB44" s="906">
        <f t="shared" si="94"/>
        <v>0.10257964571967401</v>
      </c>
      <c r="MC44" s="906">
        <f t="shared" si="95"/>
        <v>0.17466948444488131</v>
      </c>
      <c r="MD44" s="906">
        <f t="shared" si="96"/>
        <v>9.5462461531121021E-2</v>
      </c>
      <c r="ME44" s="906">
        <v>6.1610529375296846E-2</v>
      </c>
      <c r="MF44" s="906">
        <f t="shared" si="97"/>
        <v>0.17476665593820406</v>
      </c>
      <c r="MG44" s="30">
        <f t="shared" si="98"/>
        <v>0.14844860024245374</v>
      </c>
      <c r="MH44" s="140">
        <f t="shared" si="99"/>
        <v>0.24048208643887919</v>
      </c>
      <c r="MI44" s="30">
        <f t="shared" si="100"/>
        <v>9.7529864345009112E-2</v>
      </c>
      <c r="MJ44" s="30">
        <f t="shared" si="101"/>
        <v>0.1570708932659339</v>
      </c>
      <c r="MK44" s="617">
        <f t="shared" si="102"/>
        <v>0.14406465773099497</v>
      </c>
      <c r="ML44" s="615">
        <f t="shared" si="103"/>
        <v>0.27535080751919511</v>
      </c>
      <c r="MM44" s="574"/>
      <c r="MX44" s="613"/>
      <c r="MY44" s="552"/>
      <c r="MZ44" s="552"/>
      <c r="NA44" s="552"/>
      <c r="NB44" s="552"/>
      <c r="NC44" s="552"/>
      <c r="ND44" s="552"/>
      <c r="NE44" s="552"/>
      <c r="NF44" s="552"/>
      <c r="NG44" s="552"/>
      <c r="NH44" s="552"/>
      <c r="NI44" s="613">
        <f t="shared" si="364"/>
        <v>254923</v>
      </c>
      <c r="PN44" s="574"/>
      <c r="PO44" s="593"/>
      <c r="PP44" s="593"/>
      <c r="PQ44" s="593"/>
      <c r="PR44" s="593"/>
      <c r="PS44" s="593"/>
      <c r="PT44" s="593"/>
      <c r="PU44" s="593"/>
      <c r="PV44" s="593"/>
      <c r="PW44" s="593"/>
      <c r="PX44" s="593"/>
      <c r="PY44" s="593"/>
      <c r="PZ44" s="593"/>
      <c r="QA44" s="593"/>
      <c r="QB44" s="593"/>
      <c r="QC44" s="593"/>
      <c r="QD44" s="593"/>
      <c r="QE44" s="593"/>
      <c r="QF44" s="593"/>
      <c r="QG44" s="593"/>
      <c r="QH44" s="593"/>
      <c r="QI44" s="593"/>
      <c r="QJ44" s="593"/>
      <c r="QK44" s="593"/>
      <c r="QL44" s="593"/>
      <c r="QM44" s="593"/>
      <c r="QN44" s="593"/>
      <c r="QO44" s="593"/>
      <c r="QP44" s="593"/>
      <c r="QQ44" s="593"/>
      <c r="QR44" s="593"/>
      <c r="QS44" s="593"/>
      <c r="QT44" s="593"/>
      <c r="QU44" s="593"/>
      <c r="QV44" s="593"/>
      <c r="QW44" s="593"/>
      <c r="QX44" s="593"/>
      <c r="QY44" s="593"/>
      <c r="QZ44" s="593"/>
      <c r="RA44" s="593"/>
      <c r="RB44" s="593"/>
      <c r="RC44" s="593"/>
      <c r="RD44" s="593"/>
      <c r="RE44" s="593"/>
      <c r="RF44" s="593"/>
      <c r="RG44" s="593"/>
      <c r="RH44" s="593"/>
      <c r="RI44" s="593"/>
      <c r="RJ44" s="593"/>
      <c r="RK44" s="593"/>
      <c r="RL44" s="593"/>
      <c r="RM44" s="593"/>
      <c r="RN44" s="593"/>
      <c r="RO44" s="593"/>
      <c r="RP44" s="593"/>
      <c r="RQ44" s="593"/>
      <c r="RR44" s="593"/>
    </row>
    <row r="45" spans="1:486">
      <c r="A45" s="568">
        <v>2000</v>
      </c>
      <c r="B45" s="33">
        <v>264241</v>
      </c>
      <c r="C45" s="193">
        <v>3063</v>
      </c>
      <c r="D45" s="193">
        <v>424</v>
      </c>
      <c r="E45" s="193">
        <v>7784</v>
      </c>
      <c r="F45" s="193">
        <v>3992</v>
      </c>
      <c r="G45" s="193">
        <v>1272</v>
      </c>
      <c r="H45" s="193">
        <v>3571</v>
      </c>
      <c r="I45" s="193">
        <f t="shared" si="456"/>
        <v>20106</v>
      </c>
      <c r="J45" s="193">
        <f t="shared" si="457"/>
        <v>244135</v>
      </c>
      <c r="K45" s="193">
        <f t="shared" si="249"/>
        <v>237286</v>
      </c>
      <c r="L45" s="193">
        <v>6849</v>
      </c>
      <c r="M45" s="140">
        <f t="shared" si="217"/>
        <v>7.6089630299612854E-2</v>
      </c>
      <c r="N45" s="140">
        <f t="shared" si="250"/>
        <v>2.5919520437782177E-2</v>
      </c>
      <c r="O45" s="193">
        <v>4008900</v>
      </c>
      <c r="P45" s="32">
        <f t="shared" si="251"/>
        <v>6.5913592257227663E-2</v>
      </c>
      <c r="Q45" s="629">
        <f t="shared" si="218"/>
        <v>1.1591690918517566E-2</v>
      </c>
      <c r="R45" s="308">
        <f t="shared" si="219"/>
        <v>1.6045958045874788E-3</v>
      </c>
      <c r="S45" s="308">
        <f t="shared" si="220"/>
        <v>2.9457956940822962E-2</v>
      </c>
      <c r="T45" s="308">
        <f t="shared" si="221"/>
        <v>1.510742087715381E-2</v>
      </c>
      <c r="U45" s="308">
        <f t="shared" si="222"/>
        <v>4.8137874137624366E-3</v>
      </c>
      <c r="V45" s="308">
        <f t="shared" si="223"/>
        <v>1.3514178344768601E-2</v>
      </c>
      <c r="W45" s="5">
        <v>172155</v>
      </c>
      <c r="X45" s="193">
        <v>12482</v>
      </c>
      <c r="Y45" s="76">
        <v>0</v>
      </c>
      <c r="Z45" s="76">
        <f t="shared" si="114"/>
        <v>12482</v>
      </c>
      <c r="AA45" s="193">
        <v>-83</v>
      </c>
      <c r="AB45" s="66">
        <v>0</v>
      </c>
      <c r="AC45" s="274">
        <f t="shared" si="117"/>
        <v>-83</v>
      </c>
      <c r="AD45" s="193">
        <v>7636</v>
      </c>
      <c r="AE45" s="357">
        <f t="shared" ref="AE45:AE61" si="477">FT45/HA45</f>
        <v>365.58174873552878</v>
      </c>
      <c r="AF45" s="274">
        <f t="shared" si="119"/>
        <v>7270.4182512644711</v>
      </c>
      <c r="AG45" s="193">
        <v>3739</v>
      </c>
      <c r="AH45" s="357">
        <f t="shared" si="382"/>
        <v>213.03080323419971</v>
      </c>
      <c r="AI45" s="76">
        <f t="shared" si="287"/>
        <v>3525.9691967658005</v>
      </c>
      <c r="AJ45" s="193">
        <v>9451</v>
      </c>
      <c r="AK45" s="357">
        <f t="shared" si="458"/>
        <v>1264.4690173169204</v>
      </c>
      <c r="AL45" s="274">
        <f t="shared" si="123"/>
        <v>8186.5309826830799</v>
      </c>
      <c r="AM45" s="193">
        <v>8404</v>
      </c>
      <c r="AN45" s="357">
        <f t="shared" ref="AN45:AN61" si="478">GE45/HG45</f>
        <v>234.78085867620754</v>
      </c>
      <c r="AO45" s="274">
        <f t="shared" si="125"/>
        <v>8169.2191413237924</v>
      </c>
      <c r="AP45" s="193">
        <f t="shared" si="397"/>
        <v>41629</v>
      </c>
      <c r="AQ45" s="271">
        <f t="shared" si="398"/>
        <v>2077.8624279628566</v>
      </c>
      <c r="AR45" s="271">
        <f t="shared" si="126"/>
        <v>39551.137572037143</v>
      </c>
      <c r="AS45" s="193">
        <f t="shared" si="259"/>
        <v>130526</v>
      </c>
      <c r="AT45" s="193">
        <f t="shared" si="224"/>
        <v>89576</v>
      </c>
      <c r="AU45" s="193">
        <v>40950</v>
      </c>
      <c r="AV45" s="193">
        <v>10767</v>
      </c>
      <c r="AW45" s="23">
        <f t="shared" si="289"/>
        <v>0.26293040293040293</v>
      </c>
      <c r="AX45" s="271">
        <f t="shared" si="227"/>
        <v>131205</v>
      </c>
      <c r="AY45" s="140">
        <f t="shared" si="399"/>
        <v>0.24181115854898202</v>
      </c>
      <c r="AZ45" s="623">
        <f t="shared" si="129"/>
        <v>0.22974143981898373</v>
      </c>
      <c r="BA45" s="248">
        <f t="shared" si="400"/>
        <v>0.30144535324139432</v>
      </c>
      <c r="BB45" s="248">
        <f t="shared" si="130"/>
        <v>9.5133569604816892E-2</v>
      </c>
      <c r="BC45" s="248">
        <f t="shared" si="131"/>
        <v>-6.3259784307000491E-4</v>
      </c>
      <c r="BD45" s="248">
        <f t="shared" si="132"/>
        <v>5.5412661493574718E-2</v>
      </c>
      <c r="BE45" s="248">
        <f t="shared" si="133"/>
        <v>2.6873741067534016E-2</v>
      </c>
      <c r="BF45" s="248">
        <f t="shared" si="134"/>
        <v>6.2394961950254027E-2</v>
      </c>
      <c r="BG45" s="248">
        <f t="shared" si="135"/>
        <v>6.2263016968284686E-2</v>
      </c>
      <c r="BH45" s="248">
        <f t="shared" si="136"/>
        <v>5.4780063650504709E-2</v>
      </c>
      <c r="BI45" s="23">
        <f t="shared" si="401"/>
        <v>0.2590831142105865</v>
      </c>
      <c r="BJ45" s="140">
        <f t="shared" si="402"/>
        <v>0.23786703842467544</v>
      </c>
      <c r="BK45" s="623">
        <f t="shared" si="137"/>
        <v>0.22579731969467715</v>
      </c>
      <c r="BL45" s="5">
        <v>-13370</v>
      </c>
      <c r="BM45" s="193">
        <v>-1455</v>
      </c>
      <c r="BN45" s="193">
        <v>-126</v>
      </c>
      <c r="BO45" s="193">
        <v>-287</v>
      </c>
      <c r="BP45" s="193">
        <v>985</v>
      </c>
      <c r="BQ45" s="193">
        <v>-3012</v>
      </c>
      <c r="BR45" s="193">
        <v>-460</v>
      </c>
      <c r="BS45" s="193">
        <f t="shared" si="403"/>
        <v>-4355</v>
      </c>
      <c r="BT45" s="193">
        <f t="shared" si="365"/>
        <v>-9015</v>
      </c>
      <c r="BU45" s="193">
        <f t="shared" si="373"/>
        <v>-11296</v>
      </c>
      <c r="BV45" s="193">
        <v>2281</v>
      </c>
      <c r="BW45" s="5">
        <f t="shared" si="262"/>
        <v>112354</v>
      </c>
      <c r="BX45" s="193">
        <f t="shared" si="263"/>
        <v>11135</v>
      </c>
      <c r="BY45" s="193">
        <f t="shared" si="459"/>
        <v>0</v>
      </c>
      <c r="BZ45" s="647">
        <f t="shared" si="149"/>
        <v>9.9106395855955279E-2</v>
      </c>
      <c r="CA45" s="193">
        <f t="shared" si="264"/>
        <v>-186</v>
      </c>
      <c r="CB45" s="193">
        <f t="shared" si="460"/>
        <v>0</v>
      </c>
      <c r="CC45" s="647">
        <f t="shared" si="404"/>
        <v>-1.6554817807999714E-3</v>
      </c>
      <c r="CD45" s="193">
        <f t="shared" si="265"/>
        <v>5701</v>
      </c>
      <c r="CE45" s="193">
        <f t="shared" si="461"/>
        <v>209.35915969711564</v>
      </c>
      <c r="CF45" s="655">
        <f t="shared" si="405"/>
        <v>4.8878018052787478E-2</v>
      </c>
      <c r="CG45" s="193">
        <f t="shared" si="266"/>
        <v>2940</v>
      </c>
      <c r="CH45" s="193">
        <f t="shared" si="462"/>
        <v>191.72772291077973</v>
      </c>
      <c r="CI45" s="23">
        <f t="shared" si="406"/>
        <v>2.4460831631176638E-2</v>
      </c>
      <c r="CJ45" s="193">
        <f t="shared" si="267"/>
        <v>8241</v>
      </c>
      <c r="CK45" s="641">
        <f t="shared" si="463"/>
        <v>724.12852075944079</v>
      </c>
      <c r="CL45" s="34">
        <f t="shared" si="158"/>
        <v>6.6903461196224062E-2</v>
      </c>
      <c r="CM45" s="193">
        <f t="shared" si="268"/>
        <v>7840</v>
      </c>
      <c r="CN45" s="193">
        <f t="shared" si="464"/>
        <v>211.30277280858678</v>
      </c>
      <c r="CO45" s="23">
        <f t="shared" si="161"/>
        <v>6.7898759520723898E-2</v>
      </c>
      <c r="CP45" s="193">
        <f t="shared" si="407"/>
        <v>35671</v>
      </c>
      <c r="CQ45" s="193">
        <f t="shared" si="162"/>
        <v>1336.5181761759229</v>
      </c>
      <c r="CR45" s="193">
        <f t="shared" si="408"/>
        <v>76683</v>
      </c>
      <c r="CS45" s="248">
        <f t="shared" si="163"/>
        <v>0.30559198447606739</v>
      </c>
      <c r="CT45" s="30">
        <f t="shared" si="409"/>
        <v>0.317487583886644</v>
      </c>
      <c r="CU45" s="308">
        <f t="shared" si="410"/>
        <v>0</v>
      </c>
      <c r="CV45" s="608">
        <f t="shared" si="269"/>
        <v>9.9106395855955279E-2</v>
      </c>
      <c r="CW45" s="608">
        <f t="shared" si="270"/>
        <v>-1.6554817807999714E-3</v>
      </c>
      <c r="CX45" s="608">
        <f t="shared" si="271"/>
        <v>5.0741406625487297E-2</v>
      </c>
      <c r="CY45" s="608">
        <f t="shared" si="272"/>
        <v>2.6167292664257616E-2</v>
      </c>
      <c r="CZ45" s="608">
        <f t="shared" si="327"/>
        <v>7.3348523417056805E-2</v>
      </c>
      <c r="DA45" s="608">
        <f>'Assets(BoP)'!FK92</f>
        <v>8.3809240942936666E-2</v>
      </c>
      <c r="DB45" s="608">
        <f t="shared" si="273"/>
        <v>6.9779447104686976E-2</v>
      </c>
      <c r="DC45" s="23">
        <f t="shared" si="411"/>
        <v>0.38620161101227268</v>
      </c>
      <c r="DD45" s="193">
        <f t="shared" si="412"/>
        <v>88903</v>
      </c>
      <c r="DE45" s="193">
        <f t="shared" si="274"/>
        <v>23451</v>
      </c>
      <c r="DF45" s="193"/>
      <c r="DG45" s="193">
        <f>'Assets(BoP)'!DA92*1000</f>
        <v>16975.889787454642</v>
      </c>
      <c r="DH45" s="23">
        <f t="shared" si="413"/>
        <v>0.20872421097602223</v>
      </c>
      <c r="DI45" s="23"/>
      <c r="DJ45" s="23">
        <f t="shared" si="414"/>
        <v>0.26674617726115668</v>
      </c>
      <c r="DK45" s="600">
        <f>'Assets(BoP)'!FO92-'Assets(BoP)'!FH92</f>
        <v>0.21816093448708584</v>
      </c>
      <c r="DL45" s="576">
        <f t="shared" si="415"/>
        <v>0.65150752532725809</v>
      </c>
      <c r="DM45" s="251">
        <f t="shared" si="416"/>
        <v>4.0750897812602025</v>
      </c>
      <c r="DN45" s="251">
        <f t="shared" si="417"/>
        <v>4.0750897812602025</v>
      </c>
      <c r="DO45" s="251">
        <f t="shared" si="418"/>
        <v>-0.19575471698113209</v>
      </c>
      <c r="DP45" s="251">
        <f t="shared" si="419"/>
        <v>-0.19575471698113209</v>
      </c>
      <c r="DQ45" s="251">
        <f t="shared" si="420"/>
        <v>0.98098663926002061</v>
      </c>
      <c r="DR45" s="251">
        <f t="shared" si="421"/>
        <v>0.9414158144031094</v>
      </c>
      <c r="DS45" s="251">
        <f t="shared" si="422"/>
        <v>0.93662324649298601</v>
      </c>
      <c r="DT45" s="251">
        <f t="shared" si="423"/>
        <v>0.89121320434149898</v>
      </c>
      <c r="DU45" s="251">
        <f t="shared" si="424"/>
        <v>7.4300314465408803</v>
      </c>
      <c r="DV45" s="251">
        <f t="shared" si="425"/>
        <v>7.7193986516740765</v>
      </c>
      <c r="DW45" s="251">
        <f t="shared" si="426"/>
        <v>2.3534024082889946</v>
      </c>
      <c r="DX45" s="251">
        <f t="shared" si="427"/>
        <v>2.3130912957959691</v>
      </c>
      <c r="DY45" s="251">
        <f t="shared" si="428"/>
        <v>0.92019980506822607</v>
      </c>
      <c r="DZ45" s="251">
        <f t="shared" si="429"/>
        <v>0.88223220566303773</v>
      </c>
      <c r="EA45" s="643">
        <f t="shared" si="430"/>
        <v>2.070476474684174</v>
      </c>
      <c r="EB45" s="643">
        <f t="shared" si="431"/>
        <v>2.0017305979613447</v>
      </c>
      <c r="EC45" s="251">
        <f t="shared" si="432"/>
        <v>0.53464681426260063</v>
      </c>
      <c r="ED45" s="251">
        <f t="shared" si="433"/>
        <v>0.50974777770870894</v>
      </c>
      <c r="EE45" s="140">
        <f t="shared" si="434"/>
        <v>0.37750225466314913</v>
      </c>
      <c r="EF45" s="1342">
        <v>0.1764586883223366</v>
      </c>
      <c r="EG45" s="140">
        <f t="shared" si="228"/>
        <v>5.978975032851511</v>
      </c>
      <c r="EH45" s="583">
        <v>28.495449218749993</v>
      </c>
      <c r="EI45" s="1344">
        <v>1.3130721391538656</v>
      </c>
      <c r="EJ45" s="576">
        <f t="shared" si="166"/>
        <v>0.42519518167127734</v>
      </c>
      <c r="EK45" s="753">
        <f t="shared" si="167"/>
        <v>1.7414825618166976</v>
      </c>
      <c r="EL45" s="753">
        <f t="shared" si="168"/>
        <v>3.4240035041611914</v>
      </c>
      <c r="EM45" s="753">
        <f t="shared" si="169"/>
        <v>0.22433687617474271</v>
      </c>
      <c r="EN45" s="583"/>
      <c r="EO45" s="5">
        <v>199864</v>
      </c>
      <c r="EP45" s="193">
        <v>13339</v>
      </c>
      <c r="EQ45" s="193"/>
      <c r="ER45" s="193">
        <v>3444</v>
      </c>
      <c r="ES45" s="193"/>
      <c r="ET45" s="193">
        <v>17251</v>
      </c>
      <c r="EU45" s="193"/>
      <c r="EV45" s="193">
        <v>12142</v>
      </c>
      <c r="EW45" s="193"/>
      <c r="EX45" s="193">
        <v>21353</v>
      </c>
      <c r="EY45" s="193"/>
      <c r="EZ45" s="193">
        <v>8228</v>
      </c>
      <c r="FA45" s="193"/>
      <c r="FB45" s="193">
        <f t="shared" si="435"/>
        <v>75757</v>
      </c>
      <c r="FC45" s="193">
        <f t="shared" si="436"/>
        <v>124107</v>
      </c>
      <c r="FD45" s="23">
        <f t="shared" si="437"/>
        <v>0.37904274906936719</v>
      </c>
      <c r="FE45" s="23"/>
      <c r="FF45" s="23"/>
      <c r="FG45" s="23"/>
      <c r="FH45" s="23"/>
      <c r="FI45" s="23"/>
      <c r="FJ45" s="5">
        <v>59801</v>
      </c>
      <c r="FK45" s="143">
        <f>FJ45/'Assets(BoP)'!AV92/1000</f>
        <v>1.1387690249797948</v>
      </c>
      <c r="FL45" s="192"/>
      <c r="FM45" s="193">
        <v>1347</v>
      </c>
      <c r="FN45" s="66">
        <f t="shared" si="374"/>
        <v>0</v>
      </c>
      <c r="FO45" s="184">
        <f t="shared" si="383"/>
        <v>0</v>
      </c>
      <c r="FP45" s="193">
        <v>103</v>
      </c>
      <c r="FQ45" s="66">
        <f t="shared" si="375"/>
        <v>0</v>
      </c>
      <c r="FR45" s="184">
        <v>0</v>
      </c>
      <c r="FS45" s="193">
        <v>1935</v>
      </c>
      <c r="FT45" s="66">
        <f t="shared" si="465"/>
        <v>156.22258903841313</v>
      </c>
      <c r="FU45" s="193">
        <f t="shared" si="175"/>
        <v>1778.7774109615868</v>
      </c>
      <c r="FV45" s="23">
        <f t="shared" si="376"/>
        <v>8.073518813354684E-2</v>
      </c>
      <c r="FW45" s="193">
        <v>799</v>
      </c>
      <c r="FX45" s="66">
        <f t="shared" si="466"/>
        <v>21.303080323419973</v>
      </c>
      <c r="FY45" s="23">
        <f t="shared" si="438"/>
        <v>2.6662178126933632E-2</v>
      </c>
      <c r="FZ45" s="193">
        <v>1210</v>
      </c>
      <c r="GA45" s="66">
        <f t="shared" si="467"/>
        <v>540.34049655747958</v>
      </c>
      <c r="GB45" s="193">
        <f t="shared" si="180"/>
        <v>669.65950344252042</v>
      </c>
      <c r="GC45" s="23">
        <f t="shared" si="366"/>
        <v>0.44656239384915669</v>
      </c>
      <c r="GD45" s="193">
        <v>564</v>
      </c>
      <c r="GE45" s="66">
        <f t="shared" si="384"/>
        <v>23.478085867620756</v>
      </c>
      <c r="GF45" s="23">
        <f t="shared" si="377"/>
        <v>4.1627811822022617E-2</v>
      </c>
      <c r="GG45" s="193">
        <f t="shared" si="439"/>
        <v>5958</v>
      </c>
      <c r="GH45" s="193">
        <f t="shared" si="440"/>
        <v>741.34425178693346</v>
      </c>
      <c r="GI45" s="193">
        <f t="shared" si="441"/>
        <v>53843</v>
      </c>
      <c r="GJ45" s="23">
        <f t="shared" si="442"/>
        <v>9.9630440962525713E-2</v>
      </c>
      <c r="GK45" s="330">
        <v>17499</v>
      </c>
      <c r="GL45" s="330">
        <v>5925</v>
      </c>
      <c r="GM45" s="23">
        <f>GK45/'Assets(BoP)'!AW92/1000</f>
        <v>1.2780776846862059</v>
      </c>
      <c r="GN45" s="23">
        <f t="shared" si="443"/>
        <v>0.29262052474038897</v>
      </c>
      <c r="GO45" s="330">
        <f t="shared" si="275"/>
        <v>42302</v>
      </c>
      <c r="GP45" s="23">
        <f>GO45/('Assets(BoP)'!AV92-'Assets(BoP)'!AW92)/1000</f>
        <v>1.0896380424473029</v>
      </c>
      <c r="GQ45" s="330">
        <f t="shared" si="444"/>
        <v>36344</v>
      </c>
      <c r="GR45" s="330">
        <v>3899.7579999999998</v>
      </c>
      <c r="GS45" s="140">
        <f t="shared" si="445"/>
        <v>0.37490401263360335</v>
      </c>
      <c r="GT45" s="582">
        <v>1.08540083333333</v>
      </c>
      <c r="GU45" s="576">
        <f t="shared" si="446"/>
        <v>0.34736719816444483</v>
      </c>
      <c r="GV45" s="589">
        <f t="shared" si="276"/>
        <v>0.10791539817336965</v>
      </c>
      <c r="GW45" s="589"/>
      <c r="GX45" s="589">
        <f t="shared" si="277"/>
        <v>-1.2409638554216869</v>
      </c>
      <c r="GY45" s="589"/>
      <c r="GZ45" s="589">
        <f t="shared" si="308"/>
        <v>0.25340492404400211</v>
      </c>
      <c r="HA45" s="56">
        <f t="shared" si="385"/>
        <v>0.42732600732600734</v>
      </c>
      <c r="HB45" s="589">
        <f t="shared" si="278"/>
        <v>0.21369350093607917</v>
      </c>
      <c r="HC45" s="56">
        <v>0.1</v>
      </c>
      <c r="HD45" s="589">
        <f t="shared" si="279"/>
        <v>0.12802878002327797</v>
      </c>
      <c r="HE45" s="56">
        <f t="shared" ref="HE45:HE60" si="479">HJ45</f>
        <v>0.42732600732600734</v>
      </c>
      <c r="HF45" s="589">
        <f t="shared" si="309"/>
        <v>6.7110899571632562E-2</v>
      </c>
      <c r="HG45" s="56">
        <v>0.1</v>
      </c>
      <c r="HH45" s="6">
        <f t="shared" si="57"/>
        <v>0.14312138172908309</v>
      </c>
      <c r="HI45" s="6">
        <f t="shared" si="447"/>
        <v>0.13189647803964225</v>
      </c>
      <c r="HJ45" s="23">
        <f t="shared" si="280"/>
        <v>0.42732600732600734</v>
      </c>
      <c r="HK45" s="23">
        <f t="shared" si="280"/>
        <v>0.55029256060183895</v>
      </c>
      <c r="HL45" s="23">
        <f t="shared" si="281"/>
        <v>0.38346088857966404</v>
      </c>
      <c r="HM45" s="31">
        <f t="shared" si="282"/>
        <v>0.32241149346442588</v>
      </c>
      <c r="HN45" s="23">
        <f t="shared" si="448"/>
        <v>0.41250785284157948</v>
      </c>
      <c r="HO45" s="23">
        <f t="shared" si="449"/>
        <v>0.40573367866392784</v>
      </c>
      <c r="HP45" s="575">
        <v>81302</v>
      </c>
      <c r="HQ45" s="193"/>
      <c r="HR45" s="193"/>
      <c r="HS45" s="193"/>
      <c r="HT45" s="193"/>
      <c r="HU45" s="193"/>
      <c r="HV45" s="193"/>
      <c r="HW45" s="193"/>
      <c r="HX45" s="193"/>
      <c r="HY45" s="193"/>
      <c r="HZ45" s="193"/>
      <c r="IA45" s="193"/>
      <c r="IB45" s="193"/>
      <c r="IC45" s="193"/>
      <c r="ID45" s="193"/>
      <c r="IE45" s="193"/>
      <c r="IF45" s="193"/>
      <c r="IG45" s="193"/>
      <c r="IH45" s="193"/>
      <c r="II45" s="193"/>
      <c r="IJ45" s="193"/>
      <c r="IK45" s="193"/>
      <c r="IL45" s="193"/>
      <c r="IM45" s="575">
        <v>9369</v>
      </c>
      <c r="IN45" s="193"/>
      <c r="IO45" s="193"/>
      <c r="IP45" s="193"/>
      <c r="IQ45" s="193"/>
      <c r="IR45" s="193"/>
      <c r="IS45" s="193"/>
      <c r="IT45" s="193"/>
      <c r="IU45" s="193"/>
      <c r="IV45" s="193"/>
      <c r="IW45" s="193"/>
      <c r="IX45" s="149">
        <f t="shared" si="63"/>
        <v>1039516</v>
      </c>
      <c r="IY45" s="316">
        <f t="shared" si="64"/>
        <v>41418</v>
      </c>
      <c r="IZ45" s="316">
        <f t="shared" si="65"/>
        <v>9733</v>
      </c>
      <c r="JA45" s="316">
        <f t="shared" si="66"/>
        <v>58117</v>
      </c>
      <c r="JB45" s="316">
        <f t="shared" si="67"/>
        <v>34196</v>
      </c>
      <c r="JC45" s="316">
        <f t="shared" si="68"/>
        <v>89780</v>
      </c>
      <c r="JD45" s="316">
        <f t="shared" si="69"/>
        <v>34076</v>
      </c>
      <c r="JE45" s="316">
        <f t="shared" si="70"/>
        <v>267320</v>
      </c>
      <c r="JF45" s="316">
        <f t="shared" si="71"/>
        <v>772196</v>
      </c>
      <c r="JG45" s="316">
        <f t="shared" si="72"/>
        <v>698758</v>
      </c>
      <c r="JH45" s="316">
        <f t="shared" si="73"/>
        <v>73438</v>
      </c>
      <c r="JI45" s="5">
        <v>1813330</v>
      </c>
      <c r="JJ45" s="552">
        <v>54288</v>
      </c>
      <c r="JK45" s="552">
        <v>100400</v>
      </c>
      <c r="JL45" s="552">
        <v>201250</v>
      </c>
      <c r="JM45" s="552">
        <v>78875</v>
      </c>
      <c r="JN45" s="552">
        <v>186141</v>
      </c>
      <c r="JO45" s="552">
        <v>41065</v>
      </c>
      <c r="JP45" s="552">
        <f t="shared" ref="JP45" si="480">JJ45+JK45+JL45+JM45+JN45+JO45</f>
        <v>662019</v>
      </c>
      <c r="JQ45" s="552">
        <f t="shared" ref="JQ45" si="481">JI45-JP45</f>
        <v>1151311</v>
      </c>
      <c r="JR45" s="552">
        <f t="shared" si="76"/>
        <v>1061503</v>
      </c>
      <c r="JS45" s="552">
        <v>89808</v>
      </c>
      <c r="JT45" s="149">
        <v>773814</v>
      </c>
      <c r="JU45" s="552">
        <v>12870</v>
      </c>
      <c r="JV45" s="552">
        <v>90667</v>
      </c>
      <c r="JW45" s="552">
        <v>143133</v>
      </c>
      <c r="JX45" s="552">
        <v>44679</v>
      </c>
      <c r="JY45" s="552">
        <v>96361</v>
      </c>
      <c r="JZ45" s="552">
        <v>6989</v>
      </c>
      <c r="KA45" s="552">
        <f t="shared" ref="KA45" si="482">JU45+JV45+JW45+JX45+JY45+JZ45</f>
        <v>394699</v>
      </c>
      <c r="KB45" s="552">
        <f t="shared" ref="KB45" si="483">JT45-KA45</f>
        <v>379115</v>
      </c>
      <c r="KC45" s="552">
        <f t="shared" si="470"/>
        <v>362745</v>
      </c>
      <c r="KD45" s="552">
        <v>16370</v>
      </c>
      <c r="KE45" s="149">
        <v>613921</v>
      </c>
      <c r="KF45" s="552">
        <v>8778</v>
      </c>
      <c r="KG45" s="552">
        <v>576</v>
      </c>
      <c r="KH45" s="552">
        <v>15964</v>
      </c>
      <c r="KI45" s="552">
        <v>4365</v>
      </c>
      <c r="KJ45" s="552">
        <v>15435</v>
      </c>
      <c r="KK45" s="552">
        <v>10595</v>
      </c>
      <c r="KL45" s="552">
        <f t="shared" ref="KL45" si="484">KF45+KG45+KH45+KI45+KJ45+KK45</f>
        <v>55713</v>
      </c>
      <c r="KM45" s="552">
        <f t="shared" ref="KM45" si="485">KE45-KL45</f>
        <v>558208</v>
      </c>
      <c r="KN45" s="552">
        <f t="shared" ref="KN45:KN48" si="486">KM45-KO45</f>
        <v>428081</v>
      </c>
      <c r="KO45" s="552">
        <v>130127</v>
      </c>
      <c r="KP45" s="149">
        <v>163234</v>
      </c>
      <c r="KQ45" s="552">
        <v>3829</v>
      </c>
      <c r="KR45" s="552">
        <v>682</v>
      </c>
      <c r="KS45" s="552">
        <v>8228</v>
      </c>
      <c r="KT45" s="552">
        <v>6056</v>
      </c>
      <c r="KU45" s="552">
        <v>1730</v>
      </c>
      <c r="KV45" s="552">
        <v>4306</v>
      </c>
      <c r="KW45" s="552">
        <f t="shared" ref="KW45" si="487">KQ45+KR45+KS45+KT45+KU45+KV45</f>
        <v>24831</v>
      </c>
      <c r="KX45" s="552">
        <f t="shared" ref="KX45" si="488">KP45-KW45</f>
        <v>138403</v>
      </c>
      <c r="KY45" s="552">
        <f t="shared" si="476"/>
        <v>128589</v>
      </c>
      <c r="KZ45" s="552">
        <v>9814</v>
      </c>
      <c r="LA45" s="149">
        <f>'Assets(MOFA)'!IX45-'Assets(MOFA)'!KE45-'Assets(MOFA)'!KP45</f>
        <v>262361</v>
      </c>
      <c r="LB45" s="552">
        <f>'Assets(MOFA)'!IY45-'Assets(MOFA)'!KF45-'Assets(MOFA)'!KQ45</f>
        <v>28811</v>
      </c>
      <c r="LC45" s="552">
        <f>'Assets(MOFA)'!IZ45-'Assets(MOFA)'!KG45-'Assets(MOFA)'!KR45</f>
        <v>8475</v>
      </c>
      <c r="LD45" s="552">
        <f>'Assets(MOFA)'!JA45-'Assets(MOFA)'!KH45-'Assets(MOFA)'!KS45</f>
        <v>33925</v>
      </c>
      <c r="LE45" s="552">
        <f>'Assets(MOFA)'!JB45-'Assets(MOFA)'!KI45-'Assets(MOFA)'!KT45</f>
        <v>23775</v>
      </c>
      <c r="LF45" s="552">
        <f>'Assets(MOFA)'!JC45-'Assets(MOFA)'!KJ45-'Assets(MOFA)'!KU45</f>
        <v>72615</v>
      </c>
      <c r="LG45" s="552">
        <f>'Assets(MOFA)'!JD45-'Assets(MOFA)'!KK45-'Assets(MOFA)'!KV45</f>
        <v>19175</v>
      </c>
      <c r="LH45" s="552">
        <f>'Assets(MOFA)'!JE45-'Assets(MOFA)'!KL45-'Assets(MOFA)'!KW45</f>
        <v>186776</v>
      </c>
      <c r="LI45" s="552">
        <f>'Assets(MOFA)'!JF45-'Assets(MOFA)'!KM45-'Assets(MOFA)'!KX45</f>
        <v>75585</v>
      </c>
      <c r="LJ45" s="552">
        <f t="shared" si="77"/>
        <v>142088</v>
      </c>
      <c r="LK45" s="552">
        <f>'Assets(MOFA)'!JH45-'Assets(MOFA)'!KO45-'Assets(MOFA)'!KZ45</f>
        <v>-66503</v>
      </c>
      <c r="LL45" s="576">
        <f t="shared" si="78"/>
        <v>0.16561072653042377</v>
      </c>
      <c r="LM45" s="6">
        <f t="shared" si="79"/>
        <v>0.30136655560384373</v>
      </c>
      <c r="LN45" s="6">
        <f t="shared" si="80"/>
        <v>-8.5276893044282341E-3</v>
      </c>
      <c r="LO45" s="6">
        <f t="shared" si="81"/>
        <v>0.13139012681315279</v>
      </c>
      <c r="LP45" s="6">
        <f t="shared" si="82"/>
        <v>0.10934027371622412</v>
      </c>
      <c r="LQ45" s="6">
        <f t="shared" si="83"/>
        <v>0.10526843394965471</v>
      </c>
      <c r="LR45" s="6">
        <f t="shared" si="84"/>
        <v>0.24662519075008804</v>
      </c>
      <c r="LS45" s="6">
        <f t="shared" si="85"/>
        <v>0.15572721831512792</v>
      </c>
      <c r="LT45" s="143">
        <f t="shared" si="86"/>
        <v>0.22449630777646093</v>
      </c>
      <c r="LU45" s="62">
        <f t="shared" si="87"/>
        <v>0.10787286684006851</v>
      </c>
      <c r="LV45" s="902">
        <f t="shared" si="88"/>
        <v>0.16903221461908635</v>
      </c>
      <c r="LW45" s="902">
        <f t="shared" si="89"/>
        <v>0.1281931655880863</v>
      </c>
      <c r="LX45" s="143">
        <f t="shared" si="90"/>
        <v>0.55761322476102293</v>
      </c>
      <c r="LY45" s="576">
        <f t="shared" si="91"/>
        <v>0.17462357481751123</v>
      </c>
      <c r="LZ45" s="906">
        <f t="shared" si="92"/>
        <v>0.30136655560384373</v>
      </c>
      <c r="MA45" s="906">
        <f t="shared" si="93"/>
        <v>-8.5276893044282341E-3</v>
      </c>
      <c r="MB45" s="906">
        <f t="shared" si="94"/>
        <v>0.13139012681315279</v>
      </c>
      <c r="MC45" s="906">
        <f t="shared" si="95"/>
        <v>0.10934027371622412</v>
      </c>
      <c r="MD45" s="906">
        <f t="shared" si="96"/>
        <v>0.10526843394965471</v>
      </c>
      <c r="ME45" s="906">
        <v>6.1610529375296846E-2</v>
      </c>
      <c r="MF45" s="906">
        <f t="shared" si="97"/>
        <v>0.24662519075008804</v>
      </c>
      <c r="MG45" s="30">
        <f t="shared" si="98"/>
        <v>0.15572721831512792</v>
      </c>
      <c r="MH45" s="140">
        <f t="shared" si="99"/>
        <v>0.22449630777646093</v>
      </c>
      <c r="MI45" s="30">
        <f t="shared" si="100"/>
        <v>0.10787286684006851</v>
      </c>
      <c r="MJ45" s="30">
        <f t="shared" si="101"/>
        <v>0.16903221461908635</v>
      </c>
      <c r="MK45" s="617">
        <f t="shared" si="102"/>
        <v>0.1281931655880863</v>
      </c>
      <c r="ML45" s="615">
        <f t="shared" si="103"/>
        <v>0.55761322476102293</v>
      </c>
      <c r="MM45" s="574"/>
      <c r="MX45" s="613"/>
      <c r="MY45" s="552"/>
      <c r="MZ45" s="552"/>
      <c r="NA45" s="552"/>
      <c r="NB45" s="552"/>
      <c r="NC45" s="552"/>
      <c r="ND45" s="552"/>
      <c r="NE45" s="552"/>
      <c r="NF45" s="552"/>
      <c r="NG45" s="552"/>
      <c r="NH45" s="552"/>
      <c r="NI45" s="613">
        <f t="shared" si="364"/>
        <v>264241</v>
      </c>
      <c r="PN45" s="574"/>
      <c r="PO45" s="593"/>
      <c r="PP45" s="593"/>
      <c r="PQ45" s="593"/>
      <c r="PR45" s="593"/>
      <c r="PS45" s="593"/>
      <c r="PT45" s="593"/>
      <c r="PU45" s="593"/>
      <c r="PV45" s="593"/>
      <c r="PW45" s="593"/>
      <c r="PX45" s="593"/>
      <c r="PY45" s="593"/>
      <c r="PZ45" s="593"/>
      <c r="QA45" s="593"/>
      <c r="QB45" s="593"/>
      <c r="QC45" s="593"/>
      <c r="QD45" s="593"/>
      <c r="QE45" s="593"/>
      <c r="QF45" s="593"/>
      <c r="QG45" s="593"/>
      <c r="QH45" s="593"/>
      <c r="QI45" s="593"/>
      <c r="QJ45" s="593"/>
      <c r="QK45" s="593"/>
      <c r="QL45" s="593"/>
      <c r="QM45" s="593"/>
      <c r="QN45" s="593"/>
      <c r="QO45" s="593"/>
      <c r="QP45" s="593"/>
      <c r="QQ45" s="593"/>
      <c r="QR45" s="593"/>
      <c r="QS45" s="593"/>
      <c r="QT45" s="593"/>
      <c r="QU45" s="593"/>
      <c r="QV45" s="593"/>
      <c r="QW45" s="593"/>
      <c r="QX45" s="593"/>
      <c r="QY45" s="593"/>
      <c r="QZ45" s="593"/>
      <c r="RA45" s="593"/>
      <c r="RB45" s="593"/>
      <c r="RC45" s="593"/>
      <c r="RD45" s="593"/>
      <c r="RE45" s="593"/>
      <c r="RF45" s="593"/>
      <c r="RG45" s="593"/>
      <c r="RH45" s="593"/>
      <c r="RI45" s="593"/>
      <c r="RJ45" s="593"/>
      <c r="RK45" s="593"/>
      <c r="RL45" s="593"/>
      <c r="RM45" s="593"/>
      <c r="RN45" s="593"/>
      <c r="RO45" s="593"/>
      <c r="RP45" s="593"/>
      <c r="RQ45" s="593"/>
      <c r="RR45" s="593"/>
    </row>
    <row r="46" spans="1:486">
      <c r="A46" s="568">
        <v>2001</v>
      </c>
      <c r="B46" s="33">
        <v>264707</v>
      </c>
      <c r="C46" s="193">
        <v>3108</v>
      </c>
      <c r="D46" s="193">
        <v>428</v>
      </c>
      <c r="E46" s="193">
        <v>7801</v>
      </c>
      <c r="F46" s="193">
        <v>4081</v>
      </c>
      <c r="G46" s="193">
        <v>1374</v>
      </c>
      <c r="H46" s="193">
        <v>3519</v>
      </c>
      <c r="I46" s="193">
        <f t="shared" si="456"/>
        <v>20311</v>
      </c>
      <c r="J46" s="193">
        <f t="shared" si="457"/>
        <v>244396</v>
      </c>
      <c r="K46" s="193">
        <f t="shared" si="249"/>
        <v>237851</v>
      </c>
      <c r="L46" s="193">
        <v>6545</v>
      </c>
      <c r="M46" s="140">
        <f t="shared" si="217"/>
        <v>7.6730120472824667E-2</v>
      </c>
      <c r="N46" s="140">
        <f t="shared" si="250"/>
        <v>2.4725451159206217E-2</v>
      </c>
      <c r="O46" s="193">
        <v>4015600</v>
      </c>
      <c r="P46" s="32">
        <f t="shared" si="251"/>
        <v>6.5919663313078997E-2</v>
      </c>
      <c r="Q46" s="629">
        <f t="shared" si="218"/>
        <v>1.1741283759024128E-2</v>
      </c>
      <c r="R46" s="308">
        <f t="shared" si="219"/>
        <v>1.6168820620535158E-3</v>
      </c>
      <c r="S46" s="308">
        <f t="shared" si="220"/>
        <v>2.9470320014204385E-2</v>
      </c>
      <c r="T46" s="308">
        <f t="shared" si="221"/>
        <v>1.5417046016916817E-2</v>
      </c>
      <c r="U46" s="308">
        <f t="shared" si="222"/>
        <v>5.1906447506110528E-3</v>
      </c>
      <c r="V46" s="308">
        <f t="shared" si="223"/>
        <v>1.3293943870014771E-2</v>
      </c>
      <c r="W46" s="5">
        <v>141198</v>
      </c>
      <c r="X46" s="193">
        <v>12714</v>
      </c>
      <c r="Y46" s="76">
        <v>0</v>
      </c>
      <c r="Z46" s="76">
        <f t="shared" si="114"/>
        <v>12714</v>
      </c>
      <c r="AA46" s="193">
        <v>-170</v>
      </c>
      <c r="AB46" s="66">
        <v>0</v>
      </c>
      <c r="AC46" s="274">
        <f t="shared" si="117"/>
        <v>-170</v>
      </c>
      <c r="AD46" s="193">
        <v>7047</v>
      </c>
      <c r="AE46" s="357">
        <f t="shared" si="477"/>
        <v>345.06421008067895</v>
      </c>
      <c r="AF46" s="274">
        <f t="shared" si="119"/>
        <v>6701.935789919321</v>
      </c>
      <c r="AG46" s="193">
        <v>3472</v>
      </c>
      <c r="AH46" s="357">
        <f t="shared" si="382"/>
        <v>202.65674397784184</v>
      </c>
      <c r="AI46" s="76">
        <f t="shared" si="287"/>
        <v>3269.3432560221581</v>
      </c>
      <c r="AJ46" s="193">
        <v>9890</v>
      </c>
      <c r="AK46" s="357">
        <f t="shared" si="458"/>
        <v>1073.4245775088668</v>
      </c>
      <c r="AL46" s="274">
        <f t="shared" si="123"/>
        <v>8816.5754224911325</v>
      </c>
      <c r="AM46" s="193">
        <v>5151</v>
      </c>
      <c r="AN46" s="357">
        <f t="shared" si="478"/>
        <v>200.87656529516997</v>
      </c>
      <c r="AO46" s="274">
        <f t="shared" si="125"/>
        <v>4950.1234347048303</v>
      </c>
      <c r="AP46" s="193">
        <f t="shared" si="397"/>
        <v>38104</v>
      </c>
      <c r="AQ46" s="271">
        <f t="shared" si="398"/>
        <v>1822.0220968625576</v>
      </c>
      <c r="AR46" s="271">
        <f t="shared" si="126"/>
        <v>36281.977903137442</v>
      </c>
      <c r="AS46" s="193">
        <f t="shared" si="259"/>
        <v>103094</v>
      </c>
      <c r="AT46" s="193">
        <f t="shared" si="224"/>
        <v>68331</v>
      </c>
      <c r="AU46" s="193">
        <v>34763</v>
      </c>
      <c r="AV46" s="193">
        <v>9485</v>
      </c>
      <c r="AW46" s="23">
        <f t="shared" si="289"/>
        <v>0.2728475678163565</v>
      </c>
      <c r="AX46" s="271">
        <f t="shared" si="227"/>
        <v>106435</v>
      </c>
      <c r="AY46" s="140">
        <f t="shared" si="399"/>
        <v>0.26986217935098233</v>
      </c>
      <c r="AZ46" s="623">
        <f t="shared" si="129"/>
        <v>0.25695815736155925</v>
      </c>
      <c r="BA46" s="248">
        <f t="shared" si="400"/>
        <v>0.34088390006236147</v>
      </c>
      <c r="BB46" s="248">
        <f t="shared" si="130"/>
        <v>0.11945318739136562</v>
      </c>
      <c r="BC46" s="248">
        <f t="shared" si="131"/>
        <v>-1.597218959928595E-3</v>
      </c>
      <c r="BD46" s="248">
        <f t="shared" si="132"/>
        <v>6.2967405364018611E-2</v>
      </c>
      <c r="BE46" s="248">
        <f t="shared" si="133"/>
        <v>3.0716806088431043E-2</v>
      </c>
      <c r="BF46" s="248">
        <f t="shared" si="134"/>
        <v>8.283530250849E-2</v>
      </c>
      <c r="BG46" s="248">
        <f t="shared" si="135"/>
        <v>4.6508417669984779E-2</v>
      </c>
      <c r="BH46" s="248">
        <f t="shared" si="136"/>
        <v>6.1370186404090019E-2</v>
      </c>
      <c r="BI46" s="23">
        <f t="shared" si="401"/>
        <v>0.29179311316766099</v>
      </c>
      <c r="BJ46" s="140">
        <f t="shared" si="402"/>
        <v>0.24620037111007237</v>
      </c>
      <c r="BK46" s="623">
        <f t="shared" si="137"/>
        <v>0.23329634912064931</v>
      </c>
      <c r="BL46" s="5">
        <v>-10864</v>
      </c>
      <c r="BM46" s="193">
        <v>-1343</v>
      </c>
      <c r="BN46" s="193">
        <v>624</v>
      </c>
      <c r="BO46" s="193">
        <v>-588</v>
      </c>
      <c r="BP46" s="193">
        <v>417</v>
      </c>
      <c r="BQ46" s="193">
        <v>-3571</v>
      </c>
      <c r="BR46" s="193">
        <v>-357</v>
      </c>
      <c r="BS46" s="193">
        <f t="shared" si="403"/>
        <v>-4818</v>
      </c>
      <c r="BT46" s="193">
        <f t="shared" si="365"/>
        <v>-6046</v>
      </c>
      <c r="BU46" s="193">
        <f t="shared" si="373"/>
        <v>-7623</v>
      </c>
      <c r="BV46" s="193">
        <v>1577</v>
      </c>
      <c r="BW46" s="5">
        <f t="shared" si="262"/>
        <v>85984</v>
      </c>
      <c r="BX46" s="193">
        <f t="shared" si="263"/>
        <v>11452</v>
      </c>
      <c r="BY46" s="193">
        <f t="shared" si="459"/>
        <v>0</v>
      </c>
      <c r="BZ46" s="647">
        <f t="shared" si="149"/>
        <v>0.13318756978042426</v>
      </c>
      <c r="CA46" s="193">
        <f t="shared" si="264"/>
        <v>-260</v>
      </c>
      <c r="CB46" s="193">
        <f t="shared" si="460"/>
        <v>0</v>
      </c>
      <c r="CC46" s="647">
        <f t="shared" si="404"/>
        <v>-3.0238183848157797E-3</v>
      </c>
      <c r="CD46" s="193">
        <f t="shared" si="265"/>
        <v>4897</v>
      </c>
      <c r="CE46" s="193">
        <f t="shared" si="461"/>
        <v>196.44926449692827</v>
      </c>
      <c r="CF46" s="655">
        <f t="shared" si="405"/>
        <v>5.4667737433744319E-2</v>
      </c>
      <c r="CG46" s="193">
        <f t="shared" si="266"/>
        <v>2246</v>
      </c>
      <c r="CH46" s="193">
        <f t="shared" si="462"/>
        <v>182.39106958005766</v>
      </c>
      <c r="CI46" s="23">
        <f t="shared" si="406"/>
        <v>2.3999917780284031E-2</v>
      </c>
      <c r="CJ46" s="193">
        <f t="shared" si="267"/>
        <v>8778</v>
      </c>
      <c r="CK46" s="641">
        <f t="shared" si="463"/>
        <v>611.11370749008961</v>
      </c>
      <c r="CL46" s="34">
        <f t="shared" si="158"/>
        <v>9.4981465069197871E-2</v>
      </c>
      <c r="CM46" s="193">
        <f t="shared" si="268"/>
        <v>4474</v>
      </c>
      <c r="CN46" s="193">
        <f t="shared" si="464"/>
        <v>180.78890876565296</v>
      </c>
      <c r="CO46" s="23">
        <f t="shared" si="161"/>
        <v>4.9930348567574744E-2</v>
      </c>
      <c r="CP46" s="193">
        <f t="shared" si="407"/>
        <v>31587</v>
      </c>
      <c r="CQ46" s="193">
        <f t="shared" si="162"/>
        <v>1170.7429503327285</v>
      </c>
      <c r="CR46" s="193">
        <f t="shared" si="408"/>
        <v>54397</v>
      </c>
      <c r="CS46" s="248">
        <f t="shared" si="163"/>
        <v>0.35374322024640947</v>
      </c>
      <c r="CT46" s="30">
        <f t="shared" si="409"/>
        <v>0.36735904354298476</v>
      </c>
      <c r="CU46" s="308">
        <f t="shared" si="410"/>
        <v>0</v>
      </c>
      <c r="CV46" s="608">
        <f t="shared" si="269"/>
        <v>0.13318756978042426</v>
      </c>
      <c r="CW46" s="608">
        <f t="shared" si="270"/>
        <v>-3.0238183848157797E-3</v>
      </c>
      <c r="CX46" s="608">
        <f t="shared" si="271"/>
        <v>5.6952456270934128E-2</v>
      </c>
      <c r="CY46" s="608">
        <f t="shared" si="272"/>
        <v>2.6121138816524003E-2</v>
      </c>
      <c r="CZ46" s="608">
        <f t="shared" si="327"/>
        <v>0.10208876069966505</v>
      </c>
      <c r="DA46" s="608">
        <f>'Assets(BoP)'!FK93</f>
        <v>0.1120871306423888</v>
      </c>
      <c r="DB46" s="608">
        <f t="shared" si="273"/>
        <v>5.2032936360253072E-2</v>
      </c>
      <c r="DC46" s="23">
        <f t="shared" si="411"/>
        <v>0.45950866480847324</v>
      </c>
      <c r="DD46" s="193">
        <f t="shared" si="412"/>
        <v>66193</v>
      </c>
      <c r="DE46" s="193">
        <f t="shared" si="274"/>
        <v>19791</v>
      </c>
      <c r="DF46" s="193"/>
      <c r="DG46" s="193">
        <f>'Assets(BoP)'!DA93*1000</f>
        <v>10183</v>
      </c>
      <c r="DH46" s="23">
        <f t="shared" si="413"/>
        <v>0.23017072943803499</v>
      </c>
      <c r="DI46" s="23"/>
      <c r="DJ46" s="23">
        <f t="shared" si="414"/>
        <v>0.31040658727205062</v>
      </c>
      <c r="DK46" s="600">
        <f>'Assets(BoP)'!FO93-'Assets(BoP)'!FH93</f>
        <v>0.29708028907471556</v>
      </c>
      <c r="DL46" s="576">
        <f t="shared" si="415"/>
        <v>0.53341241448091659</v>
      </c>
      <c r="DM46" s="251">
        <f t="shared" si="416"/>
        <v>4.0907335907335911</v>
      </c>
      <c r="DN46" s="251">
        <f t="shared" si="417"/>
        <v>4.0907335907335911</v>
      </c>
      <c r="DO46" s="251">
        <f t="shared" si="418"/>
        <v>-0.39719626168224298</v>
      </c>
      <c r="DP46" s="251">
        <f t="shared" si="419"/>
        <v>-0.39719626168224298</v>
      </c>
      <c r="DQ46" s="251">
        <f t="shared" si="420"/>
        <v>0.90334572490706322</v>
      </c>
      <c r="DR46" s="251">
        <f t="shared" si="421"/>
        <v>0.86632718939689135</v>
      </c>
      <c r="DS46" s="251">
        <f t="shared" si="422"/>
        <v>0.85077186963979412</v>
      </c>
      <c r="DT46" s="251">
        <f t="shared" si="423"/>
        <v>0.80867394087318201</v>
      </c>
      <c r="DU46" s="251">
        <f t="shared" si="424"/>
        <v>7.1979621542940322</v>
      </c>
      <c r="DV46" s="251">
        <f t="shared" si="425"/>
        <v>7.5233100975943765</v>
      </c>
      <c r="DW46" s="251">
        <f t="shared" si="426"/>
        <v>1.463768115942029</v>
      </c>
      <c r="DX46" s="251">
        <f t="shared" si="427"/>
        <v>1.4219671069910489</v>
      </c>
      <c r="DY46" s="251">
        <f t="shared" si="428"/>
        <v>0.83570300157977884</v>
      </c>
      <c r="DZ46" s="251">
        <f t="shared" si="429"/>
        <v>0.80008688485961688</v>
      </c>
      <c r="EA46" s="643">
        <f t="shared" si="430"/>
        <v>1.8760277682044213</v>
      </c>
      <c r="EB46" s="643">
        <f t="shared" si="431"/>
        <v>1.8170098366567757</v>
      </c>
      <c r="EC46" s="251">
        <f t="shared" si="432"/>
        <v>0.42183178120754838</v>
      </c>
      <c r="ED46" s="251">
        <f t="shared" si="433"/>
        <v>0.41227988627296042</v>
      </c>
      <c r="EE46" s="140">
        <f t="shared" si="434"/>
        <v>0.28728489684718583</v>
      </c>
      <c r="EF46" s="1342">
        <v>0.16654651096479925</v>
      </c>
      <c r="EG46" s="140">
        <f t="shared" si="228"/>
        <v>5.3113827349121463</v>
      </c>
      <c r="EH46" s="583">
        <v>24.443891050583666</v>
      </c>
      <c r="EI46" s="1344">
        <v>1.2882010007552869</v>
      </c>
      <c r="EJ46" s="576">
        <f t="shared" si="166"/>
        <v>0.32482707295235863</v>
      </c>
      <c r="EK46" s="753">
        <f t="shared" si="167"/>
        <v>1.5266271320183751</v>
      </c>
      <c r="EL46" s="753">
        <f t="shared" si="168"/>
        <v>3.0238349885408708</v>
      </c>
      <c r="EM46" s="753">
        <f t="shared" si="169"/>
        <v>0.14549444820496865</v>
      </c>
      <c r="EN46" s="583"/>
      <c r="EO46" s="5">
        <v>177317</v>
      </c>
      <c r="EP46" s="193">
        <v>18184</v>
      </c>
      <c r="EQ46" s="193"/>
      <c r="ER46" s="193">
        <v>9687</v>
      </c>
      <c r="ES46" s="193"/>
      <c r="ET46" s="193">
        <v>21327</v>
      </c>
      <c r="EU46" s="193"/>
      <c r="EV46" s="193">
        <v>5643</v>
      </c>
      <c r="EW46" s="193"/>
      <c r="EX46" s="193">
        <v>24389</v>
      </c>
      <c r="EY46" s="193"/>
      <c r="EZ46" s="193">
        <v>5431</v>
      </c>
      <c r="FA46" s="193"/>
      <c r="FB46" s="193">
        <f t="shared" si="435"/>
        <v>84661</v>
      </c>
      <c r="FC46" s="193">
        <f t="shared" si="436"/>
        <v>92656</v>
      </c>
      <c r="FD46" s="23">
        <f t="shared" si="437"/>
        <v>0.47745563031181443</v>
      </c>
      <c r="FE46" s="23"/>
      <c r="FF46" s="23"/>
      <c r="FG46" s="23"/>
      <c r="FH46" s="23"/>
      <c r="FI46" s="23"/>
      <c r="FJ46" s="5">
        <v>55214</v>
      </c>
      <c r="FK46" s="143">
        <f>FJ46/'Assets(BoP)'!AV93/1000</f>
        <v>1.2406203002636369</v>
      </c>
      <c r="FL46" s="192"/>
      <c r="FM46" s="193">
        <v>1262</v>
      </c>
      <c r="FN46" s="66">
        <f t="shared" si="374"/>
        <v>0</v>
      </c>
      <c r="FO46" s="184">
        <f t="shared" si="383"/>
        <v>0</v>
      </c>
      <c r="FP46" s="193">
        <v>90</v>
      </c>
      <c r="FQ46" s="66">
        <f t="shared" si="375"/>
        <v>0</v>
      </c>
      <c r="FR46" s="184">
        <v>0</v>
      </c>
      <c r="FS46" s="193">
        <v>2150</v>
      </c>
      <c r="FT46" s="66">
        <f t="shared" si="465"/>
        <v>148.61494558375068</v>
      </c>
      <c r="FU46" s="193">
        <f t="shared" si="175"/>
        <v>2001.3850544162492</v>
      </c>
      <c r="FV46" s="23">
        <f t="shared" si="376"/>
        <v>6.9123230504070085E-2</v>
      </c>
      <c r="FW46" s="193">
        <v>1226</v>
      </c>
      <c r="FX46" s="66">
        <f t="shared" si="466"/>
        <v>20.265674397784185</v>
      </c>
      <c r="FY46" s="23">
        <f t="shared" si="438"/>
        <v>1.6529913864424293E-2</v>
      </c>
      <c r="FZ46" s="193">
        <v>1112</v>
      </c>
      <c r="GA46" s="66">
        <f t="shared" si="467"/>
        <v>462.31087001877728</v>
      </c>
      <c r="GB46" s="193">
        <f t="shared" si="180"/>
        <v>649.68912998122278</v>
      </c>
      <c r="GC46" s="23">
        <f t="shared" si="366"/>
        <v>0.41574718526868459</v>
      </c>
      <c r="GD46" s="193">
        <v>677</v>
      </c>
      <c r="GE46" s="66">
        <f t="shared" si="384"/>
        <v>20.087656529516998</v>
      </c>
      <c r="GF46" s="23">
        <f t="shared" si="377"/>
        <v>2.9671575375948299E-2</v>
      </c>
      <c r="GG46" s="193">
        <f t="shared" si="439"/>
        <v>6517</v>
      </c>
      <c r="GH46" s="193">
        <f t="shared" si="440"/>
        <v>651.27914652982906</v>
      </c>
      <c r="GI46" s="193">
        <f t="shared" si="441"/>
        <v>48697</v>
      </c>
      <c r="GJ46" s="23">
        <f t="shared" si="442"/>
        <v>0.11803165863730214</v>
      </c>
      <c r="GK46" s="330">
        <v>14972</v>
      </c>
      <c r="GL46" s="330">
        <v>5321</v>
      </c>
      <c r="GM46" s="23">
        <f>GK46/'Assets(BoP)'!AW93/1000</f>
        <v>1.1320871704096671</v>
      </c>
      <c r="GN46" s="23">
        <f t="shared" si="443"/>
        <v>0.27116311080523053</v>
      </c>
      <c r="GO46" s="330">
        <f t="shared" si="275"/>
        <v>40242</v>
      </c>
      <c r="GP46" s="23">
        <f>GO46/('Assets(BoP)'!AV93-'Assets(BoP)'!AW93)/1000</f>
        <v>1.286507882058666</v>
      </c>
      <c r="GQ46" s="330">
        <f t="shared" si="444"/>
        <v>33725</v>
      </c>
      <c r="GR46" s="330">
        <v>4154.7430000000004</v>
      </c>
      <c r="GS46" s="140">
        <f t="shared" si="445"/>
        <v>0.33944280548760775</v>
      </c>
      <c r="GT46" s="582">
        <v>1.11751</v>
      </c>
      <c r="GU46" s="576">
        <f t="shared" si="446"/>
        <v>0.39103953313786316</v>
      </c>
      <c r="GV46" s="589">
        <f t="shared" si="276"/>
        <v>9.9260657542866129E-2</v>
      </c>
      <c r="GW46" s="589"/>
      <c r="GX46" s="589">
        <f t="shared" si="277"/>
        <v>-0.52941176470588236</v>
      </c>
      <c r="GY46" s="589"/>
      <c r="GZ46" s="589">
        <f t="shared" si="308"/>
        <v>0.3050943663970484</v>
      </c>
      <c r="HA46" s="56">
        <f t="shared" si="385"/>
        <v>0.43068780024738945</v>
      </c>
      <c r="HB46" s="589">
        <f t="shared" si="278"/>
        <v>0.35311059907834103</v>
      </c>
      <c r="HC46" s="56">
        <v>0.1</v>
      </c>
      <c r="HD46" s="589">
        <f t="shared" si="279"/>
        <v>0.11243680485338726</v>
      </c>
      <c r="HE46" s="56">
        <f t="shared" si="479"/>
        <v>0.43068780024738945</v>
      </c>
      <c r="HF46" s="589">
        <f t="shared" si="309"/>
        <v>0.13143079013783732</v>
      </c>
      <c r="HG46" s="56">
        <v>0.1</v>
      </c>
      <c r="HH46" s="6">
        <f t="shared" si="57"/>
        <v>0.17103191266008819</v>
      </c>
      <c r="HI46" s="6">
        <f t="shared" si="447"/>
        <v>0.16167037169610701</v>
      </c>
      <c r="HJ46" s="23">
        <f t="shared" si="280"/>
        <v>0.43068780024738945</v>
      </c>
      <c r="HK46" s="23">
        <f t="shared" si="280"/>
        <v>0.56099103848181342</v>
      </c>
      <c r="HL46" s="23">
        <f t="shared" si="281"/>
        <v>0.38179444576311417</v>
      </c>
      <c r="HM46" s="31">
        <f t="shared" si="282"/>
        <v>0.37808991403203834</v>
      </c>
      <c r="HN46" s="23">
        <f t="shared" si="448"/>
        <v>0.47235532620715076</v>
      </c>
      <c r="HO46" s="23">
        <f t="shared" si="449"/>
        <v>0.49355343841009203</v>
      </c>
      <c r="HP46" s="575">
        <v>102404</v>
      </c>
      <c r="HQ46" s="193"/>
      <c r="HR46" s="193"/>
      <c r="HS46" s="193"/>
      <c r="HT46" s="193"/>
      <c r="HU46" s="193"/>
      <c r="HV46" s="193"/>
      <c r="HW46" s="193"/>
      <c r="HX46" s="193"/>
      <c r="HY46" s="193"/>
      <c r="HZ46" s="193"/>
      <c r="IA46" s="193"/>
      <c r="IB46" s="193"/>
      <c r="IC46" s="193"/>
      <c r="ID46" s="193"/>
      <c r="IE46" s="193"/>
      <c r="IF46" s="193"/>
      <c r="IG46" s="193"/>
      <c r="IH46" s="193"/>
      <c r="II46" s="193"/>
      <c r="IJ46" s="193"/>
      <c r="IK46" s="193"/>
      <c r="IL46" s="193"/>
      <c r="IM46" s="575">
        <v>-7490</v>
      </c>
      <c r="IN46" s="193"/>
      <c r="IO46" s="193"/>
      <c r="IP46" s="193"/>
      <c r="IQ46" s="193"/>
      <c r="IR46" s="193"/>
      <c r="IS46" s="193"/>
      <c r="IT46" s="193"/>
      <c r="IU46" s="193"/>
      <c r="IV46" s="193"/>
      <c r="IW46" s="193"/>
      <c r="IX46" s="149">
        <f t="shared" si="63"/>
        <v>1089327</v>
      </c>
      <c r="IY46" s="316">
        <f t="shared" si="64"/>
        <v>62304</v>
      </c>
      <c r="IZ46" s="316">
        <f t="shared" si="65"/>
        <v>-3942</v>
      </c>
      <c r="JA46" s="316">
        <f t="shared" si="66"/>
        <v>68185</v>
      </c>
      <c r="JB46" s="316">
        <f t="shared" si="67"/>
        <v>31067</v>
      </c>
      <c r="JC46" s="316">
        <f t="shared" si="68"/>
        <v>119702</v>
      </c>
      <c r="JD46" s="316">
        <f t="shared" si="69"/>
        <v>30744</v>
      </c>
      <c r="JE46" s="316">
        <f t="shared" si="70"/>
        <v>308060</v>
      </c>
      <c r="JF46" s="316">
        <f t="shared" si="71"/>
        <v>781267</v>
      </c>
      <c r="JG46" s="316">
        <f t="shared" si="72"/>
        <v>693481</v>
      </c>
      <c r="JH46" s="316">
        <f t="shared" si="73"/>
        <v>87786</v>
      </c>
      <c r="JI46" s="5">
        <v>2065863</v>
      </c>
      <c r="JJ46" s="552">
        <v>123233</v>
      </c>
      <c r="JK46" s="552">
        <v>95488</v>
      </c>
      <c r="JL46" s="552">
        <v>243467</v>
      </c>
      <c r="JM46" s="552">
        <v>74140</v>
      </c>
      <c r="JN46" s="552">
        <v>244977</v>
      </c>
      <c r="JO46" s="552">
        <v>56444</v>
      </c>
      <c r="JP46" s="552">
        <f t="shared" si="74"/>
        <v>837749</v>
      </c>
      <c r="JQ46" s="552">
        <f t="shared" si="75"/>
        <v>1228114</v>
      </c>
      <c r="JR46" s="552">
        <f t="shared" si="76"/>
        <v>1117918</v>
      </c>
      <c r="JS46" s="552">
        <v>110196</v>
      </c>
      <c r="JT46" s="149">
        <v>976536</v>
      </c>
      <c r="JU46" s="552">
        <v>60929</v>
      </c>
      <c r="JV46" s="552">
        <v>99430</v>
      </c>
      <c r="JW46" s="552">
        <v>175282</v>
      </c>
      <c r="JX46" s="552">
        <v>43073</v>
      </c>
      <c r="JY46" s="552">
        <v>125275</v>
      </c>
      <c r="JZ46" s="552">
        <v>25700</v>
      </c>
      <c r="KA46" s="552">
        <f t="shared" ref="KA46" si="489">JU46+JV46+JW46+JX46+JY46+JZ46</f>
        <v>529689</v>
      </c>
      <c r="KB46" s="552">
        <f t="shared" ref="KB46" si="490">JT46-KA46</f>
        <v>446847</v>
      </c>
      <c r="KC46" s="552">
        <f t="shared" si="470"/>
        <v>424437</v>
      </c>
      <c r="KD46" s="552">
        <v>22410</v>
      </c>
      <c r="KE46" s="149">
        <v>637352</v>
      </c>
      <c r="KF46" s="552">
        <v>9731</v>
      </c>
      <c r="KG46" s="552">
        <v>552</v>
      </c>
      <c r="KH46" s="552">
        <v>18559</v>
      </c>
      <c r="KI46" s="552">
        <v>5837</v>
      </c>
      <c r="KJ46" s="552">
        <v>17207</v>
      </c>
      <c r="KK46" s="552">
        <v>10707</v>
      </c>
      <c r="KL46" s="552">
        <f t="shared" ref="KL46" si="491">KF46+KG46+KH46+KI46+KJ46+KK46</f>
        <v>62593</v>
      </c>
      <c r="KM46" s="552">
        <f t="shared" ref="KM46" si="492">KE46-KL46</f>
        <v>574759</v>
      </c>
      <c r="KN46" s="552">
        <f t="shared" si="486"/>
        <v>426014</v>
      </c>
      <c r="KO46" s="552">
        <v>148745</v>
      </c>
      <c r="KP46" s="149">
        <v>158033</v>
      </c>
      <c r="KQ46" s="552">
        <v>3338</v>
      </c>
      <c r="KR46" s="552">
        <v>802</v>
      </c>
      <c r="KS46" s="552">
        <v>8972</v>
      </c>
      <c r="KT46" s="552">
        <v>6552</v>
      </c>
      <c r="KU46" s="552">
        <v>1709</v>
      </c>
      <c r="KV46" s="552">
        <v>3943</v>
      </c>
      <c r="KW46" s="552">
        <f t="shared" ref="KW46" si="493">KQ46+KR46+KS46+KT46+KU46+KV46</f>
        <v>25316</v>
      </c>
      <c r="KX46" s="552">
        <f t="shared" ref="KX46" si="494">KP46-KW46</f>
        <v>132717</v>
      </c>
      <c r="KY46" s="552">
        <f t="shared" si="476"/>
        <v>123136</v>
      </c>
      <c r="KZ46" s="552">
        <v>9581</v>
      </c>
      <c r="LA46" s="149">
        <f>'Assets(MOFA)'!IX46-'Assets(MOFA)'!KE46-'Assets(MOFA)'!KP46</f>
        <v>293942</v>
      </c>
      <c r="LB46" s="552">
        <f>'Assets(MOFA)'!IY46-'Assets(MOFA)'!KF46-'Assets(MOFA)'!KQ46</f>
        <v>49235</v>
      </c>
      <c r="LC46" s="552">
        <f>'Assets(MOFA)'!IZ46-'Assets(MOFA)'!KG46-'Assets(MOFA)'!KR46</f>
        <v>-5296</v>
      </c>
      <c r="LD46" s="552">
        <f>'Assets(MOFA)'!JA46-'Assets(MOFA)'!KH46-'Assets(MOFA)'!KS46</f>
        <v>40654</v>
      </c>
      <c r="LE46" s="552">
        <f>'Assets(MOFA)'!JB46-'Assets(MOFA)'!KI46-'Assets(MOFA)'!KT46</f>
        <v>18678</v>
      </c>
      <c r="LF46" s="552">
        <f>'Assets(MOFA)'!JC46-'Assets(MOFA)'!KJ46-'Assets(MOFA)'!KU46</f>
        <v>100786</v>
      </c>
      <c r="LG46" s="552">
        <f>'Assets(MOFA)'!JD46-'Assets(MOFA)'!KK46-'Assets(MOFA)'!KV46</f>
        <v>16094</v>
      </c>
      <c r="LH46" s="552">
        <f>'Assets(MOFA)'!JE46-'Assets(MOFA)'!KL46-'Assets(MOFA)'!KW46</f>
        <v>220151</v>
      </c>
      <c r="LI46" s="552">
        <f>'Assets(MOFA)'!JF46-'Assets(MOFA)'!KM46-'Assets(MOFA)'!KX46</f>
        <v>73791</v>
      </c>
      <c r="LJ46" s="552">
        <f t="shared" si="77"/>
        <v>144331</v>
      </c>
      <c r="LK46" s="552">
        <f>'Assets(MOFA)'!JH46-'Assets(MOFA)'!KO46-'Assets(MOFA)'!KZ46</f>
        <v>-70540</v>
      </c>
      <c r="LL46" s="576">
        <f t="shared" si="78"/>
        <v>0.12961948065181531</v>
      </c>
      <c r="LM46" s="6">
        <f t="shared" si="79"/>
        <v>0.20406394453004623</v>
      </c>
      <c r="LN46" s="6">
        <f t="shared" si="80"/>
        <v>4.3125317097919835E-2</v>
      </c>
      <c r="LO46" s="6">
        <f t="shared" si="81"/>
        <v>0.1033511769450759</v>
      </c>
      <c r="LP46" s="6">
        <f t="shared" si="82"/>
        <v>0.11175845752727975</v>
      </c>
      <c r="LQ46" s="6">
        <f t="shared" si="83"/>
        <v>8.2621844246545589E-2</v>
      </c>
      <c r="LR46" s="6">
        <f t="shared" si="84"/>
        <v>0.16754488680718188</v>
      </c>
      <c r="LS46" s="6">
        <f t="shared" si="85"/>
        <v>0.12369019022268389</v>
      </c>
      <c r="LT46" s="143">
        <f t="shared" si="86"/>
        <v>0.17191314506707489</v>
      </c>
      <c r="LU46" s="62">
        <f t="shared" si="87"/>
        <v>9.1152246595449724E-2</v>
      </c>
      <c r="LV46" s="902">
        <f t="shared" si="88"/>
        <v>0.13195744860591835</v>
      </c>
      <c r="LW46" s="902">
        <f t="shared" si="89"/>
        <v>9.8533341216269804E-2</v>
      </c>
      <c r="LX46" s="143">
        <f t="shared" si="90"/>
        <v>0.39599708381746518</v>
      </c>
      <c r="LY46" s="576">
        <f t="shared" si="91"/>
        <v>0.12274367568232496</v>
      </c>
      <c r="LZ46" s="906">
        <f t="shared" si="92"/>
        <v>0.20406394453004623</v>
      </c>
      <c r="MA46" s="906">
        <f t="shared" si="93"/>
        <v>4.3125317097919835E-2</v>
      </c>
      <c r="MB46" s="906">
        <f t="shared" si="94"/>
        <v>0.1033511769450759</v>
      </c>
      <c r="MC46" s="906">
        <f t="shared" si="95"/>
        <v>0.11175845752727975</v>
      </c>
      <c r="MD46" s="906">
        <f t="shared" si="96"/>
        <v>8.2621844246545589E-2</v>
      </c>
      <c r="ME46" s="906">
        <v>6.1610529375296846E-2</v>
      </c>
      <c r="MF46" s="906">
        <f t="shared" si="97"/>
        <v>0.16754488680718188</v>
      </c>
      <c r="MG46" s="30">
        <f t="shared" si="98"/>
        <v>0.12369019022268389</v>
      </c>
      <c r="MH46" s="140">
        <f t="shared" si="99"/>
        <v>0.17191314506707489</v>
      </c>
      <c r="MI46" s="30">
        <f t="shared" si="100"/>
        <v>9.1152246595449724E-2</v>
      </c>
      <c r="MJ46" s="30">
        <f t="shared" si="101"/>
        <v>0.13195744860591835</v>
      </c>
      <c r="MK46" s="617">
        <f t="shared" si="102"/>
        <v>9.8533341216269804E-2</v>
      </c>
      <c r="ML46" s="615">
        <f t="shared" si="103"/>
        <v>0.39599708381746518</v>
      </c>
      <c r="MM46" s="574"/>
      <c r="MX46" s="613"/>
      <c r="MY46" s="552"/>
      <c r="MZ46" s="552"/>
      <c r="NA46" s="552"/>
      <c r="NB46" s="552"/>
      <c r="NC46" s="552"/>
      <c r="ND46" s="552"/>
      <c r="NE46" s="552"/>
      <c r="NF46" s="552"/>
      <c r="NG46" s="552"/>
      <c r="NH46" s="552"/>
      <c r="NI46" s="613">
        <f t="shared" si="364"/>
        <v>264707</v>
      </c>
      <c r="PN46" s="574"/>
      <c r="PO46" s="593"/>
      <c r="PP46" s="593"/>
      <c r="PQ46" s="593"/>
      <c r="PR46" s="593"/>
      <c r="PS46" s="593"/>
      <c r="PT46" s="593"/>
      <c r="PU46" s="593"/>
      <c r="PV46" s="593"/>
      <c r="PW46" s="593"/>
      <c r="PX46" s="593"/>
      <c r="PY46" s="593"/>
      <c r="PZ46" s="593"/>
      <c r="QA46" s="593"/>
      <c r="QB46" s="593"/>
      <c r="QC46" s="593"/>
      <c r="QD46" s="593"/>
      <c r="QE46" s="593"/>
      <c r="QF46" s="593"/>
      <c r="QG46" s="593"/>
      <c r="QH46" s="593"/>
      <c r="QI46" s="593"/>
      <c r="QJ46" s="593"/>
      <c r="QK46" s="593"/>
      <c r="QL46" s="593"/>
      <c r="QM46" s="593"/>
      <c r="QN46" s="593"/>
      <c r="QO46" s="593"/>
      <c r="QP46" s="593"/>
      <c r="QQ46" s="593"/>
      <c r="QR46" s="593"/>
      <c r="QS46" s="593"/>
      <c r="QT46" s="593"/>
      <c r="QU46" s="593"/>
      <c r="QV46" s="593"/>
      <c r="QW46" s="593"/>
      <c r="QX46" s="593"/>
      <c r="QY46" s="593"/>
      <c r="QZ46" s="593"/>
      <c r="RA46" s="593"/>
      <c r="RB46" s="593"/>
      <c r="RC46" s="593"/>
      <c r="RD46" s="593"/>
      <c r="RE46" s="593"/>
      <c r="RF46" s="593"/>
      <c r="RG46" s="593"/>
      <c r="RH46" s="593"/>
      <c r="RI46" s="593"/>
      <c r="RJ46" s="593"/>
      <c r="RK46" s="593"/>
      <c r="RL46" s="593"/>
      <c r="RM46" s="593"/>
      <c r="RN46" s="593"/>
      <c r="RO46" s="593"/>
      <c r="RP46" s="593"/>
      <c r="RQ46" s="593"/>
      <c r="RR46" s="593"/>
    </row>
    <row r="47" spans="1:486">
      <c r="A47" s="568">
        <v>2002</v>
      </c>
      <c r="B47" s="33">
        <v>268919</v>
      </c>
      <c r="C47" s="193">
        <v>3164</v>
      </c>
      <c r="D47" s="193">
        <v>478</v>
      </c>
      <c r="E47" s="193">
        <v>8336</v>
      </c>
      <c r="F47" s="193">
        <v>4345</v>
      </c>
      <c r="G47" s="193">
        <v>1500</v>
      </c>
      <c r="H47" s="193">
        <v>3411</v>
      </c>
      <c r="I47" s="193">
        <f t="shared" si="456"/>
        <v>21234</v>
      </c>
      <c r="J47" s="193">
        <f t="shared" si="457"/>
        <v>247685</v>
      </c>
      <c r="K47" s="193">
        <f t="shared" si="249"/>
        <v>240831</v>
      </c>
      <c r="L47" s="193">
        <v>6854</v>
      </c>
      <c r="M47" s="140">
        <f t="shared" si="217"/>
        <v>7.8960579207865561E-2</v>
      </c>
      <c r="N47" s="140">
        <f t="shared" si="250"/>
        <v>2.5487228496313016E-2</v>
      </c>
      <c r="O47" s="193">
        <v>3973900</v>
      </c>
      <c r="P47" s="32">
        <f t="shared" si="251"/>
        <v>6.7671305266866308E-2</v>
      </c>
      <c r="Q47" s="629">
        <f t="shared" si="218"/>
        <v>1.1765624593279017E-2</v>
      </c>
      <c r="R47" s="308">
        <f t="shared" si="219"/>
        <v>1.7774869012602307E-3</v>
      </c>
      <c r="S47" s="308">
        <f t="shared" si="220"/>
        <v>3.0998181608588461E-2</v>
      </c>
      <c r="T47" s="308">
        <f t="shared" si="221"/>
        <v>1.6157281560618623E-2</v>
      </c>
      <c r="U47" s="308">
        <f t="shared" si="222"/>
        <v>5.5778877654609751E-3</v>
      </c>
      <c r="V47" s="308">
        <f t="shared" si="223"/>
        <v>1.2684116778658258E-2</v>
      </c>
      <c r="W47" s="5">
        <v>152871</v>
      </c>
      <c r="X47" s="193">
        <v>18098</v>
      </c>
      <c r="Y47" s="193">
        <v>0</v>
      </c>
      <c r="Z47" s="76">
        <f t="shared" si="114"/>
        <v>18098</v>
      </c>
      <c r="AA47" s="193">
        <v>77</v>
      </c>
      <c r="AB47" s="66">
        <v>0</v>
      </c>
      <c r="AC47" s="274">
        <f t="shared" si="117"/>
        <v>77</v>
      </c>
      <c r="AD47" s="193">
        <v>4915</v>
      </c>
      <c r="AE47" s="357">
        <f t="shared" si="477"/>
        <v>299.75746271586377</v>
      </c>
      <c r="AF47" s="274">
        <f t="shared" si="119"/>
        <v>4615.2425372841362</v>
      </c>
      <c r="AG47" s="193">
        <v>4306</v>
      </c>
      <c r="AH47" s="357">
        <f t="shared" si="382"/>
        <v>185.43882718294492</v>
      </c>
      <c r="AI47" s="76">
        <f t="shared" si="287"/>
        <v>4120.5611728170552</v>
      </c>
      <c r="AJ47" s="193">
        <v>9347</v>
      </c>
      <c r="AK47" s="357">
        <f t="shared" si="458"/>
        <v>959.23638639682861</v>
      </c>
      <c r="AL47" s="274">
        <f t="shared" si="123"/>
        <v>8387.7636136031706</v>
      </c>
      <c r="AM47" s="193">
        <v>5094</v>
      </c>
      <c r="AN47" s="357">
        <f t="shared" si="478"/>
        <v>189.08318425760288</v>
      </c>
      <c r="AO47" s="274">
        <f t="shared" si="125"/>
        <v>4904.9168157423974</v>
      </c>
      <c r="AP47" s="193">
        <f t="shared" si="397"/>
        <v>41837</v>
      </c>
      <c r="AQ47" s="271">
        <f t="shared" si="398"/>
        <v>1633.5158605532401</v>
      </c>
      <c r="AR47" s="271">
        <f t="shared" si="126"/>
        <v>40203.484139446758</v>
      </c>
      <c r="AS47" s="193">
        <f t="shared" si="259"/>
        <v>111034</v>
      </c>
      <c r="AT47" s="193">
        <f t="shared" si="224"/>
        <v>79969</v>
      </c>
      <c r="AU47" s="193">
        <v>31065</v>
      </c>
      <c r="AV47" s="193">
        <v>8137</v>
      </c>
      <c r="AW47" s="23">
        <f t="shared" si="289"/>
        <v>0.26193465314662806</v>
      </c>
      <c r="AX47" s="271">
        <f t="shared" si="227"/>
        <v>121806</v>
      </c>
      <c r="AY47" s="140">
        <f t="shared" si="399"/>
        <v>0.2736751901930386</v>
      </c>
      <c r="AZ47" s="623">
        <f t="shared" si="129"/>
        <v>0.26298960652737774</v>
      </c>
      <c r="BA47" s="248">
        <f t="shared" si="400"/>
        <v>0.33006160730544276</v>
      </c>
      <c r="BB47" s="248">
        <f t="shared" si="130"/>
        <v>0.14858052969476052</v>
      </c>
      <c r="BC47" s="248">
        <f t="shared" si="131"/>
        <v>6.3215276751555749E-4</v>
      </c>
      <c r="BD47" s="248">
        <f t="shared" si="132"/>
        <v>3.7890108346749225E-2</v>
      </c>
      <c r="BE47" s="248">
        <f t="shared" si="133"/>
        <v>3.3828885053421465E-2</v>
      </c>
      <c r="BF47" s="248">
        <f t="shared" si="134"/>
        <v>6.8861662098773216E-2</v>
      </c>
      <c r="BG47" s="248">
        <f t="shared" si="135"/>
        <v>4.0268269344222757E-2</v>
      </c>
      <c r="BH47" s="248">
        <f t="shared" si="136"/>
        <v>3.852226111426478E-2</v>
      </c>
      <c r="BI47" s="23">
        <f t="shared" si="401"/>
        <v>0.30312135691181058</v>
      </c>
      <c r="BJ47" s="140">
        <f t="shared" si="402"/>
        <v>0.20321055007162903</v>
      </c>
      <c r="BK47" s="623">
        <f t="shared" si="137"/>
        <v>0.19252496640596817</v>
      </c>
      <c r="BL47" s="5">
        <v>-13386</v>
      </c>
      <c r="BM47" s="193">
        <v>-927</v>
      </c>
      <c r="BN47" s="193">
        <v>571</v>
      </c>
      <c r="BO47" s="193">
        <v>-45</v>
      </c>
      <c r="BP47" s="193">
        <v>-172</v>
      </c>
      <c r="BQ47" s="193">
        <v>-3234</v>
      </c>
      <c r="BR47" s="193">
        <v>-333</v>
      </c>
      <c r="BS47" s="193">
        <f t="shared" si="403"/>
        <v>-4140</v>
      </c>
      <c r="BT47" s="193">
        <f t="shared" si="365"/>
        <v>-9246</v>
      </c>
      <c r="BU47" s="193">
        <f t="shared" si="373"/>
        <v>-11521</v>
      </c>
      <c r="BV47" s="193">
        <v>2275</v>
      </c>
      <c r="BW47" s="5">
        <f t="shared" si="262"/>
        <v>101955</v>
      </c>
      <c r="BX47" s="193">
        <f t="shared" si="263"/>
        <v>16023</v>
      </c>
      <c r="BY47" s="193">
        <f t="shared" si="459"/>
        <v>0</v>
      </c>
      <c r="BZ47" s="647">
        <f t="shared" si="149"/>
        <v>0.15715756951596294</v>
      </c>
      <c r="CA47" s="193">
        <f t="shared" si="264"/>
        <v>-181</v>
      </c>
      <c r="CB47" s="193">
        <f t="shared" si="460"/>
        <v>0</v>
      </c>
      <c r="CC47" s="647">
        <f t="shared" si="404"/>
        <v>-1.7752930214310235E-3</v>
      </c>
      <c r="CD47" s="193">
        <f t="shared" si="265"/>
        <v>2903</v>
      </c>
      <c r="CE47" s="193">
        <f t="shared" si="461"/>
        <v>163.76898944837083</v>
      </c>
      <c r="CF47" s="655">
        <f t="shared" si="405"/>
        <v>2.6867059100109156E-2</v>
      </c>
      <c r="CG47" s="193">
        <f t="shared" si="266"/>
        <v>3597</v>
      </c>
      <c r="CH47" s="193">
        <f t="shared" si="462"/>
        <v>166.89494446465042</v>
      </c>
      <c r="CI47" s="23">
        <f t="shared" si="406"/>
        <v>3.3643323579376681E-2</v>
      </c>
      <c r="CJ47" s="193">
        <f t="shared" si="267"/>
        <v>8068</v>
      </c>
      <c r="CK47" s="641">
        <f t="shared" si="463"/>
        <v>524.06759858126429</v>
      </c>
      <c r="CL47" s="34">
        <f t="shared" si="158"/>
        <v>7.3992765449646766E-2</v>
      </c>
      <c r="CM47" s="193">
        <f t="shared" si="268"/>
        <v>4235</v>
      </c>
      <c r="CN47" s="193">
        <f t="shared" si="464"/>
        <v>170.1748658318426</v>
      </c>
      <c r="CO47" s="23">
        <f t="shared" si="161"/>
        <v>3.9868815989094773E-2</v>
      </c>
      <c r="CP47" s="193">
        <f t="shared" si="407"/>
        <v>34645</v>
      </c>
      <c r="CQ47" s="193">
        <f t="shared" si="162"/>
        <v>1024.9063983261283</v>
      </c>
      <c r="CR47" s="193">
        <f t="shared" si="408"/>
        <v>67310</v>
      </c>
      <c r="CS47" s="248">
        <f t="shared" si="163"/>
        <v>0.32975424061275926</v>
      </c>
      <c r="CT47" s="30">
        <f t="shared" si="409"/>
        <v>0.33980677749987742</v>
      </c>
      <c r="CU47" s="308">
        <f t="shared" si="410"/>
        <v>0</v>
      </c>
      <c r="CV47" s="608">
        <f t="shared" si="269"/>
        <v>0.15715756951596294</v>
      </c>
      <c r="CW47" s="608">
        <f t="shared" si="270"/>
        <v>-1.7752930214310235E-3</v>
      </c>
      <c r="CX47" s="608">
        <f t="shared" si="271"/>
        <v>2.8473346084056692E-2</v>
      </c>
      <c r="CY47" s="608">
        <f t="shared" si="272"/>
        <v>3.5280270707665144E-2</v>
      </c>
      <c r="CZ47" s="608">
        <f t="shared" si="327"/>
        <v>7.9132950811632588E-2</v>
      </c>
      <c r="DA47" s="608">
        <f>'Assets(BoP)'!FK94</f>
        <v>8.7371292707473625E-2</v>
      </c>
      <c r="DB47" s="608">
        <f t="shared" si="273"/>
        <v>4.1537933401991071E-2</v>
      </c>
      <c r="DC47" s="23">
        <f t="shared" si="411"/>
        <v>0.39560963488784662</v>
      </c>
      <c r="DD47" s="193">
        <f t="shared" si="412"/>
        <v>84983</v>
      </c>
      <c r="DE47" s="193">
        <f t="shared" si="274"/>
        <v>16972</v>
      </c>
      <c r="DF47" s="193"/>
      <c r="DG47" s="193">
        <f>'Assets(BoP)'!DA94*1000</f>
        <v>8938</v>
      </c>
      <c r="DH47" s="23">
        <f t="shared" si="413"/>
        <v>0.1664655975675543</v>
      </c>
      <c r="DI47" s="23"/>
      <c r="DJ47" s="23">
        <f t="shared" si="414"/>
        <v>0.31133343141582071</v>
      </c>
      <c r="DK47" s="600">
        <f>'Assets(BoP)'!FO94-'Assets(BoP)'!FH94</f>
        <v>0.32576394725600144</v>
      </c>
      <c r="DL47" s="576">
        <f t="shared" si="415"/>
        <v>0.56846485372918987</v>
      </c>
      <c r="DM47" s="251">
        <f t="shared" si="416"/>
        <v>5.7199747155499372</v>
      </c>
      <c r="DN47" s="251">
        <f t="shared" si="417"/>
        <v>5.7199747155499372</v>
      </c>
      <c r="DO47" s="251">
        <f t="shared" si="418"/>
        <v>0.16108786610878661</v>
      </c>
      <c r="DP47" s="251">
        <f t="shared" si="419"/>
        <v>0.16108786610878661</v>
      </c>
      <c r="DQ47" s="251">
        <f t="shared" si="420"/>
        <v>0.58961132437619956</v>
      </c>
      <c r="DR47" s="251">
        <f t="shared" si="421"/>
        <v>0.55807966697562883</v>
      </c>
      <c r="DS47" s="251">
        <f t="shared" si="422"/>
        <v>0.99102416570771001</v>
      </c>
      <c r="DT47" s="251">
        <f t="shared" si="423"/>
        <v>0.95736035611024417</v>
      </c>
      <c r="DU47" s="251">
        <f t="shared" si="424"/>
        <v>6.2313333333333336</v>
      </c>
      <c r="DV47" s="251">
        <f t="shared" si="425"/>
        <v>6.510420708431333</v>
      </c>
      <c r="DW47" s="251">
        <f t="shared" si="426"/>
        <v>1.4934036939313984</v>
      </c>
      <c r="DX47" s="251">
        <f t="shared" si="427"/>
        <v>1.4557751827157024</v>
      </c>
      <c r="DY47" s="251">
        <f t="shared" si="428"/>
        <v>0.5663716814159292</v>
      </c>
      <c r="DZ47" s="251">
        <f t="shared" si="429"/>
        <v>0.53638727478229176</v>
      </c>
      <c r="EA47" s="643">
        <f t="shared" si="430"/>
        <v>1.9702835075821796</v>
      </c>
      <c r="EB47" s="643">
        <f t="shared" si="431"/>
        <v>1.926045446185717</v>
      </c>
      <c r="EC47" s="251">
        <f t="shared" si="432"/>
        <v>0.44828713890627209</v>
      </c>
      <c r="ED47" s="251">
        <f t="shared" si="433"/>
        <v>0.46479308568484917</v>
      </c>
      <c r="EE47" s="140">
        <f t="shared" si="434"/>
        <v>0.332054428208993</v>
      </c>
      <c r="EF47" s="1342">
        <v>0.20391489173238506</v>
      </c>
      <c r="EG47" s="140">
        <f t="shared" si="228"/>
        <v>4.5323898453457838</v>
      </c>
      <c r="EH47" s="583">
        <v>25.023255813953487</v>
      </c>
      <c r="EI47" s="1344">
        <v>1.2711445972540845</v>
      </c>
      <c r="EJ47" s="576">
        <f t="shared" si="166"/>
        <v>0.3791290314183825</v>
      </c>
      <c r="EK47" s="753">
        <f t="shared" si="167"/>
        <v>1.6147901968999812</v>
      </c>
      <c r="EL47" s="753">
        <f t="shared" si="168"/>
        <v>2.4762182667055734</v>
      </c>
      <c r="EM47" s="753">
        <f t="shared" si="169"/>
        <v>0.20901794204234506</v>
      </c>
      <c r="EN47" s="583"/>
      <c r="EO47" s="5">
        <v>212564</v>
      </c>
      <c r="EP47" s="193">
        <v>27125</v>
      </c>
      <c r="EQ47" s="193"/>
      <c r="ER47" s="193">
        <v>17879</v>
      </c>
      <c r="ES47" s="193"/>
      <c r="ET47" s="193">
        <v>19568</v>
      </c>
      <c r="EU47" s="193"/>
      <c r="EV47" s="193">
        <v>15294</v>
      </c>
      <c r="EW47" s="193"/>
      <c r="EX47" s="193">
        <v>36020</v>
      </c>
      <c r="EY47" s="193"/>
      <c r="EZ47" s="193">
        <v>6370</v>
      </c>
      <c r="FA47" s="193"/>
      <c r="FB47" s="193">
        <f t="shared" si="435"/>
        <v>122256</v>
      </c>
      <c r="FC47" s="193">
        <f t="shared" si="436"/>
        <v>90308</v>
      </c>
      <c r="FD47" s="23">
        <f t="shared" si="437"/>
        <v>0.5751491315556726</v>
      </c>
      <c r="FE47" s="23"/>
      <c r="FF47" s="23"/>
      <c r="FG47" s="23"/>
      <c r="FH47" s="23"/>
      <c r="FI47" s="23"/>
      <c r="FJ47" s="5">
        <v>50916</v>
      </c>
      <c r="FK47" s="143">
        <f>FJ47/'Assets(BoP)'!AV94/1000</f>
        <v>1.2273912180057107</v>
      </c>
      <c r="FL47" s="192"/>
      <c r="FM47" s="193">
        <v>2075</v>
      </c>
      <c r="FN47" s="66">
        <f t="shared" si="374"/>
        <v>0</v>
      </c>
      <c r="FO47" s="184">
        <f t="shared" si="383"/>
        <v>0</v>
      </c>
      <c r="FP47" s="193">
        <v>258</v>
      </c>
      <c r="FQ47" s="66">
        <f t="shared" si="375"/>
        <v>0</v>
      </c>
      <c r="FR47" s="184">
        <v>0</v>
      </c>
      <c r="FS47" s="193">
        <v>2012</v>
      </c>
      <c r="FT47" s="66">
        <f t="shared" si="465"/>
        <v>135.98847326749294</v>
      </c>
      <c r="FU47" s="193">
        <f t="shared" si="175"/>
        <v>1876.011526732507</v>
      </c>
      <c r="FV47" s="23">
        <f t="shared" si="376"/>
        <v>6.7588704407302649E-2</v>
      </c>
      <c r="FW47" s="193">
        <v>709</v>
      </c>
      <c r="FX47" s="66">
        <f t="shared" si="466"/>
        <v>18.543882718294494</v>
      </c>
      <c r="FY47" s="23">
        <f t="shared" si="438"/>
        <v>2.6154982677425238E-2</v>
      </c>
      <c r="FZ47" s="193">
        <v>1279</v>
      </c>
      <c r="GA47" s="66">
        <f t="shared" si="467"/>
        <v>435.16878781556431</v>
      </c>
      <c r="GB47" s="193">
        <f t="shared" si="180"/>
        <v>843.83121218443569</v>
      </c>
      <c r="GC47" s="23">
        <f t="shared" si="366"/>
        <v>0.34024142909739197</v>
      </c>
      <c r="GD47" s="193">
        <v>859</v>
      </c>
      <c r="GE47" s="66">
        <f t="shared" si="384"/>
        <v>18.908318425760289</v>
      </c>
      <c r="GF47" s="23">
        <f t="shared" si="377"/>
        <v>2.2012012137089976E-2</v>
      </c>
      <c r="GG47" s="193">
        <f t="shared" si="439"/>
        <v>7192</v>
      </c>
      <c r="GH47" s="193">
        <f t="shared" si="440"/>
        <v>608.60946222711198</v>
      </c>
      <c r="GI47" s="193">
        <f t="shared" si="441"/>
        <v>43724</v>
      </c>
      <c r="GJ47" s="23">
        <f t="shared" si="442"/>
        <v>0.14125225862204416</v>
      </c>
      <c r="GK47" s="330">
        <v>14093</v>
      </c>
      <c r="GL47" s="330">
        <v>4807</v>
      </c>
      <c r="GM47" s="23">
        <f>GK47/'Assets(BoP)'!AW94/1000</f>
        <v>1.5143737635202155</v>
      </c>
      <c r="GN47" s="23">
        <f t="shared" si="443"/>
        <v>0.27678922146280149</v>
      </c>
      <c r="GO47" s="330">
        <f t="shared" si="275"/>
        <v>36823</v>
      </c>
      <c r="GP47" s="23">
        <f>GO47/('Assets(BoP)'!AV94-'Assets(BoP)'!AW94)/1000</f>
        <v>1.1443906630178018</v>
      </c>
      <c r="GQ47" s="330">
        <f t="shared" si="444"/>
        <v>29631</v>
      </c>
      <c r="GR47" s="330">
        <v>4811.3819999999996</v>
      </c>
      <c r="GS47" s="140">
        <f t="shared" si="445"/>
        <v>0.45824561598587271</v>
      </c>
      <c r="GT47" s="582">
        <v>1.0625516666666699</v>
      </c>
      <c r="GU47" s="576">
        <f t="shared" si="446"/>
        <v>0.33306513334772453</v>
      </c>
      <c r="GV47" s="589">
        <f t="shared" si="276"/>
        <v>0.11465355287877113</v>
      </c>
      <c r="GW47" s="589"/>
      <c r="GX47" s="589">
        <f t="shared" si="277"/>
        <v>3.3506493506493507</v>
      </c>
      <c r="GY47" s="589"/>
      <c r="GZ47" s="589">
        <f t="shared" si="308"/>
        <v>0.40935910478128179</v>
      </c>
      <c r="HA47" s="56">
        <f t="shared" si="385"/>
        <v>0.45366167712860134</v>
      </c>
      <c r="HB47" s="589">
        <f t="shared" si="278"/>
        <v>0.16465397120297259</v>
      </c>
      <c r="HC47" s="56">
        <v>0.1</v>
      </c>
      <c r="HD47" s="589">
        <f t="shared" si="279"/>
        <v>0.13683534824007704</v>
      </c>
      <c r="HE47" s="56">
        <f t="shared" si="479"/>
        <v>0.45366167712860134</v>
      </c>
      <c r="HF47" s="589">
        <f t="shared" si="309"/>
        <v>0.16862976050255202</v>
      </c>
      <c r="HG47" s="56">
        <v>0.1</v>
      </c>
      <c r="HH47" s="6">
        <f t="shared" si="57"/>
        <v>0.17190525133255252</v>
      </c>
      <c r="HI47" s="6">
        <f t="shared" si="447"/>
        <v>0.16375174138983176</v>
      </c>
      <c r="HJ47" s="23">
        <f t="shared" si="280"/>
        <v>0.45366167712860134</v>
      </c>
      <c r="HK47" s="23">
        <f t="shared" si="280"/>
        <v>0.5907582647167261</v>
      </c>
      <c r="HL47" s="23">
        <f t="shared" si="281"/>
        <v>0.40500697836706212</v>
      </c>
      <c r="HM47" s="31">
        <f t="shared" si="282"/>
        <v>0.30230858906786201</v>
      </c>
      <c r="HN47" s="23">
        <f t="shared" si="448"/>
        <v>0.39378928976709837</v>
      </c>
      <c r="HO47" s="23">
        <f t="shared" si="449"/>
        <v>0.37053108079380759</v>
      </c>
      <c r="HP47" s="575">
        <v>133065</v>
      </c>
      <c r="HQ47" s="193"/>
      <c r="HR47" s="193"/>
      <c r="HS47" s="193"/>
      <c r="HT47" s="193"/>
      <c r="HU47" s="193"/>
      <c r="HV47" s="193"/>
      <c r="HW47" s="193"/>
      <c r="HX47" s="193"/>
      <c r="HY47" s="193"/>
      <c r="HZ47" s="193"/>
      <c r="IA47" s="193"/>
      <c r="IB47" s="193"/>
      <c r="IC47" s="193"/>
      <c r="ID47" s="193"/>
      <c r="IE47" s="193"/>
      <c r="IF47" s="193"/>
      <c r="IG47" s="193"/>
      <c r="IH47" s="193"/>
      <c r="II47" s="193"/>
      <c r="IJ47" s="193"/>
      <c r="IK47" s="193"/>
      <c r="IL47" s="193"/>
      <c r="IM47" s="575">
        <v>-18364</v>
      </c>
      <c r="IN47" s="193"/>
      <c r="IO47" s="193"/>
      <c r="IP47" s="193"/>
      <c r="IQ47" s="193"/>
      <c r="IR47" s="193"/>
      <c r="IS47" s="193"/>
      <c r="IT47" s="193"/>
      <c r="IU47" s="193"/>
      <c r="IV47" s="193"/>
      <c r="IW47" s="193"/>
      <c r="IX47" s="149">
        <f t="shared" si="63"/>
        <v>1245816</v>
      </c>
      <c r="IY47" s="316">
        <f t="shared" si="64"/>
        <v>83622</v>
      </c>
      <c r="IZ47" s="316">
        <f t="shared" si="65"/>
        <v>-482</v>
      </c>
      <c r="JA47" s="316">
        <f t="shared" si="66"/>
        <v>94722</v>
      </c>
      <c r="JB47" s="316">
        <f t="shared" si="67"/>
        <v>33826</v>
      </c>
      <c r="JC47" s="316">
        <f t="shared" si="68"/>
        <v>160731</v>
      </c>
      <c r="JD47" s="316">
        <f t="shared" si="69"/>
        <v>30284</v>
      </c>
      <c r="JE47" s="316">
        <f t="shared" si="70"/>
        <v>402703</v>
      </c>
      <c r="JF47" s="316">
        <f t="shared" si="71"/>
        <v>843113</v>
      </c>
      <c r="JG47" s="316">
        <f t="shared" si="72"/>
        <v>745502</v>
      </c>
      <c r="JH47" s="316">
        <f t="shared" si="73"/>
        <v>97611</v>
      </c>
      <c r="JI47" s="5">
        <v>2491851</v>
      </c>
      <c r="JJ47" s="552">
        <v>154572</v>
      </c>
      <c r="JK47" s="552">
        <v>190213</v>
      </c>
      <c r="JL47" s="552">
        <v>297188</v>
      </c>
      <c r="JM47" s="552">
        <v>95557</v>
      </c>
      <c r="JN47" s="552">
        <v>330981</v>
      </c>
      <c r="JO47" s="552">
        <v>74024</v>
      </c>
      <c r="JP47" s="552">
        <f t="shared" ref="JP47" si="495">JJ47+JK47+JL47+JM47+JN47+JO47</f>
        <v>1142535</v>
      </c>
      <c r="JQ47" s="552">
        <f t="shared" ref="JQ47" si="496">JI47-JP47</f>
        <v>1349316</v>
      </c>
      <c r="JR47" s="552">
        <f t="shared" si="76"/>
        <v>1227843</v>
      </c>
      <c r="JS47" s="552">
        <v>121473</v>
      </c>
      <c r="JT47" s="149">
        <v>1246035</v>
      </c>
      <c r="JU47" s="552">
        <v>70950</v>
      </c>
      <c r="JV47" s="552">
        <v>190695</v>
      </c>
      <c r="JW47" s="552">
        <v>202466</v>
      </c>
      <c r="JX47" s="552">
        <v>61731</v>
      </c>
      <c r="JY47" s="552">
        <v>170250</v>
      </c>
      <c r="JZ47" s="552">
        <v>43740</v>
      </c>
      <c r="KA47" s="552">
        <f t="shared" ref="KA47" si="497">JU47+JV47+JW47+JX47+JY47+JZ47</f>
        <v>739832</v>
      </c>
      <c r="KB47" s="552">
        <f t="shared" ref="KB47" si="498">JT47-KA47</f>
        <v>506203</v>
      </c>
      <c r="KC47" s="552">
        <f t="shared" si="470"/>
        <v>482341</v>
      </c>
      <c r="KD47" s="552">
        <v>23862</v>
      </c>
      <c r="KE47" s="149">
        <v>660675</v>
      </c>
      <c r="KF47" s="552">
        <v>11467</v>
      </c>
      <c r="KG47" s="552">
        <v>1441</v>
      </c>
      <c r="KH47" s="552">
        <v>20400</v>
      </c>
      <c r="KI47" s="552">
        <v>6702</v>
      </c>
      <c r="KJ47" s="552">
        <v>17205</v>
      </c>
      <c r="KK47" s="552">
        <v>11070</v>
      </c>
      <c r="KL47" s="552">
        <f t="shared" ref="KL47" si="499">KF47+KG47+KH47+KI47+KJ47+KK47</f>
        <v>68285</v>
      </c>
      <c r="KM47" s="552">
        <f t="shared" ref="KM47" si="500">KE47-KL47</f>
        <v>592390</v>
      </c>
      <c r="KN47" s="552">
        <f t="shared" si="486"/>
        <v>432575</v>
      </c>
      <c r="KO47" s="552">
        <v>159815</v>
      </c>
      <c r="KP47" s="149">
        <v>168524</v>
      </c>
      <c r="KQ47" s="552">
        <v>3337</v>
      </c>
      <c r="KR47" s="552">
        <v>943</v>
      </c>
      <c r="KS47" s="552">
        <v>11102</v>
      </c>
      <c r="KT47" s="552">
        <v>8437</v>
      </c>
      <c r="KU47" s="552">
        <v>2432</v>
      </c>
      <c r="KV47" s="552">
        <v>3986</v>
      </c>
      <c r="KW47" s="552">
        <f t="shared" ref="KW47" si="501">KQ47+KR47+KS47+KT47+KU47+KV47</f>
        <v>30237</v>
      </c>
      <c r="KX47" s="552">
        <f t="shared" ref="KX47" si="502">KP47-KW47</f>
        <v>138287</v>
      </c>
      <c r="KY47" s="552">
        <f t="shared" si="476"/>
        <v>128499</v>
      </c>
      <c r="KZ47" s="552">
        <v>9788</v>
      </c>
      <c r="LA47" s="149">
        <f>'Assets(MOFA)'!IX47-'Assets(MOFA)'!KE47-'Assets(MOFA)'!KP47</f>
        <v>416617</v>
      </c>
      <c r="LB47" s="552">
        <f>'Assets(MOFA)'!IY47-'Assets(MOFA)'!KF47-'Assets(MOFA)'!KQ47</f>
        <v>68818</v>
      </c>
      <c r="LC47" s="552">
        <f>'Assets(MOFA)'!IZ47-'Assets(MOFA)'!KG47-'Assets(MOFA)'!KR47</f>
        <v>-2866</v>
      </c>
      <c r="LD47" s="552">
        <f>'Assets(MOFA)'!JA47-'Assets(MOFA)'!KH47-'Assets(MOFA)'!KS47</f>
        <v>63220</v>
      </c>
      <c r="LE47" s="552">
        <f>'Assets(MOFA)'!JB47-'Assets(MOFA)'!KI47-'Assets(MOFA)'!KT47</f>
        <v>18687</v>
      </c>
      <c r="LF47" s="552">
        <f>'Assets(MOFA)'!JC47-'Assets(MOFA)'!KJ47-'Assets(MOFA)'!KU47</f>
        <v>141094</v>
      </c>
      <c r="LG47" s="552">
        <f>'Assets(MOFA)'!JD47-'Assets(MOFA)'!KK47-'Assets(MOFA)'!KV47</f>
        <v>15228</v>
      </c>
      <c r="LH47" s="552">
        <f>'Assets(MOFA)'!JE47-'Assets(MOFA)'!KL47-'Assets(MOFA)'!KW47</f>
        <v>304181</v>
      </c>
      <c r="LI47" s="552">
        <f>'Assets(MOFA)'!JF47-'Assets(MOFA)'!KM47-'Assets(MOFA)'!KX47</f>
        <v>112436</v>
      </c>
      <c r="LJ47" s="552">
        <f t="shared" si="77"/>
        <v>184428</v>
      </c>
      <c r="LK47" s="552">
        <f>'Assets(MOFA)'!JH47-'Assets(MOFA)'!KO47-'Assets(MOFA)'!KZ47</f>
        <v>-71992</v>
      </c>
      <c r="LL47" s="576">
        <f t="shared" si="78"/>
        <v>0.12270752663314646</v>
      </c>
      <c r="LM47" s="6">
        <f t="shared" si="79"/>
        <v>0.21642629929922746</v>
      </c>
      <c r="LN47" s="6">
        <f t="shared" si="80"/>
        <v>-0.15975103734439833</v>
      </c>
      <c r="LO47" s="6">
        <f t="shared" si="81"/>
        <v>5.1888684782838201E-2</v>
      </c>
      <c r="LP47" s="6">
        <f t="shared" si="82"/>
        <v>0.12729852775971146</v>
      </c>
      <c r="LQ47" s="6">
        <f t="shared" si="83"/>
        <v>5.8153063192539087E-2</v>
      </c>
      <c r="LR47" s="6">
        <f t="shared" si="84"/>
        <v>0.16820763439439967</v>
      </c>
      <c r="LS47" s="6">
        <f t="shared" si="85"/>
        <v>0.10389046021509649</v>
      </c>
      <c r="LT47" s="143">
        <f t="shared" si="86"/>
        <v>0.18613435139306311</v>
      </c>
      <c r="LU47" s="62">
        <f t="shared" si="87"/>
        <v>5.6237768216777596E-2</v>
      </c>
      <c r="LV47" s="902">
        <f t="shared" si="88"/>
        <v>0.13169527690831478</v>
      </c>
      <c r="LW47" s="902">
        <f t="shared" si="89"/>
        <v>0.10726865923900943</v>
      </c>
      <c r="LX47" s="143">
        <f t="shared" si="90"/>
        <v>0.31825306574054152</v>
      </c>
      <c r="LY47" s="576">
        <f t="shared" si="91"/>
        <v>0.10796698709921851</v>
      </c>
      <c r="LZ47" s="906">
        <f t="shared" si="92"/>
        <v>0.21642629929922746</v>
      </c>
      <c r="MA47" s="906">
        <f t="shared" si="93"/>
        <v>-0.15975103734439833</v>
      </c>
      <c r="MB47" s="906">
        <f t="shared" si="94"/>
        <v>5.1888684782838201E-2</v>
      </c>
      <c r="MC47" s="906">
        <f t="shared" si="95"/>
        <v>0.12729852775971146</v>
      </c>
      <c r="MD47" s="906">
        <f t="shared" si="96"/>
        <v>5.8153063192539087E-2</v>
      </c>
      <c r="ME47" s="906">
        <v>6.1610529375296846E-2</v>
      </c>
      <c r="MF47" s="906">
        <f t="shared" si="97"/>
        <v>0.16820763439439967</v>
      </c>
      <c r="MG47" s="30">
        <f t="shared" si="98"/>
        <v>0.10389046021509649</v>
      </c>
      <c r="MH47" s="140">
        <f t="shared" si="99"/>
        <v>0.18613435139306311</v>
      </c>
      <c r="MI47" s="30">
        <f t="shared" si="100"/>
        <v>5.6237768216777596E-2</v>
      </c>
      <c r="MJ47" s="30">
        <f t="shared" si="101"/>
        <v>0.13169527690831478</v>
      </c>
      <c r="MK47" s="617">
        <f t="shared" si="102"/>
        <v>0.10726865923900943</v>
      </c>
      <c r="ML47" s="615">
        <f t="shared" si="103"/>
        <v>0.31825306574054152</v>
      </c>
      <c r="MM47" s="574"/>
      <c r="MX47" s="613"/>
      <c r="MY47" s="552"/>
      <c r="MZ47" s="552"/>
      <c r="NA47" s="552"/>
      <c r="NB47" s="552"/>
      <c r="NC47" s="552"/>
      <c r="ND47" s="552"/>
      <c r="NE47" s="552"/>
      <c r="NF47" s="552"/>
      <c r="NG47" s="552"/>
      <c r="NH47" s="552"/>
      <c r="NI47" s="613">
        <f t="shared" si="364"/>
        <v>268919</v>
      </c>
      <c r="PN47" s="574"/>
      <c r="PO47" s="593"/>
      <c r="PP47" s="593"/>
      <c r="PQ47" s="593"/>
      <c r="PR47" s="593"/>
      <c r="PS47" s="593"/>
      <c r="PT47" s="593"/>
      <c r="PU47" s="593"/>
      <c r="PV47" s="593"/>
      <c r="PW47" s="593"/>
      <c r="PX47" s="593"/>
      <c r="PY47" s="593"/>
      <c r="PZ47" s="593"/>
      <c r="QA47" s="593"/>
      <c r="QB47" s="593"/>
      <c r="QC47" s="593"/>
      <c r="QD47" s="593"/>
      <c r="QE47" s="593"/>
      <c r="QF47" s="593"/>
      <c r="QG47" s="593"/>
      <c r="QH47" s="593"/>
      <c r="QI47" s="593"/>
      <c r="QJ47" s="593"/>
      <c r="QK47" s="593"/>
      <c r="QL47" s="593"/>
      <c r="QM47" s="593"/>
      <c r="QN47" s="593"/>
      <c r="QO47" s="593"/>
      <c r="QP47" s="593"/>
      <c r="QQ47" s="593"/>
      <c r="QR47" s="593"/>
      <c r="QS47" s="593"/>
      <c r="QT47" s="593"/>
      <c r="QU47" s="593"/>
      <c r="QV47" s="593"/>
      <c r="QW47" s="593"/>
      <c r="QX47" s="593"/>
      <c r="QY47" s="593"/>
      <c r="QZ47" s="593"/>
      <c r="RA47" s="593"/>
      <c r="RB47" s="593"/>
      <c r="RC47" s="593"/>
      <c r="RD47" s="593"/>
      <c r="RE47" s="593"/>
      <c r="RF47" s="593"/>
      <c r="RG47" s="593"/>
      <c r="RH47" s="593"/>
      <c r="RI47" s="593"/>
      <c r="RJ47" s="593"/>
      <c r="RK47" s="593"/>
      <c r="RL47" s="593"/>
      <c r="RM47" s="593"/>
      <c r="RN47" s="593"/>
      <c r="RO47" s="593"/>
      <c r="RP47" s="593"/>
      <c r="RQ47" s="593"/>
      <c r="RR47" s="593"/>
    </row>
    <row r="48" spans="1:486">
      <c r="A48" s="568">
        <v>2003</v>
      </c>
      <c r="B48" s="33">
        <v>293618</v>
      </c>
      <c r="C48" s="193">
        <v>3694</v>
      </c>
      <c r="D48" s="193">
        <v>563</v>
      </c>
      <c r="E48" s="193">
        <v>9045</v>
      </c>
      <c r="F48" s="193">
        <v>5032</v>
      </c>
      <c r="G48" s="193">
        <v>1232</v>
      </c>
      <c r="H48" s="193">
        <v>3402</v>
      </c>
      <c r="I48" s="193">
        <f t="shared" si="456"/>
        <v>22968</v>
      </c>
      <c r="J48" s="193">
        <f t="shared" si="457"/>
        <v>270650</v>
      </c>
      <c r="K48" s="193">
        <f t="shared" si="249"/>
        <v>263111</v>
      </c>
      <c r="L48" s="193">
        <v>7539</v>
      </c>
      <c r="M48" s="140">
        <f t="shared" si="217"/>
        <v>7.822408707913002E-2</v>
      </c>
      <c r="N48" s="140">
        <f t="shared" si="250"/>
        <v>2.5676218760430219E-2</v>
      </c>
      <c r="O48" s="193">
        <v>4042000</v>
      </c>
      <c r="P48" s="32">
        <f t="shared" si="251"/>
        <v>7.2641761504205843E-2</v>
      </c>
      <c r="Q48" s="629">
        <f t="shared" si="218"/>
        <v>1.2580972556178436E-2</v>
      </c>
      <c r="R48" s="308">
        <f t="shared" si="219"/>
        <v>1.9174573765913534E-3</v>
      </c>
      <c r="S48" s="308">
        <f t="shared" si="220"/>
        <v>3.0805332098168367E-2</v>
      </c>
      <c r="T48" s="308">
        <f t="shared" si="221"/>
        <v>1.7137913888113126E-2</v>
      </c>
      <c r="U48" s="308">
        <f t="shared" si="222"/>
        <v>4.1959280425586986E-3</v>
      </c>
      <c r="V48" s="308">
        <f t="shared" si="223"/>
        <v>1.1586483117520044E-2</v>
      </c>
      <c r="W48" s="5">
        <v>207075</v>
      </c>
      <c r="X48" s="193">
        <v>23332</v>
      </c>
      <c r="Y48" s="76">
        <v>0</v>
      </c>
      <c r="Z48" s="76">
        <f t="shared" si="114"/>
        <v>23332</v>
      </c>
      <c r="AA48" s="193">
        <v>-865</v>
      </c>
      <c r="AB48" s="66">
        <v>0</v>
      </c>
      <c r="AC48" s="274">
        <f t="shared" si="117"/>
        <v>-865</v>
      </c>
      <c r="AD48" s="193">
        <v>7018</v>
      </c>
      <c r="AE48" s="357">
        <f t="shared" si="477"/>
        <v>351.32321956230271</v>
      </c>
      <c r="AF48" s="274">
        <f t="shared" si="119"/>
        <v>6666.6767804376977</v>
      </c>
      <c r="AG48" s="193">
        <v>5243</v>
      </c>
      <c r="AH48" s="357">
        <f t="shared" si="382"/>
        <v>204.02148672467337</v>
      </c>
      <c r="AI48" s="76">
        <f t="shared" si="287"/>
        <v>5038.9785132753268</v>
      </c>
      <c r="AJ48" s="193">
        <v>11974</v>
      </c>
      <c r="AK48" s="357">
        <f t="shared" si="458"/>
        <v>1356.9805967035256</v>
      </c>
      <c r="AL48" s="274">
        <f t="shared" si="123"/>
        <v>10617.019403296474</v>
      </c>
      <c r="AM48" s="193">
        <v>6638</v>
      </c>
      <c r="AN48" s="357">
        <f t="shared" si="478"/>
        <v>251.09570661896245</v>
      </c>
      <c r="AO48" s="274">
        <f t="shared" si="125"/>
        <v>6386.9042933810379</v>
      </c>
      <c r="AP48" s="193">
        <f t="shared" si="397"/>
        <v>53340</v>
      </c>
      <c r="AQ48" s="271">
        <f t="shared" si="398"/>
        <v>2163.4210096094639</v>
      </c>
      <c r="AR48" s="271">
        <f t="shared" si="126"/>
        <v>51176.578990390539</v>
      </c>
      <c r="AS48" s="193">
        <f t="shared" si="259"/>
        <v>153735</v>
      </c>
      <c r="AT48" s="193">
        <f t="shared" si="224"/>
        <v>109789</v>
      </c>
      <c r="AU48" s="193">
        <v>43946</v>
      </c>
      <c r="AV48" s="193">
        <v>10774</v>
      </c>
      <c r="AW48" s="23">
        <f t="shared" si="289"/>
        <v>0.2451645200928412</v>
      </c>
      <c r="AX48" s="271">
        <f t="shared" si="227"/>
        <v>163129</v>
      </c>
      <c r="AY48" s="140">
        <f t="shared" si="399"/>
        <v>0.25758783049619705</v>
      </c>
      <c r="AZ48" s="623">
        <f t="shared" si="129"/>
        <v>0.24714030660577346</v>
      </c>
      <c r="BA48" s="248">
        <f t="shared" si="400"/>
        <v>0.31371846201711862</v>
      </c>
      <c r="BB48" s="248">
        <f t="shared" si="130"/>
        <v>0.1430279104267175</v>
      </c>
      <c r="BC48" s="248">
        <f t="shared" si="131"/>
        <v>-5.3025519680743463E-3</v>
      </c>
      <c r="BD48" s="248">
        <f t="shared" si="132"/>
        <v>4.0867514546387818E-2</v>
      </c>
      <c r="BE48" s="248">
        <f t="shared" si="133"/>
        <v>3.088953229208373E-2</v>
      </c>
      <c r="BF48" s="248">
        <f t="shared" si="134"/>
        <v>6.5083580499460392E-2</v>
      </c>
      <c r="BG48" s="248">
        <f t="shared" si="135"/>
        <v>3.9152476220543485E-2</v>
      </c>
      <c r="BH48" s="248">
        <f t="shared" si="136"/>
        <v>3.5564962578313472E-2</v>
      </c>
      <c r="BI48" s="23">
        <f t="shared" si="401"/>
        <v>0.28395932053773393</v>
      </c>
      <c r="BJ48" s="140">
        <f t="shared" si="402"/>
        <v>0.21222262465290354</v>
      </c>
      <c r="BK48" s="623">
        <f t="shared" si="137"/>
        <v>0.20177510076247995</v>
      </c>
      <c r="BL48" s="5">
        <v>-10950</v>
      </c>
      <c r="BM48" s="193">
        <v>-1570</v>
      </c>
      <c r="BN48" s="193">
        <v>857</v>
      </c>
      <c r="BO48" s="193">
        <v>483</v>
      </c>
      <c r="BP48" s="193">
        <v>305</v>
      </c>
      <c r="BQ48" s="193">
        <v>-3748</v>
      </c>
      <c r="BR48" s="193">
        <v>34</v>
      </c>
      <c r="BS48" s="193">
        <f t="shared" si="403"/>
        <v>-3639</v>
      </c>
      <c r="BT48" s="193">
        <f t="shared" si="365"/>
        <v>-7311</v>
      </c>
      <c r="BU48" s="193">
        <f t="shared" si="373"/>
        <v>-9620</v>
      </c>
      <c r="BV48" s="193">
        <v>2309</v>
      </c>
      <c r="BW48" s="5">
        <f t="shared" si="262"/>
        <v>147847</v>
      </c>
      <c r="BX48" s="193">
        <f t="shared" si="263"/>
        <v>21313</v>
      </c>
      <c r="BY48" s="193">
        <f t="shared" si="459"/>
        <v>0</v>
      </c>
      <c r="BZ48" s="647">
        <f t="shared" si="149"/>
        <v>0.14415578266721679</v>
      </c>
      <c r="CA48" s="193">
        <f t="shared" si="264"/>
        <v>-465</v>
      </c>
      <c r="CB48" s="193">
        <f t="shared" si="460"/>
        <v>0</v>
      </c>
      <c r="CC48" s="647">
        <f t="shared" si="404"/>
        <v>-3.145143290022794E-3</v>
      </c>
      <c r="CD48" s="193">
        <f t="shared" si="265"/>
        <v>4705</v>
      </c>
      <c r="CE48" s="193">
        <f t="shared" si="461"/>
        <v>201.7074626308756</v>
      </c>
      <c r="CF48" s="655">
        <f t="shared" si="405"/>
        <v>3.0459140444981124E-2</v>
      </c>
      <c r="CG48" s="193">
        <f t="shared" si="266"/>
        <v>4325</v>
      </c>
      <c r="CH48" s="193">
        <f t="shared" si="462"/>
        <v>183.61933805220602</v>
      </c>
      <c r="CI48" s="23">
        <f t="shared" si="406"/>
        <v>2.8011259355602707E-2</v>
      </c>
      <c r="CJ48" s="193">
        <f t="shared" si="267"/>
        <v>10384</v>
      </c>
      <c r="CK48" s="641">
        <f t="shared" si="463"/>
        <v>779.09200918005399</v>
      </c>
      <c r="CL48" s="34">
        <f t="shared" si="158"/>
        <v>6.4965186921749823E-2</v>
      </c>
      <c r="CM48" s="193">
        <f t="shared" si="268"/>
        <v>5984</v>
      </c>
      <c r="CN48" s="193">
        <f t="shared" si="464"/>
        <v>225.98613595706621</v>
      </c>
      <c r="CO48" s="23">
        <f t="shared" si="161"/>
        <v>3.894576057710291E-2</v>
      </c>
      <c r="CP48" s="193">
        <f t="shared" si="407"/>
        <v>46246</v>
      </c>
      <c r="CQ48" s="193">
        <f t="shared" si="162"/>
        <v>1390.4049458202019</v>
      </c>
      <c r="CR48" s="193">
        <f t="shared" si="408"/>
        <v>101601</v>
      </c>
      <c r="CS48" s="248">
        <f t="shared" si="163"/>
        <v>0.30339198667663059</v>
      </c>
      <c r="CT48" s="30">
        <f t="shared" si="409"/>
        <v>0.31279633675353574</v>
      </c>
      <c r="CU48" s="308">
        <f t="shared" si="410"/>
        <v>0</v>
      </c>
      <c r="CV48" s="608">
        <f t="shared" si="269"/>
        <v>0.14415578266721679</v>
      </c>
      <c r="CW48" s="608">
        <f t="shared" si="270"/>
        <v>-3.145143290022794E-3</v>
      </c>
      <c r="CX48" s="608">
        <f t="shared" si="271"/>
        <v>3.1823439095822033E-2</v>
      </c>
      <c r="CY48" s="608">
        <f t="shared" si="272"/>
        <v>2.9253214471717384E-2</v>
      </c>
      <c r="CZ48" s="608">
        <f t="shared" si="327"/>
        <v>7.0234769728164934E-2</v>
      </c>
      <c r="DA48" s="608">
        <f>'Assets(BoP)'!FK95</f>
        <v>8.8319772697540017E-2</v>
      </c>
      <c r="DB48" s="608">
        <f t="shared" si="273"/>
        <v>4.0474274080637418E-2</v>
      </c>
      <c r="DC48" s="23">
        <f t="shared" si="411"/>
        <v>0.365821712127127</v>
      </c>
      <c r="DD48" s="193">
        <f t="shared" si="412"/>
        <v>122616</v>
      </c>
      <c r="DE48" s="193">
        <f t="shared" si="274"/>
        <v>25231</v>
      </c>
      <c r="DF48" s="193"/>
      <c r="DG48" s="193">
        <f>'Assets(BoP)'!DA95*1000</f>
        <v>12290</v>
      </c>
      <c r="DH48" s="23">
        <f t="shared" si="413"/>
        <v>0.17065615129153788</v>
      </c>
      <c r="DI48" s="23"/>
      <c r="DJ48" s="23">
        <f t="shared" si="414"/>
        <v>0.28097289765771372</v>
      </c>
      <c r="DK48" s="600">
        <f>'Assets(BoP)'!FO95-'Assets(BoP)'!FH95</f>
        <v>0.31615321196996926</v>
      </c>
      <c r="DL48" s="576">
        <f t="shared" si="415"/>
        <v>0.70525308393899555</v>
      </c>
      <c r="DM48" s="251">
        <f t="shared" si="416"/>
        <v>6.3161884136437463</v>
      </c>
      <c r="DN48" s="251">
        <f t="shared" si="417"/>
        <v>6.3161884136437463</v>
      </c>
      <c r="DO48" s="251">
        <f t="shared" si="418"/>
        <v>-1.536412078152753</v>
      </c>
      <c r="DP48" s="251">
        <f t="shared" si="419"/>
        <v>-1.536412078152753</v>
      </c>
      <c r="DQ48" s="251">
        <f t="shared" si="420"/>
        <v>0.77589828634604752</v>
      </c>
      <c r="DR48" s="251">
        <f t="shared" si="421"/>
        <v>0.74200079312879097</v>
      </c>
      <c r="DS48" s="251">
        <f t="shared" si="422"/>
        <v>1.0419316375198728</v>
      </c>
      <c r="DT48" s="251">
        <f t="shared" si="423"/>
        <v>1.0084007797839571</v>
      </c>
      <c r="DU48" s="251">
        <f t="shared" si="424"/>
        <v>9.7191558441558445</v>
      </c>
      <c r="DV48" s="251">
        <f t="shared" si="425"/>
        <v>10.625434623373737</v>
      </c>
      <c r="DW48" s="251">
        <f t="shared" si="426"/>
        <v>1.9512051734273956</v>
      </c>
      <c r="DX48" s="251">
        <f t="shared" si="427"/>
        <v>1.9014732023592058</v>
      </c>
      <c r="DY48" s="251">
        <f t="shared" si="428"/>
        <v>0.64040383014154867</v>
      </c>
      <c r="DZ48" s="251">
        <f t="shared" si="429"/>
        <v>0.60764985866087551</v>
      </c>
      <c r="EA48" s="643">
        <f t="shared" si="430"/>
        <v>2.3223615464994776</v>
      </c>
      <c r="EB48" s="643">
        <f t="shared" si="431"/>
        <v>2.2647648604148487</v>
      </c>
      <c r="EC48" s="251">
        <f t="shared" si="432"/>
        <v>0.56802142989100313</v>
      </c>
      <c r="ED48" s="251">
        <f t="shared" si="433"/>
        <v>0.5702236095623936</v>
      </c>
      <c r="EE48" s="140">
        <f t="shared" si="434"/>
        <v>0.4172725579698302</v>
      </c>
      <c r="EF48" s="1342">
        <v>0.23274812538919096</v>
      </c>
      <c r="EG48" s="140">
        <f t="shared" si="228"/>
        <v>5.8291550603528322</v>
      </c>
      <c r="EH48" s="583">
        <v>28.83070312500001</v>
      </c>
      <c r="EI48" s="1344">
        <v>1.246482894075732</v>
      </c>
      <c r="EJ48" s="576">
        <f t="shared" si="166"/>
        <v>0.50353520560728571</v>
      </c>
      <c r="EK48" s="753">
        <f t="shared" si="167"/>
        <v>1.9889368837518306</v>
      </c>
      <c r="EL48" s="753">
        <f t="shared" si="168"/>
        <v>3.3467303355882745</v>
      </c>
      <c r="EM48" s="753">
        <f t="shared" si="169"/>
        <v>0.2902577239264037</v>
      </c>
      <c r="EN48" s="583"/>
      <c r="EO48" s="5">
        <v>325684</v>
      </c>
      <c r="EP48" s="193">
        <v>31281</v>
      </c>
      <c r="EQ48" s="193"/>
      <c r="ER48" s="193">
        <v>22749</v>
      </c>
      <c r="ES48" s="193"/>
      <c r="ET48" s="193">
        <v>41742</v>
      </c>
      <c r="EU48" s="193"/>
      <c r="EV48" s="193">
        <v>19466</v>
      </c>
      <c r="EW48" s="193"/>
      <c r="EX48" s="193">
        <v>44746</v>
      </c>
      <c r="EY48" s="193"/>
      <c r="EZ48" s="193">
        <v>8922</v>
      </c>
      <c r="FA48" s="193"/>
      <c r="FB48" s="193">
        <f t="shared" si="435"/>
        <v>168906</v>
      </c>
      <c r="FC48" s="193">
        <f t="shared" si="436"/>
        <v>156778</v>
      </c>
      <c r="FD48" s="23">
        <f t="shared" si="437"/>
        <v>0.51861927512558181</v>
      </c>
      <c r="FE48" s="23"/>
      <c r="FF48" s="23"/>
      <c r="FG48" s="23"/>
      <c r="FH48" s="23"/>
      <c r="FI48" s="23"/>
      <c r="FJ48" s="5">
        <v>59228</v>
      </c>
      <c r="FK48" s="143">
        <f>FJ48/'Assets(BoP)'!AV95/1000</f>
        <v>1.1469974396479452</v>
      </c>
      <c r="FL48" s="192"/>
      <c r="FM48" s="193">
        <v>2019</v>
      </c>
      <c r="FN48" s="66">
        <f t="shared" si="374"/>
        <v>0</v>
      </c>
      <c r="FO48" s="184">
        <f t="shared" si="383"/>
        <v>0</v>
      </c>
      <c r="FP48" s="193">
        <v>-400</v>
      </c>
      <c r="FQ48" s="66">
        <f t="shared" si="375"/>
        <v>0</v>
      </c>
      <c r="FR48" s="184">
        <v>0</v>
      </c>
      <c r="FS48" s="193">
        <v>2313</v>
      </c>
      <c r="FT48" s="66">
        <f t="shared" si="465"/>
        <v>149.61575693142711</v>
      </c>
      <c r="FU48" s="193">
        <f t="shared" si="175"/>
        <v>2163.3842430685727</v>
      </c>
      <c r="FV48" s="23">
        <f t="shared" si="376"/>
        <v>6.4684719814711245E-2</v>
      </c>
      <c r="FW48" s="193">
        <v>918</v>
      </c>
      <c r="FX48" s="66">
        <f t="shared" si="466"/>
        <v>20.402148672467337</v>
      </c>
      <c r="FY48" s="23">
        <f t="shared" si="438"/>
        <v>2.2224562824038493E-2</v>
      </c>
      <c r="FZ48" s="193">
        <v>1590</v>
      </c>
      <c r="GA48" s="66">
        <f t="shared" si="467"/>
        <v>577.88858752347164</v>
      </c>
      <c r="GB48" s="193">
        <f t="shared" si="180"/>
        <v>1012.1114124765284</v>
      </c>
      <c r="GC48" s="23">
        <f t="shared" si="366"/>
        <v>0.36345194183866142</v>
      </c>
      <c r="GD48" s="193">
        <v>654</v>
      </c>
      <c r="GE48" s="66">
        <f t="shared" si="384"/>
        <v>25.109570661896246</v>
      </c>
      <c r="GF48" s="23">
        <f t="shared" si="377"/>
        <v>3.8393838932563068E-2</v>
      </c>
      <c r="GG48" s="193">
        <f t="shared" si="439"/>
        <v>7094</v>
      </c>
      <c r="GH48" s="193">
        <f t="shared" si="440"/>
        <v>773.01606378926226</v>
      </c>
      <c r="GI48" s="193">
        <f t="shared" si="441"/>
        <v>52134</v>
      </c>
      <c r="GJ48" s="23">
        <f t="shared" si="442"/>
        <v>0.11977443101235902</v>
      </c>
      <c r="GK48" s="330">
        <v>18715</v>
      </c>
      <c r="GL48" s="330">
        <v>5935</v>
      </c>
      <c r="GM48" s="23">
        <f>GK48/'Assets(BoP)'!AW95/1000</f>
        <v>1.185084037750705</v>
      </c>
      <c r="GN48" s="23">
        <f t="shared" si="443"/>
        <v>0.31598230566623892</v>
      </c>
      <c r="GO48" s="330">
        <f t="shared" si="275"/>
        <v>40513</v>
      </c>
      <c r="GP48" s="23">
        <f>GO48/('Assets(BoP)'!AV95-'Assets(BoP)'!AW95)/1000</f>
        <v>1.1302178770935691</v>
      </c>
      <c r="GQ48" s="330">
        <f t="shared" si="444"/>
        <v>33419</v>
      </c>
      <c r="GR48" s="330">
        <v>5161.0940000000001</v>
      </c>
      <c r="GS48" s="140">
        <f t="shared" si="445"/>
        <v>0.34661313715657971</v>
      </c>
      <c r="GT48" s="582">
        <v>0.88603416666666701</v>
      </c>
      <c r="GU48" s="576">
        <f t="shared" si="446"/>
        <v>0.2860219727151998</v>
      </c>
      <c r="GV48" s="589">
        <f t="shared" si="276"/>
        <v>8.6533516200925767E-2</v>
      </c>
      <c r="GW48" s="589"/>
      <c r="GX48" s="589">
        <f t="shared" si="277"/>
        <v>0.46242774566473988</v>
      </c>
      <c r="GY48" s="589"/>
      <c r="GZ48" s="589">
        <f t="shared" si="308"/>
        <v>0.32958107722998004</v>
      </c>
      <c r="HA48" s="56">
        <f t="shared" si="385"/>
        <v>0.42586355982341967</v>
      </c>
      <c r="HB48" s="589">
        <f t="shared" si="278"/>
        <v>0.17509059698645812</v>
      </c>
      <c r="HC48" s="56">
        <v>0.1</v>
      </c>
      <c r="HD48" s="589">
        <f t="shared" si="279"/>
        <v>0.13278770669784534</v>
      </c>
      <c r="HE48" s="56">
        <f t="shared" si="479"/>
        <v>0.42586355982341967</v>
      </c>
      <c r="HF48" s="589">
        <f t="shared" si="309"/>
        <v>9.852365170231997E-2</v>
      </c>
      <c r="HG48" s="56">
        <v>0.1</v>
      </c>
      <c r="HH48" s="6">
        <f t="shared" si="57"/>
        <v>0.13299587551556055</v>
      </c>
      <c r="HI48" s="6">
        <f t="shared" si="447"/>
        <v>0.1235132175872411</v>
      </c>
      <c r="HJ48" s="23">
        <f t="shared" si="280"/>
        <v>0.42586355982341967</v>
      </c>
      <c r="HK48" s="23">
        <f t="shared" si="280"/>
        <v>0.55086318915908672</v>
      </c>
      <c r="HL48" s="23">
        <f t="shared" si="281"/>
        <v>0.38526468105631256</v>
      </c>
      <c r="HM48" s="31">
        <f t="shared" si="282"/>
        <v>0.24834946576022657</v>
      </c>
      <c r="HN48" s="23">
        <f t="shared" si="448"/>
        <v>0.33911601131817737</v>
      </c>
      <c r="HO48" s="23">
        <f t="shared" si="449"/>
        <v>0.30439297197351284</v>
      </c>
      <c r="HP48" s="575">
        <v>184844</v>
      </c>
      <c r="HQ48" s="193"/>
      <c r="HR48" s="193"/>
      <c r="HS48" s="193"/>
      <c r="HT48" s="193"/>
      <c r="HU48" s="193"/>
      <c r="HV48" s="193"/>
      <c r="HW48" s="193"/>
      <c r="HX48" s="193"/>
      <c r="HY48" s="193"/>
      <c r="HZ48" s="193"/>
      <c r="IA48" s="193"/>
      <c r="IB48" s="193"/>
      <c r="IC48" s="193"/>
      <c r="ID48" s="193"/>
      <c r="IE48" s="193"/>
      <c r="IF48" s="193"/>
      <c r="IG48" s="193"/>
      <c r="IH48" s="193"/>
      <c r="II48" s="193"/>
      <c r="IJ48" s="193"/>
      <c r="IK48" s="193"/>
      <c r="IL48" s="193"/>
      <c r="IM48" s="575">
        <v>-2812</v>
      </c>
      <c r="IN48" s="193"/>
      <c r="IO48" s="193"/>
      <c r="IP48" s="193"/>
      <c r="IQ48" s="193"/>
      <c r="IR48" s="193"/>
      <c r="IS48" s="193"/>
      <c r="IT48" s="193"/>
      <c r="IU48" s="193"/>
      <c r="IV48" s="193"/>
      <c r="IW48" s="193"/>
      <c r="IX48" s="149">
        <f t="shared" si="63"/>
        <v>1447919</v>
      </c>
      <c r="IY48" s="316">
        <f t="shared" si="64"/>
        <v>114565</v>
      </c>
      <c r="IZ48" s="316">
        <f t="shared" si="65"/>
        <v>-17882</v>
      </c>
      <c r="JA48" s="316">
        <f t="shared" si="66"/>
        <v>118898</v>
      </c>
      <c r="JB48" s="316">
        <f t="shared" si="67"/>
        <v>48979</v>
      </c>
      <c r="JC48" s="316">
        <f t="shared" si="68"/>
        <v>184321</v>
      </c>
      <c r="JD48" s="316">
        <f t="shared" si="69"/>
        <v>29626</v>
      </c>
      <c r="JE48" s="316">
        <f t="shared" si="70"/>
        <v>478507</v>
      </c>
      <c r="JF48" s="316">
        <f t="shared" si="71"/>
        <v>969412</v>
      </c>
      <c r="JG48" s="316">
        <f t="shared" si="72"/>
        <v>860866</v>
      </c>
      <c r="JH48" s="316">
        <f t="shared" si="73"/>
        <v>108546</v>
      </c>
      <c r="JI48" s="5">
        <v>3030299</v>
      </c>
      <c r="JJ48" s="552">
        <v>204853</v>
      </c>
      <c r="JK48" s="552">
        <v>263152</v>
      </c>
      <c r="JL48" s="552">
        <v>376854</v>
      </c>
      <c r="JM48" s="552">
        <v>126863</v>
      </c>
      <c r="JN48" s="552">
        <v>391701</v>
      </c>
      <c r="JO48" s="552">
        <v>77265</v>
      </c>
      <c r="JP48" s="552">
        <f t="shared" si="74"/>
        <v>1440688</v>
      </c>
      <c r="JQ48" s="552">
        <f t="shared" si="75"/>
        <v>1589611</v>
      </c>
      <c r="JR48" s="552">
        <f t="shared" si="76"/>
        <v>1448174</v>
      </c>
      <c r="JS48" s="552">
        <v>141437</v>
      </c>
      <c r="JT48" s="149">
        <v>1582380</v>
      </c>
      <c r="JU48" s="552">
        <v>90288</v>
      </c>
      <c r="JV48" s="552">
        <v>281034</v>
      </c>
      <c r="JW48" s="552">
        <v>257956</v>
      </c>
      <c r="JX48" s="552">
        <v>77884</v>
      </c>
      <c r="JY48" s="552">
        <v>207380</v>
      </c>
      <c r="JZ48" s="552">
        <v>47639</v>
      </c>
      <c r="KA48" s="552">
        <f t="shared" ref="KA48" si="503">JU48+JV48+JW48+JX48+JY48+JZ48</f>
        <v>962181</v>
      </c>
      <c r="KB48" s="552">
        <f t="shared" ref="KB48" si="504">JT48-KA48</f>
        <v>620199</v>
      </c>
      <c r="KC48" s="552">
        <f t="shared" si="470"/>
        <v>587308</v>
      </c>
      <c r="KD48" s="552">
        <v>32891</v>
      </c>
      <c r="KE48" s="149">
        <v>715690</v>
      </c>
      <c r="KF48" s="552">
        <v>12903</v>
      </c>
      <c r="KG48" s="552">
        <v>1561</v>
      </c>
      <c r="KH48" s="552">
        <v>20850</v>
      </c>
      <c r="KI48" s="552">
        <v>5698</v>
      </c>
      <c r="KJ48" s="552">
        <v>16297</v>
      </c>
      <c r="KK48" s="552">
        <v>10941</v>
      </c>
      <c r="KL48" s="552">
        <f t="shared" ref="KL48" si="505">KF48+KG48+KH48+KI48+KJ48+KK48</f>
        <v>68250</v>
      </c>
      <c r="KM48" s="552">
        <f t="shared" ref="KM48" si="506">KE48-KL48</f>
        <v>647440</v>
      </c>
      <c r="KN48" s="552">
        <f t="shared" si="486"/>
        <v>467776</v>
      </c>
      <c r="KO48" s="552">
        <v>179664</v>
      </c>
      <c r="KP48" s="149">
        <v>188877</v>
      </c>
      <c r="KQ48" s="552">
        <v>7466</v>
      </c>
      <c r="KR48" s="552">
        <v>1406</v>
      </c>
      <c r="KS48" s="552">
        <v>10222</v>
      </c>
      <c r="KT48" s="552">
        <v>11089</v>
      </c>
      <c r="KU48" s="552">
        <v>2402</v>
      </c>
      <c r="KV48" s="552">
        <v>4826</v>
      </c>
      <c r="KW48" s="552">
        <f t="shared" ref="KW48" si="507">KQ48+KR48+KS48+KT48+KU48+KV48</f>
        <v>37411</v>
      </c>
      <c r="KX48" s="552">
        <f t="shared" ref="KX48" si="508">KP48-KW48</f>
        <v>151466</v>
      </c>
      <c r="KY48" s="552">
        <f t="shared" si="476"/>
        <v>140639</v>
      </c>
      <c r="KZ48" s="552">
        <v>10827</v>
      </c>
      <c r="LA48" s="149">
        <f>'Assets(MOFA)'!IX48-'Assets(MOFA)'!KE48-'Assets(MOFA)'!KP48</f>
        <v>543352</v>
      </c>
      <c r="LB48" s="552">
        <f>'Assets(MOFA)'!IY48-'Assets(MOFA)'!KF48-'Assets(MOFA)'!KQ48</f>
        <v>94196</v>
      </c>
      <c r="LC48" s="552">
        <f>'Assets(MOFA)'!IZ48-'Assets(MOFA)'!KG48-'Assets(MOFA)'!KR48</f>
        <v>-20849</v>
      </c>
      <c r="LD48" s="552">
        <f>'Assets(MOFA)'!JA48-'Assets(MOFA)'!KH48-'Assets(MOFA)'!KS48</f>
        <v>87826</v>
      </c>
      <c r="LE48" s="552">
        <f>'Assets(MOFA)'!JB48-'Assets(MOFA)'!KI48-'Assets(MOFA)'!KT48</f>
        <v>32192</v>
      </c>
      <c r="LF48" s="552">
        <f>'Assets(MOFA)'!JC48-'Assets(MOFA)'!KJ48-'Assets(MOFA)'!KU48</f>
        <v>165622</v>
      </c>
      <c r="LG48" s="552">
        <f>'Assets(MOFA)'!JD48-'Assets(MOFA)'!KK48-'Assets(MOFA)'!KV48</f>
        <v>13859</v>
      </c>
      <c r="LH48" s="552">
        <f>'Assets(MOFA)'!JE48-'Assets(MOFA)'!KL48-'Assets(MOFA)'!KW48</f>
        <v>372846</v>
      </c>
      <c r="LI48" s="552">
        <f>'Assets(MOFA)'!JF48-'Assets(MOFA)'!KM48-'Assets(MOFA)'!KX48</f>
        <v>170506</v>
      </c>
      <c r="LJ48" s="552">
        <f t="shared" si="77"/>
        <v>252451</v>
      </c>
      <c r="LK48" s="552">
        <f>'Assets(MOFA)'!JH48-'Assets(MOFA)'!KO48-'Assets(MOFA)'!KZ48</f>
        <v>-81945</v>
      </c>
      <c r="LL48" s="576">
        <f t="shared" si="78"/>
        <v>0.14301559686695181</v>
      </c>
      <c r="LM48" s="6">
        <f t="shared" si="79"/>
        <v>0.20365731244271812</v>
      </c>
      <c r="LN48" s="6">
        <f t="shared" si="80"/>
        <v>4.8372665249972038E-2</v>
      </c>
      <c r="LO48" s="6">
        <f t="shared" si="81"/>
        <v>5.9025383101481942E-2</v>
      </c>
      <c r="LP48" s="6">
        <f t="shared" si="82"/>
        <v>0.10704587680434471</v>
      </c>
      <c r="LQ48" s="6">
        <f t="shared" si="83"/>
        <v>6.4962755193385457E-2</v>
      </c>
      <c r="LR48" s="6">
        <f t="shared" si="84"/>
        <v>0.22405994734354959</v>
      </c>
      <c r="LS48" s="6">
        <f t="shared" si="85"/>
        <v>0.11147172350665717</v>
      </c>
      <c r="LT48" s="143">
        <f t="shared" si="86"/>
        <v>0.18229021069524254</v>
      </c>
      <c r="LU48" s="62">
        <f t="shared" si="87"/>
        <v>6.3528389237988758E-2</v>
      </c>
      <c r="LV48" s="902">
        <f t="shared" si="88"/>
        <v>0.15858582315878078</v>
      </c>
      <c r="LW48" s="902">
        <f t="shared" si="89"/>
        <v>0.12753320493549519</v>
      </c>
      <c r="LX48" s="143">
        <f t="shared" si="90"/>
        <v>0.40486061209072649</v>
      </c>
      <c r="LY48" s="576">
        <f t="shared" si="91"/>
        <v>0.14107349927723858</v>
      </c>
      <c r="LZ48" s="906">
        <f t="shared" si="92"/>
        <v>0.20365731244271812</v>
      </c>
      <c r="MA48" s="906">
        <f t="shared" si="93"/>
        <v>4.8372665249972038E-2</v>
      </c>
      <c r="MB48" s="906">
        <f t="shared" si="94"/>
        <v>5.9025383101481942E-2</v>
      </c>
      <c r="MC48" s="906">
        <f t="shared" si="95"/>
        <v>0.10704587680434471</v>
      </c>
      <c r="MD48" s="906">
        <f t="shared" si="96"/>
        <v>6.4962755193385457E-2</v>
      </c>
      <c r="ME48" s="906">
        <v>6.1610529375296846E-2</v>
      </c>
      <c r="MF48" s="906">
        <f t="shared" si="97"/>
        <v>0.22405994734354959</v>
      </c>
      <c r="MG48" s="30">
        <f t="shared" si="98"/>
        <v>0.11147172350665717</v>
      </c>
      <c r="MH48" s="140">
        <f t="shared" si="99"/>
        <v>0.18229021069524254</v>
      </c>
      <c r="MI48" s="30">
        <f t="shared" si="100"/>
        <v>6.3528389237988758E-2</v>
      </c>
      <c r="MJ48" s="30">
        <f t="shared" si="101"/>
        <v>0.15858582315878078</v>
      </c>
      <c r="MK48" s="617">
        <f t="shared" si="102"/>
        <v>0.12753320493549519</v>
      </c>
      <c r="ML48" s="615">
        <f t="shared" si="103"/>
        <v>0.40486061209072649</v>
      </c>
      <c r="MM48" s="574"/>
      <c r="MX48" s="613"/>
      <c r="MY48" s="552"/>
      <c r="MZ48" s="552"/>
      <c r="NA48" s="552"/>
      <c r="NB48" s="552"/>
      <c r="NC48" s="552"/>
      <c r="ND48" s="552"/>
      <c r="NE48" s="552"/>
      <c r="NF48" s="552"/>
      <c r="NG48" s="552"/>
      <c r="NH48" s="552"/>
      <c r="NI48" s="613">
        <f t="shared" si="364"/>
        <v>293618</v>
      </c>
      <c r="PN48" s="574"/>
      <c r="PO48" s="593"/>
      <c r="PP48" s="593"/>
      <c r="PQ48" s="593"/>
      <c r="PR48" s="593"/>
      <c r="PS48" s="593"/>
      <c r="PT48" s="593"/>
      <c r="PU48" s="593"/>
      <c r="PV48" s="593"/>
      <c r="PW48" s="593"/>
      <c r="PX48" s="593"/>
      <c r="PY48" s="593"/>
      <c r="PZ48" s="593"/>
      <c r="QA48" s="593"/>
      <c r="QB48" s="593"/>
      <c r="QC48" s="593"/>
      <c r="QD48" s="593"/>
      <c r="QE48" s="593"/>
      <c r="QF48" s="593"/>
      <c r="QG48" s="593"/>
      <c r="QH48" s="593"/>
      <c r="QI48" s="593"/>
      <c r="QJ48" s="593"/>
      <c r="QK48" s="593"/>
      <c r="QL48" s="593"/>
      <c r="QM48" s="593"/>
      <c r="QN48" s="593"/>
      <c r="QO48" s="593"/>
      <c r="QP48" s="593"/>
      <c r="QQ48" s="593"/>
      <c r="QR48" s="593"/>
      <c r="QS48" s="593"/>
      <c r="QT48" s="593"/>
      <c r="QU48" s="593"/>
      <c r="QV48" s="593"/>
      <c r="QW48" s="593"/>
      <c r="QX48" s="593"/>
      <c r="QY48" s="593"/>
      <c r="QZ48" s="593"/>
      <c r="RA48" s="593"/>
      <c r="RB48" s="593"/>
      <c r="RC48" s="593"/>
      <c r="RD48" s="593"/>
      <c r="RE48" s="593"/>
      <c r="RF48" s="593"/>
      <c r="RG48" s="593"/>
      <c r="RH48" s="593"/>
      <c r="RI48" s="593"/>
      <c r="RJ48" s="593"/>
      <c r="RK48" s="593"/>
      <c r="RL48" s="593"/>
      <c r="RM48" s="593"/>
      <c r="RN48" s="593"/>
      <c r="RO48" s="593"/>
      <c r="RP48" s="593"/>
      <c r="RQ48" s="593"/>
      <c r="RR48" s="593"/>
    </row>
    <row r="49" spans="1:486">
      <c r="A49" s="568">
        <v>2004</v>
      </c>
      <c r="B49" s="33">
        <v>331593</v>
      </c>
      <c r="C49" s="193">
        <v>4569</v>
      </c>
      <c r="D49" s="193">
        <v>575</v>
      </c>
      <c r="E49" s="193">
        <v>10749</v>
      </c>
      <c r="F49" s="193">
        <v>5681</v>
      </c>
      <c r="G49" s="193">
        <v>1347</v>
      </c>
      <c r="H49" s="193">
        <v>3709</v>
      </c>
      <c r="I49" s="193">
        <f t="shared" si="456"/>
        <v>26630</v>
      </c>
      <c r="J49" s="193">
        <f t="shared" si="457"/>
        <v>304963</v>
      </c>
      <c r="K49" s="193">
        <f t="shared" si="249"/>
        <v>297066</v>
      </c>
      <c r="L49" s="193">
        <v>7897</v>
      </c>
      <c r="M49" s="140">
        <f t="shared" si="217"/>
        <v>8.0309294828298544E-2</v>
      </c>
      <c r="N49" s="140">
        <f t="shared" si="250"/>
        <v>2.381533988956341E-2</v>
      </c>
      <c r="O49" s="193">
        <v>4241500</v>
      </c>
      <c r="P49" s="32">
        <f t="shared" si="251"/>
        <v>7.8178238830602376E-2</v>
      </c>
      <c r="Q49" s="629">
        <f t="shared" si="218"/>
        <v>1.3778939844930381E-2</v>
      </c>
      <c r="R49" s="308">
        <f t="shared" si="219"/>
        <v>1.7340534932884591E-3</v>
      </c>
      <c r="S49" s="308">
        <f t="shared" si="220"/>
        <v>3.2416245216274168E-2</v>
      </c>
      <c r="T49" s="308">
        <f t="shared" si="221"/>
        <v>1.7132448513689974E-2</v>
      </c>
      <c r="U49" s="308">
        <f t="shared" si="222"/>
        <v>4.0622087921035731E-3</v>
      </c>
      <c r="V49" s="308">
        <f t="shared" si="223"/>
        <v>1.1185398968011991E-2</v>
      </c>
      <c r="W49" s="5">
        <v>258763</v>
      </c>
      <c r="X49" s="193">
        <v>29592</v>
      </c>
      <c r="Y49" s="76">
        <v>0</v>
      </c>
      <c r="Z49" s="76">
        <f t="shared" si="114"/>
        <v>29592</v>
      </c>
      <c r="AA49" s="193">
        <v>-1241</v>
      </c>
      <c r="AB49" s="66">
        <v>0</v>
      </c>
      <c r="AC49" s="274">
        <f t="shared" si="117"/>
        <v>-1241</v>
      </c>
      <c r="AD49" s="193">
        <v>9623</v>
      </c>
      <c r="AE49" s="357">
        <f t="shared" si="477"/>
        <v>462.66141614527135</v>
      </c>
      <c r="AF49" s="274">
        <f t="shared" si="119"/>
        <v>9160.3385838547292</v>
      </c>
      <c r="AG49" s="193">
        <v>8854</v>
      </c>
      <c r="AH49" s="357">
        <f t="shared" si="382"/>
        <v>247.08390454074922</v>
      </c>
      <c r="AI49" s="76">
        <f t="shared" si="287"/>
        <v>8606.9160954592517</v>
      </c>
      <c r="AJ49" s="193">
        <v>15973</v>
      </c>
      <c r="AK49" s="357">
        <f t="shared" si="458"/>
        <v>1971.4291675359898</v>
      </c>
      <c r="AL49" s="274">
        <f t="shared" si="123"/>
        <v>14001.570832464011</v>
      </c>
      <c r="AM49" s="193">
        <v>8572</v>
      </c>
      <c r="AN49" s="357">
        <f t="shared" si="478"/>
        <v>335.47406082289802</v>
      </c>
      <c r="AO49" s="274">
        <f t="shared" si="125"/>
        <v>8236.5259391771015</v>
      </c>
      <c r="AP49" s="193">
        <f t="shared" si="397"/>
        <v>71373</v>
      </c>
      <c r="AQ49" s="271">
        <f t="shared" si="398"/>
        <v>3016.6485490449081</v>
      </c>
      <c r="AR49" s="271">
        <f t="shared" si="126"/>
        <v>68356.351450955088</v>
      </c>
      <c r="AS49" s="193">
        <f t="shared" si="259"/>
        <v>187390</v>
      </c>
      <c r="AT49" s="193">
        <f t="shared" si="224"/>
        <v>123545</v>
      </c>
      <c r="AU49" s="193">
        <v>63845</v>
      </c>
      <c r="AV49" s="193">
        <v>14386</v>
      </c>
      <c r="AW49" s="23">
        <f t="shared" si="289"/>
        <v>0.22532696374030856</v>
      </c>
      <c r="AX49" s="271">
        <f t="shared" si="227"/>
        <v>194918</v>
      </c>
      <c r="AY49" s="140">
        <f t="shared" si="399"/>
        <v>0.27582382334414118</v>
      </c>
      <c r="AZ49" s="623">
        <f t="shared" si="129"/>
        <v>0.26416586394096175</v>
      </c>
      <c r="BA49" s="248">
        <f t="shared" si="400"/>
        <v>0.35069286290109219</v>
      </c>
      <c r="BB49" s="248">
        <f t="shared" si="130"/>
        <v>0.15181768743779436</v>
      </c>
      <c r="BC49" s="248">
        <f t="shared" si="131"/>
        <v>-6.3667798766660856E-3</v>
      </c>
      <c r="BD49" s="248">
        <f t="shared" si="132"/>
        <v>4.6995857662477193E-2</v>
      </c>
      <c r="BE49" s="248">
        <f t="shared" si="133"/>
        <v>4.4156599675039002E-2</v>
      </c>
      <c r="BF49" s="248">
        <f t="shared" si="134"/>
        <v>7.1833134099795873E-2</v>
      </c>
      <c r="BG49" s="248">
        <f t="shared" si="135"/>
        <v>4.2256363902651889E-2</v>
      </c>
      <c r="BH49" s="248">
        <f t="shared" si="136"/>
        <v>4.062907778581111E-2</v>
      </c>
      <c r="BI49" s="23">
        <f t="shared" si="401"/>
        <v>0.31679988507987972</v>
      </c>
      <c r="BJ49" s="140">
        <f t="shared" si="402"/>
        <v>0.24673156517740172</v>
      </c>
      <c r="BK49" s="623">
        <f t="shared" si="137"/>
        <v>0.23507360577422234</v>
      </c>
      <c r="BL49" s="5">
        <v>-13624</v>
      </c>
      <c r="BM49" s="193">
        <v>-1443</v>
      </c>
      <c r="BN49" s="193">
        <v>905</v>
      </c>
      <c r="BO49" s="193">
        <v>-1337</v>
      </c>
      <c r="BP49" s="193">
        <v>-110</v>
      </c>
      <c r="BQ49" s="193">
        <v>-5446</v>
      </c>
      <c r="BR49" s="193">
        <v>55</v>
      </c>
      <c r="BS49" s="193">
        <f t="shared" si="403"/>
        <v>-7376</v>
      </c>
      <c r="BT49" s="193">
        <f t="shared" si="365"/>
        <v>-6248</v>
      </c>
      <c r="BU49" s="193">
        <f t="shared" si="373"/>
        <v>-8217</v>
      </c>
      <c r="BV49" s="193">
        <v>1969</v>
      </c>
      <c r="BW49" s="5">
        <f t="shared" si="262"/>
        <v>184695</v>
      </c>
      <c r="BX49" s="193">
        <f t="shared" si="263"/>
        <v>27672</v>
      </c>
      <c r="BY49" s="193">
        <f t="shared" si="459"/>
        <v>0</v>
      </c>
      <c r="BZ49" s="647">
        <f t="shared" si="149"/>
        <v>0.14982538780151061</v>
      </c>
      <c r="CA49" s="193">
        <f t="shared" si="264"/>
        <v>-1327</v>
      </c>
      <c r="CB49" s="193">
        <f t="shared" si="460"/>
        <v>0</v>
      </c>
      <c r="CC49" s="647">
        <f t="shared" si="404"/>
        <v>-7.1848182138119603E-3</v>
      </c>
      <c r="CD49" s="193">
        <f t="shared" si="265"/>
        <v>6751</v>
      </c>
      <c r="CE49" s="193">
        <f t="shared" si="461"/>
        <v>281.46655281538858</v>
      </c>
      <c r="CF49" s="655">
        <f t="shared" si="405"/>
        <v>3.5028200260887474E-2</v>
      </c>
      <c r="CG49" s="193">
        <f t="shared" si="266"/>
        <v>7712</v>
      </c>
      <c r="CH49" s="193">
        <f t="shared" si="462"/>
        <v>222.37551408667429</v>
      </c>
      <c r="CI49" s="23">
        <f t="shared" si="406"/>
        <v>4.0551311545593147E-2</v>
      </c>
      <c r="CJ49" s="193">
        <f t="shared" si="267"/>
        <v>14870</v>
      </c>
      <c r="CK49" s="641">
        <f t="shared" si="463"/>
        <v>1199.3465470477779</v>
      </c>
      <c r="CL49" s="34">
        <f t="shared" si="158"/>
        <v>7.4017452843619061E-2</v>
      </c>
      <c r="CM49" s="193">
        <f t="shared" si="268"/>
        <v>7648</v>
      </c>
      <c r="CN49" s="193">
        <f t="shared" si="464"/>
        <v>301.92665474060823</v>
      </c>
      <c r="CO49" s="23">
        <f t="shared" si="161"/>
        <v>3.9774078048996409E-2</v>
      </c>
      <c r="CP49" s="193">
        <f t="shared" si="407"/>
        <v>63326</v>
      </c>
      <c r="CQ49" s="193">
        <f t="shared" si="162"/>
        <v>2005.1152686904491</v>
      </c>
      <c r="CR49" s="193">
        <f t="shared" si="408"/>
        <v>121369</v>
      </c>
      <c r="CS49" s="248">
        <f t="shared" si="163"/>
        <v>0.33201161228679471</v>
      </c>
      <c r="CT49" s="30">
        <f t="shared" si="409"/>
        <v>0.34286797152061504</v>
      </c>
      <c r="CU49" s="308">
        <f t="shared" si="410"/>
        <v>0</v>
      </c>
      <c r="CV49" s="608">
        <f t="shared" si="269"/>
        <v>0.14982538780151061</v>
      </c>
      <c r="CW49" s="608">
        <f t="shared" si="270"/>
        <v>-7.1848182138119603E-3</v>
      </c>
      <c r="CX49" s="608">
        <f t="shared" si="271"/>
        <v>3.6552153550448038E-2</v>
      </c>
      <c r="CY49" s="608">
        <f t="shared" si="272"/>
        <v>4.1755326348845392E-2</v>
      </c>
      <c r="CZ49" s="608">
        <f t="shared" si="327"/>
        <v>8.0511112915888361E-2</v>
      </c>
      <c r="DA49" s="608">
        <f>'Assets(BoP)'!FK96</f>
        <v>9.9910345550611498E-2</v>
      </c>
      <c r="DB49" s="608">
        <f t="shared" si="273"/>
        <v>4.1408809117734646E-2</v>
      </c>
      <c r="DC49" s="23">
        <f t="shared" si="411"/>
        <v>0.42042648628977985</v>
      </c>
      <c r="DD49" s="193">
        <f t="shared" si="412"/>
        <v>145854</v>
      </c>
      <c r="DE49" s="193">
        <f t="shared" si="274"/>
        <v>38841</v>
      </c>
      <c r="DF49" s="193"/>
      <c r="DG49" s="193">
        <f>'Assets(BoP)'!DA96*1000</f>
        <v>19133</v>
      </c>
      <c r="DH49" s="23">
        <f t="shared" si="413"/>
        <v>0.2102980589620726</v>
      </c>
      <c r="DI49" s="23"/>
      <c r="DJ49" s="23">
        <f t="shared" si="414"/>
        <v>0.30631581797016705</v>
      </c>
      <c r="DK49" s="600">
        <f>'Assets(BoP)'!FO96-'Assets(BoP)'!FH96</f>
        <v>0.30346657664912247</v>
      </c>
      <c r="DL49" s="576">
        <f t="shared" si="415"/>
        <v>0.78036327666748095</v>
      </c>
      <c r="DM49" s="251">
        <f t="shared" si="416"/>
        <v>6.4766907419566646</v>
      </c>
      <c r="DN49" s="251">
        <f t="shared" si="417"/>
        <v>6.4766907419566646</v>
      </c>
      <c r="DO49" s="251">
        <f t="shared" si="418"/>
        <v>-2.1582608695652175</v>
      </c>
      <c r="DP49" s="251">
        <f t="shared" si="419"/>
        <v>-2.1582608695652175</v>
      </c>
      <c r="DQ49" s="251">
        <f t="shared" si="420"/>
        <v>0.89524606940180484</v>
      </c>
      <c r="DR49" s="251">
        <f t="shared" si="421"/>
        <v>0.85676513214945071</v>
      </c>
      <c r="DS49" s="251">
        <f t="shared" si="422"/>
        <v>1.5585284280936456</v>
      </c>
      <c r="DT49" s="251">
        <f t="shared" si="423"/>
        <v>1.5232298582298847</v>
      </c>
      <c r="DU49" s="251">
        <f t="shared" si="424"/>
        <v>11.858203414996288</v>
      </c>
      <c r="DV49" s="251">
        <f t="shared" si="425"/>
        <v>12.692313540737771</v>
      </c>
      <c r="DW49" s="251">
        <f t="shared" si="426"/>
        <v>2.3111350768401184</v>
      </c>
      <c r="DX49" s="251">
        <f t="shared" si="427"/>
        <v>2.2458116896638765</v>
      </c>
      <c r="DY49" s="251">
        <f t="shared" si="428"/>
        <v>0.74019780996114448</v>
      </c>
      <c r="DZ49" s="251">
        <f t="shared" si="429"/>
        <v>0.70289322035092838</v>
      </c>
      <c r="EA49" s="643">
        <f t="shared" si="430"/>
        <v>2.680172737514082</v>
      </c>
      <c r="EB49" s="643">
        <f t="shared" si="431"/>
        <v>2.6033701272042853</v>
      </c>
      <c r="EC49" s="251">
        <f t="shared" si="432"/>
        <v>0.61446798464075969</v>
      </c>
      <c r="ED49" s="251">
        <f t="shared" si="433"/>
        <v>0.60216375858830506</v>
      </c>
      <c r="EE49" s="140">
        <f t="shared" si="434"/>
        <v>0.41588401230702943</v>
      </c>
      <c r="EF49" s="1342">
        <v>0.26708848463815243</v>
      </c>
      <c r="EG49" s="140">
        <f t="shared" si="228"/>
        <v>8.0847157148284161</v>
      </c>
      <c r="EH49" s="583">
        <v>38.264999999999993</v>
      </c>
      <c r="EI49" s="1344">
        <v>1.2168712306165903</v>
      </c>
      <c r="EJ49" s="576">
        <f t="shared" si="166"/>
        <v>0.55699306077028166</v>
      </c>
      <c r="EK49" s="753">
        <f t="shared" si="167"/>
        <v>2.3384988991166265</v>
      </c>
      <c r="EL49" s="753">
        <f t="shared" si="168"/>
        <v>4.918450044320628</v>
      </c>
      <c r="EM49" s="753">
        <f t="shared" si="169"/>
        <v>0.27781031824577701</v>
      </c>
      <c r="EN49" s="583"/>
      <c r="EO49" s="5">
        <v>450760</v>
      </c>
      <c r="EP49" s="193">
        <v>39266</v>
      </c>
      <c r="EQ49" s="193"/>
      <c r="ER49" s="193">
        <v>42540</v>
      </c>
      <c r="ES49" s="193"/>
      <c r="ET49" s="193">
        <v>63548</v>
      </c>
      <c r="EU49" s="193"/>
      <c r="EV49" s="193">
        <v>26041</v>
      </c>
      <c r="EW49" s="193"/>
      <c r="EX49" s="193">
        <v>59004</v>
      </c>
      <c r="EY49" s="193"/>
      <c r="EZ49" s="193">
        <v>15076</v>
      </c>
      <c r="FA49" s="193"/>
      <c r="FB49" s="193">
        <f t="shared" si="435"/>
        <v>245475</v>
      </c>
      <c r="FC49" s="193">
        <f t="shared" si="436"/>
        <v>205285</v>
      </c>
      <c r="FD49" s="23">
        <f t="shared" si="437"/>
        <v>0.54458026444227525</v>
      </c>
      <c r="FE49" s="23"/>
      <c r="FF49" s="23"/>
      <c r="FG49" s="23"/>
      <c r="FH49" s="23"/>
      <c r="FI49" s="23"/>
      <c r="FJ49" s="5">
        <v>74068</v>
      </c>
      <c r="FK49" s="143">
        <f>FJ49/'Assets(BoP)'!AV96/1000</f>
        <v>1.2111163435627763</v>
      </c>
      <c r="FL49" s="192"/>
      <c r="FM49" s="193">
        <v>1920</v>
      </c>
      <c r="FN49" s="66">
        <f t="shared" si="374"/>
        <v>0</v>
      </c>
      <c r="FO49" s="184">
        <f t="shared" si="383"/>
        <v>0</v>
      </c>
      <c r="FP49" s="193">
        <v>86</v>
      </c>
      <c r="FQ49" s="66">
        <f t="shared" si="375"/>
        <v>0</v>
      </c>
      <c r="FR49" s="184">
        <v>0</v>
      </c>
      <c r="FS49" s="193">
        <v>2872</v>
      </c>
      <c r="FT49" s="66">
        <f t="shared" si="465"/>
        <v>181.19486332988276</v>
      </c>
      <c r="FU49" s="193">
        <f t="shared" si="175"/>
        <v>2690.8051366701175</v>
      </c>
      <c r="FV49" s="23">
        <f t="shared" si="376"/>
        <v>6.3090133471407642E-2</v>
      </c>
      <c r="FW49" s="193">
        <v>1142</v>
      </c>
      <c r="FX49" s="66">
        <f t="shared" si="466"/>
        <v>24.708390454074923</v>
      </c>
      <c r="FY49" s="23">
        <f t="shared" si="438"/>
        <v>2.1636068698839689E-2</v>
      </c>
      <c r="FZ49" s="193">
        <v>1103</v>
      </c>
      <c r="GA49" s="66">
        <f t="shared" si="467"/>
        <v>772.08262048821189</v>
      </c>
      <c r="GB49" s="193">
        <f t="shared" si="180"/>
        <v>330.91737951178811</v>
      </c>
      <c r="GC49" s="23">
        <f t="shared" si="366"/>
        <v>0.69998424341632992</v>
      </c>
      <c r="GD49" s="193">
        <v>924</v>
      </c>
      <c r="GE49" s="66">
        <f t="shared" si="384"/>
        <v>33.547406082289804</v>
      </c>
      <c r="GF49" s="23">
        <f t="shared" si="377"/>
        <v>3.6306716539274676E-2</v>
      </c>
      <c r="GG49" s="193">
        <f t="shared" si="439"/>
        <v>8047</v>
      </c>
      <c r="GH49" s="193">
        <f t="shared" si="440"/>
        <v>1011.5332803544594</v>
      </c>
      <c r="GI49" s="193">
        <f t="shared" si="441"/>
        <v>66021</v>
      </c>
      <c r="GJ49" s="23">
        <f t="shared" si="442"/>
        <v>0.10864340875951828</v>
      </c>
      <c r="GK49" s="330">
        <v>25004</v>
      </c>
      <c r="GL49" s="330">
        <v>7663</v>
      </c>
      <c r="GM49" s="23">
        <f>GK49/'Assets(BoP)'!AW96/1000</f>
        <v>1.0486790226029667</v>
      </c>
      <c r="GN49" s="23">
        <f t="shared" si="443"/>
        <v>0.33758168169789921</v>
      </c>
      <c r="GO49" s="330">
        <f t="shared" si="275"/>
        <v>49064</v>
      </c>
      <c r="GP49" s="23">
        <f>GO49/('Assets(BoP)'!AV96-'Assets(BoP)'!AW96)/1000</f>
        <v>1.3149138903457653</v>
      </c>
      <c r="GQ49" s="330">
        <f t="shared" si="444"/>
        <v>41017</v>
      </c>
      <c r="GR49" s="330">
        <v>5341.4970000000003</v>
      </c>
      <c r="GS49" s="140">
        <f t="shared" si="445"/>
        <v>0.28948828390243408</v>
      </c>
      <c r="GT49" s="582">
        <v>0.805365</v>
      </c>
      <c r="GU49" s="576">
        <f t="shared" si="446"/>
        <v>0.28623875901887053</v>
      </c>
      <c r="GV49" s="589">
        <f t="shared" si="276"/>
        <v>6.4882400648824001E-2</v>
      </c>
      <c r="GW49" s="589"/>
      <c r="GX49" s="589">
        <f t="shared" si="277"/>
        <v>-6.9298952457695406E-2</v>
      </c>
      <c r="GY49" s="589"/>
      <c r="GZ49" s="589">
        <f t="shared" si="308"/>
        <v>0.29845162631196093</v>
      </c>
      <c r="HA49" s="56">
        <f t="shared" si="385"/>
        <v>0.39163599342156785</v>
      </c>
      <c r="HB49" s="589">
        <f t="shared" si="278"/>
        <v>0.12898125141179129</v>
      </c>
      <c r="HC49" s="56">
        <v>0.1</v>
      </c>
      <c r="HD49" s="589">
        <f t="shared" si="279"/>
        <v>6.9054028673386336E-2</v>
      </c>
      <c r="HE49" s="56">
        <f t="shared" si="479"/>
        <v>0.39163599342156785</v>
      </c>
      <c r="HF49" s="589">
        <f t="shared" si="309"/>
        <v>0.1077928138124125</v>
      </c>
      <c r="HG49" s="56">
        <v>0.1</v>
      </c>
      <c r="HH49" s="6">
        <f t="shared" si="57"/>
        <v>0.11274571616717806</v>
      </c>
      <c r="HI49" s="6">
        <f t="shared" si="447"/>
        <v>0.10292337976366993</v>
      </c>
      <c r="HJ49" s="23">
        <f t="shared" si="280"/>
        <v>0.39163599342156785</v>
      </c>
      <c r="HK49" s="23">
        <f t="shared" si="280"/>
        <v>0.53267065202279995</v>
      </c>
      <c r="HL49" s="23">
        <f t="shared" si="281"/>
        <v>0.35061363958025837</v>
      </c>
      <c r="HM49" s="31">
        <f t="shared" si="282"/>
        <v>0.25171610626006835</v>
      </c>
      <c r="HN49" s="23">
        <f t="shared" si="448"/>
        <v>0.35231869363359836</v>
      </c>
      <c r="HO49" s="23">
        <f t="shared" si="449"/>
        <v>0.33200048565300094</v>
      </c>
      <c r="HP49" s="575">
        <v>266321</v>
      </c>
      <c r="HQ49" s="193"/>
      <c r="HR49" s="193"/>
      <c r="HS49" s="193"/>
      <c r="HT49" s="193"/>
      <c r="HU49" s="193"/>
      <c r="HV49" s="193"/>
      <c r="HW49" s="193"/>
      <c r="HX49" s="193"/>
      <c r="HY49" s="193"/>
      <c r="HZ49" s="193"/>
      <c r="IA49" s="193"/>
      <c r="IB49" s="193"/>
      <c r="IC49" s="193">
        <v>7079</v>
      </c>
      <c r="ID49" s="193"/>
      <c r="IE49" s="193"/>
      <c r="IF49" s="193"/>
      <c r="IG49" s="193"/>
      <c r="IH49" s="193"/>
      <c r="II49" s="193"/>
      <c r="IJ49" s="193"/>
      <c r="IK49" s="193"/>
      <c r="IL49" s="193"/>
      <c r="IM49" s="575">
        <v>7079</v>
      </c>
      <c r="IN49" s="193"/>
      <c r="IO49" s="193"/>
      <c r="IP49" s="193"/>
      <c r="IQ49" s="193"/>
      <c r="IR49" s="193"/>
      <c r="IS49" s="193"/>
      <c r="IT49" s="193"/>
      <c r="IU49" s="193"/>
      <c r="IV49" s="193"/>
      <c r="IW49" s="193"/>
      <c r="IX49" s="149">
        <f t="shared" si="63"/>
        <v>1588398</v>
      </c>
      <c r="IY49" s="316">
        <f t="shared" si="64"/>
        <v>121738</v>
      </c>
      <c r="IZ49" s="316">
        <f t="shared" si="65"/>
        <v>-34416</v>
      </c>
      <c r="JA49" s="316">
        <f t="shared" si="66"/>
        <v>108875</v>
      </c>
      <c r="JB49" s="316">
        <f t="shared" si="67"/>
        <v>62130</v>
      </c>
      <c r="JC49" s="316">
        <f t="shared" si="68"/>
        <v>208011</v>
      </c>
      <c r="JD49" s="316">
        <f t="shared" si="69"/>
        <v>40864</v>
      </c>
      <c r="JE49" s="316">
        <f t="shared" si="70"/>
        <v>507202</v>
      </c>
      <c r="JF49" s="316">
        <f t="shared" si="71"/>
        <v>1081196</v>
      </c>
      <c r="JG49" s="316">
        <f t="shared" si="72"/>
        <v>944569</v>
      </c>
      <c r="JH49" s="316">
        <f t="shared" si="73"/>
        <v>136627</v>
      </c>
      <c r="JI49" s="5">
        <v>3669377</v>
      </c>
      <c r="JJ49" s="552">
        <v>180402</v>
      </c>
      <c r="JK49" s="552">
        <v>359993</v>
      </c>
      <c r="JL49" s="552">
        <v>483076</v>
      </c>
      <c r="JM49" s="552">
        <v>192698</v>
      </c>
      <c r="JN49" s="552">
        <v>516800</v>
      </c>
      <c r="JO49" s="552">
        <v>78749</v>
      </c>
      <c r="JP49" s="552">
        <f t="shared" si="74"/>
        <v>1811718</v>
      </c>
      <c r="JQ49" s="552">
        <f t="shared" si="75"/>
        <v>1857659</v>
      </c>
      <c r="JR49" s="552">
        <f t="shared" si="76"/>
        <v>1687529</v>
      </c>
      <c r="JS49" s="552">
        <v>170130</v>
      </c>
      <c r="JT49" s="149">
        <v>2080979</v>
      </c>
      <c r="JU49" s="552">
        <v>58664</v>
      </c>
      <c r="JV49" s="552">
        <v>394409</v>
      </c>
      <c r="JW49" s="552">
        <v>374201</v>
      </c>
      <c r="JX49" s="552">
        <v>130568</v>
      </c>
      <c r="JY49" s="552">
        <v>308789</v>
      </c>
      <c r="JZ49" s="552">
        <v>37885</v>
      </c>
      <c r="KA49" s="552">
        <f t="shared" ref="KA49" si="509">JU49+JV49+JW49+JX49+JY49+JZ49</f>
        <v>1304516</v>
      </c>
      <c r="KB49" s="552">
        <f t="shared" ref="KB49" si="510">JT49-KA49</f>
        <v>776463</v>
      </c>
      <c r="KC49" s="552">
        <f t="shared" ref="KC49:KC53" si="511">KB49-KD49</f>
        <v>742960</v>
      </c>
      <c r="KD49" s="552">
        <v>33503</v>
      </c>
      <c r="KE49" s="149">
        <v>766865</v>
      </c>
      <c r="KF49" s="552">
        <v>13751</v>
      </c>
      <c r="KG49" s="552">
        <v>1213</v>
      </c>
      <c r="KH49" s="552">
        <v>20891</v>
      </c>
      <c r="KI49" s="552">
        <v>6825</v>
      </c>
      <c r="KJ49" s="552">
        <v>14811</v>
      </c>
      <c r="KK49" s="552">
        <v>9996</v>
      </c>
      <c r="KL49" s="552">
        <f t="shared" ref="KL49" si="512">KF49+KG49+KH49+KI49+KJ49+KK49</f>
        <v>67487</v>
      </c>
      <c r="KM49" s="552">
        <f t="shared" ref="KM49" si="513">KE49-KL49</f>
        <v>699378</v>
      </c>
      <c r="KN49" s="552">
        <f t="shared" ref="KN49:KN53" si="514">KM49-KO49</f>
        <v>501256</v>
      </c>
      <c r="KO49" s="552">
        <v>198122</v>
      </c>
      <c r="KP49" s="149">
        <v>220028</v>
      </c>
      <c r="KQ49" s="552">
        <v>9652</v>
      </c>
      <c r="KR49" s="552">
        <v>2055</v>
      </c>
      <c r="KS49" s="552">
        <v>11405</v>
      </c>
      <c r="KT49" s="552">
        <v>12582</v>
      </c>
      <c r="KU49" s="552">
        <v>2283</v>
      </c>
      <c r="KV49" s="552">
        <v>5727</v>
      </c>
      <c r="KW49" s="552">
        <f t="shared" ref="KW49" si="515">KQ49+KR49+KS49+KT49+KU49+KV49</f>
        <v>43704</v>
      </c>
      <c r="KX49" s="552">
        <f t="shared" ref="KX49" si="516">KP49-KW49</f>
        <v>176324</v>
      </c>
      <c r="KY49" s="552">
        <f t="shared" ref="KY49:KY53" si="517">KX49-KZ49</f>
        <v>164172</v>
      </c>
      <c r="KZ49" s="552">
        <v>12152</v>
      </c>
      <c r="LA49" s="149">
        <f>'Assets(MOFA)'!IX49-'Assets(MOFA)'!KE49-'Assets(MOFA)'!KP49</f>
        <v>601505</v>
      </c>
      <c r="LB49" s="552">
        <f>'Assets(MOFA)'!IY49-'Assets(MOFA)'!KF49-'Assets(MOFA)'!KQ49</f>
        <v>98335</v>
      </c>
      <c r="LC49" s="552">
        <f>'Assets(MOFA)'!IZ49-'Assets(MOFA)'!KG49-'Assets(MOFA)'!KR49</f>
        <v>-37684</v>
      </c>
      <c r="LD49" s="552">
        <f>'Assets(MOFA)'!JA49-'Assets(MOFA)'!KH49-'Assets(MOFA)'!KS49</f>
        <v>76579</v>
      </c>
      <c r="LE49" s="552">
        <f>'Assets(MOFA)'!JB49-'Assets(MOFA)'!KI49-'Assets(MOFA)'!KT49</f>
        <v>42723</v>
      </c>
      <c r="LF49" s="552">
        <f>'Assets(MOFA)'!JC49-'Assets(MOFA)'!KJ49-'Assets(MOFA)'!KU49</f>
        <v>190917</v>
      </c>
      <c r="LG49" s="552">
        <f>'Assets(MOFA)'!JD49-'Assets(MOFA)'!KK49-'Assets(MOFA)'!KV49</f>
        <v>25141</v>
      </c>
      <c r="LH49" s="552">
        <f>'Assets(MOFA)'!JE49-'Assets(MOFA)'!KL49-'Assets(MOFA)'!KW49</f>
        <v>396011</v>
      </c>
      <c r="LI49" s="552">
        <f>'Assets(MOFA)'!JF49-'Assets(MOFA)'!KM49-'Assets(MOFA)'!KX49</f>
        <v>205494</v>
      </c>
      <c r="LJ49" s="552">
        <f t="shared" si="77"/>
        <v>279141</v>
      </c>
      <c r="LK49" s="552">
        <f>'Assets(MOFA)'!JH49-'Assets(MOFA)'!KO49-'Assets(MOFA)'!KZ49</f>
        <v>-73647</v>
      </c>
      <c r="LL49" s="576">
        <f t="shared" si="78"/>
        <v>0.16290816281561674</v>
      </c>
      <c r="LM49" s="6">
        <f t="shared" si="79"/>
        <v>0.24307940002300021</v>
      </c>
      <c r="LN49" s="6">
        <f t="shared" si="80"/>
        <v>3.6058809855880988E-2</v>
      </c>
      <c r="LO49" s="6">
        <f t="shared" si="81"/>
        <v>8.8385763490241104E-2</v>
      </c>
      <c r="LP49" s="6">
        <f t="shared" si="82"/>
        <v>0.14250764525993884</v>
      </c>
      <c r="LQ49" s="6">
        <f t="shared" si="83"/>
        <v>7.6789208263024558E-2</v>
      </c>
      <c r="LR49" s="6">
        <f t="shared" si="84"/>
        <v>0.20976898981989037</v>
      </c>
      <c r="LS49" s="6">
        <f t="shared" si="85"/>
        <v>0.1407190823380034</v>
      </c>
      <c r="LT49" s="143">
        <f t="shared" si="86"/>
        <v>0.20921809088158339</v>
      </c>
      <c r="LU49" s="62">
        <f t="shared" si="87"/>
        <v>8.622154565086558E-2</v>
      </c>
      <c r="LV49" s="902">
        <f t="shared" si="88"/>
        <v>0.17331732636820707</v>
      </c>
      <c r="LW49" s="902">
        <f t="shared" si="89"/>
        <v>0.13079510337519015</v>
      </c>
      <c r="LX49" s="143">
        <f t="shared" si="90"/>
        <v>0.46729416586765427</v>
      </c>
      <c r="LY49" s="576">
        <f t="shared" si="91"/>
        <v>0.17182154598532609</v>
      </c>
      <c r="LZ49" s="906">
        <f t="shared" si="92"/>
        <v>0.24307940002300021</v>
      </c>
      <c r="MA49" s="906">
        <f t="shared" si="93"/>
        <v>3.6058809855880988E-2</v>
      </c>
      <c r="MB49" s="906">
        <f t="shared" si="94"/>
        <v>8.8385763490241104E-2</v>
      </c>
      <c r="MC49" s="906">
        <f t="shared" si="95"/>
        <v>0.14250764525993884</v>
      </c>
      <c r="MD49" s="906">
        <f t="shared" si="96"/>
        <v>7.6789208263024558E-2</v>
      </c>
      <c r="ME49" s="906">
        <v>6.1610529375296846E-2</v>
      </c>
      <c r="MF49" s="906">
        <f t="shared" si="97"/>
        <v>0.20976898981989037</v>
      </c>
      <c r="MG49" s="30">
        <f t="shared" si="98"/>
        <v>0.1407190823380034</v>
      </c>
      <c r="MH49" s="140">
        <f t="shared" si="99"/>
        <v>0.20921809088158339</v>
      </c>
      <c r="MI49" s="30">
        <f t="shared" si="100"/>
        <v>8.622154565086558E-2</v>
      </c>
      <c r="MJ49" s="30">
        <f t="shared" si="101"/>
        <v>0.17331732636820707</v>
      </c>
      <c r="MK49" s="617">
        <f t="shared" si="102"/>
        <v>0.13079510337519015</v>
      </c>
      <c r="ML49" s="615">
        <f t="shared" si="103"/>
        <v>0.46729416586765427</v>
      </c>
      <c r="MM49" s="574"/>
      <c r="MX49" s="613"/>
      <c r="MY49" s="552"/>
      <c r="MZ49" s="552"/>
      <c r="NA49" s="552"/>
      <c r="NB49" s="552"/>
      <c r="NC49" s="552"/>
      <c r="ND49" s="552"/>
      <c r="NE49" s="552"/>
      <c r="NF49" s="552"/>
      <c r="NG49" s="552"/>
      <c r="NH49" s="552"/>
      <c r="NI49" s="613">
        <f t="shared" si="364"/>
        <v>331593</v>
      </c>
      <c r="PN49" s="574"/>
      <c r="PO49" s="593"/>
      <c r="PP49" s="593"/>
      <c r="PQ49" s="593"/>
      <c r="PR49" s="593"/>
      <c r="PS49" s="593"/>
      <c r="PT49" s="593"/>
      <c r="PU49" s="593"/>
      <c r="PV49" s="593"/>
      <c r="PW49" s="593"/>
      <c r="PX49" s="593"/>
      <c r="PY49" s="593"/>
      <c r="PZ49" s="593"/>
      <c r="QA49" s="593"/>
      <c r="QB49" s="593"/>
      <c r="QC49" s="593"/>
      <c r="QD49" s="593"/>
      <c r="QE49" s="593"/>
      <c r="QF49" s="593"/>
      <c r="QG49" s="593"/>
      <c r="QH49" s="593"/>
      <c r="QI49" s="593"/>
      <c r="QJ49" s="593"/>
      <c r="QK49" s="593"/>
      <c r="QL49" s="593"/>
      <c r="QM49" s="593"/>
      <c r="QN49" s="593"/>
      <c r="QO49" s="593"/>
      <c r="QP49" s="593"/>
      <c r="QQ49" s="593"/>
      <c r="QR49" s="593"/>
      <c r="QS49" s="593"/>
      <c r="QT49" s="593"/>
      <c r="QU49" s="593"/>
      <c r="QV49" s="593"/>
      <c r="QW49" s="593"/>
      <c r="QX49" s="593"/>
      <c r="QY49" s="593"/>
      <c r="QZ49" s="593"/>
      <c r="RA49" s="593"/>
      <c r="RB49" s="593"/>
      <c r="RC49" s="593"/>
      <c r="RD49" s="593"/>
      <c r="RE49" s="593"/>
      <c r="RF49" s="593"/>
      <c r="RG49" s="593"/>
      <c r="RH49" s="593"/>
      <c r="RI49" s="593"/>
      <c r="RJ49" s="593"/>
      <c r="RK49" s="593"/>
      <c r="RL49" s="593"/>
      <c r="RM49" s="593"/>
      <c r="RN49" s="593"/>
      <c r="RO49" s="593"/>
      <c r="RP49" s="593"/>
      <c r="RQ49" s="593"/>
      <c r="RR49" s="593"/>
    </row>
    <row r="50" spans="1:486">
      <c r="A50" s="568">
        <v>2005</v>
      </c>
      <c r="B50" s="33">
        <v>360844</v>
      </c>
      <c r="C50" s="193">
        <v>4901</v>
      </c>
      <c r="D50" s="193">
        <v>620</v>
      </c>
      <c r="E50" s="193">
        <v>11675</v>
      </c>
      <c r="F50" s="193">
        <v>6306</v>
      </c>
      <c r="G50" s="193">
        <v>1461</v>
      </c>
      <c r="H50" s="193">
        <v>4181</v>
      </c>
      <c r="I50" s="193">
        <f t="shared" si="456"/>
        <v>29144</v>
      </c>
      <c r="J50" s="193">
        <f t="shared" si="457"/>
        <v>331700</v>
      </c>
      <c r="K50" s="193">
        <f t="shared" si="249"/>
        <v>323922</v>
      </c>
      <c r="L50" s="193">
        <v>7778</v>
      </c>
      <c r="M50" s="140">
        <f t="shared" si="217"/>
        <v>8.0766203678043699E-2</v>
      </c>
      <c r="N50" s="140">
        <f t="shared" si="250"/>
        <v>2.1555021006307434E-2</v>
      </c>
      <c r="O50" s="193">
        <v>4444500</v>
      </c>
      <c r="P50" s="32">
        <f t="shared" si="251"/>
        <v>8.1188885138935768E-2</v>
      </c>
      <c r="Q50" s="629">
        <f t="shared" si="218"/>
        <v>1.3582046535344913E-2</v>
      </c>
      <c r="R50" s="308">
        <f t="shared" si="219"/>
        <v>1.7181940118167407E-3</v>
      </c>
      <c r="S50" s="308">
        <f t="shared" si="220"/>
        <v>3.2354701754774916E-2</v>
      </c>
      <c r="T50" s="308">
        <f t="shared" si="221"/>
        <v>1.7475695868574784E-2</v>
      </c>
      <c r="U50" s="308">
        <f t="shared" si="222"/>
        <v>4.0488410504262232E-3</v>
      </c>
      <c r="V50" s="308">
        <f t="shared" si="223"/>
        <v>1.1586724457106118E-2</v>
      </c>
      <c r="W50" s="5">
        <v>324862</v>
      </c>
      <c r="X50" s="193">
        <v>30751</v>
      </c>
      <c r="Y50" s="76">
        <v>0</v>
      </c>
      <c r="Z50" s="76">
        <f t="shared" si="114"/>
        <v>30751</v>
      </c>
      <c r="AA50" s="193">
        <v>-785</v>
      </c>
      <c r="AB50" s="66">
        <v>0</v>
      </c>
      <c r="AC50" s="274">
        <f t="shared" si="117"/>
        <v>-785</v>
      </c>
      <c r="AD50" s="193">
        <v>10380</v>
      </c>
      <c r="AE50" s="357">
        <f t="shared" si="477"/>
        <v>611.4741018049192</v>
      </c>
      <c r="AF50" s="274">
        <f t="shared" si="119"/>
        <v>9768.525898195081</v>
      </c>
      <c r="AG50" s="193">
        <v>11089</v>
      </c>
      <c r="AH50" s="357">
        <f t="shared" si="382"/>
        <v>332.29092305564251</v>
      </c>
      <c r="AI50" s="76">
        <f t="shared" si="287"/>
        <v>10756.709076944357</v>
      </c>
      <c r="AJ50" s="193">
        <v>18283</v>
      </c>
      <c r="AK50" s="357">
        <f t="shared" si="458"/>
        <v>2646.798102618623</v>
      </c>
      <c r="AL50" s="274">
        <f t="shared" si="123"/>
        <v>15636.201897381377</v>
      </c>
      <c r="AM50" s="193">
        <v>7745</v>
      </c>
      <c r="AN50" s="357">
        <f t="shared" si="478"/>
        <v>458.30840319187303</v>
      </c>
      <c r="AO50" s="274">
        <f t="shared" si="125"/>
        <v>7286.6915968081266</v>
      </c>
      <c r="AP50" s="193">
        <f t="shared" si="397"/>
        <v>77463</v>
      </c>
      <c r="AQ50" s="271">
        <f t="shared" si="398"/>
        <v>4048.8715306710574</v>
      </c>
      <c r="AR50" s="271">
        <f t="shared" si="126"/>
        <v>73414.128469328949</v>
      </c>
      <c r="AS50" s="193">
        <f t="shared" si="259"/>
        <v>247399</v>
      </c>
      <c r="AT50" s="193">
        <f t="shared" si="224"/>
        <v>161682.08577127662</v>
      </c>
      <c r="AU50" s="193">
        <v>85716.914228723399</v>
      </c>
      <c r="AV50" s="193">
        <v>18230</v>
      </c>
      <c r="AW50" s="23">
        <f t="shared" si="289"/>
        <v>0.21267681138585831</v>
      </c>
      <c r="AX50" s="271">
        <f t="shared" si="227"/>
        <v>239145.08577127662</v>
      </c>
      <c r="AY50" s="140">
        <f t="shared" si="399"/>
        <v>0.23844894139665457</v>
      </c>
      <c r="AZ50" s="623">
        <f t="shared" si="129"/>
        <v>0.22598558301472302</v>
      </c>
      <c r="BA50" s="248">
        <f t="shared" si="400"/>
        <v>0.30698572890410036</v>
      </c>
      <c r="BB50" s="248">
        <f t="shared" si="130"/>
        <v>0.1285872126572189</v>
      </c>
      <c r="BC50" s="248">
        <f t="shared" si="131"/>
        <v>-3.2825261596668999E-3</v>
      </c>
      <c r="BD50" s="248">
        <f t="shared" si="132"/>
        <v>4.0847696563323509E-2</v>
      </c>
      <c r="BE50" s="248">
        <f t="shared" si="133"/>
        <v>4.4979845779613045E-2</v>
      </c>
      <c r="BF50" s="248">
        <f t="shared" si="134"/>
        <v>6.5383747472595649E-2</v>
      </c>
      <c r="BG50" s="248">
        <f t="shared" si="135"/>
        <v>3.0469752591016114E-2</v>
      </c>
      <c r="BH50" s="248">
        <f t="shared" si="136"/>
        <v>3.756517040365661E-2</v>
      </c>
      <c r="BI50" s="23">
        <f t="shared" si="401"/>
        <v>0.28051172276297409</v>
      </c>
      <c r="BJ50" s="140">
        <f t="shared" si="402"/>
        <v>0.26385638895507446</v>
      </c>
      <c r="BK50" s="623">
        <f t="shared" si="137"/>
        <v>0.25139303057314288</v>
      </c>
      <c r="BL50" s="5">
        <v>-26159</v>
      </c>
      <c r="BM50" s="193">
        <v>-1799</v>
      </c>
      <c r="BN50" s="193">
        <v>20</v>
      </c>
      <c r="BO50" s="193">
        <v>-908</v>
      </c>
      <c r="BP50" s="193">
        <v>-892</v>
      </c>
      <c r="BQ50" s="193">
        <v>-8224</v>
      </c>
      <c r="BR50" s="193">
        <v>-352</v>
      </c>
      <c r="BS50" s="193">
        <f t="shared" si="403"/>
        <v>-12155</v>
      </c>
      <c r="BT50" s="193">
        <f t="shared" si="365"/>
        <v>-14004</v>
      </c>
      <c r="BU50" s="193">
        <f t="shared" si="373"/>
        <v>-15884</v>
      </c>
      <c r="BV50" s="193">
        <v>1880</v>
      </c>
      <c r="BW50" s="5">
        <f t="shared" si="262"/>
        <v>224719</v>
      </c>
      <c r="BX50" s="193">
        <f t="shared" si="263"/>
        <v>28098</v>
      </c>
      <c r="BY50" s="193">
        <f t="shared" si="459"/>
        <v>0</v>
      </c>
      <c r="BZ50" s="647">
        <f t="shared" si="149"/>
        <v>0.12503615626627032</v>
      </c>
      <c r="CA50" s="193">
        <f t="shared" si="264"/>
        <v>-1322</v>
      </c>
      <c r="CB50" s="193">
        <f t="shared" si="460"/>
        <v>0</v>
      </c>
      <c r="CC50" s="647">
        <f t="shared" si="404"/>
        <v>-5.882902647306191E-3</v>
      </c>
      <c r="CD50" s="193">
        <f t="shared" si="265"/>
        <v>6177</v>
      </c>
      <c r="CE50" s="193">
        <f t="shared" si="461"/>
        <v>367.79409156411464</v>
      </c>
      <c r="CF50" s="655">
        <f t="shared" si="405"/>
        <v>2.5850977925479756E-2</v>
      </c>
      <c r="CG50" s="193">
        <f t="shared" si="266"/>
        <v>9658</v>
      </c>
      <c r="CH50" s="193">
        <f t="shared" si="462"/>
        <v>299.06183075007823</v>
      </c>
      <c r="CI50" s="23">
        <f t="shared" si="406"/>
        <v>4.1647293594444267E-2</v>
      </c>
      <c r="CJ50" s="193">
        <f t="shared" si="267"/>
        <v>16503</v>
      </c>
      <c r="CK50" s="641">
        <f t="shared" si="463"/>
        <v>1592.0162453859912</v>
      </c>
      <c r="CL50" s="34">
        <f t="shared" si="158"/>
        <v>6.6353907567290746E-2</v>
      </c>
      <c r="CM50" s="193">
        <f t="shared" si="268"/>
        <v>7106</v>
      </c>
      <c r="CN50" s="193">
        <f t="shared" si="464"/>
        <v>412.47756287268572</v>
      </c>
      <c r="CO50" s="23">
        <f t="shared" si="161"/>
        <v>2.9786188249001262E-2</v>
      </c>
      <c r="CP50" s="193">
        <f t="shared" si="407"/>
        <v>66220</v>
      </c>
      <c r="CQ50" s="193">
        <f t="shared" si="162"/>
        <v>2671.3497305728697</v>
      </c>
      <c r="CR50" s="193">
        <f t="shared" si="408"/>
        <v>158499</v>
      </c>
      <c r="CS50" s="248">
        <f t="shared" si="163"/>
        <v>0.28279162095518018</v>
      </c>
      <c r="CT50" s="30">
        <f t="shared" si="409"/>
        <v>0.29467913260560968</v>
      </c>
      <c r="CU50" s="308">
        <f t="shared" si="410"/>
        <v>0</v>
      </c>
      <c r="CV50" s="608">
        <f t="shared" si="269"/>
        <v>0.12503615626627032</v>
      </c>
      <c r="CW50" s="608">
        <f t="shared" si="270"/>
        <v>-5.882902647306191E-3</v>
      </c>
      <c r="CX50" s="608">
        <f t="shared" si="271"/>
        <v>2.7487662369448065E-2</v>
      </c>
      <c r="CY50" s="608">
        <f t="shared" si="272"/>
        <v>4.2978119340153706E-2</v>
      </c>
      <c r="CZ50" s="608">
        <f t="shared" si="327"/>
        <v>7.3438383047272376E-2</v>
      </c>
      <c r="DA50" s="608">
        <f>'Assets(BoP)'!FK97</f>
        <v>0.1044429687861126</v>
      </c>
      <c r="DB50" s="608">
        <f t="shared" si="273"/>
        <v>3.1621714229771405E-2</v>
      </c>
      <c r="DC50" s="23">
        <f t="shared" si="411"/>
        <v>0.36699098497401955</v>
      </c>
      <c r="DD50" s="193">
        <f t="shared" si="412"/>
        <v>173161.33875584422</v>
      </c>
      <c r="DE50" s="193">
        <f t="shared" si="274"/>
        <v>51557.661244155795</v>
      </c>
      <c r="DF50" s="193"/>
      <c r="DG50" s="193">
        <f>'Assets(BoP)'!DA97*1000</f>
        <v>24936</v>
      </c>
      <c r="DH50" s="23">
        <f t="shared" si="413"/>
        <v>0.2294316957807564</v>
      </c>
      <c r="DI50" s="23"/>
      <c r="DJ50" s="23">
        <f t="shared" si="414"/>
        <v>0.26719147023616163</v>
      </c>
      <c r="DK50" s="600">
        <f>'Assets(BoP)'!FO97-'Assets(BoP)'!FH97</f>
        <v>0.32979603003182012</v>
      </c>
      <c r="DL50" s="576">
        <f t="shared" si="415"/>
        <v>0.90028377914001623</v>
      </c>
      <c r="DM50" s="251">
        <f t="shared" si="416"/>
        <v>6.2744337890226483</v>
      </c>
      <c r="DN50" s="251">
        <f t="shared" si="417"/>
        <v>6.2744337890226483</v>
      </c>
      <c r="DO50" s="251">
        <f t="shared" si="418"/>
        <v>-1.2661290322580645</v>
      </c>
      <c r="DP50" s="251">
        <f t="shared" si="419"/>
        <v>-1.2661290322580645</v>
      </c>
      <c r="DQ50" s="251">
        <f t="shared" si="420"/>
        <v>0.88907922912205573</v>
      </c>
      <c r="DR50" s="251">
        <f t="shared" si="421"/>
        <v>0.84070000475863271</v>
      </c>
      <c r="DS50" s="251">
        <f t="shared" si="422"/>
        <v>1.7584839835077704</v>
      </c>
      <c r="DT50" s="251">
        <f t="shared" si="423"/>
        <v>1.7139850303713666</v>
      </c>
      <c r="DU50" s="251">
        <f t="shared" si="424"/>
        <v>12.514031485284052</v>
      </c>
      <c r="DV50" s="251">
        <f t="shared" si="425"/>
        <v>12.807865513560694</v>
      </c>
      <c r="DW50" s="251">
        <f t="shared" si="426"/>
        <v>1.852427648887826</v>
      </c>
      <c r="DX50" s="251">
        <f t="shared" si="427"/>
        <v>1.7603200919990523</v>
      </c>
      <c r="DY50" s="251">
        <f t="shared" si="428"/>
        <v>0.78039853599023989</v>
      </c>
      <c r="DZ50" s="251">
        <f t="shared" si="429"/>
        <v>0.73397730733456501</v>
      </c>
      <c r="EA50" s="643">
        <f t="shared" si="430"/>
        <v>2.6579398847104034</v>
      </c>
      <c r="EB50" s="643">
        <f t="shared" si="431"/>
        <v>2.5511742314267636</v>
      </c>
      <c r="EC50" s="251">
        <f t="shared" si="432"/>
        <v>0.74585167319867351</v>
      </c>
      <c r="ED50" s="251">
        <f t="shared" si="433"/>
        <v>0.67733819107837234</v>
      </c>
      <c r="EE50" s="140">
        <f t="shared" si="434"/>
        <v>0.49913894632435157</v>
      </c>
      <c r="EF50" s="1342">
        <v>0.29214590679432001</v>
      </c>
      <c r="EG50" s="140">
        <f t="shared" si="228"/>
        <v>11.020431245657418</v>
      </c>
      <c r="EH50" s="583">
        <v>54.521089494163434</v>
      </c>
      <c r="EI50" s="1344">
        <v>1.1831326345909974</v>
      </c>
      <c r="EJ50" s="576">
        <f t="shared" si="166"/>
        <v>0.62275941958297765</v>
      </c>
      <c r="EK50" s="753">
        <f t="shared" si="167"/>
        <v>2.2110800305537377</v>
      </c>
      <c r="EL50" s="753">
        <f t="shared" si="168"/>
        <v>6.6286527698837485</v>
      </c>
      <c r="EM50" s="753">
        <f t="shared" si="169"/>
        <v>0.33014533979119726</v>
      </c>
      <c r="EN50" s="583"/>
      <c r="EO50" s="5">
        <v>597261</v>
      </c>
      <c r="EP50" s="193">
        <v>42037</v>
      </c>
      <c r="EQ50" s="193"/>
      <c r="ER50" s="193">
        <v>62479</v>
      </c>
      <c r="ES50" s="193"/>
      <c r="ET50" s="193">
        <v>77726</v>
      </c>
      <c r="EU50" s="193"/>
      <c r="EV50" s="193">
        <v>40000</v>
      </c>
      <c r="EW50" s="193"/>
      <c r="EX50" s="193">
        <v>83414</v>
      </c>
      <c r="EY50" s="193"/>
      <c r="EZ50" s="193">
        <v>19594</v>
      </c>
      <c r="FA50" s="193"/>
      <c r="FB50" s="193">
        <f t="shared" si="435"/>
        <v>325250</v>
      </c>
      <c r="FC50" s="193">
        <f t="shared" si="436"/>
        <v>272011</v>
      </c>
      <c r="FD50" s="23">
        <f t="shared" si="437"/>
        <v>0.54456929215200722</v>
      </c>
      <c r="FE50" s="23"/>
      <c r="FF50" s="23"/>
      <c r="FG50" s="23"/>
      <c r="FH50" s="23"/>
      <c r="FI50" s="23"/>
      <c r="FJ50" s="5">
        <v>100143</v>
      </c>
      <c r="FK50" s="143">
        <f>FJ50/'Assets(BoP)'!AV97/1000</f>
        <v>0.89726314982901356</v>
      </c>
      <c r="FL50" s="192"/>
      <c r="FM50" s="193">
        <v>2653</v>
      </c>
      <c r="FN50" s="66">
        <f t="shared" si="374"/>
        <v>0</v>
      </c>
      <c r="FO50" s="184">
        <f t="shared" si="383"/>
        <v>0</v>
      </c>
      <c r="FP50" s="193">
        <v>537</v>
      </c>
      <c r="FQ50" s="66">
        <f t="shared" si="375"/>
        <v>0</v>
      </c>
      <c r="FR50" s="184">
        <v>0</v>
      </c>
      <c r="FS50" s="193">
        <v>4203</v>
      </c>
      <c r="FT50" s="66">
        <f t="shared" si="465"/>
        <v>243.68001024080453</v>
      </c>
      <c r="FU50" s="193">
        <f t="shared" si="175"/>
        <v>3959.3199897591953</v>
      </c>
      <c r="FV50" s="23">
        <f t="shared" si="376"/>
        <v>5.7977637459149307E-2</v>
      </c>
      <c r="FW50" s="193">
        <v>1431</v>
      </c>
      <c r="FX50" s="66">
        <f t="shared" si="466"/>
        <v>33.229092305564251</v>
      </c>
      <c r="FY50" s="23">
        <f t="shared" si="438"/>
        <v>2.3220889102420861E-2</v>
      </c>
      <c r="FZ50" s="193">
        <v>1780</v>
      </c>
      <c r="GA50" s="66">
        <f t="shared" si="467"/>
        <v>1054.7818572326319</v>
      </c>
      <c r="GB50" s="193">
        <f t="shared" si="180"/>
        <v>725.21814276736814</v>
      </c>
      <c r="GC50" s="23">
        <f t="shared" si="366"/>
        <v>0.59257407709698418</v>
      </c>
      <c r="GD50" s="193">
        <v>639</v>
      </c>
      <c r="GE50" s="66">
        <f t="shared" si="384"/>
        <v>45.830840319187303</v>
      </c>
      <c r="GF50" s="23">
        <f t="shared" si="377"/>
        <v>7.1722754803110023E-2</v>
      </c>
      <c r="GG50" s="193">
        <f t="shared" si="439"/>
        <v>11243</v>
      </c>
      <c r="GH50" s="193">
        <f t="shared" si="440"/>
        <v>1377.5218000981879</v>
      </c>
      <c r="GI50" s="193">
        <f t="shared" si="441"/>
        <v>88900</v>
      </c>
      <c r="GJ50" s="23">
        <f t="shared" si="442"/>
        <v>0.11226945467980788</v>
      </c>
      <c r="GK50" s="330">
        <v>34159.252984567604</v>
      </c>
      <c r="GL50" s="330">
        <v>10017</v>
      </c>
      <c r="GM50" s="23">
        <f>GK50/'Assets(BoP)'!AW97/1000</f>
        <v>1.0617330119645756</v>
      </c>
      <c r="GN50" s="23">
        <f t="shared" si="443"/>
        <v>0.34110475005310009</v>
      </c>
      <c r="GO50" s="330">
        <f t="shared" si="275"/>
        <v>65983.747015432396</v>
      </c>
      <c r="GP50" s="23">
        <f>GO50/('Assets(BoP)'!AV97-'Assets(BoP)'!AW97)/1000</f>
        <v>0.83064992935511295</v>
      </c>
      <c r="GQ50" s="330">
        <f t="shared" si="444"/>
        <v>54740.747015432396</v>
      </c>
      <c r="GR50" s="330">
        <v>5511.4309999999996</v>
      </c>
      <c r="GS50" s="140">
        <f t="shared" si="445"/>
        <v>0.38707376723032549</v>
      </c>
      <c r="GT50" s="582">
        <v>0.80411999999999995</v>
      </c>
      <c r="GU50" s="576">
        <f t="shared" si="446"/>
        <v>0.3082632009899588</v>
      </c>
      <c r="GV50" s="589">
        <f t="shared" si="276"/>
        <v>8.6273617118142493E-2</v>
      </c>
      <c r="GW50" s="589"/>
      <c r="GX50" s="589">
        <f t="shared" si="277"/>
        <v>-0.68407643312101907</v>
      </c>
      <c r="GY50" s="589"/>
      <c r="GZ50" s="589">
        <f t="shared" si="308"/>
        <v>0.40491329479768784</v>
      </c>
      <c r="HA50" s="56">
        <f t="shared" si="385"/>
        <v>0.39851239737140437</v>
      </c>
      <c r="HB50" s="589">
        <f t="shared" si="278"/>
        <v>0.1290468031382451</v>
      </c>
      <c r="HC50" s="56">
        <v>0.1</v>
      </c>
      <c r="HD50" s="589">
        <f t="shared" si="279"/>
        <v>9.7358201608051198E-2</v>
      </c>
      <c r="HE50" s="56">
        <f t="shared" si="479"/>
        <v>0.39851239737140437</v>
      </c>
      <c r="HF50" s="589">
        <f t="shared" si="309"/>
        <v>8.2504841833440923E-2</v>
      </c>
      <c r="HG50" s="56">
        <v>0.1</v>
      </c>
      <c r="HH50" s="6">
        <f t="shared" si="57"/>
        <v>0.14514026051147</v>
      </c>
      <c r="HI50" s="6">
        <f t="shared" si="447"/>
        <v>0.13438119345138619</v>
      </c>
      <c r="HJ50" s="23">
        <f t="shared" si="280"/>
        <v>0.39851239737140437</v>
      </c>
      <c r="HK50" s="23">
        <f t="shared" si="280"/>
        <v>0.54947888096544162</v>
      </c>
      <c r="HL50" s="23">
        <f t="shared" si="281"/>
        <v>0.35773235834647649</v>
      </c>
      <c r="HM50" s="31">
        <f t="shared" si="282"/>
        <v>0.27591512826878928</v>
      </c>
      <c r="HN50" s="23">
        <f t="shared" si="448"/>
        <v>0.35933855836118983</v>
      </c>
      <c r="HO50" s="23">
        <f t="shared" si="449"/>
        <v>0.33857026741275054</v>
      </c>
      <c r="HP50" s="575">
        <v>360517</v>
      </c>
      <c r="HQ50" s="193"/>
      <c r="HR50" s="193"/>
      <c r="HS50" s="193"/>
      <c r="HT50" s="193"/>
      <c r="HU50" s="193"/>
      <c r="HV50" s="193"/>
      <c r="HW50" s="193"/>
      <c r="HX50" s="193"/>
      <c r="HY50" s="193"/>
      <c r="HZ50" s="193"/>
      <c r="IA50" s="193"/>
      <c r="IB50" s="193"/>
      <c r="IC50" s="193"/>
      <c r="ID50" s="193"/>
      <c r="IE50" s="193"/>
      <c r="IF50" s="193"/>
      <c r="IG50" s="193"/>
      <c r="IH50" s="193"/>
      <c r="II50" s="193"/>
      <c r="IJ50" s="193"/>
      <c r="IK50" s="193"/>
      <c r="IL50" s="193"/>
      <c r="IM50" s="575">
        <v>16815</v>
      </c>
      <c r="IN50" s="193"/>
      <c r="IO50" s="193"/>
      <c r="IP50" s="193"/>
      <c r="IQ50" s="193"/>
      <c r="IR50" s="193"/>
      <c r="IS50" s="193"/>
      <c r="IT50" s="193"/>
      <c r="IU50" s="193"/>
      <c r="IV50" s="193"/>
      <c r="IW50" s="193"/>
      <c r="IX50" s="149">
        <f t="shared" si="63"/>
        <v>1773632</v>
      </c>
      <c r="IY50" s="316">
        <f t="shared" si="64"/>
        <v>137435</v>
      </c>
      <c r="IZ50" s="316">
        <f t="shared" si="65"/>
        <v>-14386</v>
      </c>
      <c r="JA50" s="316">
        <f t="shared" si="66"/>
        <v>58205</v>
      </c>
      <c r="JB50" s="316">
        <f t="shared" si="67"/>
        <v>47130</v>
      </c>
      <c r="JC50" s="316">
        <f t="shared" si="68"/>
        <v>218893</v>
      </c>
      <c r="JD50" s="316">
        <f t="shared" si="69"/>
        <v>32901</v>
      </c>
      <c r="JE50" s="316">
        <f t="shared" si="70"/>
        <v>480178</v>
      </c>
      <c r="JF50" s="316">
        <f t="shared" si="71"/>
        <v>1293454</v>
      </c>
      <c r="JG50" s="316">
        <f t="shared" si="72"/>
        <v>1133106</v>
      </c>
      <c r="JH50" s="316">
        <f t="shared" si="73"/>
        <v>160348</v>
      </c>
      <c r="JI50" s="5">
        <v>4194829</v>
      </c>
      <c r="JJ50" s="552">
        <v>211430</v>
      </c>
      <c r="JK50" s="552">
        <v>402368</v>
      </c>
      <c r="JL50" s="552">
        <v>513102</v>
      </c>
      <c r="JM50" s="552">
        <v>198023</v>
      </c>
      <c r="JN50" s="552">
        <v>607216</v>
      </c>
      <c r="JO50" s="552">
        <v>95488</v>
      </c>
      <c r="JP50" s="552">
        <f t="shared" ref="JP50" si="518">JJ50+JK50+JL50+JM50+JN50+JO50</f>
        <v>2027627</v>
      </c>
      <c r="JQ50" s="552">
        <f t="shared" ref="JQ50" si="519">JI50-JP50</f>
        <v>2167202</v>
      </c>
      <c r="JR50" s="552">
        <f t="shared" si="76"/>
        <v>1974954</v>
      </c>
      <c r="JS50" s="552">
        <v>192248</v>
      </c>
      <c r="JT50" s="149">
        <v>2421197</v>
      </c>
      <c r="JU50" s="552">
        <v>73995</v>
      </c>
      <c r="JV50" s="552">
        <v>416754</v>
      </c>
      <c r="JW50" s="552">
        <v>454897</v>
      </c>
      <c r="JX50" s="552">
        <v>150893</v>
      </c>
      <c r="JY50" s="552">
        <v>388323</v>
      </c>
      <c r="JZ50" s="552">
        <v>62587</v>
      </c>
      <c r="KA50" s="552">
        <f t="shared" ref="KA50" si="520">JU50+JV50+JW50+JX50+JY50+JZ50</f>
        <v>1547449</v>
      </c>
      <c r="KB50" s="552">
        <f t="shared" ref="KB50" si="521">JT50-KA50</f>
        <v>873748</v>
      </c>
      <c r="KC50" s="552">
        <f t="shared" si="511"/>
        <v>841848</v>
      </c>
      <c r="KD50" s="552">
        <v>31900</v>
      </c>
      <c r="KE50" s="5">
        <v>778400</v>
      </c>
      <c r="KF50" s="552">
        <v>20703</v>
      </c>
      <c r="KG50" s="552">
        <v>980</v>
      </c>
      <c r="KH50" s="552">
        <v>18837</v>
      </c>
      <c r="KI50" s="552">
        <v>6668</v>
      </c>
      <c r="KJ50" s="552">
        <v>17414</v>
      </c>
      <c r="KK50" s="552">
        <v>10268</v>
      </c>
      <c r="KL50" s="552">
        <f t="shared" ref="KL50" si="522">KF50+KG50+KH50+KI50+KJ50+KK50</f>
        <v>74870</v>
      </c>
      <c r="KM50" s="552">
        <f t="shared" ref="KM50" si="523">KE50-KL50</f>
        <v>703530</v>
      </c>
      <c r="KN50" s="552">
        <f t="shared" si="514"/>
        <v>495831</v>
      </c>
      <c r="KO50" s="552">
        <v>207699</v>
      </c>
      <c r="KP50" s="5">
        <v>332073</v>
      </c>
      <c r="KQ50" s="552">
        <v>9364</v>
      </c>
      <c r="KR50" s="552">
        <v>4105</v>
      </c>
      <c r="KS50" s="552">
        <v>12664</v>
      </c>
      <c r="KT50" s="552">
        <v>13180</v>
      </c>
      <c r="KU50" s="552">
        <v>3313</v>
      </c>
      <c r="KV50" s="552">
        <v>6640</v>
      </c>
      <c r="KW50" s="552">
        <f t="shared" ref="KW50" si="524">KQ50+KR50+KS50+KT50+KU50+KV50</f>
        <v>49266</v>
      </c>
      <c r="KX50" s="552">
        <f t="shared" ref="KX50" si="525">KP50-KW50</f>
        <v>282807</v>
      </c>
      <c r="KY50" s="552">
        <f t="shared" si="517"/>
        <v>270238</v>
      </c>
      <c r="KZ50" s="552">
        <v>12569</v>
      </c>
      <c r="LA50" s="149">
        <f>'Assets(MOFA)'!IX50-'Assets(MOFA)'!KE50-'Assets(MOFA)'!KP50</f>
        <v>663159</v>
      </c>
      <c r="LB50" s="552">
        <f>'Assets(MOFA)'!IY50-'Assets(MOFA)'!KF50-'Assets(MOFA)'!KQ50</f>
        <v>107368</v>
      </c>
      <c r="LC50" s="552">
        <f>'Assets(MOFA)'!IZ50-'Assets(MOFA)'!KG50-'Assets(MOFA)'!KR50</f>
        <v>-19471</v>
      </c>
      <c r="LD50" s="552">
        <f>'Assets(MOFA)'!JA50-'Assets(MOFA)'!KH50-'Assets(MOFA)'!KS50</f>
        <v>26704</v>
      </c>
      <c r="LE50" s="552">
        <f>'Assets(MOFA)'!JB50-'Assets(MOFA)'!KI50-'Assets(MOFA)'!KT50</f>
        <v>27282</v>
      </c>
      <c r="LF50" s="552">
        <f>'Assets(MOFA)'!JC50-'Assets(MOFA)'!KJ50-'Assets(MOFA)'!KU50</f>
        <v>198166</v>
      </c>
      <c r="LG50" s="552">
        <f>'Assets(MOFA)'!JD50-'Assets(MOFA)'!KK50-'Assets(MOFA)'!KV50</f>
        <v>15993</v>
      </c>
      <c r="LH50" s="552">
        <f>'Assets(MOFA)'!JE50-'Assets(MOFA)'!KL50-'Assets(MOFA)'!KW50</f>
        <v>356042</v>
      </c>
      <c r="LI50" s="552">
        <f>'Assets(MOFA)'!JF50-'Assets(MOFA)'!KM50-'Assets(MOFA)'!KX50</f>
        <v>307117</v>
      </c>
      <c r="LJ50" s="552">
        <f t="shared" si="77"/>
        <v>367037</v>
      </c>
      <c r="LK50" s="552">
        <f>'Assets(MOFA)'!JH50-'Assets(MOFA)'!KO50-'Assets(MOFA)'!KZ50</f>
        <v>-59920</v>
      </c>
      <c r="LL50" s="576">
        <f t="shared" si="78"/>
        <v>0.18316200880453218</v>
      </c>
      <c r="LM50" s="6">
        <f t="shared" si="79"/>
        <v>0.22374940881143812</v>
      </c>
      <c r="LN50" s="6">
        <f t="shared" si="80"/>
        <v>5.4566940080633952E-2</v>
      </c>
      <c r="LO50" s="6">
        <f t="shared" si="81"/>
        <v>0.17833519457091315</v>
      </c>
      <c r="LP50" s="6">
        <f t="shared" si="82"/>
        <v>0.23528538086144707</v>
      </c>
      <c r="LQ50" s="6">
        <f t="shared" si="83"/>
        <v>8.3524827198676974E-2</v>
      </c>
      <c r="LR50" s="6">
        <f t="shared" si="84"/>
        <v>0.23540317923467372</v>
      </c>
      <c r="LS50" s="6">
        <f t="shared" si="85"/>
        <v>0.16132142663762189</v>
      </c>
      <c r="LT50" s="143">
        <f t="shared" si="86"/>
        <v>0.22801265485179292</v>
      </c>
      <c r="LU50" s="62">
        <f t="shared" si="87"/>
        <v>0.10611620329486282</v>
      </c>
      <c r="LV50" s="902">
        <f t="shared" si="88"/>
        <v>0.19127004130027045</v>
      </c>
      <c r="LW50" s="902">
        <f t="shared" si="89"/>
        <v>0.14268928570784783</v>
      </c>
      <c r="LX50" s="143">
        <f t="shared" si="90"/>
        <v>0.53456802846760421</v>
      </c>
      <c r="LY50" s="576">
        <f t="shared" si="91"/>
        <v>0.19264255493811569</v>
      </c>
      <c r="LZ50" s="906">
        <f t="shared" si="92"/>
        <v>0.22374940881143812</v>
      </c>
      <c r="MA50" s="906">
        <f t="shared" si="93"/>
        <v>5.4566940080633952E-2</v>
      </c>
      <c r="MB50" s="906">
        <f t="shared" si="94"/>
        <v>0.17833519457091315</v>
      </c>
      <c r="MC50" s="906">
        <f t="shared" si="95"/>
        <v>0.23528538086144707</v>
      </c>
      <c r="MD50" s="906">
        <f t="shared" si="96"/>
        <v>8.3524827198676974E-2</v>
      </c>
      <c r="ME50" s="906">
        <v>6.1610529375296846E-2</v>
      </c>
      <c r="MF50" s="906">
        <f t="shared" si="97"/>
        <v>0.23540317923467372</v>
      </c>
      <c r="MG50" s="30">
        <f t="shared" si="98"/>
        <v>0.16132142663762189</v>
      </c>
      <c r="MH50" s="140">
        <f t="shared" si="99"/>
        <v>0.22801265485179292</v>
      </c>
      <c r="MI50" s="30">
        <f t="shared" si="100"/>
        <v>0.10611620329486282</v>
      </c>
      <c r="MJ50" s="30">
        <f t="shared" si="101"/>
        <v>0.19127004130027045</v>
      </c>
      <c r="MK50" s="617">
        <f t="shared" si="102"/>
        <v>0.14268928570784783</v>
      </c>
      <c r="ML50" s="615">
        <f t="shared" si="103"/>
        <v>0.53456802846760421</v>
      </c>
      <c r="MM50" s="574"/>
      <c r="MX50" s="613"/>
      <c r="MY50" s="552"/>
      <c r="MZ50" s="552"/>
      <c r="NA50" s="552"/>
      <c r="NB50" s="552"/>
      <c r="NC50" s="552"/>
      <c r="ND50" s="552"/>
      <c r="NE50" s="552"/>
      <c r="NF50" s="552"/>
      <c r="NG50" s="552"/>
      <c r="NH50" s="552"/>
      <c r="NI50" s="613">
        <f t="shared" si="364"/>
        <v>360844</v>
      </c>
      <c r="PN50" s="574"/>
      <c r="PO50" s="593"/>
      <c r="PP50" s="593"/>
      <c r="PQ50" s="593"/>
      <c r="PR50" s="593"/>
      <c r="PS50" s="593"/>
      <c r="PT50" s="593"/>
      <c r="PU50" s="593"/>
      <c r="PV50" s="593"/>
      <c r="PW50" s="593"/>
      <c r="PX50" s="593"/>
      <c r="PY50" s="593"/>
      <c r="PZ50" s="593"/>
      <c r="QA50" s="593"/>
      <c r="QB50" s="593"/>
      <c r="QC50" s="593"/>
      <c r="QD50" s="593"/>
      <c r="QE50" s="593"/>
      <c r="QF50" s="593"/>
      <c r="QG50" s="593"/>
      <c r="QH50" s="593"/>
      <c r="QI50" s="593"/>
      <c r="QJ50" s="593"/>
      <c r="QK50" s="593"/>
      <c r="QL50" s="593"/>
      <c r="QM50" s="593"/>
      <c r="QN50" s="593"/>
      <c r="QO50" s="593"/>
      <c r="QP50" s="593"/>
      <c r="QQ50" s="593"/>
      <c r="QR50" s="593"/>
      <c r="QS50" s="593"/>
      <c r="QT50" s="593"/>
      <c r="QU50" s="593"/>
      <c r="QV50" s="593"/>
      <c r="QW50" s="593"/>
      <c r="QX50" s="593"/>
      <c r="QY50" s="593"/>
      <c r="QZ50" s="593"/>
      <c r="RA50" s="593"/>
      <c r="RB50" s="593"/>
      <c r="RC50" s="593"/>
      <c r="RD50" s="593"/>
      <c r="RE50" s="593"/>
      <c r="RF50" s="593"/>
      <c r="RG50" s="593"/>
      <c r="RH50" s="593"/>
      <c r="RI50" s="593"/>
      <c r="RJ50" s="593"/>
      <c r="RK50" s="593"/>
      <c r="RL50" s="593"/>
      <c r="RM50" s="593"/>
      <c r="RN50" s="593"/>
      <c r="RO50" s="593"/>
      <c r="RP50" s="593"/>
      <c r="RQ50" s="593"/>
      <c r="RR50" s="593"/>
    </row>
    <row r="51" spans="1:486">
      <c r="A51" s="568">
        <v>2006</v>
      </c>
      <c r="B51" s="33">
        <v>390969</v>
      </c>
      <c r="C51" s="193">
        <v>5243</v>
      </c>
      <c r="D51" s="193">
        <v>902</v>
      </c>
      <c r="E51" s="193">
        <v>13596</v>
      </c>
      <c r="F51" s="193">
        <v>6917</v>
      </c>
      <c r="G51" s="193">
        <v>1454</v>
      </c>
      <c r="H51" s="193">
        <v>4461</v>
      </c>
      <c r="I51" s="193">
        <f t="shared" si="456"/>
        <v>32573</v>
      </c>
      <c r="J51" s="193">
        <f t="shared" si="457"/>
        <v>358396</v>
      </c>
      <c r="K51" s="193">
        <f t="shared" si="249"/>
        <v>350190</v>
      </c>
      <c r="L51" s="193">
        <v>8206</v>
      </c>
      <c r="M51" s="140">
        <f t="shared" si="217"/>
        <v>8.331351078985802E-2</v>
      </c>
      <c r="N51" s="140">
        <f t="shared" si="250"/>
        <v>2.0988876355925917E-2</v>
      </c>
      <c r="O51" s="193">
        <v>4683200</v>
      </c>
      <c r="P51" s="32">
        <f t="shared" si="251"/>
        <v>8.3483302015715743E-2</v>
      </c>
      <c r="Q51" s="629">
        <f t="shared" si="218"/>
        <v>1.3410270379493003E-2</v>
      </c>
      <c r="R51" s="308">
        <f t="shared" si="219"/>
        <v>2.3070882857720177E-3</v>
      </c>
      <c r="S51" s="308">
        <f t="shared" si="220"/>
        <v>3.4775135624563587E-2</v>
      </c>
      <c r="T51" s="308">
        <f t="shared" si="221"/>
        <v>1.7691939770160807E-2</v>
      </c>
      <c r="U51" s="308">
        <f t="shared" si="222"/>
        <v>3.7189649307234076E-3</v>
      </c>
      <c r="V51" s="308">
        <f t="shared" si="223"/>
        <v>1.14101117991452E-2</v>
      </c>
      <c r="W51" s="5">
        <v>365201</v>
      </c>
      <c r="X51" s="193">
        <v>37855</v>
      </c>
      <c r="Y51" s="193">
        <v>0</v>
      </c>
      <c r="Z51" s="76">
        <f t="shared" si="114"/>
        <v>37855</v>
      </c>
      <c r="AA51" s="193">
        <v>-2168</v>
      </c>
      <c r="AB51" s="66">
        <v>0</v>
      </c>
      <c r="AC51" s="274">
        <f t="shared" si="117"/>
        <v>-2168</v>
      </c>
      <c r="AD51" s="193">
        <v>8430</v>
      </c>
      <c r="AE51" s="357">
        <f t="shared" si="477"/>
        <v>664.06920798833107</v>
      </c>
      <c r="AF51" s="274">
        <f t="shared" si="119"/>
        <v>7765.9307920116689</v>
      </c>
      <c r="AG51" s="193">
        <v>14033</v>
      </c>
      <c r="AH51" s="357">
        <f t="shared" si="382"/>
        <v>370.26174098533915</v>
      </c>
      <c r="AI51" s="76">
        <f t="shared" si="287"/>
        <v>13662.738259014661</v>
      </c>
      <c r="AJ51" s="193">
        <v>24309</v>
      </c>
      <c r="AK51" s="357">
        <f t="shared" si="458"/>
        <v>3058.7769475066143</v>
      </c>
      <c r="AL51" s="274">
        <f t="shared" si="123"/>
        <v>21250.223052493384</v>
      </c>
      <c r="AM51" s="193">
        <v>11526</v>
      </c>
      <c r="AN51" s="357">
        <f t="shared" si="478"/>
        <v>543.42535718254487</v>
      </c>
      <c r="AO51" s="274">
        <f t="shared" si="125"/>
        <v>10982.574642817455</v>
      </c>
      <c r="AP51" s="193">
        <f t="shared" si="397"/>
        <v>93985</v>
      </c>
      <c r="AQ51" s="271">
        <f t="shared" si="398"/>
        <v>4636.5332536628293</v>
      </c>
      <c r="AR51" s="271">
        <f t="shared" si="126"/>
        <v>89348.466746337173</v>
      </c>
      <c r="AS51" s="193">
        <f t="shared" si="259"/>
        <v>271216</v>
      </c>
      <c r="AT51" s="193">
        <f t="shared" si="224"/>
        <v>172157.09520676214</v>
      </c>
      <c r="AU51" s="193">
        <v>99058.904793237845</v>
      </c>
      <c r="AV51" s="193">
        <v>27308</v>
      </c>
      <c r="AW51" s="23">
        <f t="shared" si="289"/>
        <v>0.27567435817101982</v>
      </c>
      <c r="AX51" s="271">
        <f t="shared" si="227"/>
        <v>266142.09520676214</v>
      </c>
      <c r="AY51" s="140">
        <f t="shared" si="399"/>
        <v>0.25735143112970665</v>
      </c>
      <c r="AZ51" s="623">
        <f t="shared" si="129"/>
        <v>0.24465559170521761</v>
      </c>
      <c r="BA51" s="248">
        <f t="shared" si="400"/>
        <v>0.3357171539396035</v>
      </c>
      <c r="BB51" s="248">
        <f t="shared" si="130"/>
        <v>0.14223604864383055</v>
      </c>
      <c r="BC51" s="248">
        <f t="shared" si="131"/>
        <v>-8.1460243946592167E-3</v>
      </c>
      <c r="BD51" s="248">
        <f t="shared" si="132"/>
        <v>2.9179640995831282E-2</v>
      </c>
      <c r="BE51" s="248">
        <f t="shared" si="133"/>
        <v>5.1336254223144473E-2</v>
      </c>
      <c r="BF51" s="248">
        <f t="shared" si="134"/>
        <v>7.9845403771937606E-2</v>
      </c>
      <c r="BG51" s="248">
        <f t="shared" si="135"/>
        <v>4.126583069951878E-2</v>
      </c>
      <c r="BH51" s="248">
        <f t="shared" si="136"/>
        <v>2.1033616601172065E-2</v>
      </c>
      <c r="BI51" s="23">
        <f t="shared" si="401"/>
        <v>0.32146361489163711</v>
      </c>
      <c r="BJ51" s="140">
        <f t="shared" si="402"/>
        <v>0.27124488923425139</v>
      </c>
      <c r="BK51" s="623">
        <f t="shared" si="137"/>
        <v>0.25854904980976234</v>
      </c>
      <c r="BL51" s="5">
        <v>-21463</v>
      </c>
      <c r="BM51" s="193">
        <v>-944</v>
      </c>
      <c r="BN51" s="193">
        <v>1962</v>
      </c>
      <c r="BO51" s="193">
        <v>-464</v>
      </c>
      <c r="BP51" s="193">
        <v>-510</v>
      </c>
      <c r="BQ51" s="193">
        <v>-7921</v>
      </c>
      <c r="BR51" s="193">
        <v>-540</v>
      </c>
      <c r="BS51" s="193">
        <f t="shared" si="403"/>
        <v>-8417</v>
      </c>
      <c r="BT51" s="193">
        <f t="shared" si="365"/>
        <v>-13046</v>
      </c>
      <c r="BU51" s="193">
        <f t="shared" si="373"/>
        <v>-14860</v>
      </c>
      <c r="BV51" s="193">
        <v>1814</v>
      </c>
      <c r="BW51" s="5">
        <f t="shared" si="262"/>
        <v>251174</v>
      </c>
      <c r="BX51" s="193">
        <f t="shared" si="263"/>
        <v>35347</v>
      </c>
      <c r="BY51" s="193">
        <f t="shared" si="459"/>
        <v>0</v>
      </c>
      <c r="BZ51" s="647">
        <f t="shared" si="149"/>
        <v>0.14072714532555122</v>
      </c>
      <c r="CA51" s="193">
        <f t="shared" si="264"/>
        <v>-2740</v>
      </c>
      <c r="CB51" s="193">
        <f t="shared" si="460"/>
        <v>0</v>
      </c>
      <c r="CC51" s="647">
        <f t="shared" si="404"/>
        <v>-1.0908772404787119E-2</v>
      </c>
      <c r="CD51" s="193">
        <f t="shared" si="265"/>
        <v>4440</v>
      </c>
      <c r="CE51" s="193">
        <f t="shared" si="461"/>
        <v>392.54393126574905</v>
      </c>
      <c r="CF51" s="655">
        <f t="shared" si="405"/>
        <v>1.6114152216130058E-2</v>
      </c>
      <c r="CG51" s="193">
        <f t="shared" si="266"/>
        <v>12459</v>
      </c>
      <c r="CH51" s="193">
        <f t="shared" si="462"/>
        <v>333.23556688680526</v>
      </c>
      <c r="CI51" s="23">
        <f t="shared" si="406"/>
        <v>4.8276351983538079E-2</v>
      </c>
      <c r="CJ51" s="193">
        <f t="shared" si="267"/>
        <v>21746</v>
      </c>
      <c r="CK51" s="641">
        <f t="shared" si="463"/>
        <v>1808.1011939653024</v>
      </c>
      <c r="CL51" s="34">
        <f t="shared" si="158"/>
        <v>7.9378832227996118E-2</v>
      </c>
      <c r="CM51" s="193">
        <f t="shared" si="268"/>
        <v>10253</v>
      </c>
      <c r="CN51" s="193">
        <f t="shared" si="464"/>
        <v>489.08282146429036</v>
      </c>
      <c r="CO51" s="23">
        <f t="shared" si="161"/>
        <v>3.8873120540086598E-2</v>
      </c>
      <c r="CP51" s="193">
        <f t="shared" si="407"/>
        <v>81505</v>
      </c>
      <c r="CQ51" s="193">
        <f t="shared" si="162"/>
        <v>3022.9635135821468</v>
      </c>
      <c r="CR51" s="193">
        <f t="shared" si="408"/>
        <v>169669</v>
      </c>
      <c r="CS51" s="248">
        <f t="shared" si="163"/>
        <v>0.31246082988851498</v>
      </c>
      <c r="CT51" s="30">
        <f t="shared" si="409"/>
        <v>0.32449616600444314</v>
      </c>
      <c r="CU51" s="308">
        <f t="shared" si="410"/>
        <v>0</v>
      </c>
      <c r="CV51" s="608">
        <f t="shared" si="269"/>
        <v>0.14072714532555122</v>
      </c>
      <c r="CW51" s="608">
        <f t="shared" si="270"/>
        <v>-1.0908772404787119E-2</v>
      </c>
      <c r="CX51" s="608">
        <f t="shared" si="271"/>
        <v>1.7676988860311976E-2</v>
      </c>
      <c r="CY51" s="608">
        <f t="shared" si="272"/>
        <v>4.9603064011402451E-2</v>
      </c>
      <c r="CZ51" s="608">
        <f t="shared" si="327"/>
        <v>8.6577432377554997E-2</v>
      </c>
      <c r="DA51" s="608">
        <f>'Assets(BoP)'!FK98</f>
        <v>9.6463675954545552E-2</v>
      </c>
      <c r="DB51" s="608">
        <f t="shared" si="273"/>
        <v>4.0820307834409611E-2</v>
      </c>
      <c r="DC51" s="23">
        <f t="shared" si="411"/>
        <v>0.40744828686901402</v>
      </c>
      <c r="DD51" s="193">
        <f t="shared" si="412"/>
        <v>192618.39849543449</v>
      </c>
      <c r="DE51" s="193">
        <f t="shared" si="274"/>
        <v>58555.601504565493</v>
      </c>
      <c r="DF51" s="193"/>
      <c r="DG51" s="193">
        <f>'Assets(BoP)'!DA98*1000</f>
        <v>29442</v>
      </c>
      <c r="DH51" s="23">
        <f t="shared" si="413"/>
        <v>0.23312763862726832</v>
      </c>
      <c r="DI51" s="23"/>
      <c r="DJ51" s="23">
        <f t="shared" si="414"/>
        <v>0.30681917714413115</v>
      </c>
      <c r="DK51" s="600">
        <f>'Assets(BoP)'!FO98-'Assets(BoP)'!FH98</f>
        <v>0.31265158502393753</v>
      </c>
      <c r="DL51" s="576">
        <f t="shared" si="415"/>
        <v>0.93409196125524019</v>
      </c>
      <c r="DM51" s="251">
        <f t="shared" si="416"/>
        <v>7.2201029944688155</v>
      </c>
      <c r="DN51" s="251">
        <f t="shared" si="417"/>
        <v>7.2201029944688155</v>
      </c>
      <c r="DO51" s="251">
        <f t="shared" si="418"/>
        <v>-2.4035476718403546</v>
      </c>
      <c r="DP51" s="251">
        <f t="shared" si="419"/>
        <v>-2.4035476718403546</v>
      </c>
      <c r="DQ51" s="251">
        <f t="shared" si="420"/>
        <v>0.62003530450132394</v>
      </c>
      <c r="DR51" s="251">
        <f t="shared" si="421"/>
        <v>0.57351282999573261</v>
      </c>
      <c r="DS51" s="251">
        <f t="shared" si="422"/>
        <v>2.0287696978458869</v>
      </c>
      <c r="DT51" s="251">
        <f t="shared" si="423"/>
        <v>1.9840383615687627</v>
      </c>
      <c r="DU51" s="251">
        <f t="shared" si="424"/>
        <v>16.718707015130676</v>
      </c>
      <c r="DV51" s="251">
        <f t="shared" si="425"/>
        <v>17.699490365440678</v>
      </c>
      <c r="DW51" s="251">
        <f t="shared" si="426"/>
        <v>2.5837256220578344</v>
      </c>
      <c r="DX51" s="251">
        <f t="shared" si="427"/>
        <v>2.4870057218019341</v>
      </c>
      <c r="DY51" s="251">
        <f t="shared" si="428"/>
        <v>0.43192164436473995</v>
      </c>
      <c r="DZ51" s="251">
        <f t="shared" si="429"/>
        <v>0.38758811490359651</v>
      </c>
      <c r="EA51" s="643">
        <f t="shared" si="430"/>
        <v>2.8853651797500999</v>
      </c>
      <c r="EB51" s="643">
        <f t="shared" si="431"/>
        <v>2.7757529765112872</v>
      </c>
      <c r="EC51" s="251">
        <f t="shared" si="432"/>
        <v>0.75674951729371975</v>
      </c>
      <c r="ED51" s="251">
        <f t="shared" si="433"/>
        <v>0.69531823924141611</v>
      </c>
      <c r="EE51" s="140">
        <f t="shared" si="434"/>
        <v>0.49161054058300391</v>
      </c>
      <c r="EF51" s="1342">
        <v>0.30717164524094986</v>
      </c>
      <c r="EG51" s="140">
        <f t="shared" si="228"/>
        <v>12.07152142252472</v>
      </c>
      <c r="EH51" s="583">
        <v>65.144062499999976</v>
      </c>
      <c r="EI51" s="1344">
        <v>1.1523081632868499</v>
      </c>
      <c r="EJ51" s="576">
        <f t="shared" si="166"/>
        <v>0.6424396819185153</v>
      </c>
      <c r="EK51" s="753">
        <f t="shared" si="167"/>
        <v>2.4411694084706044</v>
      </c>
      <c r="EL51" s="753">
        <f t="shared" si="168"/>
        <v>7.1357057646314273</v>
      </c>
      <c r="EM51" s="753">
        <f t="shared" si="169"/>
        <v>0.31729460720018993</v>
      </c>
      <c r="EN51" s="583"/>
      <c r="EO51" s="5">
        <v>667349</v>
      </c>
      <c r="EP51" s="193">
        <v>46887</v>
      </c>
      <c r="EQ51" s="193"/>
      <c r="ER51" s="193">
        <v>56840</v>
      </c>
      <c r="ES51" s="193"/>
      <c r="ET51" s="193">
        <v>89680</v>
      </c>
      <c r="EU51" s="193"/>
      <c r="EV51" s="193">
        <v>44460</v>
      </c>
      <c r="EW51" s="193"/>
      <c r="EX51" s="193">
        <v>92204</v>
      </c>
      <c r="EY51" s="193"/>
      <c r="EZ51" s="193">
        <v>27347</v>
      </c>
      <c r="FA51" s="193"/>
      <c r="FB51" s="193">
        <f t="shared" si="435"/>
        <v>357418</v>
      </c>
      <c r="FC51" s="193">
        <f t="shared" si="436"/>
        <v>309931</v>
      </c>
      <c r="FD51" s="23">
        <f t="shared" si="437"/>
        <v>0.53557883506231374</v>
      </c>
      <c r="FE51" s="23"/>
      <c r="FF51" s="23"/>
      <c r="FG51" s="23"/>
      <c r="FH51" s="23"/>
      <c r="FI51" s="23"/>
      <c r="FJ51" s="5">
        <v>114027</v>
      </c>
      <c r="FK51" s="143">
        <f>FJ51/'Assets(BoP)'!AV98/1000</f>
        <v>1.326331372564711</v>
      </c>
      <c r="FL51" s="192"/>
      <c r="FM51" s="193">
        <v>2508</v>
      </c>
      <c r="FN51" s="66">
        <f t="shared" si="374"/>
        <v>0</v>
      </c>
      <c r="FO51" s="184">
        <f t="shared" si="383"/>
        <v>0</v>
      </c>
      <c r="FP51" s="193">
        <v>572</v>
      </c>
      <c r="FQ51" s="66">
        <f t="shared" si="375"/>
        <v>0</v>
      </c>
      <c r="FR51" s="184">
        <v>0</v>
      </c>
      <c r="FS51" s="193">
        <v>3990</v>
      </c>
      <c r="FT51" s="66">
        <f t="shared" si="465"/>
        <v>271.52527672258202</v>
      </c>
      <c r="FU51" s="193">
        <f t="shared" si="175"/>
        <v>3718.474723277418</v>
      </c>
      <c r="FV51" s="23">
        <f t="shared" si="376"/>
        <v>6.8051447800145867E-2</v>
      </c>
      <c r="FW51" s="193">
        <v>1574</v>
      </c>
      <c r="FX51" s="66">
        <f t="shared" si="466"/>
        <v>37.026174098533915</v>
      </c>
      <c r="FY51" s="23">
        <f t="shared" si="438"/>
        <v>2.3523617597543782E-2</v>
      </c>
      <c r="FZ51" s="193">
        <v>2563</v>
      </c>
      <c r="GA51" s="66">
        <f t="shared" si="467"/>
        <v>1250.6757535413119</v>
      </c>
      <c r="GB51" s="193">
        <f t="shared" si="180"/>
        <v>1312.3242464586881</v>
      </c>
      <c r="GC51" s="23">
        <f t="shared" si="366"/>
        <v>0.4879733724312571</v>
      </c>
      <c r="GD51" s="193">
        <v>1273</v>
      </c>
      <c r="GE51" s="66">
        <f t="shared" si="384"/>
        <v>54.342535718254496</v>
      </c>
      <c r="GF51" s="23">
        <f t="shared" si="377"/>
        <v>4.2688559087395522E-2</v>
      </c>
      <c r="GG51" s="193">
        <f t="shared" si="439"/>
        <v>12480</v>
      </c>
      <c r="GH51" s="193">
        <f t="shared" si="440"/>
        <v>1613.5697400806825</v>
      </c>
      <c r="GI51" s="193">
        <f t="shared" si="441"/>
        <v>101547</v>
      </c>
      <c r="GJ51" s="23">
        <f t="shared" si="442"/>
        <v>0.10944776237206977</v>
      </c>
      <c r="GK51" s="330">
        <v>40503.303288672352</v>
      </c>
      <c r="GL51" s="330">
        <v>14699</v>
      </c>
      <c r="GM51" s="23">
        <f>GK51/'Assets(BoP)'!AW98/1000</f>
        <v>1.0547555044026424</v>
      </c>
      <c r="GN51" s="23">
        <f t="shared" si="443"/>
        <v>0.35520800589923746</v>
      </c>
      <c r="GO51" s="330">
        <f t="shared" si="275"/>
        <v>73523.696711327648</v>
      </c>
      <c r="GP51" s="23">
        <f>GO51/('Assets(BoP)'!AV98-'Assets(BoP)'!AW98)/1000</f>
        <v>1.5455547588107252</v>
      </c>
      <c r="GQ51" s="330">
        <f t="shared" si="444"/>
        <v>61043.696711327648</v>
      </c>
      <c r="GR51" s="330">
        <v>6687.9440000000004</v>
      </c>
      <c r="GS51" s="140">
        <f t="shared" si="445"/>
        <v>0.29893031550503396</v>
      </c>
      <c r="GT51" s="582">
        <v>0.79714083333333297</v>
      </c>
      <c r="GU51" s="576">
        <f t="shared" si="446"/>
        <v>0.31223079892990435</v>
      </c>
      <c r="GV51" s="589">
        <f t="shared" si="276"/>
        <v>6.6252806762646943E-2</v>
      </c>
      <c r="GW51" s="589"/>
      <c r="GX51" s="589">
        <f t="shared" si="277"/>
        <v>-0.26383763837638374</v>
      </c>
      <c r="GY51" s="589"/>
      <c r="GZ51" s="589">
        <f t="shared" si="308"/>
        <v>0.47330960854092524</v>
      </c>
      <c r="HA51" s="56">
        <f t="shared" si="385"/>
        <v>0.40888099230668323</v>
      </c>
      <c r="HB51" s="589">
        <f t="shared" si="278"/>
        <v>0.11216418442243284</v>
      </c>
      <c r="HC51" s="56">
        <v>0.1</v>
      </c>
      <c r="HD51" s="589">
        <f t="shared" si="279"/>
        <v>0.10543420132461229</v>
      </c>
      <c r="HE51" s="56">
        <f t="shared" si="479"/>
        <v>0.40888099230668323</v>
      </c>
      <c r="HF51" s="589">
        <f t="shared" si="309"/>
        <v>0.11044594829082076</v>
      </c>
      <c r="HG51" s="56">
        <v>0.1</v>
      </c>
      <c r="HH51" s="6">
        <f t="shared" si="57"/>
        <v>0.13278714688514123</v>
      </c>
      <c r="HI51" s="6">
        <f t="shared" si="447"/>
        <v>0.12161854204806245</v>
      </c>
      <c r="HJ51" s="23">
        <f t="shared" si="280"/>
        <v>0.40888099230668323</v>
      </c>
      <c r="HK51" s="23">
        <f t="shared" si="280"/>
        <v>0.53826717445437233</v>
      </c>
      <c r="HL51" s="23">
        <f t="shared" si="281"/>
        <v>0.35963732252620007</v>
      </c>
      <c r="HM51" s="31">
        <f t="shared" si="282"/>
        <v>0.27625730027490802</v>
      </c>
      <c r="HN51" s="23">
        <f t="shared" si="448"/>
        <v>0.37441375140109728</v>
      </c>
      <c r="HO51" s="23">
        <f t="shared" si="449"/>
        <v>0.35458135860165185</v>
      </c>
      <c r="HP51" s="575">
        <v>403871</v>
      </c>
      <c r="HQ51" s="193"/>
      <c r="HR51" s="193"/>
      <c r="HS51" s="193"/>
      <c r="HT51" s="193"/>
      <c r="HU51" s="193"/>
      <c r="HV51" s="193"/>
      <c r="HW51" s="193"/>
      <c r="HX51" s="193"/>
      <c r="HY51" s="193"/>
      <c r="HZ51" s="193"/>
      <c r="IA51" s="193"/>
      <c r="IB51" s="193"/>
      <c r="IC51" s="193"/>
      <c r="ID51" s="193"/>
      <c r="IE51" s="193"/>
      <c r="IF51" s="193"/>
      <c r="IG51" s="193"/>
      <c r="IH51" s="193"/>
      <c r="II51" s="193"/>
      <c r="IJ51" s="193"/>
      <c r="IK51" s="193"/>
      <c r="IL51" s="193"/>
      <c r="IM51" s="575">
        <v>17374</v>
      </c>
      <c r="IN51" s="193"/>
      <c r="IO51" s="193"/>
      <c r="IP51" s="193"/>
      <c r="IQ51" s="193"/>
      <c r="IR51" s="193"/>
      <c r="IS51" s="193"/>
      <c r="IT51" s="193"/>
      <c r="IU51" s="193"/>
      <c r="IV51" s="193"/>
      <c r="IW51" s="193"/>
      <c r="IX51" s="149">
        <f t="shared" si="63"/>
        <v>1991076</v>
      </c>
      <c r="IY51" s="316">
        <f t="shared" si="64"/>
        <v>106570</v>
      </c>
      <c r="IZ51" s="316">
        <f t="shared" si="65"/>
        <v>-71607</v>
      </c>
      <c r="JA51" s="316">
        <f t="shared" si="66"/>
        <v>105028</v>
      </c>
      <c r="JB51" s="316">
        <f t="shared" si="67"/>
        <v>63872</v>
      </c>
      <c r="JC51" s="316">
        <f t="shared" si="68"/>
        <v>301559</v>
      </c>
      <c r="JD51" s="316">
        <f t="shared" si="69"/>
        <v>60477</v>
      </c>
      <c r="JE51" s="316">
        <f t="shared" si="70"/>
        <v>565899</v>
      </c>
      <c r="JF51" s="316">
        <f t="shared" si="71"/>
        <v>1425177</v>
      </c>
      <c r="JG51" s="316">
        <f t="shared" si="72"/>
        <v>1252963</v>
      </c>
      <c r="JH51" s="316">
        <f t="shared" si="73"/>
        <v>172214</v>
      </c>
      <c r="JI51" s="5">
        <v>4830365</v>
      </c>
      <c r="JJ51" s="552">
        <v>202895</v>
      </c>
      <c r="JK51" s="552">
        <v>495596</v>
      </c>
      <c r="JL51" s="552">
        <v>608769</v>
      </c>
      <c r="JM51" s="552">
        <v>238378</v>
      </c>
      <c r="JN51" s="552">
        <v>689258</v>
      </c>
      <c r="JO51" s="552">
        <v>124413</v>
      </c>
      <c r="JP51" s="552">
        <f t="shared" si="74"/>
        <v>2359309</v>
      </c>
      <c r="JQ51" s="552">
        <f t="shared" si="75"/>
        <v>2471056</v>
      </c>
      <c r="JR51" s="552">
        <f t="shared" si="76"/>
        <v>2231951</v>
      </c>
      <c r="JS51" s="552">
        <v>239105</v>
      </c>
      <c r="JT51" s="149">
        <v>2839289</v>
      </c>
      <c r="JU51" s="552">
        <v>96325</v>
      </c>
      <c r="JV51" s="552">
        <v>567203</v>
      </c>
      <c r="JW51" s="552">
        <v>503741</v>
      </c>
      <c r="JX51" s="552">
        <v>174506</v>
      </c>
      <c r="JY51" s="552">
        <v>387699</v>
      </c>
      <c r="JZ51" s="552">
        <v>63936</v>
      </c>
      <c r="KA51" s="552">
        <f t="shared" ref="KA51" si="526">JU51+JV51+JW51+JX51+JY51+JZ51</f>
        <v>1793410</v>
      </c>
      <c r="KB51" s="552">
        <f t="shared" ref="KB51" si="527">JT51-KA51</f>
        <v>1045879</v>
      </c>
      <c r="KC51" s="552">
        <f t="shared" si="511"/>
        <v>978988</v>
      </c>
      <c r="KD51" s="552">
        <v>66891</v>
      </c>
      <c r="KE51" s="5">
        <v>865718</v>
      </c>
      <c r="KF51" s="552">
        <v>22756</v>
      </c>
      <c r="KG51" s="552">
        <v>1122</v>
      </c>
      <c r="KH51" s="552">
        <v>22400</v>
      </c>
      <c r="KI51" s="552">
        <v>9917</v>
      </c>
      <c r="KJ51" s="552">
        <v>19224</v>
      </c>
      <c r="KK51" s="552">
        <v>10301</v>
      </c>
      <c r="KL51" s="552">
        <f t="shared" ref="KL51" si="528">KF51+KG51+KH51+KI51+KJ51+KK51</f>
        <v>85720</v>
      </c>
      <c r="KM51" s="552">
        <f t="shared" ref="KM51" si="529">KE51-KL51</f>
        <v>779998</v>
      </c>
      <c r="KN51" s="552">
        <f t="shared" si="514"/>
        <v>544916</v>
      </c>
      <c r="KO51" s="552">
        <v>235082</v>
      </c>
      <c r="KP51" s="5">
        <v>303908</v>
      </c>
      <c r="KQ51" s="552">
        <v>12403</v>
      </c>
      <c r="KR51" s="552">
        <v>4574</v>
      </c>
      <c r="KS51" s="552">
        <v>13549</v>
      </c>
      <c r="KT51" s="552">
        <v>17436</v>
      </c>
      <c r="KU51" s="552">
        <v>3456</v>
      </c>
      <c r="KV51" s="552">
        <v>7999</v>
      </c>
      <c r="KW51" s="552">
        <f t="shared" ref="KW51" si="530">KQ51+KR51+KS51+KT51+KU51+KV51</f>
        <v>59417</v>
      </c>
      <c r="KX51" s="552">
        <f t="shared" ref="KX51" si="531">KP51-KW51</f>
        <v>244491</v>
      </c>
      <c r="KY51" s="552">
        <f t="shared" si="517"/>
        <v>229311</v>
      </c>
      <c r="KZ51" s="552">
        <v>15180</v>
      </c>
      <c r="LA51" s="149">
        <f>'Assets(MOFA)'!IX51-'Assets(MOFA)'!KE51-'Assets(MOFA)'!KP51</f>
        <v>821450</v>
      </c>
      <c r="LB51" s="552">
        <f>'Assets(MOFA)'!IY51-'Assets(MOFA)'!KF51-'Assets(MOFA)'!KQ51</f>
        <v>71411</v>
      </c>
      <c r="LC51" s="552">
        <f>'Assets(MOFA)'!IZ51-'Assets(MOFA)'!KG51-'Assets(MOFA)'!KR51</f>
        <v>-77303</v>
      </c>
      <c r="LD51" s="552">
        <f>'Assets(MOFA)'!JA51-'Assets(MOFA)'!KH51-'Assets(MOFA)'!KS51</f>
        <v>69079</v>
      </c>
      <c r="LE51" s="552">
        <f>'Assets(MOFA)'!JB51-'Assets(MOFA)'!KI51-'Assets(MOFA)'!KT51</f>
        <v>36519</v>
      </c>
      <c r="LF51" s="552">
        <f>'Assets(MOFA)'!JC51-'Assets(MOFA)'!KJ51-'Assets(MOFA)'!KU51</f>
        <v>278879</v>
      </c>
      <c r="LG51" s="552">
        <f>'Assets(MOFA)'!JD51-'Assets(MOFA)'!KK51-'Assets(MOFA)'!KV51</f>
        <v>42177</v>
      </c>
      <c r="LH51" s="552">
        <f>'Assets(MOFA)'!JE51-'Assets(MOFA)'!KL51-'Assets(MOFA)'!KW51</f>
        <v>420762</v>
      </c>
      <c r="LI51" s="552">
        <f>'Assets(MOFA)'!JF51-'Assets(MOFA)'!KM51-'Assets(MOFA)'!KX51</f>
        <v>400688</v>
      </c>
      <c r="LJ51" s="552">
        <f t="shared" si="77"/>
        <v>478736</v>
      </c>
      <c r="LK51" s="552">
        <f>'Assets(MOFA)'!JH51-'Assets(MOFA)'!KO51-'Assets(MOFA)'!KZ51</f>
        <v>-78048</v>
      </c>
      <c r="LL51" s="576">
        <f t="shared" si="78"/>
        <v>0.1834189151996207</v>
      </c>
      <c r="LM51" s="6">
        <f t="shared" si="79"/>
        <v>0.35521253636107725</v>
      </c>
      <c r="LN51" s="6">
        <f t="shared" si="80"/>
        <v>3.0276369628667588E-2</v>
      </c>
      <c r="LO51" s="6">
        <f t="shared" si="81"/>
        <v>8.0264310469589067E-2</v>
      </c>
      <c r="LP51" s="6">
        <f t="shared" si="82"/>
        <v>0.21970503507014028</v>
      </c>
      <c r="LQ51" s="6">
        <f t="shared" si="83"/>
        <v>8.0611091030279317E-2</v>
      </c>
      <c r="LR51" s="6">
        <f t="shared" si="84"/>
        <v>0.19058485043900988</v>
      </c>
      <c r="LS51" s="6">
        <f t="shared" si="85"/>
        <v>0.16608087308866071</v>
      </c>
      <c r="LT51" s="143">
        <f t="shared" si="86"/>
        <v>0.27461577436243878</v>
      </c>
      <c r="LU51" s="62">
        <f t="shared" si="87"/>
        <v>9.1262164905367482E-2</v>
      </c>
      <c r="LV51" s="902">
        <f t="shared" si="88"/>
        <v>0.19030337986088747</v>
      </c>
      <c r="LW51" s="902">
        <f t="shared" si="89"/>
        <v>0.13739998324512548</v>
      </c>
      <c r="LX51" s="143">
        <f t="shared" si="90"/>
        <v>0.57520819906185239</v>
      </c>
      <c r="LY51" s="576">
        <f t="shared" si="91"/>
        <v>0.19214485032213738</v>
      </c>
      <c r="LZ51" s="906">
        <f t="shared" si="92"/>
        <v>0.35521253636107725</v>
      </c>
      <c r="MA51" s="906">
        <f t="shared" si="93"/>
        <v>3.0276369628667588E-2</v>
      </c>
      <c r="MB51" s="906">
        <f t="shared" si="94"/>
        <v>8.0264310469589067E-2</v>
      </c>
      <c r="MC51" s="906">
        <f t="shared" si="95"/>
        <v>0.21970503507014028</v>
      </c>
      <c r="MD51" s="906">
        <f t="shared" si="96"/>
        <v>8.0611091030279317E-2</v>
      </c>
      <c r="ME51" s="906">
        <v>6.1610529375296846E-2</v>
      </c>
      <c r="MF51" s="906">
        <f t="shared" si="97"/>
        <v>0.19058485043900988</v>
      </c>
      <c r="MG51" s="30">
        <f t="shared" si="98"/>
        <v>0.16608087308866071</v>
      </c>
      <c r="MH51" s="140">
        <f t="shared" si="99"/>
        <v>0.27461577436243878</v>
      </c>
      <c r="MI51" s="30">
        <f t="shared" si="100"/>
        <v>9.1262164905367482E-2</v>
      </c>
      <c r="MJ51" s="30">
        <f t="shared" si="101"/>
        <v>0.19030337986088747</v>
      </c>
      <c r="MK51" s="617">
        <f t="shared" si="102"/>
        <v>0.13739998324512548</v>
      </c>
      <c r="ML51" s="615">
        <f t="shared" si="103"/>
        <v>0.57520819906185239</v>
      </c>
      <c r="MM51" s="574"/>
      <c r="MX51" s="613"/>
      <c r="MY51" s="552"/>
      <c r="MZ51" s="552"/>
      <c r="NA51" s="552"/>
      <c r="NB51" s="552"/>
      <c r="NC51" s="552"/>
      <c r="ND51" s="552"/>
      <c r="NE51" s="552"/>
      <c r="NF51" s="552"/>
      <c r="NG51" s="552"/>
      <c r="NH51" s="552"/>
      <c r="NI51" s="613">
        <f t="shared" si="364"/>
        <v>390969</v>
      </c>
      <c r="PN51" s="574"/>
      <c r="PO51" s="593"/>
      <c r="PP51" s="593"/>
      <c r="PQ51" s="593"/>
      <c r="PR51" s="593"/>
      <c r="PS51" s="593"/>
      <c r="PT51" s="593"/>
      <c r="PU51" s="593"/>
      <c r="PV51" s="593"/>
      <c r="PW51" s="593"/>
      <c r="PX51" s="593"/>
      <c r="PY51" s="593"/>
      <c r="PZ51" s="593"/>
      <c r="QA51" s="593"/>
      <c r="QB51" s="593"/>
      <c r="QC51" s="593"/>
      <c r="QD51" s="593"/>
      <c r="QE51" s="593"/>
      <c r="QF51" s="593"/>
      <c r="QG51" s="593"/>
      <c r="QH51" s="593"/>
      <c r="QI51" s="593"/>
      <c r="QJ51" s="593"/>
      <c r="QK51" s="593"/>
      <c r="QL51" s="593"/>
      <c r="QM51" s="593"/>
      <c r="QN51" s="593"/>
      <c r="QO51" s="593"/>
      <c r="QP51" s="593"/>
      <c r="QQ51" s="593"/>
      <c r="QR51" s="593"/>
      <c r="QS51" s="593"/>
      <c r="QT51" s="593"/>
      <c r="QU51" s="593"/>
      <c r="QV51" s="593"/>
      <c r="QW51" s="593"/>
      <c r="QX51" s="593"/>
      <c r="QY51" s="593"/>
      <c r="QZ51" s="593"/>
      <c r="RA51" s="593"/>
      <c r="RB51" s="593"/>
      <c r="RC51" s="593"/>
      <c r="RD51" s="593"/>
      <c r="RE51" s="593"/>
      <c r="RF51" s="593"/>
      <c r="RG51" s="593"/>
      <c r="RH51" s="593"/>
      <c r="RI51" s="593"/>
      <c r="RJ51" s="593"/>
      <c r="RK51" s="593"/>
      <c r="RL51" s="593"/>
      <c r="RM51" s="593"/>
      <c r="RN51" s="593"/>
      <c r="RO51" s="593"/>
      <c r="RP51" s="593"/>
      <c r="RQ51" s="593"/>
      <c r="RR51" s="593"/>
    </row>
    <row r="52" spans="1:486">
      <c r="A52" s="568">
        <v>2007</v>
      </c>
      <c r="B52" s="33">
        <v>426977</v>
      </c>
      <c r="C52" s="193">
        <v>6019</v>
      </c>
      <c r="D52" s="193">
        <v>968</v>
      </c>
      <c r="E52" s="193">
        <v>14370</v>
      </c>
      <c r="F52" s="193">
        <v>8031</v>
      </c>
      <c r="G52" s="193">
        <v>1353</v>
      </c>
      <c r="H52" s="193">
        <v>5113</v>
      </c>
      <c r="I52" s="193">
        <f t="shared" si="456"/>
        <v>35854</v>
      </c>
      <c r="J52" s="193">
        <f t="shared" si="457"/>
        <v>391123</v>
      </c>
      <c r="K52" s="193">
        <f t="shared" si="249"/>
        <v>381521</v>
      </c>
      <c r="L52" s="193">
        <v>9602</v>
      </c>
      <c r="M52" s="140">
        <f t="shared" si="217"/>
        <v>8.3971736182510998E-2</v>
      </c>
      <c r="N52" s="140">
        <f t="shared" si="250"/>
        <v>2.2488330753178742E-2</v>
      </c>
      <c r="O52" s="193">
        <v>4893000</v>
      </c>
      <c r="P52" s="32">
        <f t="shared" si="251"/>
        <v>8.7262824443081949E-2</v>
      </c>
      <c r="Q52" s="629">
        <f t="shared" si="218"/>
        <v>1.4096778046592673E-2</v>
      </c>
      <c r="R52" s="308">
        <f t="shared" si="219"/>
        <v>2.2671010382292254E-3</v>
      </c>
      <c r="S52" s="308">
        <f t="shared" si="220"/>
        <v>3.3655208594373938E-2</v>
      </c>
      <c r="T52" s="308">
        <f t="shared" si="221"/>
        <v>1.8808975659110445E-2</v>
      </c>
      <c r="U52" s="308">
        <f t="shared" si="222"/>
        <v>3.1687889511613039E-3</v>
      </c>
      <c r="V52" s="308">
        <f t="shared" si="223"/>
        <v>1.1974883893043419E-2</v>
      </c>
      <c r="W52" s="5">
        <v>419550</v>
      </c>
      <c r="X52" s="193">
        <v>47320</v>
      </c>
      <c r="Y52" s="76">
        <v>0</v>
      </c>
      <c r="Z52" s="76">
        <f t="shared" si="114"/>
        <v>47320</v>
      </c>
      <c r="AA52" s="193">
        <v>-1170</v>
      </c>
      <c r="AB52" s="66">
        <v>0</v>
      </c>
      <c r="AC52" s="274">
        <f t="shared" si="117"/>
        <v>-1170</v>
      </c>
      <c r="AD52" s="193">
        <v>8651</v>
      </c>
      <c r="AE52" s="357">
        <f t="shared" si="477"/>
        <v>626.8744130465185</v>
      </c>
      <c r="AF52" s="274">
        <f t="shared" si="119"/>
        <v>8024.1255869534816</v>
      </c>
      <c r="AG52" s="193">
        <v>15515</v>
      </c>
      <c r="AH52" s="357">
        <f t="shared" si="382"/>
        <v>379.28265674397784</v>
      </c>
      <c r="AI52" s="76">
        <f t="shared" si="287"/>
        <v>15135.717343256023</v>
      </c>
      <c r="AJ52" s="193">
        <v>26551</v>
      </c>
      <c r="AK52" s="357">
        <f t="shared" si="458"/>
        <v>3470.3633831109378</v>
      </c>
      <c r="AL52" s="274">
        <f t="shared" si="123"/>
        <v>23080.636616889064</v>
      </c>
      <c r="AM52" s="193">
        <v>12841</v>
      </c>
      <c r="AN52" s="357">
        <f t="shared" si="478"/>
        <v>669.04293381037553</v>
      </c>
      <c r="AO52" s="274">
        <f t="shared" si="125"/>
        <v>12171.957066189625</v>
      </c>
      <c r="AP52" s="193">
        <f t="shared" si="397"/>
        <v>109708</v>
      </c>
      <c r="AQ52" s="271">
        <f t="shared" si="398"/>
        <v>5145.5633867118095</v>
      </c>
      <c r="AR52" s="271">
        <f t="shared" si="126"/>
        <v>104562.4366132882</v>
      </c>
      <c r="AS52" s="193">
        <f t="shared" si="259"/>
        <v>309842</v>
      </c>
      <c r="AT52" s="193">
        <f t="shared" si="224"/>
        <v>197453.81286992755</v>
      </c>
      <c r="AU52" s="193">
        <v>112388.18713007245</v>
      </c>
      <c r="AV52" s="193">
        <v>33955</v>
      </c>
      <c r="AW52" s="23">
        <f t="shared" si="289"/>
        <v>0.30212249941092284</v>
      </c>
      <c r="AX52" s="271">
        <f t="shared" si="227"/>
        <v>307161.81286992755</v>
      </c>
      <c r="AY52" s="140">
        <f t="shared" si="399"/>
        <v>0.26148969133595518</v>
      </c>
      <c r="AZ52" s="623">
        <f t="shared" si="129"/>
        <v>0.24922520942268669</v>
      </c>
      <c r="BA52" s="248">
        <f t="shared" si="400"/>
        <v>0.34041483098540892</v>
      </c>
      <c r="BB52" s="248">
        <f t="shared" si="130"/>
        <v>0.15405560853372874</v>
      </c>
      <c r="BC52" s="248">
        <f t="shared" si="131"/>
        <v>-3.8090672439658204E-3</v>
      </c>
      <c r="BD52" s="248">
        <f t="shared" si="132"/>
        <v>2.6123447807463691E-2</v>
      </c>
      <c r="BE52" s="248">
        <f t="shared" si="133"/>
        <v>4.9276038586428962E-2</v>
      </c>
      <c r="BF52" s="248">
        <f t="shared" si="134"/>
        <v>7.514162128826514E-2</v>
      </c>
      <c r="BG52" s="248">
        <f t="shared" si="135"/>
        <v>3.9627182013488214E-2</v>
      </c>
      <c r="BH52" s="248">
        <f t="shared" si="136"/>
        <v>2.2314380563497872E-2</v>
      </c>
      <c r="BI52" s="23">
        <f t="shared" si="401"/>
        <v>0.32900248587474695</v>
      </c>
      <c r="BJ52" s="140">
        <f t="shared" si="402"/>
        <v>0.26787793381020725</v>
      </c>
      <c r="BK52" s="623">
        <f t="shared" si="137"/>
        <v>0.25561345189693868</v>
      </c>
      <c r="BL52" s="5">
        <v>-14835</v>
      </c>
      <c r="BM52" s="193">
        <v>-3117</v>
      </c>
      <c r="BN52" s="193">
        <v>2384</v>
      </c>
      <c r="BO52" s="193">
        <v>-1773</v>
      </c>
      <c r="BP52" s="193">
        <v>-713</v>
      </c>
      <c r="BQ52" s="193">
        <v>-8676</v>
      </c>
      <c r="BR52" s="193">
        <v>-590</v>
      </c>
      <c r="BS52" s="193">
        <f t="shared" si="403"/>
        <v>-12485</v>
      </c>
      <c r="BT52" s="193">
        <f t="shared" si="365"/>
        <v>-2350</v>
      </c>
      <c r="BU52" s="193">
        <f t="shared" si="373"/>
        <v>-4158</v>
      </c>
      <c r="BV52" s="193">
        <v>1808</v>
      </c>
      <c r="BW52" s="5">
        <f t="shared" si="262"/>
        <v>294369</v>
      </c>
      <c r="BX52" s="193">
        <f t="shared" si="263"/>
        <v>43828</v>
      </c>
      <c r="BY52" s="193">
        <f t="shared" si="459"/>
        <v>0</v>
      </c>
      <c r="BZ52" s="647">
        <f t="shared" si="149"/>
        <v>0.14888796034908566</v>
      </c>
      <c r="CA52" s="193">
        <f t="shared" si="264"/>
        <v>-1666</v>
      </c>
      <c r="CB52" s="193">
        <f t="shared" si="460"/>
        <v>0</v>
      </c>
      <c r="CC52" s="647">
        <f t="shared" si="404"/>
        <v>-5.6595633371720527E-3</v>
      </c>
      <c r="CD52" s="193">
        <f t="shared" si="265"/>
        <v>6012</v>
      </c>
      <c r="CE52" s="193">
        <f t="shared" si="461"/>
        <v>348.73379810093473</v>
      </c>
      <c r="CF52" s="655">
        <f t="shared" si="405"/>
        <v>1.9238663724437916E-2</v>
      </c>
      <c r="CG52" s="193">
        <f t="shared" si="266"/>
        <v>13860</v>
      </c>
      <c r="CH52" s="193">
        <f t="shared" si="462"/>
        <v>341.35439106958006</v>
      </c>
      <c r="CI52" s="23">
        <f t="shared" si="406"/>
        <v>4.5924148293232027E-2</v>
      </c>
      <c r="CJ52" s="193">
        <f t="shared" si="267"/>
        <v>23861</v>
      </c>
      <c r="CK52" s="641">
        <f t="shared" si="463"/>
        <v>1930.5828698624503</v>
      </c>
      <c r="CL52" s="34">
        <f t="shared" si="158"/>
        <v>7.449975075547205E-2</v>
      </c>
      <c r="CM52" s="193">
        <f t="shared" si="268"/>
        <v>11828</v>
      </c>
      <c r="CN52" s="193">
        <f t="shared" si="464"/>
        <v>602.13864042933801</v>
      </c>
      <c r="CO52" s="23">
        <f t="shared" si="161"/>
        <v>3.8135338162546543E-2</v>
      </c>
      <c r="CP52" s="193">
        <f t="shared" si="407"/>
        <v>97723</v>
      </c>
      <c r="CQ52" s="193">
        <f t="shared" si="162"/>
        <v>3222.8096994623029</v>
      </c>
      <c r="CR52" s="193">
        <f t="shared" si="408"/>
        <v>196646</v>
      </c>
      <c r="CS52" s="248">
        <f t="shared" si="163"/>
        <v>0.32102629794760212</v>
      </c>
      <c r="CT52" s="30">
        <f t="shared" si="409"/>
        <v>0.33197449459691747</v>
      </c>
      <c r="CU52" s="308">
        <f t="shared" si="410"/>
        <v>0</v>
      </c>
      <c r="CV52" s="608">
        <f t="shared" si="269"/>
        <v>0.14888796034908566</v>
      </c>
      <c r="CW52" s="608">
        <f t="shared" si="270"/>
        <v>-5.6595633371720527E-3</v>
      </c>
      <c r="CX52" s="608">
        <f t="shared" si="271"/>
        <v>2.0423346208330362E-2</v>
      </c>
      <c r="CY52" s="608">
        <f t="shared" si="272"/>
        <v>4.7083762216809516E-2</v>
      </c>
      <c r="CZ52" s="608">
        <f t="shared" si="327"/>
        <v>8.1058127724047024E-2</v>
      </c>
      <c r="DA52" s="608">
        <f>'Assets(BoP)'!FK99</f>
        <v>0.1217480390981399</v>
      </c>
      <c r="DB52" s="608">
        <f t="shared" si="273"/>
        <v>4.018086143581695E-2</v>
      </c>
      <c r="DC52" s="23">
        <f t="shared" si="411"/>
        <v>0.40759753878331251</v>
      </c>
      <c r="DD52" s="193">
        <f t="shared" si="412"/>
        <v>231846.81286992755</v>
      </c>
      <c r="DE52" s="193">
        <f t="shared" si="274"/>
        <v>62522.187130072445</v>
      </c>
      <c r="DF52" s="193"/>
      <c r="DG52" s="193">
        <f>'Assets(BoP)'!DA99*1000</f>
        <v>29760</v>
      </c>
      <c r="DH52" s="23">
        <f t="shared" si="413"/>
        <v>0.21239392439445881</v>
      </c>
      <c r="DI52" s="23"/>
      <c r="DJ52" s="23">
        <f t="shared" si="414"/>
        <v>0.31155114838858711</v>
      </c>
      <c r="DK52" s="600">
        <f>'Assets(BoP)'!FO99-'Assets(BoP)'!FH99</f>
        <v>0.33989793987929451</v>
      </c>
      <c r="DL52" s="576">
        <f t="shared" si="415"/>
        <v>0.98260562044325572</v>
      </c>
      <c r="DM52" s="251">
        <f t="shared" si="416"/>
        <v>7.8617710583153348</v>
      </c>
      <c r="DN52" s="251">
        <f t="shared" si="417"/>
        <v>7.8617710583153348</v>
      </c>
      <c r="DO52" s="251">
        <f t="shared" si="418"/>
        <v>-1.2086776859504131</v>
      </c>
      <c r="DP52" s="251">
        <f t="shared" si="419"/>
        <v>-1.2086776859504131</v>
      </c>
      <c r="DQ52" s="251">
        <f t="shared" si="420"/>
        <v>0.60201809324982603</v>
      </c>
      <c r="DR52" s="251">
        <f t="shared" si="421"/>
        <v>0.56048321191749362</v>
      </c>
      <c r="DS52" s="251">
        <f t="shared" si="422"/>
        <v>1.9318889303947204</v>
      </c>
      <c r="DT52" s="251">
        <f t="shared" si="423"/>
        <v>1.8922968612503217</v>
      </c>
      <c r="DU52" s="251">
        <f t="shared" si="424"/>
        <v>19.623798965262381</v>
      </c>
      <c r="DV52" s="251">
        <f t="shared" si="425"/>
        <v>21.846196607342559</v>
      </c>
      <c r="DW52" s="251">
        <f t="shared" si="426"/>
        <v>2.5114414238216312</v>
      </c>
      <c r="DX52" s="251">
        <f t="shared" si="427"/>
        <v>2.4075045797770285</v>
      </c>
      <c r="DY52" s="251">
        <f t="shared" si="428"/>
        <v>0.48774286086843133</v>
      </c>
      <c r="DZ52" s="251">
        <f t="shared" si="429"/>
        <v>0.44843805444029328</v>
      </c>
      <c r="EA52" s="643">
        <f t="shared" si="430"/>
        <v>3.0598538517320244</v>
      </c>
      <c r="EB52" s="643">
        <f t="shared" si="431"/>
        <v>2.9525414882701009</v>
      </c>
      <c r="EC52" s="251">
        <f t="shared" si="432"/>
        <v>0.79218557844974602</v>
      </c>
      <c r="ED52" s="251">
        <f t="shared" si="433"/>
        <v>0.73593725754999118</v>
      </c>
      <c r="EE52" s="140">
        <f t="shared" si="434"/>
        <v>0.51754376002874691</v>
      </c>
      <c r="EF52" s="1342">
        <v>0.25434633770491133</v>
      </c>
      <c r="EG52" s="140">
        <f t="shared" si="228"/>
        <v>11.704664354308733</v>
      </c>
      <c r="EH52" s="583">
        <v>72.389078431372539</v>
      </c>
      <c r="EI52" s="1344">
        <v>1.1241478033408168</v>
      </c>
      <c r="EJ52" s="576">
        <f t="shared" si="166"/>
        <v>0.68942589413481292</v>
      </c>
      <c r="EK52" s="753">
        <f t="shared" si="167"/>
        <v>2.6725885723728804</v>
      </c>
      <c r="EL52" s="753">
        <f t="shared" si="168"/>
        <v>6.5113712903637202</v>
      </c>
      <c r="EM52" s="753">
        <f t="shared" si="169"/>
        <v>0.35155027605276656</v>
      </c>
      <c r="EN52" s="583"/>
      <c r="EO52" s="5">
        <v>766006</v>
      </c>
      <c r="EP52" s="193">
        <v>65711</v>
      </c>
      <c r="EQ52" s="193"/>
      <c r="ER52" s="193">
        <v>60561</v>
      </c>
      <c r="ES52" s="193"/>
      <c r="ET52" s="193">
        <v>106681</v>
      </c>
      <c r="EU52" s="193"/>
      <c r="EV52" s="193">
        <v>48856</v>
      </c>
      <c r="EW52" s="193"/>
      <c r="EX52" s="193">
        <v>132476</v>
      </c>
      <c r="EY52" s="193"/>
      <c r="EZ52" s="193">
        <v>26231</v>
      </c>
      <c r="FA52" s="193"/>
      <c r="FB52" s="193">
        <f t="shared" si="435"/>
        <v>440516</v>
      </c>
      <c r="FC52" s="193">
        <f t="shared" si="436"/>
        <v>325490</v>
      </c>
      <c r="FD52" s="23">
        <f t="shared" si="437"/>
        <v>0.57508165732383298</v>
      </c>
      <c r="FE52" s="23"/>
      <c r="FF52" s="23"/>
      <c r="FG52" s="23"/>
      <c r="FH52" s="23"/>
      <c r="FI52" s="23"/>
      <c r="FJ52" s="5">
        <v>125181</v>
      </c>
      <c r="FK52" s="143">
        <f>FJ52/'Assets(BoP)'!AV99/1000</f>
        <v>1.2631395533845453</v>
      </c>
      <c r="FL52" s="193"/>
      <c r="FM52" s="193">
        <v>3492</v>
      </c>
      <c r="FN52" s="66">
        <f t="shared" si="374"/>
        <v>0</v>
      </c>
      <c r="FO52" s="184">
        <f t="shared" si="383"/>
        <v>0</v>
      </c>
      <c r="FP52" s="193">
        <v>496</v>
      </c>
      <c r="FQ52" s="66">
        <f t="shared" si="375"/>
        <v>0</v>
      </c>
      <c r="FR52" s="184">
        <v>0</v>
      </c>
      <c r="FS52" s="193">
        <v>2639</v>
      </c>
      <c r="FT52" s="66">
        <f t="shared" si="465"/>
        <v>278.14061494558376</v>
      </c>
      <c r="FU52" s="193">
        <f t="shared" si="175"/>
        <v>2360.8593850544162</v>
      </c>
      <c r="FV52" s="23">
        <f t="shared" si="376"/>
        <v>0.10539621634921703</v>
      </c>
      <c r="FW52" s="193">
        <v>1655</v>
      </c>
      <c r="FX52" s="66">
        <f t="shared" si="466"/>
        <v>37.928265674397785</v>
      </c>
      <c r="FY52" s="23">
        <f t="shared" si="438"/>
        <v>2.2917381072143677E-2</v>
      </c>
      <c r="FZ52" s="193">
        <v>2690</v>
      </c>
      <c r="GA52" s="66">
        <f t="shared" si="467"/>
        <v>1539.7805132484875</v>
      </c>
      <c r="GB52" s="193">
        <f t="shared" si="180"/>
        <v>1150.2194867515125</v>
      </c>
      <c r="GC52" s="23">
        <f t="shared" si="366"/>
        <v>0.57240911273177975</v>
      </c>
      <c r="GD52" s="193">
        <v>1013</v>
      </c>
      <c r="GE52" s="66">
        <f t="shared" si="384"/>
        <v>66.904293381037562</v>
      </c>
      <c r="GF52" s="23">
        <f t="shared" si="377"/>
        <v>6.6045699290264132E-2</v>
      </c>
      <c r="GG52" s="193">
        <f t="shared" si="439"/>
        <v>11985</v>
      </c>
      <c r="GH52" s="193">
        <f t="shared" si="440"/>
        <v>1922.7536872495068</v>
      </c>
      <c r="GI52" s="193">
        <f t="shared" si="441"/>
        <v>113196</v>
      </c>
      <c r="GJ52" s="23">
        <f t="shared" si="442"/>
        <v>9.5741366501306102E-2</v>
      </c>
      <c r="GK52" s="330">
        <v>49866</v>
      </c>
      <c r="GL52" s="330">
        <v>19125</v>
      </c>
      <c r="GM52" s="23">
        <f>GK52/'Assets(BoP)'!AW99/1000</f>
        <v>1.4025865185012965</v>
      </c>
      <c r="GN52" s="23">
        <f t="shared" si="443"/>
        <v>0.39835118748052817</v>
      </c>
      <c r="GO52" s="330">
        <f t="shared" si="275"/>
        <v>75315</v>
      </c>
      <c r="GP52" s="23">
        <f>GO52/('Assets(BoP)'!AV99-'Assets(BoP)'!AW99)/1000</f>
        <v>1.1851265182156769</v>
      </c>
      <c r="GQ52" s="330">
        <f t="shared" si="444"/>
        <v>63330</v>
      </c>
      <c r="GR52" s="330">
        <v>6394.6469999999999</v>
      </c>
      <c r="GS52" s="140">
        <f t="shared" si="445"/>
        <v>0.39898780182862326</v>
      </c>
      <c r="GT52" s="582">
        <v>0.73063750000000005</v>
      </c>
      <c r="GU52" s="576">
        <f t="shared" si="446"/>
        <v>0.29836968180193063</v>
      </c>
      <c r="GV52" s="589">
        <f t="shared" si="276"/>
        <v>7.3795435333896875E-2</v>
      </c>
      <c r="GW52" s="589"/>
      <c r="GX52" s="589">
        <f t="shared" si="277"/>
        <v>-0.42393162393162392</v>
      </c>
      <c r="GY52" s="589"/>
      <c r="GZ52" s="589">
        <f t="shared" si="308"/>
        <v>0.30505143913998384</v>
      </c>
      <c r="HA52" s="56">
        <f t="shared" si="385"/>
        <v>0.44369431764467909</v>
      </c>
      <c r="HB52" s="589">
        <f t="shared" si="278"/>
        <v>0.10667096358362875</v>
      </c>
      <c r="HC52" s="56">
        <v>0.1</v>
      </c>
      <c r="HD52" s="589">
        <f t="shared" si="279"/>
        <v>0.10131445143309104</v>
      </c>
      <c r="HE52" s="56">
        <f t="shared" si="479"/>
        <v>0.44369431764467909</v>
      </c>
      <c r="HF52" s="589">
        <f t="shared" si="309"/>
        <v>7.8887937076551673E-2</v>
      </c>
      <c r="HG52" s="56">
        <v>0.1</v>
      </c>
      <c r="HH52" s="6">
        <f t="shared" si="57"/>
        <v>0.10924454005177379</v>
      </c>
      <c r="HI52" s="6">
        <f t="shared" si="447"/>
        <v>9.6231941781966313E-2</v>
      </c>
      <c r="HJ52" s="23">
        <f t="shared" si="280"/>
        <v>0.44369431764467909</v>
      </c>
      <c r="HK52" s="23">
        <f t="shared" si="280"/>
        <v>0.56324547194816665</v>
      </c>
      <c r="HL52" s="23">
        <f t="shared" si="281"/>
        <v>0.39193868214254224</v>
      </c>
      <c r="HM52" s="31">
        <f t="shared" si="282"/>
        <v>0.24519649528144083</v>
      </c>
      <c r="HN52" s="23">
        <f t="shared" si="448"/>
        <v>0.36533458988774925</v>
      </c>
      <c r="HO52" s="23">
        <f t="shared" si="449"/>
        <v>0.32073323416508831</v>
      </c>
      <c r="HP52" s="575">
        <v>469666</v>
      </c>
      <c r="HQ52" s="193"/>
      <c r="HR52" s="193"/>
      <c r="HS52" s="193"/>
      <c r="HT52" s="193"/>
      <c r="HU52" s="193"/>
      <c r="HV52" s="193"/>
      <c r="HW52" s="193"/>
      <c r="HX52" s="193"/>
      <c r="HY52" s="193"/>
      <c r="HZ52" s="193"/>
      <c r="IA52" s="193"/>
      <c r="IB52" s="193"/>
      <c r="IC52" s="193"/>
      <c r="ID52" s="193"/>
      <c r="IE52" s="193"/>
      <c r="IF52" s="193"/>
      <c r="IG52" s="193"/>
      <c r="IH52" s="193"/>
      <c r="II52" s="193"/>
      <c r="IJ52" s="193"/>
      <c r="IK52" s="193"/>
      <c r="IL52" s="193"/>
      <c r="IM52" s="575">
        <v>6637</v>
      </c>
      <c r="IN52" s="193"/>
      <c r="IO52" s="193"/>
      <c r="IP52" s="193"/>
      <c r="IQ52" s="193"/>
      <c r="IR52" s="193"/>
      <c r="IS52" s="193"/>
      <c r="IT52" s="193"/>
      <c r="IU52" s="193"/>
      <c r="IV52" s="193"/>
      <c r="IW52" s="193"/>
      <c r="IX52" s="149">
        <f t="shared" ref="IX52" si="532">JI52-JT52</f>
        <v>2435879</v>
      </c>
      <c r="IY52" s="316">
        <f t="shared" ref="IY52" si="533">JJ52-JU52</f>
        <v>132888</v>
      </c>
      <c r="IZ52" s="316">
        <f t="shared" ref="IZ52" si="534">JK52-JV52</f>
        <v>-40462</v>
      </c>
      <c r="JA52" s="316">
        <f t="shared" ref="JA52" si="535">JL52-JW52</f>
        <v>124081</v>
      </c>
      <c r="JB52" s="316">
        <f t="shared" ref="JB52" si="536">JM52-JX52</f>
        <v>88371</v>
      </c>
      <c r="JC52" s="316">
        <f t="shared" ref="JC52" si="537">JN52-JY52</f>
        <v>352779</v>
      </c>
      <c r="JD52" s="316">
        <f t="shared" ref="JD52" si="538">JO52-JZ52</f>
        <v>62578</v>
      </c>
      <c r="JE52" s="316">
        <f t="shared" ref="JE52" si="539">JP52-KA52</f>
        <v>720235</v>
      </c>
      <c r="JF52" s="316">
        <f t="shared" ref="JF52" si="540">JQ52-KB52</f>
        <v>1715644</v>
      </c>
      <c r="JG52" s="316">
        <f t="shared" si="72"/>
        <v>1503802</v>
      </c>
      <c r="JH52" s="316">
        <f t="shared" ref="JH52" si="541">JS52-KD52</f>
        <v>211842</v>
      </c>
      <c r="JI52" s="5">
        <v>5762278</v>
      </c>
      <c r="JJ52" s="552">
        <v>259605</v>
      </c>
      <c r="JK52" s="552">
        <v>515962</v>
      </c>
      <c r="JL52" s="552">
        <v>779421</v>
      </c>
      <c r="JM52" s="552">
        <v>266102</v>
      </c>
      <c r="JN52" s="552">
        <v>846487</v>
      </c>
      <c r="JO52" s="552">
        <v>136674</v>
      </c>
      <c r="JP52" s="552">
        <f t="shared" ref="JP52" si="542">JJ52+JK52+JL52+JM52+JN52+JO52</f>
        <v>2804251</v>
      </c>
      <c r="JQ52" s="552">
        <f t="shared" ref="JQ52" si="543">JI52-JP52</f>
        <v>2958027</v>
      </c>
      <c r="JR52" s="552">
        <f t="shared" si="76"/>
        <v>2679940</v>
      </c>
      <c r="JS52" s="552">
        <v>278087</v>
      </c>
      <c r="JT52" s="149">
        <v>3326399</v>
      </c>
      <c r="JU52" s="552">
        <v>126717</v>
      </c>
      <c r="JV52" s="552">
        <v>556424</v>
      </c>
      <c r="JW52" s="552">
        <v>655340</v>
      </c>
      <c r="JX52" s="552">
        <v>177731</v>
      </c>
      <c r="JY52" s="552">
        <v>493708</v>
      </c>
      <c r="JZ52" s="552">
        <v>74096</v>
      </c>
      <c r="KA52" s="552">
        <f t="shared" ref="KA52" si="544">JU52+JV52+JW52+JX52+JY52+JZ52</f>
        <v>2084016</v>
      </c>
      <c r="KB52" s="552">
        <f t="shared" ref="KB52" si="545">JT52-KA52</f>
        <v>1242383</v>
      </c>
      <c r="KC52" s="552">
        <f t="shared" si="511"/>
        <v>1176138</v>
      </c>
      <c r="KD52" s="552">
        <v>66245</v>
      </c>
      <c r="KE52" s="5">
        <v>986600</v>
      </c>
      <c r="KF52" s="552">
        <v>26926</v>
      </c>
      <c r="KG52" s="552">
        <v>1118</v>
      </c>
      <c r="KH52" s="552">
        <v>23477</v>
      </c>
      <c r="KI52" s="552">
        <v>11055</v>
      </c>
      <c r="KJ52" s="552">
        <v>20534</v>
      </c>
      <c r="KK52" s="552">
        <v>11579</v>
      </c>
      <c r="KL52" s="552">
        <f t="shared" ref="KL52" si="546">KF52+KG52+KH52+KI52+KJ52+KK52</f>
        <v>94689</v>
      </c>
      <c r="KM52" s="552">
        <f t="shared" ref="KM52" si="547">KE52-KL52</f>
        <v>891911</v>
      </c>
      <c r="KN52" s="552">
        <f t="shared" si="514"/>
        <v>626007</v>
      </c>
      <c r="KO52" s="552">
        <v>265904</v>
      </c>
      <c r="KP52" s="5">
        <v>375319</v>
      </c>
      <c r="KQ52" s="552">
        <v>13415</v>
      </c>
      <c r="KR52" s="552">
        <v>1012</v>
      </c>
      <c r="KS52" s="552">
        <v>15978</v>
      </c>
      <c r="KT52" s="552">
        <v>21636</v>
      </c>
      <c r="KU52" s="552">
        <v>6398</v>
      </c>
      <c r="KV52" s="552">
        <v>9841</v>
      </c>
      <c r="KW52" s="552">
        <f t="shared" ref="KW52" si="548">KQ52+KR52+KS52+KT52+KU52+KV52</f>
        <v>68280</v>
      </c>
      <c r="KX52" s="552">
        <f t="shared" ref="KX52" si="549">KP52-KW52</f>
        <v>307039</v>
      </c>
      <c r="KY52" s="552">
        <f t="shared" si="517"/>
        <v>288513</v>
      </c>
      <c r="KZ52" s="552">
        <v>18526</v>
      </c>
      <c r="LA52" s="149">
        <f>'Assets(MOFA)'!IX52-'Assets(MOFA)'!KE52-'Assets(MOFA)'!KP52</f>
        <v>1073960</v>
      </c>
      <c r="LB52" s="552">
        <f>'Assets(MOFA)'!IY52-'Assets(MOFA)'!KF52-'Assets(MOFA)'!KQ52</f>
        <v>92547</v>
      </c>
      <c r="LC52" s="552">
        <f>'Assets(MOFA)'!IZ52-'Assets(MOFA)'!KG52-'Assets(MOFA)'!KR52</f>
        <v>-42592</v>
      </c>
      <c r="LD52" s="552">
        <f>'Assets(MOFA)'!JA52-'Assets(MOFA)'!KH52-'Assets(MOFA)'!KS52</f>
        <v>84626</v>
      </c>
      <c r="LE52" s="552">
        <f>'Assets(MOFA)'!JB52-'Assets(MOFA)'!KI52-'Assets(MOFA)'!KT52</f>
        <v>55680</v>
      </c>
      <c r="LF52" s="552">
        <f>'Assets(MOFA)'!JC52-'Assets(MOFA)'!KJ52-'Assets(MOFA)'!KU52</f>
        <v>325847</v>
      </c>
      <c r="LG52" s="552">
        <f>'Assets(MOFA)'!JD52-'Assets(MOFA)'!KK52-'Assets(MOFA)'!KV52</f>
        <v>41158</v>
      </c>
      <c r="LH52" s="552">
        <f>'Assets(MOFA)'!JE52-'Assets(MOFA)'!KL52-'Assets(MOFA)'!KW52</f>
        <v>557266</v>
      </c>
      <c r="LI52" s="552">
        <f>'Assets(MOFA)'!JF52-'Assets(MOFA)'!KM52-'Assets(MOFA)'!KX52</f>
        <v>516694</v>
      </c>
      <c r="LJ52" s="552">
        <f t="shared" si="77"/>
        <v>589282</v>
      </c>
      <c r="LK52" s="552">
        <f>'Assets(MOFA)'!JH52-'Assets(MOFA)'!KO52-'Assets(MOFA)'!KZ52</f>
        <v>-72588</v>
      </c>
      <c r="LL52" s="576">
        <f t="shared" si="78"/>
        <v>0.17223761935629808</v>
      </c>
      <c r="LM52" s="6">
        <f t="shared" si="79"/>
        <v>0.35608933839022333</v>
      </c>
      <c r="LN52" s="6">
        <f t="shared" si="80"/>
        <v>2.8916019969353963E-2</v>
      </c>
      <c r="LO52" s="6">
        <f t="shared" si="81"/>
        <v>6.972058574640759E-2</v>
      </c>
      <c r="LP52" s="6">
        <f t="shared" si="82"/>
        <v>0.17556664516640075</v>
      </c>
      <c r="LQ52" s="6">
        <f t="shared" si="83"/>
        <v>7.5262416413675412E-2</v>
      </c>
      <c r="LR52" s="6">
        <f t="shared" si="84"/>
        <v>0.20519991051168143</v>
      </c>
      <c r="LS52" s="6">
        <f t="shared" si="85"/>
        <v>0.15232250584878546</v>
      </c>
      <c r="LT52" s="143">
        <f t="shared" si="86"/>
        <v>0.26661781233595339</v>
      </c>
      <c r="LU52" s="62">
        <f t="shared" si="87"/>
        <v>7.7983858771121781E-2</v>
      </c>
      <c r="LV52" s="902">
        <f t="shared" si="88"/>
        <v>0.1805980727936565</v>
      </c>
      <c r="LW52" s="902">
        <f t="shared" si="89"/>
        <v>0.13130306574264933</v>
      </c>
      <c r="LX52" s="143">
        <f t="shared" si="90"/>
        <v>0.5305283519324423</v>
      </c>
      <c r="LY52" s="576">
        <f t="shared" si="91"/>
        <v>0.1749623031357469</v>
      </c>
      <c r="LZ52" s="906">
        <f t="shared" si="92"/>
        <v>0.35608933839022333</v>
      </c>
      <c r="MA52" s="906">
        <f t="shared" si="93"/>
        <v>2.8916019969353963E-2</v>
      </c>
      <c r="MB52" s="906">
        <f t="shared" si="94"/>
        <v>6.972058574640759E-2</v>
      </c>
      <c r="MC52" s="906">
        <f t="shared" si="95"/>
        <v>0.17556664516640075</v>
      </c>
      <c r="MD52" s="906">
        <f t="shared" si="96"/>
        <v>7.5262416413675412E-2</v>
      </c>
      <c r="ME52" s="906">
        <v>6.1610529375296846E-2</v>
      </c>
      <c r="MF52" s="906">
        <f t="shared" si="97"/>
        <v>0.20519991051168143</v>
      </c>
      <c r="MG52" s="30">
        <f t="shared" si="98"/>
        <v>0.15232250584878546</v>
      </c>
      <c r="MH52" s="140">
        <f t="shared" si="99"/>
        <v>0.26661781233595339</v>
      </c>
      <c r="MI52" s="30">
        <f t="shared" si="100"/>
        <v>7.7983858771121781E-2</v>
      </c>
      <c r="MJ52" s="30">
        <f t="shared" si="101"/>
        <v>0.1805980727936565</v>
      </c>
      <c r="MK52" s="617">
        <f t="shared" si="102"/>
        <v>0.13130306574264933</v>
      </c>
      <c r="ML52" s="615">
        <f t="shared" si="103"/>
        <v>0.5305283519324423</v>
      </c>
      <c r="MM52" s="574"/>
      <c r="MX52" s="613"/>
      <c r="MY52" s="552"/>
      <c r="MZ52" s="552"/>
      <c r="NA52" s="552"/>
      <c r="NB52" s="552"/>
      <c r="NC52" s="552"/>
      <c r="ND52" s="552"/>
      <c r="NE52" s="552"/>
      <c r="NF52" s="552"/>
      <c r="NG52" s="552"/>
      <c r="NH52" s="552"/>
      <c r="NI52" s="613">
        <f t="shared" si="364"/>
        <v>426977</v>
      </c>
      <c r="PN52" s="574"/>
      <c r="PO52" s="593"/>
      <c r="PP52" s="593"/>
      <c r="PQ52" s="593"/>
      <c r="PR52" s="593"/>
      <c r="PS52" s="593"/>
      <c r="PT52" s="593"/>
      <c r="PU52" s="593"/>
      <c r="PV52" s="593"/>
      <c r="PW52" s="593"/>
      <c r="PX52" s="593"/>
      <c r="PY52" s="593"/>
      <c r="PZ52" s="593"/>
      <c r="QA52" s="593"/>
      <c r="QB52" s="593"/>
      <c r="QC52" s="593"/>
      <c r="QD52" s="593"/>
      <c r="QE52" s="593"/>
      <c r="QF52" s="593"/>
      <c r="QG52" s="593"/>
      <c r="QH52" s="593"/>
      <c r="QI52" s="593"/>
      <c r="QJ52" s="593"/>
      <c r="QK52" s="593"/>
      <c r="QL52" s="593"/>
      <c r="QM52" s="593"/>
      <c r="QN52" s="593"/>
      <c r="QO52" s="593"/>
      <c r="QP52" s="593"/>
      <c r="QQ52" s="593"/>
      <c r="QR52" s="593"/>
      <c r="QS52" s="593"/>
      <c r="QT52" s="593"/>
      <c r="QU52" s="593"/>
      <c r="QV52" s="593"/>
      <c r="QW52" s="593"/>
      <c r="QX52" s="593"/>
      <c r="QY52" s="593"/>
      <c r="QZ52" s="593"/>
      <c r="RA52" s="593"/>
      <c r="RB52" s="593"/>
      <c r="RC52" s="593"/>
      <c r="RD52" s="593"/>
      <c r="RE52" s="593"/>
      <c r="RF52" s="593"/>
      <c r="RG52" s="593"/>
      <c r="RH52" s="593"/>
      <c r="RI52" s="593"/>
      <c r="RJ52" s="593"/>
      <c r="RK52" s="593"/>
      <c r="RL52" s="593"/>
      <c r="RM52" s="593"/>
      <c r="RN52" s="593"/>
      <c r="RO52" s="593"/>
      <c r="RP52" s="593"/>
      <c r="RQ52" s="593"/>
      <c r="RR52" s="593"/>
    </row>
    <row r="53" spans="1:486">
      <c r="A53" s="568">
        <v>2008</v>
      </c>
      <c r="B53" s="33">
        <v>437372</v>
      </c>
      <c r="C53" s="193">
        <v>6679</v>
      </c>
      <c r="D53" s="193">
        <v>1011</v>
      </c>
      <c r="E53" s="193">
        <v>17044</v>
      </c>
      <c r="F53" s="193">
        <v>8691</v>
      </c>
      <c r="G53" s="193">
        <v>1385</v>
      </c>
      <c r="H53" s="193">
        <v>5440</v>
      </c>
      <c r="I53" s="193">
        <f t="shared" ref="I53:I61" si="550">H53+G53+F53+E53+D53+C53</f>
        <v>40250</v>
      </c>
      <c r="J53" s="193">
        <f t="shared" ref="J53:J61" si="551">B53-I53</f>
        <v>397122</v>
      </c>
      <c r="K53" s="193">
        <f t="shared" si="249"/>
        <v>386673</v>
      </c>
      <c r="L53" s="193">
        <v>10449</v>
      </c>
      <c r="M53" s="140">
        <f t="shared" si="217"/>
        <v>9.2026924448753003E-2</v>
      </c>
      <c r="N53" s="140">
        <f t="shared" si="250"/>
        <v>2.3890418225217893E-2</v>
      </c>
      <c r="O53" s="193">
        <v>4939700</v>
      </c>
      <c r="P53" s="32">
        <f t="shared" si="251"/>
        <v>8.8542219163107075E-2</v>
      </c>
      <c r="Q53" s="629">
        <f t="shared" si="218"/>
        <v>1.5270753500452703E-2</v>
      </c>
      <c r="R53" s="308">
        <f t="shared" si="219"/>
        <v>2.311533431495386E-3</v>
      </c>
      <c r="S53" s="308">
        <f t="shared" si="220"/>
        <v>3.8969115535516678E-2</v>
      </c>
      <c r="T53" s="308">
        <f t="shared" si="221"/>
        <v>1.9870956531282295E-2</v>
      </c>
      <c r="U53" s="308">
        <f t="shared" si="222"/>
        <v>3.1666407543235508E-3</v>
      </c>
      <c r="V53" s="308">
        <f t="shared" si="223"/>
        <v>1.2437924695682393E-2</v>
      </c>
      <c r="W53" s="5">
        <v>449158</v>
      </c>
      <c r="X53" s="193">
        <v>38421</v>
      </c>
      <c r="Y53" s="76">
        <v>0</v>
      </c>
      <c r="Z53" s="76">
        <f t="shared" si="114"/>
        <v>38421</v>
      </c>
      <c r="AA53" s="193">
        <v>-3067</v>
      </c>
      <c r="AB53" s="66">
        <v>0</v>
      </c>
      <c r="AC53" s="274">
        <f t="shared" si="117"/>
        <v>-3067</v>
      </c>
      <c r="AD53" s="193">
        <v>6470</v>
      </c>
      <c r="AE53" s="357">
        <f t="shared" si="477"/>
        <v>478.91541424285407</v>
      </c>
      <c r="AF53" s="274">
        <f t="shared" si="119"/>
        <v>5991.0845857571458</v>
      </c>
      <c r="AG53" s="193">
        <v>18415</v>
      </c>
      <c r="AH53" s="357">
        <f t="shared" si="382"/>
        <v>321.25713496821436</v>
      </c>
      <c r="AI53" s="76">
        <f t="shared" si="287"/>
        <v>18093.742865031785</v>
      </c>
      <c r="AJ53" s="193">
        <v>31757</v>
      </c>
      <c r="AK53" s="357">
        <f t="shared" si="458"/>
        <v>4824.0285337932009</v>
      </c>
      <c r="AL53" s="274">
        <f t="shared" si="123"/>
        <v>26932.9714662068</v>
      </c>
      <c r="AM53" s="193">
        <v>13189</v>
      </c>
      <c r="AN53" s="357">
        <f t="shared" si="478"/>
        <v>1031.0991521191943</v>
      </c>
      <c r="AO53" s="274">
        <f t="shared" si="125"/>
        <v>12157.900847880806</v>
      </c>
      <c r="AP53" s="193">
        <f t="shared" si="397"/>
        <v>105185</v>
      </c>
      <c r="AQ53" s="271">
        <f t="shared" si="398"/>
        <v>6655.3002351234645</v>
      </c>
      <c r="AR53" s="271">
        <f t="shared" si="126"/>
        <v>98529.699764876539</v>
      </c>
      <c r="AS53" s="193">
        <f t="shared" si="259"/>
        <v>343973</v>
      </c>
      <c r="AT53" s="193">
        <f t="shared" si="224"/>
        <v>187746.18403735937</v>
      </c>
      <c r="AU53" s="193">
        <v>156226.81596264063</v>
      </c>
      <c r="AV53" s="193">
        <v>48017</v>
      </c>
      <c r="AW53" s="23">
        <f t="shared" si="289"/>
        <v>0.30735440458238977</v>
      </c>
      <c r="AX53" s="271">
        <f t="shared" si="227"/>
        <v>292931.18403735937</v>
      </c>
      <c r="AY53" s="140">
        <f t="shared" si="399"/>
        <v>0.23418262615827837</v>
      </c>
      <c r="AZ53" s="623">
        <f t="shared" si="129"/>
        <v>0.21936534530137844</v>
      </c>
      <c r="BA53" s="248">
        <f t="shared" si="400"/>
        <v>0.3363578380658524</v>
      </c>
      <c r="BB53" s="248">
        <f t="shared" si="130"/>
        <v>0.13116049807486499</v>
      </c>
      <c r="BC53" s="248">
        <f t="shared" si="131"/>
        <v>-1.0470035855277348E-2</v>
      </c>
      <c r="BD53" s="248">
        <f t="shared" si="132"/>
        <v>2.0452191204720166E-2</v>
      </c>
      <c r="BE53" s="248">
        <f t="shared" si="133"/>
        <v>6.1767895843838107E-2</v>
      </c>
      <c r="BF53" s="248">
        <f t="shared" si="134"/>
        <v>9.1942998676343951E-2</v>
      </c>
      <c r="BG53" s="248">
        <f t="shared" si="135"/>
        <v>4.1504290121362537E-2</v>
      </c>
      <c r="BH53" s="248">
        <f t="shared" si="136"/>
        <v>9.9821553494428179E-3</v>
      </c>
      <c r="BI53" s="23">
        <f t="shared" si="401"/>
        <v>0.33699041064678947</v>
      </c>
      <c r="BJ53" s="140">
        <f t="shared" si="402"/>
        <v>0.3478215148403026</v>
      </c>
      <c r="BK53" s="623">
        <f t="shared" si="137"/>
        <v>0.33300423398340262</v>
      </c>
      <c r="BL53" s="5">
        <v>-8213</v>
      </c>
      <c r="BM53" s="193">
        <v>-2729</v>
      </c>
      <c r="BN53" s="193">
        <v>2133</v>
      </c>
      <c r="BO53" s="193">
        <v>1636</v>
      </c>
      <c r="BP53" s="193">
        <v>-696</v>
      </c>
      <c r="BQ53" s="193">
        <v>-11414</v>
      </c>
      <c r="BR53" s="193">
        <v>-546</v>
      </c>
      <c r="BS53" s="193">
        <f t="shared" si="403"/>
        <v>-11616</v>
      </c>
      <c r="BT53" s="193">
        <f t="shared" si="365"/>
        <v>3403</v>
      </c>
      <c r="BU53" s="193">
        <f t="shared" si="373"/>
        <v>1675</v>
      </c>
      <c r="BV53" s="193">
        <v>1728</v>
      </c>
      <c r="BW53" s="5">
        <f t="shared" si="262"/>
        <v>308514</v>
      </c>
      <c r="BX53" s="193">
        <f t="shared" si="263"/>
        <v>34964</v>
      </c>
      <c r="BY53" s="193">
        <f t="shared" si="459"/>
        <v>0</v>
      </c>
      <c r="BZ53" s="647">
        <f t="shared" si="149"/>
        <v>0.11333035129686173</v>
      </c>
      <c r="CA53" s="193">
        <f t="shared" si="264"/>
        <v>-3449</v>
      </c>
      <c r="CB53" s="193">
        <f t="shared" si="460"/>
        <v>0</v>
      </c>
      <c r="CC53" s="647">
        <f t="shared" si="404"/>
        <v>-1.1179395424518823E-2</v>
      </c>
      <c r="CD53" s="193">
        <f t="shared" si="265"/>
        <v>3596</v>
      </c>
      <c r="CE53" s="193">
        <f t="shared" si="461"/>
        <v>243.32684859949683</v>
      </c>
      <c r="CF53" s="655">
        <f t="shared" si="405"/>
        <v>1.0867166972651171E-2</v>
      </c>
      <c r="CG53" s="193">
        <f t="shared" si="266"/>
        <v>16593</v>
      </c>
      <c r="CH53" s="193">
        <f t="shared" si="462"/>
        <v>289.13142147139291</v>
      </c>
      <c r="CI53" s="23">
        <f t="shared" si="406"/>
        <v>5.2846446444986636E-2</v>
      </c>
      <c r="CJ53" s="193">
        <f t="shared" si="267"/>
        <v>27782</v>
      </c>
      <c r="CK53" s="641">
        <f t="shared" si="463"/>
        <v>2450.9874307088362</v>
      </c>
      <c r="CL53" s="34">
        <f t="shared" si="158"/>
        <v>8.210652537418453E-2</v>
      </c>
      <c r="CM53" s="193">
        <f t="shared" si="268"/>
        <v>12202</v>
      </c>
      <c r="CN53" s="193">
        <f t="shared" si="464"/>
        <v>927.98923690727486</v>
      </c>
      <c r="CO53" s="23">
        <f t="shared" si="161"/>
        <v>3.6542947039981087E-2</v>
      </c>
      <c r="CP53" s="193">
        <f t="shared" si="407"/>
        <v>91688</v>
      </c>
      <c r="CQ53" s="193">
        <f t="shared" si="162"/>
        <v>3911.4349376870009</v>
      </c>
      <c r="CR53" s="193">
        <f t="shared" si="408"/>
        <v>216826</v>
      </c>
      <c r="CS53" s="248">
        <f t="shared" si="163"/>
        <v>0.28451404170414635</v>
      </c>
      <c r="CT53" s="30">
        <f t="shared" si="409"/>
        <v>0.29719234783510634</v>
      </c>
      <c r="CU53" s="308">
        <f t="shared" si="410"/>
        <v>0</v>
      </c>
      <c r="CV53" s="608">
        <f t="shared" si="269"/>
        <v>0.11333035129686173</v>
      </c>
      <c r="CW53" s="608">
        <f t="shared" si="270"/>
        <v>-1.1179395424518823E-2</v>
      </c>
      <c r="CX53" s="608">
        <f t="shared" si="271"/>
        <v>1.1655872991177062E-2</v>
      </c>
      <c r="CY53" s="608">
        <f t="shared" si="272"/>
        <v>5.3783620840545325E-2</v>
      </c>
      <c r="CZ53" s="608">
        <f t="shared" si="327"/>
        <v>9.0051018754416332E-2</v>
      </c>
      <c r="DA53" s="608">
        <f>'Assets(BoP)'!FK100</f>
        <v>0.13110905436346099</v>
      </c>
      <c r="DB53" s="608">
        <f t="shared" si="273"/>
        <v>3.9550879376624722E-2</v>
      </c>
      <c r="DC53" s="23">
        <f t="shared" si="411"/>
        <v>0.38307219312383883</v>
      </c>
      <c r="DD53" s="193">
        <f t="shared" si="412"/>
        <v>229138.44084197667</v>
      </c>
      <c r="DE53" s="193">
        <f t="shared" si="274"/>
        <v>79375.55915802333</v>
      </c>
      <c r="DF53" s="193"/>
      <c r="DG53" s="193">
        <f>'Assets(BoP)'!DA100*1000</f>
        <v>40546</v>
      </c>
      <c r="DH53" s="23">
        <f t="shared" si="413"/>
        <v>0.25728349169899367</v>
      </c>
      <c r="DI53" s="23"/>
      <c r="DJ53" s="23">
        <f t="shared" si="414"/>
        <v>0.2855364748439293</v>
      </c>
      <c r="DK53" s="600">
        <f>'Assets(BoP)'!FO100-'Assets(BoP)'!FH100</f>
        <v>0.3569105884687746</v>
      </c>
      <c r="DL53" s="576">
        <f t="shared" si="415"/>
        <v>1.0269473125851678</v>
      </c>
      <c r="DM53" s="251">
        <f t="shared" si="416"/>
        <v>5.7525078604581523</v>
      </c>
      <c r="DN53" s="251">
        <f t="shared" si="417"/>
        <v>5.7525078604581523</v>
      </c>
      <c r="DO53" s="251">
        <f t="shared" si="418"/>
        <v>-3.0336300692383777</v>
      </c>
      <c r="DP53" s="251">
        <f t="shared" si="419"/>
        <v>-3.0336300692383777</v>
      </c>
      <c r="DQ53" s="251">
        <f t="shared" si="420"/>
        <v>0.37960572635531564</v>
      </c>
      <c r="DR53" s="251">
        <f t="shared" si="421"/>
        <v>0.35216880419119562</v>
      </c>
      <c r="DS53" s="251">
        <f t="shared" si="422"/>
        <v>2.1188585893452996</v>
      </c>
      <c r="DT53" s="251">
        <f t="shared" si="423"/>
        <v>2.0870540787061396</v>
      </c>
      <c r="DU53" s="251">
        <f t="shared" si="424"/>
        <v>22.929241877256317</v>
      </c>
      <c r="DV53" s="251">
        <f t="shared" si="425"/>
        <v>25.352211117942559</v>
      </c>
      <c r="DW53" s="251">
        <f t="shared" si="426"/>
        <v>2.4244485294117646</v>
      </c>
      <c r="DX53" s="251">
        <f t="shared" si="427"/>
        <v>2.2636042316160045</v>
      </c>
      <c r="DY53" s="251">
        <f t="shared" si="428"/>
        <v>0.1884796455275547</v>
      </c>
      <c r="DZ53" s="251">
        <f t="shared" si="429"/>
        <v>0.16224211865928445</v>
      </c>
      <c r="EA53" s="643">
        <f t="shared" si="430"/>
        <v>2.6132919254658384</v>
      </c>
      <c r="EB53" s="643">
        <f t="shared" si="431"/>
        <v>2.4753177086014273</v>
      </c>
      <c r="EC53" s="251">
        <f t="shared" si="432"/>
        <v>0.86616455396578385</v>
      </c>
      <c r="ED53" s="251">
        <f t="shared" si="433"/>
        <v>0.68614523939295702</v>
      </c>
      <c r="EE53" s="140">
        <f t="shared" si="434"/>
        <v>0.48554252310701645</v>
      </c>
      <c r="EF53" s="1342">
        <v>0.19718266519613323</v>
      </c>
      <c r="EG53" s="140">
        <f t="shared" si="228"/>
        <v>14.951365294539251</v>
      </c>
      <c r="EH53" s="583">
        <v>97.255972762645968</v>
      </c>
      <c r="EI53" s="1344">
        <v>1.0908609403887473</v>
      </c>
      <c r="EJ53" s="576">
        <f t="shared" si="166"/>
        <v>0.70538123153745558</v>
      </c>
      <c r="EK53" s="753">
        <f t="shared" si="167"/>
        <v>2.2090435930710011</v>
      </c>
      <c r="EL53" s="753">
        <f t="shared" si="168"/>
        <v>7.5964742231814846</v>
      </c>
      <c r="EM53" s="753">
        <f t="shared" si="169"/>
        <v>0.35546945569506189</v>
      </c>
      <c r="EN53" s="583"/>
      <c r="EO53" s="5">
        <v>854673</v>
      </c>
      <c r="EP53" s="193">
        <v>76406</v>
      </c>
      <c r="EQ53" s="193"/>
      <c r="ER53" s="193">
        <v>86632</v>
      </c>
      <c r="ES53" s="193"/>
      <c r="ET53" s="193">
        <v>139288</v>
      </c>
      <c r="EU53" s="193"/>
      <c r="EV53" s="193">
        <v>54500</v>
      </c>
      <c r="EW53" s="193"/>
      <c r="EX53" s="193">
        <v>131335</v>
      </c>
      <c r="EY53" s="193"/>
      <c r="EZ53" s="193">
        <v>26936</v>
      </c>
      <c r="FA53" s="193"/>
      <c r="FB53" s="193">
        <f t="shared" si="435"/>
        <v>515097</v>
      </c>
      <c r="FC53" s="193">
        <f t="shared" si="436"/>
        <v>339576</v>
      </c>
      <c r="FD53" s="23">
        <f t="shared" si="437"/>
        <v>0.60268313144325369</v>
      </c>
      <c r="FE53" s="23"/>
      <c r="FF53" s="23"/>
      <c r="FG53" s="23"/>
      <c r="FH53" s="23"/>
      <c r="FI53" s="23"/>
      <c r="FJ53" s="5">
        <v>140644</v>
      </c>
      <c r="FK53" s="143">
        <f>FJ53/'Assets(BoP)'!AV100/1000</f>
        <v>1.1608312536936272</v>
      </c>
      <c r="FL53" s="193"/>
      <c r="FM53" s="193">
        <v>3457</v>
      </c>
      <c r="FN53" s="66">
        <f t="shared" si="374"/>
        <v>0</v>
      </c>
      <c r="FO53" s="184">
        <f t="shared" si="383"/>
        <v>0</v>
      </c>
      <c r="FP53" s="193">
        <v>382</v>
      </c>
      <c r="FQ53" s="66">
        <f t="shared" si="375"/>
        <v>0</v>
      </c>
      <c r="FR53" s="184">
        <v>0</v>
      </c>
      <c r="FS53" s="193">
        <v>2874</v>
      </c>
      <c r="FT53" s="66">
        <f t="shared" si="465"/>
        <v>235.58856564335724</v>
      </c>
      <c r="FU53" s="193">
        <f t="shared" si="175"/>
        <v>2638.4114343566425</v>
      </c>
      <c r="FV53" s="23">
        <f t="shared" si="376"/>
        <v>8.1972361045009476E-2</v>
      </c>
      <c r="FW53" s="193">
        <v>1822</v>
      </c>
      <c r="FX53" s="66">
        <f t="shared" si="466"/>
        <v>32.12571349682144</v>
      </c>
      <c r="FY53" s="23">
        <f t="shared" si="438"/>
        <v>1.7632114981790032E-2</v>
      </c>
      <c r="FZ53" s="193">
        <v>3975</v>
      </c>
      <c r="GA53" s="66">
        <f t="shared" si="467"/>
        <v>2373.0411030843647</v>
      </c>
      <c r="GB53" s="193">
        <f t="shared" si="180"/>
        <v>1601.9588969156353</v>
      </c>
      <c r="GC53" s="23">
        <f t="shared" si="366"/>
        <v>0.59699147247405404</v>
      </c>
      <c r="GD53" s="193">
        <v>987</v>
      </c>
      <c r="GE53" s="66">
        <f t="shared" si="384"/>
        <v>103.10991521191944</v>
      </c>
      <c r="GF53" s="23">
        <f t="shared" si="377"/>
        <v>0.10446799920153946</v>
      </c>
      <c r="GG53" s="193">
        <f t="shared" si="439"/>
        <v>13497</v>
      </c>
      <c r="GH53" s="193">
        <f t="shared" si="440"/>
        <v>2743.8652974364632</v>
      </c>
      <c r="GI53" s="193">
        <f t="shared" si="441"/>
        <v>127147</v>
      </c>
      <c r="GJ53" s="23">
        <f t="shared" si="442"/>
        <v>9.5965700634225423E-2</v>
      </c>
      <c r="GK53" s="330">
        <v>76851.256804617296</v>
      </c>
      <c r="GL53" s="330">
        <v>30171</v>
      </c>
      <c r="GM53" s="23">
        <f>GK53/'Assets(BoP)'!AW100/1000</f>
        <v>1.5135398708944485</v>
      </c>
      <c r="GN53" s="23">
        <f t="shared" si="443"/>
        <v>0.54642399821263121</v>
      </c>
      <c r="GO53" s="330">
        <f t="shared" si="275"/>
        <v>63792.743195382704</v>
      </c>
      <c r="GP53" s="23">
        <f>GO53/('Assets(BoP)'!AV100-'Assets(BoP)'!AW100)/1000</f>
        <v>0.90637651431480792</v>
      </c>
      <c r="GQ53" s="330">
        <f t="shared" si="444"/>
        <v>50295.743195382704</v>
      </c>
      <c r="GR53" s="330">
        <v>5074.7470000000003</v>
      </c>
      <c r="GS53" s="140">
        <f t="shared" si="445"/>
        <v>0.46504909047805554</v>
      </c>
      <c r="GT53" s="582">
        <v>0.682674711239873</v>
      </c>
      <c r="GU53" s="576">
        <f t="shared" si="446"/>
        <v>0.31312811972624333</v>
      </c>
      <c r="GV53" s="589">
        <f t="shared" si="276"/>
        <v>8.9976835584706275E-2</v>
      </c>
      <c r="GW53" s="589"/>
      <c r="GX53" s="589">
        <f t="shared" si="277"/>
        <v>-0.12455167916530811</v>
      </c>
      <c r="GY53" s="589"/>
      <c r="GZ53" s="589">
        <f t="shared" si="308"/>
        <v>0.44420401854714064</v>
      </c>
      <c r="HA53" s="56">
        <f t="shared" si="385"/>
        <v>0.49192103372954332</v>
      </c>
      <c r="HB53" s="589">
        <f t="shared" si="278"/>
        <v>9.894108064078197E-2</v>
      </c>
      <c r="HC53" s="56">
        <v>0.1</v>
      </c>
      <c r="HD53" s="589">
        <f t="shared" si="279"/>
        <v>0.12516925402273515</v>
      </c>
      <c r="HE53" s="56">
        <f t="shared" si="479"/>
        <v>0.49192103372954332</v>
      </c>
      <c r="HF53" s="589">
        <f t="shared" si="309"/>
        <v>7.4835089847600275E-2</v>
      </c>
      <c r="HG53" s="56">
        <v>0.1</v>
      </c>
      <c r="HH53" s="6">
        <f t="shared" si="57"/>
        <v>0.12831677520559015</v>
      </c>
      <c r="HI53" s="6">
        <f t="shared" si="447"/>
        <v>0.10913597350061925</v>
      </c>
      <c r="HJ53" s="23">
        <f t="shared" si="280"/>
        <v>0.49192103372954332</v>
      </c>
      <c r="HK53" s="23">
        <f t="shared" si="280"/>
        <v>0.62833996292979566</v>
      </c>
      <c r="HL53" s="23">
        <f t="shared" si="281"/>
        <v>0.43138652800900823</v>
      </c>
      <c r="HM53" s="31">
        <f t="shared" si="282"/>
        <v>0.21777382085495825</v>
      </c>
      <c r="HN53" s="23">
        <f t="shared" si="448"/>
        <v>0.36964238472205668</v>
      </c>
      <c r="HO53" s="23">
        <f t="shared" si="449"/>
        <v>0.26789222616303304</v>
      </c>
      <c r="HP53" s="575">
        <v>602828</v>
      </c>
      <c r="HQ53" s="193"/>
      <c r="HR53" s="193"/>
      <c r="HS53" s="193"/>
      <c r="HT53" s="193"/>
      <c r="HU53" s="193"/>
      <c r="HV53" s="193"/>
      <c r="HW53" s="193"/>
      <c r="HX53" s="193"/>
      <c r="HY53" s="193"/>
      <c r="HZ53" s="193"/>
      <c r="IA53" s="193"/>
      <c r="IB53" s="193"/>
      <c r="IC53" s="193"/>
      <c r="ID53" s="193"/>
      <c r="IE53" s="193"/>
      <c r="IF53" s="193"/>
      <c r="IG53" s="193"/>
      <c r="IH53" s="193"/>
      <c r="II53" s="193"/>
      <c r="IJ53" s="193"/>
      <c r="IK53" s="193"/>
      <c r="IL53" s="193"/>
      <c r="IM53" s="575">
        <v>-51977</v>
      </c>
      <c r="IN53" s="193"/>
      <c r="IO53" s="193"/>
      <c r="IP53" s="193"/>
      <c r="IQ53" s="193"/>
      <c r="IR53" s="193"/>
      <c r="IS53" s="193"/>
      <c r="IT53" s="193"/>
      <c r="IU53" s="193"/>
      <c r="IV53" s="193"/>
      <c r="IW53" s="193"/>
      <c r="IX53" s="149">
        <f t="shared" si="63"/>
        <v>2422491</v>
      </c>
      <c r="IY53" s="316">
        <f t="shared" si="64"/>
        <v>156616</v>
      </c>
      <c r="IZ53" s="316">
        <f t="shared" si="65"/>
        <v>-41263</v>
      </c>
      <c r="JA53" s="316">
        <f t="shared" si="66"/>
        <v>126490</v>
      </c>
      <c r="JB53" s="316">
        <f t="shared" si="67"/>
        <v>96095</v>
      </c>
      <c r="JC53" s="316">
        <f t="shared" si="68"/>
        <v>348968</v>
      </c>
      <c r="JD53" s="316">
        <f t="shared" si="69"/>
        <v>60193</v>
      </c>
      <c r="JE53" s="316">
        <f t="shared" si="70"/>
        <v>747099</v>
      </c>
      <c r="JF53" s="316">
        <f t="shared" si="71"/>
        <v>1675392</v>
      </c>
      <c r="JG53" s="316">
        <f t="shared" si="72"/>
        <v>1457103</v>
      </c>
      <c r="JH53" s="316">
        <f t="shared" si="73"/>
        <v>218289</v>
      </c>
      <c r="JI53" s="5">
        <v>5962789</v>
      </c>
      <c r="JJ53" s="552">
        <v>339340</v>
      </c>
      <c r="JK53" s="552">
        <v>616960</v>
      </c>
      <c r="JL53" s="552">
        <v>748386</v>
      </c>
      <c r="JM53" s="552">
        <v>272832</v>
      </c>
      <c r="JN53" s="552">
        <v>901952</v>
      </c>
      <c r="JO53" s="552">
        <v>120393</v>
      </c>
      <c r="JP53" s="552">
        <f t="shared" si="74"/>
        <v>2999863</v>
      </c>
      <c r="JQ53" s="552">
        <f t="shared" si="75"/>
        <v>2962926</v>
      </c>
      <c r="JR53" s="552">
        <f t="shared" si="76"/>
        <v>2671716</v>
      </c>
      <c r="JS53" s="552">
        <v>291210</v>
      </c>
      <c r="JT53" s="149">
        <v>3540298</v>
      </c>
      <c r="JU53" s="552">
        <v>182724</v>
      </c>
      <c r="JV53" s="552">
        <v>658223</v>
      </c>
      <c r="JW53" s="552">
        <v>621896</v>
      </c>
      <c r="JX53" s="552">
        <v>176737</v>
      </c>
      <c r="JY53" s="552">
        <v>552984</v>
      </c>
      <c r="JZ53" s="552">
        <v>60200</v>
      </c>
      <c r="KA53" s="552">
        <f t="shared" ref="KA53" si="552">JU53+JV53+JW53+JX53+JY53+JZ53</f>
        <v>2252764</v>
      </c>
      <c r="KB53" s="552">
        <f t="shared" ref="KB53" si="553">JT53-KA53</f>
        <v>1287534</v>
      </c>
      <c r="KC53" s="552">
        <f t="shared" si="511"/>
        <v>1214613</v>
      </c>
      <c r="KD53" s="552">
        <v>72921</v>
      </c>
      <c r="KE53" s="5">
        <v>979396</v>
      </c>
      <c r="KF53" s="552">
        <v>39805</v>
      </c>
      <c r="KG53" s="552">
        <v>1094</v>
      </c>
      <c r="KH53" s="552">
        <v>22993</v>
      </c>
      <c r="KI53" s="552">
        <v>10938</v>
      </c>
      <c r="KJ53" s="552">
        <v>20414</v>
      </c>
      <c r="KK53" s="552">
        <v>15359</v>
      </c>
      <c r="KL53" s="552">
        <f t="shared" ref="KL53" si="554">KF53+KG53+KH53+KI53+KJ53+KK53</f>
        <v>110603</v>
      </c>
      <c r="KM53" s="552">
        <f t="shared" ref="KM53" si="555">KE53-KL53</f>
        <v>868793</v>
      </c>
      <c r="KN53" s="552">
        <f t="shared" si="514"/>
        <v>597378</v>
      </c>
      <c r="KO53" s="552">
        <v>271415</v>
      </c>
      <c r="KP53" s="5">
        <v>314747</v>
      </c>
      <c r="KQ53" s="552">
        <v>12544</v>
      </c>
      <c r="KR53" s="552">
        <v>1203</v>
      </c>
      <c r="KS53" s="552">
        <v>17856</v>
      </c>
      <c r="KT53" s="552">
        <v>25454</v>
      </c>
      <c r="KU53" s="552">
        <v>3899</v>
      </c>
      <c r="KV53" s="552">
        <v>11224</v>
      </c>
      <c r="KW53" s="552">
        <f t="shared" ref="KW53" si="556">KQ53+KR53+KS53+KT53+KU53+KV53</f>
        <v>72180</v>
      </c>
      <c r="KX53" s="552">
        <f t="shared" ref="KX53" si="557">KP53-KW53</f>
        <v>242567</v>
      </c>
      <c r="KY53" s="552">
        <f t="shared" si="517"/>
        <v>224130</v>
      </c>
      <c r="KZ53" s="552">
        <v>18437</v>
      </c>
      <c r="LA53" s="149">
        <f>'Assets(MOFA)'!IX53-'Assets(MOFA)'!KE53-'Assets(MOFA)'!KP53</f>
        <v>1128348</v>
      </c>
      <c r="LB53" s="552">
        <f>'Assets(MOFA)'!IY53-'Assets(MOFA)'!KF53-'Assets(MOFA)'!KQ53</f>
        <v>104267</v>
      </c>
      <c r="LC53" s="552">
        <f>'Assets(MOFA)'!IZ53-'Assets(MOFA)'!KG53-'Assets(MOFA)'!KR53</f>
        <v>-43560</v>
      </c>
      <c r="LD53" s="552">
        <f>'Assets(MOFA)'!JA53-'Assets(MOFA)'!KH53-'Assets(MOFA)'!KS53</f>
        <v>85641</v>
      </c>
      <c r="LE53" s="552">
        <f>'Assets(MOFA)'!JB53-'Assets(MOFA)'!KI53-'Assets(MOFA)'!KT53</f>
        <v>59703</v>
      </c>
      <c r="LF53" s="552">
        <f>'Assets(MOFA)'!JC53-'Assets(MOFA)'!KJ53-'Assets(MOFA)'!KU53</f>
        <v>324655</v>
      </c>
      <c r="LG53" s="552">
        <f>'Assets(MOFA)'!JD53-'Assets(MOFA)'!KK53-'Assets(MOFA)'!KV53</f>
        <v>33610</v>
      </c>
      <c r="LH53" s="552">
        <f>'Assets(MOFA)'!JE53-'Assets(MOFA)'!KL53-'Assets(MOFA)'!KW53</f>
        <v>564316</v>
      </c>
      <c r="LI53" s="552">
        <f>'Assets(MOFA)'!JF53-'Assets(MOFA)'!KM53-'Assets(MOFA)'!KX53</f>
        <v>564032</v>
      </c>
      <c r="LJ53" s="552">
        <f t="shared" si="77"/>
        <v>635595</v>
      </c>
      <c r="LK53" s="552">
        <f>'Assets(MOFA)'!JH53-'Assets(MOFA)'!KO53-'Assets(MOFA)'!KZ53</f>
        <v>-71563</v>
      </c>
      <c r="LL53" s="576">
        <f t="shared" si="78"/>
        <v>0.18541162794825658</v>
      </c>
      <c r="LM53" s="6">
        <f t="shared" si="79"/>
        <v>0.24531976298717884</v>
      </c>
      <c r="LN53" s="6">
        <f t="shared" si="80"/>
        <v>7.4328090541162781E-2</v>
      </c>
      <c r="LO53" s="6">
        <f t="shared" si="81"/>
        <v>5.1150288560360503E-2</v>
      </c>
      <c r="LP53" s="6">
        <f t="shared" si="82"/>
        <v>0.19163327956709506</v>
      </c>
      <c r="LQ53" s="6">
        <f t="shared" si="83"/>
        <v>9.1002613420141681E-2</v>
      </c>
      <c r="LR53" s="6">
        <f t="shared" si="84"/>
        <v>0.21911185686043227</v>
      </c>
      <c r="LS53" s="6">
        <f t="shared" si="85"/>
        <v>0.14079124721087835</v>
      </c>
      <c r="LT53" s="143">
        <f t="shared" si="86"/>
        <v>0.22379068340449468</v>
      </c>
      <c r="LU53" s="62">
        <f t="shared" si="87"/>
        <v>8.0977441011527082E-2</v>
      </c>
      <c r="LV53" s="902">
        <f t="shared" si="88"/>
        <v>0.2053089664985866</v>
      </c>
      <c r="LW53" s="902">
        <f t="shared" si="89"/>
        <v>0.12884894481540382</v>
      </c>
      <c r="LX53" s="143">
        <f t="shared" si="90"/>
        <v>0.71568799143630979</v>
      </c>
      <c r="LY53" s="576">
        <f t="shared" si="91"/>
        <v>0.16395561428298391</v>
      </c>
      <c r="LZ53" s="906">
        <f t="shared" si="92"/>
        <v>0.24531976298717884</v>
      </c>
      <c r="MA53" s="906">
        <f t="shared" si="93"/>
        <v>7.4328090541162781E-2</v>
      </c>
      <c r="MB53" s="906">
        <f t="shared" si="94"/>
        <v>5.1150288560360503E-2</v>
      </c>
      <c r="MC53" s="906">
        <f t="shared" si="95"/>
        <v>0.19163327956709506</v>
      </c>
      <c r="MD53" s="906">
        <f t="shared" si="96"/>
        <v>9.1002613420141681E-2</v>
      </c>
      <c r="ME53" s="906">
        <v>6.1610529375296846E-2</v>
      </c>
      <c r="MF53" s="906">
        <f t="shared" si="97"/>
        <v>0.21911185686043227</v>
      </c>
      <c r="MG53" s="30">
        <f t="shared" si="98"/>
        <v>0.14079124721087835</v>
      </c>
      <c r="MH53" s="140">
        <f t="shared" si="99"/>
        <v>0.22379068340449468</v>
      </c>
      <c r="MI53" s="30">
        <f t="shared" si="100"/>
        <v>8.0977441011527082E-2</v>
      </c>
      <c r="MJ53" s="30">
        <f t="shared" si="101"/>
        <v>0.2053089664985866</v>
      </c>
      <c r="MK53" s="617">
        <f t="shared" si="102"/>
        <v>0.12884894481540382</v>
      </c>
      <c r="ML53" s="615">
        <f t="shared" si="103"/>
        <v>0.71568799143630979</v>
      </c>
      <c r="MM53" s="574"/>
      <c r="MX53" s="613"/>
      <c r="MY53" s="552"/>
      <c r="MZ53" s="552"/>
      <c r="NA53" s="552"/>
      <c r="NB53" s="552"/>
      <c r="NC53" s="552"/>
      <c r="ND53" s="552"/>
      <c r="NE53" s="552"/>
      <c r="NF53" s="552"/>
      <c r="NG53" s="552"/>
      <c r="NH53" s="552"/>
      <c r="NI53" s="613">
        <f t="shared" si="364"/>
        <v>437372</v>
      </c>
      <c r="PN53" s="574"/>
      <c r="PO53" s="593"/>
      <c r="PP53" s="593"/>
      <c r="PQ53" s="593"/>
      <c r="PR53" s="593"/>
      <c r="PS53" s="593"/>
      <c r="PT53" s="593"/>
      <c r="PU53" s="593"/>
      <c r="PV53" s="593"/>
      <c r="PW53" s="593"/>
      <c r="PX53" s="593"/>
      <c r="PY53" s="593"/>
      <c r="PZ53" s="593"/>
      <c r="QA53" s="593"/>
      <c r="QB53" s="593"/>
      <c r="QC53" s="593"/>
      <c r="QD53" s="593"/>
      <c r="QE53" s="593"/>
      <c r="QF53" s="593"/>
      <c r="QG53" s="593"/>
      <c r="QH53" s="593"/>
      <c r="QI53" s="593"/>
      <c r="QJ53" s="593"/>
      <c r="QK53" s="593"/>
      <c r="QL53" s="593"/>
      <c r="QM53" s="593"/>
      <c r="QN53" s="593"/>
      <c r="QO53" s="593"/>
      <c r="QP53" s="593"/>
      <c r="QQ53" s="593"/>
      <c r="QR53" s="593"/>
      <c r="QS53" s="593"/>
      <c r="QT53" s="593"/>
      <c r="QU53" s="593"/>
      <c r="QV53" s="593"/>
      <c r="QW53" s="593"/>
      <c r="QX53" s="593"/>
      <c r="QY53" s="593"/>
      <c r="QZ53" s="593"/>
      <c r="RA53" s="593"/>
      <c r="RB53" s="593"/>
      <c r="RC53" s="593"/>
      <c r="RD53" s="593"/>
      <c r="RE53" s="593"/>
      <c r="RF53" s="593"/>
      <c r="RG53" s="593"/>
      <c r="RH53" s="593"/>
      <c r="RI53" s="593"/>
      <c r="RJ53" s="593"/>
      <c r="RK53" s="593"/>
      <c r="RL53" s="593"/>
      <c r="RM53" s="593"/>
      <c r="RN53" s="593"/>
      <c r="RO53" s="593"/>
      <c r="RP53" s="593"/>
      <c r="RQ53" s="593"/>
      <c r="RR53" s="593"/>
    </row>
    <row r="54" spans="1:486">
      <c r="A54" s="568">
        <v>2009</v>
      </c>
      <c r="B54" s="33">
        <v>482041</v>
      </c>
      <c r="C54" s="193">
        <v>7316</v>
      </c>
      <c r="D54" s="193">
        <v>1341</v>
      </c>
      <c r="E54" s="193">
        <v>16136</v>
      </c>
      <c r="F54" s="193">
        <v>9313</v>
      </c>
      <c r="G54" s="193">
        <v>1522</v>
      </c>
      <c r="H54" s="193">
        <v>7597</v>
      </c>
      <c r="I54" s="193">
        <f t="shared" si="550"/>
        <v>43225</v>
      </c>
      <c r="J54" s="193">
        <f t="shared" si="551"/>
        <v>438816</v>
      </c>
      <c r="K54" s="193">
        <f t="shared" si="249"/>
        <v>427137</v>
      </c>
      <c r="L54" s="193">
        <v>11679</v>
      </c>
      <c r="M54" s="140">
        <f t="shared" si="217"/>
        <v>8.9670795637715461E-2</v>
      </c>
      <c r="N54" s="140">
        <f t="shared" si="250"/>
        <v>2.4228229548938784E-2</v>
      </c>
      <c r="O54" s="193">
        <v>4610000</v>
      </c>
      <c r="P54" s="32">
        <f t="shared" si="251"/>
        <v>0.10456420824295011</v>
      </c>
      <c r="Q54" s="629">
        <f t="shared" si="218"/>
        <v>1.5177132235639707E-2</v>
      </c>
      <c r="R54" s="308">
        <f t="shared" si="219"/>
        <v>2.781921039911543E-3</v>
      </c>
      <c r="S54" s="308">
        <f t="shared" si="220"/>
        <v>3.3474331021635093E-2</v>
      </c>
      <c r="T54" s="308">
        <f t="shared" si="221"/>
        <v>1.9319933366663832E-2</v>
      </c>
      <c r="U54" s="308">
        <f t="shared" si="222"/>
        <v>3.1574077723679106E-3</v>
      </c>
      <c r="V54" s="308">
        <f t="shared" si="223"/>
        <v>1.5760070201497382E-2</v>
      </c>
      <c r="W54" s="5">
        <v>398679</v>
      </c>
      <c r="X54" s="193">
        <v>44177</v>
      </c>
      <c r="Y54" s="76">
        <v>0</v>
      </c>
      <c r="Z54" s="76">
        <f t="shared" si="114"/>
        <v>44177</v>
      </c>
      <c r="AA54" s="193">
        <v>8206</v>
      </c>
      <c r="AB54" s="66">
        <v>0</v>
      </c>
      <c r="AC54" s="274">
        <f t="shared" si="117"/>
        <v>8206</v>
      </c>
      <c r="AD54" s="193">
        <v>6500</v>
      </c>
      <c r="AE54" s="357">
        <f t="shared" si="477"/>
        <v>537.97284582311033</v>
      </c>
      <c r="AF54" s="274">
        <f t="shared" si="119"/>
        <v>5962.0271541768898</v>
      </c>
      <c r="AG54" s="193">
        <v>22633</v>
      </c>
      <c r="AH54" s="357">
        <f t="shared" si="382"/>
        <v>347.3572451017078</v>
      </c>
      <c r="AI54" s="76">
        <f t="shared" si="287"/>
        <v>22285.642754898294</v>
      </c>
      <c r="AJ54" s="193">
        <v>25521</v>
      </c>
      <c r="AK54" s="357">
        <f t="shared" si="458"/>
        <v>2637.7842687252246</v>
      </c>
      <c r="AL54" s="274">
        <f t="shared" si="123"/>
        <v>22883.215731274777</v>
      </c>
      <c r="AM54" s="193">
        <v>13582</v>
      </c>
      <c r="AN54" s="357">
        <f t="shared" si="478"/>
        <v>542.69007068646829</v>
      </c>
      <c r="AO54" s="274">
        <f t="shared" si="125"/>
        <v>13039.309929313531</v>
      </c>
      <c r="AP54" s="193">
        <f t="shared" si="397"/>
        <v>120619</v>
      </c>
      <c r="AQ54" s="271">
        <f t="shared" si="398"/>
        <v>4065.8044303365114</v>
      </c>
      <c r="AR54" s="271">
        <f t="shared" si="126"/>
        <v>116553.19556966348</v>
      </c>
      <c r="AS54" s="193">
        <f t="shared" si="259"/>
        <v>278060</v>
      </c>
      <c r="AT54" s="193">
        <f t="shared" si="224"/>
        <v>192635</v>
      </c>
      <c r="AU54" s="193">
        <v>85425</v>
      </c>
      <c r="AV54" s="193">
        <v>27154</v>
      </c>
      <c r="AW54" s="23">
        <f t="shared" si="289"/>
        <v>0.3178694761486684</v>
      </c>
      <c r="AX54" s="271">
        <f t="shared" si="227"/>
        <v>313254</v>
      </c>
      <c r="AY54" s="140">
        <f t="shared" si="399"/>
        <v>0.30254666034579197</v>
      </c>
      <c r="AZ54" s="623">
        <f t="shared" si="129"/>
        <v>0.29234846974549322</v>
      </c>
      <c r="BA54" s="248">
        <f t="shared" si="400"/>
        <v>0.3720724893206902</v>
      </c>
      <c r="BB54" s="248">
        <f t="shared" si="130"/>
        <v>0.14102613214835247</v>
      </c>
      <c r="BC54" s="248">
        <f t="shared" si="131"/>
        <v>2.6195994304941038E-2</v>
      </c>
      <c r="BD54" s="248">
        <f t="shared" si="132"/>
        <v>1.9032565120243924E-2</v>
      </c>
      <c r="BE54" s="248">
        <f t="shared" si="133"/>
        <v>7.114240442228445E-2</v>
      </c>
      <c r="BF54" s="248">
        <f t="shared" si="134"/>
        <v>7.3050035215112261E-2</v>
      </c>
      <c r="BG54" s="248">
        <f t="shared" si="135"/>
        <v>4.162535810975608E-2</v>
      </c>
      <c r="BH54" s="248">
        <f t="shared" si="136"/>
        <v>4.5228559425184958E-2</v>
      </c>
      <c r="BI54" s="23">
        <f t="shared" si="401"/>
        <v>0.36430181258659106</v>
      </c>
      <c r="BJ54" s="140">
        <f t="shared" si="402"/>
        <v>0.21427012709473034</v>
      </c>
      <c r="BK54" s="623">
        <f t="shared" si="137"/>
        <v>0.20407193649443156</v>
      </c>
      <c r="BL54" s="5">
        <v>-43213</v>
      </c>
      <c r="BM54" s="193">
        <v>-2883</v>
      </c>
      <c r="BN54" s="193">
        <v>-3554</v>
      </c>
      <c r="BO54" s="193">
        <v>-3020.9076698950266</v>
      </c>
      <c r="BP54" s="193">
        <v>-1433</v>
      </c>
      <c r="BQ54" s="66">
        <f>(BQ53+BQ55)/2</f>
        <v>-10879.5</v>
      </c>
      <c r="BR54" s="193">
        <v>-1464</v>
      </c>
      <c r="BS54" s="193">
        <f t="shared" si="403"/>
        <v>-23234.407669895027</v>
      </c>
      <c r="BT54" s="193">
        <f t="shared" si="365"/>
        <v>-19978.592330104973</v>
      </c>
      <c r="BU54" s="193">
        <f t="shared" si="373"/>
        <v>-21943.092330104973</v>
      </c>
      <c r="BV54" s="66">
        <f>(BV53+BV55)/2</f>
        <v>1964.5</v>
      </c>
      <c r="BW54" s="5">
        <f t="shared" si="262"/>
        <v>289255</v>
      </c>
      <c r="BX54" s="193">
        <f t="shared" si="263"/>
        <v>41844</v>
      </c>
      <c r="BY54" s="193">
        <f t="shared" si="459"/>
        <v>0</v>
      </c>
      <c r="BZ54" s="647">
        <f t="shared" si="149"/>
        <v>0.14466128502532369</v>
      </c>
      <c r="CA54" s="193">
        <f t="shared" si="264"/>
        <v>6800</v>
      </c>
      <c r="CB54" s="193">
        <f t="shared" si="460"/>
        <v>0</v>
      </c>
      <c r="CC54" s="647">
        <f t="shared" si="404"/>
        <v>2.3508668821627974E-2</v>
      </c>
      <c r="CD54" s="193">
        <f t="shared" si="265"/>
        <v>4242</v>
      </c>
      <c r="CE54" s="193">
        <f t="shared" si="461"/>
        <v>283.24419941519125</v>
      </c>
      <c r="CF54" s="655">
        <f t="shared" si="405"/>
        <v>1.3686041038477498E-2</v>
      </c>
      <c r="CG54" s="193">
        <f t="shared" si="266"/>
        <v>20445</v>
      </c>
      <c r="CH54" s="193">
        <f t="shared" si="462"/>
        <v>312.62152059153703</v>
      </c>
      <c r="CI54" s="23">
        <f t="shared" si="406"/>
        <v>6.960079680354174E-2</v>
      </c>
      <c r="CJ54" s="193">
        <f t="shared" si="267"/>
        <v>23710</v>
      </c>
      <c r="CK54" s="641">
        <f t="shared" si="463"/>
        <v>1388.8007530973534</v>
      </c>
      <c r="CL54" s="34">
        <f t="shared" si="158"/>
        <v>7.7167894234853845E-2</v>
      </c>
      <c r="CM54" s="193">
        <f t="shared" si="268"/>
        <v>12489.5</v>
      </c>
      <c r="CN54" s="193">
        <f t="shared" si="464"/>
        <v>488.42106361782146</v>
      </c>
      <c r="CO54" s="23">
        <f t="shared" si="161"/>
        <v>4.1489616208474113E-2</v>
      </c>
      <c r="CP54" s="193">
        <f t="shared" si="407"/>
        <v>109530.5</v>
      </c>
      <c r="CQ54" s="193">
        <f t="shared" si="162"/>
        <v>2473.0875367219032</v>
      </c>
      <c r="CR54" s="193">
        <f t="shared" si="408"/>
        <v>179724.5</v>
      </c>
      <c r="CS54" s="248">
        <f t="shared" si="163"/>
        <v>0.37011430213229884</v>
      </c>
      <c r="CT54" s="30">
        <f t="shared" si="409"/>
        <v>0.37866415446578278</v>
      </c>
      <c r="CU54" s="308">
        <f t="shared" si="410"/>
        <v>0</v>
      </c>
      <c r="CV54" s="608">
        <f t="shared" si="269"/>
        <v>0.14466128502532369</v>
      </c>
      <c r="CW54" s="608">
        <f t="shared" si="270"/>
        <v>2.3508668821627974E-2</v>
      </c>
      <c r="CX54" s="608">
        <f t="shared" si="271"/>
        <v>1.4665260756080276E-2</v>
      </c>
      <c r="CY54" s="608">
        <f t="shared" si="272"/>
        <v>7.0681578537968234E-2</v>
      </c>
      <c r="CZ54" s="608">
        <f t="shared" si="327"/>
        <v>8.1969196729529306E-2</v>
      </c>
      <c r="DA54" s="608">
        <f>'Assets(BoP)'!FK101</f>
        <v>0.15308064053038842</v>
      </c>
      <c r="DB54" s="608">
        <f t="shared" si="273"/>
        <v>4.3178164595253324E-2</v>
      </c>
      <c r="DC54" s="23">
        <f t="shared" si="411"/>
        <v>0.43825966055830856</v>
      </c>
      <c r="DD54" s="193">
        <f t="shared" si="412"/>
        <v>244278.49993516476</v>
      </c>
      <c r="DE54" s="193">
        <f t="shared" si="274"/>
        <v>44976.500064835229</v>
      </c>
      <c r="DF54" s="193"/>
      <c r="DG54" s="193">
        <f>'Assets(BoP)'!DA101*1000</f>
        <v>19264</v>
      </c>
      <c r="DH54" s="23">
        <f t="shared" si="413"/>
        <v>0.15549083011472656</v>
      </c>
      <c r="DI54" s="23"/>
      <c r="DJ54" s="23">
        <f t="shared" si="414"/>
        <v>0.36399889370970251</v>
      </c>
      <c r="DK54" s="600">
        <f>'Assets(BoP)'!FO101-'Assets(BoP)'!FH101</f>
        <v>0.36750817094742594</v>
      </c>
      <c r="DL54" s="576">
        <f t="shared" si="415"/>
        <v>0.8270645028120015</v>
      </c>
      <c r="DM54" s="251">
        <f t="shared" si="416"/>
        <v>6.0384089666484417</v>
      </c>
      <c r="DN54" s="251">
        <f t="shared" si="417"/>
        <v>6.0384089666484417</v>
      </c>
      <c r="DO54" s="251">
        <f t="shared" si="418"/>
        <v>6.1193139448173008</v>
      </c>
      <c r="DP54" s="251">
        <f t="shared" si="419"/>
        <v>6.1193139448173008</v>
      </c>
      <c r="DQ54" s="251">
        <f t="shared" si="420"/>
        <v>0.40282597917699553</v>
      </c>
      <c r="DR54" s="251">
        <f t="shared" si="421"/>
        <v>0.37117793676560823</v>
      </c>
      <c r="DS54" s="251">
        <f t="shared" si="422"/>
        <v>2.4302587780521852</v>
      </c>
      <c r="DT54" s="251">
        <f t="shared" si="423"/>
        <v>2.4052255519500103</v>
      </c>
      <c r="DU54" s="251">
        <f t="shared" si="424"/>
        <v>16.768068331143233</v>
      </c>
      <c r="DV54" s="251">
        <f t="shared" si="425"/>
        <v>19.703612569150849</v>
      </c>
      <c r="DW54" s="251">
        <f t="shared" si="426"/>
        <v>1.7878109780176386</v>
      </c>
      <c r="DX54" s="251">
        <f t="shared" si="427"/>
        <v>1.7333041743946545</v>
      </c>
      <c r="DY54" s="251">
        <f t="shared" si="428"/>
        <v>0.84144876122904388</v>
      </c>
      <c r="DZ54" s="251">
        <f t="shared" si="429"/>
        <v>0.81409300607453716</v>
      </c>
      <c r="EA54" s="643">
        <f t="shared" si="430"/>
        <v>2.7904916136495084</v>
      </c>
      <c r="EB54" s="643">
        <f t="shared" si="431"/>
        <v>2.7315573181759549</v>
      </c>
      <c r="EC54" s="251">
        <f t="shared" si="432"/>
        <v>0.63365966601035517</v>
      </c>
      <c r="ED54" s="251">
        <f t="shared" si="433"/>
        <v>0.6659849222513724</v>
      </c>
      <c r="EE54" s="140">
        <f t="shared" si="434"/>
        <v>0.45099113399213836</v>
      </c>
      <c r="EF54" s="1342">
        <v>0.24653510492083211</v>
      </c>
      <c r="EG54" s="140">
        <f t="shared" si="228"/>
        <v>7.3144104803493448</v>
      </c>
      <c r="EH54" s="583">
        <v>61.671264822134397</v>
      </c>
      <c r="EI54" s="1344">
        <v>1.0915699999999999</v>
      </c>
      <c r="EJ54" s="576">
        <f t="shared" si="166"/>
        <v>0.600063065174954</v>
      </c>
      <c r="EK54" s="753">
        <f t="shared" si="167"/>
        <v>2.5140989383638672</v>
      </c>
      <c r="EL54" s="753">
        <f t="shared" si="168"/>
        <v>3.851057459100542</v>
      </c>
      <c r="EM54" s="753">
        <f t="shared" si="169"/>
        <v>0.31546787081232663</v>
      </c>
      <c r="EN54" s="583"/>
      <c r="EO54" s="5">
        <f t="array" ref="EO54:EO60">TRANSPOSE(MOFA_inc09!B8:H8)</f>
        <v>778787</v>
      </c>
      <c r="EP54" s="193">
        <f t="array" ref="EP54:EP60">TRANSPOSE(MOFA_inc09!B20:H20)</f>
        <v>69580</v>
      </c>
      <c r="EQ54" s="193"/>
      <c r="ER54" s="193">
        <f t="array" ref="ER54:ER60">TRANSPOSE(MOFA_inc09!B22:H22)</f>
        <v>66745</v>
      </c>
      <c r="ES54" s="193"/>
      <c r="ET54" s="193">
        <f t="array" ref="ET54:ET60">TRANSPOSE(MOFA_inc09!B23:H23)</f>
        <v>116302</v>
      </c>
      <c r="EU54" s="193"/>
      <c r="EV54" s="193">
        <f t="array" ref="EV54:EV60">TRANSPOSE(MOFA_inc09!B30:H30)</f>
        <v>56951</v>
      </c>
      <c r="EW54" s="193"/>
      <c r="EX54" s="193">
        <f t="array" ref="EX54:EX60">TRANSPOSE(MOFA_inc09!B50:H50)</f>
        <v>119134</v>
      </c>
      <c r="EY54" s="193"/>
      <c r="EZ54" s="193">
        <f t="array" ref="EZ54:EZ60">TRANSPOSE(MOFA_inc09!B77:H77)</f>
        <v>24518</v>
      </c>
      <c r="FA54" s="193"/>
      <c r="FB54" s="193">
        <f t="shared" ref="FB54:FB60" si="558">EZ54+EX54+EV54+ET54+ER54+EP54</f>
        <v>453230</v>
      </c>
      <c r="FC54" s="193">
        <f t="shared" ref="FC54:FC60" si="559">EO54-FB54</f>
        <v>325557</v>
      </c>
      <c r="FD54" s="23">
        <f t="shared" ref="FD54:FD60" si="560">FB54/EO54</f>
        <v>0.58196913918696636</v>
      </c>
      <c r="FE54" s="193">
        <f t="array" ref="FE54:FE60">TRANSPOSE(MOFA_inc_ind09!B10:H10)+TRANSPOSE(MOFA_inc_ind09!B19:H19)+TRANSPOSE(MOFA_inc_ind09!B50:H50)</f>
        <v>40443</v>
      </c>
      <c r="FF54" s="193"/>
      <c r="FG54" s="193"/>
      <c r="FH54" s="193"/>
      <c r="FI54" s="193"/>
      <c r="FJ54" s="5">
        <v>109424</v>
      </c>
      <c r="FK54" s="143">
        <f>FJ54/'Assets(BoP)'!AV101/1000</f>
        <v>1.0480686960833527</v>
      </c>
      <c r="FL54" s="193">
        <v>131636</v>
      </c>
      <c r="FM54" s="193">
        <v>2333</v>
      </c>
      <c r="FN54" s="66">
        <f t="shared" si="374"/>
        <v>0</v>
      </c>
      <c r="FO54" s="184">
        <f t="shared" si="383"/>
        <v>0</v>
      </c>
      <c r="FP54" s="193">
        <v>1406</v>
      </c>
      <c r="FQ54" s="66">
        <f t="shared" si="375"/>
        <v>0</v>
      </c>
      <c r="FR54" s="184">
        <v>0</v>
      </c>
      <c r="FS54" s="193">
        <v>2258</v>
      </c>
      <c r="FT54" s="66">
        <f t="shared" si="465"/>
        <v>254.72864640791906</v>
      </c>
      <c r="FU54" s="193">
        <f t="shared" si="175"/>
        <v>2003.2713535920809</v>
      </c>
      <c r="FV54" s="23">
        <f t="shared" si="376"/>
        <v>0.11281162374132819</v>
      </c>
      <c r="FW54" s="193">
        <v>2188</v>
      </c>
      <c r="FX54" s="66">
        <f t="shared" si="466"/>
        <v>34.735724510170783</v>
      </c>
      <c r="FY54" s="23">
        <f t="shared" si="438"/>
        <v>1.5875559648158493E-2</v>
      </c>
      <c r="FZ54" s="193">
        <v>1811</v>
      </c>
      <c r="GA54" s="66">
        <f t="shared" si="467"/>
        <v>1248.9835156278712</v>
      </c>
      <c r="GB54" s="193">
        <f t="shared" si="180"/>
        <v>562.01648437212884</v>
      </c>
      <c r="GC54" s="23">
        <f t="shared" si="366"/>
        <v>0.6896651107829217</v>
      </c>
      <c r="GD54" s="193">
        <f>(GD53+GD55)/2</f>
        <v>1092.5</v>
      </c>
      <c r="GE54" s="66">
        <f t="shared" si="384"/>
        <v>54.269007068646829</v>
      </c>
      <c r="GF54" s="23">
        <f t="shared" si="377"/>
        <v>4.9674148346587489E-2</v>
      </c>
      <c r="GG54" s="193">
        <f t="shared" si="439"/>
        <v>11088.5</v>
      </c>
      <c r="GH54" s="193">
        <f t="shared" si="440"/>
        <v>1592.7168936146077</v>
      </c>
      <c r="GI54" s="193">
        <f t="shared" si="441"/>
        <v>98335.5</v>
      </c>
      <c r="GJ54" s="23">
        <f t="shared" si="442"/>
        <v>0.10133517327094604</v>
      </c>
      <c r="GK54" s="330">
        <v>40448.499935164771</v>
      </c>
      <c r="GL54" s="330">
        <v>16346</v>
      </c>
      <c r="GM54" s="23">
        <f>GK54/'Assets(BoP)'!AW101/1000</f>
        <v>1.0599512843303247</v>
      </c>
      <c r="GN54" s="23">
        <f t="shared" si="443"/>
        <v>0.3696492536844273</v>
      </c>
      <c r="GO54" s="330">
        <f t="shared" si="275"/>
        <v>68975.500064835229</v>
      </c>
      <c r="GP54" s="23">
        <f>GO54/('Assets(BoP)'!AV101-'Assets(BoP)'!AW101)/1000</f>
        <v>1.0412236444745446</v>
      </c>
      <c r="GQ54" s="330">
        <f t="shared" si="444"/>
        <v>57887.000064835229</v>
      </c>
      <c r="GR54" s="330">
        <v>3891.7559999999999</v>
      </c>
      <c r="GS54" s="140">
        <f t="shared" si="445"/>
        <v>0.43152616926134113</v>
      </c>
      <c r="GT54" s="582">
        <v>0.71984335978561498</v>
      </c>
      <c r="GU54" s="576">
        <f t="shared" si="446"/>
        <v>0.27446642536978372</v>
      </c>
      <c r="GV54" s="589">
        <f t="shared" si="276"/>
        <v>5.2810285895375425E-2</v>
      </c>
      <c r="GW54" s="589"/>
      <c r="GX54" s="589">
        <f t="shared" si="277"/>
        <v>0.1713380453326834</v>
      </c>
      <c r="GY54" s="589"/>
      <c r="GZ54" s="589">
        <f t="shared" si="308"/>
        <v>0.3473846153846154</v>
      </c>
      <c r="HA54" s="56">
        <f t="shared" si="385"/>
        <v>0.47349721902446323</v>
      </c>
      <c r="HB54" s="589">
        <f t="shared" si="278"/>
        <v>9.6672999602350554E-2</v>
      </c>
      <c r="HC54" s="56">
        <v>0.1</v>
      </c>
      <c r="HD54" s="589">
        <f t="shared" si="279"/>
        <v>7.0961169233180521E-2</v>
      </c>
      <c r="HE54" s="56">
        <f t="shared" si="479"/>
        <v>0.47349721902446323</v>
      </c>
      <c r="HF54" s="589">
        <f t="shared" si="309"/>
        <v>8.0437343542924464E-2</v>
      </c>
      <c r="HG54" s="56">
        <v>0.1</v>
      </c>
      <c r="HH54" s="6">
        <f t="shared" si="57"/>
        <v>9.192996128304827E-2</v>
      </c>
      <c r="HI54" s="6">
        <f t="shared" si="447"/>
        <v>8.147166673529592E-2</v>
      </c>
      <c r="HJ54" s="23">
        <f t="shared" si="280"/>
        <v>0.47349721902446323</v>
      </c>
      <c r="HK54" s="23">
        <f t="shared" si="280"/>
        <v>0.60197392649333437</v>
      </c>
      <c r="HL54" s="23">
        <f t="shared" si="281"/>
        <v>0.41362770392072851</v>
      </c>
      <c r="HM54" s="31">
        <f t="shared" si="282"/>
        <v>0.22019032499133365</v>
      </c>
      <c r="HN54" s="23">
        <f t="shared" si="448"/>
        <v>0.3536484931309789</v>
      </c>
      <c r="HO54" s="23">
        <f t="shared" si="449"/>
        <v>0.30050094772411673</v>
      </c>
      <c r="HP54" s="575">
        <v>526353</v>
      </c>
      <c r="HQ54" s="193"/>
      <c r="HR54" s="193"/>
      <c r="HS54" s="193"/>
      <c r="HT54" s="193"/>
      <c r="HU54" s="193"/>
      <c r="HV54" s="193"/>
      <c r="HW54" s="193"/>
      <c r="HX54" s="193"/>
      <c r="HY54" s="193"/>
      <c r="HZ54" s="193"/>
      <c r="IA54" s="193"/>
      <c r="IB54" s="193"/>
      <c r="IC54" s="193">
        <v>11676</v>
      </c>
      <c r="ID54" s="193"/>
      <c r="IE54" s="193"/>
      <c r="IF54" s="193"/>
      <c r="IG54" s="193"/>
      <c r="IH54" s="193"/>
      <c r="II54" s="193"/>
      <c r="IJ54" s="193"/>
      <c r="IK54" s="193"/>
      <c r="IL54" s="193"/>
      <c r="IM54" s="575">
        <v>11676</v>
      </c>
      <c r="IN54" s="193"/>
      <c r="IO54" s="193"/>
      <c r="IP54" s="193"/>
      <c r="IQ54" s="193"/>
      <c r="IR54" s="193"/>
      <c r="IS54" s="193"/>
      <c r="IT54" s="193"/>
      <c r="IU54" s="193"/>
      <c r="IV54" s="193"/>
      <c r="IW54" s="193"/>
      <c r="IX54" s="149">
        <f t="shared" si="63"/>
        <v>3206533</v>
      </c>
      <c r="IY54" s="316">
        <f t="shared" si="64"/>
        <v>203429</v>
      </c>
      <c r="IZ54" s="316">
        <f t="shared" si="65"/>
        <v>-13489</v>
      </c>
      <c r="JA54" s="316">
        <f t="shared" si="66"/>
        <v>39294</v>
      </c>
      <c r="JB54" s="316">
        <f t="shared" si="67"/>
        <v>106582</v>
      </c>
      <c r="JC54" s="316">
        <f t="shared" si="68"/>
        <v>633672</v>
      </c>
      <c r="JD54" s="316">
        <f t="shared" si="69"/>
        <v>69242</v>
      </c>
      <c r="JE54" s="316">
        <f t="shared" si="70"/>
        <v>1038730</v>
      </c>
      <c r="JF54" s="316">
        <f t="shared" si="71"/>
        <v>2167803</v>
      </c>
      <c r="JG54" s="316">
        <f t="shared" si="72"/>
        <v>1964173.8465592037</v>
      </c>
      <c r="JH54" s="316">
        <f t="shared" si="73"/>
        <v>203629.15344079625</v>
      </c>
      <c r="JI54" s="5">
        <v>7728625</v>
      </c>
      <c r="JJ54" s="552">
        <v>383695</v>
      </c>
      <c r="JK54" s="552">
        <v>696205</v>
      </c>
      <c r="JL54" s="552">
        <v>910276</v>
      </c>
      <c r="JM54" s="552">
        <v>343794</v>
      </c>
      <c r="JN54" s="552">
        <v>1310285</v>
      </c>
      <c r="JO54" s="552">
        <v>153846</v>
      </c>
      <c r="JP54" s="552">
        <f t="shared" si="74"/>
        <v>3798101</v>
      </c>
      <c r="JQ54" s="552">
        <f t="shared" si="75"/>
        <v>3930524</v>
      </c>
      <c r="JR54" s="552">
        <f t="shared" si="76"/>
        <v>3645061</v>
      </c>
      <c r="JS54" s="552">
        <v>285463</v>
      </c>
      <c r="JT54" s="149">
        <v>4522092</v>
      </c>
      <c r="JU54" s="552">
        <v>180266</v>
      </c>
      <c r="JV54" s="552">
        <v>709694</v>
      </c>
      <c r="JW54" s="552">
        <v>870982</v>
      </c>
      <c r="JX54" s="552">
        <v>237212</v>
      </c>
      <c r="JY54" s="552">
        <v>676613</v>
      </c>
      <c r="JZ54" s="552">
        <v>84604</v>
      </c>
      <c r="KA54" s="552">
        <f t="shared" ref="KA54" si="561">JU54+JV54+JW54+JX54+JY54+JZ54</f>
        <v>2759371</v>
      </c>
      <c r="KB54" s="552">
        <f t="shared" ref="KB54" si="562">JT54-KA54</f>
        <v>1762721</v>
      </c>
      <c r="KC54" s="552">
        <f t="shared" ref="KC54:KC55" si="563">KB54-KD54</f>
        <v>1680887.1534407963</v>
      </c>
      <c r="KD54" s="620">
        <f>KD53+(KD$59-KD$53)/6</f>
        <v>81833.846559203768</v>
      </c>
      <c r="KE54" s="5">
        <v>1114490</v>
      </c>
      <c r="KF54" s="552">
        <v>46477</v>
      </c>
      <c r="KG54" s="552">
        <v>1169</v>
      </c>
      <c r="KH54" s="552">
        <v>19267</v>
      </c>
      <c r="KI54" s="552">
        <v>11161</v>
      </c>
      <c r="KJ54" s="552">
        <v>24506</v>
      </c>
      <c r="KK54" s="552">
        <v>21927</v>
      </c>
      <c r="KL54" s="552">
        <f t="shared" ref="KL54" si="564">KF54+KG54+KH54+KI54+KJ54+KK54</f>
        <v>124507</v>
      </c>
      <c r="KM54" s="552">
        <f t="shared" ref="KM54" si="565">KE54-KL54</f>
        <v>989983</v>
      </c>
      <c r="KN54" s="552">
        <f t="shared" ref="KN54" si="566">KM54-KO54</f>
        <v>689069</v>
      </c>
      <c r="KO54" s="552">
        <v>300914</v>
      </c>
      <c r="KP54" s="5">
        <v>340490</v>
      </c>
      <c r="KQ54" s="552">
        <v>13965</v>
      </c>
      <c r="KR54" s="552">
        <v>1059</v>
      </c>
      <c r="KS54" s="552">
        <v>19068</v>
      </c>
      <c r="KT54" s="552">
        <v>27256</v>
      </c>
      <c r="KU54" s="552">
        <v>2914</v>
      </c>
      <c r="KV54" s="552">
        <v>12366</v>
      </c>
      <c r="KW54" s="552">
        <f t="shared" ref="KW54" si="567">KQ54+KR54+KS54+KT54+KU54+KV54</f>
        <v>76628</v>
      </c>
      <c r="KX54" s="552">
        <f t="shared" ref="KX54" si="568">KP54-KW54</f>
        <v>263862</v>
      </c>
      <c r="KY54" s="552">
        <f t="shared" ref="KY54" si="569">KX54-KZ54</f>
        <v>243759</v>
      </c>
      <c r="KZ54" s="552">
        <v>20103</v>
      </c>
      <c r="LA54" s="149">
        <f>'Assets(MOFA)'!IX54-'Assets(MOFA)'!KE54-'Assets(MOFA)'!KP54</f>
        <v>1751553</v>
      </c>
      <c r="LB54" s="552">
        <f>'Assets(MOFA)'!IY54-'Assets(MOFA)'!KF54-'Assets(MOFA)'!KQ54</f>
        <v>142987</v>
      </c>
      <c r="LC54" s="552">
        <f>'Assets(MOFA)'!IZ54-'Assets(MOFA)'!KG54-'Assets(MOFA)'!KR54</f>
        <v>-15717</v>
      </c>
      <c r="LD54" s="552">
        <f>'Assets(MOFA)'!JA54-'Assets(MOFA)'!KH54-'Assets(MOFA)'!KS54</f>
        <v>959</v>
      </c>
      <c r="LE54" s="552">
        <f>'Assets(MOFA)'!JB54-'Assets(MOFA)'!KI54-'Assets(MOFA)'!KT54</f>
        <v>68165</v>
      </c>
      <c r="LF54" s="552">
        <f>'Assets(MOFA)'!JC54-'Assets(MOFA)'!KJ54-'Assets(MOFA)'!KU54</f>
        <v>606252</v>
      </c>
      <c r="LG54" s="552">
        <f>'Assets(MOFA)'!JD54-'Assets(MOFA)'!KK54-'Assets(MOFA)'!KV54</f>
        <v>34949</v>
      </c>
      <c r="LH54" s="552">
        <f>'Assets(MOFA)'!JE54-'Assets(MOFA)'!KL54-'Assets(MOFA)'!KW54</f>
        <v>837595</v>
      </c>
      <c r="LI54" s="552">
        <f>'Assets(MOFA)'!JF54-'Assets(MOFA)'!KM54-'Assets(MOFA)'!KX54</f>
        <v>913958</v>
      </c>
      <c r="LJ54" s="552">
        <f t="shared" si="77"/>
        <v>1031345.8465592037</v>
      </c>
      <c r="LK54" s="552">
        <f>'Assets(MOFA)'!JH54-'Assets(MOFA)'!KO54-'Assets(MOFA)'!KZ54</f>
        <v>-117387.84655920375</v>
      </c>
      <c r="LL54" s="576">
        <f t="shared" si="78"/>
        <v>0.12433335318863084</v>
      </c>
      <c r="LM54" s="6">
        <f t="shared" si="79"/>
        <v>0.21716176159741238</v>
      </c>
      <c r="LN54" s="6">
        <f t="shared" si="80"/>
        <v>-0.60834754244198974</v>
      </c>
      <c r="LO54" s="6">
        <f t="shared" si="81"/>
        <v>0.16541965694508068</v>
      </c>
      <c r="LP54" s="6">
        <f t="shared" si="82"/>
        <v>0.21235293013829729</v>
      </c>
      <c r="LQ54" s="6">
        <f t="shared" si="83"/>
        <v>4.0274779381130929E-2</v>
      </c>
      <c r="LR54" s="6">
        <f t="shared" si="84"/>
        <v>0.19615262412986337</v>
      </c>
      <c r="LS54" s="6">
        <f t="shared" si="85"/>
        <v>0.11612161004303331</v>
      </c>
      <c r="LT54" s="143">
        <f t="shared" si="86"/>
        <v>0.21197459215879638</v>
      </c>
      <c r="LU54" s="62">
        <f t="shared" si="87"/>
        <v>6.0998336560638203E-2</v>
      </c>
      <c r="LV54" s="902">
        <f t="shared" si="88"/>
        <v>0.12826811292354517</v>
      </c>
      <c r="LW54" s="902">
        <f t="shared" si="89"/>
        <v>9.807431268747098E-2</v>
      </c>
      <c r="LX54" s="143">
        <f t="shared" si="90"/>
        <v>0.4195126216287921</v>
      </c>
      <c r="LY54" s="576">
        <f t="shared" si="91"/>
        <v>0.13161598524013318</v>
      </c>
      <c r="LZ54" s="906">
        <f t="shared" si="92"/>
        <v>0.21716176159741238</v>
      </c>
      <c r="MA54" s="906">
        <f t="shared" si="93"/>
        <v>-0.60834754244198974</v>
      </c>
      <c r="MB54" s="906">
        <f t="shared" si="94"/>
        <v>0.16541965694508068</v>
      </c>
      <c r="MC54" s="906">
        <f t="shared" si="95"/>
        <v>0.21235293013829729</v>
      </c>
      <c r="MD54" s="906">
        <f t="shared" si="96"/>
        <v>4.0274779381130929E-2</v>
      </c>
      <c r="ME54" s="906">
        <v>6.1610529375296846E-2</v>
      </c>
      <c r="MF54" s="906">
        <f t="shared" si="97"/>
        <v>0.19615262412986337</v>
      </c>
      <c r="MG54" s="30">
        <f t="shared" si="98"/>
        <v>0.11612161004303331</v>
      </c>
      <c r="MH54" s="140">
        <f t="shared" si="99"/>
        <v>0.21197459215879638</v>
      </c>
      <c r="MI54" s="30">
        <f t="shared" si="100"/>
        <v>6.0998336560638203E-2</v>
      </c>
      <c r="MJ54" s="30">
        <f t="shared" si="101"/>
        <v>0.12826811292354517</v>
      </c>
      <c r="MK54" s="617">
        <f t="shared" si="102"/>
        <v>9.807431268747098E-2</v>
      </c>
      <c r="ML54" s="615">
        <f t="shared" si="103"/>
        <v>0.4195126216287921</v>
      </c>
      <c r="MM54" s="574"/>
      <c r="MX54" s="613"/>
      <c r="MY54" s="552"/>
      <c r="MZ54" s="552"/>
      <c r="NA54" s="552"/>
      <c r="NB54" s="552"/>
      <c r="NC54" s="552"/>
      <c r="ND54" s="552"/>
      <c r="NE54" s="552"/>
      <c r="NF54" s="552"/>
      <c r="NG54" s="552"/>
      <c r="NH54" s="552"/>
      <c r="NI54" s="613">
        <f t="shared" si="364"/>
        <v>482041</v>
      </c>
      <c r="PN54" s="574"/>
      <c r="PO54" s="593"/>
      <c r="PP54" s="593"/>
      <c r="PQ54" s="593"/>
      <c r="PR54" s="593"/>
      <c r="PS54" s="593"/>
      <c r="PT54" s="593"/>
      <c r="PU54" s="593"/>
      <c r="PV54" s="593"/>
      <c r="PW54" s="593"/>
      <c r="PX54" s="593"/>
      <c r="PY54" s="593"/>
      <c r="PZ54" s="593"/>
      <c r="QA54" s="593"/>
      <c r="QB54" s="593"/>
      <c r="QC54" s="593"/>
      <c r="QD54" s="593"/>
      <c r="QE54" s="593"/>
      <c r="QF54" s="593"/>
      <c r="QG54" s="593"/>
      <c r="QH54" s="593"/>
      <c r="QI54" s="593"/>
      <c r="QJ54" s="593"/>
      <c r="QK54" s="593"/>
      <c r="QL54" s="593"/>
      <c r="QM54" s="593"/>
      <c r="QN54" s="593"/>
      <c r="QO54" s="593"/>
      <c r="QP54" s="593"/>
      <c r="QQ54" s="593"/>
      <c r="QR54" s="593"/>
      <c r="QS54" s="593"/>
      <c r="QT54" s="593"/>
      <c r="QU54" s="593"/>
      <c r="QV54" s="593"/>
      <c r="QW54" s="593"/>
      <c r="QX54" s="593"/>
      <c r="QY54" s="593"/>
      <c r="QZ54" s="593"/>
      <c r="RA54" s="593"/>
      <c r="RB54" s="593"/>
      <c r="RC54" s="593"/>
      <c r="RD54" s="593"/>
      <c r="RE54" s="593"/>
      <c r="RF54" s="593"/>
      <c r="RG54" s="593"/>
      <c r="RH54" s="593"/>
      <c r="RI54" s="593"/>
      <c r="RJ54" s="593"/>
      <c r="RK54" s="593"/>
      <c r="RL54" s="593"/>
      <c r="RM54" s="593"/>
      <c r="RN54" s="593"/>
      <c r="RO54" s="593"/>
      <c r="RP54" s="593"/>
      <c r="RQ54" s="593"/>
      <c r="RR54" s="593"/>
    </row>
    <row r="55" spans="1:486">
      <c r="A55" s="568">
        <v>2010</v>
      </c>
      <c r="B55" s="33">
        <f t="array" ref="B55:B58">TRANSPOSE(OECD_Comp10!C9:F9)</f>
        <v>493629</v>
      </c>
      <c r="C55" s="193">
        <f t="array" ref="C55:C58">TRANSPOSE(OECD_Comp10!C26:F26)</f>
        <v>7190</v>
      </c>
      <c r="D55" s="193">
        <f t="array" ref="D55:D58">TRANSPOSE(OECD_Comp10!C32:F32)</f>
        <v>1389</v>
      </c>
      <c r="E55" s="193">
        <f t="array" ref="E55:E58">TRANSPOSE(OECD_Comp10!C34:F34)</f>
        <v>16004</v>
      </c>
      <c r="F55" s="193">
        <f t="array" ref="F55:F58">TRANSPOSE(OECD_Comp10!C15:F15)</f>
        <v>9749</v>
      </c>
      <c r="G55" s="193">
        <v>1465</v>
      </c>
      <c r="H55" s="193">
        <f t="array" ref="H55:H58">TRANSPOSE(OECD_Comp10!C152:F152)</f>
        <v>8334</v>
      </c>
      <c r="I55" s="193">
        <f t="shared" si="550"/>
        <v>44131</v>
      </c>
      <c r="J55" s="193">
        <f t="shared" si="551"/>
        <v>449498</v>
      </c>
      <c r="K55" s="193">
        <f t="shared" si="249"/>
        <v>437240</v>
      </c>
      <c r="L55" s="193">
        <v>12258</v>
      </c>
      <c r="M55" s="140">
        <f t="shared" si="217"/>
        <v>8.9401149446244041E-2</v>
      </c>
      <c r="N55" s="140">
        <f t="shared" si="250"/>
        <v>2.4832414627179521E-2</v>
      </c>
      <c r="O55" s="193">
        <v>4706900</v>
      </c>
      <c r="P55" s="32">
        <f t="shared" si="251"/>
        <v>0.10487348360916952</v>
      </c>
      <c r="Q55" s="629">
        <f t="shared" si="218"/>
        <v>1.4565594809057005E-2</v>
      </c>
      <c r="R55" s="308">
        <f t="shared" si="219"/>
        <v>2.813854129315741E-3</v>
      </c>
      <c r="S55" s="308">
        <f t="shared" si="220"/>
        <v>3.2421109780827302E-2</v>
      </c>
      <c r="T55" s="308">
        <f t="shared" si="221"/>
        <v>1.9749650040820129E-2</v>
      </c>
      <c r="U55" s="308">
        <f t="shared" si="222"/>
        <v>2.9678159103294173E-3</v>
      </c>
      <c r="V55" s="308">
        <f t="shared" si="223"/>
        <v>1.6883124775894449E-2</v>
      </c>
      <c r="W55" s="5">
        <f t="array" ref="W55:W58">TRANSPOSE(OECD_OS!C9:F9)</f>
        <v>460173</v>
      </c>
      <c r="X55" s="193">
        <f t="array" ref="X55:X58">TRANSPOSE(OECD_OS!C26:F26)</f>
        <v>51391</v>
      </c>
      <c r="Y55" s="193">
        <v>0</v>
      </c>
      <c r="Z55" s="76">
        <f t="shared" si="114"/>
        <v>51391</v>
      </c>
      <c r="AA55" s="193">
        <f t="array" ref="AA55:AA58">TRANSPOSE(OECD_OS!C32:F32)</f>
        <v>1830</v>
      </c>
      <c r="AB55" s="66">
        <v>0</v>
      </c>
      <c r="AC55" s="274">
        <f t="shared" si="117"/>
        <v>1830</v>
      </c>
      <c r="AD55" s="193">
        <f t="array" ref="AD55:AD58">TRANSPOSE(OECD_OS!C34:F34)</f>
        <v>3796</v>
      </c>
      <c r="AE55" s="357">
        <f t="shared" si="477"/>
        <v>645.00896900591215</v>
      </c>
      <c r="AF55" s="274">
        <f t="shared" si="119"/>
        <v>3150.9910309940879</v>
      </c>
      <c r="AG55" s="193">
        <f t="array" ref="AG55:AG58">TRANSPOSE(OECD_OS!C15:F15)</f>
        <v>21618</v>
      </c>
      <c r="AH55" s="357">
        <f t="shared" si="382"/>
        <v>401.27113001147086</v>
      </c>
      <c r="AI55" s="76">
        <f t="shared" si="287"/>
        <v>21216.728869988528</v>
      </c>
      <c r="AJ55" s="193">
        <v>27688</v>
      </c>
      <c r="AK55" s="357">
        <f t="shared" si="458"/>
        <v>3405.7291883997495</v>
      </c>
      <c r="AL55" s="274">
        <f t="shared" si="123"/>
        <v>24282.27081160025</v>
      </c>
      <c r="AM55" s="193">
        <f t="array" ref="AM55:AM58">TRANSPOSE(OECD_OS!C152:F152)</f>
        <v>15764</v>
      </c>
      <c r="AN55" s="357">
        <f t="shared" si="478"/>
        <v>675.11672629695875</v>
      </c>
      <c r="AO55" s="274">
        <f t="shared" si="125"/>
        <v>15088.883273703041</v>
      </c>
      <c r="AP55" s="193">
        <f t="shared" si="397"/>
        <v>122087</v>
      </c>
      <c r="AQ55" s="271">
        <f t="shared" si="398"/>
        <v>5127.1260137140916</v>
      </c>
      <c r="AR55" s="271">
        <f t="shared" si="126"/>
        <v>116959.87398628591</v>
      </c>
      <c r="AS55" s="193">
        <f t="shared" si="259"/>
        <v>338086</v>
      </c>
      <c r="AT55" s="193">
        <f t="shared" si="224"/>
        <v>227791</v>
      </c>
      <c r="AU55" s="193">
        <v>110295</v>
      </c>
      <c r="AV55" s="193">
        <v>33945</v>
      </c>
      <c r="AW55" s="23">
        <f t="shared" si="289"/>
        <v>0.30776553787569699</v>
      </c>
      <c r="AX55" s="271">
        <f t="shared" si="227"/>
        <v>349878</v>
      </c>
      <c r="AY55" s="140">
        <f t="shared" si="399"/>
        <v>0.26530674333348547</v>
      </c>
      <c r="AZ55" s="623">
        <f t="shared" si="129"/>
        <v>0.25416500747824383</v>
      </c>
      <c r="BA55" s="248">
        <f t="shared" si="400"/>
        <v>0.33428759163561556</v>
      </c>
      <c r="BB55" s="248">
        <f t="shared" si="130"/>
        <v>0.14688262765878393</v>
      </c>
      <c r="BC55" s="248">
        <f t="shared" si="131"/>
        <v>5.2303945946872909E-3</v>
      </c>
      <c r="BD55" s="248">
        <f t="shared" si="132"/>
        <v>9.0059707412129021E-3</v>
      </c>
      <c r="BE55" s="248">
        <f t="shared" si="133"/>
        <v>6.0640362840728851E-2</v>
      </c>
      <c r="BF55" s="248">
        <f t="shared" si="134"/>
        <v>6.9402108196572096E-2</v>
      </c>
      <c r="BG55" s="248">
        <f t="shared" si="135"/>
        <v>4.3126127603630528E-2</v>
      </c>
      <c r="BH55" s="248">
        <f t="shared" si="136"/>
        <v>1.4236365335900194E-2</v>
      </c>
      <c r="BI55" s="23">
        <f t="shared" si="401"/>
        <v>0.33809213497276192</v>
      </c>
      <c r="BJ55" s="140">
        <f t="shared" si="402"/>
        <v>0.2396815980077058</v>
      </c>
      <c r="BK55" s="623">
        <f t="shared" si="137"/>
        <v>0.22853986215246419</v>
      </c>
      <c r="BL55" s="5">
        <v>-40967</v>
      </c>
      <c r="BM55" s="193">
        <v>-1667</v>
      </c>
      <c r="BN55" s="193">
        <v>-946</v>
      </c>
      <c r="BO55" s="193">
        <v>-1618</v>
      </c>
      <c r="BP55" s="193">
        <v>-1519</v>
      </c>
      <c r="BQ55" s="193">
        <v>-10345</v>
      </c>
      <c r="BR55" s="193">
        <v>-442</v>
      </c>
      <c r="BS55" s="193">
        <f t="shared" si="403"/>
        <v>-16537</v>
      </c>
      <c r="BT55" s="193">
        <f t="shared" si="365"/>
        <v>-24430</v>
      </c>
      <c r="BU55" s="193">
        <f t="shared" si="373"/>
        <v>-26631</v>
      </c>
      <c r="BV55" s="193">
        <v>2201</v>
      </c>
      <c r="BW55" s="5">
        <f t="shared" si="262"/>
        <v>330173</v>
      </c>
      <c r="BX55" s="193">
        <f t="shared" si="263"/>
        <v>48290</v>
      </c>
      <c r="BY55" s="193">
        <f t="shared" si="459"/>
        <v>0</v>
      </c>
      <c r="BZ55" s="647">
        <f t="shared" si="149"/>
        <v>0.14625665938765436</v>
      </c>
      <c r="CA55" s="193">
        <f t="shared" si="264"/>
        <v>-180</v>
      </c>
      <c r="CB55" s="193">
        <f t="shared" si="460"/>
        <v>0</v>
      </c>
      <c r="CC55" s="647">
        <f t="shared" si="404"/>
        <v>-5.4516874487011357E-4</v>
      </c>
      <c r="CD55" s="193">
        <f t="shared" si="265"/>
        <v>-518</v>
      </c>
      <c r="CE55" s="193">
        <f t="shared" si="461"/>
        <v>350.74347366416691</v>
      </c>
      <c r="CF55" s="655">
        <f t="shared" si="405"/>
        <v>-2.6311766063977578E-3</v>
      </c>
      <c r="CG55" s="193">
        <f t="shared" si="266"/>
        <v>19245</v>
      </c>
      <c r="CH55" s="193">
        <f t="shared" si="462"/>
        <v>361.14401701032375</v>
      </c>
      <c r="CI55" s="23">
        <f t="shared" si="406"/>
        <v>5.7193822580858145E-2</v>
      </c>
      <c r="CJ55" s="193">
        <f t="shared" si="267"/>
        <v>25251</v>
      </c>
      <c r="CK55" s="641">
        <f t="shared" si="463"/>
        <v>1851.9700396411433</v>
      </c>
      <c r="CL55" s="34">
        <f t="shared" si="158"/>
        <v>7.0868998859261234E-2</v>
      </c>
      <c r="CM55" s="193">
        <f t="shared" si="268"/>
        <v>14566</v>
      </c>
      <c r="CN55" s="193">
        <f t="shared" si="464"/>
        <v>607.60505366726284</v>
      </c>
      <c r="CO55" s="23">
        <f t="shared" si="161"/>
        <v>4.2276003629408636E-2</v>
      </c>
      <c r="CP55" s="193">
        <f t="shared" si="407"/>
        <v>106654</v>
      </c>
      <c r="CQ55" s="193">
        <f t="shared" si="162"/>
        <v>3171.4625839828968</v>
      </c>
      <c r="CR55" s="193">
        <f t="shared" si="408"/>
        <v>223519</v>
      </c>
      <c r="CS55" s="248">
        <f t="shared" si="163"/>
        <v>0.31341913910591451</v>
      </c>
      <c r="CT55" s="30">
        <f t="shared" si="409"/>
        <v>0.32302459619653939</v>
      </c>
      <c r="CU55" s="308">
        <f t="shared" si="410"/>
        <v>0</v>
      </c>
      <c r="CV55" s="608">
        <f t="shared" si="269"/>
        <v>0.14625665938765436</v>
      </c>
      <c r="CW55" s="608">
        <f t="shared" si="270"/>
        <v>-5.4516874487011357E-4</v>
      </c>
      <c r="CX55" s="608">
        <f t="shared" si="271"/>
        <v>-1.5688744991262157E-3</v>
      </c>
      <c r="CY55" s="608">
        <f t="shared" si="272"/>
        <v>5.8287624972362971E-2</v>
      </c>
      <c r="CZ55" s="608">
        <f t="shared" si="327"/>
        <v>7.6478088759529092E-2</v>
      </c>
      <c r="DA55" s="608">
        <f>'Assets(BoP)'!FK102</f>
        <v>0.13616193795739728</v>
      </c>
      <c r="DB55" s="608">
        <f t="shared" si="273"/>
        <v>4.4116266320989299E-2</v>
      </c>
      <c r="DC55" s="23">
        <f t="shared" si="411"/>
        <v>0.38298964204972563</v>
      </c>
      <c r="DD55" s="193">
        <f t="shared" si="412"/>
        <v>270196.7</v>
      </c>
      <c r="DE55" s="193">
        <f t="shared" si="274"/>
        <v>59976.3</v>
      </c>
      <c r="DF55" s="193"/>
      <c r="DG55" s="193">
        <f>'Assets(BoP)'!DA102*1000</f>
        <v>22139</v>
      </c>
      <c r="DH55" s="23">
        <f t="shared" si="413"/>
        <v>0.18165113440529662</v>
      </c>
      <c r="DI55" s="23"/>
      <c r="DJ55" s="23">
        <f t="shared" si="414"/>
        <v>0.32459347069566563</v>
      </c>
      <c r="DK55" s="600">
        <f>'Assets(BoP)'!FO102-'Assets(BoP)'!FH102</f>
        <v>0.36217409672692524</v>
      </c>
      <c r="DL55" s="576">
        <f t="shared" si="415"/>
        <v>0.93222440334745327</v>
      </c>
      <c r="DM55" s="251">
        <f t="shared" si="416"/>
        <v>7.147566063977747</v>
      </c>
      <c r="DN55" s="251">
        <f t="shared" si="417"/>
        <v>7.147566063977747</v>
      </c>
      <c r="DO55" s="251">
        <f t="shared" si="418"/>
        <v>1.3174946004319654</v>
      </c>
      <c r="DP55" s="251">
        <f t="shared" si="419"/>
        <v>1.3174946004319654</v>
      </c>
      <c r="DQ55" s="251">
        <f t="shared" si="420"/>
        <v>0.23719070232441888</v>
      </c>
      <c r="DR55" s="251">
        <f t="shared" si="421"/>
        <v>0.19777358607319714</v>
      </c>
      <c r="DS55" s="251">
        <f t="shared" si="422"/>
        <v>2.2174582008411119</v>
      </c>
      <c r="DT55" s="251">
        <f t="shared" si="423"/>
        <v>2.1862991454341629</v>
      </c>
      <c r="DU55" s="251">
        <f t="shared" si="424"/>
        <v>18.899658703071673</v>
      </c>
      <c r="DV55" s="251">
        <f t="shared" si="425"/>
        <v>22.349219529065525</v>
      </c>
      <c r="DW55" s="251">
        <f t="shared" si="426"/>
        <v>1.8915286777057836</v>
      </c>
      <c r="DX55" s="251">
        <f t="shared" si="427"/>
        <v>1.8269694294025567</v>
      </c>
      <c r="DY55" s="251">
        <f t="shared" si="428"/>
        <v>0.32346346231242457</v>
      </c>
      <c r="DZ55" s="251">
        <f t="shared" si="429"/>
        <v>0.28756425771448496</v>
      </c>
      <c r="EA55" s="643">
        <f t="shared" si="430"/>
        <v>2.7664680156805872</v>
      </c>
      <c r="EB55" s="643">
        <f t="shared" si="431"/>
        <v>2.6849565214175408</v>
      </c>
      <c r="EC55" s="251">
        <f t="shared" si="432"/>
        <v>0.75214127760301497</v>
      </c>
      <c r="ED55" s="251">
        <f t="shared" si="433"/>
        <v>0.726836473323071</v>
      </c>
      <c r="EE55" s="140">
        <f t="shared" si="434"/>
        <v>0.5209747507089928</v>
      </c>
      <c r="EF55" s="1342">
        <v>0.30828673363313225</v>
      </c>
      <c r="EG55" s="140">
        <f t="shared" si="228"/>
        <v>8.9977973568281939</v>
      </c>
      <c r="EH55" s="583">
        <v>79.495533596837973</v>
      </c>
      <c r="EI55" s="1344">
        <v>1.0738197593774901</v>
      </c>
      <c r="EJ55" s="576">
        <f t="shared" si="166"/>
        <v>0.66886872529774388</v>
      </c>
      <c r="EK55" s="753">
        <f t="shared" si="167"/>
        <v>2.3798491292125026</v>
      </c>
      <c r="EL55" s="753">
        <f t="shared" si="168"/>
        <v>4.8928291727851203</v>
      </c>
      <c r="EM55" s="753">
        <f t="shared" si="169"/>
        <v>0.37403416887750435</v>
      </c>
      <c r="EN55" s="583"/>
      <c r="EO55" s="5">
        <v>1026365</v>
      </c>
      <c r="EP55" s="193">
        <v>95344</v>
      </c>
      <c r="EQ55" s="193"/>
      <c r="ER55" s="193">
        <v>95084</v>
      </c>
      <c r="ES55" s="193"/>
      <c r="ET55" s="193">
        <v>149665</v>
      </c>
      <c r="EU55" s="193"/>
      <c r="EV55" s="193">
        <v>55339</v>
      </c>
      <c r="EW55" s="193"/>
      <c r="EX55" s="193">
        <v>139469</v>
      </c>
      <c r="EY55" s="193"/>
      <c r="EZ55" s="193">
        <v>33639</v>
      </c>
      <c r="FA55" s="193"/>
      <c r="FB55" s="193">
        <f t="shared" si="558"/>
        <v>568540</v>
      </c>
      <c r="FC55" s="193">
        <f t="shared" si="559"/>
        <v>457825</v>
      </c>
      <c r="FD55" s="23">
        <f t="shared" si="560"/>
        <v>0.5539354907854418</v>
      </c>
      <c r="FE55" s="193">
        <v>73054</v>
      </c>
      <c r="FF55" s="193"/>
      <c r="FG55" s="193"/>
      <c r="FH55" s="193"/>
      <c r="FI55" s="193"/>
      <c r="FJ55" s="5">
        <v>130000</v>
      </c>
      <c r="FK55" s="143">
        <f>FJ55/'Assets(BoP)'!AV102/1000</f>
        <v>1.0155147293810651</v>
      </c>
      <c r="FL55" s="193"/>
      <c r="FM55" s="193">
        <v>3101</v>
      </c>
      <c r="FN55" s="66">
        <f t="shared" si="374"/>
        <v>0</v>
      </c>
      <c r="FO55" s="184">
        <f t="shared" si="383"/>
        <v>0</v>
      </c>
      <c r="FP55" s="193">
        <v>2010</v>
      </c>
      <c r="FQ55" s="66">
        <f t="shared" si="375"/>
        <v>0</v>
      </c>
      <c r="FR55" s="184">
        <v>0</v>
      </c>
      <c r="FS55" s="193">
        <v>4314</v>
      </c>
      <c r="FT55" s="66">
        <f t="shared" si="465"/>
        <v>294.26549534174524</v>
      </c>
      <c r="FU55" s="193">
        <f t="shared" si="175"/>
        <v>4019.734504658255</v>
      </c>
      <c r="FV55" s="23">
        <f t="shared" si="376"/>
        <v>6.8211751354136582E-2</v>
      </c>
      <c r="FW55" s="193">
        <v>2373</v>
      </c>
      <c r="FX55" s="66">
        <f t="shared" si="466"/>
        <v>40.127113001147087</v>
      </c>
      <c r="FY55" s="23">
        <f t="shared" si="438"/>
        <v>1.6909866414305558E-2</v>
      </c>
      <c r="FZ55" s="193">
        <v>2437</v>
      </c>
      <c r="GA55" s="66">
        <f t="shared" si="467"/>
        <v>1553.7591487586062</v>
      </c>
      <c r="GB55" s="193">
        <f t="shared" si="180"/>
        <v>883.24085124139378</v>
      </c>
      <c r="GC55" s="23">
        <f t="shared" si="366"/>
        <v>0.63757043445162342</v>
      </c>
      <c r="GD55" s="193">
        <v>1198</v>
      </c>
      <c r="GE55" s="66">
        <f t="shared" si="384"/>
        <v>67.51167262969588</v>
      </c>
      <c r="GF55" s="23">
        <f t="shared" si="377"/>
        <v>5.6353649941315427E-2</v>
      </c>
      <c r="GG55" s="193">
        <f t="shared" si="439"/>
        <v>15433</v>
      </c>
      <c r="GH55" s="193">
        <f t="shared" si="440"/>
        <v>1955.6634297311944</v>
      </c>
      <c r="GI55" s="193">
        <f t="shared" si="441"/>
        <v>114567</v>
      </c>
      <c r="GJ55" s="23">
        <f t="shared" si="442"/>
        <v>0.11871538461538461</v>
      </c>
      <c r="GK55" s="330">
        <v>50318.7</v>
      </c>
      <c r="GL55" s="330">
        <v>20914</v>
      </c>
      <c r="GM55" s="23">
        <f>GK55/'Assets(BoP)'!AW102/1000</f>
        <v>1.0887729934046608</v>
      </c>
      <c r="GN55" s="23">
        <f t="shared" si="443"/>
        <v>0.38706692307692303</v>
      </c>
      <c r="GO55" s="330">
        <f t="shared" si="275"/>
        <v>79681.3</v>
      </c>
      <c r="GP55" s="23">
        <f>GO55/('Assets(BoP)'!AV102-'Assets(BoP)'!AW102)/1000</f>
        <v>0.9741236847206729</v>
      </c>
      <c r="GQ55" s="330">
        <f t="shared" si="444"/>
        <v>64248.3</v>
      </c>
      <c r="GR55" s="330">
        <v>3944.8119999999999</v>
      </c>
      <c r="GS55" s="140">
        <f t="shared" si="445"/>
        <v>0.59353763781910984</v>
      </c>
      <c r="GT55" s="582">
        <v>0.75504495198983501</v>
      </c>
      <c r="GU55" s="576">
        <f t="shared" si="446"/>
        <v>0.28250245016548126</v>
      </c>
      <c r="GV55" s="589">
        <f t="shared" si="276"/>
        <v>6.0341304897744738E-2</v>
      </c>
      <c r="GW55" s="589"/>
      <c r="GX55" s="589">
        <f t="shared" si="277"/>
        <v>1.098360655737705</v>
      </c>
      <c r="GY55" s="589"/>
      <c r="GZ55" s="589">
        <f t="shared" si="308"/>
        <v>1.1364594309799789</v>
      </c>
      <c r="HA55" s="56">
        <f t="shared" si="385"/>
        <v>0.45621923024615801</v>
      </c>
      <c r="HB55" s="589">
        <f t="shared" si="278"/>
        <v>0.10976963641409936</v>
      </c>
      <c r="HC55" s="56">
        <v>0.1</v>
      </c>
      <c r="HD55" s="589">
        <f t="shared" si="279"/>
        <v>8.8016469228546668E-2</v>
      </c>
      <c r="HE55" s="56">
        <f t="shared" si="479"/>
        <v>0.45621923024615801</v>
      </c>
      <c r="HF55" s="589">
        <f t="shared" si="309"/>
        <v>7.5995940116721644E-2</v>
      </c>
      <c r="HG55" s="56">
        <v>0.1</v>
      </c>
      <c r="HH55" s="6">
        <f t="shared" si="57"/>
        <v>0.12640985526714557</v>
      </c>
      <c r="HI55" s="6">
        <f t="shared" si="447"/>
        <v>0.11523042998361205</v>
      </c>
      <c r="HJ55" s="23">
        <f t="shared" si="280"/>
        <v>0.45621923024615801</v>
      </c>
      <c r="HK55" s="23">
        <f t="shared" si="280"/>
        <v>0.61611430254823984</v>
      </c>
      <c r="HL55" s="23">
        <f t="shared" si="281"/>
        <v>0.3851303208906352</v>
      </c>
      <c r="HM55" s="31">
        <f t="shared" si="282"/>
        <v>0.22774024088396527</v>
      </c>
      <c r="HN55" s="23">
        <f t="shared" si="448"/>
        <v>0.33886940009346733</v>
      </c>
      <c r="HO55" s="23">
        <f t="shared" si="449"/>
        <v>0.2820493346971566</v>
      </c>
      <c r="HP55" s="575">
        <v>668550</v>
      </c>
      <c r="HQ55" s="193"/>
      <c r="HR55" s="193"/>
      <c r="HS55" s="193"/>
      <c r="HT55" s="193"/>
      <c r="HU55" s="193"/>
      <c r="HV55" s="193"/>
      <c r="HW55" s="193"/>
      <c r="HX55" s="193"/>
      <c r="HY55" s="193"/>
      <c r="HZ55" s="193"/>
      <c r="IA55" s="193"/>
      <c r="IB55" s="193"/>
      <c r="IC55" s="193"/>
      <c r="ID55" s="193"/>
      <c r="IE55" s="193"/>
      <c r="IF55" s="193"/>
      <c r="IG55" s="193"/>
      <c r="IH55" s="193"/>
      <c r="II55" s="193"/>
      <c r="IJ55" s="193"/>
      <c r="IK55" s="193"/>
      <c r="IL55" s="193"/>
      <c r="IM55" s="575">
        <v>36111</v>
      </c>
      <c r="IN55" s="193"/>
      <c r="IO55" s="193"/>
      <c r="IP55" s="193"/>
      <c r="IQ55" s="193"/>
      <c r="IR55" s="193"/>
      <c r="IS55" s="193"/>
      <c r="IT55" s="193"/>
      <c r="IU55" s="193"/>
      <c r="IV55" s="193"/>
      <c r="IW55" s="193"/>
      <c r="IX55" s="149">
        <f t="shared" ref="IX55:JF60" si="570">JI55-JT55</f>
        <v>3427331</v>
      </c>
      <c r="IY55" s="316">
        <f t="shared" si="64"/>
        <v>213777</v>
      </c>
      <c r="IZ55" s="316">
        <f t="shared" si="65"/>
        <v>52970</v>
      </c>
      <c r="JA55" s="316">
        <f t="shared" si="66"/>
        <v>37163</v>
      </c>
      <c r="JB55" s="316">
        <f t="shared" si="67"/>
        <v>133409</v>
      </c>
      <c r="JC55" s="316">
        <f t="shared" si="68"/>
        <v>570546</v>
      </c>
      <c r="JD55" s="316">
        <f t="shared" si="69"/>
        <v>102457</v>
      </c>
      <c r="JE55" s="316">
        <f t="shared" si="70"/>
        <v>1110322</v>
      </c>
      <c r="JF55" s="316">
        <f t="shared" si="71"/>
        <v>2317009</v>
      </c>
      <c r="JG55" s="316">
        <f t="shared" si="72"/>
        <v>2087245.6931184076</v>
      </c>
      <c r="JH55" s="316">
        <f t="shared" si="73"/>
        <v>229763.30688159246</v>
      </c>
      <c r="JI55" s="5">
        <v>8238010</v>
      </c>
      <c r="JJ55" s="552">
        <v>425033</v>
      </c>
      <c r="JK55" s="552">
        <v>793075</v>
      </c>
      <c r="JL55" s="552">
        <v>989158</v>
      </c>
      <c r="JM55" s="552">
        <v>369072</v>
      </c>
      <c r="JN55" s="552">
        <v>1325594</v>
      </c>
      <c r="JO55" s="552">
        <v>185681</v>
      </c>
      <c r="JP55" s="552">
        <f t="shared" si="74"/>
        <v>4087613</v>
      </c>
      <c r="JQ55" s="552">
        <f t="shared" si="75"/>
        <v>4150397</v>
      </c>
      <c r="JR55" s="552">
        <f t="shared" si="76"/>
        <v>3829887</v>
      </c>
      <c r="JS55" s="552">
        <v>320510</v>
      </c>
      <c r="JT55" s="149">
        <v>4810679</v>
      </c>
      <c r="JU55" s="552">
        <v>211256</v>
      </c>
      <c r="JV55" s="552">
        <v>740105</v>
      </c>
      <c r="JW55" s="552">
        <v>951995</v>
      </c>
      <c r="JX55" s="552">
        <v>235663</v>
      </c>
      <c r="JY55" s="552">
        <v>755048</v>
      </c>
      <c r="JZ55" s="552">
        <v>83224</v>
      </c>
      <c r="KA55" s="552">
        <f t="shared" ref="KA55" si="571">JU55+JV55+JW55+JX55+JY55+JZ55</f>
        <v>2977291</v>
      </c>
      <c r="KB55" s="552">
        <f t="shared" ref="KB55" si="572">JT55-KA55</f>
        <v>1833388</v>
      </c>
      <c r="KC55" s="552">
        <f t="shared" si="563"/>
        <v>1742641.3068815924</v>
      </c>
      <c r="KD55" s="620">
        <f t="shared" ref="KD55:KD58" si="573">KD54+(KD$59-KD$53)/6</f>
        <v>90746.693118407537</v>
      </c>
      <c r="KE55" s="5">
        <v>1120553</v>
      </c>
      <c r="KF55" s="552">
        <v>45603</v>
      </c>
      <c r="KG55" s="552">
        <v>1414</v>
      </c>
      <c r="KH55" s="552">
        <v>18349</v>
      </c>
      <c r="KI55" s="552">
        <v>11441</v>
      </c>
      <c r="KJ55" s="552">
        <v>23709</v>
      </c>
      <c r="KK55" s="552">
        <v>26475</v>
      </c>
      <c r="KL55" s="552">
        <f t="shared" ref="KL55" si="574">KF55+KG55+KH55+KI55+KJ55+KK55</f>
        <v>126991</v>
      </c>
      <c r="KM55" s="552">
        <f t="shared" ref="KM55" si="575">KE55-KL55</f>
        <v>993562</v>
      </c>
      <c r="KN55" s="552">
        <f t="shared" ref="KN55" si="576">KM55-KO55</f>
        <v>683517</v>
      </c>
      <c r="KO55" s="552">
        <v>310045</v>
      </c>
      <c r="KP55" s="5">
        <v>356154</v>
      </c>
      <c r="KQ55" s="552">
        <v>13580</v>
      </c>
      <c r="KR55" s="552">
        <v>1764</v>
      </c>
      <c r="KS55" s="552">
        <v>18801</v>
      </c>
      <c r="KT55" s="552">
        <v>26218</v>
      </c>
      <c r="KU55" s="552">
        <v>3453</v>
      </c>
      <c r="KV55" s="552">
        <v>15488</v>
      </c>
      <c r="KW55" s="552">
        <f t="shared" ref="KW55" si="577">KQ55+KR55+KS55+KT55+KU55+KV55</f>
        <v>79304</v>
      </c>
      <c r="KX55" s="552">
        <f t="shared" ref="KX55" si="578">KP55-KW55</f>
        <v>276850</v>
      </c>
      <c r="KY55" s="552">
        <f t="shared" ref="KY55" si="579">KX55-KZ55</f>
        <v>256498</v>
      </c>
      <c r="KZ55" s="552">
        <v>20352</v>
      </c>
      <c r="LA55" s="149">
        <f>'Assets(MOFA)'!IX55-'Assets(MOFA)'!KE55-'Assets(MOFA)'!KP55</f>
        <v>1950624</v>
      </c>
      <c r="LB55" s="552">
        <f>'Assets(MOFA)'!IY55-'Assets(MOFA)'!KF55-'Assets(MOFA)'!KQ55</f>
        <v>154594</v>
      </c>
      <c r="LC55" s="552">
        <f>'Assets(MOFA)'!IZ55-'Assets(MOFA)'!KG55-'Assets(MOFA)'!KR55</f>
        <v>49792</v>
      </c>
      <c r="LD55" s="552">
        <f>'Assets(MOFA)'!JA55-'Assets(MOFA)'!KH55-'Assets(MOFA)'!KS55</f>
        <v>13</v>
      </c>
      <c r="LE55" s="552">
        <f>'Assets(MOFA)'!JB55-'Assets(MOFA)'!KI55-'Assets(MOFA)'!KT55</f>
        <v>95750</v>
      </c>
      <c r="LF55" s="552">
        <f>'Assets(MOFA)'!JC55-'Assets(MOFA)'!KJ55-'Assets(MOFA)'!KU55</f>
        <v>543384</v>
      </c>
      <c r="LG55" s="552">
        <f>'Assets(MOFA)'!JD55-'Assets(MOFA)'!KK55-'Assets(MOFA)'!KV55</f>
        <v>60494</v>
      </c>
      <c r="LH55" s="552">
        <f>'Assets(MOFA)'!JE55-'Assets(MOFA)'!KL55-'Assets(MOFA)'!KW55</f>
        <v>904027</v>
      </c>
      <c r="LI55" s="552">
        <f>'Assets(MOFA)'!JF55-'Assets(MOFA)'!KM55-'Assets(MOFA)'!KX55</f>
        <v>1046597</v>
      </c>
      <c r="LJ55" s="552">
        <f t="shared" si="77"/>
        <v>1147230.6931184076</v>
      </c>
      <c r="LK55" s="552">
        <f>'Assets(MOFA)'!JH55-'Assets(MOFA)'!KO55-'Assets(MOFA)'!KZ55</f>
        <v>-100633.69311840754</v>
      </c>
      <c r="LL55" s="576">
        <f t="shared" si="78"/>
        <v>0.13426570121181758</v>
      </c>
      <c r="LM55" s="6">
        <f t="shared" si="79"/>
        <v>0.24039536526380292</v>
      </c>
      <c r="LN55" s="6">
        <f t="shared" si="80"/>
        <v>3.4547857277704361E-2</v>
      </c>
      <c r="LO55" s="6">
        <f t="shared" si="81"/>
        <v>0.10214460619433308</v>
      </c>
      <c r="LP55" s="6">
        <f t="shared" si="82"/>
        <v>0.162043040574474</v>
      </c>
      <c r="LQ55" s="6">
        <f t="shared" si="83"/>
        <v>4.8528952967858856E-2</v>
      </c>
      <c r="LR55" s="6">
        <f t="shared" si="84"/>
        <v>0.15385966795826542</v>
      </c>
      <c r="LS55" s="6">
        <f t="shared" si="85"/>
        <v>0.10995639102890874</v>
      </c>
      <c r="LT55" s="143">
        <f t="shared" si="86"/>
        <v>0.19742996110247463</v>
      </c>
      <c r="LU55" s="62">
        <f t="shared" si="87"/>
        <v>5.0423882097054694E-2</v>
      </c>
      <c r="LV55" s="902">
        <f t="shared" si="88"/>
        <v>0.14591484107312488</v>
      </c>
      <c r="LW55" s="902">
        <f t="shared" si="89"/>
        <v>0.10913473231781996</v>
      </c>
      <c r="LX55" s="143">
        <f t="shared" si="90"/>
        <v>0.4800374850839001</v>
      </c>
      <c r="LY55" s="576">
        <f t="shared" si="91"/>
        <v>0.14480188811643813</v>
      </c>
      <c r="LZ55" s="906">
        <f t="shared" si="92"/>
        <v>0.24039536526380292</v>
      </c>
      <c r="MA55" s="906">
        <f t="shared" si="93"/>
        <v>3.4547857277704361E-2</v>
      </c>
      <c r="MB55" s="906">
        <f t="shared" si="94"/>
        <v>0.10214460619433308</v>
      </c>
      <c r="MC55" s="906">
        <f t="shared" si="95"/>
        <v>0.162043040574474</v>
      </c>
      <c r="MD55" s="906">
        <f t="shared" si="96"/>
        <v>4.8528952967858856E-2</v>
      </c>
      <c r="ME55" s="906">
        <v>6.1610529375296846E-2</v>
      </c>
      <c r="MF55" s="906">
        <f t="shared" si="97"/>
        <v>0.15385966795826542</v>
      </c>
      <c r="MG55" s="30">
        <f t="shared" si="98"/>
        <v>0.10995639102890874</v>
      </c>
      <c r="MH55" s="140">
        <f t="shared" si="99"/>
        <v>0.19742996110247463</v>
      </c>
      <c r="MI55" s="30">
        <f t="shared" si="100"/>
        <v>5.0423882097054694E-2</v>
      </c>
      <c r="MJ55" s="30">
        <f t="shared" si="101"/>
        <v>0.14591484107312488</v>
      </c>
      <c r="MK55" s="617">
        <f t="shared" si="102"/>
        <v>0.10913473231781996</v>
      </c>
      <c r="ML55" s="615">
        <f t="shared" si="103"/>
        <v>0.4800374850839001</v>
      </c>
      <c r="MM55" s="574"/>
      <c r="MX55" s="613"/>
      <c r="MY55" s="552"/>
      <c r="MZ55" s="552"/>
      <c r="NA55" s="552"/>
      <c r="NB55" s="552"/>
      <c r="NC55" s="552"/>
      <c r="ND55" s="552"/>
      <c r="NE55" s="552"/>
      <c r="NF55" s="552"/>
      <c r="NG55" s="552"/>
      <c r="NH55" s="552"/>
      <c r="NI55" s="613">
        <f t="shared" si="364"/>
        <v>493629</v>
      </c>
      <c r="PN55" s="574"/>
      <c r="PO55" s="593"/>
      <c r="PP55" s="593"/>
      <c r="PQ55" s="593"/>
      <c r="PR55" s="593"/>
      <c r="PS55" s="593"/>
      <c r="PT55" s="593"/>
      <c r="PU55" s="593"/>
      <c r="PV55" s="593"/>
      <c r="PW55" s="593"/>
      <c r="PX55" s="593"/>
      <c r="PY55" s="593"/>
      <c r="PZ55" s="593"/>
      <c r="QA55" s="593"/>
      <c r="QB55" s="593"/>
      <c r="QC55" s="593"/>
      <c r="QD55" s="593"/>
      <c r="QE55" s="593"/>
      <c r="QF55" s="593"/>
      <c r="QG55" s="593"/>
      <c r="QH55" s="593"/>
      <c r="QI55" s="593"/>
      <c r="QJ55" s="593"/>
      <c r="QK55" s="593"/>
      <c r="QL55" s="593"/>
      <c r="QM55" s="593"/>
      <c r="QN55" s="593"/>
      <c r="QO55" s="593"/>
      <c r="QP55" s="593"/>
      <c r="QQ55" s="593"/>
      <c r="QR55" s="593"/>
      <c r="QS55" s="593"/>
      <c r="QT55" s="593"/>
      <c r="QU55" s="593"/>
      <c r="QV55" s="593"/>
      <c r="QW55" s="593"/>
      <c r="QX55" s="593"/>
      <c r="QY55" s="593"/>
      <c r="QZ55" s="593"/>
      <c r="RA55" s="593"/>
      <c r="RB55" s="593"/>
      <c r="RC55" s="593"/>
      <c r="RD55" s="593"/>
      <c r="RE55" s="593"/>
      <c r="RF55" s="593"/>
      <c r="RG55" s="593"/>
      <c r="RH55" s="593"/>
      <c r="RI55" s="593"/>
      <c r="RJ55" s="593"/>
      <c r="RK55" s="593"/>
      <c r="RL55" s="593"/>
      <c r="RM55" s="593"/>
      <c r="RN55" s="593"/>
      <c r="RO55" s="593"/>
      <c r="RP55" s="593"/>
      <c r="RQ55" s="593"/>
      <c r="RR55" s="593"/>
    </row>
    <row r="56" spans="1:486">
      <c r="A56" s="568">
        <v>2011</v>
      </c>
      <c r="B56" s="33">
        <v>538721</v>
      </c>
      <c r="C56" s="193">
        <v>7421</v>
      </c>
      <c r="D56" s="193">
        <v>1216</v>
      </c>
      <c r="E56" s="193">
        <v>17021</v>
      </c>
      <c r="F56" s="193">
        <v>11115</v>
      </c>
      <c r="G56" s="193">
        <v>1331</v>
      </c>
      <c r="H56" s="193">
        <v>10067</v>
      </c>
      <c r="I56" s="193">
        <f t="shared" si="550"/>
        <v>48171</v>
      </c>
      <c r="J56" s="193">
        <f t="shared" si="551"/>
        <v>490550</v>
      </c>
      <c r="K56" s="193">
        <f t="shared" si="249"/>
        <v>477381</v>
      </c>
      <c r="L56" s="193">
        <v>13169</v>
      </c>
      <c r="M56" s="140">
        <f t="shared" si="217"/>
        <v>8.9417342186400753E-2</v>
      </c>
      <c r="N56" s="140">
        <f t="shared" si="250"/>
        <v>2.4444935319024134E-2</v>
      </c>
      <c r="O56" s="193">
        <v>4937900</v>
      </c>
      <c r="P56" s="32">
        <f t="shared" si="251"/>
        <v>0.10909921221571924</v>
      </c>
      <c r="Q56" s="629">
        <f t="shared" si="218"/>
        <v>1.3775219454968343E-2</v>
      </c>
      <c r="R56" s="308">
        <f t="shared" si="219"/>
        <v>2.2571980672741548E-3</v>
      </c>
      <c r="S56" s="308">
        <f t="shared" si="220"/>
        <v>3.1595204196606406E-2</v>
      </c>
      <c r="T56" s="308">
        <f t="shared" si="221"/>
        <v>2.0632201083677821E-2</v>
      </c>
      <c r="U56" s="308">
        <f t="shared" si="222"/>
        <v>2.4706666344916943E-3</v>
      </c>
      <c r="V56" s="308">
        <f t="shared" si="223"/>
        <v>1.8686852749382334E-2</v>
      </c>
      <c r="W56" s="5">
        <v>561088</v>
      </c>
      <c r="X56" s="193">
        <v>62852</v>
      </c>
      <c r="Y56" s="76">
        <v>0</v>
      </c>
      <c r="Z56" s="76">
        <f t="shared" si="114"/>
        <v>62852</v>
      </c>
      <c r="AA56" s="193">
        <v>3929</v>
      </c>
      <c r="AB56" s="66">
        <v>0</v>
      </c>
      <c r="AC56" s="274">
        <f t="shared" si="117"/>
        <v>3929</v>
      </c>
      <c r="AD56" s="193">
        <v>12430</v>
      </c>
      <c r="AE56" s="357">
        <f t="shared" si="477"/>
        <v>707.91835090914651</v>
      </c>
      <c r="AF56" s="274">
        <f t="shared" si="119"/>
        <v>11722.081649090853</v>
      </c>
      <c r="AG56" s="193">
        <v>26838</v>
      </c>
      <c r="AH56" s="357">
        <f t="shared" si="382"/>
        <v>470.26718518311287</v>
      </c>
      <c r="AI56" s="76">
        <f t="shared" si="287"/>
        <v>26367.732814816885</v>
      </c>
      <c r="AJ56" s="193">
        <v>24666</v>
      </c>
      <c r="AK56" s="357">
        <f t="shared" si="458"/>
        <v>4468.4389735030254</v>
      </c>
      <c r="AL56" s="274">
        <f t="shared" si="123"/>
        <v>20197.561026496973</v>
      </c>
      <c r="AM56" s="193">
        <v>23919</v>
      </c>
      <c r="AN56" s="357">
        <f t="shared" si="478"/>
        <v>945.83184257602863</v>
      </c>
      <c r="AO56" s="274">
        <f t="shared" si="125"/>
        <v>22973.16815742397</v>
      </c>
      <c r="AP56" s="193">
        <f t="shared" si="397"/>
        <v>154634</v>
      </c>
      <c r="AQ56" s="271">
        <f t="shared" si="398"/>
        <v>6592.4563521713135</v>
      </c>
      <c r="AR56" s="271">
        <f t="shared" si="126"/>
        <v>148041.54364782869</v>
      </c>
      <c r="AS56" s="193">
        <f t="shared" si="259"/>
        <v>406454</v>
      </c>
      <c r="AT56" s="193">
        <f t="shared" si="224"/>
        <v>261743</v>
      </c>
      <c r="AU56" s="193">
        <v>144711</v>
      </c>
      <c r="AV56" s="193">
        <v>46330</v>
      </c>
      <c r="AW56" s="23">
        <f t="shared" si="289"/>
        <v>0.32015534409961927</v>
      </c>
      <c r="AX56" s="271">
        <f t="shared" si="227"/>
        <v>416377</v>
      </c>
      <c r="AY56" s="140">
        <f t="shared" si="399"/>
        <v>0.27559669784418844</v>
      </c>
      <c r="AZ56" s="623">
        <f t="shared" si="129"/>
        <v>0.26384728179506367</v>
      </c>
      <c r="BA56" s="248">
        <f t="shared" si="400"/>
        <v>0.35554688094642278</v>
      </c>
      <c r="BB56" s="248">
        <f t="shared" si="130"/>
        <v>0.15094974025942837</v>
      </c>
      <c r="BC56" s="248">
        <f t="shared" si="131"/>
        <v>9.4361600184448228E-3</v>
      </c>
      <c r="BD56" s="248">
        <f t="shared" si="132"/>
        <v>2.8152567622829437E-2</v>
      </c>
      <c r="BE56" s="248">
        <f t="shared" si="133"/>
        <v>6.3326583396337663E-2</v>
      </c>
      <c r="BF56" s="248">
        <f t="shared" si="134"/>
        <v>4.8507869134214843E-2</v>
      </c>
      <c r="BG56" s="248">
        <f t="shared" si="135"/>
        <v>5.5173960515167673E-2</v>
      </c>
      <c r="BH56" s="248">
        <f t="shared" si="136"/>
        <v>3.7588727641274258E-2</v>
      </c>
      <c r="BI56" s="23">
        <f t="shared" si="401"/>
        <v>0.34152702959097164</v>
      </c>
      <c r="BJ56" s="140">
        <f t="shared" si="402"/>
        <v>0.25791141496521047</v>
      </c>
      <c r="BK56" s="623">
        <f t="shared" si="137"/>
        <v>0.2461619989160857</v>
      </c>
      <c r="BL56" s="5">
        <v>-43101</v>
      </c>
      <c r="BM56" s="193">
        <v>-3199</v>
      </c>
      <c r="BN56" s="193">
        <v>-3167</v>
      </c>
      <c r="BO56" s="193">
        <v>-5530</v>
      </c>
      <c r="BP56" s="193">
        <v>-1566</v>
      </c>
      <c r="BQ56" s="193">
        <v>-9438</v>
      </c>
      <c r="BR56" s="193">
        <v>-1289</v>
      </c>
      <c r="BS56" s="193">
        <f t="shared" si="403"/>
        <v>-24189</v>
      </c>
      <c r="BT56" s="193">
        <f t="shared" si="365"/>
        <v>-18912</v>
      </c>
      <c r="BU56" s="193">
        <f t="shared" si="373"/>
        <v>-21598</v>
      </c>
      <c r="BV56" s="66">
        <f>(BV55+BV57)/2</f>
        <v>2686</v>
      </c>
      <c r="BW56" s="5">
        <f t="shared" si="262"/>
        <v>397210</v>
      </c>
      <c r="BX56" s="193">
        <f t="shared" si="263"/>
        <v>60501</v>
      </c>
      <c r="BY56" s="193">
        <f t="shared" si="459"/>
        <v>0</v>
      </c>
      <c r="BZ56" s="647">
        <f t="shared" si="149"/>
        <v>0.15231489640240678</v>
      </c>
      <c r="CA56" s="193">
        <f t="shared" si="264"/>
        <v>2983</v>
      </c>
      <c r="CB56" s="193">
        <f t="shared" si="460"/>
        <v>0</v>
      </c>
      <c r="CC56" s="647">
        <f t="shared" si="404"/>
        <v>7.5098814229249012E-3</v>
      </c>
      <c r="CD56" s="193">
        <f t="shared" si="265"/>
        <v>7761</v>
      </c>
      <c r="CE56" s="193">
        <f t="shared" si="461"/>
        <v>363.05574844153045</v>
      </c>
      <c r="CF56" s="655">
        <f t="shared" si="405"/>
        <v>1.8624768388405301E-2</v>
      </c>
      <c r="CG56" s="193">
        <f t="shared" si="266"/>
        <v>22889</v>
      </c>
      <c r="CH56" s="193">
        <f t="shared" si="462"/>
        <v>423.2404666648016</v>
      </c>
      <c r="CI56" s="23">
        <f t="shared" si="406"/>
        <v>5.655889714089575E-2</v>
      </c>
      <c r="CJ56" s="193">
        <f t="shared" si="267"/>
        <v>22012</v>
      </c>
      <c r="CK56" s="641">
        <f t="shared" si="463"/>
        <v>2291.637805132485</v>
      </c>
      <c r="CL56" s="34">
        <f t="shared" si="158"/>
        <v>4.9647194669991977E-2</v>
      </c>
      <c r="CM56" s="193">
        <f t="shared" si="268"/>
        <v>21981</v>
      </c>
      <c r="CN56" s="193">
        <f t="shared" si="464"/>
        <v>851.24865831842578</v>
      </c>
      <c r="CO56" s="23">
        <f t="shared" si="161"/>
        <v>5.3195416383478702E-2</v>
      </c>
      <c r="CP56" s="193">
        <f t="shared" si="407"/>
        <v>138127</v>
      </c>
      <c r="CQ56" s="193">
        <f t="shared" si="162"/>
        <v>3929.182678557243</v>
      </c>
      <c r="CR56" s="193">
        <f t="shared" si="408"/>
        <v>259083</v>
      </c>
      <c r="CS56" s="248">
        <f t="shared" si="163"/>
        <v>0.33785105440810342</v>
      </c>
      <c r="CT56" s="30">
        <f t="shared" si="409"/>
        <v>0.34774300747715314</v>
      </c>
      <c r="CU56" s="308">
        <f t="shared" si="410"/>
        <v>0</v>
      </c>
      <c r="CV56" s="608">
        <f t="shared" si="269"/>
        <v>0.15231489640240678</v>
      </c>
      <c r="CW56" s="608">
        <f t="shared" si="270"/>
        <v>7.5098814229249012E-3</v>
      </c>
      <c r="CX56" s="608">
        <f t="shared" si="271"/>
        <v>1.9538783011505249E-2</v>
      </c>
      <c r="CY56" s="608">
        <f t="shared" si="272"/>
        <v>5.7624430402054332E-2</v>
      </c>
      <c r="CZ56" s="608">
        <f t="shared" si="327"/>
        <v>5.5416530298834372E-2</v>
      </c>
      <c r="DA56" s="608">
        <f>'Assets(BoP)'!FK103</f>
        <v>0.13416086141319161</v>
      </c>
      <c r="DB56" s="608">
        <f t="shared" si="273"/>
        <v>5.5338485939427508E-2</v>
      </c>
      <c r="DC56" s="23">
        <f t="shared" si="411"/>
        <v>0.41547955021422239</v>
      </c>
      <c r="DD56" s="193">
        <f t="shared" si="412"/>
        <v>322995</v>
      </c>
      <c r="DE56" s="193">
        <f t="shared" si="274"/>
        <v>74215</v>
      </c>
      <c r="DF56" s="193"/>
      <c r="DG56" s="193">
        <f>'Assets(BoP)'!DA103*1000</f>
        <v>30221</v>
      </c>
      <c r="DH56" s="23">
        <f t="shared" si="413"/>
        <v>0.18684071398001056</v>
      </c>
      <c r="DI56" s="23"/>
      <c r="DJ56" s="23">
        <f t="shared" si="414"/>
        <v>0.32820422446564795</v>
      </c>
      <c r="DK56" s="600">
        <f>'Assets(BoP)'!FO103-'Assets(BoP)'!FH103</f>
        <v>0.34977418891271128</v>
      </c>
      <c r="DL56" s="576">
        <f t="shared" si="415"/>
        <v>1.041518708199606</v>
      </c>
      <c r="DM56" s="251">
        <f t="shared" si="416"/>
        <v>8.4694785069397653</v>
      </c>
      <c r="DN56" s="251">
        <f t="shared" si="417"/>
        <v>8.4694785069397653</v>
      </c>
      <c r="DO56" s="251">
        <f t="shared" si="418"/>
        <v>3.2310855263157894</v>
      </c>
      <c r="DP56" s="251">
        <f t="shared" si="419"/>
        <v>3.2310855263157894</v>
      </c>
      <c r="DQ56" s="251">
        <f t="shared" si="420"/>
        <v>0.73027436695846304</v>
      </c>
      <c r="DR56" s="251">
        <f t="shared" si="421"/>
        <v>0.69129995873248495</v>
      </c>
      <c r="DS56" s="251">
        <f t="shared" si="422"/>
        <v>2.4145748987854252</v>
      </c>
      <c r="DT56" s="251">
        <f t="shared" si="423"/>
        <v>2.3814347272963468</v>
      </c>
      <c r="DU56" s="251">
        <f t="shared" si="424"/>
        <v>18.531930879038317</v>
      </c>
      <c r="DV56" s="251">
        <f t="shared" si="425"/>
        <v>21.850252490085136</v>
      </c>
      <c r="DW56" s="251">
        <f t="shared" si="426"/>
        <v>2.3759809277838482</v>
      </c>
      <c r="DX56" s="251">
        <f t="shared" si="427"/>
        <v>2.3017067809725309</v>
      </c>
      <c r="DY56" s="251">
        <f t="shared" si="428"/>
        <v>0.89702253660141473</v>
      </c>
      <c r="DZ56" s="251">
        <f t="shared" si="429"/>
        <v>0.86124718667811484</v>
      </c>
      <c r="EA56" s="643">
        <f t="shared" si="430"/>
        <v>3.2101056652342694</v>
      </c>
      <c r="EB56" s="643">
        <f t="shared" si="431"/>
        <v>3.1120076713938816</v>
      </c>
      <c r="EC56" s="251">
        <f t="shared" si="432"/>
        <v>0.82856793395168693</v>
      </c>
      <c r="ED56" s="251">
        <f t="shared" si="433"/>
        <v>0.79226603647212834</v>
      </c>
      <c r="EE56" s="140">
        <f t="shared" si="434"/>
        <v>0.54828952136762876</v>
      </c>
      <c r="EF56" s="1342">
        <v>0.30459445622641695</v>
      </c>
      <c r="EG56" s="140">
        <f t="shared" si="228"/>
        <v>10.988761485306402</v>
      </c>
      <c r="EH56" s="583">
        <v>111.25559760956169</v>
      </c>
      <c r="EI56" s="1344">
        <v>1.0480849552084033</v>
      </c>
      <c r="EJ56" s="576">
        <f t="shared" si="166"/>
        <v>0.73732043116938084</v>
      </c>
      <c r="EK56" s="753">
        <f t="shared" si="167"/>
        <v>2.8267769657137825</v>
      </c>
      <c r="EL56" s="753">
        <f t="shared" si="168"/>
        <v>5.6355835674690562</v>
      </c>
      <c r="EM56" s="753">
        <f t="shared" si="169"/>
        <v>0.38725462471275562</v>
      </c>
      <c r="EN56" s="583"/>
      <c r="EO56" s="5">
        <v>1098520</v>
      </c>
      <c r="EP56" s="193">
        <v>119203</v>
      </c>
      <c r="EQ56" s="193"/>
      <c r="ER56" s="193">
        <v>77336</v>
      </c>
      <c r="ES56" s="193"/>
      <c r="ET56" s="193">
        <v>157483</v>
      </c>
      <c r="EU56" s="193"/>
      <c r="EV56" s="193">
        <v>60729</v>
      </c>
      <c r="EW56" s="193"/>
      <c r="EX56" s="193">
        <v>147112</v>
      </c>
      <c r="EY56" s="193"/>
      <c r="EZ56" s="193">
        <v>43155</v>
      </c>
      <c r="FA56" s="193"/>
      <c r="FB56" s="193">
        <f t="shared" si="558"/>
        <v>605018</v>
      </c>
      <c r="FC56" s="193">
        <f t="shared" si="559"/>
        <v>493502</v>
      </c>
      <c r="FD56" s="23">
        <f t="shared" si="560"/>
        <v>0.5507573826603066</v>
      </c>
      <c r="FE56" s="193">
        <v>89436</v>
      </c>
      <c r="FF56" s="193"/>
      <c r="FG56" s="193"/>
      <c r="FH56" s="193"/>
      <c r="FI56" s="193"/>
      <c r="FJ56" s="5">
        <v>163878</v>
      </c>
      <c r="FK56" s="143">
        <f>FJ56/'Assets(BoP)'!AV103/1000</f>
        <v>1.4114068940919808</v>
      </c>
      <c r="FL56" s="193"/>
      <c r="FM56" s="193">
        <v>2351</v>
      </c>
      <c r="FN56" s="66">
        <f t="shared" si="374"/>
        <v>0</v>
      </c>
      <c r="FO56" s="184">
        <f t="shared" si="383"/>
        <v>0</v>
      </c>
      <c r="FP56" s="193">
        <v>946</v>
      </c>
      <c r="FQ56" s="66">
        <f t="shared" si="375"/>
        <v>0</v>
      </c>
      <c r="FR56" s="184">
        <v>0</v>
      </c>
      <c r="FS56" s="193">
        <v>4669</v>
      </c>
      <c r="FT56" s="66">
        <f t="shared" si="465"/>
        <v>344.86260246761606</v>
      </c>
      <c r="FU56" s="193">
        <f t="shared" si="175"/>
        <v>4324.1373975323841</v>
      </c>
      <c r="FV56" s="23">
        <f t="shared" si="376"/>
        <v>7.3862198001202833E-2</v>
      </c>
      <c r="FW56" s="193">
        <v>3949</v>
      </c>
      <c r="FX56" s="66">
        <f t="shared" si="466"/>
        <v>47.026718518311291</v>
      </c>
      <c r="FY56" s="23">
        <f t="shared" si="438"/>
        <v>1.1908513172527549E-2</v>
      </c>
      <c r="FZ56" s="193">
        <v>2654</v>
      </c>
      <c r="GA56" s="66">
        <f t="shared" si="467"/>
        <v>2176.8011683705404</v>
      </c>
      <c r="GB56" s="193">
        <f t="shared" si="180"/>
        <v>477.19883162945962</v>
      </c>
      <c r="GC56" s="23">
        <f t="shared" si="366"/>
        <v>0.82019637090073116</v>
      </c>
      <c r="GD56" s="193">
        <v>1938</v>
      </c>
      <c r="GE56" s="66">
        <f t="shared" si="384"/>
        <v>94.583184257602866</v>
      </c>
      <c r="GF56" s="23">
        <f t="shared" si="377"/>
        <v>4.8804532640661952E-2</v>
      </c>
      <c r="GG56" s="193">
        <f t="shared" si="439"/>
        <v>16507</v>
      </c>
      <c r="GH56" s="193">
        <f t="shared" si="440"/>
        <v>2663.273673614071</v>
      </c>
      <c r="GI56" s="193">
        <f t="shared" si="441"/>
        <v>147371</v>
      </c>
      <c r="GJ56" s="23">
        <f t="shared" si="442"/>
        <v>0.10072737036087821</v>
      </c>
      <c r="GK56" s="330">
        <v>70496</v>
      </c>
      <c r="GL56" s="330">
        <v>29791</v>
      </c>
      <c r="GM56" s="23">
        <f>GK56/'Assets(BoP)'!AW103/1000</f>
        <v>1.4410515555327337</v>
      </c>
      <c r="GN56" s="23">
        <f t="shared" si="443"/>
        <v>0.43017366577575999</v>
      </c>
      <c r="GO56" s="330">
        <f t="shared" si="275"/>
        <v>93382</v>
      </c>
      <c r="GP56" s="23">
        <f>GO56/('Assets(BoP)'!AV103-'Assets(BoP)'!AW103)/1000</f>
        <v>1.3898230991629301</v>
      </c>
      <c r="GQ56" s="330">
        <f t="shared" si="444"/>
        <v>76875</v>
      </c>
      <c r="GR56" s="330">
        <v>3752.5630000000001</v>
      </c>
      <c r="GS56" s="140">
        <f t="shared" si="445"/>
        <v>0.45067976240108981</v>
      </c>
      <c r="GT56" s="582">
        <v>0.71935525360915398</v>
      </c>
      <c r="GU56" s="576">
        <f t="shared" si="446"/>
        <v>0.29207183186951069</v>
      </c>
      <c r="GV56" s="589">
        <f t="shared" si="276"/>
        <v>3.7405333163622476E-2</v>
      </c>
      <c r="GW56" s="589"/>
      <c r="GX56" s="589">
        <f t="shared" si="277"/>
        <v>0.24077373377449732</v>
      </c>
      <c r="GY56" s="589"/>
      <c r="GZ56" s="589">
        <f t="shared" si="308"/>
        <v>0.37562349155269509</v>
      </c>
      <c r="HA56" s="56">
        <f t="shared" si="385"/>
        <v>0.48715025119030342</v>
      </c>
      <c r="HB56" s="589">
        <f t="shared" si="278"/>
        <v>0.14714211193084434</v>
      </c>
      <c r="HC56" s="56">
        <v>0.1</v>
      </c>
      <c r="HD56" s="589">
        <f t="shared" si="279"/>
        <v>0.10759750263520636</v>
      </c>
      <c r="HE56" s="56">
        <f t="shared" si="479"/>
        <v>0.48715025119030342</v>
      </c>
      <c r="HF56" s="589">
        <f t="shared" si="309"/>
        <v>8.1023454157782518E-2</v>
      </c>
      <c r="HG56" s="56">
        <v>0.1</v>
      </c>
      <c r="HH56" s="6">
        <f t="shared" si="57"/>
        <v>0.10674883919448504</v>
      </c>
      <c r="HI56" s="6">
        <f t="shared" si="447"/>
        <v>9.3512442421691641E-2</v>
      </c>
      <c r="HJ56" s="23">
        <f t="shared" si="280"/>
        <v>0.48715025119030342</v>
      </c>
      <c r="HK56" s="23">
        <f t="shared" si="280"/>
        <v>0.64301748327217789</v>
      </c>
      <c r="HL56" s="23">
        <f t="shared" si="281"/>
        <v>0.41374858966670391</v>
      </c>
      <c r="HM56" s="31">
        <f t="shared" si="282"/>
        <v>0.22427271439104465</v>
      </c>
      <c r="HN56" s="23">
        <f t="shared" si="448"/>
        <v>0.36257731502211815</v>
      </c>
      <c r="HO56" s="23">
        <f t="shared" si="449"/>
        <v>0.29370412962333281</v>
      </c>
      <c r="HP56" s="575">
        <v>697128</v>
      </c>
      <c r="HQ56" s="193"/>
      <c r="HR56" s="193"/>
      <c r="HS56" s="193"/>
      <c r="HT56" s="193"/>
      <c r="HU56" s="193"/>
      <c r="HV56" s="193"/>
      <c r="HW56" s="193"/>
      <c r="HX56" s="193"/>
      <c r="HY56" s="193"/>
      <c r="HZ56" s="193"/>
      <c r="IA56" s="193"/>
      <c r="IB56" s="193"/>
      <c r="IC56" s="193"/>
      <c r="ID56" s="193"/>
      <c r="IE56" s="193"/>
      <c r="IF56" s="193"/>
      <c r="IG56" s="193"/>
      <c r="IH56" s="193"/>
      <c r="II56" s="193"/>
      <c r="IJ56" s="193"/>
      <c r="IK56" s="193"/>
      <c r="IL56" s="193"/>
      <c r="IM56" s="575">
        <v>12328</v>
      </c>
      <c r="IN56" s="193"/>
      <c r="IO56" s="193"/>
      <c r="IP56" s="193"/>
      <c r="IQ56" s="193"/>
      <c r="IR56" s="193"/>
      <c r="IS56" s="193"/>
      <c r="IT56" s="193"/>
      <c r="IU56" s="193"/>
      <c r="IV56" s="193"/>
      <c r="IW56" s="193"/>
      <c r="IX56" s="149">
        <f t="shared" si="570"/>
        <v>3720566</v>
      </c>
      <c r="IY56" s="316">
        <f t="shared" si="64"/>
        <v>265465</v>
      </c>
      <c r="IZ56" s="316">
        <f t="shared" si="65"/>
        <v>79854</v>
      </c>
      <c r="JA56" s="316">
        <f t="shared" si="66"/>
        <v>129339</v>
      </c>
      <c r="JB56" s="316">
        <f t="shared" si="67"/>
        <v>149883</v>
      </c>
      <c r="JC56" s="316">
        <f t="shared" si="68"/>
        <v>533484</v>
      </c>
      <c r="JD56" s="316">
        <f t="shared" si="69"/>
        <v>99804</v>
      </c>
      <c r="JE56" s="316">
        <f t="shared" si="70"/>
        <v>1257829</v>
      </c>
      <c r="JF56" s="316">
        <f t="shared" si="71"/>
        <v>2462737</v>
      </c>
      <c r="JG56" s="316">
        <f t="shared" si="72"/>
        <v>2212725.5396776116</v>
      </c>
      <c r="JH56" s="316">
        <f t="shared" si="73"/>
        <v>250011.46032238868</v>
      </c>
      <c r="JI56" s="5">
        <v>9096109</v>
      </c>
      <c r="JJ56" s="552">
        <v>498275</v>
      </c>
      <c r="JK56" s="552">
        <v>948722</v>
      </c>
      <c r="JL56" s="552">
        <v>1138129</v>
      </c>
      <c r="JM56" s="552">
        <v>396875</v>
      </c>
      <c r="JN56" s="552">
        <v>1364477</v>
      </c>
      <c r="JO56" s="552">
        <v>218933</v>
      </c>
      <c r="JP56" s="552">
        <f t="shared" si="74"/>
        <v>4565411</v>
      </c>
      <c r="JQ56" s="552">
        <f t="shared" si="75"/>
        <v>4530698</v>
      </c>
      <c r="JR56" s="552">
        <f t="shared" si="76"/>
        <v>4181027</v>
      </c>
      <c r="JS56" s="552">
        <v>349671</v>
      </c>
      <c r="JT56" s="149">
        <v>5375543</v>
      </c>
      <c r="JU56" s="552">
        <v>232810</v>
      </c>
      <c r="JV56" s="552">
        <v>868868</v>
      </c>
      <c r="JW56" s="552">
        <v>1008790</v>
      </c>
      <c r="JX56" s="552">
        <v>246992</v>
      </c>
      <c r="JY56" s="552">
        <v>830993</v>
      </c>
      <c r="JZ56" s="552">
        <v>119129</v>
      </c>
      <c r="KA56" s="552">
        <f t="shared" ref="KA56" si="580">JU56+JV56+JW56+JX56+JY56+JZ56</f>
        <v>3307582</v>
      </c>
      <c r="KB56" s="552">
        <f t="shared" ref="KB56" si="581">JT56-KA56</f>
        <v>2067961</v>
      </c>
      <c r="KC56" s="552">
        <f t="shared" ref="KC56" si="582">KB56-KD56</f>
        <v>1968301.4603223887</v>
      </c>
      <c r="KD56" s="620">
        <f t="shared" si="573"/>
        <v>99659.539677611305</v>
      </c>
      <c r="KE56" s="5">
        <v>1203721</v>
      </c>
      <c r="KF56" s="552">
        <v>49002</v>
      </c>
      <c r="KG56" s="552">
        <v>5372</v>
      </c>
      <c r="KH56" s="552">
        <v>19221</v>
      </c>
      <c r="KI56" s="552">
        <v>11610</v>
      </c>
      <c r="KJ56" s="552">
        <v>24842</v>
      </c>
      <c r="KK56" s="552">
        <v>28777</v>
      </c>
      <c r="KL56" s="552">
        <f t="shared" ref="KL56" si="583">KF56+KG56+KH56+KI56+KJ56+KK56</f>
        <v>138824</v>
      </c>
      <c r="KM56" s="552">
        <f t="shared" ref="KM56" si="584">KE56-KL56</f>
        <v>1064897</v>
      </c>
      <c r="KN56" s="552">
        <f t="shared" ref="KN56" si="585">KM56-KO56</f>
        <v>733800</v>
      </c>
      <c r="KO56" s="552">
        <v>331097</v>
      </c>
      <c r="KP56" s="5">
        <v>400531</v>
      </c>
      <c r="KQ56" s="552">
        <v>15958</v>
      </c>
      <c r="KR56" s="552">
        <v>2171</v>
      </c>
      <c r="KS56" s="552">
        <v>21251</v>
      </c>
      <c r="KT56" s="552">
        <v>29482</v>
      </c>
      <c r="KU56" s="552">
        <v>3874</v>
      </c>
      <c r="KV56" s="552">
        <v>19655</v>
      </c>
      <c r="KW56" s="552">
        <f t="shared" ref="KW56" si="586">KQ56+KR56+KS56+KT56+KU56+KV56</f>
        <v>92391</v>
      </c>
      <c r="KX56" s="552">
        <f t="shared" ref="KX56" si="587">KP56-KW56</f>
        <v>308140</v>
      </c>
      <c r="KY56" s="552">
        <f t="shared" ref="KY56" si="588">KX56-KZ56</f>
        <v>283199</v>
      </c>
      <c r="KZ56" s="552">
        <v>24941</v>
      </c>
      <c r="LA56" s="149">
        <f>'Assets(MOFA)'!IX56-'Assets(MOFA)'!KE56-'Assets(MOFA)'!KP56</f>
        <v>2116314</v>
      </c>
      <c r="LB56" s="552">
        <f>'Assets(MOFA)'!IY56-'Assets(MOFA)'!KF56-'Assets(MOFA)'!KQ56</f>
        <v>200505</v>
      </c>
      <c r="LC56" s="552">
        <f>'Assets(MOFA)'!IZ56-'Assets(MOFA)'!KG56-'Assets(MOFA)'!KR56</f>
        <v>72311</v>
      </c>
      <c r="LD56" s="552">
        <f>'Assets(MOFA)'!JA56-'Assets(MOFA)'!KH56-'Assets(MOFA)'!KS56</f>
        <v>88867</v>
      </c>
      <c r="LE56" s="552">
        <f>'Assets(MOFA)'!JB56-'Assets(MOFA)'!KI56-'Assets(MOFA)'!KT56</f>
        <v>108791</v>
      </c>
      <c r="LF56" s="552">
        <f>'Assets(MOFA)'!JC56-'Assets(MOFA)'!KJ56-'Assets(MOFA)'!KU56</f>
        <v>504768</v>
      </c>
      <c r="LG56" s="552">
        <f>'Assets(MOFA)'!JD56-'Assets(MOFA)'!KK56-'Assets(MOFA)'!KV56</f>
        <v>51372</v>
      </c>
      <c r="LH56" s="552">
        <f>'Assets(MOFA)'!JE56-'Assets(MOFA)'!KL56-'Assets(MOFA)'!KW56</f>
        <v>1026614</v>
      </c>
      <c r="LI56" s="552">
        <f>'Assets(MOFA)'!JF56-'Assets(MOFA)'!KM56-'Assets(MOFA)'!KX56</f>
        <v>1089700</v>
      </c>
      <c r="LJ56" s="552">
        <f t="shared" si="77"/>
        <v>1195726.5396776113</v>
      </c>
      <c r="LK56" s="552">
        <f>'Assets(MOFA)'!JH56-'Assets(MOFA)'!KO56-'Assets(MOFA)'!KZ56</f>
        <v>-106026.53967761132</v>
      </c>
      <c r="LL56" s="576">
        <f t="shared" si="78"/>
        <v>0.15080716213608358</v>
      </c>
      <c r="LM56" s="6">
        <f t="shared" si="79"/>
        <v>0.23676190834949992</v>
      </c>
      <c r="LN56" s="6">
        <f t="shared" si="80"/>
        <v>4.920229418689108E-2</v>
      </c>
      <c r="LO56" s="6">
        <f t="shared" si="81"/>
        <v>9.6104036678805307E-2</v>
      </c>
      <c r="LP56" s="6">
        <f t="shared" si="82"/>
        <v>0.17905966653990113</v>
      </c>
      <c r="LQ56" s="6">
        <f t="shared" si="83"/>
        <v>4.6235688418021906E-2</v>
      </c>
      <c r="LR56" s="6">
        <f t="shared" si="84"/>
        <v>0.23965973307683058</v>
      </c>
      <c r="LS56" s="902">
        <f t="shared" si="85"/>
        <v>0.12293721960616268</v>
      </c>
      <c r="LT56" s="143">
        <f t="shared" si="86"/>
        <v>0.22053491008479051</v>
      </c>
      <c r="LU56" s="62">
        <f t="shared" si="87"/>
        <v>5.5239357082554057E-2</v>
      </c>
      <c r="LV56" s="902">
        <f t="shared" si="88"/>
        <v>0.16504157772429617</v>
      </c>
      <c r="LW56" s="902">
        <f t="shared" si="89"/>
        <v>0.11828986257289519</v>
      </c>
      <c r="LX56" s="143">
        <f t="shared" si="90"/>
        <v>0.57881746626092978</v>
      </c>
      <c r="LY56" s="576">
        <f t="shared" si="91"/>
        <v>0.15412063648380381</v>
      </c>
      <c r="LZ56" s="906">
        <f t="shared" si="92"/>
        <v>0.23676190834949992</v>
      </c>
      <c r="MA56" s="906">
        <f t="shared" si="93"/>
        <v>4.920229418689108E-2</v>
      </c>
      <c r="MB56" s="906">
        <f t="shared" si="94"/>
        <v>9.6104036678805307E-2</v>
      </c>
      <c r="MC56" s="906">
        <f t="shared" si="95"/>
        <v>0.17905966653990113</v>
      </c>
      <c r="MD56" s="906">
        <f t="shared" si="96"/>
        <v>4.6235688418021906E-2</v>
      </c>
      <c r="ME56" s="906">
        <v>6.1610529375296846E-2</v>
      </c>
      <c r="MF56" s="906">
        <f t="shared" si="97"/>
        <v>0.23965973307683058</v>
      </c>
      <c r="MG56" s="30">
        <f t="shared" si="98"/>
        <v>0.12293721960616268</v>
      </c>
      <c r="MH56" s="140">
        <f t="shared" si="99"/>
        <v>0.22053491008479051</v>
      </c>
      <c r="MI56" s="30">
        <f t="shared" si="100"/>
        <v>5.5239357082554057E-2</v>
      </c>
      <c r="MJ56" s="30">
        <f t="shared" si="101"/>
        <v>0.16504157772429617</v>
      </c>
      <c r="MK56" s="617">
        <f t="shared" si="102"/>
        <v>0.11828986257289519</v>
      </c>
      <c r="ML56" s="615">
        <f t="shared" si="103"/>
        <v>0.57881746626092978</v>
      </c>
      <c r="MM56" s="574"/>
      <c r="MX56" s="613"/>
      <c r="MY56" s="552"/>
      <c r="MZ56" s="552"/>
      <c r="NA56" s="552"/>
      <c r="NB56" s="552"/>
      <c r="NC56" s="552"/>
      <c r="ND56" s="552"/>
      <c r="NE56" s="552"/>
      <c r="NF56" s="552"/>
      <c r="NG56" s="552"/>
      <c r="NH56" s="552"/>
      <c r="NI56" s="613">
        <f t="shared" si="364"/>
        <v>538721</v>
      </c>
      <c r="PN56" s="574"/>
      <c r="PO56" s="593"/>
      <c r="PP56" s="593"/>
      <c r="PQ56" s="593"/>
      <c r="PR56" s="593"/>
      <c r="PS56" s="593"/>
      <c r="PT56" s="593"/>
      <c r="PU56" s="593"/>
      <c r="PV56" s="593"/>
      <c r="PW56" s="593"/>
      <c r="PX56" s="593"/>
      <c r="PY56" s="593"/>
      <c r="PZ56" s="593"/>
      <c r="QA56" s="593"/>
      <c r="QB56" s="593"/>
      <c r="QC56" s="593"/>
      <c r="QD56" s="593"/>
      <c r="QE56" s="593"/>
      <c r="QF56" s="593"/>
      <c r="QG56" s="593"/>
      <c r="QH56" s="593"/>
      <c r="QI56" s="593"/>
      <c r="QJ56" s="593"/>
      <c r="QK56" s="593"/>
      <c r="QL56" s="593"/>
      <c r="QM56" s="593"/>
      <c r="QN56" s="593"/>
      <c r="QO56" s="593"/>
      <c r="QP56" s="593"/>
      <c r="QQ56" s="593"/>
      <c r="QR56" s="593"/>
      <c r="QS56" s="593"/>
      <c r="QT56" s="593"/>
      <c r="QU56" s="593"/>
      <c r="QV56" s="593"/>
      <c r="QW56" s="593"/>
      <c r="QX56" s="593"/>
      <c r="QY56" s="593"/>
      <c r="QZ56" s="593"/>
      <c r="RA56" s="593"/>
      <c r="RB56" s="593"/>
      <c r="RC56" s="593"/>
      <c r="RD56" s="593"/>
      <c r="RE56" s="593"/>
      <c r="RF56" s="593"/>
      <c r="RG56" s="593"/>
      <c r="RH56" s="593"/>
      <c r="RI56" s="593"/>
      <c r="RJ56" s="593"/>
      <c r="RK56" s="593"/>
      <c r="RL56" s="593"/>
      <c r="RM56" s="593"/>
      <c r="RN56" s="593"/>
      <c r="RO56" s="593"/>
      <c r="RP56" s="593"/>
      <c r="RQ56" s="593"/>
      <c r="RR56" s="593"/>
    </row>
    <row r="57" spans="1:486">
      <c r="A57" s="568">
        <v>2012</v>
      </c>
      <c r="B57" s="33">
        <v>555862</v>
      </c>
      <c r="C57" s="193">
        <v>8158</v>
      </c>
      <c r="D57" s="193">
        <v>1225</v>
      </c>
      <c r="E57" s="193">
        <v>16913</v>
      </c>
      <c r="F57" s="193">
        <v>11414</v>
      </c>
      <c r="G57" s="193">
        <v>1863</v>
      </c>
      <c r="H57" s="193">
        <v>10763</v>
      </c>
      <c r="I57" s="193">
        <f t="shared" si="550"/>
        <v>50336</v>
      </c>
      <c r="J57" s="193">
        <f t="shared" si="551"/>
        <v>505526</v>
      </c>
      <c r="K57" s="193">
        <f t="shared" si="249"/>
        <v>493295</v>
      </c>
      <c r="L57" s="193">
        <v>12231</v>
      </c>
      <c r="M57" s="140">
        <f t="shared" si="217"/>
        <v>9.0554849944770463E-2</v>
      </c>
      <c r="N57" s="140">
        <f t="shared" si="250"/>
        <v>2.2003662779610765E-2</v>
      </c>
      <c r="O57" s="193">
        <v>5191800</v>
      </c>
      <c r="P57" s="32">
        <f t="shared" si="251"/>
        <v>0.10706537231788589</v>
      </c>
      <c r="Q57" s="629">
        <f t="shared" si="218"/>
        <v>1.4676304550409993E-2</v>
      </c>
      <c r="R57" s="308">
        <f t="shared" si="219"/>
        <v>2.2037843925290812E-3</v>
      </c>
      <c r="S57" s="308">
        <f t="shared" si="220"/>
        <v>3.0426616678240283E-2</v>
      </c>
      <c r="T57" s="308">
        <f t="shared" si="221"/>
        <v>2.0533873515368922E-2</v>
      </c>
      <c r="U57" s="308">
        <f t="shared" si="222"/>
        <v>3.3515512843115738E-3</v>
      </c>
      <c r="V57" s="308">
        <f t="shared" si="223"/>
        <v>1.936271952391061E-2</v>
      </c>
      <c r="W57" s="5">
        <v>543380</v>
      </c>
      <c r="X57" s="193">
        <v>69538</v>
      </c>
      <c r="Y57" s="76">
        <v>0</v>
      </c>
      <c r="Z57" s="76">
        <f t="shared" si="114"/>
        <v>69538</v>
      </c>
      <c r="AA57" s="193">
        <v>3759</v>
      </c>
      <c r="AB57" s="66">
        <v>0</v>
      </c>
      <c r="AC57" s="274">
        <f t="shared" si="117"/>
        <v>3759</v>
      </c>
      <c r="AD57" s="193">
        <v>15823</v>
      </c>
      <c r="AE57" s="357">
        <f t="shared" si="477"/>
        <v>606.24581266531288</v>
      </c>
      <c r="AF57" s="274">
        <f t="shared" si="119"/>
        <v>15216.754187334687</v>
      </c>
      <c r="AG57" s="193">
        <v>23741</v>
      </c>
      <c r="AH57" s="357">
        <f t="shared" si="382"/>
        <v>426.29830538202907</v>
      </c>
      <c r="AI57" s="76">
        <f t="shared" si="287"/>
        <v>23314.701694617972</v>
      </c>
      <c r="AJ57" s="193">
        <v>27008</v>
      </c>
      <c r="AK57" s="357">
        <f t="shared" si="458"/>
        <v>4072.8562486960136</v>
      </c>
      <c r="AL57" s="274">
        <f t="shared" si="123"/>
        <v>22935.143751303985</v>
      </c>
      <c r="AM57" s="193">
        <v>23907</v>
      </c>
      <c r="AN57" s="357">
        <f t="shared" si="478"/>
        <v>912.55811499181118</v>
      </c>
      <c r="AO57" s="274">
        <f t="shared" si="125"/>
        <v>22994.441885008189</v>
      </c>
      <c r="AP57" s="193">
        <f t="shared" si="397"/>
        <v>163776</v>
      </c>
      <c r="AQ57" s="271">
        <f t="shared" si="398"/>
        <v>6017.958481735167</v>
      </c>
      <c r="AR57" s="271">
        <f t="shared" si="126"/>
        <v>157758.04151826483</v>
      </c>
      <c r="AS57" s="193">
        <f t="shared" si="259"/>
        <v>379604</v>
      </c>
      <c r="AT57" s="193">
        <f t="shared" si="224"/>
        <v>247704</v>
      </c>
      <c r="AU57" s="193">
        <v>131900</v>
      </c>
      <c r="AV57" s="193">
        <v>50545</v>
      </c>
      <c r="AW57" s="23">
        <f t="shared" si="289"/>
        <v>0.38320697498104622</v>
      </c>
      <c r="AX57" s="271">
        <f t="shared" si="227"/>
        <v>411480</v>
      </c>
      <c r="AY57" s="140">
        <f t="shared" si="399"/>
        <v>0.30140233354190438</v>
      </c>
      <c r="AZ57" s="623">
        <f t="shared" si="129"/>
        <v>0.29032728756719944</v>
      </c>
      <c r="BA57" s="248">
        <f t="shared" si="400"/>
        <v>0.38339176027574812</v>
      </c>
      <c r="BB57" s="248">
        <f t="shared" si="130"/>
        <v>0.16899484786623895</v>
      </c>
      <c r="BC57" s="248">
        <f t="shared" si="131"/>
        <v>9.1353164187809865E-3</v>
      </c>
      <c r="BD57" s="248">
        <f t="shared" si="132"/>
        <v>3.6980543859567144E-2</v>
      </c>
      <c r="BE57" s="248">
        <f t="shared" si="133"/>
        <v>5.6660595155579793E-2</v>
      </c>
      <c r="BF57" s="248">
        <f t="shared" si="134"/>
        <v>5.5738173790473376E-2</v>
      </c>
      <c r="BG57" s="248">
        <f t="shared" si="135"/>
        <v>5.5882283185107878E-2</v>
      </c>
      <c r="BH57" s="248">
        <f t="shared" si="136"/>
        <v>4.6115860278348131E-2</v>
      </c>
      <c r="BI57" s="23">
        <f t="shared" si="401"/>
        <v>0.35956304073101975</v>
      </c>
      <c r="BJ57" s="140">
        <f t="shared" si="402"/>
        <v>0.24273988737163679</v>
      </c>
      <c r="BK57" s="623">
        <f t="shared" si="137"/>
        <v>0.23166484139693186</v>
      </c>
      <c r="BL57" s="5">
        <v>-39239</v>
      </c>
      <c r="BM57" s="193">
        <v>-2301</v>
      </c>
      <c r="BN57" s="193">
        <v>-3077</v>
      </c>
      <c r="BO57" s="193">
        <v>-7780</v>
      </c>
      <c r="BP57" s="193">
        <v>-1952</v>
      </c>
      <c r="BQ57" s="193">
        <v>-8541</v>
      </c>
      <c r="BR57" s="193">
        <v>-1503</v>
      </c>
      <c r="BS57" s="193">
        <f t="shared" si="403"/>
        <v>-25154</v>
      </c>
      <c r="BT57" s="193">
        <f t="shared" si="365"/>
        <v>-14085</v>
      </c>
      <c r="BU57" s="193">
        <f t="shared" si="373"/>
        <v>-17256</v>
      </c>
      <c r="BV57" s="193">
        <v>3171</v>
      </c>
      <c r="BW57" s="5">
        <f t="shared" si="262"/>
        <v>390713</v>
      </c>
      <c r="BX57" s="193">
        <f t="shared" si="263"/>
        <v>66654</v>
      </c>
      <c r="BY57" s="193">
        <f t="shared" si="459"/>
        <v>0</v>
      </c>
      <c r="BZ57" s="647">
        <f t="shared" si="149"/>
        <v>0.17059580817633405</v>
      </c>
      <c r="CA57" s="193">
        <f t="shared" si="264"/>
        <v>2736</v>
      </c>
      <c r="CB57" s="193">
        <f t="shared" si="460"/>
        <v>0</v>
      </c>
      <c r="CC57" s="647">
        <f t="shared" si="404"/>
        <v>7.0025824582238116E-3</v>
      </c>
      <c r="CD57" s="193">
        <f t="shared" si="265"/>
        <v>11305</v>
      </c>
      <c r="CE57" s="193">
        <f t="shared" si="461"/>
        <v>293.62705538515826</v>
      </c>
      <c r="CF57" s="655">
        <f t="shared" si="405"/>
        <v>2.8182765724751521E-2</v>
      </c>
      <c r="CG57" s="193">
        <f t="shared" si="266"/>
        <v>21223</v>
      </c>
      <c r="CH57" s="193">
        <f t="shared" si="462"/>
        <v>383.66847484382617</v>
      </c>
      <c r="CI57" s="23">
        <f t="shared" si="406"/>
        <v>5.3336673018702145E-2</v>
      </c>
      <c r="CJ57" s="193">
        <f t="shared" si="267"/>
        <v>24551</v>
      </c>
      <c r="CK57" s="641">
        <f t="shared" si="463"/>
        <v>1972.6334802280394</v>
      </c>
      <c r="CL57" s="34">
        <f t="shared" si="158"/>
        <v>5.7787599900110724E-2</v>
      </c>
      <c r="CM57" s="193">
        <f t="shared" si="268"/>
        <v>22098</v>
      </c>
      <c r="CN57" s="193">
        <f t="shared" si="464"/>
        <v>821.30230349263002</v>
      </c>
      <c r="CO57" s="23">
        <f t="shared" si="161"/>
        <v>5.4456078237753468E-2</v>
      </c>
      <c r="CP57" s="193">
        <f t="shared" si="407"/>
        <v>148567</v>
      </c>
      <c r="CQ57" s="193">
        <f t="shared" si="162"/>
        <v>3471.2313139496537</v>
      </c>
      <c r="CR57" s="193">
        <f t="shared" si="408"/>
        <v>242146</v>
      </c>
      <c r="CS57" s="248">
        <f t="shared" si="163"/>
        <v>0.37136150751587571</v>
      </c>
      <c r="CT57" s="30">
        <f t="shared" si="409"/>
        <v>0.38024585821306178</v>
      </c>
      <c r="CU57" s="308">
        <f t="shared" si="410"/>
        <v>0</v>
      </c>
      <c r="CV57" s="608">
        <f t="shared" si="269"/>
        <v>0.17059580817633405</v>
      </c>
      <c r="CW57" s="608">
        <f t="shared" si="270"/>
        <v>7.0025824582238116E-3</v>
      </c>
      <c r="CX57" s="608">
        <f t="shared" si="271"/>
        <v>2.8934281685021997E-2</v>
      </c>
      <c r="CY57" s="608">
        <f t="shared" si="272"/>
        <v>5.4318643096083315E-2</v>
      </c>
      <c r="CZ57" s="608">
        <f t="shared" si="327"/>
        <v>6.2836404214858477E-2</v>
      </c>
      <c r="DA57" s="608">
        <f>'Assets(BoP)'!FK104</f>
        <v>0.13422682919778237</v>
      </c>
      <c r="DB57" s="608">
        <f t="shared" si="273"/>
        <v>5.6558138582540128E-2</v>
      </c>
      <c r="DC57" s="23">
        <f t="shared" si="411"/>
        <v>0.44395010693101922</v>
      </c>
      <c r="DD57" s="193">
        <f t="shared" si="412"/>
        <v>326828.99817072297</v>
      </c>
      <c r="DE57" s="193">
        <f t="shared" si="274"/>
        <v>63884.001829277011</v>
      </c>
      <c r="DF57" s="193"/>
      <c r="DG57" s="193">
        <f>'Assets(BoP)'!DA104*1000</f>
        <v>25767</v>
      </c>
      <c r="DH57" s="23">
        <f t="shared" si="413"/>
        <v>0.16350621000395946</v>
      </c>
      <c r="DI57" s="23"/>
      <c r="DJ57" s="23">
        <f t="shared" si="414"/>
        <v>0.35131157652803974</v>
      </c>
      <c r="DK57" s="600">
        <f>'Assets(BoP)'!FO104-'Assets(BoP)'!FH104</f>
        <v>0.38333114007584268</v>
      </c>
      <c r="DL57" s="576">
        <f t="shared" si="415"/>
        <v>0.97754478629587915</v>
      </c>
      <c r="DM57" s="251">
        <f t="shared" si="416"/>
        <v>8.5239029173817116</v>
      </c>
      <c r="DN57" s="251">
        <f t="shared" si="417"/>
        <v>8.5239029173817116</v>
      </c>
      <c r="DO57" s="251">
        <f t="shared" si="418"/>
        <v>3.0685714285714285</v>
      </c>
      <c r="DP57" s="251">
        <f t="shared" si="419"/>
        <v>3.0685714285714285</v>
      </c>
      <c r="DQ57" s="251">
        <f t="shared" si="420"/>
        <v>0.93555253355407086</v>
      </c>
      <c r="DR57" s="251">
        <f t="shared" si="421"/>
        <v>0.90270806616093613</v>
      </c>
      <c r="DS57" s="251">
        <f t="shared" si="422"/>
        <v>2.0799894865954092</v>
      </c>
      <c r="DT57" s="251">
        <f t="shared" si="423"/>
        <v>2.0497396743680634</v>
      </c>
      <c r="DU57" s="251">
        <f t="shared" si="424"/>
        <v>14.497047772410092</v>
      </c>
      <c r="DV57" s="251">
        <f t="shared" si="425"/>
        <v>15.441143919706381</v>
      </c>
      <c r="DW57" s="251">
        <f t="shared" si="426"/>
        <v>2.2212208492056118</v>
      </c>
      <c r="DX57" s="251">
        <f t="shared" si="427"/>
        <v>2.1533644475161031</v>
      </c>
      <c r="DY57" s="251">
        <f t="shared" si="428"/>
        <v>1.0796118645936708</v>
      </c>
      <c r="DZ57" s="251">
        <f t="shared" si="429"/>
        <v>1.0494404202567909</v>
      </c>
      <c r="EA57" s="643">
        <f t="shared" si="430"/>
        <v>3.2536554354736174</v>
      </c>
      <c r="EB57" s="643">
        <f t="shared" si="431"/>
        <v>3.1692348522042195</v>
      </c>
      <c r="EC57" s="251">
        <f t="shared" si="432"/>
        <v>0.75090895423776427</v>
      </c>
      <c r="ED57" s="251">
        <f t="shared" si="433"/>
        <v>0.75691047787929677</v>
      </c>
      <c r="EE57" s="140">
        <f t="shared" si="434"/>
        <v>0.50214172047152317</v>
      </c>
      <c r="EF57" s="1342">
        <v>0.31869157780448204</v>
      </c>
      <c r="EG57" s="140">
        <f t="shared" si="228"/>
        <v>10.784073256479438</v>
      </c>
      <c r="EH57" s="583">
        <v>111.6697023809523</v>
      </c>
      <c r="EI57" s="1344">
        <v>1.0286088521593275</v>
      </c>
      <c r="EJ57" s="576">
        <f t="shared" si="166"/>
        <v>0.7028956827413998</v>
      </c>
      <c r="EK57" s="753">
        <f t="shared" si="167"/>
        <v>2.9211123042854577</v>
      </c>
      <c r="EL57" s="753">
        <f t="shared" si="168"/>
        <v>5.2231217258831668</v>
      </c>
      <c r="EM57" s="753">
        <f t="shared" si="169"/>
        <v>0.36136996760705659</v>
      </c>
      <c r="EN57" s="583"/>
      <c r="EO57" s="5">
        <v>1066376</v>
      </c>
      <c r="EP57" s="193">
        <v>119624</v>
      </c>
      <c r="EQ57" s="193"/>
      <c r="ER57" s="193">
        <v>95184</v>
      </c>
      <c r="ES57" s="193"/>
      <c r="ET57" s="193">
        <v>164905</v>
      </c>
      <c r="EU57" s="193"/>
      <c r="EV57" s="193">
        <v>54019</v>
      </c>
      <c r="EW57" s="193"/>
      <c r="EX57" s="193">
        <v>140294</v>
      </c>
      <c r="EY57" s="193"/>
      <c r="EZ57" s="193">
        <v>40696</v>
      </c>
      <c r="FA57" s="193"/>
      <c r="FB57" s="193">
        <f t="shared" si="558"/>
        <v>614722</v>
      </c>
      <c r="FC57" s="193">
        <f t="shared" si="559"/>
        <v>451654</v>
      </c>
      <c r="FD57" s="23">
        <f t="shared" si="560"/>
        <v>0.57645896006661812</v>
      </c>
      <c r="FE57" s="193">
        <v>81049</v>
      </c>
      <c r="FF57" s="193"/>
      <c r="FG57" s="193"/>
      <c r="FH57" s="193"/>
      <c r="FI57" s="193"/>
      <c r="FJ57" s="5">
        <v>152667</v>
      </c>
      <c r="FK57" s="143">
        <f>FJ57/'Assets(BoP)'!AV104/1000</f>
        <v>1.2196124729239632</v>
      </c>
      <c r="FL57" s="193"/>
      <c r="FM57" s="193">
        <v>2884</v>
      </c>
      <c r="FN57" s="66">
        <f t="shared" si="374"/>
        <v>0</v>
      </c>
      <c r="FO57" s="184">
        <f t="shared" si="383"/>
        <v>0</v>
      </c>
      <c r="FP57" s="193">
        <v>1023</v>
      </c>
      <c r="FQ57" s="66">
        <f t="shared" si="375"/>
        <v>0</v>
      </c>
      <c r="FR57" s="184">
        <v>0</v>
      </c>
      <c r="FS57" s="193">
        <v>4518</v>
      </c>
      <c r="FT57" s="66">
        <f t="shared" si="465"/>
        <v>312.61875728015463</v>
      </c>
      <c r="FU57" s="193">
        <f t="shared" si="175"/>
        <v>4205.3812427198454</v>
      </c>
      <c r="FV57" s="23">
        <f t="shared" si="376"/>
        <v>6.9194058716280357E-2</v>
      </c>
      <c r="FW57" s="193">
        <v>2518</v>
      </c>
      <c r="FX57" s="66">
        <f t="shared" si="466"/>
        <v>42.62983053820291</v>
      </c>
      <c r="FY57" s="23">
        <f t="shared" si="438"/>
        <v>1.6930035956395119E-2</v>
      </c>
      <c r="FZ57" s="193">
        <v>2457</v>
      </c>
      <c r="GA57" s="66">
        <f t="shared" si="467"/>
        <v>2100.2227684679742</v>
      </c>
      <c r="GB57" s="193">
        <f t="shared" si="180"/>
        <v>356.77723153202578</v>
      </c>
      <c r="GC57" s="23">
        <f t="shared" si="366"/>
        <v>0.8547915215579871</v>
      </c>
      <c r="GD57" s="193">
        <v>1809</v>
      </c>
      <c r="GE57" s="66">
        <f t="shared" si="384"/>
        <v>91.255811499181121</v>
      </c>
      <c r="GF57" s="23">
        <f t="shared" si="377"/>
        <v>5.0445445825970769E-2</v>
      </c>
      <c r="GG57" s="193">
        <f t="shared" si="439"/>
        <v>15209</v>
      </c>
      <c r="GH57" s="193">
        <f t="shared" si="440"/>
        <v>2546.7271677855128</v>
      </c>
      <c r="GI57" s="193">
        <f t="shared" si="441"/>
        <v>137458</v>
      </c>
      <c r="GJ57" s="23">
        <f t="shared" si="442"/>
        <v>9.9622053226958024E-2</v>
      </c>
      <c r="GK57" s="330">
        <v>68015.998170722989</v>
      </c>
      <c r="GL57" s="330">
        <v>32450</v>
      </c>
      <c r="GM57" s="23">
        <f>GK57/'Assets(BoP)'!AW104/1000</f>
        <v>1.4420412179372197</v>
      </c>
      <c r="GN57" s="23">
        <f t="shared" si="443"/>
        <v>0.44551866592467915</v>
      </c>
      <c r="GO57" s="330">
        <f t="shared" si="275"/>
        <v>84651.001829277011</v>
      </c>
      <c r="GP57" s="23">
        <f>GO57/('Assets(BoP)'!AV104-'Assets(BoP)'!AW104)/1000</f>
        <v>1.0851277146142118</v>
      </c>
      <c r="GQ57" s="330">
        <f t="shared" si="444"/>
        <v>69442.001829277011</v>
      </c>
      <c r="GR57" s="330">
        <v>3965.018</v>
      </c>
      <c r="GS57" s="140">
        <f t="shared" si="445"/>
        <v>0.56610051870500089</v>
      </c>
      <c r="GT57" s="582">
        <v>0.77829360141285198</v>
      </c>
      <c r="GU57" s="576">
        <f t="shared" si="446"/>
        <v>0.28095807722036142</v>
      </c>
      <c r="GV57" s="589">
        <f t="shared" si="276"/>
        <v>4.1473726595530502E-2</v>
      </c>
      <c r="GW57" s="589"/>
      <c r="GX57" s="589">
        <f t="shared" si="277"/>
        <v>0.27214684756584195</v>
      </c>
      <c r="GY57" s="589"/>
      <c r="GZ57" s="589">
        <f t="shared" si="308"/>
        <v>0.28553371674145234</v>
      </c>
      <c r="HA57" s="56">
        <f t="shared" si="385"/>
        <v>0.51566336748084152</v>
      </c>
      <c r="HB57" s="589">
        <f t="shared" si="278"/>
        <v>0.10606124426098311</v>
      </c>
      <c r="HC57" s="56">
        <v>0.1</v>
      </c>
      <c r="HD57" s="589">
        <f t="shared" si="279"/>
        <v>9.0973045023696686E-2</v>
      </c>
      <c r="HE57" s="56">
        <f t="shared" si="479"/>
        <v>0.51566336748084152</v>
      </c>
      <c r="HF57" s="589">
        <f t="shared" si="309"/>
        <v>7.5668214330530809E-2</v>
      </c>
      <c r="HG57" s="56">
        <v>0.1</v>
      </c>
      <c r="HH57" s="6">
        <f t="shared" si="57"/>
        <v>9.2864644392340753E-2</v>
      </c>
      <c r="HI57" s="6">
        <f t="shared" si="447"/>
        <v>8.0263882020546518E-2</v>
      </c>
      <c r="HJ57" s="23">
        <f t="shared" si="280"/>
        <v>0.51566336748084152</v>
      </c>
      <c r="HK57" s="23">
        <f t="shared" si="280"/>
        <v>0.64200217627856371</v>
      </c>
      <c r="HL57" s="23">
        <f t="shared" si="281"/>
        <v>0.43717040342600932</v>
      </c>
      <c r="HM57" s="31">
        <f t="shared" si="282"/>
        <v>0.20572324737357103</v>
      </c>
      <c r="HN57" s="23">
        <f t="shared" si="448"/>
        <v>0.3621089345739244</v>
      </c>
      <c r="HO57" s="23">
        <f t="shared" si="449"/>
        <v>0.28034267443915728</v>
      </c>
      <c r="HP57" s="575">
        <v>681449</v>
      </c>
      <c r="HQ57" s="193"/>
      <c r="HR57" s="193"/>
      <c r="HS57" s="193"/>
      <c r="HT57" s="193"/>
      <c r="HU57" s="193"/>
      <c r="HV57" s="193"/>
      <c r="HW57" s="193"/>
      <c r="HX57" s="193"/>
      <c r="HY57" s="193"/>
      <c r="HZ57" s="193"/>
      <c r="IA57" s="193"/>
      <c r="IB57" s="193"/>
      <c r="IC57" s="193"/>
      <c r="ID57" s="193"/>
      <c r="IE57" s="193"/>
      <c r="IF57" s="193"/>
      <c r="IG57" s="193"/>
      <c r="IH57" s="193"/>
      <c r="II57" s="193"/>
      <c r="IJ57" s="193"/>
      <c r="IK57" s="193"/>
      <c r="IL57" s="193"/>
      <c r="IM57" s="575">
        <v>3219</v>
      </c>
      <c r="IN57" s="193"/>
      <c r="IO57" s="193"/>
      <c r="IP57" s="193"/>
      <c r="IQ57" s="193"/>
      <c r="IR57" s="193"/>
      <c r="IS57" s="193"/>
      <c r="IT57" s="193"/>
      <c r="IU57" s="193"/>
      <c r="IV57" s="193"/>
      <c r="IW57" s="193"/>
      <c r="IX57" s="149">
        <f t="shared" si="570"/>
        <v>4074631</v>
      </c>
      <c r="IY57" s="316">
        <f t="shared" si="64"/>
        <v>273952</v>
      </c>
      <c r="IZ57" s="316">
        <f t="shared" si="65"/>
        <v>149132</v>
      </c>
      <c r="JA57" s="316">
        <f t="shared" si="66"/>
        <v>120776</v>
      </c>
      <c r="JB57" s="316">
        <f t="shared" si="67"/>
        <v>218367</v>
      </c>
      <c r="JC57" s="316">
        <f t="shared" si="68"/>
        <v>537781</v>
      </c>
      <c r="JD57" s="316">
        <f t="shared" si="69"/>
        <v>113331</v>
      </c>
      <c r="JE57" s="316">
        <f t="shared" si="70"/>
        <v>1413339</v>
      </c>
      <c r="JF57" s="316">
        <f t="shared" si="71"/>
        <v>2661292</v>
      </c>
      <c r="JG57" s="316">
        <f t="shared" si="72"/>
        <v>2364338.3862368152</v>
      </c>
      <c r="JH57" s="316">
        <f t="shared" si="73"/>
        <v>296953.61376318493</v>
      </c>
      <c r="JI57" s="5">
        <v>10020894</v>
      </c>
      <c r="JJ57" s="552">
        <v>562487</v>
      </c>
      <c r="JK57" s="552">
        <v>1141510</v>
      </c>
      <c r="JL57" s="552">
        <v>1302168</v>
      </c>
      <c r="JM57" s="552">
        <v>470270</v>
      </c>
      <c r="JN57" s="552">
        <v>1417315</v>
      </c>
      <c r="JO57" s="552">
        <v>248683</v>
      </c>
      <c r="JP57" s="552">
        <f t="shared" si="74"/>
        <v>5142433</v>
      </c>
      <c r="JQ57" s="552">
        <f t="shared" si="75"/>
        <v>4878461</v>
      </c>
      <c r="JR57" s="552">
        <f t="shared" si="76"/>
        <v>4472935</v>
      </c>
      <c r="JS57" s="552">
        <v>405526</v>
      </c>
      <c r="JT57" s="149">
        <v>5946263</v>
      </c>
      <c r="JU57" s="552">
        <v>288535</v>
      </c>
      <c r="JV57" s="552">
        <v>992378</v>
      </c>
      <c r="JW57" s="552">
        <v>1181392</v>
      </c>
      <c r="JX57" s="552">
        <v>251903</v>
      </c>
      <c r="JY57" s="552">
        <v>879534</v>
      </c>
      <c r="JZ57" s="552">
        <v>135352</v>
      </c>
      <c r="KA57" s="552">
        <f t="shared" ref="KA57" si="589">JU57+JV57+JW57+JX57+JY57+JZ57</f>
        <v>3729094</v>
      </c>
      <c r="KB57" s="552">
        <f t="shared" ref="KB57" si="590">JT57-KA57</f>
        <v>2217169</v>
      </c>
      <c r="KC57" s="552">
        <f t="shared" ref="KC57" si="591">KB57-KD57</f>
        <v>2108596.6137631848</v>
      </c>
      <c r="KD57" s="620">
        <f t="shared" si="573"/>
        <v>108572.38623681507</v>
      </c>
      <c r="KE57" s="5">
        <v>1288446</v>
      </c>
      <c r="KF57" s="552">
        <v>58310</v>
      </c>
      <c r="KG57" s="552">
        <v>1658</v>
      </c>
      <c r="KH57" s="552">
        <v>19954</v>
      </c>
      <c r="KI57" s="552">
        <v>11433</v>
      </c>
      <c r="KJ57" s="552">
        <v>27468</v>
      </c>
      <c r="KK57" s="552">
        <v>29065</v>
      </c>
      <c r="KL57" s="552">
        <f t="shared" ref="KL57" si="592">KF57+KG57+KH57+KI57+KJ57+KK57</f>
        <v>147888</v>
      </c>
      <c r="KM57" s="552">
        <f t="shared" ref="KM57" si="593">KE57-KL57</f>
        <v>1140558</v>
      </c>
      <c r="KN57" s="552">
        <f>KM57-KO57</f>
        <v>768119</v>
      </c>
      <c r="KO57" s="552">
        <v>372439</v>
      </c>
      <c r="KP57" s="5">
        <v>421637</v>
      </c>
      <c r="KQ57" s="552">
        <v>18574</v>
      </c>
      <c r="KR57" s="552">
        <v>2121</v>
      </c>
      <c r="KS57" s="552">
        <v>23316</v>
      </c>
      <c r="KT57" s="552">
        <v>27504</v>
      </c>
      <c r="KU57" s="552">
        <v>3937</v>
      </c>
      <c r="KV57" s="552">
        <v>20420</v>
      </c>
      <c r="KW57" s="552">
        <f t="shared" ref="KW57" si="594">KQ57+KR57+KS57+KT57+KU57+KV57</f>
        <v>95872</v>
      </c>
      <c r="KX57" s="552">
        <f t="shared" ref="KX57" si="595">KP57-KW57</f>
        <v>325765</v>
      </c>
      <c r="KY57" s="552">
        <f>KX57-KZ57</f>
        <v>301489</v>
      </c>
      <c r="KZ57" s="552">
        <v>24276</v>
      </c>
      <c r="LA57" s="149">
        <f>'Assets(MOFA)'!IX57-'Assets(MOFA)'!KE57-'Assets(MOFA)'!KP57</f>
        <v>2364548</v>
      </c>
      <c r="LB57" s="552">
        <f>'Assets(MOFA)'!IY57-'Assets(MOFA)'!KF57-'Assets(MOFA)'!KQ57</f>
        <v>197068</v>
      </c>
      <c r="LC57" s="552">
        <f>'Assets(MOFA)'!IZ57-'Assets(MOFA)'!KG57-'Assets(MOFA)'!KR57</f>
        <v>145353</v>
      </c>
      <c r="LD57" s="552">
        <f>'Assets(MOFA)'!JA57-'Assets(MOFA)'!KH57-'Assets(MOFA)'!KS57</f>
        <v>77506</v>
      </c>
      <c r="LE57" s="552">
        <f>'Assets(MOFA)'!JB57-'Assets(MOFA)'!KI57-'Assets(MOFA)'!KT57</f>
        <v>179430</v>
      </c>
      <c r="LF57" s="552">
        <f>'Assets(MOFA)'!JC57-'Assets(MOFA)'!KJ57-'Assets(MOFA)'!KU57</f>
        <v>506376</v>
      </c>
      <c r="LG57" s="552">
        <f>'Assets(MOFA)'!JD57-'Assets(MOFA)'!KK57-'Assets(MOFA)'!KV57</f>
        <v>63846</v>
      </c>
      <c r="LH57" s="552">
        <f>'Assets(MOFA)'!JE57-'Assets(MOFA)'!KL57-'Assets(MOFA)'!KW57</f>
        <v>1169579</v>
      </c>
      <c r="LI57" s="552">
        <f>'Assets(MOFA)'!JF57-'Assets(MOFA)'!KM57-'Assets(MOFA)'!KX57</f>
        <v>1194969</v>
      </c>
      <c r="LJ57" s="552">
        <f t="shared" ref="LJ57:LJ58" si="596">LI57-LK57</f>
        <v>1294730.386236815</v>
      </c>
      <c r="LK57" s="552">
        <f>'Assets(MOFA)'!JH57-'Assets(MOFA)'!KO57-'Assets(MOFA)'!KZ57</f>
        <v>-99761.386236815073</v>
      </c>
      <c r="LL57" s="576">
        <f t="shared" si="78"/>
        <v>0.13335686102618863</v>
      </c>
      <c r="LM57" s="6">
        <f t="shared" si="79"/>
        <v>0.25383278822567457</v>
      </c>
      <c r="LN57" s="6">
        <f t="shared" si="80"/>
        <v>2.5205857897701366E-2</v>
      </c>
      <c r="LO57" s="6">
        <f t="shared" si="81"/>
        <v>0.13101112803868317</v>
      </c>
      <c r="LP57" s="6">
        <f t="shared" si="82"/>
        <v>0.10872064002344677</v>
      </c>
      <c r="LQ57" s="6">
        <f t="shared" si="83"/>
        <v>5.022118669123677E-2</v>
      </c>
      <c r="LR57" s="6">
        <f t="shared" si="84"/>
        <v>0.21094846070360271</v>
      </c>
      <c r="LS57" s="902">
        <f t="shared" si="85"/>
        <v>0.11587878067470013</v>
      </c>
      <c r="LT57" s="143">
        <f t="shared" si="86"/>
        <v>0.19348798811194584</v>
      </c>
      <c r="LU57" s="62">
        <f t="shared" si="87"/>
        <v>5.768309336885856E-2</v>
      </c>
      <c r="LV57" s="902">
        <f t="shared" si="88"/>
        <v>0.14263898888209187</v>
      </c>
      <c r="LW57" s="902">
        <f t="shared" si="89"/>
        <v>0.10476672943345329</v>
      </c>
      <c r="LX57" s="143">
        <f t="shared" si="90"/>
        <v>0.44417711685161654</v>
      </c>
      <c r="LY57" s="576">
        <f t="shared" si="91"/>
        <v>0.13414687121361418</v>
      </c>
      <c r="LZ57" s="906">
        <f t="shared" si="92"/>
        <v>0.25383278822567457</v>
      </c>
      <c r="MA57" s="906">
        <f t="shared" si="93"/>
        <v>2.5205857897701366E-2</v>
      </c>
      <c r="MB57" s="906">
        <f t="shared" si="94"/>
        <v>0.13101112803868317</v>
      </c>
      <c r="MC57" s="906">
        <f t="shared" si="95"/>
        <v>0.10872064002344677</v>
      </c>
      <c r="MD57" s="906">
        <f t="shared" si="96"/>
        <v>5.022118669123677E-2</v>
      </c>
      <c r="ME57" s="906">
        <v>6.1610529375296846E-2</v>
      </c>
      <c r="MF57" s="906">
        <f t="shared" si="97"/>
        <v>0.21094846070360271</v>
      </c>
      <c r="MG57" s="30">
        <f t="shared" si="98"/>
        <v>0.11587878067470013</v>
      </c>
      <c r="MH57" s="140">
        <f t="shared" si="99"/>
        <v>0.19348798811194584</v>
      </c>
      <c r="MI57" s="30">
        <f t="shared" si="100"/>
        <v>5.768309336885856E-2</v>
      </c>
      <c r="MJ57" s="30">
        <f t="shared" si="101"/>
        <v>0.14263898888209187</v>
      </c>
      <c r="MK57" s="617">
        <f t="shared" si="102"/>
        <v>0.10476672943345329</v>
      </c>
      <c r="ML57" s="615">
        <f t="shared" si="103"/>
        <v>0.44417711685161654</v>
      </c>
      <c r="MM57" s="574"/>
      <c r="MX57" s="613"/>
      <c r="MY57" s="552"/>
      <c r="MZ57" s="552"/>
      <c r="NA57" s="552"/>
      <c r="NB57" s="552"/>
      <c r="NC57" s="552"/>
      <c r="ND57" s="552"/>
      <c r="NE57" s="552"/>
      <c r="NF57" s="552"/>
      <c r="NG57" s="552"/>
      <c r="NH57" s="552"/>
      <c r="NI57" s="613">
        <f t="shared" si="364"/>
        <v>555862</v>
      </c>
      <c r="PN57" s="574"/>
      <c r="PO57" s="593"/>
      <c r="PP57" s="593"/>
      <c r="PQ57" s="593"/>
      <c r="PR57" s="593"/>
      <c r="PS57" s="593"/>
      <c r="PT57" s="593"/>
      <c r="PU57" s="593"/>
      <c r="PV57" s="593"/>
      <c r="PW57" s="593"/>
      <c r="PX57" s="593"/>
      <c r="PY57" s="593"/>
      <c r="PZ57" s="593"/>
      <c r="QA57" s="593"/>
      <c r="QB57" s="593"/>
      <c r="QC57" s="593"/>
      <c r="QD57" s="593"/>
      <c r="QE57" s="593"/>
      <c r="QF57" s="593"/>
      <c r="QG57" s="593"/>
      <c r="QH57" s="593"/>
      <c r="QI57" s="593"/>
      <c r="QJ57" s="593"/>
      <c r="QK57" s="593"/>
      <c r="QL57" s="593"/>
      <c r="QM57" s="593"/>
      <c r="QN57" s="593"/>
      <c r="QO57" s="593"/>
      <c r="QP57" s="593"/>
      <c r="QQ57" s="593"/>
      <c r="QR57" s="593"/>
      <c r="QS57" s="593"/>
      <c r="QT57" s="593"/>
      <c r="QU57" s="593"/>
      <c r="QV57" s="593"/>
      <c r="QW57" s="593"/>
      <c r="QX57" s="593"/>
      <c r="QY57" s="593"/>
      <c r="QZ57" s="593"/>
      <c r="RA57" s="593"/>
      <c r="RB57" s="593"/>
      <c r="RC57" s="593"/>
      <c r="RD57" s="593"/>
      <c r="RE57" s="593"/>
      <c r="RF57" s="593"/>
      <c r="RG57" s="593"/>
      <c r="RH57" s="593"/>
      <c r="RI57" s="593"/>
      <c r="RJ57" s="593"/>
      <c r="RK57" s="593"/>
      <c r="RL57" s="593"/>
      <c r="RM57" s="593"/>
      <c r="RN57" s="593"/>
      <c r="RO57" s="593"/>
      <c r="RP57" s="593"/>
      <c r="RQ57" s="593"/>
      <c r="RR57" s="593"/>
    </row>
    <row r="58" spans="1:486">
      <c r="A58" s="568">
        <v>2013</v>
      </c>
      <c r="B58" s="33">
        <v>563542</v>
      </c>
      <c r="C58" s="193">
        <v>8267</v>
      </c>
      <c r="D58" s="193">
        <v>1788</v>
      </c>
      <c r="E58" s="193">
        <v>18096</v>
      </c>
      <c r="F58" s="193">
        <v>11191</v>
      </c>
      <c r="G58" s="193">
        <v>2070</v>
      </c>
      <c r="H58" s="193">
        <v>11509</v>
      </c>
      <c r="I58" s="193">
        <f t="shared" si="550"/>
        <v>52921</v>
      </c>
      <c r="J58" s="193">
        <f t="shared" si="551"/>
        <v>510621</v>
      </c>
      <c r="K58" s="193">
        <f t="shared" si="249"/>
        <v>498140</v>
      </c>
      <c r="L58" s="193">
        <v>12481</v>
      </c>
      <c r="M58" s="140">
        <f t="shared" si="217"/>
        <v>9.3907818760624762E-2</v>
      </c>
      <c r="N58" s="140">
        <f t="shared" si="250"/>
        <v>2.2147417583782577E-2</v>
      </c>
      <c r="O58" s="193">
        <v>5357700</v>
      </c>
      <c r="P58" s="32">
        <f t="shared" si="251"/>
        <v>0.10518356757563881</v>
      </c>
      <c r="Q58" s="629">
        <f t="shared" si="218"/>
        <v>1.4669714058579485E-2</v>
      </c>
      <c r="R58" s="308">
        <f t="shared" si="219"/>
        <v>3.1727892508455449E-3</v>
      </c>
      <c r="S58" s="308">
        <f t="shared" si="220"/>
        <v>3.2111182485067662E-2</v>
      </c>
      <c r="T58" s="308">
        <f t="shared" si="221"/>
        <v>1.9858324667904079E-2</v>
      </c>
      <c r="U58" s="308">
        <f t="shared" si="222"/>
        <v>3.6731956092003791E-3</v>
      </c>
      <c r="V58" s="308">
        <f t="shared" si="223"/>
        <v>2.0422612689027616E-2</v>
      </c>
      <c r="W58" s="5">
        <v>511726</v>
      </c>
      <c r="X58" s="193">
        <v>61747</v>
      </c>
      <c r="Y58" s="76">
        <v>0</v>
      </c>
      <c r="Z58" s="76">
        <f t="shared" si="114"/>
        <v>61747</v>
      </c>
      <c r="AA58" s="193">
        <v>5169</v>
      </c>
      <c r="AB58" s="66">
        <v>0</v>
      </c>
      <c r="AC58" s="274">
        <f t="shared" si="117"/>
        <v>5169</v>
      </c>
      <c r="AD58" s="193">
        <v>741</v>
      </c>
      <c r="AE58" s="357">
        <f t="shared" si="477"/>
        <v>643.65210310237842</v>
      </c>
      <c r="AF58" s="274">
        <f t="shared" si="119"/>
        <v>97.347896897621581</v>
      </c>
      <c r="AG58" s="193">
        <v>34743</v>
      </c>
      <c r="AH58" s="357">
        <f t="shared" si="382"/>
        <v>411.60299767554295</v>
      </c>
      <c r="AI58" s="76">
        <f t="shared" si="287"/>
        <v>34331.397002324455</v>
      </c>
      <c r="AJ58" s="193">
        <v>24154</v>
      </c>
      <c r="AK58" s="357">
        <f t="shared" si="458"/>
        <v>3744.8971416649274</v>
      </c>
      <c r="AL58" s="274">
        <f t="shared" si="123"/>
        <v>20409.102858335071</v>
      </c>
      <c r="AM58" s="193">
        <v>26439</v>
      </c>
      <c r="AN58" s="357">
        <f t="shared" si="478"/>
        <v>763.06902609444478</v>
      </c>
      <c r="AO58" s="274">
        <f t="shared" si="125"/>
        <v>25675.930973905553</v>
      </c>
      <c r="AP58" s="193">
        <f t="shared" si="397"/>
        <v>152993</v>
      </c>
      <c r="AQ58" s="271">
        <f t="shared" si="398"/>
        <v>5563.2212685372933</v>
      </c>
      <c r="AR58" s="271">
        <f t="shared" si="126"/>
        <v>147429.77873146269</v>
      </c>
      <c r="AS58" s="193">
        <f t="shared" si="259"/>
        <v>358733</v>
      </c>
      <c r="AT58" s="193">
        <f t="shared" si="224"/>
        <v>237454</v>
      </c>
      <c r="AU58" s="193">
        <v>121279</v>
      </c>
      <c r="AV58" s="193">
        <v>44094</v>
      </c>
      <c r="AW58" s="23">
        <f t="shared" si="289"/>
        <v>0.36357489755027661</v>
      </c>
      <c r="AX58" s="271">
        <f t="shared" si="227"/>
        <v>390447</v>
      </c>
      <c r="AY58" s="140">
        <f t="shared" si="399"/>
        <v>0.29897445117113453</v>
      </c>
      <c r="AZ58" s="623">
        <f t="shared" si="129"/>
        <v>0.28810296668815477</v>
      </c>
      <c r="BA58" s="248">
        <f t="shared" si="400"/>
        <v>0.37759229480944334</v>
      </c>
      <c r="BB58" s="248">
        <f t="shared" si="130"/>
        <v>0.15814438323255142</v>
      </c>
      <c r="BC58" s="248">
        <f t="shared" si="131"/>
        <v>1.3238672598329606E-2</v>
      </c>
      <c r="BD58" s="248">
        <f t="shared" si="132"/>
        <v>2.4932422812218194E-4</v>
      </c>
      <c r="BE58" s="248">
        <f t="shared" si="133"/>
        <v>8.7928443559111613E-2</v>
      </c>
      <c r="BF58" s="248">
        <f t="shared" si="134"/>
        <v>5.2271122222312047E-2</v>
      </c>
      <c r="BG58" s="248">
        <f t="shared" si="135"/>
        <v>6.5760348969016419E-2</v>
      </c>
      <c r="BH58" s="248">
        <f t="shared" si="136"/>
        <v>1.3487996826451788E-2</v>
      </c>
      <c r="BI58" s="23">
        <f t="shared" si="401"/>
        <v>0.3899428091392686</v>
      </c>
      <c r="BJ58" s="140">
        <f t="shared" si="402"/>
        <v>0.23699987884141122</v>
      </c>
      <c r="BK58" s="623">
        <f t="shared" si="137"/>
        <v>0.22612839435843149</v>
      </c>
      <c r="BL58" s="5">
        <v>-33962</v>
      </c>
      <c r="BM58" s="193">
        <v>-749</v>
      </c>
      <c r="BN58" s="193">
        <v>-1499</v>
      </c>
      <c r="BO58" s="193">
        <v>-6515</v>
      </c>
      <c r="BP58" s="193">
        <v>-1700</v>
      </c>
      <c r="BQ58" s="193">
        <v>-9298</v>
      </c>
      <c r="BR58" s="193">
        <v>-1860</v>
      </c>
      <c r="BS58" s="193">
        <f t="shared" si="403"/>
        <v>-21621</v>
      </c>
      <c r="BT58" s="193">
        <f t="shared" si="365"/>
        <v>-12341</v>
      </c>
      <c r="BU58" s="193">
        <f t="shared" si="373"/>
        <v>-15145</v>
      </c>
      <c r="BV58" s="193">
        <v>2804</v>
      </c>
      <c r="BW58" s="5">
        <f t="shared" si="262"/>
        <v>373119</v>
      </c>
      <c r="BX58" s="193">
        <f t="shared" si="263"/>
        <v>58132</v>
      </c>
      <c r="BY58" s="193">
        <f t="shared" si="459"/>
        <v>0</v>
      </c>
      <c r="BZ58" s="647">
        <f t="shared" si="149"/>
        <v>0.15580016027058391</v>
      </c>
      <c r="CA58" s="193">
        <f t="shared" si="264"/>
        <v>4753</v>
      </c>
      <c r="CB58" s="193">
        <f t="shared" si="460"/>
        <v>0</v>
      </c>
      <c r="CC58" s="647">
        <f t="shared" si="404"/>
        <v>1.2738563300180372E-2</v>
      </c>
      <c r="CD58" s="193">
        <f t="shared" si="265"/>
        <v>-2998</v>
      </c>
      <c r="CE58" s="193">
        <f t="shared" si="461"/>
        <v>341.80990480698028</v>
      </c>
      <c r="CF58" s="655">
        <f t="shared" si="405"/>
        <v>-8.9510582543557964E-3</v>
      </c>
      <c r="CG58" s="193">
        <f t="shared" si="266"/>
        <v>31884</v>
      </c>
      <c r="CH58" s="193">
        <f t="shared" si="462"/>
        <v>370.44269790798865</v>
      </c>
      <c r="CI58" s="23">
        <f t="shared" si="406"/>
        <v>8.4459803178321163E-2</v>
      </c>
      <c r="CJ58" s="193">
        <f t="shared" si="267"/>
        <v>21494</v>
      </c>
      <c r="CK58" s="641">
        <f t="shared" si="463"/>
        <v>1988.718640605171</v>
      </c>
      <c r="CL58" s="34">
        <f t="shared" si="158"/>
        <v>5.2276301553645967E-2</v>
      </c>
      <c r="CM58" s="193">
        <f t="shared" si="268"/>
        <v>24580</v>
      </c>
      <c r="CN58" s="193">
        <f t="shared" si="464"/>
        <v>686.7621234850003</v>
      </c>
      <c r="CO58" s="23">
        <f t="shared" si="161"/>
        <v>6.4036508128814132E-2</v>
      </c>
      <c r="CP58" s="193">
        <f t="shared" si="407"/>
        <v>137845</v>
      </c>
      <c r="CQ58" s="193">
        <f t="shared" si="162"/>
        <v>3387.7333668051401</v>
      </c>
      <c r="CR58" s="193">
        <f t="shared" si="408"/>
        <v>235274</v>
      </c>
      <c r="CS58" s="248">
        <f t="shared" si="163"/>
        <v>0.3603602781771898</v>
      </c>
      <c r="CT58" s="30">
        <f t="shared" si="409"/>
        <v>0.36943977658602217</v>
      </c>
      <c r="CU58" s="308">
        <f t="shared" si="410"/>
        <v>0</v>
      </c>
      <c r="CV58" s="608">
        <f t="shared" si="269"/>
        <v>0.15580016027058391</v>
      </c>
      <c r="CW58" s="608">
        <f t="shared" si="270"/>
        <v>1.2738563300180372E-2</v>
      </c>
      <c r="CX58" s="608">
        <f t="shared" si="271"/>
        <v>-8.0349700765707452E-3</v>
      </c>
      <c r="CY58" s="608">
        <f t="shared" si="272"/>
        <v>8.5452630394056595E-2</v>
      </c>
      <c r="CZ58" s="608">
        <f t="shared" si="327"/>
        <v>5.7606286466248033E-2</v>
      </c>
      <c r="DA58" s="608">
        <f>'Assets(BoP)'!FK105</f>
        <v>0.13338745442574923</v>
      </c>
      <c r="DB58" s="608">
        <f t="shared" si="273"/>
        <v>6.5877106231523985E-2</v>
      </c>
      <c r="DC58" s="23">
        <f t="shared" si="411"/>
        <v>0.43553979614469851</v>
      </c>
      <c r="DD58" s="193">
        <f t="shared" si="412"/>
        <v>308714.07807823928</v>
      </c>
      <c r="DE58" s="193">
        <f t="shared" si="274"/>
        <v>64404.921921760717</v>
      </c>
      <c r="DF58" s="193"/>
      <c r="DG58" s="193">
        <f>'Assets(BoP)'!DA105*1000</f>
        <v>22797</v>
      </c>
      <c r="DH58" s="23">
        <f t="shared" si="413"/>
        <v>0.17261228166284942</v>
      </c>
      <c r="DI58" s="23"/>
      <c r="DJ58" s="23">
        <f t="shared" si="414"/>
        <v>0.3774747466625929</v>
      </c>
      <c r="DK58" s="600">
        <f>'Assets(BoP)'!FO105-'Assets(BoP)'!FH105</f>
        <v>0.4097689379207794</v>
      </c>
      <c r="DL58" s="576">
        <f t="shared" si="415"/>
        <v>0.90805299338824785</v>
      </c>
      <c r="DM58" s="251">
        <f t="shared" si="416"/>
        <v>7.4690939881456391</v>
      </c>
      <c r="DN58" s="251">
        <f t="shared" si="417"/>
        <v>7.4690939881456391</v>
      </c>
      <c r="DO58" s="251">
        <f t="shared" si="418"/>
        <v>2.8909395973154361</v>
      </c>
      <c r="DP58" s="251">
        <f t="shared" si="419"/>
        <v>2.8909395973154361</v>
      </c>
      <c r="DQ58" s="251">
        <f t="shared" si="420"/>
        <v>4.0948275862068964E-2</v>
      </c>
      <c r="DR58" s="251">
        <f t="shared" si="421"/>
        <v>5.3992894241221227E-3</v>
      </c>
      <c r="DS58" s="251">
        <f t="shared" si="422"/>
        <v>3.1045482977392549</v>
      </c>
      <c r="DT58" s="251">
        <f t="shared" si="423"/>
        <v>3.0794242978083171</v>
      </c>
      <c r="DU58" s="251">
        <f t="shared" si="424"/>
        <v>11.668599033816426</v>
      </c>
      <c r="DV58" s="251">
        <f t="shared" si="425"/>
        <v>12.115051889186484</v>
      </c>
      <c r="DW58" s="251">
        <f t="shared" si="426"/>
        <v>2.2972456338517682</v>
      </c>
      <c r="DX58" s="251">
        <f t="shared" si="427"/>
        <v>2.2462705143410457</v>
      </c>
      <c r="DY58" s="251">
        <f t="shared" si="428"/>
        <v>0.29722389861194931</v>
      </c>
      <c r="DZ58" s="251">
        <f t="shared" si="429"/>
        <v>0.26573879590029825</v>
      </c>
      <c r="EA58" s="643">
        <f t="shared" si="430"/>
        <v>2.8909695583983672</v>
      </c>
      <c r="EB58" s="643">
        <f t="shared" si="431"/>
        <v>2.8163143739421144</v>
      </c>
      <c r="EC58" s="251">
        <f t="shared" si="432"/>
        <v>0.70254259029691302</v>
      </c>
      <c r="ED58" s="251">
        <f t="shared" si="433"/>
        <v>0.70853680445540512</v>
      </c>
      <c r="EE58" s="140">
        <f t="shared" si="434"/>
        <v>0.47668125426586905</v>
      </c>
      <c r="EF58" s="1342">
        <v>0.31649327580411224</v>
      </c>
      <c r="EG58" s="140">
        <f t="shared" si="228"/>
        <v>9.717089976764683</v>
      </c>
      <c r="EH58" s="583">
        <v>108.65851778656125</v>
      </c>
      <c r="EI58" s="1344">
        <v>1.0151117806792396</v>
      </c>
      <c r="EJ58" s="576">
        <f t="shared" si="166"/>
        <v>0.662096170294317</v>
      </c>
      <c r="EK58" s="753">
        <f t="shared" si="167"/>
        <v>2.5726312384814376</v>
      </c>
      <c r="EL58" s="753">
        <f t="shared" si="168"/>
        <v>5.1602373144588345</v>
      </c>
      <c r="EM58" s="753">
        <f t="shared" si="169"/>
        <v>0.34301416886465508</v>
      </c>
      <c r="EN58" s="583"/>
      <c r="EO58" s="5">
        <v>1044636</v>
      </c>
      <c r="EP58" s="193">
        <v>106789</v>
      </c>
      <c r="EQ58" s="193"/>
      <c r="ER58" s="193">
        <v>112671</v>
      </c>
      <c r="ES58" s="193"/>
      <c r="ET58" s="193">
        <v>134093</v>
      </c>
      <c r="EU58" s="193"/>
      <c r="EV58" s="193">
        <v>64468</v>
      </c>
      <c r="EW58" s="193"/>
      <c r="EX58" s="193">
        <v>140082</v>
      </c>
      <c r="EY58" s="193"/>
      <c r="EZ58" s="193">
        <v>43084</v>
      </c>
      <c r="FA58" s="193"/>
      <c r="FB58" s="193">
        <f t="shared" si="558"/>
        <v>601187</v>
      </c>
      <c r="FC58" s="193">
        <f t="shared" si="559"/>
        <v>443449</v>
      </c>
      <c r="FD58" s="23">
        <f t="shared" si="560"/>
        <v>0.57549902549787679</v>
      </c>
      <c r="FE58" s="193">
        <v>77455</v>
      </c>
      <c r="FF58" s="193"/>
      <c r="FG58" s="193"/>
      <c r="FH58" s="193"/>
      <c r="FI58" s="193"/>
      <c r="FJ58" s="5">
        <v>138607</v>
      </c>
      <c r="FK58" s="143">
        <f>FJ58/'Assets(BoP)'!AV105/1000</f>
        <v>1.0979392689009453</v>
      </c>
      <c r="FL58" s="193"/>
      <c r="FM58" s="193">
        <v>3615</v>
      </c>
      <c r="FN58" s="66">
        <f t="shared" si="374"/>
        <v>0</v>
      </c>
      <c r="FO58" s="184">
        <f t="shared" si="383"/>
        <v>0</v>
      </c>
      <c r="FP58" s="193">
        <v>416</v>
      </c>
      <c r="FQ58" s="66">
        <f t="shared" si="375"/>
        <v>0</v>
      </c>
      <c r="FR58" s="184">
        <v>0</v>
      </c>
      <c r="FS58" s="193">
        <v>3739</v>
      </c>
      <c r="FT58" s="66">
        <f t="shared" si="465"/>
        <v>301.84219829539813</v>
      </c>
      <c r="FU58" s="193">
        <f t="shared" si="175"/>
        <v>3437.1578017046018</v>
      </c>
      <c r="FV58" s="23">
        <f t="shared" si="376"/>
        <v>8.072805517394975E-2</v>
      </c>
      <c r="FW58" s="193">
        <v>2859</v>
      </c>
      <c r="FX58" s="66">
        <f t="shared" si="466"/>
        <v>41.160299767554299</v>
      </c>
      <c r="FY58" s="23">
        <f t="shared" si="438"/>
        <v>1.4396747033072508E-2</v>
      </c>
      <c r="FZ58" s="193">
        <v>2660</v>
      </c>
      <c r="GA58" s="66">
        <f t="shared" si="467"/>
        <v>1756.1785010597564</v>
      </c>
      <c r="GB58" s="193">
        <f t="shared" si="180"/>
        <v>903.8214989402436</v>
      </c>
      <c r="GC58" s="23">
        <f t="shared" si="366"/>
        <v>0.66021748160141214</v>
      </c>
      <c r="GD58" s="193">
        <v>1859</v>
      </c>
      <c r="GE58" s="66">
        <f t="shared" si="384"/>
        <v>76.306902609444478</v>
      </c>
      <c r="GF58" s="23">
        <f t="shared" si="377"/>
        <v>4.1047284889426827E-2</v>
      </c>
      <c r="GG58" s="193">
        <f t="shared" si="439"/>
        <v>15148</v>
      </c>
      <c r="GH58" s="193">
        <f t="shared" si="440"/>
        <v>2175.4879017321532</v>
      </c>
      <c r="GI58" s="193">
        <f t="shared" si="441"/>
        <v>123459</v>
      </c>
      <c r="GJ58" s="23">
        <f t="shared" si="442"/>
        <v>0.10928740972678147</v>
      </c>
      <c r="GK58" s="330">
        <v>56874.078078239283</v>
      </c>
      <c r="GL58" s="330">
        <v>28243</v>
      </c>
      <c r="GM58" s="23">
        <f>GK58/'Assets(BoP)'!AW105/1000</f>
        <v>1.3206432053062895</v>
      </c>
      <c r="GN58" s="23">
        <f t="shared" si="443"/>
        <v>0.41032616013793882</v>
      </c>
      <c r="GO58" s="330">
        <f t="shared" si="275"/>
        <v>81732.921921760717</v>
      </c>
      <c r="GP58" s="23">
        <f>GO58/('Assets(BoP)'!AV105-'Assets(BoP)'!AW105)/1000</f>
        <v>0.98263343658282754</v>
      </c>
      <c r="GQ58" s="330">
        <f t="shared" si="444"/>
        <v>66584.921921760717</v>
      </c>
      <c r="GR58" s="330">
        <v>4273.4290000000001</v>
      </c>
      <c r="GS58" s="140">
        <f t="shared" si="445"/>
        <v>0.6371161056795096</v>
      </c>
      <c r="GT58" s="582">
        <v>0.75315918184727004</v>
      </c>
      <c r="GU58" s="576">
        <f t="shared" si="446"/>
        <v>0.27086175023352344</v>
      </c>
      <c r="GV58" s="589">
        <f t="shared" si="276"/>
        <v>5.8545354430174744E-2</v>
      </c>
      <c r="GW58" s="589"/>
      <c r="GX58" s="589">
        <f t="shared" si="277"/>
        <v>8.0479783323660278E-2</v>
      </c>
      <c r="GY58" s="589"/>
      <c r="GZ58" s="589">
        <f t="shared" si="308"/>
        <v>5.0458839406207829</v>
      </c>
      <c r="HA58" s="56">
        <f t="shared" si="385"/>
        <v>0.46895239965896224</v>
      </c>
      <c r="HB58" s="589">
        <f t="shared" si="278"/>
        <v>8.228995768931871E-2</v>
      </c>
      <c r="HC58" s="56">
        <v>0.1</v>
      </c>
      <c r="HD58" s="589">
        <f t="shared" si="279"/>
        <v>0.11012668709116502</v>
      </c>
      <c r="HE58" s="56">
        <f t="shared" si="479"/>
        <v>0.46895239965896224</v>
      </c>
      <c r="HF58" s="589">
        <f t="shared" si="309"/>
        <v>7.0312795491508762E-2</v>
      </c>
      <c r="HG58" s="56">
        <v>0.1</v>
      </c>
      <c r="HH58" s="6">
        <f t="shared" si="57"/>
        <v>9.9011065865758557E-2</v>
      </c>
      <c r="HI58" s="6">
        <f t="shared" si="447"/>
        <v>8.7991125062303374E-2</v>
      </c>
      <c r="HJ58" s="23">
        <f t="shared" si="280"/>
        <v>0.46895239965896224</v>
      </c>
      <c r="HK58" s="23">
        <f t="shared" si="280"/>
        <v>0.64051798430625484</v>
      </c>
      <c r="HL58" s="23">
        <f t="shared" si="281"/>
        <v>0.37094096104475327</v>
      </c>
      <c r="HM58" s="31">
        <f t="shared" si="282"/>
        <v>0.20933166837435227</v>
      </c>
      <c r="HN58" s="23">
        <f t="shared" si="448"/>
        <v>0.34415289365628476</v>
      </c>
      <c r="HO58" s="23">
        <f t="shared" si="449"/>
        <v>0.28041187733944561</v>
      </c>
      <c r="HP58" s="575">
        <v>671811</v>
      </c>
      <c r="HQ58" s="193"/>
      <c r="HR58" s="193"/>
      <c r="HS58" s="193"/>
      <c r="HT58" s="193"/>
      <c r="HU58" s="193"/>
      <c r="HV58" s="193"/>
      <c r="HW58" s="193"/>
      <c r="HX58" s="193"/>
      <c r="HY58" s="193"/>
      <c r="HZ58" s="193"/>
      <c r="IA58" s="193"/>
      <c r="IB58" s="193"/>
      <c r="IC58" s="193"/>
      <c r="ID58" s="193"/>
      <c r="IE58" s="193"/>
      <c r="IF58" s="193"/>
      <c r="IG58" s="193"/>
      <c r="IH58" s="193"/>
      <c r="II58" s="193"/>
      <c r="IJ58" s="193"/>
      <c r="IK58" s="193"/>
      <c r="IL58" s="193"/>
      <c r="IM58" s="575">
        <v>9186</v>
      </c>
      <c r="IN58" s="193"/>
      <c r="IO58" s="193"/>
      <c r="IP58" s="193"/>
      <c r="IQ58" s="193"/>
      <c r="IR58" s="193"/>
      <c r="IS58" s="193"/>
      <c r="IT58" s="193"/>
      <c r="IU58" s="193"/>
      <c r="IV58" s="193"/>
      <c r="IW58" s="193"/>
      <c r="IX58" s="149">
        <f t="shared" si="570"/>
        <v>4076939</v>
      </c>
      <c r="IY58" s="316">
        <f t="shared" si="64"/>
        <v>253941</v>
      </c>
      <c r="IZ58" s="316">
        <f t="shared" si="65"/>
        <v>139696</v>
      </c>
      <c r="JA58" s="316">
        <f t="shared" si="66"/>
        <v>146816</v>
      </c>
      <c r="JB58" s="316">
        <f t="shared" si="67"/>
        <v>174236</v>
      </c>
      <c r="JC58" s="316">
        <f t="shared" si="68"/>
        <v>525403</v>
      </c>
      <c r="JD58" s="316">
        <f t="shared" si="69"/>
        <v>159884</v>
      </c>
      <c r="JE58" s="316">
        <f t="shared" si="70"/>
        <v>1399976</v>
      </c>
      <c r="JF58" s="316">
        <f t="shared" si="71"/>
        <v>2676963</v>
      </c>
      <c r="JG58" s="316">
        <f t="shared" si="72"/>
        <v>2304913.2327960189</v>
      </c>
      <c r="JH58" s="316">
        <f t="shared" si="73"/>
        <v>372049.76720398117</v>
      </c>
      <c r="JI58" s="5">
        <v>10799090</v>
      </c>
      <c r="JJ58" s="552">
        <v>556740</v>
      </c>
      <c r="JK58" s="552">
        <v>1216565</v>
      </c>
      <c r="JL58" s="552">
        <v>1513554</v>
      </c>
      <c r="JM58" s="552">
        <v>474997</v>
      </c>
      <c r="JN58" s="552">
        <v>1432112</v>
      </c>
      <c r="JO58" s="552">
        <v>329067</v>
      </c>
      <c r="JP58" s="552">
        <f t="shared" si="74"/>
        <v>5523035</v>
      </c>
      <c r="JQ58" s="552">
        <f t="shared" si="75"/>
        <v>5276055</v>
      </c>
      <c r="JR58" s="552">
        <f t="shared" si="76"/>
        <v>4786520</v>
      </c>
      <c r="JS58" s="552">
        <v>489535</v>
      </c>
      <c r="JT58" s="149">
        <v>6722151</v>
      </c>
      <c r="JU58" s="552">
        <v>302799</v>
      </c>
      <c r="JV58" s="552">
        <v>1076869</v>
      </c>
      <c r="JW58" s="552">
        <v>1366738</v>
      </c>
      <c r="JX58" s="552">
        <v>300761</v>
      </c>
      <c r="JY58" s="552">
        <v>906709</v>
      </c>
      <c r="JZ58" s="552">
        <v>169183</v>
      </c>
      <c r="KA58" s="552">
        <f t="shared" ref="KA58" si="597">JU58+JV58+JW58+JX58+JY58+JZ58</f>
        <v>4123059</v>
      </c>
      <c r="KB58" s="552">
        <f t="shared" ref="KB58" si="598">JT58-KA58</f>
        <v>2599092</v>
      </c>
      <c r="KC58" s="552">
        <f>KB58-KD58</f>
        <v>2481606.7672039811</v>
      </c>
      <c r="KD58" s="620">
        <f t="shared" si="573"/>
        <v>117485.23279601884</v>
      </c>
      <c r="KE58" s="5">
        <v>1366495</v>
      </c>
      <c r="KF58" s="552">
        <v>60666</v>
      </c>
      <c r="KG58" s="552">
        <v>2696</v>
      </c>
      <c r="KH58" s="552">
        <v>20924</v>
      </c>
      <c r="KI58" s="552">
        <v>11741</v>
      </c>
      <c r="KJ58" s="552">
        <v>31890</v>
      </c>
      <c r="KK58" s="552">
        <v>29690</v>
      </c>
      <c r="KL58" s="552">
        <f t="shared" ref="KL58" si="599">KF58+KG58+KH58+KI58+KJ58+KK58</f>
        <v>157607</v>
      </c>
      <c r="KM58" s="552">
        <f t="shared" ref="KM58" si="600">KE58-KL58</f>
        <v>1208888</v>
      </c>
      <c r="KN58" s="552">
        <f>KM58-KO58</f>
        <v>790428</v>
      </c>
      <c r="KO58" s="552">
        <v>418460</v>
      </c>
      <c r="KP58" s="5">
        <v>459905</v>
      </c>
      <c r="KQ58" s="552">
        <v>19913</v>
      </c>
      <c r="KR58" s="552">
        <v>2085</v>
      </c>
      <c r="KS58" s="552">
        <v>24437</v>
      </c>
      <c r="KT58" s="552">
        <v>28477</v>
      </c>
      <c r="KU58" s="552">
        <v>3176</v>
      </c>
      <c r="KV58" s="552">
        <v>22096</v>
      </c>
      <c r="KW58" s="552">
        <f t="shared" ref="KW58" si="601">KQ58+KR58+KS58+KT58+KU58+KV58</f>
        <v>100184</v>
      </c>
      <c r="KX58" s="552">
        <f t="shared" ref="KX58" si="602">KP58-KW58</f>
        <v>359721</v>
      </c>
      <c r="KY58" s="552">
        <f>KX58-KZ58</f>
        <v>334784</v>
      </c>
      <c r="KZ58" s="552">
        <v>24937</v>
      </c>
      <c r="LA58" s="149">
        <f>'Assets(MOFA)'!IX58-'Assets(MOFA)'!KE58-'Assets(MOFA)'!KP58</f>
        <v>2250539</v>
      </c>
      <c r="LB58" s="552">
        <f>'Assets(MOFA)'!IY58-'Assets(MOFA)'!KF58-'Assets(MOFA)'!KQ58</f>
        <v>173362</v>
      </c>
      <c r="LC58" s="552">
        <f>'Assets(MOFA)'!IZ58-'Assets(MOFA)'!KG58-'Assets(MOFA)'!KR58</f>
        <v>134915</v>
      </c>
      <c r="LD58" s="552">
        <f>'Assets(MOFA)'!JA58-'Assets(MOFA)'!KH58-'Assets(MOFA)'!KS58</f>
        <v>101455</v>
      </c>
      <c r="LE58" s="552">
        <f>'Assets(MOFA)'!JB58-'Assets(MOFA)'!KI58-'Assets(MOFA)'!KT58</f>
        <v>134018</v>
      </c>
      <c r="LF58" s="552">
        <f>'Assets(MOFA)'!JC58-'Assets(MOFA)'!KJ58-'Assets(MOFA)'!KU58</f>
        <v>490337</v>
      </c>
      <c r="LG58" s="552">
        <f>'Assets(MOFA)'!JD58-'Assets(MOFA)'!KK58-'Assets(MOFA)'!KV58</f>
        <v>108098</v>
      </c>
      <c r="LH58" s="552">
        <f>'Assets(MOFA)'!JE58-'Assets(MOFA)'!KL58-'Assets(MOFA)'!KW58</f>
        <v>1142185</v>
      </c>
      <c r="LI58" s="552">
        <f>'Assets(MOFA)'!JF58-'Assets(MOFA)'!KM58-'Assets(MOFA)'!KX58</f>
        <v>1108354</v>
      </c>
      <c r="LJ58" s="552">
        <f t="shared" si="596"/>
        <v>1179701.2327960189</v>
      </c>
      <c r="LK58" s="552">
        <f>'Assets(MOFA)'!JH58-'Assets(MOFA)'!KO58-'Assets(MOFA)'!KZ58</f>
        <v>-71347.232796018827</v>
      </c>
      <c r="LL58" s="576">
        <f t="shared" si="78"/>
        <v>0.12551720788562204</v>
      </c>
      <c r="LM58" s="6">
        <f t="shared" si="79"/>
        <v>0.24315490606085666</v>
      </c>
      <c r="LN58" s="6">
        <f t="shared" si="80"/>
        <v>3.7001775283472683E-2</v>
      </c>
      <c r="LO58" s="6">
        <f t="shared" si="81"/>
        <v>5.047133827375763E-3</v>
      </c>
      <c r="LP58" s="6">
        <f t="shared" si="82"/>
        <v>0.19940196055924148</v>
      </c>
      <c r="LQ58" s="6">
        <f t="shared" si="83"/>
        <v>4.5972329811592244E-2</v>
      </c>
      <c r="LR58" s="6">
        <f t="shared" si="84"/>
        <v>0.16536363863801257</v>
      </c>
      <c r="LS58" s="902">
        <f t="shared" si="85"/>
        <v>0.10928258770150345</v>
      </c>
      <c r="LT58" s="143">
        <f t="shared" si="86"/>
        <v>0.20904123891909174</v>
      </c>
      <c r="LU58" s="62">
        <f t="shared" si="87"/>
        <v>3.7028506678654788E-2</v>
      </c>
      <c r="LV58" s="902">
        <f t="shared" si="88"/>
        <v>0.13400745546352341</v>
      </c>
      <c r="LW58" s="902">
        <f t="shared" si="89"/>
        <v>0.10302079775556319</v>
      </c>
      <c r="LX58" s="143">
        <f t="shared" si="90"/>
        <v>0.3259752073262478</v>
      </c>
      <c r="LY58" s="576">
        <f t="shared" si="91"/>
        <v>0.12777036889686111</v>
      </c>
      <c r="LZ58" s="906">
        <f t="shared" si="92"/>
        <v>0.24315490606085666</v>
      </c>
      <c r="MA58" s="906">
        <f t="shared" si="93"/>
        <v>3.7001775283472683E-2</v>
      </c>
      <c r="MB58" s="906">
        <f t="shared" si="94"/>
        <v>5.047133827375763E-3</v>
      </c>
      <c r="MC58" s="906">
        <f t="shared" si="95"/>
        <v>0.19940196055924148</v>
      </c>
      <c r="MD58" s="906">
        <f t="shared" si="96"/>
        <v>4.5972329811592244E-2</v>
      </c>
      <c r="ME58" s="906">
        <v>6.1610529375296846E-2</v>
      </c>
      <c r="MF58" s="906">
        <f t="shared" si="97"/>
        <v>0.16536363863801257</v>
      </c>
      <c r="MG58" s="30">
        <f t="shared" si="98"/>
        <v>0.10928258770150345</v>
      </c>
      <c r="MH58" s="140">
        <f t="shared" si="99"/>
        <v>0.20904123891909174</v>
      </c>
      <c r="MI58" s="30">
        <f t="shared" si="100"/>
        <v>3.7028506678654788E-2</v>
      </c>
      <c r="MJ58" s="30">
        <f t="shared" si="101"/>
        <v>0.13400745546352341</v>
      </c>
      <c r="MK58" s="617">
        <f t="shared" si="102"/>
        <v>0.10302079775556319</v>
      </c>
      <c r="ML58" s="615">
        <f t="shared" si="103"/>
        <v>0.3259752073262478</v>
      </c>
      <c r="MM58" s="574"/>
      <c r="MX58" s="613"/>
      <c r="MY58" s="552"/>
      <c r="MZ58" s="552"/>
      <c r="NA58" s="552"/>
      <c r="NB58" s="552"/>
      <c r="NC58" s="552"/>
      <c r="ND58" s="552"/>
      <c r="NE58" s="552"/>
      <c r="NF58" s="552"/>
      <c r="NG58" s="552"/>
      <c r="NH58" s="552"/>
      <c r="NI58" s="613">
        <f t="shared" si="364"/>
        <v>563542</v>
      </c>
      <c r="PN58" s="574"/>
      <c r="PO58" s="593"/>
      <c r="PP58" s="593"/>
      <c r="PQ58" s="593"/>
      <c r="PR58" s="593"/>
      <c r="PS58" s="593"/>
      <c r="PT58" s="593"/>
      <c r="PU58" s="593"/>
      <c r="PV58" s="593"/>
      <c r="PW58" s="593"/>
      <c r="PX58" s="593"/>
      <c r="PY58" s="593"/>
      <c r="PZ58" s="593"/>
      <c r="QA58" s="593"/>
      <c r="QB58" s="593"/>
      <c r="QC58" s="593"/>
      <c r="QD58" s="593"/>
      <c r="QE58" s="593"/>
      <c r="QF58" s="593"/>
      <c r="QG58" s="593"/>
      <c r="QH58" s="593"/>
      <c r="QI58" s="593"/>
      <c r="QJ58" s="593"/>
      <c r="QK58" s="593"/>
      <c r="QL58" s="593"/>
      <c r="QM58" s="593"/>
      <c r="QN58" s="593"/>
      <c r="QO58" s="593"/>
      <c r="QP58" s="593"/>
      <c r="QQ58" s="593"/>
      <c r="QR58" s="593"/>
      <c r="QS58" s="593"/>
      <c r="QT58" s="593"/>
      <c r="QU58" s="593"/>
      <c r="QV58" s="593"/>
      <c r="QW58" s="593"/>
      <c r="QX58" s="593"/>
      <c r="QY58" s="593"/>
      <c r="QZ58" s="593"/>
      <c r="RA58" s="593"/>
      <c r="RB58" s="593"/>
      <c r="RC58" s="593"/>
      <c r="RD58" s="593"/>
      <c r="RE58" s="593"/>
      <c r="RF58" s="593"/>
      <c r="RG58" s="593"/>
      <c r="RH58" s="593"/>
      <c r="RI58" s="593"/>
      <c r="RJ58" s="593"/>
      <c r="RK58" s="593"/>
      <c r="RL58" s="593"/>
      <c r="RM58" s="593"/>
      <c r="RN58" s="593"/>
      <c r="RO58" s="593"/>
      <c r="RP58" s="593"/>
      <c r="RQ58" s="593"/>
      <c r="RR58" s="593"/>
    </row>
    <row r="59" spans="1:486">
      <c r="A59" s="568">
        <v>2014</v>
      </c>
      <c r="B59" s="33">
        <v>632546</v>
      </c>
      <c r="C59" s="193">
        <v>9337</v>
      </c>
      <c r="D59" s="193">
        <v>1811</v>
      </c>
      <c r="E59" s="193">
        <v>18885</v>
      </c>
      <c r="F59" s="193">
        <v>13077</v>
      </c>
      <c r="G59" s="193">
        <v>4031</v>
      </c>
      <c r="H59" s="193">
        <v>13983</v>
      </c>
      <c r="I59" s="193">
        <f t="shared" si="550"/>
        <v>61124</v>
      </c>
      <c r="J59" s="193">
        <f t="shared" si="551"/>
        <v>571422</v>
      </c>
      <c r="K59" s="193">
        <f t="shared" si="249"/>
        <v>558885</v>
      </c>
      <c r="L59" s="193">
        <v>12537</v>
      </c>
      <c r="M59" s="140">
        <f t="shared" si="217"/>
        <v>9.6631707417326171E-2</v>
      </c>
      <c r="N59" s="140">
        <f t="shared" si="250"/>
        <v>1.9819902426068618E-2</v>
      </c>
      <c r="O59" s="193">
        <v>5644900</v>
      </c>
      <c r="P59" s="32">
        <f t="shared" si="251"/>
        <v>0.11205619231518717</v>
      </c>
      <c r="Q59" s="629">
        <f t="shared" si="218"/>
        <v>1.476098181001856E-2</v>
      </c>
      <c r="R59" s="308">
        <f t="shared" si="219"/>
        <v>2.8630328861458296E-3</v>
      </c>
      <c r="S59" s="308">
        <f t="shared" si="220"/>
        <v>2.9855536198157919E-2</v>
      </c>
      <c r="T59" s="308">
        <f t="shared" si="221"/>
        <v>2.0673595280027064E-2</v>
      </c>
      <c r="U59" s="308">
        <f t="shared" si="222"/>
        <v>6.3726590635305577E-3</v>
      </c>
      <c r="V59" s="308">
        <f t="shared" si="223"/>
        <v>2.2105902179446239E-2</v>
      </c>
      <c r="W59" s="5">
        <v>554226</v>
      </c>
      <c r="X59" s="193">
        <v>61572</v>
      </c>
      <c r="Y59" s="193">
        <v>0</v>
      </c>
      <c r="Z59" s="76">
        <f t="shared" si="114"/>
        <v>61572</v>
      </c>
      <c r="AA59" s="193">
        <v>7118</v>
      </c>
      <c r="AB59" s="66">
        <v>0</v>
      </c>
      <c r="AC59" s="274">
        <f t="shared" si="117"/>
        <v>7118</v>
      </c>
      <c r="AD59" s="193">
        <v>15031</v>
      </c>
      <c r="AE59" s="357">
        <f t="shared" si="477"/>
        <v>773.08667134525535</v>
      </c>
      <c r="AF59" s="274">
        <f t="shared" si="119"/>
        <v>14257.913328654744</v>
      </c>
      <c r="AG59" s="193">
        <v>38185</v>
      </c>
      <c r="AH59" s="357">
        <f t="shared" si="382"/>
        <v>461.30319223344441</v>
      </c>
      <c r="AI59" s="76">
        <f t="shared" si="287"/>
        <v>37723.696807766559</v>
      </c>
      <c r="AJ59" s="193">
        <v>36335</v>
      </c>
      <c r="AK59" s="357">
        <f t="shared" si="458"/>
        <v>2932.8579177967868</v>
      </c>
      <c r="AL59" s="274">
        <f t="shared" si="123"/>
        <v>33402.142082203216</v>
      </c>
      <c r="AM59" s="193">
        <v>28900</v>
      </c>
      <c r="AN59" s="357">
        <f t="shared" si="478"/>
        <v>557.62969588550982</v>
      </c>
      <c r="AO59" s="274">
        <f t="shared" si="125"/>
        <v>28342.370304114491</v>
      </c>
      <c r="AP59" s="193">
        <f t="shared" si="397"/>
        <v>187141</v>
      </c>
      <c r="AQ59" s="271">
        <f t="shared" si="398"/>
        <v>4724.8774772609968</v>
      </c>
      <c r="AR59" s="271">
        <f t="shared" si="126"/>
        <v>182416.122522739</v>
      </c>
      <c r="AS59" s="193">
        <f t="shared" si="259"/>
        <v>367085</v>
      </c>
      <c r="AT59" s="193">
        <f t="shared" si="224"/>
        <v>272104</v>
      </c>
      <c r="AU59" s="193">
        <v>94981</v>
      </c>
      <c r="AV59" s="193">
        <v>30281</v>
      </c>
      <c r="AW59" s="23">
        <f t="shared" si="289"/>
        <v>0.31881113064718208</v>
      </c>
      <c r="AX59" s="271">
        <f t="shared" si="227"/>
        <v>459245</v>
      </c>
      <c r="AY59" s="140">
        <f t="shared" si="399"/>
        <v>0.33766189244098976</v>
      </c>
      <c r="AZ59" s="623">
        <f t="shared" si="129"/>
        <v>0.32913671051653837</v>
      </c>
      <c r="BA59" s="248">
        <f t="shared" si="400"/>
        <v>0.39720872850600225</v>
      </c>
      <c r="BB59" s="248">
        <f t="shared" si="130"/>
        <v>0.13407222724253939</v>
      </c>
      <c r="BC59" s="248">
        <f t="shared" si="131"/>
        <v>1.5499352197628716E-2</v>
      </c>
      <c r="BD59" s="248">
        <f t="shared" si="132"/>
        <v>3.1046420382703662E-2</v>
      </c>
      <c r="BE59" s="248">
        <f t="shared" si="133"/>
        <v>8.2142857968549601E-2</v>
      </c>
      <c r="BF59" s="248">
        <f t="shared" si="134"/>
        <v>7.2732728896783228E-2</v>
      </c>
      <c r="BG59" s="248">
        <f t="shared" si="135"/>
        <v>6.1715141817797671E-2</v>
      </c>
      <c r="BH59" s="248">
        <f t="shared" si="136"/>
        <v>4.6545772580332379E-2</v>
      </c>
      <c r="BI59" s="23">
        <f t="shared" si="401"/>
        <v>0.37476728108090451</v>
      </c>
      <c r="BJ59" s="140">
        <f t="shared" si="402"/>
        <v>0.17137593689217034</v>
      </c>
      <c r="BK59" s="623">
        <f t="shared" si="137"/>
        <v>0.16285075496771897</v>
      </c>
      <c r="BL59" s="5">
        <v>-46774</v>
      </c>
      <c r="BM59" s="193">
        <v>-603</v>
      </c>
      <c r="BN59" s="193">
        <v>-6416</v>
      </c>
      <c r="BO59" s="193">
        <v>-9292</v>
      </c>
      <c r="BP59" s="193">
        <v>-1578</v>
      </c>
      <c r="BQ59" s="193">
        <v>-12753</v>
      </c>
      <c r="BR59" s="193">
        <v>-1554</v>
      </c>
      <c r="BS59" s="193">
        <f t="shared" si="403"/>
        <v>-32196</v>
      </c>
      <c r="BT59" s="193">
        <f t="shared" si="365"/>
        <v>-14578</v>
      </c>
      <c r="BU59" s="193">
        <f t="shared" si="373"/>
        <v>-16720</v>
      </c>
      <c r="BV59" s="193">
        <v>2142</v>
      </c>
      <c r="BW59" s="5">
        <f t="shared" si="262"/>
        <v>421062</v>
      </c>
      <c r="BX59" s="193">
        <f t="shared" si="263"/>
        <v>57732</v>
      </c>
      <c r="BY59" s="193">
        <f t="shared" si="459"/>
        <v>0</v>
      </c>
      <c r="BZ59" s="647">
        <f t="shared" si="149"/>
        <v>0.13711044929250324</v>
      </c>
      <c r="CA59" s="193">
        <f t="shared" si="264"/>
        <v>6323</v>
      </c>
      <c r="CB59" s="193">
        <f t="shared" si="460"/>
        <v>0</v>
      </c>
      <c r="CC59" s="647">
        <f t="shared" si="404"/>
        <v>1.5016790876403001E-2</v>
      </c>
      <c r="CD59" s="193">
        <f t="shared" si="265"/>
        <v>10687</v>
      </c>
      <c r="CE59" s="193">
        <f t="shared" si="461"/>
        <v>434.79766370739617</v>
      </c>
      <c r="CF59" s="655">
        <f t="shared" si="405"/>
        <v>2.4348438795931727E-2</v>
      </c>
      <c r="CG59" s="193">
        <f t="shared" si="266"/>
        <v>35508</v>
      </c>
      <c r="CH59" s="193">
        <f t="shared" si="462"/>
        <v>415.17287301009998</v>
      </c>
      <c r="CI59" s="23">
        <f t="shared" si="406"/>
        <v>8.3343610031277812E-2</v>
      </c>
      <c r="CJ59" s="193">
        <f t="shared" si="267"/>
        <v>33889.65</v>
      </c>
      <c r="CK59" s="641">
        <f t="shared" si="463"/>
        <v>1649.4913415397455</v>
      </c>
      <c r="CL59" s="34">
        <f t="shared" si="158"/>
        <v>7.6568673160865283E-2</v>
      </c>
      <c r="CM59" s="193">
        <f t="shared" si="268"/>
        <v>26969</v>
      </c>
      <c r="CN59" s="193">
        <f t="shared" si="464"/>
        <v>501.86672629695886</v>
      </c>
      <c r="CO59" s="23">
        <f t="shared" si="161"/>
        <v>6.2858042933589459E-2</v>
      </c>
      <c r="CP59" s="193">
        <f t="shared" si="407"/>
        <v>171108.65</v>
      </c>
      <c r="CQ59" s="193">
        <f t="shared" si="162"/>
        <v>3001.3286045542004</v>
      </c>
      <c r="CR59" s="193">
        <f t="shared" si="408"/>
        <v>249953.35</v>
      </c>
      <c r="CS59" s="248">
        <f t="shared" si="163"/>
        <v>0.39924600509057051</v>
      </c>
      <c r="CT59" s="30">
        <f t="shared" si="409"/>
        <v>0.40637400192845707</v>
      </c>
      <c r="CU59" s="308">
        <f t="shared" si="410"/>
        <v>0</v>
      </c>
      <c r="CV59" s="608">
        <f t="shared" si="269"/>
        <v>0.13711044929250324</v>
      </c>
      <c r="CW59" s="608">
        <f t="shared" si="270"/>
        <v>1.5016790876403001E-2</v>
      </c>
      <c r="CX59" s="608">
        <f t="shared" si="271"/>
        <v>2.5381060271408962E-2</v>
      </c>
      <c r="CY59" s="608">
        <f t="shared" si="272"/>
        <v>8.4329623665873432E-2</v>
      </c>
      <c r="CZ59" s="608">
        <f t="shared" si="327"/>
        <v>8.0486127933653479E-2</v>
      </c>
      <c r="DA59" s="608">
        <f>'Assets(BoP)'!FK106</f>
        <v>0.15079378522798609</v>
      </c>
      <c r="DB59" s="608">
        <f t="shared" si="273"/>
        <v>6.4049949888614982E-2</v>
      </c>
      <c r="DC59" s="23">
        <f t="shared" si="411"/>
        <v>0.45725696231247648</v>
      </c>
      <c r="DD59" s="193">
        <f t="shared" si="412"/>
        <v>367643</v>
      </c>
      <c r="DE59" s="193">
        <f t="shared" si="274"/>
        <v>53419</v>
      </c>
      <c r="DF59" s="193"/>
      <c r="DG59" s="193">
        <f>'Assets(BoP)'!DA106*1000</f>
        <v>18158</v>
      </c>
      <c r="DH59" s="23">
        <f t="shared" si="413"/>
        <v>0.12686730220252598</v>
      </c>
      <c r="DI59" s="23"/>
      <c r="DJ59" s="23">
        <f t="shared" si="414"/>
        <v>0.38099294165704811</v>
      </c>
      <c r="DK59" s="600">
        <f>'Assets(BoP)'!FO106-'Assets(BoP)'!FH106</f>
        <v>0.45819472239060977</v>
      </c>
      <c r="DL59" s="576">
        <f t="shared" si="415"/>
        <v>0.87618291792217484</v>
      </c>
      <c r="DM59" s="251">
        <f t="shared" si="416"/>
        <v>6.594409339188176</v>
      </c>
      <c r="DN59" s="251">
        <f t="shared" si="417"/>
        <v>6.594409339188176</v>
      </c>
      <c r="DO59" s="251">
        <f t="shared" si="418"/>
        <v>3.9304251794588625</v>
      </c>
      <c r="DP59" s="251">
        <f t="shared" si="419"/>
        <v>3.9304251794588625</v>
      </c>
      <c r="DQ59" s="251">
        <f t="shared" si="420"/>
        <v>0.79592268996558113</v>
      </c>
      <c r="DR59" s="251">
        <f t="shared" si="421"/>
        <v>0.75908780814695542</v>
      </c>
      <c r="DS59" s="251">
        <f t="shared" si="422"/>
        <v>2.9200122352221456</v>
      </c>
      <c r="DT59" s="251">
        <f t="shared" si="423"/>
        <v>2.8982311720422191</v>
      </c>
      <c r="DU59" s="251">
        <f t="shared" si="424"/>
        <v>9.0138923344083359</v>
      </c>
      <c r="DV59" s="251">
        <f t="shared" si="425"/>
        <v>9.1666467889375092</v>
      </c>
      <c r="DW59" s="251">
        <f t="shared" si="426"/>
        <v>2.0667953944074946</v>
      </c>
      <c r="DX59" s="251">
        <f t="shared" si="427"/>
        <v>2.0376420928350485</v>
      </c>
      <c r="DY59" s="251">
        <f t="shared" si="428"/>
        <v>1.0702068032470042</v>
      </c>
      <c r="DZ59" s="251">
        <f t="shared" si="429"/>
        <v>1.0379702055924855</v>
      </c>
      <c r="EA59" s="643">
        <f t="shared" si="430"/>
        <v>3.0616615404750998</v>
      </c>
      <c r="EB59" s="643">
        <f t="shared" si="431"/>
        <v>3.0151255442461316</v>
      </c>
      <c r="EC59" s="251">
        <f t="shared" si="432"/>
        <v>0.64240613767058319</v>
      </c>
      <c r="ED59" s="251">
        <f t="shared" si="433"/>
        <v>0.7407069897372458</v>
      </c>
      <c r="EE59" s="140">
        <f t="shared" si="434"/>
        <v>0.48686939173533017</v>
      </c>
      <c r="EF59" s="1342">
        <v>0.32635633348044668</v>
      </c>
      <c r="EG59" s="140">
        <f t="shared" si="228"/>
        <v>7.5760548775624157</v>
      </c>
      <c r="EH59" s="583">
        <v>98.946007905138302</v>
      </c>
      <c r="EI59" s="1345">
        <v>1</v>
      </c>
      <c r="EJ59" s="576">
        <f t="shared" si="166"/>
        <v>0.6656622601360217</v>
      </c>
      <c r="EK59" s="753">
        <f t="shared" si="167"/>
        <v>2.7823303302079778</v>
      </c>
      <c r="EL59" s="753">
        <f t="shared" si="168"/>
        <v>4.2609077131690194</v>
      </c>
      <c r="EM59" s="753">
        <f t="shared" si="169"/>
        <v>0.35165436538822836</v>
      </c>
      <c r="EN59" s="583"/>
      <c r="EO59" s="5">
        <v>1166223</v>
      </c>
      <c r="EP59" s="193">
        <v>115282</v>
      </c>
      <c r="EQ59" s="193"/>
      <c r="ER59" s="193">
        <v>124432</v>
      </c>
      <c r="ES59" s="193"/>
      <c r="ET59" s="193">
        <v>152619</v>
      </c>
      <c r="EU59" s="193"/>
      <c r="EV59" s="193">
        <v>70604</v>
      </c>
      <c r="EW59" s="193"/>
      <c r="EX59" s="193">
        <v>182967</v>
      </c>
      <c r="EY59" s="193"/>
      <c r="EZ59" s="193">
        <v>48150</v>
      </c>
      <c r="FA59" s="193"/>
      <c r="FB59" s="193">
        <f t="shared" si="558"/>
        <v>694054</v>
      </c>
      <c r="FC59" s="193">
        <f t="shared" si="559"/>
        <v>472169</v>
      </c>
      <c r="FD59" s="23">
        <f t="shared" si="560"/>
        <v>0.59512974791270623</v>
      </c>
      <c r="FE59" s="193">
        <v>63721</v>
      </c>
      <c r="FF59" s="193"/>
      <c r="FG59" s="193"/>
      <c r="FH59" s="193"/>
      <c r="FI59" s="193"/>
      <c r="FJ59" s="5">
        <v>133164</v>
      </c>
      <c r="FK59" s="143">
        <f>FJ59/'Assets(BoP)'!AV106/1000</f>
        <v>1.0999626085072547</v>
      </c>
      <c r="FL59" s="193">
        <v>160550</v>
      </c>
      <c r="FM59" s="193">
        <v>3840</v>
      </c>
      <c r="FN59" s="66">
        <f t="shared" si="374"/>
        <v>0</v>
      </c>
      <c r="FO59" s="184">
        <f t="shared" si="383"/>
        <v>0</v>
      </c>
      <c r="FP59" s="193">
        <v>795</v>
      </c>
      <c r="FQ59" s="66">
        <f t="shared" si="375"/>
        <v>0</v>
      </c>
      <c r="FR59" s="184">
        <v>0</v>
      </c>
      <c r="FS59" s="193">
        <v>4344</v>
      </c>
      <c r="FT59" s="66">
        <f t="shared" si="465"/>
        <v>338.28900763785919</v>
      </c>
      <c r="FU59" s="193">
        <f t="shared" si="175"/>
        <v>4005.710992362141</v>
      </c>
      <c r="FV59" s="23">
        <f t="shared" si="376"/>
        <v>7.7875001758254875E-2</v>
      </c>
      <c r="FW59" s="193">
        <v>2677</v>
      </c>
      <c r="FX59" s="66">
        <f t="shared" si="466"/>
        <v>46.130319223344443</v>
      </c>
      <c r="FY59" s="23">
        <f t="shared" si="438"/>
        <v>1.7232095339314323E-2</v>
      </c>
      <c r="FZ59" s="193">
        <v>2445.35</v>
      </c>
      <c r="GA59" s="66">
        <f t="shared" si="467"/>
        <v>1283.3665762570413</v>
      </c>
      <c r="GB59" s="193">
        <f t="shared" si="180"/>
        <v>1161.9834237429586</v>
      </c>
      <c r="GC59" s="23">
        <f t="shared" si="366"/>
        <v>0.5248191777279495</v>
      </c>
      <c r="GD59" s="193">
        <v>1931</v>
      </c>
      <c r="GE59" s="66">
        <f t="shared" si="384"/>
        <v>55.762969588550988</v>
      </c>
      <c r="GF59" s="23">
        <f t="shared" si="377"/>
        <v>2.8877767782781453E-2</v>
      </c>
      <c r="GG59" s="193">
        <f t="shared" si="439"/>
        <v>16032.35</v>
      </c>
      <c r="GH59" s="193">
        <f t="shared" si="440"/>
        <v>1723.5488727067959</v>
      </c>
      <c r="GI59" s="193">
        <f t="shared" si="441"/>
        <v>117131.65</v>
      </c>
      <c r="GJ59" s="23">
        <f t="shared" si="442"/>
        <v>0.12039552731969602</v>
      </c>
      <c r="GK59" s="330">
        <v>41562</v>
      </c>
      <c r="GL59" s="330">
        <v>18015</v>
      </c>
      <c r="GM59" s="23">
        <f>GK59/'Assets(BoP)'!AW106/1000</f>
        <v>1.0063881282989049</v>
      </c>
      <c r="GN59" s="23">
        <f t="shared" si="443"/>
        <v>0.31211138145444717</v>
      </c>
      <c r="GO59" s="330">
        <f t="shared" si="275"/>
        <v>91602</v>
      </c>
      <c r="GP59" s="23">
        <f>GO59/('Assets(BoP)'!AV106-'Assets(BoP)'!AW106)/1000</f>
        <v>1.1484111608692602</v>
      </c>
      <c r="GQ59" s="330">
        <f t="shared" si="444"/>
        <v>75569.649999999994</v>
      </c>
      <c r="GR59" s="330">
        <v>4618.0150000000003</v>
      </c>
      <c r="GS59" s="140">
        <f t="shared" si="445"/>
        <v>0.62674677951345403</v>
      </c>
      <c r="GT59" s="582">
        <v>0.75373073671740198</v>
      </c>
      <c r="GU59" s="576">
        <f t="shared" si="446"/>
        <v>0.24027021467776682</v>
      </c>
      <c r="GV59" s="589">
        <f t="shared" si="276"/>
        <v>6.2366010524264277E-2</v>
      </c>
      <c r="GW59" s="589"/>
      <c r="GX59" s="589">
        <f t="shared" si="277"/>
        <v>0.11168867659454904</v>
      </c>
      <c r="GY59" s="589"/>
      <c r="GZ59" s="589">
        <f t="shared" si="308"/>
        <v>0.28900272769609475</v>
      </c>
      <c r="HA59" s="56">
        <f t="shared" si="385"/>
        <v>0.43758225329276379</v>
      </c>
      <c r="HB59" s="589">
        <f t="shared" si="278"/>
        <v>7.0106062590022264E-2</v>
      </c>
      <c r="HC59" s="56">
        <v>0.1</v>
      </c>
      <c r="HD59" s="589">
        <f t="shared" si="279"/>
        <v>6.7300123847529925E-2</v>
      </c>
      <c r="HE59" s="56">
        <f t="shared" si="479"/>
        <v>0.43758225329276379</v>
      </c>
      <c r="HF59" s="589">
        <f t="shared" si="309"/>
        <v>6.6816608996539795E-2</v>
      </c>
      <c r="HG59" s="56">
        <v>0.1</v>
      </c>
      <c r="HH59" s="6">
        <f t="shared" si="57"/>
        <v>8.5669895960799616E-2</v>
      </c>
      <c r="HI59" s="6">
        <f t="shared" si="447"/>
        <v>7.8440441170486722E-2</v>
      </c>
      <c r="HJ59" s="23">
        <f t="shared" si="280"/>
        <v>0.43758225329276379</v>
      </c>
      <c r="HK59" s="23">
        <f t="shared" si="280"/>
        <v>0.59492751230144314</v>
      </c>
      <c r="HL59" s="23">
        <f t="shared" si="281"/>
        <v>0.36394126738794436</v>
      </c>
      <c r="HM59" s="31">
        <f t="shared" si="282"/>
        <v>0.1994621607203127</v>
      </c>
      <c r="HN59" s="23">
        <f t="shared" si="448"/>
        <v>0.319085906533909</v>
      </c>
      <c r="HO59" s="23">
        <f t="shared" si="449"/>
        <v>0.27772340722664862</v>
      </c>
      <c r="HP59" s="575">
        <v>746914</v>
      </c>
      <c r="HQ59" s="193">
        <v>54257</v>
      </c>
      <c r="HR59" s="193">
        <v>117965</v>
      </c>
      <c r="HS59" s="193">
        <v>130704</v>
      </c>
      <c r="HT59" s="193">
        <v>35033</v>
      </c>
      <c r="HU59" s="193">
        <v>142635</v>
      </c>
      <c r="HV59" s="193">
        <v>20988</v>
      </c>
      <c r="HW59" s="193">
        <f>HQ59+HR59+HS59+HT59+HU59+HV59</f>
        <v>501582</v>
      </c>
      <c r="HX59" s="193">
        <f>HP59-HW59</f>
        <v>245332</v>
      </c>
      <c r="HY59" s="193"/>
      <c r="HZ59" s="193"/>
      <c r="IA59" s="193"/>
      <c r="IB59" s="23">
        <f>HW59/HP59</f>
        <v>0.67153915979617462</v>
      </c>
      <c r="IC59" s="575">
        <v>28124</v>
      </c>
      <c r="ID59" s="193">
        <v>235</v>
      </c>
      <c r="IE59" s="193">
        <v>4244</v>
      </c>
      <c r="IF59" s="193">
        <v>2255</v>
      </c>
      <c r="IG59" s="193">
        <v>1414</v>
      </c>
      <c r="IH59" s="193">
        <v>8575</v>
      </c>
      <c r="II59" s="193">
        <v>439</v>
      </c>
      <c r="IJ59" s="193">
        <f>ID59+IE59+IF59+IG59+IH59+II59</f>
        <v>17162</v>
      </c>
      <c r="IK59" s="193">
        <f>IC59-IJ59</f>
        <v>10962</v>
      </c>
      <c r="IL59" s="23"/>
      <c r="IM59" s="575">
        <v>10251</v>
      </c>
      <c r="IN59" s="193">
        <v>3298</v>
      </c>
      <c r="IO59" s="193">
        <v>145</v>
      </c>
      <c r="IP59" s="193">
        <v>11239</v>
      </c>
      <c r="IQ59" s="193">
        <v>68</v>
      </c>
      <c r="IR59" s="193">
        <v>7332</v>
      </c>
      <c r="IS59" s="193">
        <v>195</v>
      </c>
      <c r="IT59" s="193">
        <f>IS59+IR59+IQ59+IP59+IO59+IN59</f>
        <v>22277</v>
      </c>
      <c r="IU59" s="193">
        <f>IM59-IT59</f>
        <v>-12026</v>
      </c>
      <c r="IV59" s="193"/>
      <c r="IW59" s="193"/>
      <c r="IX59" s="149">
        <f t="shared" si="570"/>
        <v>4803397</v>
      </c>
      <c r="IY59" s="316">
        <f t="shared" si="570"/>
        <v>328638</v>
      </c>
      <c r="IZ59" s="316">
        <f t="shared" si="570"/>
        <v>158801</v>
      </c>
      <c r="JA59" s="316">
        <f t="shared" si="570"/>
        <v>178009</v>
      </c>
      <c r="JB59" s="316">
        <f t="shared" si="570"/>
        <v>207793</v>
      </c>
      <c r="JC59" s="316">
        <f t="shared" si="570"/>
        <v>739269</v>
      </c>
      <c r="JD59" s="316">
        <f t="shared" si="570"/>
        <v>178504</v>
      </c>
      <c r="JE59" s="316">
        <f t="shared" si="570"/>
        <v>1791014</v>
      </c>
      <c r="JF59" s="316">
        <f t="shared" si="570"/>
        <v>3012383</v>
      </c>
      <c r="JG59" s="316">
        <f>JF59-JH59</f>
        <v>2630884.0793552226</v>
      </c>
      <c r="JH59" s="316">
        <f t="shared" ref="JH59:JH60" si="603">JS59-KD59</f>
        <v>381498.92064477736</v>
      </c>
      <c r="JI59" s="5">
        <v>12339821</v>
      </c>
      <c r="JJ59" s="552">
        <v>651924</v>
      </c>
      <c r="JK59" s="552">
        <v>1335978</v>
      </c>
      <c r="JL59" s="552">
        <v>1714759</v>
      </c>
      <c r="JM59" s="552">
        <v>518730</v>
      </c>
      <c r="JN59" s="552">
        <v>1883152</v>
      </c>
      <c r="JO59" s="552">
        <v>385738</v>
      </c>
      <c r="JP59" s="552">
        <f>JJ59+JK59+JL59+JM59+JN59+JO59</f>
        <v>6490281</v>
      </c>
      <c r="JQ59" s="552">
        <f>JI59-JP59</f>
        <v>5849540</v>
      </c>
      <c r="JR59" s="552">
        <f>JQ59-JS59</f>
        <v>5341643</v>
      </c>
      <c r="JS59" s="552">
        <v>507897</v>
      </c>
      <c r="JT59" s="149">
        <v>7536424</v>
      </c>
      <c r="JU59" s="552">
        <v>323286</v>
      </c>
      <c r="JV59" s="552">
        <v>1177177</v>
      </c>
      <c r="JW59" s="552">
        <v>1536750</v>
      </c>
      <c r="JX59" s="552">
        <v>310937</v>
      </c>
      <c r="JY59" s="552">
        <v>1143883</v>
      </c>
      <c r="JZ59" s="552">
        <v>207234</v>
      </c>
      <c r="KA59" s="552">
        <f>JU59+JV59+JW59+JX59+JY59+JZ59</f>
        <v>4699267</v>
      </c>
      <c r="KB59" s="552">
        <f>JT59-KA59</f>
        <v>2837157</v>
      </c>
      <c r="KC59" s="552">
        <f>KB59-KD59</f>
        <v>2710758.9206447774</v>
      </c>
      <c r="KD59" s="552">
        <v>126398.07935522264</v>
      </c>
      <c r="KE59" s="5">
        <v>1456249</v>
      </c>
      <c r="KF59" s="552">
        <v>70527</v>
      </c>
      <c r="KG59" s="552">
        <v>7789</v>
      </c>
      <c r="KH59" s="552">
        <v>26433</v>
      </c>
      <c r="KI59" s="552">
        <v>10291</v>
      </c>
      <c r="KJ59" s="552">
        <v>36881</v>
      </c>
      <c r="KK59" s="552">
        <v>30886</v>
      </c>
      <c r="KL59" s="552">
        <f>KF59+KG59+KH59+KI59+KJ59+KK59</f>
        <v>182807</v>
      </c>
      <c r="KM59" s="552">
        <f>KE59-KL59</f>
        <v>1273442</v>
      </c>
      <c r="KN59" s="552">
        <f>KM59-KO59</f>
        <v>855873</v>
      </c>
      <c r="KO59" s="552">
        <v>417569</v>
      </c>
      <c r="KP59" s="5">
        <v>435677</v>
      </c>
      <c r="KQ59" s="552">
        <v>20847</v>
      </c>
      <c r="KR59" s="552">
        <v>2655</v>
      </c>
      <c r="KS59" s="552">
        <v>24724</v>
      </c>
      <c r="KT59" s="552">
        <v>29209</v>
      </c>
      <c r="KU59" s="552">
        <v>4518</v>
      </c>
      <c r="KV59" s="552">
        <v>22070</v>
      </c>
      <c r="KW59" s="552">
        <f>KQ59+KR59+KS59+KT59+KU59+KV59</f>
        <v>104023</v>
      </c>
      <c r="KX59" s="552">
        <f>KP59-KW59</f>
        <v>331654</v>
      </c>
      <c r="KY59" s="552">
        <f>KX59-KZ59</f>
        <v>307916</v>
      </c>
      <c r="KZ59" s="552">
        <v>23738</v>
      </c>
      <c r="LA59" s="149">
        <f>'Assets(MOFA)'!IX59-'Assets(MOFA)'!KE59-'Assets(MOFA)'!KP59</f>
        <v>2911471</v>
      </c>
      <c r="LB59" s="552">
        <f>'Assets(MOFA)'!IY59-'Assets(MOFA)'!KF59-'Assets(MOFA)'!KQ59</f>
        <v>237264</v>
      </c>
      <c r="LC59" s="552">
        <f>'Assets(MOFA)'!IZ59-'Assets(MOFA)'!KG59-'Assets(MOFA)'!KR59</f>
        <v>148357</v>
      </c>
      <c r="LD59" s="552">
        <f>'Assets(MOFA)'!JA59-'Assets(MOFA)'!KH59-'Assets(MOFA)'!KS59</f>
        <v>126852</v>
      </c>
      <c r="LE59" s="552">
        <f>'Assets(MOFA)'!JB59-'Assets(MOFA)'!KI59-'Assets(MOFA)'!KT59</f>
        <v>168293</v>
      </c>
      <c r="LF59" s="552">
        <f>'Assets(MOFA)'!JC59-'Assets(MOFA)'!KJ59-'Assets(MOFA)'!KU59</f>
        <v>697870</v>
      </c>
      <c r="LG59" s="552">
        <f>'Assets(MOFA)'!JD59-'Assets(MOFA)'!KK59-'Assets(MOFA)'!KV59</f>
        <v>125548</v>
      </c>
      <c r="LH59" s="552">
        <f>'Assets(MOFA)'!JE59-'Assets(MOFA)'!KL59-'Assets(MOFA)'!KW59</f>
        <v>1504184</v>
      </c>
      <c r="LI59" s="552">
        <f>'Assets(MOFA)'!JF59-'Assets(MOFA)'!KM59-'Assets(MOFA)'!KX59</f>
        <v>1407287</v>
      </c>
      <c r="LJ59" s="552">
        <f>LI59-LK59</f>
        <v>1467095.0793552226</v>
      </c>
      <c r="LK59" s="552">
        <f>'Assets(MOFA)'!JH59-'Assets(MOFA)'!KO59-'Assets(MOFA)'!KZ59</f>
        <v>-59808.079355222639</v>
      </c>
      <c r="LL59" s="576">
        <f>W59/IX59</f>
        <v>0.11538209313117363</v>
      </c>
      <c r="LM59" s="6">
        <f>X59/IY59</f>
        <v>0.18735508370912676</v>
      </c>
      <c r="LN59" s="6">
        <f>AA59/IZ59</f>
        <v>4.482339531866928E-2</v>
      </c>
      <c r="LO59" s="6">
        <f>AD59/JA59</f>
        <v>8.4439550809228742E-2</v>
      </c>
      <c r="LP59" s="6">
        <f>AG59/JB59</f>
        <v>0.18376461189741713</v>
      </c>
      <c r="LQ59" s="6">
        <f>AJ59/JC59</f>
        <v>4.9149903485740644E-2</v>
      </c>
      <c r="LR59" s="6">
        <f>AM59/JD59</f>
        <v>0.16190113386814861</v>
      </c>
      <c r="LS59" s="902">
        <f>AP59/JE59</f>
        <v>0.1044888538001378</v>
      </c>
      <c r="LT59" s="143">
        <f>(X59+AG59+AM59)/(IY59+JB59+JD59)</f>
        <v>0.17995621979620524</v>
      </c>
      <c r="LU59" s="62">
        <f>(AA59+AD59+AJ59)/(JA59+IZ59+JC59)</f>
        <v>5.4349169531233303E-2</v>
      </c>
      <c r="LV59" s="596">
        <f>AS59/JF59</f>
        <v>0.12185867467715758</v>
      </c>
      <c r="LW59" s="793">
        <f>AT59/(JF59-JH59)</f>
        <v>0.10342682983838926</v>
      </c>
      <c r="LX59" s="143">
        <f>AU59/JH59</f>
        <v>0.24896793899041997</v>
      </c>
      <c r="LY59" s="576">
        <f>(W59+IC59+IM59)/IX59</f>
        <v>0.1233712308185228</v>
      </c>
      <c r="LZ59" s="598">
        <f>(X59+ID59+IN59)/IY59</f>
        <v>0.19810551427406448</v>
      </c>
      <c r="MA59" s="598">
        <f>(AA59+IE59+IO59)/IZ59</f>
        <v>7.2461760316370805E-2</v>
      </c>
      <c r="MB59" s="598">
        <f>(AD59+IF59+IP59)/JA59</f>
        <v>0.16024470672831148</v>
      </c>
      <c r="MC59" s="598">
        <f>(AG59+IG59+IQ59)/JB59</f>
        <v>0.19089670970629424</v>
      </c>
      <c r="MD59" s="598">
        <f>(AJ59+IH59+IR59)/JC59</f>
        <v>7.0667104937444963E-2</v>
      </c>
      <c r="ME59" s="598">
        <v>6.1610529375296846E-2</v>
      </c>
      <c r="MF59" s="598">
        <f>(AM59+II59+IS59)/JD59</f>
        <v>0.16545287500560213</v>
      </c>
      <c r="MG59" s="30">
        <f>(AP59+IJ59+IT59)/JE59</f>
        <v>0.12650934051883458</v>
      </c>
      <c r="MH59" s="140">
        <f>(X59+AG59+AM59+ID59+IG59+II59+IN59+IQ59+IS59)/(IY59+JB59+JD59)</f>
        <v>0.18785763740759651</v>
      </c>
      <c r="MI59" s="30">
        <f>(AA59+AD59+AJ59+IF59+IE59+IH59+IO59+IP59+IR59)/(JA59+IZ59+JC59)</f>
        <v>8.575020978942996E-2</v>
      </c>
      <c r="MJ59" s="30">
        <f>(AS59+IK59+IU59)/JF59</f>
        <v>0.12150546593842815</v>
      </c>
      <c r="MK59" s="617">
        <f>LW59</f>
        <v>0.10342682983838926</v>
      </c>
      <c r="ML59" s="615">
        <f>LX59</f>
        <v>0.24896793899041997</v>
      </c>
      <c r="MM59" s="574">
        <v>14052.4</v>
      </c>
      <c r="MN59">
        <v>123.6</v>
      </c>
      <c r="MO59">
        <v>23.6</v>
      </c>
      <c r="MP59">
        <v>244</v>
      </c>
      <c r="MQ59">
        <v>103.1</v>
      </c>
      <c r="MR59">
        <v>81.7</v>
      </c>
      <c r="MS59">
        <v>195.3</v>
      </c>
      <c r="MT59" s="618">
        <f>MN59+MO59+MP59+MQ59+MR59+MS59</f>
        <v>771.3</v>
      </c>
      <c r="MU59" s="619">
        <f>MM59-MT59</f>
        <v>13281.1</v>
      </c>
      <c r="MV59" s="619">
        <f>MU59-MW59</f>
        <v>13187.300000000001</v>
      </c>
      <c r="MW59">
        <v>93.8</v>
      </c>
      <c r="MX59" s="575">
        <f t="shared" ref="MX59:NH59" si="604">B59*1000/MM59</f>
        <v>45013.378497623184</v>
      </c>
      <c r="MY59" s="193">
        <f t="shared" si="604"/>
        <v>75542.071197411002</v>
      </c>
      <c r="MZ59" s="193">
        <f t="shared" si="604"/>
        <v>76737.288135593219</v>
      </c>
      <c r="NA59" s="193">
        <f t="shared" si="604"/>
        <v>77397.540983606552</v>
      </c>
      <c r="NB59" s="193">
        <f t="shared" si="604"/>
        <v>126838.02133850631</v>
      </c>
      <c r="NC59" s="193">
        <f t="shared" si="604"/>
        <v>49339.045287637695</v>
      </c>
      <c r="ND59" s="193">
        <f t="shared" si="604"/>
        <v>71597.542242703523</v>
      </c>
      <c r="NE59" s="193">
        <f t="shared" si="604"/>
        <v>79248.022818617916</v>
      </c>
      <c r="NF59" s="193">
        <f t="shared" si="604"/>
        <v>43025.201225802077</v>
      </c>
      <c r="NG59" s="193">
        <f t="shared" si="604"/>
        <v>42380.547951438122</v>
      </c>
      <c r="NH59" s="193">
        <f t="shared" si="604"/>
        <v>133656.71641791044</v>
      </c>
      <c r="NI59" s="613">
        <f t="shared" si="364"/>
        <v>632546</v>
      </c>
      <c r="PN59" s="574"/>
      <c r="PO59" s="593"/>
      <c r="PP59" s="593"/>
      <c r="PQ59" s="593"/>
      <c r="PR59" s="593"/>
      <c r="PS59" s="593"/>
      <c r="PT59" s="593"/>
      <c r="PU59" s="593"/>
      <c r="PV59" s="593"/>
      <c r="PW59" s="593"/>
      <c r="PX59" s="593"/>
      <c r="PY59" s="593"/>
      <c r="PZ59" s="593"/>
      <c r="QA59" s="593"/>
      <c r="QB59" s="593"/>
      <c r="QC59" s="593"/>
      <c r="QD59" s="593"/>
      <c r="QE59" s="593"/>
      <c r="QF59" s="593"/>
      <c r="QG59" s="593"/>
      <c r="QH59" s="593"/>
      <c r="QI59" s="593"/>
      <c r="QJ59" s="593"/>
      <c r="QK59" s="593"/>
      <c r="QL59" s="593"/>
      <c r="QM59" s="593"/>
      <c r="QN59" s="593"/>
      <c r="QO59" s="593"/>
      <c r="QP59" s="593"/>
      <c r="QQ59" s="593"/>
      <c r="QR59" s="593"/>
      <c r="QS59" s="593"/>
      <c r="QT59" s="593"/>
      <c r="QU59" s="593"/>
      <c r="QV59" s="593"/>
      <c r="QW59" s="593"/>
      <c r="QX59" s="593"/>
      <c r="QY59" s="593"/>
      <c r="QZ59" s="593"/>
      <c r="RA59" s="593"/>
      <c r="RB59" s="593"/>
      <c r="RC59" s="593"/>
      <c r="RD59" s="593"/>
      <c r="RE59" s="593"/>
      <c r="RF59" s="593"/>
      <c r="RG59" s="593"/>
      <c r="RH59" s="593"/>
      <c r="RI59" s="593"/>
      <c r="RJ59" s="593"/>
      <c r="RK59" s="593"/>
      <c r="RL59" s="593"/>
      <c r="RM59" s="593"/>
      <c r="RN59" s="593"/>
      <c r="RO59" s="593"/>
      <c r="RP59" s="593"/>
      <c r="RQ59" s="593"/>
      <c r="RR59" s="593"/>
    </row>
    <row r="60" spans="1:486">
      <c r="A60" s="568">
        <v>2015</v>
      </c>
      <c r="B60" s="33">
        <v>611564</v>
      </c>
      <c r="C60" s="193">
        <v>8949</v>
      </c>
      <c r="D60" s="193">
        <v>1600</v>
      </c>
      <c r="E60" s="193">
        <v>18047</v>
      </c>
      <c r="F60" s="193">
        <v>13307</v>
      </c>
      <c r="G60" s="193">
        <v>3861</v>
      </c>
      <c r="H60" s="193">
        <v>13700</v>
      </c>
      <c r="I60" s="193">
        <f t="shared" si="550"/>
        <v>59464</v>
      </c>
      <c r="J60" s="193">
        <f t="shared" si="551"/>
        <v>552100</v>
      </c>
      <c r="K60" s="193">
        <f t="shared" si="249"/>
        <v>540063</v>
      </c>
      <c r="L60" s="193">
        <v>12037</v>
      </c>
      <c r="M60" s="140">
        <f t="shared" si="217"/>
        <v>9.7232669025645715E-2</v>
      </c>
      <c r="N60" s="140">
        <f t="shared" si="250"/>
        <v>1.9682322700485966E-2</v>
      </c>
      <c r="O60" s="193">
        <v>5936700</v>
      </c>
      <c r="P60" s="32">
        <f t="shared" si="251"/>
        <v>0.10301413243047484</v>
      </c>
      <c r="Q60" s="629">
        <f t="shared" si="218"/>
        <v>1.4632973817948735E-2</v>
      </c>
      <c r="R60" s="308">
        <f t="shared" si="219"/>
        <v>2.6162429443198094E-3</v>
      </c>
      <c r="S60" s="308">
        <f t="shared" si="220"/>
        <v>2.9509585260087252E-2</v>
      </c>
      <c r="T60" s="308">
        <f t="shared" si="221"/>
        <v>2.1758965537539816E-2</v>
      </c>
      <c r="U60" s="308">
        <f t="shared" si="222"/>
        <v>6.3133212550117402E-3</v>
      </c>
      <c r="V60" s="308">
        <f t="shared" si="223"/>
        <v>2.2401580210738369E-2</v>
      </c>
      <c r="W60" s="5">
        <v>478188</v>
      </c>
      <c r="X60" s="193">
        <v>73602</v>
      </c>
      <c r="Y60" s="76">
        <v>0</v>
      </c>
      <c r="Z60" s="76">
        <f t="shared" si="114"/>
        <v>73602</v>
      </c>
      <c r="AA60" s="193">
        <v>9567</v>
      </c>
      <c r="AB60" s="66">
        <v>0</v>
      </c>
      <c r="AC60" s="274">
        <f t="shared" si="117"/>
        <v>9567</v>
      </c>
      <c r="AD60" s="193">
        <v>23259</v>
      </c>
      <c r="AE60" s="357">
        <f t="shared" si="477"/>
        <v>748.86101154214043</v>
      </c>
      <c r="AF60" s="274">
        <f t="shared" si="119"/>
        <v>22510.13898845786</v>
      </c>
      <c r="AG60" s="193">
        <v>39664</v>
      </c>
      <c r="AH60" s="357">
        <f t="shared" si="382"/>
        <v>400.13653022969538</v>
      </c>
      <c r="AI60" s="76">
        <f t="shared" si="287"/>
        <v>39263.863469770302</v>
      </c>
      <c r="AJ60" s="193">
        <v>31015</v>
      </c>
      <c r="AK60" s="357">
        <f t="shared" si="458"/>
        <v>942.9634884206132</v>
      </c>
      <c r="AL60" s="274">
        <f t="shared" si="123"/>
        <v>30072.036511579387</v>
      </c>
      <c r="AM60" s="193">
        <v>28494</v>
      </c>
      <c r="AN60" s="357">
        <f t="shared" si="478"/>
        <v>160.54561717352416</v>
      </c>
      <c r="AO60" s="274">
        <f t="shared" si="125"/>
        <v>28333.454382826476</v>
      </c>
      <c r="AP60" s="193">
        <f t="shared" si="397"/>
        <v>205601</v>
      </c>
      <c r="AQ60" s="271">
        <f t="shared" si="398"/>
        <v>2252.5066473659731</v>
      </c>
      <c r="AR60" s="271">
        <f t="shared" si="126"/>
        <v>203348.49335263402</v>
      </c>
      <c r="AS60" s="193">
        <f t="shared" si="259"/>
        <v>272587</v>
      </c>
      <c r="AT60" s="193">
        <f t="shared" si="224"/>
        <v>242049</v>
      </c>
      <c r="AU60" s="193">
        <v>30538</v>
      </c>
      <c r="AV60" s="193">
        <v>10464</v>
      </c>
      <c r="AW60" s="23">
        <f t="shared" si="289"/>
        <v>0.34265505272119984</v>
      </c>
      <c r="AX60" s="271">
        <f t="shared" si="227"/>
        <v>447650</v>
      </c>
      <c r="AY60" s="140">
        <f t="shared" si="399"/>
        <v>0.42995851004207553</v>
      </c>
      <c r="AZ60" s="623">
        <f t="shared" si="129"/>
        <v>0.42524800570619509</v>
      </c>
      <c r="BA60" s="248">
        <f t="shared" si="400"/>
        <v>0.45425777583521504</v>
      </c>
      <c r="BB60" s="248">
        <f t="shared" si="130"/>
        <v>0.16441863062660561</v>
      </c>
      <c r="BC60" s="248">
        <f t="shared" si="131"/>
        <v>2.1371607282475148E-2</v>
      </c>
      <c r="BD60" s="248">
        <f t="shared" si="132"/>
        <v>5.0285131215140978E-2</v>
      </c>
      <c r="BE60" s="248">
        <f t="shared" si="133"/>
        <v>8.7711076666525861E-2</v>
      </c>
      <c r="BF60" s="248">
        <f t="shared" si="134"/>
        <v>6.7177563970913401E-2</v>
      </c>
      <c r="BG60" s="248">
        <f t="shared" si="135"/>
        <v>6.3293766073554067E-2</v>
      </c>
      <c r="BH60" s="248">
        <f t="shared" si="136"/>
        <v>7.1656738497616126E-2</v>
      </c>
      <c r="BI60" s="23">
        <f t="shared" si="401"/>
        <v>0.40733162068580364</v>
      </c>
      <c r="BJ60" s="140">
        <f t="shared" si="402"/>
        <v>6.3861912051327088E-2</v>
      </c>
      <c r="BK60" s="623">
        <f t="shared" si="137"/>
        <v>5.9151407715446705E-2</v>
      </c>
      <c r="BL60" s="5">
        <v>-48968</v>
      </c>
      <c r="BM60" s="193">
        <v>-1471</v>
      </c>
      <c r="BN60" s="193">
        <v>-3223</v>
      </c>
      <c r="BO60" s="193">
        <v>-10620</v>
      </c>
      <c r="BP60" s="193">
        <v>-1597</v>
      </c>
      <c r="BQ60" s="193">
        <v>-13512</v>
      </c>
      <c r="BR60" s="193">
        <v>-1733</v>
      </c>
      <c r="BS60" s="193">
        <f t="shared" si="403"/>
        <v>-32156</v>
      </c>
      <c r="BT60" s="193">
        <f t="shared" si="365"/>
        <v>-16812</v>
      </c>
      <c r="BU60" s="193">
        <f t="shared" si="373"/>
        <v>-19113</v>
      </c>
      <c r="BV60" s="193">
        <v>2301</v>
      </c>
      <c r="BW60" s="5">
        <f t="shared" si="262"/>
        <v>386766</v>
      </c>
      <c r="BX60" s="193">
        <f t="shared" si="263"/>
        <v>69723</v>
      </c>
      <c r="BY60" s="193">
        <f t="shared" si="459"/>
        <v>0</v>
      </c>
      <c r="BZ60" s="647">
        <f t="shared" si="149"/>
        <v>0.1802717922464746</v>
      </c>
      <c r="CA60" s="193">
        <f t="shared" si="264"/>
        <v>8665</v>
      </c>
      <c r="CB60" s="193">
        <f t="shared" si="460"/>
        <v>0</v>
      </c>
      <c r="CC60" s="647">
        <f t="shared" si="404"/>
        <v>2.2403727318326842E-2</v>
      </c>
      <c r="CD60" s="193">
        <f t="shared" si="265"/>
        <v>19533</v>
      </c>
      <c r="CE60" s="193">
        <f t="shared" si="461"/>
        <v>455.42755604036387</v>
      </c>
      <c r="CF60" s="655">
        <f t="shared" si="405"/>
        <v>4.9325877776122094E-2</v>
      </c>
      <c r="CG60" s="193">
        <f t="shared" si="266"/>
        <v>36559</v>
      </c>
      <c r="CH60" s="193">
        <f t="shared" si="462"/>
        <v>360.12287720672583</v>
      </c>
      <c r="CI60" s="23">
        <f t="shared" si="406"/>
        <v>9.359374175287713E-2</v>
      </c>
      <c r="CJ60" s="193">
        <f t="shared" si="267"/>
        <v>29540</v>
      </c>
      <c r="CK60" s="641">
        <f t="shared" si="463"/>
        <v>573.47298143125386</v>
      </c>
      <c r="CL60" s="34">
        <f t="shared" si="158"/>
        <v>7.4894191884934944E-2</v>
      </c>
      <c r="CM60" s="193">
        <f t="shared" si="268"/>
        <v>26756</v>
      </c>
      <c r="CN60" s="193">
        <f t="shared" si="464"/>
        <v>144.49105545617175</v>
      </c>
      <c r="CO60" s="23">
        <f t="shared" si="161"/>
        <v>6.8805192143424773E-2</v>
      </c>
      <c r="CP60" s="193">
        <f t="shared" si="407"/>
        <v>190776</v>
      </c>
      <c r="CQ60" s="193">
        <f t="shared" si="162"/>
        <v>1533.5144701345155</v>
      </c>
      <c r="CR60" s="193">
        <f t="shared" si="408"/>
        <v>195990</v>
      </c>
      <c r="CS60" s="248">
        <f t="shared" si="163"/>
        <v>0.48929452312216037</v>
      </c>
      <c r="CT60" s="30">
        <f t="shared" si="409"/>
        <v>0.4932594902344053</v>
      </c>
      <c r="CU60" s="308">
        <f t="shared" si="410"/>
        <v>0</v>
      </c>
      <c r="CV60" s="608">
        <f t="shared" si="269"/>
        <v>0.1802717922464746</v>
      </c>
      <c r="CW60" s="608">
        <f t="shared" si="270"/>
        <v>2.2403727318326842E-2</v>
      </c>
      <c r="CX60" s="608">
        <f t="shared" si="271"/>
        <v>5.0503405159708969E-2</v>
      </c>
      <c r="CY60" s="608">
        <f t="shared" si="272"/>
        <v>9.4524854821778539E-2</v>
      </c>
      <c r="CZ60" s="608">
        <f t="shared" si="327"/>
        <v>7.6376930753995959E-2</v>
      </c>
      <c r="DA60" s="608">
        <f>'Assets(BoP)'!FK107</f>
        <v>0.14819045848227735</v>
      </c>
      <c r="DB60" s="608">
        <f t="shared" si="273"/>
        <v>6.9178779934120374E-2</v>
      </c>
      <c r="DC60" s="23">
        <f t="shared" si="411"/>
        <v>0.51397493041675169</v>
      </c>
      <c r="DD60" s="193">
        <f t="shared" si="412"/>
        <v>368194</v>
      </c>
      <c r="DE60" s="193">
        <f t="shared" si="274"/>
        <v>18572</v>
      </c>
      <c r="DF60" s="193"/>
      <c r="DG60" s="193">
        <f>'Assets(BoP)'!DA107*1000</f>
        <v>4186</v>
      </c>
      <c r="DH60" s="23">
        <f t="shared" si="413"/>
        <v>4.8018698644658526E-2</v>
      </c>
      <c r="DI60" s="23"/>
      <c r="DJ60" s="23">
        <f t="shared" si="414"/>
        <v>0.44275608507469633</v>
      </c>
      <c r="DK60" s="600">
        <f>'Assets(BoP)'!FO107-'Assets(BoP)'!FH107</f>
        <v>0.48646266390423776</v>
      </c>
      <c r="DL60" s="576">
        <f t="shared" si="415"/>
        <v>0.7819099881615007</v>
      </c>
      <c r="DM60" s="251">
        <f t="shared" si="416"/>
        <v>8.2246061012403615</v>
      </c>
      <c r="DN60" s="251">
        <f t="shared" si="417"/>
        <v>8.2246061012403615</v>
      </c>
      <c r="DO60" s="251">
        <f t="shared" si="418"/>
        <v>5.9793750000000001</v>
      </c>
      <c r="DP60" s="251">
        <f t="shared" si="419"/>
        <v>5.9793750000000001</v>
      </c>
      <c r="DQ60" s="251">
        <f t="shared" si="420"/>
        <v>1.2888014628470106</v>
      </c>
      <c r="DR60" s="251">
        <f t="shared" si="421"/>
        <v>1.268046434703509</v>
      </c>
      <c r="DS60" s="251">
        <f t="shared" si="422"/>
        <v>2.98068685654167</v>
      </c>
      <c r="DT60" s="251">
        <f t="shared" si="423"/>
        <v>2.9860085493111503</v>
      </c>
      <c r="DU60" s="251">
        <f t="shared" si="424"/>
        <v>8.0328930328930337</v>
      </c>
      <c r="DV60" s="251">
        <f t="shared" si="425"/>
        <v>8.618315675690285</v>
      </c>
      <c r="DW60" s="251">
        <f t="shared" si="426"/>
        <v>2.0798540145985402</v>
      </c>
      <c r="DX60" s="251">
        <f t="shared" si="427"/>
        <v>2.0777325709780965</v>
      </c>
      <c r="DY60" s="251">
        <f t="shared" si="428"/>
        <v>1.6707894335012978</v>
      </c>
      <c r="DZ60" s="251">
        <f t="shared" si="429"/>
        <v>1.6575769065804913</v>
      </c>
      <c r="EA60" s="643">
        <f t="shared" si="430"/>
        <v>3.4575709673079511</v>
      </c>
      <c r="EB60" s="643">
        <f t="shared" si="431"/>
        <v>3.4715242094234298</v>
      </c>
      <c r="EC60" s="251">
        <f t="shared" si="432"/>
        <v>0.49372758558232205</v>
      </c>
      <c r="ED60" s="251">
        <f t="shared" si="433"/>
        <v>0.7466719597282524</v>
      </c>
      <c r="EE60" s="140">
        <f t="shared" si="434"/>
        <v>0.44818660045216946</v>
      </c>
      <c r="EF60" s="1342">
        <v>0.31375766594357318</v>
      </c>
      <c r="EG60" s="140">
        <f t="shared" si="228"/>
        <v>2.5370108831104097</v>
      </c>
      <c r="EH60" s="583">
        <v>52.386758893280643</v>
      </c>
      <c r="EI60" s="1345">
        <v>0.99704058238415805</v>
      </c>
      <c r="EJ60" s="576">
        <f t="shared" si="166"/>
        <v>0.63242113662674715</v>
      </c>
      <c r="EK60" s="753">
        <f t="shared" si="167"/>
        <v>3.2365691333781448</v>
      </c>
      <c r="EL60" s="753">
        <f t="shared" si="168"/>
        <v>1.5429093627980395</v>
      </c>
      <c r="EM60" s="753">
        <f t="shared" si="169"/>
        <v>0.32851352527390321</v>
      </c>
      <c r="EN60" s="583"/>
      <c r="EO60" s="5">
        <v>1065850</v>
      </c>
      <c r="EP60" s="193">
        <v>131625</v>
      </c>
      <c r="EQ60" s="193"/>
      <c r="ER60" s="193">
        <v>81603</v>
      </c>
      <c r="ES60" s="193"/>
      <c r="ET60" s="193">
        <v>186510</v>
      </c>
      <c r="EU60" s="193"/>
      <c r="EV60" s="193">
        <v>69898</v>
      </c>
      <c r="EW60" s="193"/>
      <c r="EX60" s="193">
        <v>160216</v>
      </c>
      <c r="EY60" s="193"/>
      <c r="EZ60" s="193">
        <v>53608</v>
      </c>
      <c r="FA60" s="193"/>
      <c r="FB60" s="193">
        <f t="shared" si="558"/>
        <v>683460</v>
      </c>
      <c r="FC60" s="193">
        <f t="shared" si="559"/>
        <v>382390</v>
      </c>
      <c r="FD60" s="23">
        <f t="shared" si="560"/>
        <v>0.64123469531359945</v>
      </c>
      <c r="FE60" s="193">
        <v>14296</v>
      </c>
      <c r="FF60" s="193"/>
      <c r="FG60" s="193"/>
      <c r="FH60" s="193"/>
      <c r="FI60" s="193"/>
      <c r="FJ60" s="5">
        <v>91422</v>
      </c>
      <c r="FK60" s="143" t="e">
        <f>FJ60/'Assets(BoP)'!AV107/1000</f>
        <v>#DIV/0!</v>
      </c>
      <c r="FL60" s="193"/>
      <c r="FM60" s="193">
        <v>3879</v>
      </c>
      <c r="FN60" s="66">
        <f t="shared" si="374"/>
        <v>0</v>
      </c>
      <c r="FO60" s="184">
        <f t="shared" si="383"/>
        <v>0</v>
      </c>
      <c r="FP60" s="193">
        <v>902</v>
      </c>
      <c r="FQ60" s="66">
        <f t="shared" si="375"/>
        <v>0</v>
      </c>
      <c r="FR60" s="184">
        <v>0</v>
      </c>
      <c r="FS60" s="193">
        <v>3726</v>
      </c>
      <c r="FT60" s="66">
        <f t="shared" si="465"/>
        <v>293.43345550177656</v>
      </c>
      <c r="FU60" s="193">
        <f t="shared" si="175"/>
        <v>3432.5665444982233</v>
      </c>
      <c r="FV60" s="23">
        <f t="shared" si="376"/>
        <v>7.8752940284964185E-2</v>
      </c>
      <c r="FW60" s="193">
        <v>3105</v>
      </c>
      <c r="FX60" s="66">
        <f t="shared" si="466"/>
        <v>40.013653022969542</v>
      </c>
      <c r="FY60" s="23">
        <f t="shared" si="438"/>
        <v>1.2886844773903235E-2</v>
      </c>
      <c r="FZ60" s="193">
        <v>1475</v>
      </c>
      <c r="GA60" s="66">
        <f t="shared" si="467"/>
        <v>369.4905069893594</v>
      </c>
      <c r="GB60" s="193">
        <f t="shared" si="180"/>
        <v>1105.5094930106407</v>
      </c>
      <c r="GC60" s="23">
        <f t="shared" si="366"/>
        <v>0.25050203863685383</v>
      </c>
      <c r="GD60" s="193">
        <v>1738</v>
      </c>
      <c r="GE60" s="66">
        <f t="shared" si="384"/>
        <v>16.054561717352417</v>
      </c>
      <c r="GF60" s="23">
        <f t="shared" si="377"/>
        <v>9.2373772827114026E-3</v>
      </c>
      <c r="GG60" s="193">
        <f t="shared" si="439"/>
        <v>14825</v>
      </c>
      <c r="GH60" s="193">
        <f t="shared" si="440"/>
        <v>718.99217723145796</v>
      </c>
      <c r="GI60" s="193">
        <f t="shared" si="441"/>
        <v>76597</v>
      </c>
      <c r="GJ60" s="23">
        <f t="shared" si="442"/>
        <v>0.16216009275666687</v>
      </c>
      <c r="GK60" s="330">
        <v>11966</v>
      </c>
      <c r="GL60" s="330">
        <v>5892</v>
      </c>
      <c r="GM60" s="23" t="e">
        <f>GK60/'Assets(BoP)'!AW107/1000</f>
        <v>#DIV/0!</v>
      </c>
      <c r="GN60" s="23">
        <f t="shared" si="443"/>
        <v>0.13088753254140142</v>
      </c>
      <c r="GO60" s="330">
        <f t="shared" si="275"/>
        <v>79456</v>
      </c>
      <c r="GP60" s="23" t="e">
        <f>GO60/('Assets(BoP)'!AV107-'Assets(BoP)'!AW107)/1000</f>
        <v>#DIV/0!</v>
      </c>
      <c r="GQ60" s="330">
        <f t="shared" si="444"/>
        <v>64631</v>
      </c>
      <c r="GR60" s="330">
        <v>6872.9269999999997</v>
      </c>
      <c r="GS60" s="140">
        <f t="shared" si="445"/>
        <v>0.50888582291162376</v>
      </c>
      <c r="GT60" s="582">
        <v>0.90165896164127801</v>
      </c>
      <c r="GU60" s="576">
        <f t="shared" si="446"/>
        <v>0.19118422043213129</v>
      </c>
      <c r="GV60" s="589">
        <f t="shared" si="276"/>
        <v>5.2702372218146248E-2</v>
      </c>
      <c r="GW60" s="589"/>
      <c r="GX60" s="589">
        <f t="shared" si="277"/>
        <v>9.4282429183652136E-2</v>
      </c>
      <c r="GY60" s="589"/>
      <c r="GZ60" s="589">
        <f t="shared" si="308"/>
        <v>0.16019605314071972</v>
      </c>
      <c r="HA60" s="56">
        <f t="shared" si="385"/>
        <v>0.39183967515881851</v>
      </c>
      <c r="HB60" s="589">
        <f t="shared" si="278"/>
        <v>7.828257361839451E-2</v>
      </c>
      <c r="HC60" s="56">
        <v>0.1</v>
      </c>
      <c r="HD60" s="589">
        <f t="shared" si="279"/>
        <v>4.7557633403192003E-2</v>
      </c>
      <c r="HE60" s="56">
        <f t="shared" si="479"/>
        <v>0.39183967515881851</v>
      </c>
      <c r="HF60" s="589">
        <f t="shared" si="309"/>
        <v>6.0995297255562575E-2</v>
      </c>
      <c r="HG60" s="56">
        <v>0.1</v>
      </c>
      <c r="HH60" s="6">
        <f t="shared" si="57"/>
        <v>7.2105680419842319E-2</v>
      </c>
      <c r="HI60" s="6">
        <f t="shared" si="447"/>
        <v>6.9368637014225631E-2</v>
      </c>
      <c r="HJ60" s="23">
        <f t="shared" si="280"/>
        <v>0.39183967515881851</v>
      </c>
      <c r="HK60" s="23">
        <f t="shared" si="280"/>
        <v>0.56307339449541283</v>
      </c>
      <c r="HL60" s="23">
        <f t="shared" si="281"/>
        <v>0.30258045232639236</v>
      </c>
      <c r="HM60" s="31">
        <f t="shared" si="282"/>
        <v>0.17749581145984586</v>
      </c>
      <c r="HN60" s="23">
        <f t="shared" si="448"/>
        <v>0.2810001944333369</v>
      </c>
      <c r="HO60" s="23">
        <f t="shared" si="449"/>
        <v>0.26701618267375615</v>
      </c>
      <c r="HP60" s="575">
        <v>727897</v>
      </c>
      <c r="HQ60" s="193"/>
      <c r="HR60" s="193"/>
      <c r="HS60" s="193"/>
      <c r="HT60" s="193"/>
      <c r="HU60" s="193"/>
      <c r="HV60" s="193"/>
      <c r="HW60" s="193"/>
      <c r="HX60" s="193"/>
      <c r="HY60" s="193"/>
      <c r="HZ60" s="193"/>
      <c r="IA60" s="193"/>
      <c r="IB60" s="193"/>
      <c r="IC60" s="193"/>
      <c r="ID60" s="193"/>
      <c r="IE60" s="193"/>
      <c r="IF60" s="193"/>
      <c r="IG60" s="193"/>
      <c r="IH60" s="193"/>
      <c r="II60" s="193"/>
      <c r="IJ60" s="193"/>
      <c r="IK60" s="193"/>
      <c r="IL60" s="193"/>
      <c r="IM60" s="575">
        <v>-40226</v>
      </c>
      <c r="IN60" s="193"/>
      <c r="IO60" s="193"/>
      <c r="IP60" s="193"/>
      <c r="IQ60" s="193"/>
      <c r="IR60" s="193"/>
      <c r="IS60" s="193"/>
      <c r="IT60" s="193"/>
      <c r="IU60" s="193"/>
      <c r="IV60" s="193"/>
      <c r="IW60" s="193"/>
      <c r="IX60" s="149">
        <f t="shared" si="570"/>
        <v>4914840</v>
      </c>
      <c r="IY60" s="316">
        <f t="shared" ref="IY60" si="605">JJ60-JU60</f>
        <v>387102</v>
      </c>
      <c r="IZ60" s="316">
        <f t="shared" ref="IZ60" si="606">JK60-JV60</f>
        <v>175330</v>
      </c>
      <c r="JA60" s="316">
        <f t="shared" ref="JA60" si="607">JL60-JW60</f>
        <v>239574</v>
      </c>
      <c r="JB60" s="316">
        <f t="shared" ref="JB60" si="608">JM60-JX60</f>
        <v>271041</v>
      </c>
      <c r="JC60" s="316">
        <f t="shared" ref="JC60" si="609">JN60-JY60</f>
        <v>643136</v>
      </c>
      <c r="JD60" s="316">
        <f t="shared" ref="JD60" si="610">JO60-JZ60</f>
        <v>184565</v>
      </c>
      <c r="JE60" s="316">
        <f t="shared" ref="JE60" si="611">JP60-KA60</f>
        <v>1900748</v>
      </c>
      <c r="JF60" s="316">
        <f t="shared" ref="JF60" si="612">JQ60-KB60</f>
        <v>3014092</v>
      </c>
      <c r="JG60" s="316" t="e">
        <f>JF60-JH60</f>
        <v>#VALUE!</v>
      </c>
      <c r="JH60" s="316" t="e">
        <f t="shared" si="603"/>
        <v>#VALUE!</v>
      </c>
      <c r="JI60" s="5">
        <v>12695732</v>
      </c>
      <c r="JJ60" s="552">
        <v>753118</v>
      </c>
      <c r="JK60" s="552">
        <v>1502555</v>
      </c>
      <c r="JL60" s="552">
        <v>1860961</v>
      </c>
      <c r="JM60" s="552">
        <v>606870</v>
      </c>
      <c r="JN60" s="552">
        <v>1841898</v>
      </c>
      <c r="JO60" s="552">
        <v>415334</v>
      </c>
      <c r="JP60" s="552">
        <f>JJ60+JK60+JL60+JM60+JN60+JO60</f>
        <v>6980736</v>
      </c>
      <c r="JQ60" s="552">
        <f>JI60-JP60</f>
        <v>5714996</v>
      </c>
      <c r="JR60" s="552">
        <f>JQ60-JS60</f>
        <v>5226909</v>
      </c>
      <c r="JS60" s="552">
        <v>488087</v>
      </c>
      <c r="JT60" s="149">
        <v>7780892</v>
      </c>
      <c r="JU60" s="552">
        <v>366016</v>
      </c>
      <c r="JV60" s="552">
        <v>1327225</v>
      </c>
      <c r="JW60" s="552">
        <v>1621387</v>
      </c>
      <c r="JX60" s="552">
        <v>335829</v>
      </c>
      <c r="JY60" s="552">
        <v>1198762</v>
      </c>
      <c r="JZ60" s="552">
        <v>230769</v>
      </c>
      <c r="KA60" s="552">
        <f>JU60+JV60+JW60+JX60+JY60+JZ60</f>
        <v>5079988</v>
      </c>
      <c r="KB60" s="552">
        <f>JT60-KA60</f>
        <v>2700904</v>
      </c>
      <c r="KC60" s="552" t="e">
        <f>KB60-KD60</f>
        <v>#VALUE!</v>
      </c>
      <c r="KD60" s="552" t="e">
        <v>#VALUE!</v>
      </c>
      <c r="KE60" s="5">
        <v>1384982</v>
      </c>
      <c r="KF60" s="552">
        <v>72696</v>
      </c>
      <c r="KG60" s="552">
        <v>11672</v>
      </c>
      <c r="KH60" s="552">
        <v>25736</v>
      </c>
      <c r="KI60" s="552">
        <v>11438</v>
      </c>
      <c r="KJ60" s="552">
        <v>37702</v>
      </c>
      <c r="KK60" s="552">
        <v>31115</v>
      </c>
      <c r="KL60" s="552">
        <f>KF60+KG60+KH60+KI60+KJ60+KK60</f>
        <v>190359</v>
      </c>
      <c r="KM60" s="552">
        <f>KE60-KL60</f>
        <v>1194623</v>
      </c>
      <c r="KN60" s="552">
        <f>KM60-KO60</f>
        <v>818645</v>
      </c>
      <c r="KO60" s="552">
        <v>375978</v>
      </c>
      <c r="KP60" s="5">
        <v>418441</v>
      </c>
      <c r="KQ60" s="552">
        <v>21992</v>
      </c>
      <c r="KR60" s="552">
        <v>2538</v>
      </c>
      <c r="KS60" s="552">
        <v>24049</v>
      </c>
      <c r="KT60" s="552">
        <v>28705</v>
      </c>
      <c r="KU60" s="552">
        <v>4536</v>
      </c>
      <c r="KV60" s="552">
        <v>21030</v>
      </c>
      <c r="KW60" s="552">
        <f>KQ60+KR60+KS60+KT60+KU60+KV60</f>
        <v>102850</v>
      </c>
      <c r="KX60" s="552">
        <f>KP60-KW60</f>
        <v>315591</v>
      </c>
      <c r="KY60" s="552">
        <f>KX60-KZ60</f>
        <v>293909</v>
      </c>
      <c r="KZ60" s="552">
        <v>21682</v>
      </c>
      <c r="LA60" s="149">
        <f>'Assets(MOFA)'!IX60-'Assets(MOFA)'!KE60-'Assets(MOFA)'!KP60</f>
        <v>3111417</v>
      </c>
      <c r="LB60" s="552">
        <f>'Assets(MOFA)'!IY60-'Assets(MOFA)'!KF60-'Assets(MOFA)'!KQ60</f>
        <v>292414</v>
      </c>
      <c r="LC60" s="552">
        <f>'Assets(MOFA)'!IZ60-'Assets(MOFA)'!KG60-'Assets(MOFA)'!KR60</f>
        <v>161120</v>
      </c>
      <c r="LD60" s="552">
        <f>'Assets(MOFA)'!JA60-'Assets(MOFA)'!KH60-'Assets(MOFA)'!KS60</f>
        <v>189789</v>
      </c>
      <c r="LE60" s="552">
        <f>'Assets(MOFA)'!JB60-'Assets(MOFA)'!KI60-'Assets(MOFA)'!KT60</f>
        <v>230898</v>
      </c>
      <c r="LF60" s="552">
        <f>'Assets(MOFA)'!JC60-'Assets(MOFA)'!KJ60-'Assets(MOFA)'!KU60</f>
        <v>600898</v>
      </c>
      <c r="LG60" s="552">
        <f>'Assets(MOFA)'!JD60-'Assets(MOFA)'!KK60-'Assets(MOFA)'!KV60</f>
        <v>132420</v>
      </c>
      <c r="LH60" s="552">
        <f>'Assets(MOFA)'!JE60-'Assets(MOFA)'!KL60-'Assets(MOFA)'!KW60</f>
        <v>1607539</v>
      </c>
      <c r="LI60" s="552">
        <f>'Assets(MOFA)'!JF60-'Assets(MOFA)'!KM60-'Assets(MOFA)'!KX60</f>
        <v>1503878</v>
      </c>
      <c r="LJ60" s="552" t="e">
        <f>LI60-LK60</f>
        <v>#VALUE!</v>
      </c>
      <c r="LK60" s="552" t="e">
        <f>'Assets(MOFA)'!JH60-'Assets(MOFA)'!KO60-'Assets(MOFA)'!KZ60</f>
        <v>#VALUE!</v>
      </c>
      <c r="LL60" s="576">
        <f>W60/IX60</f>
        <v>9.7294723734648536E-2</v>
      </c>
      <c r="LM60" s="6">
        <f>X60/IY60</f>
        <v>0.19013593316490227</v>
      </c>
      <c r="LN60" s="6">
        <f>AA60/IZ60</f>
        <v>5.4565676153539043E-2</v>
      </c>
      <c r="LO60" s="6">
        <f>AD60/JA60</f>
        <v>9.7084825565378549E-2</v>
      </c>
      <c r="LP60" s="6">
        <f>AG60/JB60</f>
        <v>0.14633948369434882</v>
      </c>
      <c r="LQ60" s="6">
        <f>AJ60/JC60</f>
        <v>4.8224636779779083E-2</v>
      </c>
      <c r="LR60" s="6">
        <f>AM60/JD60</f>
        <v>0.15438463413973397</v>
      </c>
      <c r="LS60" s="902">
        <f>AP60/JE60</f>
        <v>0.10816846841348775</v>
      </c>
      <c r="LT60" s="143">
        <f>(X60+AG60+AM60)/(IY60+JB60+JD60)</f>
        <v>0.16821959682357351</v>
      </c>
      <c r="LU60" s="62">
        <f>(AA60+AD60+AJ60)/(JA60+IZ60+JC60)</f>
        <v>6.0338928584930625E-2</v>
      </c>
      <c r="LV60" s="902">
        <f>AS60/JF60</f>
        <v>9.0437518164674463E-2</v>
      </c>
      <c r="LW60" s="902" t="e">
        <f>AT60/(JF60-JH60)</f>
        <v>#VALUE!</v>
      </c>
      <c r="LX60" s="143" t="e">
        <f>AU60/JH60</f>
        <v>#VALUE!</v>
      </c>
      <c r="LY60" s="576">
        <f>(W60+IC60+IM60)/IX60</f>
        <v>8.9110123625591064E-2</v>
      </c>
      <c r="LZ60" s="906">
        <f>(X60+ID60+IN60)/IY60</f>
        <v>0.19013593316490227</v>
      </c>
      <c r="MA60" s="906">
        <f>(AA60+IE60+IO60)/IZ60</f>
        <v>5.4565676153539043E-2</v>
      </c>
      <c r="MB60" s="906">
        <f>(AD60+IF60+IP60)/JA60</f>
        <v>9.7084825565378549E-2</v>
      </c>
      <c r="MC60" s="906">
        <f>(AG60+IG60+IQ60)/JB60</f>
        <v>0.14633948369434882</v>
      </c>
      <c r="MD60" s="906">
        <f>(AJ60+IH60+IR60)/JC60</f>
        <v>4.8224636779779083E-2</v>
      </c>
      <c r="ME60" s="906">
        <v>6.1610529375296846E-2</v>
      </c>
      <c r="MF60" s="906">
        <f>(AM60+II60+IS60)/JD60</f>
        <v>0.15438463413973397</v>
      </c>
      <c r="MG60" s="30">
        <f>(AP60+IJ60+IT60)/JE60</f>
        <v>0.10816846841348775</v>
      </c>
      <c r="MH60" s="140">
        <f>(X60+AG60+AM60+ID60+IG60+II60+IN60+IQ60+IS60)/(IY60+JB60+JD60)</f>
        <v>0.16821959682357351</v>
      </c>
      <c r="MI60" s="30">
        <f>(AA60+AD60+AJ60+IF60+IE60+IH60+IO60+IP60+IR60)/(JA60+IZ60+JC60)</f>
        <v>6.0338928584930625E-2</v>
      </c>
      <c r="MJ60" s="30">
        <f>(AS60+IK60+IU60)/JF60</f>
        <v>9.0437518164674463E-2</v>
      </c>
      <c r="MK60" s="617" t="e">
        <f>LW60</f>
        <v>#VALUE!</v>
      </c>
      <c r="ML60" s="615" t="e">
        <f>LX60</f>
        <v>#VALUE!</v>
      </c>
      <c r="MM60" s="574"/>
      <c r="MX60" s="613"/>
      <c r="MY60" s="552"/>
      <c r="MZ60" s="552"/>
      <c r="NA60" s="552"/>
      <c r="NB60" s="552"/>
      <c r="NC60" s="552"/>
      <c r="ND60" s="552"/>
      <c r="NE60" s="552"/>
      <c r="NF60" s="552"/>
      <c r="NG60" s="552"/>
      <c r="NH60" s="661"/>
      <c r="NI60" s="613">
        <f>B60</f>
        <v>611564</v>
      </c>
      <c r="NJ60" s="552">
        <v>44845</v>
      </c>
      <c r="NK60" s="552">
        <v>32948</v>
      </c>
      <c r="NL60" s="552">
        <v>59925</v>
      </c>
      <c r="NM60" s="552">
        <v>36607</v>
      </c>
      <c r="NN60" s="552">
        <v>66833</v>
      </c>
      <c r="NO60" s="552">
        <v>79508</v>
      </c>
      <c r="NP60" s="552">
        <f>NI60-NJ60-NK60-NL60-NM60-NN60-NO60-NQ60</f>
        <v>278861</v>
      </c>
      <c r="NQ60" s="552">
        <f>L60</f>
        <v>12037</v>
      </c>
      <c r="NR60" s="552">
        <v>8949</v>
      </c>
      <c r="NS60" s="552">
        <v>1043</v>
      </c>
      <c r="NT60" s="552">
        <v>1111</v>
      </c>
      <c r="NU60" s="552">
        <v>376</v>
      </c>
      <c r="NV60" s="552">
        <v>1364</v>
      </c>
      <c r="NW60" s="552">
        <v>1338</v>
      </c>
      <c r="NX60" s="552">
        <v>1053</v>
      </c>
      <c r="NY60" s="552">
        <f>NR60-NS60-NT60-NU60-NV60-NW60-NX60</f>
        <v>2664</v>
      </c>
      <c r="NZ60" s="552">
        <v>1600</v>
      </c>
      <c r="OA60" s="620">
        <v>0</v>
      </c>
      <c r="OB60" s="552">
        <v>2</v>
      </c>
      <c r="OC60" s="552">
        <v>3</v>
      </c>
      <c r="OD60" s="552">
        <v>67</v>
      </c>
      <c r="OE60" s="552">
        <v>451</v>
      </c>
      <c r="OF60" s="552">
        <v>49</v>
      </c>
      <c r="OG60" s="552">
        <f>NZ60-OA60-OB60-OC60-OD60-OE60-OF60</f>
        <v>1028</v>
      </c>
      <c r="OH60" s="552">
        <v>18047</v>
      </c>
      <c r="OI60" s="552">
        <v>2591</v>
      </c>
      <c r="OJ60" s="552">
        <v>749</v>
      </c>
      <c r="OK60" s="552">
        <v>2134</v>
      </c>
      <c r="OL60" s="552">
        <v>1704</v>
      </c>
      <c r="OM60" s="552">
        <v>653</v>
      </c>
      <c r="ON60" s="552">
        <v>1955</v>
      </c>
      <c r="OO60" s="552">
        <f>OH60-OI60-OJ60-OK60-OL60-OM60-ON60</f>
        <v>8261</v>
      </c>
      <c r="OP60" s="552">
        <v>13307</v>
      </c>
      <c r="OQ60" s="552">
        <v>1366</v>
      </c>
      <c r="OR60" s="552">
        <v>406</v>
      </c>
      <c r="OS60" s="552">
        <v>3957</v>
      </c>
      <c r="OT60" s="552">
        <v>975</v>
      </c>
      <c r="OU60" s="552">
        <v>791</v>
      </c>
      <c r="OV60" s="552">
        <v>1787</v>
      </c>
      <c r="OW60" s="552">
        <f>OP60-OQ60-OR60-OS60-OT60-OU60-OV60</f>
        <v>4025</v>
      </c>
      <c r="OX60" s="552">
        <v>3861</v>
      </c>
      <c r="OY60" s="552">
        <v>183</v>
      </c>
      <c r="OZ60" s="552">
        <v>109</v>
      </c>
      <c r="PA60" s="552">
        <v>240</v>
      </c>
      <c r="PB60" s="552">
        <v>195</v>
      </c>
      <c r="PC60" s="552">
        <v>747</v>
      </c>
      <c r="PD60" s="552">
        <v>374</v>
      </c>
      <c r="PE60" s="552">
        <f>OX60-OY60-OZ60-PA60-PB60-PC60-PD60</f>
        <v>2013</v>
      </c>
      <c r="PF60" s="552">
        <v>13700</v>
      </c>
      <c r="PG60" s="552">
        <v>703</v>
      </c>
      <c r="PH60" s="552">
        <v>2043</v>
      </c>
      <c r="PI60" s="552">
        <v>1463</v>
      </c>
      <c r="PJ60" s="552">
        <v>1177</v>
      </c>
      <c r="PK60" s="552">
        <v>2919</v>
      </c>
      <c r="PL60" s="552">
        <v>1355</v>
      </c>
      <c r="PM60" s="552">
        <f>PF60-PG60-PH60-PI60-PJ60-PK60-PL60</f>
        <v>4040</v>
      </c>
      <c r="PN60" s="613">
        <f>W60</f>
        <v>478188</v>
      </c>
      <c r="PO60" s="552">
        <v>60568</v>
      </c>
      <c r="PP60" s="552">
        <v>42199</v>
      </c>
      <c r="PQ60" s="552">
        <v>59796</v>
      </c>
      <c r="PR60" s="552">
        <v>22448</v>
      </c>
      <c r="PS60" s="552">
        <v>91791</v>
      </c>
      <c r="PT60" s="552">
        <v>36454</v>
      </c>
      <c r="PU60" s="552">
        <f>PN60-PO60-PP60-PQ60-PR60-PS60-PT60-PV60</f>
        <v>134394</v>
      </c>
      <c r="PV60" s="552">
        <f>AU60</f>
        <v>30538</v>
      </c>
      <c r="PW60" s="552">
        <v>73602</v>
      </c>
      <c r="PX60" s="552">
        <v>12637</v>
      </c>
      <c r="PY60" s="552">
        <v>15960</v>
      </c>
      <c r="PZ60" s="552">
        <v>1920</v>
      </c>
      <c r="QA60" s="552">
        <v>12852</v>
      </c>
      <c r="QB60" s="552">
        <v>5256</v>
      </c>
      <c r="QC60" s="552">
        <v>4752</v>
      </c>
      <c r="QD60" s="552">
        <f>PW60-PX60-PY60-PZ60-QA60-QB60-QC60</f>
        <v>20225</v>
      </c>
      <c r="QE60" s="552">
        <v>9567</v>
      </c>
      <c r="QF60" s="620">
        <v>0</v>
      </c>
      <c r="QG60" s="620">
        <v>0</v>
      </c>
      <c r="QH60" s="552">
        <v>495</v>
      </c>
      <c r="QI60" s="552">
        <v>680</v>
      </c>
      <c r="QJ60" s="552">
        <v>5847</v>
      </c>
      <c r="QK60" s="552">
        <v>148</v>
      </c>
      <c r="QL60" s="552">
        <f>QE60-QF60-QG60-QH60-QI60-QJ60-QK60</f>
        <v>2397</v>
      </c>
      <c r="QM60" s="552">
        <v>23259</v>
      </c>
      <c r="QN60" s="552">
        <v>2743</v>
      </c>
      <c r="QO60" s="552">
        <v>1225</v>
      </c>
      <c r="QP60" s="552">
        <v>1208</v>
      </c>
      <c r="QQ60" s="552">
        <v>-1095</v>
      </c>
      <c r="QR60" s="552">
        <v>6951</v>
      </c>
      <c r="QS60" s="552">
        <v>646</v>
      </c>
      <c r="QT60" s="552">
        <f>QM60-QN60-QO60-QP60-QQ60-QR60-QS60</f>
        <v>11581</v>
      </c>
      <c r="QU60" s="552">
        <v>39664</v>
      </c>
      <c r="QV60" s="552">
        <v>7148</v>
      </c>
      <c r="QW60" s="552">
        <v>363</v>
      </c>
      <c r="QX60" s="552">
        <v>17293</v>
      </c>
      <c r="QY60" s="552">
        <v>927</v>
      </c>
      <c r="QZ60" s="552">
        <v>2093</v>
      </c>
      <c r="RA60" s="552">
        <v>151</v>
      </c>
      <c r="RB60" s="552">
        <f>QU60-QV60-QW60-QX60-QY60-QZ60-RA60</f>
        <v>11689</v>
      </c>
      <c r="RC60" s="552">
        <v>31015</v>
      </c>
      <c r="RD60" s="552">
        <v>1564</v>
      </c>
      <c r="RE60" s="552">
        <v>150</v>
      </c>
      <c r="RF60" s="552">
        <v>664</v>
      </c>
      <c r="RG60" s="552">
        <v>452</v>
      </c>
      <c r="RH60" s="552">
        <v>21268</v>
      </c>
      <c r="RI60" s="620">
        <v>0</v>
      </c>
      <c r="RJ60" s="552">
        <f>RC60-RD60-RE60-RF60-RG60-RH60-RI60</f>
        <v>6917</v>
      </c>
      <c r="RK60" s="552">
        <v>28494</v>
      </c>
      <c r="RL60" s="552">
        <v>5287</v>
      </c>
      <c r="RM60" s="552">
        <v>5716</v>
      </c>
      <c r="RN60" s="552">
        <v>6840</v>
      </c>
      <c r="RO60" s="552">
        <v>1594</v>
      </c>
      <c r="RP60" s="552">
        <v>3636</v>
      </c>
      <c r="RQ60" s="552">
        <v>858</v>
      </c>
      <c r="RR60" s="552">
        <f>RK60-RL60-RM60-RN60-RO60-RP60-RQ60</f>
        <v>4563</v>
      </c>
    </row>
    <row r="61" spans="1:486" s="567" customFormat="1">
      <c r="A61" s="568">
        <v>2016</v>
      </c>
      <c r="B61" s="33">
        <v>599410</v>
      </c>
      <c r="C61" s="193">
        <v>9124</v>
      </c>
      <c r="D61" s="193">
        <v>1577</v>
      </c>
      <c r="E61" s="193">
        <v>17808</v>
      </c>
      <c r="F61" s="193">
        <v>13325</v>
      </c>
      <c r="G61" s="193">
        <v>3859</v>
      </c>
      <c r="H61" s="193">
        <v>14052</v>
      </c>
      <c r="I61" s="193">
        <f t="shared" si="550"/>
        <v>59745</v>
      </c>
      <c r="J61" s="193">
        <f t="shared" si="551"/>
        <v>539665</v>
      </c>
      <c r="K61" s="193">
        <f t="shared" si="249"/>
        <v>529329</v>
      </c>
      <c r="L61" s="193">
        <v>10336</v>
      </c>
      <c r="M61" s="140">
        <f t="shared" ref="M61" si="613">I61/B61</f>
        <v>9.9673011794931682E-2</v>
      </c>
      <c r="N61" s="140">
        <f t="shared" ref="N61" si="614">L61/B61</f>
        <v>1.7243622895847584E-2</v>
      </c>
      <c r="O61" s="568"/>
      <c r="P61" s="23"/>
      <c r="Q61" s="629">
        <f t="shared" ref="Q61" si="615">C61/$B61</f>
        <v>1.5221634607363909E-2</v>
      </c>
      <c r="R61" s="308">
        <f t="shared" ref="R61" si="616">D61/$B61</f>
        <v>2.6309204050649804E-3</v>
      </c>
      <c r="S61" s="308">
        <f t="shared" ref="S61" si="617">E61/$B61</f>
        <v>2.9709214060492817E-2</v>
      </c>
      <c r="T61" s="308">
        <f t="shared" ref="T61" si="618">F61/$B61</f>
        <v>2.223019302313942E-2</v>
      </c>
      <c r="U61" s="308">
        <f t="shared" ref="U61" si="619">G61/$B61</f>
        <v>6.4379973640746732E-3</v>
      </c>
      <c r="V61" s="308">
        <f t="shared" ref="V61" si="620">H61/$B61</f>
        <v>2.3443052334795881E-2</v>
      </c>
      <c r="W61" s="5">
        <v>434707</v>
      </c>
      <c r="X61" s="193">
        <v>76543</v>
      </c>
      <c r="Y61" s="193">
        <v>0</v>
      </c>
      <c r="Z61" s="193">
        <f t="shared" si="114"/>
        <v>76543</v>
      </c>
      <c r="AA61" s="193">
        <v>305</v>
      </c>
      <c r="AB61" s="66">
        <v>0</v>
      </c>
      <c r="AC61" s="274">
        <f t="shared" si="117"/>
        <v>305</v>
      </c>
      <c r="AD61" s="193">
        <v>43310</v>
      </c>
      <c r="AE61" s="357">
        <f t="shared" si="477"/>
        <v>533.37747639017039</v>
      </c>
      <c r="AF61" s="274">
        <f t="shared" si="119"/>
        <v>42776.622523609833</v>
      </c>
      <c r="AG61" s="193">
        <v>40927</v>
      </c>
      <c r="AH61" s="357">
        <f t="shared" ref="AH61" si="621">FX61/HC61</f>
        <v>35.902210986003617</v>
      </c>
      <c r="AI61" s="76">
        <f t="shared" ref="AI61" si="622">AG61-AH61</f>
        <v>40891.097789013998</v>
      </c>
      <c r="AJ61" s="193">
        <v>21187</v>
      </c>
      <c r="AK61" s="357">
        <f t="shared" ref="AK61" si="623">GA61/HE61</f>
        <v>482.47444189442928</v>
      </c>
      <c r="AL61" s="274">
        <f t="shared" ref="AL61" si="624">AJ61-AK61</f>
        <v>20704.525558105572</v>
      </c>
      <c r="AM61" s="193">
        <v>26392</v>
      </c>
      <c r="AN61" s="357">
        <f t="shared" si="478"/>
        <v>10.348024068954302</v>
      </c>
      <c r="AO61" s="274">
        <f t="shared" si="125"/>
        <v>26381.651975931047</v>
      </c>
      <c r="AP61" s="193">
        <f t="shared" si="397"/>
        <v>208664</v>
      </c>
      <c r="AQ61" s="271">
        <f t="shared" si="398"/>
        <v>1062.1021533395576</v>
      </c>
      <c r="AR61" s="271">
        <f t="shared" si="126"/>
        <v>207601.89784666046</v>
      </c>
      <c r="AS61" s="193">
        <f t="shared" ref="AS61" si="625">W61-AP61</f>
        <v>226043</v>
      </c>
      <c r="AT61" s="193">
        <f t="shared" ref="AT61" si="626">AS61-AU61</f>
        <v>210418</v>
      </c>
      <c r="AU61" s="193">
        <v>15625</v>
      </c>
      <c r="AV61" s="193">
        <v>11021</v>
      </c>
      <c r="AW61" s="23">
        <f t="shared" si="289"/>
        <v>0.70534399999999997</v>
      </c>
      <c r="AX61" s="271">
        <f t="shared" si="227"/>
        <v>419082</v>
      </c>
      <c r="AY61" s="140">
        <f t="shared" ref="AY61" si="627">AP61/W61</f>
        <v>0.48001067385618357</v>
      </c>
      <c r="AZ61" s="623">
        <f t="shared" ref="AZ61" si="628">(Z61+AC61+AF61+AI61+AL61+AO61)/W61</f>
        <v>0.47756741402061725</v>
      </c>
      <c r="BA61" s="248">
        <f t="shared" ref="BA61" si="629">(AP61-AQ61)/(W61-AU61)</f>
        <v>0.4953729767603009</v>
      </c>
      <c r="BB61" s="248">
        <f t="shared" ref="BB61" si="630">Z61/$AX61</f>
        <v>0.18264444667153446</v>
      </c>
      <c r="BC61" s="248">
        <f t="shared" ref="BC61" si="631">AC61/$AX61</f>
        <v>7.2778119795171355E-4</v>
      </c>
      <c r="BD61" s="248">
        <f t="shared" ref="BD61" si="632">AF61/$AX61</f>
        <v>0.10207220191659348</v>
      </c>
      <c r="BE61" s="248">
        <f t="shared" ref="BE61" si="633">AI61/$AX61</f>
        <v>9.7573023391636954E-2</v>
      </c>
      <c r="BF61" s="248">
        <f t="shared" ref="BF61" si="634">AL61/$AX61</f>
        <v>4.9404473487540797E-2</v>
      </c>
      <c r="BG61" s="248">
        <f t="shared" ref="BG61" si="635">AO61/$AX61</f>
        <v>6.2951050095043565E-2</v>
      </c>
      <c r="BH61" s="248">
        <f t="shared" ref="BH61" si="636">BC61+BD61</f>
        <v>0.10279998311454519</v>
      </c>
      <c r="BI61" s="23">
        <f t="shared" ref="BI61" si="637">(AP61-AD61)/(W61-AU61)</f>
        <v>0.39456240067576276</v>
      </c>
      <c r="BJ61" s="140">
        <f t="shared" ref="BJ61" si="638">AU61/W61</f>
        <v>3.594375061823251E-2</v>
      </c>
      <c r="BK61" s="623">
        <f t="shared" ref="BK61" si="639">(AU61-AQ61)/W61</f>
        <v>3.350049078266612E-2</v>
      </c>
      <c r="BL61" s="5">
        <v>-46540</v>
      </c>
      <c r="BM61" s="193">
        <v>-1727</v>
      </c>
      <c r="BN61" s="193">
        <v>-643</v>
      </c>
      <c r="BO61" s="193">
        <v>-11272</v>
      </c>
      <c r="BP61" s="193">
        <v>-2049</v>
      </c>
      <c r="BQ61" s="193">
        <v>-12457</v>
      </c>
      <c r="BR61" s="193">
        <v>-1706</v>
      </c>
      <c r="BS61" s="193">
        <f t="shared" ref="BS61" si="640">BR61+BQ61+BP61+BO61+BN61+BM61</f>
        <v>-29854</v>
      </c>
      <c r="BT61" s="193">
        <f t="shared" ref="BT61" si="641">BL61-BS61</f>
        <v>-16686</v>
      </c>
      <c r="BU61" s="193">
        <f t="shared" si="373"/>
        <v>-19952</v>
      </c>
      <c r="BV61" s="193">
        <v>3266</v>
      </c>
      <c r="BW61" s="5">
        <f t="shared" ref="BW61" si="642">W61-FJ61</f>
        <v>347802</v>
      </c>
      <c r="BX61" s="193">
        <f t="shared" ref="BX61" si="643">X61-FM61</f>
        <v>72214</v>
      </c>
      <c r="BY61" s="193">
        <f t="shared" ref="BY61" si="644">Y61-FN61</f>
        <v>0</v>
      </c>
      <c r="BZ61" s="906">
        <f t="shared" ref="BZ61" si="645">(BX61-BY61)/BW61</f>
        <v>0.20762962835176335</v>
      </c>
      <c r="CA61" s="193">
        <f t="shared" ref="CA61" si="646">AA61-FP61</f>
        <v>-1129</v>
      </c>
      <c r="CB61" s="193">
        <f t="shared" ref="CB61" si="647">AB61-FQ61</f>
        <v>0</v>
      </c>
      <c r="CC61" s="906">
        <f t="shared" ref="CC61" si="648">(CA61-CB61)/BW61</f>
        <v>-3.2460997924106247E-3</v>
      </c>
      <c r="CD61" s="193">
        <f t="shared" ref="CD61" si="649">AD61-FS61</f>
        <v>38222</v>
      </c>
      <c r="CE61" s="193">
        <f t="shared" ref="CE61" si="650">AE61-FT61</f>
        <v>243.76630776974122</v>
      </c>
      <c r="CF61" s="655">
        <f t="shared" ref="CF61" si="651">(CD61-CE61)/BW61</f>
        <v>0.10919498361777752</v>
      </c>
      <c r="CG61" s="193">
        <f t="shared" ref="CG61" si="652">AG61-FW61</f>
        <v>37290</v>
      </c>
      <c r="CH61" s="193">
        <f t="shared" ref="CH61" si="653">AH61-FX61</f>
        <v>-3.5902210986003666</v>
      </c>
      <c r="CI61" s="23">
        <f t="shared" ref="CI61" si="654">(CG61-CH61)/BW61</f>
        <v>0.10722649732059793</v>
      </c>
      <c r="CJ61" s="193">
        <f t="shared" ref="CJ61" si="655">AJ61-FZ61</f>
        <v>19712</v>
      </c>
      <c r="CK61" s="641">
        <f t="shared" ref="CK61" si="656">AK61-GA61</f>
        <v>220.50239933235963</v>
      </c>
      <c r="CL61" s="34">
        <f t="shared" ref="CL61" si="657">(CJ61-CK61)/BW61</f>
        <v>5.6041936506022509E-2</v>
      </c>
      <c r="CM61" s="193">
        <f t="shared" ref="CM61" si="658">AM61-GD61</f>
        <v>24091</v>
      </c>
      <c r="CN61" s="193">
        <f t="shared" ref="CN61" si="659">AN61-GE61</f>
        <v>-1.0348024068954302</v>
      </c>
      <c r="CO61" s="23">
        <f t="shared" ref="CO61" si="660">(CM61-CN61)/BW61</f>
        <v>6.9269396962659491E-2</v>
      </c>
      <c r="CP61" s="193">
        <f t="shared" ref="CP61" si="661">CM61+CJ61+CG61+CD61+CA61+BX61</f>
        <v>190400</v>
      </c>
      <c r="CQ61" s="193">
        <f t="shared" ref="CQ61" si="662">BY61+CB61+CE61+CH61+CK61+CN61</f>
        <v>459.64368359660506</v>
      </c>
      <c r="CR61" s="193">
        <f t="shared" ref="CR61" si="663">BW61-CP61</f>
        <v>157402</v>
      </c>
      <c r="CS61" s="248">
        <f t="shared" ref="CS61" si="664">(CP61-CQ61)/BW61</f>
        <v>0.54611634296641021</v>
      </c>
      <c r="CT61" s="30">
        <f t="shared" ref="CT61" si="665">CP61/BW61</f>
        <v>0.54743791007527276</v>
      </c>
      <c r="CU61" s="308">
        <f t="shared" ref="CU61" si="666">CV61+CW61+CX61+CY61+CZ61+DB61-CT61</f>
        <v>0</v>
      </c>
      <c r="CV61" s="608">
        <f t="shared" ref="CV61" si="667">BX61/$BW61</f>
        <v>0.20762962835176335</v>
      </c>
      <c r="CW61" s="608">
        <f t="shared" ref="CW61" si="668">CA61/$BW61</f>
        <v>-3.2460997924106247E-3</v>
      </c>
      <c r="CX61" s="608">
        <f t="shared" ref="CX61" si="669">CD61/$BW61</f>
        <v>0.10989586028832497</v>
      </c>
      <c r="CY61" s="608">
        <f t="shared" ref="CY61" si="670">CG61/$BW61</f>
        <v>0.10721617472009937</v>
      </c>
      <c r="CZ61" s="608">
        <f t="shared" ref="CZ61" si="671">CJ61/$BW61</f>
        <v>5.6675924807792939E-2</v>
      </c>
      <c r="DA61" s="608">
        <f>'Assets(BoP)'!FK108</f>
        <v>0.14916135954300089</v>
      </c>
      <c r="DB61" s="608">
        <f t="shared" ref="DB61" si="672">CM61/$BW61</f>
        <v>6.9266421699702707E-2</v>
      </c>
      <c r="DC61" s="23">
        <f t="shared" ref="DC61" si="673">(CP61-CQ61)/(BW61-DE61)</f>
        <v>0.55756413653574488</v>
      </c>
      <c r="DD61" s="193">
        <f t="shared" si="412"/>
        <v>340661</v>
      </c>
      <c r="DE61" s="193">
        <f t="shared" si="274"/>
        <v>7141</v>
      </c>
      <c r="DF61" s="193"/>
      <c r="DG61" s="193">
        <f>'Assets(BoP)'!DA108*1000</f>
        <v>-641</v>
      </c>
      <c r="DH61" s="23">
        <f t="shared" si="413"/>
        <v>2.0531796826930265E-2</v>
      </c>
      <c r="DI61" s="193"/>
      <c r="DJ61" s="23">
        <f t="shared" si="414"/>
        <v>0.43754204978694772</v>
      </c>
      <c r="DK61" s="600">
        <f>'Assets(BoP)'!FO108-'Assets(BoP)'!FH108</f>
        <v>0.48051092944296891</v>
      </c>
      <c r="DL61" s="576">
        <f t="shared" si="415"/>
        <v>0.72522480439098447</v>
      </c>
      <c r="DM61" s="251">
        <f t="shared" ref="DM61" si="674">X61/C61</f>
        <v>8.389193336256028</v>
      </c>
      <c r="DN61" s="251">
        <f t="shared" ref="DN61" si="675">Z61/(C61-Y61/$EG61)</f>
        <v>8.389193336256028</v>
      </c>
      <c r="DO61" s="251">
        <f t="shared" ref="DO61" si="676">AA61/D61</f>
        <v>0.19340519974635384</v>
      </c>
      <c r="DP61" s="251">
        <f t="shared" ref="DP61" si="677">AC61/(D61-AB61/$EG61)</f>
        <v>0.19340519974635384</v>
      </c>
      <c r="DQ61" s="251">
        <f t="shared" ref="DQ61" si="678">AD61/E61</f>
        <v>2.4320530098831985</v>
      </c>
      <c r="DR61" s="251">
        <f t="shared" ref="DR61" si="679">AF61/(E61-AE61/EG61)</f>
        <v>2.4506564985121084</v>
      </c>
      <c r="DS61" s="251">
        <f t="shared" ref="DS61" si="680">AG61/F61</f>
        <v>3.0714446529080677</v>
      </c>
      <c r="DT61" s="251">
        <f t="shared" ref="DT61" si="681">AI61/(F61-AH61/$EG61)</f>
        <v>3.0742295736997978</v>
      </c>
      <c r="DU61" s="251">
        <f t="shared" ref="DU61" si="682">AJ61/G61</f>
        <v>5.490282456594973</v>
      </c>
      <c r="DV61" s="251">
        <f t="shared" ref="DV61" si="683">AL61/(G61-AK61/$EG61)</f>
        <v>5.8489983678975088</v>
      </c>
      <c r="DW61" s="251">
        <f t="shared" ref="DW61" si="684">AM61/H61</f>
        <v>1.8781668089951609</v>
      </c>
      <c r="DX61" s="251">
        <f t="shared" ref="DX61" si="685">AO61/(H61-AN61/EG61)</f>
        <v>1.8783454125648142</v>
      </c>
      <c r="DY61" s="251">
        <f t="shared" ref="DY61" si="686">(AD61+AA61)/(E61+D61)</f>
        <v>2.2499355171524376</v>
      </c>
      <c r="DZ61" s="251">
        <f t="shared" ref="DZ61" si="687">(AF61+AC61)/(E61-AB61/EG61+D61-AE61/EG61)</f>
        <v>2.2636213076912459</v>
      </c>
      <c r="EA61" s="643">
        <f t="shared" ref="EA61" si="688">AP61/I61</f>
        <v>3.4925767846681732</v>
      </c>
      <c r="EB61" s="643">
        <f t="shared" ref="EB61" si="689">AR61/(I61-AQ61/EG61)</f>
        <v>3.5161484709551463</v>
      </c>
      <c r="EC61" s="251">
        <f t="shared" ref="EC61" si="690">AS61/J61</f>
        <v>0.41885799523778638</v>
      </c>
      <c r="ED61" s="251">
        <f t="shared" ref="ED61" si="691">AX61/(B61-L61)</f>
        <v>0.7114250501634769</v>
      </c>
      <c r="EE61" s="140">
        <f t="shared" ref="EE61" si="692">(AS61-AU61)/(J61-L61)</f>
        <v>0.39751836759368936</v>
      </c>
      <c r="EF61" s="1342">
        <v>0.29748898267567031</v>
      </c>
      <c r="EG61" s="140">
        <f t="shared" ref="EG61" si="693">AU61/L61</f>
        <v>1.5117066563467492</v>
      </c>
      <c r="EH61" s="583">
        <v>43.734169960474297</v>
      </c>
      <c r="EI61" s="1344">
        <v>0.9852692956882001</v>
      </c>
      <c r="EJ61" s="576">
        <f t="shared" ref="EJ61" si="694">BW61/B61</f>
        <v>0.58024056989372885</v>
      </c>
      <c r="EK61" s="753">
        <f t="shared" ref="EK61" si="695">(CP61-CQ61)/(I61-CQ61/EL61)</f>
        <v>3.2149848886514261</v>
      </c>
      <c r="EL61" s="753">
        <f t="shared" ref="EL61" si="696">DE61/L61</f>
        <v>0.69088622291021673</v>
      </c>
      <c r="EM61" s="753">
        <f t="shared" ref="EM61" si="697">(CR61-DE61)/(J61-L61)</f>
        <v>0.28387071178794288</v>
      </c>
      <c r="EN61" s="583"/>
      <c r="EO61" s="5">
        <v>1015559</v>
      </c>
      <c r="EP61" s="193">
        <v>146359</v>
      </c>
      <c r="EQ61" s="193"/>
      <c r="ER61" s="193">
        <v>98378</v>
      </c>
      <c r="ES61" s="193"/>
      <c r="ET61" s="193">
        <v>185609</v>
      </c>
      <c r="EU61" s="193"/>
      <c r="EV61" s="193">
        <v>65013</v>
      </c>
      <c r="EW61" s="193"/>
      <c r="EX61" s="193">
        <v>147821</v>
      </c>
      <c r="EY61" s="193"/>
      <c r="EZ61" s="193">
        <v>40172</v>
      </c>
      <c r="FA61" s="193"/>
      <c r="FB61" s="193">
        <f t="shared" ref="FB61" si="698">EZ61+EX61+EV61+ET61+ER61+EP61</f>
        <v>683352</v>
      </c>
      <c r="FC61" s="193">
        <f t="shared" ref="FC61" si="699">EO61-FB61</f>
        <v>332207</v>
      </c>
      <c r="FD61" s="23">
        <f t="shared" ref="FD61" si="700">FB61/EO61</f>
        <v>0.6728826193259082</v>
      </c>
      <c r="FE61" s="193">
        <v>9093</v>
      </c>
      <c r="FF61" s="193"/>
      <c r="FG61" s="193"/>
      <c r="FH61" s="193"/>
      <c r="FI61" s="193"/>
      <c r="FJ61" s="5">
        <v>86905</v>
      </c>
      <c r="FK61" s="192"/>
      <c r="FL61" s="193"/>
      <c r="FM61" s="193">
        <v>4329</v>
      </c>
      <c r="FN61" s="66">
        <f t="shared" ref="FN61" si="701">FM61*FO61</f>
        <v>0</v>
      </c>
      <c r="FO61" s="184">
        <f t="shared" si="383"/>
        <v>0</v>
      </c>
      <c r="FP61" s="193">
        <v>1434</v>
      </c>
      <c r="FQ61" s="66">
        <f t="shared" ref="FQ61" si="702">FP61*FR61</f>
        <v>0</v>
      </c>
      <c r="FR61" s="184">
        <v>0</v>
      </c>
      <c r="FS61" s="193">
        <v>5088</v>
      </c>
      <c r="FT61" s="66">
        <f t="shared" si="465"/>
        <v>289.61116862042917</v>
      </c>
      <c r="FU61" s="193">
        <f t="shared" si="175"/>
        <v>4798.3888313795705</v>
      </c>
      <c r="FV61" s="23">
        <f t="shared" si="376"/>
        <v>5.6920434084203844E-2</v>
      </c>
      <c r="FW61" s="193">
        <v>3637</v>
      </c>
      <c r="FX61" s="66">
        <f t="shared" si="466"/>
        <v>39.492432084603983</v>
      </c>
      <c r="FY61" s="23">
        <f t="shared" si="438"/>
        <v>1.0858518582514156E-2</v>
      </c>
      <c r="FZ61" s="193">
        <v>1475</v>
      </c>
      <c r="GA61" s="66">
        <f t="shared" si="467"/>
        <v>261.97204256206965</v>
      </c>
      <c r="GB61" s="193">
        <f t="shared" si="180"/>
        <v>1213.0279574379304</v>
      </c>
      <c r="GC61" s="23">
        <f t="shared" si="366"/>
        <v>0.17760816444886077</v>
      </c>
      <c r="GD61" s="193">
        <v>2301</v>
      </c>
      <c r="GE61" s="66">
        <f t="shared" si="384"/>
        <v>11.382826475849733</v>
      </c>
      <c r="GF61" s="23">
        <f t="shared" si="377"/>
        <v>4.9469041616035346E-3</v>
      </c>
      <c r="GG61" s="193">
        <f t="shared" si="439"/>
        <v>18264</v>
      </c>
      <c r="GH61" s="193">
        <f t="shared" si="440"/>
        <v>602.4584697429525</v>
      </c>
      <c r="GI61" s="193">
        <f t="shared" si="441"/>
        <v>68641</v>
      </c>
      <c r="GJ61" s="23">
        <f t="shared" si="442"/>
        <v>0.21016052010816408</v>
      </c>
      <c r="GK61" s="330">
        <v>8484</v>
      </c>
      <c r="GL61" s="330">
        <v>5697</v>
      </c>
      <c r="GM61" s="330"/>
      <c r="GN61" s="23">
        <f t="shared" si="443"/>
        <v>9.7623842126459928E-2</v>
      </c>
      <c r="GO61" s="330">
        <f t="shared" si="275"/>
        <v>78421</v>
      </c>
      <c r="GP61" s="330"/>
      <c r="GQ61" s="330">
        <f t="shared" si="444"/>
        <v>60157</v>
      </c>
      <c r="GR61" s="330">
        <v>7353</v>
      </c>
      <c r="GS61" s="140">
        <f t="shared" si="445"/>
        <v>0.53202538413670641</v>
      </c>
      <c r="GT61" s="582">
        <v>0.90366889571660947</v>
      </c>
      <c r="GU61" s="576">
        <f t="shared" ref="GU61" si="703">FJ61/W61</f>
        <v>0.19991626543855975</v>
      </c>
      <c r="GV61" s="589">
        <f t="shared" ref="GV61" si="704">(FM61)/X61</f>
        <v>5.6556445396705117E-2</v>
      </c>
      <c r="GW61" s="143"/>
      <c r="GX61" s="589">
        <f t="shared" si="277"/>
        <v>4.7016393442622952</v>
      </c>
      <c r="GY61" s="143"/>
      <c r="GZ61" s="589">
        <f t="shared" ref="GZ61" si="705">(FS61)/AD61</f>
        <v>0.11747864234587856</v>
      </c>
      <c r="HA61" s="56">
        <f t="shared" ref="HA61" si="706">HJ61</f>
        <v>0.54297600000000001</v>
      </c>
      <c r="HB61" s="589">
        <f t="shared" ref="HB61" si="707">(FW61)/AG61</f>
        <v>8.8865541085347083E-2</v>
      </c>
      <c r="HC61" s="56">
        <v>1.1000000000000001</v>
      </c>
      <c r="HD61" s="589">
        <f t="shared" ref="HD61" si="708">(FZ61)/AJ61</f>
        <v>6.9618162080521073E-2</v>
      </c>
      <c r="HE61" s="56">
        <f t="shared" ref="HE61" si="709">HJ61</f>
        <v>0.54297600000000001</v>
      </c>
      <c r="HF61" s="589">
        <f t="shared" ref="HF61" si="710">(GD61)/AM61</f>
        <v>8.7185510760836624E-2</v>
      </c>
      <c r="HG61" s="56">
        <v>1.1000000000000001</v>
      </c>
      <c r="HH61" s="6">
        <f t="shared" ref="HH61" si="711">(GG61)/AP61</f>
        <v>8.7528275121726798E-2</v>
      </c>
      <c r="HI61" s="6">
        <f t="shared" ref="HI61" si="712">(GG61-GH61)/AR61</f>
        <v>8.5074085128558255E-2</v>
      </c>
      <c r="HJ61" s="23">
        <f t="shared" ref="HJ61" si="713">GK61/AU61</f>
        <v>0.54297600000000001</v>
      </c>
      <c r="HK61" s="23">
        <f t="shared" ref="HK61" si="714">GL61/AV61</f>
        <v>0.5169222393612195</v>
      </c>
      <c r="HL61" s="23">
        <f t="shared" ref="HL61" si="715">(GK61-GL61)/(AU61-AV61)</f>
        <v>0.6053431798436143</v>
      </c>
      <c r="HM61" s="31">
        <f t="shared" ref="HM61" si="716">GO61/(W61-AU61)</f>
        <v>0.1871256699166273</v>
      </c>
      <c r="HN61" s="23">
        <f t="shared" ref="HN61" si="717">GI61/AS61</f>
        <v>0.30366346226160507</v>
      </c>
      <c r="HO61" s="23">
        <f t="shared" ref="HO61" si="718">GQ61/(W61-AP61-AU61)</f>
        <v>0.28589284186714065</v>
      </c>
      <c r="HP61" s="575">
        <v>681428</v>
      </c>
      <c r="HQ61" s="193"/>
      <c r="HR61" s="193"/>
      <c r="HS61" s="193"/>
      <c r="HT61" s="193"/>
      <c r="HU61" s="193"/>
      <c r="HV61" s="193"/>
      <c r="HW61" s="193"/>
      <c r="HX61" s="193"/>
      <c r="HY61" s="193"/>
      <c r="HZ61" s="193"/>
      <c r="IA61" s="193"/>
      <c r="IB61" s="193"/>
      <c r="IC61" s="193"/>
      <c r="ID61" s="193"/>
      <c r="IE61" s="193"/>
      <c r="IF61" s="193"/>
      <c r="IG61" s="193"/>
      <c r="IH61" s="193"/>
      <c r="II61" s="193"/>
      <c r="IJ61" s="193"/>
      <c r="IK61" s="193"/>
      <c r="IL61" s="193"/>
      <c r="IM61" s="575">
        <v>-5756</v>
      </c>
      <c r="IN61" s="193"/>
      <c r="IO61" s="193"/>
      <c r="IP61" s="193"/>
      <c r="IQ61" s="193"/>
      <c r="IR61" s="193"/>
      <c r="IS61" s="193"/>
      <c r="IT61" s="193"/>
      <c r="IU61" s="193"/>
      <c r="IV61" s="193"/>
      <c r="IW61" s="193"/>
      <c r="IX61" s="574"/>
      <c r="JG61" s="657"/>
      <c r="JH61" s="593"/>
      <c r="JI61" s="574"/>
      <c r="JJ61" s="593"/>
      <c r="JK61" s="593"/>
      <c r="JL61" s="593"/>
      <c r="JM61" s="593"/>
      <c r="JN61" s="593"/>
      <c r="JO61" s="593"/>
      <c r="JP61" s="593"/>
      <c r="JQ61" s="593"/>
      <c r="JR61" s="657"/>
      <c r="JS61" s="593"/>
      <c r="JT61" s="574"/>
      <c r="JU61" s="593"/>
      <c r="JV61" s="593"/>
      <c r="JW61" s="593"/>
      <c r="JX61" s="593"/>
      <c r="JY61" s="593"/>
      <c r="JZ61" s="593"/>
      <c r="KA61" s="593"/>
      <c r="KB61" s="593"/>
      <c r="KC61" s="657"/>
      <c r="KD61" s="593"/>
      <c r="KE61" s="5">
        <v>1367094</v>
      </c>
      <c r="KF61" s="552">
        <v>69064</v>
      </c>
      <c r="KG61" s="552">
        <v>12869</v>
      </c>
      <c r="KH61" s="552">
        <v>29163</v>
      </c>
      <c r="KI61" s="552">
        <v>13987</v>
      </c>
      <c r="KJ61" s="552">
        <v>37493</v>
      </c>
      <c r="KK61" s="552">
        <v>33559</v>
      </c>
      <c r="KL61" s="552">
        <f>KF61+KG61+KH61+KI61+KJ61+KK61</f>
        <v>196135</v>
      </c>
      <c r="KM61" s="552">
        <f t="shared" ref="KM61" si="719">KE61-KL61</f>
        <v>1170959</v>
      </c>
      <c r="KN61" s="552">
        <f>KM61-KO61</f>
        <v>814689</v>
      </c>
      <c r="KO61" s="552">
        <v>356270</v>
      </c>
      <c r="KP61" s="574"/>
      <c r="KY61" s="657"/>
      <c r="LA61" s="574"/>
      <c r="LJ61" s="657"/>
      <c r="LL61" s="574"/>
      <c r="LT61" s="593"/>
      <c r="LU61" s="593"/>
      <c r="LW61" s="593"/>
      <c r="LY61" s="574"/>
      <c r="ME61" s="593"/>
      <c r="MM61" s="574"/>
      <c r="MU61" s="593"/>
      <c r="MX61" s="613"/>
      <c r="MY61" s="552"/>
      <c r="MZ61" s="552"/>
      <c r="NA61" s="552"/>
      <c r="NB61" s="552"/>
      <c r="NC61" s="552"/>
      <c r="ND61" s="552"/>
      <c r="NE61" s="552"/>
      <c r="NF61" s="552"/>
      <c r="NG61" s="552"/>
      <c r="NH61" s="552"/>
      <c r="NI61" s="574"/>
      <c r="NQ61" s="593"/>
      <c r="NY61" s="593"/>
      <c r="NZ61" s="593"/>
      <c r="OA61" s="593"/>
      <c r="OB61" s="593"/>
      <c r="OC61" s="593"/>
      <c r="OD61" s="593"/>
      <c r="OE61" s="593"/>
      <c r="OF61" s="593"/>
      <c r="OG61" s="593"/>
      <c r="OH61" s="593"/>
      <c r="OI61" s="593"/>
      <c r="OJ61" s="593"/>
      <c r="OK61" s="593"/>
      <c r="OL61" s="593"/>
      <c r="OM61" s="593"/>
      <c r="ON61" s="593"/>
      <c r="OO61" s="593"/>
      <c r="OW61" s="593"/>
      <c r="PE61" s="593"/>
    </row>
    <row r="62" spans="1:486" s="601" customFormat="1">
      <c r="A62" s="568"/>
      <c r="B62" s="33"/>
      <c r="C62" s="193"/>
      <c r="D62" s="193"/>
      <c r="E62" s="193"/>
      <c r="F62" s="193"/>
      <c r="G62" s="193"/>
      <c r="H62" s="193"/>
      <c r="I62" s="193"/>
      <c r="J62" s="193"/>
      <c r="K62" s="193"/>
      <c r="L62" s="193"/>
      <c r="M62" s="23"/>
      <c r="N62" s="23"/>
      <c r="O62" s="568"/>
      <c r="P62" s="23"/>
      <c r="Q62" s="145"/>
      <c r="R62" s="23"/>
      <c r="S62" s="23"/>
      <c r="T62" s="23"/>
      <c r="U62" s="23"/>
      <c r="V62" s="23"/>
      <c r="W62" s="5"/>
      <c r="X62" s="193"/>
      <c r="Y62" s="193"/>
      <c r="Z62" s="193"/>
      <c r="AA62" s="193"/>
      <c r="AB62" s="193"/>
      <c r="AC62" s="193"/>
      <c r="AD62" s="193"/>
      <c r="AE62" s="193"/>
      <c r="AF62" s="193"/>
      <c r="AG62" s="193"/>
      <c r="AH62" s="193"/>
      <c r="AI62" s="193"/>
      <c r="AJ62" s="193"/>
      <c r="AK62" s="641"/>
      <c r="AL62" s="641"/>
      <c r="AM62" s="193"/>
      <c r="AN62" s="193"/>
      <c r="AO62" s="193"/>
      <c r="AP62" s="193"/>
      <c r="AQ62" s="271"/>
      <c r="AR62" s="193"/>
      <c r="AS62" s="193"/>
      <c r="AT62" s="193"/>
      <c r="AU62" s="193"/>
      <c r="AV62" s="193"/>
      <c r="AW62" s="193"/>
      <c r="AX62" s="193"/>
      <c r="AY62" s="23"/>
      <c r="AZ62" s="23"/>
      <c r="BA62" s="23"/>
      <c r="BB62" s="23"/>
      <c r="BC62" s="23"/>
      <c r="BD62" s="23"/>
      <c r="BE62" s="23"/>
      <c r="BF62" s="23"/>
      <c r="BG62" s="23"/>
      <c r="BH62" s="23"/>
      <c r="BI62" s="23"/>
      <c r="BJ62" s="23"/>
      <c r="BK62" s="23"/>
      <c r="BL62" s="5"/>
      <c r="BM62" s="193"/>
      <c r="BN62" s="193"/>
      <c r="BO62" s="193"/>
      <c r="BP62" s="193"/>
      <c r="BQ62" s="193"/>
      <c r="BR62" s="193"/>
      <c r="BS62" s="193"/>
      <c r="BT62" s="193"/>
      <c r="BU62" s="193"/>
      <c r="BV62" s="193"/>
      <c r="BW62" s="575"/>
      <c r="BX62" s="193"/>
      <c r="BY62" s="193"/>
      <c r="BZ62" s="193"/>
      <c r="CA62" s="193"/>
      <c r="CB62" s="193"/>
      <c r="CC62" s="193"/>
      <c r="CD62" s="193"/>
      <c r="CE62" s="193"/>
      <c r="CF62" s="193"/>
      <c r="CG62" s="193"/>
      <c r="CH62" s="193"/>
      <c r="CI62" s="193"/>
      <c r="CJ62" s="193"/>
      <c r="CK62" s="641"/>
      <c r="CL62" s="641"/>
      <c r="CM62" s="193"/>
      <c r="CN62" s="193"/>
      <c r="CO62" s="193"/>
      <c r="CP62" s="193"/>
      <c r="CQ62" s="193"/>
      <c r="CR62" s="193"/>
      <c r="CS62" s="193"/>
      <c r="CT62" s="193"/>
      <c r="CU62" s="76"/>
      <c r="CV62" s="193"/>
      <c r="CW62" s="193"/>
      <c r="CX62" s="193"/>
      <c r="CY62" s="193"/>
      <c r="CZ62" s="193"/>
      <c r="DA62" s="193"/>
      <c r="DB62" s="193"/>
      <c r="DC62" s="193"/>
      <c r="DD62" s="193"/>
      <c r="DE62" s="193"/>
      <c r="DF62" s="193"/>
      <c r="DG62" s="193"/>
      <c r="DH62" s="193"/>
      <c r="DI62" s="193"/>
      <c r="DJ62" s="193"/>
      <c r="DK62" s="193"/>
      <c r="DL62" s="576"/>
      <c r="DM62" s="23"/>
      <c r="DN62" s="23"/>
      <c r="DO62" s="23"/>
      <c r="DP62" s="23"/>
      <c r="DQ62" s="23"/>
      <c r="DR62" s="23"/>
      <c r="DS62" s="23"/>
      <c r="DT62" s="23"/>
      <c r="DU62" s="23"/>
      <c r="DV62" s="23"/>
      <c r="DW62" s="23"/>
      <c r="DX62" s="23"/>
      <c r="DY62" s="23"/>
      <c r="DZ62" s="23"/>
      <c r="EA62" s="140"/>
      <c r="EB62" s="140"/>
      <c r="EC62" s="23"/>
      <c r="ED62" s="23"/>
      <c r="EE62" s="23"/>
      <c r="EF62" s="23"/>
      <c r="EG62" s="140"/>
      <c r="EH62" s="583"/>
      <c r="EI62" s="1344">
        <v>0.9689322456660483</v>
      </c>
      <c r="EJ62" s="149"/>
      <c r="EK62" s="583"/>
      <c r="EL62" s="583"/>
      <c r="EM62" s="583"/>
      <c r="EN62" s="583"/>
      <c r="EO62" s="5"/>
      <c r="EP62" s="193"/>
      <c r="EQ62" s="193"/>
      <c r="ER62" s="193"/>
      <c r="ES62" s="193"/>
      <c r="ET62" s="193"/>
      <c r="EU62" s="193"/>
      <c r="EV62" s="193"/>
      <c r="EW62" s="193"/>
      <c r="EX62" s="193"/>
      <c r="EY62" s="193"/>
      <c r="EZ62" s="193"/>
      <c r="FA62" s="193"/>
      <c r="FB62" s="193"/>
      <c r="FC62" s="193"/>
      <c r="FD62" s="23"/>
      <c r="FE62" s="193"/>
      <c r="FF62" s="193"/>
      <c r="FG62" s="193"/>
      <c r="FH62" s="193"/>
      <c r="FI62" s="193"/>
      <c r="FJ62" s="5"/>
      <c r="FK62" s="192"/>
      <c r="FL62" s="193"/>
      <c r="FM62" s="193"/>
      <c r="FN62" s="193"/>
      <c r="FO62" s="193"/>
      <c r="FP62" s="193"/>
      <c r="FQ62" s="193"/>
      <c r="FR62" s="193"/>
      <c r="FS62" s="193"/>
      <c r="FT62" s="193"/>
      <c r="FU62" s="193"/>
      <c r="FV62" s="193"/>
      <c r="FW62" s="193"/>
      <c r="FX62" s="193"/>
      <c r="FY62" s="193"/>
      <c r="FZ62" s="193"/>
      <c r="GA62" s="193"/>
      <c r="GB62" s="193"/>
      <c r="GC62" s="193"/>
      <c r="GD62" s="193"/>
      <c r="GE62" s="193"/>
      <c r="GF62" s="193"/>
      <c r="GG62" s="193"/>
      <c r="GH62" s="193"/>
      <c r="GI62" s="193"/>
      <c r="GJ62" s="23"/>
      <c r="GK62" s="330"/>
      <c r="GL62" s="330"/>
      <c r="GM62" s="330"/>
      <c r="GN62" s="23"/>
      <c r="GO62" s="330"/>
      <c r="GP62" s="330"/>
      <c r="GQ62" s="330"/>
      <c r="GR62" s="330"/>
      <c r="GS62" s="140"/>
      <c r="GT62" s="582"/>
      <c r="GU62" s="576"/>
      <c r="GV62" s="143"/>
      <c r="GW62" s="143"/>
      <c r="GX62" s="143"/>
      <c r="GY62" s="143"/>
      <c r="GZ62" s="143"/>
      <c r="HA62" s="143"/>
      <c r="HB62" s="143"/>
      <c r="HC62" s="143"/>
      <c r="HD62" s="143"/>
      <c r="HE62" s="675"/>
      <c r="HF62" s="143"/>
      <c r="HG62" s="143"/>
      <c r="HH62" s="6"/>
      <c r="HI62" s="6"/>
      <c r="HJ62" s="23"/>
      <c r="HK62" s="23"/>
      <c r="HL62" s="23"/>
      <c r="HM62" s="602"/>
      <c r="HN62" s="23"/>
      <c r="HO62" s="23"/>
      <c r="HP62" s="575"/>
      <c r="HQ62" s="193"/>
      <c r="HR62" s="193"/>
      <c r="HS62" s="193"/>
      <c r="HT62" s="193"/>
      <c r="HU62" s="193"/>
      <c r="HV62" s="193"/>
      <c r="HW62" s="193"/>
      <c r="HX62" s="193"/>
      <c r="HY62" s="193"/>
      <c r="HZ62" s="193"/>
      <c r="IA62" s="193"/>
      <c r="IB62" s="193"/>
      <c r="IC62" s="193"/>
      <c r="ID62" s="193"/>
      <c r="IE62" s="193"/>
      <c r="IF62" s="193"/>
      <c r="IG62" s="193"/>
      <c r="IH62" s="193"/>
      <c r="II62" s="193"/>
      <c r="IJ62" s="193"/>
      <c r="IK62" s="193"/>
      <c r="IL62" s="193"/>
      <c r="IM62" s="575"/>
      <c r="IN62" s="193"/>
      <c r="IO62" s="193"/>
      <c r="IP62" s="193"/>
      <c r="IQ62" s="193"/>
      <c r="IR62" s="193"/>
      <c r="IS62" s="193"/>
      <c r="IT62" s="193"/>
      <c r="IU62" s="193"/>
      <c r="IV62" s="193"/>
      <c r="IW62" s="193"/>
      <c r="IX62" s="574"/>
      <c r="JG62" s="657"/>
      <c r="JI62" s="574"/>
      <c r="JR62" s="657"/>
      <c r="JT62" s="574"/>
      <c r="KC62" s="657"/>
      <c r="KE62" s="574"/>
      <c r="KM62" s="552"/>
      <c r="KN62" s="657"/>
      <c r="KP62" s="574"/>
      <c r="KY62" s="657"/>
      <c r="LA62" s="574"/>
      <c r="LJ62" s="657"/>
      <c r="LL62" s="574"/>
      <c r="LY62" s="574"/>
      <c r="MM62" s="574"/>
      <c r="MX62" s="613"/>
      <c r="MY62" s="552"/>
      <c r="MZ62" s="552"/>
      <c r="NA62" s="552"/>
      <c r="NB62" s="552"/>
      <c r="NC62" s="552"/>
      <c r="ND62" s="552"/>
      <c r="NE62" s="552"/>
      <c r="NF62" s="552"/>
      <c r="NG62" s="552"/>
      <c r="NH62" s="552"/>
      <c r="NI62" s="574"/>
    </row>
    <row r="63" spans="1:486" s="601" customFormat="1">
      <c r="A63" s="568" t="s">
        <v>2230</v>
      </c>
      <c r="B63" s="33">
        <v>15585</v>
      </c>
      <c r="C63" s="193">
        <v>27</v>
      </c>
      <c r="D63" s="66">
        <f>131/(131+2281)*321</f>
        <v>17.434079601990049</v>
      </c>
      <c r="E63" s="193">
        <v>227</v>
      </c>
      <c r="F63" s="193">
        <v>186</v>
      </c>
      <c r="G63" s="193">
        <f>161-34</f>
        <v>127</v>
      </c>
      <c r="H63" s="66">
        <f>130*146/(1068-73-242-48-137)</f>
        <v>33.41549295774648</v>
      </c>
      <c r="I63" s="193">
        <f>H63+G63+F63+E63+D63+C63</f>
        <v>617.84957255973654</v>
      </c>
      <c r="J63" s="193">
        <f>B63-I63</f>
        <v>14967.150427440263</v>
      </c>
      <c r="K63" s="193">
        <f>J63-L63</f>
        <v>13291.150427440263</v>
      </c>
      <c r="L63" s="193">
        <v>1676</v>
      </c>
      <c r="M63" s="23"/>
      <c r="N63" s="23"/>
      <c r="O63" s="568"/>
      <c r="P63" s="23"/>
      <c r="Q63" s="145"/>
      <c r="R63" s="23"/>
      <c r="S63" s="23"/>
      <c r="T63" s="23"/>
      <c r="U63" s="23"/>
      <c r="V63" s="23"/>
      <c r="W63" s="5">
        <v>9688</v>
      </c>
      <c r="X63" s="271">
        <v>19</v>
      </c>
      <c r="Y63" s="271"/>
      <c r="Z63" s="271"/>
      <c r="AA63" s="66">
        <f>D11*DO11</f>
        <v>5.0398293221342811</v>
      </c>
      <c r="AB63" s="66"/>
      <c r="AC63" s="66"/>
      <c r="AD63" s="271">
        <v>56</v>
      </c>
      <c r="AE63" s="271"/>
      <c r="AF63" s="271"/>
      <c r="AG63" s="271">
        <v>83</v>
      </c>
      <c r="AH63" s="271"/>
      <c r="AI63" s="271"/>
      <c r="AJ63" s="271">
        <f>218-101</f>
        <v>117</v>
      </c>
      <c r="AK63" s="274"/>
      <c r="AL63" s="274"/>
      <c r="AM63" s="271">
        <f>91*146/(1068-73-242-48-137)</f>
        <v>23.390845070422536</v>
      </c>
      <c r="AN63" s="271"/>
      <c r="AO63" s="271"/>
      <c r="AP63" s="271">
        <f>AM63+AJ63+AG63+AD63+AA63+X63</f>
        <v>303.4306743925568</v>
      </c>
      <c r="AQ63" s="271"/>
      <c r="AR63" s="271"/>
      <c r="AS63" s="271">
        <f>W63-AP63</f>
        <v>9384.5693256074428</v>
      </c>
      <c r="AT63" s="193"/>
      <c r="AU63" s="193">
        <v>3755</v>
      </c>
      <c r="AV63" s="193"/>
      <c r="AW63" s="193"/>
      <c r="AX63" s="193"/>
      <c r="AY63" s="23"/>
      <c r="AZ63" s="23"/>
      <c r="BA63" s="23"/>
      <c r="BB63" s="23"/>
      <c r="BC63" s="23"/>
      <c r="BD63" s="23"/>
      <c r="BE63" s="23"/>
      <c r="BF63" s="23"/>
      <c r="BG63" s="23"/>
      <c r="BH63" s="23"/>
      <c r="BI63" s="23"/>
      <c r="BJ63" s="23"/>
      <c r="BK63" s="23"/>
      <c r="BL63" s="5"/>
      <c r="BM63" s="193"/>
      <c r="BN63" s="193"/>
      <c r="BO63" s="193"/>
      <c r="BP63" s="193"/>
      <c r="BQ63" s="193"/>
      <c r="BR63" s="193"/>
      <c r="BS63" s="193"/>
      <c r="BT63" s="193"/>
      <c r="BU63" s="193"/>
      <c r="BV63" s="193"/>
      <c r="BW63" s="575">
        <f>W63-FJ63</f>
        <v>4199</v>
      </c>
      <c r="BX63" s="193"/>
      <c r="BY63" s="193"/>
      <c r="BZ63" s="193"/>
      <c r="CA63" s="193"/>
      <c r="CB63" s="193"/>
      <c r="CC63" s="193"/>
      <c r="CD63" s="193"/>
      <c r="CE63" s="193"/>
      <c r="CF63" s="193"/>
      <c r="CG63" s="193"/>
      <c r="CH63" s="193"/>
      <c r="CI63" s="193"/>
      <c r="CJ63" s="193"/>
      <c r="CK63" s="641"/>
      <c r="CL63" s="641"/>
      <c r="CM63" s="193"/>
      <c r="CN63" s="193"/>
      <c r="CO63" s="193"/>
      <c r="CP63" s="193"/>
      <c r="CQ63" s="193"/>
      <c r="CR63" s="193"/>
      <c r="CS63" s="193"/>
      <c r="CT63" s="193"/>
      <c r="CU63" s="76"/>
      <c r="CV63" s="193"/>
      <c r="CW63" s="193"/>
      <c r="CX63" s="193"/>
      <c r="CY63" s="193"/>
      <c r="CZ63" s="193"/>
      <c r="DA63" s="193"/>
      <c r="DB63" s="193"/>
      <c r="DC63" s="193"/>
      <c r="DD63" s="193"/>
      <c r="DE63" s="193"/>
      <c r="DF63" s="193"/>
      <c r="DG63" s="193"/>
      <c r="DH63" s="193"/>
      <c r="DI63" s="193"/>
      <c r="DJ63" s="193"/>
      <c r="DK63" s="193"/>
      <c r="DL63" s="576"/>
      <c r="DM63" s="23"/>
      <c r="DN63" s="23"/>
      <c r="DO63" s="23"/>
      <c r="DP63" s="23"/>
      <c r="DQ63" s="23"/>
      <c r="DR63" s="23"/>
      <c r="DS63" s="23"/>
      <c r="DT63" s="23"/>
      <c r="DU63" s="23"/>
      <c r="DV63" s="23"/>
      <c r="DW63" s="23"/>
      <c r="DX63" s="23"/>
      <c r="DY63" s="23"/>
      <c r="DZ63" s="23"/>
      <c r="EA63" s="140"/>
      <c r="EB63" s="140"/>
      <c r="EC63" s="23"/>
      <c r="ED63" s="23"/>
      <c r="EE63" s="23"/>
      <c r="EF63" s="23"/>
      <c r="EG63" s="140"/>
      <c r="EH63" s="583"/>
      <c r="EI63" s="583"/>
      <c r="EJ63" s="149"/>
      <c r="EK63" s="583"/>
      <c r="EL63" s="583"/>
      <c r="EM63" s="583"/>
      <c r="EN63" s="583"/>
      <c r="EO63" s="5">
        <v>6342</v>
      </c>
      <c r="EP63" s="193">
        <v>16</v>
      </c>
      <c r="EQ63" s="193"/>
      <c r="ER63" s="193">
        <f>39*39/(39+330)</f>
        <v>4.1219512195121952</v>
      </c>
      <c r="ES63" s="193"/>
      <c r="ET63" s="193">
        <v>62</v>
      </c>
      <c r="EU63" s="193"/>
      <c r="EV63" s="193">
        <v>174</v>
      </c>
      <c r="EW63" s="193"/>
      <c r="EX63" s="193">
        <f>214-99</f>
        <v>115</v>
      </c>
      <c r="EY63" s="193"/>
      <c r="EZ63" s="193">
        <v>3</v>
      </c>
      <c r="FA63" s="193"/>
      <c r="FB63" s="193"/>
      <c r="FC63" s="193"/>
      <c r="FD63" s="23"/>
      <c r="FE63" s="193">
        <v>1914</v>
      </c>
      <c r="FF63" s="193"/>
      <c r="FG63" s="193"/>
      <c r="FH63" s="193"/>
      <c r="FI63" s="193"/>
      <c r="FJ63" s="5">
        <v>5489</v>
      </c>
      <c r="FK63" s="192"/>
      <c r="FL63" s="193"/>
      <c r="FM63" s="193">
        <v>4</v>
      </c>
      <c r="FN63" s="193">
        <v>1</v>
      </c>
      <c r="FO63" s="193"/>
      <c r="FP63" s="193">
        <f>35/(131+2281)*321</f>
        <v>4.6579601990049753</v>
      </c>
      <c r="FQ63" s="193">
        <v>0</v>
      </c>
      <c r="FR63" s="193"/>
      <c r="FS63" s="193">
        <v>51</v>
      </c>
      <c r="FT63" s="274">
        <f>(51-32-7)/2</f>
        <v>6</v>
      </c>
      <c r="FU63" s="274"/>
      <c r="FV63" s="274"/>
      <c r="FW63" s="193">
        <v>36</v>
      </c>
      <c r="FX63" s="193">
        <v>0</v>
      </c>
      <c r="FY63" s="193"/>
      <c r="FZ63" s="193">
        <f>31-4</f>
        <v>27</v>
      </c>
      <c r="GA63" s="641">
        <f>(31-6-2-1-2)/1.5</f>
        <v>13.333333333333334</v>
      </c>
      <c r="GB63" s="641"/>
      <c r="GC63" s="641"/>
      <c r="GD63" s="193"/>
      <c r="GE63" s="641">
        <v>0.2</v>
      </c>
      <c r="GF63" s="641"/>
      <c r="GG63" s="193"/>
      <c r="GH63" s="193"/>
      <c r="GI63" s="193"/>
      <c r="GJ63" s="23"/>
      <c r="GK63" s="330">
        <v>2380</v>
      </c>
      <c r="GL63" s="330"/>
      <c r="GM63" s="330"/>
      <c r="GN63" s="23"/>
      <c r="GO63" s="330"/>
      <c r="GP63" s="330"/>
      <c r="GQ63" s="330"/>
      <c r="GR63" s="330"/>
      <c r="GS63" s="140"/>
      <c r="GT63" s="582"/>
      <c r="GU63" s="576"/>
      <c r="GV63" s="143"/>
      <c r="GW63" s="143"/>
      <c r="GX63" s="143"/>
      <c r="GY63" s="143"/>
      <c r="GZ63" s="143"/>
      <c r="HA63" s="143"/>
      <c r="HB63" s="143"/>
      <c r="HC63" s="143"/>
      <c r="HD63" s="143"/>
      <c r="HE63" s="143"/>
      <c r="HF63" s="143"/>
      <c r="HG63" s="143"/>
      <c r="HH63" s="6"/>
      <c r="HI63" s="6"/>
      <c r="HJ63" s="23"/>
      <c r="HK63" s="23"/>
      <c r="HL63" s="23"/>
      <c r="HM63" s="602"/>
      <c r="HN63" s="23"/>
      <c r="HO63" s="23"/>
      <c r="HP63" s="575">
        <v>2487</v>
      </c>
      <c r="HQ63" s="193">
        <v>0</v>
      </c>
      <c r="HR63" s="193">
        <v>0</v>
      </c>
      <c r="HS63" s="193">
        <v>57</v>
      </c>
      <c r="HT63" s="193">
        <v>156</v>
      </c>
      <c r="HU63" s="193">
        <f>34-2</f>
        <v>32</v>
      </c>
      <c r="HV63" s="193">
        <v>0</v>
      </c>
      <c r="HW63" s="193">
        <f>HV63+HU63+HT63+HS63+HR63+HQ63</f>
        <v>245</v>
      </c>
      <c r="HX63" s="193">
        <f>HP63-HW63</f>
        <v>2242</v>
      </c>
      <c r="HY63" s="193">
        <v>620</v>
      </c>
      <c r="HZ63" s="193"/>
      <c r="IA63" s="193"/>
      <c r="IB63" s="193"/>
      <c r="IC63" s="193"/>
      <c r="ID63" s="193"/>
      <c r="IE63" s="193"/>
      <c r="IF63" s="193"/>
      <c r="IG63" s="193"/>
      <c r="IH63" s="193"/>
      <c r="II63" s="193"/>
      <c r="IJ63" s="193"/>
      <c r="IK63" s="193"/>
      <c r="IL63" s="193"/>
      <c r="IM63" s="575"/>
      <c r="IN63" s="193"/>
      <c r="IO63" s="193"/>
      <c r="IP63" s="193"/>
      <c r="IQ63" s="193"/>
      <c r="IR63" s="193"/>
      <c r="IS63" s="193"/>
      <c r="IT63" s="193"/>
      <c r="IU63" s="193"/>
      <c r="IV63" s="193"/>
      <c r="IW63" s="193"/>
      <c r="IX63" s="574"/>
      <c r="JG63" s="657"/>
      <c r="JI63" s="574"/>
      <c r="JR63" s="657"/>
      <c r="JT63" s="574"/>
      <c r="KC63" s="657"/>
      <c r="KE63" s="574"/>
      <c r="KN63" s="657"/>
      <c r="KP63" s="574"/>
      <c r="KY63" s="657"/>
      <c r="LA63" s="574"/>
      <c r="LJ63" s="657"/>
      <c r="LL63" s="574"/>
      <c r="LY63" s="574"/>
      <c r="MM63" s="574"/>
      <c r="MX63" s="613"/>
      <c r="MY63" s="552"/>
      <c r="MZ63" s="552"/>
      <c r="NA63" s="552"/>
      <c r="NB63" s="552"/>
      <c r="NC63" s="552"/>
      <c r="ND63" s="552"/>
      <c r="NE63" s="552"/>
      <c r="NF63" s="552"/>
      <c r="NG63" s="552"/>
      <c r="NH63" s="552"/>
      <c r="NI63" s="574"/>
    </row>
    <row r="64" spans="1:486" s="601" customFormat="1">
      <c r="A64" s="624" t="s">
        <v>2224</v>
      </c>
      <c r="B64" s="33">
        <v>14176</v>
      </c>
      <c r="C64" s="193">
        <v>19</v>
      </c>
      <c r="D64" s="66">
        <f>D63*B64/B63</f>
        <v>15.857909043170418</v>
      </c>
      <c r="E64" s="193">
        <v>207</v>
      </c>
      <c r="F64" s="193">
        <v>167</v>
      </c>
      <c r="G64" s="193">
        <f>153-31</f>
        <v>122</v>
      </c>
      <c r="H64" s="66">
        <f>H63*F64/F63</f>
        <v>30.002082386793884</v>
      </c>
      <c r="I64" s="193">
        <f>H64+G64+F64+E64+D64+C64</f>
        <v>560.85999142996423</v>
      </c>
      <c r="J64" s="193">
        <f>B64-I64</f>
        <v>13615.140008570035</v>
      </c>
      <c r="K64" s="193">
        <f>J64-L64</f>
        <v>11990.140008570035</v>
      </c>
      <c r="L64" s="193">
        <v>1625</v>
      </c>
      <c r="M64" s="23"/>
      <c r="N64" s="23"/>
      <c r="O64" s="624"/>
      <c r="P64" s="23"/>
      <c r="Q64" s="145"/>
      <c r="R64" s="23"/>
      <c r="S64" s="23"/>
      <c r="T64" s="23"/>
      <c r="U64" s="23"/>
      <c r="V64" s="23"/>
      <c r="W64" s="5">
        <f>EO64+FJ64-HP64*0.6</f>
        <v>9422.8154727834772</v>
      </c>
      <c r="X64" s="193">
        <f>EP64+FM64-HQ64*0.6</f>
        <v>17.890510104369724</v>
      </c>
      <c r="Y64" s="193"/>
      <c r="Z64" s="193"/>
      <c r="AA64" s="193">
        <f>ER64+FP64-HR64*0.6</f>
        <v>5.0398293221342811</v>
      </c>
      <c r="AB64" s="193"/>
      <c r="AC64" s="193"/>
      <c r="AD64" s="193">
        <f>ET64+FS64-HS64*0.6</f>
        <v>48.558064516129036</v>
      </c>
      <c r="AE64" s="193"/>
      <c r="AF64" s="193"/>
      <c r="AG64" s="193">
        <f>EV64+FW64-HT64*0.6</f>
        <v>114.02838404277581</v>
      </c>
      <c r="AH64" s="193"/>
      <c r="AI64" s="193"/>
      <c r="AJ64" s="193">
        <f>EX64+FZ64-HU64*0.6</f>
        <v>122.06094320449564</v>
      </c>
      <c r="AK64" s="641"/>
      <c r="AL64" s="641"/>
      <c r="AM64" s="193">
        <f>EZ64+GD64-HV64*0.6</f>
        <v>3.7582781456953644</v>
      </c>
      <c r="AN64" s="193"/>
      <c r="AO64" s="193"/>
      <c r="AP64" s="271">
        <f>AM64+AJ64+AG64+AD64+AA64+X64</f>
        <v>311.3360093355999</v>
      </c>
      <c r="AQ64" s="271"/>
      <c r="AR64" s="271"/>
      <c r="AS64" s="271">
        <f>W64-AP64</f>
        <v>9111.4794634478767</v>
      </c>
      <c r="AT64" s="193"/>
      <c r="AU64" s="193">
        <f>FE64+GK64-HY64*0.6</f>
        <v>3727.9655172413795</v>
      </c>
      <c r="AV64" s="193"/>
      <c r="AW64" s="193"/>
      <c r="AX64" s="193"/>
      <c r="AY64" s="23"/>
      <c r="AZ64" s="23"/>
      <c r="BA64" s="23"/>
      <c r="BB64" s="23"/>
      <c r="BC64" s="23"/>
      <c r="BD64" s="23"/>
      <c r="BE64" s="23"/>
      <c r="BF64" s="23"/>
      <c r="BG64" s="23"/>
      <c r="BH64" s="23"/>
      <c r="BI64" s="23"/>
      <c r="BJ64" s="23"/>
      <c r="BK64" s="23"/>
      <c r="BL64" s="5"/>
      <c r="BM64" s="193"/>
      <c r="BN64" s="193"/>
      <c r="BO64" s="193"/>
      <c r="BP64" s="193"/>
      <c r="BQ64" s="193"/>
      <c r="BR64" s="193"/>
      <c r="BS64" s="193"/>
      <c r="BT64" s="193"/>
      <c r="BU64" s="193"/>
      <c r="BV64" s="193"/>
      <c r="BW64" s="575">
        <f>W64-FJ64</f>
        <v>4459.0324503311258</v>
      </c>
      <c r="BX64" s="193"/>
      <c r="BY64" s="193"/>
      <c r="BZ64" s="193"/>
      <c r="CA64" s="193"/>
      <c r="CB64" s="193"/>
      <c r="CC64" s="193"/>
      <c r="CD64" s="193"/>
      <c r="CE64" s="193"/>
      <c r="CF64" s="193"/>
      <c r="CG64" s="193"/>
      <c r="CH64" s="193"/>
      <c r="CI64" s="193"/>
      <c r="CJ64" s="193"/>
      <c r="CK64" s="641"/>
      <c r="CL64" s="641"/>
      <c r="CM64" s="193"/>
      <c r="CN64" s="193"/>
      <c r="CO64" s="193"/>
      <c r="CP64" s="193"/>
      <c r="CQ64" s="193"/>
      <c r="CR64" s="193"/>
      <c r="CS64" s="193"/>
      <c r="CT64" s="193"/>
      <c r="CU64" s="76"/>
      <c r="CV64" s="193"/>
      <c r="CW64" s="193"/>
      <c r="CX64" s="193"/>
      <c r="CY64" s="193"/>
      <c r="CZ64" s="193"/>
      <c r="DA64" s="193"/>
      <c r="DB64" s="193"/>
      <c r="DC64" s="193"/>
      <c r="DD64" s="193"/>
      <c r="DE64" s="193"/>
      <c r="DF64" s="193"/>
      <c r="DG64" s="193"/>
      <c r="DH64" s="193"/>
      <c r="DI64" s="193"/>
      <c r="DJ64" s="193"/>
      <c r="DK64" s="193"/>
      <c r="DL64" s="576"/>
      <c r="DM64" s="23"/>
      <c r="DN64" s="23"/>
      <c r="DO64" s="23"/>
      <c r="DP64" s="23"/>
      <c r="DQ64" s="23"/>
      <c r="DR64" s="23"/>
      <c r="DS64" s="23"/>
      <c r="DT64" s="23"/>
      <c r="DU64" s="23"/>
      <c r="DV64" s="23"/>
      <c r="DW64" s="23"/>
      <c r="DX64" s="23"/>
      <c r="DY64" s="23"/>
      <c r="DZ64" s="23"/>
      <c r="EA64" s="140"/>
      <c r="EB64" s="140"/>
      <c r="EC64" s="23"/>
      <c r="ED64" s="23"/>
      <c r="EE64" s="23"/>
      <c r="EF64" s="23"/>
      <c r="EG64" s="140"/>
      <c r="EH64" s="583"/>
      <c r="EI64" s="583"/>
      <c r="EJ64" s="149"/>
      <c r="EK64" s="583"/>
      <c r="EL64" s="583"/>
      <c r="EM64" s="583"/>
      <c r="EN64" s="583"/>
      <c r="EO64" s="5">
        <v>5831</v>
      </c>
      <c r="EP64" s="193">
        <v>14</v>
      </c>
      <c r="EQ64" s="193"/>
      <c r="ER64" s="193">
        <f>ER63*EO64/EO63</f>
        <v>3.7898293221342811</v>
      </c>
      <c r="ES64" s="193"/>
      <c r="ET64" s="193">
        <v>57</v>
      </c>
      <c r="EU64" s="193"/>
      <c r="EV64" s="193">
        <v>171</v>
      </c>
      <c r="EW64" s="193"/>
      <c r="EX64" s="193">
        <f>212-97</f>
        <v>115</v>
      </c>
      <c r="EY64" s="193"/>
      <c r="EZ64" s="193">
        <f>EZ63*ER64/ER63</f>
        <v>2.7582781456953644</v>
      </c>
      <c r="FA64" s="193"/>
      <c r="FB64" s="193"/>
      <c r="FC64" s="193"/>
      <c r="FD64" s="23"/>
      <c r="FE64" s="193">
        <v>1837</v>
      </c>
      <c r="FF64" s="193"/>
      <c r="FG64" s="193"/>
      <c r="FH64" s="193"/>
      <c r="FI64" s="193"/>
      <c r="FJ64" s="5">
        <f>5489*102344/113173</f>
        <v>4963.7830224523514</v>
      </c>
      <c r="FK64" s="192"/>
      <c r="FL64" s="192"/>
      <c r="FM64" s="193">
        <f>FM63*$W64/$W63</f>
        <v>3.8905101043697261</v>
      </c>
      <c r="FN64" s="193">
        <f>FN63*$W64/$W63</f>
        <v>0.97262752609243153</v>
      </c>
      <c r="FO64" s="193"/>
      <c r="FP64" s="26">
        <v>1.25</v>
      </c>
      <c r="FQ64" s="193">
        <f>FQ63*$W64/$W63</f>
        <v>0</v>
      </c>
      <c r="FR64" s="193"/>
      <c r="FS64" s="193">
        <v>23</v>
      </c>
      <c r="FT64" s="193">
        <f>FT63*$W64/$W63</f>
        <v>5.8357651565545892</v>
      </c>
      <c r="FU64" s="193"/>
      <c r="FV64" s="193"/>
      <c r="FW64" s="193">
        <f>FW63*$W64/$W63</f>
        <v>35.01459093932754</v>
      </c>
      <c r="FX64" s="193">
        <f>FX63*$W64/$W63</f>
        <v>0</v>
      </c>
      <c r="FY64" s="193"/>
      <c r="FZ64" s="193">
        <f>FZ63*$W64/$W63</f>
        <v>26.260943204495653</v>
      </c>
      <c r="GA64" s="193">
        <f>GA63*$W64/$W63</f>
        <v>12.968367014565755</v>
      </c>
      <c r="GB64" s="193"/>
      <c r="GC64" s="193"/>
      <c r="GD64" s="26">
        <v>1</v>
      </c>
      <c r="GE64" s="193">
        <f>GE63*$W64/$W63</f>
        <v>0.19452550521848633</v>
      </c>
      <c r="GF64" s="193"/>
      <c r="GG64" s="193">
        <f>GD64+FZ64+FW64+FS64+FP64+FM64</f>
        <v>90.416044248192918</v>
      </c>
      <c r="GH64" s="193"/>
      <c r="GI64" s="193">
        <f>FJ64-GG64</f>
        <v>4873.3669782041588</v>
      </c>
      <c r="GJ64" s="23">
        <f>GG64/FJ64</f>
        <v>1.8215148373573142E-2</v>
      </c>
      <c r="GK64" s="330">
        <f>GK65</f>
        <v>2248</v>
      </c>
      <c r="GL64" s="330"/>
      <c r="GM64" s="330"/>
      <c r="GN64" s="23"/>
      <c r="GO64" s="330"/>
      <c r="GP64" s="330"/>
      <c r="GQ64" s="330"/>
      <c r="GR64" s="330"/>
      <c r="GS64" s="140"/>
      <c r="GT64" s="582"/>
      <c r="GU64" s="576"/>
      <c r="GV64" s="143"/>
      <c r="GW64" s="143"/>
      <c r="GX64" s="143"/>
      <c r="GY64" s="143"/>
      <c r="GZ64" s="143"/>
      <c r="HA64" s="143"/>
      <c r="HB64" s="143"/>
      <c r="HC64" s="143"/>
      <c r="HD64" s="143"/>
      <c r="HE64" s="143"/>
      <c r="HF64" s="143"/>
      <c r="HG64" s="143"/>
      <c r="HH64" s="6"/>
      <c r="HI64" s="6"/>
      <c r="HJ64" s="23"/>
      <c r="HK64" s="23"/>
      <c r="HL64" s="23"/>
      <c r="HM64" s="602"/>
      <c r="HN64" s="23"/>
      <c r="HO64" s="23"/>
      <c r="HP64" s="575">
        <f>HP63*EO64/EO63</f>
        <v>2286.6125827814571</v>
      </c>
      <c r="HQ64" s="193">
        <f>HQ63*EP64/EP63</f>
        <v>0</v>
      </c>
      <c r="HR64" s="193">
        <f>HR63*ER64/ER63</f>
        <v>0</v>
      </c>
      <c r="HS64" s="193">
        <f>HS63*ET64/ET63</f>
        <v>52.403225806451616</v>
      </c>
      <c r="HT64" s="193">
        <f>HT63*EV64/EV63</f>
        <v>153.31034482758622</v>
      </c>
      <c r="HU64" s="193">
        <f>HU63*EX64/EX63</f>
        <v>32</v>
      </c>
      <c r="HV64" s="193">
        <f>HV63*EZ64/EZ63</f>
        <v>0</v>
      </c>
      <c r="HW64" s="193">
        <f>HV64+HU64+HT64+HS64+HR64+HQ64</f>
        <v>237.71357063403784</v>
      </c>
      <c r="HX64" s="193">
        <f>HP64-HW64</f>
        <v>2048.8990121474194</v>
      </c>
      <c r="HY64" s="193">
        <f>HY63*FE64/FE63</f>
        <v>595.05747126436779</v>
      </c>
      <c r="HZ64" s="193"/>
      <c r="IA64" s="193"/>
      <c r="IB64" s="193"/>
      <c r="IC64" s="193"/>
      <c r="ID64" s="193"/>
      <c r="IE64" s="193"/>
      <c r="IF64" s="193"/>
      <c r="IG64" s="193"/>
      <c r="IH64" s="193"/>
      <c r="II64" s="193"/>
      <c r="IJ64" s="193"/>
      <c r="IK64" s="193"/>
      <c r="IL64" s="193"/>
      <c r="IM64" s="575"/>
      <c r="IN64" s="193"/>
      <c r="IO64" s="193"/>
      <c r="IP64" s="193"/>
      <c r="IQ64" s="193"/>
      <c r="IR64" s="193"/>
      <c r="IS64" s="193"/>
      <c r="IT64" s="193"/>
      <c r="IU64" s="193"/>
      <c r="IV64" s="193"/>
      <c r="IW64" s="193"/>
      <c r="IX64" s="574"/>
      <c r="JG64" s="657"/>
      <c r="JI64" s="574"/>
      <c r="JR64" s="657"/>
      <c r="JT64" s="574"/>
      <c r="KC64" s="657"/>
      <c r="KE64" s="574"/>
      <c r="KN64" s="657"/>
      <c r="KP64" s="574"/>
      <c r="KY64" s="657"/>
      <c r="LA64" s="574"/>
      <c r="LJ64" s="657"/>
      <c r="LL64" s="574"/>
      <c r="LY64" s="574"/>
      <c r="MM64" s="574"/>
      <c r="MX64" s="613"/>
      <c r="MY64" s="552"/>
      <c r="MZ64" s="552"/>
      <c r="NA64" s="552"/>
      <c r="NB64" s="552"/>
      <c r="NC64" s="552"/>
      <c r="ND64" s="552"/>
      <c r="NE64" s="552"/>
      <c r="NF64" s="552"/>
      <c r="NG64" s="552"/>
      <c r="NH64" s="552"/>
      <c r="NI64" s="574"/>
    </row>
    <row r="65" spans="1:373">
      <c r="A65" t="s">
        <v>2226</v>
      </c>
      <c r="B65" s="33">
        <v>9444</v>
      </c>
      <c r="L65" s="193">
        <v>1625</v>
      </c>
      <c r="Q65" s="574"/>
      <c r="W65" s="5">
        <f>EO65+FJ65-HP65</f>
        <v>6954</v>
      </c>
      <c r="AU65" s="193">
        <f>FE65+GK65-HY65</f>
        <v>3526</v>
      </c>
      <c r="AV65" s="193"/>
      <c r="AW65" s="193"/>
      <c r="AX65" s="193"/>
      <c r="BL65" s="574"/>
      <c r="BW65" s="575">
        <f>W65-FJ65</f>
        <v>2838</v>
      </c>
      <c r="DL65" s="574"/>
      <c r="EC65" s="23"/>
      <c r="ED65" s="23"/>
      <c r="EE65" s="23"/>
      <c r="EF65" s="23"/>
      <c r="EJ65" s="574"/>
      <c r="EO65" s="5">
        <v>4261</v>
      </c>
      <c r="EP65" s="193"/>
      <c r="EQ65" s="193"/>
      <c r="ER65" s="193"/>
      <c r="ES65" s="193"/>
      <c r="ET65" s="193"/>
      <c r="EU65" s="193"/>
      <c r="EV65" s="193"/>
      <c r="EW65" s="193"/>
      <c r="EX65" s="193"/>
      <c r="EY65" s="193"/>
      <c r="EZ65" s="193"/>
      <c r="FA65" s="193"/>
      <c r="FB65" s="193"/>
      <c r="FC65" s="193"/>
      <c r="FD65" s="193"/>
      <c r="FE65" s="193">
        <v>1851</v>
      </c>
      <c r="FF65" s="193"/>
      <c r="FG65" s="193"/>
      <c r="FH65" s="193"/>
      <c r="FI65" s="193"/>
      <c r="FJ65" s="5">
        <v>4116</v>
      </c>
      <c r="FK65" s="192"/>
      <c r="FL65" s="192"/>
      <c r="FM65" s="193"/>
      <c r="FN65" s="193"/>
      <c r="FO65" s="193"/>
      <c r="FP65" s="193"/>
      <c r="FQ65" s="193"/>
      <c r="FR65" s="193"/>
      <c r="FS65" s="193"/>
      <c r="FT65" s="193"/>
      <c r="FU65" s="193"/>
      <c r="FV65" s="193"/>
      <c r="FW65" s="193"/>
      <c r="FX65" s="193"/>
      <c r="FY65" s="193"/>
      <c r="FZ65" s="193"/>
      <c r="GA65" s="193"/>
      <c r="GB65" s="193"/>
      <c r="GC65" s="193"/>
      <c r="GD65" s="193"/>
      <c r="GE65" s="193"/>
      <c r="GF65" s="193"/>
      <c r="GG65" s="193"/>
      <c r="GH65" s="193"/>
      <c r="GI65" s="193"/>
      <c r="GJ65" s="193"/>
      <c r="GK65" s="193">
        <v>2248</v>
      </c>
      <c r="GL65" s="193"/>
      <c r="GM65" s="193"/>
      <c r="GN65" s="193"/>
      <c r="GO65" s="193"/>
      <c r="GP65" s="193"/>
      <c r="GQ65" s="193"/>
      <c r="GR65" s="193"/>
      <c r="GS65" s="193"/>
      <c r="GT65" s="193"/>
      <c r="GU65" s="5"/>
      <c r="GV65" s="192"/>
      <c r="GW65" s="192"/>
      <c r="GX65" s="192"/>
      <c r="GY65" s="192"/>
      <c r="GZ65" s="192"/>
      <c r="HA65" s="192"/>
      <c r="HB65" s="192"/>
      <c r="HC65" s="192"/>
      <c r="HD65" s="192"/>
      <c r="HE65" s="192"/>
      <c r="HF65" s="192"/>
      <c r="HG65" s="192"/>
      <c r="HH65" s="3"/>
      <c r="HI65" s="3"/>
      <c r="HJ65" s="193"/>
      <c r="HK65" s="193"/>
      <c r="HL65" s="193"/>
      <c r="HM65"/>
      <c r="HN65" s="193"/>
      <c r="HO65" s="193"/>
      <c r="HP65" s="575">
        <v>1423</v>
      </c>
      <c r="HQ65" s="193"/>
      <c r="HR65" s="193"/>
      <c r="HS65" s="193"/>
      <c r="HT65" s="193"/>
      <c r="HU65" s="193"/>
      <c r="HV65" s="193"/>
      <c r="HW65" s="193"/>
      <c r="HX65" s="193"/>
      <c r="HY65" s="193">
        <v>573</v>
      </c>
      <c r="HZ65" s="193"/>
      <c r="IA65" s="193"/>
      <c r="IB65" s="193"/>
      <c r="IC65" s="193"/>
      <c r="ID65" s="193"/>
      <c r="IE65" s="193"/>
      <c r="IF65" s="193"/>
      <c r="IG65" s="193"/>
      <c r="IH65" s="193"/>
      <c r="II65" s="193"/>
      <c r="IJ65" s="193"/>
      <c r="IK65" s="193"/>
      <c r="IL65" s="193"/>
      <c r="IM65" s="575"/>
      <c r="IN65" s="193"/>
      <c r="IO65" s="193"/>
      <c r="IP65" s="193"/>
      <c r="IQ65" s="193"/>
      <c r="IR65" s="193"/>
      <c r="IS65" s="193"/>
      <c r="IT65" s="193"/>
      <c r="IU65" s="193"/>
      <c r="IV65" s="193"/>
      <c r="IW65" s="193"/>
      <c r="IX65" s="574"/>
      <c r="JI65" s="574"/>
      <c r="JT65" s="574"/>
      <c r="KE65" s="574"/>
      <c r="KP65" s="574"/>
      <c r="LA65" s="574"/>
      <c r="LL65" s="574"/>
      <c r="LY65" s="574"/>
      <c r="MM65" s="574"/>
      <c r="MX65" s="574"/>
      <c r="NI65" s="574"/>
    </row>
    <row r="66" spans="1:373">
      <c r="A66" t="s">
        <v>2227</v>
      </c>
      <c r="B66" s="33">
        <v>14540</v>
      </c>
      <c r="H66" s="524"/>
      <c r="J66" s="524"/>
      <c r="L66" s="193">
        <v>1769</v>
      </c>
      <c r="Q66" s="574"/>
      <c r="W66" s="5">
        <f>EO66+FJ66-HP66</f>
        <v>10707</v>
      </c>
      <c r="AU66" s="193">
        <f>FE66+GK66-HY66</f>
        <v>5875</v>
      </c>
      <c r="AV66" s="193"/>
      <c r="AW66" s="193"/>
      <c r="AX66" s="193"/>
      <c r="BL66" s="574"/>
      <c r="BW66" s="575">
        <f>W66-FJ66</f>
        <v>4516</v>
      </c>
      <c r="DE66" s="552">
        <f>AU66-GK66</f>
        <v>2278</v>
      </c>
      <c r="DL66" s="574"/>
      <c r="EJ66" s="574"/>
      <c r="EO66" s="5">
        <v>7273</v>
      </c>
      <c r="FE66" s="193">
        <v>3499</v>
      </c>
      <c r="FF66" s="193"/>
      <c r="FG66" s="193"/>
      <c r="FH66" s="193"/>
      <c r="FI66" s="193"/>
      <c r="FJ66" s="5">
        <v>6191</v>
      </c>
      <c r="FK66" s="192"/>
      <c r="FL66" s="192"/>
      <c r="GK66" s="330">
        <v>3597</v>
      </c>
      <c r="GL66" s="330"/>
      <c r="GM66" s="330"/>
      <c r="GU66" s="67"/>
      <c r="GV66" s="131"/>
      <c r="GW66" s="131"/>
      <c r="GX66" s="131"/>
      <c r="GY66" s="131"/>
      <c r="GZ66" s="131"/>
      <c r="HA66" s="131"/>
      <c r="HB66" s="131"/>
      <c r="HC66" s="131"/>
      <c r="HD66" s="131"/>
      <c r="HE66" s="131"/>
      <c r="HF66" s="131"/>
      <c r="HG66" s="131"/>
      <c r="HH66" s="532"/>
      <c r="HI66" s="532"/>
      <c r="HP66" s="614">
        <v>2757</v>
      </c>
      <c r="HY66" s="193">
        <v>1221</v>
      </c>
      <c r="HZ66" s="193"/>
      <c r="IA66" s="193"/>
      <c r="IM66" s="574"/>
      <c r="IV66" s="193"/>
      <c r="IW66" s="193"/>
      <c r="IX66" s="574"/>
      <c r="JI66" s="574"/>
      <c r="JT66" s="574"/>
      <c r="KE66" s="574"/>
      <c r="KP66" s="574"/>
      <c r="LA66" s="574"/>
      <c r="LL66" s="574"/>
      <c r="LY66" s="574"/>
      <c r="MM66" s="574"/>
      <c r="MX66" s="574"/>
      <c r="NI66" s="574"/>
    </row>
    <row r="67" spans="1:373" s="601" customFormat="1">
      <c r="Q67" s="574"/>
      <c r="W67" s="574"/>
      <c r="Y67" s="646"/>
      <c r="Z67" s="646"/>
      <c r="AB67" s="646"/>
      <c r="AC67" s="646"/>
      <c r="AE67" s="646"/>
      <c r="AF67" s="646"/>
      <c r="AH67" s="646"/>
      <c r="AI67" s="646"/>
      <c r="AK67" s="651"/>
      <c r="AL67" s="651"/>
      <c r="AN67" s="646"/>
      <c r="AO67" s="646"/>
      <c r="AQ67" s="646"/>
      <c r="AR67" s="646"/>
      <c r="AV67" s="1351"/>
      <c r="AW67" s="1356"/>
      <c r="AZ67" s="646"/>
      <c r="BB67" s="646"/>
      <c r="BC67" s="646"/>
      <c r="BD67" s="646"/>
      <c r="BE67" s="646"/>
      <c r="BF67" s="646"/>
      <c r="BG67" s="646"/>
      <c r="BH67" s="646"/>
      <c r="BK67" s="734"/>
      <c r="BL67" s="574"/>
      <c r="BW67" s="574"/>
      <c r="BY67" s="646"/>
      <c r="BZ67" s="646"/>
      <c r="CB67" s="646"/>
      <c r="CC67" s="646"/>
      <c r="CE67" s="646"/>
      <c r="CF67" s="646"/>
      <c r="CH67" s="646"/>
      <c r="CI67" s="646"/>
      <c r="CK67" s="651"/>
      <c r="CL67" s="651"/>
      <c r="CN67" s="646"/>
      <c r="CO67" s="646"/>
      <c r="CQ67" s="646"/>
      <c r="CS67" s="734"/>
      <c r="CU67" s="68"/>
      <c r="DL67" s="574"/>
      <c r="DN67" s="646"/>
      <c r="DP67" s="646"/>
      <c r="DR67" s="646"/>
      <c r="DT67" s="646"/>
      <c r="DV67" s="646"/>
      <c r="DX67" s="646"/>
      <c r="DY67" s="648"/>
      <c r="DZ67" s="648"/>
      <c r="EB67" s="646"/>
      <c r="ED67" s="621"/>
      <c r="EI67" s="1325"/>
      <c r="EJ67" s="574"/>
      <c r="EK67" s="734"/>
      <c r="EL67" s="734"/>
      <c r="EM67" s="734"/>
      <c r="EN67" s="734"/>
      <c r="EO67" s="574"/>
      <c r="EQ67" s="646"/>
      <c r="ES67" s="646"/>
      <c r="EU67" s="646"/>
      <c r="EW67" s="646"/>
      <c r="EY67" s="646"/>
      <c r="FA67" s="646"/>
      <c r="FF67" s="1356"/>
      <c r="FG67" s="798"/>
      <c r="FH67" s="798"/>
      <c r="FI67" s="798"/>
      <c r="FJ67" s="574"/>
      <c r="FK67" s="532"/>
      <c r="FL67" s="532"/>
      <c r="FN67" s="646"/>
      <c r="FO67" s="646"/>
      <c r="FQ67" s="646"/>
      <c r="FR67" s="646"/>
      <c r="FT67" s="646"/>
      <c r="FU67" s="646"/>
      <c r="FV67" s="646"/>
      <c r="FX67" s="646"/>
      <c r="FY67" s="646"/>
      <c r="GA67" s="646"/>
      <c r="GB67" s="646"/>
      <c r="GC67" s="646"/>
      <c r="GE67" s="646"/>
      <c r="GF67" s="646"/>
      <c r="GH67" s="646"/>
      <c r="GL67" s="1356"/>
      <c r="GM67" s="798"/>
      <c r="GP67" s="798"/>
      <c r="GU67" s="67"/>
      <c r="GV67" s="131"/>
      <c r="GW67" s="131"/>
      <c r="GX67" s="131"/>
      <c r="GY67" s="131"/>
      <c r="GZ67" s="131"/>
      <c r="HA67" s="131"/>
      <c r="HB67" s="131"/>
      <c r="HC67" s="131"/>
      <c r="HD67" s="131"/>
      <c r="HE67" s="131"/>
      <c r="HF67" s="131"/>
      <c r="HG67" s="131"/>
      <c r="HH67" s="532"/>
      <c r="HI67" s="532"/>
      <c r="HK67" s="1356"/>
      <c r="HL67" s="1356"/>
      <c r="HP67" s="574"/>
      <c r="HY67" s="193"/>
      <c r="HZ67" s="193"/>
      <c r="IA67" s="193"/>
      <c r="IM67" s="574"/>
      <c r="IV67" s="193"/>
      <c r="IW67" s="193"/>
      <c r="IX67" s="574"/>
      <c r="JG67" s="657"/>
      <c r="JI67" s="574"/>
      <c r="JR67" s="657"/>
      <c r="JT67" s="574"/>
      <c r="KC67" s="657"/>
      <c r="KE67" s="574"/>
      <c r="KN67" s="657"/>
      <c r="KP67" s="574"/>
      <c r="KY67" s="657"/>
      <c r="LA67" s="574"/>
      <c r="LJ67" s="657"/>
      <c r="LL67" s="574"/>
      <c r="LY67" s="574"/>
      <c r="MM67" s="574"/>
      <c r="MX67" s="574"/>
      <c r="NI67" s="574"/>
    </row>
    <row r="68" spans="1:373" s="601" customFormat="1">
      <c r="Q68" s="574"/>
      <c r="W68" s="574"/>
      <c r="Y68" s="646"/>
      <c r="Z68" s="646"/>
      <c r="AB68" s="646"/>
      <c r="AC68" s="646"/>
      <c r="AE68" s="646"/>
      <c r="AF68" s="646"/>
      <c r="AH68" s="646"/>
      <c r="AI68" s="646"/>
      <c r="AK68" s="651"/>
      <c r="AL68" s="651"/>
      <c r="AN68" s="646"/>
      <c r="AO68" s="646"/>
      <c r="AQ68" s="646"/>
      <c r="AR68" s="646"/>
      <c r="AV68" s="1351"/>
      <c r="AW68" s="1356"/>
      <c r="AZ68" s="646"/>
      <c r="BB68" s="646"/>
      <c r="BC68" s="646"/>
      <c r="BD68" s="646"/>
      <c r="BE68" s="646"/>
      <c r="BF68" s="646"/>
      <c r="BG68" s="646"/>
      <c r="BH68" s="646"/>
      <c r="BK68" s="734"/>
      <c r="BL68" s="574"/>
      <c r="BW68" s="574"/>
      <c r="BY68" s="646"/>
      <c r="BZ68" s="646"/>
      <c r="CB68" s="646"/>
      <c r="CC68" s="646"/>
      <c r="CE68" s="646"/>
      <c r="CF68" s="646"/>
      <c r="CH68" s="646"/>
      <c r="CI68" s="646"/>
      <c r="CK68" s="651"/>
      <c r="CL68" s="651"/>
      <c r="CN68" s="646"/>
      <c r="CO68" s="646"/>
      <c r="CQ68" s="646"/>
      <c r="CS68" s="734"/>
      <c r="CU68" s="68"/>
      <c r="DL68" s="574"/>
      <c r="DN68" s="646"/>
      <c r="DP68" s="646"/>
      <c r="DR68" s="646"/>
      <c r="DT68" s="646"/>
      <c r="DV68" s="646"/>
      <c r="DX68" s="646"/>
      <c r="DY68" s="648"/>
      <c r="DZ68" s="648"/>
      <c r="EB68" s="646"/>
      <c r="ED68" s="621"/>
      <c r="EI68" s="1325"/>
      <c r="EJ68" s="574"/>
      <c r="EK68" s="734"/>
      <c r="EL68" s="734"/>
      <c r="EM68" s="734"/>
      <c r="EN68" s="734"/>
      <c r="EO68" s="574"/>
      <c r="EQ68" s="646"/>
      <c r="ES68" s="646"/>
      <c r="EU68" s="646"/>
      <c r="EW68" s="646"/>
      <c r="EY68" s="646"/>
      <c r="FA68" s="646"/>
      <c r="FF68" s="1356"/>
      <c r="FG68" s="798"/>
      <c r="FH68" s="798"/>
      <c r="FI68" s="798"/>
      <c r="FJ68" s="574"/>
      <c r="FK68" s="532"/>
      <c r="FL68" s="532"/>
      <c r="FN68" s="646"/>
      <c r="FO68" s="646"/>
      <c r="FQ68" s="646"/>
      <c r="FR68" s="646"/>
      <c r="FT68" s="646"/>
      <c r="FU68" s="646"/>
      <c r="FV68" s="646"/>
      <c r="FX68" s="646"/>
      <c r="FY68" s="646"/>
      <c r="GA68" s="646"/>
      <c r="GB68" s="646"/>
      <c r="GC68" s="646"/>
      <c r="GE68" s="646"/>
      <c r="GF68" s="646"/>
      <c r="GH68" s="646"/>
      <c r="GL68" s="1356"/>
      <c r="GM68" s="798"/>
      <c r="GP68" s="798"/>
      <c r="GU68" s="67"/>
      <c r="GV68" s="131"/>
      <c r="GW68" s="131"/>
      <c r="GX68" s="131"/>
      <c r="GY68" s="131"/>
      <c r="GZ68" s="131"/>
      <c r="HA68" s="131"/>
      <c r="HB68" s="131"/>
      <c r="HC68" s="131"/>
      <c r="HD68" s="131"/>
      <c r="HE68" s="131"/>
      <c r="HF68" s="131"/>
      <c r="HG68" s="131"/>
      <c r="HH68" s="532"/>
      <c r="HI68" s="532"/>
      <c r="HK68" s="1356"/>
      <c r="HL68" s="1356"/>
      <c r="HP68" s="574"/>
      <c r="HY68" s="193"/>
      <c r="HZ68" s="193"/>
      <c r="IA68" s="193"/>
      <c r="IM68" s="574"/>
      <c r="IV68" s="193"/>
      <c r="IW68" s="193"/>
      <c r="IX68" s="574"/>
      <c r="JG68" s="657"/>
      <c r="JI68" s="574"/>
      <c r="JR68" s="657"/>
      <c r="JT68" s="574"/>
      <c r="KC68" s="657"/>
      <c r="KE68" s="574"/>
      <c r="KN68" s="657"/>
      <c r="KP68" s="574"/>
      <c r="KY68" s="657"/>
      <c r="LA68" s="574"/>
      <c r="LJ68" s="657"/>
      <c r="LL68" s="574"/>
      <c r="LY68" s="574"/>
      <c r="MM68" s="574"/>
      <c r="MX68" s="574"/>
      <c r="NI68" s="574"/>
    </row>
    <row r="69" spans="1:373">
      <c r="Q69" s="574"/>
      <c r="W69" s="574"/>
      <c r="BL69" s="574"/>
      <c r="BW69" s="574"/>
      <c r="DL69" s="574"/>
      <c r="EJ69" s="574"/>
      <c r="EO69" s="574"/>
      <c r="FJ69" s="574"/>
      <c r="FK69" s="532"/>
      <c r="FL69" s="532"/>
      <c r="GU69" s="67"/>
      <c r="GV69" s="131"/>
      <c r="GW69" s="131"/>
      <c r="GX69" s="131"/>
      <c r="GY69" s="131"/>
      <c r="GZ69" s="131"/>
      <c r="HA69" s="131"/>
      <c r="HB69" s="131"/>
      <c r="HC69" s="131"/>
      <c r="HD69" s="131"/>
      <c r="HE69" s="131"/>
      <c r="HF69" s="131"/>
      <c r="HG69" s="131"/>
      <c r="HH69" s="532"/>
      <c r="HI69" s="532"/>
      <c r="HP69" s="574"/>
      <c r="IM69" s="574"/>
      <c r="IX69" s="574"/>
      <c r="JI69" s="574"/>
      <c r="JT69" s="574"/>
      <c r="KE69" s="574"/>
      <c r="KP69" s="574"/>
      <c r="LA69" s="574"/>
      <c r="LL69" s="574"/>
      <c r="LY69" s="574"/>
      <c r="MM69" s="574"/>
      <c r="MX69" s="574"/>
      <c r="NI69" s="574"/>
    </row>
    <row r="70" spans="1:373">
      <c r="Q70" s="574"/>
      <c r="W70" s="574"/>
      <c r="BL70" s="574"/>
      <c r="BW70" s="574"/>
      <c r="DL70" s="574"/>
      <c r="EJ70" s="574"/>
      <c r="EO70" s="574"/>
      <c r="FJ70" s="574"/>
      <c r="FK70" s="532"/>
      <c r="FL70" s="532"/>
      <c r="GU70" s="67"/>
      <c r="GV70" s="131"/>
      <c r="GW70" s="131"/>
      <c r="GX70" s="131"/>
      <c r="GY70" s="131"/>
      <c r="GZ70" s="131"/>
      <c r="HA70" s="131"/>
      <c r="HB70" s="131"/>
      <c r="HC70" s="131"/>
      <c r="HD70" s="131"/>
      <c r="HE70" s="131"/>
      <c r="HF70" s="131"/>
      <c r="HG70" s="131"/>
      <c r="HH70" s="532"/>
      <c r="HI70" s="532"/>
      <c r="HP70" s="574"/>
      <c r="IM70" s="574"/>
      <c r="IX70" s="574"/>
      <c r="JI70" s="574"/>
      <c r="JT70" s="574"/>
      <c r="KE70" s="574"/>
      <c r="KP70" s="574"/>
      <c r="LA70" s="574"/>
      <c r="LL70" s="574"/>
      <c r="LY70" s="574"/>
      <c r="MM70" s="574"/>
      <c r="MX70" s="574"/>
      <c r="NI70" s="574"/>
    </row>
    <row r="71" spans="1:373">
      <c r="Q71" s="574"/>
      <c r="W71" s="574"/>
      <c r="BL71" s="574"/>
      <c r="BW71" s="574"/>
      <c r="DL71" s="574"/>
      <c r="EJ71" s="574"/>
      <c r="EO71" s="574"/>
      <c r="FJ71" s="574"/>
      <c r="FK71" s="532"/>
      <c r="FL71" s="532"/>
      <c r="GU71" s="67"/>
      <c r="GV71" s="131"/>
      <c r="GW71" s="131"/>
      <c r="GX71" s="131"/>
      <c r="GY71" s="131"/>
      <c r="GZ71" s="131"/>
      <c r="HA71" s="131"/>
      <c r="HB71" s="131"/>
      <c r="HC71" s="131"/>
      <c r="HD71" s="131"/>
      <c r="HE71" s="131"/>
      <c r="HF71" s="131"/>
      <c r="HG71" s="131"/>
      <c r="HH71" s="532"/>
      <c r="HI71" s="532"/>
      <c r="HP71" s="574"/>
      <c r="IM71" s="574"/>
      <c r="IX71" s="574"/>
      <c r="JI71" s="574"/>
      <c r="JT71" s="574"/>
      <c r="KE71" s="574"/>
      <c r="KP71" s="574"/>
      <c r="LA71" s="574"/>
      <c r="LL71" s="574"/>
      <c r="LW71" s="796"/>
      <c r="LY71" s="574"/>
      <c r="MM71" s="574"/>
      <c r="MX71" s="574"/>
      <c r="NI71" s="574"/>
    </row>
    <row r="72" spans="1:373">
      <c r="Q72" s="574"/>
      <c r="W72" s="574"/>
      <c r="BL72" s="574"/>
      <c r="BW72" s="574"/>
      <c r="DL72" s="574"/>
      <c r="EH72" s="581"/>
      <c r="EI72" s="532"/>
      <c r="EJ72" s="532"/>
      <c r="EO72" s="574"/>
      <c r="FJ72" s="574"/>
      <c r="FK72" s="532"/>
      <c r="FL72" s="532"/>
      <c r="GU72" s="574"/>
      <c r="GV72" s="532"/>
      <c r="GW72" s="532"/>
      <c r="GX72" s="532"/>
      <c r="GY72" s="532"/>
      <c r="GZ72" s="532"/>
      <c r="HA72" s="532"/>
      <c r="HB72" s="532"/>
      <c r="HC72" s="532"/>
      <c r="HD72" s="532"/>
      <c r="HE72" s="532"/>
      <c r="HF72" s="532"/>
      <c r="HG72" s="532"/>
      <c r="HH72" s="532"/>
      <c r="HI72" s="532"/>
      <c r="HP72" s="574"/>
      <c r="IM72" s="574"/>
      <c r="IX72" s="574"/>
      <c r="JI72" s="574"/>
      <c r="JT72" s="574"/>
      <c r="KE72" s="574"/>
      <c r="KP72" s="574"/>
      <c r="LA72" s="574"/>
      <c r="LL72" s="574"/>
      <c r="LY72" s="574"/>
      <c r="MM72" s="574"/>
      <c r="MX72" s="574"/>
      <c r="NI72" s="574"/>
    </row>
    <row r="73" spans="1:373">
      <c r="Q73" s="574"/>
      <c r="W73" s="574"/>
      <c r="BL73" s="574"/>
      <c r="BW73" s="574"/>
      <c r="DL73" s="574"/>
      <c r="EH73" s="581"/>
      <c r="EI73" s="532"/>
      <c r="EJ73" s="532"/>
      <c r="EO73" s="574"/>
      <c r="FJ73" s="574"/>
      <c r="FK73" s="532"/>
      <c r="FL73" s="532"/>
      <c r="GU73" s="574"/>
      <c r="GV73" s="532"/>
      <c r="GW73" s="532"/>
      <c r="GX73" s="532"/>
      <c r="GY73" s="532"/>
      <c r="GZ73" s="532"/>
      <c r="HA73" s="532"/>
      <c r="HB73" s="532"/>
      <c r="HC73" s="532"/>
      <c r="HD73" s="532"/>
      <c r="HE73" s="532"/>
      <c r="HF73" s="532"/>
      <c r="HG73" s="532"/>
      <c r="HH73" s="532"/>
      <c r="HI73" s="532"/>
      <c r="HP73" s="574"/>
      <c r="IM73" s="574"/>
      <c r="IX73" s="574"/>
      <c r="JI73" s="574"/>
      <c r="JT73" s="574"/>
      <c r="KE73" s="574"/>
      <c r="KP73" s="574"/>
      <c r="LA73" s="574"/>
      <c r="LL73" s="574"/>
      <c r="LY73" s="574"/>
      <c r="MM73" s="574"/>
      <c r="MN73" s="662"/>
      <c r="MP73" s="552"/>
      <c r="MQ73" s="552"/>
      <c r="MR73" s="619"/>
      <c r="MS73" s="552"/>
      <c r="MX73" s="574"/>
      <c r="NI73" s="574"/>
    </row>
    <row r="74" spans="1:373" s="659" customFormat="1">
      <c r="Q74" s="574"/>
      <c r="W74" s="574"/>
      <c r="AK74" s="651"/>
      <c r="AL74" s="651"/>
      <c r="AV74" s="1351"/>
      <c r="AW74" s="1356"/>
      <c r="BK74" s="734"/>
      <c r="BL74" s="574"/>
      <c r="BW74" s="574"/>
      <c r="CK74" s="651"/>
      <c r="CL74" s="651"/>
      <c r="CS74" s="734"/>
      <c r="CU74" s="68"/>
      <c r="DL74" s="574"/>
      <c r="EH74" s="581"/>
      <c r="EI74" s="532"/>
      <c r="EJ74" s="532"/>
      <c r="EK74" s="734"/>
      <c r="EL74" s="734"/>
      <c r="EM74" s="734"/>
      <c r="EN74" s="734"/>
      <c r="EO74" s="574"/>
      <c r="FF74" s="1356"/>
      <c r="FG74" s="798"/>
      <c r="FH74" s="798"/>
      <c r="FI74" s="798"/>
      <c r="FJ74" s="574"/>
      <c r="FK74" s="532"/>
      <c r="FL74" s="532"/>
      <c r="GL74" s="1356"/>
      <c r="GM74" s="798"/>
      <c r="GP74" s="798"/>
      <c r="GU74" s="574"/>
      <c r="GV74" s="532"/>
      <c r="GW74" s="532"/>
      <c r="GX74" s="532"/>
      <c r="GY74" s="532"/>
      <c r="GZ74" s="532"/>
      <c r="HA74" s="532"/>
      <c r="HB74" s="532"/>
      <c r="HC74" s="532"/>
      <c r="HD74" s="532"/>
      <c r="HE74" s="532"/>
      <c r="HF74" s="532"/>
      <c r="HG74" s="532"/>
      <c r="HH74" s="532"/>
      <c r="HI74" s="532"/>
      <c r="HK74" s="1356"/>
      <c r="HL74" s="1356"/>
      <c r="HP74" s="574"/>
      <c r="HZ74" s="1356"/>
      <c r="IA74" s="798"/>
      <c r="IM74" s="574"/>
      <c r="IW74" s="1356"/>
      <c r="IX74" s="574"/>
      <c r="JI74" s="574"/>
      <c r="JT74" s="574"/>
      <c r="KE74" s="574"/>
      <c r="KP74" s="574"/>
      <c r="LA74" s="574"/>
      <c r="LL74" s="574"/>
      <c r="LY74" s="574"/>
      <c r="MN74" s="662"/>
      <c r="MX74" s="574"/>
      <c r="NI74" s="574"/>
    </row>
    <row r="75" spans="1:373" s="659" customFormat="1">
      <c r="Q75" s="574"/>
      <c r="W75" s="574"/>
      <c r="AK75" s="651"/>
      <c r="AL75" s="651"/>
      <c r="AV75" s="1351"/>
      <c r="AW75" s="1356"/>
      <c r="BK75" s="734"/>
      <c r="BL75" s="574"/>
      <c r="BW75" s="574"/>
      <c r="CK75" s="651"/>
      <c r="CL75" s="651"/>
      <c r="CS75" s="734"/>
      <c r="CU75" s="68"/>
      <c r="DL75" s="574"/>
      <c r="EH75" s="581"/>
      <c r="EI75" s="532"/>
      <c r="EJ75" s="532"/>
      <c r="EK75" s="734"/>
      <c r="EL75" s="734"/>
      <c r="EM75" s="734"/>
      <c r="EN75" s="734"/>
      <c r="EO75" s="574"/>
      <c r="FF75" s="1356"/>
      <c r="FG75" s="798"/>
      <c r="FH75" s="798"/>
      <c r="FI75" s="798"/>
      <c r="FJ75" s="574"/>
      <c r="FK75" s="532"/>
      <c r="FL75" s="532"/>
      <c r="GL75" s="1356"/>
      <c r="GM75" s="798"/>
      <c r="GP75" s="798"/>
      <c r="GU75" s="574"/>
      <c r="GV75" s="532"/>
      <c r="GW75" s="532"/>
      <c r="GX75" s="532"/>
      <c r="GY75" s="532"/>
      <c r="GZ75" s="532"/>
      <c r="HA75" s="532"/>
      <c r="HB75" s="532"/>
      <c r="HC75" s="532"/>
      <c r="HD75" s="532"/>
      <c r="HE75" s="532"/>
      <c r="HF75" s="532"/>
      <c r="HG75" s="532"/>
      <c r="HH75" s="532"/>
      <c r="HI75" s="532"/>
      <c r="HK75" s="1356"/>
      <c r="HL75" s="1356"/>
      <c r="HP75" s="574"/>
      <c r="HZ75" s="1356"/>
      <c r="IA75" s="798"/>
      <c r="IM75" s="574"/>
      <c r="IW75" s="1356"/>
      <c r="IX75" s="574"/>
      <c r="JI75" s="574"/>
      <c r="JT75" s="574"/>
      <c r="KE75" s="574"/>
      <c r="KP75" s="574"/>
      <c r="LA75" s="574"/>
      <c r="LL75" s="574"/>
      <c r="LY75" s="574"/>
      <c r="MM75" s="574"/>
      <c r="MN75" s="662"/>
      <c r="MX75" s="574"/>
      <c r="NI75" s="574"/>
    </row>
    <row r="76" spans="1:373" s="659" customFormat="1">
      <c r="Q76" s="574"/>
      <c r="W76" s="574"/>
      <c r="AK76" s="651"/>
      <c r="AL76" s="651"/>
      <c r="AV76" s="1351"/>
      <c r="AW76" s="1356"/>
      <c r="BK76" s="734"/>
      <c r="BL76" s="574"/>
      <c r="BW76" s="574"/>
      <c r="CK76" s="651"/>
      <c r="CL76" s="651"/>
      <c r="CS76" s="734"/>
      <c r="CU76" s="68"/>
      <c r="DL76" s="574"/>
      <c r="EH76" s="581"/>
      <c r="EI76" s="532"/>
      <c r="EJ76" s="532"/>
      <c r="EK76" s="734"/>
      <c r="EL76" s="734"/>
      <c r="EM76" s="734"/>
      <c r="EN76" s="734"/>
      <c r="EO76" s="574"/>
      <c r="FF76" s="1356"/>
      <c r="FG76" s="798"/>
      <c r="FH76" s="798"/>
      <c r="FI76" s="798"/>
      <c r="FJ76" s="574"/>
      <c r="FK76" s="532"/>
      <c r="FL76" s="532"/>
      <c r="GL76" s="1356"/>
      <c r="GM76" s="798"/>
      <c r="GP76" s="798"/>
      <c r="GU76" s="574"/>
      <c r="GV76" s="532"/>
      <c r="GW76" s="532"/>
      <c r="GX76" s="532"/>
      <c r="GY76" s="532"/>
      <c r="GZ76" s="532"/>
      <c r="HA76" s="532"/>
      <c r="HB76" s="532"/>
      <c r="HC76" s="532"/>
      <c r="HD76" s="532"/>
      <c r="HE76" s="532"/>
      <c r="HF76" s="532"/>
      <c r="HG76" s="532"/>
      <c r="HH76" s="532"/>
      <c r="HI76" s="532"/>
      <c r="HK76" s="1356"/>
      <c r="HL76" s="1356"/>
      <c r="HP76" s="574"/>
      <c r="HZ76" s="1356"/>
      <c r="IA76" s="798"/>
      <c r="IM76" s="574"/>
      <c r="IW76" s="1356"/>
      <c r="IX76" s="574"/>
      <c r="JI76" s="574"/>
      <c r="JT76" s="574"/>
      <c r="KE76" s="574"/>
      <c r="KP76" s="574"/>
      <c r="LA76" s="574"/>
      <c r="LL76" s="574"/>
      <c r="LY76" s="574"/>
      <c r="MM76" s="574"/>
      <c r="MX76" s="574"/>
      <c r="NI76" s="574"/>
    </row>
    <row r="77" spans="1:373">
      <c r="Q77" s="574"/>
      <c r="W77" s="574"/>
      <c r="BL77" s="574"/>
      <c r="BW77" s="574"/>
      <c r="DL77" s="574"/>
      <c r="EH77" s="581"/>
      <c r="EI77" s="532"/>
      <c r="EJ77" s="532"/>
      <c r="EO77" s="574"/>
      <c r="FJ77" s="574"/>
      <c r="FK77" s="532"/>
      <c r="FL77" s="532"/>
      <c r="GU77" s="574"/>
      <c r="GV77" s="532"/>
      <c r="GW77" s="532"/>
      <c r="GX77" s="532"/>
      <c r="GY77" s="532"/>
      <c r="GZ77" s="532"/>
      <c r="HA77" s="532"/>
      <c r="HB77" s="532"/>
      <c r="HC77" s="532"/>
      <c r="HD77" s="532"/>
      <c r="HE77" s="532"/>
      <c r="HF77" s="532"/>
      <c r="HG77" s="532"/>
      <c r="HH77" s="532"/>
      <c r="HI77" s="532"/>
      <c r="HP77" s="574"/>
      <c r="IM77" s="574"/>
      <c r="IX77" s="574"/>
      <c r="JI77" s="574"/>
      <c r="JT77" s="574"/>
      <c r="KE77" s="574"/>
      <c r="KP77" s="574"/>
      <c r="LA77" s="574"/>
      <c r="LL77" s="574"/>
      <c r="LY77" s="574"/>
      <c r="MC77" t="s">
        <v>2208</v>
      </c>
      <c r="MF77" s="616">
        <f>ME59</f>
        <v>6.1610529375296846E-2</v>
      </c>
      <c r="MM77" s="574"/>
      <c r="MX77" s="574"/>
      <c r="NI77" s="574"/>
    </row>
    <row r="78" spans="1:373">
      <c r="Q78" s="574"/>
      <c r="W78" s="574"/>
      <c r="BL78" s="574"/>
      <c r="BW78" s="574"/>
      <c r="DL78" s="574"/>
      <c r="EH78" s="581"/>
      <c r="EI78" s="532"/>
      <c r="EJ78" s="532"/>
      <c r="EO78" s="574"/>
      <c r="FJ78" s="574"/>
      <c r="FK78" s="532"/>
      <c r="FL78" s="532"/>
      <c r="GU78" s="574"/>
      <c r="GV78" s="532"/>
      <c r="GW78" s="532"/>
      <c r="GX78" s="532"/>
      <c r="GY78" s="532"/>
      <c r="GZ78" s="532"/>
      <c r="HA78" s="532"/>
      <c r="HB78" s="532"/>
      <c r="HC78" s="532"/>
      <c r="HD78" s="532"/>
      <c r="HE78" s="532"/>
      <c r="HF78" s="532"/>
      <c r="HG78" s="532"/>
      <c r="HH78" s="532"/>
      <c r="HI78" s="532"/>
      <c r="HP78" s="574"/>
      <c r="IM78" s="574"/>
      <c r="IX78" s="574"/>
      <c r="JI78" s="574"/>
      <c r="JT78" s="574"/>
      <c r="KE78" s="4"/>
      <c r="KP78" s="4"/>
      <c r="LA78" s="4"/>
      <c r="LL78" s="574"/>
      <c r="LY78" s="574"/>
      <c r="MC78" t="s">
        <v>2210</v>
      </c>
      <c r="MF78" s="616">
        <f>MI59</f>
        <v>8.575020978942996E-2</v>
      </c>
      <c r="MM78" s="574"/>
      <c r="MX78" s="574"/>
      <c r="NI78" s="574"/>
    </row>
    <row r="79" spans="1:373">
      <c r="Q79" s="574"/>
      <c r="W79" s="574"/>
      <c r="BL79" s="574"/>
      <c r="BW79" s="574"/>
      <c r="DL79" s="574"/>
      <c r="EH79" s="581"/>
      <c r="EI79" s="532"/>
      <c r="EJ79" s="532"/>
      <c r="EO79" s="574"/>
      <c r="FJ79" s="574"/>
      <c r="FK79" s="532"/>
      <c r="FL79" s="532"/>
      <c r="GU79" s="574"/>
      <c r="GV79" s="532"/>
      <c r="GW79" s="532"/>
      <c r="GX79" s="532"/>
      <c r="GY79" s="532"/>
      <c r="GZ79" s="532"/>
      <c r="HA79" s="532"/>
      <c r="HB79" s="532"/>
      <c r="HC79" s="532"/>
      <c r="HD79" s="532"/>
      <c r="HE79" s="532"/>
      <c r="HF79" s="532"/>
      <c r="HG79" s="532"/>
      <c r="HH79" s="532"/>
      <c r="HI79" s="532"/>
      <c r="HP79" s="574"/>
      <c r="IM79" s="574"/>
      <c r="IX79" s="574"/>
      <c r="JI79" s="574"/>
      <c r="JT79" s="574"/>
      <c r="KE79" s="58"/>
      <c r="KP79" s="58"/>
      <c r="LA79" s="58"/>
      <c r="LL79" s="574"/>
      <c r="LY79" s="574"/>
      <c r="MC79" t="s">
        <v>2209</v>
      </c>
      <c r="MF79" s="553">
        <f>MK59</f>
        <v>0.10342682983838926</v>
      </c>
      <c r="MM79" s="574"/>
      <c r="NI79" s="574"/>
    </row>
    <row r="80" spans="1:373">
      <c r="Q80" s="574"/>
      <c r="W80" s="574"/>
      <c r="BL80" s="574"/>
      <c r="BW80" s="574"/>
      <c r="DL80" s="574"/>
      <c r="EH80" s="581"/>
      <c r="EI80" s="532"/>
      <c r="EJ80" s="532"/>
      <c r="EO80" s="574"/>
      <c r="FJ80" s="574"/>
      <c r="FK80" s="532"/>
      <c r="FL80" s="532"/>
      <c r="GU80" s="574"/>
      <c r="GV80" s="532"/>
      <c r="GW80" s="532"/>
      <c r="GX80" s="532"/>
      <c r="GY80" s="532"/>
      <c r="GZ80" s="532"/>
      <c r="HA80" s="532"/>
      <c r="HB80" s="532"/>
      <c r="HC80" s="532"/>
      <c r="HD80" s="532"/>
      <c r="HE80" s="532"/>
      <c r="HF80" s="532"/>
      <c r="HG80" s="532"/>
      <c r="HH80" s="532"/>
      <c r="HI80" s="532"/>
      <c r="HP80" s="574"/>
      <c r="IM80" s="574"/>
      <c r="IX80" s="574"/>
      <c r="JI80" s="574"/>
      <c r="JT80" s="574"/>
      <c r="KE80" s="58"/>
      <c r="KP80" s="58"/>
      <c r="LA80" s="58"/>
      <c r="LL80" s="574"/>
      <c r="LY80" s="574"/>
      <c r="MC80" t="s">
        <v>2204</v>
      </c>
      <c r="MF80" s="553">
        <f>MH59</f>
        <v>0.18785763740759651</v>
      </c>
      <c r="MM80" s="574"/>
      <c r="NI80" s="574"/>
    </row>
    <row r="81" spans="17:373">
      <c r="Q81" s="574"/>
      <c r="W81" s="574"/>
      <c r="BL81" s="574"/>
      <c r="BW81" s="574"/>
      <c r="DL81" s="574"/>
      <c r="EH81" s="581"/>
      <c r="EI81" s="532"/>
      <c r="EO81" s="574"/>
      <c r="FJ81" s="574"/>
      <c r="FK81" s="532"/>
      <c r="FL81" s="532"/>
      <c r="GU81" s="574"/>
      <c r="GV81" s="532"/>
      <c r="GW81" s="532"/>
      <c r="GX81" s="532"/>
      <c r="GY81" s="532"/>
      <c r="GZ81" s="532"/>
      <c r="HA81" s="532"/>
      <c r="HB81" s="532"/>
      <c r="HC81" s="532"/>
      <c r="HD81" s="532"/>
      <c r="HE81" s="532"/>
      <c r="HF81" s="532"/>
      <c r="HG81" s="532"/>
      <c r="HH81" s="532"/>
      <c r="HI81" s="532"/>
      <c r="HP81" s="574"/>
      <c r="IM81" s="574"/>
      <c r="IX81" s="574"/>
      <c r="JI81" s="574"/>
      <c r="JT81" s="574"/>
      <c r="KE81" s="58"/>
      <c r="KP81" s="58"/>
      <c r="LA81" s="58"/>
      <c r="LL81" s="574"/>
      <c r="LY81" s="574"/>
      <c r="MC81" t="s">
        <v>1855</v>
      </c>
      <c r="MF81" s="553">
        <f>ML59</f>
        <v>0.24896793899041997</v>
      </c>
      <c r="MM81" s="574"/>
      <c r="NI81" s="574"/>
    </row>
    <row r="82" spans="17:373">
      <c r="Q82" s="574"/>
      <c r="W82" s="574"/>
      <c r="BL82" s="574"/>
      <c r="BW82" s="574"/>
      <c r="DL82" s="574"/>
      <c r="EH82" s="581"/>
      <c r="EI82" s="532"/>
      <c r="EO82" s="574"/>
      <c r="FJ82" s="574"/>
      <c r="FK82" s="532"/>
      <c r="FL82" s="532"/>
      <c r="GU82" s="574"/>
      <c r="GV82" s="532"/>
      <c r="GW82" s="532"/>
      <c r="GX82" s="532"/>
      <c r="GY82" s="532"/>
      <c r="GZ82" s="532"/>
      <c r="HA82" s="532"/>
      <c r="HB82" s="532"/>
      <c r="HC82" s="532"/>
      <c r="HD82" s="532"/>
      <c r="HE82" s="532"/>
      <c r="HF82" s="532"/>
      <c r="HG82" s="532"/>
      <c r="HH82" s="532"/>
      <c r="HI82" s="532"/>
      <c r="HP82" s="574"/>
      <c r="IM82" s="574"/>
      <c r="IX82" s="574"/>
      <c r="JI82" s="574"/>
      <c r="JT82" s="574"/>
      <c r="LY82" s="574"/>
      <c r="MC82" t="s">
        <v>2208</v>
      </c>
      <c r="MF82" s="616">
        <f>ME59</f>
        <v>6.1610529375296846E-2</v>
      </c>
      <c r="NI82" s="574"/>
    </row>
    <row r="83" spans="17:373">
      <c r="Q83" s="574"/>
      <c r="W83" s="574"/>
      <c r="BL83" s="574"/>
      <c r="BW83" s="574"/>
      <c r="DL83" s="574"/>
      <c r="EH83" s="581"/>
      <c r="EI83" s="532"/>
      <c r="EO83" s="574"/>
      <c r="FJ83" s="574"/>
      <c r="FK83" s="532"/>
      <c r="FL83" s="532"/>
      <c r="GU83" s="574"/>
      <c r="GV83" s="532"/>
      <c r="GW83" s="532"/>
      <c r="GX83" s="532"/>
      <c r="GY83" s="532"/>
      <c r="GZ83" s="532"/>
      <c r="HA83" s="532"/>
      <c r="HB83" s="532"/>
      <c r="HC83" s="532"/>
      <c r="HD83" s="532"/>
      <c r="HE83" s="532"/>
      <c r="HF83" s="532"/>
      <c r="HG83" s="532"/>
      <c r="HH83" s="532"/>
      <c r="HI83" s="532"/>
      <c r="HP83" s="574"/>
      <c r="IM83" s="574"/>
      <c r="IX83" s="574"/>
      <c r="JI83" s="574"/>
      <c r="JT83" s="574"/>
      <c r="MC83" t="s">
        <v>2211</v>
      </c>
      <c r="MF83" s="616">
        <f>MD59</f>
        <v>7.0667104937444963E-2</v>
      </c>
      <c r="NI83" s="574"/>
    </row>
    <row r="84" spans="17:373">
      <c r="Q84" s="574"/>
      <c r="W84" s="574"/>
      <c r="BL84" s="574"/>
      <c r="BW84" s="574"/>
      <c r="DL84" s="574"/>
      <c r="EH84" s="581"/>
      <c r="EI84" s="532"/>
      <c r="EO84" s="574"/>
      <c r="FJ84" s="574"/>
      <c r="FK84" s="532"/>
      <c r="FL84" s="532"/>
      <c r="GU84" s="574"/>
      <c r="GV84" s="532"/>
      <c r="GW84" s="532"/>
      <c r="GX84" s="532"/>
      <c r="GY84" s="532"/>
      <c r="GZ84" s="532"/>
      <c r="HA84" s="532"/>
      <c r="HB84" s="532"/>
      <c r="HC84" s="532"/>
      <c r="HD84" s="532"/>
      <c r="HE84" s="532"/>
      <c r="HF84" s="532"/>
      <c r="HG84" s="532"/>
      <c r="HH84" s="532"/>
      <c r="HI84" s="532"/>
      <c r="HP84" s="574"/>
      <c r="IM84" s="574"/>
      <c r="IX84" s="574"/>
      <c r="JI84" s="574"/>
      <c r="JT84" s="574"/>
      <c r="MC84" t="s">
        <v>697</v>
      </c>
      <c r="MF84" s="616">
        <f>MA59</f>
        <v>7.2461760316370805E-2</v>
      </c>
      <c r="NI84" s="574"/>
    </row>
    <row r="85" spans="17:373">
      <c r="Q85" s="574"/>
      <c r="W85" s="574"/>
      <c r="BL85" s="574"/>
      <c r="BW85" s="574"/>
      <c r="DL85" s="574"/>
      <c r="EH85" s="581"/>
      <c r="EI85" s="532"/>
      <c r="EO85" s="574"/>
      <c r="FJ85" s="574"/>
      <c r="FK85" s="532"/>
      <c r="FL85" s="532"/>
      <c r="GU85" s="574"/>
      <c r="GV85" s="532"/>
      <c r="GW85" s="532"/>
      <c r="GX85" s="532"/>
      <c r="GY85" s="532"/>
      <c r="GZ85" s="532"/>
      <c r="HA85" s="532"/>
      <c r="HB85" s="532"/>
      <c r="HC85" s="532"/>
      <c r="HD85" s="532"/>
      <c r="HE85" s="532"/>
      <c r="HF85" s="532"/>
      <c r="HG85" s="532"/>
      <c r="HH85" s="532"/>
      <c r="HI85" s="532"/>
      <c r="HP85" s="574"/>
      <c r="IM85" s="574"/>
      <c r="IX85" s="574"/>
      <c r="JI85" s="574"/>
      <c r="JT85" s="574"/>
      <c r="MC85" t="s">
        <v>694</v>
      </c>
      <c r="MF85" s="616">
        <f>MB59</f>
        <v>0.16024470672831148</v>
      </c>
      <c r="NI85" s="574"/>
    </row>
    <row r="86" spans="17:373">
      <c r="Q86" s="574"/>
      <c r="W86" s="574"/>
      <c r="BL86" s="574"/>
      <c r="BW86" s="574"/>
      <c r="DL86" s="574"/>
      <c r="EH86" s="581"/>
      <c r="EI86" s="532"/>
      <c r="EO86" s="574"/>
      <c r="FJ86" s="574"/>
      <c r="FK86" s="532"/>
      <c r="FL86" s="532"/>
      <c r="GU86" s="574"/>
      <c r="GV86" s="532"/>
      <c r="GW86" s="532"/>
      <c r="GX86" s="532"/>
      <c r="GY86" s="532"/>
      <c r="GZ86" s="532"/>
      <c r="HA86" s="532"/>
      <c r="HB86" s="532"/>
      <c r="HC86" s="532"/>
      <c r="HD86" s="532"/>
      <c r="HE86" s="532"/>
      <c r="HF86" s="532"/>
      <c r="HG86" s="532"/>
      <c r="HH86" s="532"/>
      <c r="HI86" s="532"/>
      <c r="HP86" s="574"/>
      <c r="IM86" s="574"/>
      <c r="IX86" s="574"/>
      <c r="JI86" s="574"/>
      <c r="JT86" s="574"/>
      <c r="MC86" t="s">
        <v>696</v>
      </c>
      <c r="MF86" s="616">
        <f>MF59</f>
        <v>0.16545287500560213</v>
      </c>
      <c r="NI86" s="574"/>
    </row>
    <row r="87" spans="17:373">
      <c r="Q87" s="574"/>
      <c r="W87" s="574"/>
      <c r="BL87" s="574"/>
      <c r="BW87" s="574"/>
      <c r="DL87" s="574"/>
      <c r="EH87" s="581"/>
      <c r="EI87" s="532"/>
      <c r="EO87" s="574"/>
      <c r="FJ87" s="574"/>
      <c r="FK87" s="532"/>
      <c r="FL87" s="532"/>
      <c r="GU87" s="574"/>
      <c r="GV87" s="532"/>
      <c r="GW87" s="532"/>
      <c r="GX87" s="532"/>
      <c r="GY87" s="532"/>
      <c r="GZ87" s="532"/>
      <c r="HA87" s="532"/>
      <c r="HB87" s="532"/>
      <c r="HC87" s="532"/>
      <c r="HD87" s="532"/>
      <c r="HE87" s="532"/>
      <c r="HF87" s="532"/>
      <c r="HG87" s="532"/>
      <c r="HH87" s="532"/>
      <c r="HI87" s="532"/>
      <c r="HP87" s="574"/>
      <c r="IM87" s="574"/>
      <c r="IX87" s="574"/>
      <c r="JI87" s="574"/>
      <c r="JT87" s="574"/>
      <c r="MC87" t="s">
        <v>695</v>
      </c>
      <c r="MF87" s="616">
        <f>MC59</f>
        <v>0.19089670970629424</v>
      </c>
    </row>
    <row r="88" spans="17:373">
      <c r="Q88" s="574"/>
      <c r="W88" s="574"/>
      <c r="BL88" s="574"/>
      <c r="BW88" s="574"/>
      <c r="DL88" s="574"/>
      <c r="EH88" s="581"/>
      <c r="EI88" s="532"/>
      <c r="EO88" s="574"/>
      <c r="FJ88" s="574"/>
      <c r="FK88" s="532"/>
      <c r="FL88" s="532"/>
      <c r="GU88" s="532"/>
      <c r="GV88" s="532"/>
      <c r="GW88" s="532"/>
      <c r="GX88" s="532"/>
      <c r="GY88" s="532"/>
      <c r="GZ88" s="532"/>
      <c r="HA88" s="532"/>
      <c r="HB88" s="532"/>
      <c r="HC88" s="532"/>
      <c r="HD88" s="532"/>
      <c r="HE88" s="532"/>
      <c r="HF88" s="532"/>
      <c r="HG88" s="532"/>
      <c r="HH88" s="532"/>
      <c r="HI88" s="532"/>
      <c r="JT88" s="574"/>
      <c r="MC88" t="s">
        <v>693</v>
      </c>
      <c r="MF88" s="616">
        <f>LZ59</f>
        <v>0.19810551427406448</v>
      </c>
    </row>
    <row r="89" spans="17:373">
      <c r="Q89" s="574"/>
      <c r="W89" s="574"/>
      <c r="BL89" s="574"/>
      <c r="BW89" s="574"/>
      <c r="DL89" s="574"/>
      <c r="EH89" s="581"/>
      <c r="EI89" s="532"/>
      <c r="EO89" s="574"/>
      <c r="FJ89" s="574"/>
      <c r="FK89" s="532"/>
      <c r="FL89" s="532"/>
      <c r="GU89" s="532"/>
      <c r="GV89" s="532"/>
      <c r="GW89" s="532"/>
      <c r="GX89" s="532"/>
      <c r="GY89" s="532"/>
      <c r="GZ89" s="532"/>
      <c r="HA89" s="532"/>
      <c r="HB89" s="532"/>
      <c r="HC89" s="532"/>
      <c r="HD89" s="532"/>
      <c r="HE89" s="532"/>
      <c r="HF89" s="532"/>
      <c r="HG89" s="532"/>
      <c r="HH89" s="532"/>
      <c r="HI89" s="532"/>
    </row>
    <row r="90" spans="17:373" s="657" customFormat="1">
      <c r="Q90" s="574"/>
      <c r="W90" s="574"/>
      <c r="AK90" s="651"/>
      <c r="AL90" s="651"/>
      <c r="AV90" s="1351"/>
      <c r="AW90" s="1356"/>
      <c r="BK90" s="734"/>
      <c r="BL90" s="574"/>
      <c r="BW90" s="574"/>
      <c r="CK90" s="651"/>
      <c r="CL90" s="651"/>
      <c r="CS90" s="734"/>
      <c r="CU90" s="68"/>
      <c r="DL90" s="574"/>
      <c r="EH90" s="581"/>
      <c r="EI90" s="532"/>
      <c r="EJ90" s="734"/>
      <c r="EK90" s="734"/>
      <c r="EL90" s="734"/>
      <c r="EM90" s="734"/>
      <c r="EN90" s="734"/>
      <c r="EO90" s="574"/>
      <c r="FF90" s="1356"/>
      <c r="FG90" s="798"/>
      <c r="FH90" s="798"/>
      <c r="FI90" s="798"/>
      <c r="FJ90" s="574"/>
      <c r="FK90" s="532"/>
      <c r="FL90" s="532"/>
      <c r="GL90" s="1356"/>
      <c r="GM90" s="798"/>
      <c r="GP90" s="798"/>
      <c r="GU90" s="532"/>
      <c r="GV90" s="532"/>
      <c r="GW90" s="532"/>
      <c r="GX90" s="532"/>
      <c r="GY90" s="532"/>
      <c r="GZ90" s="532"/>
      <c r="HA90" s="532"/>
      <c r="HB90" s="532"/>
      <c r="HC90" s="532"/>
      <c r="HD90" s="532"/>
      <c r="HE90" s="532"/>
      <c r="HF90" s="532"/>
      <c r="HG90" s="532"/>
      <c r="HH90" s="532"/>
      <c r="HI90" s="532"/>
      <c r="HK90" s="1356"/>
      <c r="HL90" s="1356"/>
      <c r="HZ90" s="1356"/>
      <c r="IA90" s="798"/>
      <c r="IW90" s="1356"/>
    </row>
    <row r="91" spans="17:373">
      <c r="Q91" s="574"/>
      <c r="W91" s="574"/>
      <c r="BL91" s="574"/>
      <c r="BW91" s="574"/>
      <c r="DL91" s="574"/>
      <c r="EH91" s="581"/>
      <c r="EI91" s="532"/>
      <c r="EO91" s="574"/>
      <c r="FJ91" s="574"/>
      <c r="FK91" s="532"/>
      <c r="FL91" s="532"/>
      <c r="GU91" s="532"/>
      <c r="GV91" s="532"/>
      <c r="GW91" s="532"/>
      <c r="GX91" s="532"/>
      <c r="GY91" s="532"/>
      <c r="GZ91" s="532"/>
      <c r="HA91" s="532"/>
      <c r="HB91" s="532"/>
      <c r="HC91" s="532"/>
      <c r="HD91" s="532"/>
      <c r="HE91" s="532"/>
      <c r="HF91" s="532"/>
      <c r="HG91" s="532"/>
    </row>
    <row r="92" spans="17:373">
      <c r="Q92" s="574"/>
      <c r="W92" s="574"/>
      <c r="BL92" s="574"/>
      <c r="BW92" s="574"/>
      <c r="DL92" s="574"/>
      <c r="EH92" s="581"/>
      <c r="EI92" s="532"/>
      <c r="EO92" s="574"/>
      <c r="FJ92" s="574"/>
      <c r="FK92" s="532"/>
      <c r="FL92" s="532"/>
      <c r="GU92" s="532"/>
      <c r="GV92" s="532"/>
      <c r="GW92" s="532"/>
      <c r="GX92" s="532"/>
      <c r="GY92" s="532"/>
      <c r="GZ92" s="532"/>
      <c r="HA92" s="532"/>
      <c r="HB92" s="532"/>
      <c r="HC92" s="532"/>
      <c r="HD92" s="532"/>
      <c r="HE92" s="532"/>
      <c r="HF92" s="532"/>
      <c r="HG92" s="532"/>
    </row>
    <row r="93" spans="17:373">
      <c r="Q93" s="574"/>
      <c r="W93" s="574"/>
      <c r="BL93" s="574"/>
      <c r="BW93" s="574"/>
      <c r="DL93" s="574"/>
      <c r="EH93" s="581"/>
      <c r="EI93" s="532"/>
      <c r="EO93" s="574"/>
      <c r="FJ93" s="574"/>
      <c r="FK93" s="532"/>
      <c r="FL93" s="532"/>
    </row>
    <row r="94" spans="17:373">
      <c r="Q94" s="574"/>
      <c r="W94" s="574"/>
      <c r="BL94" s="574"/>
      <c r="BW94" s="574"/>
      <c r="DL94" s="574"/>
      <c r="EH94" s="581"/>
      <c r="EI94" s="532"/>
      <c r="EO94" s="574"/>
      <c r="FJ94" s="574"/>
      <c r="FK94" s="532"/>
      <c r="FL94" s="532"/>
    </row>
    <row r="95" spans="17:373">
      <c r="Q95" s="574"/>
      <c r="W95" s="574"/>
      <c r="BL95" s="574"/>
      <c r="BW95" s="574"/>
      <c r="DL95" s="574"/>
      <c r="EH95" s="581"/>
      <c r="EI95" s="532"/>
      <c r="EO95" s="574"/>
      <c r="FJ95" s="574"/>
      <c r="FK95" s="532"/>
      <c r="FL95" s="532"/>
    </row>
    <row r="96" spans="17:373">
      <c r="Q96" s="574"/>
      <c r="W96" s="574"/>
      <c r="BL96" s="574"/>
      <c r="BW96" s="574"/>
      <c r="DL96" s="574"/>
      <c r="EH96" s="581"/>
      <c r="EI96" s="532"/>
      <c r="EO96" s="574"/>
      <c r="FJ96" s="574"/>
      <c r="FK96" s="532"/>
      <c r="FL96" s="532"/>
    </row>
    <row r="97" spans="17:168">
      <c r="Q97" s="574"/>
      <c r="W97" s="574"/>
      <c r="BL97" s="574"/>
      <c r="BW97" s="574"/>
      <c r="DL97" s="574"/>
      <c r="EH97" s="581"/>
      <c r="EI97" s="532"/>
      <c r="EO97" s="574"/>
      <c r="FJ97" s="574"/>
      <c r="FK97" s="532"/>
      <c r="FL97" s="532"/>
    </row>
    <row r="98" spans="17:168">
      <c r="Q98" s="574"/>
      <c r="W98" s="574"/>
      <c r="BL98" s="574"/>
      <c r="BW98" s="574"/>
      <c r="DL98" s="574"/>
      <c r="EH98" s="581"/>
      <c r="EI98" s="532"/>
      <c r="EO98" s="574"/>
      <c r="FJ98" s="574"/>
      <c r="FK98" s="532"/>
      <c r="FL98" s="532"/>
    </row>
    <row r="99" spans="17:168">
      <c r="Q99" s="574"/>
      <c r="W99" s="574"/>
      <c r="BL99" s="574"/>
      <c r="BW99" s="574"/>
      <c r="DL99" s="574"/>
      <c r="EH99" s="581"/>
      <c r="EI99" s="532"/>
      <c r="EO99" s="574"/>
      <c r="FJ99" s="574"/>
      <c r="FK99" s="532"/>
      <c r="FL99" s="532"/>
    </row>
    <row r="100" spans="17:168">
      <c r="Q100" s="574"/>
      <c r="DL100" s="574"/>
      <c r="EH100" s="581"/>
      <c r="EI100" s="532"/>
      <c r="EO100" s="574"/>
      <c r="FJ100" s="574"/>
      <c r="FK100" s="532"/>
      <c r="FL100" s="532"/>
    </row>
    <row r="101" spans="17:168">
      <c r="Q101" s="574"/>
      <c r="DL101" s="574"/>
      <c r="EH101" s="581"/>
      <c r="EI101" s="532"/>
      <c r="EO101" s="574"/>
      <c r="FJ101" s="574"/>
      <c r="FK101" s="532"/>
      <c r="FL101" s="532"/>
    </row>
    <row r="102" spans="17:168">
      <c r="Q102" s="574"/>
      <c r="DL102" s="574"/>
      <c r="EH102" s="581"/>
      <c r="EI102" s="532"/>
      <c r="EO102" s="574"/>
      <c r="FJ102" s="574"/>
      <c r="FK102" s="532"/>
      <c r="FL102" s="532"/>
    </row>
    <row r="103" spans="17:168">
      <c r="Q103" s="574"/>
      <c r="DL103" s="574"/>
      <c r="EH103" s="581"/>
      <c r="EI103" s="532"/>
      <c r="EO103" s="574"/>
      <c r="FJ103" s="574"/>
      <c r="FK103" s="532"/>
      <c r="FL103" s="532"/>
    </row>
    <row r="104" spans="17:168">
      <c r="DL104" s="574"/>
      <c r="EH104" s="581"/>
      <c r="EI104" s="532"/>
      <c r="EO104" s="574"/>
    </row>
    <row r="105" spans="17:168">
      <c r="DL105" s="574"/>
      <c r="EH105" s="581"/>
      <c r="EI105" s="532"/>
      <c r="EO105" s="574"/>
    </row>
    <row r="106" spans="17:168">
      <c r="DL106" s="574"/>
      <c r="EH106" s="581"/>
      <c r="EI106" s="532"/>
      <c r="EO106" s="574"/>
    </row>
    <row r="107" spans="17:168">
      <c r="DL107" s="574"/>
      <c r="EH107" s="581"/>
      <c r="EI107" s="532"/>
      <c r="EO107" s="574"/>
    </row>
    <row r="108" spans="17:168">
      <c r="DL108" s="574"/>
      <c r="EH108" s="581"/>
      <c r="EI108" s="532"/>
      <c r="EO108" s="574"/>
    </row>
    <row r="109" spans="17:168">
      <c r="DL109" s="574"/>
      <c r="EH109" s="581"/>
      <c r="EI109" s="532"/>
      <c r="EO109" s="574"/>
    </row>
    <row r="110" spans="17:168">
      <c r="DL110" s="574"/>
      <c r="EH110" s="581"/>
      <c r="EI110" s="532"/>
      <c r="EO110" s="574"/>
    </row>
    <row r="111" spans="17:168">
      <c r="DL111" s="574"/>
      <c r="EH111" s="581"/>
      <c r="EI111" s="532"/>
      <c r="EO111" s="574"/>
    </row>
    <row r="112" spans="17:168">
      <c r="DL112" s="574"/>
      <c r="EH112" s="581"/>
      <c r="EI112" s="532"/>
      <c r="EO112" s="574"/>
    </row>
    <row r="113" spans="138:145">
      <c r="EH113" s="581"/>
      <c r="EI113" s="532"/>
      <c r="EO113" s="574"/>
    </row>
    <row r="114" spans="138:145">
      <c r="EH114" s="581"/>
      <c r="EI114" s="532"/>
      <c r="EO114" s="574"/>
    </row>
    <row r="115" spans="138:145">
      <c r="EO115" s="574"/>
    </row>
  </sheetData>
  <pageMargins left="0.75" right="0.75" top="1" bottom="1" header="0.5" footer="0.5"/>
  <pageSetup orientation="portrait" horizontalDpi="4294967292" verticalDpi="4294967292"/>
  <ignoredErrors>
    <ignoredError sqref="BS29:BS33 AP64 GV39 HB30:HB38 FG15 FG22" formula="1"/>
  </ignoredErrors>
  <drawing r:id="rId1"/>
  <legacyDrawing r:id="rId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JM220"/>
  <sheetViews>
    <sheetView workbookViewId="0">
      <pane xSplit="2" ySplit="4" topLeftCell="T46" activePane="bottomRight" state="frozen"/>
      <selection activeCell="X67" sqref="X67"/>
      <selection pane="topRight" activeCell="X67" sqref="X67"/>
      <selection pane="bottomLeft" activeCell="X67" sqref="X67"/>
      <selection pane="bottomRight" activeCell="X67" sqref="X67"/>
    </sheetView>
  </sheetViews>
  <sheetFormatPr baseColWidth="10" defaultRowHeight="15" x14ac:dyDescent="0"/>
  <cols>
    <col min="1" max="1" width="4.7109375" style="68" customWidth="1"/>
    <col min="2" max="45" width="10.7109375" style="68"/>
    <col min="46" max="46" width="12.140625" style="68" bestFit="1" customWidth="1"/>
    <col min="47" max="57" width="10.7109375" style="68"/>
    <col min="58" max="61" width="11.42578125" style="68" customWidth="1"/>
    <col min="62" max="83" width="10.7109375" style="68"/>
    <col min="84" max="84" width="10.7109375" style="68" customWidth="1"/>
    <col min="85" max="86" width="10.7109375" style="68"/>
    <col min="87" max="87" width="10.7109375" style="68" customWidth="1"/>
    <col min="88" max="92" width="10.7109375" style="68"/>
    <col min="93" max="95" width="10.7109375" style="68" customWidth="1"/>
    <col min="96" max="97" width="10.7109375" style="68"/>
    <col min="98" max="99" width="10.85546875" style="68" customWidth="1"/>
    <col min="100" max="117" width="10.7109375" style="68"/>
    <col min="118" max="118" width="10.42578125" style="68" customWidth="1"/>
    <col min="119" max="143" width="10.7109375" style="68"/>
    <col min="144" max="145" width="11" style="68" customWidth="1"/>
    <col min="146" max="166" width="10.7109375" style="68"/>
    <col min="167" max="168" width="10.85546875" style="68" customWidth="1"/>
    <col min="169" max="185" width="10.7109375" style="68"/>
    <col min="186" max="189" width="10.7109375" style="68" customWidth="1"/>
    <col min="190" max="211" width="10.7109375" style="68"/>
    <col min="212" max="212" width="10.7109375" style="24"/>
    <col min="213" max="214" width="10.7109375" style="68"/>
    <col min="230" max="233" width="10.7109375" style="24"/>
    <col min="234" max="246" width="10.7109375" style="68"/>
    <col min="248" max="248" width="10.7109375" style="1341"/>
    <col min="251" max="253" width="10.7109375" style="798"/>
    <col min="254" max="254" width="10.7109375" style="1341"/>
    <col min="255" max="255" width="10.7109375" style="798"/>
    <col min="256" max="260" width="10.85546875" style="68" customWidth="1"/>
    <col min="261" max="269" width="10.7109375" style="68"/>
    <col min="270" max="273" width="10.85546875" style="68" customWidth="1"/>
    <col min="274" max="16384" width="10.7109375" style="68"/>
  </cols>
  <sheetData>
    <row r="1" spans="2:273">
      <c r="D1" s="67" t="s">
        <v>742</v>
      </c>
      <c r="Q1" s="67"/>
      <c r="R1" s="67" t="s">
        <v>1121</v>
      </c>
      <c r="S1" s="131"/>
      <c r="X1" s="67" t="s">
        <v>1205</v>
      </c>
      <c r="AM1" s="67" t="s">
        <v>1449</v>
      </c>
      <c r="AQ1" s="68" t="s">
        <v>1482</v>
      </c>
      <c r="BJ1" s="67" t="s">
        <v>1450</v>
      </c>
      <c r="BU1" s="67" t="s">
        <v>1470</v>
      </c>
      <c r="BV1" s="131"/>
      <c r="CS1" s="67" t="s">
        <v>1453</v>
      </c>
      <c r="CV1" s="131"/>
      <c r="CW1" s="131"/>
      <c r="CX1" s="131"/>
      <c r="CY1" s="131"/>
      <c r="CZ1" s="131"/>
      <c r="DF1" s="67" t="s">
        <v>1478</v>
      </c>
      <c r="DP1" s="67" t="s">
        <v>1480</v>
      </c>
      <c r="EF1" s="67" t="s">
        <v>1462</v>
      </c>
      <c r="EZ1" s="131"/>
      <c r="FA1" s="131"/>
      <c r="FB1" s="131"/>
      <c r="FC1" s="131"/>
      <c r="FD1" s="131"/>
      <c r="FE1" s="131"/>
      <c r="FF1" s="131"/>
      <c r="FO1" s="67" t="s">
        <v>1487</v>
      </c>
      <c r="FP1" s="131"/>
      <c r="FU1" s="261"/>
      <c r="GJ1" s="67" t="s">
        <v>1333</v>
      </c>
      <c r="GQ1" s="67" t="s">
        <v>1227</v>
      </c>
      <c r="HD1" s="67" t="s">
        <v>1334</v>
      </c>
      <c r="HV1" s="67" t="s">
        <v>1502</v>
      </c>
      <c r="IK1" s="847" t="s">
        <v>2440</v>
      </c>
      <c r="IL1" s="131"/>
    </row>
    <row r="2" spans="2:273">
      <c r="D2" s="69"/>
      <c r="Q2" s="69"/>
      <c r="R2" s="69"/>
      <c r="S2" s="90"/>
      <c r="X2" s="69" t="s">
        <v>2313</v>
      </c>
      <c r="AM2" s="69"/>
      <c r="BJ2" s="69"/>
      <c r="BU2" s="69" t="s">
        <v>1217</v>
      </c>
      <c r="BV2" s="90"/>
      <c r="CE2" s="68" t="s">
        <v>1471</v>
      </c>
      <c r="CS2" s="489" t="s">
        <v>1473</v>
      </c>
      <c r="CV2" s="90"/>
      <c r="CW2" s="90"/>
      <c r="CX2" s="90"/>
      <c r="CY2" s="90"/>
      <c r="CZ2" s="90"/>
      <c r="DF2" s="69"/>
      <c r="DP2" s="69"/>
      <c r="EF2" s="69"/>
      <c r="EP2" s="90"/>
      <c r="FO2" s="69"/>
      <c r="FP2" s="90"/>
      <c r="GJ2" s="69"/>
      <c r="GQ2" s="69"/>
      <c r="HD2" s="69"/>
      <c r="HV2" s="67"/>
      <c r="IK2" s="841" t="s">
        <v>2454</v>
      </c>
      <c r="IL2" s="90"/>
      <c r="IU2" s="68"/>
      <c r="IV2" s="68" t="s">
        <v>2452</v>
      </c>
      <c r="JF2" s="68" t="s">
        <v>2453</v>
      </c>
    </row>
    <row r="3" spans="2:273" s="40" customFormat="1" ht="105">
      <c r="B3" s="40" t="s">
        <v>725</v>
      </c>
      <c r="C3" s="41" t="s">
        <v>543</v>
      </c>
      <c r="D3" s="4" t="s">
        <v>527</v>
      </c>
      <c r="E3" s="57" t="s">
        <v>544</v>
      </c>
      <c r="F3" s="57" t="s">
        <v>726</v>
      </c>
      <c r="G3" s="37" t="s">
        <v>727</v>
      </c>
      <c r="H3" s="40" t="s">
        <v>550</v>
      </c>
      <c r="I3" s="2" t="s">
        <v>731</v>
      </c>
      <c r="J3" s="57" t="s">
        <v>547</v>
      </c>
      <c r="K3" s="57" t="s">
        <v>546</v>
      </c>
      <c r="L3" s="57" t="s">
        <v>833</v>
      </c>
      <c r="M3" s="57" t="s">
        <v>1348</v>
      </c>
      <c r="N3" s="57" t="s">
        <v>834</v>
      </c>
      <c r="O3" s="57" t="s">
        <v>1349</v>
      </c>
      <c r="P3" s="70" t="s">
        <v>1472</v>
      </c>
      <c r="Q3" s="4" t="s">
        <v>527</v>
      </c>
      <c r="R3" s="4" t="s">
        <v>1347</v>
      </c>
      <c r="S3" s="57" t="s">
        <v>726</v>
      </c>
      <c r="T3" s="40" t="s">
        <v>771</v>
      </c>
      <c r="U3" s="40" t="s">
        <v>1124</v>
      </c>
      <c r="V3" s="40" t="s">
        <v>770</v>
      </c>
      <c r="W3" s="40" t="s">
        <v>854</v>
      </c>
      <c r="X3" s="292" t="s">
        <v>1350</v>
      </c>
      <c r="Y3" s="40" t="s">
        <v>726</v>
      </c>
      <c r="Z3" s="40" t="s">
        <v>1124</v>
      </c>
      <c r="AA3" s="297" t="s">
        <v>1136</v>
      </c>
      <c r="AB3" s="297" t="s">
        <v>1137</v>
      </c>
      <c r="AC3" s="40" t="s">
        <v>1123</v>
      </c>
      <c r="AD3" s="40" t="s">
        <v>1351</v>
      </c>
      <c r="AE3" s="40" t="s">
        <v>1352</v>
      </c>
      <c r="AF3" s="297" t="s">
        <v>1208</v>
      </c>
      <c r="AG3" s="40" t="s">
        <v>1353</v>
      </c>
      <c r="AH3" s="40" t="s">
        <v>1354</v>
      </c>
      <c r="AI3" s="291" t="s">
        <v>1355</v>
      </c>
      <c r="AJ3" s="291" t="s">
        <v>1356</v>
      </c>
      <c r="AK3" s="291" t="s">
        <v>2320</v>
      </c>
      <c r="AL3" s="291" t="s">
        <v>2321</v>
      </c>
      <c r="AM3" s="4" t="s">
        <v>1481</v>
      </c>
      <c r="AN3" s="40" t="s">
        <v>693</v>
      </c>
      <c r="AO3" s="40" t="s">
        <v>694</v>
      </c>
      <c r="AP3" s="40" t="s">
        <v>697</v>
      </c>
      <c r="AQ3" s="40" t="s">
        <v>695</v>
      </c>
      <c r="AR3" s="40" t="s">
        <v>1039</v>
      </c>
      <c r="AS3" s="40" t="s">
        <v>1234</v>
      </c>
      <c r="AT3" s="291" t="s">
        <v>1202</v>
      </c>
      <c r="AU3" s="40" t="s">
        <v>696</v>
      </c>
      <c r="AV3" s="40" t="s">
        <v>703</v>
      </c>
      <c r="AW3" s="40" t="s">
        <v>710</v>
      </c>
      <c r="AX3" s="40" t="s">
        <v>693</v>
      </c>
      <c r="AY3" s="40" t="s">
        <v>694</v>
      </c>
      <c r="AZ3" s="40" t="s">
        <v>697</v>
      </c>
      <c r="BA3" s="40" t="s">
        <v>695</v>
      </c>
      <c r="BB3" s="40" t="s">
        <v>698</v>
      </c>
      <c r="BC3" s="40" t="s">
        <v>1234</v>
      </c>
      <c r="BD3" s="291" t="s">
        <v>1202</v>
      </c>
      <c r="BE3" s="40" t="s">
        <v>696</v>
      </c>
      <c r="BF3" s="40" t="s">
        <v>772</v>
      </c>
      <c r="BG3" s="40" t="s">
        <v>1451</v>
      </c>
      <c r="BH3" s="40" t="s">
        <v>1476</v>
      </c>
      <c r="BI3" s="40" t="s">
        <v>1475</v>
      </c>
      <c r="BJ3" s="292" t="s">
        <v>1132</v>
      </c>
      <c r="BK3" s="40" t="s">
        <v>693</v>
      </c>
      <c r="BL3" s="40" t="s">
        <v>694</v>
      </c>
      <c r="BM3" s="40" t="s">
        <v>697</v>
      </c>
      <c r="BN3" s="40" t="s">
        <v>695</v>
      </c>
      <c r="BO3" s="40" t="s">
        <v>1039</v>
      </c>
      <c r="BP3" s="40" t="s">
        <v>696</v>
      </c>
      <c r="BQ3" s="37" t="s">
        <v>703</v>
      </c>
      <c r="BR3" s="40" t="s">
        <v>715</v>
      </c>
      <c r="BS3" s="40" t="s">
        <v>710</v>
      </c>
      <c r="BT3" s="40" t="s">
        <v>700</v>
      </c>
      <c r="BU3" s="4" t="s">
        <v>2322</v>
      </c>
      <c r="BV3" s="57" t="s">
        <v>1146</v>
      </c>
      <c r="BW3" s="40" t="s">
        <v>693</v>
      </c>
      <c r="BX3" s="40" t="s">
        <v>694</v>
      </c>
      <c r="BY3" s="40" t="s">
        <v>697</v>
      </c>
      <c r="BZ3" s="40" t="s">
        <v>695</v>
      </c>
      <c r="CA3" s="40" t="s">
        <v>1039</v>
      </c>
      <c r="CB3" s="40" t="s">
        <v>696</v>
      </c>
      <c r="CC3" s="40" t="s">
        <v>703</v>
      </c>
      <c r="CD3" s="40" t="s">
        <v>710</v>
      </c>
      <c r="CE3" s="40" t="s">
        <v>693</v>
      </c>
      <c r="CF3" s="40" t="s">
        <v>694</v>
      </c>
      <c r="CG3" s="40" t="s">
        <v>697</v>
      </c>
      <c r="CH3" s="40" t="s">
        <v>695</v>
      </c>
      <c r="CI3" s="40" t="s">
        <v>1039</v>
      </c>
      <c r="CJ3" s="40" t="s">
        <v>696</v>
      </c>
      <c r="CK3" s="40" t="s">
        <v>703</v>
      </c>
      <c r="CL3" s="40" t="s">
        <v>710</v>
      </c>
      <c r="CM3" s="40" t="s">
        <v>773</v>
      </c>
      <c r="CN3" s="40" t="s">
        <v>1222</v>
      </c>
      <c r="CO3" s="40" t="s">
        <v>1223</v>
      </c>
      <c r="CP3" s="40" t="s">
        <v>1224</v>
      </c>
      <c r="CQ3" s="40" t="s">
        <v>1225</v>
      </c>
      <c r="CR3" s="40" t="s">
        <v>1184</v>
      </c>
      <c r="CS3" s="4" t="s">
        <v>1467</v>
      </c>
      <c r="CT3" s="40" t="s">
        <v>1468</v>
      </c>
      <c r="CU3" s="40" t="s">
        <v>1469</v>
      </c>
      <c r="CV3" s="40" t="s">
        <v>693</v>
      </c>
      <c r="CW3" s="40" t="s">
        <v>694</v>
      </c>
      <c r="CX3" s="40" t="s">
        <v>697</v>
      </c>
      <c r="CY3" s="40" t="s">
        <v>695</v>
      </c>
      <c r="CZ3" s="40" t="s">
        <v>1039</v>
      </c>
      <c r="DA3" s="40" t="s">
        <v>696</v>
      </c>
      <c r="DB3" s="40" t="s">
        <v>703</v>
      </c>
      <c r="DC3" s="40" t="s">
        <v>710</v>
      </c>
      <c r="DD3" s="40" t="s">
        <v>1177</v>
      </c>
      <c r="DE3" s="40" t="s">
        <v>1474</v>
      </c>
      <c r="DF3" s="4" t="s">
        <v>1477</v>
      </c>
      <c r="DG3" s="40" t="s">
        <v>693</v>
      </c>
      <c r="DH3" s="40" t="s">
        <v>694</v>
      </c>
      <c r="DI3" s="40" t="s">
        <v>697</v>
      </c>
      <c r="DJ3" s="40" t="s">
        <v>695</v>
      </c>
      <c r="DK3" s="40" t="s">
        <v>698</v>
      </c>
      <c r="DL3" s="40" t="s">
        <v>696</v>
      </c>
      <c r="DM3" s="40" t="s">
        <v>703</v>
      </c>
      <c r="DN3" s="40" t="s">
        <v>1180</v>
      </c>
      <c r="DO3" s="2" t="s">
        <v>1178</v>
      </c>
      <c r="DP3" s="4" t="s">
        <v>1479</v>
      </c>
      <c r="DQ3" s="40" t="s">
        <v>693</v>
      </c>
      <c r="DR3" s="40" t="s">
        <v>694</v>
      </c>
      <c r="DS3" s="40" t="s">
        <v>697</v>
      </c>
      <c r="DT3" s="40" t="s">
        <v>695</v>
      </c>
      <c r="DU3" s="40" t="s">
        <v>698</v>
      </c>
      <c r="DV3" s="40" t="s">
        <v>696</v>
      </c>
      <c r="DW3" s="40" t="s">
        <v>703</v>
      </c>
      <c r="DX3" s="40" t="s">
        <v>710</v>
      </c>
      <c r="DY3" s="40" t="s">
        <v>1494</v>
      </c>
      <c r="DZ3" s="40" t="s">
        <v>693</v>
      </c>
      <c r="EA3" s="40" t="s">
        <v>694</v>
      </c>
      <c r="EB3" s="40" t="s">
        <v>697</v>
      </c>
      <c r="EC3" s="40" t="s">
        <v>695</v>
      </c>
      <c r="ED3" s="40" t="s">
        <v>698</v>
      </c>
      <c r="EE3" s="40" t="s">
        <v>696</v>
      </c>
      <c r="EF3" s="4" t="s">
        <v>1461</v>
      </c>
      <c r="EG3" s="40" t="s">
        <v>693</v>
      </c>
      <c r="EH3" s="40" t="s">
        <v>694</v>
      </c>
      <c r="EI3" s="40" t="s">
        <v>697</v>
      </c>
      <c r="EJ3" s="40" t="s">
        <v>695</v>
      </c>
      <c r="EK3" s="40" t="s">
        <v>698</v>
      </c>
      <c r="EL3" s="40" t="s">
        <v>696</v>
      </c>
      <c r="EM3" s="40" t="s">
        <v>703</v>
      </c>
      <c r="EN3" s="40" t="s">
        <v>710</v>
      </c>
      <c r="EO3" s="40" t="s">
        <v>1463</v>
      </c>
      <c r="EP3" s="2" t="s">
        <v>1454</v>
      </c>
      <c r="EQ3" s="40" t="s">
        <v>693</v>
      </c>
      <c r="ER3" s="40" t="s">
        <v>694</v>
      </c>
      <c r="ES3" s="40" t="s">
        <v>697</v>
      </c>
      <c r="ET3" s="40" t="s">
        <v>695</v>
      </c>
      <c r="EU3" s="40" t="s">
        <v>698</v>
      </c>
      <c r="EV3" s="40" t="s">
        <v>696</v>
      </c>
      <c r="EW3" s="40" t="s">
        <v>703</v>
      </c>
      <c r="EX3" s="40" t="s">
        <v>710</v>
      </c>
      <c r="EY3" s="40" t="s">
        <v>1466</v>
      </c>
      <c r="EZ3" s="2" t="s">
        <v>1455</v>
      </c>
      <c r="FA3" s="40" t="s">
        <v>693</v>
      </c>
      <c r="FB3" s="40" t="s">
        <v>694</v>
      </c>
      <c r="FC3" s="40" t="s">
        <v>697</v>
      </c>
      <c r="FD3" s="40" t="s">
        <v>695</v>
      </c>
      <c r="FE3" s="40" t="s">
        <v>698</v>
      </c>
      <c r="FF3" s="40" t="s">
        <v>696</v>
      </c>
      <c r="FG3" s="40" t="s">
        <v>703</v>
      </c>
      <c r="FH3" s="40" t="s">
        <v>710</v>
      </c>
      <c r="FI3" s="40" t="s">
        <v>1465</v>
      </c>
      <c r="FK3" s="40" t="s">
        <v>1321</v>
      </c>
      <c r="FL3" s="40" t="s">
        <v>1322</v>
      </c>
      <c r="FO3" s="4" t="s">
        <v>1486</v>
      </c>
      <c r="FP3" s="57" t="s">
        <v>1177</v>
      </c>
      <c r="FQ3" s="40" t="s">
        <v>693</v>
      </c>
      <c r="FR3" s="40" t="s">
        <v>694</v>
      </c>
      <c r="FS3" s="40" t="s">
        <v>697</v>
      </c>
      <c r="FT3" s="40" t="s">
        <v>695</v>
      </c>
      <c r="FU3" s="40" t="s">
        <v>698</v>
      </c>
      <c r="FV3" s="40" t="s">
        <v>696</v>
      </c>
      <c r="FW3" s="40" t="s">
        <v>703</v>
      </c>
      <c r="FX3" s="40" t="s">
        <v>1177</v>
      </c>
      <c r="FY3" s="40" t="s">
        <v>710</v>
      </c>
      <c r="FZ3" s="40" t="s">
        <v>1493</v>
      </c>
      <c r="GA3" s="40" t="s">
        <v>693</v>
      </c>
      <c r="GB3" s="40" t="s">
        <v>694</v>
      </c>
      <c r="GC3" s="40" t="s">
        <v>697</v>
      </c>
      <c r="GD3" s="40" t="s">
        <v>695</v>
      </c>
      <c r="GE3" s="40" t="s">
        <v>698</v>
      </c>
      <c r="GF3" s="40" t="s">
        <v>696</v>
      </c>
      <c r="GG3" s="40" t="s">
        <v>1495</v>
      </c>
      <c r="GH3" s="40" t="s">
        <v>1198</v>
      </c>
      <c r="GI3" s="40" t="s">
        <v>1199</v>
      </c>
      <c r="GJ3" s="4" t="s">
        <v>1496</v>
      </c>
      <c r="GK3" s="40" t="s">
        <v>726</v>
      </c>
      <c r="GL3" s="40" t="s">
        <v>1327</v>
      </c>
      <c r="GM3" s="40" t="s">
        <v>1497</v>
      </c>
      <c r="GN3" s="40" t="s">
        <v>1325</v>
      </c>
      <c r="GO3" s="40" t="s">
        <v>1332</v>
      </c>
      <c r="GP3" s="40" t="s">
        <v>1330</v>
      </c>
      <c r="GQ3" s="226" t="s">
        <v>1498</v>
      </c>
      <c r="GR3" s="40" t="s">
        <v>1499</v>
      </c>
      <c r="GS3" s="40" t="s">
        <v>2510</v>
      </c>
      <c r="GT3" s="40" t="s">
        <v>1490</v>
      </c>
      <c r="GU3" s="40" t="s">
        <v>1230</v>
      </c>
      <c r="GV3" s="40" t="s">
        <v>2513</v>
      </c>
      <c r="GW3" s="40" t="s">
        <v>2514</v>
      </c>
      <c r="GX3" s="37" t="s">
        <v>1500</v>
      </c>
      <c r="GY3" s="40" t="s">
        <v>1501</v>
      </c>
      <c r="GZ3" s="40" t="s">
        <v>1231</v>
      </c>
      <c r="HA3" s="40" t="s">
        <v>1228</v>
      </c>
      <c r="HB3" s="40" t="s">
        <v>1229</v>
      </c>
      <c r="HC3" s="40" t="s">
        <v>1263</v>
      </c>
      <c r="HD3" s="4" t="s">
        <v>1488</v>
      </c>
      <c r="HE3" s="40" t="s">
        <v>1489</v>
      </c>
      <c r="HV3" s="4" t="s">
        <v>1232</v>
      </c>
      <c r="HW3" s="40" t="s">
        <v>1491</v>
      </c>
      <c r="HX3" s="40" t="s">
        <v>1492</v>
      </c>
      <c r="HY3" s="40" t="s">
        <v>1146</v>
      </c>
      <c r="HZ3" s="40" t="s">
        <v>693</v>
      </c>
      <c r="IA3" s="40" t="s">
        <v>694</v>
      </c>
      <c r="IB3" s="40" t="s">
        <v>697</v>
      </c>
      <c r="IC3" s="40" t="s">
        <v>695</v>
      </c>
      <c r="ID3" s="40" t="s">
        <v>698</v>
      </c>
      <c r="IE3" s="40" t="s">
        <v>696</v>
      </c>
      <c r="IF3" s="40" t="s">
        <v>703</v>
      </c>
      <c r="IG3" s="40" t="s">
        <v>710</v>
      </c>
      <c r="IH3" s="40" t="s">
        <v>1120</v>
      </c>
      <c r="IK3" s="842" t="s">
        <v>2442</v>
      </c>
      <c r="IL3" s="1353" t="s">
        <v>1829</v>
      </c>
      <c r="IM3" s="40" t="s">
        <v>2441</v>
      </c>
      <c r="IN3" s="1353" t="s">
        <v>1829</v>
      </c>
      <c r="IO3" s="40" t="s">
        <v>2443</v>
      </c>
      <c r="IP3" s="40" t="s">
        <v>2444</v>
      </c>
      <c r="IQ3" s="40" t="s">
        <v>2425</v>
      </c>
      <c r="IR3" s="40" t="s">
        <v>2445</v>
      </c>
      <c r="IS3" s="40" t="s">
        <v>2446</v>
      </c>
      <c r="IV3" s="40" t="s">
        <v>2441</v>
      </c>
      <c r="IW3" s="40" t="s">
        <v>1829</v>
      </c>
      <c r="IX3" s="40" t="s">
        <v>2442</v>
      </c>
      <c r="IY3" s="40" t="s">
        <v>1829</v>
      </c>
      <c r="IZ3" s="40" t="s">
        <v>2443</v>
      </c>
      <c r="JA3" s="40" t="s">
        <v>2449</v>
      </c>
      <c r="JB3" s="40" t="s">
        <v>2425</v>
      </c>
      <c r="JC3" s="40" t="s">
        <v>2185</v>
      </c>
      <c r="JD3" s="40" t="s">
        <v>2133</v>
      </c>
      <c r="JF3" s="40" t="s">
        <v>2441</v>
      </c>
      <c r="JG3" s="40" t="s">
        <v>2425</v>
      </c>
      <c r="JK3" s="40" t="s">
        <v>2214</v>
      </c>
      <c r="JL3" s="40" t="s">
        <v>2269</v>
      </c>
      <c r="JM3" s="40" t="s">
        <v>1177</v>
      </c>
    </row>
    <row r="4" spans="2:273" s="307" customFormat="1" ht="37" customHeight="1">
      <c r="B4" s="40" t="s">
        <v>525</v>
      </c>
      <c r="C4" s="42"/>
      <c r="D4" s="58" t="s">
        <v>728</v>
      </c>
      <c r="E4" s="46"/>
      <c r="F4" s="46"/>
      <c r="G4" s="307" t="s">
        <v>729</v>
      </c>
      <c r="I4" s="46" t="s">
        <v>730</v>
      </c>
      <c r="J4" s="46"/>
      <c r="K4" s="46"/>
      <c r="L4" s="46" t="s">
        <v>861</v>
      </c>
      <c r="M4" s="46"/>
      <c r="N4" s="46"/>
      <c r="O4" s="46"/>
      <c r="P4" s="47"/>
      <c r="Q4" s="46"/>
      <c r="R4" s="58" t="s">
        <v>768</v>
      </c>
      <c r="S4" s="46"/>
      <c r="U4" s="307" t="s">
        <v>1125</v>
      </c>
      <c r="V4" s="307" t="s">
        <v>769</v>
      </c>
      <c r="W4" s="307" t="s">
        <v>855</v>
      </c>
      <c r="X4" s="58" t="s">
        <v>1126</v>
      </c>
      <c r="Z4" s="307" t="s">
        <v>1126</v>
      </c>
      <c r="AB4" s="307" t="s">
        <v>2326</v>
      </c>
      <c r="AC4" s="307" t="s">
        <v>2325</v>
      </c>
      <c r="AI4" s="307" t="s">
        <v>1129</v>
      </c>
      <c r="AM4" s="58" t="s">
        <v>1207</v>
      </c>
      <c r="BF4" s="376"/>
      <c r="BG4" s="376"/>
      <c r="BH4" s="376"/>
      <c r="BI4" s="376"/>
      <c r="BJ4" s="45"/>
      <c r="BU4" s="58"/>
      <c r="BV4" s="46"/>
      <c r="CM4" s="401"/>
      <c r="CS4" s="58"/>
      <c r="DF4" s="58"/>
      <c r="DO4" s="46" t="s">
        <v>1195</v>
      </c>
      <c r="DP4" s="45"/>
      <c r="EF4" s="485" t="s">
        <v>2518</v>
      </c>
      <c r="EH4" s="307" t="s">
        <v>1464</v>
      </c>
      <c r="EP4" s="46"/>
      <c r="EZ4" s="46"/>
      <c r="FA4" s="46"/>
      <c r="FB4" s="46"/>
      <c r="FC4" s="46"/>
      <c r="FD4" s="46"/>
      <c r="FE4" s="46"/>
      <c r="FF4" s="46"/>
      <c r="FO4" s="58"/>
      <c r="FP4" s="46"/>
      <c r="GJ4" s="58"/>
      <c r="GQ4" s="58"/>
      <c r="GT4" s="307" t="s">
        <v>2325</v>
      </c>
      <c r="GX4" s="307" t="s">
        <v>2309</v>
      </c>
      <c r="HD4" s="45"/>
      <c r="HV4" s="45"/>
      <c r="HW4" s="39"/>
      <c r="HX4" s="39"/>
      <c r="HY4" s="39"/>
      <c r="IH4" s="39"/>
      <c r="II4" s="39"/>
      <c r="IJ4" s="39"/>
      <c r="IK4" s="843"/>
      <c r="IL4" s="46" t="s">
        <v>3224</v>
      </c>
    </row>
    <row r="5" spans="2:273" s="307" customFormat="1" ht="15" customHeight="1">
      <c r="B5" s="40">
        <v>1913</v>
      </c>
      <c r="C5" s="42"/>
      <c r="D5" s="58"/>
      <c r="E5" s="46"/>
      <c r="F5" s="46"/>
      <c r="I5" s="46"/>
      <c r="J5" s="46"/>
      <c r="K5" s="46"/>
      <c r="L5" s="46"/>
      <c r="M5" s="46"/>
      <c r="N5" s="46"/>
      <c r="O5" s="46"/>
      <c r="P5" s="46"/>
      <c r="Q5" s="46"/>
      <c r="R5" s="58"/>
      <c r="S5" s="46"/>
      <c r="X5" s="58"/>
      <c r="AM5" s="58"/>
      <c r="BF5" s="376"/>
      <c r="BG5" s="376"/>
      <c r="BH5" s="376"/>
      <c r="BI5" s="376"/>
      <c r="BJ5" s="45"/>
      <c r="BU5" s="58"/>
      <c r="BV5" s="46"/>
      <c r="CM5" s="401"/>
      <c r="CS5" s="58"/>
      <c r="DF5" s="58"/>
      <c r="DO5" s="46"/>
      <c r="DP5" s="45"/>
      <c r="EF5" s="58"/>
      <c r="EP5" s="46"/>
      <c r="EQ5" s="473"/>
      <c r="ER5" s="473"/>
      <c r="ES5" s="473"/>
      <c r="ET5" s="473"/>
      <c r="EU5" s="473"/>
      <c r="EV5" s="473"/>
      <c r="EW5" s="473"/>
      <c r="EX5" s="473"/>
      <c r="EY5" s="473"/>
      <c r="EZ5" s="46"/>
      <c r="FA5" s="46"/>
      <c r="FB5" s="46"/>
      <c r="FC5" s="46"/>
      <c r="FD5" s="46"/>
      <c r="FE5" s="46"/>
      <c r="FF5" s="46"/>
      <c r="FO5" s="58"/>
      <c r="FP5" s="46"/>
      <c r="GJ5" s="58"/>
      <c r="GQ5" s="58"/>
      <c r="HD5" s="45"/>
      <c r="HV5" s="45"/>
      <c r="HW5" s="39"/>
      <c r="HX5" s="39"/>
      <c r="HY5" s="39"/>
      <c r="IH5" s="39"/>
      <c r="II5" s="39"/>
      <c r="IJ5" s="39"/>
      <c r="IK5" s="843"/>
      <c r="IL5" s="46"/>
    </row>
    <row r="6" spans="2:273" s="307" customFormat="1" ht="15" customHeight="1">
      <c r="B6" s="40">
        <v>1914</v>
      </c>
      <c r="C6" s="42"/>
      <c r="D6" s="58"/>
      <c r="E6" s="46"/>
      <c r="F6" s="46"/>
      <c r="I6" s="46"/>
      <c r="J6" s="46"/>
      <c r="K6" s="46"/>
      <c r="L6" s="46"/>
      <c r="M6" s="46"/>
      <c r="N6" s="46"/>
      <c r="O6" s="46"/>
      <c r="P6" s="46"/>
      <c r="Q6" s="46"/>
      <c r="R6" s="58"/>
      <c r="S6" s="46"/>
      <c r="X6" s="58"/>
      <c r="AM6" s="58"/>
      <c r="BF6" s="376"/>
      <c r="BG6" s="376"/>
      <c r="BH6" s="376"/>
      <c r="BI6" s="376"/>
      <c r="BJ6" s="45"/>
      <c r="BU6" s="58"/>
      <c r="BV6" s="46"/>
      <c r="CM6" s="401"/>
      <c r="CS6" s="58"/>
      <c r="DF6" s="58"/>
      <c r="DO6" s="46"/>
      <c r="DP6" s="45"/>
      <c r="EF6" s="58"/>
      <c r="EP6" s="46"/>
      <c r="EQ6" s="473"/>
      <c r="ER6" s="473"/>
      <c r="ES6" s="473"/>
      <c r="ET6" s="473"/>
      <c r="EU6" s="473"/>
      <c r="EV6" s="473"/>
      <c r="EW6" s="473"/>
      <c r="EX6" s="473"/>
      <c r="EY6" s="473"/>
      <c r="EZ6" s="46"/>
      <c r="FA6" s="46"/>
      <c r="FB6" s="46"/>
      <c r="FC6" s="46"/>
      <c r="FD6" s="46"/>
      <c r="FE6" s="46"/>
      <c r="FF6" s="46"/>
      <c r="FO6" s="58"/>
      <c r="FP6" s="46"/>
      <c r="GJ6" s="58"/>
      <c r="GQ6" s="58"/>
      <c r="HD6" s="45"/>
      <c r="HV6" s="45"/>
      <c r="HW6" s="39"/>
      <c r="HX6" s="39"/>
      <c r="HY6" s="39"/>
      <c r="IH6" s="39"/>
      <c r="II6" s="39"/>
      <c r="IJ6" s="39"/>
      <c r="IK6" s="843"/>
      <c r="IL6" s="46"/>
    </row>
    <row r="7" spans="2:273" s="307" customFormat="1" ht="15" customHeight="1">
      <c r="B7" s="40">
        <v>1915</v>
      </c>
      <c r="C7" s="42"/>
      <c r="D7" s="58"/>
      <c r="E7" s="46"/>
      <c r="F7" s="46"/>
      <c r="I7" s="46"/>
      <c r="J7" s="46"/>
      <c r="K7" s="46"/>
      <c r="L7" s="46"/>
      <c r="M7" s="46"/>
      <c r="N7" s="46"/>
      <c r="O7" s="46"/>
      <c r="P7" s="46"/>
      <c r="Q7" s="46"/>
      <c r="R7" s="58"/>
      <c r="S7" s="46"/>
      <c r="X7" s="58"/>
      <c r="AM7" s="58"/>
      <c r="BF7" s="376"/>
      <c r="BG7" s="376"/>
      <c r="BH7" s="376"/>
      <c r="BI7" s="376"/>
      <c r="BJ7" s="45"/>
      <c r="BU7" s="58"/>
      <c r="BV7" s="46"/>
      <c r="CM7" s="401"/>
      <c r="CS7" s="58"/>
      <c r="DF7" s="58"/>
      <c r="DO7" s="46"/>
      <c r="DP7" s="45"/>
      <c r="EF7" s="58"/>
      <c r="EP7" s="46"/>
      <c r="EQ7" s="473"/>
      <c r="ER7" s="473"/>
      <c r="ES7" s="473"/>
      <c r="ET7" s="473"/>
      <c r="EU7" s="473"/>
      <c r="EV7" s="473"/>
      <c r="EW7" s="473"/>
      <c r="EX7" s="473"/>
      <c r="EY7" s="473"/>
      <c r="EZ7" s="46"/>
      <c r="FA7" s="46"/>
      <c r="FB7" s="46"/>
      <c r="FC7" s="46"/>
      <c r="FD7" s="46"/>
      <c r="FE7" s="46"/>
      <c r="FF7" s="46"/>
      <c r="FO7" s="58"/>
      <c r="FP7" s="46"/>
      <c r="GJ7" s="58"/>
      <c r="GQ7" s="58"/>
      <c r="HD7" s="45"/>
      <c r="HV7" s="45"/>
      <c r="HW7" s="39"/>
      <c r="HX7" s="39"/>
      <c r="HY7" s="39"/>
      <c r="IH7" s="39"/>
      <c r="II7" s="39"/>
      <c r="IJ7" s="39"/>
      <c r="IK7" s="843"/>
      <c r="IL7" s="46"/>
    </row>
    <row r="8" spans="2:273" s="307" customFormat="1" ht="15" customHeight="1">
      <c r="B8" s="40">
        <v>1916</v>
      </c>
      <c r="C8" s="42"/>
      <c r="D8" s="58"/>
      <c r="E8" s="46"/>
      <c r="F8" s="46"/>
      <c r="I8" s="46"/>
      <c r="J8" s="46"/>
      <c r="K8" s="46"/>
      <c r="L8" s="46"/>
      <c r="M8" s="46"/>
      <c r="N8" s="46"/>
      <c r="O8" s="46"/>
      <c r="P8" s="46"/>
      <c r="Q8" s="46"/>
      <c r="R8" s="58"/>
      <c r="S8" s="46"/>
      <c r="X8" s="58"/>
      <c r="AM8" s="58"/>
      <c r="BF8" s="376"/>
      <c r="BG8" s="376"/>
      <c r="BH8" s="376"/>
      <c r="BI8" s="376"/>
      <c r="BJ8" s="45"/>
      <c r="BU8" s="58"/>
      <c r="BV8" s="46"/>
      <c r="CM8" s="401"/>
      <c r="CS8" s="58"/>
      <c r="DF8" s="58"/>
      <c r="DO8" s="46"/>
      <c r="DP8" s="45"/>
      <c r="EF8" s="58"/>
      <c r="EP8" s="46"/>
      <c r="EQ8" s="473"/>
      <c r="ER8" s="473"/>
      <c r="ES8" s="473"/>
      <c r="ET8" s="473"/>
      <c r="EU8" s="473"/>
      <c r="EV8" s="473"/>
      <c r="EW8" s="473"/>
      <c r="EX8" s="473"/>
      <c r="EY8" s="473"/>
      <c r="EZ8" s="46"/>
      <c r="FA8" s="46"/>
      <c r="FB8" s="46"/>
      <c r="FC8" s="46"/>
      <c r="FD8" s="46"/>
      <c r="FE8" s="46"/>
      <c r="FF8" s="46"/>
      <c r="FO8" s="58"/>
      <c r="FP8" s="46"/>
      <c r="GJ8" s="58"/>
      <c r="GQ8" s="58"/>
      <c r="HD8" s="45"/>
      <c r="HV8" s="45"/>
      <c r="HW8" s="39"/>
      <c r="HX8" s="39"/>
      <c r="HY8" s="39"/>
      <c r="IH8" s="39"/>
      <c r="II8" s="39"/>
      <c r="IJ8" s="39"/>
      <c r="IK8" s="843"/>
      <c r="IL8" s="46"/>
    </row>
    <row r="9" spans="2:273" s="307" customFormat="1" ht="15" customHeight="1">
      <c r="B9" s="40">
        <v>1917</v>
      </c>
      <c r="C9" s="42"/>
      <c r="D9" s="58"/>
      <c r="E9" s="46"/>
      <c r="F9" s="46"/>
      <c r="I9" s="46"/>
      <c r="J9" s="46"/>
      <c r="K9" s="46"/>
      <c r="L9" s="46"/>
      <c r="M9" s="46"/>
      <c r="N9" s="46"/>
      <c r="O9" s="46"/>
      <c r="P9" s="46"/>
      <c r="Q9" s="46"/>
      <c r="R9" s="58"/>
      <c r="S9" s="46"/>
      <c r="X9" s="58"/>
      <c r="AM9" s="58"/>
      <c r="BF9" s="376"/>
      <c r="BG9" s="376"/>
      <c r="BH9" s="376"/>
      <c r="BI9" s="376"/>
      <c r="BJ9" s="45"/>
      <c r="BU9" s="58"/>
      <c r="BV9" s="46"/>
      <c r="CM9" s="401"/>
      <c r="CS9" s="58"/>
      <c r="DF9" s="58"/>
      <c r="DO9" s="46"/>
      <c r="DP9" s="45"/>
      <c r="EF9" s="58"/>
      <c r="EP9" s="46"/>
      <c r="EQ9" s="473"/>
      <c r="ER9" s="473"/>
      <c r="ES9" s="473"/>
      <c r="ET9" s="473"/>
      <c r="EU9" s="473"/>
      <c r="EV9" s="473"/>
      <c r="EW9" s="473"/>
      <c r="EX9" s="473"/>
      <c r="EY9" s="473"/>
      <c r="EZ9" s="46"/>
      <c r="FA9" s="46"/>
      <c r="FB9" s="46"/>
      <c r="FC9" s="46"/>
      <c r="FD9" s="46"/>
      <c r="FE9" s="46"/>
      <c r="FF9" s="46"/>
      <c r="FO9" s="58"/>
      <c r="FP9" s="46"/>
      <c r="GJ9" s="58"/>
      <c r="GQ9" s="58"/>
      <c r="HD9" s="45"/>
      <c r="HV9" s="45"/>
      <c r="HW9" s="39"/>
      <c r="HX9" s="39"/>
      <c r="HY9" s="39"/>
      <c r="IH9" s="39"/>
      <c r="II9" s="39"/>
      <c r="IJ9" s="39"/>
      <c r="IK9" s="843"/>
      <c r="IL9" s="46"/>
    </row>
    <row r="10" spans="2:273" s="307" customFormat="1" ht="15" customHeight="1">
      <c r="B10" s="40">
        <v>1918</v>
      </c>
      <c r="C10" s="42"/>
      <c r="D10" s="58"/>
      <c r="E10" s="46"/>
      <c r="F10" s="46"/>
      <c r="I10" s="46"/>
      <c r="J10" s="46"/>
      <c r="K10" s="46"/>
      <c r="L10" s="46"/>
      <c r="M10" s="46"/>
      <c r="N10" s="46"/>
      <c r="O10" s="46"/>
      <c r="P10" s="46"/>
      <c r="Q10" s="46"/>
      <c r="R10" s="58"/>
      <c r="S10" s="46"/>
      <c r="X10" s="58"/>
      <c r="AM10" s="58"/>
      <c r="BF10" s="376"/>
      <c r="BG10" s="376"/>
      <c r="BH10" s="376"/>
      <c r="BI10" s="376"/>
      <c r="BJ10" s="45"/>
      <c r="BU10" s="58"/>
      <c r="BV10" s="46"/>
      <c r="CM10" s="401"/>
      <c r="CS10" s="58"/>
      <c r="DF10" s="58"/>
      <c r="DO10" s="46"/>
      <c r="DP10" s="45"/>
      <c r="EF10" s="58"/>
      <c r="EP10" s="46"/>
      <c r="EQ10" s="473"/>
      <c r="ER10" s="473"/>
      <c r="ES10" s="473"/>
      <c r="ET10" s="473"/>
      <c r="EU10" s="473"/>
      <c r="EV10" s="473"/>
      <c r="EW10" s="473"/>
      <c r="EX10" s="473"/>
      <c r="EY10" s="473"/>
      <c r="EZ10" s="46"/>
      <c r="FA10" s="46"/>
      <c r="FB10" s="46"/>
      <c r="FC10" s="46"/>
      <c r="FD10" s="46"/>
      <c r="FE10" s="46"/>
      <c r="FF10" s="46"/>
      <c r="FO10" s="58"/>
      <c r="FP10" s="46"/>
      <c r="GJ10" s="58"/>
      <c r="GQ10" s="58"/>
      <c r="HD10" s="45"/>
      <c r="HV10" s="45"/>
      <c r="HW10" s="39"/>
      <c r="HX10" s="39"/>
      <c r="HY10" s="39"/>
      <c r="IH10" s="39"/>
      <c r="II10" s="39"/>
      <c r="IJ10" s="39"/>
      <c r="IK10" s="843"/>
      <c r="IL10" s="46"/>
    </row>
    <row r="11" spans="2:273" s="440" customFormat="1" ht="15" customHeight="1">
      <c r="B11" s="441">
        <v>1919</v>
      </c>
      <c r="C11" s="442"/>
      <c r="D11" s="443"/>
      <c r="R11" s="443"/>
      <c r="X11" s="443"/>
      <c r="AM11" s="443"/>
      <c r="BF11" s="446"/>
      <c r="BG11" s="446"/>
      <c r="BH11" s="446"/>
      <c r="BI11" s="446"/>
      <c r="BJ11" s="447"/>
      <c r="BU11" s="443"/>
      <c r="CM11" s="446"/>
      <c r="CS11" s="443"/>
      <c r="DF11" s="443"/>
      <c r="DP11" s="447"/>
      <c r="EF11" s="443"/>
      <c r="EQ11" s="474"/>
      <c r="ER11" s="474"/>
      <c r="ES11" s="474"/>
      <c r="ET11" s="474"/>
      <c r="EU11" s="474"/>
      <c r="EV11" s="474"/>
      <c r="EW11" s="474"/>
      <c r="EX11" s="474"/>
      <c r="EY11" s="474"/>
      <c r="FO11" s="443"/>
      <c r="GJ11" s="443"/>
      <c r="GQ11" s="443"/>
      <c r="HD11" s="447"/>
      <c r="HV11" s="447"/>
      <c r="HW11" s="445"/>
      <c r="HX11" s="445"/>
      <c r="HY11" s="445"/>
      <c r="IH11" s="445"/>
      <c r="II11" s="445"/>
      <c r="IJ11" s="445"/>
      <c r="IK11" s="844"/>
    </row>
    <row r="12" spans="2:273" s="307" customFormat="1" ht="15" customHeight="1">
      <c r="B12" s="40">
        <v>1920</v>
      </c>
      <c r="C12" s="42"/>
      <c r="D12" s="58"/>
      <c r="E12" s="46"/>
      <c r="F12" s="46"/>
      <c r="I12" s="46"/>
      <c r="J12" s="46"/>
      <c r="K12" s="46"/>
      <c r="L12" s="46"/>
      <c r="M12" s="46"/>
      <c r="N12" s="46"/>
      <c r="O12" s="46"/>
      <c r="P12" s="46"/>
      <c r="Q12" s="46"/>
      <c r="R12" s="58"/>
      <c r="S12" s="46"/>
      <c r="X12" s="58"/>
      <c r="AM12" s="58"/>
      <c r="BF12" s="376"/>
      <c r="BG12" s="376"/>
      <c r="BH12" s="376"/>
      <c r="BI12" s="376"/>
      <c r="BJ12" s="45"/>
      <c r="BU12" s="58"/>
      <c r="BV12" s="46"/>
      <c r="CM12" s="401"/>
      <c r="CS12" s="58"/>
      <c r="DF12" s="58"/>
      <c r="DO12" s="46"/>
      <c r="DP12" s="45"/>
      <c r="EF12" s="58"/>
      <c r="EP12" s="46"/>
      <c r="EQ12" s="473"/>
      <c r="ER12" s="473"/>
      <c r="ES12" s="473"/>
      <c r="ET12" s="473"/>
      <c r="EU12" s="473"/>
      <c r="EV12" s="473"/>
      <c r="EW12" s="473"/>
      <c r="EX12" s="473"/>
      <c r="EY12" s="473"/>
      <c r="EZ12" s="46"/>
      <c r="FA12" s="46"/>
      <c r="FB12" s="46"/>
      <c r="FC12" s="46"/>
      <c r="FD12" s="46"/>
      <c r="FE12" s="46"/>
      <c r="FF12" s="46"/>
      <c r="FO12" s="58"/>
      <c r="FP12" s="46"/>
      <c r="GJ12" s="58"/>
      <c r="GQ12" s="58"/>
      <c r="HD12" s="45"/>
      <c r="HV12" s="45"/>
      <c r="HW12" s="39"/>
      <c r="HX12" s="39"/>
      <c r="HY12" s="39"/>
      <c r="IH12" s="39"/>
      <c r="II12" s="39"/>
      <c r="IJ12" s="39"/>
      <c r="IK12" s="843"/>
      <c r="IL12" s="46"/>
    </row>
    <row r="13" spans="2:273" s="307" customFormat="1" ht="15" customHeight="1">
      <c r="B13" s="40">
        <v>1921</v>
      </c>
      <c r="C13" s="42"/>
      <c r="D13" s="58"/>
      <c r="E13" s="46"/>
      <c r="F13" s="46"/>
      <c r="I13" s="46"/>
      <c r="J13" s="46"/>
      <c r="K13" s="46"/>
      <c r="L13" s="46"/>
      <c r="M13" s="46"/>
      <c r="N13" s="46"/>
      <c r="O13" s="46"/>
      <c r="P13" s="46"/>
      <c r="Q13" s="46"/>
      <c r="R13" s="58"/>
      <c r="S13" s="46"/>
      <c r="X13" s="58"/>
      <c r="AM13" s="58"/>
      <c r="BF13" s="376"/>
      <c r="BG13" s="376"/>
      <c r="BH13" s="376"/>
      <c r="BI13" s="376"/>
      <c r="BJ13" s="45"/>
      <c r="BU13" s="58"/>
      <c r="BV13" s="46"/>
      <c r="CM13" s="401"/>
      <c r="CS13" s="58"/>
      <c r="DF13" s="58"/>
      <c r="DO13" s="46"/>
      <c r="DP13" s="45"/>
      <c r="EF13" s="58"/>
      <c r="EP13" s="46"/>
      <c r="EQ13" s="473"/>
      <c r="ER13" s="473"/>
      <c r="ES13" s="473"/>
      <c r="ET13" s="473"/>
      <c r="EU13" s="473"/>
      <c r="EV13" s="473"/>
      <c r="EW13" s="473"/>
      <c r="EX13" s="473"/>
      <c r="EY13" s="473"/>
      <c r="EZ13" s="46"/>
      <c r="FA13" s="46"/>
      <c r="FB13" s="46"/>
      <c r="FC13" s="46"/>
      <c r="FD13" s="46"/>
      <c r="FE13" s="46"/>
      <c r="FF13" s="46"/>
      <c r="FO13" s="58"/>
      <c r="FP13" s="46"/>
      <c r="GJ13" s="58"/>
      <c r="GQ13" s="58"/>
      <c r="HD13" s="45"/>
      <c r="HV13" s="45"/>
      <c r="HW13" s="39"/>
      <c r="HX13" s="39"/>
      <c r="HY13" s="39"/>
      <c r="IH13" s="39"/>
      <c r="II13" s="39"/>
      <c r="IJ13" s="39"/>
      <c r="IK13" s="843"/>
      <c r="IL13" s="46"/>
    </row>
    <row r="14" spans="2:273" s="307" customFormat="1" ht="15" customHeight="1">
      <c r="B14" s="40">
        <v>1922</v>
      </c>
      <c r="C14" s="42"/>
      <c r="D14" s="58"/>
      <c r="E14" s="46"/>
      <c r="F14" s="46"/>
      <c r="I14" s="46"/>
      <c r="J14" s="46"/>
      <c r="K14" s="46"/>
      <c r="L14" s="46"/>
      <c r="M14" s="46"/>
      <c r="N14" s="46"/>
      <c r="O14" s="46"/>
      <c r="P14" s="46"/>
      <c r="Q14" s="46"/>
      <c r="R14" s="58"/>
      <c r="S14" s="46"/>
      <c r="X14" s="58"/>
      <c r="AM14" s="58"/>
      <c r="BF14" s="376"/>
      <c r="BG14" s="376"/>
      <c r="BH14" s="376"/>
      <c r="BI14" s="376"/>
      <c r="BJ14" s="45"/>
      <c r="BU14" s="58"/>
      <c r="BV14" s="46"/>
      <c r="CM14" s="401"/>
      <c r="CS14" s="58"/>
      <c r="DF14" s="58"/>
      <c r="DO14" s="46"/>
      <c r="DP14" s="45"/>
      <c r="EF14" s="58"/>
      <c r="EP14" s="46"/>
      <c r="EQ14" s="473"/>
      <c r="ER14" s="473"/>
      <c r="ES14" s="473"/>
      <c r="ET14" s="473"/>
      <c r="EU14" s="473"/>
      <c r="EV14" s="473"/>
      <c r="EW14" s="473"/>
      <c r="EX14" s="473"/>
      <c r="EY14" s="473"/>
      <c r="EZ14" s="46"/>
      <c r="FA14" s="46"/>
      <c r="FB14" s="46"/>
      <c r="FC14" s="46"/>
      <c r="FD14" s="46"/>
      <c r="FE14" s="46"/>
      <c r="FF14" s="46"/>
      <c r="FO14" s="58"/>
      <c r="FP14" s="46"/>
      <c r="GJ14" s="58"/>
      <c r="GQ14" s="58"/>
      <c r="HD14" s="45"/>
      <c r="HV14" s="45"/>
      <c r="HW14" s="39"/>
      <c r="HX14" s="39"/>
      <c r="HY14" s="39"/>
      <c r="IH14" s="39"/>
      <c r="II14" s="39"/>
      <c r="IJ14" s="39"/>
      <c r="IK14" s="843"/>
      <c r="IL14" s="46"/>
    </row>
    <row r="15" spans="2:273" s="307" customFormat="1" ht="15" customHeight="1">
      <c r="B15" s="40">
        <v>1923</v>
      </c>
      <c r="C15" s="42"/>
      <c r="D15" s="58"/>
      <c r="E15" s="46"/>
      <c r="F15" s="46"/>
      <c r="I15" s="46"/>
      <c r="J15" s="46"/>
      <c r="K15" s="46"/>
      <c r="L15" s="46"/>
      <c r="M15" s="46"/>
      <c r="N15" s="46"/>
      <c r="O15" s="46"/>
      <c r="P15" s="46"/>
      <c r="Q15" s="46"/>
      <c r="R15" s="58"/>
      <c r="S15" s="46"/>
      <c r="X15" s="58"/>
      <c r="AM15" s="58"/>
      <c r="BF15" s="376"/>
      <c r="BG15" s="376"/>
      <c r="BH15" s="376"/>
      <c r="BI15" s="376"/>
      <c r="BJ15" s="45"/>
      <c r="BU15" s="58"/>
      <c r="BV15" s="46"/>
      <c r="CM15" s="401"/>
      <c r="CS15" s="58"/>
      <c r="DF15" s="58"/>
      <c r="DO15" s="46"/>
      <c r="DP15" s="45"/>
      <c r="EF15" s="58"/>
      <c r="EP15" s="46"/>
      <c r="EQ15" s="473"/>
      <c r="ER15" s="473"/>
      <c r="ES15" s="473"/>
      <c r="ET15" s="473"/>
      <c r="EU15" s="473"/>
      <c r="EV15" s="473"/>
      <c r="EW15" s="473"/>
      <c r="EX15" s="473"/>
      <c r="EY15" s="473"/>
      <c r="EZ15" s="46"/>
      <c r="FA15" s="46"/>
      <c r="FB15" s="46"/>
      <c r="FC15" s="46"/>
      <c r="FD15" s="46"/>
      <c r="FE15" s="46"/>
      <c r="FF15" s="46"/>
      <c r="FO15" s="58"/>
      <c r="FP15" s="46"/>
      <c r="GJ15" s="58"/>
      <c r="GQ15" s="58"/>
      <c r="HD15" s="45"/>
      <c r="HV15" s="45"/>
      <c r="HW15" s="39"/>
      <c r="HX15" s="39"/>
      <c r="HY15" s="39"/>
      <c r="IH15" s="39"/>
      <c r="II15" s="39"/>
      <c r="IJ15" s="39"/>
      <c r="IK15" s="843"/>
      <c r="IL15" s="46"/>
    </row>
    <row r="16" spans="2:273" s="307" customFormat="1" ht="15" customHeight="1">
      <c r="B16" s="40">
        <v>1924</v>
      </c>
      <c r="C16" s="42"/>
      <c r="D16" s="58"/>
      <c r="E16" s="46"/>
      <c r="F16" s="46"/>
      <c r="I16" s="46"/>
      <c r="J16" s="46"/>
      <c r="K16" s="46"/>
      <c r="L16" s="46"/>
      <c r="M16" s="46"/>
      <c r="N16" s="46"/>
      <c r="O16" s="46"/>
      <c r="P16" s="46"/>
      <c r="Q16" s="46"/>
      <c r="R16" s="58"/>
      <c r="S16" s="46"/>
      <c r="X16" s="58"/>
      <c r="AM16" s="58"/>
      <c r="BF16" s="376"/>
      <c r="BG16" s="376"/>
      <c r="BH16" s="376"/>
      <c r="BI16" s="376"/>
      <c r="BJ16" s="45"/>
      <c r="BU16" s="58"/>
      <c r="BV16" s="46"/>
      <c r="CM16" s="401"/>
      <c r="CS16" s="58"/>
      <c r="DF16" s="58"/>
      <c r="DO16" s="46"/>
      <c r="DP16" s="45"/>
      <c r="EF16" s="58"/>
      <c r="EP16" s="46"/>
      <c r="EQ16" s="473"/>
      <c r="ER16" s="473"/>
      <c r="ES16" s="473"/>
      <c r="ET16" s="473"/>
      <c r="EU16" s="473"/>
      <c r="EV16" s="473"/>
      <c r="EW16" s="473"/>
      <c r="EX16" s="473"/>
      <c r="EY16" s="473"/>
      <c r="EZ16" s="46"/>
      <c r="FA16" s="46"/>
      <c r="FB16" s="46"/>
      <c r="FC16" s="46"/>
      <c r="FD16" s="46"/>
      <c r="FE16" s="46"/>
      <c r="FF16" s="46"/>
      <c r="FO16" s="58"/>
      <c r="FP16" s="46"/>
      <c r="GJ16" s="58"/>
      <c r="GQ16" s="58"/>
      <c r="HD16" s="45"/>
      <c r="HV16" s="45"/>
      <c r="HW16" s="39"/>
      <c r="HX16" s="39"/>
      <c r="HY16" s="39"/>
      <c r="IH16" s="39"/>
      <c r="II16" s="39"/>
      <c r="IJ16" s="39"/>
      <c r="IK16" s="843"/>
      <c r="IL16" s="46"/>
    </row>
    <row r="17" spans="2:273" s="307" customFormat="1" ht="15" customHeight="1">
      <c r="B17" s="40">
        <v>1925</v>
      </c>
      <c r="C17" s="42"/>
      <c r="D17" s="58"/>
      <c r="E17" s="46"/>
      <c r="F17" s="46"/>
      <c r="I17" s="46"/>
      <c r="J17" s="46"/>
      <c r="K17" s="46"/>
      <c r="L17" s="46"/>
      <c r="M17" s="46"/>
      <c r="N17" s="46"/>
      <c r="O17" s="46"/>
      <c r="P17" s="46"/>
      <c r="Q17" s="46"/>
      <c r="R17" s="58"/>
      <c r="S17" s="46"/>
      <c r="X17" s="58"/>
      <c r="AM17" s="58"/>
      <c r="BF17" s="376"/>
      <c r="BG17" s="376"/>
      <c r="BH17" s="376"/>
      <c r="BI17" s="376"/>
      <c r="BJ17" s="45"/>
      <c r="BU17" s="58"/>
      <c r="BV17" s="46"/>
      <c r="CM17" s="401"/>
      <c r="CS17" s="58"/>
      <c r="DF17" s="58"/>
      <c r="DO17" s="46"/>
      <c r="DP17" s="45"/>
      <c r="EF17" s="58"/>
      <c r="EP17" s="46"/>
      <c r="EQ17" s="473"/>
      <c r="ER17" s="473"/>
      <c r="ES17" s="473"/>
      <c r="ET17" s="473"/>
      <c r="EU17" s="473"/>
      <c r="EV17" s="473"/>
      <c r="EW17" s="473"/>
      <c r="EX17" s="473"/>
      <c r="EY17" s="473"/>
      <c r="EZ17" s="46"/>
      <c r="FA17" s="46"/>
      <c r="FB17" s="46"/>
      <c r="FC17" s="46"/>
      <c r="FD17" s="46"/>
      <c r="FE17" s="46"/>
      <c r="FF17" s="46"/>
      <c r="FO17" s="58"/>
      <c r="FP17" s="46"/>
      <c r="GJ17" s="58"/>
      <c r="GQ17" s="58"/>
      <c r="HD17" s="45"/>
      <c r="HV17" s="45"/>
      <c r="HW17" s="39"/>
      <c r="HX17" s="39"/>
      <c r="HY17" s="39"/>
      <c r="IH17" s="39"/>
      <c r="II17" s="39"/>
      <c r="IJ17" s="39"/>
      <c r="IK17" s="843"/>
      <c r="IL17" s="46"/>
    </row>
    <row r="18" spans="2:273" s="307" customFormat="1" ht="15" customHeight="1">
      <c r="B18" s="40">
        <v>1926</v>
      </c>
      <c r="C18" s="42"/>
      <c r="D18" s="58"/>
      <c r="E18" s="46"/>
      <c r="F18" s="46"/>
      <c r="I18" s="46"/>
      <c r="J18" s="46"/>
      <c r="K18" s="46"/>
      <c r="L18" s="46"/>
      <c r="M18" s="46"/>
      <c r="N18" s="46"/>
      <c r="O18" s="46"/>
      <c r="P18" s="46"/>
      <c r="Q18" s="46"/>
      <c r="R18" s="58"/>
      <c r="S18" s="46"/>
      <c r="X18" s="58"/>
      <c r="AM18" s="58"/>
      <c r="BF18" s="376"/>
      <c r="BG18" s="376"/>
      <c r="BH18" s="376"/>
      <c r="BI18" s="376"/>
      <c r="BJ18" s="45"/>
      <c r="BU18" s="58"/>
      <c r="BV18" s="46"/>
      <c r="CM18" s="401"/>
      <c r="CS18" s="58"/>
      <c r="DF18" s="58"/>
      <c r="DO18" s="46"/>
      <c r="DP18" s="45"/>
      <c r="EF18" s="58"/>
      <c r="EP18" s="46"/>
      <c r="EQ18" s="473"/>
      <c r="ER18" s="473"/>
      <c r="ES18" s="473"/>
      <c r="ET18" s="473"/>
      <c r="EU18" s="473"/>
      <c r="EV18" s="473"/>
      <c r="EW18" s="473"/>
      <c r="EX18" s="473"/>
      <c r="EY18" s="473"/>
      <c r="EZ18" s="46"/>
      <c r="FA18" s="46"/>
      <c r="FB18" s="46"/>
      <c r="FC18" s="46"/>
      <c r="FD18" s="46"/>
      <c r="FE18" s="46"/>
      <c r="FF18" s="46"/>
      <c r="FO18" s="58"/>
      <c r="FP18" s="46"/>
      <c r="GJ18" s="58"/>
      <c r="GQ18" s="58"/>
      <c r="HD18" s="45"/>
      <c r="HV18" s="45"/>
      <c r="HW18" s="39"/>
      <c r="HX18" s="39"/>
      <c r="HY18" s="39"/>
      <c r="IH18" s="39"/>
      <c r="II18" s="39"/>
      <c r="IJ18" s="39"/>
      <c r="IK18" s="843"/>
      <c r="IL18" s="46"/>
    </row>
    <row r="19" spans="2:273" s="307" customFormat="1" ht="15" customHeight="1">
      <c r="B19" s="40">
        <v>1927</v>
      </c>
      <c r="C19" s="42"/>
      <c r="D19" s="58"/>
      <c r="E19" s="46"/>
      <c r="F19" s="46"/>
      <c r="I19" s="46"/>
      <c r="J19" s="46"/>
      <c r="K19" s="46"/>
      <c r="L19" s="46"/>
      <c r="M19" s="46"/>
      <c r="N19" s="46"/>
      <c r="O19" s="46"/>
      <c r="P19" s="46"/>
      <c r="Q19" s="46"/>
      <c r="R19" s="58"/>
      <c r="S19" s="46"/>
      <c r="X19" s="58"/>
      <c r="AM19" s="58"/>
      <c r="BF19" s="376"/>
      <c r="BG19" s="376"/>
      <c r="BH19" s="376"/>
      <c r="BI19" s="376"/>
      <c r="BJ19" s="45"/>
      <c r="BU19" s="58"/>
      <c r="BV19" s="46"/>
      <c r="CM19" s="401"/>
      <c r="CS19" s="58"/>
      <c r="DF19" s="58"/>
      <c r="DO19" s="46"/>
      <c r="DP19" s="45"/>
      <c r="EF19" s="58"/>
      <c r="EP19" s="46"/>
      <c r="EQ19" s="473"/>
      <c r="ER19" s="473"/>
      <c r="ES19" s="473"/>
      <c r="ET19" s="473"/>
      <c r="EU19" s="473"/>
      <c r="EV19" s="473"/>
      <c r="EW19" s="473"/>
      <c r="EX19" s="473"/>
      <c r="EY19" s="473"/>
      <c r="EZ19" s="46"/>
      <c r="FA19" s="46"/>
      <c r="FB19" s="46"/>
      <c r="FC19" s="46"/>
      <c r="FD19" s="46"/>
      <c r="FE19" s="46"/>
      <c r="FF19" s="46"/>
      <c r="FO19" s="58"/>
      <c r="FP19" s="46"/>
      <c r="GJ19" s="58"/>
      <c r="GQ19" s="58"/>
      <c r="HD19" s="45"/>
      <c r="HV19" s="45"/>
      <c r="HW19" s="39"/>
      <c r="HX19" s="39"/>
      <c r="HY19" s="39"/>
      <c r="IH19" s="39"/>
      <c r="II19" s="39"/>
      <c r="IJ19" s="39"/>
      <c r="IK19" s="843"/>
      <c r="IL19" s="46"/>
    </row>
    <row r="20" spans="2:273" s="307" customFormat="1" ht="15" customHeight="1">
      <c r="B20" s="40">
        <v>1928</v>
      </c>
      <c r="C20" s="42"/>
      <c r="D20" s="58"/>
      <c r="E20" s="46"/>
      <c r="F20" s="46"/>
      <c r="I20" s="46"/>
      <c r="J20" s="46"/>
      <c r="K20" s="46"/>
      <c r="L20" s="46"/>
      <c r="M20" s="46"/>
      <c r="N20" s="46"/>
      <c r="O20" s="46"/>
      <c r="P20" s="46"/>
      <c r="Q20" s="46"/>
      <c r="R20" s="58"/>
      <c r="S20" s="46"/>
      <c r="X20" s="58"/>
      <c r="AM20" s="58"/>
      <c r="BF20" s="376"/>
      <c r="BG20" s="376"/>
      <c r="BH20" s="376"/>
      <c r="BI20" s="376"/>
      <c r="BJ20" s="45"/>
      <c r="BU20" s="58"/>
      <c r="BV20" s="46"/>
      <c r="CM20" s="401"/>
      <c r="CS20" s="58"/>
      <c r="DF20" s="58"/>
      <c r="DO20" s="46"/>
      <c r="DP20" s="45"/>
      <c r="EF20" s="58"/>
      <c r="EP20" s="46"/>
      <c r="EQ20" s="473"/>
      <c r="ER20" s="473"/>
      <c r="ES20" s="473"/>
      <c r="ET20" s="473"/>
      <c r="EU20" s="473"/>
      <c r="EV20" s="473"/>
      <c r="EW20" s="473"/>
      <c r="EX20" s="473"/>
      <c r="EY20" s="473"/>
      <c r="EZ20" s="46"/>
      <c r="FA20" s="46"/>
      <c r="FB20" s="46"/>
      <c r="FC20" s="46"/>
      <c r="FD20" s="46"/>
      <c r="FE20" s="46"/>
      <c r="FF20" s="46"/>
      <c r="FO20" s="58"/>
      <c r="FP20" s="46"/>
      <c r="GJ20" s="58"/>
      <c r="GQ20" s="58"/>
      <c r="HD20" s="45"/>
      <c r="HV20" s="45"/>
      <c r="HW20" s="39"/>
      <c r="HX20" s="39"/>
      <c r="HY20" s="39"/>
      <c r="IH20" s="39"/>
      <c r="II20" s="39"/>
      <c r="IJ20" s="39"/>
      <c r="IK20" s="843"/>
      <c r="IL20" s="46"/>
    </row>
    <row r="21" spans="2:273" s="113" customFormat="1">
      <c r="B21" s="457">
        <v>1929</v>
      </c>
      <c r="C21" s="104">
        <f t="array" ref="C21:C108">TRANSPOSE(NIPA_1.12!C7:CL7)</f>
        <v>94.2</v>
      </c>
      <c r="D21" s="8">
        <f t="array" ref="D21:D108">TRANSPOSE(NIPA_1.12!C19:CL19)</f>
        <v>10.8</v>
      </c>
      <c r="E21" s="105">
        <f t="shared" ref="E21:E84" si="0">D21/C21</f>
        <v>0.11464968152866242</v>
      </c>
      <c r="F21" s="456">
        <f t="shared" ref="F21:F84" si="1">D21-(G21+I21)</f>
        <v>0</v>
      </c>
      <c r="G21" s="456">
        <f t="shared" ref="G21:G84" si="2">D21-I21</f>
        <v>10.600000000000001</v>
      </c>
      <c r="H21" s="105">
        <f t="shared" ref="H21:H84" si="3">G21/C21</f>
        <v>0.11252653927813165</v>
      </c>
      <c r="I21" s="457">
        <f t="array" ref="I21:I108">TRANSPOSE(NIPA_7.16!C29:CL29)</f>
        <v>0.2</v>
      </c>
      <c r="J21" s="461">
        <f t="shared" ref="J21:J84" si="4">I21/C21</f>
        <v>2.1231422505307855E-3</v>
      </c>
      <c r="K21" s="105">
        <f t="shared" ref="K21:K84" si="5">I21/D21</f>
        <v>1.8518518518518517E-2</v>
      </c>
      <c r="L21" s="456">
        <f>I21</f>
        <v>0.2</v>
      </c>
      <c r="M21" s="456">
        <f>-(I21-L21)</f>
        <v>0</v>
      </c>
      <c r="N21" s="461">
        <f t="shared" ref="N21:N84" si="6">L21/C21</f>
        <v>2.1231422505307855E-3</v>
      </c>
      <c r="O21" s="461">
        <f>M21/C21</f>
        <v>0</v>
      </c>
      <c r="P21" s="461">
        <f>M21/D21</f>
        <v>0</v>
      </c>
      <c r="Q21" s="8">
        <f t="shared" ref="Q21:Q84" si="7">D21</f>
        <v>10.8</v>
      </c>
      <c r="R21" s="170">
        <f>M21</f>
        <v>0</v>
      </c>
      <c r="S21" s="456"/>
      <c r="X21" s="181"/>
      <c r="AA21" s="112"/>
      <c r="AB21" s="112"/>
      <c r="AM21" s="178"/>
      <c r="BJ21" s="178"/>
      <c r="BQ21" s="115"/>
      <c r="BR21" s="410"/>
      <c r="BU21" s="181"/>
      <c r="CE21" s="410"/>
      <c r="CF21" s="410"/>
      <c r="CG21" s="410"/>
      <c r="CH21" s="410"/>
      <c r="CI21" s="410"/>
      <c r="CJ21" s="410"/>
      <c r="CK21" s="410"/>
      <c r="CL21" s="410"/>
      <c r="CM21" s="105"/>
      <c r="CN21" s="105"/>
      <c r="CO21" s="461"/>
      <c r="CP21" s="461"/>
      <c r="CQ21" s="461"/>
      <c r="CR21" s="461"/>
      <c r="CS21" s="181"/>
      <c r="CT21" s="420"/>
      <c r="CU21" s="420"/>
      <c r="DF21" s="181"/>
      <c r="DP21" s="181"/>
      <c r="EF21" s="181"/>
      <c r="EQ21" s="420"/>
      <c r="ER21" s="420"/>
      <c r="ES21" s="420"/>
      <c r="ET21" s="420"/>
      <c r="EU21" s="420"/>
      <c r="EV21" s="420"/>
      <c r="EW21" s="420"/>
      <c r="EX21" s="420"/>
      <c r="EY21" s="420"/>
      <c r="FO21" s="181"/>
      <c r="GJ21" s="181"/>
      <c r="GQ21" s="181"/>
      <c r="HD21" s="178"/>
      <c r="HV21" s="178"/>
      <c r="HW21" s="115"/>
      <c r="HX21" s="115"/>
      <c r="HY21" s="115"/>
      <c r="IK21" s="845"/>
      <c r="IU21" s="420"/>
      <c r="IV21" s="420"/>
      <c r="IW21" s="420"/>
      <c r="IX21" s="420"/>
      <c r="IY21" s="420"/>
      <c r="IZ21" s="420"/>
      <c r="JK21" s="420"/>
      <c r="JL21" s="420"/>
      <c r="JM21" s="420"/>
    </row>
    <row r="22" spans="2:273">
      <c r="B22" s="451">
        <v>1930</v>
      </c>
      <c r="C22" s="43">
        <v>83.1</v>
      </c>
      <c r="D22" s="5">
        <v>7.5</v>
      </c>
      <c r="E22" s="6">
        <f t="shared" si="0"/>
        <v>9.0252707581227443E-2</v>
      </c>
      <c r="F22" s="454">
        <f t="shared" si="1"/>
        <v>0</v>
      </c>
      <c r="G22" s="450">
        <f t="shared" si="2"/>
        <v>7.4</v>
      </c>
      <c r="H22" s="23">
        <f t="shared" si="3"/>
        <v>8.9049338146811083E-2</v>
      </c>
      <c r="I22" s="455">
        <v>0.1</v>
      </c>
      <c r="J22" s="460">
        <f t="shared" si="4"/>
        <v>1.2033694344163659E-3</v>
      </c>
      <c r="K22" s="6">
        <f t="shared" si="5"/>
        <v>1.3333333333333334E-2</v>
      </c>
      <c r="L22" s="454">
        <f>I22</f>
        <v>0.1</v>
      </c>
      <c r="M22" s="454">
        <f t="shared" ref="M22:M85" si="8">-(I22-L22)</f>
        <v>0</v>
      </c>
      <c r="N22" s="460">
        <f t="shared" si="6"/>
        <v>1.2033694344163659E-3</v>
      </c>
      <c r="O22" s="460">
        <f t="shared" ref="O22:O85" si="9">M22/C22</f>
        <v>0</v>
      </c>
      <c r="P22" s="460">
        <f t="shared" ref="P22:P85" si="10">M22/D22</f>
        <v>0</v>
      </c>
      <c r="Q22" s="5">
        <f t="shared" si="7"/>
        <v>7.5</v>
      </c>
      <c r="R22" s="169">
        <f t="shared" ref="R22:R85" si="11">M22</f>
        <v>0</v>
      </c>
      <c r="S22" s="454"/>
      <c r="X22" s="69"/>
      <c r="AA22" s="78"/>
      <c r="AB22" s="78"/>
      <c r="AM22" s="67"/>
      <c r="BJ22" s="67"/>
      <c r="BQ22" s="24"/>
      <c r="BR22" s="184"/>
      <c r="BU22" s="69"/>
      <c r="BV22" s="90"/>
      <c r="CE22" s="184"/>
      <c r="CF22" s="184"/>
      <c r="CG22" s="184"/>
      <c r="CH22" s="184"/>
      <c r="CI22" s="184"/>
      <c r="CJ22" s="184"/>
      <c r="CK22" s="184"/>
      <c r="CL22" s="184"/>
      <c r="CM22" s="23"/>
      <c r="CN22" s="23"/>
      <c r="CO22" s="23"/>
      <c r="CP22" s="448"/>
      <c r="CQ22" s="448"/>
      <c r="CR22" s="23"/>
      <c r="CS22" s="69"/>
      <c r="CT22" s="80"/>
      <c r="CU22" s="80"/>
      <c r="DF22" s="69"/>
      <c r="DO22" s="90"/>
      <c r="DP22" s="69"/>
      <c r="EF22" s="69"/>
      <c r="EP22" s="90"/>
      <c r="EQ22" s="80"/>
      <c r="ER22" s="80"/>
      <c r="ES22" s="80"/>
      <c r="ET22" s="80"/>
      <c r="EU22" s="80"/>
      <c r="EV22" s="80"/>
      <c r="EW22" s="80"/>
      <c r="EX22" s="80"/>
      <c r="EY22" s="80"/>
      <c r="EZ22" s="90"/>
      <c r="FA22" s="90"/>
      <c r="FB22" s="90"/>
      <c r="FC22" s="90"/>
      <c r="FD22" s="90"/>
      <c r="FE22" s="90"/>
      <c r="FF22" s="90"/>
      <c r="FO22" s="69"/>
      <c r="FP22" s="90"/>
      <c r="GJ22" s="423"/>
      <c r="GK22" s="80"/>
      <c r="GL22" s="80"/>
      <c r="GM22" s="80"/>
      <c r="GN22" s="80"/>
      <c r="GO22" s="80"/>
      <c r="GP22" s="80"/>
      <c r="GQ22" s="69"/>
      <c r="HD22" s="67"/>
      <c r="HV22" s="67"/>
      <c r="IK22" s="841"/>
      <c r="IL22" s="90"/>
      <c r="IU22" s="80"/>
      <c r="IV22" s="80"/>
      <c r="IW22" s="80"/>
      <c r="IX22" s="80"/>
      <c r="IY22" s="80"/>
      <c r="IZ22" s="80"/>
      <c r="JK22" s="80"/>
      <c r="JL22" s="80"/>
      <c r="JM22" s="80"/>
    </row>
    <row r="23" spans="2:273">
      <c r="B23" s="451">
        <v>1931</v>
      </c>
      <c r="C23" s="43">
        <v>67.7</v>
      </c>
      <c r="D23" s="5">
        <v>3</v>
      </c>
      <c r="E23" s="6">
        <f t="shared" si="0"/>
        <v>4.4313146233382568E-2</v>
      </c>
      <c r="F23" s="454">
        <f t="shared" si="1"/>
        <v>0</v>
      </c>
      <c r="G23" s="450">
        <f t="shared" si="2"/>
        <v>3</v>
      </c>
      <c r="H23" s="23">
        <f t="shared" si="3"/>
        <v>4.4313146233382568E-2</v>
      </c>
      <c r="I23" s="455">
        <v>0</v>
      </c>
      <c r="J23" s="460">
        <f t="shared" si="4"/>
        <v>0</v>
      </c>
      <c r="K23" s="6">
        <f t="shared" si="5"/>
        <v>0</v>
      </c>
      <c r="L23" s="454">
        <f>I23</f>
        <v>0</v>
      </c>
      <c r="M23" s="454">
        <f t="shared" si="8"/>
        <v>0</v>
      </c>
      <c r="N23" s="460">
        <f t="shared" si="6"/>
        <v>0</v>
      </c>
      <c r="O23" s="460">
        <f t="shared" si="9"/>
        <v>0</v>
      </c>
      <c r="P23" s="460">
        <f t="shared" si="10"/>
        <v>0</v>
      </c>
      <c r="Q23" s="5">
        <f t="shared" si="7"/>
        <v>3</v>
      </c>
      <c r="R23" s="169">
        <f t="shared" si="11"/>
        <v>0</v>
      </c>
      <c r="S23" s="454"/>
      <c r="X23" s="69"/>
      <c r="AA23" s="78"/>
      <c r="AB23" s="78"/>
      <c r="AM23" s="67"/>
      <c r="BJ23" s="67"/>
      <c r="BQ23" s="24"/>
      <c r="BR23" s="184"/>
      <c r="BU23" s="69"/>
      <c r="BV23" s="90"/>
      <c r="CE23" s="184"/>
      <c r="CF23" s="184"/>
      <c r="CG23" s="184"/>
      <c r="CH23" s="184"/>
      <c r="CI23" s="184"/>
      <c r="CJ23" s="184"/>
      <c r="CK23" s="184"/>
      <c r="CL23" s="184"/>
      <c r="CM23" s="23"/>
      <c r="CN23" s="23"/>
      <c r="CO23" s="23"/>
      <c r="CP23" s="448"/>
      <c r="CQ23" s="448"/>
      <c r="CR23" s="23"/>
      <c r="CS23" s="69"/>
      <c r="CT23" s="80"/>
      <c r="CU23" s="80"/>
      <c r="DF23" s="69"/>
      <c r="DO23" s="90"/>
      <c r="DP23" s="69"/>
      <c r="EF23" s="69"/>
      <c r="EP23" s="90"/>
      <c r="EQ23" s="80"/>
      <c r="ER23" s="80"/>
      <c r="ES23" s="80"/>
      <c r="ET23" s="80"/>
      <c r="EU23" s="80"/>
      <c r="EV23" s="80"/>
      <c r="EW23" s="80"/>
      <c r="EX23" s="80"/>
      <c r="EY23" s="80"/>
      <c r="EZ23" s="90"/>
      <c r="FA23" s="90"/>
      <c r="FB23" s="90"/>
      <c r="FC23" s="90"/>
      <c r="FD23" s="90"/>
      <c r="FE23" s="90"/>
      <c r="FF23" s="90"/>
      <c r="FO23" s="69"/>
      <c r="FP23" s="90"/>
      <c r="GJ23" s="423"/>
      <c r="GK23" s="80"/>
      <c r="GL23" s="80"/>
      <c r="GM23" s="80"/>
      <c r="GN23" s="80"/>
      <c r="GO23" s="80"/>
      <c r="GP23" s="80"/>
      <c r="GQ23" s="69"/>
      <c r="HD23" s="67"/>
      <c r="HV23" s="67"/>
      <c r="IK23" s="841"/>
      <c r="IL23" s="90"/>
      <c r="IU23" s="80"/>
      <c r="IV23" s="80"/>
      <c r="IW23" s="80"/>
      <c r="IX23" s="80"/>
      <c r="IY23" s="80"/>
      <c r="IZ23" s="80"/>
      <c r="JK23" s="80"/>
      <c r="JL23" s="80"/>
      <c r="JM23" s="80"/>
    </row>
    <row r="24" spans="2:273">
      <c r="B24" s="451">
        <v>1932</v>
      </c>
      <c r="C24" s="43">
        <v>51.3</v>
      </c>
      <c r="D24" s="5">
        <v>-0.2</v>
      </c>
      <c r="E24" s="6">
        <f t="shared" si="0"/>
        <v>-3.8986354775828462E-3</v>
      </c>
      <c r="F24" s="454">
        <f t="shared" si="1"/>
        <v>0</v>
      </c>
      <c r="G24" s="450">
        <f t="shared" si="2"/>
        <v>-0.2</v>
      </c>
      <c r="H24" s="23">
        <f t="shared" si="3"/>
        <v>-3.8986354775828462E-3</v>
      </c>
      <c r="I24" s="455">
        <v>0</v>
      </c>
      <c r="J24" s="460">
        <f t="shared" si="4"/>
        <v>0</v>
      </c>
      <c r="K24" s="6">
        <f t="shared" si="5"/>
        <v>0</v>
      </c>
      <c r="L24" s="454">
        <f>I24</f>
        <v>0</v>
      </c>
      <c r="M24" s="454">
        <f t="shared" si="8"/>
        <v>0</v>
      </c>
      <c r="N24" s="460">
        <f t="shared" si="6"/>
        <v>0</v>
      </c>
      <c r="O24" s="460">
        <f t="shared" si="9"/>
        <v>0</v>
      </c>
      <c r="P24" s="460">
        <f t="shared" si="10"/>
        <v>0</v>
      </c>
      <c r="Q24" s="5">
        <f t="shared" si="7"/>
        <v>-0.2</v>
      </c>
      <c r="R24" s="169">
        <f t="shared" si="11"/>
        <v>0</v>
      </c>
      <c r="S24" s="454"/>
      <c r="X24" s="69"/>
      <c r="AA24" s="78"/>
      <c r="AB24" s="78"/>
      <c r="AM24" s="67"/>
      <c r="BJ24" s="67"/>
      <c r="BQ24" s="24"/>
      <c r="BR24" s="184"/>
      <c r="BU24" s="69"/>
      <c r="BV24" s="90"/>
      <c r="CE24" s="184"/>
      <c r="CF24" s="184"/>
      <c r="CG24" s="184"/>
      <c r="CH24" s="184"/>
      <c r="CI24" s="184"/>
      <c r="CJ24" s="184"/>
      <c r="CK24" s="184"/>
      <c r="CL24" s="184"/>
      <c r="CM24" s="23"/>
      <c r="CN24" s="23"/>
      <c r="CO24" s="23"/>
      <c r="CP24" s="448"/>
      <c r="CQ24" s="448"/>
      <c r="CR24" s="23"/>
      <c r="CS24" s="69"/>
      <c r="CT24" s="80"/>
      <c r="CU24" s="80"/>
      <c r="DF24" s="69"/>
      <c r="DO24" s="90"/>
      <c r="DP24" s="69"/>
      <c r="EF24" s="69"/>
      <c r="EP24" s="90"/>
      <c r="EQ24" s="80"/>
      <c r="ER24" s="80"/>
      <c r="ES24" s="80"/>
      <c r="ET24" s="80"/>
      <c r="EU24" s="80"/>
      <c r="EV24" s="80"/>
      <c r="EW24" s="80"/>
      <c r="EX24" s="80"/>
      <c r="EY24" s="80"/>
      <c r="EZ24" s="90"/>
      <c r="FA24" s="90"/>
      <c r="FB24" s="90"/>
      <c r="FC24" s="90"/>
      <c r="FD24" s="90"/>
      <c r="FE24" s="90"/>
      <c r="FF24" s="90"/>
      <c r="FO24" s="69"/>
      <c r="FP24" s="90"/>
      <c r="GJ24" s="423"/>
      <c r="GK24" s="80"/>
      <c r="GL24" s="80"/>
      <c r="GM24" s="80"/>
      <c r="GN24" s="80"/>
      <c r="GO24" s="80"/>
      <c r="GP24" s="80"/>
      <c r="GQ24" s="69"/>
      <c r="HD24" s="67"/>
      <c r="HV24" s="67"/>
      <c r="IK24" s="841"/>
      <c r="IL24" s="90"/>
      <c r="IU24" s="80"/>
      <c r="IV24" s="80"/>
      <c r="IW24" s="80"/>
      <c r="IX24" s="80"/>
      <c r="IY24" s="80"/>
      <c r="IZ24" s="80"/>
      <c r="JK24" s="80"/>
      <c r="JL24" s="80"/>
      <c r="JM24" s="80"/>
    </row>
    <row r="25" spans="2:273">
      <c r="B25" s="451">
        <v>1933</v>
      </c>
      <c r="C25" s="43">
        <v>49</v>
      </c>
      <c r="D25" s="5">
        <v>-0.2</v>
      </c>
      <c r="E25" s="6">
        <f t="shared" si="0"/>
        <v>-4.0816326530612249E-3</v>
      </c>
      <c r="F25" s="454">
        <f t="shared" si="1"/>
        <v>0</v>
      </c>
      <c r="G25" s="450">
        <f t="shared" si="2"/>
        <v>-0.2</v>
      </c>
      <c r="H25" s="23">
        <f t="shared" si="3"/>
        <v>-4.0816326530612249E-3</v>
      </c>
      <c r="I25" s="455">
        <v>0</v>
      </c>
      <c r="J25" s="460">
        <f t="shared" si="4"/>
        <v>0</v>
      </c>
      <c r="K25" s="6">
        <f t="shared" si="5"/>
        <v>0</v>
      </c>
      <c r="L25" s="454">
        <f t="shared" ref="L25:L39" si="12">L26*I25/I26</f>
        <v>0</v>
      </c>
      <c r="M25" s="454">
        <f t="shared" si="8"/>
        <v>0</v>
      </c>
      <c r="N25" s="460">
        <f t="shared" si="6"/>
        <v>0</v>
      </c>
      <c r="O25" s="460">
        <f t="shared" si="9"/>
        <v>0</v>
      </c>
      <c r="P25" s="167">
        <f t="shared" si="10"/>
        <v>0</v>
      </c>
      <c r="Q25" s="5">
        <f t="shared" si="7"/>
        <v>-0.2</v>
      </c>
      <c r="R25" s="169">
        <f t="shared" si="11"/>
        <v>0</v>
      </c>
      <c r="S25" s="454"/>
      <c r="X25" s="69"/>
      <c r="AA25" s="78"/>
      <c r="AB25" s="78"/>
      <c r="AM25" s="67"/>
      <c r="BJ25" s="67"/>
      <c r="BQ25" s="24"/>
      <c r="BR25" s="184"/>
      <c r="BU25" s="69"/>
      <c r="BV25" s="90"/>
      <c r="CE25" s="184"/>
      <c r="CF25" s="184"/>
      <c r="CG25" s="184"/>
      <c r="CH25" s="184"/>
      <c r="CI25" s="184"/>
      <c r="CJ25" s="184"/>
      <c r="CK25" s="184"/>
      <c r="CL25" s="184"/>
      <c r="CM25" s="23"/>
      <c r="CN25" s="23"/>
      <c r="CO25" s="23"/>
      <c r="CP25" s="448"/>
      <c r="CQ25" s="448"/>
      <c r="CR25" s="23"/>
      <c r="CS25" s="69"/>
      <c r="CT25" s="80"/>
      <c r="CU25" s="80"/>
      <c r="DF25" s="69"/>
      <c r="DO25" s="90"/>
      <c r="DP25" s="69"/>
      <c r="EF25" s="69"/>
      <c r="EP25" s="90"/>
      <c r="EQ25" s="80"/>
      <c r="ER25" s="80"/>
      <c r="ES25" s="80"/>
      <c r="ET25" s="80"/>
      <c r="EU25" s="80"/>
      <c r="EV25" s="80"/>
      <c r="EW25" s="80"/>
      <c r="EX25" s="80"/>
      <c r="EY25" s="80"/>
      <c r="EZ25" s="90"/>
      <c r="FA25" s="90"/>
      <c r="FB25" s="90"/>
      <c r="FC25" s="90"/>
      <c r="FD25" s="90"/>
      <c r="FE25" s="90"/>
      <c r="FF25" s="90"/>
      <c r="FO25" s="69"/>
      <c r="FP25" s="90"/>
      <c r="GJ25" s="423"/>
      <c r="GK25" s="80"/>
      <c r="GL25" s="80"/>
      <c r="GM25" s="80"/>
      <c r="GN25" s="80"/>
      <c r="GO25" s="80"/>
      <c r="GP25" s="80"/>
      <c r="GQ25" s="69"/>
      <c r="HD25" s="67"/>
      <c r="HV25" s="67"/>
      <c r="IK25" s="841"/>
      <c r="IL25" s="90"/>
      <c r="IU25" s="80"/>
      <c r="IV25" s="80"/>
      <c r="IW25" s="80"/>
      <c r="IX25" s="80"/>
      <c r="IY25" s="80"/>
      <c r="IZ25" s="80"/>
      <c r="JK25" s="80"/>
      <c r="JL25" s="80"/>
      <c r="JM25" s="80"/>
    </row>
    <row r="26" spans="2:273">
      <c r="B26" s="451">
        <v>1934</v>
      </c>
      <c r="C26" s="43">
        <v>58.3</v>
      </c>
      <c r="D26" s="5">
        <v>2.5</v>
      </c>
      <c r="E26" s="6">
        <f t="shared" si="0"/>
        <v>4.2881646655231566E-2</v>
      </c>
      <c r="F26" s="454">
        <f t="shared" si="1"/>
        <v>0</v>
      </c>
      <c r="G26" s="450">
        <f t="shared" si="2"/>
        <v>2.4</v>
      </c>
      <c r="H26" s="23">
        <f t="shared" si="3"/>
        <v>4.1166380789022301E-2</v>
      </c>
      <c r="I26" s="455">
        <v>0.1</v>
      </c>
      <c r="J26" s="460">
        <f t="shared" si="4"/>
        <v>1.7152658662092626E-3</v>
      </c>
      <c r="K26" s="6">
        <f t="shared" si="5"/>
        <v>0.04</v>
      </c>
      <c r="L26" s="454">
        <f t="shared" si="12"/>
        <v>0.1307692307692308</v>
      </c>
      <c r="M26" s="454">
        <f t="shared" si="8"/>
        <v>3.0769230769230799E-2</v>
      </c>
      <c r="N26" s="460">
        <f t="shared" si="6"/>
        <v>2.2430399788890363E-3</v>
      </c>
      <c r="O26" s="460">
        <f t="shared" si="9"/>
        <v>5.2777411267977356E-4</v>
      </c>
      <c r="P26" s="167">
        <f t="shared" si="10"/>
        <v>1.230769230769232E-2</v>
      </c>
      <c r="Q26" s="5">
        <f t="shared" si="7"/>
        <v>2.5</v>
      </c>
      <c r="R26" s="169">
        <f t="shared" si="11"/>
        <v>3.0769230769230799E-2</v>
      </c>
      <c r="S26" s="454"/>
      <c r="X26" s="69"/>
      <c r="AA26" s="78"/>
      <c r="AB26" s="78"/>
      <c r="AM26" s="67"/>
      <c r="BJ26" s="67"/>
      <c r="BQ26" s="24"/>
      <c r="BR26" s="184"/>
      <c r="BU26" s="69"/>
      <c r="BV26" s="90"/>
      <c r="CE26" s="184"/>
      <c r="CF26" s="184"/>
      <c r="CG26" s="184"/>
      <c r="CH26" s="184"/>
      <c r="CI26" s="184"/>
      <c r="CJ26" s="184"/>
      <c r="CK26" s="184"/>
      <c r="CL26" s="184"/>
      <c r="CM26" s="23"/>
      <c r="CN26" s="23"/>
      <c r="CO26" s="23"/>
      <c r="CP26" s="448"/>
      <c r="CQ26" s="448"/>
      <c r="CR26" s="23"/>
      <c r="CS26" s="69"/>
      <c r="CT26" s="80"/>
      <c r="CU26" s="80"/>
      <c r="DF26" s="69"/>
      <c r="DO26" s="90"/>
      <c r="DP26" s="69"/>
      <c r="EF26" s="69"/>
      <c r="EP26" s="90"/>
      <c r="EQ26" s="80"/>
      <c r="ER26" s="80"/>
      <c r="ES26" s="80"/>
      <c r="ET26" s="80"/>
      <c r="EU26" s="80"/>
      <c r="EV26" s="80"/>
      <c r="EW26" s="80"/>
      <c r="EX26" s="80"/>
      <c r="EY26" s="80"/>
      <c r="EZ26" s="90"/>
      <c r="FA26" s="90"/>
      <c r="FB26" s="90"/>
      <c r="FC26" s="90"/>
      <c r="FD26" s="90"/>
      <c r="FE26" s="90"/>
      <c r="FF26" s="90"/>
      <c r="FO26" s="69"/>
      <c r="FP26" s="90"/>
      <c r="GJ26" s="423"/>
      <c r="GK26" s="80"/>
      <c r="GL26" s="80"/>
      <c r="GM26" s="80"/>
      <c r="GN26" s="80"/>
      <c r="GO26" s="80"/>
      <c r="GP26" s="80"/>
      <c r="GQ26" s="69"/>
      <c r="HD26" s="67"/>
      <c r="HV26" s="67"/>
      <c r="IK26" s="841"/>
      <c r="IL26" s="90"/>
      <c r="IU26" s="80"/>
      <c r="IV26" s="80"/>
      <c r="IW26" s="80"/>
      <c r="IX26" s="80"/>
      <c r="IY26" s="80"/>
      <c r="IZ26" s="80"/>
      <c r="JK26" s="80"/>
      <c r="JL26" s="80"/>
      <c r="JM26" s="80"/>
    </row>
    <row r="27" spans="2:273">
      <c r="B27" s="451">
        <v>1935</v>
      </c>
      <c r="C27" s="43">
        <v>66.400000000000006</v>
      </c>
      <c r="D27" s="5">
        <v>4</v>
      </c>
      <c r="E27" s="6">
        <f t="shared" si="0"/>
        <v>6.0240963855421679E-2</v>
      </c>
      <c r="F27" s="454">
        <f t="shared" si="1"/>
        <v>0</v>
      </c>
      <c r="G27" s="450">
        <f t="shared" si="2"/>
        <v>3.8</v>
      </c>
      <c r="H27" s="23">
        <f t="shared" si="3"/>
        <v>5.7228915662650592E-2</v>
      </c>
      <c r="I27" s="455">
        <v>0.2</v>
      </c>
      <c r="J27" s="460">
        <f t="shared" si="4"/>
        <v>3.0120481927710841E-3</v>
      </c>
      <c r="K27" s="6">
        <f t="shared" si="5"/>
        <v>0.05</v>
      </c>
      <c r="L27" s="136">
        <f t="shared" si="12"/>
        <v>0.26153846153846161</v>
      </c>
      <c r="M27" s="136">
        <f t="shared" si="8"/>
        <v>6.1538461538461597E-2</v>
      </c>
      <c r="N27" s="460">
        <f t="shared" si="6"/>
        <v>3.9388322520852647E-3</v>
      </c>
      <c r="O27" s="460">
        <f t="shared" si="9"/>
        <v>9.2678405931418057E-4</v>
      </c>
      <c r="P27" s="167">
        <f t="shared" si="10"/>
        <v>1.5384615384615399E-2</v>
      </c>
      <c r="Q27" s="5">
        <f t="shared" si="7"/>
        <v>4</v>
      </c>
      <c r="R27" s="169">
        <f t="shared" si="11"/>
        <v>6.1538461538461597E-2</v>
      </c>
      <c r="S27" s="454"/>
      <c r="X27" s="69"/>
      <c r="AA27" s="78"/>
      <c r="AB27" s="78"/>
      <c r="AM27" s="67"/>
      <c r="BJ27" s="67"/>
      <c r="BQ27" s="24"/>
      <c r="BR27" s="184"/>
      <c r="BU27" s="69"/>
      <c r="BV27" s="90"/>
      <c r="CE27" s="184"/>
      <c r="CF27" s="184"/>
      <c r="CG27" s="184"/>
      <c r="CH27" s="184"/>
      <c r="CI27" s="184"/>
      <c r="CJ27" s="184"/>
      <c r="CK27" s="184"/>
      <c r="CL27" s="184"/>
      <c r="CM27" s="23"/>
      <c r="CN27" s="23"/>
      <c r="CO27" s="23"/>
      <c r="CP27" s="448"/>
      <c r="CQ27" s="448"/>
      <c r="CR27" s="23"/>
      <c r="CS27" s="69"/>
      <c r="CT27" s="80"/>
      <c r="CU27" s="80"/>
      <c r="DF27" s="69"/>
      <c r="DO27" s="90"/>
      <c r="DP27" s="69"/>
      <c r="EF27" s="69"/>
      <c r="EP27" s="90"/>
      <c r="EQ27" s="80"/>
      <c r="ER27" s="80"/>
      <c r="ES27" s="80"/>
      <c r="ET27" s="80"/>
      <c r="EU27" s="80"/>
      <c r="EV27" s="80"/>
      <c r="EW27" s="80"/>
      <c r="EX27" s="80"/>
      <c r="EY27" s="80"/>
      <c r="EZ27" s="90"/>
      <c r="FA27" s="90"/>
      <c r="FB27" s="90"/>
      <c r="FC27" s="90"/>
      <c r="FD27" s="90"/>
      <c r="FE27" s="90"/>
      <c r="FF27" s="90"/>
      <c r="FO27" s="69"/>
      <c r="FP27" s="90"/>
      <c r="GJ27" s="423"/>
      <c r="GK27" s="80"/>
      <c r="GL27" s="80"/>
      <c r="GM27" s="80"/>
      <c r="GN27" s="80"/>
      <c r="GO27" s="80"/>
      <c r="GP27" s="80"/>
      <c r="GQ27" s="69"/>
      <c r="HD27" s="67"/>
      <c r="HV27" s="67"/>
      <c r="IK27" s="841"/>
      <c r="IL27" s="90"/>
      <c r="IU27" s="80"/>
      <c r="IV27" s="80"/>
      <c r="IW27" s="80"/>
      <c r="IX27" s="80"/>
      <c r="IY27" s="80"/>
      <c r="IZ27" s="80"/>
      <c r="JK27" s="80"/>
      <c r="JL27" s="80"/>
      <c r="JM27" s="80"/>
    </row>
    <row r="28" spans="2:273">
      <c r="B28" s="451">
        <v>1936</v>
      </c>
      <c r="C28" s="43">
        <v>75.2</v>
      </c>
      <c r="D28" s="5">
        <v>6.2</v>
      </c>
      <c r="E28" s="6">
        <f t="shared" si="0"/>
        <v>8.2446808510638292E-2</v>
      </c>
      <c r="F28" s="454">
        <f t="shared" si="1"/>
        <v>0</v>
      </c>
      <c r="G28" s="450">
        <f t="shared" si="2"/>
        <v>6.1000000000000005</v>
      </c>
      <c r="H28" s="23">
        <f t="shared" si="3"/>
        <v>8.1117021276595744E-2</v>
      </c>
      <c r="I28" s="455">
        <v>0.1</v>
      </c>
      <c r="J28" s="460">
        <f t="shared" si="4"/>
        <v>1.3297872340425532E-3</v>
      </c>
      <c r="K28" s="6">
        <f t="shared" si="5"/>
        <v>1.6129032258064516E-2</v>
      </c>
      <c r="L28" s="136">
        <f t="shared" si="12"/>
        <v>0.1307692307692308</v>
      </c>
      <c r="M28" s="136">
        <f t="shared" si="8"/>
        <v>3.0769230769230799E-2</v>
      </c>
      <c r="N28" s="460">
        <f t="shared" si="6"/>
        <v>1.7389525368248777E-3</v>
      </c>
      <c r="O28" s="460">
        <f t="shared" si="9"/>
        <v>4.0916530278232446E-4</v>
      </c>
      <c r="P28" s="167">
        <f t="shared" si="10"/>
        <v>4.9627791563275478E-3</v>
      </c>
      <c r="Q28" s="5">
        <f t="shared" si="7"/>
        <v>6.2</v>
      </c>
      <c r="R28" s="169">
        <f t="shared" si="11"/>
        <v>3.0769230769230799E-2</v>
      </c>
      <c r="S28" s="454"/>
      <c r="X28" s="69"/>
      <c r="AA28" s="78"/>
      <c r="AB28" s="78"/>
      <c r="AM28" s="67"/>
      <c r="BJ28" s="67"/>
      <c r="BQ28" s="24"/>
      <c r="BR28" s="184"/>
      <c r="BU28" s="69"/>
      <c r="BV28" s="90"/>
      <c r="CE28" s="184"/>
      <c r="CF28" s="184"/>
      <c r="CG28" s="184"/>
      <c r="CH28" s="184"/>
      <c r="CI28" s="184"/>
      <c r="CJ28" s="184"/>
      <c r="CK28" s="184"/>
      <c r="CL28" s="184"/>
      <c r="CM28" s="23"/>
      <c r="CN28" s="23"/>
      <c r="CO28" s="23"/>
      <c r="CP28" s="448"/>
      <c r="CQ28" s="448"/>
      <c r="CR28" s="23"/>
      <c r="CS28" s="69"/>
      <c r="CT28" s="80"/>
      <c r="CU28" s="80"/>
      <c r="DF28" s="69"/>
      <c r="DO28" s="90"/>
      <c r="DP28" s="69"/>
      <c r="EF28" s="69"/>
      <c r="EP28" s="90"/>
      <c r="EQ28" s="80"/>
      <c r="ER28" s="80"/>
      <c r="ES28" s="80"/>
      <c r="ET28" s="80"/>
      <c r="EU28" s="80"/>
      <c r="EV28" s="80"/>
      <c r="EW28" s="80"/>
      <c r="EX28" s="80"/>
      <c r="EY28" s="80"/>
      <c r="EZ28" s="90"/>
      <c r="FA28" s="90"/>
      <c r="FB28" s="90"/>
      <c r="FC28" s="90"/>
      <c r="FD28" s="90"/>
      <c r="FE28" s="90"/>
      <c r="FF28" s="90"/>
      <c r="FO28" s="69"/>
      <c r="FP28" s="90"/>
      <c r="GJ28" s="423"/>
      <c r="GK28" s="80"/>
      <c r="GL28" s="80"/>
      <c r="GM28" s="80"/>
      <c r="GN28" s="80"/>
      <c r="GO28" s="80"/>
      <c r="GP28" s="80"/>
      <c r="GQ28" s="69"/>
      <c r="HD28" s="67"/>
      <c r="HV28" s="67"/>
      <c r="IK28" s="841"/>
      <c r="IL28" s="90"/>
      <c r="IU28" s="80"/>
      <c r="IV28" s="80"/>
      <c r="IW28" s="80"/>
      <c r="IX28" s="80"/>
      <c r="IY28" s="80"/>
      <c r="IZ28" s="80"/>
      <c r="JK28" s="80"/>
      <c r="JL28" s="80"/>
      <c r="JM28" s="80"/>
    </row>
    <row r="29" spans="2:273">
      <c r="B29" s="451">
        <v>1937</v>
      </c>
      <c r="C29" s="43">
        <v>83.7</v>
      </c>
      <c r="D29" s="5">
        <v>7.1</v>
      </c>
      <c r="E29" s="6">
        <f t="shared" si="0"/>
        <v>8.4826762246117071E-2</v>
      </c>
      <c r="F29" s="454">
        <f t="shared" si="1"/>
        <v>0</v>
      </c>
      <c r="G29" s="450">
        <f t="shared" si="2"/>
        <v>6.8</v>
      </c>
      <c r="H29" s="23">
        <f t="shared" si="3"/>
        <v>8.1242532855436075E-2</v>
      </c>
      <c r="I29" s="455">
        <v>0.3</v>
      </c>
      <c r="J29" s="460">
        <f t="shared" si="4"/>
        <v>3.5842293906810031E-3</v>
      </c>
      <c r="K29" s="6">
        <f t="shared" si="5"/>
        <v>4.2253521126760563E-2</v>
      </c>
      <c r="L29" s="136">
        <f t="shared" si="12"/>
        <v>0.39230769230769241</v>
      </c>
      <c r="M29" s="136">
        <f t="shared" si="8"/>
        <v>9.2307692307692424E-2</v>
      </c>
      <c r="N29" s="460">
        <f t="shared" si="6"/>
        <v>4.6870692031982363E-3</v>
      </c>
      <c r="O29" s="460">
        <f t="shared" si="9"/>
        <v>1.1028398125172332E-3</v>
      </c>
      <c r="P29" s="167">
        <f t="shared" si="10"/>
        <v>1.3001083423618652E-2</v>
      </c>
      <c r="Q29" s="5">
        <f t="shared" si="7"/>
        <v>7.1</v>
      </c>
      <c r="R29" s="169">
        <f t="shared" si="11"/>
        <v>9.2307692307692424E-2</v>
      </c>
      <c r="S29" s="454"/>
      <c r="X29" s="69"/>
      <c r="AA29" s="78"/>
      <c r="AB29" s="78"/>
      <c r="AM29" s="67"/>
      <c r="BJ29" s="67"/>
      <c r="BQ29" s="24"/>
      <c r="BR29" s="184"/>
      <c r="BU29" s="69"/>
      <c r="BV29" s="90"/>
      <c r="CE29" s="184"/>
      <c r="CF29" s="184"/>
      <c r="CG29" s="184"/>
      <c r="CH29" s="184"/>
      <c r="CI29" s="184"/>
      <c r="CJ29" s="184"/>
      <c r="CK29" s="184"/>
      <c r="CL29" s="184"/>
      <c r="CM29" s="23"/>
      <c r="CN29" s="23"/>
      <c r="CO29" s="23"/>
      <c r="CP29" s="448"/>
      <c r="CQ29" s="448"/>
      <c r="CR29" s="23"/>
      <c r="CS29" s="69"/>
      <c r="CT29" s="80"/>
      <c r="CU29" s="80"/>
      <c r="DF29" s="69"/>
      <c r="DO29" s="90"/>
      <c r="DP29" s="69"/>
      <c r="EF29" s="69"/>
      <c r="EP29" s="90"/>
      <c r="EQ29" s="80"/>
      <c r="ER29" s="80"/>
      <c r="ES29" s="80"/>
      <c r="ET29" s="80"/>
      <c r="EU29" s="80"/>
      <c r="EV29" s="80"/>
      <c r="EW29" s="80"/>
      <c r="EX29" s="80"/>
      <c r="EY29" s="80"/>
      <c r="EZ29" s="90"/>
      <c r="FA29" s="90"/>
      <c r="FB29" s="90"/>
      <c r="FC29" s="90"/>
      <c r="FD29" s="90"/>
      <c r="FE29" s="90"/>
      <c r="FF29" s="90"/>
      <c r="FO29" s="69"/>
      <c r="FP29" s="90"/>
      <c r="GJ29" s="423"/>
      <c r="GK29" s="80"/>
      <c r="GL29" s="80"/>
      <c r="GM29" s="80"/>
      <c r="GN29" s="80"/>
      <c r="GO29" s="80"/>
      <c r="GP29" s="80"/>
      <c r="GQ29" s="69"/>
      <c r="HD29" s="67"/>
      <c r="HV29" s="67"/>
      <c r="IK29" s="841"/>
      <c r="IL29" s="90"/>
      <c r="IU29" s="80"/>
      <c r="IV29" s="80"/>
      <c r="IW29" s="80"/>
      <c r="IX29" s="80"/>
      <c r="IY29" s="80"/>
      <c r="IZ29" s="80"/>
      <c r="JK29" s="80"/>
      <c r="JL29" s="80"/>
      <c r="JM29" s="80"/>
    </row>
    <row r="30" spans="2:273">
      <c r="B30" s="451">
        <v>1938</v>
      </c>
      <c r="C30" s="43">
        <v>77.099999999999994</v>
      </c>
      <c r="D30" s="5">
        <v>5</v>
      </c>
      <c r="E30" s="6">
        <f t="shared" si="0"/>
        <v>6.4850843060959798E-2</v>
      </c>
      <c r="F30" s="454">
        <f t="shared" si="1"/>
        <v>0</v>
      </c>
      <c r="G30" s="450">
        <f t="shared" si="2"/>
        <v>4.7</v>
      </c>
      <c r="H30" s="23">
        <f t="shared" si="3"/>
        <v>6.095979247730221E-2</v>
      </c>
      <c r="I30" s="455">
        <v>0.3</v>
      </c>
      <c r="J30" s="460">
        <f t="shared" si="4"/>
        <v>3.8910505836575876E-3</v>
      </c>
      <c r="K30" s="6">
        <f t="shared" si="5"/>
        <v>0.06</v>
      </c>
      <c r="L30" s="136">
        <f t="shared" si="12"/>
        <v>0.39230769230769241</v>
      </c>
      <c r="M30" s="136">
        <f t="shared" si="8"/>
        <v>9.2307692307692424E-2</v>
      </c>
      <c r="N30" s="460">
        <f t="shared" si="6"/>
        <v>5.0882969170906933E-3</v>
      </c>
      <c r="O30" s="460">
        <f t="shared" si="9"/>
        <v>1.1972463334331055E-3</v>
      </c>
      <c r="P30" s="167">
        <f t="shared" si="10"/>
        <v>1.8461538461538484E-2</v>
      </c>
      <c r="Q30" s="5">
        <f t="shared" si="7"/>
        <v>5</v>
      </c>
      <c r="R30" s="169">
        <f t="shared" si="11"/>
        <v>9.2307692307692424E-2</v>
      </c>
      <c r="S30" s="454"/>
      <c r="X30" s="69"/>
      <c r="AA30" s="78"/>
      <c r="AB30" s="78"/>
      <c r="AM30" s="67"/>
      <c r="BJ30" s="67"/>
      <c r="BQ30" s="24"/>
      <c r="BR30" s="184"/>
      <c r="BU30" s="69"/>
      <c r="BV30" s="90"/>
      <c r="CE30" s="184"/>
      <c r="CF30" s="184"/>
      <c r="CG30" s="184"/>
      <c r="CH30" s="184"/>
      <c r="CI30" s="184"/>
      <c r="CJ30" s="184"/>
      <c r="CK30" s="184"/>
      <c r="CL30" s="184"/>
      <c r="CM30" s="23"/>
      <c r="CN30" s="23"/>
      <c r="CO30" s="23"/>
      <c r="CP30" s="448"/>
      <c r="CQ30" s="448"/>
      <c r="CR30" s="23"/>
      <c r="CS30" s="69"/>
      <c r="CT30" s="80"/>
      <c r="CU30" s="80"/>
      <c r="DF30" s="69"/>
      <c r="DO30" s="90"/>
      <c r="DP30" s="69"/>
      <c r="EF30" s="69"/>
      <c r="EP30" s="90"/>
      <c r="EQ30" s="80"/>
      <c r="ER30" s="80"/>
      <c r="ES30" s="80"/>
      <c r="ET30" s="80"/>
      <c r="EU30" s="80"/>
      <c r="EV30" s="80"/>
      <c r="EW30" s="80"/>
      <c r="EX30" s="80"/>
      <c r="EY30" s="80"/>
      <c r="EZ30" s="90"/>
      <c r="FA30" s="90"/>
      <c r="FB30" s="90"/>
      <c r="FC30" s="90"/>
      <c r="FD30" s="90"/>
      <c r="FE30" s="90"/>
      <c r="FF30" s="90"/>
      <c r="FO30" s="69"/>
      <c r="FP30" s="90"/>
      <c r="GJ30" s="423"/>
      <c r="GK30" s="80"/>
      <c r="GL30" s="80"/>
      <c r="GM30" s="80"/>
      <c r="GN30" s="80"/>
      <c r="GO30" s="80"/>
      <c r="GP30" s="80"/>
      <c r="GQ30" s="69"/>
      <c r="HD30" s="67"/>
      <c r="HV30" s="67"/>
      <c r="IK30" s="841"/>
      <c r="IL30" s="90"/>
      <c r="IU30" s="80"/>
      <c r="IV30" s="80"/>
      <c r="IW30" s="80"/>
      <c r="IX30" s="80"/>
      <c r="IY30" s="80"/>
      <c r="IZ30" s="80"/>
      <c r="JK30" s="80"/>
      <c r="JL30" s="80"/>
      <c r="JM30" s="80"/>
    </row>
    <row r="31" spans="2:273" s="113" customFormat="1">
      <c r="B31" s="457">
        <v>1939</v>
      </c>
      <c r="C31" s="104">
        <v>82.5</v>
      </c>
      <c r="D31" s="8">
        <v>6.6</v>
      </c>
      <c r="E31" s="105">
        <f t="shared" si="0"/>
        <v>0.08</v>
      </c>
      <c r="F31" s="456">
        <f t="shared" si="1"/>
        <v>0</v>
      </c>
      <c r="G31" s="456">
        <f t="shared" si="2"/>
        <v>6.3</v>
      </c>
      <c r="H31" s="105">
        <f t="shared" si="3"/>
        <v>7.6363636363636356E-2</v>
      </c>
      <c r="I31" s="457">
        <v>0.3</v>
      </c>
      <c r="J31" s="461">
        <f t="shared" si="4"/>
        <v>3.6363636363636364E-3</v>
      </c>
      <c r="K31" s="105">
        <f t="shared" si="5"/>
        <v>4.5454545454545456E-2</v>
      </c>
      <c r="L31" s="134">
        <f t="shared" si="12"/>
        <v>0.39230769230769241</v>
      </c>
      <c r="M31" s="134">
        <f t="shared" si="8"/>
        <v>9.2307692307692424E-2</v>
      </c>
      <c r="N31" s="461">
        <f t="shared" si="6"/>
        <v>4.7552447552447561E-3</v>
      </c>
      <c r="O31" s="461">
        <f t="shared" si="9"/>
        <v>1.1188811188811202E-3</v>
      </c>
      <c r="P31" s="168">
        <f t="shared" si="10"/>
        <v>1.3986013986014005E-2</v>
      </c>
      <c r="Q31" s="8">
        <f t="shared" si="7"/>
        <v>6.6</v>
      </c>
      <c r="R31" s="170">
        <f t="shared" si="11"/>
        <v>9.2307692307692424E-2</v>
      </c>
      <c r="S31" s="456"/>
      <c r="X31" s="181"/>
      <c r="AA31" s="114"/>
      <c r="AB31" s="114"/>
      <c r="AM31" s="178"/>
      <c r="BJ31" s="178"/>
      <c r="BQ31" s="115"/>
      <c r="BR31" s="410"/>
      <c r="BU31" s="181"/>
      <c r="CE31" s="410"/>
      <c r="CF31" s="410"/>
      <c r="CG31" s="410"/>
      <c r="CH31" s="410"/>
      <c r="CI31" s="410"/>
      <c r="CJ31" s="410"/>
      <c r="CK31" s="410"/>
      <c r="CL31" s="410"/>
      <c r="CM31" s="105"/>
      <c r="CN31" s="105"/>
      <c r="CO31" s="105"/>
      <c r="CP31" s="461"/>
      <c r="CQ31" s="461"/>
      <c r="CR31" s="105"/>
      <c r="CS31" s="181"/>
      <c r="CT31" s="420"/>
      <c r="CU31" s="420"/>
      <c r="DF31" s="181"/>
      <c r="DP31" s="181"/>
      <c r="EF31" s="181"/>
      <c r="EQ31" s="420"/>
      <c r="ER31" s="420"/>
      <c r="ES31" s="420"/>
      <c r="ET31" s="420"/>
      <c r="EU31" s="420"/>
      <c r="EV31" s="420"/>
      <c r="EW31" s="420"/>
      <c r="EX31" s="420"/>
      <c r="EY31" s="420"/>
      <c r="FO31" s="181"/>
      <c r="GJ31" s="424"/>
      <c r="GK31" s="420"/>
      <c r="GL31" s="420"/>
      <c r="GM31" s="420"/>
      <c r="GN31" s="420"/>
      <c r="GO31" s="420"/>
      <c r="GP31" s="420"/>
      <c r="GQ31" s="181"/>
      <c r="HD31" s="178"/>
      <c r="HV31" s="178"/>
      <c r="HW31" s="115"/>
      <c r="HX31" s="115"/>
      <c r="HY31" s="115"/>
      <c r="IK31" s="845"/>
      <c r="IU31" s="420"/>
      <c r="IV31" s="420"/>
      <c r="IW31" s="420"/>
      <c r="IX31" s="420"/>
      <c r="IY31" s="420"/>
      <c r="IZ31" s="420"/>
      <c r="JK31" s="420"/>
      <c r="JL31" s="420"/>
      <c r="JM31" s="420"/>
    </row>
    <row r="32" spans="2:273">
      <c r="B32" s="451">
        <v>1940</v>
      </c>
      <c r="C32" s="43">
        <v>91.6</v>
      </c>
      <c r="D32" s="5">
        <v>9.9</v>
      </c>
      <c r="E32" s="6">
        <f t="shared" si="0"/>
        <v>0.10807860262008735</v>
      </c>
      <c r="F32" s="454">
        <f t="shared" si="1"/>
        <v>0</v>
      </c>
      <c r="G32" s="450">
        <f t="shared" si="2"/>
        <v>9.6</v>
      </c>
      <c r="H32" s="23">
        <f t="shared" si="3"/>
        <v>0.10480349344978167</v>
      </c>
      <c r="I32" s="455">
        <v>0.3</v>
      </c>
      <c r="J32" s="460">
        <f t="shared" si="4"/>
        <v>3.2751091703056771E-3</v>
      </c>
      <c r="K32" s="6">
        <f t="shared" si="5"/>
        <v>3.03030303030303E-2</v>
      </c>
      <c r="L32" s="136">
        <f t="shared" si="12"/>
        <v>0.39230769230769241</v>
      </c>
      <c r="M32" s="136">
        <f t="shared" si="8"/>
        <v>9.2307692307692424E-2</v>
      </c>
      <c r="N32" s="460">
        <f t="shared" si="6"/>
        <v>4.2828350688612713E-3</v>
      </c>
      <c r="O32" s="460">
        <f t="shared" si="9"/>
        <v>1.0077258985555942E-3</v>
      </c>
      <c r="P32" s="167">
        <f t="shared" si="10"/>
        <v>9.3240093240093361E-3</v>
      </c>
      <c r="Q32" s="5">
        <f t="shared" si="7"/>
        <v>9.9</v>
      </c>
      <c r="R32" s="169">
        <f t="shared" si="11"/>
        <v>9.2307692307692424E-2</v>
      </c>
      <c r="S32" s="454"/>
      <c r="X32" s="69"/>
      <c r="AA32" s="78"/>
      <c r="AB32" s="78"/>
      <c r="AM32" s="67"/>
      <c r="BJ32" s="67"/>
      <c r="BQ32" s="24"/>
      <c r="BR32" s="184"/>
      <c r="BU32" s="69"/>
      <c r="BV32" s="90"/>
      <c r="CE32" s="184"/>
      <c r="CF32" s="184"/>
      <c r="CG32" s="184"/>
      <c r="CH32" s="184"/>
      <c r="CI32" s="184"/>
      <c r="CJ32" s="184"/>
      <c r="CK32" s="184"/>
      <c r="CL32" s="184"/>
      <c r="CM32" s="23"/>
      <c r="CN32" s="23"/>
      <c r="CO32" s="23"/>
      <c r="CP32" s="448"/>
      <c r="CQ32" s="448"/>
      <c r="CR32" s="23"/>
      <c r="CS32" s="69"/>
      <c r="CT32" s="80"/>
      <c r="CU32" s="80"/>
      <c r="DF32" s="69"/>
      <c r="DO32" s="90"/>
      <c r="DP32" s="69"/>
      <c r="EF32" s="69"/>
      <c r="EP32" s="90"/>
      <c r="EQ32" s="80"/>
      <c r="ER32" s="80"/>
      <c r="ES32" s="80"/>
      <c r="ET32" s="80"/>
      <c r="EU32" s="80"/>
      <c r="EV32" s="80"/>
      <c r="EW32" s="80"/>
      <c r="EX32" s="80"/>
      <c r="EY32" s="80"/>
      <c r="EZ32" s="90"/>
      <c r="FA32" s="90"/>
      <c r="FB32" s="90"/>
      <c r="FC32" s="90"/>
      <c r="FD32" s="90"/>
      <c r="FE32" s="90"/>
      <c r="FF32" s="90"/>
      <c r="FO32" s="69"/>
      <c r="FP32" s="90"/>
      <c r="GJ32" s="423"/>
      <c r="GK32" s="80"/>
      <c r="GL32" s="80"/>
      <c r="GM32" s="80"/>
      <c r="GN32" s="80"/>
      <c r="GO32" s="80"/>
      <c r="GP32" s="80"/>
      <c r="GQ32" s="69"/>
      <c r="HD32" s="67"/>
      <c r="HV32" s="67"/>
      <c r="IK32" s="841"/>
      <c r="IL32" s="90"/>
      <c r="IU32" s="80"/>
      <c r="IV32" s="80"/>
      <c r="IW32" s="80"/>
      <c r="IX32" s="80"/>
      <c r="IY32" s="80"/>
      <c r="IZ32" s="80"/>
      <c r="JK32" s="80"/>
      <c r="JL32" s="80"/>
      <c r="JM32" s="80"/>
    </row>
    <row r="33" spans="2:273">
      <c r="B33" s="451">
        <v>1941</v>
      </c>
      <c r="C33" s="43">
        <v>117.4</v>
      </c>
      <c r="D33" s="5">
        <v>15.7</v>
      </c>
      <c r="E33" s="6">
        <f t="shared" si="0"/>
        <v>0.13373083475298125</v>
      </c>
      <c r="F33" s="454">
        <f t="shared" si="1"/>
        <v>0</v>
      </c>
      <c r="G33" s="450">
        <f t="shared" si="2"/>
        <v>15.299999999999999</v>
      </c>
      <c r="H33" s="23">
        <f t="shared" si="3"/>
        <v>0.13032367972742759</v>
      </c>
      <c r="I33" s="455">
        <v>0.4</v>
      </c>
      <c r="J33" s="460">
        <f t="shared" si="4"/>
        <v>3.4071550255536627E-3</v>
      </c>
      <c r="K33" s="6">
        <f t="shared" si="5"/>
        <v>2.5477707006369428E-2</v>
      </c>
      <c r="L33" s="136">
        <f t="shared" si="12"/>
        <v>0.52307692307692322</v>
      </c>
      <c r="M33" s="136">
        <f t="shared" si="8"/>
        <v>0.12307692307692319</v>
      </c>
      <c r="N33" s="460">
        <f t="shared" si="6"/>
        <v>4.4555104180317136E-3</v>
      </c>
      <c r="O33" s="460">
        <f t="shared" si="9"/>
        <v>1.0483553924780511E-3</v>
      </c>
      <c r="P33" s="167">
        <f t="shared" si="10"/>
        <v>7.8392944634982937E-3</v>
      </c>
      <c r="Q33" s="5">
        <f t="shared" si="7"/>
        <v>15.7</v>
      </c>
      <c r="R33" s="169">
        <f t="shared" si="11"/>
        <v>0.12307692307692319</v>
      </c>
      <c r="S33" s="454"/>
      <c r="X33" s="69"/>
      <c r="AA33" s="78"/>
      <c r="AB33" s="78"/>
      <c r="AM33" s="67"/>
      <c r="BJ33" s="67"/>
      <c r="BQ33" s="24"/>
      <c r="BR33" s="184"/>
      <c r="BU33" s="69"/>
      <c r="BV33" s="90"/>
      <c r="CE33" s="184"/>
      <c r="CF33" s="184"/>
      <c r="CG33" s="184"/>
      <c r="CH33" s="184"/>
      <c r="CI33" s="184"/>
      <c r="CJ33" s="184"/>
      <c r="CK33" s="184"/>
      <c r="CL33" s="184"/>
      <c r="CM33" s="23"/>
      <c r="CN33" s="23"/>
      <c r="CO33" s="23"/>
      <c r="CP33" s="448"/>
      <c r="CQ33" s="448"/>
      <c r="CR33" s="23"/>
      <c r="CS33" s="69"/>
      <c r="CT33" s="80"/>
      <c r="CU33" s="80"/>
      <c r="DF33" s="69"/>
      <c r="DO33" s="90"/>
      <c r="DP33" s="69"/>
      <c r="EF33" s="69"/>
      <c r="EP33" s="90"/>
      <c r="EQ33" s="80"/>
      <c r="ER33" s="80"/>
      <c r="ES33" s="80"/>
      <c r="ET33" s="80"/>
      <c r="EU33" s="80"/>
      <c r="EV33" s="80"/>
      <c r="EW33" s="80"/>
      <c r="EX33" s="80"/>
      <c r="EY33" s="80"/>
      <c r="EZ33" s="90"/>
      <c r="FA33" s="90"/>
      <c r="FB33" s="90"/>
      <c r="FC33" s="90"/>
      <c r="FD33" s="90"/>
      <c r="FE33" s="90"/>
      <c r="FF33" s="90"/>
      <c r="FO33" s="69"/>
      <c r="FP33" s="90"/>
      <c r="GJ33" s="423"/>
      <c r="GK33" s="80"/>
      <c r="GL33" s="80"/>
      <c r="GM33" s="80"/>
      <c r="GN33" s="80"/>
      <c r="GO33" s="80"/>
      <c r="GP33" s="80"/>
      <c r="GQ33" s="69"/>
      <c r="HD33" s="67"/>
      <c r="HV33" s="67"/>
      <c r="IK33" s="841"/>
      <c r="IL33" s="90"/>
      <c r="IU33" s="80"/>
      <c r="IV33" s="80"/>
      <c r="IW33" s="80"/>
      <c r="IX33" s="80"/>
      <c r="IY33" s="80"/>
      <c r="IZ33" s="80"/>
      <c r="JK33" s="80"/>
      <c r="JL33" s="80"/>
      <c r="JM33" s="80"/>
    </row>
    <row r="34" spans="2:273">
      <c r="B34" s="451">
        <v>1942</v>
      </c>
      <c r="C34" s="43">
        <v>152.4</v>
      </c>
      <c r="D34" s="5">
        <v>20.8</v>
      </c>
      <c r="E34" s="6">
        <f t="shared" si="0"/>
        <v>0.13648293963254593</v>
      </c>
      <c r="F34" s="454">
        <f t="shared" si="1"/>
        <v>0</v>
      </c>
      <c r="G34" s="450">
        <f t="shared" si="2"/>
        <v>20.400000000000002</v>
      </c>
      <c r="H34" s="23">
        <f t="shared" si="3"/>
        <v>0.13385826771653545</v>
      </c>
      <c r="I34" s="455">
        <v>0.4</v>
      </c>
      <c r="J34" s="460">
        <f t="shared" si="4"/>
        <v>2.6246719160104987E-3</v>
      </c>
      <c r="K34" s="6">
        <f t="shared" si="5"/>
        <v>1.9230769230769232E-2</v>
      </c>
      <c r="L34" s="136">
        <f t="shared" si="12"/>
        <v>0.52307692307692322</v>
      </c>
      <c r="M34" s="136">
        <f t="shared" si="8"/>
        <v>0.12307692307692319</v>
      </c>
      <c r="N34" s="460">
        <f t="shared" si="6"/>
        <v>3.4322632747829608E-3</v>
      </c>
      <c r="O34" s="460">
        <f t="shared" si="9"/>
        <v>8.0759135877246191E-4</v>
      </c>
      <c r="P34" s="167">
        <f t="shared" si="10"/>
        <v>5.9171597633136145E-3</v>
      </c>
      <c r="Q34" s="5">
        <f t="shared" si="7"/>
        <v>20.8</v>
      </c>
      <c r="R34" s="169">
        <f t="shared" si="11"/>
        <v>0.12307692307692319</v>
      </c>
      <c r="S34" s="454"/>
      <c r="X34" s="69"/>
      <c r="AA34" s="78"/>
      <c r="AB34" s="78"/>
      <c r="AM34" s="67"/>
      <c r="BJ34" s="67"/>
      <c r="BQ34" s="24"/>
      <c r="BR34" s="184"/>
      <c r="BU34" s="69"/>
      <c r="BV34" s="90"/>
      <c r="CE34" s="184"/>
      <c r="CF34" s="184"/>
      <c r="CG34" s="184"/>
      <c r="CH34" s="184"/>
      <c r="CI34" s="184"/>
      <c r="CJ34" s="184"/>
      <c r="CK34" s="184"/>
      <c r="CL34" s="184"/>
      <c r="CM34" s="23"/>
      <c r="CN34" s="23"/>
      <c r="CO34" s="23"/>
      <c r="CP34" s="448"/>
      <c r="CQ34" s="448"/>
      <c r="CR34" s="23"/>
      <c r="CS34" s="69"/>
      <c r="CT34" s="80"/>
      <c r="CU34" s="80"/>
      <c r="DF34" s="69"/>
      <c r="DO34" s="90"/>
      <c r="DP34" s="69"/>
      <c r="EF34" s="69"/>
      <c r="EP34" s="90"/>
      <c r="EQ34" s="80"/>
      <c r="ER34" s="80"/>
      <c r="ES34" s="80"/>
      <c r="ET34" s="80"/>
      <c r="EU34" s="80"/>
      <c r="EV34" s="80"/>
      <c r="EW34" s="80"/>
      <c r="EX34" s="80"/>
      <c r="EY34" s="80"/>
      <c r="EZ34" s="90"/>
      <c r="FA34" s="90"/>
      <c r="FB34" s="90"/>
      <c r="FC34" s="90"/>
      <c r="FD34" s="90"/>
      <c r="FE34" s="90"/>
      <c r="FF34" s="90"/>
      <c r="FO34" s="69"/>
      <c r="FP34" s="90"/>
      <c r="GJ34" s="423"/>
      <c r="GK34" s="80"/>
      <c r="GL34" s="80"/>
      <c r="GM34" s="80"/>
      <c r="GN34" s="80"/>
      <c r="GO34" s="80"/>
      <c r="GP34" s="80"/>
      <c r="GQ34" s="69"/>
      <c r="HD34" s="67"/>
      <c r="HV34" s="67"/>
      <c r="IK34" s="841"/>
      <c r="IL34" s="90"/>
      <c r="IU34" s="80"/>
      <c r="IV34" s="80"/>
      <c r="IW34" s="80"/>
      <c r="IX34" s="80"/>
      <c r="IY34" s="80"/>
      <c r="IZ34" s="80"/>
      <c r="JK34" s="80"/>
      <c r="JL34" s="80"/>
      <c r="JM34" s="80"/>
    </row>
    <row r="35" spans="2:273">
      <c r="B35" s="451">
        <v>1943</v>
      </c>
      <c r="C35" s="43">
        <v>187.3</v>
      </c>
      <c r="D35" s="5">
        <v>24.9</v>
      </c>
      <c r="E35" s="6">
        <f t="shared" si="0"/>
        <v>0.13294180459156432</v>
      </c>
      <c r="F35" s="454">
        <f t="shared" si="1"/>
        <v>0</v>
      </c>
      <c r="G35" s="450">
        <f t="shared" si="2"/>
        <v>24.5</v>
      </c>
      <c r="H35" s="23">
        <f t="shared" si="3"/>
        <v>0.13080619327282433</v>
      </c>
      <c r="I35" s="455">
        <v>0.4</v>
      </c>
      <c r="J35" s="460">
        <f t="shared" si="4"/>
        <v>2.1356113187399892E-3</v>
      </c>
      <c r="K35" s="6">
        <f t="shared" si="5"/>
        <v>1.6064257028112452E-2</v>
      </c>
      <c r="L35" s="136">
        <f t="shared" si="12"/>
        <v>0.52307692307692322</v>
      </c>
      <c r="M35" s="136">
        <f t="shared" si="8"/>
        <v>0.12307692307692319</v>
      </c>
      <c r="N35" s="460">
        <f t="shared" si="6"/>
        <v>2.7927224937369095E-3</v>
      </c>
      <c r="O35" s="460">
        <f t="shared" si="9"/>
        <v>6.5711117499692043E-4</v>
      </c>
      <c r="P35" s="167">
        <f t="shared" si="10"/>
        <v>4.9428483163422975E-3</v>
      </c>
      <c r="Q35" s="5">
        <f t="shared" si="7"/>
        <v>24.9</v>
      </c>
      <c r="R35" s="169">
        <f t="shared" si="11"/>
        <v>0.12307692307692319</v>
      </c>
      <c r="S35" s="454"/>
      <c r="X35" s="69"/>
      <c r="AA35" s="78"/>
      <c r="AB35" s="78"/>
      <c r="AM35" s="67"/>
      <c r="BJ35" s="67"/>
      <c r="BQ35" s="24"/>
      <c r="BR35" s="184"/>
      <c r="BU35" s="69"/>
      <c r="BV35" s="90"/>
      <c r="CE35" s="184"/>
      <c r="CF35" s="184"/>
      <c r="CG35" s="184"/>
      <c r="CH35" s="184"/>
      <c r="CI35" s="184"/>
      <c r="CJ35" s="184"/>
      <c r="CK35" s="184"/>
      <c r="CL35" s="184"/>
      <c r="CM35" s="23"/>
      <c r="CN35" s="23"/>
      <c r="CO35" s="23"/>
      <c r="CP35" s="448"/>
      <c r="CQ35" s="448"/>
      <c r="CR35" s="23"/>
      <c r="CS35" s="69"/>
      <c r="CT35" s="80"/>
      <c r="CU35" s="80"/>
      <c r="DF35" s="69"/>
      <c r="DO35" s="90"/>
      <c r="DP35" s="69"/>
      <c r="EF35" s="69"/>
      <c r="EP35" s="90"/>
      <c r="EQ35" s="80"/>
      <c r="ER35" s="80"/>
      <c r="ES35" s="80"/>
      <c r="ET35" s="80"/>
      <c r="EU35" s="80"/>
      <c r="EV35" s="80"/>
      <c r="EW35" s="80"/>
      <c r="EX35" s="80"/>
      <c r="EY35" s="80"/>
      <c r="EZ35" s="90"/>
      <c r="FA35" s="90"/>
      <c r="FB35" s="90"/>
      <c r="FC35" s="90"/>
      <c r="FD35" s="90"/>
      <c r="FE35" s="90"/>
      <c r="FF35" s="90"/>
      <c r="FO35" s="69"/>
      <c r="FP35" s="90"/>
      <c r="GJ35" s="423"/>
      <c r="GK35" s="80"/>
      <c r="GL35" s="80"/>
      <c r="GM35" s="80"/>
      <c r="GN35" s="80"/>
      <c r="GO35" s="80"/>
      <c r="GP35" s="80"/>
      <c r="GQ35" s="69"/>
      <c r="HD35" s="67"/>
      <c r="HV35" s="67"/>
      <c r="IK35" s="841"/>
      <c r="IL35" s="90"/>
      <c r="IU35" s="80"/>
      <c r="IV35" s="80"/>
      <c r="IW35" s="80"/>
      <c r="IX35" s="80"/>
      <c r="IY35" s="80"/>
      <c r="IZ35" s="80"/>
      <c r="JK35" s="80"/>
      <c r="JL35" s="80"/>
      <c r="JM35" s="80"/>
    </row>
    <row r="36" spans="2:273">
      <c r="B36" s="451">
        <v>1944</v>
      </c>
      <c r="C36" s="43">
        <v>201</v>
      </c>
      <c r="D36" s="5">
        <v>25</v>
      </c>
      <c r="E36" s="6">
        <f t="shared" si="0"/>
        <v>0.12437810945273632</v>
      </c>
      <c r="F36" s="454">
        <f t="shared" si="1"/>
        <v>0</v>
      </c>
      <c r="G36" s="450">
        <f t="shared" si="2"/>
        <v>24.6</v>
      </c>
      <c r="H36" s="23">
        <f t="shared" si="3"/>
        <v>0.12238805970149254</v>
      </c>
      <c r="I36" s="455">
        <v>0.4</v>
      </c>
      <c r="J36" s="460">
        <f t="shared" si="4"/>
        <v>1.9900497512437814E-3</v>
      </c>
      <c r="K36" s="6">
        <f t="shared" si="5"/>
        <v>1.6E-2</v>
      </c>
      <c r="L36" s="136">
        <f t="shared" si="12"/>
        <v>0.52307692307692322</v>
      </c>
      <c r="M36" s="136">
        <f t="shared" si="8"/>
        <v>0.12307692307692319</v>
      </c>
      <c r="N36" s="460">
        <f t="shared" si="6"/>
        <v>2.6023727516264836E-3</v>
      </c>
      <c r="O36" s="460">
        <f t="shared" si="9"/>
        <v>6.1232300038270245E-4</v>
      </c>
      <c r="P36" s="167">
        <f t="shared" si="10"/>
        <v>4.9230769230769276E-3</v>
      </c>
      <c r="Q36" s="5">
        <f t="shared" si="7"/>
        <v>25</v>
      </c>
      <c r="R36" s="169">
        <f t="shared" si="11"/>
        <v>0.12307692307692319</v>
      </c>
      <c r="S36" s="454"/>
      <c r="X36" s="69"/>
      <c r="AA36" s="78"/>
      <c r="AB36" s="78"/>
      <c r="AM36" s="67"/>
      <c r="BJ36" s="67"/>
      <c r="BQ36" s="24"/>
      <c r="BR36" s="184"/>
      <c r="BU36" s="69"/>
      <c r="BV36" s="90"/>
      <c r="CE36" s="184"/>
      <c r="CF36" s="184"/>
      <c r="CG36" s="184"/>
      <c r="CH36" s="184"/>
      <c r="CI36" s="184"/>
      <c r="CJ36" s="184"/>
      <c r="CK36" s="184"/>
      <c r="CL36" s="184"/>
      <c r="CM36" s="23"/>
      <c r="CN36" s="23"/>
      <c r="CO36" s="23"/>
      <c r="CP36" s="448"/>
      <c r="CQ36" s="448"/>
      <c r="CR36" s="23"/>
      <c r="CS36" s="69"/>
      <c r="CT36" s="80"/>
      <c r="CU36" s="80"/>
      <c r="DF36" s="69"/>
      <c r="DO36" s="90"/>
      <c r="DP36" s="69"/>
      <c r="EF36" s="69"/>
      <c r="EP36" s="90"/>
      <c r="EQ36" s="80"/>
      <c r="ER36" s="80"/>
      <c r="ES36" s="80"/>
      <c r="ET36" s="80"/>
      <c r="EU36" s="80"/>
      <c r="EV36" s="80"/>
      <c r="EW36" s="80"/>
      <c r="EX36" s="80"/>
      <c r="EY36" s="80"/>
      <c r="EZ36" s="90"/>
      <c r="FA36" s="90"/>
      <c r="FB36" s="90"/>
      <c r="FC36" s="90"/>
      <c r="FD36" s="90"/>
      <c r="FE36" s="90"/>
      <c r="FF36" s="90"/>
      <c r="FO36" s="69"/>
      <c r="FP36" s="90"/>
      <c r="GJ36" s="423"/>
      <c r="GK36" s="80"/>
      <c r="GL36" s="80"/>
      <c r="GM36" s="80"/>
      <c r="GN36" s="80"/>
      <c r="GO36" s="80"/>
      <c r="GP36" s="80"/>
      <c r="GQ36" s="69"/>
      <c r="GV36" s="76"/>
      <c r="HD36" s="67"/>
      <c r="HV36" s="67"/>
      <c r="IK36" s="841"/>
      <c r="IL36" s="90"/>
      <c r="IU36" s="80"/>
      <c r="IV36" s="80"/>
      <c r="IW36" s="80"/>
      <c r="IX36" s="80"/>
      <c r="IY36" s="80"/>
      <c r="IZ36" s="80"/>
      <c r="JK36" s="80"/>
      <c r="JL36" s="80"/>
      <c r="JM36" s="80"/>
    </row>
    <row r="37" spans="2:273">
      <c r="B37" s="451">
        <v>1945</v>
      </c>
      <c r="C37" s="43">
        <v>201.4</v>
      </c>
      <c r="D37" s="5">
        <v>20.5</v>
      </c>
      <c r="E37" s="6">
        <f t="shared" si="0"/>
        <v>0.10178748758689175</v>
      </c>
      <c r="F37" s="454">
        <f t="shared" si="1"/>
        <v>0</v>
      </c>
      <c r="G37" s="450">
        <f t="shared" si="2"/>
        <v>20.2</v>
      </c>
      <c r="H37" s="23">
        <f t="shared" si="3"/>
        <v>0.10029791459781529</v>
      </c>
      <c r="I37" s="455">
        <v>0.3</v>
      </c>
      <c r="J37" s="460">
        <f t="shared" si="4"/>
        <v>1.4895729890764646E-3</v>
      </c>
      <c r="K37" s="6">
        <f t="shared" si="5"/>
        <v>1.4634146341463414E-2</v>
      </c>
      <c r="L37" s="136">
        <f t="shared" si="12"/>
        <v>0.3923076923076923</v>
      </c>
      <c r="M37" s="136">
        <f t="shared" si="8"/>
        <v>9.2307692307692313E-2</v>
      </c>
      <c r="N37" s="460">
        <f t="shared" si="6"/>
        <v>1.9479031395615307E-3</v>
      </c>
      <c r="O37" s="460">
        <f t="shared" si="9"/>
        <v>4.583301504850661E-4</v>
      </c>
      <c r="P37" s="167">
        <f t="shared" si="10"/>
        <v>4.5028142589118199E-3</v>
      </c>
      <c r="Q37" s="5">
        <f t="shared" si="7"/>
        <v>20.5</v>
      </c>
      <c r="R37" s="169">
        <f t="shared" si="11"/>
        <v>9.2307692307692313E-2</v>
      </c>
      <c r="S37" s="454"/>
      <c r="X37" s="69"/>
      <c r="AA37" s="78"/>
      <c r="AB37" s="78"/>
      <c r="AM37" s="67"/>
      <c r="BJ37" s="67"/>
      <c r="BQ37" s="24"/>
      <c r="BR37" s="184"/>
      <c r="BU37" s="69"/>
      <c r="BV37" s="90"/>
      <c r="CE37" s="184"/>
      <c r="CF37" s="184"/>
      <c r="CG37" s="184"/>
      <c r="CH37" s="184"/>
      <c r="CI37" s="184"/>
      <c r="CJ37" s="184"/>
      <c r="CK37" s="184"/>
      <c r="CL37" s="184"/>
      <c r="CM37" s="23"/>
      <c r="CN37" s="23"/>
      <c r="CO37" s="23"/>
      <c r="CP37" s="448"/>
      <c r="CQ37" s="448"/>
      <c r="CR37" s="23"/>
      <c r="CS37" s="69"/>
      <c r="CT37" s="80"/>
      <c r="CU37" s="80"/>
      <c r="DF37" s="69"/>
      <c r="DO37" s="90"/>
      <c r="DP37" s="69"/>
      <c r="EF37" s="69"/>
      <c r="EP37" s="90"/>
      <c r="EQ37" s="80"/>
      <c r="ER37" s="80"/>
      <c r="ES37" s="80"/>
      <c r="ET37" s="80"/>
      <c r="EU37" s="80"/>
      <c r="EV37" s="80"/>
      <c r="EW37" s="80"/>
      <c r="EX37" s="80"/>
      <c r="EY37" s="80"/>
      <c r="EZ37" s="90"/>
      <c r="FA37" s="90"/>
      <c r="FB37" s="90"/>
      <c r="FC37" s="90"/>
      <c r="FD37" s="90"/>
      <c r="FE37" s="90"/>
      <c r="FF37" s="90"/>
      <c r="FO37" s="69"/>
      <c r="FP37" s="90"/>
      <c r="GJ37" s="423"/>
      <c r="GK37" s="80"/>
      <c r="GL37" s="79"/>
      <c r="GM37" s="80"/>
      <c r="GN37" s="80"/>
      <c r="GO37" s="80"/>
      <c r="GP37" s="80"/>
      <c r="GQ37" s="69"/>
      <c r="GS37" s="79"/>
      <c r="GT37" s="747"/>
      <c r="GV37" s="76"/>
      <c r="HD37" s="67"/>
      <c r="HV37" s="67"/>
      <c r="IK37" s="841"/>
      <c r="IL37" s="90"/>
      <c r="IU37" s="80"/>
      <c r="IV37" s="80"/>
      <c r="IW37" s="80"/>
      <c r="IX37" s="80"/>
      <c r="IY37" s="80"/>
      <c r="IZ37" s="80"/>
      <c r="JK37" s="80"/>
      <c r="JL37" s="80"/>
      <c r="JM37" s="80"/>
    </row>
    <row r="38" spans="2:273">
      <c r="B38" s="451">
        <v>1946</v>
      </c>
      <c r="C38" s="43">
        <v>201.5</v>
      </c>
      <c r="D38" s="5">
        <v>18.2</v>
      </c>
      <c r="E38" s="6">
        <f t="shared" si="0"/>
        <v>9.0322580645161285E-2</v>
      </c>
      <c r="F38" s="454">
        <f t="shared" si="1"/>
        <v>0</v>
      </c>
      <c r="G38" s="450">
        <f t="shared" si="2"/>
        <v>17.5</v>
      </c>
      <c r="H38" s="23">
        <f t="shared" si="3"/>
        <v>8.6848635235732011E-2</v>
      </c>
      <c r="I38" s="455">
        <v>0.7</v>
      </c>
      <c r="J38" s="460">
        <f t="shared" si="4"/>
        <v>3.47394540942928E-3</v>
      </c>
      <c r="K38" s="6">
        <f t="shared" si="5"/>
        <v>3.8461538461538464E-2</v>
      </c>
      <c r="L38" s="136">
        <f t="shared" si="12"/>
        <v>0.91538461538461535</v>
      </c>
      <c r="M38" s="136">
        <f t="shared" si="8"/>
        <v>0.2153846153846154</v>
      </c>
      <c r="N38" s="460">
        <f t="shared" si="6"/>
        <v>4.5428516892536746E-3</v>
      </c>
      <c r="O38" s="460">
        <f t="shared" si="9"/>
        <v>1.068906279824394E-3</v>
      </c>
      <c r="P38" s="167">
        <f t="shared" si="10"/>
        <v>1.183431952662722E-2</v>
      </c>
      <c r="Q38" s="5">
        <f t="shared" si="7"/>
        <v>18.2</v>
      </c>
      <c r="R38" s="169">
        <f t="shared" si="11"/>
        <v>0.2153846153846154</v>
      </c>
      <c r="S38" s="454"/>
      <c r="X38" s="69"/>
      <c r="AA38" s="78"/>
      <c r="AB38" s="78"/>
      <c r="AM38" s="67"/>
      <c r="BJ38" s="67"/>
      <c r="BQ38" s="24"/>
      <c r="BR38" s="184"/>
      <c r="BU38" s="69"/>
      <c r="BV38" s="90"/>
      <c r="CE38" s="184"/>
      <c r="CF38" s="184"/>
      <c r="CG38" s="184"/>
      <c r="CH38" s="184"/>
      <c r="CI38" s="184"/>
      <c r="CJ38" s="184"/>
      <c r="CK38" s="184"/>
      <c r="CL38" s="184"/>
      <c r="CM38" s="23"/>
      <c r="CN38" s="23"/>
      <c r="CO38" s="23"/>
      <c r="CP38" s="448"/>
      <c r="CQ38" s="448"/>
      <c r="CR38" s="23"/>
      <c r="CS38" s="69"/>
      <c r="CT38" s="80"/>
      <c r="CU38" s="80"/>
      <c r="DF38" s="69"/>
      <c r="DO38" s="90"/>
      <c r="DP38" s="69"/>
      <c r="EF38" s="69"/>
      <c r="EP38" s="90"/>
      <c r="EQ38" s="80"/>
      <c r="ER38" s="80"/>
      <c r="ES38" s="80"/>
      <c r="ET38" s="80"/>
      <c r="EU38" s="80"/>
      <c r="EV38" s="80"/>
      <c r="EW38" s="80"/>
      <c r="EX38" s="80"/>
      <c r="EY38" s="80"/>
      <c r="EZ38" s="90"/>
      <c r="FA38" s="90"/>
      <c r="FB38" s="90"/>
      <c r="FC38" s="90"/>
      <c r="FD38" s="90"/>
      <c r="FE38" s="90"/>
      <c r="FF38" s="90"/>
      <c r="FO38" s="69"/>
      <c r="FP38" s="90"/>
      <c r="GJ38" s="423"/>
      <c r="GK38" s="80"/>
      <c r="GL38" s="79"/>
      <c r="GM38" s="80"/>
      <c r="GN38" s="80"/>
      <c r="GO38" s="80"/>
      <c r="GP38" s="80"/>
      <c r="GQ38" s="69"/>
      <c r="GS38" s="79">
        <f>FoF_RoW!$AZ8/1000</f>
        <v>2.5030000000000001</v>
      </c>
      <c r="GT38" s="684"/>
      <c r="GV38" s="76">
        <f>FoF_RoW!$AE8/1000</f>
        <v>-4.0000000000000001E-3</v>
      </c>
      <c r="GW38" s="76"/>
      <c r="HD38" s="67"/>
      <c r="HV38" s="67"/>
      <c r="IK38" s="841"/>
      <c r="IL38" s="90"/>
      <c r="IU38" s="80"/>
      <c r="IV38" s="80"/>
      <c r="IW38" s="80"/>
      <c r="IX38" s="80"/>
      <c r="IY38" s="80"/>
      <c r="IZ38" s="80"/>
      <c r="JK38" s="80"/>
      <c r="JL38" s="80"/>
      <c r="JM38" s="80"/>
    </row>
    <row r="39" spans="2:273">
      <c r="B39" s="451">
        <v>1947</v>
      </c>
      <c r="C39" s="43">
        <v>219</v>
      </c>
      <c r="D39" s="5">
        <v>24.2</v>
      </c>
      <c r="E39" s="6">
        <f t="shared" si="0"/>
        <v>0.11050228310502283</v>
      </c>
      <c r="F39" s="454">
        <f t="shared" si="1"/>
        <v>0</v>
      </c>
      <c r="G39" s="450">
        <f t="shared" si="2"/>
        <v>23.2</v>
      </c>
      <c r="H39" s="23">
        <f t="shared" si="3"/>
        <v>0.10593607305936073</v>
      </c>
      <c r="I39" s="454">
        <v>1</v>
      </c>
      <c r="J39" s="460">
        <f t="shared" si="4"/>
        <v>4.5662100456621002E-3</v>
      </c>
      <c r="K39" s="62">
        <f t="shared" si="5"/>
        <v>4.1322314049586778E-2</v>
      </c>
      <c r="L39" s="136">
        <f t="shared" si="12"/>
        <v>1.3076923076923077</v>
      </c>
      <c r="M39" s="136">
        <f t="shared" si="8"/>
        <v>0.30769230769230771</v>
      </c>
      <c r="N39" s="460">
        <f t="shared" si="6"/>
        <v>5.9711977520196698E-3</v>
      </c>
      <c r="O39" s="460">
        <f t="shared" si="9"/>
        <v>1.4049877063575693E-3</v>
      </c>
      <c r="P39" s="449">
        <f t="shared" si="10"/>
        <v>1.2714558169103624E-2</v>
      </c>
      <c r="Q39" s="5">
        <f t="shared" si="7"/>
        <v>24.2</v>
      </c>
      <c r="R39" s="169">
        <f t="shared" si="11"/>
        <v>0.30769230769230771</v>
      </c>
      <c r="S39" s="454"/>
      <c r="X39" s="69"/>
      <c r="AA39" s="78"/>
      <c r="AB39" s="78"/>
      <c r="AM39" s="67"/>
      <c r="BJ39" s="67"/>
      <c r="BQ39" s="24"/>
      <c r="BR39" s="184"/>
      <c r="BU39" s="69"/>
      <c r="BV39" s="90"/>
      <c r="CE39" s="184"/>
      <c r="CF39" s="184"/>
      <c r="CG39" s="184"/>
      <c r="CH39" s="184"/>
      <c r="CI39" s="184"/>
      <c r="CJ39" s="184"/>
      <c r="CK39" s="184"/>
      <c r="CL39" s="184"/>
      <c r="CM39" s="23"/>
      <c r="CN39" s="23"/>
      <c r="CO39" s="23"/>
      <c r="CP39" s="448"/>
      <c r="CQ39" s="448"/>
      <c r="CR39" s="23"/>
      <c r="CS39" s="69"/>
      <c r="CT39" s="80"/>
      <c r="CU39" s="80"/>
      <c r="DF39" s="69"/>
      <c r="DO39" s="90"/>
      <c r="DP39" s="69"/>
      <c r="EF39" s="69"/>
      <c r="EP39" s="90"/>
      <c r="EQ39" s="80"/>
      <c r="ER39" s="80"/>
      <c r="ES39" s="80"/>
      <c r="ET39" s="80"/>
      <c r="EU39" s="80"/>
      <c r="EV39" s="80"/>
      <c r="EW39" s="80"/>
      <c r="EX39" s="80"/>
      <c r="EY39" s="80"/>
      <c r="EZ39" s="90"/>
      <c r="FA39" s="90"/>
      <c r="FB39" s="90"/>
      <c r="FC39" s="90"/>
      <c r="FD39" s="90"/>
      <c r="FE39" s="90"/>
      <c r="FF39" s="90"/>
      <c r="FO39" s="69"/>
      <c r="FP39" s="90"/>
      <c r="GJ39" s="423"/>
      <c r="GK39" s="80"/>
      <c r="GL39" s="79"/>
      <c r="GM39" s="80"/>
      <c r="GN39" s="80"/>
      <c r="GO39" s="80"/>
      <c r="GP39" s="80"/>
      <c r="GQ39" s="69"/>
      <c r="GS39" s="79">
        <f>FoF_RoW!$AZ9/1000</f>
        <v>2.6030000000000002</v>
      </c>
      <c r="GT39" s="684"/>
      <c r="GV39" s="76">
        <f>FoF_RoW!$AE9/1000</f>
        <v>0.01</v>
      </c>
      <c r="GW39" s="76"/>
      <c r="HD39" s="67"/>
      <c r="HV39" s="67"/>
      <c r="IK39" s="841"/>
      <c r="IL39" s="90"/>
      <c r="IU39" s="80"/>
      <c r="IV39" s="80"/>
      <c r="IW39" s="80"/>
      <c r="IX39" s="80"/>
      <c r="IY39" s="80"/>
      <c r="IZ39" s="80"/>
      <c r="JK39" s="80"/>
      <c r="JL39" s="80"/>
      <c r="JM39" s="80"/>
    </row>
    <row r="40" spans="2:273">
      <c r="B40" s="451">
        <v>1948</v>
      </c>
      <c r="C40" s="43">
        <v>245.1</v>
      </c>
      <c r="D40" s="5">
        <v>31.4</v>
      </c>
      <c r="E40" s="6">
        <f t="shared" si="0"/>
        <v>0.1281109751121991</v>
      </c>
      <c r="F40" s="454">
        <f t="shared" si="1"/>
        <v>0</v>
      </c>
      <c r="G40" s="450">
        <f t="shared" si="2"/>
        <v>30.099999999999998</v>
      </c>
      <c r="H40" s="23">
        <f t="shared" si="3"/>
        <v>0.12280701754385964</v>
      </c>
      <c r="I40" s="455">
        <v>1.3</v>
      </c>
      <c r="J40" s="460">
        <f t="shared" si="4"/>
        <v>5.3039575683394534E-3</v>
      </c>
      <c r="K40" s="6">
        <f t="shared" si="5"/>
        <v>4.1401273885350323E-2</v>
      </c>
      <c r="L40" s="136">
        <f t="array" ref="L40:L108">TRANSPOSE(NIPA_4.1!V17:CL17)+TRANSPOSE(NIPA_4.1!V18:CL18)</f>
        <v>1.7000000000000002</v>
      </c>
      <c r="M40" s="136">
        <f t="shared" si="8"/>
        <v>0.40000000000000013</v>
      </c>
      <c r="N40" s="460">
        <f t="shared" si="6"/>
        <v>6.935944512443901E-3</v>
      </c>
      <c r="O40" s="460">
        <f t="shared" si="9"/>
        <v>1.6319869441044478E-3</v>
      </c>
      <c r="P40" s="449">
        <f t="shared" si="10"/>
        <v>1.2738853503184717E-2</v>
      </c>
      <c r="Q40" s="5">
        <f t="shared" si="7"/>
        <v>31.4</v>
      </c>
      <c r="R40" s="169">
        <f t="shared" si="11"/>
        <v>0.40000000000000013</v>
      </c>
      <c r="S40" s="174"/>
      <c r="X40" s="69"/>
      <c r="Z40" s="683"/>
      <c r="AA40" s="225"/>
      <c r="AB40" s="683">
        <f t="array" ref="AB40:AB73">TRANSPOSE(NIPA_4.1!V34:BC34)</f>
        <v>0.2</v>
      </c>
      <c r="AC40" s="225">
        <v>0</v>
      </c>
      <c r="AK40" s="684">
        <f t="array" ref="AK40:AK108">TRANSPOSE(NIPA_4.1!V33:CL33)</f>
        <v>0.2</v>
      </c>
      <c r="AL40" s="184"/>
      <c r="AM40" s="67"/>
      <c r="BJ40" s="173"/>
      <c r="BQ40" s="24"/>
      <c r="BR40" s="184"/>
      <c r="BU40" s="69"/>
      <c r="BV40" s="90"/>
      <c r="CE40" s="184"/>
      <c r="CF40" s="184"/>
      <c r="CG40" s="184"/>
      <c r="CH40" s="184"/>
      <c r="CI40" s="184"/>
      <c r="CJ40" s="184"/>
      <c r="CK40" s="184"/>
      <c r="CL40" s="184"/>
      <c r="CM40" s="23"/>
      <c r="CN40" s="23"/>
      <c r="CO40" s="23"/>
      <c r="CP40" s="448"/>
      <c r="CQ40" s="448"/>
      <c r="CR40" s="23"/>
      <c r="CS40" s="69"/>
      <c r="CT40" s="80"/>
      <c r="CU40" s="80"/>
      <c r="DF40" s="69"/>
      <c r="DO40" s="90"/>
      <c r="DP40" s="69"/>
      <c r="EF40" s="69"/>
      <c r="EP40" s="90"/>
      <c r="EQ40" s="80"/>
      <c r="ER40" s="80"/>
      <c r="ES40" s="80"/>
      <c r="ET40" s="80"/>
      <c r="EU40" s="80"/>
      <c r="EV40" s="80"/>
      <c r="EW40" s="80"/>
      <c r="EX40" s="80"/>
      <c r="EY40" s="80"/>
      <c r="EZ40" s="90"/>
      <c r="FA40" s="90"/>
      <c r="FB40" s="90"/>
      <c r="FC40" s="90"/>
      <c r="FD40" s="90"/>
      <c r="FE40" s="90"/>
      <c r="FF40" s="90"/>
      <c r="FO40" s="69"/>
      <c r="FP40" s="90"/>
      <c r="GJ40" s="423"/>
      <c r="GK40" s="80"/>
      <c r="GL40" s="79"/>
      <c r="GM40" s="80"/>
      <c r="GN40" s="80"/>
      <c r="GO40" s="80"/>
      <c r="GP40" s="80"/>
      <c r="GQ40" s="69"/>
      <c r="GS40" s="79">
        <f>FoF_RoW!$AZ10/1000</f>
        <v>2.7869999999999999</v>
      </c>
      <c r="GT40" s="684"/>
      <c r="GV40" s="76">
        <f>FoF_RoW!$AE10/1000</f>
        <v>3.4000000000000002E-2</v>
      </c>
      <c r="GW40" s="76"/>
      <c r="HD40" s="67"/>
      <c r="HV40" s="67"/>
      <c r="IK40" s="841"/>
      <c r="IL40" s="90"/>
      <c r="IU40" s="80"/>
      <c r="IV40" s="80"/>
      <c r="IW40" s="80"/>
      <c r="IX40" s="80"/>
      <c r="IY40" s="80"/>
      <c r="IZ40" s="80"/>
      <c r="JK40" s="80"/>
      <c r="JL40" s="80"/>
      <c r="JM40" s="80"/>
    </row>
    <row r="41" spans="2:273" s="113" customFormat="1">
      <c r="B41" s="457">
        <v>1949</v>
      </c>
      <c r="C41" s="104">
        <v>240</v>
      </c>
      <c r="D41" s="8">
        <v>29.1</v>
      </c>
      <c r="E41" s="105">
        <f t="shared" si="0"/>
        <v>0.12125000000000001</v>
      </c>
      <c r="F41" s="456">
        <f t="shared" si="1"/>
        <v>0</v>
      </c>
      <c r="G41" s="456">
        <f t="shared" si="2"/>
        <v>28</v>
      </c>
      <c r="H41" s="105">
        <f t="shared" si="3"/>
        <v>0.11666666666666667</v>
      </c>
      <c r="I41" s="457">
        <v>1.1000000000000001</v>
      </c>
      <c r="J41" s="461">
        <f t="shared" si="4"/>
        <v>4.5833333333333334E-3</v>
      </c>
      <c r="K41" s="105">
        <f t="shared" si="5"/>
        <v>3.7800687285223372E-2</v>
      </c>
      <c r="L41" s="134">
        <v>1.5</v>
      </c>
      <c r="M41" s="134">
        <f t="shared" si="8"/>
        <v>0.39999999999999991</v>
      </c>
      <c r="N41" s="461">
        <f t="shared" si="6"/>
        <v>6.2500000000000003E-3</v>
      </c>
      <c r="O41" s="461">
        <f t="shared" si="9"/>
        <v>1.6666666666666663E-3</v>
      </c>
      <c r="P41" s="462">
        <f t="shared" si="10"/>
        <v>1.3745704467353948E-2</v>
      </c>
      <c r="Q41" s="8">
        <f t="shared" si="7"/>
        <v>29.1</v>
      </c>
      <c r="R41" s="170">
        <f t="shared" si="11"/>
        <v>0.39999999999999991</v>
      </c>
      <c r="S41" s="175"/>
      <c r="X41" s="181"/>
      <c r="Z41" s="689"/>
      <c r="AA41" s="523"/>
      <c r="AB41" s="689">
        <v>0.1</v>
      </c>
      <c r="AC41" s="523">
        <v>0</v>
      </c>
      <c r="AK41" s="690">
        <v>0.3</v>
      </c>
      <c r="AL41" s="410"/>
      <c r="AM41" s="178"/>
      <c r="BJ41" s="178"/>
      <c r="BQ41" s="115"/>
      <c r="BR41" s="410"/>
      <c r="BU41" s="181"/>
      <c r="CE41" s="410"/>
      <c r="CF41" s="410"/>
      <c r="CG41" s="410"/>
      <c r="CH41" s="410"/>
      <c r="CI41" s="410"/>
      <c r="CJ41" s="410"/>
      <c r="CK41" s="410"/>
      <c r="CL41" s="410"/>
      <c r="CM41" s="105"/>
      <c r="CN41" s="105"/>
      <c r="CO41" s="105"/>
      <c r="CP41" s="461"/>
      <c r="CQ41" s="461"/>
      <c r="CR41" s="105"/>
      <c r="CS41" s="181"/>
      <c r="CT41" s="420"/>
      <c r="CU41" s="420"/>
      <c r="DF41" s="181"/>
      <c r="DP41" s="181"/>
      <c r="EF41" s="181"/>
      <c r="EQ41" s="420"/>
      <c r="ER41" s="420"/>
      <c r="ES41" s="420"/>
      <c r="ET41" s="420"/>
      <c r="EU41" s="420"/>
      <c r="EV41" s="420"/>
      <c r="EW41" s="420"/>
      <c r="EX41" s="420"/>
      <c r="EY41" s="420"/>
      <c r="FO41" s="181"/>
      <c r="GJ41" s="424"/>
      <c r="GK41" s="420"/>
      <c r="GL41" s="134"/>
      <c r="GM41" s="420"/>
      <c r="GN41" s="420"/>
      <c r="GO41" s="420"/>
      <c r="GP41" s="420"/>
      <c r="GQ41" s="181"/>
      <c r="GS41" s="134">
        <f>FoF_RoW!$AZ11/1000</f>
        <v>2.9409999999999998</v>
      </c>
      <c r="GT41" s="690"/>
      <c r="GV41" s="108">
        <f>FoF_RoW!$AE11/1000</f>
        <v>5.6000000000000001E-2</v>
      </c>
      <c r="GW41" s="108"/>
      <c r="HD41" s="178"/>
      <c r="HV41" s="178"/>
      <c r="HW41" s="115"/>
      <c r="HX41" s="115"/>
      <c r="HY41" s="115"/>
      <c r="IK41" s="845"/>
      <c r="IU41" s="420"/>
      <c r="IV41" s="420"/>
      <c r="IW41" s="420"/>
      <c r="IX41" s="420"/>
      <c r="IY41" s="420"/>
      <c r="IZ41" s="420"/>
      <c r="JK41" s="420"/>
      <c r="JL41" s="420"/>
      <c r="JM41" s="420"/>
    </row>
    <row r="42" spans="2:273">
      <c r="B42" s="451">
        <v>1950</v>
      </c>
      <c r="C42" s="43">
        <v>267</v>
      </c>
      <c r="D42" s="5">
        <v>36.1</v>
      </c>
      <c r="E42" s="6">
        <f t="shared" si="0"/>
        <v>0.1352059925093633</v>
      </c>
      <c r="F42" s="454">
        <f t="shared" si="1"/>
        <v>0</v>
      </c>
      <c r="G42" s="450">
        <f t="shared" si="2"/>
        <v>34.800000000000004</v>
      </c>
      <c r="H42" s="23">
        <f t="shared" si="3"/>
        <v>0.13033707865168542</v>
      </c>
      <c r="I42" s="455">
        <v>1.3</v>
      </c>
      <c r="J42" s="460">
        <f t="shared" si="4"/>
        <v>4.8689138576779025E-3</v>
      </c>
      <c r="K42" s="6">
        <f t="shared" si="5"/>
        <v>3.6011080332409975E-2</v>
      </c>
      <c r="L42" s="136">
        <v>1.8</v>
      </c>
      <c r="M42" s="136">
        <f t="shared" si="8"/>
        <v>0.5</v>
      </c>
      <c r="N42" s="460">
        <f t="shared" si="6"/>
        <v>6.7415730337078653E-3</v>
      </c>
      <c r="O42" s="460">
        <f t="shared" si="9"/>
        <v>1.8726591760299626E-3</v>
      </c>
      <c r="P42" s="449">
        <f t="shared" si="10"/>
        <v>1.3850415512465374E-2</v>
      </c>
      <c r="Q42" s="5">
        <f t="shared" si="7"/>
        <v>36.1</v>
      </c>
      <c r="R42" s="169">
        <f t="shared" si="11"/>
        <v>0.5</v>
      </c>
      <c r="S42" s="174"/>
      <c r="X42" s="69"/>
      <c r="Z42" s="683"/>
      <c r="AA42" s="225"/>
      <c r="AB42" s="683">
        <v>0.2</v>
      </c>
      <c r="AC42" s="225">
        <v>0</v>
      </c>
      <c r="AK42" s="684">
        <v>0.3</v>
      </c>
      <c r="AL42" s="184"/>
      <c r="AM42" s="67"/>
      <c r="BJ42" s="67"/>
      <c r="BQ42" s="24"/>
      <c r="BR42" s="184"/>
      <c r="BU42" s="69"/>
      <c r="BV42" s="90"/>
      <c r="CE42" s="184"/>
      <c r="CF42" s="184"/>
      <c r="CG42" s="184"/>
      <c r="CH42" s="184"/>
      <c r="CI42" s="184"/>
      <c r="CJ42" s="184"/>
      <c r="CK42" s="184"/>
      <c r="CL42" s="184"/>
      <c r="CM42" s="23"/>
      <c r="CN42" s="23"/>
      <c r="CO42" s="23"/>
      <c r="CP42" s="448"/>
      <c r="CQ42" s="448"/>
      <c r="CR42" s="23"/>
      <c r="CS42" s="69"/>
      <c r="CT42" s="80"/>
      <c r="CU42" s="80"/>
      <c r="DF42" s="69"/>
      <c r="DO42" s="90"/>
      <c r="DP42" s="169">
        <v>3.391</v>
      </c>
      <c r="EF42" s="748">
        <f t="shared" ref="EF42:EF69" si="13">EF43*GS42/GS43</f>
        <v>0.55968593007371992</v>
      </c>
      <c r="EP42" s="90"/>
      <c r="EQ42" s="80"/>
      <c r="ER42" s="80"/>
      <c r="ES42" s="80"/>
      <c r="ET42" s="80"/>
      <c r="EU42" s="80"/>
      <c r="EV42" s="80"/>
      <c r="EW42" s="80"/>
      <c r="EX42" s="80"/>
      <c r="EY42" s="80"/>
      <c r="EZ42" s="90"/>
      <c r="FA42" s="90"/>
      <c r="FB42" s="90"/>
      <c r="FC42" s="90"/>
      <c r="FD42" s="90"/>
      <c r="FE42" s="90"/>
      <c r="FF42" s="90"/>
      <c r="FO42" s="69"/>
      <c r="FP42" s="90"/>
      <c r="GJ42" s="423"/>
      <c r="GK42" s="80"/>
      <c r="GL42" s="79">
        <f t="shared" ref="GL42:GL70" si="14">EF42</f>
        <v>0.55968593007371992</v>
      </c>
      <c r="GM42" s="80"/>
      <c r="GN42" s="80"/>
      <c r="GO42" s="80"/>
      <c r="GP42" s="80"/>
      <c r="GQ42" s="69"/>
      <c r="GS42" s="79">
        <f>FoF_RoW!$AZ12/1000</f>
        <v>3.391</v>
      </c>
      <c r="GT42" s="899">
        <f t="shared" ref="GT42:GT101" si="15">GS42-GL42</f>
        <v>2.8313140699262802</v>
      </c>
      <c r="GV42" s="76">
        <f>FoF_RoW!$AE12/1000</f>
        <v>0.08</v>
      </c>
      <c r="GW42" s="79"/>
      <c r="HD42" s="67"/>
      <c r="HV42" s="67"/>
      <c r="IK42" s="841"/>
      <c r="IL42" s="90"/>
      <c r="IU42" s="80"/>
      <c r="IV42" s="80"/>
      <c r="IW42" s="80"/>
      <c r="IX42" s="80"/>
      <c r="IY42" s="80"/>
      <c r="IZ42" s="80"/>
      <c r="JK42" s="80"/>
      <c r="JL42" s="80"/>
      <c r="JM42" s="80"/>
    </row>
    <row r="43" spans="2:273">
      <c r="B43" s="451">
        <v>1951</v>
      </c>
      <c r="C43" s="43">
        <v>308</v>
      </c>
      <c r="D43" s="5">
        <v>41.2</v>
      </c>
      <c r="E43" s="6">
        <f t="shared" si="0"/>
        <v>0.13376623376623378</v>
      </c>
      <c r="F43" s="454">
        <f t="shared" si="1"/>
        <v>0</v>
      </c>
      <c r="G43" s="450">
        <f t="shared" si="2"/>
        <v>39.5</v>
      </c>
      <c r="H43" s="23">
        <f t="shared" si="3"/>
        <v>0.12824675324675325</v>
      </c>
      <c r="I43" s="455">
        <v>1.7</v>
      </c>
      <c r="J43" s="460">
        <f t="shared" si="4"/>
        <v>5.5194805194805196E-3</v>
      </c>
      <c r="K43" s="6">
        <f t="shared" si="5"/>
        <v>4.1262135922330093E-2</v>
      </c>
      <c r="L43" s="136">
        <v>2.2999999999999998</v>
      </c>
      <c r="M43" s="136">
        <f t="shared" si="8"/>
        <v>0.59999999999999987</v>
      </c>
      <c r="N43" s="460">
        <f t="shared" si="6"/>
        <v>7.4675324675324666E-3</v>
      </c>
      <c r="O43" s="460">
        <f t="shared" si="9"/>
        <v>1.9480519480519476E-3</v>
      </c>
      <c r="P43" s="449">
        <f t="shared" si="10"/>
        <v>1.45631067961165E-2</v>
      </c>
      <c r="Q43" s="5">
        <f t="shared" si="7"/>
        <v>41.2</v>
      </c>
      <c r="R43" s="169">
        <f t="shared" si="11"/>
        <v>0.59999999999999987</v>
      </c>
      <c r="S43" s="174"/>
      <c r="X43" s="69"/>
      <c r="Z43" s="683"/>
      <c r="AA43" s="225"/>
      <c r="AB43" s="683">
        <v>0.2</v>
      </c>
      <c r="AC43" s="225">
        <v>0</v>
      </c>
      <c r="AK43" s="684">
        <v>0.3</v>
      </c>
      <c r="AL43" s="184"/>
      <c r="AM43" s="67"/>
      <c r="BJ43" s="67"/>
      <c r="BQ43" s="24"/>
      <c r="BR43" s="184"/>
      <c r="BU43" s="69"/>
      <c r="BV43" s="90"/>
      <c r="CE43" s="184"/>
      <c r="CF43" s="184"/>
      <c r="CG43" s="184"/>
      <c r="CH43" s="184"/>
      <c r="CI43" s="184"/>
      <c r="CJ43" s="184"/>
      <c r="CK43" s="184"/>
      <c r="CL43" s="184"/>
      <c r="CM43" s="23"/>
      <c r="CN43" s="23"/>
      <c r="CO43" s="23"/>
      <c r="CP43" s="448"/>
      <c r="CQ43" s="448"/>
      <c r="CR43" s="23"/>
      <c r="CS43" s="69"/>
      <c r="CT43" s="80"/>
      <c r="CU43" s="80"/>
      <c r="DF43" s="69"/>
      <c r="DO43" s="90"/>
      <c r="DP43" s="169">
        <v>3.6579999999999999</v>
      </c>
      <c r="EF43" s="748">
        <f t="shared" si="13"/>
        <v>0.60375438873773735</v>
      </c>
      <c r="EP43" s="90"/>
      <c r="EQ43" s="80"/>
      <c r="ER43" s="80"/>
      <c r="ES43" s="80"/>
      <c r="ET43" s="80"/>
      <c r="EU43" s="80"/>
      <c r="EV43" s="80"/>
      <c r="EW43" s="80"/>
      <c r="EX43" s="80"/>
      <c r="EY43" s="80"/>
      <c r="EZ43" s="90"/>
      <c r="FA43" s="90"/>
      <c r="FB43" s="90"/>
      <c r="FC43" s="90"/>
      <c r="FD43" s="90"/>
      <c r="FE43" s="90"/>
      <c r="FF43" s="90"/>
      <c r="FO43" s="69"/>
      <c r="FP43" s="90"/>
      <c r="GJ43" s="423"/>
      <c r="GK43" s="80"/>
      <c r="GL43" s="79">
        <f t="shared" si="14"/>
        <v>0.60375438873773735</v>
      </c>
      <c r="GM43" s="80"/>
      <c r="GN43" s="80"/>
      <c r="GO43" s="80"/>
      <c r="GP43" s="80"/>
      <c r="GQ43" s="69"/>
      <c r="GS43" s="79">
        <f>FoF_RoW!$AZ13/1000</f>
        <v>3.6579999999999999</v>
      </c>
      <c r="GT43" s="899">
        <f t="shared" si="15"/>
        <v>3.0542456112622625</v>
      </c>
      <c r="GV43" s="79">
        <f>FoF_RoW!$AE13/1000</f>
        <v>0.09</v>
      </c>
      <c r="GW43" s="79">
        <f>GS43-GS42</f>
        <v>0.2669999999999999</v>
      </c>
      <c r="HD43" s="67"/>
      <c r="HV43" s="67"/>
      <c r="IK43" s="841"/>
      <c r="IL43" s="90"/>
      <c r="IU43" s="80"/>
      <c r="IV43" s="80"/>
      <c r="IW43" s="80"/>
      <c r="IX43" s="80"/>
      <c r="IY43" s="80"/>
      <c r="IZ43" s="80"/>
      <c r="JK43" s="80"/>
      <c r="JL43" s="80"/>
      <c r="JM43" s="80"/>
    </row>
    <row r="44" spans="2:273">
      <c r="B44" s="451">
        <v>1952</v>
      </c>
      <c r="C44" s="43">
        <v>326.5</v>
      </c>
      <c r="D44" s="5">
        <v>39.700000000000003</v>
      </c>
      <c r="E44" s="6">
        <f t="shared" si="0"/>
        <v>0.12159264931087291</v>
      </c>
      <c r="F44" s="454">
        <f t="shared" si="1"/>
        <v>0</v>
      </c>
      <c r="G44" s="450">
        <f t="shared" si="2"/>
        <v>37.800000000000004</v>
      </c>
      <c r="H44" s="23">
        <f t="shared" si="3"/>
        <v>0.11577335375191425</v>
      </c>
      <c r="I44" s="455">
        <v>1.9</v>
      </c>
      <c r="J44" s="460">
        <f t="shared" si="4"/>
        <v>5.8192955589586523E-3</v>
      </c>
      <c r="K44" s="6">
        <f t="shared" si="5"/>
        <v>4.7858942065491177E-2</v>
      </c>
      <c r="L44" s="136">
        <v>2.2999999999999998</v>
      </c>
      <c r="M44" s="136">
        <f t="shared" si="8"/>
        <v>0.39999999999999991</v>
      </c>
      <c r="N44" s="460">
        <f t="shared" si="6"/>
        <v>7.0444104134762629E-3</v>
      </c>
      <c r="O44" s="460">
        <f t="shared" si="9"/>
        <v>1.2251148545176108E-3</v>
      </c>
      <c r="P44" s="449">
        <f t="shared" si="10"/>
        <v>1.0075566750629719E-2</v>
      </c>
      <c r="Q44" s="5">
        <f t="shared" si="7"/>
        <v>39.700000000000003</v>
      </c>
      <c r="R44" s="169">
        <f t="shared" si="11"/>
        <v>0.39999999999999991</v>
      </c>
      <c r="S44" s="174"/>
      <c r="X44" s="69"/>
      <c r="Z44" s="683"/>
      <c r="AA44" s="225"/>
      <c r="AB44" s="683">
        <v>0.1</v>
      </c>
      <c r="AC44" s="225">
        <v>0</v>
      </c>
      <c r="AK44" s="684">
        <v>0.3</v>
      </c>
      <c r="AL44" s="184"/>
      <c r="AM44" s="67"/>
      <c r="BJ44" s="67"/>
      <c r="BQ44" s="24"/>
      <c r="BR44" s="184"/>
      <c r="BU44" s="69"/>
      <c r="BV44" s="90"/>
      <c r="CE44" s="184"/>
      <c r="CF44" s="184"/>
      <c r="CG44" s="184"/>
      <c r="CH44" s="184"/>
      <c r="CI44" s="184"/>
      <c r="CJ44" s="184"/>
      <c r="CK44" s="184"/>
      <c r="CL44" s="184"/>
      <c r="CM44" s="23"/>
      <c r="CN44" s="23"/>
      <c r="CO44" s="23"/>
      <c r="CP44" s="448"/>
      <c r="CQ44" s="448"/>
      <c r="CR44" s="23"/>
      <c r="CS44" s="69"/>
      <c r="CT44" s="80"/>
      <c r="CU44" s="80"/>
      <c r="DF44" s="69"/>
      <c r="DO44" s="90"/>
      <c r="DP44" s="169">
        <v>3.9449999999999998</v>
      </c>
      <c r="EF44" s="748">
        <f t="shared" si="13"/>
        <v>0.65112385554138152</v>
      </c>
      <c r="EP44" s="90"/>
      <c r="EQ44" s="80"/>
      <c r="ER44" s="80"/>
      <c r="ES44" s="80"/>
      <c r="ET44" s="80"/>
      <c r="EU44" s="80"/>
      <c r="EV44" s="80"/>
      <c r="EW44" s="80"/>
      <c r="EX44" s="80"/>
      <c r="EY44" s="80"/>
      <c r="EZ44" s="90"/>
      <c r="FA44" s="90"/>
      <c r="FB44" s="90"/>
      <c r="FC44" s="90"/>
      <c r="FD44" s="90"/>
      <c r="FE44" s="90"/>
      <c r="FF44" s="90"/>
      <c r="FO44" s="69"/>
      <c r="FP44" s="90"/>
      <c r="GJ44" s="423"/>
      <c r="GK44" s="80"/>
      <c r="GL44" s="79">
        <f t="shared" si="14"/>
        <v>0.65112385554138152</v>
      </c>
      <c r="GM44" s="80"/>
      <c r="GN44" s="80"/>
      <c r="GO44" s="80"/>
      <c r="GP44" s="80"/>
      <c r="GQ44" s="69"/>
      <c r="GS44" s="79">
        <f>FoF_RoW!$AZ14/1000</f>
        <v>3.9449999999999998</v>
      </c>
      <c r="GT44" s="899">
        <f t="shared" si="15"/>
        <v>3.2938761444586184</v>
      </c>
      <c r="GV44" s="79">
        <f>FoF_RoW!$AE14/1000</f>
        <v>0.13200000000000001</v>
      </c>
      <c r="GW44" s="79">
        <f t="shared" ref="GW44:GW107" si="16">GS44-GS43</f>
        <v>0.28699999999999992</v>
      </c>
      <c r="HD44" s="67"/>
      <c r="HV44" s="67"/>
      <c r="IK44" s="841"/>
      <c r="IL44" s="90"/>
      <c r="IU44" s="80"/>
      <c r="IV44" s="80"/>
      <c r="IW44" s="80"/>
      <c r="IX44" s="80"/>
      <c r="IY44" s="80"/>
      <c r="IZ44" s="80"/>
      <c r="JK44" s="80"/>
      <c r="JL44" s="80"/>
      <c r="JM44" s="80"/>
    </row>
    <row r="45" spans="2:273">
      <c r="B45" s="451">
        <v>1953</v>
      </c>
      <c r="C45" s="43">
        <v>344.4</v>
      </c>
      <c r="D45" s="5">
        <v>40.299999999999997</v>
      </c>
      <c r="E45" s="6">
        <f t="shared" si="0"/>
        <v>0.11701509872241579</v>
      </c>
      <c r="F45" s="454">
        <f t="shared" si="1"/>
        <v>0</v>
      </c>
      <c r="G45" s="450">
        <f t="shared" si="2"/>
        <v>38.5</v>
      </c>
      <c r="H45" s="23">
        <f t="shared" si="3"/>
        <v>0.11178861788617887</v>
      </c>
      <c r="I45" s="455">
        <v>1.8</v>
      </c>
      <c r="J45" s="460">
        <f t="shared" si="4"/>
        <v>5.2264808362369342E-3</v>
      </c>
      <c r="K45" s="6">
        <f t="shared" si="5"/>
        <v>4.4665012406947896E-2</v>
      </c>
      <c r="L45" s="136">
        <v>2.2999999999999998</v>
      </c>
      <c r="M45" s="136">
        <f t="shared" si="8"/>
        <v>0.49999999999999978</v>
      </c>
      <c r="N45" s="460">
        <f t="shared" si="6"/>
        <v>6.6782810685249707E-3</v>
      </c>
      <c r="O45" s="460">
        <f t="shared" si="9"/>
        <v>1.4518002322880365E-3</v>
      </c>
      <c r="P45" s="449">
        <f t="shared" si="10"/>
        <v>1.2406947890818854E-2</v>
      </c>
      <c r="Q45" s="5">
        <f t="shared" si="7"/>
        <v>40.299999999999997</v>
      </c>
      <c r="R45" s="169">
        <f t="shared" si="11"/>
        <v>0.49999999999999978</v>
      </c>
      <c r="S45" s="174"/>
      <c r="X45" s="69"/>
      <c r="Z45" s="683"/>
      <c r="AA45" s="225"/>
      <c r="AB45" s="683">
        <v>0.2</v>
      </c>
      <c r="AC45" s="225">
        <v>0</v>
      </c>
      <c r="AK45" s="684">
        <v>0.3</v>
      </c>
      <c r="AL45" s="184"/>
      <c r="AM45" s="67"/>
      <c r="BJ45" s="67"/>
      <c r="BQ45" s="24"/>
      <c r="BR45" s="184"/>
      <c r="BU45" s="69"/>
      <c r="BV45" s="90"/>
      <c r="CE45" s="184"/>
      <c r="CF45" s="184"/>
      <c r="CG45" s="184"/>
      <c r="CH45" s="184"/>
      <c r="CI45" s="184"/>
      <c r="CJ45" s="184"/>
      <c r="CK45" s="184"/>
      <c r="CL45" s="184"/>
      <c r="CM45" s="23"/>
      <c r="CN45" s="23"/>
      <c r="CO45" s="23"/>
      <c r="CP45" s="448"/>
      <c r="CQ45" s="448"/>
      <c r="CR45" s="23"/>
      <c r="CS45" s="69"/>
      <c r="CT45" s="80"/>
      <c r="CU45" s="80"/>
      <c r="DF45" s="69"/>
      <c r="DO45" s="90"/>
      <c r="DP45" s="169">
        <v>4.2510000000000003</v>
      </c>
      <c r="EF45" s="748">
        <f t="shared" si="13"/>
        <v>0.70162928007767122</v>
      </c>
      <c r="EP45" s="90"/>
      <c r="EQ45" s="80"/>
      <c r="ER45" s="80"/>
      <c r="ES45" s="80"/>
      <c r="ET45" s="80"/>
      <c r="EU45" s="80"/>
      <c r="EV45" s="80"/>
      <c r="EW45" s="80"/>
      <c r="EX45" s="80"/>
      <c r="EY45" s="80"/>
      <c r="EZ45" s="90"/>
      <c r="FA45" s="90"/>
      <c r="FB45" s="90"/>
      <c r="FC45" s="90"/>
      <c r="FD45" s="90"/>
      <c r="FE45" s="90"/>
      <c r="FF45" s="90"/>
      <c r="FO45" s="69"/>
      <c r="FP45" s="90"/>
      <c r="GJ45" s="423"/>
      <c r="GK45" s="80"/>
      <c r="GL45" s="79">
        <f t="shared" si="14"/>
        <v>0.70162928007767122</v>
      </c>
      <c r="GM45" s="80"/>
      <c r="GN45" s="80"/>
      <c r="GO45" s="80"/>
      <c r="GP45" s="80"/>
      <c r="GQ45" s="69"/>
      <c r="GS45" s="79">
        <f>FoF_RoW!$AZ15/1000</f>
        <v>4.2510000000000003</v>
      </c>
      <c r="GT45" s="899">
        <f t="shared" si="15"/>
        <v>3.549370719922329</v>
      </c>
      <c r="GV45" s="79">
        <f>FoF_RoW!$AE15/1000</f>
        <v>0.158</v>
      </c>
      <c r="GW45" s="79">
        <f t="shared" si="16"/>
        <v>0.30600000000000049</v>
      </c>
      <c r="HD45" s="97"/>
      <c r="HV45" s="97"/>
      <c r="HW45" s="29"/>
      <c r="HX45" s="29"/>
      <c r="HY45" s="29"/>
      <c r="HZ45" s="451"/>
      <c r="IA45" s="451"/>
      <c r="IB45" s="451"/>
      <c r="IC45" s="451"/>
      <c r="ID45" s="451"/>
      <c r="IE45" s="451"/>
      <c r="IF45" s="451"/>
      <c r="IG45" s="451"/>
      <c r="IK45" s="841"/>
      <c r="IL45" s="90"/>
      <c r="IU45" s="80"/>
      <c r="IV45" s="80"/>
      <c r="IW45" s="80"/>
      <c r="IX45" s="80"/>
      <c r="IY45" s="80"/>
      <c r="IZ45" s="80"/>
      <c r="JK45" s="80"/>
      <c r="JL45" s="80"/>
      <c r="JM45" s="80"/>
    </row>
    <row r="46" spans="2:273">
      <c r="B46" s="451">
        <v>1954</v>
      </c>
      <c r="C46" s="43">
        <v>344.4</v>
      </c>
      <c r="D46" s="5">
        <v>39.5</v>
      </c>
      <c r="E46" s="6">
        <f t="shared" si="0"/>
        <v>0.11469221835075494</v>
      </c>
      <c r="F46" s="454">
        <f t="shared" si="1"/>
        <v>0</v>
      </c>
      <c r="G46" s="450">
        <f t="shared" si="2"/>
        <v>37.5</v>
      </c>
      <c r="H46" s="23">
        <f t="shared" si="3"/>
        <v>0.10888501742160279</v>
      </c>
      <c r="I46" s="455">
        <v>2</v>
      </c>
      <c r="J46" s="460">
        <f t="shared" si="4"/>
        <v>5.8072009291521487E-3</v>
      </c>
      <c r="K46" s="6">
        <f t="shared" si="5"/>
        <v>5.0632911392405063E-2</v>
      </c>
      <c r="L46" s="136">
        <v>2.4</v>
      </c>
      <c r="M46" s="136">
        <f t="shared" si="8"/>
        <v>0.39999999999999991</v>
      </c>
      <c r="N46" s="460">
        <f t="shared" si="6"/>
        <v>6.9686411149825784E-3</v>
      </c>
      <c r="O46" s="460">
        <f t="shared" si="9"/>
        <v>1.1614401858304295E-3</v>
      </c>
      <c r="P46" s="449">
        <f t="shared" si="10"/>
        <v>1.0126582278481011E-2</v>
      </c>
      <c r="Q46" s="5">
        <f t="shared" si="7"/>
        <v>39.5</v>
      </c>
      <c r="R46" s="169">
        <f t="shared" si="11"/>
        <v>0.39999999999999991</v>
      </c>
      <c r="S46" s="174"/>
      <c r="X46" s="69"/>
      <c r="Z46" s="683"/>
      <c r="AA46" s="225"/>
      <c r="AB46" s="683">
        <v>0.2</v>
      </c>
      <c r="AC46" s="225">
        <v>0</v>
      </c>
      <c r="AK46" s="684">
        <v>0.3</v>
      </c>
      <c r="AL46" s="184"/>
      <c r="AM46" s="67"/>
      <c r="BJ46" s="67"/>
      <c r="BQ46" s="24"/>
      <c r="BR46" s="184"/>
      <c r="BU46" s="69"/>
      <c r="BV46" s="90"/>
      <c r="CE46" s="184"/>
      <c r="CF46" s="184"/>
      <c r="CG46" s="184"/>
      <c r="CH46" s="184"/>
      <c r="CI46" s="184"/>
      <c r="CJ46" s="184"/>
      <c r="CK46" s="184"/>
      <c r="CL46" s="184"/>
      <c r="CM46" s="23"/>
      <c r="CN46" s="23"/>
      <c r="CO46" s="23"/>
      <c r="CP46" s="448"/>
      <c r="CQ46" s="448"/>
      <c r="CR46" s="23"/>
      <c r="CS46" s="69"/>
      <c r="CT46" s="80"/>
      <c r="CU46" s="80"/>
      <c r="DF46" s="69"/>
      <c r="DO46" s="90"/>
      <c r="DP46" s="169">
        <v>4.633</v>
      </c>
      <c r="EF46" s="748">
        <f t="shared" si="13"/>
        <v>0.76467853554454257</v>
      </c>
      <c r="EP46" s="90"/>
      <c r="EQ46" s="80"/>
      <c r="ER46" s="80"/>
      <c r="ES46" s="80"/>
      <c r="ET46" s="80"/>
      <c r="EU46" s="80"/>
      <c r="EV46" s="80"/>
      <c r="EW46" s="80"/>
      <c r="EX46" s="80"/>
      <c r="EY46" s="80"/>
      <c r="EZ46" s="90"/>
      <c r="FA46" s="90"/>
      <c r="FB46" s="90"/>
      <c r="FC46" s="90"/>
      <c r="FD46" s="90"/>
      <c r="FE46" s="90"/>
      <c r="FF46" s="90"/>
      <c r="FO46" s="69"/>
      <c r="FP46" s="90"/>
      <c r="GJ46" s="423"/>
      <c r="GK46" s="80"/>
      <c r="GL46" s="79">
        <f t="shared" si="14"/>
        <v>0.76467853554454257</v>
      </c>
      <c r="GM46" s="80"/>
      <c r="GN46" s="80"/>
      <c r="GO46" s="80"/>
      <c r="GP46" s="80"/>
      <c r="GQ46" s="69"/>
      <c r="GS46" s="79">
        <f>FoF_RoW!$AZ16/1000</f>
        <v>4.633</v>
      </c>
      <c r="GT46" s="899">
        <f t="shared" si="15"/>
        <v>3.8683214644554575</v>
      </c>
      <c r="GV46" s="79">
        <f>FoF_RoW!$AE16/1000</f>
        <v>0.124</v>
      </c>
      <c r="GW46" s="79">
        <f t="shared" si="16"/>
        <v>0.38199999999999967</v>
      </c>
      <c r="HD46" s="97"/>
      <c r="HV46" s="97"/>
      <c r="HW46" s="29"/>
      <c r="HX46" s="29"/>
      <c r="HY46" s="29"/>
      <c r="HZ46" s="451"/>
      <c r="IA46" s="451"/>
      <c r="IB46" s="451"/>
      <c r="IC46" s="451"/>
      <c r="ID46" s="451"/>
      <c r="IE46" s="451"/>
      <c r="IF46" s="451"/>
      <c r="IG46" s="451"/>
      <c r="IK46" s="841"/>
      <c r="IL46" s="90"/>
      <c r="IU46" s="80"/>
      <c r="IV46" s="80"/>
      <c r="IW46" s="80"/>
      <c r="IX46" s="80"/>
      <c r="IY46" s="80"/>
      <c r="IZ46" s="80"/>
      <c r="JK46" s="80"/>
      <c r="JL46" s="80"/>
      <c r="JM46" s="80"/>
    </row>
    <row r="47" spans="2:273">
      <c r="B47" s="451">
        <v>1955</v>
      </c>
      <c r="C47" s="43">
        <v>377.6</v>
      </c>
      <c r="D47" s="5">
        <v>50.2</v>
      </c>
      <c r="E47" s="6">
        <f t="shared" si="0"/>
        <v>0.13294491525423729</v>
      </c>
      <c r="F47" s="454">
        <f t="shared" si="1"/>
        <v>0</v>
      </c>
      <c r="G47" s="450">
        <f t="shared" si="2"/>
        <v>47.800000000000004</v>
      </c>
      <c r="H47" s="23">
        <f t="shared" si="3"/>
        <v>0.12658898305084745</v>
      </c>
      <c r="I47" s="455">
        <v>2.4</v>
      </c>
      <c r="J47" s="460">
        <f t="shared" si="4"/>
        <v>6.3559322033898301E-3</v>
      </c>
      <c r="K47" s="6">
        <f t="shared" si="5"/>
        <v>4.7808764940239036E-2</v>
      </c>
      <c r="L47" s="136">
        <v>2.9</v>
      </c>
      <c r="M47" s="136">
        <f t="shared" si="8"/>
        <v>0.5</v>
      </c>
      <c r="N47" s="460">
        <f t="shared" si="6"/>
        <v>7.6800847457627113E-3</v>
      </c>
      <c r="O47" s="460">
        <f t="shared" si="9"/>
        <v>1.3241525423728813E-3</v>
      </c>
      <c r="P47" s="449">
        <f t="shared" si="10"/>
        <v>9.9601593625498006E-3</v>
      </c>
      <c r="Q47" s="5">
        <f t="shared" si="7"/>
        <v>50.2</v>
      </c>
      <c r="R47" s="169">
        <f t="shared" si="11"/>
        <v>0.5</v>
      </c>
      <c r="S47" s="174"/>
      <c r="X47" s="69"/>
      <c r="Z47" s="683"/>
      <c r="AA47" s="225"/>
      <c r="AB47" s="683">
        <v>0.2</v>
      </c>
      <c r="AC47" s="225">
        <v>0</v>
      </c>
      <c r="AK47" s="684">
        <v>0.3</v>
      </c>
      <c r="AL47" s="184"/>
      <c r="AM47" s="67"/>
      <c r="BJ47" s="67"/>
      <c r="BQ47" s="24"/>
      <c r="BR47" s="184"/>
      <c r="BU47" s="69"/>
      <c r="BV47" s="90"/>
      <c r="CE47" s="184"/>
      <c r="CF47" s="184"/>
      <c r="CG47" s="184"/>
      <c r="CH47" s="184"/>
      <c r="CI47" s="184"/>
      <c r="CJ47" s="184"/>
      <c r="CK47" s="184"/>
      <c r="CL47" s="184"/>
      <c r="CM47" s="23"/>
      <c r="CN47" s="23"/>
      <c r="CO47" s="23"/>
      <c r="CP47" s="448"/>
      <c r="CQ47" s="448"/>
      <c r="CR47" s="23"/>
      <c r="CS47" s="69"/>
      <c r="CT47" s="80"/>
      <c r="CU47" s="80"/>
      <c r="DF47" s="69"/>
      <c r="DO47" s="90"/>
      <c r="DP47" s="169">
        <v>5.0759999999999996</v>
      </c>
      <c r="EF47" s="748">
        <f t="shared" si="13"/>
        <v>0.83779586583727561</v>
      </c>
      <c r="EP47" s="90"/>
      <c r="EQ47" s="80"/>
      <c r="ER47" s="80"/>
      <c r="ES47" s="80"/>
      <c r="ET47" s="80"/>
      <c r="EU47" s="80"/>
      <c r="EV47" s="80"/>
      <c r="EW47" s="80"/>
      <c r="EX47" s="80"/>
      <c r="EY47" s="80"/>
      <c r="EZ47" s="90"/>
      <c r="FA47" s="90"/>
      <c r="FB47" s="90"/>
      <c r="FC47" s="90"/>
      <c r="FD47" s="90"/>
      <c r="FE47" s="90"/>
      <c r="FF47" s="90"/>
      <c r="FO47" s="69"/>
      <c r="FP47" s="90"/>
      <c r="GJ47" s="423"/>
      <c r="GK47" s="80"/>
      <c r="GL47" s="79">
        <f t="shared" si="14"/>
        <v>0.83779586583727561</v>
      </c>
      <c r="GM47" s="80"/>
      <c r="GN47" s="80"/>
      <c r="GO47" s="80"/>
      <c r="GP47" s="80"/>
      <c r="GQ47" s="69"/>
      <c r="GS47" s="79">
        <f>FoF_RoW!$AZ17/1000</f>
        <v>5.0759999999999996</v>
      </c>
      <c r="GT47" s="899">
        <f t="shared" si="15"/>
        <v>4.2382041341627241</v>
      </c>
      <c r="GV47" s="79">
        <f>FoF_RoW!$AE17/1000</f>
        <v>0.19700000000000001</v>
      </c>
      <c r="GW47" s="79">
        <f t="shared" si="16"/>
        <v>0.44299999999999962</v>
      </c>
      <c r="HD47" s="97"/>
      <c r="HV47" s="97"/>
      <c r="HW47" s="29"/>
      <c r="HX47" s="29"/>
      <c r="HY47" s="29"/>
      <c r="HZ47" s="451"/>
      <c r="IA47" s="451"/>
      <c r="IB47" s="451"/>
      <c r="IC47" s="451"/>
      <c r="ID47" s="451"/>
      <c r="IE47" s="451"/>
      <c r="IF47" s="451"/>
      <c r="IG47" s="451"/>
      <c r="IK47" s="841"/>
      <c r="IL47" s="90"/>
      <c r="IU47" s="80"/>
      <c r="IV47" s="80"/>
      <c r="IW47" s="80"/>
      <c r="IX47" s="80"/>
      <c r="IY47" s="80"/>
      <c r="IZ47" s="80"/>
      <c r="JK47" s="80"/>
      <c r="JL47" s="80"/>
      <c r="JM47" s="80"/>
    </row>
    <row r="48" spans="2:273">
      <c r="B48" s="451">
        <v>1956</v>
      </c>
      <c r="C48" s="43">
        <v>400.9</v>
      </c>
      <c r="D48" s="5">
        <v>49.6</v>
      </c>
      <c r="E48" s="6">
        <f t="shared" si="0"/>
        <v>0.12372162634073336</v>
      </c>
      <c r="F48" s="454">
        <f t="shared" si="1"/>
        <v>0</v>
      </c>
      <c r="G48" s="450">
        <f t="shared" si="2"/>
        <v>46.800000000000004</v>
      </c>
      <c r="H48" s="23">
        <f t="shared" si="3"/>
        <v>0.11673734098278875</v>
      </c>
      <c r="I48" s="455">
        <v>2.8</v>
      </c>
      <c r="J48" s="460">
        <f t="shared" si="4"/>
        <v>6.9842853579446243E-3</v>
      </c>
      <c r="K48" s="6">
        <f t="shared" si="5"/>
        <v>5.6451612903225798E-2</v>
      </c>
      <c r="L48" s="136">
        <v>3.4000000000000004</v>
      </c>
      <c r="M48" s="136">
        <f t="shared" si="8"/>
        <v>0.60000000000000053</v>
      </c>
      <c r="N48" s="460">
        <f t="shared" si="6"/>
        <v>8.4809179346470448E-3</v>
      </c>
      <c r="O48" s="460">
        <f t="shared" si="9"/>
        <v>1.496632576702421E-3</v>
      </c>
      <c r="P48" s="449">
        <f t="shared" si="10"/>
        <v>1.2096774193548397E-2</v>
      </c>
      <c r="Q48" s="5">
        <f t="shared" si="7"/>
        <v>49.6</v>
      </c>
      <c r="R48" s="169">
        <f t="shared" si="11"/>
        <v>0.60000000000000053</v>
      </c>
      <c r="S48" s="174"/>
      <c r="X48" s="69"/>
      <c r="Z48" s="683"/>
      <c r="AA48" s="225"/>
      <c r="AB48" s="683">
        <v>0.2</v>
      </c>
      <c r="AC48" s="225">
        <v>0</v>
      </c>
      <c r="AK48" s="684">
        <v>0.4</v>
      </c>
      <c r="AL48" s="184"/>
      <c r="AM48" s="67"/>
      <c r="BJ48" s="67"/>
      <c r="BQ48" s="24"/>
      <c r="BR48" s="184"/>
      <c r="BU48" s="69"/>
      <c r="BV48" s="90"/>
      <c r="CE48" s="184"/>
      <c r="CF48" s="184"/>
      <c r="CG48" s="184"/>
      <c r="CH48" s="184"/>
      <c r="CI48" s="184"/>
      <c r="CJ48" s="184"/>
      <c r="CK48" s="184"/>
      <c r="CL48" s="184"/>
      <c r="CM48" s="23"/>
      <c r="CN48" s="23"/>
      <c r="CO48" s="23"/>
      <c r="CP48" s="448"/>
      <c r="CQ48" s="448"/>
      <c r="CR48" s="23"/>
      <c r="CS48" s="69"/>
      <c r="CT48" s="80"/>
      <c r="CU48" s="80"/>
      <c r="DF48" s="490"/>
      <c r="DG48" s="82"/>
      <c r="DH48" s="82"/>
      <c r="DI48" s="82"/>
      <c r="DJ48" s="82"/>
      <c r="DK48" s="82"/>
      <c r="DL48" s="82"/>
      <c r="DM48" s="82"/>
      <c r="DN48" s="82"/>
      <c r="DO48" s="245"/>
      <c r="DP48" s="169">
        <v>5.4589999999999996</v>
      </c>
      <c r="EF48" s="748">
        <f t="shared" si="13"/>
        <v>0.90101017171112829</v>
      </c>
      <c r="EP48" s="90"/>
      <c r="EQ48" s="80"/>
      <c r="ER48" s="80"/>
      <c r="ES48" s="80"/>
      <c r="ET48" s="80"/>
      <c r="EU48" s="80"/>
      <c r="EV48" s="80"/>
      <c r="EW48" s="80"/>
      <c r="EX48" s="80"/>
      <c r="EY48" s="80"/>
      <c r="EZ48" s="90"/>
      <c r="FA48" s="90"/>
      <c r="FB48" s="90"/>
      <c r="FC48" s="90"/>
      <c r="FD48" s="90"/>
      <c r="FE48" s="90"/>
      <c r="FF48" s="90"/>
      <c r="FO48" s="69"/>
      <c r="FP48" s="90"/>
      <c r="GJ48" s="423"/>
      <c r="GK48" s="80"/>
      <c r="GL48" s="79">
        <f t="shared" si="14"/>
        <v>0.90101017171112829</v>
      </c>
      <c r="GM48" s="80"/>
      <c r="GN48" s="80"/>
      <c r="GO48" s="80"/>
      <c r="GP48" s="80"/>
      <c r="GQ48" s="69"/>
      <c r="GS48" s="79">
        <f>FoF_RoW!$AZ18/1000</f>
        <v>5.4589999999999996</v>
      </c>
      <c r="GT48" s="899">
        <f t="shared" si="15"/>
        <v>4.5579898282888713</v>
      </c>
      <c r="GV48" s="79">
        <f>FoF_RoW!$AE18/1000</f>
        <v>0.23200000000000001</v>
      </c>
      <c r="GW48" s="79">
        <f t="shared" si="16"/>
        <v>0.38300000000000001</v>
      </c>
      <c r="HD48" s="97"/>
      <c r="HV48" s="97"/>
      <c r="HW48" s="29"/>
      <c r="HX48" s="29"/>
      <c r="HY48" s="29"/>
      <c r="HZ48" s="451"/>
      <c r="IA48" s="451"/>
      <c r="IB48" s="451"/>
      <c r="IC48" s="451"/>
      <c r="ID48" s="451"/>
      <c r="IE48" s="451"/>
      <c r="IF48" s="451"/>
      <c r="IG48" s="451"/>
      <c r="IK48" s="841"/>
      <c r="IL48" s="90"/>
      <c r="IU48" s="80"/>
      <c r="IV48" s="80"/>
      <c r="IW48" s="80"/>
      <c r="IX48" s="80"/>
      <c r="IY48" s="80"/>
      <c r="IZ48" s="80"/>
      <c r="JK48" s="80"/>
      <c r="JL48" s="80"/>
      <c r="JM48" s="80"/>
    </row>
    <row r="49" spans="2:273">
      <c r="B49" s="451">
        <v>1957</v>
      </c>
      <c r="C49" s="43">
        <v>419.4</v>
      </c>
      <c r="D49" s="5">
        <v>49.1</v>
      </c>
      <c r="E49" s="6">
        <f t="shared" si="0"/>
        <v>0.11707200762994756</v>
      </c>
      <c r="F49" s="454">
        <f t="shared" si="1"/>
        <v>0</v>
      </c>
      <c r="G49" s="450">
        <f t="shared" si="2"/>
        <v>46</v>
      </c>
      <c r="H49" s="23">
        <f t="shared" si="3"/>
        <v>0.10968049594659038</v>
      </c>
      <c r="I49" s="455">
        <v>3.1</v>
      </c>
      <c r="J49" s="460">
        <f t="shared" si="4"/>
        <v>7.3915116833571772E-3</v>
      </c>
      <c r="K49" s="6">
        <f t="shared" si="5"/>
        <v>6.313645621181263E-2</v>
      </c>
      <c r="L49" s="136">
        <v>3.6999999999999997</v>
      </c>
      <c r="M49" s="136">
        <f t="shared" si="8"/>
        <v>0.59999999999999964</v>
      </c>
      <c r="N49" s="460">
        <f t="shared" si="6"/>
        <v>8.8221268478779202E-3</v>
      </c>
      <c r="O49" s="460">
        <f t="shared" si="9"/>
        <v>1.430615164520743E-3</v>
      </c>
      <c r="P49" s="449">
        <f t="shared" si="10"/>
        <v>1.2219959266802437E-2</v>
      </c>
      <c r="Q49" s="5">
        <f t="shared" si="7"/>
        <v>49.1</v>
      </c>
      <c r="R49" s="169">
        <f t="shared" si="11"/>
        <v>0.59999999999999964</v>
      </c>
      <c r="S49" s="174"/>
      <c r="X49" s="69"/>
      <c r="Z49" s="683"/>
      <c r="AA49" s="225"/>
      <c r="AB49" s="683">
        <v>0.2</v>
      </c>
      <c r="AC49" s="225">
        <v>0</v>
      </c>
      <c r="AK49" s="684">
        <v>0.4</v>
      </c>
      <c r="AL49" s="184"/>
      <c r="AM49" s="67"/>
      <c r="BJ49" s="67"/>
      <c r="BQ49" s="24"/>
      <c r="BR49" s="184"/>
      <c r="BU49" s="69"/>
      <c r="BV49" s="90"/>
      <c r="CE49" s="184"/>
      <c r="CF49" s="184"/>
      <c r="CG49" s="184"/>
      <c r="CH49" s="184"/>
      <c r="CI49" s="184"/>
      <c r="CJ49" s="184"/>
      <c r="CK49" s="184"/>
      <c r="CL49" s="184"/>
      <c r="CM49" s="23"/>
      <c r="CN49" s="23"/>
      <c r="CO49" s="23"/>
      <c r="CP49" s="448"/>
      <c r="CQ49" s="448"/>
      <c r="CR49" s="23"/>
      <c r="CS49" s="69"/>
      <c r="CT49" s="80"/>
      <c r="CU49" s="80"/>
      <c r="DF49" s="490"/>
      <c r="DG49" s="82"/>
      <c r="DH49" s="82"/>
      <c r="DI49" s="82"/>
      <c r="DJ49" s="82"/>
      <c r="DK49" s="82"/>
      <c r="DL49" s="82"/>
      <c r="DM49" s="82"/>
      <c r="DN49" s="82"/>
      <c r="DO49" s="245"/>
      <c r="DP49" s="169">
        <v>5.71</v>
      </c>
      <c r="EF49" s="748">
        <f t="shared" si="13"/>
        <v>0.94243782386344432</v>
      </c>
      <c r="EP49" s="90"/>
      <c r="EQ49" s="80"/>
      <c r="ER49" s="80"/>
      <c r="ES49" s="80"/>
      <c r="ET49" s="80"/>
      <c r="EU49" s="80"/>
      <c r="EV49" s="80"/>
      <c r="EW49" s="80"/>
      <c r="EX49" s="80"/>
      <c r="EY49" s="80"/>
      <c r="EZ49" s="90"/>
      <c r="FA49" s="90"/>
      <c r="FB49" s="90"/>
      <c r="FC49" s="90"/>
      <c r="FD49" s="90"/>
      <c r="FE49" s="90"/>
      <c r="FF49" s="90"/>
      <c r="FO49" s="69"/>
      <c r="FP49" s="90"/>
      <c r="GJ49" s="423"/>
      <c r="GK49" s="80"/>
      <c r="GL49" s="79">
        <f t="shared" si="14"/>
        <v>0.94243782386344432</v>
      </c>
      <c r="GM49" s="80"/>
      <c r="GN49" s="80"/>
      <c r="GO49" s="80"/>
      <c r="GP49" s="80"/>
      <c r="GQ49" s="69"/>
      <c r="GS49" s="79">
        <f>FoF_RoW!$AZ19/1000</f>
        <v>5.71</v>
      </c>
      <c r="GT49" s="899">
        <f t="shared" si="15"/>
        <v>4.7675621761365559</v>
      </c>
      <c r="GV49" s="79">
        <f>FoF_RoW!$AE19/1000</f>
        <v>0.155</v>
      </c>
      <c r="GW49" s="79">
        <f t="shared" si="16"/>
        <v>0.25100000000000033</v>
      </c>
      <c r="HD49" s="97"/>
      <c r="HV49" s="97"/>
      <c r="HW49" s="29"/>
      <c r="HX49" s="29"/>
      <c r="HY49" s="29"/>
      <c r="HZ49" s="451"/>
      <c r="IA49" s="451"/>
      <c r="IB49" s="451"/>
      <c r="IC49" s="451"/>
      <c r="ID49" s="451"/>
      <c r="IE49" s="451"/>
      <c r="IF49" s="451"/>
      <c r="IG49" s="451"/>
      <c r="IK49" s="841"/>
      <c r="IL49" s="90"/>
      <c r="IU49" s="80"/>
      <c r="IV49" s="80"/>
      <c r="IW49" s="80"/>
      <c r="IX49" s="80"/>
      <c r="IY49" s="80"/>
      <c r="IZ49" s="80"/>
      <c r="JK49" s="80"/>
      <c r="JL49" s="80"/>
      <c r="JM49" s="80"/>
    </row>
    <row r="50" spans="2:273">
      <c r="B50" s="451">
        <v>1958</v>
      </c>
      <c r="C50" s="43">
        <v>421.6</v>
      </c>
      <c r="D50" s="5">
        <v>43.9</v>
      </c>
      <c r="E50" s="6">
        <f t="shared" si="0"/>
        <v>0.10412713472485767</v>
      </c>
      <c r="F50" s="454">
        <f t="shared" si="1"/>
        <v>0</v>
      </c>
      <c r="G50" s="450">
        <f t="shared" si="2"/>
        <v>41.4</v>
      </c>
      <c r="H50" s="23">
        <f t="shared" si="3"/>
        <v>9.819734345351043E-2</v>
      </c>
      <c r="I50" s="455">
        <v>2.5</v>
      </c>
      <c r="J50" s="460">
        <f t="shared" si="4"/>
        <v>5.9297912713472479E-3</v>
      </c>
      <c r="K50" s="6">
        <f t="shared" si="5"/>
        <v>5.6947608200455579E-2</v>
      </c>
      <c r="L50" s="136">
        <v>3</v>
      </c>
      <c r="M50" s="136">
        <f t="shared" si="8"/>
        <v>0.5</v>
      </c>
      <c r="N50" s="460">
        <f t="shared" si="6"/>
        <v>7.1157495256166979E-3</v>
      </c>
      <c r="O50" s="460">
        <f t="shared" si="9"/>
        <v>1.1859582542694497E-3</v>
      </c>
      <c r="P50" s="449">
        <f t="shared" si="10"/>
        <v>1.1389521640091117E-2</v>
      </c>
      <c r="Q50" s="5">
        <f t="shared" si="7"/>
        <v>43.9</v>
      </c>
      <c r="R50" s="169">
        <f t="shared" si="11"/>
        <v>0.5</v>
      </c>
      <c r="S50" s="174"/>
      <c r="X50" s="69"/>
      <c r="Z50" s="683"/>
      <c r="AA50" s="225"/>
      <c r="AB50" s="683">
        <v>0.2</v>
      </c>
      <c r="AC50" s="225">
        <v>0</v>
      </c>
      <c r="AK50" s="684">
        <v>0.4</v>
      </c>
      <c r="AL50" s="184"/>
      <c r="AM50" s="67"/>
      <c r="BJ50" s="67"/>
      <c r="BQ50" s="24"/>
      <c r="BR50" s="184"/>
      <c r="BU50" s="69"/>
      <c r="BV50" s="90"/>
      <c r="CE50" s="184"/>
      <c r="CF50" s="184"/>
      <c r="CG50" s="184"/>
      <c r="CH50" s="184"/>
      <c r="CI50" s="184"/>
      <c r="CJ50" s="184"/>
      <c r="CK50" s="184"/>
      <c r="CL50" s="184"/>
      <c r="CM50" s="23"/>
      <c r="CN50" s="23"/>
      <c r="CO50" s="23"/>
      <c r="CP50" s="448"/>
      <c r="CQ50" s="448"/>
      <c r="CR50" s="23"/>
      <c r="CS50" s="69"/>
      <c r="CT50" s="80"/>
      <c r="CU50" s="80"/>
      <c r="DF50" s="490"/>
      <c r="DG50" s="82"/>
      <c r="DH50" s="82"/>
      <c r="DI50" s="82"/>
      <c r="DJ50" s="82"/>
      <c r="DK50" s="82"/>
      <c r="DL50" s="82"/>
      <c r="DM50" s="82"/>
      <c r="DN50" s="82"/>
      <c r="DO50" s="245"/>
      <c r="DP50" s="169">
        <v>6.1150000000000002</v>
      </c>
      <c r="EF50" s="748">
        <f t="shared" si="13"/>
        <v>1.0092832386908865</v>
      </c>
      <c r="EP50" s="90"/>
      <c r="EQ50" s="80"/>
      <c r="ER50" s="80"/>
      <c r="ES50" s="80"/>
      <c r="ET50" s="80"/>
      <c r="EU50" s="80"/>
      <c r="EV50" s="80"/>
      <c r="EW50" s="80"/>
      <c r="EX50" s="80"/>
      <c r="EY50" s="80"/>
      <c r="EZ50" s="90"/>
      <c r="FA50" s="90"/>
      <c r="FB50" s="90"/>
      <c r="FC50" s="90"/>
      <c r="FD50" s="90"/>
      <c r="FE50" s="90"/>
      <c r="FF50" s="90"/>
      <c r="FO50" s="69"/>
      <c r="FP50" s="90"/>
      <c r="GJ50" s="423"/>
      <c r="GK50" s="80"/>
      <c r="GL50" s="79">
        <f t="shared" si="14"/>
        <v>1.0092832386908865</v>
      </c>
      <c r="GM50" s="80"/>
      <c r="GN50" s="80"/>
      <c r="GO50" s="80"/>
      <c r="GP50" s="80"/>
      <c r="GQ50" s="69"/>
      <c r="GS50" s="79">
        <f>FoF_RoW!$AZ20/1000</f>
        <v>6.1150000000000002</v>
      </c>
      <c r="GT50" s="899">
        <f t="shared" si="15"/>
        <v>5.1057167613091137</v>
      </c>
      <c r="GV50" s="79">
        <f>FoF_RoW!$AE20/1000</f>
        <v>9.8000000000000004E-2</v>
      </c>
      <c r="GW50" s="79">
        <f t="shared" si="16"/>
        <v>0.40500000000000025</v>
      </c>
      <c r="HD50" s="97"/>
      <c r="HV50" s="97"/>
      <c r="HW50" s="29"/>
      <c r="HX50" s="29"/>
      <c r="HY50" s="29"/>
      <c r="HZ50" s="451"/>
      <c r="IA50" s="451"/>
      <c r="IB50" s="451"/>
      <c r="IC50" s="451"/>
      <c r="ID50" s="451"/>
      <c r="IE50" s="451"/>
      <c r="IF50" s="451"/>
      <c r="IG50" s="451"/>
      <c r="IK50" s="841"/>
      <c r="IL50" s="90"/>
      <c r="IU50" s="80"/>
      <c r="IV50" s="80"/>
      <c r="IW50" s="80"/>
      <c r="IX50" s="80"/>
      <c r="IY50" s="80"/>
      <c r="IZ50" s="80"/>
      <c r="JK50" s="80"/>
      <c r="JL50" s="80"/>
      <c r="JM50" s="80"/>
    </row>
    <row r="51" spans="2:273" s="113" customFormat="1">
      <c r="B51" s="457">
        <v>1959</v>
      </c>
      <c r="C51" s="104">
        <v>459.6</v>
      </c>
      <c r="D51" s="8">
        <v>55.5</v>
      </c>
      <c r="E51" s="105">
        <f t="shared" si="0"/>
        <v>0.12075718015665796</v>
      </c>
      <c r="F51" s="456">
        <f t="shared" si="1"/>
        <v>0</v>
      </c>
      <c r="G51" s="456">
        <f t="shared" si="2"/>
        <v>52.8</v>
      </c>
      <c r="H51" s="105">
        <f t="shared" si="3"/>
        <v>0.11488250652741513</v>
      </c>
      <c r="I51" s="457">
        <v>2.7</v>
      </c>
      <c r="J51" s="461">
        <f t="shared" si="4"/>
        <v>5.8746736292428197E-3</v>
      </c>
      <c r="K51" s="105">
        <f t="shared" si="5"/>
        <v>4.8648648648648651E-2</v>
      </c>
      <c r="L51" s="134">
        <v>3.4</v>
      </c>
      <c r="M51" s="134">
        <f t="shared" si="8"/>
        <v>0.69999999999999973</v>
      </c>
      <c r="N51" s="461">
        <f t="shared" si="6"/>
        <v>7.3977371627502167E-3</v>
      </c>
      <c r="O51" s="461">
        <f t="shared" si="9"/>
        <v>1.5230635335073972E-3</v>
      </c>
      <c r="P51" s="462">
        <f t="shared" si="10"/>
        <v>1.2612612612612607E-2</v>
      </c>
      <c r="Q51" s="8">
        <f t="shared" si="7"/>
        <v>55.5</v>
      </c>
      <c r="R51" s="170">
        <f t="shared" si="11"/>
        <v>0.69999999999999973</v>
      </c>
      <c r="S51" s="175"/>
      <c r="X51" s="181"/>
      <c r="Z51" s="689"/>
      <c r="AA51" s="523"/>
      <c r="AB51" s="689">
        <v>0.2</v>
      </c>
      <c r="AC51" s="523">
        <v>0</v>
      </c>
      <c r="AK51" s="690">
        <v>0.4</v>
      </c>
      <c r="AL51" s="410"/>
      <c r="AM51" s="178"/>
      <c r="BJ51" s="178"/>
      <c r="BQ51" s="115"/>
      <c r="BR51" s="410"/>
      <c r="BU51" s="181"/>
      <c r="CE51" s="410"/>
      <c r="CF51" s="410"/>
      <c r="CG51" s="410"/>
      <c r="CH51" s="410"/>
      <c r="CI51" s="410"/>
      <c r="CJ51" s="410"/>
      <c r="CK51" s="410"/>
      <c r="CL51" s="410"/>
      <c r="CM51" s="105"/>
      <c r="CN51" s="105"/>
      <c r="CO51" s="105"/>
      <c r="CP51" s="461"/>
      <c r="CQ51" s="461"/>
      <c r="CR51" s="105"/>
      <c r="CS51" s="181"/>
      <c r="CT51" s="420"/>
      <c r="CU51" s="420"/>
      <c r="DF51" s="491"/>
      <c r="DG51" s="492"/>
      <c r="DH51" s="492"/>
      <c r="DI51" s="492"/>
      <c r="DJ51" s="492"/>
      <c r="DK51" s="492"/>
      <c r="DL51" s="492"/>
      <c r="DM51" s="492"/>
      <c r="DN51" s="492"/>
      <c r="DO51" s="492"/>
      <c r="DP51" s="170">
        <v>6.6040000000000001</v>
      </c>
      <c r="EF51" s="1023">
        <f t="shared" si="13"/>
        <v>1.0899928877047611</v>
      </c>
      <c r="EQ51" s="420"/>
      <c r="ER51" s="420"/>
      <c r="ES51" s="420"/>
      <c r="ET51" s="420"/>
      <c r="EU51" s="420"/>
      <c r="EV51" s="420"/>
      <c r="EW51" s="420"/>
      <c r="EX51" s="420"/>
      <c r="EY51" s="420"/>
      <c r="FO51" s="181"/>
      <c r="GJ51" s="424"/>
      <c r="GK51" s="420"/>
      <c r="GL51" s="134">
        <f t="shared" si="14"/>
        <v>1.0899928877047611</v>
      </c>
      <c r="GM51" s="420"/>
      <c r="GN51" s="420"/>
      <c r="GO51" s="420"/>
      <c r="GP51" s="420"/>
      <c r="GQ51" s="181"/>
      <c r="GS51" s="134">
        <f>FoF_RoW!$AZ21/1000</f>
        <v>6.6040000000000001</v>
      </c>
      <c r="GT51" s="901">
        <f t="shared" si="15"/>
        <v>5.5140071122952392</v>
      </c>
      <c r="GV51" s="134">
        <f>FoF_RoW!$AE21/1000</f>
        <v>0.23799999999999999</v>
      </c>
      <c r="GW51" s="134">
        <f t="shared" si="16"/>
        <v>0.48899999999999988</v>
      </c>
      <c r="HD51" s="110"/>
      <c r="HV51" s="110"/>
      <c r="HW51" s="132"/>
      <c r="HX51" s="132"/>
      <c r="HY51" s="132"/>
      <c r="HZ51" s="457"/>
      <c r="IA51" s="457"/>
      <c r="IB51" s="457"/>
      <c r="IC51" s="457"/>
      <c r="ID51" s="457"/>
      <c r="IE51" s="457"/>
      <c r="IF51" s="457"/>
      <c r="IG51" s="457"/>
      <c r="IK51" s="845"/>
      <c r="IU51" s="420"/>
      <c r="IV51" s="420"/>
      <c r="IW51" s="420"/>
      <c r="IX51" s="420"/>
      <c r="IY51" s="420"/>
      <c r="IZ51" s="420"/>
      <c r="JK51" s="420"/>
      <c r="JL51" s="420"/>
      <c r="JM51" s="420"/>
    </row>
    <row r="52" spans="2:273">
      <c r="B52" s="451">
        <v>1960</v>
      </c>
      <c r="C52" s="43">
        <v>479.9</v>
      </c>
      <c r="D52" s="5">
        <v>54.7</v>
      </c>
      <c r="E52" s="6">
        <f t="shared" si="0"/>
        <v>0.11398207959991666</v>
      </c>
      <c r="F52" s="454">
        <f t="shared" si="1"/>
        <v>0</v>
      </c>
      <c r="G52" s="450">
        <f t="shared" si="2"/>
        <v>51.6</v>
      </c>
      <c r="H52" s="23">
        <f t="shared" si="3"/>
        <v>0.1075224005001042</v>
      </c>
      <c r="I52" s="455">
        <v>3.1</v>
      </c>
      <c r="J52" s="460">
        <f t="shared" si="4"/>
        <v>6.4596790998124615E-3</v>
      </c>
      <c r="K52" s="6">
        <f t="shared" si="5"/>
        <v>5.6672760511882997E-2</v>
      </c>
      <c r="L52" s="136">
        <v>3.8</v>
      </c>
      <c r="M52" s="136">
        <f t="shared" si="8"/>
        <v>0.69999999999999973</v>
      </c>
      <c r="N52" s="460">
        <f t="shared" si="6"/>
        <v>7.9183163158991453E-3</v>
      </c>
      <c r="O52" s="460">
        <f t="shared" si="9"/>
        <v>1.4586372160866842E-3</v>
      </c>
      <c r="P52" s="449">
        <f t="shared" si="10"/>
        <v>1.2797074954296155E-2</v>
      </c>
      <c r="Q52" s="5">
        <f t="shared" si="7"/>
        <v>54.7</v>
      </c>
      <c r="R52" s="169">
        <f t="shared" si="11"/>
        <v>0.69999999999999973</v>
      </c>
      <c r="S52" s="174"/>
      <c r="X52" s="169">
        <f t="array" ref="X52:X73">-TRANSPOSE('ITA_1(old)'!C38:X38)/1000</f>
        <v>0.39400000000000002</v>
      </c>
      <c r="Z52" s="683">
        <f t="shared" ref="Z52:Z72" si="17">AA52+AB52</f>
        <v>0.39400000000000002</v>
      </c>
      <c r="AA52" s="225">
        <f t="shared" ref="AA52:AA69" si="18">X52-AB52-AC52</f>
        <v>0.19400000000000001</v>
      </c>
      <c r="AB52" s="683">
        <v>0.2</v>
      </c>
      <c r="AC52" s="225">
        <v>0</v>
      </c>
      <c r="AK52" s="684">
        <v>0.5</v>
      </c>
      <c r="AL52" s="248">
        <f t="shared" ref="AL52:AL69" si="19">AA52/AK52</f>
        <v>0.38800000000000001</v>
      </c>
      <c r="AM52" s="169">
        <f t="array" ref="AM52:AM71">-TRANSPOSE('ITA_1(old)'!C38:V38)/1000</f>
        <v>0.39400000000000002</v>
      </c>
      <c r="BJ52" s="67"/>
      <c r="BQ52" s="24"/>
      <c r="BR52" s="184"/>
      <c r="BU52" s="69"/>
      <c r="BV52" s="90"/>
      <c r="CE52" s="184"/>
      <c r="CF52" s="184"/>
      <c r="CG52" s="184"/>
      <c r="CH52" s="184"/>
      <c r="CI52" s="184"/>
      <c r="CJ52" s="184"/>
      <c r="CK52" s="184"/>
      <c r="CL52" s="184"/>
      <c r="CM52" s="23"/>
      <c r="CN52" s="23"/>
      <c r="CO52" s="23"/>
      <c r="CP52" s="448"/>
      <c r="CQ52" s="448"/>
      <c r="CR52" s="23"/>
      <c r="CS52" s="748">
        <f>AC52</f>
        <v>0</v>
      </c>
      <c r="CT52" s="80"/>
      <c r="CU52" s="80"/>
      <c r="DF52" s="490"/>
      <c r="DG52" s="82"/>
      <c r="DH52" s="82"/>
      <c r="DI52" s="82"/>
      <c r="DJ52" s="82"/>
      <c r="DK52" s="82"/>
      <c r="DL52" s="82"/>
      <c r="DM52" s="82"/>
      <c r="DN52" s="82"/>
      <c r="DO52" s="245"/>
      <c r="DP52" s="169">
        <v>6.91</v>
      </c>
      <c r="EF52" s="748">
        <f t="shared" si="13"/>
        <v>1.1429740683457708</v>
      </c>
      <c r="EP52" s="90"/>
      <c r="EQ52" s="80"/>
      <c r="ER52" s="80"/>
      <c r="ES52" s="80"/>
      <c r="ET52" s="80"/>
      <c r="EU52" s="80"/>
      <c r="EV52" s="80"/>
      <c r="EW52" s="80"/>
      <c r="EX52" s="80"/>
      <c r="EY52" s="80"/>
      <c r="EZ52" s="90"/>
      <c r="FA52" s="90"/>
      <c r="FB52" s="90"/>
      <c r="FC52" s="90"/>
      <c r="FD52" s="90"/>
      <c r="FE52" s="90"/>
      <c r="FF52" s="90"/>
      <c r="FO52" s="69"/>
      <c r="FP52" s="90"/>
      <c r="GJ52" s="423"/>
      <c r="GK52" s="80"/>
      <c r="GL52" s="79">
        <f t="shared" si="14"/>
        <v>1.1429740683457708</v>
      </c>
      <c r="GM52" s="80"/>
      <c r="GN52" s="80"/>
      <c r="GO52" s="80"/>
      <c r="GP52" s="80"/>
      <c r="GQ52" s="69"/>
      <c r="GS52" s="79">
        <f>FoF_RoW!$AZ22/1000</f>
        <v>6.9249999999999998</v>
      </c>
      <c r="GT52" s="899">
        <f t="shared" si="15"/>
        <v>5.7820259316542293</v>
      </c>
      <c r="GV52" s="79">
        <f>FoF_RoW!$AE22/1000</f>
        <v>0.315</v>
      </c>
      <c r="GW52" s="79">
        <f t="shared" si="16"/>
        <v>0.32099999999999973</v>
      </c>
      <c r="HD52" s="97"/>
      <c r="HV52" s="97"/>
      <c r="HW52" s="29"/>
      <c r="HX52" s="29"/>
      <c r="HY52" s="29"/>
      <c r="HZ52" s="451"/>
      <c r="IA52" s="451"/>
      <c r="IB52" s="451"/>
      <c r="IC52" s="451"/>
      <c r="ID52" s="451"/>
      <c r="IE52" s="451"/>
      <c r="IF52" s="451"/>
      <c r="IG52" s="451"/>
      <c r="IK52" s="841"/>
      <c r="IL52" s="90"/>
      <c r="IU52" s="80"/>
      <c r="IV52" s="80"/>
      <c r="IW52" s="80"/>
      <c r="IX52" s="80"/>
      <c r="IY52" s="80"/>
      <c r="IZ52" s="80"/>
      <c r="JK52" s="80"/>
      <c r="JL52" s="80"/>
      <c r="JM52" s="80"/>
    </row>
    <row r="53" spans="2:273">
      <c r="B53" s="451">
        <v>1961</v>
      </c>
      <c r="C53" s="43">
        <v>497.2</v>
      </c>
      <c r="D53" s="5">
        <v>55.9</v>
      </c>
      <c r="E53" s="6">
        <f t="shared" si="0"/>
        <v>0.11242960579243765</v>
      </c>
      <c r="F53" s="454">
        <f t="shared" si="1"/>
        <v>0</v>
      </c>
      <c r="G53" s="450">
        <f t="shared" si="2"/>
        <v>52.6</v>
      </c>
      <c r="H53" s="23">
        <f t="shared" si="3"/>
        <v>0.10579243765084474</v>
      </c>
      <c r="I53" s="455">
        <v>3.3</v>
      </c>
      <c r="J53" s="460">
        <f t="shared" si="4"/>
        <v>6.6371681415929203E-3</v>
      </c>
      <c r="K53" s="6">
        <f t="shared" si="5"/>
        <v>5.9033989266547404E-2</v>
      </c>
      <c r="L53" s="136">
        <v>4.0999999999999996</v>
      </c>
      <c r="M53" s="136">
        <f t="shared" si="8"/>
        <v>0.79999999999999982</v>
      </c>
      <c r="N53" s="460">
        <f t="shared" si="6"/>
        <v>8.2461786001609E-3</v>
      </c>
      <c r="O53" s="460">
        <f t="shared" si="9"/>
        <v>1.6090104585679804E-3</v>
      </c>
      <c r="P53" s="449">
        <f t="shared" si="10"/>
        <v>1.431127012522361E-2</v>
      </c>
      <c r="Q53" s="5">
        <f t="shared" si="7"/>
        <v>55.9</v>
      </c>
      <c r="R53" s="169">
        <f t="shared" si="11"/>
        <v>0.79999999999999982</v>
      </c>
      <c r="S53" s="174"/>
      <c r="X53" s="169">
        <v>0.432</v>
      </c>
      <c r="Z53" s="683">
        <f t="shared" si="17"/>
        <v>0.432</v>
      </c>
      <c r="AA53" s="225">
        <f t="shared" si="18"/>
        <v>0.23199999999999998</v>
      </c>
      <c r="AB53" s="683">
        <v>0.2</v>
      </c>
      <c r="AC53" s="225">
        <v>0</v>
      </c>
      <c r="AK53" s="684">
        <v>0.5</v>
      </c>
      <c r="AL53" s="248">
        <f t="shared" si="19"/>
        <v>0.46399999999999997</v>
      </c>
      <c r="AM53" s="169">
        <v>0.432</v>
      </c>
      <c r="BJ53" s="67"/>
      <c r="BQ53" s="24"/>
      <c r="BR53" s="184"/>
      <c r="BU53" s="69"/>
      <c r="BV53" s="90"/>
      <c r="CE53" s="184"/>
      <c r="CF53" s="184"/>
      <c r="CG53" s="184"/>
      <c r="CH53" s="184"/>
      <c r="CI53" s="184"/>
      <c r="CJ53" s="184"/>
      <c r="CK53" s="184"/>
      <c r="CL53" s="184"/>
      <c r="CM53" s="23"/>
      <c r="CN53" s="23"/>
      <c r="CO53" s="23"/>
      <c r="CP53" s="448"/>
      <c r="CQ53" s="448"/>
      <c r="CR53" s="23"/>
      <c r="CS53" s="748">
        <f t="shared" ref="CS53:CS73" si="20">AC53</f>
        <v>0</v>
      </c>
      <c r="CT53" s="80"/>
      <c r="CU53" s="80"/>
      <c r="DF53" s="490"/>
      <c r="DG53" s="82"/>
      <c r="DH53" s="82"/>
      <c r="DI53" s="82"/>
      <c r="DJ53" s="82"/>
      <c r="DK53" s="82"/>
      <c r="DL53" s="82"/>
      <c r="DM53" s="82"/>
      <c r="DN53" s="82"/>
      <c r="DO53" s="245"/>
      <c r="DP53" s="169">
        <v>7.3920000000000003</v>
      </c>
      <c r="EF53" s="748">
        <f t="shared" si="13"/>
        <v>1.1971106018356499</v>
      </c>
      <c r="EP53" s="90"/>
      <c r="EQ53" s="80"/>
      <c r="ER53" s="80"/>
      <c r="ES53" s="80"/>
      <c r="ET53" s="80"/>
      <c r="EU53" s="80"/>
      <c r="EV53" s="80"/>
      <c r="EW53" s="80"/>
      <c r="EX53" s="80"/>
      <c r="EY53" s="80"/>
      <c r="EZ53" s="90"/>
      <c r="FA53" s="90"/>
      <c r="FB53" s="90"/>
      <c r="FC53" s="90"/>
      <c r="FD53" s="90"/>
      <c r="FE53" s="90"/>
      <c r="FF53" s="90"/>
      <c r="FO53" s="69"/>
      <c r="FP53" s="90"/>
      <c r="GJ53" s="423"/>
      <c r="GK53" s="80"/>
      <c r="GL53" s="79">
        <f t="shared" si="14"/>
        <v>1.1971106018356499</v>
      </c>
      <c r="GM53" s="80"/>
      <c r="GN53" s="80"/>
      <c r="GO53" s="80"/>
      <c r="GP53" s="80"/>
      <c r="GQ53" s="69"/>
      <c r="GS53" s="79">
        <f>FoF_RoW!$AZ23/1000</f>
        <v>7.2530000000000001</v>
      </c>
      <c r="GT53" s="899">
        <f t="shared" si="15"/>
        <v>6.05588939816435</v>
      </c>
      <c r="GV53" s="79">
        <f>FoF_RoW!$AE23/1000</f>
        <v>0.311</v>
      </c>
      <c r="GW53" s="79">
        <f t="shared" si="16"/>
        <v>0.32800000000000029</v>
      </c>
      <c r="HD53" s="97"/>
      <c r="HV53" s="97"/>
      <c r="HW53" s="29"/>
      <c r="HX53" s="29"/>
      <c r="HY53" s="29"/>
      <c r="HZ53" s="451"/>
      <c r="IA53" s="451"/>
      <c r="IB53" s="451"/>
      <c r="IC53" s="451"/>
      <c r="ID53" s="451"/>
      <c r="IE53" s="451"/>
      <c r="IF53" s="451"/>
      <c r="IG53" s="451"/>
      <c r="IK53" s="841"/>
      <c r="IL53" s="90"/>
      <c r="IU53" s="80"/>
      <c r="IV53" s="80"/>
      <c r="IW53" s="80"/>
      <c r="IX53" s="80"/>
      <c r="IY53" s="80"/>
      <c r="IZ53" s="80"/>
      <c r="JK53" s="80"/>
      <c r="JL53" s="80"/>
      <c r="JM53" s="80"/>
    </row>
    <row r="54" spans="2:273">
      <c r="B54" s="451">
        <v>1962</v>
      </c>
      <c r="C54" s="43">
        <v>535.20000000000005</v>
      </c>
      <c r="D54" s="5">
        <v>64</v>
      </c>
      <c r="E54" s="6">
        <f t="shared" si="0"/>
        <v>0.11958146487294469</v>
      </c>
      <c r="F54" s="454">
        <f t="shared" si="1"/>
        <v>0</v>
      </c>
      <c r="G54" s="450">
        <f t="shared" si="2"/>
        <v>60.2</v>
      </c>
      <c r="H54" s="23">
        <f t="shared" si="3"/>
        <v>0.1124813153961136</v>
      </c>
      <c r="I54" s="455">
        <v>3.8</v>
      </c>
      <c r="J54" s="460">
        <f t="shared" si="4"/>
        <v>7.1001494768310903E-3</v>
      </c>
      <c r="K54" s="6">
        <f t="shared" si="5"/>
        <v>5.9374999999999997E-2</v>
      </c>
      <c r="L54" s="136">
        <v>4.5</v>
      </c>
      <c r="M54" s="136">
        <f t="shared" si="8"/>
        <v>0.70000000000000018</v>
      </c>
      <c r="N54" s="460">
        <f t="shared" si="6"/>
        <v>8.4080717488789238E-3</v>
      </c>
      <c r="O54" s="460">
        <f t="shared" si="9"/>
        <v>1.3079222720478328E-3</v>
      </c>
      <c r="P54" s="449">
        <f t="shared" si="10"/>
        <v>1.0937500000000003E-2</v>
      </c>
      <c r="Q54" s="5">
        <f t="shared" si="7"/>
        <v>64</v>
      </c>
      <c r="R54" s="169">
        <f t="shared" si="11"/>
        <v>0.70000000000000018</v>
      </c>
      <c r="S54" s="174"/>
      <c r="X54" s="169">
        <v>0.39900000000000002</v>
      </c>
      <c r="Z54" s="683">
        <f t="shared" si="17"/>
        <v>0.39900000000000002</v>
      </c>
      <c r="AA54" s="225">
        <f t="shared" si="18"/>
        <v>0.19900000000000001</v>
      </c>
      <c r="AB54" s="683">
        <v>0.2</v>
      </c>
      <c r="AC54" s="225">
        <v>0</v>
      </c>
      <c r="AK54" s="684">
        <v>0.5</v>
      </c>
      <c r="AL54" s="248">
        <f t="shared" si="19"/>
        <v>0.39800000000000002</v>
      </c>
      <c r="AM54" s="169">
        <v>0.39900000000000002</v>
      </c>
      <c r="BJ54" s="67"/>
      <c r="BQ54" s="24"/>
      <c r="BR54" s="184"/>
      <c r="BU54" s="69"/>
      <c r="BV54" s="90"/>
      <c r="CE54" s="184"/>
      <c r="CF54" s="184"/>
      <c r="CG54" s="184"/>
      <c r="CH54" s="184"/>
      <c r="CI54" s="184"/>
      <c r="CJ54" s="184"/>
      <c r="CK54" s="184"/>
      <c r="CL54" s="184"/>
      <c r="CM54" s="23"/>
      <c r="CN54" s="23"/>
      <c r="CO54" s="23"/>
      <c r="CP54" s="448"/>
      <c r="CQ54" s="448"/>
      <c r="CR54" s="23"/>
      <c r="CS54" s="748">
        <f t="shared" si="20"/>
        <v>0</v>
      </c>
      <c r="CT54" s="80"/>
      <c r="CU54" s="80"/>
      <c r="DF54" s="490"/>
      <c r="DG54" s="82"/>
      <c r="DH54" s="82"/>
      <c r="DI54" s="82"/>
      <c r="DJ54" s="82"/>
      <c r="DK54" s="82"/>
      <c r="DL54" s="82"/>
      <c r="DM54" s="82"/>
      <c r="DN54" s="82"/>
      <c r="DO54" s="245"/>
      <c r="DP54" s="169">
        <v>7.6120000000000001</v>
      </c>
      <c r="EF54" s="748">
        <f t="shared" si="13"/>
        <v>1.246955824744014</v>
      </c>
      <c r="EP54" s="90"/>
      <c r="EQ54" s="80"/>
      <c r="ER54" s="80"/>
      <c r="ES54" s="80"/>
      <c r="ET54" s="80"/>
      <c r="EU54" s="80"/>
      <c r="EV54" s="80"/>
      <c r="EW54" s="80"/>
      <c r="EX54" s="80"/>
      <c r="EY54" s="80"/>
      <c r="EZ54" s="90"/>
      <c r="FA54" s="90"/>
      <c r="FB54" s="90"/>
      <c r="FC54" s="90"/>
      <c r="FD54" s="90"/>
      <c r="FE54" s="90"/>
      <c r="FF54" s="90"/>
      <c r="FO54" s="69"/>
      <c r="FP54" s="90"/>
      <c r="GJ54" s="423"/>
      <c r="GK54" s="80"/>
      <c r="GL54" s="79">
        <f t="shared" si="14"/>
        <v>1.246955824744014</v>
      </c>
      <c r="GM54" s="80"/>
      <c r="GN54" s="80"/>
      <c r="GO54" s="80"/>
      <c r="GP54" s="80"/>
      <c r="GQ54" s="69"/>
      <c r="GS54" s="79">
        <f>FoF_RoW!$AZ24/1000</f>
        <v>7.5549999999999997</v>
      </c>
      <c r="GT54" s="899">
        <f t="shared" si="15"/>
        <v>6.3080441752559855</v>
      </c>
      <c r="GV54" s="79">
        <f>FoF_RoW!$AE24/1000</f>
        <v>0.34599999999999997</v>
      </c>
      <c r="GW54" s="79">
        <f t="shared" si="16"/>
        <v>0.3019999999999996</v>
      </c>
      <c r="HD54" s="97"/>
      <c r="HV54" s="97"/>
      <c r="HW54" s="29"/>
      <c r="HX54" s="29"/>
      <c r="HY54" s="29"/>
      <c r="HZ54" s="451"/>
      <c r="IA54" s="451"/>
      <c r="IB54" s="451"/>
      <c r="IC54" s="451"/>
      <c r="ID54" s="451"/>
      <c r="IE54" s="451"/>
      <c r="IF54" s="451"/>
      <c r="IG54" s="451"/>
      <c r="IK54" s="841"/>
      <c r="IL54" s="90"/>
      <c r="IU54" s="80"/>
      <c r="IV54" s="80"/>
      <c r="IW54" s="80"/>
      <c r="IX54" s="80"/>
      <c r="IY54" s="80"/>
      <c r="IZ54" s="80"/>
      <c r="JK54" s="80"/>
      <c r="JL54" s="80"/>
      <c r="JM54" s="80"/>
    </row>
    <row r="55" spans="2:273">
      <c r="B55" s="451">
        <v>1963</v>
      </c>
      <c r="C55" s="43">
        <v>566.6</v>
      </c>
      <c r="D55" s="5">
        <v>70.5</v>
      </c>
      <c r="E55" s="6">
        <f t="shared" si="0"/>
        <v>0.12442640310624779</v>
      </c>
      <c r="F55" s="454">
        <f t="shared" si="1"/>
        <v>0</v>
      </c>
      <c r="G55" s="450">
        <f t="shared" si="2"/>
        <v>66.400000000000006</v>
      </c>
      <c r="H55" s="23">
        <f t="shared" si="3"/>
        <v>0.11719025767737382</v>
      </c>
      <c r="I55" s="455">
        <v>4.0999999999999996</v>
      </c>
      <c r="J55" s="460">
        <f t="shared" si="4"/>
        <v>7.2361454288739843E-3</v>
      </c>
      <c r="K55" s="6">
        <f t="shared" si="5"/>
        <v>5.815602836879432E-2</v>
      </c>
      <c r="L55" s="136">
        <v>4.8000000000000007</v>
      </c>
      <c r="M55" s="136">
        <f t="shared" si="8"/>
        <v>0.70000000000000107</v>
      </c>
      <c r="N55" s="460">
        <f t="shared" si="6"/>
        <v>8.4715848923402771E-3</v>
      </c>
      <c r="O55" s="460">
        <f t="shared" si="9"/>
        <v>1.2354394634662919E-3</v>
      </c>
      <c r="P55" s="449">
        <f t="shared" si="10"/>
        <v>9.9290780141844115E-3</v>
      </c>
      <c r="Q55" s="5">
        <f t="shared" si="7"/>
        <v>70.5</v>
      </c>
      <c r="R55" s="169">
        <f t="shared" si="11"/>
        <v>0.70000000000000107</v>
      </c>
      <c r="S55" s="174"/>
      <c r="X55" s="169">
        <v>0.45900000000000002</v>
      </c>
      <c r="Z55" s="683">
        <f t="shared" si="17"/>
        <v>0.45900000000000002</v>
      </c>
      <c r="AA55" s="225">
        <f t="shared" si="18"/>
        <v>0.25900000000000001</v>
      </c>
      <c r="AB55" s="683">
        <v>0.2</v>
      </c>
      <c r="AC55" s="225">
        <v>0</v>
      </c>
      <c r="AK55" s="684">
        <v>0.6</v>
      </c>
      <c r="AL55" s="248">
        <f t="shared" si="19"/>
        <v>0.4316666666666667</v>
      </c>
      <c r="AM55" s="169">
        <v>0.45900000000000002</v>
      </c>
      <c r="BJ55" s="67"/>
      <c r="BQ55" s="24"/>
      <c r="BR55" s="184"/>
      <c r="BU55" s="69"/>
      <c r="BV55" s="90"/>
      <c r="CE55" s="184"/>
      <c r="CF55" s="184"/>
      <c r="CG55" s="184"/>
      <c r="CH55" s="184"/>
      <c r="CI55" s="184"/>
      <c r="CJ55" s="184"/>
      <c r="CK55" s="184"/>
      <c r="CL55" s="184"/>
      <c r="CM55" s="23"/>
      <c r="CN55" s="23"/>
      <c r="CO55" s="23"/>
      <c r="CP55" s="448"/>
      <c r="CQ55" s="448"/>
      <c r="CR55" s="23"/>
      <c r="CS55" s="748">
        <f t="shared" si="20"/>
        <v>0</v>
      </c>
      <c r="CT55" s="80"/>
      <c r="CU55" s="80"/>
      <c r="DF55" s="490"/>
      <c r="DG55" s="82"/>
      <c r="DH55" s="82"/>
      <c r="DI55" s="82"/>
      <c r="DJ55" s="82"/>
      <c r="DK55" s="82"/>
      <c r="DL55" s="82"/>
      <c r="DM55" s="82"/>
      <c r="DN55" s="82"/>
      <c r="DO55" s="245"/>
      <c r="DP55" s="169">
        <v>7.944</v>
      </c>
      <c r="EF55" s="748">
        <f t="shared" si="13"/>
        <v>1.2931699386987887</v>
      </c>
      <c r="EP55" s="90"/>
      <c r="EQ55" s="80"/>
      <c r="ER55" s="80"/>
      <c r="ES55" s="80"/>
      <c r="ET55" s="80"/>
      <c r="EU55" s="80"/>
      <c r="EV55" s="80"/>
      <c r="EW55" s="80"/>
      <c r="EX55" s="80"/>
      <c r="EY55" s="80"/>
      <c r="EZ55" s="90"/>
      <c r="FA55" s="90"/>
      <c r="FB55" s="90"/>
      <c r="FC55" s="90"/>
      <c r="FD55" s="90"/>
      <c r="FE55" s="90"/>
      <c r="FF55" s="90"/>
      <c r="FO55" s="69"/>
      <c r="FP55" s="90"/>
      <c r="GJ55" s="423"/>
      <c r="GK55" s="80"/>
      <c r="GL55" s="79">
        <f t="shared" si="14"/>
        <v>1.2931699386987887</v>
      </c>
      <c r="GM55" s="80"/>
      <c r="GN55" s="80"/>
      <c r="GO55" s="80"/>
      <c r="GP55" s="80"/>
      <c r="GQ55" s="69"/>
      <c r="GS55" s="79">
        <f>FoF_RoW!$AZ25/1000</f>
        <v>7.835</v>
      </c>
      <c r="GT55" s="899">
        <f t="shared" si="15"/>
        <v>6.5418300613012113</v>
      </c>
      <c r="GV55" s="79">
        <f>FoF_RoW!$AE25/1000</f>
        <v>0.23100000000000001</v>
      </c>
      <c r="GW55" s="79">
        <f t="shared" si="16"/>
        <v>0.28000000000000025</v>
      </c>
      <c r="HD55" s="97"/>
      <c r="HV55" s="97"/>
      <c r="HW55" s="29"/>
      <c r="HX55" s="29"/>
      <c r="HY55" s="29"/>
      <c r="HZ55" s="451"/>
      <c r="IA55" s="451"/>
      <c r="IB55" s="451"/>
      <c r="IC55" s="451"/>
      <c r="ID55" s="451"/>
      <c r="IE55" s="451"/>
      <c r="IF55" s="451"/>
      <c r="IG55" s="451"/>
      <c r="IK55" s="841"/>
      <c r="IL55" s="90"/>
      <c r="IU55" s="80"/>
      <c r="IV55" s="80"/>
      <c r="IW55" s="80"/>
      <c r="IX55" s="80"/>
      <c r="IY55" s="80"/>
      <c r="IZ55" s="80"/>
      <c r="JK55" s="80"/>
      <c r="JL55" s="80"/>
      <c r="JM55" s="80"/>
    </row>
    <row r="56" spans="2:273">
      <c r="B56" s="451">
        <v>1964</v>
      </c>
      <c r="C56" s="43">
        <v>608.29999999999995</v>
      </c>
      <c r="D56" s="5">
        <v>77.7</v>
      </c>
      <c r="E56" s="6">
        <f t="shared" si="0"/>
        <v>0.12773302646720369</v>
      </c>
      <c r="F56" s="454">
        <f t="shared" si="1"/>
        <v>0</v>
      </c>
      <c r="G56" s="450">
        <f t="shared" si="2"/>
        <v>73.2</v>
      </c>
      <c r="H56" s="23">
        <f t="shared" si="3"/>
        <v>0.12033536084168997</v>
      </c>
      <c r="I56" s="455">
        <v>4.5</v>
      </c>
      <c r="J56" s="460">
        <f t="shared" si="4"/>
        <v>7.3976656255137271E-3</v>
      </c>
      <c r="K56" s="6">
        <f t="shared" si="5"/>
        <v>5.791505791505791E-2</v>
      </c>
      <c r="L56" s="136">
        <v>5.4</v>
      </c>
      <c r="M56" s="136">
        <f t="shared" si="8"/>
        <v>0.90000000000000036</v>
      </c>
      <c r="N56" s="460">
        <f t="shared" si="6"/>
        <v>8.8771987506164728E-3</v>
      </c>
      <c r="O56" s="460">
        <f t="shared" si="9"/>
        <v>1.479533125102746E-3</v>
      </c>
      <c r="P56" s="449">
        <f t="shared" si="10"/>
        <v>1.1583011583011588E-2</v>
      </c>
      <c r="Q56" s="5">
        <f t="shared" si="7"/>
        <v>77.7</v>
      </c>
      <c r="R56" s="169">
        <f t="shared" si="11"/>
        <v>0.90000000000000036</v>
      </c>
      <c r="S56" s="174"/>
      <c r="X56" s="169">
        <v>0.52900000000000003</v>
      </c>
      <c r="Z56" s="683">
        <f t="shared" si="17"/>
        <v>0.52900000000000003</v>
      </c>
      <c r="AA56" s="225">
        <f t="shared" si="18"/>
        <v>0.22900000000000004</v>
      </c>
      <c r="AB56" s="683">
        <v>0.3</v>
      </c>
      <c r="AC56" s="225">
        <v>0</v>
      </c>
      <c r="AK56" s="684">
        <v>0.6</v>
      </c>
      <c r="AL56" s="248">
        <f t="shared" si="19"/>
        <v>0.38166666666666677</v>
      </c>
      <c r="AM56" s="169">
        <v>0.52900000000000003</v>
      </c>
      <c r="BJ56" s="67"/>
      <c r="BQ56" s="24"/>
      <c r="BR56" s="184"/>
      <c r="BU56" s="69"/>
      <c r="BV56" s="90"/>
      <c r="CE56" s="184"/>
      <c r="CF56" s="184"/>
      <c r="CG56" s="184"/>
      <c r="CH56" s="184"/>
      <c r="CI56" s="184"/>
      <c r="CJ56" s="184"/>
      <c r="CK56" s="184"/>
      <c r="CL56" s="184"/>
      <c r="CM56" s="23"/>
      <c r="CN56" s="23"/>
      <c r="CO56" s="23"/>
      <c r="CP56" s="448"/>
      <c r="CQ56" s="448"/>
      <c r="CR56" s="23"/>
      <c r="CS56" s="748">
        <f t="shared" si="20"/>
        <v>0</v>
      </c>
      <c r="CT56" s="80"/>
      <c r="CU56" s="80"/>
      <c r="DF56" s="490"/>
      <c r="DG56" s="82"/>
      <c r="DH56" s="82"/>
      <c r="DI56" s="82"/>
      <c r="DJ56" s="82"/>
      <c r="DK56" s="82"/>
      <c r="DL56" s="82"/>
      <c r="DM56" s="82"/>
      <c r="DN56" s="82"/>
      <c r="DO56" s="245"/>
      <c r="DP56" s="169">
        <v>8.3629999999999995</v>
      </c>
      <c r="EF56" s="748">
        <f t="shared" si="13"/>
        <v>1.3446656656769664</v>
      </c>
      <c r="EP56" s="90"/>
      <c r="EQ56" s="80"/>
      <c r="ER56" s="80"/>
      <c r="ES56" s="80"/>
      <c r="ET56" s="80"/>
      <c r="EU56" s="80"/>
      <c r="EV56" s="80"/>
      <c r="EW56" s="80"/>
      <c r="EX56" s="80"/>
      <c r="EY56" s="80"/>
      <c r="EZ56" s="90"/>
      <c r="FA56" s="90"/>
      <c r="FB56" s="90"/>
      <c r="FC56" s="90"/>
      <c r="FD56" s="90"/>
      <c r="FE56" s="90"/>
      <c r="FF56" s="90"/>
      <c r="FO56" s="69"/>
      <c r="FP56" s="90"/>
      <c r="GJ56" s="423"/>
      <c r="GK56" s="80"/>
      <c r="GL56" s="79">
        <f t="shared" si="14"/>
        <v>1.3446656656769664</v>
      </c>
      <c r="GM56" s="80"/>
      <c r="GN56" s="80"/>
      <c r="GO56" s="80"/>
      <c r="GP56" s="80"/>
      <c r="GQ56" s="69"/>
      <c r="GS56" s="79">
        <f>FoF_RoW!$AZ26/1000</f>
        <v>8.1470000000000002</v>
      </c>
      <c r="GT56" s="899">
        <f t="shared" si="15"/>
        <v>6.8023343343230334</v>
      </c>
      <c r="GV56" s="79">
        <f>FoF_RoW!$AE26/1000</f>
        <v>0.32200000000000001</v>
      </c>
      <c r="GW56" s="79">
        <f t="shared" si="16"/>
        <v>0.31200000000000028</v>
      </c>
      <c r="HD56" s="97"/>
      <c r="HV56" s="97"/>
      <c r="HW56" s="29"/>
      <c r="HX56" s="29"/>
      <c r="HY56" s="29"/>
      <c r="HZ56" s="451"/>
      <c r="IA56" s="451"/>
      <c r="IB56" s="451"/>
      <c r="IC56" s="451"/>
      <c r="ID56" s="451"/>
      <c r="IE56" s="451"/>
      <c r="IF56" s="451"/>
      <c r="IG56" s="451"/>
      <c r="IK56" s="841"/>
      <c r="IL56" s="90"/>
      <c r="IU56" s="80"/>
      <c r="IV56" s="80"/>
      <c r="IW56" s="80"/>
      <c r="IX56" s="80"/>
      <c r="IY56" s="80"/>
      <c r="IZ56" s="80"/>
      <c r="JK56" s="80"/>
      <c r="JL56" s="80"/>
      <c r="JM56" s="80"/>
    </row>
    <row r="57" spans="2:273">
      <c r="B57" s="451">
        <v>1965</v>
      </c>
      <c r="C57" s="43">
        <v>660.3</v>
      </c>
      <c r="D57" s="5">
        <v>89.3</v>
      </c>
      <c r="E57" s="6">
        <f t="shared" si="0"/>
        <v>0.13524155686809028</v>
      </c>
      <c r="F57" s="454">
        <f t="shared" si="1"/>
        <v>0</v>
      </c>
      <c r="G57" s="450">
        <f t="shared" si="2"/>
        <v>84.6</v>
      </c>
      <c r="H57" s="23">
        <f t="shared" si="3"/>
        <v>0.12812358019082234</v>
      </c>
      <c r="I57" s="455">
        <v>4.7</v>
      </c>
      <c r="J57" s="460">
        <f t="shared" si="4"/>
        <v>7.1179766772679091E-3</v>
      </c>
      <c r="K57" s="6">
        <f t="shared" si="5"/>
        <v>5.2631578947368425E-2</v>
      </c>
      <c r="L57" s="136">
        <v>5.7</v>
      </c>
      <c r="M57" s="136">
        <f t="shared" si="8"/>
        <v>1</v>
      </c>
      <c r="N57" s="460">
        <f t="shared" si="6"/>
        <v>8.632439800090869E-3</v>
      </c>
      <c r="O57" s="460">
        <f t="shared" si="9"/>
        <v>1.5144631228229594E-3</v>
      </c>
      <c r="P57" s="449">
        <f t="shared" si="10"/>
        <v>1.1198208286674132E-2</v>
      </c>
      <c r="Q57" s="5">
        <f t="shared" si="7"/>
        <v>89.3</v>
      </c>
      <c r="R57" s="169">
        <f t="shared" si="11"/>
        <v>1</v>
      </c>
      <c r="S57" s="174"/>
      <c r="X57" s="169">
        <v>0.65700000000000003</v>
      </c>
      <c r="Z57" s="683">
        <f t="shared" si="17"/>
        <v>0.65700000000000003</v>
      </c>
      <c r="AA57" s="225">
        <f t="shared" si="18"/>
        <v>0.25700000000000001</v>
      </c>
      <c r="AB57" s="683">
        <v>0.4</v>
      </c>
      <c r="AC57" s="26">
        <v>0</v>
      </c>
      <c r="AK57" s="684">
        <v>0.7</v>
      </c>
      <c r="AL57" s="248">
        <f t="shared" si="19"/>
        <v>0.36714285714285716</v>
      </c>
      <c r="AM57" s="169">
        <v>0.65700000000000003</v>
      </c>
      <c r="BJ57" s="67"/>
      <c r="BQ57" s="24"/>
      <c r="BR57" s="184"/>
      <c r="BU57" s="69"/>
      <c r="BV57" s="90"/>
      <c r="CE57" s="184"/>
      <c r="CF57" s="184"/>
      <c r="CG57" s="184"/>
      <c r="CH57" s="184"/>
      <c r="CI57" s="184"/>
      <c r="CJ57" s="184"/>
      <c r="CK57" s="184"/>
      <c r="CL57" s="184"/>
      <c r="CM57" s="23"/>
      <c r="CN57" s="23"/>
      <c r="CO57" s="23"/>
      <c r="CP57" s="448"/>
      <c r="CQ57" s="448"/>
      <c r="CR57" s="23"/>
      <c r="CS57" s="748">
        <f t="shared" si="20"/>
        <v>0</v>
      </c>
      <c r="CT57" s="80"/>
      <c r="CU57" s="80"/>
      <c r="DF57" s="490"/>
      <c r="DG57" s="82"/>
      <c r="DH57" s="82"/>
      <c r="DI57" s="82"/>
      <c r="DJ57" s="82"/>
      <c r="DK57" s="82"/>
      <c r="DL57" s="82"/>
      <c r="DM57" s="82"/>
      <c r="DN57" s="82"/>
      <c r="DO57" s="245"/>
      <c r="DP57" s="169">
        <v>8.7970000000000006</v>
      </c>
      <c r="EF57" s="748">
        <f t="shared" si="13"/>
        <v>1.4082100723647819</v>
      </c>
      <c r="EP57" s="90"/>
      <c r="EQ57" s="80"/>
      <c r="ER57" s="80"/>
      <c r="ES57" s="80"/>
      <c r="ET57" s="80"/>
      <c r="EU57" s="80"/>
      <c r="EV57" s="80"/>
      <c r="EW57" s="80"/>
      <c r="EX57" s="80"/>
      <c r="EY57" s="80"/>
      <c r="EZ57" s="90"/>
      <c r="FA57" s="90"/>
      <c r="FB57" s="90"/>
      <c r="FC57" s="90"/>
      <c r="FD57" s="90"/>
      <c r="FE57" s="90"/>
      <c r="FF57" s="90"/>
      <c r="FO57" s="69"/>
      <c r="FP57" s="90"/>
      <c r="GJ57" s="423"/>
      <c r="GK57" s="80"/>
      <c r="GL57" s="79">
        <f t="shared" si="14"/>
        <v>1.4082100723647819</v>
      </c>
      <c r="GM57" s="80"/>
      <c r="GN57" s="80"/>
      <c r="GO57" s="80"/>
      <c r="GP57" s="80"/>
      <c r="GQ57" s="69"/>
      <c r="GS57" s="79">
        <f>FoF_RoW!$AZ27/1000</f>
        <v>8.532</v>
      </c>
      <c r="GT57" s="899">
        <f t="shared" si="15"/>
        <v>7.1237899276352179</v>
      </c>
      <c r="GV57" s="79">
        <f>FoF_RoW!$AE27/1000</f>
        <v>0.41399999999999998</v>
      </c>
      <c r="GW57" s="79">
        <f t="shared" si="16"/>
        <v>0.38499999999999979</v>
      </c>
      <c r="HD57" s="97"/>
      <c r="HV57" s="97"/>
      <c r="HW57" s="29"/>
      <c r="HX57" s="29"/>
      <c r="HY57" s="29"/>
      <c r="HZ57" s="451"/>
      <c r="IA57" s="451"/>
      <c r="IB57" s="451"/>
      <c r="IC57" s="451"/>
      <c r="ID57" s="451"/>
      <c r="IE57" s="451"/>
      <c r="IF57" s="451"/>
      <c r="IG57" s="451"/>
      <c r="IK57" s="841"/>
      <c r="IL57" s="90"/>
      <c r="IU57" s="80"/>
      <c r="IV57" s="80"/>
      <c r="IW57" s="80"/>
      <c r="IX57" s="80"/>
      <c r="IY57" s="80"/>
      <c r="IZ57" s="80"/>
      <c r="JK57" s="80"/>
      <c r="JL57" s="80"/>
      <c r="JM57" s="80"/>
    </row>
    <row r="58" spans="2:273">
      <c r="B58" s="451">
        <v>1966</v>
      </c>
      <c r="C58" s="43">
        <v>719.7</v>
      </c>
      <c r="D58" s="5">
        <v>96.1</v>
      </c>
      <c r="E58" s="6">
        <f t="shared" si="0"/>
        <v>0.13352785883006807</v>
      </c>
      <c r="F58" s="454">
        <f t="shared" si="1"/>
        <v>0</v>
      </c>
      <c r="G58" s="450">
        <f t="shared" si="2"/>
        <v>91.6</v>
      </c>
      <c r="H58" s="23">
        <f t="shared" si="3"/>
        <v>0.12727525357787967</v>
      </c>
      <c r="I58" s="455">
        <v>4.5</v>
      </c>
      <c r="J58" s="460">
        <f t="shared" si="4"/>
        <v>6.2526052521884113E-3</v>
      </c>
      <c r="K58" s="6">
        <f t="shared" si="5"/>
        <v>4.6826222684703434E-2</v>
      </c>
      <c r="L58" s="136">
        <v>5.6</v>
      </c>
      <c r="M58" s="136">
        <f t="shared" si="8"/>
        <v>1.0999999999999996</v>
      </c>
      <c r="N58" s="460">
        <f t="shared" si="6"/>
        <v>7.7810198693900228E-3</v>
      </c>
      <c r="O58" s="460">
        <f t="shared" si="9"/>
        <v>1.5284146172016113E-3</v>
      </c>
      <c r="P58" s="449">
        <f t="shared" si="10"/>
        <v>1.144640998959417E-2</v>
      </c>
      <c r="Q58" s="5">
        <f t="shared" si="7"/>
        <v>96.1</v>
      </c>
      <c r="R58" s="169">
        <f t="shared" si="11"/>
        <v>1.0999999999999996</v>
      </c>
      <c r="S58" s="174"/>
      <c r="X58" s="169">
        <v>0.71099999999999997</v>
      </c>
      <c r="Z58" s="683">
        <f t="shared" si="17"/>
        <v>0.71099999999999997</v>
      </c>
      <c r="AA58" s="225">
        <f t="shared" si="18"/>
        <v>0.41099999999999998</v>
      </c>
      <c r="AB58" s="683">
        <v>0.3</v>
      </c>
      <c r="AC58" s="26">
        <v>0</v>
      </c>
      <c r="AK58" s="684">
        <v>0.8</v>
      </c>
      <c r="AL58" s="248">
        <f t="shared" si="19"/>
        <v>0.51374999999999993</v>
      </c>
      <c r="AM58" s="182">
        <v>0.71099999999999997</v>
      </c>
      <c r="AN58" s="136"/>
      <c r="AO58" s="136"/>
      <c r="AP58" s="136"/>
      <c r="AQ58" s="136"/>
      <c r="AR58" s="136"/>
      <c r="AS58" s="136"/>
      <c r="AT58" s="136"/>
      <c r="AU58" s="136"/>
      <c r="AV58" s="156"/>
      <c r="AW58" s="156"/>
      <c r="AX58" s="6"/>
      <c r="AY58" s="6"/>
      <c r="AZ58" s="6"/>
      <c r="BA58" s="6"/>
      <c r="BB58" s="6"/>
      <c r="BC58" s="6"/>
      <c r="BD58" s="6"/>
      <c r="BE58" s="6"/>
      <c r="BF58" s="6"/>
      <c r="BG58" s="6"/>
      <c r="BH58" s="6"/>
      <c r="BI58" s="6"/>
      <c r="BJ58" s="67"/>
      <c r="BQ58" s="24"/>
      <c r="BR58" s="184"/>
      <c r="BU58" s="182">
        <f t="shared" ref="BU58:BU73" si="21">AM58-CS58</f>
        <v>0.71099999999999997</v>
      </c>
      <c r="BV58" s="185"/>
      <c r="BW58" s="153"/>
      <c r="BX58" s="153"/>
      <c r="BY58" s="153"/>
      <c r="BZ58" s="153"/>
      <c r="CA58" s="153"/>
      <c r="CB58" s="153"/>
      <c r="CC58" s="153"/>
      <c r="CD58" s="153"/>
      <c r="CE58" s="23"/>
      <c r="CF58" s="23"/>
      <c r="CG58" s="31"/>
      <c r="CH58" s="23"/>
      <c r="CI58" s="23"/>
      <c r="CJ58" s="23"/>
      <c r="CK58" s="184"/>
      <c r="CL58" s="184"/>
      <c r="CM58" s="6"/>
      <c r="CN58" s="23"/>
      <c r="CO58" s="23"/>
      <c r="CP58" s="448"/>
      <c r="CQ58" s="448"/>
      <c r="CR58" s="23"/>
      <c r="CS58" s="299">
        <f t="shared" si="20"/>
        <v>0</v>
      </c>
      <c r="CT58" s="319"/>
      <c r="CU58" s="319"/>
      <c r="CV58" s="451"/>
      <c r="CW58" s="451"/>
      <c r="CX58" s="451"/>
      <c r="CY58" s="451"/>
      <c r="CZ58" s="451"/>
      <c r="DA58" s="451"/>
      <c r="DB58" s="451"/>
      <c r="DC58" s="450"/>
      <c r="DD58" s="464"/>
      <c r="DE58" s="464"/>
      <c r="DF58" s="493"/>
      <c r="DG58" s="83"/>
      <c r="DH58" s="83"/>
      <c r="DI58" s="83"/>
      <c r="DJ58" s="83"/>
      <c r="DK58" s="163"/>
      <c r="DL58" s="83"/>
      <c r="DM58" s="86"/>
      <c r="DN58" s="83"/>
      <c r="DO58" s="245"/>
      <c r="DP58" s="5">
        <v>9.6539999999999999</v>
      </c>
      <c r="DQ58" s="76"/>
      <c r="DR58" s="76"/>
      <c r="DS58" s="333"/>
      <c r="DT58" s="333"/>
      <c r="DU58" s="333"/>
      <c r="DV58" s="76"/>
      <c r="DW58" s="330"/>
      <c r="DX58" s="330"/>
      <c r="DY58" s="23"/>
      <c r="DZ58" s="23"/>
      <c r="EA58" s="23"/>
      <c r="EB58" s="23"/>
      <c r="EC58" s="23"/>
      <c r="ED58" s="23"/>
      <c r="EE58" s="23"/>
      <c r="EF58" s="1021">
        <f t="shared" si="13"/>
        <v>1.4767059912620373</v>
      </c>
      <c r="EG58" s="477"/>
      <c r="EH58" s="477"/>
      <c r="EI58" s="477"/>
      <c r="EJ58" s="83"/>
      <c r="EK58" s="83"/>
      <c r="EL58" s="83"/>
      <c r="EM58" s="84"/>
      <c r="EN58" s="84"/>
      <c r="EO58" s="84"/>
      <c r="EP58" s="162"/>
      <c r="EQ58" s="153"/>
      <c r="ER58" s="153"/>
      <c r="ES58" s="153"/>
      <c r="ET58" s="153"/>
      <c r="EU58" s="153"/>
      <c r="EV58" s="153"/>
      <c r="EW58" s="153"/>
      <c r="EX58" s="153"/>
      <c r="EY58" s="153"/>
      <c r="EZ58" s="162"/>
      <c r="FA58" s="162"/>
      <c r="FB58" s="162"/>
      <c r="FC58" s="162"/>
      <c r="FD58" s="162"/>
      <c r="FE58" s="162"/>
      <c r="FF58" s="162"/>
      <c r="FG58" s="23"/>
      <c r="FH58" s="23"/>
      <c r="FI58" s="23"/>
      <c r="FJ58" s="23"/>
      <c r="FK58" s="387"/>
      <c r="FL58" s="387"/>
      <c r="FM58" s="23"/>
      <c r="FN58" s="23"/>
      <c r="FO58" s="169"/>
      <c r="FP58" s="174"/>
      <c r="FQ58" s="159"/>
      <c r="FR58" s="159"/>
      <c r="FS58" s="159"/>
      <c r="FT58" s="159"/>
      <c r="FU58" s="159"/>
      <c r="FV58" s="159"/>
      <c r="FW58" s="159"/>
      <c r="FX58" s="159"/>
      <c r="FY58" s="159"/>
      <c r="FZ58" s="448"/>
      <c r="GA58" s="23"/>
      <c r="GB58" s="23"/>
      <c r="GC58" s="23"/>
      <c r="GD58" s="23"/>
      <c r="GE58" s="23"/>
      <c r="GF58" s="23"/>
      <c r="GG58" s="23"/>
      <c r="GH58" s="23"/>
      <c r="GI58" s="23"/>
      <c r="GJ58" s="295"/>
      <c r="GK58" s="153"/>
      <c r="GL58" s="153">
        <f t="shared" si="14"/>
        <v>1.4767059912620373</v>
      </c>
      <c r="GM58" s="153"/>
      <c r="GN58" s="153"/>
      <c r="GO58" s="153"/>
      <c r="GP58" s="153"/>
      <c r="GQ58" s="295"/>
      <c r="GR58" s="153"/>
      <c r="GS58" s="153">
        <f>FoF_RoW!$AZ28/1000</f>
        <v>8.9469999999999992</v>
      </c>
      <c r="GT58" s="324">
        <f t="shared" si="15"/>
        <v>7.4702940087379623</v>
      </c>
      <c r="GU58" s="34"/>
      <c r="GV58" s="157">
        <f>FoF_RoW!$AE28/1000</f>
        <v>0.42599999999999999</v>
      </c>
      <c r="GW58" s="157">
        <f t="shared" si="16"/>
        <v>0.41499999999999915</v>
      </c>
      <c r="GX58" s="153">
        <v>7.5409337094204902</v>
      </c>
      <c r="GY58" s="153"/>
      <c r="GZ58" s="153"/>
      <c r="HA58" s="153">
        <f t="shared" ref="HA58:HA89" si="22">EF58</f>
        <v>1.4767059912620373</v>
      </c>
      <c r="HB58" s="153"/>
      <c r="HC58" s="153"/>
      <c r="HD58" s="97"/>
      <c r="HE58" s="23"/>
      <c r="HF58" s="23"/>
      <c r="HV58" s="97"/>
      <c r="HW58" s="29"/>
      <c r="HX58" s="29"/>
      <c r="HY58" s="29"/>
      <c r="HZ58" s="451"/>
      <c r="IA58" s="451"/>
      <c r="IB58" s="451"/>
      <c r="IC58" s="451"/>
      <c r="ID58" s="451"/>
      <c r="IE58" s="451"/>
      <c r="IF58" s="451"/>
      <c r="IG58" s="451"/>
      <c r="IK58" s="841"/>
      <c r="IL58" s="90"/>
      <c r="IU58" s="319"/>
      <c r="IV58" s="319"/>
      <c r="IW58" s="319"/>
      <c r="IX58" s="319"/>
      <c r="IY58" s="319"/>
      <c r="IZ58" s="319"/>
      <c r="JK58" s="319"/>
      <c r="JL58" s="319"/>
      <c r="JM58" s="319"/>
    </row>
    <row r="59" spans="2:273">
      <c r="B59" s="451">
        <v>1967</v>
      </c>
      <c r="C59" s="43">
        <v>760.2</v>
      </c>
      <c r="D59" s="5">
        <v>93.9</v>
      </c>
      <c r="E59" s="6">
        <f t="shared" si="0"/>
        <v>0.12352012628255722</v>
      </c>
      <c r="F59" s="454">
        <f t="shared" si="1"/>
        <v>0</v>
      </c>
      <c r="G59" s="450">
        <f t="shared" si="2"/>
        <v>89.100000000000009</v>
      </c>
      <c r="H59" s="23">
        <f t="shared" si="3"/>
        <v>0.11720599842146803</v>
      </c>
      <c r="I59" s="455">
        <v>4.8</v>
      </c>
      <c r="J59" s="460">
        <f t="shared" si="4"/>
        <v>6.3141278610891862E-3</v>
      </c>
      <c r="K59" s="6">
        <f t="shared" si="5"/>
        <v>5.1118210862619806E-2</v>
      </c>
      <c r="L59" s="136">
        <v>5.9</v>
      </c>
      <c r="M59" s="136">
        <f t="shared" si="8"/>
        <v>1.1000000000000005</v>
      </c>
      <c r="N59" s="460">
        <f t="shared" si="6"/>
        <v>7.7611154959221261E-3</v>
      </c>
      <c r="O59" s="460">
        <f t="shared" si="9"/>
        <v>1.4469876348329393E-3</v>
      </c>
      <c r="P59" s="449">
        <f t="shared" si="10"/>
        <v>1.1714589989350377E-2</v>
      </c>
      <c r="Q59" s="5">
        <f t="shared" si="7"/>
        <v>93.9</v>
      </c>
      <c r="R59" s="169">
        <f t="shared" si="11"/>
        <v>1.1000000000000005</v>
      </c>
      <c r="S59" s="174"/>
      <c r="X59" s="169">
        <v>0.82099999999999995</v>
      </c>
      <c r="Z59" s="683">
        <f t="shared" si="17"/>
        <v>0.82099999999999995</v>
      </c>
      <c r="AA59" s="225">
        <f t="shared" si="18"/>
        <v>0.42099999999999993</v>
      </c>
      <c r="AB59" s="683">
        <v>0.4</v>
      </c>
      <c r="AC59" s="26">
        <v>0</v>
      </c>
      <c r="AK59" s="684">
        <v>0.8</v>
      </c>
      <c r="AL59" s="248">
        <f t="shared" si="19"/>
        <v>0.52624999999999988</v>
      </c>
      <c r="AM59" s="182">
        <v>0.82099999999999995</v>
      </c>
      <c r="AN59" s="136"/>
      <c r="AO59" s="136"/>
      <c r="AP59" s="136"/>
      <c r="AQ59" s="136"/>
      <c r="AR59" s="136"/>
      <c r="AS59" s="136"/>
      <c r="AT59" s="450"/>
      <c r="AU59" s="136"/>
      <c r="AV59" s="156"/>
      <c r="AW59" s="156"/>
      <c r="AX59" s="6"/>
      <c r="AY59" s="6"/>
      <c r="AZ59" s="6"/>
      <c r="BA59" s="6"/>
      <c r="BB59" s="6"/>
      <c r="BC59" s="6"/>
      <c r="BD59" s="6"/>
      <c r="BE59" s="6"/>
      <c r="BF59" s="6"/>
      <c r="BG59" s="6"/>
      <c r="BH59" s="6"/>
      <c r="BI59" s="6"/>
      <c r="BJ59" s="67"/>
      <c r="BQ59" s="24"/>
      <c r="BR59" s="184"/>
      <c r="BU59" s="182">
        <f t="shared" si="21"/>
        <v>0.82099999999999995</v>
      </c>
      <c r="BV59" s="185"/>
      <c r="BW59" s="153"/>
      <c r="BX59" s="153"/>
      <c r="BY59" s="153"/>
      <c r="BZ59" s="153"/>
      <c r="CA59" s="153"/>
      <c r="CB59" s="153"/>
      <c r="CC59" s="153"/>
      <c r="CD59" s="153"/>
      <c r="CE59" s="23"/>
      <c r="CF59" s="23"/>
      <c r="CG59" s="31"/>
      <c r="CH59" s="23"/>
      <c r="CI59" s="23"/>
      <c r="CJ59" s="23"/>
      <c r="CK59" s="23"/>
      <c r="CL59" s="23"/>
      <c r="CM59" s="6"/>
      <c r="CN59" s="23"/>
      <c r="CO59" s="23"/>
      <c r="CP59" s="448"/>
      <c r="CQ59" s="448"/>
      <c r="CR59" s="23"/>
      <c r="CS59" s="299">
        <f t="shared" si="20"/>
        <v>0</v>
      </c>
      <c r="CT59" s="319"/>
      <c r="CU59" s="319"/>
      <c r="CV59" s="451"/>
      <c r="CW59" s="451"/>
      <c r="CX59" s="451"/>
      <c r="CY59" s="451"/>
      <c r="CZ59" s="451"/>
      <c r="DA59" s="451"/>
      <c r="DB59" s="451"/>
      <c r="DC59" s="450"/>
      <c r="DD59" s="464"/>
      <c r="DE59" s="464"/>
      <c r="DF59" s="493"/>
      <c r="DG59" s="83"/>
      <c r="DH59" s="83"/>
      <c r="DI59" s="83"/>
      <c r="DJ59" s="83"/>
      <c r="DK59" s="163"/>
      <c r="DL59" s="83"/>
      <c r="DM59" s="86"/>
      <c r="DN59" s="88"/>
      <c r="DO59" s="494"/>
      <c r="DP59" s="5">
        <v>9.923</v>
      </c>
      <c r="DQ59" s="76"/>
      <c r="DR59" s="76"/>
      <c r="DS59" s="333"/>
      <c r="DT59" s="333"/>
      <c r="DU59" s="333"/>
      <c r="DV59" s="76"/>
      <c r="DW59" s="330"/>
      <c r="DX59" s="330"/>
      <c r="DY59" s="23"/>
      <c r="DZ59" s="23"/>
      <c r="EA59" s="23"/>
      <c r="EB59" s="23"/>
      <c r="EC59" s="23"/>
      <c r="ED59" s="23"/>
      <c r="EE59" s="23"/>
      <c r="EF59" s="1021">
        <f t="shared" si="13"/>
        <v>1.6023093509748361</v>
      </c>
      <c r="EG59" s="477"/>
      <c r="EH59" s="477"/>
      <c r="EI59" s="477"/>
      <c r="EJ59" s="477"/>
      <c r="EK59" s="477"/>
      <c r="EL59" s="477"/>
      <c r="EM59" s="84"/>
      <c r="EN59" s="84"/>
      <c r="EO59" s="84"/>
      <c r="EP59" s="162"/>
      <c r="EQ59" s="153"/>
      <c r="ER59" s="153"/>
      <c r="ES59" s="153"/>
      <c r="ET59" s="153"/>
      <c r="EU59" s="153"/>
      <c r="EV59" s="153"/>
      <c r="EW59" s="153"/>
      <c r="EX59" s="153"/>
      <c r="EY59" s="153"/>
      <c r="EZ59" s="162"/>
      <c r="FA59" s="162"/>
      <c r="FB59" s="162"/>
      <c r="FC59" s="162"/>
      <c r="FD59" s="162"/>
      <c r="FE59" s="162"/>
      <c r="FF59" s="162"/>
      <c r="FG59" s="23"/>
      <c r="FH59" s="23"/>
      <c r="FI59" s="23"/>
      <c r="FJ59" s="23"/>
      <c r="FK59" s="387"/>
      <c r="FL59" s="387"/>
      <c r="FM59" s="23"/>
      <c r="FN59" s="23"/>
      <c r="FO59" s="169"/>
      <c r="FP59" s="174"/>
      <c r="FQ59" s="159"/>
      <c r="FR59" s="159"/>
      <c r="FS59" s="159"/>
      <c r="FT59" s="159"/>
      <c r="FU59" s="159"/>
      <c r="FV59" s="159"/>
      <c r="FW59" s="159"/>
      <c r="FX59" s="159"/>
      <c r="FY59" s="159"/>
      <c r="FZ59" s="448"/>
      <c r="GA59" s="23"/>
      <c r="GB59" s="23"/>
      <c r="GC59" s="23"/>
      <c r="GD59" s="23"/>
      <c r="GE59" s="23"/>
      <c r="GF59" s="23"/>
      <c r="GG59" s="23"/>
      <c r="GH59" s="23"/>
      <c r="GI59" s="23"/>
      <c r="GJ59" s="295"/>
      <c r="GK59" s="153"/>
      <c r="GL59" s="153">
        <f t="shared" si="14"/>
        <v>1.6023093509748361</v>
      </c>
      <c r="GM59" s="153"/>
      <c r="GN59" s="153"/>
      <c r="GO59" s="153"/>
      <c r="GP59" s="153"/>
      <c r="GQ59" s="295"/>
      <c r="GR59" s="153"/>
      <c r="GS59" s="153">
        <f>FoF_RoW!$AZ29/1000</f>
        <v>9.7080000000000002</v>
      </c>
      <c r="GT59" s="324">
        <f t="shared" si="15"/>
        <v>8.1056906490251635</v>
      </c>
      <c r="GU59" s="34"/>
      <c r="GV59" s="157">
        <f>FoF_RoW!$AE29/1000</f>
        <v>0.69799999999999995</v>
      </c>
      <c r="GW59" s="157">
        <f t="shared" si="16"/>
        <v>0.76100000000000101</v>
      </c>
      <c r="GX59" s="153">
        <v>9.7229522461321629</v>
      </c>
      <c r="GY59" s="153"/>
      <c r="GZ59" s="153"/>
      <c r="HA59" s="153">
        <f t="shared" si="22"/>
        <v>1.6023093509748361</v>
      </c>
      <c r="HB59" s="153"/>
      <c r="HC59" s="153"/>
      <c r="HD59" s="97"/>
      <c r="HE59" s="23"/>
      <c r="HF59" s="23"/>
      <c r="HV59" s="97"/>
      <c r="HW59" s="29"/>
      <c r="HX59" s="29"/>
      <c r="HY59" s="29"/>
      <c r="HZ59" s="451"/>
      <c r="IA59" s="451"/>
      <c r="IB59" s="451"/>
      <c r="IC59" s="451"/>
      <c r="ID59" s="451"/>
      <c r="IE59" s="451"/>
      <c r="IF59" s="451"/>
      <c r="IG59" s="451"/>
      <c r="IK59" s="841"/>
      <c r="IL59" s="90"/>
      <c r="IU59" s="319"/>
      <c r="IV59" s="319"/>
      <c r="IW59" s="319"/>
      <c r="IX59" s="319"/>
      <c r="IY59" s="319"/>
      <c r="IZ59" s="319"/>
      <c r="JK59" s="319"/>
      <c r="JL59" s="319"/>
      <c r="JM59" s="319"/>
    </row>
    <row r="60" spans="2:273">
      <c r="B60" s="451">
        <v>1968</v>
      </c>
      <c r="C60" s="43">
        <v>832.1</v>
      </c>
      <c r="D60" s="5">
        <v>101.7</v>
      </c>
      <c r="E60" s="6">
        <f t="shared" si="0"/>
        <v>0.12222088691263069</v>
      </c>
      <c r="F60" s="454">
        <f t="shared" si="1"/>
        <v>0</v>
      </c>
      <c r="G60" s="450">
        <f t="shared" si="2"/>
        <v>96.100000000000009</v>
      </c>
      <c r="H60" s="23">
        <f t="shared" si="3"/>
        <v>0.11549092657132556</v>
      </c>
      <c r="I60" s="455">
        <v>5.6</v>
      </c>
      <c r="J60" s="460">
        <f t="shared" si="4"/>
        <v>6.729960341305131E-3</v>
      </c>
      <c r="K60" s="6">
        <f t="shared" si="5"/>
        <v>5.5063913470993112E-2</v>
      </c>
      <c r="L60" s="136">
        <v>7</v>
      </c>
      <c r="M60" s="136">
        <f t="shared" si="8"/>
        <v>1.4000000000000004</v>
      </c>
      <c r="N60" s="460">
        <f t="shared" si="6"/>
        <v>8.4124504266314144E-3</v>
      </c>
      <c r="O60" s="460">
        <f t="shared" si="9"/>
        <v>1.6824900853262832E-3</v>
      </c>
      <c r="P60" s="449">
        <f t="shared" si="10"/>
        <v>1.3765978367748283E-2</v>
      </c>
      <c r="Q60" s="5">
        <f t="shared" si="7"/>
        <v>101.7</v>
      </c>
      <c r="R60" s="169">
        <f t="shared" si="11"/>
        <v>1.4000000000000004</v>
      </c>
      <c r="S60" s="174"/>
      <c r="X60" s="169">
        <v>0.876</v>
      </c>
      <c r="Z60" s="683">
        <f t="shared" si="17"/>
        <v>0.876</v>
      </c>
      <c r="AA60" s="225">
        <f t="shared" si="18"/>
        <v>0.376</v>
      </c>
      <c r="AB60" s="683">
        <v>0.5</v>
      </c>
      <c r="AC60" s="26">
        <v>0</v>
      </c>
      <c r="AK60" s="684">
        <v>0.9</v>
      </c>
      <c r="AL60" s="248">
        <f t="shared" si="19"/>
        <v>0.41777777777777775</v>
      </c>
      <c r="AM60" s="182">
        <v>0.876</v>
      </c>
      <c r="AN60" s="136"/>
      <c r="AO60" s="136"/>
      <c r="AP60" s="136"/>
      <c r="AQ60" s="136"/>
      <c r="AR60" s="136"/>
      <c r="AS60" s="136"/>
      <c r="AT60" s="136"/>
      <c r="AU60" s="136"/>
      <c r="AV60" s="156"/>
      <c r="AW60" s="156"/>
      <c r="AX60" s="6"/>
      <c r="AY60" s="6"/>
      <c r="AZ60" s="6"/>
      <c r="BA60" s="6"/>
      <c r="BB60" s="6"/>
      <c r="BC60" s="6"/>
      <c r="BD60" s="6"/>
      <c r="BE60" s="6"/>
      <c r="BF60" s="6"/>
      <c r="BG60" s="6"/>
      <c r="BH60" s="6"/>
      <c r="BI60" s="6"/>
      <c r="BJ60" s="67"/>
      <c r="BQ60" s="24"/>
      <c r="BR60" s="184"/>
      <c r="BU60" s="182">
        <f t="shared" si="21"/>
        <v>0.876</v>
      </c>
      <c r="BV60" s="185"/>
      <c r="BW60" s="153"/>
      <c r="BX60" s="153"/>
      <c r="BY60" s="153"/>
      <c r="BZ60" s="153"/>
      <c r="CA60" s="153"/>
      <c r="CB60" s="153"/>
      <c r="CC60" s="153"/>
      <c r="CD60" s="153"/>
      <c r="CE60" s="23"/>
      <c r="CF60" s="23"/>
      <c r="CG60" s="31"/>
      <c r="CH60" s="23"/>
      <c r="CI60" s="23"/>
      <c r="CJ60" s="23"/>
      <c r="CK60" s="23"/>
      <c r="CL60" s="23"/>
      <c r="CM60" s="6"/>
      <c r="CN60" s="23"/>
      <c r="CO60" s="23"/>
      <c r="CP60" s="448"/>
      <c r="CQ60" s="448"/>
      <c r="CR60" s="23"/>
      <c r="CS60" s="299">
        <f t="shared" si="20"/>
        <v>0</v>
      </c>
      <c r="CT60" s="319"/>
      <c r="CU60" s="319"/>
      <c r="CV60" s="451"/>
      <c r="CW60" s="451"/>
      <c r="CX60" s="451"/>
      <c r="CY60" s="451"/>
      <c r="CZ60" s="451"/>
      <c r="DA60" s="451"/>
      <c r="DB60" s="451"/>
      <c r="DC60" s="450"/>
      <c r="DD60" s="464"/>
      <c r="DE60" s="464"/>
      <c r="DF60" s="493"/>
      <c r="DG60" s="83"/>
      <c r="DH60" s="83"/>
      <c r="DI60" s="83"/>
      <c r="DJ60" s="83"/>
      <c r="DK60" s="163"/>
      <c r="DL60" s="83"/>
      <c r="DM60" s="86"/>
      <c r="DN60" s="88"/>
      <c r="DO60" s="494"/>
      <c r="DP60" s="5">
        <v>10.815</v>
      </c>
      <c r="DQ60" s="76"/>
      <c r="DR60" s="76"/>
      <c r="DS60" s="333"/>
      <c r="DT60" s="333"/>
      <c r="DU60" s="333"/>
      <c r="DV60" s="76"/>
      <c r="DW60" s="330"/>
      <c r="DX60" s="330"/>
      <c r="DY60" s="23"/>
      <c r="DZ60" s="23"/>
      <c r="EA60" s="23"/>
      <c r="EB60" s="23"/>
      <c r="EC60" s="23"/>
      <c r="ED60" s="23"/>
      <c r="EE60" s="23"/>
      <c r="EF60" s="1021">
        <f t="shared" si="13"/>
        <v>1.7277476602806532</v>
      </c>
      <c r="EG60" s="477"/>
      <c r="EH60" s="477"/>
      <c r="EI60" s="477"/>
      <c r="EJ60" s="477"/>
      <c r="EK60" s="84"/>
      <c r="EL60" s="83"/>
      <c r="EM60" s="84"/>
      <c r="EN60" s="84"/>
      <c r="EO60" s="84"/>
      <c r="EP60" s="162"/>
      <c r="EQ60" s="153"/>
      <c r="ER60" s="153"/>
      <c r="ES60" s="153"/>
      <c r="ET60" s="153"/>
      <c r="EU60" s="153"/>
      <c r="EV60" s="153"/>
      <c r="EW60" s="153"/>
      <c r="EX60" s="153"/>
      <c r="EY60" s="153"/>
      <c r="EZ60" s="162"/>
      <c r="FA60" s="162"/>
      <c r="FB60" s="162"/>
      <c r="FC60" s="162"/>
      <c r="FD60" s="162"/>
      <c r="FE60" s="162"/>
      <c r="FF60" s="162"/>
      <c r="FG60" s="23"/>
      <c r="FH60" s="23"/>
      <c r="FI60" s="23"/>
      <c r="FJ60" s="23"/>
      <c r="FK60" s="387"/>
      <c r="FL60" s="387"/>
      <c r="FM60" s="23"/>
      <c r="FN60" s="23"/>
      <c r="FO60" s="169"/>
      <c r="FP60" s="174"/>
      <c r="FQ60" s="159"/>
      <c r="FR60" s="159"/>
      <c r="FS60" s="159"/>
      <c r="FT60" s="159"/>
      <c r="FU60" s="159"/>
      <c r="FV60" s="159"/>
      <c r="FW60" s="159"/>
      <c r="FX60" s="159"/>
      <c r="FY60" s="159"/>
      <c r="FZ60" s="448"/>
      <c r="GA60" s="23"/>
      <c r="GB60" s="23"/>
      <c r="GC60" s="23"/>
      <c r="GD60" s="23"/>
      <c r="GE60" s="23"/>
      <c r="GF60" s="23"/>
      <c r="GG60" s="23"/>
      <c r="GH60" s="23"/>
      <c r="GI60" s="23"/>
      <c r="GJ60" s="295"/>
      <c r="GK60" s="153"/>
      <c r="GL60" s="153">
        <f t="shared" si="14"/>
        <v>1.7277476602806532</v>
      </c>
      <c r="GM60" s="153"/>
      <c r="GN60" s="153"/>
      <c r="GO60" s="153"/>
      <c r="GP60" s="153"/>
      <c r="GQ60" s="295"/>
      <c r="GR60" s="153"/>
      <c r="GS60" s="153">
        <f>FoF_RoW!$AZ30/1000</f>
        <v>10.468</v>
      </c>
      <c r="GT60" s="324">
        <f t="shared" si="15"/>
        <v>8.7402523397193477</v>
      </c>
      <c r="GU60" s="34"/>
      <c r="GV60" s="157">
        <f>FoF_RoW!$AE30/1000</f>
        <v>0.80800000000000005</v>
      </c>
      <c r="GW60" s="157">
        <f t="shared" si="16"/>
        <v>0.75999999999999979</v>
      </c>
      <c r="GX60" s="153">
        <v>11.588595790180641</v>
      </c>
      <c r="GY60" s="153"/>
      <c r="GZ60" s="153"/>
      <c r="HA60" s="153">
        <f t="shared" si="22"/>
        <v>1.7277476602806532</v>
      </c>
      <c r="HB60" s="153"/>
      <c r="HC60" s="153"/>
      <c r="HD60" s="97"/>
      <c r="HE60" s="23"/>
      <c r="HF60" s="23"/>
      <c r="HV60" s="97"/>
      <c r="HW60" s="29"/>
      <c r="HX60" s="29"/>
      <c r="HY60" s="29"/>
      <c r="HZ60" s="451"/>
      <c r="IA60" s="451"/>
      <c r="IB60" s="451"/>
      <c r="IC60" s="451"/>
      <c r="ID60" s="451"/>
      <c r="IE60" s="451"/>
      <c r="IF60" s="451"/>
      <c r="IG60" s="451"/>
      <c r="IK60" s="841"/>
      <c r="IL60" s="90"/>
      <c r="IU60" s="319"/>
      <c r="IV60" s="319"/>
      <c r="IW60" s="319"/>
      <c r="IX60" s="319"/>
      <c r="IY60" s="319"/>
      <c r="IZ60" s="319"/>
      <c r="JK60" s="319"/>
      <c r="JL60" s="319"/>
      <c r="JM60" s="319"/>
    </row>
    <row r="61" spans="2:273">
      <c r="B61" s="451">
        <v>1969</v>
      </c>
      <c r="C61" s="43">
        <v>899.5</v>
      </c>
      <c r="D61" s="5">
        <v>98.4</v>
      </c>
      <c r="E61" s="6">
        <f t="shared" si="0"/>
        <v>0.1093941078376876</v>
      </c>
      <c r="F61" s="454">
        <f t="shared" si="1"/>
        <v>0</v>
      </c>
      <c r="G61" s="450">
        <f t="shared" si="2"/>
        <v>91.800000000000011</v>
      </c>
      <c r="H61" s="23">
        <f t="shared" si="3"/>
        <v>0.10205669816564759</v>
      </c>
      <c r="I61" s="455">
        <v>6.6</v>
      </c>
      <c r="J61" s="460">
        <f t="shared" si="4"/>
        <v>7.3374096720400222E-3</v>
      </c>
      <c r="K61" s="6">
        <f t="shared" si="5"/>
        <v>6.7073170731707307E-2</v>
      </c>
      <c r="L61" s="136">
        <v>8</v>
      </c>
      <c r="M61" s="136">
        <f t="shared" si="8"/>
        <v>1.4000000000000004</v>
      </c>
      <c r="N61" s="460">
        <f t="shared" si="6"/>
        <v>8.8938299055030569E-3</v>
      </c>
      <c r="O61" s="460">
        <f t="shared" si="9"/>
        <v>1.5564202334630353E-3</v>
      </c>
      <c r="P61" s="449">
        <f t="shared" si="10"/>
        <v>1.4227642276422767E-2</v>
      </c>
      <c r="Q61" s="5">
        <f t="shared" si="7"/>
        <v>98.4</v>
      </c>
      <c r="R61" s="169">
        <f t="shared" si="11"/>
        <v>1.4000000000000004</v>
      </c>
      <c r="S61" s="174"/>
      <c r="X61" s="169">
        <v>0.84799999999999998</v>
      </c>
      <c r="Z61" s="683">
        <f t="shared" si="17"/>
        <v>0.84799999999999998</v>
      </c>
      <c r="AA61" s="225">
        <f t="shared" si="18"/>
        <v>0.44799999999999995</v>
      </c>
      <c r="AB61" s="683">
        <v>0.4</v>
      </c>
      <c r="AC61" s="26">
        <v>0</v>
      </c>
      <c r="AK61" s="689">
        <v>1</v>
      </c>
      <c r="AL61" s="746">
        <f t="shared" si="19"/>
        <v>0.44799999999999995</v>
      </c>
      <c r="AM61" s="183">
        <v>0.84799999999999998</v>
      </c>
      <c r="AN61" s="134"/>
      <c r="AO61" s="134"/>
      <c r="AP61" s="134"/>
      <c r="AQ61" s="134"/>
      <c r="AR61" s="134"/>
      <c r="AS61" s="134"/>
      <c r="AT61" s="134"/>
      <c r="AU61" s="134"/>
      <c r="AV61" s="154"/>
      <c r="AW61" s="154"/>
      <c r="AX61" s="105"/>
      <c r="AY61" s="105"/>
      <c r="AZ61" s="105"/>
      <c r="BA61" s="105"/>
      <c r="BB61" s="105"/>
      <c r="BC61" s="105"/>
      <c r="BD61" s="105"/>
      <c r="BE61" s="105"/>
      <c r="BF61" s="105"/>
      <c r="BG61" s="6"/>
      <c r="BH61" s="6"/>
      <c r="BI61" s="6"/>
      <c r="BJ61" s="67"/>
      <c r="BQ61" s="24"/>
      <c r="BR61" s="184"/>
      <c r="BU61" s="182">
        <f t="shared" si="21"/>
        <v>0.84799999999999998</v>
      </c>
      <c r="BV61" s="185"/>
      <c r="BW61" s="153"/>
      <c r="BX61" s="153"/>
      <c r="BY61" s="153"/>
      <c r="BZ61" s="153"/>
      <c r="CA61" s="153"/>
      <c r="CB61" s="153"/>
      <c r="CC61" s="153"/>
      <c r="CD61" s="153"/>
      <c r="CE61" s="23"/>
      <c r="CF61" s="23"/>
      <c r="CG61" s="31"/>
      <c r="CH61" s="23"/>
      <c r="CI61" s="23"/>
      <c r="CJ61" s="23"/>
      <c r="CK61" s="23"/>
      <c r="CL61" s="23"/>
      <c r="CM61" s="105"/>
      <c r="CN61" s="23"/>
      <c r="CO61" s="23"/>
      <c r="CP61" s="448"/>
      <c r="CQ61" s="448"/>
      <c r="CR61" s="23"/>
      <c r="CS61" s="299">
        <f t="shared" si="20"/>
        <v>0</v>
      </c>
      <c r="CT61" s="319"/>
      <c r="CU61" s="319"/>
      <c r="CV61" s="451"/>
      <c r="CW61" s="451"/>
      <c r="CX61" s="451"/>
      <c r="CY61" s="451"/>
      <c r="CZ61" s="451"/>
      <c r="DA61" s="451"/>
      <c r="DB61" s="451"/>
      <c r="DC61" s="450"/>
      <c r="DD61" s="464"/>
      <c r="DE61" s="464"/>
      <c r="DF61" s="493"/>
      <c r="DG61" s="83"/>
      <c r="DH61" s="83"/>
      <c r="DI61" s="83"/>
      <c r="DJ61" s="83"/>
      <c r="DK61" s="163"/>
      <c r="DL61" s="83"/>
      <c r="DM61" s="86"/>
      <c r="DN61" s="88"/>
      <c r="DO61" s="494"/>
      <c r="DP61" s="5">
        <v>11.818</v>
      </c>
      <c r="DQ61" s="76"/>
      <c r="DR61" s="76"/>
      <c r="DS61" s="333"/>
      <c r="DT61" s="333"/>
      <c r="DU61" s="333"/>
      <c r="DV61" s="76"/>
      <c r="DW61" s="330"/>
      <c r="DX61" s="330"/>
      <c r="DY61" s="23"/>
      <c r="DZ61" s="23"/>
      <c r="EA61" s="23"/>
      <c r="EB61" s="23"/>
      <c r="EC61" s="23"/>
      <c r="ED61" s="23"/>
      <c r="EE61" s="23"/>
      <c r="EF61" s="1021">
        <f t="shared" si="13"/>
        <v>1.9284489551699608</v>
      </c>
      <c r="EG61" s="477"/>
      <c r="EH61" s="477"/>
      <c r="EI61" s="477"/>
      <c r="EJ61" s="477"/>
      <c r="EK61" s="84"/>
      <c r="EL61" s="83"/>
      <c r="EM61" s="84"/>
      <c r="EN61" s="84"/>
      <c r="EO61" s="84"/>
      <c r="EP61" s="160"/>
      <c r="EQ61" s="153"/>
      <c r="ER61" s="153"/>
      <c r="ES61" s="153"/>
      <c r="ET61" s="153"/>
      <c r="EU61" s="153"/>
      <c r="EV61" s="153"/>
      <c r="EW61" s="153"/>
      <c r="EX61" s="153"/>
      <c r="EY61" s="153"/>
      <c r="EZ61" s="162"/>
      <c r="FA61" s="162"/>
      <c r="FB61" s="162"/>
      <c r="FC61" s="162"/>
      <c r="FD61" s="162"/>
      <c r="FE61" s="162"/>
      <c r="FF61" s="162"/>
      <c r="FG61" s="23"/>
      <c r="FH61" s="23"/>
      <c r="FI61" s="23"/>
      <c r="FJ61" s="23"/>
      <c r="FK61" s="387"/>
      <c r="FL61" s="387"/>
      <c r="FM61" s="23"/>
      <c r="FN61" s="23"/>
      <c r="FO61" s="169"/>
      <c r="FP61" s="174"/>
      <c r="FQ61" s="159"/>
      <c r="FR61" s="159"/>
      <c r="FS61" s="159"/>
      <c r="FT61" s="159"/>
      <c r="FU61" s="159"/>
      <c r="FV61" s="159"/>
      <c r="FW61" s="159"/>
      <c r="FX61" s="159"/>
      <c r="FY61" s="159"/>
      <c r="FZ61" s="448"/>
      <c r="GA61" s="23"/>
      <c r="GB61" s="23"/>
      <c r="GC61" s="23"/>
      <c r="GD61" s="23"/>
      <c r="GE61" s="23"/>
      <c r="GF61" s="23"/>
      <c r="GG61" s="23"/>
      <c r="GH61" s="23"/>
      <c r="GI61" s="23"/>
      <c r="GJ61" s="295"/>
      <c r="GK61" s="153"/>
      <c r="GL61" s="153">
        <f t="shared" si="14"/>
        <v>1.9284489551699608</v>
      </c>
      <c r="GM61" s="153"/>
      <c r="GN61" s="153"/>
      <c r="GO61" s="153"/>
      <c r="GP61" s="153"/>
      <c r="GQ61" s="295"/>
      <c r="GR61" s="153"/>
      <c r="GS61" s="153">
        <f>FoF_RoW!$AZ31/1000</f>
        <v>11.683999999999999</v>
      </c>
      <c r="GT61" s="324">
        <f t="shared" si="15"/>
        <v>9.7555510448300389</v>
      </c>
      <c r="GU61" s="34"/>
      <c r="GV61" s="157">
        <f>FoF_RoW!$AE31/1000</f>
        <v>1.2629999999999999</v>
      </c>
      <c r="GW61" s="157">
        <f t="shared" si="16"/>
        <v>1.2159999999999993</v>
      </c>
      <c r="GX61" s="153">
        <v>12.52658342054244</v>
      </c>
      <c r="GY61" s="153"/>
      <c r="GZ61" s="153"/>
      <c r="HA61" s="153">
        <f t="shared" si="22"/>
        <v>1.9284489551699608</v>
      </c>
      <c r="HB61" s="153"/>
      <c r="HC61" s="153"/>
      <c r="HD61" s="97"/>
      <c r="HE61" s="23"/>
      <c r="HF61" s="23"/>
      <c r="HV61" s="97"/>
      <c r="HW61" s="29"/>
      <c r="HX61" s="29"/>
      <c r="HY61" s="29"/>
      <c r="HZ61" s="451"/>
      <c r="IA61" s="451"/>
      <c r="IB61" s="451"/>
      <c r="IC61" s="451"/>
      <c r="ID61" s="451"/>
      <c r="IE61" s="451"/>
      <c r="IF61" s="451"/>
      <c r="IG61" s="451"/>
      <c r="IK61" s="841"/>
      <c r="IL61" s="90"/>
      <c r="IU61" s="319"/>
      <c r="IV61" s="319"/>
      <c r="IW61" s="319"/>
      <c r="IX61" s="319"/>
      <c r="IY61" s="319"/>
      <c r="IZ61" s="319"/>
      <c r="JK61" s="319"/>
      <c r="JL61" s="319"/>
      <c r="JM61" s="319"/>
    </row>
    <row r="62" spans="2:273" s="128" customFormat="1">
      <c r="B62" s="453">
        <v>1970</v>
      </c>
      <c r="C62" s="118">
        <v>940.1</v>
      </c>
      <c r="D62" s="119">
        <v>86.2</v>
      </c>
      <c r="E62" s="120">
        <f t="shared" si="0"/>
        <v>9.1692373151792364E-2</v>
      </c>
      <c r="F62" s="452">
        <f t="shared" si="1"/>
        <v>0</v>
      </c>
      <c r="G62" s="452">
        <f t="shared" si="2"/>
        <v>79.100000000000009</v>
      </c>
      <c r="H62" s="120">
        <f t="shared" si="3"/>
        <v>8.4139985107967247E-2</v>
      </c>
      <c r="I62" s="453">
        <v>7.1</v>
      </c>
      <c r="J62" s="458">
        <f t="shared" si="4"/>
        <v>7.5523880438251242E-3</v>
      </c>
      <c r="K62" s="120">
        <f t="shared" si="5"/>
        <v>8.2366589327146161E-2</v>
      </c>
      <c r="L62" s="137">
        <v>8.6</v>
      </c>
      <c r="M62" s="137">
        <f t="shared" si="8"/>
        <v>1.5</v>
      </c>
      <c r="N62" s="458">
        <f t="shared" si="6"/>
        <v>9.1479629826614183E-3</v>
      </c>
      <c r="O62" s="458">
        <f t="shared" si="9"/>
        <v>1.5955749388362941E-3</v>
      </c>
      <c r="P62" s="459">
        <f t="shared" si="10"/>
        <v>1.7401392111368909E-2</v>
      </c>
      <c r="Q62" s="119">
        <f t="shared" si="7"/>
        <v>86.2</v>
      </c>
      <c r="R62" s="171">
        <f t="shared" si="11"/>
        <v>1.5</v>
      </c>
      <c r="S62" s="176"/>
      <c r="X62" s="171">
        <v>0.875</v>
      </c>
      <c r="Z62" s="685">
        <f t="shared" si="17"/>
        <v>0.875</v>
      </c>
      <c r="AA62" s="745">
        <f t="shared" si="18"/>
        <v>0.47499999999999998</v>
      </c>
      <c r="AB62" s="685">
        <v>0.4</v>
      </c>
      <c r="AC62" s="742">
        <v>0</v>
      </c>
      <c r="AK62" s="687">
        <v>1.1000000000000001</v>
      </c>
      <c r="AL62" s="250">
        <f t="shared" si="19"/>
        <v>0.43181818181818177</v>
      </c>
      <c r="AM62" s="182">
        <v>0.875</v>
      </c>
      <c r="AN62" s="136"/>
      <c r="AO62" s="136"/>
      <c r="AP62" s="136"/>
      <c r="AQ62" s="136"/>
      <c r="AR62" s="136"/>
      <c r="AS62" s="136"/>
      <c r="AT62" s="136"/>
      <c r="AU62" s="136"/>
      <c r="AV62" s="156"/>
      <c r="AW62" s="156"/>
      <c r="AX62" s="6"/>
      <c r="AY62" s="6"/>
      <c r="AZ62" s="6"/>
      <c r="BA62" s="6"/>
      <c r="BB62" s="6"/>
      <c r="BC62" s="6"/>
      <c r="BD62" s="6"/>
      <c r="BE62" s="6"/>
      <c r="BF62" s="6"/>
      <c r="BG62" s="6"/>
      <c r="BH62" s="6"/>
      <c r="BI62" s="6"/>
      <c r="BJ62" s="179"/>
      <c r="BQ62" s="129"/>
      <c r="BR62" s="411"/>
      <c r="BU62" s="391">
        <f t="shared" si="21"/>
        <v>0.875</v>
      </c>
      <c r="BV62" s="488"/>
      <c r="BW62" s="155"/>
      <c r="BX62" s="155"/>
      <c r="BY62" s="155"/>
      <c r="BZ62" s="155"/>
      <c r="CA62" s="155"/>
      <c r="CB62" s="155"/>
      <c r="CC62" s="155"/>
      <c r="CD62" s="155"/>
      <c r="CE62" s="120"/>
      <c r="CF62" s="120"/>
      <c r="CG62" s="120"/>
      <c r="CH62" s="120"/>
      <c r="CI62" s="120"/>
      <c r="CJ62" s="120"/>
      <c r="CK62" s="120"/>
      <c r="CL62" s="120"/>
      <c r="CM62" s="6"/>
      <c r="CN62" s="120"/>
      <c r="CO62" s="120"/>
      <c r="CP62" s="458"/>
      <c r="CQ62" s="458"/>
      <c r="CR62" s="120"/>
      <c r="CS62" s="749">
        <f t="shared" si="20"/>
        <v>0</v>
      </c>
      <c r="CT62" s="421"/>
      <c r="CU62" s="421"/>
      <c r="CV62" s="453"/>
      <c r="CW62" s="453"/>
      <c r="CX62" s="453"/>
      <c r="CY62" s="453"/>
      <c r="CZ62" s="453"/>
      <c r="DA62" s="453"/>
      <c r="DB62" s="453"/>
      <c r="DC62" s="452"/>
      <c r="DD62" s="466"/>
      <c r="DE62" s="466"/>
      <c r="DF62" s="495"/>
      <c r="DG62" s="479"/>
      <c r="DH62" s="479"/>
      <c r="DI62" s="479"/>
      <c r="DJ62" s="479"/>
      <c r="DK62" s="359"/>
      <c r="DL62" s="479"/>
      <c r="DM62" s="496"/>
      <c r="DN62" s="497"/>
      <c r="DO62" s="498"/>
      <c r="DP62" s="119">
        <v>13.27</v>
      </c>
      <c r="DQ62" s="124"/>
      <c r="DR62" s="124"/>
      <c r="DS62" s="124"/>
      <c r="DT62" s="124"/>
      <c r="DU62" s="124"/>
      <c r="DV62" s="124"/>
      <c r="DW62" s="331"/>
      <c r="DX62" s="331"/>
      <c r="DY62" s="120"/>
      <c r="DZ62" s="120"/>
      <c r="EA62" s="120"/>
      <c r="EB62" s="120"/>
      <c r="EC62" s="120"/>
      <c r="ED62" s="120"/>
      <c r="EE62" s="120"/>
      <c r="EF62" s="1022">
        <f t="shared" si="13"/>
        <v>2.1826265819212227</v>
      </c>
      <c r="EG62" s="478"/>
      <c r="EH62" s="478"/>
      <c r="EI62" s="478"/>
      <c r="EJ62" s="478"/>
      <c r="EK62" s="355"/>
      <c r="EL62" s="479"/>
      <c r="EM62" s="355"/>
      <c r="EN62" s="355"/>
      <c r="EO62" s="85"/>
      <c r="EP62" s="162"/>
      <c r="EQ62" s="155"/>
      <c r="ER62" s="155"/>
      <c r="ES62" s="155"/>
      <c r="ET62" s="155"/>
      <c r="EU62" s="155"/>
      <c r="EV62" s="155"/>
      <c r="EW62" s="155"/>
      <c r="EX62" s="155"/>
      <c r="EY62" s="155"/>
      <c r="EZ62" s="161"/>
      <c r="FA62" s="161"/>
      <c r="FB62" s="161"/>
      <c r="FC62" s="161"/>
      <c r="FD62" s="161"/>
      <c r="FE62" s="161"/>
      <c r="FF62" s="161"/>
      <c r="FG62" s="120"/>
      <c r="FH62" s="120"/>
      <c r="FI62" s="120"/>
      <c r="FJ62" s="120"/>
      <c r="FK62" s="388"/>
      <c r="FL62" s="388"/>
      <c r="FM62" s="120"/>
      <c r="FN62" s="120"/>
      <c r="FO62" s="171"/>
      <c r="FP62" s="176"/>
      <c r="FQ62" s="161"/>
      <c r="FR62" s="161"/>
      <c r="FS62" s="161"/>
      <c r="FT62" s="161"/>
      <c r="FU62" s="161"/>
      <c r="FV62" s="161"/>
      <c r="FW62" s="161"/>
      <c r="FX62" s="161"/>
      <c r="FY62" s="161"/>
      <c r="FZ62" s="458"/>
      <c r="GA62" s="120"/>
      <c r="GB62" s="120"/>
      <c r="GC62" s="120"/>
      <c r="GD62" s="120"/>
      <c r="GE62" s="120"/>
      <c r="GF62" s="120"/>
      <c r="GG62" s="120"/>
      <c r="GH62" s="120"/>
      <c r="GI62" s="120"/>
      <c r="GJ62" s="414"/>
      <c r="GK62" s="155"/>
      <c r="GL62" s="155">
        <f t="shared" si="14"/>
        <v>2.1826265819212227</v>
      </c>
      <c r="GM62" s="155"/>
      <c r="GN62" s="155"/>
      <c r="GO62" s="155"/>
      <c r="GP62" s="155"/>
      <c r="GQ62" s="414"/>
      <c r="GR62" s="155"/>
      <c r="GS62" s="155">
        <f>FoF_RoW!$AZ32/1000</f>
        <v>13.224</v>
      </c>
      <c r="GT62" s="511">
        <f t="shared" si="15"/>
        <v>11.041373418078777</v>
      </c>
      <c r="GU62" s="512"/>
      <c r="GV62" s="1036">
        <f>FoF_RoW!$AE32/1000</f>
        <v>1.464</v>
      </c>
      <c r="GW62" s="1036">
        <f t="shared" si="16"/>
        <v>1.5400000000000009</v>
      </c>
      <c r="GX62" s="155">
        <v>15.024056458160601</v>
      </c>
      <c r="GY62" s="155"/>
      <c r="GZ62" s="155"/>
      <c r="HA62" s="155">
        <f t="shared" si="22"/>
        <v>2.1826265819212227</v>
      </c>
      <c r="HB62" s="155"/>
      <c r="HC62" s="155"/>
      <c r="HD62" s="126"/>
      <c r="HE62" s="120"/>
      <c r="HF62" s="120"/>
      <c r="HV62" s="126"/>
      <c r="HW62" s="189"/>
      <c r="HX62" s="189"/>
      <c r="HY62" s="189"/>
      <c r="HZ62" s="453"/>
      <c r="IA62" s="453"/>
      <c r="IB62" s="453"/>
      <c r="IC62" s="453"/>
      <c r="ID62" s="453"/>
      <c r="IE62" s="453"/>
      <c r="IF62" s="453"/>
      <c r="IG62" s="453"/>
      <c r="IK62" s="846"/>
      <c r="IU62" s="421"/>
      <c r="IV62" s="421"/>
      <c r="IW62" s="421"/>
      <c r="IX62" s="421"/>
      <c r="IY62" s="421"/>
      <c r="IZ62" s="421"/>
      <c r="JK62" s="421"/>
      <c r="JL62" s="421"/>
      <c r="JM62" s="421"/>
    </row>
    <row r="63" spans="2:273" s="90" customFormat="1">
      <c r="B63" s="455">
        <v>1971</v>
      </c>
      <c r="C63" s="43">
        <v>1017</v>
      </c>
      <c r="D63" s="5">
        <v>100.6</v>
      </c>
      <c r="E63" s="6">
        <f t="shared" si="0"/>
        <v>9.8918387413962625E-2</v>
      </c>
      <c r="F63" s="454">
        <f t="shared" si="1"/>
        <v>0</v>
      </c>
      <c r="G63" s="454">
        <f t="shared" si="2"/>
        <v>92.699999999999989</v>
      </c>
      <c r="H63" s="6">
        <f t="shared" si="3"/>
        <v>9.1150442477876098E-2</v>
      </c>
      <c r="I63" s="455">
        <v>7.9</v>
      </c>
      <c r="J63" s="460">
        <f t="shared" si="4"/>
        <v>7.7679449360865292E-3</v>
      </c>
      <c r="K63" s="6">
        <f t="shared" si="5"/>
        <v>7.8528827037773363E-2</v>
      </c>
      <c r="L63" s="136">
        <v>9.8000000000000007</v>
      </c>
      <c r="M63" s="136">
        <f t="shared" si="8"/>
        <v>1.9000000000000004</v>
      </c>
      <c r="N63" s="460">
        <f t="shared" si="6"/>
        <v>9.6361848574237959E-3</v>
      </c>
      <c r="O63" s="460">
        <f t="shared" si="9"/>
        <v>1.8682399213372667E-3</v>
      </c>
      <c r="P63" s="449">
        <f t="shared" si="10"/>
        <v>1.8886679920477142E-2</v>
      </c>
      <c r="Q63" s="5">
        <f t="shared" si="7"/>
        <v>100.6</v>
      </c>
      <c r="R63" s="169">
        <f t="shared" si="11"/>
        <v>1.9000000000000004</v>
      </c>
      <c r="S63" s="174"/>
      <c r="X63" s="169">
        <v>1.1639999999999999</v>
      </c>
      <c r="Z63" s="686">
        <f t="shared" si="17"/>
        <v>1.1639999999999999</v>
      </c>
      <c r="AA63" s="55">
        <f t="shared" si="18"/>
        <v>0.56399999999999995</v>
      </c>
      <c r="AB63" s="686">
        <v>0.6</v>
      </c>
      <c r="AC63" s="743">
        <v>0</v>
      </c>
      <c r="AK63" s="687">
        <v>1.4</v>
      </c>
      <c r="AL63" s="250">
        <f t="shared" si="19"/>
        <v>0.40285714285714286</v>
      </c>
      <c r="AM63" s="182">
        <v>1.1639999999999999</v>
      </c>
      <c r="AN63" s="136"/>
      <c r="AO63" s="136"/>
      <c r="AP63" s="136"/>
      <c r="AQ63" s="136"/>
      <c r="AR63" s="136"/>
      <c r="AS63" s="136"/>
      <c r="AT63" s="136"/>
      <c r="AU63" s="136"/>
      <c r="AV63" s="156"/>
      <c r="AW63" s="156"/>
      <c r="AX63" s="6"/>
      <c r="AY63" s="6"/>
      <c r="AZ63" s="6"/>
      <c r="BA63" s="6"/>
      <c r="BB63" s="6"/>
      <c r="BC63" s="6"/>
      <c r="BD63" s="6"/>
      <c r="BE63" s="6"/>
      <c r="BF63" s="6"/>
      <c r="BG63" s="6"/>
      <c r="BH63" s="6"/>
      <c r="BI63" s="6"/>
      <c r="BJ63" s="67"/>
      <c r="BQ63" s="131"/>
      <c r="BR63" s="56"/>
      <c r="BU63" s="182">
        <f t="shared" si="21"/>
        <v>1.1639999999999999</v>
      </c>
      <c r="BV63" s="185"/>
      <c r="BW63" s="156"/>
      <c r="BX63" s="156"/>
      <c r="BY63" s="156"/>
      <c r="BZ63" s="156"/>
      <c r="CA63" s="156"/>
      <c r="CB63" s="156"/>
      <c r="CC63" s="156"/>
      <c r="CD63" s="156"/>
      <c r="CE63" s="6"/>
      <c r="CF63" s="6"/>
      <c r="CG63" s="6"/>
      <c r="CH63" s="6"/>
      <c r="CI63" s="6"/>
      <c r="CJ63" s="6"/>
      <c r="CK63" s="6"/>
      <c r="CL63" s="6"/>
      <c r="CM63" s="6"/>
      <c r="CN63" s="6"/>
      <c r="CO63" s="6"/>
      <c r="CP63" s="460"/>
      <c r="CQ63" s="460"/>
      <c r="CR63" s="6"/>
      <c r="CS63" s="299">
        <f t="shared" si="20"/>
        <v>0</v>
      </c>
      <c r="CT63" s="422"/>
      <c r="CU63" s="422"/>
      <c r="CV63" s="455"/>
      <c r="CW63" s="455"/>
      <c r="CX63" s="455"/>
      <c r="CY63" s="455"/>
      <c r="CZ63" s="455"/>
      <c r="DA63" s="455"/>
      <c r="DB63" s="455"/>
      <c r="DC63" s="454"/>
      <c r="DD63" s="467"/>
      <c r="DE63" s="467"/>
      <c r="DF63" s="493"/>
      <c r="DG63" s="87"/>
      <c r="DH63" s="87"/>
      <c r="DI63" s="87"/>
      <c r="DJ63" s="87"/>
      <c r="DK63" s="360"/>
      <c r="DL63" s="87"/>
      <c r="DM63" s="333"/>
      <c r="DN63" s="138"/>
      <c r="DO63" s="494"/>
      <c r="DP63" s="5">
        <v>13.914</v>
      </c>
      <c r="DQ63" s="333"/>
      <c r="DR63" s="333"/>
      <c r="DS63" s="333"/>
      <c r="DT63" s="333"/>
      <c r="DU63" s="333"/>
      <c r="DV63" s="333"/>
      <c r="DW63" s="332"/>
      <c r="DX63" s="332"/>
      <c r="DY63" s="6"/>
      <c r="DZ63" s="6"/>
      <c r="EA63" s="6"/>
      <c r="EB63" s="6"/>
      <c r="EC63" s="6"/>
      <c r="ED63" s="6"/>
      <c r="EE63" s="6"/>
      <c r="EF63" s="1021">
        <f t="shared" si="13"/>
        <v>2.2483166438997957</v>
      </c>
      <c r="EG63" s="480"/>
      <c r="EH63" s="480"/>
      <c r="EI63" s="480"/>
      <c r="EJ63" s="480"/>
      <c r="EK63" s="85"/>
      <c r="EL63" s="87"/>
      <c r="EM63" s="85"/>
      <c r="EN63" s="85"/>
      <c r="EO63" s="85"/>
      <c r="EP63" s="162"/>
      <c r="EQ63" s="156"/>
      <c r="ER63" s="156"/>
      <c r="ES63" s="156"/>
      <c r="ET63" s="156"/>
      <c r="EU63" s="156"/>
      <c r="EV63" s="156"/>
      <c r="EW63" s="156"/>
      <c r="EX63" s="156"/>
      <c r="EY63" s="156"/>
      <c r="EZ63" s="162"/>
      <c r="FA63" s="162"/>
      <c r="FB63" s="162"/>
      <c r="FC63" s="162"/>
      <c r="FD63" s="162"/>
      <c r="FE63" s="162"/>
      <c r="FF63" s="162"/>
      <c r="FG63" s="6"/>
      <c r="FH63" s="6"/>
      <c r="FI63" s="6"/>
      <c r="FJ63" s="6"/>
      <c r="FK63" s="389"/>
      <c r="FL63" s="389"/>
      <c r="FM63" s="6"/>
      <c r="FN63" s="6"/>
      <c r="FO63" s="169"/>
      <c r="FP63" s="174"/>
      <c r="FQ63" s="162"/>
      <c r="FR63" s="162"/>
      <c r="FS63" s="162"/>
      <c r="FT63" s="162"/>
      <c r="FU63" s="162"/>
      <c r="FV63" s="162"/>
      <c r="FW63" s="162"/>
      <c r="FX63" s="162"/>
      <c r="FY63" s="162"/>
      <c r="FZ63" s="460"/>
      <c r="GA63" s="6"/>
      <c r="GB63" s="6"/>
      <c r="GC63" s="6"/>
      <c r="GD63" s="6"/>
      <c r="GE63" s="6"/>
      <c r="GF63" s="6"/>
      <c r="GG63" s="6"/>
      <c r="GH63" s="6"/>
      <c r="GI63" s="6"/>
      <c r="GJ63" s="295"/>
      <c r="GK63" s="156"/>
      <c r="GL63" s="156">
        <f t="shared" si="14"/>
        <v>2.2483166438997957</v>
      </c>
      <c r="GM63" s="156"/>
      <c r="GN63" s="156"/>
      <c r="GO63" s="156"/>
      <c r="GP63" s="156"/>
      <c r="GQ63" s="295"/>
      <c r="GR63" s="156"/>
      <c r="GS63" s="156">
        <f>FoF_RoW!$AZ33/1000</f>
        <v>13.622</v>
      </c>
      <c r="GT63" s="513">
        <f t="shared" si="15"/>
        <v>11.373683356100205</v>
      </c>
      <c r="GU63" s="49"/>
      <c r="GV63" s="329">
        <f>FoF_RoW!$AE33/1000</f>
        <v>0.36799999999999999</v>
      </c>
      <c r="GW63" s="329">
        <f t="shared" si="16"/>
        <v>0.39799999999999969</v>
      </c>
      <c r="GX63" s="156">
        <v>16.751100491162383</v>
      </c>
      <c r="GY63" s="156"/>
      <c r="GZ63" s="156"/>
      <c r="HA63" s="156">
        <f t="shared" si="22"/>
        <v>2.2483166438997957</v>
      </c>
      <c r="HB63" s="156"/>
      <c r="HC63" s="156"/>
      <c r="HD63" s="97"/>
      <c r="HE63" s="6"/>
      <c r="HF63" s="6"/>
      <c r="HV63" s="97"/>
      <c r="HW63" s="190"/>
      <c r="HX63" s="190"/>
      <c r="HY63" s="190"/>
      <c r="HZ63" s="455"/>
      <c r="IA63" s="455"/>
      <c r="IB63" s="455"/>
      <c r="IC63" s="455"/>
      <c r="ID63" s="455"/>
      <c r="IE63" s="455"/>
      <c r="IF63" s="455"/>
      <c r="IG63" s="455"/>
      <c r="IK63" s="841"/>
      <c r="IU63" s="422"/>
      <c r="IV63" s="422"/>
      <c r="IW63" s="422"/>
      <c r="IX63" s="422"/>
      <c r="IY63" s="422"/>
      <c r="IZ63" s="422"/>
      <c r="JK63" s="422"/>
      <c r="JL63" s="422"/>
      <c r="JM63" s="422"/>
    </row>
    <row r="64" spans="2:273" s="90" customFormat="1">
      <c r="B64" s="455">
        <v>1972</v>
      </c>
      <c r="C64" s="43">
        <v>1123</v>
      </c>
      <c r="D64" s="5">
        <v>117.2</v>
      </c>
      <c r="E64" s="6">
        <f t="shared" si="0"/>
        <v>0.10436331255565449</v>
      </c>
      <c r="F64" s="454">
        <f t="shared" si="1"/>
        <v>0</v>
      </c>
      <c r="G64" s="454">
        <f t="shared" si="2"/>
        <v>107.7</v>
      </c>
      <c r="H64" s="6">
        <f t="shared" si="3"/>
        <v>9.5903829029385573E-2</v>
      </c>
      <c r="I64" s="455">
        <v>9.5</v>
      </c>
      <c r="J64" s="460">
        <f t="shared" si="4"/>
        <v>8.4594835262689228E-3</v>
      </c>
      <c r="K64" s="6">
        <f t="shared" si="5"/>
        <v>8.1058020477815698E-2</v>
      </c>
      <c r="L64" s="136">
        <v>11.7</v>
      </c>
      <c r="M64" s="136">
        <f t="shared" si="8"/>
        <v>2.1999999999999993</v>
      </c>
      <c r="N64" s="460">
        <f t="shared" si="6"/>
        <v>1.0418521816562777E-2</v>
      </c>
      <c r="O64" s="460">
        <f t="shared" si="9"/>
        <v>1.9590382902938551E-3</v>
      </c>
      <c r="P64" s="449">
        <f t="shared" si="10"/>
        <v>1.8771331058020473E-2</v>
      </c>
      <c r="Q64" s="5">
        <f t="shared" si="7"/>
        <v>117.2</v>
      </c>
      <c r="R64" s="169">
        <f t="shared" si="11"/>
        <v>2.1999999999999993</v>
      </c>
      <c r="S64" s="174"/>
      <c r="X64" s="169">
        <v>1.284</v>
      </c>
      <c r="Z64" s="686">
        <f t="shared" si="17"/>
        <v>1.284</v>
      </c>
      <c r="AA64" s="55">
        <f t="shared" si="18"/>
        <v>0.68400000000000005</v>
      </c>
      <c r="AB64" s="686">
        <v>0.6</v>
      </c>
      <c r="AC64" s="743">
        <v>0</v>
      </c>
      <c r="AK64" s="687">
        <v>1.6</v>
      </c>
      <c r="AL64" s="250">
        <f t="shared" si="19"/>
        <v>0.42749999999999999</v>
      </c>
      <c r="AM64" s="182">
        <v>1.284</v>
      </c>
      <c r="AN64" s="136"/>
      <c r="AO64" s="136"/>
      <c r="AP64" s="136"/>
      <c r="AQ64" s="136"/>
      <c r="AR64" s="136"/>
      <c r="AS64" s="136"/>
      <c r="AT64" s="136"/>
      <c r="AU64" s="136"/>
      <c r="AV64" s="156"/>
      <c r="AW64" s="156"/>
      <c r="AX64" s="6"/>
      <c r="AY64" s="6"/>
      <c r="AZ64" s="6"/>
      <c r="BA64" s="6"/>
      <c r="BB64" s="6"/>
      <c r="BC64" s="6"/>
      <c r="BD64" s="6"/>
      <c r="BE64" s="6"/>
      <c r="BF64" s="6"/>
      <c r="BG64" s="6"/>
      <c r="BH64" s="6"/>
      <c r="BI64" s="6"/>
      <c r="BJ64" s="67"/>
      <c r="BQ64" s="131"/>
      <c r="BR64" s="56"/>
      <c r="BU64" s="182">
        <f t="shared" si="21"/>
        <v>1.284</v>
      </c>
      <c r="BV64" s="185"/>
      <c r="BW64" s="156"/>
      <c r="BX64" s="156"/>
      <c r="BY64" s="156"/>
      <c r="BZ64" s="156"/>
      <c r="CA64" s="156"/>
      <c r="CB64" s="156"/>
      <c r="CC64" s="156"/>
      <c r="CD64" s="156"/>
      <c r="CE64" s="6"/>
      <c r="CF64" s="6"/>
      <c r="CG64" s="6"/>
      <c r="CH64" s="6"/>
      <c r="CI64" s="6"/>
      <c r="CJ64" s="6"/>
      <c r="CK64" s="6"/>
      <c r="CL64" s="6"/>
      <c r="CM64" s="6"/>
      <c r="CN64" s="6"/>
      <c r="CO64" s="6"/>
      <c r="CP64" s="460"/>
      <c r="CQ64" s="460"/>
      <c r="CR64" s="6"/>
      <c r="CS64" s="299">
        <f t="shared" si="20"/>
        <v>0</v>
      </c>
      <c r="CT64" s="422"/>
      <c r="CU64" s="422"/>
      <c r="CV64" s="455"/>
      <c r="CW64" s="455"/>
      <c r="CX64" s="455"/>
      <c r="CY64" s="455"/>
      <c r="CZ64" s="455"/>
      <c r="DA64" s="455"/>
      <c r="DB64" s="455"/>
      <c r="DC64" s="454"/>
      <c r="DD64" s="467"/>
      <c r="DE64" s="467"/>
      <c r="DF64" s="493"/>
      <c r="DG64" s="87"/>
      <c r="DH64" s="87"/>
      <c r="DI64" s="87"/>
      <c r="DJ64" s="87"/>
      <c r="DK64" s="360"/>
      <c r="DL64" s="87"/>
      <c r="DM64" s="333"/>
      <c r="DN64" s="138"/>
      <c r="DO64" s="494"/>
      <c r="DP64" s="5">
        <v>14.868</v>
      </c>
      <c r="DQ64" s="333"/>
      <c r="DR64" s="333"/>
      <c r="DS64" s="333"/>
      <c r="DT64" s="333"/>
      <c r="DU64" s="333"/>
      <c r="DV64" s="333"/>
      <c r="DW64" s="332"/>
      <c r="DX64" s="332"/>
      <c r="DY64" s="6"/>
      <c r="DZ64" s="6"/>
      <c r="EA64" s="6"/>
      <c r="EB64" s="6"/>
      <c r="EC64" s="6"/>
      <c r="ED64" s="6"/>
      <c r="EE64" s="6"/>
      <c r="EF64" s="1021">
        <f t="shared" si="13"/>
        <v>2.4323478476839884</v>
      </c>
      <c r="EG64" s="480"/>
      <c r="EH64" s="480"/>
      <c r="EI64" s="480"/>
      <c r="EJ64" s="480"/>
      <c r="EK64" s="85"/>
      <c r="EL64" s="87"/>
      <c r="EM64" s="85"/>
      <c r="EN64" s="85"/>
      <c r="EO64" s="85"/>
      <c r="EP64" s="162"/>
      <c r="EQ64" s="156"/>
      <c r="ER64" s="156"/>
      <c r="ES64" s="156"/>
      <c r="ET64" s="156"/>
      <c r="EU64" s="156"/>
      <c r="EV64" s="156"/>
      <c r="EW64" s="156"/>
      <c r="EX64" s="156"/>
      <c r="EY64" s="156"/>
      <c r="EZ64" s="162"/>
      <c r="FA64" s="162"/>
      <c r="FB64" s="162"/>
      <c r="FC64" s="162"/>
      <c r="FD64" s="162"/>
      <c r="FE64" s="162"/>
      <c r="FF64" s="162"/>
      <c r="FG64" s="6"/>
      <c r="FH64" s="6"/>
      <c r="FI64" s="6"/>
      <c r="FJ64" s="6"/>
      <c r="FK64" s="389"/>
      <c r="FL64" s="389"/>
      <c r="FM64" s="6"/>
      <c r="FN64" s="6"/>
      <c r="FO64" s="169"/>
      <c r="FP64" s="174"/>
      <c r="FQ64" s="162"/>
      <c r="FR64" s="162"/>
      <c r="FS64" s="162"/>
      <c r="FT64" s="162"/>
      <c r="FU64" s="162"/>
      <c r="FV64" s="162"/>
      <c r="FW64" s="162"/>
      <c r="FX64" s="162"/>
      <c r="FY64" s="162"/>
      <c r="FZ64" s="460"/>
      <c r="GA64" s="6"/>
      <c r="GB64" s="6"/>
      <c r="GC64" s="6"/>
      <c r="GD64" s="6"/>
      <c r="GE64" s="6"/>
      <c r="GF64" s="6"/>
      <c r="GG64" s="6"/>
      <c r="GH64" s="6"/>
      <c r="GI64" s="6"/>
      <c r="GJ64" s="295"/>
      <c r="GK64" s="156"/>
      <c r="GL64" s="156">
        <f t="shared" si="14"/>
        <v>2.4323478476839884</v>
      </c>
      <c r="GM64" s="156"/>
      <c r="GN64" s="156"/>
      <c r="GO64" s="156"/>
      <c r="GP64" s="156"/>
      <c r="GQ64" s="295"/>
      <c r="GR64" s="156"/>
      <c r="GS64" s="156">
        <f>FoF_RoW!$AZ34/1000</f>
        <v>14.737</v>
      </c>
      <c r="GT64" s="513">
        <f t="shared" si="15"/>
        <v>12.304652152316011</v>
      </c>
      <c r="GU64" s="49"/>
      <c r="GV64" s="329">
        <f>FoF_RoW!$AE34/1000</f>
        <v>0.94799999999999995</v>
      </c>
      <c r="GW64" s="329">
        <f t="shared" si="16"/>
        <v>1.1150000000000002</v>
      </c>
      <c r="GX64" s="156">
        <v>20.126062698682389</v>
      </c>
      <c r="GY64" s="156"/>
      <c r="GZ64" s="156"/>
      <c r="HA64" s="156">
        <f t="shared" si="22"/>
        <v>2.4323478476839884</v>
      </c>
      <c r="HB64" s="156"/>
      <c r="HC64" s="156"/>
      <c r="HD64" s="97"/>
      <c r="HE64" s="6"/>
      <c r="HF64" s="6"/>
      <c r="HV64" s="97"/>
      <c r="HW64" s="190"/>
      <c r="HX64" s="190"/>
      <c r="HY64" s="190"/>
      <c r="HZ64" s="455"/>
      <c r="IA64" s="455"/>
      <c r="IB64" s="455"/>
      <c r="IC64" s="455"/>
      <c r="ID64" s="455"/>
      <c r="IE64" s="455"/>
      <c r="IF64" s="455"/>
      <c r="IG64" s="455"/>
      <c r="IK64" s="841"/>
      <c r="IU64" s="422"/>
      <c r="IV64" s="422"/>
      <c r="IW64" s="422"/>
      <c r="IX64" s="422"/>
      <c r="IY64" s="422"/>
      <c r="IZ64" s="422"/>
      <c r="JK64" s="422"/>
      <c r="JL64" s="422"/>
      <c r="JM64" s="422"/>
    </row>
    <row r="65" spans="2:273" s="90" customFormat="1">
      <c r="B65" s="455">
        <v>1973</v>
      </c>
      <c r="C65" s="43">
        <v>1257</v>
      </c>
      <c r="D65" s="5">
        <v>133.4</v>
      </c>
      <c r="E65" s="6">
        <f t="shared" si="0"/>
        <v>0.10612569610182976</v>
      </c>
      <c r="F65" s="454">
        <f t="shared" si="1"/>
        <v>0</v>
      </c>
      <c r="G65" s="454">
        <f t="shared" si="2"/>
        <v>118.5</v>
      </c>
      <c r="H65" s="6">
        <f t="shared" si="3"/>
        <v>9.4272076372315036E-2</v>
      </c>
      <c r="I65" s="455">
        <v>14.9</v>
      </c>
      <c r="J65" s="460">
        <f t="shared" si="4"/>
        <v>1.1853619729514717E-2</v>
      </c>
      <c r="K65" s="6">
        <f t="shared" si="5"/>
        <v>0.11169415292353822</v>
      </c>
      <c r="L65" s="136">
        <v>17.600000000000001</v>
      </c>
      <c r="M65" s="136">
        <f t="shared" si="8"/>
        <v>2.7000000000000011</v>
      </c>
      <c r="N65" s="460">
        <f t="shared" si="6"/>
        <v>1.400159108989658E-2</v>
      </c>
      <c r="O65" s="460">
        <f t="shared" si="9"/>
        <v>2.1479713603818626E-3</v>
      </c>
      <c r="P65" s="449">
        <f t="shared" si="10"/>
        <v>2.0239880059970024E-2</v>
      </c>
      <c r="Q65" s="5">
        <f t="shared" si="7"/>
        <v>133.4</v>
      </c>
      <c r="R65" s="169">
        <f t="shared" si="11"/>
        <v>2.7000000000000011</v>
      </c>
      <c r="S65" s="174"/>
      <c r="X65" s="169">
        <v>1.61</v>
      </c>
      <c r="Z65" s="686">
        <f t="shared" si="17"/>
        <v>1.61</v>
      </c>
      <c r="AA65" s="55">
        <f t="shared" si="18"/>
        <v>0.71000000000000008</v>
      </c>
      <c r="AB65" s="686">
        <v>0.9</v>
      </c>
      <c r="AC65" s="743">
        <v>0</v>
      </c>
      <c r="AK65" s="687">
        <v>1.8</v>
      </c>
      <c r="AL65" s="250">
        <f t="shared" si="19"/>
        <v>0.39444444444444449</v>
      </c>
      <c r="AM65" s="182">
        <v>1.61</v>
      </c>
      <c r="AN65" s="136"/>
      <c r="AO65" s="136"/>
      <c r="AP65" s="136"/>
      <c r="AQ65" s="136"/>
      <c r="AR65" s="136"/>
      <c r="AS65" s="136"/>
      <c r="AT65" s="136"/>
      <c r="AU65" s="136"/>
      <c r="AV65" s="156"/>
      <c r="AW65" s="156"/>
      <c r="AX65" s="6"/>
      <c r="AY65" s="6"/>
      <c r="AZ65" s="6"/>
      <c r="BA65" s="6"/>
      <c r="BB65" s="6"/>
      <c r="BC65" s="6"/>
      <c r="BD65" s="6"/>
      <c r="BE65" s="6"/>
      <c r="BF65" s="6"/>
      <c r="BG65" s="6"/>
      <c r="BH65" s="6"/>
      <c r="BI65" s="6"/>
      <c r="BJ65" s="67"/>
      <c r="BQ65" s="131"/>
      <c r="BR65" s="56"/>
      <c r="BU65" s="182">
        <f t="shared" si="21"/>
        <v>1.61</v>
      </c>
      <c r="BV65" s="185"/>
      <c r="BW65" s="156"/>
      <c r="BX65" s="156"/>
      <c r="BY65" s="156"/>
      <c r="BZ65" s="156"/>
      <c r="CA65" s="156"/>
      <c r="CB65" s="156"/>
      <c r="CC65" s="156"/>
      <c r="CD65" s="156"/>
      <c r="CE65" s="6"/>
      <c r="CF65" s="6"/>
      <c r="CG65" s="6"/>
      <c r="CH65" s="6"/>
      <c r="CI65" s="6"/>
      <c r="CJ65" s="6"/>
      <c r="CK65" s="6"/>
      <c r="CL65" s="6"/>
      <c r="CM65" s="6"/>
      <c r="CN65" s="6"/>
      <c r="CO65" s="6"/>
      <c r="CP65" s="460"/>
      <c r="CQ65" s="460"/>
      <c r="CR65" s="6"/>
      <c r="CS65" s="299">
        <f t="shared" si="20"/>
        <v>0</v>
      </c>
      <c r="CT65" s="422"/>
      <c r="CU65" s="422"/>
      <c r="CV65" s="455"/>
      <c r="CW65" s="455"/>
      <c r="CX65" s="455"/>
      <c r="CY65" s="455"/>
      <c r="CZ65" s="455"/>
      <c r="DA65" s="455"/>
      <c r="DB65" s="455"/>
      <c r="DC65" s="454"/>
      <c r="DD65" s="467"/>
      <c r="DE65" s="467"/>
      <c r="DF65" s="493"/>
      <c r="DG65" s="87"/>
      <c r="DH65" s="87"/>
      <c r="DI65" s="87"/>
      <c r="DJ65" s="87"/>
      <c r="DK65" s="360"/>
      <c r="DL65" s="87"/>
      <c r="DM65" s="333"/>
      <c r="DN65" s="138"/>
      <c r="DO65" s="494"/>
      <c r="DP65" s="5">
        <v>20.556000000000001</v>
      </c>
      <c r="DQ65" s="333"/>
      <c r="DR65" s="333"/>
      <c r="DS65" s="333"/>
      <c r="DT65" s="333"/>
      <c r="DU65" s="333"/>
      <c r="DV65" s="333"/>
      <c r="DW65" s="332"/>
      <c r="DX65" s="332"/>
      <c r="DY65" s="6"/>
      <c r="DZ65" s="6"/>
      <c r="EA65" s="6"/>
      <c r="EB65" s="6"/>
      <c r="EC65" s="6"/>
      <c r="ED65" s="6"/>
      <c r="EE65" s="6"/>
      <c r="EF65" s="1021">
        <f t="shared" si="13"/>
        <v>2.9453245125819887</v>
      </c>
      <c r="EG65" s="480"/>
      <c r="EH65" s="480"/>
      <c r="EI65" s="480"/>
      <c r="EJ65" s="480"/>
      <c r="EK65" s="85"/>
      <c r="EL65" s="87"/>
      <c r="EM65" s="85"/>
      <c r="EN65" s="85"/>
      <c r="EO65" s="85"/>
      <c r="EP65" s="162"/>
      <c r="EQ65" s="156"/>
      <c r="ER65" s="156"/>
      <c r="ES65" s="156"/>
      <c r="ET65" s="156"/>
      <c r="EU65" s="156"/>
      <c r="EV65" s="156"/>
      <c r="EW65" s="156"/>
      <c r="EX65" s="156"/>
      <c r="EY65" s="156"/>
      <c r="EZ65" s="162"/>
      <c r="FA65" s="162"/>
      <c r="FB65" s="162"/>
      <c r="FC65" s="162"/>
      <c r="FD65" s="162"/>
      <c r="FE65" s="162"/>
      <c r="FF65" s="162"/>
      <c r="FG65" s="6"/>
      <c r="FH65" s="6"/>
      <c r="FI65" s="6"/>
      <c r="FJ65" s="6"/>
      <c r="FK65" s="389"/>
      <c r="FL65" s="389"/>
      <c r="FM65" s="6"/>
      <c r="FN65" s="6"/>
      <c r="FO65" s="169"/>
      <c r="FP65" s="174"/>
      <c r="FQ65" s="162"/>
      <c r="FR65" s="162"/>
      <c r="FS65" s="162"/>
      <c r="FT65" s="162"/>
      <c r="FU65" s="162"/>
      <c r="FV65" s="162"/>
      <c r="FW65" s="162"/>
      <c r="FX65" s="162"/>
      <c r="FY65" s="162"/>
      <c r="FZ65" s="460"/>
      <c r="GA65" s="6"/>
      <c r="GB65" s="6"/>
      <c r="GC65" s="6"/>
      <c r="GD65" s="6"/>
      <c r="GE65" s="6"/>
      <c r="GF65" s="6"/>
      <c r="GG65" s="6"/>
      <c r="GH65" s="6"/>
      <c r="GI65" s="6"/>
      <c r="GJ65" s="295"/>
      <c r="GK65" s="156"/>
      <c r="GL65" s="156">
        <f t="shared" si="14"/>
        <v>2.9453245125819887</v>
      </c>
      <c r="GM65" s="156"/>
      <c r="GN65" s="156"/>
      <c r="GO65" s="156"/>
      <c r="GP65" s="156"/>
      <c r="GQ65" s="295"/>
      <c r="GR65" s="156"/>
      <c r="GS65" s="156">
        <f>FoF_RoW!$AZ35/1000</f>
        <v>17.844999999999999</v>
      </c>
      <c r="GT65" s="513">
        <f t="shared" si="15"/>
        <v>14.89967548741801</v>
      </c>
      <c r="GU65" s="49"/>
      <c r="GV65" s="329">
        <f>FoF_RoW!$AE35/1000</f>
        <v>2.8</v>
      </c>
      <c r="GW65" s="329">
        <f t="shared" si="16"/>
        <v>3.1079999999999988</v>
      </c>
      <c r="GX65" s="156">
        <v>21.709307968940024</v>
      </c>
      <c r="GY65" s="156"/>
      <c r="GZ65" s="156"/>
      <c r="HA65" s="156">
        <f t="shared" si="22"/>
        <v>2.9453245125819887</v>
      </c>
      <c r="HB65" s="156"/>
      <c r="HC65" s="156"/>
      <c r="HD65" s="97"/>
      <c r="HE65" s="6"/>
      <c r="HF65" s="6"/>
      <c r="HV65" s="97"/>
      <c r="HW65" s="190"/>
      <c r="HX65" s="190"/>
      <c r="HY65" s="190"/>
      <c r="HZ65" s="455"/>
      <c r="IA65" s="455"/>
      <c r="IB65" s="455"/>
      <c r="IC65" s="455"/>
      <c r="ID65" s="455"/>
      <c r="IE65" s="455"/>
      <c r="IF65" s="455"/>
      <c r="IG65" s="455"/>
      <c r="IK65" s="841"/>
      <c r="IU65" s="422"/>
      <c r="IV65" s="422"/>
      <c r="IW65" s="422"/>
      <c r="IX65" s="422"/>
      <c r="IY65" s="422"/>
      <c r="IZ65" s="422"/>
      <c r="JK65" s="422"/>
      <c r="JL65" s="422"/>
      <c r="JM65" s="422"/>
    </row>
    <row r="66" spans="2:273" s="90" customFormat="1">
      <c r="B66" s="455">
        <v>1974</v>
      </c>
      <c r="C66" s="43">
        <v>1350.8</v>
      </c>
      <c r="D66" s="5">
        <v>125.7</v>
      </c>
      <c r="E66" s="6">
        <f t="shared" si="0"/>
        <v>9.305596683446847E-2</v>
      </c>
      <c r="F66" s="454">
        <f t="shared" si="1"/>
        <v>0</v>
      </c>
      <c r="G66" s="454">
        <f t="shared" si="2"/>
        <v>108.2</v>
      </c>
      <c r="H66" s="6">
        <f t="shared" si="3"/>
        <v>8.0100681077879779E-2</v>
      </c>
      <c r="I66" s="455">
        <v>17.5</v>
      </c>
      <c r="J66" s="460">
        <f t="shared" si="4"/>
        <v>1.2955285756588688E-2</v>
      </c>
      <c r="K66" s="6">
        <f t="shared" si="5"/>
        <v>0.13922036595067622</v>
      </c>
      <c r="L66" s="136">
        <v>20.399999999999999</v>
      </c>
      <c r="M66" s="136">
        <f t="shared" si="8"/>
        <v>2.8999999999999986</v>
      </c>
      <c r="N66" s="460">
        <f t="shared" si="6"/>
        <v>1.5102161681966242E-2</v>
      </c>
      <c r="O66" s="460">
        <f t="shared" si="9"/>
        <v>2.1468759253775531E-3</v>
      </c>
      <c r="P66" s="449">
        <f t="shared" si="10"/>
        <v>2.3070803500397762E-2</v>
      </c>
      <c r="Q66" s="5">
        <f t="shared" si="7"/>
        <v>125.7</v>
      </c>
      <c r="R66" s="169">
        <f t="shared" si="11"/>
        <v>2.8999999999999986</v>
      </c>
      <c r="S66" s="174"/>
      <c r="X66" s="169">
        <v>1.331</v>
      </c>
      <c r="Z66" s="686">
        <f t="shared" si="17"/>
        <v>1.331</v>
      </c>
      <c r="AA66" s="55">
        <f t="shared" si="18"/>
        <v>0.23099999999999987</v>
      </c>
      <c r="AB66" s="686">
        <v>1.1000000000000001</v>
      </c>
      <c r="AC66" s="743">
        <v>0</v>
      </c>
      <c r="AK66" s="687">
        <v>1.9</v>
      </c>
      <c r="AL66" s="250">
        <f t="shared" si="19"/>
        <v>0.12157894736842099</v>
      </c>
      <c r="AM66" s="182">
        <v>1.331</v>
      </c>
      <c r="AN66" s="136"/>
      <c r="AO66" s="136"/>
      <c r="AP66" s="136"/>
      <c r="AQ66" s="136"/>
      <c r="AR66" s="136"/>
      <c r="AS66" s="136"/>
      <c r="AT66" s="136"/>
      <c r="AU66" s="136"/>
      <c r="AV66" s="156"/>
      <c r="AW66" s="156"/>
      <c r="AX66" s="6"/>
      <c r="AY66" s="400"/>
      <c r="AZ66" s="6"/>
      <c r="BA66" s="400"/>
      <c r="BB66" s="56"/>
      <c r="BC66" s="56"/>
      <c r="BD66" s="6"/>
      <c r="BE66" s="6"/>
      <c r="BF66" s="6"/>
      <c r="BG66" s="6"/>
      <c r="BH66" s="6"/>
      <c r="BI66" s="6"/>
      <c r="BJ66" s="67"/>
      <c r="BQ66" s="131"/>
      <c r="BR66" s="56"/>
      <c r="BU66" s="182">
        <f t="shared" si="21"/>
        <v>1.331</v>
      </c>
      <c r="BV66" s="185"/>
      <c r="BW66" s="156"/>
      <c r="BX66" s="156"/>
      <c r="BY66" s="156"/>
      <c r="BZ66" s="156"/>
      <c r="CA66" s="156"/>
      <c r="CB66" s="156"/>
      <c r="CC66" s="156"/>
      <c r="CD66" s="156"/>
      <c r="CE66" s="6"/>
      <c r="CF66" s="400"/>
      <c r="CG66" s="6"/>
      <c r="CH66" s="400"/>
      <c r="CI66" s="56"/>
      <c r="CJ66" s="6"/>
      <c r="CK66" s="6"/>
      <c r="CL66" s="6"/>
      <c r="CM66" s="6"/>
      <c r="CN66" s="6"/>
      <c r="CO66" s="6"/>
      <c r="CP66" s="460"/>
      <c r="CQ66" s="460"/>
      <c r="CR66" s="6"/>
      <c r="CS66" s="299">
        <f t="shared" si="20"/>
        <v>0</v>
      </c>
      <c r="CT66" s="422"/>
      <c r="CU66" s="422"/>
      <c r="CV66" s="455"/>
      <c r="CW66" s="455"/>
      <c r="CX66" s="455"/>
      <c r="CY66" s="455"/>
      <c r="CZ66" s="455"/>
      <c r="DA66" s="455"/>
      <c r="DB66" s="455"/>
      <c r="DC66" s="454"/>
      <c r="DD66" s="467"/>
      <c r="DE66" s="467"/>
      <c r="DF66" s="493"/>
      <c r="DG66" s="87"/>
      <c r="DH66" s="87"/>
      <c r="DI66" s="87"/>
      <c r="DJ66" s="87"/>
      <c r="DK66" s="360"/>
      <c r="DL66" s="87"/>
      <c r="DM66" s="333"/>
      <c r="DN66" s="138"/>
      <c r="DO66" s="494"/>
      <c r="DP66" s="5">
        <v>25.143999999999998</v>
      </c>
      <c r="DQ66" s="333"/>
      <c r="DR66" s="333"/>
      <c r="DS66" s="333"/>
      <c r="DT66" s="333"/>
      <c r="DU66" s="333"/>
      <c r="DV66" s="333"/>
      <c r="DW66" s="332"/>
      <c r="DX66" s="332"/>
      <c r="DY66" s="6"/>
      <c r="DZ66" s="6"/>
      <c r="EA66" s="6"/>
      <c r="EB66" s="6"/>
      <c r="EC66" s="6"/>
      <c r="ED66" s="6"/>
      <c r="EE66" s="6"/>
      <c r="EF66" s="1021">
        <f t="shared" si="13"/>
        <v>3.7311295002201428</v>
      </c>
      <c r="EG66" s="480"/>
      <c r="EH66" s="480"/>
      <c r="EI66" s="480"/>
      <c r="EJ66" s="480"/>
      <c r="EK66" s="85"/>
      <c r="EL66" s="87"/>
      <c r="EM66" s="85"/>
      <c r="EN66" s="85"/>
      <c r="EO66" s="85"/>
      <c r="EP66" s="162"/>
      <c r="EQ66" s="156"/>
      <c r="ER66" s="156"/>
      <c r="ES66" s="156"/>
      <c r="ET66" s="156"/>
      <c r="EU66" s="156"/>
      <c r="EV66" s="156"/>
      <c r="EW66" s="156"/>
      <c r="EX66" s="156"/>
      <c r="EY66" s="156"/>
      <c r="EZ66" s="162"/>
      <c r="FA66" s="162"/>
      <c r="FB66" s="162"/>
      <c r="FC66" s="162"/>
      <c r="FD66" s="162"/>
      <c r="FE66" s="162"/>
      <c r="FF66" s="162"/>
      <c r="FG66" s="6"/>
      <c r="FH66" s="6"/>
      <c r="FI66" s="6"/>
      <c r="FJ66" s="6"/>
      <c r="FK66" s="389"/>
      <c r="FL66" s="389"/>
      <c r="FM66" s="6"/>
      <c r="FN66" s="6"/>
      <c r="FO66" s="169"/>
      <c r="FP66" s="174"/>
      <c r="FQ66" s="162"/>
      <c r="FR66" s="162"/>
      <c r="FS66" s="162"/>
      <c r="FT66" s="162"/>
      <c r="FU66" s="162"/>
      <c r="FV66" s="162"/>
      <c r="FW66" s="162"/>
      <c r="FX66" s="162"/>
      <c r="FY66" s="162"/>
      <c r="FZ66" s="460"/>
      <c r="GA66" s="6"/>
      <c r="GB66" s="6"/>
      <c r="GC66" s="6"/>
      <c r="GD66" s="6"/>
      <c r="GE66" s="6"/>
      <c r="GF66" s="6"/>
      <c r="GG66" s="6"/>
      <c r="GH66" s="6"/>
      <c r="GI66" s="6"/>
      <c r="GJ66" s="295"/>
      <c r="GK66" s="156"/>
      <c r="GL66" s="156">
        <f t="shared" si="14"/>
        <v>3.7311295002201428</v>
      </c>
      <c r="GM66" s="156"/>
      <c r="GN66" s="156"/>
      <c r="GO66" s="156"/>
      <c r="GP66" s="156"/>
      <c r="GQ66" s="295"/>
      <c r="GR66" s="156"/>
      <c r="GS66" s="156">
        <f>FoF_RoW!$AZ36/1000</f>
        <v>22.606000000000002</v>
      </c>
      <c r="GT66" s="513">
        <f t="shared" si="15"/>
        <v>18.87487049977986</v>
      </c>
      <c r="GU66" s="49"/>
      <c r="GV66" s="329">
        <f>FoF_RoW!$AE36/1000</f>
        <v>4.7610000000000001</v>
      </c>
      <c r="GW66" s="329">
        <f t="shared" si="16"/>
        <v>4.7610000000000028</v>
      </c>
      <c r="GX66" s="156">
        <v>23.891311528835807</v>
      </c>
      <c r="GY66" s="156"/>
      <c r="GZ66" s="156"/>
      <c r="HA66" s="156">
        <f t="shared" si="22"/>
        <v>3.7311295002201428</v>
      </c>
      <c r="HB66" s="156"/>
      <c r="HC66" s="156"/>
      <c r="HD66" s="97"/>
      <c r="HE66" s="6"/>
      <c r="HF66" s="6"/>
      <c r="HV66" s="97"/>
      <c r="HW66" s="190"/>
      <c r="HX66" s="190"/>
      <c r="HY66" s="190"/>
      <c r="HZ66" s="455"/>
      <c r="IA66" s="455"/>
      <c r="IB66" s="455"/>
      <c r="IC66" s="455"/>
      <c r="ID66" s="455"/>
      <c r="IE66" s="455"/>
      <c r="IF66" s="455"/>
      <c r="IG66" s="455"/>
      <c r="IK66" s="841"/>
      <c r="IU66" s="422"/>
      <c r="IV66" s="422"/>
      <c r="IW66" s="422"/>
      <c r="IX66" s="422"/>
      <c r="IY66" s="422"/>
      <c r="IZ66" s="422"/>
      <c r="JK66" s="422"/>
      <c r="JL66" s="422"/>
      <c r="JM66" s="422"/>
    </row>
    <row r="67" spans="2:273" s="90" customFormat="1">
      <c r="B67" s="455">
        <v>1975</v>
      </c>
      <c r="C67" s="43">
        <v>1451.1</v>
      </c>
      <c r="D67" s="5">
        <v>138.9</v>
      </c>
      <c r="E67" s="6">
        <f t="shared" si="0"/>
        <v>9.5720487905726695E-2</v>
      </c>
      <c r="F67" s="454">
        <f t="shared" si="1"/>
        <v>0</v>
      </c>
      <c r="G67" s="454">
        <f t="shared" si="2"/>
        <v>124.30000000000001</v>
      </c>
      <c r="H67" s="6">
        <f t="shared" si="3"/>
        <v>8.5659155123699274E-2</v>
      </c>
      <c r="I67" s="455">
        <v>14.6</v>
      </c>
      <c r="J67" s="460">
        <f t="shared" si="4"/>
        <v>1.0061332782027428E-2</v>
      </c>
      <c r="K67" s="6">
        <f t="shared" si="5"/>
        <v>0.10511159107271417</v>
      </c>
      <c r="L67" s="136">
        <v>17.899999999999999</v>
      </c>
      <c r="M67" s="136">
        <f t="shared" si="8"/>
        <v>3.2999999999999989</v>
      </c>
      <c r="N67" s="460">
        <f t="shared" si="6"/>
        <v>1.2335469643718558E-2</v>
      </c>
      <c r="O67" s="460">
        <f t="shared" si="9"/>
        <v>2.2741368616911303E-3</v>
      </c>
      <c r="P67" s="449">
        <f t="shared" si="10"/>
        <v>2.3758099352051826E-2</v>
      </c>
      <c r="Q67" s="5">
        <f t="shared" si="7"/>
        <v>138.9</v>
      </c>
      <c r="R67" s="169">
        <f t="shared" si="11"/>
        <v>3.2999999999999989</v>
      </c>
      <c r="S67" s="174"/>
      <c r="X67" s="172">
        <v>2.234</v>
      </c>
      <c r="Z67" s="686">
        <f t="shared" si="17"/>
        <v>2.234</v>
      </c>
      <c r="AA67" s="55">
        <f t="shared" si="18"/>
        <v>1.034</v>
      </c>
      <c r="AB67" s="686">
        <v>1.2</v>
      </c>
      <c r="AC67" s="743">
        <v>0</v>
      </c>
      <c r="AK67" s="687">
        <v>2.1</v>
      </c>
      <c r="AL67" s="250">
        <f t="shared" si="19"/>
        <v>0.49238095238095236</v>
      </c>
      <c r="AM67" s="182">
        <v>2.234</v>
      </c>
      <c r="AN67" s="136"/>
      <c r="AO67" s="136"/>
      <c r="AP67" s="136"/>
      <c r="AQ67" s="136"/>
      <c r="AR67" s="136"/>
      <c r="AS67" s="136"/>
      <c r="AT67" s="136"/>
      <c r="AU67" s="136"/>
      <c r="AV67" s="156"/>
      <c r="AW67" s="156"/>
      <c r="AX67" s="6"/>
      <c r="AY67" s="400"/>
      <c r="AZ67" s="6"/>
      <c r="BA67" s="400"/>
      <c r="BB67" s="6"/>
      <c r="BC67" s="6"/>
      <c r="BD67" s="6"/>
      <c r="BE67" s="6"/>
      <c r="BF67" s="6"/>
      <c r="BG67" s="6"/>
      <c r="BH67" s="6"/>
      <c r="BI67" s="6"/>
      <c r="BJ67" s="67"/>
      <c r="BQ67" s="131"/>
      <c r="BR67" s="56"/>
      <c r="BU67" s="182">
        <f t="shared" si="21"/>
        <v>2.234</v>
      </c>
      <c r="BV67" s="185"/>
      <c r="BW67" s="156"/>
      <c r="BX67" s="156"/>
      <c r="BY67" s="156"/>
      <c r="BZ67" s="156"/>
      <c r="CA67" s="156"/>
      <c r="CB67" s="156"/>
      <c r="CC67" s="156"/>
      <c r="CD67" s="156"/>
      <c r="CE67" s="6"/>
      <c r="CF67" s="400"/>
      <c r="CG67" s="6"/>
      <c r="CH67" s="400"/>
      <c r="CI67" s="6"/>
      <c r="CJ67" s="6"/>
      <c r="CK67" s="6"/>
      <c r="CL67" s="6"/>
      <c r="CM67" s="6"/>
      <c r="CN67" s="6"/>
      <c r="CO67" s="6"/>
      <c r="CP67" s="460"/>
      <c r="CQ67" s="460"/>
      <c r="CR67" s="6"/>
      <c r="CS67" s="299">
        <f t="shared" si="20"/>
        <v>0</v>
      </c>
      <c r="CT67" s="422"/>
      <c r="CU67" s="422"/>
      <c r="CV67" s="455"/>
      <c r="CW67" s="455"/>
      <c r="CX67" s="455"/>
      <c r="CY67" s="455"/>
      <c r="CZ67" s="455"/>
      <c r="DA67" s="455"/>
      <c r="DB67" s="455"/>
      <c r="DC67" s="454"/>
      <c r="DD67" s="467"/>
      <c r="DE67" s="467"/>
      <c r="DF67" s="493"/>
      <c r="DG67" s="87"/>
      <c r="DH67" s="87"/>
      <c r="DI67" s="87"/>
      <c r="DJ67" s="87"/>
      <c r="DK67" s="360"/>
      <c r="DL67" s="87"/>
      <c r="DM67" s="333"/>
      <c r="DN67" s="138"/>
      <c r="DO67" s="494"/>
      <c r="DP67" s="5">
        <v>27.661999999999999</v>
      </c>
      <c r="DQ67" s="333"/>
      <c r="DR67" s="333"/>
      <c r="DS67" s="333"/>
      <c r="DT67" s="333"/>
      <c r="DU67" s="333"/>
      <c r="DV67" s="333"/>
      <c r="DW67" s="332"/>
      <c r="DX67" s="332"/>
      <c r="DY67" s="6"/>
      <c r="DZ67" s="6"/>
      <c r="EA67" s="6"/>
      <c r="EB67" s="6"/>
      <c r="EC67" s="6"/>
      <c r="ED67" s="6"/>
      <c r="EE67" s="6"/>
      <c r="EF67" s="1021">
        <f t="shared" si="13"/>
        <v>4.1607557095925669</v>
      </c>
      <c r="EG67" s="480"/>
      <c r="EH67" s="480"/>
      <c r="EI67" s="480"/>
      <c r="EJ67" s="480"/>
      <c r="EK67" s="85"/>
      <c r="EL67" s="87"/>
      <c r="EM67" s="85"/>
      <c r="EN67" s="85"/>
      <c r="EO67" s="85"/>
      <c r="EP67" s="162"/>
      <c r="EQ67" s="156"/>
      <c r="ER67" s="156"/>
      <c r="ES67" s="156"/>
      <c r="ET67" s="156"/>
      <c r="EU67" s="156"/>
      <c r="EV67" s="156"/>
      <c r="EW67" s="156"/>
      <c r="EX67" s="156"/>
      <c r="EY67" s="156"/>
      <c r="EZ67" s="162"/>
      <c r="FA67" s="162"/>
      <c r="FB67" s="162"/>
      <c r="FC67" s="162"/>
      <c r="FD67" s="162"/>
      <c r="FE67" s="162"/>
      <c r="FF67" s="162"/>
      <c r="FG67" s="6"/>
      <c r="FH67" s="6"/>
      <c r="FI67" s="6"/>
      <c r="FJ67" s="6"/>
      <c r="FK67" s="389"/>
      <c r="FL67" s="389"/>
      <c r="FM67" s="6"/>
      <c r="FN67" s="6"/>
      <c r="FO67" s="169"/>
      <c r="FP67" s="174"/>
      <c r="FQ67" s="162"/>
      <c r="FR67" s="162"/>
      <c r="FS67" s="162"/>
      <c r="FT67" s="162"/>
      <c r="FU67" s="162"/>
      <c r="FV67" s="162"/>
      <c r="FW67" s="162"/>
      <c r="FX67" s="162"/>
      <c r="FY67" s="162"/>
      <c r="FZ67" s="460"/>
      <c r="GA67" s="6"/>
      <c r="GB67" s="6"/>
      <c r="GC67" s="6"/>
      <c r="GD67" s="6"/>
      <c r="GE67" s="6"/>
      <c r="GF67" s="6"/>
      <c r="GG67" s="6"/>
      <c r="GH67" s="6"/>
      <c r="GI67" s="6"/>
      <c r="GJ67" s="295"/>
      <c r="GK67" s="156"/>
      <c r="GL67" s="156">
        <f t="shared" si="14"/>
        <v>4.1607557095925669</v>
      </c>
      <c r="GM67" s="156"/>
      <c r="GN67" s="156"/>
      <c r="GO67" s="156"/>
      <c r="GP67" s="156"/>
      <c r="GQ67" s="295"/>
      <c r="GR67" s="156"/>
      <c r="GS67" s="156">
        <f>FoF_RoW!$AZ37/1000</f>
        <v>25.209</v>
      </c>
      <c r="GT67" s="513">
        <f t="shared" si="15"/>
        <v>21.048244290407432</v>
      </c>
      <c r="GU67" s="49"/>
      <c r="GV67" s="329">
        <f>FoF_RoW!$AE37/1000</f>
        <v>2.6030000000000002</v>
      </c>
      <c r="GW67" s="329">
        <f t="shared" si="16"/>
        <v>2.602999999999998</v>
      </c>
      <c r="GX67" s="156">
        <v>33.334354832567165</v>
      </c>
      <c r="GY67" s="156"/>
      <c r="GZ67" s="156"/>
      <c r="HA67" s="156">
        <f t="shared" si="22"/>
        <v>4.1607557095925669</v>
      </c>
      <c r="HB67" s="156"/>
      <c r="HC67" s="156"/>
      <c r="HD67" s="97"/>
      <c r="HE67" s="6"/>
      <c r="HF67" s="6"/>
      <c r="HV67" s="97"/>
      <c r="HW67" s="190"/>
      <c r="HX67" s="190"/>
      <c r="HY67" s="190"/>
      <c r="HZ67" s="455"/>
      <c r="IA67" s="455"/>
      <c r="IB67" s="455"/>
      <c r="IC67" s="455"/>
      <c r="ID67" s="455"/>
      <c r="IE67" s="455"/>
      <c r="IF67" s="455"/>
      <c r="IG67" s="455"/>
      <c r="IK67" s="841"/>
      <c r="IU67" s="422"/>
      <c r="IV67" s="422"/>
      <c r="IW67" s="422"/>
      <c r="IX67" s="422"/>
      <c r="IY67" s="422"/>
      <c r="IZ67" s="422"/>
      <c r="JK67" s="422"/>
      <c r="JL67" s="422"/>
      <c r="JM67" s="422"/>
    </row>
    <row r="68" spans="2:273" s="90" customFormat="1">
      <c r="B68" s="455">
        <v>1976</v>
      </c>
      <c r="C68" s="43">
        <v>1614.8</v>
      </c>
      <c r="D68" s="5">
        <v>174.3</v>
      </c>
      <c r="E68" s="6">
        <f t="shared" si="0"/>
        <v>0.10793906366113451</v>
      </c>
      <c r="F68" s="454">
        <f t="shared" si="1"/>
        <v>0</v>
      </c>
      <c r="G68" s="75">
        <f t="shared" si="2"/>
        <v>157.80000000000001</v>
      </c>
      <c r="H68" s="6">
        <f t="shared" si="3"/>
        <v>9.7721080009908354E-2</v>
      </c>
      <c r="I68" s="455">
        <v>16.5</v>
      </c>
      <c r="J68" s="460">
        <f t="shared" si="4"/>
        <v>1.0217983651226158E-2</v>
      </c>
      <c r="K68" s="6">
        <f t="shared" si="5"/>
        <v>9.4664371772805497E-2</v>
      </c>
      <c r="L68" s="136">
        <v>21</v>
      </c>
      <c r="M68" s="136">
        <f t="shared" si="8"/>
        <v>4.5</v>
      </c>
      <c r="N68" s="460">
        <f t="shared" si="6"/>
        <v>1.3004706465196929E-2</v>
      </c>
      <c r="O68" s="460">
        <f t="shared" si="9"/>
        <v>2.7867228139707703E-3</v>
      </c>
      <c r="P68" s="449">
        <f t="shared" si="10"/>
        <v>2.5817555938037865E-2</v>
      </c>
      <c r="Q68" s="5">
        <f t="shared" si="7"/>
        <v>174.3</v>
      </c>
      <c r="R68" s="169">
        <f t="shared" si="11"/>
        <v>4.5</v>
      </c>
      <c r="S68" s="174"/>
      <c r="X68" s="172">
        <v>3.11</v>
      </c>
      <c r="Z68" s="686">
        <f t="shared" si="17"/>
        <v>3.11</v>
      </c>
      <c r="AA68" s="55">
        <f t="shared" si="18"/>
        <v>1.41</v>
      </c>
      <c r="AB68" s="686">
        <v>1.7</v>
      </c>
      <c r="AC68" s="743">
        <v>0</v>
      </c>
      <c r="AK68" s="687">
        <v>2.7</v>
      </c>
      <c r="AL68" s="250">
        <f t="shared" si="19"/>
        <v>0.52222222222222214</v>
      </c>
      <c r="AM68" s="182">
        <v>3.11</v>
      </c>
      <c r="AN68" s="136"/>
      <c r="AO68" s="136"/>
      <c r="AP68" s="136"/>
      <c r="AQ68" s="136"/>
      <c r="AR68" s="136"/>
      <c r="AS68" s="136"/>
      <c r="AT68" s="136"/>
      <c r="AU68" s="136"/>
      <c r="AV68" s="156"/>
      <c r="AW68" s="156"/>
      <c r="AX68" s="6"/>
      <c r="AY68" s="6"/>
      <c r="AZ68" s="6"/>
      <c r="BA68" s="6"/>
      <c r="BB68" s="6"/>
      <c r="BC68" s="6"/>
      <c r="BD68" s="6"/>
      <c r="BE68" s="6"/>
      <c r="BF68" s="6"/>
      <c r="BG68" s="6"/>
      <c r="BH68" s="6"/>
      <c r="BI68" s="6"/>
      <c r="BJ68" s="67"/>
      <c r="BQ68" s="131"/>
      <c r="BR68" s="56"/>
      <c r="BU68" s="182">
        <f t="shared" si="21"/>
        <v>3.11</v>
      </c>
      <c r="BV68" s="185"/>
      <c r="BW68" s="156"/>
      <c r="BX68" s="156"/>
      <c r="BY68" s="156"/>
      <c r="BZ68" s="156"/>
      <c r="CA68" s="156"/>
      <c r="CB68" s="156"/>
      <c r="CC68" s="156"/>
      <c r="CD68" s="156"/>
      <c r="CE68" s="6"/>
      <c r="CF68" s="6"/>
      <c r="CG68" s="6"/>
      <c r="CH68" s="6"/>
      <c r="CI68" s="6"/>
      <c r="CJ68" s="6"/>
      <c r="CK68" s="6"/>
      <c r="CL68" s="6"/>
      <c r="CM68" s="6"/>
      <c r="CN68" s="6"/>
      <c r="CO68" s="6"/>
      <c r="CP68" s="460"/>
      <c r="CQ68" s="460"/>
      <c r="CR68" s="6"/>
      <c r="CS68" s="299">
        <f t="shared" si="20"/>
        <v>0</v>
      </c>
      <c r="CT68" s="422"/>
      <c r="CU68" s="422"/>
      <c r="CV68" s="455"/>
      <c r="CW68" s="455"/>
      <c r="CX68" s="455"/>
      <c r="CY68" s="455"/>
      <c r="CZ68" s="455"/>
      <c r="DA68" s="455"/>
      <c r="DB68" s="455"/>
      <c r="DC68" s="454"/>
      <c r="DD68" s="467"/>
      <c r="DE68" s="467"/>
      <c r="DF68" s="493"/>
      <c r="DG68" s="87"/>
      <c r="DH68" s="87"/>
      <c r="DI68" s="87"/>
      <c r="DJ68" s="87"/>
      <c r="DK68" s="360"/>
      <c r="DL68" s="87"/>
      <c r="DM68" s="333"/>
      <c r="DN68" s="499"/>
      <c r="DO68" s="494"/>
      <c r="DP68" s="5">
        <v>30.77</v>
      </c>
      <c r="DQ68" s="333"/>
      <c r="DR68" s="333"/>
      <c r="DS68" s="333"/>
      <c r="DT68" s="333"/>
      <c r="DU68" s="333"/>
      <c r="DV68" s="333"/>
      <c r="DW68" s="332"/>
      <c r="DX68" s="332"/>
      <c r="DY68" s="6"/>
      <c r="DZ68" s="6"/>
      <c r="EA68" s="6"/>
      <c r="EB68" s="6"/>
      <c r="EC68" s="6"/>
      <c r="ED68" s="6"/>
      <c r="EE68" s="6"/>
      <c r="EF68" s="1021">
        <f t="shared" si="13"/>
        <v>7.8445157430090653</v>
      </c>
      <c r="EG68" s="480"/>
      <c r="EH68" s="480"/>
      <c r="EI68" s="480"/>
      <c r="EJ68" s="480"/>
      <c r="EK68" s="85"/>
      <c r="EL68" s="87"/>
      <c r="EM68" s="85"/>
      <c r="EN68" s="85"/>
      <c r="EO68" s="85"/>
      <c r="EP68" s="162"/>
      <c r="EQ68" s="156"/>
      <c r="ER68" s="156"/>
      <c r="ES68" s="156"/>
      <c r="ET68" s="156"/>
      <c r="EU68" s="156"/>
      <c r="EV68" s="156"/>
      <c r="EW68" s="156"/>
      <c r="EX68" s="156"/>
      <c r="EY68" s="156"/>
      <c r="EZ68" s="162"/>
      <c r="FA68" s="162"/>
      <c r="FB68" s="162"/>
      <c r="FC68" s="162"/>
      <c r="FD68" s="162"/>
      <c r="FE68" s="162"/>
      <c r="FF68" s="162"/>
      <c r="FG68" s="6"/>
      <c r="FH68" s="6"/>
      <c r="FI68" s="6"/>
      <c r="FJ68" s="6"/>
      <c r="FK68" s="389"/>
      <c r="FL68" s="389"/>
      <c r="FM68" s="6"/>
      <c r="FN68" s="6"/>
      <c r="FO68" s="169"/>
      <c r="FP68" s="174"/>
      <c r="FQ68" s="162"/>
      <c r="FR68" s="162"/>
      <c r="FS68" s="162"/>
      <c r="FT68" s="162"/>
      <c r="FU68" s="162"/>
      <c r="FV68" s="162"/>
      <c r="FW68" s="162"/>
      <c r="FX68" s="162"/>
      <c r="FY68" s="162"/>
      <c r="FZ68" s="460"/>
      <c r="GA68" s="6"/>
      <c r="GB68" s="6"/>
      <c r="GC68" s="6"/>
      <c r="GD68" s="6"/>
      <c r="GE68" s="6"/>
      <c r="GF68" s="6"/>
      <c r="GG68" s="6"/>
      <c r="GH68" s="6"/>
      <c r="GI68" s="6"/>
      <c r="GJ68" s="295"/>
      <c r="GK68" s="156"/>
      <c r="GL68" s="156">
        <f t="shared" si="14"/>
        <v>7.8445157430090653</v>
      </c>
      <c r="GM68" s="156"/>
      <c r="GN68" s="156"/>
      <c r="GO68" s="156"/>
      <c r="GP68" s="156"/>
      <c r="GQ68" s="295"/>
      <c r="GR68" s="156"/>
      <c r="GS68" s="156">
        <f>FoF_RoW!$AZ38/1000</f>
        <v>47.527999999999999</v>
      </c>
      <c r="GT68" s="513">
        <f t="shared" si="15"/>
        <v>39.683484256990937</v>
      </c>
      <c r="GU68" s="49"/>
      <c r="GV68" s="329">
        <f>FoF_RoW!$AE38/1000</f>
        <v>4.3470000000000004</v>
      </c>
      <c r="GW68" s="329">
        <f t="shared" si="16"/>
        <v>22.318999999999999</v>
      </c>
      <c r="GX68" s="156">
        <f t="array" ref="GX68:GX108">TRANSPOSE(IIP_1.1!C23:AQ23)/1000</f>
        <v>44.158000000000001</v>
      </c>
      <c r="GY68" s="156"/>
      <c r="GZ68" s="156"/>
      <c r="HA68" s="156">
        <f t="shared" si="22"/>
        <v>7.8445157430090653</v>
      </c>
      <c r="HB68" s="156"/>
      <c r="HC68" s="156"/>
      <c r="HD68" s="97"/>
      <c r="HE68" s="6"/>
      <c r="HF68" s="6"/>
      <c r="HV68" s="97"/>
      <c r="HW68" s="190"/>
      <c r="HX68" s="190"/>
      <c r="HY68" s="190"/>
      <c r="HZ68" s="455"/>
      <c r="IA68" s="455"/>
      <c r="IB68" s="455"/>
      <c r="IC68" s="455"/>
      <c r="ID68" s="455"/>
      <c r="IE68" s="455"/>
      <c r="IF68" s="455"/>
      <c r="IG68" s="455"/>
      <c r="IK68" s="841"/>
      <c r="IU68" s="422"/>
      <c r="IV68" s="422"/>
      <c r="IW68" s="422"/>
      <c r="IX68" s="422"/>
      <c r="IY68" s="422"/>
      <c r="IZ68" s="422"/>
      <c r="JK68" s="422"/>
      <c r="JL68" s="422"/>
      <c r="JM68" s="422"/>
    </row>
    <row r="69" spans="2:273" s="90" customFormat="1">
      <c r="B69" s="455">
        <v>1977</v>
      </c>
      <c r="C69" s="43">
        <v>1798.7</v>
      </c>
      <c r="D69" s="5">
        <v>205.8</v>
      </c>
      <c r="E69" s="6">
        <f t="shared" si="0"/>
        <v>0.11441596708734086</v>
      </c>
      <c r="F69" s="454">
        <f t="shared" si="1"/>
        <v>0</v>
      </c>
      <c r="G69" s="75">
        <f t="shared" si="2"/>
        <v>186.70000000000002</v>
      </c>
      <c r="H69" s="6">
        <f t="shared" si="3"/>
        <v>0.10379718685717464</v>
      </c>
      <c r="I69" s="455">
        <v>19.100000000000001</v>
      </c>
      <c r="J69" s="460">
        <f t="shared" si="4"/>
        <v>1.0618780230166231E-2</v>
      </c>
      <c r="K69" s="6">
        <f t="shared" si="5"/>
        <v>9.2808551992225458E-2</v>
      </c>
      <c r="L69" s="136">
        <v>23.7</v>
      </c>
      <c r="M69" s="136">
        <f t="shared" si="8"/>
        <v>4.5999999999999979</v>
      </c>
      <c r="N69" s="460">
        <f t="shared" si="6"/>
        <v>1.317618279868794E-2</v>
      </c>
      <c r="O69" s="460">
        <f t="shared" si="9"/>
        <v>2.5574025685217087E-3</v>
      </c>
      <c r="P69" s="449">
        <f t="shared" si="10"/>
        <v>2.2351797862001931E-2</v>
      </c>
      <c r="Q69" s="5">
        <f t="shared" si="7"/>
        <v>205.8</v>
      </c>
      <c r="R69" s="169">
        <f t="shared" si="11"/>
        <v>4.5999999999999979</v>
      </c>
      <c r="S69" s="174"/>
      <c r="X69" s="172">
        <v>2.8340000000000001</v>
      </c>
      <c r="Z69" s="686">
        <f t="shared" si="17"/>
        <v>2.8340000000000001</v>
      </c>
      <c r="AA69" s="55">
        <f t="shared" si="18"/>
        <v>1.234</v>
      </c>
      <c r="AB69" s="686">
        <v>1.6</v>
      </c>
      <c r="AC69" s="743">
        <v>0</v>
      </c>
      <c r="AK69" s="687">
        <v>3.1</v>
      </c>
      <c r="AL69" s="23">
        <f t="shared" si="19"/>
        <v>0.39806451612903226</v>
      </c>
      <c r="AM69" s="182">
        <v>2.8340000000000001</v>
      </c>
      <c r="AN69" s="136"/>
      <c r="AO69" s="136"/>
      <c r="AP69" s="136"/>
      <c r="AQ69" s="136"/>
      <c r="AR69" s="136"/>
      <c r="AS69" s="136"/>
      <c r="AT69" s="136"/>
      <c r="AU69" s="136"/>
      <c r="AV69" s="156"/>
      <c r="AW69" s="156"/>
      <c r="AX69" s="6"/>
      <c r="AY69" s="6"/>
      <c r="AZ69" s="6"/>
      <c r="BA69" s="6"/>
      <c r="BB69" s="6"/>
      <c r="BC69" s="6"/>
      <c r="BD69" s="6"/>
      <c r="BE69" s="6"/>
      <c r="BF69" s="6"/>
      <c r="BG69" s="6"/>
      <c r="BH69" s="6"/>
      <c r="BI69" s="6"/>
      <c r="BJ69" s="67"/>
      <c r="BQ69" s="131"/>
      <c r="BR69" s="56"/>
      <c r="BU69" s="182">
        <f t="shared" si="21"/>
        <v>2.8340000000000001</v>
      </c>
      <c r="BV69" s="185"/>
      <c r="BW69" s="156"/>
      <c r="BX69" s="156"/>
      <c r="BY69" s="156"/>
      <c r="BZ69" s="156"/>
      <c r="CA69" s="156"/>
      <c r="CB69" s="156"/>
      <c r="CC69" s="156"/>
      <c r="CD69" s="156"/>
      <c r="CE69" s="6"/>
      <c r="CF69" s="6"/>
      <c r="CG69" s="6"/>
      <c r="CH69" s="6"/>
      <c r="CI69" s="6"/>
      <c r="CJ69" s="6"/>
      <c r="CK69" s="6"/>
      <c r="CL69" s="6"/>
      <c r="CM69" s="6"/>
      <c r="CN69" s="6"/>
      <c r="CO69" s="6"/>
      <c r="CP69" s="460"/>
      <c r="CQ69" s="460"/>
      <c r="CR69" s="6"/>
      <c r="CS69" s="299">
        <f t="shared" si="20"/>
        <v>0</v>
      </c>
      <c r="CT69" s="422"/>
      <c r="CU69" s="422"/>
      <c r="CV69" s="455"/>
      <c r="CW69" s="455"/>
      <c r="CX69" s="455"/>
      <c r="CY69" s="455"/>
      <c r="CZ69" s="454"/>
      <c r="DA69" s="455"/>
      <c r="DB69" s="454"/>
      <c r="DC69" s="454"/>
      <c r="DD69" s="467"/>
      <c r="DE69" s="467"/>
      <c r="DF69" s="493"/>
      <c r="DG69" s="87"/>
      <c r="DH69" s="87"/>
      <c r="DI69" s="87"/>
      <c r="DJ69" s="87"/>
      <c r="DK69" s="360"/>
      <c r="DL69" s="87"/>
      <c r="DM69" s="499"/>
      <c r="DN69" s="499"/>
      <c r="DO69" s="494"/>
      <c r="DP69" s="5">
        <v>34.594999999999999</v>
      </c>
      <c r="DQ69" s="75"/>
      <c r="DR69" s="75"/>
      <c r="DS69" s="75"/>
      <c r="DT69" s="75"/>
      <c r="DU69" s="75"/>
      <c r="DV69" s="75"/>
      <c r="DW69" s="332"/>
      <c r="DX69" s="332"/>
      <c r="DY69" s="6"/>
      <c r="DZ69" s="6"/>
      <c r="EA69" s="6"/>
      <c r="EB69" s="6"/>
      <c r="EC69" s="6"/>
      <c r="ED69" s="6"/>
      <c r="EE69" s="6"/>
      <c r="EF69" s="1021">
        <f t="shared" si="13"/>
        <v>9.1459382020569198</v>
      </c>
      <c r="EG69" s="480"/>
      <c r="EH69" s="480"/>
      <c r="EI69" s="480"/>
      <c r="EJ69" s="480"/>
      <c r="EK69" s="85"/>
      <c r="EL69" s="87"/>
      <c r="EM69" s="85"/>
      <c r="EN69" s="85"/>
      <c r="EO69" s="85"/>
      <c r="EP69" s="162"/>
      <c r="EQ69" s="156"/>
      <c r="ER69" s="156"/>
      <c r="ES69" s="156"/>
      <c r="ET69" s="156"/>
      <c r="EU69" s="156"/>
      <c r="EV69" s="156"/>
      <c r="EW69" s="156"/>
      <c r="EX69" s="156"/>
      <c r="EY69" s="156"/>
      <c r="EZ69" s="162"/>
      <c r="FA69" s="162"/>
      <c r="FB69" s="162"/>
      <c r="FC69" s="162"/>
      <c r="FD69" s="162"/>
      <c r="FE69" s="162"/>
      <c r="FF69" s="162"/>
      <c r="FG69" s="6"/>
      <c r="FH69" s="6"/>
      <c r="FI69" s="6"/>
      <c r="FJ69" s="6"/>
      <c r="FK69" s="389"/>
      <c r="FL69" s="389"/>
      <c r="FM69" s="6"/>
      <c r="FN69" s="6"/>
      <c r="FO69" s="169"/>
      <c r="FP69" s="174"/>
      <c r="FQ69" s="162"/>
      <c r="FR69" s="162"/>
      <c r="FS69" s="162"/>
      <c r="FT69" s="162"/>
      <c r="FU69" s="162"/>
      <c r="FV69" s="162"/>
      <c r="FW69" s="162"/>
      <c r="FX69" s="162"/>
      <c r="FY69" s="162"/>
      <c r="FZ69" s="460"/>
      <c r="GA69" s="6"/>
      <c r="GB69" s="6"/>
      <c r="GC69" s="6"/>
      <c r="GD69" s="6"/>
      <c r="GE69" s="6"/>
      <c r="GF69" s="6"/>
      <c r="GG69" s="6"/>
      <c r="GH69" s="6"/>
      <c r="GI69" s="6"/>
      <c r="GJ69" s="295"/>
      <c r="GK69" s="156"/>
      <c r="GL69" s="156">
        <f t="shared" si="14"/>
        <v>9.1459382020569198</v>
      </c>
      <c r="GM69" s="156"/>
      <c r="GN69" s="156"/>
      <c r="GO69" s="156"/>
      <c r="GP69" s="156"/>
      <c r="GQ69" s="295"/>
      <c r="GR69" s="156"/>
      <c r="GS69" s="156">
        <f>FoF_RoW!$AZ39/1000</f>
        <v>55.412999999999997</v>
      </c>
      <c r="GT69" s="513">
        <f t="shared" si="15"/>
        <v>46.267061797943079</v>
      </c>
      <c r="GU69" s="49"/>
      <c r="GV69" s="329">
        <f>FoF_RoW!$AE39/1000</f>
        <v>3.7280000000000002</v>
      </c>
      <c r="GW69" s="329">
        <f t="shared" si="16"/>
        <v>7.884999999999998</v>
      </c>
      <c r="GX69" s="156">
        <v>43.218000000000004</v>
      </c>
      <c r="GY69" s="156"/>
      <c r="GZ69" s="156"/>
      <c r="HA69" s="156">
        <f t="shared" si="22"/>
        <v>9.1459382020569198</v>
      </c>
      <c r="HB69" s="156"/>
      <c r="HC69" s="156"/>
      <c r="HD69" s="97"/>
      <c r="HE69" s="6"/>
      <c r="HF69" s="6"/>
      <c r="HV69" s="97"/>
      <c r="HW69" s="190"/>
      <c r="HX69" s="190"/>
      <c r="HY69" s="190"/>
      <c r="HZ69" s="455"/>
      <c r="IA69" s="455"/>
      <c r="IB69" s="455"/>
      <c r="IC69" s="455"/>
      <c r="ID69" s="455"/>
      <c r="IE69" s="455"/>
      <c r="IF69" s="455"/>
      <c r="IG69" s="455"/>
      <c r="IK69" s="841"/>
      <c r="IU69" s="422"/>
      <c r="IV69" s="1245">
        <v>18781</v>
      </c>
      <c r="IW69" s="1245"/>
      <c r="IX69" s="1245">
        <f t="shared" ref="IX69:IX82" si="23">JB69-JC69-JD69+JA69</f>
        <v>6674</v>
      </c>
      <c r="IY69" s="1245"/>
      <c r="IZ69" s="422"/>
      <c r="JA69" s="904">
        <v>3431</v>
      </c>
      <c r="JB69" s="904">
        <v>3966</v>
      </c>
      <c r="JC69" s="904">
        <v>723</v>
      </c>
      <c r="JD69" s="904">
        <v>0</v>
      </c>
      <c r="JK69" s="422"/>
      <c r="JL69" s="422"/>
      <c r="JM69" s="422"/>
    </row>
    <row r="70" spans="2:273" s="90" customFormat="1">
      <c r="B70" s="455">
        <v>1978</v>
      </c>
      <c r="C70" s="43">
        <v>2029.9</v>
      </c>
      <c r="D70" s="5">
        <v>238.6</v>
      </c>
      <c r="E70" s="6">
        <f t="shared" si="0"/>
        <v>0.11754273609537415</v>
      </c>
      <c r="F70" s="454">
        <f t="shared" si="1"/>
        <v>0</v>
      </c>
      <c r="G70" s="75">
        <f t="shared" si="2"/>
        <v>215.7</v>
      </c>
      <c r="H70" s="6">
        <f t="shared" si="3"/>
        <v>0.10626139218680722</v>
      </c>
      <c r="I70" s="455">
        <v>22.9</v>
      </c>
      <c r="J70" s="460">
        <f t="shared" si="4"/>
        <v>1.1281343908566924E-2</v>
      </c>
      <c r="K70" s="6">
        <f t="shared" si="5"/>
        <v>9.5976529756915341E-2</v>
      </c>
      <c r="L70" s="136">
        <v>29</v>
      </c>
      <c r="M70" s="136">
        <f t="shared" si="8"/>
        <v>6.1000000000000014</v>
      </c>
      <c r="N70" s="460">
        <f t="shared" si="6"/>
        <v>1.4286418050150252E-2</v>
      </c>
      <c r="O70" s="460">
        <f t="shared" si="9"/>
        <v>3.0050741415833296E-3</v>
      </c>
      <c r="P70" s="449">
        <f t="shared" si="10"/>
        <v>2.5565800502933788E-2</v>
      </c>
      <c r="Q70" s="5">
        <f t="shared" si="7"/>
        <v>238.6</v>
      </c>
      <c r="R70" s="169">
        <f t="shared" si="11"/>
        <v>6.1000000000000014</v>
      </c>
      <c r="S70" s="174"/>
      <c r="X70" s="172">
        <v>4.2110000000000003</v>
      </c>
      <c r="Z70" s="686">
        <f t="shared" si="17"/>
        <v>4.2268000000000008</v>
      </c>
      <c r="AA70" s="55">
        <f>AL70*AK70</f>
        <v>1.6268000000000002</v>
      </c>
      <c r="AB70" s="686">
        <v>2.6</v>
      </c>
      <c r="AC70" s="743">
        <f>X70-Z70</f>
        <v>-1.580000000000048E-2</v>
      </c>
      <c r="AK70" s="687">
        <v>3.5</v>
      </c>
      <c r="AL70" s="56">
        <f t="shared" ref="AL70:AL72" si="24">AL$74</f>
        <v>0.46480000000000005</v>
      </c>
      <c r="AM70" s="182">
        <v>4.2110000000000003</v>
      </c>
      <c r="AN70" s="136"/>
      <c r="AO70" s="136"/>
      <c r="AP70" s="138"/>
      <c r="AQ70" s="138"/>
      <c r="AR70" s="138"/>
      <c r="AS70" s="138"/>
      <c r="AT70" s="136"/>
      <c r="AU70" s="136"/>
      <c r="AV70" s="156"/>
      <c r="AW70" s="156"/>
      <c r="AX70" s="6"/>
      <c r="AY70" s="6"/>
      <c r="AZ70" s="6"/>
      <c r="BA70" s="6"/>
      <c r="BB70" s="6"/>
      <c r="BC70" s="6"/>
      <c r="BD70" s="6"/>
      <c r="BE70" s="6"/>
      <c r="BF70" s="6"/>
      <c r="BG70" s="6"/>
      <c r="BH70" s="6"/>
      <c r="BI70" s="6"/>
      <c r="BJ70" s="67"/>
      <c r="BQ70" s="131"/>
      <c r="BR70" s="56"/>
      <c r="BU70" s="182">
        <f t="shared" si="21"/>
        <v>4.2268000000000008</v>
      </c>
      <c r="BV70" s="185"/>
      <c r="BW70" s="156"/>
      <c r="BX70" s="156"/>
      <c r="BY70" s="156"/>
      <c r="BZ70" s="156"/>
      <c r="CA70" s="156"/>
      <c r="CB70" s="156"/>
      <c r="CC70" s="156"/>
      <c r="CD70" s="156"/>
      <c r="CE70" s="6"/>
      <c r="CF70" s="6"/>
      <c r="CG70" s="6"/>
      <c r="CH70" s="6"/>
      <c r="CI70" s="6"/>
      <c r="CJ70" s="6"/>
      <c r="CK70" s="6"/>
      <c r="CL70" s="6"/>
      <c r="CM70" s="6"/>
      <c r="CN70" s="6"/>
      <c r="CO70" s="6"/>
      <c r="CP70" s="460"/>
      <c r="CQ70" s="460"/>
      <c r="CR70" s="6"/>
      <c r="CS70" s="299">
        <f t="shared" si="20"/>
        <v>-1.580000000000048E-2</v>
      </c>
      <c r="CT70" s="422"/>
      <c r="CU70" s="422"/>
      <c r="CV70" s="455"/>
      <c r="CW70" s="455"/>
      <c r="CX70" s="455"/>
      <c r="CY70" s="455"/>
      <c r="CZ70" s="454"/>
      <c r="DA70" s="455"/>
      <c r="DB70" s="454"/>
      <c r="DC70" s="454"/>
      <c r="DD70" s="467"/>
      <c r="DE70" s="467"/>
      <c r="DF70" s="493"/>
      <c r="DG70" s="87"/>
      <c r="DH70" s="87"/>
      <c r="DI70" s="87"/>
      <c r="DJ70" s="87"/>
      <c r="DK70" s="360"/>
      <c r="DL70" s="87"/>
      <c r="DM70" s="499"/>
      <c r="DN70" s="499"/>
      <c r="DO70" s="494"/>
      <c r="DP70" s="5">
        <v>42.470999999999997</v>
      </c>
      <c r="DQ70" s="75"/>
      <c r="DR70" s="75"/>
      <c r="DS70" s="75"/>
      <c r="DT70" s="75"/>
      <c r="DU70" s="75"/>
      <c r="DV70" s="75"/>
      <c r="DW70" s="75"/>
      <c r="DX70" s="75"/>
      <c r="DY70" s="6"/>
      <c r="DZ70" s="6"/>
      <c r="EA70" s="6"/>
      <c r="EB70" s="6"/>
      <c r="EC70" s="6"/>
      <c r="ED70" s="6"/>
      <c r="EE70" s="6"/>
      <c r="EF70" s="1021">
        <f>EF71*GS70/GS71</f>
        <v>11.384516871944816</v>
      </c>
      <c r="EG70" s="480"/>
      <c r="EH70" s="480"/>
      <c r="EI70" s="480"/>
      <c r="EJ70" s="480"/>
      <c r="EK70" s="85"/>
      <c r="EL70" s="87"/>
      <c r="EM70" s="85"/>
      <c r="EN70" s="85"/>
      <c r="EO70" s="85"/>
      <c r="EP70" s="162"/>
      <c r="EQ70" s="156"/>
      <c r="ER70" s="156"/>
      <c r="ES70" s="156"/>
      <c r="ET70" s="156"/>
      <c r="EU70" s="156"/>
      <c r="EV70" s="156"/>
      <c r="EW70" s="156"/>
      <c r="EX70" s="156"/>
      <c r="EY70" s="156"/>
      <c r="EZ70" s="162"/>
      <c r="FA70" s="162"/>
      <c r="FB70" s="162"/>
      <c r="FC70" s="162"/>
      <c r="FD70" s="162"/>
      <c r="FE70" s="162"/>
      <c r="FF70" s="162"/>
      <c r="FG70" s="6"/>
      <c r="FH70" s="6"/>
      <c r="FI70" s="6"/>
      <c r="FJ70" s="6"/>
      <c r="FK70" s="389"/>
      <c r="FL70" s="389"/>
      <c r="FM70" s="6"/>
      <c r="FN70" s="6"/>
      <c r="FO70" s="169"/>
      <c r="FP70" s="174"/>
      <c r="FQ70" s="162"/>
      <c r="FR70" s="162"/>
      <c r="FS70" s="162"/>
      <c r="FT70" s="162"/>
      <c r="FU70" s="162"/>
      <c r="FV70" s="162"/>
      <c r="FW70" s="162"/>
      <c r="FX70" s="162"/>
      <c r="FY70" s="162"/>
      <c r="FZ70" s="460"/>
      <c r="GA70" s="6"/>
      <c r="GB70" s="6"/>
      <c r="GC70" s="6"/>
      <c r="GD70" s="6"/>
      <c r="GE70" s="6"/>
      <c r="GF70" s="6"/>
      <c r="GG70" s="6"/>
      <c r="GH70" s="6"/>
      <c r="GI70" s="6"/>
      <c r="GJ70" s="295"/>
      <c r="GK70" s="156"/>
      <c r="GL70" s="156">
        <f t="shared" si="14"/>
        <v>11.384516871944816</v>
      </c>
      <c r="GM70" s="156"/>
      <c r="GN70" s="156"/>
      <c r="GO70" s="156"/>
      <c r="GP70" s="156"/>
      <c r="GQ70" s="295"/>
      <c r="GR70" s="156"/>
      <c r="GS70" s="156">
        <f>FoF_RoW!$AZ40/1000</f>
        <v>68.975999999999999</v>
      </c>
      <c r="GT70" s="513">
        <f t="shared" si="15"/>
        <v>57.591483128055181</v>
      </c>
      <c r="GU70" s="49"/>
      <c r="GV70" s="329">
        <f>FoF_RoW!$AE40/1000</f>
        <v>7.8959999999999999</v>
      </c>
      <c r="GW70" s="329">
        <f t="shared" si="16"/>
        <v>13.563000000000002</v>
      </c>
      <c r="GX70" s="156">
        <v>50.628999999999998</v>
      </c>
      <c r="GY70" s="156"/>
      <c r="GZ70" s="156"/>
      <c r="HA70" s="156">
        <f t="shared" si="22"/>
        <v>11.384516871944816</v>
      </c>
      <c r="HB70" s="156"/>
      <c r="HC70" s="156"/>
      <c r="HD70" s="97"/>
      <c r="HE70" s="6"/>
      <c r="HF70" s="6"/>
      <c r="HV70" s="97"/>
      <c r="HW70" s="190"/>
      <c r="HX70" s="190"/>
      <c r="HY70" s="190"/>
      <c r="HZ70" s="455"/>
      <c r="IA70" s="455"/>
      <c r="IB70" s="455"/>
      <c r="IC70" s="455"/>
      <c r="ID70" s="455"/>
      <c r="IE70" s="455"/>
      <c r="IF70" s="455"/>
      <c r="IG70" s="455"/>
      <c r="IK70" s="841"/>
      <c r="IU70" s="422"/>
      <c r="IV70" s="1245">
        <v>24225</v>
      </c>
      <c r="IW70" s="1245"/>
      <c r="IX70" s="1245">
        <f t="shared" si="23"/>
        <v>7645</v>
      </c>
      <c r="IY70" s="1245"/>
      <c r="IZ70" s="422"/>
      <c r="JA70" s="904">
        <v>3728</v>
      </c>
      <c r="JB70" s="904">
        <v>4843</v>
      </c>
      <c r="JC70" s="904">
        <v>926</v>
      </c>
      <c r="JD70" s="87">
        <v>0</v>
      </c>
      <c r="JK70" s="422"/>
      <c r="JL70" s="422"/>
      <c r="JM70" s="422"/>
    </row>
    <row r="71" spans="2:273" s="113" customFormat="1">
      <c r="B71" s="457">
        <v>1979</v>
      </c>
      <c r="C71" s="104">
        <v>2248.1999999999998</v>
      </c>
      <c r="D71" s="8">
        <v>249</v>
      </c>
      <c r="E71" s="105">
        <f t="shared" si="0"/>
        <v>0.11075527088337338</v>
      </c>
      <c r="F71" s="456">
        <f t="shared" si="1"/>
        <v>0</v>
      </c>
      <c r="G71" s="108">
        <f t="shared" si="2"/>
        <v>214.4</v>
      </c>
      <c r="H71" s="105">
        <f t="shared" si="3"/>
        <v>9.5365181033715871E-2</v>
      </c>
      <c r="I71" s="457">
        <v>34.6</v>
      </c>
      <c r="J71" s="461">
        <f t="shared" si="4"/>
        <v>1.5390089849657505E-2</v>
      </c>
      <c r="K71" s="105">
        <f t="shared" si="5"/>
        <v>0.13895582329317269</v>
      </c>
      <c r="L71" s="134">
        <v>42.599999999999994</v>
      </c>
      <c r="M71" s="134">
        <f t="shared" si="8"/>
        <v>7.9999999999999929</v>
      </c>
      <c r="N71" s="461">
        <f t="shared" si="6"/>
        <v>1.894849212703496E-2</v>
      </c>
      <c r="O71" s="461">
        <f t="shared" si="9"/>
        <v>3.5584022773774548E-3</v>
      </c>
      <c r="P71" s="462">
        <f t="shared" si="10"/>
        <v>3.2128514056224869E-2</v>
      </c>
      <c r="Q71" s="8">
        <f t="shared" si="7"/>
        <v>249</v>
      </c>
      <c r="R71" s="170">
        <f t="shared" si="11"/>
        <v>7.9999999999999929</v>
      </c>
      <c r="S71" s="175"/>
      <c r="X71" s="472">
        <v>6.3570000000000002</v>
      </c>
      <c r="Z71" s="689">
        <f t="shared" si="17"/>
        <v>5.9127200000000002</v>
      </c>
      <c r="AA71" s="523">
        <f>AL71*AK71</f>
        <v>1.8127200000000001</v>
      </c>
      <c r="AB71" s="689">
        <v>4.0999999999999996</v>
      </c>
      <c r="AC71" s="744">
        <f>X71-Z71</f>
        <v>0.44428000000000001</v>
      </c>
      <c r="AK71" s="690">
        <v>3.9</v>
      </c>
      <c r="AL71" s="410">
        <f t="shared" si="24"/>
        <v>0.46480000000000005</v>
      </c>
      <c r="AM71" s="183">
        <v>6.3570000000000002</v>
      </c>
      <c r="AN71" s="134"/>
      <c r="AO71" s="134"/>
      <c r="AP71" s="300"/>
      <c r="AQ71" s="300"/>
      <c r="AR71" s="300"/>
      <c r="AS71" s="300"/>
      <c r="AT71" s="134"/>
      <c r="AU71" s="134"/>
      <c r="AV71" s="154"/>
      <c r="AW71" s="154"/>
      <c r="AX71" s="105"/>
      <c r="AY71" s="105"/>
      <c r="AZ71" s="105"/>
      <c r="BA71" s="105"/>
      <c r="BB71" s="105"/>
      <c r="BC71" s="105"/>
      <c r="BD71" s="105"/>
      <c r="BE71" s="105"/>
      <c r="BF71" s="105"/>
      <c r="BG71" s="105"/>
      <c r="BH71" s="105"/>
      <c r="BI71" s="105"/>
      <c r="BJ71" s="178"/>
      <c r="BQ71" s="115"/>
      <c r="BR71" s="410"/>
      <c r="BU71" s="183">
        <f t="shared" si="21"/>
        <v>5.9127200000000002</v>
      </c>
      <c r="BV71" s="133"/>
      <c r="BW71" s="154"/>
      <c r="BX71" s="154"/>
      <c r="BY71" s="154"/>
      <c r="BZ71" s="154"/>
      <c r="CA71" s="154"/>
      <c r="CB71" s="154"/>
      <c r="CC71" s="154"/>
      <c r="CD71" s="154"/>
      <c r="CE71" s="105"/>
      <c r="CF71" s="105"/>
      <c r="CG71" s="105"/>
      <c r="CH71" s="105"/>
      <c r="CI71" s="105"/>
      <c r="CJ71" s="105"/>
      <c r="CK71" s="105"/>
      <c r="CL71" s="105"/>
      <c r="CM71" s="105"/>
      <c r="CN71" s="105"/>
      <c r="CO71" s="105"/>
      <c r="CP71" s="461"/>
      <c r="CQ71" s="461"/>
      <c r="CR71" s="105"/>
      <c r="CS71" s="750">
        <f t="shared" si="20"/>
        <v>0.44428000000000001</v>
      </c>
      <c r="CT71" s="320"/>
      <c r="CU71" s="320"/>
      <c r="CV71" s="457"/>
      <c r="CW71" s="457"/>
      <c r="CX71" s="457"/>
      <c r="CY71" s="457"/>
      <c r="CZ71" s="456"/>
      <c r="DA71" s="457"/>
      <c r="DB71" s="456"/>
      <c r="DC71" s="456"/>
      <c r="DD71" s="469"/>
      <c r="DE71" s="469"/>
      <c r="DF71" s="500">
        <f>11.877-7.921</f>
        <v>3.9560000000000004</v>
      </c>
      <c r="DG71" s="482"/>
      <c r="DH71" s="482"/>
      <c r="DI71" s="482"/>
      <c r="DJ71" s="482"/>
      <c r="DK71" s="361"/>
      <c r="DL71" s="482"/>
      <c r="DM71" s="501"/>
      <c r="DN71" s="501"/>
      <c r="DO71" s="502"/>
      <c r="DP71" s="8">
        <v>54.462000000000003</v>
      </c>
      <c r="DQ71" s="108"/>
      <c r="DR71" s="108"/>
      <c r="DS71" s="108"/>
      <c r="DT71" s="108"/>
      <c r="DU71" s="108"/>
      <c r="DV71" s="108"/>
      <c r="DW71" s="108"/>
      <c r="DX71" s="108"/>
      <c r="DY71" s="105"/>
      <c r="DZ71" s="105"/>
      <c r="EA71" s="105"/>
      <c r="EB71" s="105"/>
      <c r="EC71" s="105"/>
      <c r="ED71" s="105"/>
      <c r="EE71" s="105"/>
      <c r="EF71" s="1017">
        <f t="shared" ref="EF71:EF72" si="25">EF72-DF72</f>
        <v>14.619999999999997</v>
      </c>
      <c r="EG71" s="481"/>
      <c r="EH71" s="481"/>
      <c r="EI71" s="481"/>
      <c r="EJ71" s="481"/>
      <c r="EK71" s="356"/>
      <c r="EL71" s="482"/>
      <c r="EM71" s="356"/>
      <c r="EN71" s="356"/>
      <c r="EO71" s="356"/>
      <c r="EP71" s="160"/>
      <c r="EQ71" s="154"/>
      <c r="ER71" s="154"/>
      <c r="ES71" s="154"/>
      <c r="ET71" s="154"/>
      <c r="EU71" s="154"/>
      <c r="EV71" s="154"/>
      <c r="EW71" s="154"/>
      <c r="EX71" s="154"/>
      <c r="EY71" s="154"/>
      <c r="EZ71" s="160"/>
      <c r="FA71" s="160"/>
      <c r="FB71" s="160"/>
      <c r="FC71" s="160"/>
      <c r="FD71" s="160"/>
      <c r="FE71" s="160"/>
      <c r="FF71" s="160"/>
      <c r="FG71" s="105"/>
      <c r="FH71" s="105"/>
      <c r="FI71" s="105"/>
      <c r="FJ71" s="105"/>
      <c r="FK71" s="390"/>
      <c r="FL71" s="390"/>
      <c r="FM71" s="105"/>
      <c r="FN71" s="105"/>
      <c r="FO71" s="170"/>
      <c r="FP71" s="175"/>
      <c r="FQ71" s="160"/>
      <c r="FR71" s="160"/>
      <c r="FS71" s="160"/>
      <c r="FT71" s="160"/>
      <c r="FU71" s="160"/>
      <c r="FV71" s="160"/>
      <c r="FW71" s="160"/>
      <c r="FX71" s="160"/>
      <c r="FY71" s="160"/>
      <c r="FZ71" s="461"/>
      <c r="GA71" s="105"/>
      <c r="GB71" s="105"/>
      <c r="GC71" s="105"/>
      <c r="GD71" s="105"/>
      <c r="GE71" s="105"/>
      <c r="GF71" s="105"/>
      <c r="GG71" s="105"/>
      <c r="GH71" s="105"/>
      <c r="GI71" s="105"/>
      <c r="GJ71" s="294"/>
      <c r="GK71" s="154"/>
      <c r="GL71" s="1019">
        <f t="shared" ref="GL71:GL73" si="26">EF71</f>
        <v>14.619999999999997</v>
      </c>
      <c r="GM71" s="154"/>
      <c r="GN71" s="154"/>
      <c r="GO71" s="154"/>
      <c r="GP71" s="154"/>
      <c r="GQ71" s="294"/>
      <c r="GR71" s="154"/>
      <c r="GS71" s="154">
        <f>FoF_RoW!$AZ41/1000</f>
        <v>88.578999999999994</v>
      </c>
      <c r="GT71" s="154">
        <f t="shared" si="15"/>
        <v>73.959000000000003</v>
      </c>
      <c r="GU71" s="476"/>
      <c r="GV71" s="358">
        <f>FoF_RoW!$AE41/1000</f>
        <v>11.875999999999999</v>
      </c>
      <c r="GW71" s="358">
        <f t="shared" si="16"/>
        <v>19.602999999999994</v>
      </c>
      <c r="GX71" s="154">
        <v>65.751000000000005</v>
      </c>
      <c r="GY71" s="154"/>
      <c r="GZ71" s="154"/>
      <c r="HA71" s="154">
        <f t="shared" si="22"/>
        <v>14.619999999999997</v>
      </c>
      <c r="HB71" s="154"/>
      <c r="HC71" s="154"/>
      <c r="HD71" s="110"/>
      <c r="HE71" s="105"/>
      <c r="HF71" s="105"/>
      <c r="HV71" s="110"/>
      <c r="HW71" s="132"/>
      <c r="HX71" s="132"/>
      <c r="HY71" s="132"/>
      <c r="HZ71" s="457"/>
      <c r="IA71" s="457"/>
      <c r="IB71" s="457"/>
      <c r="IC71" s="457"/>
      <c r="ID71" s="457"/>
      <c r="IE71" s="457"/>
      <c r="IF71" s="457"/>
      <c r="IG71" s="457"/>
      <c r="IK71" s="845"/>
      <c r="IU71" s="320"/>
      <c r="IV71" s="1244">
        <v>31686</v>
      </c>
      <c r="IW71" s="1244"/>
      <c r="IX71" s="1244">
        <f t="shared" si="23"/>
        <v>11011</v>
      </c>
      <c r="IY71" s="1244"/>
      <c r="IZ71" s="320"/>
      <c r="JA71" s="690">
        <v>5305</v>
      </c>
      <c r="JB71" s="690">
        <v>7301</v>
      </c>
      <c r="JC71" s="690">
        <v>1595</v>
      </c>
      <c r="JD71" s="690">
        <v>0</v>
      </c>
      <c r="JK71" s="320"/>
      <c r="JL71" s="320"/>
      <c r="JM71" s="320"/>
    </row>
    <row r="72" spans="2:273">
      <c r="B72" s="451">
        <v>1980</v>
      </c>
      <c r="C72" s="43">
        <v>2426.8000000000002</v>
      </c>
      <c r="D72" s="5">
        <v>223.6</v>
      </c>
      <c r="E72" s="6">
        <f t="shared" si="0"/>
        <v>9.2137794626668851E-2</v>
      </c>
      <c r="F72" s="454">
        <f t="shared" si="1"/>
        <v>0</v>
      </c>
      <c r="G72" s="76">
        <f t="shared" si="2"/>
        <v>188.1</v>
      </c>
      <c r="H72" s="23">
        <f t="shared" si="3"/>
        <v>7.7509477501236185E-2</v>
      </c>
      <c r="I72" s="455">
        <v>35.5</v>
      </c>
      <c r="J72" s="460">
        <f t="shared" si="4"/>
        <v>1.4628317125432668E-2</v>
      </c>
      <c r="K72" s="6">
        <f t="shared" si="5"/>
        <v>0.15876565295169948</v>
      </c>
      <c r="L72" s="136">
        <v>43.9</v>
      </c>
      <c r="M72" s="136">
        <f t="shared" si="8"/>
        <v>8.3999999999999986</v>
      </c>
      <c r="N72" s="460">
        <f t="shared" si="6"/>
        <v>1.8089665402999833E-2</v>
      </c>
      <c r="O72" s="460">
        <f t="shared" si="9"/>
        <v>3.4613482775671658E-3</v>
      </c>
      <c r="P72" s="449">
        <f t="shared" si="10"/>
        <v>3.7567084078711982E-2</v>
      </c>
      <c r="Q72" s="5">
        <f t="shared" si="7"/>
        <v>223.6</v>
      </c>
      <c r="R72" s="169">
        <f t="shared" si="11"/>
        <v>8.3999999999999986</v>
      </c>
      <c r="S72" s="174"/>
      <c r="X72" s="172">
        <v>8.6349999999999998</v>
      </c>
      <c r="Z72" s="683">
        <f t="shared" si="17"/>
        <v>5.7845600000000008</v>
      </c>
      <c r="AA72" s="225">
        <f>AL72*AK72</f>
        <v>2.1845600000000003</v>
      </c>
      <c r="AB72" s="683">
        <v>3.6</v>
      </c>
      <c r="AC72" s="26">
        <f>X72-Z72</f>
        <v>2.850439999999999</v>
      </c>
      <c r="AK72" s="684">
        <v>4.7</v>
      </c>
      <c r="AL72" s="184">
        <f t="shared" si="24"/>
        <v>0.46480000000000005</v>
      </c>
      <c r="AM72" s="180">
        <f t="array" ref="AM72:AM108">TRANSPOSE(FDIUS_inc!B8:AL8)/1000</f>
        <v>8.6349999999999998</v>
      </c>
      <c r="AN72" s="138">
        <f t="array" ref="AN72:AN108">TRANSPOSE(FDIUS_inc!$B18:$AL18)/1000</f>
        <v>6.0000000000000001E-3</v>
      </c>
      <c r="AO72" s="138">
        <f t="array" ref="AO72:AO108">TRANSPOSE(FDIUS_inc!$B22:$AL22)/1000</f>
        <v>3.2010000000000001</v>
      </c>
      <c r="AP72" s="138">
        <f t="array" ref="AP72:AP108">TRANSPOSE(FDIUS_inc!$B21:$AL21)/1000</f>
        <v>-2.5000000000000001E-2</v>
      </c>
      <c r="AQ72" s="138">
        <f t="array" ref="AQ72:AQ108">TRANSPOSE(FDIUS_inc!$B26:$AL26)/1000</f>
        <v>0.23400000000000001</v>
      </c>
      <c r="AR72" s="138">
        <f t="array" ref="AR72:AR108">TRANSPOSE(FDIUS_inc!$B107:$AL107)/1000</f>
        <v>0.7</v>
      </c>
      <c r="AS72" s="138">
        <f t="array" ref="AS72:AS108">TRANSPOSE(FDIUS_inc!$B109:$AL109)/1000</f>
        <v>-4.7E-2</v>
      </c>
      <c r="AT72" s="450">
        <f t="array" ref="AT72:AT108">TRANSPOSE(FDIUS_inc!$B111:$AL111)/1000</f>
        <v>0.64600000000000002</v>
      </c>
      <c r="AU72" s="138">
        <f t="array" ref="AU72:AU108">TRANSPOSE(FDIUS_inc!$B211:$AL211)/1000</f>
        <v>0</v>
      </c>
      <c r="AV72" s="156">
        <f t="shared" ref="AV72:AV108" si="27">AN72+AO72+AP72+AQ72+AR72+AU72</f>
        <v>4.1159999999999997</v>
      </c>
      <c r="AW72" s="156">
        <f t="shared" ref="AW72:AW108" si="28">AM72-AV72</f>
        <v>4.5190000000000001</v>
      </c>
      <c r="AX72" s="6">
        <f t="shared" ref="AX72:AX108" si="29">AN72/$AM72</f>
        <v>6.9484655471916627E-4</v>
      </c>
      <c r="AY72" s="6">
        <f t="shared" ref="AY72:AY108" si="30">AO72/$AM72</f>
        <v>0.37070063694267519</v>
      </c>
      <c r="AZ72" s="6">
        <f t="shared" ref="AZ72:AZ108" si="31">AP72/$AM72</f>
        <v>-2.8951939779965261E-3</v>
      </c>
      <c r="BA72" s="6">
        <f t="shared" ref="BA72:BA108" si="32">AQ72/$AM72</f>
        <v>2.7099015634047482E-2</v>
      </c>
      <c r="BB72" s="6">
        <f t="shared" ref="BB72:BB108" si="33">AR72/$AM72</f>
        <v>8.1065431383902722E-2</v>
      </c>
      <c r="BC72" s="6">
        <f t="shared" ref="BC72:BC108" si="34">AS72/$AM72</f>
        <v>-5.4429646786334687E-3</v>
      </c>
      <c r="BD72" s="6">
        <f t="shared" ref="BD72:BD108" si="35">AT72/AM72</f>
        <v>7.4811812391430227E-2</v>
      </c>
      <c r="BE72" s="6">
        <f t="shared" ref="BE72:BE108" si="36">AU72/$AM72</f>
        <v>0</v>
      </c>
      <c r="BF72" s="6">
        <f t="shared" ref="BF72:BF108" si="37">BE72+BB72+BA72+AZ72+AY72+AX72</f>
        <v>0.47666473653734809</v>
      </c>
      <c r="BG72" s="6" t="e">
        <f t="array" ref="BG72:BG108">(TRANSPOSE(FDIUS_inc!B9:AL9)+TRANSPOSE(FDIUS_inc!B15:AL15)+TRANSPOSE(FDIUS_inc!B16:AL16)+TRANSPOSE(FDIUS_inc!B27:AL27)+TRANSPOSE(FDIUS_inc!B206:AL206))/1000</f>
        <v>#VALUE!</v>
      </c>
      <c r="BH72" s="6"/>
      <c r="BI72" s="6"/>
      <c r="BJ72" s="67"/>
      <c r="BQ72" s="24"/>
      <c r="BR72" s="184"/>
      <c r="BU72" s="182">
        <f t="shared" si="21"/>
        <v>5.7845600000000008</v>
      </c>
      <c r="BV72" s="185"/>
      <c r="BW72" s="153"/>
      <c r="BX72" s="153"/>
      <c r="BY72" s="153"/>
      <c r="BZ72" s="153"/>
      <c r="CA72" s="153"/>
      <c r="CB72" s="153"/>
      <c r="CC72" s="153"/>
      <c r="CD72" s="153"/>
      <c r="CE72" s="23"/>
      <c r="CF72" s="23"/>
      <c r="CG72" s="23"/>
      <c r="CH72" s="23"/>
      <c r="CI72" s="23"/>
      <c r="CJ72" s="23"/>
      <c r="CK72" s="23"/>
      <c r="CL72" s="23"/>
      <c r="CM72" s="6"/>
      <c r="CN72" s="23"/>
      <c r="CO72" s="23"/>
      <c r="CP72" s="448"/>
      <c r="CQ72" s="448"/>
      <c r="CR72" s="23"/>
      <c r="CS72" s="299">
        <f t="shared" si="20"/>
        <v>2.850439999999999</v>
      </c>
      <c r="CT72" s="319"/>
      <c r="CU72" s="319"/>
      <c r="CV72" s="451"/>
      <c r="CW72" s="451"/>
      <c r="CX72" s="451"/>
      <c r="CY72" s="451"/>
      <c r="CZ72" s="450"/>
      <c r="DA72" s="451"/>
      <c r="DB72" s="450"/>
      <c r="DC72" s="450"/>
      <c r="DD72" s="464"/>
      <c r="DE72" s="464"/>
      <c r="DF72" s="5">
        <f t="array" ref="DF72:DF108">TRANSPOSE(FDIUS_debtflow!B8:AL8)/1000</f>
        <v>2.7130000000000001</v>
      </c>
      <c r="DG72" s="464">
        <f t="array" ref="DG72:DG108">TRANSPOSE(FDIUS_debtflow!B18:AL18)/1000</f>
        <v>0</v>
      </c>
      <c r="DH72" s="464">
        <f t="array" ref="DH72:DH108">TRANSPOSE(FDIUS_debtflow!B22:AL22)/1000</f>
        <v>0.92300000000000004</v>
      </c>
      <c r="DI72" s="464">
        <f t="array" ref="DI72:DI108">TRANSPOSE(FDIUS_debtflow!B21:AL21)/1000</f>
        <v>-1.2999999999999999E-2</v>
      </c>
      <c r="DJ72" s="464">
        <f t="array" ref="DJ72:DJ108">TRANSPOSE(FDIUS_debtflow!B26:AL26)/1000</f>
        <v>0.30499999999999999</v>
      </c>
      <c r="DK72" s="84">
        <f t="array" ref="DK72:DK108">TRANSPOSE(FDIUS_debtflow!B39:AL39)/1000</f>
        <v>0.80800000000000005</v>
      </c>
      <c r="DL72" s="451">
        <f t="array" ref="DL72:DL108">TRANSPOSE(FDIUS_debtflow!B66:AL66)/1000</f>
        <v>0</v>
      </c>
      <c r="DM72" s="282">
        <f t="shared" ref="DM72:DM108" si="38">DG72+DH72+DI72+DJ72+DK72+DL72</f>
        <v>2.0230000000000001</v>
      </c>
      <c r="DN72" s="282">
        <f t="shared" ref="DN72:DN108" si="39">DF72-DM72</f>
        <v>0.69</v>
      </c>
      <c r="DO72" s="174"/>
      <c r="DP72" s="5">
        <f t="array" ref="DP72:DP108">TRANSPOSE(FDIUS_Liab!B8:AL8)/1000</f>
        <v>83.046000000000006</v>
      </c>
      <c r="DQ72" s="76">
        <f t="array" ref="DQ72:DQ108">TRANSPOSE(FDIUS_Liab!B18:AL18)/1000</f>
        <v>9.8000000000000004E-2</v>
      </c>
      <c r="DR72" s="76">
        <f t="array" ref="DR72:DR108">TRANSPOSE(FDIUS_Liab!B22:AL22)/1000</f>
        <v>19.14</v>
      </c>
      <c r="DS72" s="76">
        <f t="array" ref="DS72:DS108">TRANSPOSE(FDIUS_Liab!B21:AL21)/1000</f>
        <v>0.26100000000000001</v>
      </c>
      <c r="DT72" s="76">
        <f t="array" ref="DT72:DT108">TRANSPOSE(FDIUS_Liab!B26:AL26)/1000</f>
        <v>5.07</v>
      </c>
      <c r="DU72" s="76">
        <f t="array" ref="DU72:DU108">TRANSPOSE(FDIUS_Liab!B107:AL107)/1000</f>
        <v>8.4179999999999993</v>
      </c>
      <c r="DV72" s="76">
        <f t="array" ref="DV72:DV108">TRANSPOSE(FDIUS_Liab!B211:AL211)/1000</f>
        <v>0.12327914075491467</v>
      </c>
      <c r="DW72" s="76">
        <f t="shared" ref="DW72:DW108" si="40">DV72+DU72+DT72+DS72+DR72+DQ72</f>
        <v>33.110279140754912</v>
      </c>
      <c r="DX72" s="76">
        <f t="shared" ref="DX72:DX108" si="41">DP72-DW72</f>
        <v>49.935720859245095</v>
      </c>
      <c r="DY72" s="23">
        <f>DW72/$DP72</f>
        <v>0.39869806060201468</v>
      </c>
      <c r="DZ72" s="23">
        <f t="shared" ref="DZ72:DZ108" si="42">DQ72/$DP72</f>
        <v>1.1800688774895841E-3</v>
      </c>
      <c r="EA72" s="23">
        <f t="shared" ref="EA72:EA108" si="43">DR72/$DP72</f>
        <v>0.2304746766852106</v>
      </c>
      <c r="EB72" s="23">
        <f t="shared" ref="EB72:EB108" si="44">DS72/$DP72</f>
        <v>3.1428365002528717E-3</v>
      </c>
      <c r="EC72" s="23">
        <f t="shared" ref="EC72:EC108" si="45">DT72/$DP72</f>
        <v>6.105050213134889E-2</v>
      </c>
      <c r="ED72" s="23">
        <f t="shared" ref="ED72:ED108" si="46">DU72/$DP72</f>
        <v>0.10136550827252365</v>
      </c>
      <c r="EE72" s="23">
        <f>DV72/$DP72</f>
        <v>1.484468135189108E-3</v>
      </c>
      <c r="EF72" s="1018">
        <f t="shared" si="25"/>
        <v>17.332999999999998</v>
      </c>
      <c r="EG72" s="357"/>
      <c r="EH72" s="357"/>
      <c r="EI72" s="357"/>
      <c r="EJ72" s="477"/>
      <c r="EK72" s="88"/>
      <c r="EL72" s="88"/>
      <c r="EM72" s="84"/>
      <c r="EN72" s="84"/>
      <c r="EO72" s="84"/>
      <c r="EP72" s="162"/>
      <c r="EQ72" s="153"/>
      <c r="ER72" s="153"/>
      <c r="ES72" s="153"/>
      <c r="ET72" s="153"/>
      <c r="EU72" s="153"/>
      <c r="EV72" s="153"/>
      <c r="EW72" s="153"/>
      <c r="EX72" s="153"/>
      <c r="EY72" s="153"/>
      <c r="EZ72" s="162"/>
      <c r="FA72" s="162"/>
      <c r="FB72" s="162"/>
      <c r="FC72" s="162"/>
      <c r="FD72" s="162"/>
      <c r="FE72" s="162"/>
      <c r="FF72" s="162"/>
      <c r="FG72" s="23"/>
      <c r="FH72" s="23"/>
      <c r="FI72" s="23"/>
      <c r="FJ72" s="23"/>
      <c r="FK72" s="387"/>
      <c r="FL72" s="387"/>
      <c r="FM72" s="23"/>
      <c r="FN72" s="23"/>
      <c r="FO72" s="169"/>
      <c r="FP72" s="174"/>
      <c r="FQ72" s="159"/>
      <c r="FR72" s="159"/>
      <c r="FS72" s="159"/>
      <c r="FT72" s="159"/>
      <c r="FU72" s="159"/>
      <c r="FV72" s="159"/>
      <c r="FW72" s="159"/>
      <c r="FX72" s="159"/>
      <c r="FY72" s="159"/>
      <c r="FZ72" s="448"/>
      <c r="GA72" s="23"/>
      <c r="GB72" s="23"/>
      <c r="GC72" s="23"/>
      <c r="GD72" s="23"/>
      <c r="GE72" s="23"/>
      <c r="GF72" s="23"/>
      <c r="GG72" s="23"/>
      <c r="GH72" s="23"/>
      <c r="GI72" s="23"/>
      <c r="GJ72" s="295"/>
      <c r="GK72" s="153"/>
      <c r="GL72" s="1020">
        <f t="shared" si="26"/>
        <v>17.332999999999998</v>
      </c>
      <c r="GM72" s="153"/>
      <c r="GN72" s="153"/>
      <c r="GO72" s="153"/>
      <c r="GP72" s="153"/>
      <c r="GQ72" s="295"/>
      <c r="GR72" s="153"/>
      <c r="GS72" s="153">
        <f>FoF_RoW!$AZ42/1000</f>
        <v>127.105</v>
      </c>
      <c r="GT72" s="513">
        <f t="shared" si="15"/>
        <v>109.77200000000001</v>
      </c>
      <c r="GU72" s="34"/>
      <c r="GV72" s="416">
        <f>FoF_RoW!$AE42/1000</f>
        <v>16.917999999999999</v>
      </c>
      <c r="GW72" s="416">
        <f t="shared" si="16"/>
        <v>38.52600000000001</v>
      </c>
      <c r="GX72" s="153">
        <v>99.867000000000004</v>
      </c>
      <c r="GY72" s="153"/>
      <c r="GZ72" s="153"/>
      <c r="HA72" s="153">
        <f t="shared" si="22"/>
        <v>17.332999999999998</v>
      </c>
      <c r="HB72" s="153"/>
      <c r="HC72" s="153"/>
      <c r="HD72" s="97"/>
      <c r="HE72" s="23"/>
      <c r="HF72" s="23"/>
      <c r="HV72" s="97"/>
      <c r="HW72" s="29"/>
      <c r="HX72" s="29"/>
      <c r="HY72" s="29"/>
      <c r="HZ72" s="451"/>
      <c r="IA72" s="451"/>
      <c r="IB72" s="451"/>
      <c r="IC72" s="451"/>
      <c r="ID72" s="451"/>
      <c r="IE72" s="451"/>
      <c r="IF72" s="451"/>
      <c r="IG72" s="451"/>
      <c r="IK72" s="841"/>
      <c r="IL72" s="90"/>
      <c r="IU72" s="319"/>
      <c r="IV72" s="1243">
        <v>40047</v>
      </c>
      <c r="IW72" s="1243"/>
      <c r="IX72" s="1243">
        <f t="shared" si="23"/>
        <v>13535</v>
      </c>
      <c r="IY72" s="1243"/>
      <c r="IZ72" s="666"/>
      <c r="JA72" s="76">
        <v>7066</v>
      </c>
      <c r="JB72" s="76">
        <v>8759</v>
      </c>
      <c r="JC72" s="76">
        <f>1678+210</f>
        <v>1888</v>
      </c>
      <c r="JD72" s="76">
        <v>402</v>
      </c>
      <c r="JK72" s="319"/>
      <c r="JL72" s="319"/>
      <c r="JM72" s="319"/>
    </row>
    <row r="73" spans="2:273">
      <c r="B73" s="451">
        <v>1981</v>
      </c>
      <c r="C73" s="43">
        <v>2722.1</v>
      </c>
      <c r="D73" s="5">
        <v>247.5</v>
      </c>
      <c r="E73" s="6">
        <f t="shared" si="0"/>
        <v>9.0922449579368875E-2</v>
      </c>
      <c r="F73" s="454">
        <f t="shared" si="1"/>
        <v>0</v>
      </c>
      <c r="G73" s="76">
        <f t="shared" si="2"/>
        <v>217.8</v>
      </c>
      <c r="H73" s="23">
        <f t="shared" si="3"/>
        <v>8.0011755629844611E-2</v>
      </c>
      <c r="I73" s="455">
        <v>29.7</v>
      </c>
      <c r="J73" s="460">
        <f t="shared" si="4"/>
        <v>1.0910693949524264E-2</v>
      </c>
      <c r="K73" s="6">
        <f t="shared" si="5"/>
        <v>0.12</v>
      </c>
      <c r="L73" s="136">
        <v>38</v>
      </c>
      <c r="M73" s="136">
        <f t="shared" si="8"/>
        <v>8.3000000000000007</v>
      </c>
      <c r="N73" s="460">
        <f t="shared" si="6"/>
        <v>1.3959810440468757E-2</v>
      </c>
      <c r="O73" s="460">
        <f t="shared" si="9"/>
        <v>3.0491164909444918E-3</v>
      </c>
      <c r="P73" s="449">
        <f t="shared" si="10"/>
        <v>3.3535353535353536E-2</v>
      </c>
      <c r="Q73" s="5">
        <f t="shared" si="7"/>
        <v>247.5</v>
      </c>
      <c r="R73" s="169">
        <f t="shared" si="11"/>
        <v>8.3000000000000007</v>
      </c>
      <c r="S73" s="174"/>
      <c r="X73" s="172">
        <v>6.8979999999999997</v>
      </c>
      <c r="Z73" s="683">
        <f>AA73+AB73</f>
        <v>5.5634399999999999</v>
      </c>
      <c r="AA73" s="225">
        <f>AL73*AK73</f>
        <v>2.4634400000000003</v>
      </c>
      <c r="AB73" s="683">
        <v>3.1</v>
      </c>
      <c r="AC73" s="26">
        <f>X73-Z73</f>
        <v>1.3345599999999997</v>
      </c>
      <c r="AK73" s="684">
        <v>5.3</v>
      </c>
      <c r="AL73" s="184">
        <f>AL$74</f>
        <v>0.46480000000000005</v>
      </c>
      <c r="AM73" s="180">
        <v>6.8979999999999997</v>
      </c>
      <c r="AN73" s="138">
        <v>8.0000000000000002E-3</v>
      </c>
      <c r="AO73" s="138">
        <v>3.2570000000000001</v>
      </c>
      <c r="AP73" s="138">
        <v>-2.4E-2</v>
      </c>
      <c r="AQ73" s="138">
        <v>0.28899999999999998</v>
      </c>
      <c r="AR73" s="138">
        <v>0.61199999999999999</v>
      </c>
      <c r="AS73" s="138">
        <v>-5.5E-2</v>
      </c>
      <c r="AT73" s="450">
        <v>0.57899999999999996</v>
      </c>
      <c r="AU73" s="138">
        <v>0</v>
      </c>
      <c r="AV73" s="156">
        <f t="shared" si="27"/>
        <v>4.1420000000000003</v>
      </c>
      <c r="AW73" s="156">
        <f t="shared" si="28"/>
        <v>2.7559999999999993</v>
      </c>
      <c r="AX73" s="6">
        <f t="shared" si="29"/>
        <v>1.1597564511452597E-3</v>
      </c>
      <c r="AY73" s="6">
        <f t="shared" si="30"/>
        <v>0.47216584517251381</v>
      </c>
      <c r="AZ73" s="6">
        <f t="shared" si="31"/>
        <v>-3.4792693534357786E-3</v>
      </c>
      <c r="BA73" s="6">
        <f t="shared" si="32"/>
        <v>4.1896201797622497E-2</v>
      </c>
      <c r="BB73" s="6">
        <f t="shared" si="33"/>
        <v>8.872136851261235E-2</v>
      </c>
      <c r="BC73" s="6">
        <f t="shared" si="34"/>
        <v>-7.9733256016236587E-3</v>
      </c>
      <c r="BD73" s="6">
        <f t="shared" si="35"/>
        <v>8.3937373151638156E-2</v>
      </c>
      <c r="BE73" s="6">
        <f t="shared" si="36"/>
        <v>0</v>
      </c>
      <c r="BF73" s="6">
        <f t="shared" si="37"/>
        <v>0.60046390258045823</v>
      </c>
      <c r="BG73" s="6" t="e">
        <v>#VALUE!</v>
      </c>
      <c r="BH73" s="6"/>
      <c r="BI73" s="6"/>
      <c r="BJ73" s="67"/>
      <c r="BQ73" s="24"/>
      <c r="BR73" s="184"/>
      <c r="BU73" s="182">
        <f t="shared" si="21"/>
        <v>5.5634399999999999</v>
      </c>
      <c r="BV73" s="185"/>
      <c r="BW73" s="153"/>
      <c r="BX73" s="153"/>
      <c r="BY73" s="153"/>
      <c r="BZ73" s="153"/>
      <c r="CA73" s="153"/>
      <c r="CB73" s="153"/>
      <c r="CC73" s="153"/>
      <c r="CD73" s="153"/>
      <c r="CE73" s="23"/>
      <c r="CF73" s="23"/>
      <c r="CG73" s="23"/>
      <c r="CH73" s="23"/>
      <c r="CI73" s="23"/>
      <c r="CJ73" s="23"/>
      <c r="CK73" s="23"/>
      <c r="CL73" s="23"/>
      <c r="CM73" s="6"/>
      <c r="CN73" s="23"/>
      <c r="CO73" s="23"/>
      <c r="CP73" s="448"/>
      <c r="CQ73" s="448"/>
      <c r="CR73" s="23"/>
      <c r="CS73" s="299">
        <f t="shared" si="20"/>
        <v>1.3345599999999997</v>
      </c>
      <c r="CT73" s="319"/>
      <c r="CU73" s="319"/>
      <c r="CV73" s="451"/>
      <c r="CW73" s="451"/>
      <c r="CX73" s="451"/>
      <c r="CY73" s="451"/>
      <c r="CZ73" s="450"/>
      <c r="DA73" s="451"/>
      <c r="DB73" s="450"/>
      <c r="DC73" s="450"/>
      <c r="DD73" s="464"/>
      <c r="DE73" s="464"/>
      <c r="DF73" s="5">
        <v>7.4550000000000001</v>
      </c>
      <c r="DG73" s="464">
        <v>0</v>
      </c>
      <c r="DH73" s="464">
        <v>1.9390000000000001</v>
      </c>
      <c r="DI73" s="464">
        <v>2.1000000000000001E-2</v>
      </c>
      <c r="DJ73" s="464">
        <v>0.153</v>
      </c>
      <c r="DK73" s="84">
        <v>0.50800000000000001</v>
      </c>
      <c r="DL73" s="451">
        <v>0</v>
      </c>
      <c r="DM73" s="282">
        <f t="shared" si="38"/>
        <v>2.621</v>
      </c>
      <c r="DN73" s="282">
        <f t="shared" si="39"/>
        <v>4.8339999999999996</v>
      </c>
      <c r="DO73" s="174"/>
      <c r="DP73" s="5">
        <v>108.714</v>
      </c>
      <c r="DQ73" s="76">
        <v>0.13</v>
      </c>
      <c r="DR73" s="76">
        <v>26.824000000000002</v>
      </c>
      <c r="DS73" s="76">
        <v>0.28199999999999997</v>
      </c>
      <c r="DT73" s="76">
        <v>5.4740000000000002</v>
      </c>
      <c r="DU73" s="76">
        <v>10.313000000000001</v>
      </c>
      <c r="DV73" s="76">
        <v>0.16138246884894869</v>
      </c>
      <c r="DW73" s="76">
        <f t="shared" si="40"/>
        <v>43.184382468848952</v>
      </c>
      <c r="DX73" s="76">
        <f t="shared" si="41"/>
        <v>65.529617531151047</v>
      </c>
      <c r="DY73" s="23">
        <f>DW73/$DP73</f>
        <v>0.3972292664132398</v>
      </c>
      <c r="DZ73" s="23">
        <f t="shared" si="42"/>
        <v>1.1957981492724029E-3</v>
      </c>
      <c r="EA73" s="23">
        <f t="shared" si="43"/>
        <v>0.24673915043140721</v>
      </c>
      <c r="EB73" s="23">
        <f t="shared" si="44"/>
        <v>2.5939621391909045E-3</v>
      </c>
      <c r="EC73" s="23">
        <f t="shared" si="45"/>
        <v>5.0352300531670259E-2</v>
      </c>
      <c r="ED73" s="23">
        <f t="shared" si="46"/>
        <v>9.4863587026509932E-2</v>
      </c>
      <c r="EE73" s="23">
        <f>DV73/$DP73</f>
        <v>1.484468135189108E-3</v>
      </c>
      <c r="EF73" s="1018">
        <f>EF74-DF74</f>
        <v>24.788</v>
      </c>
      <c r="EG73" s="357"/>
      <c r="EH73" s="357"/>
      <c r="EI73" s="357"/>
      <c r="EJ73" s="477"/>
      <c r="EK73" s="88"/>
      <c r="EL73" s="88"/>
      <c r="EM73" s="84"/>
      <c r="EN73" s="84"/>
      <c r="EO73" s="84"/>
      <c r="EP73" s="162"/>
      <c r="EQ73" s="153"/>
      <c r="ER73" s="153"/>
      <c r="ES73" s="153"/>
      <c r="ET73" s="153"/>
      <c r="EU73" s="153"/>
      <c r="EV73" s="153"/>
      <c r="EW73" s="153"/>
      <c r="EX73" s="153"/>
      <c r="EY73" s="153"/>
      <c r="EZ73" s="162"/>
      <c r="FA73" s="162"/>
      <c r="FB73" s="162"/>
      <c r="FC73" s="162"/>
      <c r="FD73" s="162"/>
      <c r="FE73" s="162"/>
      <c r="FF73" s="162"/>
      <c r="FG73" s="23"/>
      <c r="FH73" s="23"/>
      <c r="FI73" s="23"/>
      <c r="FJ73" s="23"/>
      <c r="FK73" s="387"/>
      <c r="FL73" s="387"/>
      <c r="FM73" s="23"/>
      <c r="FN73" s="23"/>
      <c r="FO73" s="169"/>
      <c r="FP73" s="174"/>
      <c r="FQ73" s="159"/>
      <c r="FR73" s="159"/>
      <c r="FS73" s="159"/>
      <c r="FT73" s="159"/>
      <c r="FU73" s="322"/>
      <c r="FV73" s="159"/>
      <c r="FW73" s="159"/>
      <c r="FX73" s="159"/>
      <c r="FY73" s="159"/>
      <c r="FZ73" s="448"/>
      <c r="GA73" s="23"/>
      <c r="GB73" s="23"/>
      <c r="GC73" s="23"/>
      <c r="GD73" s="23"/>
      <c r="GE73" s="251"/>
      <c r="GF73" s="23"/>
      <c r="GG73" s="23"/>
      <c r="GH73" s="23"/>
      <c r="GI73" s="23"/>
      <c r="GJ73" s="295"/>
      <c r="GK73" s="153"/>
      <c r="GL73" s="1020">
        <f t="shared" si="26"/>
        <v>24.788</v>
      </c>
      <c r="GM73" s="153"/>
      <c r="GN73" s="153"/>
      <c r="GO73" s="153"/>
      <c r="GP73" s="153"/>
      <c r="GQ73" s="295"/>
      <c r="GR73" s="153"/>
      <c r="GS73" s="153">
        <f>FoF_RoW!$AZ43/1000</f>
        <v>164.62299999999999</v>
      </c>
      <c r="GT73" s="513">
        <f t="shared" si="15"/>
        <v>139.83499999999998</v>
      </c>
      <c r="GU73" s="34"/>
      <c r="GV73" s="416">
        <f>FoF_RoW!$AE43/1000</f>
        <v>25.196000000000002</v>
      </c>
      <c r="GW73" s="416">
        <f t="shared" si="16"/>
        <v>37.517999999999986</v>
      </c>
      <c r="GX73" s="153">
        <v>109.292</v>
      </c>
      <c r="GY73" s="153"/>
      <c r="GZ73" s="153"/>
      <c r="HA73" s="153">
        <f t="shared" si="22"/>
        <v>24.788</v>
      </c>
      <c r="HB73" s="153"/>
      <c r="HC73" s="153"/>
      <c r="HD73" s="97"/>
      <c r="HE73" s="23"/>
      <c r="HF73" s="23"/>
      <c r="HV73" s="97"/>
      <c r="HW73" s="29"/>
      <c r="HX73" s="29"/>
      <c r="HY73" s="29"/>
      <c r="HZ73" s="451"/>
      <c r="IA73" s="451"/>
      <c r="IB73" s="451"/>
      <c r="IC73" s="451"/>
      <c r="ID73" s="451"/>
      <c r="IE73" s="451"/>
      <c r="IF73" s="451"/>
      <c r="IG73" s="451"/>
      <c r="IK73" s="841"/>
      <c r="IL73" s="90"/>
      <c r="IU73" s="319"/>
      <c r="IV73" s="330">
        <v>54798</v>
      </c>
      <c r="IW73" s="330"/>
      <c r="IX73" s="1243">
        <f t="shared" si="23"/>
        <v>14958</v>
      </c>
      <c r="IY73" s="1243"/>
      <c r="IZ73" s="666"/>
      <c r="JA73" s="76">
        <v>8295</v>
      </c>
      <c r="JB73" s="76">
        <v>11234</v>
      </c>
      <c r="JC73" s="76">
        <v>2331</v>
      </c>
      <c r="JD73" s="76">
        <v>2240</v>
      </c>
      <c r="JK73" s="319"/>
      <c r="JL73" s="319"/>
      <c r="JM73" s="319"/>
    </row>
    <row r="74" spans="2:273">
      <c r="B74" s="451">
        <v>1982</v>
      </c>
      <c r="C74" s="43">
        <v>2840.4</v>
      </c>
      <c r="D74" s="5">
        <v>229.9</v>
      </c>
      <c r="E74" s="460">
        <f t="shared" si="0"/>
        <v>8.0939304323334738E-2</v>
      </c>
      <c r="F74" s="454">
        <f t="shared" si="1"/>
        <v>0</v>
      </c>
      <c r="G74" s="76">
        <f t="shared" si="2"/>
        <v>197.3</v>
      </c>
      <c r="H74" s="23">
        <f t="shared" si="3"/>
        <v>6.9462047598929724E-2</v>
      </c>
      <c r="I74" s="455">
        <v>32.6</v>
      </c>
      <c r="J74" s="460">
        <f t="shared" si="4"/>
        <v>1.1477256724405013E-2</v>
      </c>
      <c r="K74" s="6">
        <f t="shared" si="5"/>
        <v>0.14180078294910831</v>
      </c>
      <c r="L74" s="136">
        <v>36.700000000000003</v>
      </c>
      <c r="M74" s="136">
        <f t="shared" si="8"/>
        <v>4.1000000000000014</v>
      </c>
      <c r="N74" s="460">
        <f t="shared" si="6"/>
        <v>1.2920715392198282E-2</v>
      </c>
      <c r="O74" s="460">
        <f t="shared" si="9"/>
        <v>1.4434586677932689E-3</v>
      </c>
      <c r="P74" s="449">
        <f t="shared" si="10"/>
        <v>1.7833840800347982E-2</v>
      </c>
      <c r="Q74" s="5">
        <f t="shared" si="7"/>
        <v>229.9</v>
      </c>
      <c r="R74" s="169">
        <f t="shared" si="11"/>
        <v>4.1000000000000014</v>
      </c>
      <c r="S74" s="174"/>
      <c r="U74" s="76">
        <f t="shared" ref="U74:U89" si="47">Z74</f>
        <v>-4.9999999999999822E-2</v>
      </c>
      <c r="W74" s="23">
        <f t="shared" ref="W74:W108" si="48">U74/R74</f>
        <v>-1.2195121951219464E-2</v>
      </c>
      <c r="X74" s="180">
        <f t="array" ref="X74:X108">TRANSPOSE(ITA_4.2!C56:AK56)/1000</f>
        <v>2.1160000000000001</v>
      </c>
      <c r="Y74" s="79">
        <f t="shared" ref="Y74:Y108" si="49">X74-Z74-AC74</f>
        <v>9.9999999999988987E-4</v>
      </c>
      <c r="Z74" s="79">
        <f t="shared" ref="Z74:Z108" si="50">AA74+AB74</f>
        <v>-4.9999999999999822E-2</v>
      </c>
      <c r="AA74" s="683">
        <f t="array" ref="AA74:AA108">TRANSPOSE(ITA_4.2!C58:AK58)/1000</f>
        <v>3.4860000000000002</v>
      </c>
      <c r="AB74" s="683">
        <f t="array" ref="AB74:AB108">TRANSPOSE(ITA_4.2!C59:AK59)/1000</f>
        <v>-3.536</v>
      </c>
      <c r="AC74" s="79">
        <f t="shared" ref="AC74:AC108" si="51">CS74</f>
        <v>2.165</v>
      </c>
      <c r="AD74" s="79">
        <f t="array" ref="AD74:AD108">TRANSPOSE(ITA_4.2!C63:AK63)/1000</f>
        <v>2.8010000000000002</v>
      </c>
      <c r="AE74" s="79">
        <f t="array" ref="AE74:AE108">TRANSPOSE(ITA_4.2!C64:AK64)/1000</f>
        <v>0.63600000000000001</v>
      </c>
      <c r="AF74" s="23">
        <f t="shared" ref="AF74:AF108" si="52">AB74/Z74</f>
        <v>70.720000000000255</v>
      </c>
      <c r="AG74" s="23">
        <f t="shared" ref="AG74:AG108" si="53">AD74/D74</f>
        <v>1.2183558068725533E-2</v>
      </c>
      <c r="AH74" s="450">
        <f t="array" ref="AH74:AH108">TRANSPOSE(ITA_4.2!C61:AK61)/1000</f>
        <v>-1.175</v>
      </c>
      <c r="AI74" s="79">
        <f t="shared" ref="AI74:AI108" si="54">X74-AH74</f>
        <v>3.2910000000000004</v>
      </c>
      <c r="AJ74" s="79">
        <f t="shared" ref="AJ74:AJ108" si="55">AI74-AM74</f>
        <v>0.11700000000000044</v>
      </c>
      <c r="AK74" s="79">
        <v>7.5</v>
      </c>
      <c r="AL74" s="23">
        <f t="shared" ref="AL74:AL108" si="56">AA74/AK74</f>
        <v>0.46480000000000005</v>
      </c>
      <c r="AM74" s="182">
        <v>3.1739999999999999</v>
      </c>
      <c r="AN74" s="79">
        <v>1.0999999999999999E-2</v>
      </c>
      <c r="AO74" s="79">
        <v>1.829</v>
      </c>
      <c r="AP74" s="79">
        <v>-0.01</v>
      </c>
      <c r="AQ74" s="79">
        <v>0.20300000000000001</v>
      </c>
      <c r="AR74" s="79">
        <v>0.20100000000000001</v>
      </c>
      <c r="AS74" s="79">
        <v>-4.8000000000000001E-2</v>
      </c>
      <c r="AT74" s="79">
        <v>0.255</v>
      </c>
      <c r="AU74" s="79">
        <v>0</v>
      </c>
      <c r="AV74" s="153">
        <f t="shared" si="27"/>
        <v>2.234</v>
      </c>
      <c r="AW74" s="153">
        <f t="shared" si="28"/>
        <v>0.94</v>
      </c>
      <c r="AX74" s="23">
        <f t="shared" si="29"/>
        <v>3.4656584751102709E-3</v>
      </c>
      <c r="AY74" s="23">
        <f t="shared" si="30"/>
        <v>0.57624448645242599</v>
      </c>
      <c r="AZ74" s="23">
        <f t="shared" si="31"/>
        <v>-3.1505986137366103E-3</v>
      </c>
      <c r="BA74" s="23">
        <f t="shared" si="32"/>
        <v>6.3957151858853187E-2</v>
      </c>
      <c r="BB74" s="23">
        <f t="shared" si="33"/>
        <v>6.3327032136105868E-2</v>
      </c>
      <c r="BC74" s="23">
        <f t="shared" si="34"/>
        <v>-1.5122873345935728E-2</v>
      </c>
      <c r="BD74" s="23">
        <f t="shared" si="35"/>
        <v>8.0340264650283558E-2</v>
      </c>
      <c r="BE74" s="23">
        <f t="shared" si="36"/>
        <v>0</v>
      </c>
      <c r="BF74" s="23">
        <f t="shared" si="37"/>
        <v>0.70384373030875869</v>
      </c>
      <c r="BG74" s="23" t="e">
        <v>#VALUE!</v>
      </c>
      <c r="BH74" s="23"/>
      <c r="BI74" s="23">
        <f>'Assets(BoP)'!EF74</f>
        <v>0.31541002094409543</v>
      </c>
      <c r="BJ74" s="182">
        <f t="array" ref="BJ74:BJ108">TRANSPOSE(ITA_4.2!C60:AK60)/1000</f>
        <v>-2.3610000000000002</v>
      </c>
      <c r="BK74" s="79"/>
      <c r="BL74" s="79"/>
      <c r="BM74" s="79"/>
      <c r="BN74" s="79"/>
      <c r="BO74" s="79"/>
      <c r="BP74" s="79"/>
      <c r="BQ74" s="28">
        <f t="shared" ref="BQ74:BQ90" si="57">BP74+BO74+BN74+BM74+BL74+BK74</f>
        <v>0</v>
      </c>
      <c r="BR74" s="23">
        <f t="shared" ref="BR74:BR108" si="58">BQ74/CC74</f>
        <v>0</v>
      </c>
      <c r="BS74" s="79"/>
      <c r="BT74" s="23">
        <f t="shared" ref="BT74:BT108" si="59">BQ74/BJ74</f>
        <v>0</v>
      </c>
      <c r="BU74" s="182">
        <f t="shared" ref="BU74:BU108" si="60">AM74-CS74</f>
        <v>1.0089999999999999</v>
      </c>
      <c r="BV74" s="136">
        <f t="shared" ref="BV74:BV108" si="61">BU74-(Z74-AH74-AJ74)</f>
        <v>1.0000000000001119E-3</v>
      </c>
      <c r="BW74" s="153">
        <f t="shared" ref="BW74:BW108" si="62">AN74-CV74</f>
        <v>1.0999999999999999E-2</v>
      </c>
      <c r="BX74" s="153">
        <f t="shared" ref="BX74:BX108" si="63">AO74-CW74</f>
        <v>1.3844446765850056</v>
      </c>
      <c r="BY74" s="153">
        <f t="shared" ref="BY74:BY108" si="64">AP74-CX74</f>
        <v>-1.8700957371439196E-2</v>
      </c>
      <c r="BZ74" s="153">
        <f t="shared" ref="BZ74:BZ108" si="65">AQ74-CY74</f>
        <v>6.0400076334202357E-2</v>
      </c>
      <c r="CA74" s="153">
        <f t="shared" ref="CA74:CA108" si="66">AR74-CZ74</f>
        <v>-0.14059385823394949</v>
      </c>
      <c r="CB74" s="153">
        <f t="shared" ref="CB74:CB108" si="67">AU74-DA74</f>
        <v>0</v>
      </c>
      <c r="CC74" s="153">
        <f t="shared" ref="CC74:CC108" si="68">BW74+BX74+BY74+BZ74+CA74+CB74</f>
        <v>1.2965499373138192</v>
      </c>
      <c r="CD74" s="153">
        <f t="shared" ref="CD74:CD108" si="69">AW74-DC74</f>
        <v>-0.83224778354885354</v>
      </c>
      <c r="CE74" s="23">
        <f t="shared" ref="CE74:CE108" si="70">BW74/$BU74</f>
        <v>1.0901883052527254E-2</v>
      </c>
      <c r="CF74" s="23">
        <f t="shared" ref="CF74:CF108" si="71">BX74/$BU74</f>
        <v>1.3720958142566955</v>
      </c>
      <c r="CG74" s="23">
        <f t="shared" ref="CG74:CG108" si="72">BY74/$BU74</f>
        <v>-1.8534150021247968E-2</v>
      </c>
      <c r="CH74" s="23">
        <f t="shared" ref="CH74:CH108" si="73">BZ74/$BU74</f>
        <v>5.9861324414472117E-2</v>
      </c>
      <c r="CI74" s="23">
        <f t="shared" ref="CI74:CI108" si="74">CA74/$BU74</f>
        <v>-0.13933980003364668</v>
      </c>
      <c r="CJ74" s="23">
        <f t="shared" ref="CJ74:CJ108" si="75">CB74/$BU74</f>
        <v>0</v>
      </c>
      <c r="CK74" s="23">
        <f t="shared" ref="CK74:CK108" si="76">CJ74+CI74+CH74+CG74+CF74+CE74</f>
        <v>1.2849850716688</v>
      </c>
      <c r="CL74" s="23">
        <f t="shared" ref="CL74:CL108" si="77">1-CK74</f>
        <v>-0.28498507166880005</v>
      </c>
      <c r="CM74" s="23">
        <f t="shared" ref="CM74:CM108" si="78">CK74*P74</f>
        <v>2.2916219198965124E-2</v>
      </c>
      <c r="CN74" s="23">
        <f t="shared" ref="CN74:CN108" si="79">CL74*P74</f>
        <v>-5.0823783986171404E-3</v>
      </c>
      <c r="CO74" s="23">
        <f t="shared" ref="CO74:CO85" si="80">CM74*$E74</f>
        <v>1.8548228396852843E-3</v>
      </c>
      <c r="CP74" s="448">
        <f t="shared" ref="CP74:CP85" si="81">CO74*$BR74</f>
        <v>0</v>
      </c>
      <c r="CQ74" s="448">
        <f t="shared" ref="CQ74:CQ85" si="82">CO74-CP74</f>
        <v>1.8548228396852843E-3</v>
      </c>
      <c r="CR74" s="23">
        <f t="shared" ref="CR74:CR85" si="83">CN74*$E74</f>
        <v>-4.1136417189201538E-4</v>
      </c>
      <c r="CS74" s="182">
        <f t="array" ref="CS74:CS108">TRANSPOSE(ITA_4.2!C62:AK62)/1000</f>
        <v>2.165</v>
      </c>
      <c r="CT74" s="153">
        <f t="array" ref="CT74:CT108">TRANSPOSE(ITA_4.2!C14:AK14)/1000</f>
        <v>0.63600000000000001</v>
      </c>
      <c r="CU74" s="153">
        <f t="array" ref="CU74:CU108">TRANSPOSE(ITA_4.2!C51:AK51)/1000</f>
        <v>2.8010000000000002</v>
      </c>
      <c r="CV74" s="79">
        <f t="shared" ref="CV74:DA74" si="84">$FL74*EQ74-$FK74*FA74</f>
        <v>0</v>
      </c>
      <c r="CW74" s="79">
        <f t="shared" si="84"/>
        <v>0.44455532341499432</v>
      </c>
      <c r="CX74" s="79">
        <f t="shared" si="84"/>
        <v>8.7009573714391941E-3</v>
      </c>
      <c r="CY74" s="79">
        <f t="shared" si="84"/>
        <v>0.14259992366579766</v>
      </c>
      <c r="CZ74" s="79">
        <f t="shared" si="84"/>
        <v>0.3415938582339495</v>
      </c>
      <c r="DA74" s="79">
        <f t="shared" si="84"/>
        <v>0</v>
      </c>
      <c r="DB74" s="79">
        <f t="shared" ref="DB74:DB108" si="85">CV74+CW74+CX74+CY74+CZ74+DA74</f>
        <v>0.9374500626861807</v>
      </c>
      <c r="DC74" s="79">
        <f t="shared" ref="DC74:DC89" si="86">$FL74*EX74-$FK74*FH74</f>
        <v>1.7722477835488535</v>
      </c>
      <c r="DD74" s="79">
        <f t="shared" ref="DD74:DD108" si="87">CS74-DB74-DC74</f>
        <v>-0.54469784623503426</v>
      </c>
      <c r="DE74" s="23">
        <f t="shared" ref="DE74:DE108" si="88">DB74/CS74</f>
        <v>0.43300233842317815</v>
      </c>
      <c r="DF74" s="149">
        <v>6.4480000000000004</v>
      </c>
      <c r="DG74" s="153">
        <v>0</v>
      </c>
      <c r="DH74" s="153">
        <v>1.7390000000000001</v>
      </c>
      <c r="DI74" s="153">
        <v>5.8000000000000003E-2</v>
      </c>
      <c r="DJ74" s="153">
        <v>0.249</v>
      </c>
      <c r="DK74" s="153">
        <v>0.65</v>
      </c>
      <c r="DL74" s="153">
        <v>0</v>
      </c>
      <c r="DM74" s="330">
        <f t="shared" si="38"/>
        <v>2.6960000000000002</v>
      </c>
      <c r="DN74" s="322">
        <f t="shared" si="39"/>
        <v>3.7520000000000002</v>
      </c>
      <c r="DO74" s="258"/>
      <c r="DP74" s="5">
        <v>124.67700000000001</v>
      </c>
      <c r="DQ74" s="76">
        <v>0.13200000000000001</v>
      </c>
      <c r="DR74" s="76">
        <v>26.190999999999999</v>
      </c>
      <c r="DS74" s="76">
        <v>0.33600000000000002</v>
      </c>
      <c r="DT74" s="76">
        <v>6.3780000000000001</v>
      </c>
      <c r="DU74" s="76">
        <v>11.422000000000001</v>
      </c>
      <c r="DV74" s="76">
        <v>0.18507903369097245</v>
      </c>
      <c r="DW74" s="76">
        <f t="shared" si="40"/>
        <v>44.644079033690964</v>
      </c>
      <c r="DX74" s="76">
        <f t="shared" si="41"/>
        <v>80.032920966309035</v>
      </c>
      <c r="DY74" s="23">
        <f>DW74/$DP74</f>
        <v>0.35807790557754005</v>
      </c>
      <c r="DZ74" s="23">
        <f t="shared" si="42"/>
        <v>1.058735773238047E-3</v>
      </c>
      <c r="EA74" s="23">
        <f t="shared" si="43"/>
        <v>0.21007082300664917</v>
      </c>
      <c r="EB74" s="23">
        <f t="shared" si="44"/>
        <v>2.6949637864241201E-3</v>
      </c>
      <c r="EC74" s="23">
        <f t="shared" si="45"/>
        <v>5.1156187588729272E-2</v>
      </c>
      <c r="ED74" s="23">
        <f t="shared" si="46"/>
        <v>9.1612727287310416E-2</v>
      </c>
      <c r="EE74" s="23">
        <f>DV74/$DP74</f>
        <v>1.4844681351891082E-3</v>
      </c>
      <c r="EF74" s="149">
        <f t="array" ref="EF74:EF108">TRANSPOSE(IIP_2.1!C42:AK42)/1000</f>
        <v>31.236000000000001</v>
      </c>
      <c r="EG74" s="322">
        <f>$EF74/($DF72+$DF73+$DF74)*(DG72+DG73+DG74)</f>
        <v>0</v>
      </c>
      <c r="EH74" s="322">
        <f>$EF74/($DF72+$DF73+$DF74)*(DH72+DH73+DH74)*0.7</f>
        <v>6.0545128310062584</v>
      </c>
      <c r="EI74" s="322">
        <f>$EF74/($DF72+$DF73+$DF74)*(DI72+DI73+DI74)</f>
        <v>0.12407173808377468</v>
      </c>
      <c r="EJ74" s="322">
        <f>$EF74/($DF72+$DF73+$DF74)*(DJ72+DJ73+DJ74)</f>
        <v>1.32907149735195</v>
      </c>
      <c r="EK74" s="322">
        <f>$EF74/($DF72+$DF73+$DF74)*(DK72+DK73+DK74)</f>
        <v>3.6958338950409249</v>
      </c>
      <c r="EL74" s="322">
        <f>$EF74/($DF72+$DF73+$DF74)*(DL72+DL73+DL74)</f>
        <v>0</v>
      </c>
      <c r="EM74" s="330">
        <f t="shared" ref="EM74:EM100" si="89">EG74+EH74+EI74+EJ74+EK74+EL74</f>
        <v>11.203489961482907</v>
      </c>
      <c r="EN74" s="330">
        <f t="shared" ref="EN74:EN100" si="90">EF74-EM74</f>
        <v>20.032510038517096</v>
      </c>
      <c r="EO74" s="23">
        <f t="shared" ref="EO74:EO108" si="91">EM74/EF74</f>
        <v>0.35867236398651897</v>
      </c>
      <c r="EP74" s="258">
        <f t="array" ref="EP74:EP108">TRANSPOSE(IIP_2.1!C29:AK29)/1000</f>
        <v>39.941000000000003</v>
      </c>
      <c r="EQ74" s="153">
        <f t="shared" ref="EQ74:EQ100" si="92">FA74+EG74</f>
        <v>0</v>
      </c>
      <c r="ER74" s="153">
        <f t="shared" ref="ER74:ER99" si="93">FB74+EH74</f>
        <v>6.3892176942724603</v>
      </c>
      <c r="ES74" s="153">
        <f>FC74+EI74</f>
        <v>0.12407173808377468</v>
      </c>
      <c r="ET74" s="153">
        <f>FD74+EJ74</f>
        <v>2.1572780881844134</v>
      </c>
      <c r="EU74" s="153">
        <f>FE74+EK74</f>
        <v>5.0776387322264567</v>
      </c>
      <c r="EV74" s="153">
        <f t="shared" ref="EU74:EV100" si="94">FF74+EL74</f>
        <v>0</v>
      </c>
      <c r="EW74" s="153">
        <f t="shared" ref="EW74:EW100" si="95">EQ74+ER74+ES74+ET74+EU74+EV74</f>
        <v>13.748206252767105</v>
      </c>
      <c r="EX74" s="153">
        <f t="shared" ref="EX74:EX100" si="96">EP74-EW74</f>
        <v>26.192793747232898</v>
      </c>
      <c r="EY74" s="23">
        <f t="shared" ref="EY74:EY100" si="97">EW74/EP74</f>
        <v>0.34421287030287434</v>
      </c>
      <c r="EZ74" s="258">
        <f t="array" ref="EZ74:EZ108">TRANSPOSE(IIP_2.1!C33:AK33)/1000</f>
        <v>8.7050000000000001</v>
      </c>
      <c r="FA74" s="316">
        <v>0</v>
      </c>
      <c r="FB74" s="484">
        <f t="shared" ref="FB74:FB99" si="98">FB75*($EZ74/$EZ75-0.01)</f>
        <v>0.3347048632662018</v>
      </c>
      <c r="FC74" s="153">
        <v>0</v>
      </c>
      <c r="FD74" s="484">
        <f t="shared" ref="FD74:FD99" si="99">FD75*($EZ74/$EZ75-0.01)</f>
        <v>0.82820659083246317</v>
      </c>
      <c r="FE74" s="316">
        <f t="shared" ref="FE74:FE99" si="100">FE75*($EZ74/$EZ75-0.01)</f>
        <v>1.381804837185532</v>
      </c>
      <c r="FF74" s="316">
        <v>0</v>
      </c>
      <c r="FG74" s="153">
        <f t="shared" ref="FG74:FG100" si="101">FA74+FB74+FC74+FD74+FE74+FF74</f>
        <v>2.544716291284197</v>
      </c>
      <c r="FH74" s="153">
        <f t="shared" ref="FH74:FH100" si="102">EZ74-FG74</f>
        <v>6.1602837087158031</v>
      </c>
      <c r="FI74" s="23">
        <f t="shared" ref="FI74:FI100" si="103">FG74/EZ74</f>
        <v>0.29232812076785719</v>
      </c>
      <c r="FJ74" s="23"/>
      <c r="FK74" s="448">
        <f t="shared" ref="FK74:FK108" si="104">CT74/GN74</f>
        <v>1.0488472574953001E-2</v>
      </c>
      <c r="FL74" s="448">
        <f t="shared" ref="FL74:FL108" si="105">CU74/GO74</f>
        <v>7.0128439448186072E-2</v>
      </c>
      <c r="FM74" s="23"/>
      <c r="FN74" s="23"/>
      <c r="FO74" s="326">
        <f t="array" ref="FO74:FO108">TRANSPOSE(IIP_2.1!C41:AK41)/1000</f>
        <v>93.441000000000003</v>
      </c>
      <c r="FP74" s="483">
        <f t="shared" ref="FP74:FP108" si="106">FO74+EF74-DP74</f>
        <v>0</v>
      </c>
      <c r="FQ74" s="322">
        <f t="shared" ref="FQ74:FQ108" si="107">DQ74-EG74</f>
        <v>0.13200000000000001</v>
      </c>
      <c r="FR74" s="322">
        <f t="shared" ref="FR74:FR108" si="108">DR74-EH74</f>
        <v>20.136487168993739</v>
      </c>
      <c r="FS74" s="322">
        <f t="shared" ref="FS74:FS108" si="109">DS74-EI74</f>
        <v>0.21192826191622532</v>
      </c>
      <c r="FT74" s="322">
        <f t="shared" ref="FT74:FT108" si="110">DT74-EJ74</f>
        <v>5.0489285026480504</v>
      </c>
      <c r="FU74" s="322">
        <f t="shared" ref="FU74:FU108" si="111">DU74-EK74</f>
        <v>7.7261661049590753</v>
      </c>
      <c r="FV74" s="322">
        <f t="shared" ref="FV74:FV108" si="112">DV74-EL74</f>
        <v>0.18507903369097245</v>
      </c>
      <c r="FW74" s="322">
        <f t="shared" ref="FW74:FW108" si="113">DW74-EM74</f>
        <v>33.440589072208056</v>
      </c>
      <c r="FX74" s="322">
        <f t="shared" ref="FX74:FX108" si="114">FQ74+FR74+FS74+FT74+FU74+FV74-FW74</f>
        <v>0</v>
      </c>
      <c r="FY74" s="322">
        <f t="shared" ref="FY74:FY108" si="115">DX74-EN74</f>
        <v>60.00041092779194</v>
      </c>
      <c r="FZ74" s="367">
        <f t="shared" ref="FZ74:FZ108" si="116">FW74/$FO74</f>
        <v>0.35787918656915119</v>
      </c>
      <c r="GA74" s="248">
        <f t="shared" ref="GA74:GA108" si="117">FQ74/$FO74</f>
        <v>1.4126561145535687E-3</v>
      </c>
      <c r="GB74" s="248">
        <f t="shared" ref="GB74:GB108" si="118">FR74/$FO74</f>
        <v>0.21549948276445818</v>
      </c>
      <c r="GC74" s="248">
        <f t="shared" ref="GC74:GC108" si="119">FS74/$FO74</f>
        <v>2.2680435988080747E-3</v>
      </c>
      <c r="GD74" s="248">
        <f t="shared" ref="GD74:GD108" si="120">FT74/$FO74</f>
        <v>5.4033331221284557E-2</v>
      </c>
      <c r="GE74" s="251">
        <f t="shared" ref="GE74:GE108" si="121">FU74/$FO74</f>
        <v>8.2684968107780046E-2</v>
      </c>
      <c r="GF74" s="248">
        <f t="shared" ref="GF74:GF108" si="122">FV74/$FO74</f>
        <v>1.9807047622668042E-3</v>
      </c>
      <c r="GG74" s="248">
        <f t="shared" ref="GG74:GG108" si="123">FO74/C74</f>
        <v>3.2897127165188E-2</v>
      </c>
      <c r="GH74" s="23">
        <f t="shared" ref="GH74:GH108" si="124">FY74/C74</f>
        <v>2.112393005484859E-2</v>
      </c>
      <c r="GI74" s="23">
        <f t="shared" ref="GI74:GI108" si="125">FW74/C74</f>
        <v>1.1773197110339409E-2</v>
      </c>
      <c r="GJ74" s="326">
        <f t="array" ref="GJ74:GJ108">TRANSPOSE(IIP_2.1!C28:AK28)/1000</f>
        <v>100.57899999999999</v>
      </c>
      <c r="GK74" s="153">
        <f>GJ74-GL74-GM74-GN74</f>
        <v>0</v>
      </c>
      <c r="GL74" s="153">
        <f t="shared" ref="GL74:GL108" si="126">EF74</f>
        <v>31.236000000000001</v>
      </c>
      <c r="GM74" s="153">
        <f t="shared" ref="GM74:GM108" si="127">EZ74</f>
        <v>8.7050000000000001</v>
      </c>
      <c r="GN74" s="153">
        <f t="array" ref="GN74:GN108">TRANSPOSE(IIP_2.1!C30:AK30)/1000</f>
        <v>60.637999999999998</v>
      </c>
      <c r="GO74" s="153">
        <f t="array" ref="GO74:GO108">TRANSPOSE(IIP_2.1!C29:AK29)/1000</f>
        <v>39.941000000000003</v>
      </c>
      <c r="GP74" s="153">
        <f t="shared" ref="GP74:GP108" si="128">EP74</f>
        <v>39.941000000000003</v>
      </c>
      <c r="GQ74" s="295"/>
      <c r="GR74" s="153">
        <f t="shared" ref="GR74:GR108" si="129">FO74</f>
        <v>93.441000000000003</v>
      </c>
      <c r="GS74" s="153">
        <f>FoF_RoW!$AZ44/1000</f>
        <v>184.84200000000001</v>
      </c>
      <c r="GT74" s="153">
        <f t="shared" si="15"/>
        <v>153.60600000000002</v>
      </c>
      <c r="GU74" s="23">
        <f t="shared" ref="GU74:GU108" si="130">GT74/GR74</f>
        <v>1.6438822358493597</v>
      </c>
      <c r="GV74" s="330">
        <f>FoF_RoW!$AE44/1000</f>
        <v>12.635</v>
      </c>
      <c r="GW74" s="330">
        <f t="shared" si="16"/>
        <v>20.219000000000023</v>
      </c>
      <c r="GX74" s="153">
        <v>199.77099999999999</v>
      </c>
      <c r="GY74" s="153">
        <f t="array" ref="GY74:GY108">TRANSPOSE(IIP_2.1!C27:AK27)/1000</f>
        <v>99.191999999999993</v>
      </c>
      <c r="GZ74" s="153">
        <f t="shared" ref="GZ74:GZ108" si="131">GY74/GR74</f>
        <v>1.0615468584454359</v>
      </c>
      <c r="HA74" s="153">
        <f t="shared" si="22"/>
        <v>31.236000000000001</v>
      </c>
      <c r="HB74" s="153">
        <f t="array" ref="HB74:HB108">TRANSPOSE(IIP_2.1!C10:AK10)/1000</f>
        <v>68.611999999999995</v>
      </c>
      <c r="HC74" s="153">
        <f t="array" ref="HC74:HC108">TRANSPOSE(IIP_2.1!C28:AK28)/1000</f>
        <v>100.57899999999999</v>
      </c>
      <c r="HD74" s="186">
        <f t="shared" ref="HD74:HD108" si="132">Z74/FO74</f>
        <v>-5.3509701308847107E-4</v>
      </c>
      <c r="HE74" s="503">
        <f t="shared" ref="HE74:HE108" si="133">(Z74-AH74)/FO74</f>
        <v>1.2039682794490643E-2</v>
      </c>
      <c r="HF74" s="663"/>
      <c r="HV74" s="97"/>
      <c r="HW74" s="308"/>
      <c r="HX74" s="308"/>
      <c r="HY74" s="308"/>
      <c r="HZ74" s="451"/>
      <c r="IA74" s="451"/>
      <c r="IB74" s="451"/>
      <c r="IC74" s="451"/>
      <c r="ID74" s="451"/>
      <c r="IE74" s="451"/>
      <c r="IF74" s="451"/>
      <c r="IG74" s="451"/>
      <c r="IK74" s="841"/>
      <c r="IL74" s="90"/>
      <c r="IU74" s="153"/>
      <c r="IV74" s="330">
        <v>61487</v>
      </c>
      <c r="IW74" s="330"/>
      <c r="IX74" s="330">
        <f t="shared" si="23"/>
        <v>6679</v>
      </c>
      <c r="IY74" s="330"/>
      <c r="IZ74" s="330"/>
      <c r="JA74" s="76">
        <v>5358</v>
      </c>
      <c r="JB74" s="76">
        <v>3830</v>
      </c>
      <c r="JC74" s="76">
        <v>1838</v>
      </c>
      <c r="JD74" s="76">
        <v>671</v>
      </c>
      <c r="JK74" s="153"/>
      <c r="JL74" s="153"/>
      <c r="JM74" s="153"/>
    </row>
    <row r="75" spans="2:273">
      <c r="B75" s="451">
        <v>1983</v>
      </c>
      <c r="C75" s="43">
        <v>3060.5</v>
      </c>
      <c r="D75" s="5">
        <v>279.8</v>
      </c>
      <c r="E75" s="460">
        <f t="shared" si="0"/>
        <v>9.1422970102924356E-2</v>
      </c>
      <c r="F75" s="454">
        <f t="shared" si="1"/>
        <v>0</v>
      </c>
      <c r="G75" s="76">
        <f t="shared" si="2"/>
        <v>244.70000000000002</v>
      </c>
      <c r="H75" s="23">
        <f t="shared" si="3"/>
        <v>7.9954255840548938E-2</v>
      </c>
      <c r="I75" s="455">
        <v>35.1</v>
      </c>
      <c r="J75" s="460">
        <f t="shared" si="4"/>
        <v>1.146871426237543E-2</v>
      </c>
      <c r="K75" s="6">
        <f t="shared" si="5"/>
        <v>0.12544674767691208</v>
      </c>
      <c r="L75" s="136">
        <v>41.1</v>
      </c>
      <c r="M75" s="136">
        <f t="shared" si="8"/>
        <v>6</v>
      </c>
      <c r="N75" s="460">
        <f t="shared" si="6"/>
        <v>1.3429178238849862E-2</v>
      </c>
      <c r="O75" s="460">
        <f t="shared" si="9"/>
        <v>1.9604639764744321E-3</v>
      </c>
      <c r="P75" s="449">
        <f t="shared" si="10"/>
        <v>2.144388849177984E-2</v>
      </c>
      <c r="Q75" s="5">
        <f t="shared" si="7"/>
        <v>279.8</v>
      </c>
      <c r="R75" s="169">
        <f t="shared" si="11"/>
        <v>6</v>
      </c>
      <c r="S75" s="174"/>
      <c r="U75" s="76">
        <f t="shared" si="47"/>
        <v>1.8590000000000002</v>
      </c>
      <c r="W75" s="23">
        <f t="shared" si="48"/>
        <v>0.30983333333333335</v>
      </c>
      <c r="X75" s="180">
        <v>4.1189999999999998</v>
      </c>
      <c r="Y75" s="79">
        <f t="shared" si="49"/>
        <v>-1.000000000000334E-3</v>
      </c>
      <c r="Z75" s="79">
        <f t="shared" si="50"/>
        <v>1.8590000000000002</v>
      </c>
      <c r="AA75" s="683">
        <v>3.3450000000000002</v>
      </c>
      <c r="AB75" s="683">
        <v>-1.486</v>
      </c>
      <c r="AC75" s="79">
        <f t="shared" si="51"/>
        <v>2.2610000000000001</v>
      </c>
      <c r="AD75" s="79">
        <v>2.82</v>
      </c>
      <c r="AE75" s="79">
        <v>0.55900000000000005</v>
      </c>
      <c r="AF75" s="23">
        <f t="shared" si="52"/>
        <v>-0.79935449166218386</v>
      </c>
      <c r="AG75" s="23">
        <f t="shared" si="53"/>
        <v>1.0078627591136525E-2</v>
      </c>
      <c r="AH75" s="450">
        <v>-1.1459999999999999</v>
      </c>
      <c r="AI75" s="79">
        <f t="shared" si="54"/>
        <v>5.2649999999999997</v>
      </c>
      <c r="AJ75" s="79">
        <f t="shared" si="55"/>
        <v>9.6000000000000085E-2</v>
      </c>
      <c r="AK75" s="79">
        <v>7.4</v>
      </c>
      <c r="AL75" s="23">
        <f t="shared" si="56"/>
        <v>0.45202702702702702</v>
      </c>
      <c r="AM75" s="182">
        <v>5.1689999999999996</v>
      </c>
      <c r="AN75" s="79">
        <v>2E-3</v>
      </c>
      <c r="AO75" s="79">
        <v>1.7749999999999999</v>
      </c>
      <c r="AP75" s="79">
        <v>1E-3</v>
      </c>
      <c r="AQ75" s="79">
        <v>0.33900000000000002</v>
      </c>
      <c r="AR75" s="79">
        <v>-0.129</v>
      </c>
      <c r="AS75" s="79">
        <v>-0.21</v>
      </c>
      <c r="AT75" s="79">
        <v>0.26700000000000002</v>
      </c>
      <c r="AU75" s="79">
        <v>0</v>
      </c>
      <c r="AV75" s="79">
        <f t="shared" si="27"/>
        <v>1.988</v>
      </c>
      <c r="AW75" s="79">
        <f t="shared" si="28"/>
        <v>3.1809999999999996</v>
      </c>
      <c r="AX75" s="23">
        <f t="shared" si="29"/>
        <v>3.8692203520990524E-4</v>
      </c>
      <c r="AY75" s="23">
        <f t="shared" si="30"/>
        <v>0.34339330624879089</v>
      </c>
      <c r="AZ75" s="23">
        <f t="shared" si="31"/>
        <v>1.9346101760495262E-4</v>
      </c>
      <c r="BA75" s="23">
        <f t="shared" si="32"/>
        <v>6.5583284968078942E-2</v>
      </c>
      <c r="BB75" s="23">
        <f t="shared" si="33"/>
        <v>-2.4956471271038887E-2</v>
      </c>
      <c r="BC75" s="23">
        <f t="shared" si="34"/>
        <v>-4.0626813697040048E-2</v>
      </c>
      <c r="BD75" s="23">
        <f t="shared" si="35"/>
        <v>5.1654091700522355E-2</v>
      </c>
      <c r="BE75" s="23">
        <f t="shared" si="36"/>
        <v>0</v>
      </c>
      <c r="BF75" s="23">
        <f t="shared" si="37"/>
        <v>0.38460050299864579</v>
      </c>
      <c r="BG75" s="23" t="e">
        <v>#VALUE!</v>
      </c>
      <c r="BH75" s="23"/>
      <c r="BI75" s="23">
        <f>'Assets(BoP)'!EF75</f>
        <v>0.44159941305942774</v>
      </c>
      <c r="BJ75" s="182">
        <v>-0.34</v>
      </c>
      <c r="BK75" s="79"/>
      <c r="BL75" s="79"/>
      <c r="BM75" s="79"/>
      <c r="BN75" s="79"/>
      <c r="BO75" s="79"/>
      <c r="BP75" s="79"/>
      <c r="BQ75" s="28">
        <f t="shared" si="57"/>
        <v>0</v>
      </c>
      <c r="BR75" s="23">
        <f t="shared" si="58"/>
        <v>0</v>
      </c>
      <c r="BS75" s="79"/>
      <c r="BT75" s="23">
        <f t="shared" si="59"/>
        <v>0</v>
      </c>
      <c r="BU75" s="182">
        <f t="shared" si="60"/>
        <v>2.9079999999999995</v>
      </c>
      <c r="BV75" s="136">
        <f t="shared" si="61"/>
        <v>-1.000000000000334E-3</v>
      </c>
      <c r="BW75" s="153">
        <f t="shared" si="62"/>
        <v>2E-3</v>
      </c>
      <c r="BX75" s="153">
        <f t="shared" si="63"/>
        <v>1.2894599065780608</v>
      </c>
      <c r="BY75" s="153">
        <f t="shared" si="64"/>
        <v>-5.4982906670558778E-3</v>
      </c>
      <c r="BZ75" s="153">
        <f t="shared" si="65"/>
        <v>0.17658382605942438</v>
      </c>
      <c r="CA75" s="153">
        <f t="shared" si="66"/>
        <v>-0.451537757523786</v>
      </c>
      <c r="CB75" s="153">
        <f t="shared" si="67"/>
        <v>0</v>
      </c>
      <c r="CC75" s="153">
        <f t="shared" si="68"/>
        <v>1.0110076844466431</v>
      </c>
      <c r="CD75" s="153">
        <f t="shared" si="69"/>
        <v>1.4288992536631215</v>
      </c>
      <c r="CE75" s="23">
        <f t="shared" si="70"/>
        <v>6.877579092159561E-4</v>
      </c>
      <c r="CF75" s="23">
        <f t="shared" si="71"/>
        <v>0.4434181246829646</v>
      </c>
      <c r="CG75" s="23">
        <f t="shared" si="72"/>
        <v>-1.8907464467179775E-3</v>
      </c>
      <c r="CH75" s="23">
        <f t="shared" si="73"/>
        <v>6.0723461505991887E-2</v>
      </c>
      <c r="CI75" s="23">
        <f t="shared" si="74"/>
        <v>-0.1552743320233102</v>
      </c>
      <c r="CJ75" s="23">
        <f t="shared" si="75"/>
        <v>0</v>
      </c>
      <c r="CK75" s="23">
        <f t="shared" si="76"/>
        <v>0.34766426562814423</v>
      </c>
      <c r="CL75" s="23">
        <f t="shared" si="77"/>
        <v>0.65233573437185577</v>
      </c>
      <c r="CM75" s="23">
        <f t="shared" si="78"/>
        <v>7.455273744706452E-3</v>
      </c>
      <c r="CN75" s="23">
        <f t="shared" si="79"/>
        <v>1.3988614747073389E-2</v>
      </c>
      <c r="CO75" s="23">
        <f t="shared" si="80"/>
        <v>6.8158326867141491E-4</v>
      </c>
      <c r="CP75" s="448">
        <f t="shared" si="81"/>
        <v>0</v>
      </c>
      <c r="CQ75" s="448">
        <f t="shared" si="82"/>
        <v>6.8158326867141491E-4</v>
      </c>
      <c r="CR75" s="23">
        <f t="shared" si="83"/>
        <v>1.2788807078030172E-3</v>
      </c>
      <c r="CS75" s="326">
        <v>2.2610000000000001</v>
      </c>
      <c r="CT75" s="153">
        <v>0.55900000000000005</v>
      </c>
      <c r="CU75" s="153">
        <v>2.82</v>
      </c>
      <c r="CV75" s="384">
        <f t="shared" ref="CV75:CV108" si="134">$FL75*EQ75-$FK75*FA75</f>
        <v>0</v>
      </c>
      <c r="CW75" s="384">
        <f t="shared" ref="CW75:CW108" si="135">$FL75*ER75-$FK75*FB75</f>
        <v>0.4855400934219391</v>
      </c>
      <c r="CX75" s="384">
        <f t="shared" ref="CX75:CX108" si="136">$FL75*ES75-$FK75*FC75</f>
        <v>6.4982906670558779E-3</v>
      </c>
      <c r="CY75" s="384">
        <f t="shared" ref="CY75:CY108" si="137">$FL75*ET75-$FK75*FD75</f>
        <v>0.16241617394057564</v>
      </c>
      <c r="CZ75" s="450">
        <f t="shared" ref="CZ75:DA108" si="138">$FL75*EU75-$FK75*FE75</f>
        <v>0.322537757523786</v>
      </c>
      <c r="DA75" s="153">
        <f t="shared" ref="DA75:DA89" si="139">$FL75*EV75-$FK75*FF75</f>
        <v>0</v>
      </c>
      <c r="DB75" s="153">
        <f t="shared" si="85"/>
        <v>0.97699231555335664</v>
      </c>
      <c r="DC75" s="153">
        <f t="shared" si="86"/>
        <v>1.7521007463368781</v>
      </c>
      <c r="DD75" s="153">
        <f t="shared" si="87"/>
        <v>-0.46809306189023459</v>
      </c>
      <c r="DE75" s="23">
        <f t="shared" si="88"/>
        <v>0.43210628728587197</v>
      </c>
      <c r="DF75" s="149">
        <v>3.1589999999999998</v>
      </c>
      <c r="DG75" s="153">
        <v>0</v>
      </c>
      <c r="DH75" s="153">
        <v>1.359</v>
      </c>
      <c r="DI75" s="153">
        <v>-0.02</v>
      </c>
      <c r="DJ75" s="153">
        <v>0.375</v>
      </c>
      <c r="DK75" s="153">
        <v>-2.7E-2</v>
      </c>
      <c r="DL75" s="153">
        <v>0</v>
      </c>
      <c r="DM75" s="153">
        <f t="shared" si="38"/>
        <v>1.6870000000000001</v>
      </c>
      <c r="DN75" s="153">
        <f t="shared" si="39"/>
        <v>1.4719999999999998</v>
      </c>
      <c r="DO75" s="258">
        <f t="shared" ref="DO75:DO108" si="140">EF75-EF74</f>
        <v>3.1590000000000025</v>
      </c>
      <c r="DP75" s="5">
        <v>137.06100000000001</v>
      </c>
      <c r="DQ75" s="76">
        <v>0.219</v>
      </c>
      <c r="DR75" s="76">
        <v>29.181999999999999</v>
      </c>
      <c r="DS75" s="76">
        <v>0.29699999999999999</v>
      </c>
      <c r="DT75" s="76">
        <v>7.4640000000000004</v>
      </c>
      <c r="DU75" s="76">
        <v>12.289</v>
      </c>
      <c r="DV75" s="76">
        <v>0.20346268707715437</v>
      </c>
      <c r="DW75" s="76">
        <f t="shared" si="40"/>
        <v>49.654462687077157</v>
      </c>
      <c r="DX75" s="76">
        <f t="shared" si="41"/>
        <v>87.40653731292285</v>
      </c>
      <c r="DY75" s="23">
        <f t="shared" ref="DY75:DY108" si="141">DW75/$DP75</f>
        <v>0.36228002631731238</v>
      </c>
      <c r="DZ75" s="23">
        <f t="shared" si="42"/>
        <v>1.5978287040077045E-3</v>
      </c>
      <c r="EA75" s="23">
        <f t="shared" si="43"/>
        <v>0.2129124988143965</v>
      </c>
      <c r="EB75" s="23">
        <f t="shared" si="44"/>
        <v>2.1669183794077087E-3</v>
      </c>
      <c r="EC75" s="23">
        <f t="shared" si="45"/>
        <v>5.445750432289273E-2</v>
      </c>
      <c r="ED75" s="23">
        <f t="shared" si="46"/>
        <v>8.9660807961418634E-2</v>
      </c>
      <c r="EE75" s="23">
        <f t="shared" ref="EE75:EE108" si="142">DV75/$DP75</f>
        <v>1.4844681351891082E-3</v>
      </c>
      <c r="EF75" s="149">
        <v>34.395000000000003</v>
      </c>
      <c r="EG75" s="322">
        <f t="shared" ref="EG75:EG98" si="143">EG74+DG75</f>
        <v>0</v>
      </c>
      <c r="EH75" s="322">
        <f t="shared" ref="EH75:EH98" si="144">EH74+DH75</f>
        <v>7.4135128310062584</v>
      </c>
      <c r="EI75" s="324">
        <f t="shared" ref="EI75:EI98" si="145">EI74+DI75</f>
        <v>0.10407173808377468</v>
      </c>
      <c r="EJ75" s="276">
        <f t="shared" ref="EJ75:EJ98" si="146">EJ74+DJ75</f>
        <v>1.70407149735195</v>
      </c>
      <c r="EK75" s="322">
        <f t="shared" ref="EK75:EK98" si="147">EK74+DK75</f>
        <v>3.6688338950409247</v>
      </c>
      <c r="EL75" s="322">
        <f t="shared" ref="EL75:EL98" si="148">EL74+DL75</f>
        <v>0</v>
      </c>
      <c r="EM75" s="330">
        <f t="shared" si="89"/>
        <v>12.890489961482908</v>
      </c>
      <c r="EN75" s="330">
        <f t="shared" si="90"/>
        <v>21.504510038517097</v>
      </c>
      <c r="EO75" s="23">
        <f t="shared" si="91"/>
        <v>0.37477801894120966</v>
      </c>
      <c r="EP75" s="258">
        <v>45.162999999999997</v>
      </c>
      <c r="EQ75" s="153">
        <f t="shared" si="92"/>
        <v>0</v>
      </c>
      <c r="ER75" s="153">
        <f t="shared" si="93"/>
        <v>7.8327250933915673</v>
      </c>
      <c r="ES75" s="153">
        <f t="shared" ref="ES75:ES100" si="149">FC75+EI75</f>
        <v>0.10407173808377468</v>
      </c>
      <c r="ET75" s="153">
        <f t="shared" ref="ET75:ET100" si="150">FD75+EJ75</f>
        <v>2.7413864478346541</v>
      </c>
      <c r="EU75" s="153">
        <f t="shared" si="94"/>
        <v>5.3995214217136329</v>
      </c>
      <c r="EV75" s="153">
        <f t="shared" si="94"/>
        <v>0</v>
      </c>
      <c r="EW75" s="153">
        <f t="shared" si="95"/>
        <v>16.077704701023627</v>
      </c>
      <c r="EX75" s="153">
        <f t="shared" si="96"/>
        <v>29.085295298976369</v>
      </c>
      <c r="EY75" s="23">
        <f t="shared" si="97"/>
        <v>0.35599284150795185</v>
      </c>
      <c r="EZ75" s="258">
        <v>10.768000000000001</v>
      </c>
      <c r="FA75" s="316">
        <v>0</v>
      </c>
      <c r="FB75" s="484">
        <f t="shared" si="98"/>
        <v>0.41921226238530862</v>
      </c>
      <c r="FC75" s="153">
        <v>0</v>
      </c>
      <c r="FD75" s="484">
        <f t="shared" si="99"/>
        <v>1.0373149504827044</v>
      </c>
      <c r="FE75" s="316">
        <f t="shared" si="100"/>
        <v>1.7306875266727086</v>
      </c>
      <c r="FF75" s="316">
        <v>0</v>
      </c>
      <c r="FG75" s="153">
        <f t="shared" si="101"/>
        <v>3.1872147395407215</v>
      </c>
      <c r="FH75" s="153">
        <f t="shared" si="102"/>
        <v>7.5807852604592796</v>
      </c>
      <c r="FI75" s="23">
        <f t="shared" si="103"/>
        <v>0.29598948175526757</v>
      </c>
      <c r="FJ75" s="23"/>
      <c r="FK75" s="448">
        <f t="shared" si="104"/>
        <v>8.4423233757211467E-3</v>
      </c>
      <c r="FL75" s="448">
        <f t="shared" si="105"/>
        <v>6.24404933241813E-2</v>
      </c>
      <c r="FM75" s="23"/>
      <c r="FN75" s="23"/>
      <c r="FO75" s="326">
        <v>102.666</v>
      </c>
      <c r="FP75" s="483">
        <f t="shared" si="106"/>
        <v>0</v>
      </c>
      <c r="FQ75" s="322">
        <f t="shared" si="107"/>
        <v>0.219</v>
      </c>
      <c r="FR75" s="322">
        <f t="shared" si="108"/>
        <v>21.76848716899374</v>
      </c>
      <c r="FS75" s="322">
        <f t="shared" si="109"/>
        <v>0.19292826191622531</v>
      </c>
      <c r="FT75" s="322">
        <f t="shared" si="110"/>
        <v>5.7599285026480507</v>
      </c>
      <c r="FU75" s="322">
        <f t="shared" si="111"/>
        <v>8.6201661049590754</v>
      </c>
      <c r="FV75" s="322">
        <f t="shared" si="112"/>
        <v>0.20346268707715437</v>
      </c>
      <c r="FW75" s="322">
        <f t="shared" si="113"/>
        <v>36.76397272559425</v>
      </c>
      <c r="FX75" s="322">
        <f t="shared" si="114"/>
        <v>0</v>
      </c>
      <c r="FY75" s="322">
        <f t="shared" si="115"/>
        <v>65.902027274405754</v>
      </c>
      <c r="FZ75" s="367">
        <f t="shared" si="116"/>
        <v>0.35809296871013041</v>
      </c>
      <c r="GA75" s="248">
        <f t="shared" si="117"/>
        <v>2.1331307346151599E-3</v>
      </c>
      <c r="GB75" s="248">
        <f t="shared" si="118"/>
        <v>0.21203209601030273</v>
      </c>
      <c r="GC75" s="248">
        <f t="shared" si="119"/>
        <v>1.8791835847917061E-3</v>
      </c>
      <c r="GD75" s="248">
        <f t="shared" si="120"/>
        <v>5.6103564009974585E-2</v>
      </c>
      <c r="GE75" s="251">
        <f t="shared" si="121"/>
        <v>8.3963202082082439E-2</v>
      </c>
      <c r="GF75" s="248">
        <f t="shared" si="122"/>
        <v>1.9817922883637656E-3</v>
      </c>
      <c r="GG75" s="248">
        <f t="shared" si="123"/>
        <v>3.3545499101454011E-2</v>
      </c>
      <c r="GH75" s="23">
        <f t="shared" si="124"/>
        <v>2.1533091741351332E-2</v>
      </c>
      <c r="GI75" s="23">
        <f t="shared" si="125"/>
        <v>1.201240736010268E-2</v>
      </c>
      <c r="GJ75" s="326">
        <v>111.377</v>
      </c>
      <c r="GK75" s="153">
        <f t="shared" ref="GK75:GK108" si="151">GJ75-GL75-GM75-GN75</f>
        <v>0</v>
      </c>
      <c r="GL75" s="153">
        <f t="shared" si="126"/>
        <v>34.395000000000003</v>
      </c>
      <c r="GM75" s="153">
        <f t="shared" si="127"/>
        <v>10.768000000000001</v>
      </c>
      <c r="GN75" s="153">
        <v>66.213999999999999</v>
      </c>
      <c r="GO75" s="153">
        <v>45.162999999999997</v>
      </c>
      <c r="GP75" s="153">
        <f t="shared" si="128"/>
        <v>45.162999999999997</v>
      </c>
      <c r="GQ75" s="295"/>
      <c r="GR75" s="153">
        <f t="shared" si="129"/>
        <v>102.666</v>
      </c>
      <c r="GS75" s="153">
        <f>FoF_RoW!$AZ45/1000</f>
        <v>193.708</v>
      </c>
      <c r="GT75" s="153">
        <f t="shared" si="15"/>
        <v>159.31299999999999</v>
      </c>
      <c r="GU75" s="23">
        <f t="shared" si="130"/>
        <v>1.5517600763641322</v>
      </c>
      <c r="GV75" s="330">
        <f>FoF_RoW!$AE45/1000</f>
        <v>10.371</v>
      </c>
      <c r="GW75" s="330">
        <f t="shared" si="16"/>
        <v>8.8659999999999854</v>
      </c>
      <c r="GX75" s="153">
        <v>230.3</v>
      </c>
      <c r="GY75" s="153">
        <v>118.923</v>
      </c>
      <c r="GZ75" s="153">
        <f t="shared" si="131"/>
        <v>1.1583484308339664</v>
      </c>
      <c r="HA75" s="153">
        <f t="shared" si="22"/>
        <v>34.395000000000003</v>
      </c>
      <c r="HB75" s="153">
        <v>65.525999999999996</v>
      </c>
      <c r="HC75" s="153">
        <v>111.377</v>
      </c>
      <c r="HD75" s="186">
        <f t="shared" si="132"/>
        <v>1.8107260436756086E-2</v>
      </c>
      <c r="HE75" s="503">
        <f t="shared" si="133"/>
        <v>2.9269670582276509E-2</v>
      </c>
      <c r="HF75" s="663"/>
      <c r="HV75" s="186">
        <f t="shared" ref="HV75:HV108" si="152">(BU75*(1+$AH75/($Z75-$AJ75)))/(FO75*$GU75)</f>
        <v>6.388163721370581E-3</v>
      </c>
      <c r="HW75" s="308">
        <f t="shared" ref="HW75:HW108" si="153">GT75/C75</f>
        <v>5.2054566247345203E-2</v>
      </c>
      <c r="HX75" s="308">
        <f t="shared" ref="HX75:HX108" si="154">(BU75*(1+$AH75/($Z75-$AJ75)))/C75</f>
        <v>3.3253309163297213E-4</v>
      </c>
      <c r="HY75" s="313">
        <f t="shared" ref="HY75:HY108" si="155">HV75*HW75-HX75</f>
        <v>0</v>
      </c>
      <c r="HZ75" s="23">
        <f t="shared" ref="HZ75:HZ108" si="156">(BW75*(1+$AH75/($Z75-$AJ75)))/(FQ75*$GU75)</f>
        <v>2.0596534724495871E-3</v>
      </c>
      <c r="IA75" s="23">
        <f t="shared" ref="IA75:IA108" si="157">(BX75*(1+$AH75/($Z75-$AJ75)))/(FR75*$GU75)</f>
        <v>1.3359428269577889E-2</v>
      </c>
      <c r="IB75" s="23">
        <f t="shared" ref="IB75:IB108" si="158">(BY75*(1+$AH75/($Z75-$AJ75)))/(FS75*$GU75)</f>
        <v>-6.4274709267284928E-3</v>
      </c>
      <c r="IC75" s="23">
        <f t="shared" ref="IC75:IC108" si="159">(BZ75*(1+$AH75/($Z75-$AJ75)))/(FT75*$GU75)</f>
        <v>6.9142027012696382E-3</v>
      </c>
      <c r="ID75" s="23">
        <f t="shared" ref="ID75:ID108" si="160">(CA75*(1+$AH75/($Z75-$AJ75)))/(FU75*$GU75)</f>
        <v>-1.1813721131331573E-2</v>
      </c>
      <c r="IE75" s="23">
        <f t="shared" ref="IE75:IE108" si="161">(CB75*(1+$AH75/($Z75-$AJ75)))/(FV75*$GU75)</f>
        <v>0</v>
      </c>
      <c r="IF75" s="23">
        <f t="shared" ref="IF75:IF108" si="162">(CC75*(1+$AH75/($Z75-$AJ75)))/(FW75*$GU75)</f>
        <v>6.2021219151623778E-3</v>
      </c>
      <c r="IG75" s="23">
        <f t="shared" ref="IG75:IG108" si="163">(CD75*(1+$AH75/($Z75-$AJ75)))/(FY75*$GU75)</f>
        <v>4.8900253714202271E-3</v>
      </c>
      <c r="IH75" s="23">
        <f>IF75-IG75</f>
        <v>1.3120965437421507E-3</v>
      </c>
      <c r="II75" s="23"/>
      <c r="IJ75" s="23"/>
      <c r="IK75" s="841"/>
      <c r="IL75" s="90"/>
      <c r="IU75" s="153"/>
      <c r="IV75" s="330">
        <v>66807</v>
      </c>
      <c r="IW75" s="330"/>
      <c r="IX75" s="330">
        <f t="shared" si="23"/>
        <v>9738</v>
      </c>
      <c r="IY75" s="330"/>
      <c r="IZ75" s="330"/>
      <c r="JA75" s="76">
        <v>6600</v>
      </c>
      <c r="JB75" s="76">
        <v>5584</v>
      </c>
      <c r="JC75" s="76">
        <v>1802</v>
      </c>
      <c r="JD75" s="76">
        <v>644</v>
      </c>
      <c r="JK75" s="153"/>
      <c r="JL75" s="153"/>
      <c r="JM75" s="153"/>
    </row>
    <row r="76" spans="2:273">
      <c r="B76" s="451">
        <v>1984</v>
      </c>
      <c r="C76" s="43">
        <v>3444</v>
      </c>
      <c r="D76" s="5">
        <v>337.9</v>
      </c>
      <c r="E76" s="460">
        <f t="shared" si="0"/>
        <v>9.8112659698025545E-2</v>
      </c>
      <c r="F76" s="454">
        <f t="shared" si="1"/>
        <v>0</v>
      </c>
      <c r="G76" s="76">
        <f t="shared" si="2"/>
        <v>301.29999999999995</v>
      </c>
      <c r="H76" s="23">
        <f t="shared" si="3"/>
        <v>8.7485481997677111E-2</v>
      </c>
      <c r="I76" s="455">
        <v>36.6</v>
      </c>
      <c r="J76" s="460">
        <f t="shared" si="4"/>
        <v>1.0627177700348432E-2</v>
      </c>
      <c r="K76" s="6">
        <f t="shared" si="5"/>
        <v>0.10831606984314887</v>
      </c>
      <c r="L76" s="136">
        <v>46.2</v>
      </c>
      <c r="M76" s="136">
        <f t="shared" si="8"/>
        <v>9.6000000000000014</v>
      </c>
      <c r="N76" s="460">
        <f t="shared" si="6"/>
        <v>1.3414634146341465E-2</v>
      </c>
      <c r="O76" s="460">
        <f t="shared" si="9"/>
        <v>2.7874564459930318E-3</v>
      </c>
      <c r="P76" s="449">
        <f t="shared" si="10"/>
        <v>2.8410772417875117E-2</v>
      </c>
      <c r="Q76" s="5">
        <f t="shared" si="7"/>
        <v>337.9</v>
      </c>
      <c r="R76" s="169">
        <f t="shared" si="11"/>
        <v>9.6000000000000014</v>
      </c>
      <c r="S76" s="174"/>
      <c r="U76" s="76">
        <f t="shared" si="47"/>
        <v>5.5129999999999999</v>
      </c>
      <c r="W76" s="23">
        <f t="shared" si="48"/>
        <v>0.57427083333333329</v>
      </c>
      <c r="X76" s="180">
        <v>8.4429999999999996</v>
      </c>
      <c r="Y76" s="79">
        <f t="shared" si="49"/>
        <v>0</v>
      </c>
      <c r="Z76" s="79">
        <f t="shared" si="50"/>
        <v>5.5129999999999999</v>
      </c>
      <c r="AA76" s="683">
        <v>3.5070000000000001</v>
      </c>
      <c r="AB76" s="683">
        <v>2.0059999999999998</v>
      </c>
      <c r="AC76" s="79">
        <f t="shared" si="51"/>
        <v>2.93</v>
      </c>
      <c r="AD76" s="79">
        <v>3.5649999999999999</v>
      </c>
      <c r="AE76" s="79">
        <v>0.63500000000000001</v>
      </c>
      <c r="AF76" s="23">
        <f t="shared" si="52"/>
        <v>0.36386722292762558</v>
      </c>
      <c r="AG76" s="23">
        <f t="shared" si="53"/>
        <v>1.0550458715596331E-2</v>
      </c>
      <c r="AH76" s="450">
        <v>-1.099</v>
      </c>
      <c r="AI76" s="79">
        <f t="shared" si="54"/>
        <v>9.5419999999999998</v>
      </c>
      <c r="AJ76" s="79">
        <f t="shared" si="55"/>
        <v>0.10500000000000043</v>
      </c>
      <c r="AK76" s="79">
        <v>7.4</v>
      </c>
      <c r="AL76" s="23">
        <f t="shared" si="56"/>
        <v>0.47391891891891891</v>
      </c>
      <c r="AM76" s="182">
        <v>9.4369999999999994</v>
      </c>
      <c r="AN76" s="79">
        <v>3.7999999999999999E-2</v>
      </c>
      <c r="AO76" s="79">
        <v>2.9740000000000002</v>
      </c>
      <c r="AP76" s="79">
        <v>1.2999999999999999E-2</v>
      </c>
      <c r="AQ76" s="79">
        <v>0.63400000000000001</v>
      </c>
      <c r="AR76" s="79">
        <v>2.1999999999999999E-2</v>
      </c>
      <c r="AS76" s="79">
        <v>-0.113</v>
      </c>
      <c r="AT76" s="79">
        <v>0.16800000000000001</v>
      </c>
      <c r="AU76" s="79">
        <v>0</v>
      </c>
      <c r="AV76" s="79">
        <f t="shared" si="27"/>
        <v>3.6809999999999996</v>
      </c>
      <c r="AW76" s="79">
        <f t="shared" si="28"/>
        <v>5.7560000000000002</v>
      </c>
      <c r="AX76" s="23">
        <f t="shared" si="29"/>
        <v>4.0267034015047153E-3</v>
      </c>
      <c r="AY76" s="23">
        <f t="shared" si="30"/>
        <v>0.31514252410723753</v>
      </c>
      <c r="AZ76" s="23">
        <f t="shared" si="31"/>
        <v>1.3775564268305605E-3</v>
      </c>
      <c r="BA76" s="23">
        <f t="shared" si="32"/>
        <v>6.7182367277736577E-2</v>
      </c>
      <c r="BB76" s="23">
        <f t="shared" si="33"/>
        <v>2.3312493377132563E-3</v>
      </c>
      <c r="BC76" s="23">
        <f t="shared" si="34"/>
        <v>-1.1974144325527181E-2</v>
      </c>
      <c r="BD76" s="23">
        <f t="shared" si="35"/>
        <v>1.7802267669810322E-2</v>
      </c>
      <c r="BE76" s="23">
        <f t="shared" si="36"/>
        <v>0</v>
      </c>
      <c r="BF76" s="23">
        <f t="shared" si="37"/>
        <v>0.39006040055102265</v>
      </c>
      <c r="BG76" s="23" t="e">
        <v>#VALUE!</v>
      </c>
      <c r="BH76" s="23"/>
      <c r="BI76" s="23">
        <f>'Assets(BoP)'!EF76</f>
        <v>0.44688739998699023</v>
      </c>
      <c r="BJ76" s="182">
        <v>3.105</v>
      </c>
      <c r="BK76" s="79"/>
      <c r="BL76" s="79"/>
      <c r="BM76" s="79"/>
      <c r="BN76" s="79"/>
      <c r="BO76" s="79"/>
      <c r="BP76" s="79"/>
      <c r="BQ76" s="28">
        <f t="shared" si="57"/>
        <v>0</v>
      </c>
      <c r="BR76" s="23">
        <f t="shared" si="58"/>
        <v>0</v>
      </c>
      <c r="BS76" s="79"/>
      <c r="BT76" s="23">
        <f t="shared" si="59"/>
        <v>0</v>
      </c>
      <c r="BU76" s="182">
        <f t="shared" si="60"/>
        <v>6.5069999999999997</v>
      </c>
      <c r="BV76" s="136">
        <f t="shared" si="61"/>
        <v>0</v>
      </c>
      <c r="BW76" s="153">
        <f t="shared" si="62"/>
        <v>3.7999999999999999E-2</v>
      </c>
      <c r="BX76" s="153">
        <f t="shared" si="63"/>
        <v>2.4112336653066864</v>
      </c>
      <c r="BY76" s="153">
        <f t="shared" si="64"/>
        <v>1.9997260127337518E-3</v>
      </c>
      <c r="BZ76" s="153">
        <f t="shared" si="65"/>
        <v>0.42660669671583451</v>
      </c>
      <c r="CA76" s="153">
        <f t="shared" si="66"/>
        <v>-0.30629109163035334</v>
      </c>
      <c r="CB76" s="153">
        <f t="shared" si="67"/>
        <v>0</v>
      </c>
      <c r="CC76" s="153">
        <f t="shared" si="68"/>
        <v>2.5715489964049008</v>
      </c>
      <c r="CD76" s="153">
        <f t="shared" si="69"/>
        <v>3.4016626099557672</v>
      </c>
      <c r="CE76" s="23">
        <f t="shared" si="70"/>
        <v>5.8398647610265865E-3</v>
      </c>
      <c r="CF76" s="23">
        <f t="shared" si="71"/>
        <v>0.37055996085856563</v>
      </c>
      <c r="CG76" s="23">
        <f t="shared" si="72"/>
        <v>3.0731919667031688E-4</v>
      </c>
      <c r="CH76" s="23">
        <f t="shared" si="73"/>
        <v>6.5561195130756811E-2</v>
      </c>
      <c r="CI76" s="23">
        <f t="shared" si="74"/>
        <v>-4.7071014542854367E-2</v>
      </c>
      <c r="CJ76" s="23">
        <f t="shared" si="75"/>
        <v>0</v>
      </c>
      <c r="CK76" s="23">
        <f t="shared" si="76"/>
        <v>0.39519732540416497</v>
      </c>
      <c r="CL76" s="23">
        <f t="shared" si="77"/>
        <v>0.60480267459583503</v>
      </c>
      <c r="CM76" s="23">
        <f t="shared" si="78"/>
        <v>1.1227861272210668E-2</v>
      </c>
      <c r="CN76" s="23">
        <f t="shared" si="79"/>
        <v>1.7182911145664451E-2</v>
      </c>
      <c r="CO76" s="23">
        <f t="shared" si="80"/>
        <v>1.1015953321370454E-3</v>
      </c>
      <c r="CP76" s="448">
        <f t="shared" si="81"/>
        <v>0</v>
      </c>
      <c r="CQ76" s="448">
        <f t="shared" si="82"/>
        <v>1.1015953321370454E-3</v>
      </c>
      <c r="CR76" s="23">
        <f t="shared" si="83"/>
        <v>1.6858611138559866E-3</v>
      </c>
      <c r="CS76" s="326">
        <v>2.93</v>
      </c>
      <c r="CT76" s="153">
        <v>0.63500000000000001</v>
      </c>
      <c r="CU76" s="153">
        <v>3.5649999999999999</v>
      </c>
      <c r="CV76" s="384">
        <f t="shared" si="134"/>
        <v>0</v>
      </c>
      <c r="CW76" s="384">
        <f t="shared" si="135"/>
        <v>0.56276633469331383</v>
      </c>
      <c r="CX76" s="384">
        <f t="shared" si="136"/>
        <v>1.1000273987266248E-2</v>
      </c>
      <c r="CY76" s="384">
        <f t="shared" si="137"/>
        <v>0.20739330328416547</v>
      </c>
      <c r="CZ76" s="450">
        <f t="shared" si="138"/>
        <v>0.32829109163035336</v>
      </c>
      <c r="DA76" s="153">
        <f t="shared" si="139"/>
        <v>0</v>
      </c>
      <c r="DB76" s="153">
        <f t="shared" si="85"/>
        <v>1.1094510035950989</v>
      </c>
      <c r="DC76" s="153">
        <f t="shared" si="86"/>
        <v>2.354337390044233</v>
      </c>
      <c r="DD76" s="153">
        <f t="shared" si="87"/>
        <v>-0.53378839363933173</v>
      </c>
      <c r="DE76" s="23">
        <f t="shared" si="88"/>
        <v>0.37865221965703033</v>
      </c>
      <c r="DF76" s="149">
        <v>7.4180000000000001</v>
      </c>
      <c r="DG76" s="153">
        <v>0</v>
      </c>
      <c r="DH76" s="153">
        <v>0.67</v>
      </c>
      <c r="DI76" s="153">
        <v>6.2E-2</v>
      </c>
      <c r="DJ76" s="153">
        <v>0.40600000000000003</v>
      </c>
      <c r="DK76" s="153">
        <v>-0.41599999999999998</v>
      </c>
      <c r="DL76" s="153">
        <v>0</v>
      </c>
      <c r="DM76" s="153">
        <f t="shared" si="38"/>
        <v>0.72199999999999998</v>
      </c>
      <c r="DN76" s="153">
        <f t="shared" si="39"/>
        <v>6.6959999999999997</v>
      </c>
      <c r="DO76" s="258">
        <f t="shared" si="140"/>
        <v>7.4179999999999993</v>
      </c>
      <c r="DP76" s="5">
        <v>164.583</v>
      </c>
      <c r="DQ76" s="76">
        <v>0.28499999999999998</v>
      </c>
      <c r="DR76" s="76">
        <v>33.728000000000002</v>
      </c>
      <c r="DS76" s="76">
        <v>0.753</v>
      </c>
      <c r="DT76" s="76">
        <v>8.1460000000000008</v>
      </c>
      <c r="DU76" s="76">
        <v>13.343</v>
      </c>
      <c r="DV76" s="76">
        <v>0.244318219093829</v>
      </c>
      <c r="DW76" s="76">
        <f t="shared" si="40"/>
        <v>56.49931821909383</v>
      </c>
      <c r="DX76" s="76">
        <f t="shared" si="41"/>
        <v>108.08368178090618</v>
      </c>
      <c r="DY76" s="23">
        <f t="shared" si="141"/>
        <v>0.34328769204045273</v>
      </c>
      <c r="DZ76" s="23">
        <f t="shared" si="42"/>
        <v>1.7316490767576237E-3</v>
      </c>
      <c r="EA76" s="23">
        <f t="shared" si="43"/>
        <v>0.20493003530133733</v>
      </c>
      <c r="EB76" s="23">
        <f t="shared" si="44"/>
        <v>4.5751991396438272E-3</v>
      </c>
      <c r="EC76" s="23">
        <f t="shared" si="45"/>
        <v>4.9494783786903876E-2</v>
      </c>
      <c r="ED76" s="23">
        <f t="shared" si="46"/>
        <v>8.1071556600620959E-2</v>
      </c>
      <c r="EE76" s="23">
        <f t="shared" si="142"/>
        <v>1.4844681351891082E-3</v>
      </c>
      <c r="EF76" s="149">
        <v>41.813000000000002</v>
      </c>
      <c r="EG76" s="322">
        <f t="shared" si="143"/>
        <v>0</v>
      </c>
      <c r="EH76" s="322">
        <f t="shared" si="144"/>
        <v>8.0835128310062583</v>
      </c>
      <c r="EI76" s="324">
        <f t="shared" si="145"/>
        <v>0.16607173808377468</v>
      </c>
      <c r="EJ76" s="322">
        <f t="shared" si="146"/>
        <v>2.1100714973519499</v>
      </c>
      <c r="EK76" s="322">
        <f t="shared" si="147"/>
        <v>3.2528338950409248</v>
      </c>
      <c r="EL76" s="322">
        <f t="shared" si="148"/>
        <v>0</v>
      </c>
      <c r="EM76" s="330">
        <f t="shared" si="89"/>
        <v>13.612489961482908</v>
      </c>
      <c r="EN76" s="330">
        <f t="shared" si="90"/>
        <v>28.200510038517095</v>
      </c>
      <c r="EO76" s="23">
        <f t="shared" si="91"/>
        <v>0.32555640498129546</v>
      </c>
      <c r="EP76" s="258">
        <v>53.820999999999998</v>
      </c>
      <c r="EQ76" s="153">
        <f t="shared" si="92"/>
        <v>0</v>
      </c>
      <c r="ER76" s="153">
        <f t="shared" si="93"/>
        <v>8.5562719094669148</v>
      </c>
      <c r="ES76" s="153">
        <f t="shared" si="149"/>
        <v>0.16607173808377468</v>
      </c>
      <c r="ET76" s="153">
        <f t="shared" si="150"/>
        <v>3.2798847496487658</v>
      </c>
      <c r="EU76" s="153">
        <f t="shared" si="94"/>
        <v>5.2045855817821742</v>
      </c>
      <c r="EV76" s="153">
        <f t="shared" si="94"/>
        <v>0</v>
      </c>
      <c r="EW76" s="153">
        <f t="shared" si="95"/>
        <v>17.206813978981629</v>
      </c>
      <c r="EX76" s="153">
        <f t="shared" si="96"/>
        <v>36.614186021018369</v>
      </c>
      <c r="EY76" s="23">
        <f t="shared" si="97"/>
        <v>0.31970446440946154</v>
      </c>
      <c r="EZ76" s="258">
        <v>12.007999999999999</v>
      </c>
      <c r="FA76" s="316">
        <v>0</v>
      </c>
      <c r="FB76" s="484">
        <f t="shared" si="98"/>
        <v>0.47275907846065574</v>
      </c>
      <c r="FC76" s="153">
        <v>0</v>
      </c>
      <c r="FD76" s="484">
        <f t="shared" si="99"/>
        <v>1.1698132522968159</v>
      </c>
      <c r="FE76" s="316">
        <f t="shared" si="100"/>
        <v>1.9517516867412492</v>
      </c>
      <c r="FF76" s="316">
        <v>0</v>
      </c>
      <c r="FG76" s="153">
        <f t="shared" si="101"/>
        <v>3.594324017498721</v>
      </c>
      <c r="FH76" s="153">
        <f t="shared" si="102"/>
        <v>8.4136759825012781</v>
      </c>
      <c r="FI76" s="23">
        <f t="shared" si="103"/>
        <v>0.29932744982501008</v>
      </c>
      <c r="FJ76" s="23"/>
      <c r="FK76" s="448">
        <f t="shared" si="104"/>
        <v>8.4286814091162499E-3</v>
      </c>
      <c r="FL76" s="448">
        <f t="shared" si="105"/>
        <v>6.6238085505657643E-2</v>
      </c>
      <c r="FM76" s="23"/>
      <c r="FN76" s="23"/>
      <c r="FO76" s="326">
        <v>122.771</v>
      </c>
      <c r="FP76" s="483">
        <f t="shared" si="106"/>
        <v>1.0000000000047748E-3</v>
      </c>
      <c r="FQ76" s="322">
        <f t="shared" si="107"/>
        <v>0.28499999999999998</v>
      </c>
      <c r="FR76" s="322">
        <f t="shared" si="108"/>
        <v>25.644487168993741</v>
      </c>
      <c r="FS76" s="322">
        <f t="shared" si="109"/>
        <v>0.58692826191622527</v>
      </c>
      <c r="FT76" s="322">
        <f t="shared" si="110"/>
        <v>6.0359285026480514</v>
      </c>
      <c r="FU76" s="322">
        <f t="shared" si="111"/>
        <v>10.090166104959074</v>
      </c>
      <c r="FV76" s="322">
        <f t="shared" si="112"/>
        <v>0.244318219093829</v>
      </c>
      <c r="FW76" s="322">
        <f t="shared" si="113"/>
        <v>42.886828257610922</v>
      </c>
      <c r="FX76" s="322">
        <f t="shared" si="114"/>
        <v>0</v>
      </c>
      <c r="FY76" s="322">
        <f t="shared" si="115"/>
        <v>79.883171742389081</v>
      </c>
      <c r="FZ76" s="367">
        <f t="shared" si="116"/>
        <v>0.34932376748263777</v>
      </c>
      <c r="GA76" s="248">
        <f t="shared" si="117"/>
        <v>2.3213951177395312E-3</v>
      </c>
      <c r="GB76" s="248">
        <f t="shared" si="118"/>
        <v>0.20888065723170571</v>
      </c>
      <c r="GC76" s="248">
        <f t="shared" si="119"/>
        <v>4.7806750935988568E-3</v>
      </c>
      <c r="GD76" s="248">
        <f t="shared" si="120"/>
        <v>4.9164122656393215E-2</v>
      </c>
      <c r="GE76" s="251">
        <f t="shared" si="121"/>
        <v>8.2186885379764554E-2</v>
      </c>
      <c r="GF76" s="248">
        <f t="shared" si="122"/>
        <v>1.990032003435901E-3</v>
      </c>
      <c r="GG76" s="248">
        <f t="shared" si="123"/>
        <v>3.5647793263646921E-2</v>
      </c>
      <c r="GH76" s="23">
        <f t="shared" si="124"/>
        <v>2.3194881458301127E-2</v>
      </c>
      <c r="GI76" s="23">
        <f t="shared" si="125"/>
        <v>1.2452621445299338E-2</v>
      </c>
      <c r="GJ76" s="326">
        <v>129.15899999999999</v>
      </c>
      <c r="GK76" s="153">
        <f t="shared" si="151"/>
        <v>0</v>
      </c>
      <c r="GL76" s="153">
        <f t="shared" si="126"/>
        <v>41.813000000000002</v>
      </c>
      <c r="GM76" s="153">
        <f t="shared" si="127"/>
        <v>12.007999999999999</v>
      </c>
      <c r="GN76" s="153">
        <v>75.337999999999994</v>
      </c>
      <c r="GO76" s="153">
        <v>53.820999999999998</v>
      </c>
      <c r="GP76" s="153">
        <f t="shared" si="128"/>
        <v>53.820999999999998</v>
      </c>
      <c r="GQ76" s="295"/>
      <c r="GR76" s="153">
        <f t="shared" si="129"/>
        <v>122.771</v>
      </c>
      <c r="GS76" s="153">
        <f>FoF_RoW!$AZ46/1000</f>
        <v>223.53800000000001</v>
      </c>
      <c r="GT76" s="153">
        <f t="shared" si="15"/>
        <v>181.72500000000002</v>
      </c>
      <c r="GU76" s="23">
        <f t="shared" si="130"/>
        <v>1.4801948342849698</v>
      </c>
      <c r="GV76" s="330">
        <f>FoF_RoW!$AE46/1000</f>
        <v>24.469000000000001</v>
      </c>
      <c r="GW76" s="330">
        <f t="shared" si="16"/>
        <v>29.830000000000013</v>
      </c>
      <c r="GX76" s="153">
        <v>259.72300000000001</v>
      </c>
      <c r="GY76" s="153">
        <v>130.56399999999999</v>
      </c>
      <c r="GZ76" s="153">
        <f t="shared" si="131"/>
        <v>1.0634759022896285</v>
      </c>
      <c r="HA76" s="153">
        <f t="shared" si="22"/>
        <v>41.813000000000002</v>
      </c>
      <c r="HB76" s="153">
        <v>68.933000000000007</v>
      </c>
      <c r="HC76" s="153">
        <v>129.15899999999999</v>
      </c>
      <c r="HD76" s="186">
        <f t="shared" si="132"/>
        <v>4.4904741347712405E-2</v>
      </c>
      <c r="HE76" s="503">
        <f t="shared" si="133"/>
        <v>5.385636673155713E-2</v>
      </c>
      <c r="HF76" s="663"/>
      <c r="HV76" s="186">
        <f t="shared" si="152"/>
        <v>2.8530273854847642E-2</v>
      </c>
      <c r="HW76" s="308">
        <f t="shared" si="153"/>
        <v>5.276567944250872E-2</v>
      </c>
      <c r="HX76" s="308">
        <f t="shared" si="154"/>
        <v>1.5054192846318782E-3</v>
      </c>
      <c r="HY76" s="313">
        <f t="shared" si="155"/>
        <v>0</v>
      </c>
      <c r="HZ76" s="23">
        <f t="shared" si="156"/>
        <v>7.1772762695220538E-2</v>
      </c>
      <c r="IA76" s="23">
        <f t="shared" si="157"/>
        <v>5.0613480937150963E-2</v>
      </c>
      <c r="IB76" s="23">
        <f t="shared" si="158"/>
        <v>1.8340298535652027E-3</v>
      </c>
      <c r="IC76" s="23">
        <f t="shared" si="159"/>
        <v>3.8045606232095797E-2</v>
      </c>
      <c r="ID76" s="23">
        <f t="shared" si="160"/>
        <v>-1.6340185290240991E-2</v>
      </c>
      <c r="IE76" s="23">
        <f t="shared" si="161"/>
        <v>0</v>
      </c>
      <c r="IF76" s="23">
        <f t="shared" si="162"/>
        <v>3.2276898883052844E-2</v>
      </c>
      <c r="IG76" s="23">
        <f t="shared" si="163"/>
        <v>2.2922229859083654E-2</v>
      </c>
      <c r="IH76" s="23">
        <f t="shared" ref="IH76:IH108" si="164">IF76-IG76</f>
        <v>9.3546690239691907E-3</v>
      </c>
      <c r="II76" s="23"/>
      <c r="IJ76" s="23"/>
      <c r="IK76" s="841"/>
      <c r="IL76" s="90"/>
      <c r="IU76" s="153"/>
      <c r="IV76" s="330">
        <v>73155</v>
      </c>
      <c r="IW76" s="330"/>
      <c r="IX76" s="330">
        <f t="shared" si="23"/>
        <v>15779</v>
      </c>
      <c r="IY76" s="330"/>
      <c r="IZ76" s="330"/>
      <c r="JA76" s="76">
        <v>8670</v>
      </c>
      <c r="JB76" s="76">
        <v>9605</v>
      </c>
      <c r="JC76" s="76">
        <v>2612</v>
      </c>
      <c r="JD76" s="76">
        <v>-116</v>
      </c>
      <c r="JK76" s="153"/>
      <c r="JL76" s="153"/>
      <c r="JM76" s="153"/>
    </row>
    <row r="77" spans="2:273">
      <c r="B77" s="451">
        <v>1985</v>
      </c>
      <c r="C77" s="43">
        <v>3684.2</v>
      </c>
      <c r="D77" s="5">
        <v>354.5</v>
      </c>
      <c r="E77" s="460">
        <f t="shared" si="0"/>
        <v>9.6221703490581401E-2</v>
      </c>
      <c r="F77" s="454">
        <f t="shared" si="1"/>
        <v>0</v>
      </c>
      <c r="G77" s="76">
        <f t="shared" si="2"/>
        <v>316.39999999999998</v>
      </c>
      <c r="H77" s="23">
        <f t="shared" si="3"/>
        <v>8.5880245372129627E-2</v>
      </c>
      <c r="I77" s="455">
        <v>38.1</v>
      </c>
      <c r="J77" s="460">
        <f t="shared" si="4"/>
        <v>1.0341458118451767E-2</v>
      </c>
      <c r="K77" s="6">
        <f t="shared" si="5"/>
        <v>0.10747531734837801</v>
      </c>
      <c r="L77" s="136">
        <v>46.8</v>
      </c>
      <c r="M77" s="136">
        <f t="shared" si="8"/>
        <v>8.6999999999999957</v>
      </c>
      <c r="N77" s="460">
        <f t="shared" si="6"/>
        <v>1.2702893436838392E-2</v>
      </c>
      <c r="O77" s="460">
        <f t="shared" si="9"/>
        <v>2.3614353183866229E-3</v>
      </c>
      <c r="P77" s="449">
        <f t="shared" si="10"/>
        <v>2.4541607898448507E-2</v>
      </c>
      <c r="Q77" s="5">
        <f t="shared" si="7"/>
        <v>354.5</v>
      </c>
      <c r="R77" s="169">
        <f t="shared" si="11"/>
        <v>8.6999999999999957</v>
      </c>
      <c r="S77" s="174"/>
      <c r="U77" s="76">
        <f t="shared" si="47"/>
        <v>3.9159999999999999</v>
      </c>
      <c r="W77" s="23">
        <f t="shared" si="48"/>
        <v>0.45011494252873585</v>
      </c>
      <c r="X77" s="180">
        <v>6.9459999999999997</v>
      </c>
      <c r="Y77" s="79">
        <f t="shared" si="49"/>
        <v>9.9999999999988987E-4</v>
      </c>
      <c r="Z77" s="79">
        <f t="shared" si="50"/>
        <v>3.9159999999999999</v>
      </c>
      <c r="AA77" s="683">
        <v>4.5739999999999998</v>
      </c>
      <c r="AB77" s="683">
        <v>-0.65800000000000003</v>
      </c>
      <c r="AC77" s="79">
        <f t="shared" si="51"/>
        <v>3.0289999999999999</v>
      </c>
      <c r="AD77" s="79">
        <v>3.7530000000000001</v>
      </c>
      <c r="AE77" s="79">
        <v>0.72399999999999998</v>
      </c>
      <c r="AF77" s="23">
        <f t="shared" si="52"/>
        <v>-0.16802860061287028</v>
      </c>
      <c r="AG77" s="23">
        <f t="shared" si="53"/>
        <v>1.0586741889985896E-2</v>
      </c>
      <c r="AH77" s="450">
        <v>-0.748</v>
      </c>
      <c r="AI77" s="79">
        <f t="shared" si="54"/>
        <v>7.694</v>
      </c>
      <c r="AJ77" s="79">
        <f t="shared" si="55"/>
        <v>0.14599999999999991</v>
      </c>
      <c r="AK77" s="79">
        <v>9.1999999999999993</v>
      </c>
      <c r="AL77" s="23">
        <f t="shared" si="56"/>
        <v>0.4971739130434783</v>
      </c>
      <c r="AM77" s="182">
        <v>7.548</v>
      </c>
      <c r="AN77" s="79">
        <v>0.04</v>
      </c>
      <c r="AO77" s="79">
        <v>2.2320000000000002</v>
      </c>
      <c r="AP77" s="79">
        <v>6.2E-2</v>
      </c>
      <c r="AQ77" s="79">
        <v>0.35099999999999998</v>
      </c>
      <c r="AR77" s="79">
        <v>-0.247</v>
      </c>
      <c r="AS77" s="79">
        <v>-0.152</v>
      </c>
      <c r="AT77" s="79">
        <v>-0.04</v>
      </c>
      <c r="AU77" s="79">
        <v>0</v>
      </c>
      <c r="AV77" s="79">
        <f t="shared" si="27"/>
        <v>2.4380000000000002</v>
      </c>
      <c r="AW77" s="79">
        <f t="shared" si="28"/>
        <v>5.1099999999999994</v>
      </c>
      <c r="AX77" s="23">
        <f t="shared" si="29"/>
        <v>5.2994170641229464E-3</v>
      </c>
      <c r="AY77" s="23">
        <f t="shared" si="30"/>
        <v>0.29570747217806043</v>
      </c>
      <c r="AZ77" s="23">
        <f t="shared" si="31"/>
        <v>8.214096449390567E-3</v>
      </c>
      <c r="BA77" s="23">
        <f t="shared" si="32"/>
        <v>4.6502384737678849E-2</v>
      </c>
      <c r="BB77" s="23">
        <f t="shared" si="33"/>
        <v>-3.2723900370959194E-2</v>
      </c>
      <c r="BC77" s="23">
        <f t="shared" si="34"/>
        <v>-2.0137784843667197E-2</v>
      </c>
      <c r="BD77" s="23">
        <f t="shared" si="35"/>
        <v>-5.2994170641229464E-3</v>
      </c>
      <c r="BE77" s="23">
        <f t="shared" si="36"/>
        <v>0</v>
      </c>
      <c r="BF77" s="23">
        <f t="shared" si="37"/>
        <v>0.3229994700582936</v>
      </c>
      <c r="BG77" s="23" t="e">
        <v>#VALUE!</v>
      </c>
      <c r="BH77" s="23"/>
      <c r="BI77" s="23">
        <f>'Assets(BoP)'!EF77</f>
        <v>0.46598095767600251</v>
      </c>
      <c r="BJ77" s="182">
        <v>0.09</v>
      </c>
      <c r="BK77" s="79"/>
      <c r="BL77" s="79"/>
      <c r="BM77" s="79"/>
      <c r="BN77" s="79"/>
      <c r="BO77" s="79"/>
      <c r="BP77" s="79"/>
      <c r="BQ77" s="28">
        <f t="shared" si="57"/>
        <v>0</v>
      </c>
      <c r="BR77" s="23">
        <f t="shared" si="58"/>
        <v>0</v>
      </c>
      <c r="BS77" s="79"/>
      <c r="BT77" s="23">
        <f t="shared" si="59"/>
        <v>0</v>
      </c>
      <c r="BU77" s="182">
        <f t="shared" si="60"/>
        <v>4.5190000000000001</v>
      </c>
      <c r="BV77" s="136">
        <f t="shared" si="61"/>
        <v>1.000000000000334E-3</v>
      </c>
      <c r="BW77" s="153">
        <f t="shared" si="62"/>
        <v>0.04</v>
      </c>
      <c r="BX77" s="153">
        <f t="shared" si="63"/>
        <v>1.6618466403347742</v>
      </c>
      <c r="BY77" s="153">
        <f t="shared" si="64"/>
        <v>5.2787068288188799E-2</v>
      </c>
      <c r="BZ77" s="153">
        <f t="shared" si="65"/>
        <v>3.5924136905149284E-2</v>
      </c>
      <c r="CA77" s="153">
        <f t="shared" si="66"/>
        <v>-0.57856600784493151</v>
      </c>
      <c r="CB77" s="153">
        <f t="shared" si="67"/>
        <v>0</v>
      </c>
      <c r="CC77" s="153">
        <f t="shared" si="68"/>
        <v>1.2119918376831809</v>
      </c>
      <c r="CD77" s="153">
        <f t="shared" si="69"/>
        <v>2.7381243111656595</v>
      </c>
      <c r="CE77" s="23">
        <f t="shared" si="70"/>
        <v>8.8515158220845314E-3</v>
      </c>
      <c r="CF77" s="23">
        <f t="shared" si="71"/>
        <v>0.36774654577003191</v>
      </c>
      <c r="CG77" s="23">
        <f t="shared" si="72"/>
        <v>1.1681139253858995E-2</v>
      </c>
      <c r="CH77" s="23">
        <f t="shared" si="73"/>
        <v>7.9495766552664937E-3</v>
      </c>
      <c r="CI77" s="23">
        <f t="shared" si="74"/>
        <v>-0.12802965431399235</v>
      </c>
      <c r="CJ77" s="23">
        <f t="shared" si="75"/>
        <v>0</v>
      </c>
      <c r="CK77" s="23">
        <f t="shared" si="76"/>
        <v>0.26819912318724959</v>
      </c>
      <c r="CL77" s="23">
        <f t="shared" si="77"/>
        <v>0.73180087681275041</v>
      </c>
      <c r="CM77" s="23">
        <f t="shared" si="78"/>
        <v>6.5820377199691683E-3</v>
      </c>
      <c r="CN77" s="23">
        <f t="shared" si="79"/>
        <v>1.7959570178479337E-2</v>
      </c>
      <c r="CO77" s="23">
        <f t="shared" si="80"/>
        <v>6.3333488185469576E-4</v>
      </c>
      <c r="CP77" s="448">
        <f t="shared" si="81"/>
        <v>0</v>
      </c>
      <c r="CQ77" s="448">
        <f t="shared" si="82"/>
        <v>6.3333488185469576E-4</v>
      </c>
      <c r="CR77" s="23">
        <f t="shared" si="83"/>
        <v>1.7281004365319267E-3</v>
      </c>
      <c r="CS77" s="326">
        <v>3.0289999999999999</v>
      </c>
      <c r="CT77" s="153">
        <v>0.72399999999999998</v>
      </c>
      <c r="CU77" s="153">
        <v>3.7530000000000001</v>
      </c>
      <c r="CV77" s="384">
        <f t="shared" si="134"/>
        <v>0</v>
      </c>
      <c r="CW77" s="384">
        <f t="shared" si="135"/>
        <v>0.57015335966522596</v>
      </c>
      <c r="CX77" s="384">
        <f t="shared" si="136"/>
        <v>9.2129317118112009E-3</v>
      </c>
      <c r="CY77" s="384">
        <f t="shared" si="137"/>
        <v>0.31507586309485069</v>
      </c>
      <c r="CZ77" s="450">
        <f t="shared" si="138"/>
        <v>0.33156600784493157</v>
      </c>
      <c r="DA77" s="153">
        <f t="shared" si="139"/>
        <v>0</v>
      </c>
      <c r="DB77" s="153">
        <f t="shared" si="85"/>
        <v>1.2260081623168195</v>
      </c>
      <c r="DC77" s="153">
        <f t="shared" si="86"/>
        <v>2.37187568883434</v>
      </c>
      <c r="DD77" s="153">
        <f t="shared" si="87"/>
        <v>-0.56888385115115958</v>
      </c>
      <c r="DE77" s="23">
        <f t="shared" si="88"/>
        <v>0.40475673896230424</v>
      </c>
      <c r="DF77" s="149">
        <v>5.1859999999999999</v>
      </c>
      <c r="DG77" s="153">
        <v>0</v>
      </c>
      <c r="DH77" s="153">
        <v>0.92600000000000005</v>
      </c>
      <c r="DI77" s="153">
        <v>-1.2E-2</v>
      </c>
      <c r="DJ77" s="153">
        <v>1.859</v>
      </c>
      <c r="DK77" s="153">
        <v>0.123</v>
      </c>
      <c r="DL77" s="153">
        <v>0</v>
      </c>
      <c r="DM77" s="153">
        <f t="shared" si="38"/>
        <v>2.8959999999999999</v>
      </c>
      <c r="DN77" s="153">
        <f t="shared" si="39"/>
        <v>2.29</v>
      </c>
      <c r="DO77" s="258">
        <f t="shared" si="140"/>
        <v>5.1859999999999999</v>
      </c>
      <c r="DP77" s="5">
        <v>184.61500000000001</v>
      </c>
      <c r="DQ77" s="76">
        <v>0.32250000000000001</v>
      </c>
      <c r="DR77" s="76">
        <v>37.055999999999997</v>
      </c>
      <c r="DS77" s="76">
        <v>0.34499999999999997</v>
      </c>
      <c r="DT77" s="76">
        <v>10.568</v>
      </c>
      <c r="DU77" s="76">
        <v>13.335000000000001</v>
      </c>
      <c r="DV77" s="76">
        <v>0.27405508477793722</v>
      </c>
      <c r="DW77" s="76">
        <f t="shared" si="40"/>
        <v>61.900555084777928</v>
      </c>
      <c r="DX77" s="76">
        <f t="shared" si="41"/>
        <v>122.71444491522209</v>
      </c>
      <c r="DY77" s="23">
        <f t="shared" si="141"/>
        <v>0.33529537190790526</v>
      </c>
      <c r="DZ77" s="23">
        <f t="shared" si="42"/>
        <v>1.7468786393304986E-3</v>
      </c>
      <c r="EA77" s="23">
        <f t="shared" si="43"/>
        <v>0.20072041816753783</v>
      </c>
      <c r="EB77" s="23">
        <f t="shared" si="44"/>
        <v>1.8687538932372772E-3</v>
      </c>
      <c r="EC77" s="23">
        <f t="shared" si="45"/>
        <v>5.7243452590526225E-2</v>
      </c>
      <c r="ED77" s="23">
        <f t="shared" si="46"/>
        <v>7.2231400482084332E-2</v>
      </c>
      <c r="EE77" s="23">
        <f t="shared" si="142"/>
        <v>1.4844681351891082E-3</v>
      </c>
      <c r="EF77" s="149">
        <v>46.999000000000002</v>
      </c>
      <c r="EG77" s="322">
        <f t="shared" si="143"/>
        <v>0</v>
      </c>
      <c r="EH77" s="322">
        <f t="shared" si="144"/>
        <v>9.0095128310062584</v>
      </c>
      <c r="EI77" s="324">
        <f t="shared" si="145"/>
        <v>0.15407173808377467</v>
      </c>
      <c r="EJ77" s="322">
        <f t="shared" si="146"/>
        <v>3.9690714973519499</v>
      </c>
      <c r="EK77" s="322">
        <f t="shared" si="147"/>
        <v>3.375833895040925</v>
      </c>
      <c r="EL77" s="322">
        <f t="shared" si="148"/>
        <v>0</v>
      </c>
      <c r="EM77" s="330">
        <f t="shared" si="89"/>
        <v>16.508489961482908</v>
      </c>
      <c r="EN77" s="330">
        <f t="shared" si="90"/>
        <v>30.490510038517094</v>
      </c>
      <c r="EO77" s="23">
        <f t="shared" si="91"/>
        <v>0.3512519407111408</v>
      </c>
      <c r="EP77" s="258">
        <v>62.762999999999998</v>
      </c>
      <c r="EQ77" s="153">
        <f t="shared" si="92"/>
        <v>0</v>
      </c>
      <c r="ER77" s="153">
        <f t="shared" si="93"/>
        <v>9.6384029333199237</v>
      </c>
      <c r="ES77" s="153">
        <f t="shared" si="149"/>
        <v>0.15407173808377467</v>
      </c>
      <c r="ET77" s="153">
        <f t="shared" si="150"/>
        <v>5.5252213619304946</v>
      </c>
      <c r="EU77" s="153">
        <f t="shared" si="94"/>
        <v>5.9721612293825865</v>
      </c>
      <c r="EV77" s="153">
        <f t="shared" si="94"/>
        <v>0</v>
      </c>
      <c r="EW77" s="153">
        <f t="shared" si="95"/>
        <v>21.289857262716779</v>
      </c>
      <c r="EX77" s="153">
        <f t="shared" si="96"/>
        <v>41.473142737283219</v>
      </c>
      <c r="EY77" s="23">
        <f t="shared" si="97"/>
        <v>0.33921031918035754</v>
      </c>
      <c r="EZ77" s="258">
        <v>15.763999999999999</v>
      </c>
      <c r="FA77" s="316">
        <v>0</v>
      </c>
      <c r="FB77" s="484">
        <f t="shared" si="98"/>
        <v>0.62889010231366615</v>
      </c>
      <c r="FC77" s="153">
        <v>0</v>
      </c>
      <c r="FD77" s="484">
        <f t="shared" si="99"/>
        <v>1.556149864578545</v>
      </c>
      <c r="FE77" s="316">
        <f t="shared" si="100"/>
        <v>2.5963273343416615</v>
      </c>
      <c r="FF77" s="316">
        <v>0</v>
      </c>
      <c r="FG77" s="153">
        <f t="shared" si="101"/>
        <v>4.7813673012338729</v>
      </c>
      <c r="FH77" s="153">
        <f t="shared" si="102"/>
        <v>10.982632698766126</v>
      </c>
      <c r="FI77" s="23">
        <f t="shared" si="103"/>
        <v>0.30330926803056796</v>
      </c>
      <c r="FJ77" s="23"/>
      <c r="FK77" s="448">
        <f t="shared" si="104"/>
        <v>9.8398977955367079E-3</v>
      </c>
      <c r="FL77" s="448">
        <f t="shared" si="105"/>
        <v>5.9796376846231063E-2</v>
      </c>
      <c r="FM77" s="23"/>
      <c r="FN77" s="23"/>
      <c r="FO77" s="326">
        <v>137.61699999999999</v>
      </c>
      <c r="FP77" s="483">
        <f t="shared" si="106"/>
        <v>9.9999999997635314E-4</v>
      </c>
      <c r="FQ77" s="322">
        <f t="shared" si="107"/>
        <v>0.32250000000000001</v>
      </c>
      <c r="FR77" s="322">
        <f t="shared" si="108"/>
        <v>28.046487168993739</v>
      </c>
      <c r="FS77" s="322">
        <f t="shared" si="109"/>
        <v>0.19092826191622531</v>
      </c>
      <c r="FT77" s="322">
        <f t="shared" si="110"/>
        <v>6.5989285026480502</v>
      </c>
      <c r="FU77" s="322">
        <f t="shared" si="111"/>
        <v>9.9591661049590758</v>
      </c>
      <c r="FV77" s="322">
        <f t="shared" si="112"/>
        <v>0.27405508477793722</v>
      </c>
      <c r="FW77" s="322">
        <f t="shared" si="113"/>
        <v>45.392065123295019</v>
      </c>
      <c r="FX77" s="322">
        <f t="shared" si="114"/>
        <v>0</v>
      </c>
      <c r="FY77" s="322">
        <f t="shared" si="115"/>
        <v>92.223934876704988</v>
      </c>
      <c r="FZ77" s="367">
        <f t="shared" si="116"/>
        <v>0.3298434432032018</v>
      </c>
      <c r="GA77" s="248">
        <f t="shared" si="117"/>
        <v>2.3434604736333451E-3</v>
      </c>
      <c r="GB77" s="248">
        <f t="shared" si="118"/>
        <v>0.20380103598388091</v>
      </c>
      <c r="GC77" s="248">
        <f t="shared" si="119"/>
        <v>1.3873886359695774E-3</v>
      </c>
      <c r="GD77" s="248">
        <f t="shared" si="120"/>
        <v>4.7951405005544741E-2</v>
      </c>
      <c r="GE77" s="251">
        <f t="shared" si="121"/>
        <v>7.2368719743629614E-2</v>
      </c>
      <c r="GF77" s="248">
        <f t="shared" si="122"/>
        <v>1.9914333605436626E-3</v>
      </c>
      <c r="GG77" s="248">
        <f t="shared" si="123"/>
        <v>3.7353292437978393E-2</v>
      </c>
      <c r="GH77" s="23">
        <f t="shared" si="124"/>
        <v>2.5032282415912543E-2</v>
      </c>
      <c r="GI77" s="23">
        <f t="shared" si="125"/>
        <v>1.2320738592718913E-2</v>
      </c>
      <c r="GJ77" s="326">
        <v>136.34100000000001</v>
      </c>
      <c r="GK77" s="153">
        <f t="shared" si="151"/>
        <v>0</v>
      </c>
      <c r="GL77" s="153">
        <f t="shared" si="126"/>
        <v>46.999000000000002</v>
      </c>
      <c r="GM77" s="153">
        <f t="shared" si="127"/>
        <v>15.763999999999999</v>
      </c>
      <c r="GN77" s="153">
        <v>73.578000000000003</v>
      </c>
      <c r="GO77" s="153">
        <v>62.762999999999998</v>
      </c>
      <c r="GP77" s="153">
        <f t="shared" si="128"/>
        <v>62.762999999999998</v>
      </c>
      <c r="GQ77" s="295"/>
      <c r="GR77" s="153">
        <f t="shared" si="129"/>
        <v>137.61699999999999</v>
      </c>
      <c r="GS77" s="153">
        <f>FoF_RoW!$AZ47/1000</f>
        <v>247.22300000000001</v>
      </c>
      <c r="GT77" s="153">
        <f t="shared" si="15"/>
        <v>200.22400000000002</v>
      </c>
      <c r="GU77" s="23">
        <f t="shared" si="130"/>
        <v>1.4549365267372492</v>
      </c>
      <c r="GV77" s="330">
        <f>FoF_RoW!$AE47/1000</f>
        <v>19.747</v>
      </c>
      <c r="GW77" s="330">
        <f t="shared" si="16"/>
        <v>23.685000000000002</v>
      </c>
      <c r="GX77" s="153">
        <v>309.33800000000002</v>
      </c>
      <c r="GY77" s="153">
        <v>172.99700000000001</v>
      </c>
      <c r="GZ77" s="153">
        <f t="shared" si="131"/>
        <v>1.2570903304097607</v>
      </c>
      <c r="HA77" s="153">
        <f t="shared" si="22"/>
        <v>46.999000000000002</v>
      </c>
      <c r="HB77" s="153">
        <v>71.796000000000006</v>
      </c>
      <c r="HC77" s="153">
        <v>136.34100000000001</v>
      </c>
      <c r="HD77" s="186">
        <f t="shared" si="132"/>
        <v>2.8455786712397454E-2</v>
      </c>
      <c r="HE77" s="503">
        <f t="shared" si="133"/>
        <v>3.3891161702405956E-2</v>
      </c>
      <c r="HF77" s="663"/>
      <c r="HV77" s="186">
        <f t="shared" si="152"/>
        <v>1.8091697510989286E-2</v>
      </c>
      <c r="HW77" s="308">
        <f t="shared" si="153"/>
        <v>5.4346669561913044E-2</v>
      </c>
      <c r="HX77" s="308">
        <f t="shared" si="154"/>
        <v>9.8322350644381926E-4</v>
      </c>
      <c r="HY77" s="313">
        <f t="shared" si="155"/>
        <v>0</v>
      </c>
      <c r="HZ77" s="23">
        <f t="shared" si="156"/>
        <v>6.8334392053392118E-2</v>
      </c>
      <c r="IA77" s="23">
        <f t="shared" si="157"/>
        <v>3.264536529298509E-2</v>
      </c>
      <c r="IB77" s="23">
        <f t="shared" si="158"/>
        <v>0.15232331625440393</v>
      </c>
      <c r="IC77" s="23">
        <f t="shared" si="159"/>
        <v>2.9993143302239613E-3</v>
      </c>
      <c r="ID77" s="23">
        <f t="shared" si="160"/>
        <v>-3.2006560106228328E-2</v>
      </c>
      <c r="IE77" s="23">
        <f t="shared" si="161"/>
        <v>0</v>
      </c>
      <c r="IF77" s="23">
        <f t="shared" si="162"/>
        <v>1.4710546804554974E-2</v>
      </c>
      <c r="IG77" s="23">
        <f t="shared" si="163"/>
        <v>1.6357562027020271E-2</v>
      </c>
      <c r="IH77" s="23">
        <f t="shared" si="164"/>
        <v>-1.6470152224652961E-3</v>
      </c>
      <c r="II77" s="23"/>
      <c r="IJ77" s="23"/>
      <c r="IK77" s="841"/>
      <c r="IL77" s="90"/>
      <c r="IU77" s="153"/>
      <c r="IV77" s="330">
        <v>79933</v>
      </c>
      <c r="IW77" s="330"/>
      <c r="IX77" s="330">
        <f t="shared" si="23"/>
        <v>12915</v>
      </c>
      <c r="IY77" s="330"/>
      <c r="IZ77" s="330"/>
      <c r="JA77" s="76">
        <v>7999</v>
      </c>
      <c r="JB77" s="76">
        <v>5398</v>
      </c>
      <c r="JC77" s="76">
        <v>2548</v>
      </c>
      <c r="JD77" s="76">
        <v>-2066</v>
      </c>
      <c r="JK77" s="153"/>
      <c r="JL77" s="153"/>
      <c r="JM77" s="153"/>
    </row>
    <row r="78" spans="2:273">
      <c r="B78" s="451">
        <v>1986</v>
      </c>
      <c r="C78" s="43">
        <v>3848.2</v>
      </c>
      <c r="D78" s="5">
        <v>324.39999999999998</v>
      </c>
      <c r="E78" s="460">
        <f t="shared" si="0"/>
        <v>8.4299152850683429E-2</v>
      </c>
      <c r="F78" s="454">
        <f t="shared" si="1"/>
        <v>0</v>
      </c>
      <c r="G78" s="76">
        <f t="shared" si="2"/>
        <v>284.89999999999998</v>
      </c>
      <c r="H78" s="23">
        <f t="shared" si="3"/>
        <v>7.4034613585572479E-2</v>
      </c>
      <c r="I78" s="455">
        <v>39.5</v>
      </c>
      <c r="J78" s="460">
        <f t="shared" si="4"/>
        <v>1.0264539265110962E-2</v>
      </c>
      <c r="K78" s="6">
        <f t="shared" si="5"/>
        <v>0.1217632552404439</v>
      </c>
      <c r="L78" s="136">
        <v>48.7</v>
      </c>
      <c r="M78" s="136">
        <f t="shared" si="8"/>
        <v>9.2000000000000028</v>
      </c>
      <c r="N78" s="460">
        <f t="shared" si="6"/>
        <v>1.2655267397744401E-2</v>
      </c>
      <c r="O78" s="460">
        <f t="shared" si="9"/>
        <v>2.3907281326334398E-3</v>
      </c>
      <c r="P78" s="449">
        <f t="shared" si="10"/>
        <v>2.8360049321824919E-2</v>
      </c>
      <c r="Q78" s="5">
        <f t="shared" si="7"/>
        <v>324.39999999999998</v>
      </c>
      <c r="R78" s="169">
        <f t="shared" si="11"/>
        <v>9.2000000000000028</v>
      </c>
      <c r="S78" s="174"/>
      <c r="U78" s="76">
        <f t="shared" si="47"/>
        <v>3.7349999999999999</v>
      </c>
      <c r="W78" s="23">
        <f t="shared" si="48"/>
        <v>0.40597826086956507</v>
      </c>
      <c r="X78" s="182">
        <v>6.8550000000000004</v>
      </c>
      <c r="Y78" s="79">
        <f t="shared" si="49"/>
        <v>1.000000000000334E-3</v>
      </c>
      <c r="Z78" s="79">
        <f t="shared" si="50"/>
        <v>3.7349999999999999</v>
      </c>
      <c r="AA78" s="683">
        <v>4.6989999999999998</v>
      </c>
      <c r="AB78" s="683">
        <v>-0.96399999999999997</v>
      </c>
      <c r="AC78" s="79">
        <f t="shared" si="51"/>
        <v>3.1190000000000002</v>
      </c>
      <c r="AD78" s="79">
        <v>4.0069999999999997</v>
      </c>
      <c r="AE78" s="79">
        <v>0.88800000000000001</v>
      </c>
      <c r="AF78" s="23">
        <f t="shared" si="52"/>
        <v>-0.25809906291834001</v>
      </c>
      <c r="AG78" s="23">
        <f t="shared" si="53"/>
        <v>1.2352034525277436E-2</v>
      </c>
      <c r="AH78" s="450">
        <v>-0.72499999999999998</v>
      </c>
      <c r="AI78" s="79">
        <f t="shared" si="54"/>
        <v>7.58</v>
      </c>
      <c r="AJ78" s="79">
        <f t="shared" si="55"/>
        <v>0.14700000000000024</v>
      </c>
      <c r="AK78" s="79">
        <v>10</v>
      </c>
      <c r="AL78" s="23">
        <f t="shared" si="56"/>
        <v>0.46989999999999998</v>
      </c>
      <c r="AM78" s="182">
        <v>7.4329999999999998</v>
      </c>
      <c r="AN78" s="79">
        <v>6.5000000000000002E-2</v>
      </c>
      <c r="AO78" s="79">
        <v>2.1800000000000002</v>
      </c>
      <c r="AP78" s="79">
        <v>5.0000000000000001E-3</v>
      </c>
      <c r="AQ78" s="79">
        <v>0.74399999999999999</v>
      </c>
      <c r="AR78" s="79">
        <v>-0.34499999999999997</v>
      </c>
      <c r="AS78" s="79">
        <v>0.186</v>
      </c>
      <c r="AT78" s="79">
        <v>-0.438</v>
      </c>
      <c r="AU78" s="79">
        <v>0</v>
      </c>
      <c r="AV78" s="79">
        <f t="shared" si="27"/>
        <v>2.649</v>
      </c>
      <c r="AW78" s="79">
        <f t="shared" si="28"/>
        <v>4.7839999999999998</v>
      </c>
      <c r="AX78" s="23">
        <f t="shared" si="29"/>
        <v>8.7447867617381943E-3</v>
      </c>
      <c r="AY78" s="23">
        <f t="shared" si="30"/>
        <v>0.29328669447060407</v>
      </c>
      <c r="AZ78" s="23">
        <f t="shared" si="31"/>
        <v>6.7267590474909191E-4</v>
      </c>
      <c r="BA78" s="23">
        <f t="shared" si="32"/>
        <v>0.10009417462666488</v>
      </c>
      <c r="BB78" s="23">
        <f t="shared" si="33"/>
        <v>-4.6414637427687339E-2</v>
      </c>
      <c r="BC78" s="23">
        <f t="shared" si="34"/>
        <v>2.502354365666622E-2</v>
      </c>
      <c r="BD78" s="23">
        <f t="shared" si="35"/>
        <v>-5.8926409256020454E-2</v>
      </c>
      <c r="BE78" s="23">
        <f t="shared" si="36"/>
        <v>0</v>
      </c>
      <c r="BF78" s="23">
        <f t="shared" si="37"/>
        <v>0.35638369433606887</v>
      </c>
      <c r="BG78" s="23" t="e">
        <v>#VALUE!</v>
      </c>
      <c r="BH78" s="23"/>
      <c r="BI78" s="23">
        <f>'Assets(BoP)'!EF78</f>
        <v>0.47242268041237112</v>
      </c>
      <c r="BJ78" s="182">
        <v>-0.23899999999999999</v>
      </c>
      <c r="BK78" s="79"/>
      <c r="BL78" s="79"/>
      <c r="BM78" s="79"/>
      <c r="BN78" s="79"/>
      <c r="BO78" s="79"/>
      <c r="BP78" s="79"/>
      <c r="BQ78" s="28">
        <f t="shared" si="57"/>
        <v>0</v>
      </c>
      <c r="BR78" s="23">
        <f t="shared" si="58"/>
        <v>0</v>
      </c>
      <c r="BS78" s="79"/>
      <c r="BT78" s="23">
        <f t="shared" si="59"/>
        <v>0</v>
      </c>
      <c r="BU78" s="182">
        <f t="shared" si="60"/>
        <v>4.3140000000000001</v>
      </c>
      <c r="BV78" s="136">
        <f t="shared" si="61"/>
        <v>1.000000000000334E-3</v>
      </c>
      <c r="BW78" s="153">
        <f t="shared" si="62"/>
        <v>6.5000000000000002E-2</v>
      </c>
      <c r="BX78" s="153">
        <f t="shared" si="63"/>
        <v>1.6417828740559122</v>
      </c>
      <c r="BY78" s="153">
        <f t="shared" si="64"/>
        <v>-1.0005442080195997E-3</v>
      </c>
      <c r="BZ78" s="153">
        <f t="shared" si="65"/>
        <v>0.43208564196680382</v>
      </c>
      <c r="CA78" s="153">
        <f t="shared" si="66"/>
        <v>-0.61888823068938126</v>
      </c>
      <c r="CB78" s="153">
        <f t="shared" si="67"/>
        <v>0</v>
      </c>
      <c r="CC78" s="153">
        <f t="shared" si="68"/>
        <v>1.518979741125315</v>
      </c>
      <c r="CD78" s="153">
        <f t="shared" si="69"/>
        <v>2.143297753032781</v>
      </c>
      <c r="CE78" s="23">
        <f t="shared" si="70"/>
        <v>1.5067222994900325E-2</v>
      </c>
      <c r="CF78" s="23">
        <f t="shared" si="71"/>
        <v>0.38057090265551974</v>
      </c>
      <c r="CG78" s="23">
        <f t="shared" si="72"/>
        <v>-2.3192957997672688E-4</v>
      </c>
      <c r="CH78" s="23">
        <f t="shared" si="73"/>
        <v>0.10015893416013069</v>
      </c>
      <c r="CI78" s="23">
        <f t="shared" si="74"/>
        <v>-0.14346041508794188</v>
      </c>
      <c r="CJ78" s="23">
        <f t="shared" si="75"/>
        <v>0</v>
      </c>
      <c r="CK78" s="23">
        <f t="shared" si="76"/>
        <v>0.35210471514263214</v>
      </c>
      <c r="CL78" s="23">
        <f t="shared" si="77"/>
        <v>0.6478952848573678</v>
      </c>
      <c r="CM78" s="23">
        <f t="shared" si="78"/>
        <v>9.9857070878921605E-3</v>
      </c>
      <c r="CN78" s="23">
        <f t="shared" si="79"/>
        <v>1.8374342233932757E-2</v>
      </c>
      <c r="CO78" s="23">
        <f t="shared" si="80"/>
        <v>8.4178664812437412E-4</v>
      </c>
      <c r="CP78" s="448">
        <f t="shared" si="81"/>
        <v>0</v>
      </c>
      <c r="CQ78" s="448">
        <f t="shared" si="82"/>
        <v>8.4178664812437412E-4</v>
      </c>
      <c r="CR78" s="23">
        <f t="shared" si="83"/>
        <v>1.5489414845090655E-3</v>
      </c>
      <c r="CS78" s="326">
        <v>3.1190000000000002</v>
      </c>
      <c r="CT78" s="153">
        <v>0.88800000000000001</v>
      </c>
      <c r="CU78" s="153">
        <v>4.0069999999999997</v>
      </c>
      <c r="CV78" s="384">
        <f t="shared" si="134"/>
        <v>0</v>
      </c>
      <c r="CW78" s="384">
        <f t="shared" si="135"/>
        <v>0.53821712594408788</v>
      </c>
      <c r="CX78" s="384">
        <f t="shared" si="136"/>
        <v>6.0005442080195998E-3</v>
      </c>
      <c r="CY78" s="384">
        <f t="shared" si="137"/>
        <v>0.31191435803319617</v>
      </c>
      <c r="CZ78" s="450">
        <f t="shared" si="138"/>
        <v>0.27388823068938128</v>
      </c>
      <c r="DA78" s="153">
        <f t="shared" si="139"/>
        <v>0</v>
      </c>
      <c r="DB78" s="153">
        <f t="shared" si="85"/>
        <v>1.130020258874685</v>
      </c>
      <c r="DC78" s="153">
        <f t="shared" si="86"/>
        <v>2.6407022469672188</v>
      </c>
      <c r="DD78" s="153">
        <f t="shared" si="87"/>
        <v>-0.65172250584190361</v>
      </c>
      <c r="DE78" s="23">
        <f t="shared" si="88"/>
        <v>0.36230210287742387</v>
      </c>
      <c r="DF78" s="149">
        <v>11.298</v>
      </c>
      <c r="DG78" s="153">
        <v>0</v>
      </c>
      <c r="DH78" s="153">
        <v>0.68200000000000005</v>
      </c>
      <c r="DI78" s="153">
        <v>-0.04</v>
      </c>
      <c r="DJ78" s="153">
        <v>0.624</v>
      </c>
      <c r="DK78" s="153">
        <v>-0.39900000000000002</v>
      </c>
      <c r="DL78" s="153">
        <v>0</v>
      </c>
      <c r="DM78" s="153">
        <f t="shared" si="38"/>
        <v>0.86699999999999999</v>
      </c>
      <c r="DN78" s="153">
        <f t="shared" si="39"/>
        <v>10.431000000000001</v>
      </c>
      <c r="DO78" s="258">
        <f t="shared" si="140"/>
        <v>11.297999999999995</v>
      </c>
      <c r="DP78" s="5">
        <v>220.41399999999999</v>
      </c>
      <c r="DQ78" s="76">
        <v>0.36</v>
      </c>
      <c r="DR78" s="76">
        <v>40.716999999999999</v>
      </c>
      <c r="DS78" s="76">
        <v>0.26300000000000001</v>
      </c>
      <c r="DT78" s="76">
        <v>12.058</v>
      </c>
      <c r="DU78" s="76">
        <v>12.573</v>
      </c>
      <c r="DV78" s="76">
        <v>0.32719755954957214</v>
      </c>
      <c r="DW78" s="76">
        <f t="shared" si="40"/>
        <v>66.298197559549578</v>
      </c>
      <c r="DX78" s="76">
        <f t="shared" si="41"/>
        <v>154.11580244045041</v>
      </c>
      <c r="DY78" s="23">
        <f t="shared" si="141"/>
        <v>0.30078941246721885</v>
      </c>
      <c r="DZ78" s="23">
        <f t="shared" si="42"/>
        <v>1.6332900813922891E-3</v>
      </c>
      <c r="EA78" s="23">
        <f t="shared" si="43"/>
        <v>0.18472964512236065</v>
      </c>
      <c r="EB78" s="23">
        <f t="shared" si="44"/>
        <v>1.1932091427949224E-3</v>
      </c>
      <c r="EC78" s="23">
        <f t="shared" si="45"/>
        <v>5.470614389285617E-2</v>
      </c>
      <c r="ED78" s="23">
        <f t="shared" si="46"/>
        <v>5.7042656092625703E-2</v>
      </c>
      <c r="EE78" s="23">
        <f t="shared" si="142"/>
        <v>1.4844681351891085E-3</v>
      </c>
      <c r="EF78" s="149">
        <v>58.296999999999997</v>
      </c>
      <c r="EG78" s="322">
        <f t="shared" si="143"/>
        <v>0</v>
      </c>
      <c r="EH78" s="322">
        <f t="shared" si="144"/>
        <v>9.6915128310062588</v>
      </c>
      <c r="EI78" s="324">
        <f t="shared" si="145"/>
        <v>0.11407173808377466</v>
      </c>
      <c r="EJ78" s="322">
        <f t="shared" si="146"/>
        <v>4.59307149735195</v>
      </c>
      <c r="EK78" s="322">
        <f t="shared" si="147"/>
        <v>2.976833895040925</v>
      </c>
      <c r="EL78" s="322">
        <f t="shared" si="148"/>
        <v>0</v>
      </c>
      <c r="EM78" s="330">
        <f t="shared" si="89"/>
        <v>17.375489961482909</v>
      </c>
      <c r="EN78" s="330">
        <f t="shared" si="90"/>
        <v>40.921510038517084</v>
      </c>
      <c r="EO78" s="23">
        <f t="shared" si="91"/>
        <v>0.29805118550667975</v>
      </c>
      <c r="EP78" s="258">
        <v>76.174000000000007</v>
      </c>
      <c r="EQ78" s="153">
        <f t="shared" si="92"/>
        <v>0</v>
      </c>
      <c r="ER78" s="153">
        <f t="shared" si="93"/>
        <v>10.412879686616437</v>
      </c>
      <c r="ES78" s="153">
        <f t="shared" si="149"/>
        <v>0.11407173808377466</v>
      </c>
      <c r="ET78" s="153">
        <f t="shared" si="150"/>
        <v>6.3780493981638502</v>
      </c>
      <c r="EU78" s="153">
        <f t="shared" si="94"/>
        <v>5.9549448216057481</v>
      </c>
      <c r="EV78" s="153">
        <f t="shared" si="94"/>
        <v>0</v>
      </c>
      <c r="EW78" s="153">
        <f t="shared" si="95"/>
        <v>22.859945644469811</v>
      </c>
      <c r="EX78" s="153">
        <f t="shared" si="96"/>
        <v>53.314054355530196</v>
      </c>
      <c r="EY78" s="23">
        <f t="shared" si="97"/>
        <v>0.30010168357273886</v>
      </c>
      <c r="EZ78" s="258">
        <v>17.876999999999999</v>
      </c>
      <c r="FA78" s="316">
        <v>0</v>
      </c>
      <c r="FB78" s="484">
        <f t="shared" si="98"/>
        <v>0.72136685561017766</v>
      </c>
      <c r="FC78" s="153">
        <v>0</v>
      </c>
      <c r="FD78" s="484">
        <f t="shared" si="99"/>
        <v>1.7849779008119</v>
      </c>
      <c r="FE78" s="316">
        <f t="shared" si="100"/>
        <v>2.9781109265648231</v>
      </c>
      <c r="FF78" s="316">
        <v>0</v>
      </c>
      <c r="FG78" s="153">
        <f t="shared" si="101"/>
        <v>5.4844556829869013</v>
      </c>
      <c r="FH78" s="153">
        <f t="shared" si="102"/>
        <v>12.392544317013098</v>
      </c>
      <c r="FI78" s="23">
        <f t="shared" si="103"/>
        <v>0.30678836958029321</v>
      </c>
      <c r="FJ78" s="23"/>
      <c r="FK78" s="448">
        <f t="shared" si="104"/>
        <v>1.3216842543944514E-2</v>
      </c>
      <c r="FL78" s="448">
        <f t="shared" si="105"/>
        <v>5.2603250452910436E-2</v>
      </c>
      <c r="FM78" s="23"/>
      <c r="FN78" s="23"/>
      <c r="FO78" s="326">
        <v>162.11699999999999</v>
      </c>
      <c r="FP78" s="483">
        <f t="shared" si="106"/>
        <v>0</v>
      </c>
      <c r="FQ78" s="322">
        <f t="shared" si="107"/>
        <v>0.36</v>
      </c>
      <c r="FR78" s="322">
        <f t="shared" si="108"/>
        <v>31.025487168993742</v>
      </c>
      <c r="FS78" s="322">
        <f t="shared" si="109"/>
        <v>0.14892826191622535</v>
      </c>
      <c r="FT78" s="322">
        <f t="shared" si="110"/>
        <v>7.4649285026480499</v>
      </c>
      <c r="FU78" s="322">
        <f t="shared" si="111"/>
        <v>9.5961661049590745</v>
      </c>
      <c r="FV78" s="322">
        <f t="shared" si="112"/>
        <v>0.32719755954957214</v>
      </c>
      <c r="FW78" s="322">
        <f t="shared" si="113"/>
        <v>48.922707598066665</v>
      </c>
      <c r="FX78" s="322">
        <f t="shared" si="114"/>
        <v>0</v>
      </c>
      <c r="FY78" s="322">
        <f t="shared" si="115"/>
        <v>113.19429240193332</v>
      </c>
      <c r="FZ78" s="367">
        <f t="shared" si="116"/>
        <v>0.30177407426776137</v>
      </c>
      <c r="GA78" s="248">
        <f t="shared" si="117"/>
        <v>2.2206184422361628E-3</v>
      </c>
      <c r="GB78" s="248">
        <f t="shared" si="118"/>
        <v>0.19137713607452483</v>
      </c>
      <c r="GC78" s="248">
        <f t="shared" si="119"/>
        <v>9.1864679161485446E-4</v>
      </c>
      <c r="GD78" s="248">
        <f t="shared" si="120"/>
        <v>4.604654973042957E-2</v>
      </c>
      <c r="GE78" s="251">
        <f t="shared" si="121"/>
        <v>5.9192842853982464E-2</v>
      </c>
      <c r="GF78" s="248">
        <f t="shared" si="122"/>
        <v>2.0182803749734584E-3</v>
      </c>
      <c r="GG78" s="248">
        <f t="shared" si="123"/>
        <v>4.2128007899797308E-2</v>
      </c>
      <c r="GH78" s="23">
        <f t="shared" si="124"/>
        <v>2.9414867315091037E-2</v>
      </c>
      <c r="GI78" s="23">
        <f t="shared" si="125"/>
        <v>1.2713140584706269E-2</v>
      </c>
      <c r="GJ78" s="326">
        <v>143.36099999999999</v>
      </c>
      <c r="GK78" s="153">
        <f t="shared" si="151"/>
        <v>0</v>
      </c>
      <c r="GL78" s="153">
        <f t="shared" si="126"/>
        <v>58.296999999999997</v>
      </c>
      <c r="GM78" s="153">
        <f t="shared" si="127"/>
        <v>17.876999999999999</v>
      </c>
      <c r="GN78" s="153">
        <v>67.186999999999998</v>
      </c>
      <c r="GO78" s="153">
        <v>76.174000000000007</v>
      </c>
      <c r="GP78" s="153">
        <f t="shared" si="128"/>
        <v>76.174000000000007</v>
      </c>
      <c r="GQ78" s="295"/>
      <c r="GR78" s="153">
        <f t="shared" si="129"/>
        <v>162.11699999999999</v>
      </c>
      <c r="GS78" s="153">
        <f>FoF_RoW!$AZ48/1000</f>
        <v>284.70100000000002</v>
      </c>
      <c r="GT78" s="153">
        <f t="shared" si="15"/>
        <v>226.40400000000002</v>
      </c>
      <c r="GU78" s="23">
        <f t="shared" si="130"/>
        <v>1.396546938322323</v>
      </c>
      <c r="GV78" s="330">
        <f>FoF_RoW!$AE48/1000</f>
        <v>35.418999999999997</v>
      </c>
      <c r="GW78" s="330">
        <f t="shared" si="16"/>
        <v>37.478000000000009</v>
      </c>
      <c r="GX78" s="153">
        <v>358.03</v>
      </c>
      <c r="GY78" s="153">
        <v>214.66900000000001</v>
      </c>
      <c r="GZ78" s="153">
        <f t="shared" si="131"/>
        <v>1.3241609454899859</v>
      </c>
      <c r="HA78" s="153">
        <f t="shared" si="22"/>
        <v>58.296999999999997</v>
      </c>
      <c r="HB78" s="153">
        <v>76.625</v>
      </c>
      <c r="HC78" s="153">
        <v>143.36099999999999</v>
      </c>
      <c r="HD78" s="186">
        <f t="shared" si="132"/>
        <v>2.303891633820019E-2</v>
      </c>
      <c r="HE78" s="503">
        <f t="shared" si="133"/>
        <v>2.7510995145481353E-2</v>
      </c>
      <c r="HF78" s="663"/>
      <c r="HV78" s="186">
        <f t="shared" si="152"/>
        <v>1.5204248492011112E-2</v>
      </c>
      <c r="HW78" s="308">
        <f t="shared" si="153"/>
        <v>5.8833740450080566E-2</v>
      </c>
      <c r="HX78" s="308">
        <f t="shared" si="154"/>
        <v>8.9452280951751067E-4</v>
      </c>
      <c r="HY78" s="313">
        <f t="shared" si="155"/>
        <v>0</v>
      </c>
      <c r="HZ78" s="23">
        <f t="shared" si="156"/>
        <v>0.10316306401036597</v>
      </c>
      <c r="IA78" s="23">
        <f t="shared" si="157"/>
        <v>3.0235035864212289E-2</v>
      </c>
      <c r="IB78" s="23">
        <f t="shared" si="158"/>
        <v>-3.8385971613912077E-3</v>
      </c>
      <c r="IC78" s="23">
        <f t="shared" si="159"/>
        <v>3.3071779157847467E-2</v>
      </c>
      <c r="ID78" s="23">
        <f t="shared" si="160"/>
        <v>-3.6849181329992126E-2</v>
      </c>
      <c r="IE78" s="23">
        <f t="shared" si="161"/>
        <v>0</v>
      </c>
      <c r="IF78" s="23">
        <f t="shared" si="162"/>
        <v>1.7740051385220279E-2</v>
      </c>
      <c r="IG78" s="23">
        <f t="shared" si="163"/>
        <v>1.0818607287471383E-2</v>
      </c>
      <c r="IH78" s="23">
        <f t="shared" si="164"/>
        <v>6.9214440977488963E-3</v>
      </c>
      <c r="II78" s="23"/>
      <c r="IJ78" s="23"/>
      <c r="IK78" s="841"/>
      <c r="IL78" s="90"/>
      <c r="IU78" s="153"/>
      <c r="IV78" s="330">
        <v>86492</v>
      </c>
      <c r="IW78" s="330"/>
      <c r="IX78" s="330">
        <f t="shared" si="23"/>
        <v>10685</v>
      </c>
      <c r="IY78" s="330"/>
      <c r="IZ78" s="330"/>
      <c r="JA78" s="76">
        <v>7434</v>
      </c>
      <c r="JB78" s="76">
        <v>2458</v>
      </c>
      <c r="JC78" s="76">
        <v>2683</v>
      </c>
      <c r="JD78" s="76">
        <v>-3476</v>
      </c>
      <c r="JK78" s="153"/>
      <c r="JL78" s="153"/>
      <c r="JM78" s="153"/>
    </row>
    <row r="79" spans="2:273">
      <c r="B79" s="451">
        <v>1987</v>
      </c>
      <c r="C79" s="43">
        <v>4119.2</v>
      </c>
      <c r="D79" s="5">
        <v>366</v>
      </c>
      <c r="E79" s="460">
        <f t="shared" si="0"/>
        <v>8.8852204311516803E-2</v>
      </c>
      <c r="F79" s="454">
        <f t="shared" si="1"/>
        <v>0</v>
      </c>
      <c r="G79" s="76">
        <f t="shared" si="2"/>
        <v>318</v>
      </c>
      <c r="H79" s="23">
        <f t="shared" si="3"/>
        <v>7.7199456205088376E-2</v>
      </c>
      <c r="I79" s="455">
        <v>48</v>
      </c>
      <c r="J79" s="460">
        <f t="shared" si="4"/>
        <v>1.1652748106428433E-2</v>
      </c>
      <c r="K79" s="6">
        <f t="shared" si="5"/>
        <v>0.13114754098360656</v>
      </c>
      <c r="L79" s="136">
        <v>58.9</v>
      </c>
      <c r="M79" s="136">
        <f t="shared" si="8"/>
        <v>10.899999999999999</v>
      </c>
      <c r="N79" s="460">
        <f t="shared" si="6"/>
        <v>1.429889298892989E-2</v>
      </c>
      <c r="O79" s="460">
        <f t="shared" si="9"/>
        <v>2.6461448825014565E-3</v>
      </c>
      <c r="P79" s="449">
        <f t="shared" si="10"/>
        <v>2.9781420765027319E-2</v>
      </c>
      <c r="Q79" s="5">
        <f t="shared" si="7"/>
        <v>366</v>
      </c>
      <c r="R79" s="169">
        <f t="shared" si="11"/>
        <v>10.899999999999999</v>
      </c>
      <c r="S79" s="174"/>
      <c r="U79" s="76">
        <f t="shared" si="47"/>
        <v>4.2509999999999994</v>
      </c>
      <c r="W79" s="23">
        <f t="shared" si="48"/>
        <v>0.39</v>
      </c>
      <c r="X79" s="182">
        <v>7.6749999999999998</v>
      </c>
      <c r="Y79" s="79">
        <f t="shared" si="49"/>
        <v>0</v>
      </c>
      <c r="Z79" s="79">
        <f t="shared" si="50"/>
        <v>4.2509999999999994</v>
      </c>
      <c r="AA79" s="683">
        <v>4.7839999999999998</v>
      </c>
      <c r="AB79" s="683">
        <v>-0.53300000000000003</v>
      </c>
      <c r="AC79" s="79">
        <f t="shared" si="51"/>
        <v>3.4239999999999999</v>
      </c>
      <c r="AD79" s="79">
        <v>4.6740000000000004</v>
      </c>
      <c r="AE79" s="79">
        <v>1.25</v>
      </c>
      <c r="AF79" s="23">
        <f t="shared" si="52"/>
        <v>-0.12538226299694191</v>
      </c>
      <c r="AG79" s="23">
        <f t="shared" si="53"/>
        <v>1.277049180327869E-2</v>
      </c>
      <c r="AH79" s="450">
        <v>-1.111</v>
      </c>
      <c r="AI79" s="79">
        <f t="shared" si="54"/>
        <v>8.7859999999999996</v>
      </c>
      <c r="AJ79" s="79">
        <f t="shared" si="55"/>
        <v>0.12699999999999889</v>
      </c>
      <c r="AK79" s="79">
        <v>11.2</v>
      </c>
      <c r="AL79" s="23">
        <f t="shared" si="56"/>
        <v>0.42714285714285716</v>
      </c>
      <c r="AM79" s="182">
        <v>8.6590000000000007</v>
      </c>
      <c r="AN79" s="79">
        <v>0.09</v>
      </c>
      <c r="AO79" s="79">
        <v>1.9059999999999999</v>
      </c>
      <c r="AP79" s="79">
        <v>6.0000000000000001E-3</v>
      </c>
      <c r="AQ79" s="79">
        <v>0.92200000000000004</v>
      </c>
      <c r="AR79" s="79">
        <v>-0.33200000000000002</v>
      </c>
      <c r="AS79" s="79">
        <v>4.4999999999999998E-2</v>
      </c>
      <c r="AT79" s="79">
        <v>-0.20599999999999999</v>
      </c>
      <c r="AU79" s="79">
        <v>3.0000000000000001E-3</v>
      </c>
      <c r="AV79" s="79">
        <f t="shared" si="27"/>
        <v>2.5950000000000002</v>
      </c>
      <c r="AW79" s="79">
        <f t="shared" si="28"/>
        <v>6.0640000000000001</v>
      </c>
      <c r="AX79" s="23">
        <f t="shared" si="29"/>
        <v>1.0393809908765445E-2</v>
      </c>
      <c r="AY79" s="23">
        <f t="shared" si="30"/>
        <v>0.22011779651229932</v>
      </c>
      <c r="AZ79" s="23">
        <f t="shared" si="31"/>
        <v>6.9292066058436301E-4</v>
      </c>
      <c r="BA79" s="23">
        <f t="shared" si="32"/>
        <v>0.1064788081764638</v>
      </c>
      <c r="BB79" s="23">
        <f t="shared" si="33"/>
        <v>-3.8341609885668093E-2</v>
      </c>
      <c r="BC79" s="23">
        <f t="shared" si="34"/>
        <v>5.1969049543827226E-3</v>
      </c>
      <c r="BD79" s="23">
        <f t="shared" si="35"/>
        <v>-2.3790276013396464E-2</v>
      </c>
      <c r="BE79" s="23">
        <f t="shared" si="36"/>
        <v>3.464603302921815E-4</v>
      </c>
      <c r="BF79" s="23">
        <f t="shared" si="37"/>
        <v>0.29968818570273698</v>
      </c>
      <c r="BG79" s="153">
        <v>5.73</v>
      </c>
      <c r="BH79" s="23">
        <f t="shared" ref="BH79:BH92" si="165">BG79/$AM79</f>
        <v>0.66173923085806674</v>
      </c>
      <c r="BI79" s="23">
        <f>'Assets(BoP)'!EF79</f>
        <v>0.45303287698610972</v>
      </c>
      <c r="BJ79" s="182">
        <v>0.57799999999999996</v>
      </c>
      <c r="BK79" s="79"/>
      <c r="BL79" s="79"/>
      <c r="BM79" s="79"/>
      <c r="BN79" s="79"/>
      <c r="BO79" s="79"/>
      <c r="BP79" s="79"/>
      <c r="BQ79" s="28">
        <f t="shared" si="57"/>
        <v>0</v>
      </c>
      <c r="BR79" s="23">
        <f t="shared" si="58"/>
        <v>0</v>
      </c>
      <c r="BS79" s="79"/>
      <c r="BT79" s="23">
        <f t="shared" si="59"/>
        <v>0</v>
      </c>
      <c r="BU79" s="182">
        <f t="shared" si="60"/>
        <v>5.2350000000000012</v>
      </c>
      <c r="BV79" s="136">
        <f t="shared" si="61"/>
        <v>0</v>
      </c>
      <c r="BW79" s="153">
        <f t="shared" si="62"/>
        <v>8.9723826874784571E-2</v>
      </c>
      <c r="BX79" s="153">
        <f t="shared" si="63"/>
        <v>1.1975067740845131</v>
      </c>
      <c r="BY79" s="153">
        <f t="shared" si="64"/>
        <v>-3.9714148812458258E-4</v>
      </c>
      <c r="BZ79" s="153">
        <f t="shared" si="65"/>
        <v>0.58657171224692117</v>
      </c>
      <c r="CA79" s="153">
        <f t="shared" si="66"/>
        <v>-0.39220593667100467</v>
      </c>
      <c r="CB79" s="153">
        <f t="shared" si="67"/>
        <v>-3.858299276182974E-3</v>
      </c>
      <c r="CC79" s="153">
        <f t="shared" si="68"/>
        <v>1.4773409357709069</v>
      </c>
      <c r="CD79" s="153">
        <f t="shared" si="69"/>
        <v>3.0001866003726616</v>
      </c>
      <c r="CE79" s="23">
        <f t="shared" si="70"/>
        <v>1.7139221943607365E-2</v>
      </c>
      <c r="CF79" s="23">
        <f t="shared" si="71"/>
        <v>0.22875010011165478</v>
      </c>
      <c r="CG79" s="23">
        <f t="shared" si="72"/>
        <v>-7.5862748447866766E-5</v>
      </c>
      <c r="CH79" s="23">
        <f t="shared" si="73"/>
        <v>0.11204808256865731</v>
      </c>
      <c r="CI79" s="23">
        <f t="shared" si="74"/>
        <v>-7.4919949698377189E-2</v>
      </c>
      <c r="CJ79" s="23">
        <f t="shared" si="75"/>
        <v>-7.370199190416376E-4</v>
      </c>
      <c r="CK79" s="23">
        <f t="shared" si="76"/>
        <v>0.28220457225805273</v>
      </c>
      <c r="CL79" s="23">
        <f t="shared" si="77"/>
        <v>0.71779542774194727</v>
      </c>
      <c r="CM79" s="23">
        <f t="shared" si="78"/>
        <v>8.4044531082316243E-3</v>
      </c>
      <c r="CN79" s="23">
        <f t="shared" si="79"/>
        <v>2.1376967656795694E-2</v>
      </c>
      <c r="CO79" s="23">
        <f t="shared" si="80"/>
        <v>7.4675418469915872E-4</v>
      </c>
      <c r="CP79" s="448">
        <f t="shared" si="81"/>
        <v>0</v>
      </c>
      <c r="CQ79" s="448">
        <f t="shared" si="82"/>
        <v>7.4675418469915872E-4</v>
      </c>
      <c r="CR79" s="23">
        <f t="shared" si="83"/>
        <v>1.8993906978022976E-3</v>
      </c>
      <c r="CS79" s="326">
        <v>3.4239999999999999</v>
      </c>
      <c r="CT79" s="153">
        <v>1.25</v>
      </c>
      <c r="CU79" s="153">
        <v>4.6740000000000004</v>
      </c>
      <c r="CV79" s="384">
        <f t="shared" si="134"/>
        <v>2.761731252154218E-4</v>
      </c>
      <c r="CW79" s="384">
        <f t="shared" si="135"/>
        <v>0.70849322591548691</v>
      </c>
      <c r="CX79" s="384">
        <f t="shared" si="136"/>
        <v>6.3971414881245827E-3</v>
      </c>
      <c r="CY79" s="384">
        <f t="shared" si="137"/>
        <v>0.33542828775307892</v>
      </c>
      <c r="CZ79" s="450">
        <f t="shared" si="138"/>
        <v>6.0205936671004628E-2</v>
      </c>
      <c r="DA79" s="153">
        <f t="shared" si="139"/>
        <v>6.8582992761829741E-3</v>
      </c>
      <c r="DB79" s="153">
        <f t="shared" si="85"/>
        <v>1.1176590642290933</v>
      </c>
      <c r="DC79" s="153">
        <f t="shared" si="86"/>
        <v>3.0638133996273385</v>
      </c>
      <c r="DD79" s="153">
        <f t="shared" si="87"/>
        <v>-0.75747246385643185</v>
      </c>
      <c r="DE79" s="23">
        <f t="shared" si="88"/>
        <v>0.32641911922578659</v>
      </c>
      <c r="DF79" s="149">
        <v>24.683</v>
      </c>
      <c r="DG79" s="153">
        <v>6.0000000000000001E-3</v>
      </c>
      <c r="DH79" s="153">
        <v>5.08</v>
      </c>
      <c r="DI79" s="153">
        <v>-9.9000000000000005E-2</v>
      </c>
      <c r="DJ79" s="153">
        <v>1.1579999999999999</v>
      </c>
      <c r="DK79" s="153">
        <v>-4.2320000000000002</v>
      </c>
      <c r="DL79" s="153">
        <v>0.14899999999999999</v>
      </c>
      <c r="DM79" s="153">
        <f t="shared" si="38"/>
        <v>2.0619999999999994</v>
      </c>
      <c r="DN79" s="153">
        <f t="shared" si="39"/>
        <v>22.621000000000002</v>
      </c>
      <c r="DO79" s="258">
        <f t="shared" si="140"/>
        <v>17.38300000000001</v>
      </c>
      <c r="DP79" s="5">
        <v>263.39400000000001</v>
      </c>
      <c r="DQ79" s="76">
        <v>0.54400000000000004</v>
      </c>
      <c r="DR79" s="76">
        <v>46.636000000000003</v>
      </c>
      <c r="DS79" s="76">
        <v>0.59</v>
      </c>
      <c r="DT79" s="76">
        <v>13.772</v>
      </c>
      <c r="DU79" s="76">
        <v>6.1680000000000001</v>
      </c>
      <c r="DV79" s="76">
        <v>0.39100000000000001</v>
      </c>
      <c r="DW79" s="76">
        <f t="shared" si="40"/>
        <v>68.100999999999999</v>
      </c>
      <c r="DX79" s="76">
        <f t="shared" si="41"/>
        <v>195.29300000000001</v>
      </c>
      <c r="DY79" s="23">
        <f t="shared" si="141"/>
        <v>0.25855182730054593</v>
      </c>
      <c r="DZ79" s="23">
        <f t="shared" si="42"/>
        <v>2.0653469706978901E-3</v>
      </c>
      <c r="EA79" s="23">
        <f t="shared" si="43"/>
        <v>0.17705794361299043</v>
      </c>
      <c r="EB79" s="23">
        <f t="shared" si="44"/>
        <v>2.2399902807201375E-3</v>
      </c>
      <c r="EC79" s="23">
        <f t="shared" si="45"/>
        <v>5.2286688383182608E-2</v>
      </c>
      <c r="ED79" s="23">
        <f t="shared" si="46"/>
        <v>2.341738991776578E-2</v>
      </c>
      <c r="EE79" s="23">
        <f t="shared" si="142"/>
        <v>1.4844681351891085E-3</v>
      </c>
      <c r="EF79" s="149">
        <v>75.680000000000007</v>
      </c>
      <c r="EG79" s="322">
        <f t="shared" si="143"/>
        <v>6.0000000000000001E-3</v>
      </c>
      <c r="EH79" s="322">
        <f t="shared" si="144"/>
        <v>14.771512831006259</v>
      </c>
      <c r="EI79" s="324">
        <f t="shared" si="145"/>
        <v>1.5071738083774655E-2</v>
      </c>
      <c r="EJ79" s="322">
        <f t="shared" si="146"/>
        <v>5.7510714973519494</v>
      </c>
      <c r="EK79" s="322">
        <f t="shared" si="147"/>
        <v>-1.2551661049590752</v>
      </c>
      <c r="EL79" s="322">
        <f t="shared" si="148"/>
        <v>0.14899999999999999</v>
      </c>
      <c r="EM79" s="330">
        <f t="shared" si="89"/>
        <v>19.43748996148291</v>
      </c>
      <c r="EN79" s="330">
        <f t="shared" si="90"/>
        <v>56.242510038517096</v>
      </c>
      <c r="EO79" s="23">
        <f t="shared" si="91"/>
        <v>0.25683786946991161</v>
      </c>
      <c r="EP79" s="258">
        <v>101.545</v>
      </c>
      <c r="EQ79" s="153">
        <f t="shared" si="92"/>
        <v>6.0000000000000001E-3</v>
      </c>
      <c r="ER79" s="153">
        <f t="shared" si="93"/>
        <v>15.830489509511048</v>
      </c>
      <c r="ES79" s="153">
        <f t="shared" si="149"/>
        <v>0.22641956417073117</v>
      </c>
      <c r="ET79" s="153">
        <f t="shared" si="150"/>
        <v>8.3714441328639371</v>
      </c>
      <c r="EU79" s="153">
        <f t="shared" si="94"/>
        <v>3.1167425746610817</v>
      </c>
      <c r="EV79" s="153">
        <f t="shared" si="94"/>
        <v>0.14899999999999999</v>
      </c>
      <c r="EW79" s="153">
        <f t="shared" si="95"/>
        <v>27.700095781206798</v>
      </c>
      <c r="EX79" s="153">
        <f t="shared" si="96"/>
        <v>73.844904218793204</v>
      </c>
      <c r="EY79" s="23">
        <f t="shared" si="97"/>
        <v>0.27278640781138214</v>
      </c>
      <c r="EZ79" s="258">
        <v>25.864000000000001</v>
      </c>
      <c r="FA79" s="316">
        <v>0</v>
      </c>
      <c r="FB79" s="484">
        <f t="shared" si="98"/>
        <v>1.0589766785047892</v>
      </c>
      <c r="FC79" s="483">
        <f>FC78+(FC$101-FC$78)/23</f>
        <v>0.21134782608695651</v>
      </c>
      <c r="FD79" s="484">
        <f t="shared" si="99"/>
        <v>2.6203726355119876</v>
      </c>
      <c r="FE79" s="316">
        <f t="shared" si="100"/>
        <v>4.3719086796201569</v>
      </c>
      <c r="FF79" s="316">
        <v>0</v>
      </c>
      <c r="FG79" s="153">
        <f t="shared" si="101"/>
        <v>8.2626058197238912</v>
      </c>
      <c r="FH79" s="153">
        <f t="shared" si="102"/>
        <v>17.60139418027611</v>
      </c>
      <c r="FI79" s="23">
        <f t="shared" si="103"/>
        <v>0.31946357174929985</v>
      </c>
      <c r="FJ79" s="23"/>
      <c r="FK79" s="448">
        <f t="shared" si="104"/>
        <v>1.9042976188662571E-2</v>
      </c>
      <c r="FL79" s="448">
        <f t="shared" si="105"/>
        <v>4.6028854202570295E-2</v>
      </c>
      <c r="FM79" s="23"/>
      <c r="FN79" s="23"/>
      <c r="FO79" s="326">
        <v>187.714</v>
      </c>
      <c r="FP79" s="483">
        <f t="shared" si="106"/>
        <v>0</v>
      </c>
      <c r="FQ79" s="322">
        <f t="shared" si="107"/>
        <v>0.53800000000000003</v>
      </c>
      <c r="FR79" s="322">
        <f t="shared" si="108"/>
        <v>31.864487168993744</v>
      </c>
      <c r="FS79" s="322">
        <f t="shared" si="109"/>
        <v>0.57492826191622526</v>
      </c>
      <c r="FT79" s="322">
        <f t="shared" si="110"/>
        <v>8.0209285026480508</v>
      </c>
      <c r="FU79" s="322">
        <f t="shared" si="111"/>
        <v>7.4231661049590754</v>
      </c>
      <c r="FV79" s="322">
        <f t="shared" si="112"/>
        <v>0.24200000000000002</v>
      </c>
      <c r="FW79" s="322">
        <f t="shared" si="113"/>
        <v>48.663510038517089</v>
      </c>
      <c r="FX79" s="322">
        <f t="shared" si="114"/>
        <v>0</v>
      </c>
      <c r="FY79" s="322">
        <f t="shared" si="115"/>
        <v>139.05048996148292</v>
      </c>
      <c r="FZ79" s="367">
        <f t="shared" si="116"/>
        <v>0.25924283771331436</v>
      </c>
      <c r="GA79" s="248">
        <f t="shared" si="117"/>
        <v>2.8660622010079164E-3</v>
      </c>
      <c r="GB79" s="248">
        <f t="shared" si="118"/>
        <v>0.16975019001775971</v>
      </c>
      <c r="GC79" s="248">
        <f t="shared" si="119"/>
        <v>3.0627884010581271E-3</v>
      </c>
      <c r="GD79" s="248">
        <f t="shared" si="120"/>
        <v>4.2729516725700002E-2</v>
      </c>
      <c r="GE79" s="251">
        <f t="shared" si="121"/>
        <v>3.9545085102651242E-2</v>
      </c>
      <c r="GF79" s="248">
        <f t="shared" si="122"/>
        <v>1.28919526513739E-3</v>
      </c>
      <c r="GG79" s="248">
        <f t="shared" si="123"/>
        <v>4.5570499126043891E-2</v>
      </c>
      <c r="GH79" s="23">
        <f t="shared" si="124"/>
        <v>3.3756673616596164E-2</v>
      </c>
      <c r="GI79" s="23">
        <f t="shared" si="125"/>
        <v>1.1813825509447731E-2</v>
      </c>
      <c r="GJ79" s="326">
        <v>167.18600000000001</v>
      </c>
      <c r="GK79" s="153">
        <f t="shared" si="151"/>
        <v>9.9999999999056399E-4</v>
      </c>
      <c r="GL79" s="153">
        <f t="shared" si="126"/>
        <v>75.680000000000007</v>
      </c>
      <c r="GM79" s="153">
        <f t="shared" si="127"/>
        <v>25.864000000000001</v>
      </c>
      <c r="GN79" s="153">
        <v>65.641000000000005</v>
      </c>
      <c r="GO79" s="153">
        <v>101.545</v>
      </c>
      <c r="GP79" s="153">
        <f t="shared" si="128"/>
        <v>101.545</v>
      </c>
      <c r="GQ79" s="295"/>
      <c r="GR79" s="153">
        <f t="shared" si="129"/>
        <v>187.714</v>
      </c>
      <c r="GS79" s="153">
        <f>FoF_RoW!$AZ49/1000</f>
        <v>334.55200000000002</v>
      </c>
      <c r="GT79" s="153">
        <f t="shared" si="15"/>
        <v>258.87200000000001</v>
      </c>
      <c r="GU79" s="23">
        <f t="shared" si="130"/>
        <v>1.37907668048201</v>
      </c>
      <c r="GV79" s="330">
        <f>FoF_RoW!$AE49/1000</f>
        <v>58.47</v>
      </c>
      <c r="GW79" s="330">
        <f t="shared" si="16"/>
        <v>49.850999999999999</v>
      </c>
      <c r="GX79" s="153">
        <v>407.70600000000002</v>
      </c>
      <c r="GY79" s="153">
        <v>240.52</v>
      </c>
      <c r="GZ79" s="153">
        <f t="shared" si="131"/>
        <v>1.2813109304580372</v>
      </c>
      <c r="HA79" s="153">
        <f t="shared" si="22"/>
        <v>75.680000000000007</v>
      </c>
      <c r="HB79" s="153">
        <v>89.900999999999996</v>
      </c>
      <c r="HC79" s="153">
        <v>167.18600000000001</v>
      </c>
      <c r="HD79" s="186">
        <f t="shared" si="132"/>
        <v>2.2646153190491916E-2</v>
      </c>
      <c r="HE79" s="503">
        <f t="shared" si="133"/>
        <v>2.8564731453168114E-2</v>
      </c>
      <c r="HF79" s="663"/>
      <c r="HV79" s="186">
        <f t="shared" si="152"/>
        <v>1.4774475836059505E-2</v>
      </c>
      <c r="HW79" s="308">
        <f t="shared" si="153"/>
        <v>6.2845212662652944E-2</v>
      </c>
      <c r="HX79" s="308">
        <f t="shared" si="154"/>
        <v>9.2850507589638687E-4</v>
      </c>
      <c r="HY79" s="313">
        <f t="shared" si="155"/>
        <v>0</v>
      </c>
      <c r="HZ79" s="23">
        <f t="shared" si="156"/>
        <v>8.8352241750243976E-2</v>
      </c>
      <c r="IA79" s="23">
        <f t="shared" si="157"/>
        <v>1.990962617621958E-2</v>
      </c>
      <c r="IB79" s="23">
        <f t="shared" si="158"/>
        <v>-3.6595160913265989E-4</v>
      </c>
      <c r="IC79" s="23">
        <f t="shared" si="159"/>
        <v>3.874257925767139E-2</v>
      </c>
      <c r="ID79" s="23">
        <f t="shared" si="160"/>
        <v>-2.7990911729843682E-2</v>
      </c>
      <c r="IE79" s="23">
        <f t="shared" si="161"/>
        <v>-8.4464186915973148E-3</v>
      </c>
      <c r="IF79" s="23">
        <f t="shared" si="162"/>
        <v>1.6083085150699127E-2</v>
      </c>
      <c r="IG79" s="23">
        <f t="shared" si="163"/>
        <v>1.1430567794687018E-2</v>
      </c>
      <c r="IH79" s="23">
        <f t="shared" si="164"/>
        <v>4.6525173560121088E-3</v>
      </c>
      <c r="II79" s="23"/>
      <c r="IJ79" s="23"/>
      <c r="IK79" s="841"/>
      <c r="IL79" s="90"/>
      <c r="IU79" s="153"/>
      <c r="IV79" s="330">
        <v>96009</v>
      </c>
      <c r="IW79" s="330"/>
      <c r="IX79" s="330">
        <f t="shared" si="23"/>
        <v>13897</v>
      </c>
      <c r="IY79" s="330"/>
      <c r="IZ79" s="330"/>
      <c r="JA79" s="76">
        <v>9793</v>
      </c>
      <c r="JB79" s="76">
        <v>7820</v>
      </c>
      <c r="JC79" s="76">
        <v>4109</v>
      </c>
      <c r="JD79" s="76">
        <v>-393</v>
      </c>
      <c r="JK79" s="153"/>
      <c r="JL79" s="153"/>
      <c r="JM79" s="153"/>
    </row>
    <row r="80" spans="2:273">
      <c r="B80" s="451">
        <v>1988</v>
      </c>
      <c r="C80" s="43">
        <v>4493.3999999999996</v>
      </c>
      <c r="D80" s="5">
        <v>414.9</v>
      </c>
      <c r="E80" s="460">
        <f t="shared" si="0"/>
        <v>9.233542529042596E-2</v>
      </c>
      <c r="F80" s="454">
        <f t="shared" si="1"/>
        <v>0</v>
      </c>
      <c r="G80" s="76">
        <f t="shared" si="2"/>
        <v>357.9</v>
      </c>
      <c r="H80" s="23">
        <f t="shared" si="3"/>
        <v>7.9650153558552539E-2</v>
      </c>
      <c r="I80" s="455">
        <v>57</v>
      </c>
      <c r="J80" s="460">
        <f t="shared" si="4"/>
        <v>1.2685271731873416E-2</v>
      </c>
      <c r="K80" s="6">
        <f t="shared" si="5"/>
        <v>0.13738250180766451</v>
      </c>
      <c r="L80" s="136">
        <v>71.599999999999994</v>
      </c>
      <c r="M80" s="136">
        <f t="shared" si="8"/>
        <v>14.599999999999994</v>
      </c>
      <c r="N80" s="460">
        <f t="shared" si="6"/>
        <v>1.5934481684248009E-2</v>
      </c>
      <c r="O80" s="460">
        <f t="shared" si="9"/>
        <v>3.2492099523745927E-3</v>
      </c>
      <c r="P80" s="449">
        <f t="shared" si="10"/>
        <v>3.5189202217401773E-2</v>
      </c>
      <c r="Q80" s="5">
        <f t="shared" si="7"/>
        <v>414.9</v>
      </c>
      <c r="R80" s="169">
        <f t="shared" si="11"/>
        <v>14.599999999999994</v>
      </c>
      <c r="S80" s="174"/>
      <c r="U80" s="76">
        <f t="shared" si="47"/>
        <v>7.242</v>
      </c>
      <c r="W80" s="23">
        <f t="shared" si="48"/>
        <v>0.49602739726027417</v>
      </c>
      <c r="X80" s="182">
        <v>12.151</v>
      </c>
      <c r="Y80" s="79">
        <f t="shared" si="49"/>
        <v>-3.0000000000001137E-3</v>
      </c>
      <c r="Z80" s="79">
        <f t="shared" si="50"/>
        <v>7.242</v>
      </c>
      <c r="AA80" s="683">
        <v>6.1139999999999999</v>
      </c>
      <c r="AB80" s="683">
        <v>1.1279999999999999</v>
      </c>
      <c r="AC80" s="79">
        <f t="shared" si="51"/>
        <v>4.9119999999999999</v>
      </c>
      <c r="AD80" s="79">
        <v>6.2290000000000001</v>
      </c>
      <c r="AE80" s="79">
        <v>1.3169999999999999</v>
      </c>
      <c r="AF80" s="23">
        <f t="shared" si="52"/>
        <v>0.15575807787903892</v>
      </c>
      <c r="AG80" s="23">
        <f t="shared" si="53"/>
        <v>1.5013256206314775E-2</v>
      </c>
      <c r="AH80" s="450">
        <v>-0.83599999999999997</v>
      </c>
      <c r="AI80" s="79">
        <f t="shared" si="54"/>
        <v>12.987</v>
      </c>
      <c r="AJ80" s="79">
        <f t="shared" si="55"/>
        <v>0.21300000000000097</v>
      </c>
      <c r="AK80" s="79">
        <v>13.2</v>
      </c>
      <c r="AL80" s="23">
        <f t="shared" si="56"/>
        <v>0.46318181818181819</v>
      </c>
      <c r="AM80" s="182">
        <v>12.773999999999999</v>
      </c>
      <c r="AN80" s="79">
        <v>0.14299999999999999</v>
      </c>
      <c r="AO80" s="79">
        <v>2.464</v>
      </c>
      <c r="AP80" s="79">
        <v>-1E-3</v>
      </c>
      <c r="AQ80" s="79">
        <v>1.0920000000000001</v>
      </c>
      <c r="AR80" s="79">
        <v>-6.0999999999999999E-2</v>
      </c>
      <c r="AS80" s="79">
        <v>6.9000000000000006E-2</v>
      </c>
      <c r="AT80" s="79">
        <v>0.11700000000000001</v>
      </c>
      <c r="AU80" s="79">
        <v>8.9999999999999993E-3</v>
      </c>
      <c r="AV80" s="79">
        <f t="shared" si="27"/>
        <v>3.6459999999999999</v>
      </c>
      <c r="AW80" s="79">
        <f t="shared" si="28"/>
        <v>9.1280000000000001</v>
      </c>
      <c r="AX80" s="23">
        <f t="shared" si="29"/>
        <v>1.1194614059808986E-2</v>
      </c>
      <c r="AY80" s="23">
        <f t="shared" si="30"/>
        <v>0.19289181149209333</v>
      </c>
      <c r="AZ80" s="23">
        <f t="shared" si="31"/>
        <v>-7.8284014404258654E-5</v>
      </c>
      <c r="BA80" s="23">
        <f t="shared" si="32"/>
        <v>8.5486143729450459E-2</v>
      </c>
      <c r="BB80" s="23">
        <f t="shared" si="33"/>
        <v>-4.7753248786597778E-3</v>
      </c>
      <c r="BC80" s="23">
        <f t="shared" si="34"/>
        <v>5.4015969938938481E-3</v>
      </c>
      <c r="BD80" s="23">
        <f t="shared" si="35"/>
        <v>9.159229685298264E-3</v>
      </c>
      <c r="BE80" s="23">
        <f t="shared" si="36"/>
        <v>7.045561296383278E-4</v>
      </c>
      <c r="BF80" s="23">
        <f t="shared" si="37"/>
        <v>0.28542351651792708</v>
      </c>
      <c r="BG80" s="153">
        <v>8.2940000000000005</v>
      </c>
      <c r="BH80" s="23">
        <f t="shared" si="165"/>
        <v>0.64928761546892133</v>
      </c>
      <c r="BI80" s="23">
        <f>'Assets(BoP)'!EF80</f>
        <v>0.4579403346331905</v>
      </c>
      <c r="BJ80" s="182">
        <v>1.964</v>
      </c>
      <c r="BK80" s="79"/>
      <c r="BL80" s="79"/>
      <c r="BM80" s="79"/>
      <c r="BN80" s="79"/>
      <c r="BO80" s="79"/>
      <c r="BP80" s="79"/>
      <c r="BQ80" s="28">
        <f t="shared" si="57"/>
        <v>0</v>
      </c>
      <c r="BR80" s="23">
        <f t="shared" si="58"/>
        <v>0</v>
      </c>
      <c r="BS80" s="79"/>
      <c r="BT80" s="23">
        <f t="shared" si="59"/>
        <v>0</v>
      </c>
      <c r="BU80" s="182">
        <f t="shared" si="60"/>
        <v>7.8619999999999992</v>
      </c>
      <c r="BV80" s="136">
        <f t="shared" si="61"/>
        <v>-2.9999999999992255E-3</v>
      </c>
      <c r="BW80" s="153">
        <f t="shared" si="62"/>
        <v>0.14179933457925126</v>
      </c>
      <c r="BX80" s="153">
        <f t="shared" si="63"/>
        <v>1.5069646350338406</v>
      </c>
      <c r="BY80" s="153">
        <f t="shared" si="64"/>
        <v>1.4077357529097192E-2</v>
      </c>
      <c r="BZ80" s="153">
        <f t="shared" si="65"/>
        <v>0.72686682116599233</v>
      </c>
      <c r="CA80" s="153">
        <f t="shared" si="66"/>
        <v>-0.15375699039054205</v>
      </c>
      <c r="CB80" s="153">
        <f t="shared" si="67"/>
        <v>-3.6330883400517936E-3</v>
      </c>
      <c r="CC80" s="153">
        <f t="shared" si="68"/>
        <v>2.2323180695775875</v>
      </c>
      <c r="CD80" s="153">
        <f t="shared" si="69"/>
        <v>5.0361028776178109</v>
      </c>
      <c r="CE80" s="23">
        <f t="shared" si="70"/>
        <v>1.8036038486294998E-2</v>
      </c>
      <c r="CF80" s="23">
        <f t="shared" si="71"/>
        <v>0.19167700776314434</v>
      </c>
      <c r="CG80" s="23">
        <f t="shared" si="72"/>
        <v>1.7905567958658348E-3</v>
      </c>
      <c r="CH80" s="23">
        <f t="shared" si="73"/>
        <v>9.2453169825234341E-2</v>
      </c>
      <c r="CI80" s="23">
        <f t="shared" si="74"/>
        <v>-1.9556981733724506E-2</v>
      </c>
      <c r="CJ80" s="23">
        <f t="shared" si="75"/>
        <v>-4.621073950714569E-4</v>
      </c>
      <c r="CK80" s="23">
        <f t="shared" si="76"/>
        <v>0.28393768374174355</v>
      </c>
      <c r="CL80" s="23">
        <f t="shared" si="77"/>
        <v>0.71606231625825645</v>
      </c>
      <c r="CM80" s="23">
        <f t="shared" si="78"/>
        <v>9.991540570328885E-3</v>
      </c>
      <c r="CN80" s="23">
        <f t="shared" si="79"/>
        <v>2.5197661647072888E-2</v>
      </c>
      <c r="CO80" s="23">
        <f t="shared" si="80"/>
        <v>9.2257314786786269E-4</v>
      </c>
      <c r="CP80" s="448">
        <f t="shared" si="81"/>
        <v>0</v>
      </c>
      <c r="CQ80" s="448">
        <f t="shared" si="82"/>
        <v>9.2257314786786269E-4</v>
      </c>
      <c r="CR80" s="23">
        <f t="shared" si="83"/>
        <v>2.3266368045067303E-3</v>
      </c>
      <c r="CS80" s="326">
        <v>4.9119999999999999</v>
      </c>
      <c r="CT80" s="153">
        <v>1.3169999999999999</v>
      </c>
      <c r="CU80" s="153">
        <v>6.2290000000000001</v>
      </c>
      <c r="CV80" s="384">
        <f t="shared" si="134"/>
        <v>1.2006654207487241E-3</v>
      </c>
      <c r="CW80" s="384">
        <f t="shared" si="135"/>
        <v>0.95703536496615937</v>
      </c>
      <c r="CX80" s="384">
        <f t="shared" si="136"/>
        <v>-1.5077357529097191E-2</v>
      </c>
      <c r="CY80" s="384">
        <f t="shared" si="137"/>
        <v>0.36513317883400775</v>
      </c>
      <c r="CZ80" s="450">
        <f t="shared" si="138"/>
        <v>9.2756990390542055E-2</v>
      </c>
      <c r="DA80" s="153">
        <f t="shared" si="139"/>
        <v>1.2633088340051793E-2</v>
      </c>
      <c r="DB80" s="153">
        <f t="shared" si="85"/>
        <v>1.4136819304224124</v>
      </c>
      <c r="DC80" s="153">
        <f t="shared" si="86"/>
        <v>4.0918971223821892</v>
      </c>
      <c r="DD80" s="153">
        <f t="shared" si="87"/>
        <v>-0.59357905280460166</v>
      </c>
      <c r="DE80" s="23">
        <f t="shared" si="88"/>
        <v>0.28780169593290156</v>
      </c>
      <c r="DF80" s="149">
        <v>11.561999999999999</v>
      </c>
      <c r="DG80" s="153">
        <v>1.7000000000000001E-2</v>
      </c>
      <c r="DH80" s="153">
        <v>2.806</v>
      </c>
      <c r="DI80" s="153">
        <v>-0.54400000000000004</v>
      </c>
      <c r="DJ80" s="153">
        <v>-0.626</v>
      </c>
      <c r="DK80" s="153">
        <v>-8.6999999999999994E-2</v>
      </c>
      <c r="DL80" s="153">
        <v>9.2999999999999999E-2</v>
      </c>
      <c r="DM80" s="153">
        <f t="shared" si="38"/>
        <v>1.659</v>
      </c>
      <c r="DN80" s="153">
        <f t="shared" si="39"/>
        <v>9.9029999999999987</v>
      </c>
      <c r="DO80" s="258">
        <f t="shared" si="140"/>
        <v>11.561999999999998</v>
      </c>
      <c r="DP80" s="5">
        <v>314.75400000000002</v>
      </c>
      <c r="DQ80" s="76">
        <v>0.72499999999999998</v>
      </c>
      <c r="DR80" s="76">
        <v>48.128</v>
      </c>
      <c r="DS80" s="76">
        <v>-0.13100000000000001</v>
      </c>
      <c r="DT80" s="76">
        <v>14.372</v>
      </c>
      <c r="DU80" s="76">
        <v>6.9109999999999996</v>
      </c>
      <c r="DV80" s="76">
        <v>0.51</v>
      </c>
      <c r="DW80" s="76">
        <f t="shared" si="40"/>
        <v>70.514999999999986</v>
      </c>
      <c r="DX80" s="76">
        <f t="shared" si="41"/>
        <v>244.23900000000003</v>
      </c>
      <c r="DY80" s="23">
        <f t="shared" si="141"/>
        <v>0.22403210126003159</v>
      </c>
      <c r="DZ80" s="23">
        <f t="shared" si="42"/>
        <v>2.3033861364748342E-3</v>
      </c>
      <c r="EA80" s="23">
        <f t="shared" si="43"/>
        <v>0.15290671445001491</v>
      </c>
      <c r="EB80" s="23">
        <f t="shared" si="44"/>
        <v>-4.1619804672855625E-4</v>
      </c>
      <c r="EC80" s="23">
        <f t="shared" si="45"/>
        <v>4.5661055935746646E-2</v>
      </c>
      <c r="ED80" s="23">
        <f t="shared" si="46"/>
        <v>2.1956829778175969E-2</v>
      </c>
      <c r="EE80" s="23">
        <f t="shared" si="142"/>
        <v>1.6203130063478144E-3</v>
      </c>
      <c r="EF80" s="149">
        <v>87.242000000000004</v>
      </c>
      <c r="EG80" s="322">
        <f t="shared" si="143"/>
        <v>2.3E-2</v>
      </c>
      <c r="EH80" s="322">
        <f t="shared" si="144"/>
        <v>17.57751283100626</v>
      </c>
      <c r="EI80" s="324">
        <f t="shared" si="145"/>
        <v>-0.52892826191622544</v>
      </c>
      <c r="EJ80" s="322">
        <f t="shared" si="146"/>
        <v>5.1250714973519491</v>
      </c>
      <c r="EK80" s="322">
        <f t="shared" si="147"/>
        <v>-1.3421661049590752</v>
      </c>
      <c r="EL80" s="322">
        <f t="shared" si="148"/>
        <v>0.24199999999999999</v>
      </c>
      <c r="EM80" s="330">
        <f t="shared" si="89"/>
        <v>21.096489961482909</v>
      </c>
      <c r="EN80" s="330">
        <f t="shared" si="90"/>
        <v>66.145510038517102</v>
      </c>
      <c r="EO80" s="23">
        <f t="shared" si="91"/>
        <v>0.2418157534385148</v>
      </c>
      <c r="EP80" s="258">
        <v>119.32299999999999</v>
      </c>
      <c r="EQ80" s="153">
        <f t="shared" si="92"/>
        <v>2.3E-2</v>
      </c>
      <c r="ER80" s="153">
        <f t="shared" si="93"/>
        <v>18.907535855660274</v>
      </c>
      <c r="ES80" s="153">
        <f t="shared" si="149"/>
        <v>-0.10623260974231241</v>
      </c>
      <c r="ET80" s="153">
        <f t="shared" si="150"/>
        <v>8.4161316397953989</v>
      </c>
      <c r="EU80" s="153">
        <f t="shared" si="94"/>
        <v>4.1487378248513469</v>
      </c>
      <c r="EV80" s="153">
        <f t="shared" si="94"/>
        <v>0.24199999999999999</v>
      </c>
      <c r="EW80" s="153">
        <f t="shared" si="95"/>
        <v>31.631172710564709</v>
      </c>
      <c r="EX80" s="153">
        <f t="shared" si="96"/>
        <v>87.691827289435281</v>
      </c>
      <c r="EY80" s="23">
        <f t="shared" si="97"/>
        <v>0.26508864770886342</v>
      </c>
      <c r="EZ80" s="258">
        <v>32.081000000000003</v>
      </c>
      <c r="FA80" s="316">
        <v>0</v>
      </c>
      <c r="FB80" s="484">
        <f t="shared" si="98"/>
        <v>1.3300230246540132</v>
      </c>
      <c r="FC80" s="483">
        <f t="shared" ref="FC80:FC100" si="166">FC79+(FC$101-FC$78)/23</f>
        <v>0.42269565217391303</v>
      </c>
      <c r="FD80" s="484">
        <f t="shared" si="99"/>
        <v>3.2910601424434489</v>
      </c>
      <c r="FE80" s="316">
        <f t="shared" si="100"/>
        <v>5.4909039298104219</v>
      </c>
      <c r="FF80" s="316">
        <v>0</v>
      </c>
      <c r="FG80" s="153">
        <f t="shared" si="101"/>
        <v>10.534682749081798</v>
      </c>
      <c r="FH80" s="153">
        <f t="shared" si="102"/>
        <v>21.546317250918207</v>
      </c>
      <c r="FI80" s="23">
        <f t="shared" si="103"/>
        <v>0.32837763003278564</v>
      </c>
      <c r="FJ80" s="23"/>
      <c r="FK80" s="448">
        <f t="shared" si="104"/>
        <v>2.2549825354427778E-2</v>
      </c>
      <c r="FL80" s="448">
        <f t="shared" si="105"/>
        <v>5.220284438037931E-2</v>
      </c>
      <c r="FM80" s="23"/>
      <c r="FN80" s="23"/>
      <c r="FO80" s="326">
        <v>227.512</v>
      </c>
      <c r="FP80" s="483">
        <f t="shared" si="106"/>
        <v>0</v>
      </c>
      <c r="FQ80" s="322">
        <f t="shared" si="107"/>
        <v>0.70199999999999996</v>
      </c>
      <c r="FR80" s="322">
        <f t="shared" si="108"/>
        <v>30.55048716899374</v>
      </c>
      <c r="FS80" s="322">
        <f t="shared" si="109"/>
        <v>0.39792826191622543</v>
      </c>
      <c r="FT80" s="322">
        <f t="shared" si="110"/>
        <v>9.2469285026480499</v>
      </c>
      <c r="FU80" s="322">
        <f t="shared" si="111"/>
        <v>8.2531661049590745</v>
      </c>
      <c r="FV80" s="322">
        <f t="shared" si="112"/>
        <v>0.26800000000000002</v>
      </c>
      <c r="FW80" s="322">
        <f t="shared" si="113"/>
        <v>49.418510038517077</v>
      </c>
      <c r="FX80" s="322">
        <f t="shared" si="114"/>
        <v>0</v>
      </c>
      <c r="FY80" s="322">
        <f t="shared" si="115"/>
        <v>178.09348996148293</v>
      </c>
      <c r="FZ80" s="367">
        <f t="shared" si="116"/>
        <v>0.21721276257303823</v>
      </c>
      <c r="GA80" s="248">
        <f t="shared" si="117"/>
        <v>3.0855515313477967E-3</v>
      </c>
      <c r="GB80" s="248">
        <f t="shared" si="118"/>
        <v>0.13428077274602543</v>
      </c>
      <c r="GC80" s="248">
        <f t="shared" si="119"/>
        <v>1.7490429600031006E-3</v>
      </c>
      <c r="GD80" s="248">
        <f t="shared" si="120"/>
        <v>4.0643695728788148E-2</v>
      </c>
      <c r="GE80" s="251">
        <f t="shared" si="121"/>
        <v>3.6275739762997444E-2</v>
      </c>
      <c r="GF80" s="248">
        <f t="shared" si="122"/>
        <v>1.1779598438763671E-3</v>
      </c>
      <c r="GG80" s="248">
        <f t="shared" si="123"/>
        <v>5.0632483197578675E-2</v>
      </c>
      <c r="GH80" s="23">
        <f t="shared" si="124"/>
        <v>3.9634461646299669E-2</v>
      </c>
      <c r="GI80" s="23">
        <f t="shared" si="125"/>
        <v>1.0998021551279005E-2</v>
      </c>
      <c r="GJ80" s="326">
        <v>177.727</v>
      </c>
      <c r="GK80" s="153">
        <f t="shared" si="151"/>
        <v>0</v>
      </c>
      <c r="GL80" s="153">
        <f t="shared" si="126"/>
        <v>87.242000000000004</v>
      </c>
      <c r="GM80" s="153">
        <f t="shared" si="127"/>
        <v>32.081000000000003</v>
      </c>
      <c r="GN80" s="153">
        <v>58.404000000000003</v>
      </c>
      <c r="GO80" s="153">
        <v>119.32299999999999</v>
      </c>
      <c r="GP80" s="153">
        <f t="shared" si="128"/>
        <v>119.32299999999999</v>
      </c>
      <c r="GQ80" s="295"/>
      <c r="GR80" s="153">
        <f t="shared" si="129"/>
        <v>227.512</v>
      </c>
      <c r="GS80" s="153">
        <f>FoF_RoW!$AZ50/1000</f>
        <v>401.76600000000002</v>
      </c>
      <c r="GT80" s="153">
        <f t="shared" si="15"/>
        <v>314.524</v>
      </c>
      <c r="GU80" s="23">
        <f t="shared" si="130"/>
        <v>1.3824501564752629</v>
      </c>
      <c r="GV80" s="330">
        <f>FoF_RoW!$AE50/1000</f>
        <v>57.735999999999997</v>
      </c>
      <c r="GW80" s="330">
        <f t="shared" si="16"/>
        <v>67.213999999999999</v>
      </c>
      <c r="GX80" s="153">
        <v>482.01499999999999</v>
      </c>
      <c r="GY80" s="153">
        <v>304.28800000000001</v>
      </c>
      <c r="GZ80" s="153">
        <f t="shared" si="131"/>
        <v>1.3374591230352686</v>
      </c>
      <c r="HA80" s="153">
        <f t="shared" si="22"/>
        <v>87.242000000000004</v>
      </c>
      <c r="HB80" s="153">
        <v>100.051</v>
      </c>
      <c r="HC80" s="153">
        <v>177.727</v>
      </c>
      <c r="HD80" s="186">
        <f t="shared" si="132"/>
        <v>3.1831288019972571E-2</v>
      </c>
      <c r="HE80" s="503">
        <f t="shared" si="133"/>
        <v>3.5505819473258551E-2</v>
      </c>
      <c r="HF80" s="663"/>
      <c r="HV80" s="186">
        <f t="shared" si="152"/>
        <v>2.2023522680540544E-2</v>
      </c>
      <c r="HW80" s="308">
        <f t="shared" si="153"/>
        <v>6.9996884319223754E-2</v>
      </c>
      <c r="HX80" s="308">
        <f t="shared" si="154"/>
        <v>1.541577969371597E-3</v>
      </c>
      <c r="HY80" s="313">
        <f t="shared" si="155"/>
        <v>0</v>
      </c>
      <c r="HZ80" s="23">
        <f t="shared" si="156"/>
        <v>0.12873455479011622</v>
      </c>
      <c r="IA80" s="23">
        <f t="shared" si="157"/>
        <v>3.1437136095381187E-2</v>
      </c>
      <c r="IB80" s="23">
        <f t="shared" si="158"/>
        <v>2.254625478408907E-2</v>
      </c>
      <c r="IC80" s="23">
        <f t="shared" si="159"/>
        <v>5.0097424607273178E-2</v>
      </c>
      <c r="ID80" s="23">
        <f t="shared" si="160"/>
        <v>-1.187332453010213E-2</v>
      </c>
      <c r="IE80" s="23">
        <f t="shared" si="161"/>
        <v>-8.639711064097947E-3</v>
      </c>
      <c r="IF80" s="23">
        <f t="shared" si="162"/>
        <v>2.8788860947540997E-2</v>
      </c>
      <c r="IG80" s="23">
        <f t="shared" si="163"/>
        <v>1.8022067147376402E-2</v>
      </c>
      <c r="IH80" s="23">
        <f t="shared" si="164"/>
        <v>1.0766793800164595E-2</v>
      </c>
      <c r="II80" s="23"/>
      <c r="IJ80" s="23"/>
      <c r="IK80" s="841"/>
      <c r="IL80" s="90"/>
      <c r="IU80" s="153"/>
      <c r="IV80" s="330">
        <v>99217</v>
      </c>
      <c r="IW80" s="330"/>
      <c r="IX80" s="330">
        <f t="shared" si="23"/>
        <v>14938</v>
      </c>
      <c r="IY80" s="330"/>
      <c r="IZ80" s="330"/>
      <c r="JA80" s="76">
        <v>10625</v>
      </c>
      <c r="JB80" s="76">
        <v>12049</v>
      </c>
      <c r="JC80" s="76">
        <v>5086</v>
      </c>
      <c r="JD80" s="76">
        <v>2650</v>
      </c>
      <c r="JK80" s="153"/>
      <c r="JL80" s="153"/>
      <c r="JM80" s="153"/>
    </row>
    <row r="81" spans="2:273" s="113" customFormat="1">
      <c r="B81" s="457">
        <v>1989</v>
      </c>
      <c r="C81" s="104">
        <v>4782.2</v>
      </c>
      <c r="D81" s="8">
        <v>414.2</v>
      </c>
      <c r="E81" s="461">
        <f t="shared" si="0"/>
        <v>8.6612856007695208E-2</v>
      </c>
      <c r="F81" s="456">
        <f t="shared" si="1"/>
        <v>0</v>
      </c>
      <c r="G81" s="108">
        <f t="shared" si="2"/>
        <v>347.1</v>
      </c>
      <c r="H81" s="105">
        <f t="shared" si="3"/>
        <v>7.2581656977959944E-2</v>
      </c>
      <c r="I81" s="457">
        <v>67.099999999999994</v>
      </c>
      <c r="J81" s="461">
        <f t="shared" si="4"/>
        <v>1.4031199029735267E-2</v>
      </c>
      <c r="K81" s="105">
        <f t="shared" si="5"/>
        <v>0.16199903428295509</v>
      </c>
      <c r="L81" s="134">
        <v>75.5</v>
      </c>
      <c r="M81" s="134">
        <f t="shared" si="8"/>
        <v>8.4000000000000057</v>
      </c>
      <c r="N81" s="461">
        <f t="shared" si="6"/>
        <v>1.578771276818201E-2</v>
      </c>
      <c r="O81" s="461">
        <f t="shared" si="9"/>
        <v>1.7565137384467412E-3</v>
      </c>
      <c r="P81" s="462">
        <f t="shared" si="10"/>
        <v>2.0280057943022709E-2</v>
      </c>
      <c r="Q81" s="8">
        <f t="shared" si="7"/>
        <v>414.2</v>
      </c>
      <c r="R81" s="170">
        <f t="shared" si="11"/>
        <v>8.4000000000000057</v>
      </c>
      <c r="S81" s="175"/>
      <c r="U81" s="108">
        <f t="shared" si="47"/>
        <v>-0.16900000000000048</v>
      </c>
      <c r="W81" s="105">
        <f t="shared" si="48"/>
        <v>-2.0119047619047661E-2</v>
      </c>
      <c r="X81" s="183">
        <v>7.0449999999999999</v>
      </c>
      <c r="Y81" s="134">
        <f t="shared" si="49"/>
        <v>0</v>
      </c>
      <c r="Z81" s="134">
        <f t="shared" si="50"/>
        <v>-0.16900000000000048</v>
      </c>
      <c r="AA81" s="689">
        <v>7.9580000000000002</v>
      </c>
      <c r="AB81" s="689">
        <v>-8.1270000000000007</v>
      </c>
      <c r="AC81" s="134">
        <f t="shared" si="51"/>
        <v>7.2140000000000004</v>
      </c>
      <c r="AD81" s="134">
        <v>9.1170000000000009</v>
      </c>
      <c r="AE81" s="134">
        <v>1.903</v>
      </c>
      <c r="AF81" s="105">
        <f t="shared" si="52"/>
        <v>48.088757396449573</v>
      </c>
      <c r="AG81" s="105">
        <f t="shared" si="53"/>
        <v>2.2011105746016418E-2</v>
      </c>
      <c r="AH81" s="456">
        <v>-0.73599999999999999</v>
      </c>
      <c r="AI81" s="134">
        <f t="shared" si="54"/>
        <v>7.7809999999999997</v>
      </c>
      <c r="AJ81" s="134">
        <f t="shared" si="55"/>
        <v>0.29000000000000004</v>
      </c>
      <c r="AK81" s="134">
        <v>16.3</v>
      </c>
      <c r="AL81" s="105">
        <f t="shared" si="56"/>
        <v>0.48822085889570549</v>
      </c>
      <c r="AM81" s="183">
        <v>7.4909999999999997</v>
      </c>
      <c r="AN81" s="134">
        <v>0.125</v>
      </c>
      <c r="AO81" s="134">
        <v>2.0270000000000001</v>
      </c>
      <c r="AP81" s="134">
        <v>-8.1000000000000003E-2</v>
      </c>
      <c r="AQ81" s="134">
        <v>0.94599999999999995</v>
      </c>
      <c r="AR81" s="134">
        <v>-0.312</v>
      </c>
      <c r="AS81" s="134">
        <v>-0.14599999999999999</v>
      </c>
      <c r="AT81" s="134">
        <v>-0.14299999999999999</v>
      </c>
      <c r="AU81" s="134">
        <v>2.5000000000000001E-2</v>
      </c>
      <c r="AV81" s="134">
        <f t="shared" si="27"/>
        <v>2.7300000000000004</v>
      </c>
      <c r="AW81" s="134">
        <f t="shared" si="28"/>
        <v>4.7609999999999992</v>
      </c>
      <c r="AX81" s="105">
        <f t="shared" si="29"/>
        <v>1.6686690695501268E-2</v>
      </c>
      <c r="AY81" s="105">
        <f t="shared" si="30"/>
        <v>0.27059137631824859</v>
      </c>
      <c r="AZ81" s="105">
        <f t="shared" si="31"/>
        <v>-1.0812975570684823E-2</v>
      </c>
      <c r="BA81" s="105">
        <f t="shared" si="32"/>
        <v>0.12628487518355361</v>
      </c>
      <c r="BB81" s="105">
        <f t="shared" si="33"/>
        <v>-4.1649979975971169E-2</v>
      </c>
      <c r="BC81" s="105">
        <f t="shared" si="34"/>
        <v>-1.9490054732345483E-2</v>
      </c>
      <c r="BD81" s="105">
        <f t="shared" si="35"/>
        <v>-1.908957415565345E-2</v>
      </c>
      <c r="BE81" s="105">
        <f t="shared" si="36"/>
        <v>3.3373381391002539E-3</v>
      </c>
      <c r="BF81" s="105">
        <f t="shared" si="37"/>
        <v>0.36443732478974772</v>
      </c>
      <c r="BG81" s="154">
        <v>5.0549999999999997</v>
      </c>
      <c r="BH81" s="105">
        <f t="shared" si="165"/>
        <v>0.67480977172607126</v>
      </c>
      <c r="BI81" s="105">
        <f>'Assets(BoP)'!EF81</f>
        <v>0.40675703239444455</v>
      </c>
      <c r="BJ81" s="183">
        <v>-7.391</v>
      </c>
      <c r="BK81" s="134"/>
      <c r="BL81" s="134"/>
      <c r="BM81" s="134"/>
      <c r="BN81" s="134"/>
      <c r="BO81" s="134"/>
      <c r="BP81" s="134"/>
      <c r="BQ81" s="133">
        <f t="shared" si="57"/>
        <v>0</v>
      </c>
      <c r="BR81" s="105">
        <f t="shared" si="58"/>
        <v>0</v>
      </c>
      <c r="BS81" s="134"/>
      <c r="BT81" s="105">
        <f t="shared" si="59"/>
        <v>0</v>
      </c>
      <c r="BU81" s="183">
        <f t="shared" si="60"/>
        <v>0.27699999999999925</v>
      </c>
      <c r="BV81" s="134">
        <f t="shared" si="61"/>
        <v>0</v>
      </c>
      <c r="BW81" s="154">
        <f t="shared" si="62"/>
        <v>0.1235582301980198</v>
      </c>
      <c r="BX81" s="154">
        <f t="shared" si="63"/>
        <v>0.60571547435503681</v>
      </c>
      <c r="BY81" s="154">
        <f t="shared" si="64"/>
        <v>-9.7551376769980755E-2</v>
      </c>
      <c r="BZ81" s="154">
        <f t="shared" si="65"/>
        <v>0.41079480699686965</v>
      </c>
      <c r="CA81" s="154">
        <f t="shared" si="66"/>
        <v>-0.65241290167548716</v>
      </c>
      <c r="CB81" s="154">
        <f t="shared" si="67"/>
        <v>-1.5815133228137553E-2</v>
      </c>
      <c r="CC81" s="154">
        <f t="shared" si="68"/>
        <v>0.37428909987632086</v>
      </c>
      <c r="CD81" s="154">
        <f t="shared" si="69"/>
        <v>-1.000909737751531</v>
      </c>
      <c r="CE81" s="105">
        <f t="shared" si="70"/>
        <v>0.44605859277263588</v>
      </c>
      <c r="CF81" s="105">
        <f t="shared" si="71"/>
        <v>2.1866984633755902</v>
      </c>
      <c r="CG81" s="105">
        <f t="shared" si="72"/>
        <v>-0.3521710352706896</v>
      </c>
      <c r="CH81" s="105">
        <f t="shared" si="73"/>
        <v>1.4830137436710136</v>
      </c>
      <c r="CI81" s="105">
        <f t="shared" si="74"/>
        <v>-2.3552812334855195</v>
      </c>
      <c r="CJ81" s="105">
        <f t="shared" si="75"/>
        <v>-5.7094343783890236E-2</v>
      </c>
      <c r="CK81" s="105">
        <f t="shared" si="76"/>
        <v>1.3512241872791402</v>
      </c>
      <c r="CL81" s="105">
        <f t="shared" si="77"/>
        <v>-0.35122418727914018</v>
      </c>
      <c r="CM81" s="105">
        <f t="shared" si="78"/>
        <v>2.740290481203473E-2</v>
      </c>
      <c r="CN81" s="105">
        <f t="shared" si="79"/>
        <v>-7.1228468690120224E-3</v>
      </c>
      <c r="CO81" s="105">
        <f t="shared" si="80"/>
        <v>2.3734438486773422E-3</v>
      </c>
      <c r="CP81" s="461">
        <f t="shared" si="81"/>
        <v>0</v>
      </c>
      <c r="CQ81" s="461">
        <f t="shared" si="82"/>
        <v>2.3734438486773422E-3</v>
      </c>
      <c r="CR81" s="105">
        <f t="shared" si="83"/>
        <v>-6.1693011023060092E-4</v>
      </c>
      <c r="CS81" s="327">
        <v>7.2140000000000004</v>
      </c>
      <c r="CT81" s="154">
        <v>1.903</v>
      </c>
      <c r="CU81" s="154">
        <v>9.1170000000000009</v>
      </c>
      <c r="CV81" s="385">
        <f t="shared" si="134"/>
        <v>1.441769801980198E-3</v>
      </c>
      <c r="CW81" s="385">
        <f t="shared" si="135"/>
        <v>1.4212845256449633</v>
      </c>
      <c r="CX81" s="385">
        <f t="shared" si="136"/>
        <v>1.6551376769980756E-2</v>
      </c>
      <c r="CY81" s="385">
        <f t="shared" si="137"/>
        <v>0.5352051930031303</v>
      </c>
      <c r="CZ81" s="385">
        <f t="shared" si="138"/>
        <v>0.34041290167548721</v>
      </c>
      <c r="DA81" s="154">
        <f t="shared" si="139"/>
        <v>4.0815133228137554E-2</v>
      </c>
      <c r="DB81" s="154">
        <f t="shared" si="85"/>
        <v>2.3557109001236793</v>
      </c>
      <c r="DC81" s="154">
        <f t="shared" si="86"/>
        <v>5.7619097377515303</v>
      </c>
      <c r="DD81" s="154">
        <f t="shared" si="87"/>
        <v>-0.90362063787520874</v>
      </c>
      <c r="DE81" s="105">
        <f t="shared" si="88"/>
        <v>0.3265471167346381</v>
      </c>
      <c r="DF81" s="150">
        <v>24.623999999999999</v>
      </c>
      <c r="DG81" s="154">
        <v>0</v>
      </c>
      <c r="DH81" s="154">
        <v>4.3570000000000002</v>
      </c>
      <c r="DI81" s="154">
        <v>0.46</v>
      </c>
      <c r="DJ81" s="154">
        <v>1.585</v>
      </c>
      <c r="DK81" s="154">
        <v>3.7229999999999999</v>
      </c>
      <c r="DL81" s="154">
        <v>0.38</v>
      </c>
      <c r="DM81" s="154">
        <f t="shared" si="38"/>
        <v>10.505000000000001</v>
      </c>
      <c r="DN81" s="154">
        <f t="shared" si="39"/>
        <v>14.118999999999998</v>
      </c>
      <c r="DO81" s="350">
        <f t="shared" si="140"/>
        <v>24.623999999999995</v>
      </c>
      <c r="DP81" s="8">
        <v>368.92399999999998</v>
      </c>
      <c r="DQ81" s="108">
        <v>1.4159999999999999</v>
      </c>
      <c r="DR81" s="108">
        <v>56.734000000000002</v>
      </c>
      <c r="DS81" s="108">
        <v>0.40699999999999997</v>
      </c>
      <c r="DT81" s="108">
        <v>18.745999999999999</v>
      </c>
      <c r="DU81" s="108">
        <v>10.398999999999999</v>
      </c>
      <c r="DV81" s="108">
        <v>0.93400000000000005</v>
      </c>
      <c r="DW81" s="108">
        <f t="shared" si="40"/>
        <v>88.635999999999996</v>
      </c>
      <c r="DX81" s="108">
        <f t="shared" si="41"/>
        <v>280.28800000000001</v>
      </c>
      <c r="DY81" s="105">
        <f t="shared" si="141"/>
        <v>0.24025544556602443</v>
      </c>
      <c r="DZ81" s="105">
        <f t="shared" si="42"/>
        <v>3.8381888952738231E-3</v>
      </c>
      <c r="EA81" s="105">
        <f t="shared" si="43"/>
        <v>0.15378235083648667</v>
      </c>
      <c r="EB81" s="105">
        <f t="shared" si="44"/>
        <v>1.1032082488534223E-3</v>
      </c>
      <c r="EC81" s="105">
        <f t="shared" si="45"/>
        <v>5.0812633496329869E-2</v>
      </c>
      <c r="ED81" s="105">
        <f t="shared" si="46"/>
        <v>2.8187377346011643E-2</v>
      </c>
      <c r="EE81" s="105">
        <f t="shared" si="142"/>
        <v>2.5316867430690334E-3</v>
      </c>
      <c r="EF81" s="150">
        <v>111.866</v>
      </c>
      <c r="EG81" s="323">
        <f t="shared" si="143"/>
        <v>2.3E-2</v>
      </c>
      <c r="EH81" s="323">
        <f t="shared" si="144"/>
        <v>21.934512831006259</v>
      </c>
      <c r="EI81" s="487">
        <f t="shared" si="145"/>
        <v>-6.892826191622542E-2</v>
      </c>
      <c r="EJ81" s="323">
        <f t="shared" si="146"/>
        <v>6.7100714973519491</v>
      </c>
      <c r="EK81" s="323">
        <f t="shared" si="147"/>
        <v>2.3808338950409249</v>
      </c>
      <c r="EL81" s="323">
        <f t="shared" si="148"/>
        <v>0.622</v>
      </c>
      <c r="EM81" s="415">
        <f t="shared" si="89"/>
        <v>31.601489961482908</v>
      </c>
      <c r="EN81" s="415">
        <f t="shared" si="90"/>
        <v>80.264510038517088</v>
      </c>
      <c r="EO81" s="105">
        <f t="shared" si="91"/>
        <v>0.28249414443604765</v>
      </c>
      <c r="EP81" s="350">
        <v>145.44</v>
      </c>
      <c r="EQ81" s="154">
        <f t="shared" si="92"/>
        <v>2.3E-2</v>
      </c>
      <c r="ER81" s="154">
        <f t="shared" si="93"/>
        <v>23.34115410689229</v>
      </c>
      <c r="ES81" s="154">
        <f t="shared" si="149"/>
        <v>0.56511521634464401</v>
      </c>
      <c r="ET81" s="154">
        <f t="shared" si="150"/>
        <v>10.190718788393079</v>
      </c>
      <c r="EU81" s="154">
        <f t="shared" si="94"/>
        <v>8.1880507374751996</v>
      </c>
      <c r="EV81" s="154">
        <f t="shared" si="94"/>
        <v>0.67742857142857138</v>
      </c>
      <c r="EW81" s="154">
        <f t="shared" si="95"/>
        <v>42.985467420533787</v>
      </c>
      <c r="EX81" s="154">
        <f t="shared" si="96"/>
        <v>102.45453257946622</v>
      </c>
      <c r="EY81" s="105">
        <f t="shared" si="97"/>
        <v>0.29555464398056785</v>
      </c>
      <c r="EZ81" s="350">
        <v>33.573999999999998</v>
      </c>
      <c r="FA81" s="317">
        <v>0</v>
      </c>
      <c r="FB81" s="486">
        <f t="shared" si="98"/>
        <v>1.4066412758860325</v>
      </c>
      <c r="FC81" s="385">
        <f t="shared" si="166"/>
        <v>0.63404347826086949</v>
      </c>
      <c r="FD81" s="486">
        <f t="shared" si="99"/>
        <v>3.4806472910411301</v>
      </c>
      <c r="FE81" s="317">
        <f t="shared" si="100"/>
        <v>5.8072168424342747</v>
      </c>
      <c r="FF81" s="317">
        <f>FF80+(FF$101-FF$80)/21</f>
        <v>5.5428571428571424E-2</v>
      </c>
      <c r="FG81" s="154">
        <f t="shared" si="101"/>
        <v>11.383977459050879</v>
      </c>
      <c r="FH81" s="154">
        <f t="shared" si="102"/>
        <v>22.190022540949119</v>
      </c>
      <c r="FI81" s="105">
        <f t="shared" si="103"/>
        <v>0.33907122949457558</v>
      </c>
      <c r="FJ81" s="105"/>
      <c r="FK81" s="461">
        <f t="shared" si="104"/>
        <v>2.9766466972204409E-2</v>
      </c>
      <c r="FL81" s="461">
        <f t="shared" si="105"/>
        <v>6.2685643564356436E-2</v>
      </c>
      <c r="FM81" s="105"/>
      <c r="FN81" s="105"/>
      <c r="FO81" s="327">
        <v>257.05799999999999</v>
      </c>
      <c r="FP81" s="385">
        <f t="shared" si="106"/>
        <v>0</v>
      </c>
      <c r="FQ81" s="323">
        <f t="shared" si="107"/>
        <v>1.393</v>
      </c>
      <c r="FR81" s="323">
        <f t="shared" si="108"/>
        <v>34.799487168993743</v>
      </c>
      <c r="FS81" s="323">
        <f t="shared" si="109"/>
        <v>0.47592826191622539</v>
      </c>
      <c r="FT81" s="323">
        <f t="shared" si="110"/>
        <v>12.03592850264805</v>
      </c>
      <c r="FU81" s="323">
        <f t="shared" si="111"/>
        <v>8.0181661049590751</v>
      </c>
      <c r="FV81" s="323">
        <f t="shared" si="112"/>
        <v>0.31200000000000006</v>
      </c>
      <c r="FW81" s="323">
        <f t="shared" si="113"/>
        <v>57.034510038517084</v>
      </c>
      <c r="FX81" s="323">
        <f t="shared" si="114"/>
        <v>0</v>
      </c>
      <c r="FY81" s="323">
        <f t="shared" si="115"/>
        <v>200.02348996148294</v>
      </c>
      <c r="FZ81" s="368">
        <f t="shared" si="116"/>
        <v>0.22187409082198215</v>
      </c>
      <c r="GA81" s="247">
        <f t="shared" si="117"/>
        <v>5.419010495685799E-3</v>
      </c>
      <c r="GB81" s="247">
        <f t="shared" si="118"/>
        <v>0.13537601307484592</v>
      </c>
      <c r="GC81" s="247">
        <f t="shared" si="119"/>
        <v>1.8514431058991566E-3</v>
      </c>
      <c r="GD81" s="247">
        <f t="shared" si="120"/>
        <v>4.6821839828552508E-2</v>
      </c>
      <c r="GE81" s="247">
        <f t="shared" si="121"/>
        <v>3.1192050451489841E-2</v>
      </c>
      <c r="GF81" s="247">
        <f t="shared" si="122"/>
        <v>1.2137338655089514E-3</v>
      </c>
      <c r="GG81" s="247">
        <f t="shared" si="123"/>
        <v>5.3753084354481201E-2</v>
      </c>
      <c r="GH81" s="105">
        <f t="shared" si="124"/>
        <v>4.1826667634453377E-2</v>
      </c>
      <c r="GI81" s="105">
        <f t="shared" si="125"/>
        <v>1.1926416720027829E-2</v>
      </c>
      <c r="GJ81" s="327">
        <v>209.37100000000001</v>
      </c>
      <c r="GK81" s="154">
        <f t="shared" si="151"/>
        <v>0</v>
      </c>
      <c r="GL81" s="154">
        <f t="shared" si="126"/>
        <v>111.866</v>
      </c>
      <c r="GM81" s="154">
        <f t="shared" si="127"/>
        <v>33.573999999999998</v>
      </c>
      <c r="GN81" s="154">
        <v>63.930999999999997</v>
      </c>
      <c r="GO81" s="154">
        <v>145.44</v>
      </c>
      <c r="GP81" s="154">
        <f t="shared" si="128"/>
        <v>145.44</v>
      </c>
      <c r="GQ81" s="294"/>
      <c r="GR81" s="154">
        <f t="shared" si="129"/>
        <v>257.05799999999999</v>
      </c>
      <c r="GS81" s="154">
        <f>FoF_RoW!$AZ51/1000</f>
        <v>467.88600000000002</v>
      </c>
      <c r="GT81" s="154">
        <f t="shared" si="15"/>
        <v>356.02000000000004</v>
      </c>
      <c r="GU81" s="105">
        <f t="shared" si="130"/>
        <v>1.3849792653797977</v>
      </c>
      <c r="GV81" s="415">
        <f>FoF_RoW!$AE51/1000</f>
        <v>68.272999999999996</v>
      </c>
      <c r="GW81" s="415">
        <f t="shared" si="16"/>
        <v>66.12</v>
      </c>
      <c r="GX81" s="154">
        <v>632.23900000000003</v>
      </c>
      <c r="GY81" s="154">
        <v>422.86799999999999</v>
      </c>
      <c r="GZ81" s="154">
        <f t="shared" si="131"/>
        <v>1.645029526410382</v>
      </c>
      <c r="HA81" s="154">
        <f t="shared" si="22"/>
        <v>111.866</v>
      </c>
      <c r="HB81" s="154">
        <v>125.658</v>
      </c>
      <c r="HC81" s="154">
        <v>209.37100000000001</v>
      </c>
      <c r="HD81" s="232">
        <f t="shared" si="132"/>
        <v>-6.5743917715068388E-4</v>
      </c>
      <c r="HE81" s="504">
        <f t="shared" si="133"/>
        <v>2.2057278902037655E-3</v>
      </c>
      <c r="HF81" s="665"/>
      <c r="HV81" s="232">
        <f t="shared" si="152"/>
        <v>2.0256322042077565E-3</v>
      </c>
      <c r="HW81" s="310">
        <f t="shared" si="153"/>
        <v>7.4446907281167679E-2</v>
      </c>
      <c r="HX81" s="310">
        <f t="shared" si="154"/>
        <v>1.5080205289240217E-4</v>
      </c>
      <c r="HY81" s="314">
        <f t="shared" si="155"/>
        <v>0</v>
      </c>
      <c r="HZ81" s="105">
        <f t="shared" si="156"/>
        <v>0.16673720252123192</v>
      </c>
      <c r="IA81" s="105">
        <f t="shared" si="157"/>
        <v>3.2719583977231508E-2</v>
      </c>
      <c r="IB81" s="105">
        <f t="shared" si="158"/>
        <v>-0.38530430028366741</v>
      </c>
      <c r="IC81" s="105">
        <f t="shared" si="159"/>
        <v>6.4158956791587105E-2</v>
      </c>
      <c r="ID81" s="105">
        <f t="shared" si="160"/>
        <v>-0.15295350730258134</v>
      </c>
      <c r="IE81" s="105">
        <f t="shared" si="161"/>
        <v>-9.5286244153911709E-2</v>
      </c>
      <c r="IF81" s="105">
        <f t="shared" si="162"/>
        <v>1.2336200313957088E-2</v>
      </c>
      <c r="IG81" s="105">
        <f t="shared" si="163"/>
        <v>-9.406452400107573E-3</v>
      </c>
      <c r="IH81" s="105">
        <f t="shared" si="164"/>
        <v>2.1742652714064663E-2</v>
      </c>
      <c r="II81" s="105"/>
      <c r="IJ81" s="105"/>
      <c r="IK81" s="845"/>
      <c r="IU81" s="154"/>
      <c r="IV81" s="415">
        <v>118658</v>
      </c>
      <c r="IW81" s="415"/>
      <c r="IX81" s="415">
        <f t="shared" si="23"/>
        <v>10311</v>
      </c>
      <c r="IY81" s="415"/>
      <c r="IZ81" s="415"/>
      <c r="JA81" s="108">
        <v>9958</v>
      </c>
      <c r="JB81" s="108">
        <v>9286</v>
      </c>
      <c r="JC81" s="108">
        <v>6419</v>
      </c>
      <c r="JD81" s="108">
        <v>2514</v>
      </c>
      <c r="JK81" s="154"/>
      <c r="JL81" s="154"/>
      <c r="JM81" s="154"/>
    </row>
    <row r="82" spans="2:273">
      <c r="B82" s="451">
        <v>1990</v>
      </c>
      <c r="C82" s="43">
        <v>5036.1000000000004</v>
      </c>
      <c r="D82" s="5">
        <v>417.2</v>
      </c>
      <c r="E82" s="6">
        <f t="shared" si="0"/>
        <v>8.2841881614741555E-2</v>
      </c>
      <c r="F82" s="454">
        <f t="shared" si="1"/>
        <v>0</v>
      </c>
      <c r="G82" s="76">
        <f t="shared" si="2"/>
        <v>341.1</v>
      </c>
      <c r="H82" s="23">
        <f t="shared" si="3"/>
        <v>6.7730982307738136E-2</v>
      </c>
      <c r="I82" s="455">
        <v>76.099999999999994</v>
      </c>
      <c r="J82" s="460">
        <f t="shared" si="4"/>
        <v>1.5110899307003434E-2</v>
      </c>
      <c r="K82" s="6">
        <f t="shared" si="5"/>
        <v>0.18240651965484178</v>
      </c>
      <c r="L82" s="136">
        <v>81</v>
      </c>
      <c r="M82" s="136">
        <f t="shared" si="8"/>
        <v>4.9000000000000057</v>
      </c>
      <c r="N82" s="460">
        <f t="shared" si="6"/>
        <v>1.6083874426639659E-2</v>
      </c>
      <c r="O82" s="460">
        <f t="shared" si="9"/>
        <v>9.7297511963622752E-4</v>
      </c>
      <c r="P82" s="449">
        <f t="shared" si="10"/>
        <v>1.1744966442953034E-2</v>
      </c>
      <c r="Q82" s="5">
        <f t="shared" si="7"/>
        <v>417.2</v>
      </c>
      <c r="R82" s="169">
        <f t="shared" si="11"/>
        <v>4.9000000000000057</v>
      </c>
      <c r="S82" s="174"/>
      <c r="U82" s="76">
        <f t="shared" si="47"/>
        <v>-4.7159999999999993</v>
      </c>
      <c r="W82" s="23">
        <f t="shared" si="48"/>
        <v>-0.96244897959183551</v>
      </c>
      <c r="X82" s="182">
        <v>3.4510000000000001</v>
      </c>
      <c r="Y82" s="79">
        <f t="shared" si="49"/>
        <v>-9.9999999999944578E-4</v>
      </c>
      <c r="Z82" s="79">
        <f t="shared" si="50"/>
        <v>-4.7159999999999993</v>
      </c>
      <c r="AA82" s="683">
        <v>9.3670000000000009</v>
      </c>
      <c r="AB82" s="683">
        <v>-14.083</v>
      </c>
      <c r="AC82" s="79">
        <f t="shared" si="51"/>
        <v>8.1679999999999993</v>
      </c>
      <c r="AD82" s="79">
        <v>10.141</v>
      </c>
      <c r="AE82" s="79">
        <v>1.9730000000000001</v>
      </c>
      <c r="AF82" s="23">
        <f t="shared" si="52"/>
        <v>2.9862171331636986</v>
      </c>
      <c r="AG82" s="23">
        <f t="shared" si="53"/>
        <v>2.4307286673058485E-2</v>
      </c>
      <c r="AH82" s="450">
        <v>7.1999999999999995E-2</v>
      </c>
      <c r="AI82" s="79">
        <f t="shared" si="54"/>
        <v>3.379</v>
      </c>
      <c r="AJ82" s="79">
        <f t="shared" si="55"/>
        <v>0.44300000000000006</v>
      </c>
      <c r="AK82" s="79">
        <v>18.7</v>
      </c>
      <c r="AL82" s="23">
        <f t="shared" si="56"/>
        <v>0.50090909090909097</v>
      </c>
      <c r="AM82" s="182">
        <v>2.9359999999999999</v>
      </c>
      <c r="AN82" s="79">
        <v>-2.4E-2</v>
      </c>
      <c r="AO82" s="79">
        <v>0.17899999999999999</v>
      </c>
      <c r="AP82" s="79">
        <v>5.8999999999999997E-2</v>
      </c>
      <c r="AQ82" s="79">
        <v>0.214</v>
      </c>
      <c r="AR82" s="79">
        <v>-0.372</v>
      </c>
      <c r="AS82" s="79">
        <v>-2.5999999999999999E-2</v>
      </c>
      <c r="AT82" s="79">
        <v>-0.11</v>
      </c>
      <c r="AU82" s="79">
        <v>1.7999999999999999E-2</v>
      </c>
      <c r="AV82" s="79">
        <f t="shared" si="27"/>
        <v>7.3999999999999996E-2</v>
      </c>
      <c r="AW82" s="79">
        <f t="shared" si="28"/>
        <v>2.8620000000000001</v>
      </c>
      <c r="AX82" s="23">
        <f t="shared" si="29"/>
        <v>-8.1743869209809274E-3</v>
      </c>
      <c r="AY82" s="23">
        <f t="shared" si="30"/>
        <v>6.0967302452316074E-2</v>
      </c>
      <c r="AZ82" s="23">
        <f t="shared" si="31"/>
        <v>2.0095367847411442E-2</v>
      </c>
      <c r="BA82" s="23">
        <f t="shared" si="32"/>
        <v>7.2888283378746588E-2</v>
      </c>
      <c r="BB82" s="23">
        <f t="shared" si="33"/>
        <v>-0.12670299727520437</v>
      </c>
      <c r="BC82" s="23">
        <f t="shared" si="34"/>
        <v>-8.8555858310626692E-3</v>
      </c>
      <c r="BD82" s="23">
        <f t="shared" si="35"/>
        <v>-3.7465940054495911E-2</v>
      </c>
      <c r="BE82" s="23">
        <f t="shared" si="36"/>
        <v>6.1307901907356943E-3</v>
      </c>
      <c r="BF82" s="23">
        <f t="shared" si="37"/>
        <v>2.5204359673024493E-2</v>
      </c>
      <c r="BG82" s="153">
        <v>3.5920000000000001</v>
      </c>
      <c r="BH82" s="23">
        <f t="shared" si="165"/>
        <v>1.223433242506812</v>
      </c>
      <c r="BI82" s="23">
        <f>'Assets(BoP)'!EF82</f>
        <v>0.37506034066616095</v>
      </c>
      <c r="BJ82" s="182">
        <v>-14.154999999999999</v>
      </c>
      <c r="BK82" s="79"/>
      <c r="BL82" s="79"/>
      <c r="BM82" s="79"/>
      <c r="BN82" s="79"/>
      <c r="BO82" s="79"/>
      <c r="BP82" s="79"/>
      <c r="BQ82" s="28">
        <f t="shared" si="57"/>
        <v>0</v>
      </c>
      <c r="BR82" s="23">
        <f t="shared" si="58"/>
        <v>0</v>
      </c>
      <c r="BS82" s="79"/>
      <c r="BT82" s="23">
        <f t="shared" si="59"/>
        <v>0</v>
      </c>
      <c r="BU82" s="182">
        <f t="shared" si="60"/>
        <v>-5.2319999999999993</v>
      </c>
      <c r="BV82" s="136">
        <f t="shared" si="61"/>
        <v>-9.9999999999944578E-4</v>
      </c>
      <c r="BW82" s="153">
        <f t="shared" si="62"/>
        <v>-2.8996885221135759E-2</v>
      </c>
      <c r="BX82" s="153">
        <f t="shared" si="63"/>
        <v>-1.5310718488796315</v>
      </c>
      <c r="BY82" s="153">
        <f t="shared" si="64"/>
        <v>-5.1840589844708088E-2</v>
      </c>
      <c r="BZ82" s="153">
        <f t="shared" si="65"/>
        <v>-0.24592853487725982</v>
      </c>
      <c r="CA82" s="153">
        <f t="shared" si="66"/>
        <v>-1.0145967087439298</v>
      </c>
      <c r="CB82" s="153">
        <f t="shared" si="67"/>
        <v>-4.3683757185856348E-2</v>
      </c>
      <c r="CC82" s="153">
        <f t="shared" si="68"/>
        <v>-2.9161183247525213</v>
      </c>
      <c r="CD82" s="153">
        <f t="shared" si="69"/>
        <v>-3.0130819217630744</v>
      </c>
      <c r="CE82" s="23">
        <f t="shared" si="70"/>
        <v>5.5422181233057647E-3</v>
      </c>
      <c r="CF82" s="23">
        <f t="shared" si="71"/>
        <v>0.29263605674304888</v>
      </c>
      <c r="CG82" s="23">
        <f t="shared" si="72"/>
        <v>9.9083696186368676E-3</v>
      </c>
      <c r="CH82" s="23">
        <f t="shared" si="73"/>
        <v>4.7004689387855479E-2</v>
      </c>
      <c r="CI82" s="23">
        <f t="shared" si="74"/>
        <v>0.19392138928591934</v>
      </c>
      <c r="CJ82" s="23">
        <f t="shared" si="75"/>
        <v>8.3493419697737679E-3</v>
      </c>
      <c r="CK82" s="23">
        <f t="shared" si="76"/>
        <v>0.55736206512854014</v>
      </c>
      <c r="CL82" s="23">
        <f t="shared" si="77"/>
        <v>0.44263793487145986</v>
      </c>
      <c r="CM82" s="23">
        <f t="shared" si="78"/>
        <v>6.5461987515097074E-3</v>
      </c>
      <c r="CN82" s="23">
        <f t="shared" si="79"/>
        <v>5.198767691443327E-3</v>
      </c>
      <c r="CO82" s="23">
        <f t="shared" si="80"/>
        <v>5.4229942199913615E-4</v>
      </c>
      <c r="CP82" s="448">
        <f t="shared" si="81"/>
        <v>0</v>
      </c>
      <c r="CQ82" s="448">
        <f t="shared" si="82"/>
        <v>5.4229942199913615E-4</v>
      </c>
      <c r="CR82" s="23">
        <f t="shared" si="83"/>
        <v>4.3067569763709137E-4</v>
      </c>
      <c r="CS82" s="326">
        <v>8.1679999999999993</v>
      </c>
      <c r="CT82" s="153">
        <v>1.9730000000000001</v>
      </c>
      <c r="CU82" s="153">
        <v>10.141</v>
      </c>
      <c r="CV82" s="384">
        <f t="shared" si="134"/>
        <v>4.9968852211357585E-3</v>
      </c>
      <c r="CW82" s="384">
        <f t="shared" si="135"/>
        <v>1.7100718488796316</v>
      </c>
      <c r="CX82" s="384">
        <f t="shared" si="136"/>
        <v>0.11084058984470808</v>
      </c>
      <c r="CY82" s="384">
        <f t="shared" si="137"/>
        <v>0.45992853487725982</v>
      </c>
      <c r="CZ82" s="384">
        <f t="shared" si="138"/>
        <v>0.64259670874392993</v>
      </c>
      <c r="DA82" s="153">
        <f t="shared" si="139"/>
        <v>6.1683757185856343E-2</v>
      </c>
      <c r="DB82" s="153">
        <f t="shared" si="85"/>
        <v>2.9901183247525212</v>
      </c>
      <c r="DC82" s="153">
        <f t="shared" si="86"/>
        <v>5.8750819217630745</v>
      </c>
      <c r="DD82" s="153">
        <f t="shared" si="87"/>
        <v>-0.69720024651559598</v>
      </c>
      <c r="DE82" s="23">
        <f t="shared" si="88"/>
        <v>0.36607717002357021</v>
      </c>
      <c r="DF82" s="149">
        <v>6.3390000000000004</v>
      </c>
      <c r="DG82" s="153">
        <v>-0.19</v>
      </c>
      <c r="DH82" s="153">
        <v>4.907</v>
      </c>
      <c r="DI82" s="153">
        <v>1.407</v>
      </c>
      <c r="DJ82" s="153">
        <v>-2.0089999999999999</v>
      </c>
      <c r="DK82" s="153">
        <v>3.4209999999999998</v>
      </c>
      <c r="DL82" s="153">
        <v>0.32500000000000001</v>
      </c>
      <c r="DM82" s="153">
        <f t="shared" si="38"/>
        <v>7.8609999999999998</v>
      </c>
      <c r="DN82" s="153">
        <f t="shared" si="39"/>
        <v>-1.5219999999999994</v>
      </c>
      <c r="DO82" s="258">
        <f t="shared" si="140"/>
        <v>6.3389999999999986</v>
      </c>
      <c r="DP82" s="5">
        <v>394.911</v>
      </c>
      <c r="DQ82" s="76">
        <v>1.34</v>
      </c>
      <c r="DR82" s="76">
        <v>64.671000000000006</v>
      </c>
      <c r="DS82" s="76">
        <v>2.1949999999999998</v>
      </c>
      <c r="DT82" s="76">
        <v>17.673999999999999</v>
      </c>
      <c r="DU82" s="76">
        <v>14.028</v>
      </c>
      <c r="DV82" s="76">
        <v>1.2889999999999999</v>
      </c>
      <c r="DW82" s="76">
        <f t="shared" si="40"/>
        <v>101.197</v>
      </c>
      <c r="DX82" s="76">
        <f t="shared" si="41"/>
        <v>293.714</v>
      </c>
      <c r="DY82" s="23">
        <f t="shared" si="141"/>
        <v>0.25625267465327634</v>
      </c>
      <c r="DZ82" s="23">
        <f t="shared" si="42"/>
        <v>3.3931696002390413E-3</v>
      </c>
      <c r="EA82" s="23">
        <f t="shared" si="43"/>
        <v>0.16376094866944704</v>
      </c>
      <c r="EB82" s="23">
        <f t="shared" si="44"/>
        <v>5.5582143824811159E-3</v>
      </c>
      <c r="EC82" s="23">
        <f t="shared" si="45"/>
        <v>4.4754387697481204E-2</v>
      </c>
      <c r="ED82" s="23">
        <f t="shared" si="46"/>
        <v>3.5521927725487519E-2</v>
      </c>
      <c r="EE82" s="23">
        <f t="shared" si="142"/>
        <v>3.2640265781403908E-3</v>
      </c>
      <c r="EF82" s="149">
        <v>118.205</v>
      </c>
      <c r="EG82" s="322">
        <f t="shared" si="143"/>
        <v>-0.16700000000000001</v>
      </c>
      <c r="EH82" s="322">
        <f t="shared" si="144"/>
        <v>26.841512831006259</v>
      </c>
      <c r="EI82" s="324">
        <f t="shared" si="145"/>
        <v>1.3380717380837746</v>
      </c>
      <c r="EJ82" s="322">
        <f t="shared" si="146"/>
        <v>4.7010714973519487</v>
      </c>
      <c r="EK82" s="322">
        <f t="shared" si="147"/>
        <v>5.8018338950409252</v>
      </c>
      <c r="EL82" s="322">
        <f t="shared" si="148"/>
        <v>0.94700000000000006</v>
      </c>
      <c r="EM82" s="330">
        <f t="shared" si="89"/>
        <v>39.462489961482902</v>
      </c>
      <c r="EN82" s="330">
        <f t="shared" si="90"/>
        <v>78.742510038517096</v>
      </c>
      <c r="EO82" s="23">
        <f t="shared" si="91"/>
        <v>0.33384789104930335</v>
      </c>
      <c r="EP82" s="258">
        <v>165.94499999999999</v>
      </c>
      <c r="EQ82" s="153">
        <f t="shared" si="92"/>
        <v>0.27510000000000001</v>
      </c>
      <c r="ER82" s="153">
        <f t="shared" si="93"/>
        <v>28.87051443572696</v>
      </c>
      <c r="ES82" s="153">
        <f t="shared" si="149"/>
        <v>2.1834630424316006</v>
      </c>
      <c r="ET82" s="153">
        <f t="shared" si="150"/>
        <v>9.7217111302539259</v>
      </c>
      <c r="EU82" s="153">
        <f t="shared" si="94"/>
        <v>14.178420373948496</v>
      </c>
      <c r="EV82" s="153">
        <f t="shared" si="94"/>
        <v>1.0578571428571428</v>
      </c>
      <c r="EW82" s="153">
        <f t="shared" si="95"/>
        <v>56.287066125218132</v>
      </c>
      <c r="EX82" s="153">
        <f t="shared" si="96"/>
        <v>109.65793387478186</v>
      </c>
      <c r="EY82" s="23">
        <f t="shared" si="97"/>
        <v>0.33919109418914783</v>
      </c>
      <c r="EZ82" s="258">
        <v>47.74</v>
      </c>
      <c r="FA82" s="316">
        <f>FA81+(FA$101-FA$81)/20</f>
        <v>0.44210000000000005</v>
      </c>
      <c r="FB82" s="484">
        <f t="shared" si="98"/>
        <v>2.0290016047207025</v>
      </c>
      <c r="FC82" s="483">
        <f t="shared" si="166"/>
        <v>0.84539130434782606</v>
      </c>
      <c r="FD82" s="484">
        <f t="shared" si="99"/>
        <v>5.0206396329019771</v>
      </c>
      <c r="FE82" s="316">
        <f t="shared" si="100"/>
        <v>8.376586478907571</v>
      </c>
      <c r="FF82" s="316">
        <f t="shared" ref="FF82:FF100" si="167">FF81+(FF$101-FF$80)/21</f>
        <v>0.11085714285714285</v>
      </c>
      <c r="FG82" s="153">
        <f t="shared" si="101"/>
        <v>16.824576163735216</v>
      </c>
      <c r="FH82" s="153">
        <f t="shared" si="102"/>
        <v>30.915423836264786</v>
      </c>
      <c r="FI82" s="23">
        <f t="shared" si="103"/>
        <v>0.35242095022486836</v>
      </c>
      <c r="FJ82" s="23"/>
      <c r="FK82" s="448">
        <f t="shared" si="104"/>
        <v>2.6723916076338571E-2</v>
      </c>
      <c r="FL82" s="448">
        <f t="shared" si="105"/>
        <v>6.1110608936695898E-2</v>
      </c>
      <c r="FM82" s="23"/>
      <c r="FN82" s="23"/>
      <c r="FO82" s="326">
        <v>276.70600000000002</v>
      </c>
      <c r="FP82" s="483">
        <f t="shared" si="106"/>
        <v>0</v>
      </c>
      <c r="FQ82" s="322">
        <f t="shared" si="107"/>
        <v>1.5070000000000001</v>
      </c>
      <c r="FR82" s="322">
        <f t="shared" si="108"/>
        <v>37.829487168993751</v>
      </c>
      <c r="FS82" s="322">
        <f t="shared" si="109"/>
        <v>0.85692826191622529</v>
      </c>
      <c r="FT82" s="322">
        <f t="shared" si="110"/>
        <v>12.972928502648051</v>
      </c>
      <c r="FU82" s="322">
        <f t="shared" si="111"/>
        <v>8.2261661049590753</v>
      </c>
      <c r="FV82" s="322">
        <f t="shared" si="112"/>
        <v>0.34199999999999986</v>
      </c>
      <c r="FW82" s="322">
        <f t="shared" si="113"/>
        <v>61.734510038517101</v>
      </c>
      <c r="FX82" s="322">
        <f t="shared" si="114"/>
        <v>0</v>
      </c>
      <c r="FY82" s="322">
        <f t="shared" si="115"/>
        <v>214.97148996148292</v>
      </c>
      <c r="FZ82" s="367">
        <f t="shared" si="116"/>
        <v>0.22310506472037867</v>
      </c>
      <c r="GA82" s="248">
        <f t="shared" si="117"/>
        <v>5.4462136708275212E-3</v>
      </c>
      <c r="GB82" s="248">
        <f t="shared" si="118"/>
        <v>0.1367136497545906</v>
      </c>
      <c r="GC82" s="248">
        <f t="shared" si="119"/>
        <v>3.0968907863083029E-3</v>
      </c>
      <c r="GD82" s="248">
        <f t="shared" si="120"/>
        <v>4.6883437665421239E-2</v>
      </c>
      <c r="GE82" s="248">
        <f t="shared" si="121"/>
        <v>2.9728903980972856E-2</v>
      </c>
      <c r="GF82" s="248">
        <f t="shared" si="122"/>
        <v>1.2359688622581363E-3</v>
      </c>
      <c r="GG82" s="248">
        <f t="shared" si="123"/>
        <v>5.4944500704910547E-2</v>
      </c>
      <c r="GH82" s="23">
        <f t="shared" si="124"/>
        <v>4.2686104319112586E-2</v>
      </c>
      <c r="GI82" s="23">
        <f t="shared" si="125"/>
        <v>1.2258396385797957E-2</v>
      </c>
      <c r="GJ82" s="326">
        <v>239.774</v>
      </c>
      <c r="GK82" s="153">
        <f t="shared" si="151"/>
        <v>0</v>
      </c>
      <c r="GL82" s="153">
        <f t="shared" si="126"/>
        <v>118.205</v>
      </c>
      <c r="GM82" s="153">
        <f t="shared" si="127"/>
        <v>47.74</v>
      </c>
      <c r="GN82" s="153">
        <v>73.828999999999994</v>
      </c>
      <c r="GO82" s="153">
        <v>165.94499999999999</v>
      </c>
      <c r="GP82" s="153">
        <f t="shared" si="128"/>
        <v>165.94499999999999</v>
      </c>
      <c r="GQ82" s="295"/>
      <c r="GR82" s="153">
        <f t="shared" si="129"/>
        <v>276.70600000000002</v>
      </c>
      <c r="GS82" s="153">
        <f>FoF_RoW!$AZ52/1000</f>
        <v>505.346</v>
      </c>
      <c r="GT82" s="153">
        <f t="shared" si="15"/>
        <v>387.14100000000002</v>
      </c>
      <c r="GU82" s="23">
        <f t="shared" si="130"/>
        <v>1.3991059102440857</v>
      </c>
      <c r="GV82" s="330">
        <f>FoF_RoW!$AE52/1000</f>
        <v>48.496000000000002</v>
      </c>
      <c r="GW82" s="330">
        <f t="shared" si="16"/>
        <v>37.45999999999998</v>
      </c>
      <c r="GX82" s="153">
        <v>661.17</v>
      </c>
      <c r="GY82" s="153">
        <v>421.39600000000002</v>
      </c>
      <c r="GZ82" s="153">
        <f t="shared" si="131"/>
        <v>1.5229015633921923</v>
      </c>
      <c r="HA82" s="153">
        <f t="shared" si="22"/>
        <v>118.205</v>
      </c>
      <c r="HB82" s="153">
        <v>149.19499999999999</v>
      </c>
      <c r="HC82" s="153">
        <v>239.774</v>
      </c>
      <c r="HD82" s="186">
        <f t="shared" si="132"/>
        <v>-1.70433601006122E-2</v>
      </c>
      <c r="HE82" s="503">
        <f t="shared" si="133"/>
        <v>-1.7303564071613913E-2</v>
      </c>
      <c r="HF82" s="663"/>
      <c r="HV82" s="186">
        <f t="shared" si="152"/>
        <v>-1.3325845616730263E-2</v>
      </c>
      <c r="HW82" s="308">
        <f t="shared" si="153"/>
        <v>7.6873175671650681E-2</v>
      </c>
      <c r="HX82" s="308">
        <f t="shared" si="154"/>
        <v>-1.0244000710682016E-3</v>
      </c>
      <c r="HY82" s="313">
        <f t="shared" si="155"/>
        <v>0</v>
      </c>
      <c r="HZ82" s="23">
        <f t="shared" si="156"/>
        <v>-1.3560750192563659E-2</v>
      </c>
      <c r="IA82" s="23">
        <f t="shared" si="157"/>
        <v>-2.8524020249965157E-2</v>
      </c>
      <c r="IB82" s="23">
        <f t="shared" si="158"/>
        <v>-4.263547311232524E-2</v>
      </c>
      <c r="IC82" s="23">
        <f t="shared" si="159"/>
        <v>-1.3360309423447084E-2</v>
      </c>
      <c r="ID82" s="23">
        <f t="shared" si="160"/>
        <v>-8.6924378277111525E-2</v>
      </c>
      <c r="IE82" s="23">
        <f t="shared" si="161"/>
        <v>-9.0020101224244545E-2</v>
      </c>
      <c r="IF82" s="23">
        <f t="shared" si="162"/>
        <v>-3.3290686797422864E-2</v>
      </c>
      <c r="IG82" s="23">
        <f t="shared" si="163"/>
        <v>-9.8781517083044168E-3</v>
      </c>
      <c r="IH82" s="23">
        <f t="shared" si="164"/>
        <v>-2.3412535089118447E-2</v>
      </c>
      <c r="II82" s="409"/>
      <c r="IJ82" s="23"/>
      <c r="IK82" s="841"/>
      <c r="IL82" s="90"/>
      <c r="IU82" s="23"/>
      <c r="IV82" s="330">
        <v>163592</v>
      </c>
      <c r="IW82" s="330"/>
      <c r="IX82" s="330">
        <f t="shared" si="23"/>
        <v>-249</v>
      </c>
      <c r="IY82" s="330"/>
      <c r="IZ82" s="330"/>
      <c r="JA82" s="76">
        <v>10352</v>
      </c>
      <c r="JB82" s="76">
        <v>-4535</v>
      </c>
      <c r="JC82" s="76">
        <v>5965</v>
      </c>
      <c r="JD82" s="76">
        <v>101</v>
      </c>
      <c r="JK82" s="23"/>
      <c r="JL82" s="23"/>
      <c r="JM82" s="23"/>
    </row>
    <row r="83" spans="2:273">
      <c r="B83" s="451">
        <v>1991</v>
      </c>
      <c r="C83" s="43">
        <v>5186.1000000000004</v>
      </c>
      <c r="D83" s="5">
        <v>451.3</v>
      </c>
      <c r="E83" s="6">
        <f t="shared" si="0"/>
        <v>8.7021075567382034E-2</v>
      </c>
      <c r="F83" s="454">
        <f t="shared" si="1"/>
        <v>0</v>
      </c>
      <c r="G83" s="76">
        <f t="shared" si="2"/>
        <v>374.8</v>
      </c>
      <c r="H83" s="23">
        <f t="shared" si="3"/>
        <v>7.2270106631187214E-2</v>
      </c>
      <c r="I83" s="455">
        <v>76.5</v>
      </c>
      <c r="J83" s="460">
        <f t="shared" si="4"/>
        <v>1.4750968936194828E-2</v>
      </c>
      <c r="K83" s="6">
        <f t="shared" si="5"/>
        <v>0.16951030356747174</v>
      </c>
      <c r="L83" s="136">
        <v>75.400000000000006</v>
      </c>
      <c r="M83" s="136">
        <f t="shared" si="8"/>
        <v>-1.0999999999999943</v>
      </c>
      <c r="N83" s="460">
        <f t="shared" si="6"/>
        <v>1.4538863500510981E-2</v>
      </c>
      <c r="O83" s="460">
        <f t="shared" si="9"/>
        <v>-2.121054356838461E-4</v>
      </c>
      <c r="P83" s="449">
        <f t="shared" si="10"/>
        <v>-2.4374030578329146E-3</v>
      </c>
      <c r="Q83" s="5">
        <f t="shared" si="7"/>
        <v>451.3</v>
      </c>
      <c r="R83" s="169">
        <f t="shared" si="11"/>
        <v>-1.0999999999999943</v>
      </c>
      <c r="S83" s="174"/>
      <c r="U83" s="76">
        <f t="shared" si="47"/>
        <v>-10.711000000000002</v>
      </c>
      <c r="W83" s="23">
        <f t="shared" si="48"/>
        <v>9.7372727272727797</v>
      </c>
      <c r="X83" s="182">
        <v>-2.2650000000000001</v>
      </c>
      <c r="Y83" s="79">
        <f t="shared" si="49"/>
        <v>0</v>
      </c>
      <c r="Z83" s="79">
        <f t="shared" si="50"/>
        <v>-10.711000000000002</v>
      </c>
      <c r="AA83" s="683">
        <v>7.601</v>
      </c>
      <c r="AB83" s="683">
        <v>-18.312000000000001</v>
      </c>
      <c r="AC83" s="79">
        <f t="shared" si="51"/>
        <v>8.4459999999999997</v>
      </c>
      <c r="AD83" s="79">
        <v>11.073</v>
      </c>
      <c r="AE83" s="79">
        <v>2.6269999999999998</v>
      </c>
      <c r="AF83" s="23">
        <f t="shared" si="52"/>
        <v>1.7096442909158807</v>
      </c>
      <c r="AG83" s="23">
        <f t="shared" si="53"/>
        <v>2.4535785508530909E-2</v>
      </c>
      <c r="AH83" s="450">
        <v>0.371</v>
      </c>
      <c r="AI83" s="79">
        <f t="shared" si="54"/>
        <v>-2.6360000000000001</v>
      </c>
      <c r="AJ83" s="79">
        <f t="shared" si="55"/>
        <v>0.21999999999999975</v>
      </c>
      <c r="AK83" s="79">
        <v>17.100000000000001</v>
      </c>
      <c r="AL83" s="23">
        <f t="shared" si="56"/>
        <v>0.44450292397660812</v>
      </c>
      <c r="AM83" s="182">
        <v>-2.8559999999999999</v>
      </c>
      <c r="AN83" s="79">
        <v>-0.14899999999999999</v>
      </c>
      <c r="AO83" s="79">
        <v>0.91400000000000003</v>
      </c>
      <c r="AP83" s="79">
        <v>3.1E-2</v>
      </c>
      <c r="AQ83" s="79">
        <v>-1.0999999999999999E-2</v>
      </c>
      <c r="AR83" s="79">
        <v>-0.755</v>
      </c>
      <c r="AS83" s="79">
        <v>-9.0999999999999998E-2</v>
      </c>
      <c r="AT83" s="79">
        <v>-0.13300000000000001</v>
      </c>
      <c r="AU83" s="79">
        <v>-4.0000000000000001E-3</v>
      </c>
      <c r="AV83" s="79">
        <f t="shared" si="27"/>
        <v>2.6000000000000027E-2</v>
      </c>
      <c r="AW83" s="79">
        <f t="shared" si="28"/>
        <v>-2.8820000000000001</v>
      </c>
      <c r="AX83" s="23">
        <f t="shared" si="29"/>
        <v>5.2170868347338938E-2</v>
      </c>
      <c r="AY83" s="23">
        <f t="shared" si="30"/>
        <v>-0.32002801120448182</v>
      </c>
      <c r="AZ83" s="23">
        <f t="shared" si="31"/>
        <v>-1.0854341736694677E-2</v>
      </c>
      <c r="BA83" s="23">
        <f t="shared" si="32"/>
        <v>3.8515406162464984E-3</v>
      </c>
      <c r="BB83" s="23">
        <f t="shared" si="33"/>
        <v>0.26435574229691877</v>
      </c>
      <c r="BC83" s="23">
        <f t="shared" si="34"/>
        <v>3.1862745098039214E-2</v>
      </c>
      <c r="BD83" s="23">
        <f t="shared" si="35"/>
        <v>4.65686274509804E-2</v>
      </c>
      <c r="BE83" s="23">
        <f t="shared" si="36"/>
        <v>1.4005602240896359E-3</v>
      </c>
      <c r="BF83" s="23">
        <f t="shared" si="37"/>
        <v>-9.1036414565826909E-3</v>
      </c>
      <c r="BG83" s="153">
        <v>-1.2370000000000001</v>
      </c>
      <c r="BH83" s="23">
        <f t="shared" si="165"/>
        <v>0.43312324929971996</v>
      </c>
      <c r="BI83" s="23">
        <f>'Assets(BoP)'!EF83</f>
        <v>0.34158235260237679</v>
      </c>
      <c r="BJ83" s="182">
        <v>-18.683</v>
      </c>
      <c r="BK83" s="79"/>
      <c r="BL83" s="79"/>
      <c r="BM83" s="79"/>
      <c r="BN83" s="79"/>
      <c r="BO83" s="79"/>
      <c r="BP83" s="79"/>
      <c r="BQ83" s="28">
        <f t="shared" si="57"/>
        <v>0</v>
      </c>
      <c r="BR83" s="23">
        <f t="shared" si="58"/>
        <v>0</v>
      </c>
      <c r="BS83" s="79"/>
      <c r="BT83" s="23">
        <f t="shared" si="59"/>
        <v>0</v>
      </c>
      <c r="BU83" s="182">
        <f t="shared" si="60"/>
        <v>-11.302</v>
      </c>
      <c r="BV83" s="136">
        <f t="shared" si="61"/>
        <v>0</v>
      </c>
      <c r="BW83" s="153">
        <f t="shared" si="62"/>
        <v>-0.16631668580463929</v>
      </c>
      <c r="BX83" s="153">
        <f t="shared" si="63"/>
        <v>-1.0633575472083732</v>
      </c>
      <c r="BY83" s="153">
        <f t="shared" si="64"/>
        <v>1.2142917737997111E-3</v>
      </c>
      <c r="BZ83" s="153">
        <f t="shared" si="65"/>
        <v>-0.51403385466303064</v>
      </c>
      <c r="CA83" s="153">
        <f t="shared" si="66"/>
        <v>-1.1251449514784584</v>
      </c>
      <c r="CB83" s="153">
        <f t="shared" si="67"/>
        <v>-7.0269788779653175E-2</v>
      </c>
      <c r="CC83" s="153">
        <f t="shared" si="68"/>
        <v>-2.937908536160355</v>
      </c>
      <c r="CD83" s="153">
        <f t="shared" si="69"/>
        <v>-9.0397926949980167</v>
      </c>
      <c r="CE83" s="23">
        <f t="shared" si="70"/>
        <v>1.4715686232935701E-2</v>
      </c>
      <c r="CF83" s="23">
        <f t="shared" si="71"/>
        <v>9.4085785454642828E-2</v>
      </c>
      <c r="CG83" s="23">
        <f t="shared" si="72"/>
        <v>-1.0744043300298275E-4</v>
      </c>
      <c r="CH83" s="23">
        <f t="shared" si="73"/>
        <v>4.5481671798180023E-2</v>
      </c>
      <c r="CI83" s="23">
        <f t="shared" si="74"/>
        <v>9.955272973619346E-2</v>
      </c>
      <c r="CJ83" s="23">
        <f t="shared" si="75"/>
        <v>6.217464942457368E-3</v>
      </c>
      <c r="CK83" s="23">
        <f t="shared" si="76"/>
        <v>0.25994589773140642</v>
      </c>
      <c r="CL83" s="23">
        <f t="shared" si="77"/>
        <v>0.74005410226859358</v>
      </c>
      <c r="CM83" s="23">
        <f t="shared" si="78"/>
        <v>-6.3359292600165208E-4</v>
      </c>
      <c r="CN83" s="23">
        <f t="shared" si="79"/>
        <v>-1.8038101318312624E-3</v>
      </c>
      <c r="CO83" s="23">
        <f t="shared" si="80"/>
        <v>-5.5135937892548455E-5</v>
      </c>
      <c r="CP83" s="448">
        <f t="shared" si="81"/>
        <v>0</v>
      </c>
      <c r="CQ83" s="448">
        <f t="shared" si="82"/>
        <v>-5.5135937892548455E-5</v>
      </c>
      <c r="CR83" s="23">
        <f t="shared" si="83"/>
        <v>-1.5696949779129762E-4</v>
      </c>
      <c r="CS83" s="326">
        <v>8.4459999999999997</v>
      </c>
      <c r="CT83" s="153">
        <v>2.6269999999999998</v>
      </c>
      <c r="CU83" s="153">
        <v>11.073</v>
      </c>
      <c r="CV83" s="384">
        <f t="shared" si="134"/>
        <v>1.7316685804639288E-2</v>
      </c>
      <c r="CW83" s="384">
        <f t="shared" si="135"/>
        <v>1.9773575472083733</v>
      </c>
      <c r="CX83" s="384">
        <f t="shared" si="136"/>
        <v>2.9785708226200289E-2</v>
      </c>
      <c r="CY83" s="384">
        <f t="shared" si="137"/>
        <v>0.50303385466303063</v>
      </c>
      <c r="CZ83" s="384">
        <f t="shared" si="138"/>
        <v>0.37014495147845849</v>
      </c>
      <c r="DA83" s="153">
        <f t="shared" si="139"/>
        <v>6.6269788779653171E-2</v>
      </c>
      <c r="DB83" s="153">
        <f t="shared" si="85"/>
        <v>2.9639085361603552</v>
      </c>
      <c r="DC83" s="153">
        <f t="shared" si="86"/>
        <v>6.1577926949980171</v>
      </c>
      <c r="DD83" s="153">
        <f t="shared" si="87"/>
        <v>-0.67570123115837255</v>
      </c>
      <c r="DE83" s="23">
        <f t="shared" si="88"/>
        <v>0.35092452476442759</v>
      </c>
      <c r="DF83" s="149">
        <v>-4.3280000000000003</v>
      </c>
      <c r="DG83" s="153">
        <v>1.4999999999999999E-2</v>
      </c>
      <c r="DH83" s="153">
        <v>2.5960000000000001</v>
      </c>
      <c r="DI83" s="153">
        <v>-1.379</v>
      </c>
      <c r="DJ83" s="153">
        <v>0.17599999999999999</v>
      </c>
      <c r="DK83" s="153">
        <v>-4.9279999999999999</v>
      </c>
      <c r="DL83" s="153">
        <v>0</v>
      </c>
      <c r="DM83" s="153">
        <f t="shared" si="38"/>
        <v>-3.5199999999999996</v>
      </c>
      <c r="DN83" s="153">
        <f t="shared" si="39"/>
        <v>-0.80800000000000072</v>
      </c>
      <c r="DO83" s="258">
        <f t="shared" si="140"/>
        <v>-4.3269999999999982</v>
      </c>
      <c r="DP83" s="5">
        <v>419.108</v>
      </c>
      <c r="DQ83" s="76">
        <v>1.863</v>
      </c>
      <c r="DR83" s="76">
        <v>63.113</v>
      </c>
      <c r="DS83" s="76">
        <v>0.73399999999999999</v>
      </c>
      <c r="DT83" s="76">
        <v>18.481999999999999</v>
      </c>
      <c r="DU83" s="76">
        <v>7.7279999999999998</v>
      </c>
      <c r="DV83" s="76">
        <v>0.94699999999999995</v>
      </c>
      <c r="DW83" s="76">
        <f t="shared" si="40"/>
        <v>92.86699999999999</v>
      </c>
      <c r="DX83" s="76">
        <f t="shared" si="41"/>
        <v>326.24099999999999</v>
      </c>
      <c r="DY83" s="23">
        <f t="shared" si="141"/>
        <v>0.22158250379377151</v>
      </c>
      <c r="DZ83" s="23">
        <f t="shared" si="42"/>
        <v>4.4451549481279284E-3</v>
      </c>
      <c r="EA83" s="23">
        <f t="shared" si="43"/>
        <v>0.15058886969468491</v>
      </c>
      <c r="EB83" s="23">
        <f t="shared" si="44"/>
        <v>1.7513385571260869E-3</v>
      </c>
      <c r="EC83" s="23">
        <f t="shared" si="45"/>
        <v>4.4098418546054952E-2</v>
      </c>
      <c r="ED83" s="23">
        <f t="shared" si="46"/>
        <v>1.8439161266308443E-2</v>
      </c>
      <c r="EE83" s="23">
        <f t="shared" si="142"/>
        <v>2.2595607814692156E-3</v>
      </c>
      <c r="EF83" s="149">
        <v>113.878</v>
      </c>
      <c r="EG83" s="322">
        <f t="shared" si="143"/>
        <v>-0.15200000000000002</v>
      </c>
      <c r="EH83" s="322">
        <f t="shared" si="144"/>
        <v>29.437512831006259</v>
      </c>
      <c r="EI83" s="324">
        <f t="shared" si="145"/>
        <v>-4.092826191622545E-2</v>
      </c>
      <c r="EJ83" s="322">
        <f t="shared" si="146"/>
        <v>4.8770714973519489</v>
      </c>
      <c r="EK83" s="322">
        <f t="shared" si="147"/>
        <v>0.87383389504092523</v>
      </c>
      <c r="EL83" s="322">
        <f t="shared" si="148"/>
        <v>0.94700000000000006</v>
      </c>
      <c r="EM83" s="330">
        <f t="shared" si="89"/>
        <v>35.942489961482913</v>
      </c>
      <c r="EN83" s="330">
        <f t="shared" si="90"/>
        <v>77.935510038517094</v>
      </c>
      <c r="EO83" s="23">
        <f t="shared" si="91"/>
        <v>0.31562277139994477</v>
      </c>
      <c r="EP83" s="258">
        <v>171.435</v>
      </c>
      <c r="EQ83" s="153">
        <f t="shared" si="92"/>
        <v>0.73220000000000007</v>
      </c>
      <c r="ER83" s="153">
        <f t="shared" si="93"/>
        <v>31.913600114641607</v>
      </c>
      <c r="ES83" s="153">
        <f t="shared" si="149"/>
        <v>1.0158108685185572</v>
      </c>
      <c r="ET83" s="153">
        <f t="shared" si="150"/>
        <v>11.0039971349763</v>
      </c>
      <c r="EU83" s="153">
        <f t="shared" si="94"/>
        <v>11.09618128621014</v>
      </c>
      <c r="EV83" s="153">
        <f t="shared" si="94"/>
        <v>1.1132857142857144</v>
      </c>
      <c r="EW83" s="153">
        <f t="shared" si="95"/>
        <v>56.875075118632324</v>
      </c>
      <c r="EX83" s="153">
        <f t="shared" si="96"/>
        <v>114.55992488136768</v>
      </c>
      <c r="EY83" s="23">
        <f t="shared" si="97"/>
        <v>0.33175883056920885</v>
      </c>
      <c r="EZ83" s="258">
        <v>57.557000000000002</v>
      </c>
      <c r="FA83" s="316">
        <f t="shared" ref="FA83:FA100" si="168">FA82+(FA$101-FA$81)/20</f>
        <v>0.8842000000000001</v>
      </c>
      <c r="FB83" s="484">
        <f t="shared" si="98"/>
        <v>2.4760872836353469</v>
      </c>
      <c r="FC83" s="483">
        <f t="shared" si="166"/>
        <v>1.0567391304347826</v>
      </c>
      <c r="FD83" s="484">
        <f t="shared" si="99"/>
        <v>6.1269256376243515</v>
      </c>
      <c r="FE83" s="316">
        <f t="shared" si="100"/>
        <v>10.222347391169215</v>
      </c>
      <c r="FF83" s="316">
        <f t="shared" si="167"/>
        <v>0.16628571428571426</v>
      </c>
      <c r="FG83" s="153">
        <f t="shared" si="101"/>
        <v>20.932585157149411</v>
      </c>
      <c r="FH83" s="153">
        <f t="shared" si="102"/>
        <v>36.624414842850591</v>
      </c>
      <c r="FI83" s="23">
        <f t="shared" si="103"/>
        <v>0.36368443729084926</v>
      </c>
      <c r="FJ83" s="23"/>
      <c r="FK83" s="448">
        <f t="shared" si="104"/>
        <v>3.3902023539128634E-2</v>
      </c>
      <c r="FL83" s="448">
        <f t="shared" si="105"/>
        <v>6.4590077872079793E-2</v>
      </c>
      <c r="FM83" s="23"/>
      <c r="FN83" s="23"/>
      <c r="FO83" s="326">
        <v>305.23</v>
      </c>
      <c r="FP83" s="483">
        <f t="shared" si="106"/>
        <v>0</v>
      </c>
      <c r="FQ83" s="322">
        <f t="shared" si="107"/>
        <v>2.0150000000000001</v>
      </c>
      <c r="FR83" s="322">
        <f t="shared" si="108"/>
        <v>33.67548716899374</v>
      </c>
      <c r="FS83" s="322">
        <f t="shared" si="109"/>
        <v>0.77492826191622544</v>
      </c>
      <c r="FT83" s="322">
        <f t="shared" si="110"/>
        <v>13.60492850264805</v>
      </c>
      <c r="FU83" s="322">
        <f t="shared" si="111"/>
        <v>6.8541661049590745</v>
      </c>
      <c r="FV83" s="322">
        <f t="shared" si="112"/>
        <v>0</v>
      </c>
      <c r="FW83" s="322">
        <f t="shared" si="113"/>
        <v>56.924510038517077</v>
      </c>
      <c r="FX83" s="322">
        <f t="shared" si="114"/>
        <v>0</v>
      </c>
      <c r="FY83" s="322">
        <f t="shared" si="115"/>
        <v>248.30548996148289</v>
      </c>
      <c r="FZ83" s="367">
        <f t="shared" si="116"/>
        <v>0.18649710067331873</v>
      </c>
      <c r="GA83" s="248">
        <f t="shared" si="117"/>
        <v>6.6015791370441961E-3</v>
      </c>
      <c r="GB83" s="248">
        <f t="shared" si="118"/>
        <v>0.11032823499981567</v>
      </c>
      <c r="GC83" s="248">
        <f t="shared" si="119"/>
        <v>2.538833869266538E-3</v>
      </c>
      <c r="GD83" s="248">
        <f t="shared" si="120"/>
        <v>4.4572710751394191E-2</v>
      </c>
      <c r="GE83" s="248">
        <f t="shared" si="121"/>
        <v>2.2455741915798164E-2</v>
      </c>
      <c r="GF83" s="248">
        <f t="shared" si="122"/>
        <v>0</v>
      </c>
      <c r="GG83" s="248">
        <f t="shared" si="123"/>
        <v>5.8855401939800621E-2</v>
      </c>
      <c r="GH83" s="23">
        <f t="shared" si="124"/>
        <v>4.7879040119064978E-2</v>
      </c>
      <c r="GI83" s="23">
        <f t="shared" si="125"/>
        <v>1.0976361820735634E-2</v>
      </c>
      <c r="GJ83" s="326">
        <v>248.923</v>
      </c>
      <c r="GK83" s="153">
        <f t="shared" si="151"/>
        <v>0</v>
      </c>
      <c r="GL83" s="153">
        <f t="shared" si="126"/>
        <v>113.878</v>
      </c>
      <c r="GM83" s="153">
        <f t="shared" si="127"/>
        <v>57.557000000000002</v>
      </c>
      <c r="GN83" s="153">
        <v>77.488</v>
      </c>
      <c r="GO83" s="153">
        <v>171.435</v>
      </c>
      <c r="GP83" s="153">
        <f t="shared" si="128"/>
        <v>171.435</v>
      </c>
      <c r="GQ83" s="295"/>
      <c r="GR83" s="153">
        <f t="shared" si="129"/>
        <v>305.23</v>
      </c>
      <c r="GS83" s="153">
        <f>FoF_RoW!$AZ53/1000</f>
        <v>533.404</v>
      </c>
      <c r="GT83" s="153">
        <f t="shared" si="15"/>
        <v>419.52600000000001</v>
      </c>
      <c r="GU83" s="23">
        <f t="shared" si="130"/>
        <v>1.3744586049864036</v>
      </c>
      <c r="GV83" s="330">
        <f>FoF_RoW!$AE53/1000</f>
        <v>23.170999999999999</v>
      </c>
      <c r="GW83" s="330">
        <f t="shared" si="16"/>
        <v>28.057999999999993</v>
      </c>
      <c r="GX83" s="153">
        <v>804.18200000000002</v>
      </c>
      <c r="GY83" s="153">
        <v>555.25900000000001</v>
      </c>
      <c r="GZ83" s="153">
        <f t="shared" si="131"/>
        <v>1.8191494938243291</v>
      </c>
      <c r="HA83" s="153">
        <f t="shared" si="22"/>
        <v>113.878</v>
      </c>
      <c r="HB83" s="153">
        <v>159.126</v>
      </c>
      <c r="HC83" s="153">
        <v>248.923</v>
      </c>
      <c r="HD83" s="186">
        <f t="shared" si="132"/>
        <v>-3.5091570291255779E-2</v>
      </c>
      <c r="HE83" s="503">
        <f t="shared" si="133"/>
        <v>-3.6307047144776075E-2</v>
      </c>
      <c r="HF83" s="663"/>
      <c r="HV83" s="186">
        <f t="shared" si="152"/>
        <v>-2.6025581720492373E-2</v>
      </c>
      <c r="HW83" s="308">
        <f t="shared" si="153"/>
        <v>8.0894313646092439E-2</v>
      </c>
      <c r="HX83" s="308">
        <f t="shared" si="154"/>
        <v>-2.1053215705195199E-3</v>
      </c>
      <c r="HY83" s="313">
        <f t="shared" si="155"/>
        <v>0</v>
      </c>
      <c r="HZ83" s="23">
        <f t="shared" si="156"/>
        <v>-5.8014042803684517E-2</v>
      </c>
      <c r="IA83" s="23">
        <f t="shared" si="157"/>
        <v>-2.2194112849631017E-2</v>
      </c>
      <c r="IB83" s="23">
        <f t="shared" si="158"/>
        <v>1.1013716978701047E-3</v>
      </c>
      <c r="IC83" s="23">
        <f t="shared" si="159"/>
        <v>-2.6556315427396865E-2</v>
      </c>
      <c r="ID83" s="23">
        <f t="shared" si="160"/>
        <v>-0.1153788511180127</v>
      </c>
      <c r="IE83" s="23" t="e">
        <f t="shared" si="161"/>
        <v>#DIV/0!</v>
      </c>
      <c r="IF83" s="23">
        <f t="shared" si="162"/>
        <v>-3.6275326425400795E-2</v>
      </c>
      <c r="IG83" s="23">
        <f t="shared" si="163"/>
        <v>-2.5588481169305777E-2</v>
      </c>
      <c r="IH83" s="23">
        <f t="shared" si="164"/>
        <v>-1.0686845256095017E-2</v>
      </c>
      <c r="II83" s="23"/>
      <c r="IJ83" s="23"/>
      <c r="IK83" s="841"/>
      <c r="IL83" s="90"/>
      <c r="IU83" s="23"/>
      <c r="IV83" s="330">
        <v>175969</v>
      </c>
      <c r="IW83" s="330"/>
      <c r="IX83" s="330">
        <f>JB83-JC83-JD83+JA83</f>
        <v>-5452</v>
      </c>
      <c r="IY83" s="330"/>
      <c r="IZ83" s="330"/>
      <c r="JA83" s="76">
        <v>9240</v>
      </c>
      <c r="JB83" s="76">
        <v>-11018</v>
      </c>
      <c r="JC83" s="76">
        <v>5141</v>
      </c>
      <c r="JD83" s="76">
        <v>-1467</v>
      </c>
      <c r="JK83" s="23"/>
      <c r="JL83" s="23"/>
      <c r="JM83" s="23"/>
    </row>
    <row r="84" spans="2:273">
      <c r="B84" s="451">
        <v>1992</v>
      </c>
      <c r="C84" s="43">
        <v>5499.7</v>
      </c>
      <c r="D84" s="5">
        <v>475.3</v>
      </c>
      <c r="E84" s="6">
        <f t="shared" si="0"/>
        <v>8.6422895794316057E-2</v>
      </c>
      <c r="F84" s="454">
        <f t="shared" si="1"/>
        <v>0</v>
      </c>
      <c r="G84" s="76">
        <f t="shared" si="2"/>
        <v>402.20000000000005</v>
      </c>
      <c r="H84" s="23">
        <f t="shared" si="3"/>
        <v>7.3131261705183928E-2</v>
      </c>
      <c r="I84" s="455">
        <v>73.099999999999994</v>
      </c>
      <c r="J84" s="460">
        <f t="shared" si="4"/>
        <v>1.3291634089132134E-2</v>
      </c>
      <c r="K84" s="6">
        <f t="shared" si="5"/>
        <v>0.15379760151483271</v>
      </c>
      <c r="L84" s="136">
        <v>78.300000000000011</v>
      </c>
      <c r="M84" s="136">
        <f t="shared" si="8"/>
        <v>5.2000000000000171</v>
      </c>
      <c r="N84" s="460">
        <f t="shared" si="6"/>
        <v>1.4237140207647693E-2</v>
      </c>
      <c r="O84" s="460">
        <f t="shared" si="9"/>
        <v>9.4550611851555852E-4</v>
      </c>
      <c r="P84" s="449">
        <f t="shared" si="10"/>
        <v>1.0940458657689917E-2</v>
      </c>
      <c r="Q84" s="5">
        <f t="shared" si="7"/>
        <v>475.3</v>
      </c>
      <c r="R84" s="169">
        <f t="shared" si="11"/>
        <v>5.2000000000000171</v>
      </c>
      <c r="S84" s="174"/>
      <c r="U84" s="76">
        <f t="shared" si="47"/>
        <v>-4.5740000000000007</v>
      </c>
      <c r="W84" s="23">
        <f t="shared" si="48"/>
        <v>-0.87961538461538191</v>
      </c>
      <c r="X84" s="182">
        <v>2.1890000000000001</v>
      </c>
      <c r="Y84" s="79">
        <f t="shared" si="49"/>
        <v>0</v>
      </c>
      <c r="Z84" s="79">
        <f t="shared" si="50"/>
        <v>-4.5740000000000007</v>
      </c>
      <c r="AA84" s="683">
        <v>7.0369999999999999</v>
      </c>
      <c r="AB84" s="683">
        <v>-11.611000000000001</v>
      </c>
      <c r="AC84" s="79">
        <f t="shared" si="51"/>
        <v>6.7629999999999999</v>
      </c>
      <c r="AD84" s="79">
        <v>9.3320000000000007</v>
      </c>
      <c r="AE84" s="79">
        <v>2.569</v>
      </c>
      <c r="AF84" s="23">
        <f t="shared" si="52"/>
        <v>2.5384783559247919</v>
      </c>
      <c r="AG84" s="23">
        <f t="shared" si="53"/>
        <v>1.963391542183884E-2</v>
      </c>
      <c r="AH84" s="450">
        <v>0.60099999999999998</v>
      </c>
      <c r="AI84" s="79">
        <f t="shared" si="54"/>
        <v>1.5880000000000001</v>
      </c>
      <c r="AJ84" s="79">
        <f t="shared" si="55"/>
        <v>0.18700000000000006</v>
      </c>
      <c r="AK84" s="79">
        <v>16.600000000000001</v>
      </c>
      <c r="AL84" s="23">
        <f t="shared" si="56"/>
        <v>0.42391566265060238</v>
      </c>
      <c r="AM84" s="182">
        <v>1.401</v>
      </c>
      <c r="AN84" s="79">
        <v>8.5000000000000006E-2</v>
      </c>
      <c r="AO84" s="79">
        <v>1.534</v>
      </c>
      <c r="AP84" s="79">
        <v>-1.7000000000000001E-2</v>
      </c>
      <c r="AQ84" s="79">
        <v>0.48199999999999998</v>
      </c>
      <c r="AR84" s="79">
        <v>-0.68100000000000005</v>
      </c>
      <c r="AS84" s="79">
        <v>-0.19400000000000001</v>
      </c>
      <c r="AT84" s="79">
        <v>-0.17699999999999999</v>
      </c>
      <c r="AU84" s="79">
        <v>-0.05</v>
      </c>
      <c r="AV84" s="79">
        <f t="shared" si="27"/>
        <v>1.353</v>
      </c>
      <c r="AW84" s="79">
        <f t="shared" si="28"/>
        <v>4.8000000000000043E-2</v>
      </c>
      <c r="AX84" s="23">
        <f t="shared" si="29"/>
        <v>6.0670949321912922E-2</v>
      </c>
      <c r="AY84" s="23">
        <f t="shared" si="30"/>
        <v>1.0949321912919343</v>
      </c>
      <c r="AZ84" s="23">
        <f t="shared" si="31"/>
        <v>-1.2134189864382585E-2</v>
      </c>
      <c r="BA84" s="23">
        <f t="shared" si="32"/>
        <v>0.34403997144896503</v>
      </c>
      <c r="BB84" s="23">
        <f t="shared" si="33"/>
        <v>-0.48608137044967881</v>
      </c>
      <c r="BC84" s="23">
        <f t="shared" si="34"/>
        <v>-0.13847251962883655</v>
      </c>
      <c r="BD84" s="23">
        <f t="shared" si="35"/>
        <v>-0.12633832976445394</v>
      </c>
      <c r="BE84" s="23">
        <f t="shared" si="36"/>
        <v>-3.5688793718772309E-2</v>
      </c>
      <c r="BF84" s="23">
        <f t="shared" si="37"/>
        <v>0.96573875802997866</v>
      </c>
      <c r="BG84" s="153">
        <v>1.5649999999999999</v>
      </c>
      <c r="BH84" s="23">
        <f t="shared" si="165"/>
        <v>1.117059243397573</v>
      </c>
      <c r="BI84" s="23">
        <f>'Assets(BoP)'!EF84</f>
        <v>0.26878275486996933</v>
      </c>
      <c r="BJ84" s="182">
        <v>-12.212</v>
      </c>
      <c r="BK84" s="79"/>
      <c r="BL84" s="79"/>
      <c r="BM84" s="79"/>
      <c r="BN84" s="79"/>
      <c r="BO84" s="79"/>
      <c r="BP84" s="79"/>
      <c r="BQ84" s="28">
        <f t="shared" si="57"/>
        <v>0</v>
      </c>
      <c r="BR84" s="23">
        <f t="shared" si="58"/>
        <v>0</v>
      </c>
      <c r="BS84" s="79"/>
      <c r="BT84" s="23">
        <f t="shared" si="59"/>
        <v>0</v>
      </c>
      <c r="BU84" s="182">
        <f t="shared" si="60"/>
        <v>-5.3620000000000001</v>
      </c>
      <c r="BV84" s="136">
        <f t="shared" si="61"/>
        <v>0</v>
      </c>
      <c r="BW84" s="153">
        <f t="shared" si="62"/>
        <v>6.1660918112393874E-2</v>
      </c>
      <c r="BX84" s="153">
        <f t="shared" si="63"/>
        <v>1.9333451484311315E-3</v>
      </c>
      <c r="BY84" s="153">
        <f t="shared" si="64"/>
        <v>-3.4768003983218214E-2</v>
      </c>
      <c r="BZ84" s="153">
        <f t="shared" si="65"/>
        <v>5.6890350300840165E-2</v>
      </c>
      <c r="CA84" s="153">
        <f t="shared" si="66"/>
        <v>-1.0425250089377751</v>
      </c>
      <c r="CB84" s="153">
        <f t="shared" si="67"/>
        <v>-8.7001386274298834E-2</v>
      </c>
      <c r="CC84" s="153">
        <f t="shared" si="68"/>
        <v>-1.043809785633627</v>
      </c>
      <c r="CD84" s="153">
        <f t="shared" si="69"/>
        <v>-4.5849515663904787</v>
      </c>
      <c r="CE84" s="23">
        <f t="shared" si="70"/>
        <v>-1.1499611733008928E-2</v>
      </c>
      <c r="CF84" s="23">
        <f t="shared" si="71"/>
        <v>-3.6056418284802899E-4</v>
      </c>
      <c r="CG84" s="23">
        <f t="shared" si="72"/>
        <v>6.4841484489403609E-3</v>
      </c>
      <c r="CH84" s="23">
        <f t="shared" si="73"/>
        <v>-1.0609912402245462E-2</v>
      </c>
      <c r="CI84" s="23">
        <f t="shared" si="74"/>
        <v>0.19442838659786929</v>
      </c>
      <c r="CJ84" s="23">
        <f t="shared" si="75"/>
        <v>1.6225547608037828E-2</v>
      </c>
      <c r="CK84" s="23">
        <f t="shared" si="76"/>
        <v>0.19466799433674506</v>
      </c>
      <c r="CL84" s="23">
        <f t="shared" si="77"/>
        <v>0.80533200566325491</v>
      </c>
      <c r="CM84" s="23">
        <f t="shared" si="78"/>
        <v>2.1297571440165742E-3</v>
      </c>
      <c r="CN84" s="23">
        <f t="shared" si="79"/>
        <v>8.8107015136733424E-3</v>
      </c>
      <c r="CO84" s="23">
        <f t="shared" si="80"/>
        <v>1.8405977972454457E-4</v>
      </c>
      <c r="CP84" s="448">
        <f t="shared" si="81"/>
        <v>0</v>
      </c>
      <c r="CQ84" s="448">
        <f t="shared" si="82"/>
        <v>1.8405977972454457E-4</v>
      </c>
      <c r="CR84" s="23">
        <f t="shared" si="83"/>
        <v>7.6144633879101406E-4</v>
      </c>
      <c r="CS84" s="326">
        <v>6.7629999999999999</v>
      </c>
      <c r="CT84" s="153">
        <v>2.569</v>
      </c>
      <c r="CU84" s="153">
        <v>9.3320000000000007</v>
      </c>
      <c r="CV84" s="384">
        <f t="shared" si="134"/>
        <v>2.3339081887606132E-2</v>
      </c>
      <c r="CW84" s="384">
        <f t="shared" si="135"/>
        <v>1.5320666548515689</v>
      </c>
      <c r="CX84" s="384">
        <f t="shared" si="136"/>
        <v>1.7768003983218213E-2</v>
      </c>
      <c r="CY84" s="384">
        <f t="shared" si="137"/>
        <v>0.42510964969915982</v>
      </c>
      <c r="CZ84" s="384">
        <f t="shared" si="138"/>
        <v>0.36152500893777512</v>
      </c>
      <c r="DA84" s="153">
        <f t="shared" si="139"/>
        <v>3.7001386274298831E-2</v>
      </c>
      <c r="DB84" s="153">
        <f t="shared" si="85"/>
        <v>2.3968097856336268</v>
      </c>
      <c r="DC84" s="153">
        <f t="shared" si="86"/>
        <v>4.6329515663904788</v>
      </c>
      <c r="DD84" s="153">
        <f t="shared" si="87"/>
        <v>-0.26676135202410567</v>
      </c>
      <c r="DE84" s="23">
        <f t="shared" si="88"/>
        <v>0.35440038232051263</v>
      </c>
      <c r="DF84" s="149">
        <v>-0.20200000000000001</v>
      </c>
      <c r="DG84" s="153">
        <v>0.16300000000000001</v>
      </c>
      <c r="DH84" s="153">
        <v>-0.30399999999999999</v>
      </c>
      <c r="DI84" s="153">
        <v>-3.7999999999999999E-2</v>
      </c>
      <c r="DJ84" s="153">
        <v>0.996</v>
      </c>
      <c r="DK84" s="153">
        <v>2.0840000000000001</v>
      </c>
      <c r="DL84" s="153">
        <v>-0.29399999999999998</v>
      </c>
      <c r="DM84" s="153">
        <f t="shared" si="38"/>
        <v>2.6069999999999998</v>
      </c>
      <c r="DN84" s="153">
        <f t="shared" si="39"/>
        <v>-2.8089999999999997</v>
      </c>
      <c r="DO84" s="258">
        <f t="shared" si="140"/>
        <v>1.3029999999999973</v>
      </c>
      <c r="DP84" s="5">
        <v>423.13099999999997</v>
      </c>
      <c r="DQ84" s="76">
        <v>1.8180000000000001</v>
      </c>
      <c r="DR84" s="76">
        <v>69.106999999999999</v>
      </c>
      <c r="DS84" s="76">
        <v>0.67700000000000005</v>
      </c>
      <c r="DT84" s="76">
        <v>19.646000000000001</v>
      </c>
      <c r="DU84" s="76">
        <v>11.756</v>
      </c>
      <c r="DV84" s="76">
        <v>0.77100000000000002</v>
      </c>
      <c r="DW84" s="76">
        <f t="shared" si="40"/>
        <v>103.77499999999999</v>
      </c>
      <c r="DX84" s="76">
        <f t="shared" si="41"/>
        <v>319.35599999999999</v>
      </c>
      <c r="DY84" s="23">
        <f t="shared" si="141"/>
        <v>0.24525501558618962</v>
      </c>
      <c r="DZ84" s="23">
        <f t="shared" si="42"/>
        <v>4.296541732938499E-3</v>
      </c>
      <c r="EA84" s="23">
        <f t="shared" si="43"/>
        <v>0.16332294254025351</v>
      </c>
      <c r="EB84" s="23">
        <f t="shared" si="44"/>
        <v>1.5999773119908494E-3</v>
      </c>
      <c r="EC84" s="23">
        <f t="shared" si="45"/>
        <v>4.6430065393459716E-2</v>
      </c>
      <c r="ED84" s="23">
        <f t="shared" si="46"/>
        <v>2.7783357872621012E-2</v>
      </c>
      <c r="EE84" s="23">
        <f t="shared" si="142"/>
        <v>1.8221307349260633E-3</v>
      </c>
      <c r="EF84" s="149">
        <v>115.181</v>
      </c>
      <c r="EG84" s="322">
        <f t="shared" si="143"/>
        <v>1.0999999999999982E-2</v>
      </c>
      <c r="EH84" s="322">
        <f t="shared" si="144"/>
        <v>29.133512831006261</v>
      </c>
      <c r="EI84" s="324">
        <f t="shared" si="145"/>
        <v>-7.8928261916225456E-2</v>
      </c>
      <c r="EJ84" s="322">
        <f t="shared" si="146"/>
        <v>5.8730714973519493</v>
      </c>
      <c r="EK84" s="322">
        <f t="shared" si="147"/>
        <v>2.9578338950409253</v>
      </c>
      <c r="EL84" s="322">
        <f t="shared" si="148"/>
        <v>0.65300000000000002</v>
      </c>
      <c r="EM84" s="330">
        <f t="shared" si="89"/>
        <v>38.549489961482912</v>
      </c>
      <c r="EN84" s="330">
        <f t="shared" si="90"/>
        <v>76.631510038517092</v>
      </c>
      <c r="EO84" s="23">
        <f t="shared" si="91"/>
        <v>0.33468618922810978</v>
      </c>
      <c r="EP84" s="258">
        <v>183.58500000000001</v>
      </c>
      <c r="EQ84" s="153">
        <f t="shared" si="92"/>
        <v>1.3373000000000002</v>
      </c>
      <c r="ER84" s="153">
        <f t="shared" si="93"/>
        <v>32.111628873318672</v>
      </c>
      <c r="ES84" s="153">
        <f t="shared" si="149"/>
        <v>1.1891586946055137</v>
      </c>
      <c r="ET84" s="153">
        <f t="shared" si="150"/>
        <v>13.242236410098817</v>
      </c>
      <c r="EU84" s="153">
        <f t="shared" si="94"/>
        <v>15.252770732257398</v>
      </c>
      <c r="EV84" s="153">
        <f t="shared" si="94"/>
        <v>0.87471428571428578</v>
      </c>
      <c r="EW84" s="153">
        <f t="shared" si="95"/>
        <v>64.007808995994694</v>
      </c>
      <c r="EX84" s="153">
        <f t="shared" si="96"/>
        <v>119.57719100400531</v>
      </c>
      <c r="EY84" s="23">
        <f t="shared" si="97"/>
        <v>0.34865489553065171</v>
      </c>
      <c r="EZ84" s="258">
        <v>68.403999999999996</v>
      </c>
      <c r="FA84" s="316">
        <f t="shared" si="168"/>
        <v>1.3263000000000003</v>
      </c>
      <c r="FB84" s="484">
        <f t="shared" si="98"/>
        <v>2.9781160423124144</v>
      </c>
      <c r="FC84" s="483">
        <f t="shared" si="166"/>
        <v>1.2680869565217392</v>
      </c>
      <c r="FD84" s="484">
        <f t="shared" si="99"/>
        <v>7.3691649127468679</v>
      </c>
      <c r="FE84" s="316">
        <f t="shared" si="100"/>
        <v>12.294936837216472</v>
      </c>
      <c r="FF84" s="316">
        <f t="shared" si="167"/>
        <v>0.2217142857142857</v>
      </c>
      <c r="FG84" s="153">
        <f t="shared" si="101"/>
        <v>25.458319034511778</v>
      </c>
      <c r="FH84" s="153">
        <f t="shared" si="102"/>
        <v>42.945680965488222</v>
      </c>
      <c r="FI84" s="23">
        <f t="shared" si="103"/>
        <v>0.37217588203192475</v>
      </c>
      <c r="FJ84" s="23"/>
      <c r="FK84" s="448">
        <f t="shared" si="104"/>
        <v>3.3656491549849336E-2</v>
      </c>
      <c r="FL84" s="448">
        <f t="shared" si="105"/>
        <v>5.0832039654655881E-2</v>
      </c>
      <c r="FM84" s="23"/>
      <c r="FN84" s="23"/>
      <c r="FO84" s="326">
        <v>307.95</v>
      </c>
      <c r="FP84" s="483">
        <f t="shared" si="106"/>
        <v>0</v>
      </c>
      <c r="FQ84" s="322">
        <f t="shared" si="107"/>
        <v>1.8070000000000002</v>
      </c>
      <c r="FR84" s="322">
        <f t="shared" si="108"/>
        <v>39.973487168993742</v>
      </c>
      <c r="FS84" s="322">
        <f t="shared" si="109"/>
        <v>0.75592826191622553</v>
      </c>
      <c r="FT84" s="322">
        <f t="shared" si="110"/>
        <v>13.772928502648051</v>
      </c>
      <c r="FU84" s="322">
        <f t="shared" si="111"/>
        <v>8.7981661049590745</v>
      </c>
      <c r="FV84" s="322">
        <f t="shared" si="112"/>
        <v>0.11799999999999999</v>
      </c>
      <c r="FW84" s="322">
        <f t="shared" si="113"/>
        <v>65.225510038517086</v>
      </c>
      <c r="FX84" s="322">
        <f t="shared" si="114"/>
        <v>0</v>
      </c>
      <c r="FY84" s="322">
        <f t="shared" si="115"/>
        <v>242.7244899614829</v>
      </c>
      <c r="FZ84" s="367">
        <f t="shared" si="116"/>
        <v>0.21180552050176032</v>
      </c>
      <c r="GA84" s="248">
        <f t="shared" si="117"/>
        <v>5.8678356876116257E-3</v>
      </c>
      <c r="GB84" s="248">
        <f t="shared" si="118"/>
        <v>0.12980512150996507</v>
      </c>
      <c r="GC84" s="248">
        <f t="shared" si="119"/>
        <v>2.4547110307394887E-3</v>
      </c>
      <c r="GD84" s="248">
        <f t="shared" si="120"/>
        <v>4.4724560813924508E-2</v>
      </c>
      <c r="GE84" s="248">
        <f t="shared" si="121"/>
        <v>2.8570112372005439E-2</v>
      </c>
      <c r="GF84" s="248">
        <f t="shared" si="122"/>
        <v>3.8317908751420686E-4</v>
      </c>
      <c r="GG84" s="248">
        <f t="shared" si="123"/>
        <v>5.599396330708948E-2</v>
      </c>
      <c r="GH84" s="23">
        <f t="shared" si="124"/>
        <v>4.4134132763874921E-2</v>
      </c>
      <c r="GI84" s="23">
        <f t="shared" si="125"/>
        <v>1.1859830543214555E-2</v>
      </c>
      <c r="GJ84" s="326">
        <v>259.91500000000002</v>
      </c>
      <c r="GK84" s="153">
        <f t="shared" si="151"/>
        <v>0</v>
      </c>
      <c r="GL84" s="153">
        <f t="shared" si="126"/>
        <v>115.181</v>
      </c>
      <c r="GM84" s="153">
        <f t="shared" si="127"/>
        <v>68.403999999999996</v>
      </c>
      <c r="GN84" s="153">
        <v>76.33</v>
      </c>
      <c r="GO84" s="153">
        <v>183.58500000000001</v>
      </c>
      <c r="GP84" s="153">
        <f t="shared" si="128"/>
        <v>183.58500000000001</v>
      </c>
      <c r="GQ84" s="295"/>
      <c r="GR84" s="153">
        <f t="shared" si="129"/>
        <v>307.95</v>
      </c>
      <c r="GS84" s="153">
        <f>FoF_RoW!$AZ54/1000</f>
        <v>540.27</v>
      </c>
      <c r="GT84" s="153">
        <f t="shared" si="15"/>
        <v>425.089</v>
      </c>
      <c r="GU84" s="23">
        <f t="shared" si="130"/>
        <v>1.3803831790875143</v>
      </c>
      <c r="GV84" s="330">
        <f>FoF_RoW!$AE54/1000</f>
        <v>19.823</v>
      </c>
      <c r="GW84" s="330">
        <f t="shared" si="16"/>
        <v>6.8659999999999854</v>
      </c>
      <c r="GX84" s="153">
        <v>840.91200000000003</v>
      </c>
      <c r="GY84" s="153">
        <v>580.99699999999996</v>
      </c>
      <c r="GZ84" s="153">
        <f t="shared" si="131"/>
        <v>1.8866601721058613</v>
      </c>
      <c r="HA84" s="153">
        <f t="shared" si="22"/>
        <v>115.181</v>
      </c>
      <c r="HB84" s="153">
        <v>181.15199999999999</v>
      </c>
      <c r="HC84" s="153">
        <v>259.91500000000002</v>
      </c>
      <c r="HD84" s="186">
        <f t="shared" si="132"/>
        <v>-1.4853060561779513E-2</v>
      </c>
      <c r="HE84" s="503">
        <f t="shared" si="133"/>
        <v>-1.6804676083779838E-2</v>
      </c>
      <c r="HF84" s="663"/>
      <c r="HV84" s="186">
        <f t="shared" si="152"/>
        <v>-1.1021535196961849E-2</v>
      </c>
      <c r="HW84" s="308">
        <f t="shared" si="153"/>
        <v>7.7293125079549801E-2</v>
      </c>
      <c r="HX84" s="308">
        <f t="shared" si="154"/>
        <v>-8.5188889854743261E-4</v>
      </c>
      <c r="HY84" s="313">
        <f t="shared" si="155"/>
        <v>0</v>
      </c>
      <c r="HZ84" s="23">
        <f t="shared" si="156"/>
        <v>2.1599680395676085E-2</v>
      </c>
      <c r="IA84" s="23">
        <f t="shared" si="157"/>
        <v>3.0614900134878413E-5</v>
      </c>
      <c r="IB84" s="23">
        <f t="shared" si="158"/>
        <v>-2.9113516604352664E-2</v>
      </c>
      <c r="IC84" s="23">
        <f t="shared" si="159"/>
        <v>2.6146153444534925E-3</v>
      </c>
      <c r="ID84" s="23">
        <f t="shared" si="160"/>
        <v>-7.5004930966832722E-2</v>
      </c>
      <c r="IE84" s="23">
        <f t="shared" si="161"/>
        <v>-0.46670199360850734</v>
      </c>
      <c r="IF84" s="23">
        <f t="shared" si="162"/>
        <v>-1.0129765013780996E-2</v>
      </c>
      <c r="IG84" s="23">
        <f t="shared" si="163"/>
        <v>-1.1956846277992254E-2</v>
      </c>
      <c r="IH84" s="23">
        <f t="shared" si="164"/>
        <v>1.8270812642112583E-3</v>
      </c>
      <c r="II84" s="23"/>
      <c r="IJ84" s="23"/>
      <c r="IK84" s="848">
        <v>854</v>
      </c>
      <c r="IL84" s="332"/>
      <c r="IM84" s="330">
        <v>147623</v>
      </c>
      <c r="IN84" s="330"/>
      <c r="IP84" s="76">
        <v>7335</v>
      </c>
      <c r="IQ84" s="76">
        <v>-15001</v>
      </c>
      <c r="IR84" s="76"/>
      <c r="IS84" s="76"/>
      <c r="IT84" s="76"/>
      <c r="IU84" s="23"/>
      <c r="IV84" s="330">
        <v>182079</v>
      </c>
      <c r="IW84" s="330"/>
      <c r="IX84" s="330">
        <v>2914</v>
      </c>
      <c r="IY84" s="330"/>
      <c r="IZ84" s="330">
        <v>13730</v>
      </c>
      <c r="JA84" s="76">
        <v>8271</v>
      </c>
      <c r="JB84" s="76">
        <v>-21331</v>
      </c>
      <c r="JC84" s="76">
        <v>4383</v>
      </c>
      <c r="JD84" s="76">
        <v>-17783</v>
      </c>
      <c r="JE84" s="312"/>
      <c r="JK84" s="23">
        <f t="shared" ref="JK84:JK93" si="169">(IX84+IZ84)/(IX84+IV84+IZ84)</f>
        <v>8.375477423348078E-2</v>
      </c>
      <c r="JL84" s="23">
        <f t="shared" ref="JL84:JL93" si="170">IX84/IV84</f>
        <v>1.6004042201462003E-2</v>
      </c>
      <c r="JM84" s="655">
        <f t="shared" ref="JM84:JM93" si="171">JK84/(1-JK84)*(1-IZ84/(IZ84+IX84))-JL84</f>
        <v>0</v>
      </c>
    </row>
    <row r="85" spans="2:273">
      <c r="B85" s="451">
        <v>1993</v>
      </c>
      <c r="C85" s="43">
        <v>5754.8</v>
      </c>
      <c r="D85" s="5">
        <v>522</v>
      </c>
      <c r="E85" s="6">
        <f t="shared" ref="E85:E108" si="172">D85/C85</f>
        <v>9.0706888162924854E-2</v>
      </c>
      <c r="F85" s="454">
        <f t="shared" ref="F85:F108" si="173">D85-(G85+I85)</f>
        <v>0</v>
      </c>
      <c r="G85" s="76">
        <f t="shared" ref="G85:G108" si="174">D85-I85</f>
        <v>445.1</v>
      </c>
      <c r="H85" s="23">
        <f t="shared" ref="H85:H108" si="175">G85/C85</f>
        <v>7.7344130117467158E-2</v>
      </c>
      <c r="I85" s="455">
        <v>76.900000000000006</v>
      </c>
      <c r="J85" s="460">
        <f t="shared" ref="J85:J108" si="176">I85/C85</f>
        <v>1.3362758045457706E-2</v>
      </c>
      <c r="K85" s="6">
        <f t="shared" ref="K85:K108" si="177">I85/D85</f>
        <v>0.14731800766283526</v>
      </c>
      <c r="L85" s="136">
        <v>89</v>
      </c>
      <c r="M85" s="136">
        <f t="shared" si="8"/>
        <v>12.099999999999994</v>
      </c>
      <c r="N85" s="460">
        <f t="shared" ref="N85:N108" si="178">L85/C85</f>
        <v>1.5465350663793702E-2</v>
      </c>
      <c r="O85" s="460">
        <f t="shared" si="9"/>
        <v>2.1025926183359969E-3</v>
      </c>
      <c r="P85" s="449">
        <f t="shared" si="10"/>
        <v>2.3180076628352479E-2</v>
      </c>
      <c r="Q85" s="5">
        <f t="shared" ref="Q85:Q108" si="179">D85</f>
        <v>522</v>
      </c>
      <c r="R85" s="169">
        <f t="shared" si="11"/>
        <v>12.099999999999994</v>
      </c>
      <c r="S85" s="174"/>
      <c r="U85" s="76">
        <f t="shared" si="47"/>
        <v>1.8140000000000001</v>
      </c>
      <c r="W85" s="23">
        <f t="shared" si="48"/>
        <v>0.1499173553719009</v>
      </c>
      <c r="X85" s="182">
        <v>7.9420000000000002</v>
      </c>
      <c r="Y85" s="79">
        <f t="shared" si="49"/>
        <v>-1.9999999999997797E-3</v>
      </c>
      <c r="Z85" s="79">
        <f t="shared" si="50"/>
        <v>1.8140000000000001</v>
      </c>
      <c r="AA85" s="683">
        <v>8.875</v>
      </c>
      <c r="AB85" s="683">
        <v>-7.0609999999999999</v>
      </c>
      <c r="AC85" s="79">
        <f t="shared" si="51"/>
        <v>6.13</v>
      </c>
      <c r="AD85" s="79">
        <v>9.1020000000000003</v>
      </c>
      <c r="AE85" s="79">
        <v>2.972</v>
      </c>
      <c r="AF85" s="23">
        <f t="shared" si="52"/>
        <v>-3.8925027563395811</v>
      </c>
      <c r="AG85" s="23">
        <f t="shared" si="53"/>
        <v>1.7436781609195404E-2</v>
      </c>
      <c r="AH85" s="450">
        <v>0.69899999999999995</v>
      </c>
      <c r="AI85" s="79">
        <f t="shared" si="54"/>
        <v>7.2430000000000003</v>
      </c>
      <c r="AJ85" s="79">
        <f t="shared" si="55"/>
        <v>0.1720000000000006</v>
      </c>
      <c r="AK85" s="79">
        <v>18.899999999999999</v>
      </c>
      <c r="AL85" s="23">
        <f t="shared" si="56"/>
        <v>0.46957671957671959</v>
      </c>
      <c r="AM85" s="182">
        <v>7.0709999999999997</v>
      </c>
      <c r="AN85" s="79">
        <v>9.2999999999999999E-2</v>
      </c>
      <c r="AO85" s="79">
        <v>1.9870000000000001</v>
      </c>
      <c r="AP85" s="79">
        <v>3.5999999999999997E-2</v>
      </c>
      <c r="AQ85" s="79">
        <v>0.88900000000000001</v>
      </c>
      <c r="AR85" s="79">
        <v>-0.02</v>
      </c>
      <c r="AS85" s="79">
        <v>-0.254</v>
      </c>
      <c r="AT85" s="79">
        <v>0.34200000000000003</v>
      </c>
      <c r="AU85" s="79">
        <v>0</v>
      </c>
      <c r="AV85" s="79">
        <f t="shared" si="27"/>
        <v>2.9849999999999999</v>
      </c>
      <c r="AW85" s="79">
        <f t="shared" si="28"/>
        <v>4.0860000000000003</v>
      </c>
      <c r="AX85" s="23">
        <f t="shared" si="29"/>
        <v>1.3152312261349173E-2</v>
      </c>
      <c r="AY85" s="23">
        <f t="shared" si="30"/>
        <v>0.28100692971291191</v>
      </c>
      <c r="AZ85" s="23">
        <f t="shared" si="31"/>
        <v>5.0912176495545181E-3</v>
      </c>
      <c r="BA85" s="23">
        <f t="shared" si="32"/>
        <v>0.12572479140149909</v>
      </c>
      <c r="BB85" s="23">
        <f t="shared" si="33"/>
        <v>-2.8284542497525106E-3</v>
      </c>
      <c r="BC85" s="23">
        <f t="shared" si="34"/>
        <v>-3.5921368971856882E-2</v>
      </c>
      <c r="BD85" s="23">
        <f t="shared" si="35"/>
        <v>4.8366567670767933E-2</v>
      </c>
      <c r="BE85" s="23">
        <f t="shared" si="36"/>
        <v>0</v>
      </c>
      <c r="BF85" s="23">
        <f t="shared" si="37"/>
        <v>0.42214679677556222</v>
      </c>
      <c r="BG85" s="153">
        <v>4.8520000000000003</v>
      </c>
      <c r="BH85" s="23">
        <f t="shared" si="165"/>
        <v>0.6861830009899591</v>
      </c>
      <c r="BI85" s="23">
        <f>'Assets(BoP)'!EF85</f>
        <v>0.33382731850255132</v>
      </c>
      <c r="BJ85" s="182">
        <v>-7.76</v>
      </c>
      <c r="BK85" s="79"/>
      <c r="BL85" s="79"/>
      <c r="BM85" s="79"/>
      <c r="BN85" s="79"/>
      <c r="BO85" s="79"/>
      <c r="BP85" s="79"/>
      <c r="BQ85" s="28">
        <f t="shared" si="57"/>
        <v>0</v>
      </c>
      <c r="BR85" s="23">
        <f t="shared" si="58"/>
        <v>0</v>
      </c>
      <c r="BS85" s="79"/>
      <c r="BT85" s="23">
        <f t="shared" si="59"/>
        <v>0</v>
      </c>
      <c r="BU85" s="182">
        <f t="shared" si="60"/>
        <v>0.94099999999999984</v>
      </c>
      <c r="BV85" s="136">
        <f t="shared" si="61"/>
        <v>-1.9999999999997797E-3</v>
      </c>
      <c r="BW85" s="153">
        <f t="shared" si="62"/>
        <v>-3.6465493576467084E-2</v>
      </c>
      <c r="BX85" s="153">
        <f t="shared" si="63"/>
        <v>0.53703582509434344</v>
      </c>
      <c r="BY85" s="153">
        <f t="shared" si="64"/>
        <v>2.7656377591439851E-2</v>
      </c>
      <c r="BZ85" s="153">
        <f t="shared" si="65"/>
        <v>0.54446508804606164</v>
      </c>
      <c r="CA85" s="153">
        <f t="shared" si="66"/>
        <v>-0.39147796440724908</v>
      </c>
      <c r="CB85" s="153">
        <f t="shared" si="67"/>
        <v>-1.1384677678494897E-2</v>
      </c>
      <c r="CC85" s="153">
        <f t="shared" si="68"/>
        <v>0.66982915506963403</v>
      </c>
      <c r="CD85" s="153">
        <f t="shared" si="69"/>
        <v>-0.34252524797880124</v>
      </c>
      <c r="CE85" s="23">
        <f t="shared" si="70"/>
        <v>-3.8751852897414549E-2</v>
      </c>
      <c r="CF85" s="23">
        <f t="shared" si="71"/>
        <v>0.57070757183245857</v>
      </c>
      <c r="CG85" s="23">
        <f t="shared" si="72"/>
        <v>2.9390411893134811E-2</v>
      </c>
      <c r="CH85" s="23">
        <f t="shared" si="73"/>
        <v>0.57860264404469897</v>
      </c>
      <c r="CI85" s="23">
        <f t="shared" si="74"/>
        <v>-0.41602334155924459</v>
      </c>
      <c r="CJ85" s="23">
        <f t="shared" si="75"/>
        <v>-1.2098488499994578E-2</v>
      </c>
      <c r="CK85" s="23">
        <f t="shared" si="76"/>
        <v>0.71182694481363862</v>
      </c>
      <c r="CL85" s="23">
        <f t="shared" si="77"/>
        <v>0.28817305518636138</v>
      </c>
      <c r="CM85" s="23">
        <f t="shared" si="78"/>
        <v>1.6500203126906175E-2</v>
      </c>
      <c r="CN85" s="23">
        <f t="shared" si="79"/>
        <v>6.6798735014463049E-3</v>
      </c>
      <c r="CO85" s="23">
        <f t="shared" si="80"/>
        <v>1.4966820796978213E-3</v>
      </c>
      <c r="CP85" s="448">
        <f t="shared" si="81"/>
        <v>0</v>
      </c>
      <c r="CQ85" s="448">
        <f t="shared" si="82"/>
        <v>1.4966820796978213E-3</v>
      </c>
      <c r="CR85" s="23">
        <f t="shared" si="83"/>
        <v>6.0591053863817527E-4</v>
      </c>
      <c r="CS85" s="326">
        <v>6.13</v>
      </c>
      <c r="CT85" s="153">
        <v>2.972</v>
      </c>
      <c r="CU85" s="153">
        <v>9.1020000000000003</v>
      </c>
      <c r="CV85" s="384">
        <f t="shared" si="134"/>
        <v>0.12946549357646708</v>
      </c>
      <c r="CW85" s="384">
        <f t="shared" si="135"/>
        <v>1.4499641749056567</v>
      </c>
      <c r="CX85" s="384">
        <f t="shared" si="136"/>
        <v>8.343622408560146E-3</v>
      </c>
      <c r="CY85" s="384">
        <f t="shared" si="137"/>
        <v>0.34453491195393837</v>
      </c>
      <c r="CZ85" s="384">
        <f t="shared" si="138"/>
        <v>0.37147796440724906</v>
      </c>
      <c r="DA85" s="153">
        <f t="shared" si="139"/>
        <v>1.1384677678494897E-2</v>
      </c>
      <c r="DB85" s="153">
        <f t="shared" si="85"/>
        <v>2.3151708449303663</v>
      </c>
      <c r="DC85" s="153">
        <f t="shared" si="86"/>
        <v>4.4285252479788015</v>
      </c>
      <c r="DD85" s="153">
        <f t="shared" si="87"/>
        <v>-0.61369609290916793</v>
      </c>
      <c r="DE85" s="23">
        <f t="shared" si="88"/>
        <v>0.37767876752534524</v>
      </c>
      <c r="DF85" s="149">
        <v>28.75</v>
      </c>
      <c r="DG85" s="153">
        <v>2.6680000000000001</v>
      </c>
      <c r="DH85" s="153">
        <v>3.47</v>
      </c>
      <c r="DI85" s="153">
        <v>4.2999999999999997E-2</v>
      </c>
      <c r="DJ85" s="153">
        <v>0.92200000000000004</v>
      </c>
      <c r="DK85" s="153">
        <v>3.7469999999999999</v>
      </c>
      <c r="DL85" s="153">
        <v>-0.436</v>
      </c>
      <c r="DM85" s="153">
        <f t="shared" si="38"/>
        <v>10.414</v>
      </c>
      <c r="DN85" s="153">
        <f t="shared" si="39"/>
        <v>18.335999999999999</v>
      </c>
      <c r="DO85" s="258">
        <f t="shared" si="140"/>
        <v>28.750000000000014</v>
      </c>
      <c r="DP85" s="5">
        <v>467.41199999999998</v>
      </c>
      <c r="DQ85" s="76">
        <v>4.7709999999999999</v>
      </c>
      <c r="DR85" s="76">
        <v>72.893000000000001</v>
      </c>
      <c r="DS85" s="76">
        <v>1.1830000000000001</v>
      </c>
      <c r="DT85" s="76">
        <v>21.681000000000001</v>
      </c>
      <c r="DU85" s="76">
        <v>15.388999999999999</v>
      </c>
      <c r="DV85" s="76">
        <v>0.45</v>
      </c>
      <c r="DW85" s="76">
        <f t="shared" si="40"/>
        <v>116.367</v>
      </c>
      <c r="DX85" s="76">
        <f t="shared" si="41"/>
        <v>351.04499999999996</v>
      </c>
      <c r="DY85" s="23">
        <f t="shared" si="141"/>
        <v>0.24896023208646764</v>
      </c>
      <c r="DZ85" s="23">
        <f t="shared" si="42"/>
        <v>1.020726896185806E-2</v>
      </c>
      <c r="EA85" s="23">
        <f t="shared" si="43"/>
        <v>0.15595021094879893</v>
      </c>
      <c r="EB85" s="23">
        <f t="shared" si="44"/>
        <v>2.5309576989893286E-3</v>
      </c>
      <c r="EC85" s="23">
        <f t="shared" si="45"/>
        <v>4.6385201920361482E-2</v>
      </c>
      <c r="ED85" s="23">
        <f t="shared" si="46"/>
        <v>3.2923844488374279E-2</v>
      </c>
      <c r="EE85" s="23">
        <f t="shared" si="142"/>
        <v>9.6274806808554342E-4</v>
      </c>
      <c r="EF85" s="149">
        <v>143.93100000000001</v>
      </c>
      <c r="EG85" s="322">
        <f t="shared" si="143"/>
        <v>2.6790000000000003</v>
      </c>
      <c r="EH85" s="322">
        <f t="shared" si="144"/>
        <v>32.603512831006263</v>
      </c>
      <c r="EI85" s="324">
        <f t="shared" si="145"/>
        <v>-3.592826191622546E-2</v>
      </c>
      <c r="EJ85" s="322">
        <f t="shared" si="146"/>
        <v>6.795071497351949</v>
      </c>
      <c r="EK85" s="322">
        <f t="shared" si="147"/>
        <v>6.7048338950409256</v>
      </c>
      <c r="EL85" s="322">
        <f t="shared" si="148"/>
        <v>0.21700000000000003</v>
      </c>
      <c r="EM85" s="330">
        <f t="shared" si="89"/>
        <v>48.963489961482914</v>
      </c>
      <c r="EN85" s="330">
        <f t="shared" si="90"/>
        <v>94.967510038517105</v>
      </c>
      <c r="EO85" s="23">
        <f t="shared" si="91"/>
        <v>0.34018724223053343</v>
      </c>
      <c r="EP85" s="258">
        <v>207.33699999999999</v>
      </c>
      <c r="EQ85" s="153">
        <f t="shared" si="92"/>
        <v>4.4474</v>
      </c>
      <c r="ER85" s="153">
        <f t="shared" si="93"/>
        <v>35.389857717527647</v>
      </c>
      <c r="ES85" s="153">
        <f t="shared" si="149"/>
        <v>1.4435065206924702</v>
      </c>
      <c r="ET85" s="153">
        <f t="shared" si="150"/>
        <v>13.689710484159786</v>
      </c>
      <c r="EU85" s="153">
        <f t="shared" si="94"/>
        <v>18.208057375842998</v>
      </c>
      <c r="EV85" s="153">
        <f t="shared" si="94"/>
        <v>0.49414285714285716</v>
      </c>
      <c r="EW85" s="153">
        <f t="shared" si="95"/>
        <v>73.672674955365764</v>
      </c>
      <c r="EX85" s="153">
        <f t="shared" si="96"/>
        <v>133.66432504463421</v>
      </c>
      <c r="EY85" s="23">
        <f t="shared" si="97"/>
        <v>0.35532816118380112</v>
      </c>
      <c r="EZ85" s="258">
        <v>63.405999999999999</v>
      </c>
      <c r="FA85" s="316">
        <f t="shared" si="168"/>
        <v>1.7684000000000002</v>
      </c>
      <c r="FB85" s="484">
        <f t="shared" si="98"/>
        <v>2.7863448865213831</v>
      </c>
      <c r="FC85" s="483">
        <f t="shared" si="166"/>
        <v>1.4794347826086958</v>
      </c>
      <c r="FD85" s="484">
        <f t="shared" si="99"/>
        <v>6.8946389868078368</v>
      </c>
      <c r="FE85" s="316">
        <f t="shared" si="100"/>
        <v>11.503223480802072</v>
      </c>
      <c r="FF85" s="316">
        <f t="shared" si="167"/>
        <v>0.27714285714285714</v>
      </c>
      <c r="FG85" s="153">
        <f t="shared" si="101"/>
        <v>24.709184993882843</v>
      </c>
      <c r="FH85" s="153">
        <f t="shared" si="102"/>
        <v>38.696815006117156</v>
      </c>
      <c r="FI85" s="23">
        <f t="shared" si="103"/>
        <v>0.3896978991559607</v>
      </c>
      <c r="FJ85" s="23"/>
      <c r="FK85" s="448">
        <f t="shared" si="104"/>
        <v>3.7193702600555649E-2</v>
      </c>
      <c r="FL85" s="448">
        <f t="shared" si="105"/>
        <v>4.3899545184892232E-2</v>
      </c>
      <c r="FM85" s="23"/>
      <c r="FN85" s="23"/>
      <c r="FO85" s="326">
        <v>323.48200000000003</v>
      </c>
      <c r="FP85" s="483">
        <f t="shared" si="106"/>
        <v>1.0000000000331966E-3</v>
      </c>
      <c r="FQ85" s="322">
        <f t="shared" si="107"/>
        <v>2.0919999999999996</v>
      </c>
      <c r="FR85" s="322">
        <f t="shared" si="108"/>
        <v>40.289487168993737</v>
      </c>
      <c r="FS85" s="322">
        <f t="shared" si="109"/>
        <v>1.2189282619162256</v>
      </c>
      <c r="FT85" s="322">
        <f t="shared" si="110"/>
        <v>14.885928502648053</v>
      </c>
      <c r="FU85" s="322">
        <f t="shared" si="111"/>
        <v>8.6841661049590737</v>
      </c>
      <c r="FV85" s="322">
        <f t="shared" si="112"/>
        <v>0.23299999999999998</v>
      </c>
      <c r="FW85" s="322">
        <f t="shared" si="113"/>
        <v>67.403510038517084</v>
      </c>
      <c r="FX85" s="322">
        <f t="shared" si="114"/>
        <v>0</v>
      </c>
      <c r="FY85" s="322">
        <f t="shared" si="115"/>
        <v>256.07748996148285</v>
      </c>
      <c r="FZ85" s="367">
        <f t="shared" si="116"/>
        <v>0.20836865741684879</v>
      </c>
      <c r="GA85" s="248">
        <f t="shared" si="117"/>
        <v>6.4671295466208305E-3</v>
      </c>
      <c r="GB85" s="248">
        <f t="shared" si="118"/>
        <v>0.12454939430630989</v>
      </c>
      <c r="GC85" s="248">
        <f t="shared" si="119"/>
        <v>3.7681486509797313E-3</v>
      </c>
      <c r="GD85" s="248">
        <f t="shared" si="120"/>
        <v>4.6017795434206699E-2</v>
      </c>
      <c r="GE85" s="248">
        <f t="shared" si="121"/>
        <v>2.6845902105709352E-2</v>
      </c>
      <c r="GF85" s="248">
        <f t="shared" si="122"/>
        <v>7.2028737302230099E-4</v>
      </c>
      <c r="GG85" s="248">
        <f t="shared" si="123"/>
        <v>5.6210815319385557E-2</v>
      </c>
      <c r="GH85" s="23">
        <f t="shared" si="124"/>
        <v>4.4498069430993756E-2</v>
      </c>
      <c r="GI85" s="23">
        <f t="shared" si="125"/>
        <v>1.1712572120406805E-2</v>
      </c>
      <c r="GJ85" s="326">
        <v>287.24299999999999</v>
      </c>
      <c r="GK85" s="153">
        <f t="shared" si="151"/>
        <v>0</v>
      </c>
      <c r="GL85" s="153">
        <f t="shared" si="126"/>
        <v>143.93100000000001</v>
      </c>
      <c r="GM85" s="153">
        <f t="shared" si="127"/>
        <v>63.405999999999999</v>
      </c>
      <c r="GN85" s="153">
        <v>79.906000000000006</v>
      </c>
      <c r="GO85" s="153">
        <v>207.33699999999999</v>
      </c>
      <c r="GP85" s="153">
        <f t="shared" si="128"/>
        <v>207.33699999999999</v>
      </c>
      <c r="GQ85" s="295"/>
      <c r="GR85" s="153">
        <f t="shared" si="129"/>
        <v>323.48200000000003</v>
      </c>
      <c r="GS85" s="153">
        <f>FoF_RoW!$AZ55/1000</f>
        <v>593.31299999999999</v>
      </c>
      <c r="GT85" s="153">
        <f t="shared" si="15"/>
        <v>449.38199999999995</v>
      </c>
      <c r="GU85" s="23">
        <f t="shared" si="130"/>
        <v>1.3892024904013203</v>
      </c>
      <c r="GV85" s="330">
        <f>FoF_RoW!$AE55/1000</f>
        <v>51.363</v>
      </c>
      <c r="GW85" s="330">
        <f t="shared" si="16"/>
        <v>53.043000000000006</v>
      </c>
      <c r="GX85" s="153">
        <v>911.71</v>
      </c>
      <c r="GY85" s="153">
        <v>624.46699999999998</v>
      </c>
      <c r="GZ85" s="153">
        <f t="shared" si="131"/>
        <v>1.9304536264768981</v>
      </c>
      <c r="HA85" s="153">
        <f t="shared" si="22"/>
        <v>143.93100000000001</v>
      </c>
      <c r="HB85" s="153">
        <v>202.31200000000001</v>
      </c>
      <c r="HC85" s="153">
        <v>287.24299999999999</v>
      </c>
      <c r="HD85" s="186">
        <f t="shared" si="132"/>
        <v>5.6077308783796312E-3</v>
      </c>
      <c r="HE85" s="503">
        <f t="shared" si="133"/>
        <v>3.4468687593127286E-3</v>
      </c>
      <c r="HF85" s="663"/>
      <c r="HV85" s="186">
        <f t="shared" si="152"/>
        <v>2.9853978215615327E-3</v>
      </c>
      <c r="HW85" s="308">
        <f t="shared" si="153"/>
        <v>7.8088204629179106E-2</v>
      </c>
      <c r="HX85" s="308">
        <f t="shared" si="154"/>
        <v>2.3312435598960251E-4</v>
      </c>
      <c r="HY85" s="313">
        <f t="shared" si="155"/>
        <v>0</v>
      </c>
      <c r="HZ85" s="23">
        <f t="shared" si="156"/>
        <v>-1.7888878889377426E-2</v>
      </c>
      <c r="IA85" s="23">
        <f t="shared" si="157"/>
        <v>1.3679626072745799E-2</v>
      </c>
      <c r="IB85" s="23">
        <f t="shared" si="158"/>
        <v>2.3285193809365133E-2</v>
      </c>
      <c r="IC85" s="23">
        <f t="shared" si="159"/>
        <v>3.7536762827990199E-2</v>
      </c>
      <c r="ID85" s="23">
        <f t="shared" si="160"/>
        <v>-4.626386450785655E-2</v>
      </c>
      <c r="IE85" s="23">
        <f t="shared" si="161"/>
        <v>-5.0144987354863418E-2</v>
      </c>
      <c r="IF85" s="23">
        <f t="shared" si="162"/>
        <v>1.019868648538695E-2</v>
      </c>
      <c r="IG85" s="23">
        <f t="shared" si="163"/>
        <v>-1.3727261055740392E-3</v>
      </c>
      <c r="IH85" s="23">
        <f t="shared" si="164"/>
        <v>1.1571412590960988E-2</v>
      </c>
      <c r="II85" s="23"/>
      <c r="IJ85" s="23"/>
      <c r="IK85" s="848"/>
      <c r="IL85" s="332"/>
      <c r="IM85" s="330">
        <v>152301</v>
      </c>
      <c r="IN85" s="330"/>
      <c r="IP85" s="76">
        <v>6629</v>
      </c>
      <c r="IQ85" s="76">
        <v>-8796</v>
      </c>
      <c r="IR85" s="76"/>
      <c r="IS85" s="76"/>
      <c r="IT85" s="76"/>
      <c r="IU85" s="23"/>
      <c r="IV85" s="330">
        <v>193000</v>
      </c>
      <c r="IW85" s="330"/>
      <c r="IX85" s="330">
        <v>8798</v>
      </c>
      <c r="IY85" s="330"/>
      <c r="IZ85" s="330">
        <v>11556</v>
      </c>
      <c r="JA85" s="76">
        <v>8697</v>
      </c>
      <c r="JB85" s="76">
        <v>-4354</v>
      </c>
      <c r="JC85" s="76">
        <v>4314</v>
      </c>
      <c r="JD85" s="76">
        <v>-6176</v>
      </c>
      <c r="JE85" s="312"/>
      <c r="JK85" s="23">
        <f t="shared" si="169"/>
        <v>9.5400133112104768E-2</v>
      </c>
      <c r="JL85" s="23">
        <f t="shared" si="170"/>
        <v>4.5585492227979273E-2</v>
      </c>
      <c r="JM85" s="655">
        <f t="shared" si="171"/>
        <v>0</v>
      </c>
    </row>
    <row r="86" spans="2:273">
      <c r="B86" s="451">
        <v>1994</v>
      </c>
      <c r="C86" s="43">
        <v>6140.2</v>
      </c>
      <c r="D86" s="5">
        <v>621.9</v>
      </c>
      <c r="E86" s="6">
        <f t="shared" si="172"/>
        <v>0.10128334581935441</v>
      </c>
      <c r="F86" s="454">
        <f t="shared" si="173"/>
        <v>0</v>
      </c>
      <c r="G86" s="76">
        <f t="shared" si="174"/>
        <v>543.9</v>
      </c>
      <c r="H86" s="23">
        <f t="shared" si="175"/>
        <v>8.8580176541480732E-2</v>
      </c>
      <c r="I86" s="455">
        <v>78</v>
      </c>
      <c r="J86" s="460">
        <f t="shared" si="176"/>
        <v>1.2703169277873686E-2</v>
      </c>
      <c r="K86" s="6">
        <f t="shared" si="177"/>
        <v>0.12542209358417752</v>
      </c>
      <c r="L86" s="136">
        <v>104.6</v>
      </c>
      <c r="M86" s="136">
        <f t="shared" ref="M86:M108" si="180">-(I86-L86)</f>
        <v>26.599999999999994</v>
      </c>
      <c r="N86" s="460">
        <f t="shared" si="178"/>
        <v>1.7035275723917786E-2</v>
      </c>
      <c r="O86" s="460">
        <f t="shared" ref="O86:O108" si="181">M86/C86</f>
        <v>4.3321064460441023E-3</v>
      </c>
      <c r="P86" s="449">
        <f t="shared" ref="P86:P108" si="182">M86/D86</f>
        <v>4.2772149863322069E-2</v>
      </c>
      <c r="Q86" s="5">
        <f t="shared" si="179"/>
        <v>621.9</v>
      </c>
      <c r="R86" s="169">
        <f t="shared" ref="R86:R108" si="183">M86</f>
        <v>26.599999999999994</v>
      </c>
      <c r="S86" s="174"/>
      <c r="U86" s="76">
        <f t="shared" si="47"/>
        <v>15.155000000000001</v>
      </c>
      <c r="W86" s="23">
        <f t="shared" si="48"/>
        <v>0.56973684210526332</v>
      </c>
      <c r="X86" s="182">
        <v>22.15</v>
      </c>
      <c r="Y86" s="79">
        <f t="shared" si="49"/>
        <v>0</v>
      </c>
      <c r="Z86" s="79">
        <f t="shared" si="50"/>
        <v>15.155000000000001</v>
      </c>
      <c r="AA86" s="159">
        <v>10.272</v>
      </c>
      <c r="AB86" s="683">
        <v>4.883</v>
      </c>
      <c r="AC86" s="79">
        <f t="shared" si="51"/>
        <v>6.9950000000000001</v>
      </c>
      <c r="AD86" s="79">
        <v>8.36</v>
      </c>
      <c r="AE86" s="79">
        <v>1.365</v>
      </c>
      <c r="AF86" s="23">
        <f t="shared" si="52"/>
        <v>0.32220389310458591</v>
      </c>
      <c r="AG86" s="23">
        <f t="shared" si="53"/>
        <v>1.3442675671329795E-2</v>
      </c>
      <c r="AH86" s="450">
        <v>1.026</v>
      </c>
      <c r="AI86" s="79">
        <f t="shared" si="54"/>
        <v>21.123999999999999</v>
      </c>
      <c r="AJ86" s="79">
        <f t="shared" si="55"/>
        <v>0.24399999999999977</v>
      </c>
      <c r="AK86" s="79">
        <v>21.5</v>
      </c>
      <c r="AL86" s="23">
        <f t="shared" si="56"/>
        <v>0.4777674418604651</v>
      </c>
      <c r="AM86" s="182">
        <v>20.88</v>
      </c>
      <c r="AN86" s="79">
        <v>0.16800000000000001</v>
      </c>
      <c r="AO86" s="79">
        <v>4.1159999999999997</v>
      </c>
      <c r="AP86" s="79">
        <v>5.2999999999999999E-2</v>
      </c>
      <c r="AQ86" s="79">
        <v>1.599</v>
      </c>
      <c r="AR86" s="79">
        <v>0.84199999999999997</v>
      </c>
      <c r="AS86" s="79">
        <v>0.16600000000000001</v>
      </c>
      <c r="AT86" s="79">
        <v>0.44</v>
      </c>
      <c r="AU86" s="79">
        <v>6.0000000000000001E-3</v>
      </c>
      <c r="AV86" s="79">
        <f t="shared" si="27"/>
        <v>6.7839999999999998</v>
      </c>
      <c r="AW86" s="79">
        <f t="shared" si="28"/>
        <v>14.096</v>
      </c>
      <c r="AX86" s="23">
        <f t="shared" si="29"/>
        <v>8.0459770114942545E-3</v>
      </c>
      <c r="AY86" s="23">
        <f t="shared" si="30"/>
        <v>0.19712643678160918</v>
      </c>
      <c r="AZ86" s="23">
        <f t="shared" si="31"/>
        <v>2.538314176245211E-3</v>
      </c>
      <c r="BA86" s="23">
        <f t="shared" si="32"/>
        <v>7.6580459770114948E-2</v>
      </c>
      <c r="BB86" s="23">
        <f t="shared" si="33"/>
        <v>4.032567049808429E-2</v>
      </c>
      <c r="BC86" s="23">
        <f t="shared" si="34"/>
        <v>7.9501915708812265E-3</v>
      </c>
      <c r="BD86" s="23">
        <f t="shared" si="35"/>
        <v>2.1072796934865901E-2</v>
      </c>
      <c r="BE86" s="23">
        <f t="shared" si="36"/>
        <v>2.8735632183908046E-4</v>
      </c>
      <c r="BF86" s="23">
        <f t="shared" si="37"/>
        <v>0.32490421455938695</v>
      </c>
      <c r="BG86" s="153">
        <v>13.006</v>
      </c>
      <c r="BH86" s="23">
        <f t="shared" si="165"/>
        <v>0.62289272030651344</v>
      </c>
      <c r="BI86" s="23">
        <f>'Assets(BoP)'!EF86</f>
        <v>0.28960528795280271</v>
      </c>
      <c r="BJ86" s="182">
        <v>3.8570000000000002</v>
      </c>
      <c r="BK86" s="79"/>
      <c r="BL86" s="79"/>
      <c r="BM86" s="79"/>
      <c r="BN86" s="79"/>
      <c r="BO86" s="79"/>
      <c r="BP86" s="79"/>
      <c r="BQ86" s="28">
        <f t="shared" si="57"/>
        <v>0</v>
      </c>
      <c r="BR86" s="23">
        <f t="shared" si="58"/>
        <v>0</v>
      </c>
      <c r="BS86" s="79"/>
      <c r="BT86" s="23">
        <f t="shared" si="59"/>
        <v>0</v>
      </c>
      <c r="BU86" s="182">
        <f t="shared" si="60"/>
        <v>13.884999999999998</v>
      </c>
      <c r="BV86" s="136">
        <f t="shared" si="61"/>
        <v>0</v>
      </c>
      <c r="BW86" s="153">
        <f t="shared" si="62"/>
        <v>-8.1498344394883154E-2</v>
      </c>
      <c r="BX86" s="153">
        <f t="shared" si="63"/>
        <v>2.7240584763150841</v>
      </c>
      <c r="BY86" s="153">
        <f t="shared" si="64"/>
        <v>-6.8951714917938056E-2</v>
      </c>
      <c r="BZ86" s="153">
        <f t="shared" si="65"/>
        <v>1.1351070529272986</v>
      </c>
      <c r="CA86" s="153">
        <f t="shared" si="66"/>
        <v>0.26388485194709954</v>
      </c>
      <c r="CB86" s="153">
        <f t="shared" si="67"/>
        <v>-2.0759011156082474E-2</v>
      </c>
      <c r="CC86" s="153">
        <f t="shared" si="68"/>
        <v>3.951841310720579</v>
      </c>
      <c r="CD86" s="153">
        <f t="shared" si="69"/>
        <v>9.2445942244215917</v>
      </c>
      <c r="CE86" s="23">
        <f t="shared" si="70"/>
        <v>-5.8695242632252906E-3</v>
      </c>
      <c r="CF86" s="23">
        <f t="shared" si="71"/>
        <v>0.19618714269464058</v>
      </c>
      <c r="CG86" s="23">
        <f t="shared" si="72"/>
        <v>-4.9659139299919382E-3</v>
      </c>
      <c r="CH86" s="23">
        <f t="shared" si="73"/>
        <v>8.1750597978199405E-2</v>
      </c>
      <c r="CI86" s="23">
        <f t="shared" si="74"/>
        <v>1.9005030748800833E-2</v>
      </c>
      <c r="CJ86" s="23">
        <f t="shared" si="75"/>
        <v>-1.4950674221161308E-3</v>
      </c>
      <c r="CK86" s="23">
        <f t="shared" si="76"/>
        <v>0.2846122658063075</v>
      </c>
      <c r="CL86" s="23">
        <f t="shared" si="77"/>
        <v>0.7153877341936925</v>
      </c>
      <c r="CM86" s="23">
        <f t="shared" si="78"/>
        <v>1.217347848600704E-2</v>
      </c>
      <c r="CN86" s="23">
        <f t="shared" si="79"/>
        <v>3.0598671377315031E-2</v>
      </c>
      <c r="CO86" s="23">
        <f t="shared" ref="CO86:CO108" si="184">CM86*$E86</f>
        <v>1.2329706313227221E-3</v>
      </c>
      <c r="CP86" s="448">
        <f t="shared" ref="CP86:CP108" si="185">CO86*$BR86</f>
        <v>0</v>
      </c>
      <c r="CQ86" s="448">
        <f t="shared" ref="CQ86:CQ108" si="186">CO86-CP86</f>
        <v>1.2329706313227221E-3</v>
      </c>
      <c r="CR86" s="23">
        <f t="shared" ref="CR86:CR108" si="187">CN86*$E86</f>
        <v>3.09913581472138E-3</v>
      </c>
      <c r="CS86" s="326">
        <v>6.9950000000000001</v>
      </c>
      <c r="CT86" s="153">
        <v>1.365</v>
      </c>
      <c r="CU86" s="153">
        <v>8.36</v>
      </c>
      <c r="CV86" s="384">
        <f t="shared" si="134"/>
        <v>0.24949834439488316</v>
      </c>
      <c r="CW86" s="384">
        <f t="shared" si="135"/>
        <v>1.3919415236849155</v>
      </c>
      <c r="CX86" s="384">
        <f t="shared" si="136"/>
        <v>0.12195171491793805</v>
      </c>
      <c r="CY86" s="384">
        <f t="shared" si="137"/>
        <v>0.46389294707270134</v>
      </c>
      <c r="CZ86" s="384">
        <f t="shared" si="138"/>
        <v>0.57811514805290043</v>
      </c>
      <c r="DA86" s="153">
        <f t="shared" si="139"/>
        <v>2.6759011156082476E-2</v>
      </c>
      <c r="DB86" s="153">
        <f t="shared" si="85"/>
        <v>2.8321586892794213</v>
      </c>
      <c r="DC86" s="153">
        <f t="shared" si="86"/>
        <v>4.8514057755784084</v>
      </c>
      <c r="DD86" s="153">
        <f t="shared" si="87"/>
        <v>-0.68856446485782996</v>
      </c>
      <c r="DE86" s="23">
        <f t="shared" si="88"/>
        <v>0.40488330082622176</v>
      </c>
      <c r="DF86" s="149">
        <v>4.0270000000000001</v>
      </c>
      <c r="DG86" s="153">
        <v>1.075</v>
      </c>
      <c r="DH86" s="153">
        <v>-4.8319999999999999</v>
      </c>
      <c r="DI86" s="153">
        <v>1.4770000000000001</v>
      </c>
      <c r="DJ86" s="153">
        <v>4.1000000000000002E-2</v>
      </c>
      <c r="DK86" s="153">
        <v>0.63400000000000001</v>
      </c>
      <c r="DL86" s="153">
        <v>0.124</v>
      </c>
      <c r="DM86" s="153">
        <f t="shared" si="38"/>
        <v>-1.4809999999999994</v>
      </c>
      <c r="DN86" s="153">
        <f t="shared" si="39"/>
        <v>5.5079999999999991</v>
      </c>
      <c r="DO86" s="258">
        <f t="shared" si="140"/>
        <v>-9.945999999999998</v>
      </c>
      <c r="DP86" s="5">
        <v>480.66699999999997</v>
      </c>
      <c r="DQ86" s="76">
        <v>2.9740000000000002</v>
      </c>
      <c r="DR86" s="76">
        <v>66.599999999999994</v>
      </c>
      <c r="DS86" s="76">
        <v>2.3010000000000002</v>
      </c>
      <c r="DT86" s="76">
        <v>24.936</v>
      </c>
      <c r="DU86" s="76">
        <v>17.504000000000001</v>
      </c>
      <c r="DV86" s="76">
        <v>1.375</v>
      </c>
      <c r="DW86" s="76">
        <f t="shared" si="40"/>
        <v>115.69</v>
      </c>
      <c r="DX86" s="76">
        <f t="shared" si="41"/>
        <v>364.97699999999998</v>
      </c>
      <c r="DY86" s="23">
        <f t="shared" si="141"/>
        <v>0.2406863795517479</v>
      </c>
      <c r="DZ86" s="23">
        <f t="shared" si="42"/>
        <v>6.1872356537894229E-3</v>
      </c>
      <c r="EA86" s="23">
        <f t="shared" si="43"/>
        <v>0.1385574628589023</v>
      </c>
      <c r="EB86" s="23">
        <f t="shared" si="44"/>
        <v>4.7870979285035177E-3</v>
      </c>
      <c r="EC86" s="23">
        <f t="shared" si="45"/>
        <v>5.1877911319062886E-2</v>
      </c>
      <c r="ED86" s="23">
        <f t="shared" si="46"/>
        <v>3.6416063511745145E-2</v>
      </c>
      <c r="EE86" s="23">
        <f t="shared" si="142"/>
        <v>2.8606082797446052E-3</v>
      </c>
      <c r="EF86" s="149">
        <v>133.98500000000001</v>
      </c>
      <c r="EG86" s="322">
        <f t="shared" si="143"/>
        <v>3.7540000000000004</v>
      </c>
      <c r="EH86" s="322">
        <f t="shared" si="144"/>
        <v>27.771512831006262</v>
      </c>
      <c r="EI86" s="324">
        <f t="shared" si="145"/>
        <v>1.4410717380837745</v>
      </c>
      <c r="EJ86" s="322">
        <f t="shared" si="146"/>
        <v>6.8360714973519494</v>
      </c>
      <c r="EK86" s="322">
        <f t="shared" si="147"/>
        <v>7.338833895040926</v>
      </c>
      <c r="EL86" s="322">
        <f t="shared" si="148"/>
        <v>0.34100000000000003</v>
      </c>
      <c r="EM86" s="330">
        <f t="shared" si="89"/>
        <v>47.482489961482919</v>
      </c>
      <c r="EN86" s="330">
        <f t="shared" si="90"/>
        <v>86.502510038517102</v>
      </c>
      <c r="EO86" s="23">
        <f t="shared" si="91"/>
        <v>0.3543866101539942</v>
      </c>
      <c r="EP86" s="258">
        <v>173.58199999999999</v>
      </c>
      <c r="EQ86" s="153">
        <f t="shared" si="92"/>
        <v>5.964500000000001</v>
      </c>
      <c r="ER86" s="153">
        <f t="shared" si="93"/>
        <v>29.522518162563593</v>
      </c>
      <c r="ES86" s="153">
        <f t="shared" si="149"/>
        <v>3.1318543467794271</v>
      </c>
      <c r="ET86" s="153">
        <f t="shared" si="150"/>
        <v>11.168826456532733</v>
      </c>
      <c r="EU86" s="153">
        <f t="shared" si="94"/>
        <v>14.567732852386602</v>
      </c>
      <c r="EV86" s="153">
        <f t="shared" si="94"/>
        <v>0.6735714285714286</v>
      </c>
      <c r="EW86" s="153">
        <f t="shared" si="95"/>
        <v>65.029003246833796</v>
      </c>
      <c r="EX86" s="153">
        <f t="shared" si="96"/>
        <v>108.5529967531662</v>
      </c>
      <c r="EY86" s="23">
        <f t="shared" si="97"/>
        <v>0.37462987663947761</v>
      </c>
      <c r="EZ86" s="258">
        <v>39.597000000000001</v>
      </c>
      <c r="FA86" s="316">
        <f t="shared" si="168"/>
        <v>2.2105000000000001</v>
      </c>
      <c r="FB86" s="484">
        <f t="shared" si="98"/>
        <v>1.7510053315573284</v>
      </c>
      <c r="FC86" s="483">
        <f t="shared" si="166"/>
        <v>1.6907826086956523</v>
      </c>
      <c r="FD86" s="484">
        <f t="shared" si="99"/>
        <v>4.3327549591807832</v>
      </c>
      <c r="FE86" s="316">
        <f t="shared" si="100"/>
        <v>7.2288989573456748</v>
      </c>
      <c r="FF86" s="316">
        <f t="shared" si="167"/>
        <v>0.33257142857142857</v>
      </c>
      <c r="FG86" s="153">
        <f t="shared" si="101"/>
        <v>17.546513285350866</v>
      </c>
      <c r="FH86" s="153">
        <f t="shared" si="102"/>
        <v>22.050486714649136</v>
      </c>
      <c r="FI86" s="23">
        <f t="shared" si="103"/>
        <v>0.44312734008512933</v>
      </c>
      <c r="FJ86" s="23"/>
      <c r="FK86" s="448">
        <f t="shared" si="104"/>
        <v>1.7082999599519425E-2</v>
      </c>
      <c r="FL86" s="448">
        <f t="shared" si="105"/>
        <v>4.8161675749789724E-2</v>
      </c>
      <c r="FM86" s="23"/>
      <c r="FN86" s="23"/>
      <c r="FO86" s="326">
        <v>346.68200000000002</v>
      </c>
      <c r="FP86" s="483">
        <f t="shared" si="106"/>
        <v>0</v>
      </c>
      <c r="FQ86" s="322">
        <f t="shared" si="107"/>
        <v>-0.78000000000000025</v>
      </c>
      <c r="FR86" s="322">
        <f t="shared" si="108"/>
        <v>38.828487168993732</v>
      </c>
      <c r="FS86" s="322">
        <f t="shared" si="109"/>
        <v>0.85992826191622562</v>
      </c>
      <c r="FT86" s="322">
        <f t="shared" si="110"/>
        <v>18.099928502648051</v>
      </c>
      <c r="FU86" s="322">
        <f t="shared" si="111"/>
        <v>10.165166104959075</v>
      </c>
      <c r="FV86" s="322">
        <f t="shared" si="112"/>
        <v>1.034</v>
      </c>
      <c r="FW86" s="322">
        <f t="shared" si="113"/>
        <v>68.207510038517086</v>
      </c>
      <c r="FX86" s="322">
        <f t="shared" si="114"/>
        <v>0</v>
      </c>
      <c r="FY86" s="322">
        <f t="shared" si="115"/>
        <v>278.47448996148285</v>
      </c>
      <c r="FZ86" s="367">
        <f t="shared" si="116"/>
        <v>0.19674373067686549</v>
      </c>
      <c r="GA86" s="248">
        <f t="shared" si="117"/>
        <v>-2.2499004851708488E-3</v>
      </c>
      <c r="GB86" s="248">
        <f t="shared" si="118"/>
        <v>0.11200029758970391</v>
      </c>
      <c r="GC86" s="248">
        <f t="shared" si="119"/>
        <v>2.4804525816633847E-3</v>
      </c>
      <c r="GD86" s="248">
        <f t="shared" si="120"/>
        <v>5.2209022973930146E-2</v>
      </c>
      <c r="GE86" s="248">
        <f t="shared" si="121"/>
        <v>2.9321297629986774E-2</v>
      </c>
      <c r="GF86" s="248">
        <f t="shared" si="122"/>
        <v>2.9825603867521242E-3</v>
      </c>
      <c r="GG86" s="248">
        <f t="shared" si="123"/>
        <v>5.6461027328100065E-2</v>
      </c>
      <c r="GH86" s="23">
        <f t="shared" si="124"/>
        <v>4.5352674173721193E-2</v>
      </c>
      <c r="GI86" s="23">
        <f t="shared" si="125"/>
        <v>1.1108353154378862E-2</v>
      </c>
      <c r="GJ86" s="326">
        <v>253.48599999999999</v>
      </c>
      <c r="GK86" s="153">
        <f t="shared" si="151"/>
        <v>0</v>
      </c>
      <c r="GL86" s="153">
        <f t="shared" si="126"/>
        <v>133.98500000000001</v>
      </c>
      <c r="GM86" s="153">
        <f t="shared" si="127"/>
        <v>39.597000000000001</v>
      </c>
      <c r="GN86" s="153">
        <v>79.903999999999996</v>
      </c>
      <c r="GO86" s="153">
        <v>173.58199999999999</v>
      </c>
      <c r="GP86" s="153">
        <f t="shared" si="128"/>
        <v>173.58199999999999</v>
      </c>
      <c r="GQ86" s="295"/>
      <c r="GR86" s="153">
        <f t="shared" si="129"/>
        <v>346.68200000000002</v>
      </c>
      <c r="GS86" s="153">
        <f>FoF_RoW!$AZ56/1000</f>
        <v>617.98199999999997</v>
      </c>
      <c r="GT86" s="153">
        <f t="shared" si="15"/>
        <v>483.99699999999996</v>
      </c>
      <c r="GU86" s="23">
        <f t="shared" si="130"/>
        <v>1.3960834424631217</v>
      </c>
      <c r="GV86" s="330">
        <f>FoF_RoW!$AE56/1000</f>
        <v>46.121000000000002</v>
      </c>
      <c r="GW86" s="330">
        <f t="shared" si="16"/>
        <v>24.668999999999983</v>
      </c>
      <c r="GX86" s="153">
        <v>877.35400000000004</v>
      </c>
      <c r="GY86" s="153">
        <v>623.86800000000005</v>
      </c>
      <c r="GZ86" s="153">
        <f t="shared" si="131"/>
        <v>1.7995396357468805</v>
      </c>
      <c r="HA86" s="153">
        <f t="shared" si="22"/>
        <v>133.98500000000001</v>
      </c>
      <c r="HB86" s="153">
        <v>180.036</v>
      </c>
      <c r="HC86" s="153">
        <v>253.48599999999999</v>
      </c>
      <c r="HD86" s="186">
        <f t="shared" si="132"/>
        <v>4.3714412631748981E-2</v>
      </c>
      <c r="HE86" s="503">
        <f t="shared" si="133"/>
        <v>4.0754928147408866E-2</v>
      </c>
      <c r="HF86" s="663"/>
      <c r="HV86" s="186">
        <f t="shared" si="152"/>
        <v>3.0662179151569283E-2</v>
      </c>
      <c r="HW86" s="308">
        <f t="shared" si="153"/>
        <v>7.8824305397218325E-2</v>
      </c>
      <c r="HX86" s="308">
        <f t="shared" si="154"/>
        <v>2.4169249735875179E-3</v>
      </c>
      <c r="HY86" s="313">
        <f t="shared" si="155"/>
        <v>0</v>
      </c>
      <c r="HZ86" s="23">
        <f t="shared" si="156"/>
        <v>7.9991273249505598E-2</v>
      </c>
      <c r="IA86" s="23">
        <f t="shared" si="157"/>
        <v>5.3709904759133051E-2</v>
      </c>
      <c r="IB86" s="23">
        <f t="shared" si="158"/>
        <v>-6.1386274302642499E-2</v>
      </c>
      <c r="IC86" s="23">
        <f t="shared" si="159"/>
        <v>4.8011844278471355E-2</v>
      </c>
      <c r="ID86" s="23">
        <f t="shared" si="160"/>
        <v>1.9874142848468362E-2</v>
      </c>
      <c r="IE86" s="23">
        <f t="shared" si="161"/>
        <v>-1.5370024139065156E-2</v>
      </c>
      <c r="IF86" s="23">
        <f t="shared" si="162"/>
        <v>4.4356342399647392E-2</v>
      </c>
      <c r="IG86" s="23">
        <f t="shared" si="163"/>
        <v>2.5415043779730334E-2</v>
      </c>
      <c r="IH86" s="23">
        <f t="shared" si="164"/>
        <v>1.8941298619917057E-2</v>
      </c>
      <c r="II86" s="23"/>
      <c r="IJ86" s="23"/>
      <c r="IK86" s="848"/>
      <c r="IL86" s="332"/>
      <c r="IM86" s="330">
        <v>161287</v>
      </c>
      <c r="IN86" s="330"/>
      <c r="IP86" s="76">
        <v>10509</v>
      </c>
      <c r="IQ86" s="76">
        <v>-104</v>
      </c>
      <c r="IR86" s="76"/>
      <c r="IS86" s="76"/>
      <c r="IT86" s="76"/>
      <c r="IU86" s="23"/>
      <c r="IV86" s="330">
        <v>200615</v>
      </c>
      <c r="IW86" s="330"/>
      <c r="IX86" s="330">
        <v>22615</v>
      </c>
      <c r="IY86" s="330"/>
      <c r="IZ86" s="330">
        <v>11028</v>
      </c>
      <c r="JA86" s="76">
        <v>14984</v>
      </c>
      <c r="JB86" s="76">
        <v>8132</v>
      </c>
      <c r="JC86" s="76">
        <v>7194</v>
      </c>
      <c r="JD86" s="76">
        <v>-6372</v>
      </c>
      <c r="JE86" s="312"/>
      <c r="JK86" s="23">
        <f t="shared" si="169"/>
        <v>0.14361515935421629</v>
      </c>
      <c r="JL86" s="23">
        <f t="shared" si="170"/>
        <v>0.11272836029210179</v>
      </c>
      <c r="JM86" s="655">
        <f t="shared" si="171"/>
        <v>0</v>
      </c>
    </row>
    <row r="87" spans="2:273">
      <c r="B87" s="451">
        <v>1995</v>
      </c>
      <c r="C87" s="43">
        <v>6479.5</v>
      </c>
      <c r="D87" s="5">
        <v>703</v>
      </c>
      <c r="E87" s="6">
        <f t="shared" si="172"/>
        <v>0.10849602592792654</v>
      </c>
      <c r="F87" s="454">
        <f t="shared" si="173"/>
        <v>0</v>
      </c>
      <c r="G87" s="76">
        <f t="shared" si="174"/>
        <v>610.1</v>
      </c>
      <c r="H87" s="23">
        <f t="shared" si="175"/>
        <v>9.4158499884250332E-2</v>
      </c>
      <c r="I87" s="455">
        <v>92.9</v>
      </c>
      <c r="J87" s="460">
        <f t="shared" si="176"/>
        <v>1.433752604367621E-2</v>
      </c>
      <c r="K87" s="6">
        <f t="shared" si="177"/>
        <v>0.13214793741109532</v>
      </c>
      <c r="L87" s="136">
        <v>127.4</v>
      </c>
      <c r="M87" s="136">
        <f t="shared" si="180"/>
        <v>34.5</v>
      </c>
      <c r="N87" s="460">
        <f t="shared" si="178"/>
        <v>1.9662010957635621E-2</v>
      </c>
      <c r="O87" s="460">
        <f t="shared" si="181"/>
        <v>5.3244849139594107E-3</v>
      </c>
      <c r="P87" s="449">
        <f t="shared" si="182"/>
        <v>4.9075391180654342E-2</v>
      </c>
      <c r="Q87" s="5">
        <f t="shared" si="179"/>
        <v>703</v>
      </c>
      <c r="R87" s="169">
        <f t="shared" si="183"/>
        <v>34.5</v>
      </c>
      <c r="S87" s="174"/>
      <c r="U87" s="76">
        <f t="shared" si="47"/>
        <v>22.182000000000002</v>
      </c>
      <c r="W87" s="23">
        <f t="shared" si="48"/>
        <v>0.64295652173913054</v>
      </c>
      <c r="X87" s="182">
        <v>30.318000000000001</v>
      </c>
      <c r="Y87" s="79">
        <f t="shared" si="49"/>
        <v>0</v>
      </c>
      <c r="Z87" s="79">
        <f t="shared" si="50"/>
        <v>22.182000000000002</v>
      </c>
      <c r="AA87" s="159">
        <v>13.757</v>
      </c>
      <c r="AB87" s="159">
        <v>8.4250000000000007</v>
      </c>
      <c r="AC87" s="79">
        <f t="shared" si="51"/>
        <v>8.1359999999999992</v>
      </c>
      <c r="AD87" s="79">
        <v>9.6709999999999994</v>
      </c>
      <c r="AE87" s="79">
        <v>1.5349999999999999</v>
      </c>
      <c r="AF87" s="23">
        <f t="shared" si="52"/>
        <v>0.37981246055360202</v>
      </c>
      <c r="AG87" s="23">
        <f t="shared" si="53"/>
        <v>1.3756756756756756E-2</v>
      </c>
      <c r="AH87" s="450">
        <v>-0.996</v>
      </c>
      <c r="AI87" s="79">
        <f t="shared" si="54"/>
        <v>31.314</v>
      </c>
      <c r="AJ87" s="79">
        <f t="shared" si="55"/>
        <v>0.38299999999999912</v>
      </c>
      <c r="AK87" s="79">
        <v>25.8</v>
      </c>
      <c r="AL87" s="23">
        <f t="shared" si="56"/>
        <v>0.53321705426356591</v>
      </c>
      <c r="AM87" s="182">
        <v>30.931000000000001</v>
      </c>
      <c r="AN87" s="79">
        <v>0.36</v>
      </c>
      <c r="AO87" s="79">
        <v>5.0030000000000001</v>
      </c>
      <c r="AP87" s="79">
        <v>0.28499999999999998</v>
      </c>
      <c r="AQ87" s="79">
        <v>1.1850000000000001</v>
      </c>
      <c r="AR87" s="79">
        <v>0.62</v>
      </c>
      <c r="AS87" s="79">
        <v>-4.4999999999999998E-2</v>
      </c>
      <c r="AT87" s="79">
        <v>0.53900000000000003</v>
      </c>
      <c r="AU87" s="79">
        <v>-8.0000000000000002E-3</v>
      </c>
      <c r="AV87" s="79">
        <f t="shared" si="27"/>
        <v>7.4450000000000003</v>
      </c>
      <c r="AW87" s="79">
        <f t="shared" si="28"/>
        <v>23.486000000000001</v>
      </c>
      <c r="AX87" s="23">
        <f t="shared" si="29"/>
        <v>1.16388089618829E-2</v>
      </c>
      <c r="AY87" s="23">
        <f t="shared" si="30"/>
        <v>0.16174711454527821</v>
      </c>
      <c r="AZ87" s="23">
        <f t="shared" si="31"/>
        <v>9.2140570948239624E-3</v>
      </c>
      <c r="BA87" s="23">
        <f t="shared" si="32"/>
        <v>3.8311079499531213E-2</v>
      </c>
      <c r="BB87" s="23">
        <f t="shared" si="33"/>
        <v>2.0044615434353884E-2</v>
      </c>
      <c r="BC87" s="23">
        <f t="shared" si="34"/>
        <v>-1.4548511202353625E-3</v>
      </c>
      <c r="BD87" s="23">
        <f t="shared" si="35"/>
        <v>1.7425883417930232E-2</v>
      </c>
      <c r="BE87" s="23">
        <f t="shared" si="36"/>
        <v>-2.5864019915295333E-4</v>
      </c>
      <c r="BF87" s="23">
        <f t="shared" si="37"/>
        <v>0.24069703533671721</v>
      </c>
      <c r="BG87" s="153">
        <v>21.27</v>
      </c>
      <c r="BH87" s="23">
        <f t="shared" si="165"/>
        <v>0.6876596294979147</v>
      </c>
      <c r="BI87" s="23">
        <f>'Assets(BoP)'!EF87</f>
        <v>0.351853547958693</v>
      </c>
      <c r="BJ87" s="182">
        <v>9.4209999999999994</v>
      </c>
      <c r="BK87" s="79"/>
      <c r="BL87" s="79"/>
      <c r="BM87" s="79"/>
      <c r="BN87" s="79"/>
      <c r="BO87" s="79"/>
      <c r="BP87" s="79"/>
      <c r="BQ87" s="28">
        <f t="shared" si="57"/>
        <v>0</v>
      </c>
      <c r="BR87" s="23">
        <f t="shared" si="58"/>
        <v>0</v>
      </c>
      <c r="BS87" s="79"/>
      <c r="BT87" s="23">
        <f t="shared" si="59"/>
        <v>0</v>
      </c>
      <c r="BU87" s="182">
        <f t="shared" si="60"/>
        <v>22.795000000000002</v>
      </c>
      <c r="BV87" s="136">
        <f t="shared" si="61"/>
        <v>0</v>
      </c>
      <c r="BW87" s="153">
        <f t="shared" si="62"/>
        <v>-1.7410529786308415E-2</v>
      </c>
      <c r="BX87" s="153">
        <f t="shared" si="63"/>
        <v>3.700740319527787</v>
      </c>
      <c r="BY87" s="153">
        <f t="shared" si="64"/>
        <v>-5.051257044275631E-2</v>
      </c>
      <c r="BZ87" s="153">
        <f t="shared" si="65"/>
        <v>0.75752622493076482</v>
      </c>
      <c r="CA87" s="153">
        <f t="shared" si="66"/>
        <v>-9.3215520752074843E-2</v>
      </c>
      <c r="CB87" s="153">
        <f t="shared" si="67"/>
        <v>-5.162707013615854E-2</v>
      </c>
      <c r="CC87" s="153">
        <f t="shared" si="68"/>
        <v>4.2455008533412526</v>
      </c>
      <c r="CD87" s="153">
        <f t="shared" si="69"/>
        <v>17.718058057416364</v>
      </c>
      <c r="CE87" s="23">
        <f t="shared" si="70"/>
        <v>-7.6378722466805937E-4</v>
      </c>
      <c r="CF87" s="23">
        <f t="shared" si="71"/>
        <v>0.16234877471058506</v>
      </c>
      <c r="CG87" s="23">
        <f t="shared" si="72"/>
        <v>-2.2159495697633828E-3</v>
      </c>
      <c r="CH87" s="23">
        <f t="shared" si="73"/>
        <v>3.3232122172878471E-2</v>
      </c>
      <c r="CI87" s="23">
        <f t="shared" si="74"/>
        <v>-4.0892968086016597E-3</v>
      </c>
      <c r="CJ87" s="23">
        <f t="shared" si="75"/>
        <v>-2.2648418572563515E-3</v>
      </c>
      <c r="CK87" s="23">
        <f t="shared" si="76"/>
        <v>0.18624702142317409</v>
      </c>
      <c r="CL87" s="23">
        <f t="shared" si="77"/>
        <v>0.81375297857682594</v>
      </c>
      <c r="CM87" s="23">
        <f t="shared" si="78"/>
        <v>9.1401454325739772E-3</v>
      </c>
      <c r="CN87" s="23">
        <f t="shared" si="79"/>
        <v>3.9935245748080363E-2</v>
      </c>
      <c r="CO87" s="23">
        <f t="shared" si="184"/>
        <v>9.9166945583756554E-4</v>
      </c>
      <c r="CP87" s="448">
        <f t="shared" si="185"/>
        <v>0</v>
      </c>
      <c r="CQ87" s="448">
        <f t="shared" si="186"/>
        <v>9.9166945583756554E-4</v>
      </c>
      <c r="CR87" s="23">
        <f t="shared" si="187"/>
        <v>4.3328154581218454E-3</v>
      </c>
      <c r="CS87" s="326">
        <v>8.1359999999999992</v>
      </c>
      <c r="CT87" s="153">
        <v>1.5349999999999999</v>
      </c>
      <c r="CU87" s="153">
        <v>9.6709999999999994</v>
      </c>
      <c r="CV87" s="384">
        <f t="shared" si="134"/>
        <v>0.3774105297863084</v>
      </c>
      <c r="CW87" s="384">
        <f t="shared" si="135"/>
        <v>1.3022596804722129</v>
      </c>
      <c r="CX87" s="384">
        <f t="shared" si="136"/>
        <v>0.33551257044275629</v>
      </c>
      <c r="CY87" s="384">
        <f t="shared" si="137"/>
        <v>0.42747377506923523</v>
      </c>
      <c r="CZ87" s="384">
        <f t="shared" si="138"/>
        <v>0.71321552075207484</v>
      </c>
      <c r="DA87" s="153">
        <f t="shared" si="139"/>
        <v>4.362707013615854E-2</v>
      </c>
      <c r="DB87" s="153">
        <f t="shared" si="85"/>
        <v>3.1994991466587459</v>
      </c>
      <c r="DC87" s="153">
        <f t="shared" si="86"/>
        <v>5.7679419425836365</v>
      </c>
      <c r="DD87" s="153">
        <f t="shared" si="87"/>
        <v>-0.83144108924238314</v>
      </c>
      <c r="DE87" s="23">
        <f t="shared" si="88"/>
        <v>0.3932521075047623</v>
      </c>
      <c r="DF87" s="149">
        <v>1.4610000000000001</v>
      </c>
      <c r="DG87" s="153">
        <v>1.3049999999999999</v>
      </c>
      <c r="DH87" s="153">
        <v>-5.2889999999999997</v>
      </c>
      <c r="DI87" s="153">
        <v>3.3690000000000002</v>
      </c>
      <c r="DJ87" s="153">
        <v>-2.1389999999999998</v>
      </c>
      <c r="DK87" s="153">
        <v>0.498</v>
      </c>
      <c r="DL87" s="153">
        <v>0.188</v>
      </c>
      <c r="DM87" s="153">
        <f t="shared" si="38"/>
        <v>-2.0679999999999992</v>
      </c>
      <c r="DN87" s="153">
        <f t="shared" si="39"/>
        <v>3.528999999999999</v>
      </c>
      <c r="DO87" s="258">
        <f t="shared" si="140"/>
        <v>1.4609999999999843</v>
      </c>
      <c r="DP87" s="5">
        <v>535.553</v>
      </c>
      <c r="DQ87" s="76">
        <v>4.7489999999999997</v>
      </c>
      <c r="DR87" s="76">
        <v>65.116</v>
      </c>
      <c r="DS87" s="76">
        <v>5.7560000000000002</v>
      </c>
      <c r="DT87" s="76">
        <v>27.457999999999998</v>
      </c>
      <c r="DU87" s="76">
        <v>19.806000000000001</v>
      </c>
      <c r="DV87" s="76">
        <v>1.637</v>
      </c>
      <c r="DW87" s="76">
        <f t="shared" si="40"/>
        <v>124.52199999999999</v>
      </c>
      <c r="DX87" s="76">
        <f t="shared" si="41"/>
        <v>411.03100000000001</v>
      </c>
      <c r="DY87" s="23">
        <f t="shared" si="141"/>
        <v>0.23251106799887217</v>
      </c>
      <c r="DZ87" s="23">
        <f t="shared" si="42"/>
        <v>8.8674696995442084E-3</v>
      </c>
      <c r="EA87" s="23">
        <f t="shared" si="43"/>
        <v>0.12158647230059397</v>
      </c>
      <c r="EB87" s="23">
        <f t="shared" si="44"/>
        <v>1.0747769128358911E-2</v>
      </c>
      <c r="EC87" s="23">
        <f t="shared" si="45"/>
        <v>5.1270369132466811E-2</v>
      </c>
      <c r="ED87" s="23">
        <f t="shared" si="46"/>
        <v>3.6982334148067515E-2</v>
      </c>
      <c r="EE87" s="23">
        <f t="shared" si="142"/>
        <v>3.0566535898407816E-3</v>
      </c>
      <c r="EF87" s="149">
        <v>135.446</v>
      </c>
      <c r="EG87" s="322">
        <f t="shared" si="143"/>
        <v>5.0590000000000002</v>
      </c>
      <c r="EH87" s="322">
        <f t="shared" si="144"/>
        <v>22.482512831006261</v>
      </c>
      <c r="EI87" s="324">
        <f t="shared" si="145"/>
        <v>4.8100717380837743</v>
      </c>
      <c r="EJ87" s="322">
        <f t="shared" si="146"/>
        <v>4.6970714973519492</v>
      </c>
      <c r="EK87" s="322">
        <f t="shared" si="147"/>
        <v>7.8368338950409262</v>
      </c>
      <c r="EL87" s="322">
        <f t="shared" si="148"/>
        <v>0.52900000000000003</v>
      </c>
      <c r="EM87" s="330">
        <f t="shared" si="89"/>
        <v>45.414489961482914</v>
      </c>
      <c r="EN87" s="330">
        <f t="shared" si="90"/>
        <v>90.031510038517084</v>
      </c>
      <c r="EO87" s="23">
        <f t="shared" si="91"/>
        <v>0.33529591100130618</v>
      </c>
      <c r="EP87" s="258">
        <v>176.24600000000001</v>
      </c>
      <c r="EQ87" s="153">
        <f t="shared" si="92"/>
        <v>7.7116000000000007</v>
      </c>
      <c r="ER87" s="153">
        <f t="shared" si="93"/>
        <v>24.305499320264445</v>
      </c>
      <c r="ES87" s="153">
        <f t="shared" si="149"/>
        <v>6.712202172866383</v>
      </c>
      <c r="ET87" s="153">
        <f t="shared" si="150"/>
        <v>9.2079394024930856</v>
      </c>
      <c r="EU87" s="153">
        <f t="shared" si="94"/>
        <v>15.36290185951319</v>
      </c>
      <c r="EV87" s="153">
        <f t="shared" si="94"/>
        <v>0.91700000000000004</v>
      </c>
      <c r="EW87" s="153">
        <f t="shared" si="95"/>
        <v>64.217142755137104</v>
      </c>
      <c r="EX87" s="153">
        <f t="shared" si="96"/>
        <v>112.02885724486291</v>
      </c>
      <c r="EY87" s="23">
        <f t="shared" si="97"/>
        <v>0.36436085219033115</v>
      </c>
      <c r="EZ87" s="258">
        <v>40.799999999999997</v>
      </c>
      <c r="FA87" s="316">
        <f t="shared" si="168"/>
        <v>2.6526000000000001</v>
      </c>
      <c r="FB87" s="484">
        <f t="shared" si="98"/>
        <v>1.8229864892581846</v>
      </c>
      <c r="FC87" s="483">
        <f t="shared" si="166"/>
        <v>1.9021304347826089</v>
      </c>
      <c r="FD87" s="484">
        <f t="shared" si="99"/>
        <v>4.5108679051411356</v>
      </c>
      <c r="FE87" s="316">
        <f t="shared" si="100"/>
        <v>7.5260679644722632</v>
      </c>
      <c r="FF87" s="316">
        <f t="shared" si="167"/>
        <v>0.38800000000000001</v>
      </c>
      <c r="FG87" s="153">
        <f t="shared" si="101"/>
        <v>18.802652793654193</v>
      </c>
      <c r="FH87" s="153">
        <f t="shared" si="102"/>
        <v>21.997347206345804</v>
      </c>
      <c r="FI87" s="23">
        <f t="shared" si="103"/>
        <v>0.46084933317779886</v>
      </c>
      <c r="FJ87" s="23"/>
      <c r="FK87" s="448">
        <f t="shared" si="104"/>
        <v>1.724409094994158E-2</v>
      </c>
      <c r="FL87" s="448">
        <f t="shared" si="105"/>
        <v>5.4872167311598552E-2</v>
      </c>
      <c r="FM87" s="23"/>
      <c r="FN87" s="23"/>
      <c r="FO87" s="326">
        <v>400.10700000000003</v>
      </c>
      <c r="FP87" s="483">
        <f t="shared" si="106"/>
        <v>0</v>
      </c>
      <c r="FQ87" s="322">
        <f t="shared" si="107"/>
        <v>-0.3100000000000005</v>
      </c>
      <c r="FR87" s="322">
        <f t="shared" si="108"/>
        <v>42.633487168993739</v>
      </c>
      <c r="FS87" s="322">
        <f t="shared" si="109"/>
        <v>0.94592826191622592</v>
      </c>
      <c r="FT87" s="322">
        <f t="shared" si="110"/>
        <v>22.760928502648049</v>
      </c>
      <c r="FU87" s="322">
        <f t="shared" si="111"/>
        <v>11.969166104959076</v>
      </c>
      <c r="FV87" s="322">
        <f t="shared" si="112"/>
        <v>1.1080000000000001</v>
      </c>
      <c r="FW87" s="322">
        <f t="shared" si="113"/>
        <v>79.107510038517077</v>
      </c>
      <c r="FX87" s="322">
        <f t="shared" si="114"/>
        <v>0</v>
      </c>
      <c r="FY87" s="322">
        <f t="shared" si="115"/>
        <v>320.99948996148294</v>
      </c>
      <c r="FZ87" s="367">
        <f t="shared" si="116"/>
        <v>0.1977158860967618</v>
      </c>
      <c r="GA87" s="248">
        <f t="shared" si="117"/>
        <v>-7.7479274294126445E-4</v>
      </c>
      <c r="GB87" s="248">
        <f t="shared" si="118"/>
        <v>0.10655521440263163</v>
      </c>
      <c r="GC87" s="248">
        <f t="shared" si="119"/>
        <v>2.3641882344378525E-3</v>
      </c>
      <c r="GD87" s="248">
        <f t="shared" si="120"/>
        <v>5.6887103956311809E-2</v>
      </c>
      <c r="GE87" s="248">
        <f t="shared" si="121"/>
        <v>2.9914913023163989E-2</v>
      </c>
      <c r="GF87" s="248">
        <f t="shared" si="122"/>
        <v>2.7692592231578052E-3</v>
      </c>
      <c r="GG87" s="248">
        <f t="shared" si="123"/>
        <v>6.1749672042595884E-2</v>
      </c>
      <c r="GH87" s="23">
        <f t="shared" si="124"/>
        <v>4.9540780918509594E-2</v>
      </c>
      <c r="GI87" s="23">
        <f t="shared" si="125"/>
        <v>1.2208891124086284E-2</v>
      </c>
      <c r="GJ87" s="326">
        <v>265.262</v>
      </c>
      <c r="GK87" s="153">
        <f t="shared" si="151"/>
        <v>0</v>
      </c>
      <c r="GL87" s="153">
        <f t="shared" si="126"/>
        <v>135.446</v>
      </c>
      <c r="GM87" s="153">
        <f t="shared" si="127"/>
        <v>40.799999999999997</v>
      </c>
      <c r="GN87" s="153">
        <v>89.016000000000005</v>
      </c>
      <c r="GO87" s="153">
        <v>176.24600000000001</v>
      </c>
      <c r="GP87" s="153">
        <f t="shared" si="128"/>
        <v>176.24600000000001</v>
      </c>
      <c r="GQ87" s="295"/>
      <c r="GR87" s="153">
        <f t="shared" si="129"/>
        <v>400.10700000000003</v>
      </c>
      <c r="GS87" s="153">
        <f>FoF_RoW!$AZ57/1000</f>
        <v>680.06600000000003</v>
      </c>
      <c r="GT87" s="153">
        <f t="shared" si="15"/>
        <v>544.62</v>
      </c>
      <c r="GU87" s="23">
        <f t="shared" si="130"/>
        <v>1.3611858827763572</v>
      </c>
      <c r="GV87" s="330">
        <f>FoF_RoW!$AE57/1000</f>
        <v>57.776000000000003</v>
      </c>
      <c r="GW87" s="330">
        <f t="shared" si="16"/>
        <v>62.08400000000006</v>
      </c>
      <c r="GX87" s="153">
        <v>1135.5419999999999</v>
      </c>
      <c r="GY87" s="153">
        <v>870.28</v>
      </c>
      <c r="GZ87" s="153">
        <f t="shared" si="131"/>
        <v>2.1751181558932982</v>
      </c>
      <c r="HA87" s="153">
        <f t="shared" si="22"/>
        <v>135.446</v>
      </c>
      <c r="HB87" s="153">
        <v>187.96600000000001</v>
      </c>
      <c r="HC87" s="153">
        <v>265.262</v>
      </c>
      <c r="HD87" s="186">
        <f t="shared" si="132"/>
        <v>5.5440169754590651E-2</v>
      </c>
      <c r="HE87" s="503">
        <f t="shared" si="133"/>
        <v>5.7929503857718057E-2</v>
      </c>
      <c r="HF87" s="663"/>
      <c r="HV87" s="186">
        <f t="shared" si="152"/>
        <v>3.9942515132391901E-2</v>
      </c>
      <c r="HW87" s="308">
        <f t="shared" si="153"/>
        <v>8.4052781850451425E-2</v>
      </c>
      <c r="HX87" s="308">
        <f t="shared" si="154"/>
        <v>3.357279510981291E-3</v>
      </c>
      <c r="HY87" s="313">
        <f t="shared" si="155"/>
        <v>0</v>
      </c>
      <c r="HZ87" s="23">
        <f t="shared" si="156"/>
        <v>3.937515297758061E-2</v>
      </c>
      <c r="IA87" s="23">
        <f t="shared" si="157"/>
        <v>6.0856884639168586E-2</v>
      </c>
      <c r="IB87" s="23">
        <f t="shared" si="158"/>
        <v>-3.7438050800526444E-2</v>
      </c>
      <c r="IC87" s="23">
        <f t="shared" si="159"/>
        <v>2.3333487740755669E-2</v>
      </c>
      <c r="ID87" s="23">
        <f t="shared" si="160"/>
        <v>-5.4600459487191971E-3</v>
      </c>
      <c r="IE87" s="23">
        <f t="shared" si="161"/>
        <v>-3.2667032179378386E-2</v>
      </c>
      <c r="IF87" s="23">
        <f t="shared" si="162"/>
        <v>3.7625577885619821E-2</v>
      </c>
      <c r="IG87" s="23">
        <f t="shared" si="163"/>
        <v>3.8697574008549819E-2</v>
      </c>
      <c r="IH87" s="23">
        <f t="shared" si="164"/>
        <v>-1.0719961229299982E-3</v>
      </c>
      <c r="II87" s="23"/>
      <c r="IJ87" s="23"/>
      <c r="IK87" s="848"/>
      <c r="IL87" s="332"/>
      <c r="IM87" s="330">
        <v>168042</v>
      </c>
      <c r="IN87" s="330"/>
      <c r="IP87" s="76">
        <v>13830</v>
      </c>
      <c r="IQ87" s="76">
        <v>4243</v>
      </c>
      <c r="IR87" s="76"/>
      <c r="IS87" s="76"/>
      <c r="IT87" s="76"/>
      <c r="IU87" s="23"/>
      <c r="IV87" s="330">
        <v>206354</v>
      </c>
      <c r="IW87" s="330"/>
      <c r="IX87" s="330">
        <v>27847</v>
      </c>
      <c r="IY87" s="330"/>
      <c r="IZ87" s="330">
        <v>11583</v>
      </c>
      <c r="JA87" s="76">
        <v>18052</v>
      </c>
      <c r="JB87" s="76">
        <v>15493</v>
      </c>
      <c r="JC87" s="76">
        <v>8817</v>
      </c>
      <c r="JD87" s="76">
        <v>-4620</v>
      </c>
      <c r="JE87" s="312"/>
      <c r="JK87" s="23">
        <f t="shared" si="169"/>
        <v>0.16042541418481268</v>
      </c>
      <c r="JL87" s="23">
        <f t="shared" si="170"/>
        <v>0.13494771121470869</v>
      </c>
      <c r="JM87" s="655">
        <f t="shared" si="171"/>
        <v>0</v>
      </c>
    </row>
    <row r="88" spans="2:273">
      <c r="B88" s="451">
        <v>1996</v>
      </c>
      <c r="C88" s="43">
        <v>6899.4</v>
      </c>
      <c r="D88" s="5">
        <v>786.1</v>
      </c>
      <c r="E88" s="6">
        <f t="shared" si="172"/>
        <v>0.11393744383569587</v>
      </c>
      <c r="F88" s="454">
        <f t="shared" si="173"/>
        <v>0</v>
      </c>
      <c r="G88" s="76">
        <f t="shared" si="174"/>
        <v>684.1</v>
      </c>
      <c r="H88" s="23">
        <f t="shared" si="175"/>
        <v>9.9153549584021811E-2</v>
      </c>
      <c r="I88" s="455">
        <v>102</v>
      </c>
      <c r="J88" s="460">
        <f t="shared" si="176"/>
        <v>1.4783894251674059E-2</v>
      </c>
      <c r="K88" s="6">
        <f t="shared" si="177"/>
        <v>0.1297544841623203</v>
      </c>
      <c r="L88" s="136">
        <v>139.39999999999998</v>
      </c>
      <c r="M88" s="136">
        <f t="shared" si="180"/>
        <v>37.399999999999977</v>
      </c>
      <c r="N88" s="460">
        <f t="shared" si="178"/>
        <v>2.0204655477287878E-2</v>
      </c>
      <c r="O88" s="460">
        <f t="shared" si="181"/>
        <v>5.4207612256138181E-3</v>
      </c>
      <c r="P88" s="449">
        <f t="shared" si="182"/>
        <v>4.7576644192850751E-2</v>
      </c>
      <c r="Q88" s="5">
        <f t="shared" si="179"/>
        <v>786.1</v>
      </c>
      <c r="R88" s="169">
        <f t="shared" si="183"/>
        <v>37.399999999999977</v>
      </c>
      <c r="S88" s="174"/>
      <c r="U88" s="76">
        <f t="shared" si="47"/>
        <v>23.993000000000002</v>
      </c>
      <c r="W88" s="23">
        <f t="shared" si="48"/>
        <v>0.6415240641711234</v>
      </c>
      <c r="X88" s="182">
        <v>33.091999999999999</v>
      </c>
      <c r="Y88" s="79">
        <f t="shared" si="49"/>
        <v>-1.0000000000029985E-3</v>
      </c>
      <c r="Z88" s="79">
        <f t="shared" si="50"/>
        <v>23.993000000000002</v>
      </c>
      <c r="AA88" s="159">
        <v>15.487</v>
      </c>
      <c r="AB88" s="159">
        <v>8.5060000000000002</v>
      </c>
      <c r="AC88" s="79">
        <f t="shared" si="51"/>
        <v>9.1</v>
      </c>
      <c r="AD88" s="79">
        <v>10.548</v>
      </c>
      <c r="AE88" s="79">
        <v>1.448</v>
      </c>
      <c r="AF88" s="23">
        <f t="shared" si="52"/>
        <v>0.35452006835326966</v>
      </c>
      <c r="AG88" s="23">
        <f t="shared" si="53"/>
        <v>1.3418140185727007E-2</v>
      </c>
      <c r="AH88" s="450">
        <v>2.0470000000000002</v>
      </c>
      <c r="AI88" s="79">
        <f t="shared" si="54"/>
        <v>31.044999999999998</v>
      </c>
      <c r="AJ88" s="79">
        <f t="shared" si="55"/>
        <v>0.63799999999999812</v>
      </c>
      <c r="AK88" s="79">
        <v>28.7</v>
      </c>
      <c r="AL88" s="23">
        <f t="shared" si="56"/>
        <v>0.53961672473867595</v>
      </c>
      <c r="AM88" s="182">
        <v>30.407</v>
      </c>
      <c r="AN88" s="79">
        <v>0.53</v>
      </c>
      <c r="AO88" s="79">
        <v>5.2709999999999999</v>
      </c>
      <c r="AP88" s="79">
        <v>0.26600000000000001</v>
      </c>
      <c r="AQ88" s="79">
        <v>0.91600000000000004</v>
      </c>
      <c r="AR88" s="79">
        <v>0.71299999999999997</v>
      </c>
      <c r="AS88" s="79">
        <v>-5.2999999999999999E-2</v>
      </c>
      <c r="AT88" s="79">
        <v>0.54</v>
      </c>
      <c r="AU88" s="79">
        <v>-5.1999999999999998E-2</v>
      </c>
      <c r="AV88" s="79">
        <f t="shared" si="27"/>
        <v>7.644000000000001</v>
      </c>
      <c r="AW88" s="79">
        <f t="shared" si="28"/>
        <v>22.762999999999998</v>
      </c>
      <c r="AX88" s="23">
        <f t="shared" si="29"/>
        <v>1.74301969941132E-2</v>
      </c>
      <c r="AY88" s="23">
        <f t="shared" si="30"/>
        <v>0.17334824218107672</v>
      </c>
      <c r="AZ88" s="23">
        <f t="shared" si="31"/>
        <v>8.7479856611964359E-3</v>
      </c>
      <c r="BA88" s="23">
        <f t="shared" si="32"/>
        <v>3.0124642352089979E-2</v>
      </c>
      <c r="BB88" s="23">
        <f t="shared" si="33"/>
        <v>2.3448548031703226E-2</v>
      </c>
      <c r="BC88" s="23">
        <f t="shared" si="34"/>
        <v>-1.7430196994113196E-3</v>
      </c>
      <c r="BD88" s="23">
        <f t="shared" si="35"/>
        <v>1.7759068635511559E-2</v>
      </c>
      <c r="BE88" s="23">
        <f t="shared" si="36"/>
        <v>-1.7101325352714834E-3</v>
      </c>
      <c r="BF88" s="23">
        <f t="shared" si="37"/>
        <v>0.25138948268490807</v>
      </c>
      <c r="BG88" s="153">
        <v>21.417000000000002</v>
      </c>
      <c r="BH88" s="23">
        <f t="shared" si="165"/>
        <v>0.70434439438287244</v>
      </c>
      <c r="BI88" s="23">
        <f>'Assets(BoP)'!EF88</f>
        <v>0.34162446310660943</v>
      </c>
      <c r="BJ88" s="182">
        <v>6.4589999999999996</v>
      </c>
      <c r="BK88" s="79"/>
      <c r="BL88" s="79"/>
      <c r="BM88" s="79"/>
      <c r="BN88" s="79"/>
      <c r="BO88" s="79"/>
      <c r="BP88" s="79"/>
      <c r="BQ88" s="28">
        <f t="shared" si="57"/>
        <v>0</v>
      </c>
      <c r="BR88" s="23">
        <f t="shared" si="58"/>
        <v>0</v>
      </c>
      <c r="BS88" s="79"/>
      <c r="BT88" s="23">
        <f t="shared" si="59"/>
        <v>0</v>
      </c>
      <c r="BU88" s="182">
        <f t="shared" si="60"/>
        <v>21.307000000000002</v>
      </c>
      <c r="BV88" s="136">
        <f t="shared" si="61"/>
        <v>-1.0000000000012221E-3</v>
      </c>
      <c r="BW88" s="153">
        <f t="shared" si="62"/>
        <v>6.955258527478414E-2</v>
      </c>
      <c r="BX88" s="153">
        <f t="shared" si="63"/>
        <v>3.5407186144707206</v>
      </c>
      <c r="BY88" s="153">
        <f t="shared" si="64"/>
        <v>0.13276407569369178</v>
      </c>
      <c r="BZ88" s="153">
        <f t="shared" si="65"/>
        <v>0.38999585511549095</v>
      </c>
      <c r="CA88" s="153">
        <f t="shared" si="66"/>
        <v>0.1140840285362672</v>
      </c>
      <c r="CB88" s="153">
        <f t="shared" si="67"/>
        <v>-7.0475176724884736E-2</v>
      </c>
      <c r="CC88" s="153">
        <f t="shared" si="68"/>
        <v>4.17663998236607</v>
      </c>
      <c r="CD88" s="153">
        <f t="shared" si="69"/>
        <v>16.421792998375338</v>
      </c>
      <c r="CE88" s="23">
        <f t="shared" si="70"/>
        <v>3.2643068134783938E-3</v>
      </c>
      <c r="CF88" s="23">
        <f t="shared" si="71"/>
        <v>0.16617630893465624</v>
      </c>
      <c r="CG88" s="23">
        <f t="shared" si="72"/>
        <v>6.2310074479603773E-3</v>
      </c>
      <c r="CH88" s="23">
        <f t="shared" si="73"/>
        <v>1.8303649275613221E-2</v>
      </c>
      <c r="CI88" s="23">
        <f t="shared" si="74"/>
        <v>5.3542980492921194E-3</v>
      </c>
      <c r="CJ88" s="23">
        <f t="shared" si="75"/>
        <v>-3.3076067360437757E-3</v>
      </c>
      <c r="CK88" s="23">
        <f t="shared" si="76"/>
        <v>0.19602196378495657</v>
      </c>
      <c r="CL88" s="23">
        <f t="shared" si="77"/>
        <v>0.80397803621504349</v>
      </c>
      <c r="CM88" s="23">
        <f t="shared" si="78"/>
        <v>9.3260672249807532E-3</v>
      </c>
      <c r="CN88" s="23">
        <f t="shared" si="79"/>
        <v>3.8250576967870001E-2</v>
      </c>
      <c r="CO88" s="23">
        <f t="shared" si="184"/>
        <v>1.0625882606541685E-3</v>
      </c>
      <c r="CP88" s="448">
        <f t="shared" si="185"/>
        <v>0</v>
      </c>
      <c r="CQ88" s="448">
        <f t="shared" si="186"/>
        <v>1.0625882606541685E-3</v>
      </c>
      <c r="CR88" s="23">
        <f t="shared" si="187"/>
        <v>4.3581729649596499E-3</v>
      </c>
      <c r="CS88" s="326">
        <v>9.1</v>
      </c>
      <c r="CT88" s="153">
        <v>1.448</v>
      </c>
      <c r="CU88" s="153">
        <v>10.548</v>
      </c>
      <c r="CV88" s="384">
        <f t="shared" si="134"/>
        <v>0.46044741472521589</v>
      </c>
      <c r="CW88" s="384">
        <f t="shared" si="135"/>
        <v>1.7302813855292791</v>
      </c>
      <c r="CX88" s="384">
        <f t="shared" si="136"/>
        <v>0.13323592430630823</v>
      </c>
      <c r="CY88" s="384">
        <f t="shared" si="137"/>
        <v>0.52600414488450908</v>
      </c>
      <c r="CZ88" s="384">
        <f t="shared" si="138"/>
        <v>0.59891597146373277</v>
      </c>
      <c r="DA88" s="153">
        <f t="shared" si="139"/>
        <v>1.8475176724884732E-2</v>
      </c>
      <c r="DB88" s="153">
        <f t="shared" si="85"/>
        <v>3.4673600176339301</v>
      </c>
      <c r="DC88" s="153">
        <f t="shared" si="86"/>
        <v>6.341207001624662</v>
      </c>
      <c r="DD88" s="153">
        <f t="shared" si="87"/>
        <v>-0.70856701925859245</v>
      </c>
      <c r="DE88" s="23">
        <f t="shared" si="88"/>
        <v>0.38102857336636597</v>
      </c>
      <c r="DF88" s="149">
        <v>14.262</v>
      </c>
      <c r="DG88" s="153">
        <v>1.36</v>
      </c>
      <c r="DH88" s="153">
        <v>8.3629999999999995</v>
      </c>
      <c r="DI88" s="153">
        <v>-3.8170000000000002</v>
      </c>
      <c r="DJ88" s="153">
        <v>1.3620000000000001</v>
      </c>
      <c r="DK88" s="153">
        <v>-2.9420000000000002</v>
      </c>
      <c r="DL88" s="153">
        <v>-0.498</v>
      </c>
      <c r="DM88" s="153">
        <f t="shared" si="38"/>
        <v>3.8279999999999985</v>
      </c>
      <c r="DN88" s="153">
        <f t="shared" si="39"/>
        <v>10.434000000000001</v>
      </c>
      <c r="DO88" s="258">
        <f t="shared" si="140"/>
        <v>14.262</v>
      </c>
      <c r="DP88" s="5">
        <v>598.02099999999996</v>
      </c>
      <c r="DQ88" s="76">
        <v>6.4370000000000003</v>
      </c>
      <c r="DR88" s="76">
        <v>75.349000000000004</v>
      </c>
      <c r="DS88" s="76">
        <v>3.6429999999999998</v>
      </c>
      <c r="DT88" s="76">
        <v>30.363</v>
      </c>
      <c r="DU88" s="76">
        <v>19.18</v>
      </c>
      <c r="DV88" s="76">
        <v>1.246</v>
      </c>
      <c r="DW88" s="76">
        <f t="shared" si="40"/>
        <v>136.21800000000002</v>
      </c>
      <c r="DX88" s="76">
        <f t="shared" si="41"/>
        <v>461.80299999999994</v>
      </c>
      <c r="DY88" s="23">
        <f t="shared" si="141"/>
        <v>0.22778129865004745</v>
      </c>
      <c r="DZ88" s="23">
        <f t="shared" si="42"/>
        <v>1.0763836052580095E-2</v>
      </c>
      <c r="EA88" s="23">
        <f t="shared" si="43"/>
        <v>0.12599724758829542</v>
      </c>
      <c r="EB88" s="23">
        <f t="shared" si="44"/>
        <v>6.0917593194887805E-3</v>
      </c>
      <c r="EC88" s="23">
        <f t="shared" si="45"/>
        <v>5.0772464512115797E-2</v>
      </c>
      <c r="ED88" s="23">
        <f t="shared" si="46"/>
        <v>3.2072452305186606E-2</v>
      </c>
      <c r="EE88" s="23">
        <f t="shared" si="142"/>
        <v>2.083538872380736E-3</v>
      </c>
      <c r="EF88" s="149">
        <v>149.708</v>
      </c>
      <c r="EG88" s="322">
        <f t="shared" si="143"/>
        <v>6.4190000000000005</v>
      </c>
      <c r="EH88" s="322">
        <f t="shared" si="144"/>
        <v>30.845512831006261</v>
      </c>
      <c r="EI88" s="324">
        <f t="shared" si="145"/>
        <v>0.99307173808377414</v>
      </c>
      <c r="EJ88" s="322">
        <f t="shared" si="146"/>
        <v>6.0590714973519493</v>
      </c>
      <c r="EK88" s="322">
        <f t="shared" si="147"/>
        <v>4.894833895040926</v>
      </c>
      <c r="EL88" s="322">
        <f t="shared" si="148"/>
        <v>3.1000000000000028E-2</v>
      </c>
      <c r="EM88" s="330">
        <f t="shared" si="89"/>
        <v>49.242489961482903</v>
      </c>
      <c r="EN88" s="330">
        <f t="shared" si="90"/>
        <v>100.4655100385171</v>
      </c>
      <c r="EO88" s="23">
        <f t="shared" si="91"/>
        <v>0.32892357096135749</v>
      </c>
      <c r="EP88" s="258">
        <v>197.357</v>
      </c>
      <c r="EQ88" s="153">
        <f t="shared" si="92"/>
        <v>9.5137</v>
      </c>
      <c r="ER88" s="153">
        <f t="shared" si="93"/>
        <v>32.999677565838702</v>
      </c>
      <c r="ES88" s="153">
        <f t="shared" si="149"/>
        <v>3.1065499989533394</v>
      </c>
      <c r="ET88" s="153">
        <f t="shared" si="150"/>
        <v>11.389419594828334</v>
      </c>
      <c r="EU88" s="153">
        <f t="shared" si="94"/>
        <v>13.788147310443971</v>
      </c>
      <c r="EV88" s="153">
        <f t="shared" si="94"/>
        <v>0.47442857142857148</v>
      </c>
      <c r="EW88" s="153">
        <f t="shared" si="95"/>
        <v>71.271923041492926</v>
      </c>
      <c r="EX88" s="153">
        <f t="shared" si="96"/>
        <v>126.08507695850707</v>
      </c>
      <c r="EY88" s="23">
        <f t="shared" si="97"/>
        <v>0.36113197424714061</v>
      </c>
      <c r="EZ88" s="258">
        <v>47.649000000000001</v>
      </c>
      <c r="FA88" s="316">
        <f t="shared" si="168"/>
        <v>3.0947</v>
      </c>
      <c r="FB88" s="484">
        <f t="shared" si="98"/>
        <v>2.15416473483244</v>
      </c>
      <c r="FC88" s="483">
        <f t="shared" si="166"/>
        <v>2.1134782608695653</v>
      </c>
      <c r="FD88" s="484">
        <f t="shared" si="99"/>
        <v>5.330348097476385</v>
      </c>
      <c r="FE88" s="316">
        <f t="shared" si="100"/>
        <v>8.8933134154030462</v>
      </c>
      <c r="FF88" s="316">
        <f t="shared" si="167"/>
        <v>0.44342857142857145</v>
      </c>
      <c r="FG88" s="153">
        <f t="shared" si="101"/>
        <v>22.029433080010008</v>
      </c>
      <c r="FH88" s="153">
        <f t="shared" si="102"/>
        <v>25.619566919989992</v>
      </c>
      <c r="FI88" s="23">
        <f t="shared" si="103"/>
        <v>0.46232729081428797</v>
      </c>
      <c r="FJ88" s="23"/>
      <c r="FK88" s="448">
        <f t="shared" si="104"/>
        <v>1.5518331565015165E-2</v>
      </c>
      <c r="FL88" s="448">
        <f t="shared" si="105"/>
        <v>5.3446292758807641E-2</v>
      </c>
      <c r="FM88" s="23"/>
      <c r="FN88" s="23"/>
      <c r="FO88" s="326">
        <v>448.31299999999999</v>
      </c>
      <c r="FP88" s="483">
        <f t="shared" si="106"/>
        <v>0</v>
      </c>
      <c r="FQ88" s="322">
        <f t="shared" si="107"/>
        <v>1.7999999999999794E-2</v>
      </c>
      <c r="FR88" s="322">
        <f t="shared" si="108"/>
        <v>44.503487168993743</v>
      </c>
      <c r="FS88" s="322">
        <f t="shared" si="109"/>
        <v>2.6499282619162257</v>
      </c>
      <c r="FT88" s="322">
        <f t="shared" si="110"/>
        <v>24.303928502648048</v>
      </c>
      <c r="FU88" s="322">
        <f t="shared" si="111"/>
        <v>14.285166104959075</v>
      </c>
      <c r="FV88" s="322">
        <f t="shared" si="112"/>
        <v>1.2149999999999999</v>
      </c>
      <c r="FW88" s="322">
        <f t="shared" si="113"/>
        <v>86.975510038517115</v>
      </c>
      <c r="FX88" s="322">
        <f t="shared" si="114"/>
        <v>0</v>
      </c>
      <c r="FY88" s="322">
        <f t="shared" si="115"/>
        <v>361.33748996148285</v>
      </c>
      <c r="FZ88" s="367">
        <f t="shared" si="116"/>
        <v>0.19400621895532166</v>
      </c>
      <c r="GA88" s="248">
        <f t="shared" si="117"/>
        <v>4.0150519837702215E-5</v>
      </c>
      <c r="GB88" s="248">
        <f t="shared" si="118"/>
        <v>9.9268785801423884E-2</v>
      </c>
      <c r="GC88" s="248">
        <f t="shared" si="119"/>
        <v>5.9108887360309111E-3</v>
      </c>
      <c r="GD88" s="248">
        <f t="shared" si="120"/>
        <v>5.4211964637759888E-2</v>
      </c>
      <c r="GE88" s="248">
        <f t="shared" si="121"/>
        <v>3.1864269171224292E-2</v>
      </c>
      <c r="GF88" s="248">
        <f t="shared" si="122"/>
        <v>2.7101600890449304E-3</v>
      </c>
      <c r="GG88" s="248">
        <f t="shared" si="123"/>
        <v>6.4978548859321097E-2</v>
      </c>
      <c r="GH88" s="23">
        <f t="shared" si="124"/>
        <v>5.2372306281920585E-2</v>
      </c>
      <c r="GI88" s="23">
        <f t="shared" si="125"/>
        <v>1.2606242577400516E-2</v>
      </c>
      <c r="GJ88" s="326">
        <v>290.666</v>
      </c>
      <c r="GK88" s="153">
        <f t="shared" si="151"/>
        <v>0</v>
      </c>
      <c r="GL88" s="153">
        <f t="shared" si="126"/>
        <v>149.708</v>
      </c>
      <c r="GM88" s="153">
        <f t="shared" si="127"/>
        <v>47.649000000000001</v>
      </c>
      <c r="GN88" s="153">
        <v>93.308999999999997</v>
      </c>
      <c r="GO88" s="153">
        <v>197.357</v>
      </c>
      <c r="GP88" s="153">
        <f t="shared" si="128"/>
        <v>197.357</v>
      </c>
      <c r="GQ88" s="295"/>
      <c r="GR88" s="153">
        <f t="shared" si="129"/>
        <v>448.31299999999999</v>
      </c>
      <c r="GS88" s="153">
        <f>FoF_RoW!$AZ58/1000</f>
        <v>745.61900000000003</v>
      </c>
      <c r="GT88" s="153">
        <f t="shared" si="15"/>
        <v>595.91100000000006</v>
      </c>
      <c r="GU88" s="23">
        <f t="shared" si="130"/>
        <v>1.3292298015002912</v>
      </c>
      <c r="GV88" s="330">
        <f>FoF_RoW!$AE58/1000</f>
        <v>86.503</v>
      </c>
      <c r="GW88" s="330">
        <f t="shared" si="16"/>
        <v>65.552999999999997</v>
      </c>
      <c r="GX88" s="153">
        <v>1370.076</v>
      </c>
      <c r="GY88" s="153">
        <v>1079.4100000000001</v>
      </c>
      <c r="GZ88" s="153">
        <f t="shared" si="131"/>
        <v>2.4077151454452586</v>
      </c>
      <c r="HA88" s="153">
        <f t="shared" si="22"/>
        <v>149.708</v>
      </c>
      <c r="HB88" s="153">
        <v>208.76900000000001</v>
      </c>
      <c r="HC88" s="153">
        <v>290.666</v>
      </c>
      <c r="HD88" s="186">
        <f t="shared" si="132"/>
        <v>5.3518412359222244E-2</v>
      </c>
      <c r="HE88" s="503">
        <f t="shared" si="133"/>
        <v>4.8952406019901279E-2</v>
      </c>
      <c r="HF88" s="663"/>
      <c r="HV88" s="186">
        <f t="shared" si="152"/>
        <v>3.8889194134052972E-2</v>
      </c>
      <c r="HW88" s="308">
        <f t="shared" si="153"/>
        <v>8.6371423602052369E-2</v>
      </c>
      <c r="HX88" s="308">
        <f t="shared" si="154"/>
        <v>3.3589150600947392E-3</v>
      </c>
      <c r="HY88" s="313">
        <f t="shared" si="155"/>
        <v>0</v>
      </c>
      <c r="HZ88" s="23">
        <f t="shared" si="156"/>
        <v>3.1617588488422954</v>
      </c>
      <c r="IA88" s="23">
        <f t="shared" si="157"/>
        <v>6.510065260159062E-2</v>
      </c>
      <c r="IB88" s="23">
        <f t="shared" si="158"/>
        <v>4.0995334054820191E-2</v>
      </c>
      <c r="IC88" s="23">
        <f t="shared" si="159"/>
        <v>1.3130204278653747E-2</v>
      </c>
      <c r="ID88" s="23">
        <f t="shared" si="160"/>
        <v>6.5347281361326113E-3</v>
      </c>
      <c r="IE88" s="23">
        <f t="shared" si="161"/>
        <v>-4.7462200110266327E-2</v>
      </c>
      <c r="IF88" s="23">
        <f t="shared" si="162"/>
        <v>3.9293256913207682E-2</v>
      </c>
      <c r="IG88" s="23">
        <f t="shared" si="163"/>
        <v>3.7187374758127605E-2</v>
      </c>
      <c r="IH88" s="23">
        <f t="shared" si="164"/>
        <v>2.1058821550800771E-3</v>
      </c>
      <c r="II88" s="23"/>
      <c r="IJ88" s="23"/>
      <c r="IK88" s="848"/>
      <c r="IL88" s="332"/>
      <c r="IM88" s="330">
        <v>180226</v>
      </c>
      <c r="IN88" s="330"/>
      <c r="IP88" s="76">
        <v>18517</v>
      </c>
      <c r="IQ88" s="76">
        <v>11965</v>
      </c>
      <c r="IR88" s="76"/>
      <c r="IS88" s="66"/>
      <c r="IT88" s="66"/>
      <c r="IU88" s="23"/>
      <c r="IV88" s="330">
        <v>220637</v>
      </c>
      <c r="IW88" s="330"/>
      <c r="IX88" s="330">
        <v>43007</v>
      </c>
      <c r="IY88" s="330"/>
      <c r="IZ88" s="330">
        <v>9932</v>
      </c>
      <c r="JA88" s="76">
        <v>24284</v>
      </c>
      <c r="JB88" s="76">
        <v>24379</v>
      </c>
      <c r="JC88" s="76">
        <v>9177</v>
      </c>
      <c r="JD88" s="76">
        <v>-1289</v>
      </c>
      <c r="JE88" s="312"/>
      <c r="JK88" s="23">
        <f t="shared" si="169"/>
        <v>0.19350747141562125</v>
      </c>
      <c r="JL88" s="23">
        <f t="shared" si="170"/>
        <v>0.194921975915191</v>
      </c>
      <c r="JM88" s="655">
        <f t="shared" si="171"/>
        <v>0</v>
      </c>
    </row>
    <row r="89" spans="2:273">
      <c r="B89" s="451">
        <v>1997</v>
      </c>
      <c r="C89" s="43">
        <v>7380.4</v>
      </c>
      <c r="D89" s="5">
        <v>865.8</v>
      </c>
      <c r="E89" s="6">
        <f t="shared" si="172"/>
        <v>0.1173107148664029</v>
      </c>
      <c r="F89" s="454">
        <f t="shared" si="173"/>
        <v>0</v>
      </c>
      <c r="G89" s="76">
        <f t="shared" si="174"/>
        <v>758.19999999999993</v>
      </c>
      <c r="H89" s="23">
        <f t="shared" si="175"/>
        <v>0.10273155926508049</v>
      </c>
      <c r="I89" s="455">
        <v>107.6</v>
      </c>
      <c r="J89" s="460">
        <f t="shared" si="176"/>
        <v>1.4579155601322422E-2</v>
      </c>
      <c r="K89" s="6">
        <f t="shared" si="177"/>
        <v>0.12427812427812428</v>
      </c>
      <c r="L89" s="136">
        <v>155.5</v>
      </c>
      <c r="M89" s="136">
        <f t="shared" si="180"/>
        <v>47.900000000000006</v>
      </c>
      <c r="N89" s="460">
        <f t="shared" si="178"/>
        <v>2.1069318736111866E-2</v>
      </c>
      <c r="O89" s="460">
        <f t="shared" si="181"/>
        <v>6.4901631347894437E-3</v>
      </c>
      <c r="P89" s="449">
        <f t="shared" si="182"/>
        <v>5.5324555324555331E-2</v>
      </c>
      <c r="Q89" s="5">
        <f t="shared" si="179"/>
        <v>865.8</v>
      </c>
      <c r="R89" s="169">
        <f t="shared" si="183"/>
        <v>47.900000000000006</v>
      </c>
      <c r="S89" s="174"/>
      <c r="U89" s="76">
        <f t="shared" si="47"/>
        <v>33.768999999999998</v>
      </c>
      <c r="W89" s="23">
        <f t="shared" si="48"/>
        <v>0.70498956158663872</v>
      </c>
      <c r="X89" s="182">
        <v>42.951999999999998</v>
      </c>
      <c r="Y89" s="79">
        <f t="shared" si="49"/>
        <v>9.9999999999944578E-4</v>
      </c>
      <c r="Z89" s="79">
        <f t="shared" si="50"/>
        <v>33.768999999999998</v>
      </c>
      <c r="AA89" s="159">
        <v>18.800999999999998</v>
      </c>
      <c r="AB89" s="159">
        <v>14.968</v>
      </c>
      <c r="AC89" s="79">
        <f t="shared" si="51"/>
        <v>9.1820000000000004</v>
      </c>
      <c r="AD89" s="79">
        <v>10.984</v>
      </c>
      <c r="AE89" s="79">
        <v>1.802</v>
      </c>
      <c r="AF89" s="23">
        <f t="shared" si="52"/>
        <v>0.44324676478426961</v>
      </c>
      <c r="AG89" s="23">
        <f t="shared" si="53"/>
        <v>1.2686532686532687E-2</v>
      </c>
      <c r="AH89" s="450">
        <v>2.2040000000000002</v>
      </c>
      <c r="AI89" s="79">
        <f t="shared" si="54"/>
        <v>40.747999999999998</v>
      </c>
      <c r="AJ89" s="79">
        <f t="shared" si="55"/>
        <v>0.80299999999999727</v>
      </c>
      <c r="AK89" s="79">
        <v>32.799999999999997</v>
      </c>
      <c r="AL89" s="23">
        <f t="shared" si="56"/>
        <v>0.57320121951219516</v>
      </c>
      <c r="AM89" s="182">
        <v>39.945</v>
      </c>
      <c r="AN89" s="79">
        <v>0.54</v>
      </c>
      <c r="AO89" s="79">
        <v>6.5990000000000002</v>
      </c>
      <c r="AP89" s="79">
        <v>0.45100000000000001</v>
      </c>
      <c r="AQ89" s="79">
        <v>3.3740000000000001</v>
      </c>
      <c r="AR89" s="79">
        <v>0.75700000000000001</v>
      </c>
      <c r="AS89" s="79">
        <v>0.22700000000000001</v>
      </c>
      <c r="AT89" s="79">
        <v>0.39600000000000002</v>
      </c>
      <c r="AU89" s="79">
        <v>0.05</v>
      </c>
      <c r="AV89" s="79">
        <f t="shared" si="27"/>
        <v>11.771000000000001</v>
      </c>
      <c r="AW89" s="79">
        <f t="shared" si="28"/>
        <v>28.173999999999999</v>
      </c>
      <c r="AX89" s="23">
        <f t="shared" si="29"/>
        <v>1.3518588058580548E-2</v>
      </c>
      <c r="AY89" s="23">
        <f t="shared" si="30"/>
        <v>0.16520215296032045</v>
      </c>
      <c r="AZ89" s="23">
        <f t="shared" si="31"/>
        <v>1.1290524471147829E-2</v>
      </c>
      <c r="BA89" s="23">
        <f t="shared" si="32"/>
        <v>8.446614094379773E-2</v>
      </c>
      <c r="BB89" s="23">
        <f t="shared" si="33"/>
        <v>1.8951057704343473E-2</v>
      </c>
      <c r="BC89" s="23">
        <f t="shared" si="34"/>
        <v>5.6828138690699715E-3</v>
      </c>
      <c r="BD89" s="23">
        <f t="shared" si="35"/>
        <v>9.9136312429590687E-3</v>
      </c>
      <c r="BE89" s="23">
        <f t="shared" si="36"/>
        <v>1.251721116535236E-3</v>
      </c>
      <c r="BF89" s="23">
        <f t="shared" si="37"/>
        <v>0.29468018525472522</v>
      </c>
      <c r="BG89" s="153">
        <v>25.234000000000002</v>
      </c>
      <c r="BH89" s="23">
        <f t="shared" si="165"/>
        <v>0.63171861309300292</v>
      </c>
      <c r="BI89" s="23">
        <f>'Assets(BoP)'!EF89</f>
        <v>0.32825352596522706</v>
      </c>
      <c r="BJ89" s="182">
        <v>12.763999999999999</v>
      </c>
      <c r="BK89" s="79"/>
      <c r="BL89" s="79"/>
      <c r="BM89" s="79"/>
      <c r="BN89" s="79"/>
      <c r="BO89" s="79"/>
      <c r="BP89" s="79"/>
      <c r="BQ89" s="28">
        <f t="shared" si="57"/>
        <v>0</v>
      </c>
      <c r="BR89" s="23">
        <f t="shared" si="58"/>
        <v>0</v>
      </c>
      <c r="BS89" s="79"/>
      <c r="BT89" s="23">
        <f t="shared" si="59"/>
        <v>0</v>
      </c>
      <c r="BU89" s="182">
        <f t="shared" si="60"/>
        <v>30.762999999999998</v>
      </c>
      <c r="BV89" s="136">
        <f t="shared" si="61"/>
        <v>9.9999999999766942E-4</v>
      </c>
      <c r="BW89" s="153">
        <f t="shared" si="62"/>
        <v>7.4388156034222941E-2</v>
      </c>
      <c r="BX89" s="153">
        <f t="shared" si="63"/>
        <v>5.0234965551662931</v>
      </c>
      <c r="BY89" s="153">
        <f t="shared" si="64"/>
        <v>0.10642895068507374</v>
      </c>
      <c r="BZ89" s="153">
        <f t="shared" si="65"/>
        <v>2.6166301685217848</v>
      </c>
      <c r="CA89" s="153">
        <f t="shared" si="66"/>
        <v>0.13204918949721134</v>
      </c>
      <c r="CB89" s="153">
        <f t="shared" si="67"/>
        <v>-1.3169731065037035E-2</v>
      </c>
      <c r="CC89" s="153">
        <f t="shared" si="68"/>
        <v>7.9398232888395484</v>
      </c>
      <c r="CD89" s="153">
        <f t="shared" si="69"/>
        <v>21.938217715906148</v>
      </c>
      <c r="CE89" s="23">
        <f t="shared" si="70"/>
        <v>2.4181047373215536E-3</v>
      </c>
      <c r="CF89" s="23">
        <f t="shared" si="71"/>
        <v>0.16329670562579376</v>
      </c>
      <c r="CG89" s="23">
        <f t="shared" si="72"/>
        <v>3.4596414746635162E-3</v>
      </c>
      <c r="CH89" s="23">
        <f t="shared" si="73"/>
        <v>8.5057704662152095E-2</v>
      </c>
      <c r="CI89" s="23">
        <f t="shared" si="74"/>
        <v>4.2924678834057586E-3</v>
      </c>
      <c r="CJ89" s="23">
        <f t="shared" si="75"/>
        <v>-4.2810295046117204E-4</v>
      </c>
      <c r="CK89" s="23">
        <f t="shared" si="76"/>
        <v>0.25809652143287554</v>
      </c>
      <c r="CL89" s="23">
        <f t="shared" si="77"/>
        <v>0.74190347856712446</v>
      </c>
      <c r="CM89" s="23">
        <f t="shared" si="78"/>
        <v>1.4279075279088404E-2</v>
      </c>
      <c r="CN89" s="23">
        <f t="shared" si="79"/>
        <v>4.1045480045466931E-2</v>
      </c>
      <c r="CO89" s="23">
        <f t="shared" si="184"/>
        <v>1.6750885286210423E-3</v>
      </c>
      <c r="CP89" s="448">
        <f t="shared" si="185"/>
        <v>0</v>
      </c>
      <c r="CQ89" s="448">
        <f t="shared" si="186"/>
        <v>1.6750885286210423E-3</v>
      </c>
      <c r="CR89" s="23">
        <f t="shared" si="187"/>
        <v>4.815074606168401E-3</v>
      </c>
      <c r="CS89" s="326">
        <v>9.1820000000000004</v>
      </c>
      <c r="CT89" s="153">
        <v>1.802</v>
      </c>
      <c r="CU89" s="153">
        <v>10.984</v>
      </c>
      <c r="CV89" s="384">
        <f t="shared" si="134"/>
        <v>0.46561184396577709</v>
      </c>
      <c r="CW89" s="384">
        <f t="shared" si="135"/>
        <v>1.5755034448337071</v>
      </c>
      <c r="CX89" s="384">
        <f t="shared" si="136"/>
        <v>0.34457104931492627</v>
      </c>
      <c r="CY89" s="384">
        <f t="shared" si="137"/>
        <v>0.75736983147821557</v>
      </c>
      <c r="CZ89" s="384">
        <f t="shared" si="138"/>
        <v>0.62495081050278867</v>
      </c>
      <c r="DA89" s="153">
        <f t="shared" si="139"/>
        <v>6.3169731065037038E-2</v>
      </c>
      <c r="DB89" s="153">
        <f t="shared" si="85"/>
        <v>3.8311767111604516</v>
      </c>
      <c r="DC89" s="153">
        <f t="shared" si="86"/>
        <v>6.235782284093851</v>
      </c>
      <c r="DD89" s="153">
        <f t="shared" si="87"/>
        <v>-0.88495899525430222</v>
      </c>
      <c r="DE89" s="23">
        <f t="shared" si="88"/>
        <v>0.4172486071836693</v>
      </c>
      <c r="DF89" s="149">
        <v>31.135999999999999</v>
      </c>
      <c r="DG89" s="153">
        <v>1.1955</v>
      </c>
      <c r="DH89" s="153">
        <v>0.97099999999999997</v>
      </c>
      <c r="DI89" s="153">
        <v>4.8274999999999997</v>
      </c>
      <c r="DJ89" s="153">
        <v>6.1669999999999998</v>
      </c>
      <c r="DK89" s="153">
        <v>1.982</v>
      </c>
      <c r="DL89" s="153">
        <v>0.99</v>
      </c>
      <c r="DM89" s="153">
        <f t="shared" si="38"/>
        <v>16.132999999999999</v>
      </c>
      <c r="DN89" s="153">
        <f t="shared" si="39"/>
        <v>15.003</v>
      </c>
      <c r="DO89" s="258">
        <f t="shared" si="140"/>
        <v>29.75800000000001</v>
      </c>
      <c r="DP89" s="5">
        <v>681.84199999999998</v>
      </c>
      <c r="DQ89" s="76">
        <v>10.394</v>
      </c>
      <c r="DR89" s="76">
        <v>84.915000000000006</v>
      </c>
      <c r="DS89" s="76">
        <v>11.686999999999999</v>
      </c>
      <c r="DT89" s="76">
        <v>37.962000000000003</v>
      </c>
      <c r="DU89" s="76">
        <v>23.969000000000001</v>
      </c>
      <c r="DV89" s="76">
        <v>2.6349999999999998</v>
      </c>
      <c r="DW89" s="76">
        <f t="shared" si="40"/>
        <v>171.56200000000001</v>
      </c>
      <c r="DX89" s="76">
        <f t="shared" si="41"/>
        <v>510.28</v>
      </c>
      <c r="DY89" s="23">
        <f t="shared" si="141"/>
        <v>0.25161547689934033</v>
      </c>
      <c r="DZ89" s="23">
        <f t="shared" si="42"/>
        <v>1.5244000809571719E-2</v>
      </c>
      <c r="EA89" s="23">
        <f t="shared" si="43"/>
        <v>0.12453764948477801</v>
      </c>
      <c r="EB89" s="23">
        <f t="shared" si="44"/>
        <v>1.7140334564312552E-2</v>
      </c>
      <c r="EC89" s="23">
        <f t="shared" si="45"/>
        <v>5.5675655063783108E-2</v>
      </c>
      <c r="ED89" s="23">
        <f t="shared" si="46"/>
        <v>3.515330531120113E-2</v>
      </c>
      <c r="EE89" s="23">
        <f t="shared" si="142"/>
        <v>3.8645316656938117E-3</v>
      </c>
      <c r="EF89" s="149">
        <v>179.46600000000001</v>
      </c>
      <c r="EG89" s="322">
        <f t="shared" si="143"/>
        <v>7.6145000000000005</v>
      </c>
      <c r="EH89" s="322">
        <f t="shared" si="144"/>
        <v>31.816512831006261</v>
      </c>
      <c r="EI89" s="324">
        <f t="shared" si="145"/>
        <v>5.8205717380837738</v>
      </c>
      <c r="EJ89" s="322">
        <f t="shared" si="146"/>
        <v>12.226071497351949</v>
      </c>
      <c r="EK89" s="322">
        <f t="shared" si="147"/>
        <v>6.8768338950409262</v>
      </c>
      <c r="EL89" s="322">
        <f t="shared" si="148"/>
        <v>1.0209999999999999</v>
      </c>
      <c r="EM89" s="330">
        <f t="shared" si="89"/>
        <v>65.375489961482913</v>
      </c>
      <c r="EN89" s="330">
        <f t="shared" si="90"/>
        <v>114.0905100385171</v>
      </c>
      <c r="EO89" s="23">
        <f t="shared" si="91"/>
        <v>0.36427785742972435</v>
      </c>
      <c r="EP89" s="258">
        <v>232.547</v>
      </c>
      <c r="EQ89" s="153">
        <f t="shared" si="92"/>
        <v>11.151300000000001</v>
      </c>
      <c r="ER89" s="153">
        <f t="shared" si="93"/>
        <v>34.243287252724087</v>
      </c>
      <c r="ES89" s="153">
        <f t="shared" si="149"/>
        <v>8.1453978250402947</v>
      </c>
      <c r="ET89" s="153">
        <f t="shared" si="150"/>
        <v>18.230975492224079</v>
      </c>
      <c r="EU89" s="153">
        <f t="shared" si="94"/>
        <v>16.895596699872968</v>
      </c>
      <c r="EV89" s="153">
        <f t="shared" si="94"/>
        <v>1.5198571428571428</v>
      </c>
      <c r="EW89" s="153">
        <f t="shared" si="95"/>
        <v>90.186414412718577</v>
      </c>
      <c r="EX89" s="153">
        <f t="shared" si="96"/>
        <v>142.36058558728143</v>
      </c>
      <c r="EY89" s="23">
        <f t="shared" si="97"/>
        <v>0.3878201585602849</v>
      </c>
      <c r="EZ89" s="258">
        <v>53.081000000000003</v>
      </c>
      <c r="FA89" s="316">
        <f t="shared" si="168"/>
        <v>3.5367999999999999</v>
      </c>
      <c r="FB89" s="484">
        <f t="shared" si="98"/>
        <v>2.4267744217178278</v>
      </c>
      <c r="FC89" s="483">
        <f t="shared" si="166"/>
        <v>2.3248260869565218</v>
      </c>
      <c r="FD89" s="484">
        <f t="shared" si="99"/>
        <v>6.0049039948721292</v>
      </c>
      <c r="FE89" s="316">
        <f t="shared" si="100"/>
        <v>10.018762804832043</v>
      </c>
      <c r="FF89" s="316">
        <f t="shared" si="167"/>
        <v>0.49885714285714289</v>
      </c>
      <c r="FG89" s="153">
        <f t="shared" si="101"/>
        <v>24.810924451235667</v>
      </c>
      <c r="FH89" s="153">
        <f t="shared" si="102"/>
        <v>28.270075548764336</v>
      </c>
      <c r="FI89" s="23">
        <f t="shared" si="103"/>
        <v>0.4674162968149746</v>
      </c>
      <c r="FJ89" s="23"/>
      <c r="FK89" s="448">
        <f t="shared" si="104"/>
        <v>1.7276257130530655E-2</v>
      </c>
      <c r="FL89" s="448">
        <f t="shared" si="105"/>
        <v>4.7233462482852928E-2</v>
      </c>
      <c r="FM89" s="23"/>
      <c r="FN89" s="23"/>
      <c r="FO89" s="326">
        <v>502.37599999999998</v>
      </c>
      <c r="FP89" s="483">
        <f t="shared" si="106"/>
        <v>0</v>
      </c>
      <c r="FQ89" s="322">
        <f t="shared" si="107"/>
        <v>2.7794999999999996</v>
      </c>
      <c r="FR89" s="322">
        <f t="shared" si="108"/>
        <v>53.098487168993742</v>
      </c>
      <c r="FS89" s="322">
        <f t="shared" si="109"/>
        <v>5.8664282619162256</v>
      </c>
      <c r="FT89" s="322">
        <f t="shared" si="110"/>
        <v>25.735928502648054</v>
      </c>
      <c r="FU89" s="322">
        <f t="shared" si="111"/>
        <v>17.092166104959077</v>
      </c>
      <c r="FV89" s="322">
        <f t="shared" si="112"/>
        <v>1.6139999999999999</v>
      </c>
      <c r="FW89" s="322">
        <f t="shared" si="113"/>
        <v>106.1865100385171</v>
      </c>
      <c r="FX89" s="322">
        <f t="shared" si="114"/>
        <v>0</v>
      </c>
      <c r="FY89" s="322">
        <f t="shared" si="115"/>
        <v>396.18948996148288</v>
      </c>
      <c r="FZ89" s="367">
        <f t="shared" si="116"/>
        <v>0.21136859650643564</v>
      </c>
      <c r="GA89" s="248">
        <f t="shared" si="117"/>
        <v>5.5327085688806786E-3</v>
      </c>
      <c r="GB89" s="248">
        <f t="shared" si="118"/>
        <v>0.10569471306151915</v>
      </c>
      <c r="GC89" s="248">
        <f t="shared" si="119"/>
        <v>1.1677365682111061E-2</v>
      </c>
      <c r="GD89" s="248">
        <f t="shared" si="120"/>
        <v>5.1228419555568054E-2</v>
      </c>
      <c r="GE89" s="248">
        <f t="shared" si="121"/>
        <v>3.4022656546011505E-2</v>
      </c>
      <c r="GF89" s="248">
        <f t="shared" si="122"/>
        <v>3.2127330923451755E-3</v>
      </c>
      <c r="GG89" s="248">
        <f t="shared" si="123"/>
        <v>6.8068939352880609E-2</v>
      </c>
      <c r="GH89" s="23">
        <f t="shared" si="124"/>
        <v>5.3681303176180542E-2</v>
      </c>
      <c r="GI89" s="23">
        <f t="shared" si="125"/>
        <v>1.4387636176700058E-2</v>
      </c>
      <c r="GJ89" s="326">
        <v>336.85300000000001</v>
      </c>
      <c r="GK89" s="153">
        <f t="shared" si="151"/>
        <v>9.9999999999056399E-4</v>
      </c>
      <c r="GL89" s="153">
        <f t="shared" si="126"/>
        <v>179.46600000000001</v>
      </c>
      <c r="GM89" s="153">
        <f t="shared" si="127"/>
        <v>53.081000000000003</v>
      </c>
      <c r="GN89" s="153">
        <v>104.30500000000001</v>
      </c>
      <c r="GO89" s="153">
        <v>232.547</v>
      </c>
      <c r="GP89" s="153">
        <f t="shared" si="128"/>
        <v>232.547</v>
      </c>
      <c r="GQ89" s="295"/>
      <c r="GR89" s="153">
        <f t="shared" si="129"/>
        <v>502.37599999999998</v>
      </c>
      <c r="GS89" s="153">
        <f>FoF_RoW!$AZ59/1000</f>
        <v>824.13599999999997</v>
      </c>
      <c r="GT89" s="153">
        <f t="shared" si="15"/>
        <v>644.66999999999996</v>
      </c>
      <c r="GU89" s="23">
        <f t="shared" si="130"/>
        <v>1.2832420338551205</v>
      </c>
      <c r="GV89" s="330">
        <f>FoF_RoW!$AE59/1000</f>
        <v>105.602</v>
      </c>
      <c r="GW89" s="330">
        <f t="shared" si="16"/>
        <v>78.516999999999939</v>
      </c>
      <c r="GX89" s="153">
        <v>1794.7950000000001</v>
      </c>
      <c r="GY89" s="153">
        <v>1457.942</v>
      </c>
      <c r="GZ89" s="153">
        <f t="shared" si="131"/>
        <v>2.9020932528623979</v>
      </c>
      <c r="HA89" s="153">
        <f t="shared" si="22"/>
        <v>179.46600000000001</v>
      </c>
      <c r="HB89" s="153">
        <v>231.18700000000001</v>
      </c>
      <c r="HC89" s="153">
        <v>336.85300000000001</v>
      </c>
      <c r="HD89" s="186">
        <f t="shared" si="132"/>
        <v>6.7218577320572639E-2</v>
      </c>
      <c r="HE89" s="503">
        <f t="shared" si="133"/>
        <v>6.2831425068076499E-2</v>
      </c>
      <c r="HF89" s="663"/>
      <c r="HV89" s="186">
        <f t="shared" si="152"/>
        <v>5.0909325010298871E-2</v>
      </c>
      <c r="HW89" s="308">
        <f t="shared" si="153"/>
        <v>8.7348924177551357E-2</v>
      </c>
      <c r="HX89" s="308">
        <f t="shared" si="154"/>
        <v>4.4468747702549145E-3</v>
      </c>
      <c r="HY89" s="313">
        <f t="shared" si="155"/>
        <v>0</v>
      </c>
      <c r="HZ89" s="23">
        <f t="shared" si="156"/>
        <v>2.225023755519288E-2</v>
      </c>
      <c r="IA89" s="23">
        <f t="shared" si="157"/>
        <v>7.8654123929319905E-2</v>
      </c>
      <c r="IB89" s="23">
        <f t="shared" si="158"/>
        <v>1.5082854904730001E-2</v>
      </c>
      <c r="IC89" s="23">
        <f t="shared" si="159"/>
        <v>8.4527892307481076E-2</v>
      </c>
      <c r="ID89" s="23">
        <f t="shared" si="160"/>
        <v>6.422974122465795E-3</v>
      </c>
      <c r="IE89" s="23">
        <f t="shared" si="161"/>
        <v>-6.7837668478667665E-3</v>
      </c>
      <c r="IF89" s="23">
        <f t="shared" si="162"/>
        <v>6.2164010694245965E-2</v>
      </c>
      <c r="IG89" s="23">
        <f t="shared" si="163"/>
        <v>4.6035824818576258E-2</v>
      </c>
      <c r="IH89" s="23">
        <f t="shared" si="164"/>
        <v>1.6128185875669707E-2</v>
      </c>
      <c r="II89" s="23"/>
      <c r="IJ89" s="23"/>
      <c r="IK89" s="848">
        <v>39754</v>
      </c>
      <c r="IL89" s="332"/>
      <c r="IM89" s="330">
        <v>195432</v>
      </c>
      <c r="IN89" s="330"/>
      <c r="IP89" s="76">
        <v>19851</v>
      </c>
      <c r="IQ89" s="76">
        <f t="shared" ref="IQ89:IQ90" si="188">JG89</f>
        <v>27408</v>
      </c>
      <c r="IR89" s="76"/>
      <c r="IS89" s="66"/>
      <c r="IT89" s="66"/>
      <c r="IU89" s="23"/>
      <c r="IV89" s="330">
        <v>233482</v>
      </c>
      <c r="IW89" s="330">
        <v>9565</v>
      </c>
      <c r="IX89" s="330">
        <v>57435</v>
      </c>
      <c r="IY89" s="330">
        <v>8045</v>
      </c>
      <c r="IZ89" s="330">
        <v>7461</v>
      </c>
      <c r="JA89" s="76">
        <v>25873</v>
      </c>
      <c r="JB89" s="76">
        <v>40924</v>
      </c>
      <c r="JC89" s="76">
        <v>9264</v>
      </c>
      <c r="JD89" s="76">
        <v>2736</v>
      </c>
      <c r="JE89" s="312"/>
      <c r="JF89" s="76">
        <v>195432</v>
      </c>
      <c r="JG89" s="76">
        <v>27408</v>
      </c>
      <c r="JK89" s="23">
        <f t="shared" si="169"/>
        <v>0.21749592798396664</v>
      </c>
      <c r="JL89" s="23">
        <f t="shared" si="170"/>
        <v>0.24599326714693209</v>
      </c>
      <c r="JM89" s="655">
        <f t="shared" si="171"/>
        <v>0</v>
      </c>
    </row>
    <row r="90" spans="2:273">
      <c r="B90" s="451">
        <v>1998</v>
      </c>
      <c r="C90" s="43">
        <v>7857.3</v>
      </c>
      <c r="D90" s="5">
        <v>804.1</v>
      </c>
      <c r="E90" s="6">
        <f t="shared" si="172"/>
        <v>0.10233795324093518</v>
      </c>
      <c r="F90" s="454">
        <f t="shared" si="173"/>
        <v>0</v>
      </c>
      <c r="G90" s="76">
        <f t="shared" si="174"/>
        <v>701.30000000000007</v>
      </c>
      <c r="H90" s="23">
        <f t="shared" si="175"/>
        <v>8.9254578544792754E-2</v>
      </c>
      <c r="I90" s="455">
        <v>102.8</v>
      </c>
      <c r="J90" s="460">
        <f t="shared" si="176"/>
        <v>1.3083374696142441E-2</v>
      </c>
      <c r="K90" s="6">
        <f t="shared" si="177"/>
        <v>0.12784479542345478</v>
      </c>
      <c r="L90" s="136">
        <v>146.69999999999999</v>
      </c>
      <c r="M90" s="136">
        <f t="shared" si="180"/>
        <v>43.899999999999991</v>
      </c>
      <c r="N90" s="460">
        <f t="shared" si="178"/>
        <v>1.8670535680195485E-2</v>
      </c>
      <c r="O90" s="460">
        <f t="shared" si="181"/>
        <v>5.5871609840530446E-3</v>
      </c>
      <c r="P90" s="449">
        <f t="shared" si="182"/>
        <v>5.4595199602039533E-2</v>
      </c>
      <c r="Q90" s="5">
        <f t="shared" si="179"/>
        <v>804.1</v>
      </c>
      <c r="R90" s="169">
        <f t="shared" si="183"/>
        <v>43.899999999999991</v>
      </c>
      <c r="S90" s="174"/>
      <c r="T90" s="76"/>
      <c r="U90" s="76">
        <f>Z90</f>
        <v>28.055999999999997</v>
      </c>
      <c r="V90" s="76"/>
      <c r="W90" s="23">
        <f t="shared" si="48"/>
        <v>0.63908883826879281</v>
      </c>
      <c r="X90" s="182">
        <v>38.417999999999999</v>
      </c>
      <c r="Y90" s="79">
        <f t="shared" si="49"/>
        <v>-9.9999999999766942E-4</v>
      </c>
      <c r="Z90" s="79">
        <f t="shared" si="50"/>
        <v>28.055999999999997</v>
      </c>
      <c r="AA90" s="159">
        <v>25.213999999999999</v>
      </c>
      <c r="AB90" s="159">
        <v>2.8420000000000001</v>
      </c>
      <c r="AC90" s="79">
        <f t="shared" si="51"/>
        <v>10.363</v>
      </c>
      <c r="AD90" s="79">
        <v>12.188000000000001</v>
      </c>
      <c r="AE90" s="79">
        <v>1.825</v>
      </c>
      <c r="AF90" s="23">
        <f t="shared" si="52"/>
        <v>0.10129740518962077</v>
      </c>
      <c r="AG90" s="23">
        <f t="shared" si="53"/>
        <v>1.5157318741450069E-2</v>
      </c>
      <c r="AH90" s="450">
        <v>4.6109999999999998</v>
      </c>
      <c r="AI90" s="79">
        <f t="shared" si="54"/>
        <v>33.807000000000002</v>
      </c>
      <c r="AJ90" s="79">
        <f t="shared" si="55"/>
        <v>1.4050000000000011</v>
      </c>
      <c r="AK90" s="79">
        <v>41</v>
      </c>
      <c r="AL90" s="23">
        <f t="shared" si="56"/>
        <v>0.61497560975609755</v>
      </c>
      <c r="AM90" s="182">
        <v>32.402000000000001</v>
      </c>
      <c r="AN90" s="79">
        <v>0.84</v>
      </c>
      <c r="AO90" s="79">
        <v>6.1390000000000002</v>
      </c>
      <c r="AP90" s="79">
        <v>1.1870000000000001</v>
      </c>
      <c r="AQ90" s="79">
        <v>0.85399999999999998</v>
      </c>
      <c r="AR90" s="79">
        <v>6.9000000000000006E-2</v>
      </c>
      <c r="AS90" s="79">
        <v>0.19400000000000001</v>
      </c>
      <c r="AT90" s="79">
        <v>-5.7000000000000002E-2</v>
      </c>
      <c r="AU90" s="79">
        <v>-2.4E-2</v>
      </c>
      <c r="AV90" s="79">
        <f t="shared" si="27"/>
        <v>9.0650000000000013</v>
      </c>
      <c r="AW90" s="79">
        <f t="shared" si="28"/>
        <v>23.337</v>
      </c>
      <c r="AX90" s="23">
        <f t="shared" si="29"/>
        <v>2.5924325658909942E-2</v>
      </c>
      <c r="AY90" s="23">
        <f t="shared" si="30"/>
        <v>0.18946361335720016</v>
      </c>
      <c r="AZ90" s="23">
        <f t="shared" si="31"/>
        <v>3.6633541139435837E-2</v>
      </c>
      <c r="BA90" s="23">
        <f t="shared" si="32"/>
        <v>2.6356397753225107E-2</v>
      </c>
      <c r="BB90" s="23">
        <f t="shared" si="33"/>
        <v>2.1294981791247455E-3</v>
      </c>
      <c r="BC90" s="23">
        <f t="shared" si="34"/>
        <v>5.9872847355101535E-3</v>
      </c>
      <c r="BD90" s="23">
        <f t="shared" si="35"/>
        <v>-1.7591506697117463E-3</v>
      </c>
      <c r="BE90" s="23">
        <f t="shared" si="36"/>
        <v>-7.4069501882599836E-4</v>
      </c>
      <c r="BF90" s="23">
        <f t="shared" si="37"/>
        <v>0.27976668106906982</v>
      </c>
      <c r="BG90" s="153">
        <v>18.989000000000001</v>
      </c>
      <c r="BH90" s="23">
        <f t="shared" si="165"/>
        <v>0.58604407135362013</v>
      </c>
      <c r="BI90" s="23">
        <f>'Assets(BoP)'!EF90</f>
        <v>0.31659976178922755</v>
      </c>
      <c r="BJ90" s="182">
        <v>-1.7689999999999999</v>
      </c>
      <c r="BK90" s="79"/>
      <c r="BL90" s="79"/>
      <c r="BM90" s="79"/>
      <c r="BN90" s="79"/>
      <c r="BO90" s="79"/>
      <c r="BP90" s="79"/>
      <c r="BQ90" s="28">
        <f t="shared" si="57"/>
        <v>0</v>
      </c>
      <c r="BR90" s="23">
        <f t="shared" si="58"/>
        <v>0</v>
      </c>
      <c r="BS90" s="79"/>
      <c r="BT90" s="23">
        <f t="shared" si="59"/>
        <v>0</v>
      </c>
      <c r="BU90" s="182">
        <f t="shared" si="60"/>
        <v>22.039000000000001</v>
      </c>
      <c r="BV90" s="136">
        <f t="shared" si="61"/>
        <v>-9.9999999999411671E-4</v>
      </c>
      <c r="BW90" s="153">
        <f t="shared" si="62"/>
        <v>0.34328145661114018</v>
      </c>
      <c r="BX90" s="153">
        <f t="shared" si="63"/>
        <v>4.6071237931177649</v>
      </c>
      <c r="BY90" s="153">
        <f t="shared" si="64"/>
        <v>0.25335094913442457</v>
      </c>
      <c r="BZ90" s="153">
        <f t="shared" si="65"/>
        <v>-0.13520584883984565</v>
      </c>
      <c r="CA90" s="153">
        <f t="shared" si="66"/>
        <v>-0.42873985838275197</v>
      </c>
      <c r="CB90" s="153">
        <f t="shared" si="67"/>
        <v>-8.5113384276751414E-2</v>
      </c>
      <c r="CC90" s="153">
        <f t="shared" si="68"/>
        <v>4.5546971073639808</v>
      </c>
      <c r="CD90" s="153">
        <f t="shared" si="69"/>
        <v>16.679198665128844</v>
      </c>
      <c r="CE90" s="23">
        <f t="shared" si="70"/>
        <v>1.557609041295613E-2</v>
      </c>
      <c r="CF90" s="23">
        <f t="shared" si="71"/>
        <v>0.2090441396214785</v>
      </c>
      <c r="CG90" s="23">
        <f t="shared" si="72"/>
        <v>1.1495573716340331E-2</v>
      </c>
      <c r="CH90" s="23">
        <f t="shared" si="73"/>
        <v>-6.1348449947749737E-3</v>
      </c>
      <c r="CI90" s="23">
        <f t="shared" si="74"/>
        <v>-1.9453689295464947E-2</v>
      </c>
      <c r="CJ90" s="23">
        <f t="shared" si="75"/>
        <v>-3.8619440209061847E-3</v>
      </c>
      <c r="CK90" s="23">
        <f t="shared" si="76"/>
        <v>0.20666532543962884</v>
      </c>
      <c r="CL90" s="23">
        <f t="shared" si="77"/>
        <v>0.7933346745603711</v>
      </c>
      <c r="CM90" s="23">
        <f t="shared" si="78"/>
        <v>1.1282934693196996E-2</v>
      </c>
      <c r="CN90" s="23">
        <f t="shared" si="79"/>
        <v>4.3312264908842532E-2</v>
      </c>
      <c r="CO90" s="23">
        <f t="shared" si="184"/>
        <v>1.1546724430529195E-3</v>
      </c>
      <c r="CP90" s="448">
        <f t="shared" si="185"/>
        <v>0</v>
      </c>
      <c r="CQ90" s="448">
        <f t="shared" si="186"/>
        <v>1.1546724430529195E-3</v>
      </c>
      <c r="CR90" s="23">
        <f t="shared" si="187"/>
        <v>4.432488541000125E-3</v>
      </c>
      <c r="CS90" s="326">
        <v>10.363</v>
      </c>
      <c r="CT90" s="153">
        <v>1.825</v>
      </c>
      <c r="CU90" s="153">
        <v>12.188000000000001</v>
      </c>
      <c r="CV90" s="384">
        <f t="shared" si="134"/>
        <v>0.49671854338885979</v>
      </c>
      <c r="CW90" s="384">
        <f t="shared" si="135"/>
        <v>1.5318762068822349</v>
      </c>
      <c r="CX90" s="384">
        <f t="shared" si="136"/>
        <v>0.93364905086557548</v>
      </c>
      <c r="CY90" s="384">
        <f t="shared" si="137"/>
        <v>0.98920584883984564</v>
      </c>
      <c r="CZ90" s="384">
        <f t="shared" si="138"/>
        <v>0.49773985838275198</v>
      </c>
      <c r="DA90" s="153">
        <f t="shared" si="138"/>
        <v>6.111338427675142E-2</v>
      </c>
      <c r="DB90" s="153">
        <f t="shared" si="85"/>
        <v>4.5103028926360187</v>
      </c>
      <c r="DC90" s="153">
        <f t="shared" ref="DC90:DC108" si="189">$FL90*EX90-$FK90*FH90</f>
        <v>6.6578013348711576</v>
      </c>
      <c r="DD90" s="153">
        <f t="shared" si="87"/>
        <v>-0.8051042275071767</v>
      </c>
      <c r="DE90" s="23">
        <f t="shared" si="88"/>
        <v>0.43523138981337633</v>
      </c>
      <c r="DF90" s="149">
        <v>29.111999999999998</v>
      </c>
      <c r="DG90" s="153">
        <v>1.0309999999999999</v>
      </c>
      <c r="DH90" s="153">
        <v>0.86299999999999999</v>
      </c>
      <c r="DI90" s="153">
        <v>13.689</v>
      </c>
      <c r="DJ90" s="153">
        <v>5.0830000000000002</v>
      </c>
      <c r="DK90" s="153">
        <v>-4.149</v>
      </c>
      <c r="DL90" s="153">
        <v>0</v>
      </c>
      <c r="DM90" s="153">
        <f t="shared" si="38"/>
        <v>16.516999999999999</v>
      </c>
      <c r="DN90" s="153">
        <f t="shared" si="39"/>
        <v>12.594999999999999</v>
      </c>
      <c r="DO90" s="258">
        <f t="shared" si="140"/>
        <v>29.111999999999995</v>
      </c>
      <c r="DP90" s="5">
        <v>778.41800000000001</v>
      </c>
      <c r="DQ90" s="76">
        <v>12.198</v>
      </c>
      <c r="DR90" s="76">
        <v>92.298000000000002</v>
      </c>
      <c r="DS90" s="76">
        <v>26.803999999999998</v>
      </c>
      <c r="DT90" s="76">
        <v>48.262999999999998</v>
      </c>
      <c r="DU90" s="76">
        <v>19.084</v>
      </c>
      <c r="DV90" s="76">
        <v>1.8280000000000001</v>
      </c>
      <c r="DW90" s="76">
        <f t="shared" si="40"/>
        <v>200.47499999999999</v>
      </c>
      <c r="DX90" s="76">
        <f t="shared" si="41"/>
        <v>577.94299999999998</v>
      </c>
      <c r="DY90" s="23">
        <f t="shared" si="141"/>
        <v>0.25754157791829069</v>
      </c>
      <c r="DZ90" s="23">
        <f t="shared" si="42"/>
        <v>1.5670244007718218E-2</v>
      </c>
      <c r="EA90" s="23">
        <f t="shared" si="43"/>
        <v>0.1185712560603686</v>
      </c>
      <c r="EB90" s="23">
        <f t="shared" si="44"/>
        <v>3.443394166116405E-2</v>
      </c>
      <c r="EC90" s="23">
        <f t="shared" si="45"/>
        <v>6.2001392568003307E-2</v>
      </c>
      <c r="ED90" s="23">
        <f t="shared" si="46"/>
        <v>2.4516390936489135E-2</v>
      </c>
      <c r="EE90" s="23">
        <f t="shared" si="142"/>
        <v>2.3483526845473768E-3</v>
      </c>
      <c r="EF90" s="149">
        <v>208.578</v>
      </c>
      <c r="EG90" s="322">
        <f t="shared" si="143"/>
        <v>8.6455000000000002</v>
      </c>
      <c r="EH90" s="322">
        <f t="shared" si="144"/>
        <v>32.679512831006264</v>
      </c>
      <c r="EI90" s="324">
        <f t="shared" si="145"/>
        <v>19.509571738083775</v>
      </c>
      <c r="EJ90" s="322">
        <f t="shared" si="146"/>
        <v>17.309071497351951</v>
      </c>
      <c r="EK90" s="322">
        <f t="shared" si="147"/>
        <v>2.7278338950409262</v>
      </c>
      <c r="EL90" s="322">
        <f t="shared" si="148"/>
        <v>1.0209999999999999</v>
      </c>
      <c r="EM90" s="330">
        <f t="shared" si="89"/>
        <v>81.892489961482923</v>
      </c>
      <c r="EN90" s="330">
        <f t="shared" si="90"/>
        <v>126.68551003851708</v>
      </c>
      <c r="EO90" s="23">
        <f t="shared" si="91"/>
        <v>0.3926228555335794</v>
      </c>
      <c r="EP90" s="258">
        <v>276.512</v>
      </c>
      <c r="EQ90" s="153">
        <f t="shared" si="92"/>
        <v>12.6244</v>
      </c>
      <c r="ER90" s="153">
        <f t="shared" si="93"/>
        <v>35.825605789988458</v>
      </c>
      <c r="ES90" s="153">
        <f t="shared" si="149"/>
        <v>22.045745651127252</v>
      </c>
      <c r="ET90" s="153">
        <f t="shared" si="150"/>
        <v>25.093884955315747</v>
      </c>
      <c r="EU90" s="153">
        <f t="shared" si="94"/>
        <v>15.716251292189412</v>
      </c>
      <c r="EV90" s="153">
        <f t="shared" si="94"/>
        <v>1.5752857142857142</v>
      </c>
      <c r="EW90" s="153">
        <f t="shared" si="95"/>
        <v>112.88117340290658</v>
      </c>
      <c r="EX90" s="153">
        <f t="shared" si="96"/>
        <v>163.6308265970934</v>
      </c>
      <c r="EY90" s="23">
        <f t="shared" si="97"/>
        <v>0.40823245791468937</v>
      </c>
      <c r="EZ90" s="258">
        <v>67.933999999999997</v>
      </c>
      <c r="FA90" s="316">
        <f t="shared" si="168"/>
        <v>3.9788999999999999</v>
      </c>
      <c r="FB90" s="484">
        <f t="shared" si="98"/>
        <v>3.1460929589821944</v>
      </c>
      <c r="FC90" s="483">
        <f t="shared" si="166"/>
        <v>2.5361739130434784</v>
      </c>
      <c r="FD90" s="484">
        <f t="shared" si="99"/>
        <v>7.7848134579637973</v>
      </c>
      <c r="FE90" s="316">
        <f t="shared" si="100"/>
        <v>12.988417397148487</v>
      </c>
      <c r="FF90" s="316">
        <f t="shared" si="167"/>
        <v>0.55428571428571427</v>
      </c>
      <c r="FG90" s="153">
        <f t="shared" si="101"/>
        <v>30.988683441423671</v>
      </c>
      <c r="FH90" s="153">
        <f t="shared" si="102"/>
        <v>36.945316558576323</v>
      </c>
      <c r="FI90" s="23">
        <f t="shared" si="103"/>
        <v>0.45615867520569481</v>
      </c>
      <c r="FJ90" s="23"/>
      <c r="FK90" s="448">
        <f t="shared" si="104"/>
        <v>1.5013038721300416E-2</v>
      </c>
      <c r="FL90" s="448">
        <f t="shared" si="105"/>
        <v>4.4077653049415577E-2</v>
      </c>
      <c r="FM90" s="23"/>
      <c r="FN90" s="23"/>
      <c r="FO90" s="326">
        <v>569.84100000000001</v>
      </c>
      <c r="FP90" s="483">
        <f t="shared" si="106"/>
        <v>9.9999999997635314E-4</v>
      </c>
      <c r="FQ90" s="322">
        <f t="shared" si="107"/>
        <v>3.5525000000000002</v>
      </c>
      <c r="FR90" s="322">
        <f t="shared" si="108"/>
        <v>59.618487168993738</v>
      </c>
      <c r="FS90" s="322">
        <f t="shared" si="109"/>
        <v>7.2944282619162237</v>
      </c>
      <c r="FT90" s="322">
        <f t="shared" si="110"/>
        <v>30.953928502648047</v>
      </c>
      <c r="FU90" s="322">
        <f t="shared" si="111"/>
        <v>16.356166104959073</v>
      </c>
      <c r="FV90" s="322">
        <f t="shared" si="112"/>
        <v>0.80700000000000016</v>
      </c>
      <c r="FW90" s="322">
        <f t="shared" si="113"/>
        <v>118.58251003851707</v>
      </c>
      <c r="FX90" s="322">
        <f t="shared" si="114"/>
        <v>0</v>
      </c>
      <c r="FY90" s="322">
        <f t="shared" si="115"/>
        <v>451.25748996148292</v>
      </c>
      <c r="FZ90" s="367">
        <f t="shared" si="116"/>
        <v>0.2080975395566782</v>
      </c>
      <c r="GA90" s="248">
        <f t="shared" si="117"/>
        <v>6.2341951526829415E-3</v>
      </c>
      <c r="GB90" s="248">
        <f t="shared" si="118"/>
        <v>0.10462302145509667</v>
      </c>
      <c r="GC90" s="248">
        <f t="shared" si="119"/>
        <v>1.2800813317953998E-2</v>
      </c>
      <c r="GD90" s="248">
        <f t="shared" si="120"/>
        <v>5.4320290225954339E-2</v>
      </c>
      <c r="GE90" s="248">
        <f t="shared" si="121"/>
        <v>2.8703034890362526E-2</v>
      </c>
      <c r="GF90" s="248">
        <f t="shared" si="122"/>
        <v>1.4161845146277649E-3</v>
      </c>
      <c r="GG90" s="248">
        <f t="shared" si="123"/>
        <v>7.2523767706464057E-2</v>
      </c>
      <c r="GH90" s="23">
        <f t="shared" si="124"/>
        <v>5.7431622817186938E-2</v>
      </c>
      <c r="GI90" s="23">
        <f t="shared" si="125"/>
        <v>1.5092017619095245E-2</v>
      </c>
      <c r="GJ90" s="326">
        <v>398.07299999999998</v>
      </c>
      <c r="GK90" s="153">
        <f t="shared" si="151"/>
        <v>0</v>
      </c>
      <c r="GL90" s="153">
        <f t="shared" si="126"/>
        <v>208.578</v>
      </c>
      <c r="GM90" s="153">
        <f t="shared" si="127"/>
        <v>67.933999999999997</v>
      </c>
      <c r="GN90" s="153">
        <v>121.56100000000001</v>
      </c>
      <c r="GO90" s="153">
        <v>276.512</v>
      </c>
      <c r="GP90" s="153">
        <f t="shared" si="128"/>
        <v>276.512</v>
      </c>
      <c r="GQ90" s="295"/>
      <c r="GR90" s="153">
        <f t="shared" si="129"/>
        <v>569.84100000000001</v>
      </c>
      <c r="GS90" s="153">
        <f>FoF_RoW!$AZ60/1000</f>
        <v>920.04399999999998</v>
      </c>
      <c r="GT90" s="153">
        <f t="shared" si="15"/>
        <v>711.46600000000001</v>
      </c>
      <c r="GU90" s="23">
        <f t="shared" si="130"/>
        <v>1.2485342402529829</v>
      </c>
      <c r="GV90" s="330">
        <f>FoF_RoW!$AE60/1000</f>
        <v>179.04400000000001</v>
      </c>
      <c r="GW90" s="330">
        <f t="shared" si="16"/>
        <v>95.908000000000015</v>
      </c>
      <c r="GX90" s="153">
        <v>2368.5300000000002</v>
      </c>
      <c r="GY90" s="153">
        <v>1970.4570000000001</v>
      </c>
      <c r="GZ90" s="153">
        <f t="shared" si="131"/>
        <v>3.4579066792315754</v>
      </c>
      <c r="HA90" s="153">
        <f t="shared" ref="HA90:HA108" si="190">EF90</f>
        <v>208.578</v>
      </c>
      <c r="HB90" s="153">
        <v>289.28800000000001</v>
      </c>
      <c r="HC90" s="153">
        <v>398.07299999999998</v>
      </c>
      <c r="HD90" s="186">
        <f t="shared" si="132"/>
        <v>4.9234786545720645E-2</v>
      </c>
      <c r="HE90" s="503">
        <f t="shared" si="133"/>
        <v>4.1143055694483191E-2</v>
      </c>
      <c r="HF90" s="663"/>
      <c r="HV90" s="186">
        <f t="shared" si="152"/>
        <v>3.6336323534112973E-2</v>
      </c>
      <c r="HW90" s="308">
        <f t="shared" si="153"/>
        <v>9.0548407213673909E-2</v>
      </c>
      <c r="HX90" s="308">
        <f t="shared" si="154"/>
        <v>3.290196220014664E-3</v>
      </c>
      <c r="HY90" s="313">
        <f t="shared" si="155"/>
        <v>0</v>
      </c>
      <c r="HZ90" s="23">
        <f t="shared" si="156"/>
        <v>9.0786035210687246E-2</v>
      </c>
      <c r="IA90" s="23">
        <f t="shared" si="157"/>
        <v>7.2602524612199459E-2</v>
      </c>
      <c r="IB90" s="23">
        <f t="shared" si="158"/>
        <v>3.2631277044039522E-2</v>
      </c>
      <c r="IC90" s="23">
        <f t="shared" si="159"/>
        <v>-4.1037651241278995E-3</v>
      </c>
      <c r="ID90" s="23">
        <f t="shared" si="160"/>
        <v>-2.4627205829355299E-2</v>
      </c>
      <c r="IE90" s="23">
        <f t="shared" si="161"/>
        <v>-9.908938133754755E-2</v>
      </c>
      <c r="IF90" s="23">
        <f t="shared" si="162"/>
        <v>3.6086241790532075E-2</v>
      </c>
      <c r="IG90" s="23">
        <f t="shared" si="163"/>
        <v>3.4725903220682162E-2</v>
      </c>
      <c r="IH90" s="23">
        <f t="shared" si="164"/>
        <v>1.3603385698499129E-3</v>
      </c>
      <c r="II90" s="23"/>
      <c r="IJ90" s="23"/>
      <c r="IK90" s="848">
        <v>39447</v>
      </c>
      <c r="IL90" s="332"/>
      <c r="IM90" s="330">
        <v>224642</v>
      </c>
      <c r="IN90" s="330"/>
      <c r="IP90" s="76">
        <v>20479</v>
      </c>
      <c r="IQ90" s="76">
        <f t="shared" si="188"/>
        <v>23266</v>
      </c>
      <c r="IR90" s="76"/>
      <c r="IS90" s="66"/>
      <c r="IT90" s="66"/>
      <c r="IU90" s="23"/>
      <c r="IV90" s="330">
        <v>262112</v>
      </c>
      <c r="IW90" s="330">
        <v>11399</v>
      </c>
      <c r="IX90" s="330">
        <v>51629</v>
      </c>
      <c r="IY90" s="330">
        <v>1703</v>
      </c>
      <c r="IZ90" s="330">
        <v>10442</v>
      </c>
      <c r="JA90" s="76">
        <v>26325</v>
      </c>
      <c r="JB90" s="76">
        <v>32312</v>
      </c>
      <c r="JC90" s="76">
        <v>7605</v>
      </c>
      <c r="JD90" s="76">
        <v>5295</v>
      </c>
      <c r="JE90" s="312"/>
      <c r="JF90" s="76">
        <v>224642</v>
      </c>
      <c r="JG90" s="76">
        <v>23266</v>
      </c>
      <c r="JK90" s="23">
        <f t="shared" si="169"/>
        <v>0.19146901595703661</v>
      </c>
      <c r="JL90" s="23">
        <f t="shared" si="170"/>
        <v>0.19697304968868271</v>
      </c>
      <c r="JM90" s="655">
        <f t="shared" si="171"/>
        <v>0</v>
      </c>
    </row>
    <row r="91" spans="2:273" s="113" customFormat="1">
      <c r="B91" s="457">
        <v>1999</v>
      </c>
      <c r="C91" s="104">
        <v>8324.4</v>
      </c>
      <c r="D91" s="8">
        <v>830.2</v>
      </c>
      <c r="E91" s="105">
        <f t="shared" si="172"/>
        <v>9.9730911537167857E-2</v>
      </c>
      <c r="F91" s="456">
        <f t="shared" si="173"/>
        <v>0</v>
      </c>
      <c r="G91" s="108">
        <f t="shared" si="174"/>
        <v>708.2</v>
      </c>
      <c r="H91" s="105">
        <f t="shared" si="175"/>
        <v>8.5075200615059354E-2</v>
      </c>
      <c r="I91" s="456">
        <v>122</v>
      </c>
      <c r="J91" s="461">
        <f t="shared" si="176"/>
        <v>1.4655710922108501E-2</v>
      </c>
      <c r="K91" s="105">
        <f t="shared" si="177"/>
        <v>0.14695254155625151</v>
      </c>
      <c r="L91" s="134">
        <v>177.3</v>
      </c>
      <c r="M91" s="134">
        <f t="shared" si="180"/>
        <v>55.300000000000011</v>
      </c>
      <c r="N91" s="461">
        <f t="shared" si="178"/>
        <v>2.1298832348277355E-2</v>
      </c>
      <c r="O91" s="461">
        <f t="shared" si="181"/>
        <v>6.6431214261688546E-3</v>
      </c>
      <c r="P91" s="462">
        <f t="shared" si="182"/>
        <v>6.661045531197303E-2</v>
      </c>
      <c r="Q91" s="8">
        <f t="shared" si="179"/>
        <v>830.2</v>
      </c>
      <c r="R91" s="170">
        <f t="shared" si="183"/>
        <v>55.300000000000011</v>
      </c>
      <c r="S91" s="456">
        <f t="shared" ref="S91:S108" si="191">R91-(V91+T91+U91)</f>
        <v>0</v>
      </c>
      <c r="T91" s="108">
        <f t="array" ref="T91:T108">TRANSPOSE(ITA_4.1!C39:T39)/1000</f>
        <v>17.058</v>
      </c>
      <c r="U91" s="108">
        <f t="array" ref="U91:U108">TRANSPOSE(ITA_4.1!C32:T32)/1000</f>
        <v>37.695</v>
      </c>
      <c r="V91" s="108">
        <f t="shared" ref="V91:V108" si="192">R91-T91-U91</f>
        <v>0.54700000000001125</v>
      </c>
      <c r="W91" s="105">
        <f t="shared" si="48"/>
        <v>0.68164556962025302</v>
      </c>
      <c r="X91" s="327">
        <v>53.122999999999998</v>
      </c>
      <c r="Y91" s="154">
        <f t="shared" si="49"/>
        <v>9.9999999999766942E-4</v>
      </c>
      <c r="Z91" s="134">
        <f t="shared" si="50"/>
        <v>37.695</v>
      </c>
      <c r="AA91" s="160">
        <v>33.905999999999999</v>
      </c>
      <c r="AB91" s="160">
        <v>3.7890000000000001</v>
      </c>
      <c r="AC91" s="134">
        <f t="shared" si="51"/>
        <v>15.427</v>
      </c>
      <c r="AD91" s="134">
        <v>16.997</v>
      </c>
      <c r="AE91" s="134">
        <v>1.569</v>
      </c>
      <c r="AF91" s="105">
        <f t="shared" si="52"/>
        <v>0.10051730998806208</v>
      </c>
      <c r="AG91" s="105">
        <f t="shared" si="53"/>
        <v>2.0473379908455793E-2</v>
      </c>
      <c r="AH91" s="456">
        <v>5.7290000000000001</v>
      </c>
      <c r="AI91" s="154">
        <f t="shared" si="54"/>
        <v>47.393999999999998</v>
      </c>
      <c r="AJ91" s="154">
        <f t="shared" si="55"/>
        <v>1.0090000000000003</v>
      </c>
      <c r="AK91" s="154">
        <v>51</v>
      </c>
      <c r="AL91" s="105">
        <f t="shared" si="56"/>
        <v>0.6648235294117647</v>
      </c>
      <c r="AM91" s="183">
        <v>46.384999999999998</v>
      </c>
      <c r="AN91" s="134">
        <v>1.008</v>
      </c>
      <c r="AO91" s="134">
        <v>7.2990000000000004</v>
      </c>
      <c r="AP91" s="134">
        <v>2.2410000000000001</v>
      </c>
      <c r="AQ91" s="134">
        <v>2.8439999999999999</v>
      </c>
      <c r="AR91" s="134">
        <v>1.387</v>
      </c>
      <c r="AS91" s="134">
        <v>4.1000000000000002E-2</v>
      </c>
      <c r="AT91" s="134">
        <v>-0.107</v>
      </c>
      <c r="AU91" s="134">
        <v>0.10100000000000001</v>
      </c>
      <c r="AV91" s="134">
        <f t="shared" si="27"/>
        <v>14.88</v>
      </c>
      <c r="AW91" s="134">
        <f t="shared" si="28"/>
        <v>31.504999999999995</v>
      </c>
      <c r="AX91" s="105">
        <f t="shared" si="29"/>
        <v>2.1731163091516657E-2</v>
      </c>
      <c r="AY91" s="105">
        <f t="shared" si="30"/>
        <v>0.15735690417160722</v>
      </c>
      <c r="AZ91" s="105">
        <f t="shared" si="31"/>
        <v>4.8313032230246848E-2</v>
      </c>
      <c r="BA91" s="105">
        <f t="shared" si="32"/>
        <v>6.1312924436779132E-2</v>
      </c>
      <c r="BB91" s="105">
        <f t="shared" si="33"/>
        <v>2.9901907944378574E-2</v>
      </c>
      <c r="BC91" s="105">
        <f t="shared" si="34"/>
        <v>8.8390643527002267E-4</v>
      </c>
      <c r="BD91" s="105">
        <f t="shared" si="35"/>
        <v>-2.3067802091193274E-3</v>
      </c>
      <c r="BE91" s="105">
        <f t="shared" si="36"/>
        <v>2.1774280478602998E-3</v>
      </c>
      <c r="BF91" s="105">
        <f t="shared" si="37"/>
        <v>0.32079335992238878</v>
      </c>
      <c r="BG91" s="154">
        <v>27.196999999999999</v>
      </c>
      <c r="BH91" s="105">
        <f t="shared" si="165"/>
        <v>0.58633178829362942</v>
      </c>
      <c r="BI91" s="105">
        <f>'Assets(BoP)'!EF91</f>
        <v>0.33381432119494875</v>
      </c>
      <c r="BJ91" s="183">
        <v>-1.94</v>
      </c>
      <c r="BK91" s="134"/>
      <c r="BL91" s="134"/>
      <c r="BM91" s="134"/>
      <c r="BN91" s="134"/>
      <c r="BO91" s="134"/>
      <c r="BP91" s="134"/>
      <c r="BQ91" s="133">
        <f>BP91+BO91+BN91+BM91+BL91+BK91</f>
        <v>0</v>
      </c>
      <c r="BR91" s="105">
        <f t="shared" si="58"/>
        <v>0</v>
      </c>
      <c r="BS91" s="134"/>
      <c r="BT91" s="105">
        <f t="shared" si="59"/>
        <v>0</v>
      </c>
      <c r="BU91" s="183">
        <f t="shared" si="60"/>
        <v>30.957999999999998</v>
      </c>
      <c r="BV91" s="134">
        <f t="shared" si="61"/>
        <v>9.9999999999766942E-4</v>
      </c>
      <c r="BW91" s="154">
        <f t="shared" si="62"/>
        <v>0.42527372003568586</v>
      </c>
      <c r="BX91" s="154">
        <f t="shared" si="63"/>
        <v>4.7229727068329055</v>
      </c>
      <c r="BY91" s="154">
        <f t="shared" si="64"/>
        <v>0.36913880000057087</v>
      </c>
      <c r="BZ91" s="154">
        <f t="shared" si="65"/>
        <v>1.5767560376514498</v>
      </c>
      <c r="CA91" s="154">
        <f t="shared" si="66"/>
        <v>0.65918134388857763</v>
      </c>
      <c r="CB91" s="154">
        <f t="shared" si="67"/>
        <v>5.5411060227951843E-2</v>
      </c>
      <c r="CC91" s="154">
        <f t="shared" si="68"/>
        <v>7.8087336686371414</v>
      </c>
      <c r="CD91" s="154">
        <f t="shared" si="69"/>
        <v>22.36471137813156</v>
      </c>
      <c r="CE91" s="105">
        <f t="shared" si="70"/>
        <v>1.3737118678069832E-2</v>
      </c>
      <c r="CF91" s="105">
        <f t="shared" si="71"/>
        <v>0.15256065336368324</v>
      </c>
      <c r="CG91" s="105">
        <f t="shared" si="72"/>
        <v>1.1923858130388619E-2</v>
      </c>
      <c r="CH91" s="105">
        <f t="shared" si="73"/>
        <v>5.0932102773158794E-2</v>
      </c>
      <c r="CI91" s="105">
        <f t="shared" si="74"/>
        <v>2.1292762577962972E-2</v>
      </c>
      <c r="CJ91" s="105">
        <f t="shared" si="75"/>
        <v>1.7898785524889155E-3</v>
      </c>
      <c r="CK91" s="105">
        <f t="shared" si="76"/>
        <v>0.25223637407575239</v>
      </c>
      <c r="CL91" s="105">
        <f t="shared" si="77"/>
        <v>0.74776362592424761</v>
      </c>
      <c r="CM91" s="105">
        <f t="shared" si="78"/>
        <v>1.6801579723427017E-2</v>
      </c>
      <c r="CN91" s="105">
        <f t="shared" si="79"/>
        <v>4.9808875588546013E-2</v>
      </c>
      <c r="CO91" s="105">
        <f t="shared" si="184"/>
        <v>1.675636861081773E-3</v>
      </c>
      <c r="CP91" s="461">
        <f t="shared" si="185"/>
        <v>0</v>
      </c>
      <c r="CQ91" s="461">
        <f t="shared" si="186"/>
        <v>1.675636861081773E-3</v>
      </c>
      <c r="CR91" s="105">
        <f t="shared" si="187"/>
        <v>4.9674845650870816E-3</v>
      </c>
      <c r="CS91" s="327">
        <v>15.427</v>
      </c>
      <c r="CT91" s="154">
        <v>1.569</v>
      </c>
      <c r="CU91" s="154">
        <v>16.997</v>
      </c>
      <c r="CV91" s="385">
        <f t="shared" si="134"/>
        <v>0.58272627996431414</v>
      </c>
      <c r="CW91" s="385">
        <f t="shared" si="135"/>
        <v>2.5760272931670949</v>
      </c>
      <c r="CX91" s="385">
        <f t="shared" si="136"/>
        <v>1.8718611999994292</v>
      </c>
      <c r="CY91" s="385">
        <f t="shared" si="137"/>
        <v>1.2672439623485501</v>
      </c>
      <c r="CZ91" s="385">
        <f t="shared" si="138"/>
        <v>0.72781865611142238</v>
      </c>
      <c r="DA91" s="154">
        <f t="shared" si="138"/>
        <v>4.5588939772048163E-2</v>
      </c>
      <c r="DB91" s="154">
        <f t="shared" si="85"/>
        <v>7.0712663313628585</v>
      </c>
      <c r="DC91" s="154">
        <f t="shared" si="189"/>
        <v>9.140288621868434</v>
      </c>
      <c r="DD91" s="154">
        <f t="shared" si="87"/>
        <v>-0.78455495323129298</v>
      </c>
      <c r="DE91" s="105">
        <f t="shared" si="88"/>
        <v>0.45836950355628825</v>
      </c>
      <c r="DF91" s="150">
        <v>63.753999999999998</v>
      </c>
      <c r="DG91" s="154">
        <v>-0.316</v>
      </c>
      <c r="DH91" s="154">
        <v>16.736999999999998</v>
      </c>
      <c r="DI91" s="154">
        <v>16.131</v>
      </c>
      <c r="DJ91" s="154">
        <v>1.917</v>
      </c>
      <c r="DK91" s="154">
        <v>1.3720000000000001</v>
      </c>
      <c r="DL91" s="154">
        <v>-0.57399999999999995</v>
      </c>
      <c r="DM91" s="154">
        <f t="shared" si="38"/>
        <v>35.267000000000003</v>
      </c>
      <c r="DN91" s="154">
        <f t="shared" si="39"/>
        <v>28.486999999999995</v>
      </c>
      <c r="DO91" s="350">
        <f t="shared" si="140"/>
        <v>63.753999999999991</v>
      </c>
      <c r="DP91" s="8">
        <v>955.726</v>
      </c>
      <c r="DQ91" s="108">
        <v>14.958</v>
      </c>
      <c r="DR91" s="108">
        <v>125.01</v>
      </c>
      <c r="DS91" s="108">
        <v>35.643999999999998</v>
      </c>
      <c r="DT91" s="108">
        <v>52.972999999999999</v>
      </c>
      <c r="DU91" s="108">
        <v>32.430999999999997</v>
      </c>
      <c r="DV91" s="108">
        <v>1.365</v>
      </c>
      <c r="DW91" s="108">
        <f t="shared" si="40"/>
        <v>262.38100000000003</v>
      </c>
      <c r="DX91" s="108">
        <f t="shared" si="41"/>
        <v>693.34500000000003</v>
      </c>
      <c r="DY91" s="105">
        <f t="shared" si="141"/>
        <v>0.27453579791697624</v>
      </c>
      <c r="DZ91" s="105">
        <f t="shared" si="42"/>
        <v>1.5650929241226044E-2</v>
      </c>
      <c r="EA91" s="105">
        <f t="shared" si="43"/>
        <v>0.13080108734093246</v>
      </c>
      <c r="EB91" s="105">
        <f t="shared" si="44"/>
        <v>3.7295208040798306E-2</v>
      </c>
      <c r="EC91" s="105">
        <f t="shared" si="45"/>
        <v>5.5426973839782533E-2</v>
      </c>
      <c r="ED91" s="105">
        <f t="shared" si="46"/>
        <v>3.3933365839163107E-2</v>
      </c>
      <c r="EE91" s="105">
        <f t="shared" si="142"/>
        <v>1.4282336150737763E-3</v>
      </c>
      <c r="EF91" s="150">
        <v>272.33199999999999</v>
      </c>
      <c r="EG91" s="323">
        <f t="shared" si="143"/>
        <v>8.3294999999999995</v>
      </c>
      <c r="EH91" s="323">
        <f t="shared" si="144"/>
        <v>49.416512831006258</v>
      </c>
      <c r="EI91" s="487">
        <f t="shared" si="145"/>
        <v>35.640571738083779</v>
      </c>
      <c r="EJ91" s="323">
        <f t="shared" si="146"/>
        <v>19.226071497351953</v>
      </c>
      <c r="EK91" s="323">
        <f t="shared" si="147"/>
        <v>4.0998338950409261</v>
      </c>
      <c r="EL91" s="323">
        <f t="shared" si="148"/>
        <v>0.44699999999999995</v>
      </c>
      <c r="EM91" s="415">
        <f t="shared" si="89"/>
        <v>117.15948996148292</v>
      </c>
      <c r="EN91" s="415">
        <f t="shared" si="90"/>
        <v>155.17251003851709</v>
      </c>
      <c r="EO91" s="105">
        <f t="shared" si="91"/>
        <v>0.43020831177196556</v>
      </c>
      <c r="EP91" s="350">
        <v>342.97699999999998</v>
      </c>
      <c r="EQ91" s="154">
        <f t="shared" si="92"/>
        <v>12.750499999999999</v>
      </c>
      <c r="ER91" s="154">
        <f t="shared" si="93"/>
        <v>52.722534500504807</v>
      </c>
      <c r="ES91" s="154">
        <f t="shared" si="149"/>
        <v>38.388093477214213</v>
      </c>
      <c r="ET91" s="154">
        <f t="shared" si="150"/>
        <v>27.406618709586407</v>
      </c>
      <c r="EU91" s="154">
        <f t="shared" si="94"/>
        <v>17.748505414701462</v>
      </c>
      <c r="EV91" s="154">
        <f t="shared" si="94"/>
        <v>1.0567142857142855</v>
      </c>
      <c r="EW91" s="154">
        <f t="shared" si="95"/>
        <v>150.07296638772118</v>
      </c>
      <c r="EX91" s="154">
        <f t="shared" si="96"/>
        <v>192.90403361227879</v>
      </c>
      <c r="EY91" s="105">
        <f t="shared" si="97"/>
        <v>0.43755985499821037</v>
      </c>
      <c r="EZ91" s="350">
        <v>70.644999999999996</v>
      </c>
      <c r="FA91" s="317">
        <f t="shared" si="168"/>
        <v>4.4210000000000003</v>
      </c>
      <c r="FB91" s="486">
        <f t="shared" si="98"/>
        <v>3.306021669498548</v>
      </c>
      <c r="FC91" s="385">
        <f t="shared" si="166"/>
        <v>2.747521739130435</v>
      </c>
      <c r="FD91" s="486">
        <f t="shared" si="99"/>
        <v>8.1805472122344547</v>
      </c>
      <c r="FE91" s="317">
        <f t="shared" si="100"/>
        <v>13.648671519660537</v>
      </c>
      <c r="FF91" s="317">
        <f t="shared" si="167"/>
        <v>0.60971428571428565</v>
      </c>
      <c r="FG91" s="154">
        <f t="shared" si="101"/>
        <v>32.913476426238255</v>
      </c>
      <c r="FH91" s="154">
        <f t="shared" si="102"/>
        <v>37.731523573761741</v>
      </c>
      <c r="FI91" s="105">
        <f t="shared" si="103"/>
        <v>0.46589958845266127</v>
      </c>
      <c r="FJ91" s="105"/>
      <c r="FK91" s="461">
        <f t="shared" si="104"/>
        <v>1.1118197278911564E-2</v>
      </c>
      <c r="FL91" s="461">
        <f t="shared" si="105"/>
        <v>4.9557258941561683E-2</v>
      </c>
      <c r="FM91" s="105"/>
      <c r="FN91" s="105"/>
      <c r="FO91" s="327">
        <v>683.39499999999998</v>
      </c>
      <c r="FP91" s="385">
        <f t="shared" si="106"/>
        <v>9.9999999997635314E-4</v>
      </c>
      <c r="FQ91" s="323">
        <f t="shared" si="107"/>
        <v>6.6285000000000007</v>
      </c>
      <c r="FR91" s="323">
        <f t="shared" si="108"/>
        <v>75.593487168993747</v>
      </c>
      <c r="FS91" s="323">
        <f t="shared" si="109"/>
        <v>3.4282619162198102E-3</v>
      </c>
      <c r="FT91" s="323">
        <f t="shared" si="110"/>
        <v>33.746928502648046</v>
      </c>
      <c r="FU91" s="323">
        <f t="shared" si="111"/>
        <v>28.33116610495907</v>
      </c>
      <c r="FV91" s="323">
        <f t="shared" si="112"/>
        <v>0.91800000000000004</v>
      </c>
      <c r="FW91" s="323">
        <f t="shared" si="113"/>
        <v>145.22151003851712</v>
      </c>
      <c r="FX91" s="323">
        <f t="shared" si="114"/>
        <v>0</v>
      </c>
      <c r="FY91" s="323">
        <f t="shared" si="115"/>
        <v>538.17248996148294</v>
      </c>
      <c r="FZ91" s="368">
        <f t="shared" si="116"/>
        <v>0.21250010614434861</v>
      </c>
      <c r="GA91" s="247">
        <f t="shared" si="117"/>
        <v>9.699368593565948E-3</v>
      </c>
      <c r="GB91" s="247">
        <f t="shared" si="118"/>
        <v>0.11061463307310376</v>
      </c>
      <c r="GC91" s="247">
        <f t="shared" si="119"/>
        <v>5.0165159479068628E-6</v>
      </c>
      <c r="GD91" s="247">
        <f t="shared" si="120"/>
        <v>4.9381292667707619E-2</v>
      </c>
      <c r="GE91" s="247">
        <f t="shared" si="121"/>
        <v>4.1456501883916433E-2</v>
      </c>
      <c r="GF91" s="247">
        <f t="shared" si="122"/>
        <v>1.3432934101068929E-3</v>
      </c>
      <c r="GG91" s="247">
        <f t="shared" si="123"/>
        <v>8.2095406275527361E-2</v>
      </c>
      <c r="GH91" s="105">
        <f t="shared" si="124"/>
        <v>6.4650003599236339E-2</v>
      </c>
      <c r="GI91" s="105">
        <f t="shared" si="125"/>
        <v>1.7445282547512989E-2</v>
      </c>
      <c r="GJ91" s="327">
        <v>484.09699999999998</v>
      </c>
      <c r="GK91" s="154">
        <f t="shared" si="151"/>
        <v>0</v>
      </c>
      <c r="GL91" s="154">
        <f t="shared" si="126"/>
        <v>272.33199999999999</v>
      </c>
      <c r="GM91" s="154">
        <f t="shared" si="127"/>
        <v>70.644999999999996</v>
      </c>
      <c r="GN91" s="154">
        <v>141.12</v>
      </c>
      <c r="GO91" s="154">
        <v>342.97699999999998</v>
      </c>
      <c r="GP91" s="154">
        <f t="shared" si="128"/>
        <v>342.97699999999998</v>
      </c>
      <c r="GQ91" s="294"/>
      <c r="GR91" s="154">
        <f t="shared" si="129"/>
        <v>683.39499999999998</v>
      </c>
      <c r="GS91" s="154">
        <f>FoF_RoW!$AZ61/1000</f>
        <v>1121.328</v>
      </c>
      <c r="GT91" s="154">
        <f t="shared" si="15"/>
        <v>848.99599999999998</v>
      </c>
      <c r="GU91" s="105">
        <f t="shared" si="130"/>
        <v>1.2423210588312763</v>
      </c>
      <c r="GV91" s="415">
        <f>FoF_RoW!$AE61/1000</f>
        <v>289.10399999999998</v>
      </c>
      <c r="GW91" s="415">
        <f t="shared" si="16"/>
        <v>201.28399999999999</v>
      </c>
      <c r="GX91" s="154">
        <v>3009.9580000000001</v>
      </c>
      <c r="GY91" s="154">
        <v>2525.8609999999999</v>
      </c>
      <c r="GZ91" s="154">
        <f t="shared" si="131"/>
        <v>3.6960484053878062</v>
      </c>
      <c r="HA91" s="154">
        <f t="shared" si="190"/>
        <v>272.33199999999999</v>
      </c>
      <c r="HB91" s="154">
        <v>372.60700000000003</v>
      </c>
      <c r="HC91" s="154">
        <v>484.09699999999998</v>
      </c>
      <c r="HD91" s="232">
        <f t="shared" si="132"/>
        <v>5.5158436921546108E-2</v>
      </c>
      <c r="HE91" s="504">
        <f t="shared" si="133"/>
        <v>4.6775291010323461E-2</v>
      </c>
      <c r="HF91" s="665"/>
      <c r="HV91" s="232">
        <f t="shared" si="152"/>
        <v>4.2158617570683309E-2</v>
      </c>
      <c r="HW91" s="310">
        <f t="shared" si="153"/>
        <v>0.10198885204939695</v>
      </c>
      <c r="HX91" s="310">
        <f t="shared" si="154"/>
        <v>4.2997090100235268E-3</v>
      </c>
      <c r="HY91" s="314">
        <f t="shared" si="155"/>
        <v>0</v>
      </c>
      <c r="HZ91" s="105">
        <f t="shared" si="156"/>
        <v>5.970882818661067E-2</v>
      </c>
      <c r="IA91" s="105">
        <f t="shared" si="157"/>
        <v>5.814552797225702E-2</v>
      </c>
      <c r="IB91" s="105">
        <f t="shared" si="158"/>
        <v>100.20767004555923</v>
      </c>
      <c r="IC91" s="105">
        <f t="shared" si="159"/>
        <v>4.3482600938239455E-2</v>
      </c>
      <c r="ID91" s="105">
        <f t="shared" si="160"/>
        <v>2.1653381104399485E-2</v>
      </c>
      <c r="IE91" s="105">
        <f t="shared" si="161"/>
        <v>5.6174477463076168E-2</v>
      </c>
      <c r="IF91" s="105">
        <f t="shared" si="162"/>
        <v>5.0042030684219814E-2</v>
      </c>
      <c r="IG91" s="105">
        <f t="shared" si="163"/>
        <v>3.8674710052889048E-2</v>
      </c>
      <c r="IH91" s="105">
        <f t="shared" si="164"/>
        <v>1.1367320631330766E-2</v>
      </c>
      <c r="II91" s="105"/>
      <c r="IJ91" s="105"/>
      <c r="IK91" s="849">
        <v>38594</v>
      </c>
      <c r="IL91" s="415"/>
      <c r="IM91" s="415">
        <v>254524</v>
      </c>
      <c r="IN91" s="415"/>
      <c r="IP91" s="108">
        <v>22445</v>
      </c>
      <c r="IQ91" s="108">
        <f>JG91</f>
        <v>23292</v>
      </c>
      <c r="IR91" s="108"/>
      <c r="IS91" s="853"/>
      <c r="IT91" s="853"/>
      <c r="IU91" s="105"/>
      <c r="IV91" s="415">
        <v>292727</v>
      </c>
      <c r="IW91" s="415">
        <v>10469</v>
      </c>
      <c r="IX91" s="415">
        <v>43534</v>
      </c>
      <c r="IY91" s="415">
        <v>4797</v>
      </c>
      <c r="IZ91" s="415">
        <v>14079</v>
      </c>
      <c r="JA91" s="108">
        <v>27655</v>
      </c>
      <c r="JB91" s="108">
        <v>26576</v>
      </c>
      <c r="JC91" s="108">
        <v>11435</v>
      </c>
      <c r="JD91" s="108">
        <v>767</v>
      </c>
      <c r="JE91" s="312"/>
      <c r="JF91" s="108">
        <v>254524</v>
      </c>
      <c r="JG91" s="108">
        <v>23292</v>
      </c>
      <c r="JK91" s="105">
        <f t="shared" si="169"/>
        <v>0.16444882114517326</v>
      </c>
      <c r="JL91" s="105">
        <f t="shared" si="170"/>
        <v>0.14871877209823486</v>
      </c>
      <c r="JM91" s="667">
        <f t="shared" si="171"/>
        <v>0</v>
      </c>
    </row>
    <row r="92" spans="2:273">
      <c r="B92" s="451">
        <v>2000</v>
      </c>
      <c r="C92" s="43">
        <v>8907</v>
      </c>
      <c r="D92" s="5">
        <v>781.2</v>
      </c>
      <c r="E92" s="6">
        <f t="shared" si="172"/>
        <v>8.7706298416975415E-2</v>
      </c>
      <c r="F92" s="454">
        <f t="shared" si="173"/>
        <v>0</v>
      </c>
      <c r="G92" s="76">
        <f t="shared" si="174"/>
        <v>635</v>
      </c>
      <c r="H92" s="23">
        <f t="shared" si="175"/>
        <v>7.1292242056809257E-2</v>
      </c>
      <c r="I92" s="454">
        <v>146.19999999999999</v>
      </c>
      <c r="J92" s="460">
        <f t="shared" si="176"/>
        <v>1.6414056360166161E-2</v>
      </c>
      <c r="K92" s="6">
        <f t="shared" si="177"/>
        <v>0.18714797747055809</v>
      </c>
      <c r="L92" s="136">
        <v>203.10000000000002</v>
      </c>
      <c r="M92" s="136">
        <f t="shared" si="180"/>
        <v>56.900000000000034</v>
      </c>
      <c r="N92" s="460">
        <f t="shared" si="178"/>
        <v>2.2802290333445607E-2</v>
      </c>
      <c r="O92" s="460">
        <f t="shared" si="181"/>
        <v>6.3882339732794467E-3</v>
      </c>
      <c r="P92" s="449">
        <f t="shared" si="182"/>
        <v>7.2836661546338999E-2</v>
      </c>
      <c r="Q92" s="5">
        <f t="shared" si="179"/>
        <v>781.2</v>
      </c>
      <c r="R92" s="169">
        <f t="shared" si="183"/>
        <v>56.900000000000034</v>
      </c>
      <c r="S92" s="454">
        <f t="shared" si="191"/>
        <v>0</v>
      </c>
      <c r="T92" s="76">
        <v>19.645</v>
      </c>
      <c r="U92" s="76">
        <v>36.070999999999998</v>
      </c>
      <c r="V92" s="76">
        <f t="shared" si="192"/>
        <v>1.1840000000000401</v>
      </c>
      <c r="W92" s="23">
        <f t="shared" si="48"/>
        <v>0.63393673110720516</v>
      </c>
      <c r="X92" s="326">
        <v>56.018999999999998</v>
      </c>
      <c r="Y92" s="153">
        <f t="shared" si="49"/>
        <v>0</v>
      </c>
      <c r="Z92" s="79">
        <f t="shared" si="50"/>
        <v>36.070999999999998</v>
      </c>
      <c r="AA92" s="159">
        <v>37.274000000000001</v>
      </c>
      <c r="AB92" s="159">
        <v>-1.2030000000000001</v>
      </c>
      <c r="AC92" s="79">
        <f t="shared" si="51"/>
        <v>19.948</v>
      </c>
      <c r="AD92" s="79">
        <v>22.491</v>
      </c>
      <c r="AE92" s="79">
        <v>2.5430000000000001</v>
      </c>
      <c r="AF92" s="23">
        <f t="shared" si="52"/>
        <v>-3.3350891297718392E-2</v>
      </c>
      <c r="AG92" s="23">
        <f t="shared" si="53"/>
        <v>2.8790322580645161E-2</v>
      </c>
      <c r="AH92" s="450">
        <v>6.3250000000000002</v>
      </c>
      <c r="AI92" s="153">
        <f t="shared" si="54"/>
        <v>49.693999999999996</v>
      </c>
      <c r="AJ92" s="153">
        <f t="shared" si="55"/>
        <v>1.7729999999999961</v>
      </c>
      <c r="AK92" s="153">
        <v>56.9</v>
      </c>
      <c r="AL92" s="23">
        <f t="shared" si="56"/>
        <v>0.65507908611599297</v>
      </c>
      <c r="AM92" s="182">
        <v>47.920999999999999</v>
      </c>
      <c r="AN92" s="79">
        <v>0.84799999999999998</v>
      </c>
      <c r="AO92" s="79">
        <v>8.7759999999999998</v>
      </c>
      <c r="AP92" s="79">
        <v>4.7110000000000003</v>
      </c>
      <c r="AQ92" s="79">
        <v>2.782</v>
      </c>
      <c r="AR92" s="79">
        <v>1.6930000000000001</v>
      </c>
      <c r="AS92" s="79">
        <v>-0.20399999999999999</v>
      </c>
      <c r="AT92" s="79">
        <v>0.247</v>
      </c>
      <c r="AU92" s="79">
        <v>-0.123</v>
      </c>
      <c r="AV92" s="79">
        <f t="shared" si="27"/>
        <v>18.687000000000001</v>
      </c>
      <c r="AW92" s="79">
        <f t="shared" si="28"/>
        <v>29.233999999999998</v>
      </c>
      <c r="AX92" s="23">
        <f t="shared" si="29"/>
        <v>1.7695790989336616E-2</v>
      </c>
      <c r="AY92" s="23">
        <f t="shared" si="30"/>
        <v>0.1831347425971912</v>
      </c>
      <c r="AZ92" s="23">
        <f t="shared" si="31"/>
        <v>9.8307631309864155E-2</v>
      </c>
      <c r="BA92" s="23">
        <f t="shared" si="32"/>
        <v>5.8053880344734042E-2</v>
      </c>
      <c r="BB92" s="23">
        <f t="shared" si="33"/>
        <v>3.5328978944512847E-2</v>
      </c>
      <c r="BC92" s="23">
        <f t="shared" si="34"/>
        <v>-4.2570063229064497E-3</v>
      </c>
      <c r="BD92" s="23">
        <f t="shared" si="35"/>
        <v>5.1543164792053585E-3</v>
      </c>
      <c r="BE92" s="23">
        <f t="shared" si="36"/>
        <v>-2.5667244005759481E-3</v>
      </c>
      <c r="BF92" s="23">
        <f t="shared" si="37"/>
        <v>0.38995429978506291</v>
      </c>
      <c r="BG92" s="153">
        <v>25.151</v>
      </c>
      <c r="BH92" s="23">
        <f t="shared" si="165"/>
        <v>0.52484297072264774</v>
      </c>
      <c r="BI92" s="23">
        <f>'Assets(BoP)'!EF92</f>
        <v>0.36183167280016754</v>
      </c>
      <c r="BJ92" s="182">
        <v>-7.5279999999999996</v>
      </c>
      <c r="BK92" s="79"/>
      <c r="BL92" s="79"/>
      <c r="BM92" s="79"/>
      <c r="BN92" s="79"/>
      <c r="BO92" s="79"/>
      <c r="BP92" s="79"/>
      <c r="BQ92" s="28">
        <f t="shared" ref="BQ92:BQ108" si="193">BP92+BO92+BN92+BM92+BL92+BK92</f>
        <v>0</v>
      </c>
      <c r="BR92" s="23">
        <f t="shared" si="58"/>
        <v>0</v>
      </c>
      <c r="BS92" s="79"/>
      <c r="BT92" s="23">
        <f t="shared" si="59"/>
        <v>0</v>
      </c>
      <c r="BU92" s="182">
        <f t="shared" si="60"/>
        <v>27.972999999999999</v>
      </c>
      <c r="BV92" s="136">
        <f t="shared" si="61"/>
        <v>0</v>
      </c>
      <c r="BW92" s="153">
        <f t="shared" si="62"/>
        <v>8.2085751908447802E-2</v>
      </c>
      <c r="BX92" s="153">
        <f t="shared" si="63"/>
        <v>5.4486193672443211</v>
      </c>
      <c r="BY92" s="153">
        <f t="shared" si="64"/>
        <v>1.5420507090795987</v>
      </c>
      <c r="BZ92" s="153">
        <f t="shared" si="65"/>
        <v>1.2256157720728051</v>
      </c>
      <c r="CA92" s="153">
        <f t="shared" si="66"/>
        <v>0.84799553743950784</v>
      </c>
      <c r="CB92" s="153">
        <f t="shared" si="67"/>
        <v>-0.12657347183442441</v>
      </c>
      <c r="CC92" s="153">
        <f t="shared" si="68"/>
        <v>9.0197936659102549</v>
      </c>
      <c r="CD92" s="153">
        <f t="shared" si="69"/>
        <v>18.000068829613909</v>
      </c>
      <c r="CE92" s="23">
        <f t="shared" si="70"/>
        <v>2.9344636581148894E-3</v>
      </c>
      <c r="CF92" s="23">
        <f t="shared" si="71"/>
        <v>0.19478137372624749</v>
      </c>
      <c r="CG92" s="23">
        <f t="shared" si="72"/>
        <v>5.5126397207292704E-2</v>
      </c>
      <c r="CH92" s="23">
        <f t="shared" si="73"/>
        <v>4.3814241306717377E-2</v>
      </c>
      <c r="CI92" s="23">
        <f t="shared" si="74"/>
        <v>3.03147870246133E-2</v>
      </c>
      <c r="CJ92" s="23">
        <f t="shared" si="75"/>
        <v>-4.5248443797384769E-3</v>
      </c>
      <c r="CK92" s="23">
        <f t="shared" si="76"/>
        <v>0.32244641854324729</v>
      </c>
      <c r="CL92" s="23">
        <f t="shared" si="77"/>
        <v>0.67755358145675271</v>
      </c>
      <c r="CM92" s="23">
        <f t="shared" si="78"/>
        <v>2.3485920654263671E-2</v>
      </c>
      <c r="CN92" s="23">
        <f t="shared" si="79"/>
        <v>4.9350740892075327E-2</v>
      </c>
      <c r="CO92" s="23">
        <f t="shared" si="184"/>
        <v>2.0598631655002562E-3</v>
      </c>
      <c r="CP92" s="448">
        <f t="shared" si="185"/>
        <v>0</v>
      </c>
      <c r="CQ92" s="448">
        <f t="shared" si="186"/>
        <v>2.0598631655002562E-3</v>
      </c>
      <c r="CR92" s="23">
        <f t="shared" si="187"/>
        <v>4.3283708077791905E-3</v>
      </c>
      <c r="CS92" s="326">
        <v>19.948</v>
      </c>
      <c r="CT92" s="153">
        <v>2.5430000000000001</v>
      </c>
      <c r="CU92" s="153">
        <v>22.491</v>
      </c>
      <c r="CV92" s="384">
        <f t="shared" si="134"/>
        <v>0.76591424809155217</v>
      </c>
      <c r="CW92" s="384">
        <f t="shared" si="135"/>
        <v>3.3273806327556787</v>
      </c>
      <c r="CX92" s="384">
        <f t="shared" si="136"/>
        <v>3.1689492909204016</v>
      </c>
      <c r="CY92" s="384">
        <f t="shared" si="137"/>
        <v>1.5563842279271949</v>
      </c>
      <c r="CZ92" s="384">
        <f t="shared" si="138"/>
        <v>0.84500446256049222</v>
      </c>
      <c r="DA92" s="153">
        <f t="shared" si="138"/>
        <v>3.5734718344244115E-3</v>
      </c>
      <c r="DB92" s="153">
        <f t="shared" si="85"/>
        <v>9.6672063340897445</v>
      </c>
      <c r="DC92" s="153">
        <f t="shared" si="189"/>
        <v>11.233931170386089</v>
      </c>
      <c r="DD92" s="153">
        <f t="shared" si="87"/>
        <v>-0.95313750447583345</v>
      </c>
      <c r="DE92" s="23">
        <f t="shared" si="88"/>
        <v>0.48462032956134671</v>
      </c>
      <c r="DF92" s="149">
        <v>61.895000000000003</v>
      </c>
      <c r="DG92" s="153">
        <v>2.9260000000000002</v>
      </c>
      <c r="DH92" s="153">
        <v>10.763</v>
      </c>
      <c r="DI92" s="153">
        <v>22.495999999999999</v>
      </c>
      <c r="DJ92" s="153">
        <v>2.988</v>
      </c>
      <c r="DK92" s="153">
        <v>-0.27600000000000002</v>
      </c>
      <c r="DL92" s="153">
        <v>-0.82750000000000001</v>
      </c>
      <c r="DM92" s="153">
        <f t="shared" si="38"/>
        <v>38.069499999999998</v>
      </c>
      <c r="DN92" s="153">
        <f t="shared" si="39"/>
        <v>23.825500000000005</v>
      </c>
      <c r="DO92" s="258">
        <f t="shared" si="140"/>
        <v>61.894999999999982</v>
      </c>
      <c r="DP92" s="5">
        <v>1256.867</v>
      </c>
      <c r="DQ92" s="76">
        <v>25.523</v>
      </c>
      <c r="DR92" s="76">
        <v>138.89400000000001</v>
      </c>
      <c r="DS92" s="76">
        <v>58.93</v>
      </c>
      <c r="DT92" s="76">
        <v>64.718999999999994</v>
      </c>
      <c r="DU92" s="76">
        <v>40.307000000000002</v>
      </c>
      <c r="DV92" s="76">
        <v>5.0869999999999997</v>
      </c>
      <c r="DW92" s="76">
        <f t="shared" si="40"/>
        <v>333.46000000000004</v>
      </c>
      <c r="DX92" s="76">
        <f t="shared" si="41"/>
        <v>923.40699999999993</v>
      </c>
      <c r="DY92" s="23">
        <f t="shared" si="141"/>
        <v>0.26531049029053994</v>
      </c>
      <c r="DZ92" s="23">
        <f t="shared" si="42"/>
        <v>2.0306842330970579E-2</v>
      </c>
      <c r="EA92" s="23">
        <f t="shared" si="43"/>
        <v>0.11050811263244242</v>
      </c>
      <c r="EB92" s="23">
        <f t="shared" si="44"/>
        <v>4.6886424737064461E-2</v>
      </c>
      <c r="EC92" s="23">
        <f t="shared" si="45"/>
        <v>5.1492321781063548E-2</v>
      </c>
      <c r="ED92" s="23">
        <f t="shared" si="46"/>
        <v>3.2069423415524476E-2</v>
      </c>
      <c r="EE92" s="23">
        <f t="shared" si="142"/>
        <v>4.0473653934744091E-3</v>
      </c>
      <c r="EF92" s="149">
        <v>334.22699999999998</v>
      </c>
      <c r="EG92" s="322">
        <f t="shared" si="143"/>
        <v>11.2555</v>
      </c>
      <c r="EH92" s="322">
        <f t="shared" si="144"/>
        <v>60.179512831006257</v>
      </c>
      <c r="EI92" s="324">
        <f t="shared" si="145"/>
        <v>58.136571738083774</v>
      </c>
      <c r="EJ92" s="322">
        <f t="shared" si="146"/>
        <v>22.214071497351952</v>
      </c>
      <c r="EK92" s="322">
        <f t="shared" si="147"/>
        <v>3.8238338950409263</v>
      </c>
      <c r="EL92" s="322">
        <f t="shared" si="148"/>
        <v>-0.38050000000000006</v>
      </c>
      <c r="EM92" s="330">
        <f t="shared" si="89"/>
        <v>155.22898996148288</v>
      </c>
      <c r="EN92" s="330">
        <f t="shared" si="90"/>
        <v>178.99801003851709</v>
      </c>
      <c r="EO92" s="23">
        <f t="shared" si="91"/>
        <v>0.46444180141485547</v>
      </c>
      <c r="EP92" s="258">
        <v>426.767</v>
      </c>
      <c r="EQ92" s="153">
        <f t="shared" si="92"/>
        <v>16.118600000000001</v>
      </c>
      <c r="ER92" s="153">
        <f t="shared" si="93"/>
        <v>64.567603058041755</v>
      </c>
      <c r="ES92" s="153">
        <f t="shared" si="149"/>
        <v>61.095441303301165</v>
      </c>
      <c r="ET92" s="153">
        <f t="shared" si="150"/>
        <v>33.072130778994008</v>
      </c>
      <c r="EU92" s="153">
        <f t="shared" si="94"/>
        <v>21.939747247939295</v>
      </c>
      <c r="EV92" s="153">
        <f t="shared" si="94"/>
        <v>0.28464285714285698</v>
      </c>
      <c r="EW92" s="153">
        <f t="shared" si="95"/>
        <v>197.07816524541911</v>
      </c>
      <c r="EX92" s="153">
        <f t="shared" si="96"/>
        <v>229.68883475458088</v>
      </c>
      <c r="EY92" s="23">
        <f t="shared" si="97"/>
        <v>0.46179335620003215</v>
      </c>
      <c r="EZ92" s="258">
        <v>92.539000000000001</v>
      </c>
      <c r="FA92" s="316">
        <f t="shared" si="168"/>
        <v>4.8631000000000002</v>
      </c>
      <c r="FB92" s="484">
        <f t="shared" si="98"/>
        <v>4.3880902270354945</v>
      </c>
      <c r="FC92" s="483">
        <f t="shared" si="166"/>
        <v>2.9588695652173915</v>
      </c>
      <c r="FD92" s="484">
        <f t="shared" si="99"/>
        <v>10.858059281642054</v>
      </c>
      <c r="FE92" s="316">
        <f t="shared" si="100"/>
        <v>18.115913352898367</v>
      </c>
      <c r="FF92" s="316">
        <f t="shared" si="167"/>
        <v>0.66514285714285704</v>
      </c>
      <c r="FG92" s="153">
        <f t="shared" si="101"/>
        <v>41.849175283936162</v>
      </c>
      <c r="FH92" s="153">
        <f t="shared" si="102"/>
        <v>50.689824716063839</v>
      </c>
      <c r="FI92" s="23">
        <f t="shared" si="103"/>
        <v>0.45223284543744974</v>
      </c>
      <c r="FJ92" s="23"/>
      <c r="FK92" s="448">
        <f t="shared" si="104"/>
        <v>1.7180459001330931E-2</v>
      </c>
      <c r="FL92" s="448">
        <f t="shared" si="105"/>
        <v>5.2700888306734119E-2</v>
      </c>
      <c r="FM92" s="23"/>
      <c r="FN92" s="23"/>
      <c r="FO92" s="326">
        <v>922.64</v>
      </c>
      <c r="FP92" s="483">
        <f t="shared" si="106"/>
        <v>0</v>
      </c>
      <c r="FQ92" s="322">
        <f t="shared" si="107"/>
        <v>14.2675</v>
      </c>
      <c r="FR92" s="322">
        <f t="shared" si="108"/>
        <v>78.714487168993742</v>
      </c>
      <c r="FS92" s="322">
        <f t="shared" si="109"/>
        <v>0.79342826191622606</v>
      </c>
      <c r="FT92" s="322">
        <f t="shared" si="110"/>
        <v>42.504928502648042</v>
      </c>
      <c r="FU92" s="322">
        <f t="shared" si="111"/>
        <v>36.483166104959075</v>
      </c>
      <c r="FV92" s="322">
        <f t="shared" si="112"/>
        <v>5.4674999999999994</v>
      </c>
      <c r="FW92" s="322">
        <f t="shared" si="113"/>
        <v>178.23101003851716</v>
      </c>
      <c r="FX92" s="322">
        <f t="shared" si="114"/>
        <v>0</v>
      </c>
      <c r="FY92" s="322">
        <f t="shared" si="115"/>
        <v>744.4089899614828</v>
      </c>
      <c r="FZ92" s="367">
        <f t="shared" si="116"/>
        <v>0.19317503038944459</v>
      </c>
      <c r="GA92" s="248">
        <f t="shared" si="117"/>
        <v>1.5463777854851297E-2</v>
      </c>
      <c r="GB92" s="248">
        <f t="shared" si="118"/>
        <v>8.5314409920438899E-2</v>
      </c>
      <c r="GC92" s="248">
        <f t="shared" si="119"/>
        <v>8.5995432879153958E-4</v>
      </c>
      <c r="GD92" s="248">
        <f t="shared" si="120"/>
        <v>4.6068811782112244E-2</v>
      </c>
      <c r="GE92" s="248">
        <f t="shared" si="121"/>
        <v>3.9542146563078855E-2</v>
      </c>
      <c r="GF92" s="248">
        <f t="shared" si="122"/>
        <v>5.9259299401716809E-3</v>
      </c>
      <c r="GG92" s="248">
        <f t="shared" si="123"/>
        <v>0.10358594363983384</v>
      </c>
      <c r="GH92" s="23">
        <f t="shared" si="124"/>
        <v>8.357572582928964E-2</v>
      </c>
      <c r="GI92" s="23">
        <f t="shared" si="125"/>
        <v>2.0010217810544195E-2</v>
      </c>
      <c r="GJ92" s="326">
        <v>574.78399999999999</v>
      </c>
      <c r="GK92" s="153">
        <f t="shared" si="151"/>
        <v>1.0000000000331966E-3</v>
      </c>
      <c r="GL92" s="153">
        <f t="shared" si="126"/>
        <v>334.22699999999998</v>
      </c>
      <c r="GM92" s="153">
        <f t="shared" si="127"/>
        <v>92.539000000000001</v>
      </c>
      <c r="GN92" s="153">
        <v>148.017</v>
      </c>
      <c r="GO92" s="153">
        <v>426.767</v>
      </c>
      <c r="GP92" s="153">
        <f t="shared" si="128"/>
        <v>426.767</v>
      </c>
      <c r="GQ92" s="295"/>
      <c r="GR92" s="153">
        <f t="shared" si="129"/>
        <v>922.64</v>
      </c>
      <c r="GS92" s="153">
        <f>FoF_RoW!$AZ62/1000</f>
        <v>1459.0920000000001</v>
      </c>
      <c r="GT92" s="153">
        <f t="shared" si="15"/>
        <v>1124.8650000000002</v>
      </c>
      <c r="GU92" s="23">
        <f t="shared" si="130"/>
        <v>1.2191808289256918</v>
      </c>
      <c r="GV92" s="330">
        <f>FoF_RoW!$AE62/1000</f>
        <v>320.33699999999999</v>
      </c>
      <c r="GW92" s="330">
        <f t="shared" si="16"/>
        <v>337.76400000000012</v>
      </c>
      <c r="GX92" s="153">
        <v>3023.7919999999999</v>
      </c>
      <c r="GY92" s="153">
        <v>2449.0079999999998</v>
      </c>
      <c r="GZ92" s="153">
        <f t="shared" si="131"/>
        <v>2.6543483915720105</v>
      </c>
      <c r="HA92" s="153">
        <f t="shared" si="190"/>
        <v>334.22699999999998</v>
      </c>
      <c r="HB92" s="153">
        <v>388.96699999999998</v>
      </c>
      <c r="HC92" s="153">
        <v>574.78399999999999</v>
      </c>
      <c r="HD92" s="186">
        <f t="shared" si="132"/>
        <v>3.9095421833000951E-2</v>
      </c>
      <c r="HE92" s="503">
        <f t="shared" si="133"/>
        <v>3.224009364432498E-2</v>
      </c>
      <c r="HF92" s="663"/>
      <c r="HV92" s="186">
        <f t="shared" si="152"/>
        <v>2.9453834224913482E-2</v>
      </c>
      <c r="HW92" s="308">
        <f t="shared" si="153"/>
        <v>0.12628999663186261</v>
      </c>
      <c r="HX92" s="308">
        <f t="shared" si="154"/>
        <v>3.7197246250597628E-3</v>
      </c>
      <c r="HY92" s="313">
        <f t="shared" si="155"/>
        <v>0</v>
      </c>
      <c r="HZ92" s="23">
        <f t="shared" si="156"/>
        <v>5.589268478661826E-3</v>
      </c>
      <c r="IA92" s="23">
        <f t="shared" si="157"/>
        <v>6.7246064260234384E-2</v>
      </c>
      <c r="IB92" s="23">
        <f t="shared" si="158"/>
        <v>1.8881046474200931</v>
      </c>
      <c r="IC92" s="23">
        <f t="shared" si="159"/>
        <v>2.8012387344435244E-2</v>
      </c>
      <c r="ID92" s="23">
        <f t="shared" si="160"/>
        <v>2.2580633303813127E-2</v>
      </c>
      <c r="IE92" s="23">
        <f t="shared" si="161"/>
        <v>-2.2489975008122935E-2</v>
      </c>
      <c r="IF92" s="23">
        <f t="shared" si="162"/>
        <v>4.9164135442573323E-2</v>
      </c>
      <c r="IG92" s="23">
        <f t="shared" si="163"/>
        <v>2.3490790317863035E-2</v>
      </c>
      <c r="IH92" s="23">
        <f t="shared" si="164"/>
        <v>2.5673345124710287E-2</v>
      </c>
      <c r="II92" s="23"/>
      <c r="IJ92" s="23"/>
      <c r="IK92" s="848">
        <v>36114</v>
      </c>
      <c r="IL92" s="332"/>
      <c r="IM92" s="330">
        <v>292726</v>
      </c>
      <c r="IN92" s="330"/>
      <c r="IP92" s="76">
        <v>28077</v>
      </c>
      <c r="IQ92" s="76">
        <v>25438</v>
      </c>
      <c r="IR92" s="76"/>
      <c r="IS92" s="66"/>
      <c r="IT92" s="66"/>
      <c r="IU92" s="23"/>
      <c r="IV92" s="330" t="s">
        <v>3531</v>
      </c>
      <c r="IW92" s="330">
        <v>11.225999999999999</v>
      </c>
      <c r="IX92" s="330" t="s">
        <v>3532</v>
      </c>
      <c r="IY92" s="330">
        <v>15.631</v>
      </c>
      <c r="IZ92" s="330" t="s">
        <v>3533</v>
      </c>
      <c r="JA92" s="76" t="s">
        <v>3534</v>
      </c>
      <c r="JB92" s="76">
        <v>34593</v>
      </c>
      <c r="JC92" s="76" t="s">
        <v>3535</v>
      </c>
      <c r="JD92" s="76" t="s">
        <v>3536</v>
      </c>
      <c r="JE92" s="312"/>
      <c r="JF92" s="76">
        <v>292726</v>
      </c>
      <c r="JG92" s="76">
        <v>25438</v>
      </c>
      <c r="JK92" s="23">
        <f t="shared" si="169"/>
        <v>0.1687920403587444</v>
      </c>
      <c r="JL92" s="23">
        <f t="shared" si="170"/>
        <v>0.14074071844028854</v>
      </c>
      <c r="JM92" s="655">
        <f t="shared" si="171"/>
        <v>0</v>
      </c>
    </row>
    <row r="93" spans="2:273">
      <c r="B93" s="451">
        <v>2001</v>
      </c>
      <c r="C93" s="43">
        <v>9184.6</v>
      </c>
      <c r="D93" s="5">
        <v>754</v>
      </c>
      <c r="E93" s="6">
        <f t="shared" si="172"/>
        <v>8.2093939855845649E-2</v>
      </c>
      <c r="F93" s="454">
        <f t="shared" si="173"/>
        <v>0</v>
      </c>
      <c r="G93" s="76">
        <f t="shared" si="174"/>
        <v>583.6</v>
      </c>
      <c r="H93" s="23">
        <f t="shared" si="175"/>
        <v>6.3541144960041804E-2</v>
      </c>
      <c r="I93" s="454">
        <v>170.4</v>
      </c>
      <c r="J93" s="460">
        <f t="shared" si="176"/>
        <v>1.8552794895803845E-2</v>
      </c>
      <c r="K93" s="6">
        <f t="shared" si="177"/>
        <v>0.22599469496021221</v>
      </c>
      <c r="L93" s="136">
        <v>183.3</v>
      </c>
      <c r="M93" s="136">
        <f t="shared" si="180"/>
        <v>12.900000000000006</v>
      </c>
      <c r="N93" s="460">
        <f t="shared" si="178"/>
        <v>1.9957319861507308E-2</v>
      </c>
      <c r="O93" s="460">
        <f t="shared" si="181"/>
        <v>1.4045249657034607E-3</v>
      </c>
      <c r="P93" s="449">
        <f t="shared" si="182"/>
        <v>1.7108753315649875E-2</v>
      </c>
      <c r="Q93" s="5">
        <f t="shared" si="179"/>
        <v>754</v>
      </c>
      <c r="R93" s="169">
        <f t="shared" si="183"/>
        <v>12.900000000000006</v>
      </c>
      <c r="S93" s="454">
        <f t="shared" si="191"/>
        <v>0</v>
      </c>
      <c r="T93" s="76">
        <v>21.129000000000001</v>
      </c>
      <c r="U93" s="76">
        <v>-7.415</v>
      </c>
      <c r="V93" s="76">
        <f t="shared" si="192"/>
        <v>-0.81399999999999562</v>
      </c>
      <c r="W93" s="23">
        <f t="shared" si="48"/>
        <v>-0.57480620155038731</v>
      </c>
      <c r="X93" s="326">
        <v>13.84</v>
      </c>
      <c r="Y93" s="153">
        <f t="shared" si="49"/>
        <v>0</v>
      </c>
      <c r="Z93" s="79">
        <f t="shared" si="50"/>
        <v>-7.4150000000000027</v>
      </c>
      <c r="AA93" s="159">
        <v>25.41</v>
      </c>
      <c r="AB93" s="159">
        <v>-32.825000000000003</v>
      </c>
      <c r="AC93" s="79">
        <f t="shared" si="51"/>
        <v>21.254999999999999</v>
      </c>
      <c r="AD93" s="79">
        <v>23.271000000000001</v>
      </c>
      <c r="AE93" s="79">
        <v>2.016</v>
      </c>
      <c r="AF93" s="23">
        <f t="shared" si="52"/>
        <v>4.4268374915711384</v>
      </c>
      <c r="AG93" s="23">
        <f t="shared" si="53"/>
        <v>3.0863395225464191E-2</v>
      </c>
      <c r="AH93" s="450">
        <v>8.5850000000000009</v>
      </c>
      <c r="AI93" s="153">
        <f t="shared" si="54"/>
        <v>5.254999999999999</v>
      </c>
      <c r="AJ93" s="153">
        <f t="shared" si="55"/>
        <v>1.335999999999999</v>
      </c>
      <c r="AK93" s="153">
        <v>46.5</v>
      </c>
      <c r="AL93" s="23">
        <f t="shared" si="56"/>
        <v>0.54645161290322586</v>
      </c>
      <c r="AM93" s="182">
        <v>3.919</v>
      </c>
      <c r="AN93" s="79">
        <v>0.56200000000000006</v>
      </c>
      <c r="AO93" s="79">
        <v>3.1890000000000001</v>
      </c>
      <c r="AP93" s="79">
        <v>2.4140000000000001</v>
      </c>
      <c r="AQ93" s="79">
        <v>1.2989999999999999</v>
      </c>
      <c r="AR93" s="79">
        <v>-3.7130000000000001</v>
      </c>
      <c r="AS93" s="79">
        <v>-4.8680000000000003</v>
      </c>
      <c r="AT93" s="79">
        <v>0.253</v>
      </c>
      <c r="AU93" s="79">
        <v>-0.16400000000000001</v>
      </c>
      <c r="AV93" s="79">
        <f t="shared" si="27"/>
        <v>3.5870000000000002</v>
      </c>
      <c r="AW93" s="79">
        <f t="shared" si="28"/>
        <v>0.33199999999999985</v>
      </c>
      <c r="AX93" s="23">
        <f t="shared" si="29"/>
        <v>0.14340392957387091</v>
      </c>
      <c r="AY93" s="23">
        <f t="shared" si="30"/>
        <v>0.81372799183465172</v>
      </c>
      <c r="AZ93" s="23">
        <f t="shared" si="31"/>
        <v>0.61597346261801478</v>
      </c>
      <c r="BA93" s="23">
        <f t="shared" si="32"/>
        <v>0.33146210768053075</v>
      </c>
      <c r="BB93" s="23">
        <f t="shared" si="33"/>
        <v>-0.94743557029854553</v>
      </c>
      <c r="BC93" s="23">
        <f t="shared" si="34"/>
        <v>-1.2421536106149529</v>
      </c>
      <c r="BD93" s="23">
        <f t="shared" si="35"/>
        <v>6.4557285021689212E-2</v>
      </c>
      <c r="BE93" s="23">
        <f t="shared" si="36"/>
        <v>-4.1847410053585096E-2</v>
      </c>
      <c r="BF93" s="23">
        <f t="shared" si="37"/>
        <v>0.9152845113549376</v>
      </c>
      <c r="BG93" s="153">
        <v>-0.184</v>
      </c>
      <c r="BH93" s="184">
        <f>(BH92+BH94)/2</f>
        <v>0.51023087942269185</v>
      </c>
      <c r="BI93" s="23">
        <f>'Assets(BoP)'!EF93</f>
        <v>0.28577920366448845</v>
      </c>
      <c r="BJ93" s="182">
        <v>-41.41</v>
      </c>
      <c r="BK93" s="79"/>
      <c r="BL93" s="79"/>
      <c r="BM93" s="79"/>
      <c r="BN93" s="79"/>
      <c r="BO93" s="79"/>
      <c r="BP93" s="79"/>
      <c r="BQ93" s="28">
        <f t="shared" si="193"/>
        <v>0</v>
      </c>
      <c r="BR93" s="23">
        <f t="shared" si="58"/>
        <v>0</v>
      </c>
      <c r="BS93" s="79"/>
      <c r="BT93" s="23">
        <f t="shared" si="59"/>
        <v>0</v>
      </c>
      <c r="BU93" s="182">
        <f t="shared" si="60"/>
        <v>-17.335999999999999</v>
      </c>
      <c r="BV93" s="136">
        <f t="shared" si="61"/>
        <v>0</v>
      </c>
      <c r="BW93" s="153">
        <f t="shared" si="62"/>
        <v>-0.26550810672205372</v>
      </c>
      <c r="BX93" s="153">
        <f t="shared" si="63"/>
        <v>-0.72045867115066509</v>
      </c>
      <c r="BY93" s="153">
        <f t="shared" si="64"/>
        <v>0.16383493071705946</v>
      </c>
      <c r="BZ93" s="153">
        <f t="shared" si="65"/>
        <v>-3.1306921389962254</v>
      </c>
      <c r="CA93" s="153">
        <f t="shared" si="66"/>
        <v>-4.7494233561880908</v>
      </c>
      <c r="CB93" s="153">
        <f t="shared" si="67"/>
        <v>-0.1186211005532444</v>
      </c>
      <c r="CC93" s="153">
        <f t="shared" si="68"/>
        <v>-8.8208684428932216</v>
      </c>
      <c r="CD93" s="153">
        <f t="shared" si="69"/>
        <v>-9.4177988199720346</v>
      </c>
      <c r="CE93" s="23">
        <f t="shared" si="70"/>
        <v>1.5315419169477026E-2</v>
      </c>
      <c r="CF93" s="23">
        <f t="shared" si="71"/>
        <v>4.1558529715659043E-2</v>
      </c>
      <c r="CG93" s="23">
        <f t="shared" si="72"/>
        <v>-9.4505613011686366E-3</v>
      </c>
      <c r="CH93" s="23">
        <f t="shared" si="73"/>
        <v>0.18058907123882242</v>
      </c>
      <c r="CI93" s="23">
        <f t="shared" si="74"/>
        <v>0.27396304546539518</v>
      </c>
      <c r="CJ93" s="23">
        <f t="shared" si="75"/>
        <v>6.8424723438650446E-3</v>
      </c>
      <c r="CK93" s="23">
        <f t="shared" si="76"/>
        <v>0.50881797663205008</v>
      </c>
      <c r="CL93" s="23">
        <f t="shared" si="77"/>
        <v>0.49118202336794992</v>
      </c>
      <c r="CM93" s="23">
        <f t="shared" si="78"/>
        <v>8.7052412447658472E-3</v>
      </c>
      <c r="CN93" s="23">
        <f t="shared" si="79"/>
        <v>8.4035120708840279E-3</v>
      </c>
      <c r="CO93" s="23">
        <f t="shared" si="184"/>
        <v>7.1464755117843439E-4</v>
      </c>
      <c r="CP93" s="448">
        <f t="shared" si="185"/>
        <v>0</v>
      </c>
      <c r="CQ93" s="448">
        <f t="shared" si="186"/>
        <v>7.1464755117843439E-4</v>
      </c>
      <c r="CR93" s="23">
        <f t="shared" si="187"/>
        <v>6.8987741452502627E-4</v>
      </c>
      <c r="CS93" s="326">
        <v>21.254999999999999</v>
      </c>
      <c r="CT93" s="153">
        <v>2.016</v>
      </c>
      <c r="CU93" s="153">
        <v>23.271000000000001</v>
      </c>
      <c r="CV93" s="384">
        <f t="shared" si="134"/>
        <v>0.82750810672205377</v>
      </c>
      <c r="CW93" s="384">
        <f t="shared" si="135"/>
        <v>3.9094586711506651</v>
      </c>
      <c r="CX93" s="384">
        <f t="shared" si="136"/>
        <v>2.2501650692829407</v>
      </c>
      <c r="CY93" s="384">
        <f t="shared" si="137"/>
        <v>4.4296921389962254</v>
      </c>
      <c r="CZ93" s="384">
        <f t="shared" si="138"/>
        <v>1.0364233561880904</v>
      </c>
      <c r="DA93" s="153">
        <f t="shared" si="138"/>
        <v>-4.5378899446755612E-2</v>
      </c>
      <c r="DB93" s="153">
        <f t="shared" si="85"/>
        <v>12.40786844289322</v>
      </c>
      <c r="DC93" s="153">
        <f t="shared" si="189"/>
        <v>9.7497988199720336</v>
      </c>
      <c r="DD93" s="153">
        <f t="shared" si="87"/>
        <v>-0.90266726286525412</v>
      </c>
      <c r="DE93" s="23">
        <f t="shared" si="88"/>
        <v>0.58376233558660173</v>
      </c>
      <c r="DF93" s="149">
        <v>59.969000000000001</v>
      </c>
      <c r="DG93" s="153">
        <v>1.915</v>
      </c>
      <c r="DH93" s="153">
        <v>17.38</v>
      </c>
      <c r="DI93" s="153">
        <v>-14.097</v>
      </c>
      <c r="DJ93" s="153">
        <v>61.667999999999999</v>
      </c>
      <c r="DK93" s="153">
        <v>5.2220000000000004</v>
      </c>
      <c r="DL93" s="153">
        <v>-1.081</v>
      </c>
      <c r="DM93" s="153">
        <f t="shared" si="38"/>
        <v>71.006999999999991</v>
      </c>
      <c r="DN93" s="153">
        <f t="shared" si="39"/>
        <v>-11.03799999999999</v>
      </c>
      <c r="DO93" s="258">
        <f t="shared" si="140"/>
        <v>59.970000000000027</v>
      </c>
      <c r="DP93" s="5">
        <v>1343.9870000000001</v>
      </c>
      <c r="DQ93" s="76">
        <v>25.632000000000001</v>
      </c>
      <c r="DR93" s="76">
        <v>145.554</v>
      </c>
      <c r="DS93" s="76">
        <v>95.299000000000007</v>
      </c>
      <c r="DT93" s="76">
        <v>129.47800000000001</v>
      </c>
      <c r="DU93" s="76">
        <v>49.344000000000001</v>
      </c>
      <c r="DV93" s="76">
        <v>1.2210000000000001</v>
      </c>
      <c r="DW93" s="76">
        <f t="shared" si="40"/>
        <v>446.52799999999996</v>
      </c>
      <c r="DX93" s="76">
        <f t="shared" si="41"/>
        <v>897.45900000000006</v>
      </c>
      <c r="DY93" s="23">
        <f t="shared" si="141"/>
        <v>0.33224130888170789</v>
      </c>
      <c r="DZ93" s="23">
        <f t="shared" si="42"/>
        <v>1.9071613043876168E-2</v>
      </c>
      <c r="EA93" s="23">
        <f t="shared" si="43"/>
        <v>0.10830015468899624</v>
      </c>
      <c r="EB93" s="23">
        <f t="shared" si="44"/>
        <v>7.0907679910594379E-2</v>
      </c>
      <c r="EC93" s="23">
        <f t="shared" si="45"/>
        <v>9.6338729466877285E-2</v>
      </c>
      <c r="ED93" s="23">
        <f t="shared" si="46"/>
        <v>3.6714640841020038E-2</v>
      </c>
      <c r="EE93" s="23">
        <f t="shared" si="142"/>
        <v>9.0849093034382029E-4</v>
      </c>
      <c r="EF93" s="149">
        <v>394.197</v>
      </c>
      <c r="EG93" s="322">
        <f t="shared" si="143"/>
        <v>13.170500000000001</v>
      </c>
      <c r="EH93" s="322">
        <f t="shared" si="144"/>
        <v>77.559512831006259</v>
      </c>
      <c r="EI93" s="324">
        <f t="shared" si="145"/>
        <v>44.039571738083772</v>
      </c>
      <c r="EJ93" s="322">
        <f t="shared" si="146"/>
        <v>83.882071497351944</v>
      </c>
      <c r="EK93" s="322">
        <f t="shared" si="147"/>
        <v>9.0458338950409267</v>
      </c>
      <c r="EL93" s="322">
        <f t="shared" si="148"/>
        <v>-1.4615</v>
      </c>
      <c r="EM93" s="330">
        <f t="shared" si="89"/>
        <v>226.23598996148289</v>
      </c>
      <c r="EN93" s="330">
        <f t="shared" si="90"/>
        <v>167.96101003851712</v>
      </c>
      <c r="EO93" s="23">
        <f t="shared" si="91"/>
        <v>0.57391606217572144</v>
      </c>
      <c r="EP93" s="258">
        <v>479.41500000000002</v>
      </c>
      <c r="EQ93" s="153">
        <f t="shared" si="92"/>
        <v>18.4757</v>
      </c>
      <c r="ER93" s="153">
        <f t="shared" si="93"/>
        <v>81.638008223991974</v>
      </c>
      <c r="ES93" s="153">
        <f t="shared" si="149"/>
        <v>47.20978912938812</v>
      </c>
      <c r="ET93" s="153">
        <f t="shared" si="150"/>
        <v>93.974057410517787</v>
      </c>
      <c r="EU93" s="153">
        <f t="shared" si="94"/>
        <v>25.883607351545287</v>
      </c>
      <c r="EV93" s="153">
        <f t="shared" si="94"/>
        <v>-0.7409285714285716</v>
      </c>
      <c r="EW93" s="153">
        <f t="shared" si="95"/>
        <v>266.44023354401457</v>
      </c>
      <c r="EX93" s="153">
        <f t="shared" si="96"/>
        <v>212.97476645598545</v>
      </c>
      <c r="EY93" s="23">
        <f t="shared" si="97"/>
        <v>0.55576115378954472</v>
      </c>
      <c r="EZ93" s="258">
        <v>85.218000000000004</v>
      </c>
      <c r="FA93" s="316">
        <f t="shared" si="168"/>
        <v>5.3052000000000001</v>
      </c>
      <c r="FB93" s="484">
        <f t="shared" si="98"/>
        <v>4.0784953929857179</v>
      </c>
      <c r="FC93" s="483">
        <f t="shared" si="166"/>
        <v>3.1702173913043481</v>
      </c>
      <c r="FD93" s="484">
        <f t="shared" si="99"/>
        <v>10.091985913165846</v>
      </c>
      <c r="FE93" s="316">
        <f t="shared" si="100"/>
        <v>16.837773456504358</v>
      </c>
      <c r="FF93" s="316">
        <f t="shared" si="167"/>
        <v>0.72057142857142842</v>
      </c>
      <c r="FG93" s="153">
        <f t="shared" si="101"/>
        <v>40.204243582531696</v>
      </c>
      <c r="FH93" s="153">
        <f t="shared" si="102"/>
        <v>45.013756417468308</v>
      </c>
      <c r="FI93" s="23">
        <f t="shared" si="103"/>
        <v>0.47178112115435344</v>
      </c>
      <c r="FJ93" s="23"/>
      <c r="FK93" s="448">
        <f t="shared" si="104"/>
        <v>1.3064525536092695E-2</v>
      </c>
      <c r="FL93" s="448">
        <f t="shared" si="105"/>
        <v>4.854040862300929E-2</v>
      </c>
      <c r="FM93" s="23"/>
      <c r="FN93" s="23"/>
      <c r="FO93" s="326">
        <v>949.79100000000005</v>
      </c>
      <c r="FP93" s="483">
        <f t="shared" si="106"/>
        <v>9.9999999997635314E-4</v>
      </c>
      <c r="FQ93" s="322">
        <f t="shared" si="107"/>
        <v>12.461500000000001</v>
      </c>
      <c r="FR93" s="322">
        <f t="shared" si="108"/>
        <v>67.994487168993743</v>
      </c>
      <c r="FS93" s="322">
        <f t="shared" si="109"/>
        <v>51.259428261916234</v>
      </c>
      <c r="FT93" s="322">
        <f t="shared" si="110"/>
        <v>45.595928502648064</v>
      </c>
      <c r="FU93" s="322">
        <f t="shared" si="111"/>
        <v>40.298166104959073</v>
      </c>
      <c r="FV93" s="322">
        <f t="shared" si="112"/>
        <v>2.6825000000000001</v>
      </c>
      <c r="FW93" s="322">
        <f t="shared" si="113"/>
        <v>220.29201003851708</v>
      </c>
      <c r="FX93" s="322">
        <f t="shared" si="114"/>
        <v>0</v>
      </c>
      <c r="FY93" s="322">
        <f t="shared" si="115"/>
        <v>729.49798996148297</v>
      </c>
      <c r="FZ93" s="367">
        <f t="shared" si="116"/>
        <v>0.2319373525739</v>
      </c>
      <c r="GA93" s="248">
        <f t="shared" si="117"/>
        <v>1.3120254877125599E-2</v>
      </c>
      <c r="GB93" s="248">
        <f t="shared" si="118"/>
        <v>7.1588893945082374E-2</v>
      </c>
      <c r="GC93" s="248">
        <f t="shared" si="119"/>
        <v>5.3969166123827489E-2</v>
      </c>
      <c r="GD93" s="248">
        <f t="shared" si="120"/>
        <v>4.8006275593944416E-2</v>
      </c>
      <c r="GE93" s="248">
        <f t="shared" si="121"/>
        <v>4.2428456476171147E-2</v>
      </c>
      <c r="GF93" s="248">
        <f t="shared" si="122"/>
        <v>2.8243055577490206E-3</v>
      </c>
      <c r="GG93" s="248">
        <f t="shared" si="123"/>
        <v>0.10341125362019032</v>
      </c>
      <c r="GH93" s="23">
        <f t="shared" si="124"/>
        <v>7.9426212351270925E-2</v>
      </c>
      <c r="GI93" s="23">
        <f t="shared" si="125"/>
        <v>2.3984932391015075E-2</v>
      </c>
      <c r="GJ93" s="326">
        <v>633.726</v>
      </c>
      <c r="GK93" s="153">
        <f t="shared" si="151"/>
        <v>0</v>
      </c>
      <c r="GL93" s="153">
        <f t="shared" si="126"/>
        <v>394.197</v>
      </c>
      <c r="GM93" s="153">
        <f t="shared" si="127"/>
        <v>85.218000000000004</v>
      </c>
      <c r="GN93" s="153">
        <v>154.31100000000001</v>
      </c>
      <c r="GO93" s="153">
        <v>479.41500000000002</v>
      </c>
      <c r="GP93" s="153">
        <f t="shared" si="128"/>
        <v>479.41500000000002</v>
      </c>
      <c r="GQ93" s="295"/>
      <c r="GR93" s="153">
        <f t="shared" si="129"/>
        <v>949.79100000000005</v>
      </c>
      <c r="GS93" s="153">
        <f>FoF_RoW!$AZ63/1000</f>
        <v>1571.5930000000001</v>
      </c>
      <c r="GT93" s="153">
        <f t="shared" si="15"/>
        <v>1177.3960000000002</v>
      </c>
      <c r="GU93" s="23">
        <f t="shared" si="130"/>
        <v>1.2396369306510591</v>
      </c>
      <c r="GV93" s="330">
        <f>FoF_RoW!$AE63/1000</f>
        <v>168.04499999999999</v>
      </c>
      <c r="GW93" s="330">
        <f t="shared" si="16"/>
        <v>112.50099999999998</v>
      </c>
      <c r="GX93" s="153">
        <v>2799.8229999999999</v>
      </c>
      <c r="GY93" s="153">
        <v>2166.0970000000002</v>
      </c>
      <c r="GZ93" s="153">
        <f t="shared" si="131"/>
        <v>2.2806038381075417</v>
      </c>
      <c r="HA93" s="153">
        <f t="shared" si="190"/>
        <v>394.197</v>
      </c>
      <c r="HB93" s="153">
        <v>395.55200000000002</v>
      </c>
      <c r="HC93" s="153">
        <v>633.726</v>
      </c>
      <c r="HD93" s="186">
        <f t="shared" si="132"/>
        <v>-7.8069806936473416E-3</v>
      </c>
      <c r="HE93" s="503">
        <f t="shared" si="133"/>
        <v>-1.6845811341653062E-2</v>
      </c>
      <c r="HF93" s="663"/>
      <c r="HV93" s="186">
        <f t="shared" si="152"/>
        <v>-2.7930373700192385E-4</v>
      </c>
      <c r="HW93" s="308">
        <f t="shared" si="153"/>
        <v>0.12819240903251095</v>
      </c>
      <c r="HX93" s="308">
        <f t="shared" si="154"/>
        <v>-3.5804618898059488E-5</v>
      </c>
      <c r="HY93" s="313">
        <f t="shared" si="155"/>
        <v>0</v>
      </c>
      <c r="HZ93" s="23">
        <f t="shared" si="156"/>
        <v>-3.2603435282676363E-4</v>
      </c>
      <c r="IA93" s="23">
        <f t="shared" si="157"/>
        <v>-1.6214041053341926E-4</v>
      </c>
      <c r="IB93" s="23">
        <f t="shared" si="158"/>
        <v>4.8908984106330036E-5</v>
      </c>
      <c r="IC93" s="23">
        <f t="shared" si="159"/>
        <v>-1.0506793504529274E-3</v>
      </c>
      <c r="ID93" s="23">
        <f t="shared" si="160"/>
        <v>-1.8034807003146042E-3</v>
      </c>
      <c r="IE93" s="23">
        <f t="shared" si="161"/>
        <v>-6.7667186035529178E-4</v>
      </c>
      <c r="IF93" s="23">
        <f t="shared" si="162"/>
        <v>-6.1272908718662945E-4</v>
      </c>
      <c r="IG93" s="23">
        <f t="shared" si="163"/>
        <v>-1.9755189842886865E-4</v>
      </c>
      <c r="IH93" s="23">
        <f t="shared" si="164"/>
        <v>-4.151771887577608E-4</v>
      </c>
      <c r="II93" s="23"/>
      <c r="IJ93" s="23"/>
      <c r="IK93" s="848">
        <v>-9836</v>
      </c>
      <c r="IL93" s="332"/>
      <c r="IM93" s="332">
        <v>310015</v>
      </c>
      <c r="IN93" s="332"/>
      <c r="IP93" s="75">
        <v>14183</v>
      </c>
      <c r="IQ93" s="75">
        <v>-51774</v>
      </c>
      <c r="IR93" s="333"/>
      <c r="IS93" s="65"/>
      <c r="IT93" s="65"/>
      <c r="IU93" s="6"/>
      <c r="IV93" s="332">
        <v>344730</v>
      </c>
      <c r="IW93" s="332">
        <v>13843</v>
      </c>
      <c r="IX93" s="332">
        <v>-1972</v>
      </c>
      <c r="IY93" s="332">
        <v>12676</v>
      </c>
      <c r="IZ93" s="332">
        <v>8742</v>
      </c>
      <c r="JA93" s="75">
        <v>18911</v>
      </c>
      <c r="JB93" s="76">
        <v>-44894</v>
      </c>
      <c r="JC93" s="76">
        <v>13005</v>
      </c>
      <c r="JD93" s="76">
        <v>-33540</v>
      </c>
      <c r="JE93" s="312"/>
      <c r="JF93" s="76">
        <v>310015</v>
      </c>
      <c r="JG93" s="76">
        <v>-51774</v>
      </c>
      <c r="JK93" s="668">
        <f t="shared" si="169"/>
        <v>1.9260312944523472E-2</v>
      </c>
      <c r="JL93" s="668">
        <f t="shared" si="170"/>
        <v>-5.7204188785426272E-3</v>
      </c>
      <c r="JM93" s="669">
        <f t="shared" si="171"/>
        <v>0</v>
      </c>
    </row>
    <row r="94" spans="2:273">
      <c r="B94" s="451">
        <v>2002</v>
      </c>
      <c r="C94" s="43">
        <v>9436.7999999999993</v>
      </c>
      <c r="D94" s="5">
        <v>907.2</v>
      </c>
      <c r="E94" s="6">
        <f t="shared" si="172"/>
        <v>9.6134282807731453E-2</v>
      </c>
      <c r="F94" s="454">
        <f t="shared" si="173"/>
        <v>0</v>
      </c>
      <c r="G94" s="76">
        <f t="shared" si="174"/>
        <v>748.40000000000009</v>
      </c>
      <c r="H94" s="23">
        <f t="shared" si="175"/>
        <v>7.9306544591386932E-2</v>
      </c>
      <c r="I94" s="454">
        <v>158.80000000000001</v>
      </c>
      <c r="J94" s="460">
        <f t="shared" si="176"/>
        <v>1.6827738216344527E-2</v>
      </c>
      <c r="K94" s="6">
        <f t="shared" si="177"/>
        <v>0.17504409171075838</v>
      </c>
      <c r="L94" s="136">
        <v>205.3</v>
      </c>
      <c r="M94" s="136">
        <f t="shared" si="180"/>
        <v>46.5</v>
      </c>
      <c r="N94" s="460">
        <f t="shared" si="178"/>
        <v>2.1755256018989491E-2</v>
      </c>
      <c r="O94" s="460">
        <f t="shared" si="181"/>
        <v>4.9275178026449646E-3</v>
      </c>
      <c r="P94" s="449">
        <f t="shared" si="182"/>
        <v>5.1256613756613757E-2</v>
      </c>
      <c r="Q94" s="5">
        <f t="shared" si="179"/>
        <v>907.2</v>
      </c>
      <c r="R94" s="169">
        <f t="shared" si="183"/>
        <v>46.5</v>
      </c>
      <c r="S94" s="454">
        <f t="shared" si="191"/>
        <v>0</v>
      </c>
      <c r="T94" s="76">
        <v>23.56</v>
      </c>
      <c r="U94" s="76">
        <v>24.363</v>
      </c>
      <c r="V94" s="76">
        <f t="shared" si="192"/>
        <v>-1.4229999999999983</v>
      </c>
      <c r="W94" s="23">
        <f t="shared" si="48"/>
        <v>0.52393548387096778</v>
      </c>
      <c r="X94" s="326">
        <v>44.838999999999999</v>
      </c>
      <c r="Y94" s="153">
        <f t="shared" si="49"/>
        <v>-9.9999999999766942E-4</v>
      </c>
      <c r="Z94" s="79">
        <f t="shared" si="50"/>
        <v>24.363999999999997</v>
      </c>
      <c r="AA94" s="159">
        <v>21.190999999999999</v>
      </c>
      <c r="AB94" s="159">
        <v>3.173</v>
      </c>
      <c r="AC94" s="79">
        <f t="shared" si="51"/>
        <v>20.475999999999999</v>
      </c>
      <c r="AD94" s="79">
        <v>22.123000000000001</v>
      </c>
      <c r="AE94" s="79">
        <v>1.6459999999999999</v>
      </c>
      <c r="AF94" s="23">
        <f t="shared" si="52"/>
        <v>0.13023313084879332</v>
      </c>
      <c r="AG94" s="23">
        <f t="shared" si="53"/>
        <v>2.4386022927689596E-2</v>
      </c>
      <c r="AH94" s="450">
        <v>11.504</v>
      </c>
      <c r="AI94" s="153">
        <f t="shared" si="54"/>
        <v>33.335000000000001</v>
      </c>
      <c r="AJ94" s="153">
        <f t="shared" si="55"/>
        <v>1.0380000000000038</v>
      </c>
      <c r="AK94" s="153">
        <v>44.8</v>
      </c>
      <c r="AL94" s="23">
        <f t="shared" si="56"/>
        <v>0.47301339285714289</v>
      </c>
      <c r="AM94" s="182">
        <v>32.296999999999997</v>
      </c>
      <c r="AN94" s="79">
        <v>1.0389999999999999</v>
      </c>
      <c r="AO94" s="79">
        <v>4.3369999999999997</v>
      </c>
      <c r="AP94" s="79">
        <v>0.52800000000000002</v>
      </c>
      <c r="AQ94" s="79">
        <v>5.7709999999999999</v>
      </c>
      <c r="AR94" s="79">
        <v>-1.2330000000000001</v>
      </c>
      <c r="AS94" s="79">
        <v>-2.2509999999999999</v>
      </c>
      <c r="AT94" s="79">
        <v>-0.22500000000000001</v>
      </c>
      <c r="AU94" s="79">
        <v>-0.26700000000000002</v>
      </c>
      <c r="AV94" s="79">
        <f t="shared" si="27"/>
        <v>10.175000000000001</v>
      </c>
      <c r="AW94" s="79">
        <f t="shared" si="28"/>
        <v>22.121999999999996</v>
      </c>
      <c r="AX94" s="23">
        <f t="shared" si="29"/>
        <v>3.2170170604080874E-2</v>
      </c>
      <c r="AY94" s="23">
        <f t="shared" si="30"/>
        <v>0.13428491810384866</v>
      </c>
      <c r="AZ94" s="23">
        <f t="shared" si="31"/>
        <v>1.6348267640957367E-2</v>
      </c>
      <c r="BA94" s="23">
        <f t="shared" si="32"/>
        <v>0.1786853268105397</v>
      </c>
      <c r="BB94" s="23">
        <f t="shared" si="33"/>
        <v>-3.8176920457008399E-2</v>
      </c>
      <c r="BC94" s="23">
        <f t="shared" si="34"/>
        <v>-6.9696875870823918E-2</v>
      </c>
      <c r="BD94" s="23">
        <f t="shared" si="35"/>
        <v>-6.9665913242716046E-3</v>
      </c>
      <c r="BE94" s="23">
        <f t="shared" si="36"/>
        <v>-8.2670217048023045E-3</v>
      </c>
      <c r="BF94" s="23">
        <f t="shared" si="37"/>
        <v>0.31504474099761592</v>
      </c>
      <c r="BG94" s="153">
        <v>16.007000000000001</v>
      </c>
      <c r="BH94" s="23">
        <f t="shared" ref="BH94:BH108" si="194">BG94/$AM94</f>
        <v>0.49561878812273596</v>
      </c>
      <c r="BI94" s="23">
        <f>'Assets(BoP)'!EF94</f>
        <v>0.29743877060989277</v>
      </c>
      <c r="BJ94" s="182">
        <v>-8.3309999999999995</v>
      </c>
      <c r="BK94" s="79"/>
      <c r="BL94" s="79"/>
      <c r="BM94" s="79"/>
      <c r="BN94" s="79"/>
      <c r="BO94" s="79"/>
      <c r="BP94" s="79"/>
      <c r="BQ94" s="28">
        <f t="shared" si="193"/>
        <v>0</v>
      </c>
      <c r="BR94" s="23">
        <f t="shared" si="58"/>
        <v>0</v>
      </c>
      <c r="BS94" s="79"/>
      <c r="BT94" s="23">
        <f t="shared" si="59"/>
        <v>0</v>
      </c>
      <c r="BU94" s="182">
        <f t="shared" si="60"/>
        <v>11.820999999999998</v>
      </c>
      <c r="BV94" s="136">
        <f t="shared" si="61"/>
        <v>-9.9999999999589306E-4</v>
      </c>
      <c r="BW94" s="153">
        <f t="shared" si="62"/>
        <v>0.29170159732950518</v>
      </c>
      <c r="BX94" s="153">
        <f t="shared" si="63"/>
        <v>0.80601135678860469</v>
      </c>
      <c r="BY94" s="153">
        <f t="shared" si="64"/>
        <v>-1.5174023451567908</v>
      </c>
      <c r="BZ94" s="153">
        <f t="shared" si="65"/>
        <v>1.8168360380784705</v>
      </c>
      <c r="CA94" s="153">
        <f t="shared" si="66"/>
        <v>-2.3841598251154617</v>
      </c>
      <c r="CB94" s="153">
        <f t="shared" si="67"/>
        <v>-0.21505080965669676</v>
      </c>
      <c r="CC94" s="153">
        <f t="shared" si="68"/>
        <v>-1.2020639877323689</v>
      </c>
      <c r="CD94" s="153">
        <f t="shared" si="69"/>
        <v>12.294295221028426</v>
      </c>
      <c r="CE94" s="23">
        <f t="shared" si="70"/>
        <v>2.4676558440868388E-2</v>
      </c>
      <c r="CF94" s="23">
        <f t="shared" si="71"/>
        <v>6.8184701530209363E-2</v>
      </c>
      <c r="CG94" s="23">
        <f t="shared" si="72"/>
        <v>-0.12836497294279597</v>
      </c>
      <c r="CH94" s="23">
        <f t="shared" si="73"/>
        <v>0.15369562964880051</v>
      </c>
      <c r="CI94" s="23">
        <f t="shared" si="74"/>
        <v>-0.20168850563534912</v>
      </c>
      <c r="CJ94" s="23">
        <f t="shared" si="75"/>
        <v>-1.8192268814541647E-2</v>
      </c>
      <c r="CK94" s="23">
        <f t="shared" si="76"/>
        <v>-0.10168885777280848</v>
      </c>
      <c r="CL94" s="23">
        <f t="shared" si="77"/>
        <v>1.1016888577728086</v>
      </c>
      <c r="CM94" s="23">
        <f t="shared" si="78"/>
        <v>-5.2122265062120752E-3</v>
      </c>
      <c r="CN94" s="23">
        <f t="shared" si="79"/>
        <v>5.6468840262825837E-2</v>
      </c>
      <c r="CO94" s="23">
        <f t="shared" si="184"/>
        <v>-5.0107365700614566E-4</v>
      </c>
      <c r="CP94" s="448">
        <f t="shared" si="185"/>
        <v>0</v>
      </c>
      <c r="CQ94" s="448">
        <f t="shared" si="186"/>
        <v>-5.0107365700614566E-4</v>
      </c>
      <c r="CR94" s="23">
        <f t="shared" si="187"/>
        <v>5.4285914596511114E-3</v>
      </c>
      <c r="CS94" s="326">
        <v>20.475999999999999</v>
      </c>
      <c r="CT94" s="153">
        <v>1.6459999999999999</v>
      </c>
      <c r="CU94" s="153">
        <v>22.123000000000001</v>
      </c>
      <c r="CV94" s="384">
        <f t="shared" si="134"/>
        <v>0.74729840267049474</v>
      </c>
      <c r="CW94" s="384">
        <f t="shared" si="135"/>
        <v>3.5309886432113951</v>
      </c>
      <c r="CX94" s="384">
        <f t="shared" si="136"/>
        <v>2.0454023451567909</v>
      </c>
      <c r="CY94" s="384">
        <f t="shared" si="137"/>
        <v>3.9541639619215294</v>
      </c>
      <c r="CZ94" s="384">
        <f t="shared" si="138"/>
        <v>1.1511598251154616</v>
      </c>
      <c r="DA94" s="153">
        <f t="shared" si="138"/>
        <v>-5.1949190343303253E-2</v>
      </c>
      <c r="DB94" s="153">
        <f t="shared" si="85"/>
        <v>11.37706398773237</v>
      </c>
      <c r="DC94" s="153">
        <f t="shared" si="189"/>
        <v>9.8277047789715706</v>
      </c>
      <c r="DD94" s="153">
        <f t="shared" si="87"/>
        <v>-0.72876876670394175</v>
      </c>
      <c r="DE94" s="23">
        <f t="shared" si="88"/>
        <v>0.55562922385877955</v>
      </c>
      <c r="DF94" s="149">
        <v>-22.555</v>
      </c>
      <c r="DG94" s="153">
        <v>-2.3279999999999998</v>
      </c>
      <c r="DH94" s="153">
        <v>-8.2859999999999996</v>
      </c>
      <c r="DI94" s="153">
        <v>-4.5220000000000002</v>
      </c>
      <c r="DJ94" s="153">
        <v>-11.18</v>
      </c>
      <c r="DK94" s="153">
        <v>-0.14199999999999999</v>
      </c>
      <c r="DL94" s="153">
        <v>-0.22900000000000001</v>
      </c>
      <c r="DM94" s="153">
        <f t="shared" si="38"/>
        <v>-26.686999999999998</v>
      </c>
      <c r="DN94" s="153">
        <f t="shared" si="39"/>
        <v>4.1319999999999979</v>
      </c>
      <c r="DO94" s="258">
        <f t="shared" si="140"/>
        <v>-30.932000000000016</v>
      </c>
      <c r="DP94" s="5">
        <v>1327.17</v>
      </c>
      <c r="DQ94" s="76">
        <v>27.302</v>
      </c>
      <c r="DR94" s="76">
        <v>145.596</v>
      </c>
      <c r="DS94" s="76">
        <v>97.415999999999997</v>
      </c>
      <c r="DT94" s="76">
        <v>118.342</v>
      </c>
      <c r="DU94" s="76">
        <v>56.006999999999998</v>
      </c>
      <c r="DV94" s="76">
        <v>1.53</v>
      </c>
      <c r="DW94" s="76">
        <f t="shared" si="40"/>
        <v>446.19299999999998</v>
      </c>
      <c r="DX94" s="76">
        <f t="shared" si="41"/>
        <v>880.97700000000009</v>
      </c>
      <c r="DY94" s="23">
        <f t="shared" si="141"/>
        <v>0.33619882908745674</v>
      </c>
      <c r="DZ94" s="23">
        <f t="shared" si="42"/>
        <v>2.0571592184874581E-2</v>
      </c>
      <c r="EA94" s="23">
        <f t="shared" si="43"/>
        <v>0.10970410723569701</v>
      </c>
      <c r="EB94" s="23">
        <f t="shared" si="44"/>
        <v>7.3401297497683038E-2</v>
      </c>
      <c r="EC94" s="23">
        <f t="shared" si="45"/>
        <v>8.9168682233624924E-2</v>
      </c>
      <c r="ED94" s="23">
        <f t="shared" si="46"/>
        <v>4.2200320983747368E-2</v>
      </c>
      <c r="EE94" s="23">
        <f t="shared" si="142"/>
        <v>1.1528289518298333E-3</v>
      </c>
      <c r="EF94" s="149">
        <v>363.26499999999999</v>
      </c>
      <c r="EG94" s="322">
        <f t="shared" si="143"/>
        <v>10.842500000000001</v>
      </c>
      <c r="EH94" s="322">
        <f t="shared" si="144"/>
        <v>69.273512831006258</v>
      </c>
      <c r="EI94" s="324">
        <f t="shared" si="145"/>
        <v>39.517571738083774</v>
      </c>
      <c r="EJ94" s="322">
        <f t="shared" si="146"/>
        <v>72.702071497351938</v>
      </c>
      <c r="EK94" s="322">
        <f t="shared" si="147"/>
        <v>8.9038338950409273</v>
      </c>
      <c r="EL94" s="322">
        <f t="shared" si="148"/>
        <v>-1.6905000000000001</v>
      </c>
      <c r="EM94" s="330">
        <f t="shared" si="89"/>
        <v>199.5489899614829</v>
      </c>
      <c r="EN94" s="330">
        <f t="shared" si="90"/>
        <v>163.71601003851708</v>
      </c>
      <c r="EO94" s="23">
        <f t="shared" si="91"/>
        <v>0.54932071617547218</v>
      </c>
      <c r="EP94" s="258">
        <v>456.56700000000001</v>
      </c>
      <c r="EQ94" s="153">
        <f t="shared" si="92"/>
        <v>16.5898</v>
      </c>
      <c r="ER94" s="153">
        <f t="shared" si="93"/>
        <v>73.788335960303471</v>
      </c>
      <c r="ES94" s="153">
        <f t="shared" si="149"/>
        <v>42.899136955475079</v>
      </c>
      <c r="ET94" s="153">
        <f t="shared" si="150"/>
        <v>83.873723548170474</v>
      </c>
      <c r="EU94" s="153">
        <f t="shared" si="94"/>
        <v>27.54295487530063</v>
      </c>
      <c r="EV94" s="153">
        <f t="shared" si="94"/>
        <v>-0.91450000000000031</v>
      </c>
      <c r="EW94" s="153">
        <f t="shared" si="95"/>
        <v>243.77945133924965</v>
      </c>
      <c r="EX94" s="153">
        <f t="shared" si="96"/>
        <v>212.78754866075036</v>
      </c>
      <c r="EY94" s="23">
        <f t="shared" si="97"/>
        <v>0.5339401475342056</v>
      </c>
      <c r="EZ94" s="258">
        <v>93.302000000000007</v>
      </c>
      <c r="FA94" s="316">
        <f t="shared" si="168"/>
        <v>5.7473000000000001</v>
      </c>
      <c r="FB94" s="484">
        <f t="shared" si="98"/>
        <v>4.5148231292972181</v>
      </c>
      <c r="FC94" s="483">
        <f t="shared" si="166"/>
        <v>3.3815652173913047</v>
      </c>
      <c r="FD94" s="484">
        <f t="shared" si="99"/>
        <v>11.171652050818542</v>
      </c>
      <c r="FE94" s="316">
        <f t="shared" si="100"/>
        <v>18.639120980259705</v>
      </c>
      <c r="FF94" s="316">
        <f t="shared" si="167"/>
        <v>0.7759999999999998</v>
      </c>
      <c r="FG94" s="153">
        <f t="shared" si="101"/>
        <v>44.230461377766773</v>
      </c>
      <c r="FH94" s="153">
        <f t="shared" si="102"/>
        <v>49.071538622233234</v>
      </c>
      <c r="FI94" s="23">
        <f t="shared" si="103"/>
        <v>0.4740569481658139</v>
      </c>
      <c r="FJ94" s="23"/>
      <c r="FK94" s="448">
        <f t="shared" si="104"/>
        <v>9.8414957160196347E-3</v>
      </c>
      <c r="FL94" s="448">
        <f t="shared" si="105"/>
        <v>4.845510078476982E-2</v>
      </c>
      <c r="FM94" s="23"/>
      <c r="FN94" s="23"/>
      <c r="FO94" s="326">
        <v>963.90499999999997</v>
      </c>
      <c r="FP94" s="483">
        <f t="shared" si="106"/>
        <v>0</v>
      </c>
      <c r="FQ94" s="322">
        <f t="shared" si="107"/>
        <v>16.459499999999998</v>
      </c>
      <c r="FR94" s="322">
        <f t="shared" si="108"/>
        <v>76.322487168993746</v>
      </c>
      <c r="FS94" s="322">
        <f t="shared" si="109"/>
        <v>57.898428261916223</v>
      </c>
      <c r="FT94" s="322">
        <f t="shared" si="110"/>
        <v>45.639928502648061</v>
      </c>
      <c r="FU94" s="322">
        <f t="shared" si="111"/>
        <v>47.103166104959072</v>
      </c>
      <c r="FV94" s="322">
        <f t="shared" si="112"/>
        <v>3.2205000000000004</v>
      </c>
      <c r="FW94" s="322">
        <f t="shared" si="113"/>
        <v>246.64401003851708</v>
      </c>
      <c r="FX94" s="322">
        <f t="shared" si="114"/>
        <v>0</v>
      </c>
      <c r="FY94" s="322">
        <f t="shared" si="115"/>
        <v>717.26098996148301</v>
      </c>
      <c r="FZ94" s="367">
        <f t="shared" si="116"/>
        <v>0.25587999858753413</v>
      </c>
      <c r="GA94" s="248">
        <f t="shared" si="117"/>
        <v>1.7075852910815897E-2</v>
      </c>
      <c r="GB94" s="248">
        <f t="shared" si="118"/>
        <v>7.9180507590471835E-2</v>
      </c>
      <c r="GC94" s="248">
        <f t="shared" si="119"/>
        <v>6.0066529649619234E-2</v>
      </c>
      <c r="GD94" s="248">
        <f t="shared" si="120"/>
        <v>4.7348990307808404E-2</v>
      </c>
      <c r="GE94" s="248">
        <f t="shared" si="121"/>
        <v>4.8867021236490185E-2</v>
      </c>
      <c r="GF94" s="248">
        <f t="shared" si="122"/>
        <v>3.3410968923286012E-3</v>
      </c>
      <c r="GG94" s="248">
        <f t="shared" si="123"/>
        <v>0.1021432053238386</v>
      </c>
      <c r="GH94" s="23">
        <f t="shared" si="124"/>
        <v>7.6006802089848571E-2</v>
      </c>
      <c r="GI94" s="23">
        <f t="shared" si="125"/>
        <v>2.6136403233990028E-2</v>
      </c>
      <c r="GJ94" s="326">
        <v>623.81799999999998</v>
      </c>
      <c r="GK94" s="153">
        <f t="shared" si="151"/>
        <v>0</v>
      </c>
      <c r="GL94" s="153">
        <f t="shared" si="126"/>
        <v>363.26499999999999</v>
      </c>
      <c r="GM94" s="153">
        <f t="shared" si="127"/>
        <v>93.302000000000007</v>
      </c>
      <c r="GN94" s="153">
        <v>167.251</v>
      </c>
      <c r="GO94" s="153">
        <v>456.56700000000001</v>
      </c>
      <c r="GP94" s="153">
        <f t="shared" si="128"/>
        <v>456.56700000000001</v>
      </c>
      <c r="GQ94" s="295"/>
      <c r="GR94" s="153">
        <f t="shared" si="129"/>
        <v>963.90499999999997</v>
      </c>
      <c r="GS94" s="153">
        <f>FoF_RoW!$AZ64/1000</f>
        <v>1577.9449999999999</v>
      </c>
      <c r="GT94" s="153">
        <f t="shared" si="15"/>
        <v>1214.6799999999998</v>
      </c>
      <c r="GU94" s="23">
        <f t="shared" si="130"/>
        <v>1.2601656802278232</v>
      </c>
      <c r="GV94" s="330">
        <f>FoF_RoW!$AE64/1000</f>
        <v>85.959000000000003</v>
      </c>
      <c r="GW94" s="330">
        <f t="shared" si="16"/>
        <v>6.3519999999998618</v>
      </c>
      <c r="GX94" s="153">
        <v>2282.37</v>
      </c>
      <c r="GY94" s="153">
        <v>1658.5519999999999</v>
      </c>
      <c r="GZ94" s="153">
        <f t="shared" si="131"/>
        <v>1.7206591935927296</v>
      </c>
      <c r="HA94" s="153">
        <f t="shared" si="190"/>
        <v>363.26499999999999</v>
      </c>
      <c r="HB94" s="153">
        <v>443.03100000000001</v>
      </c>
      <c r="HC94" s="153">
        <v>623.81799999999998</v>
      </c>
      <c r="HD94" s="186">
        <f t="shared" si="132"/>
        <v>2.5276349847754703E-2</v>
      </c>
      <c r="HE94" s="503">
        <f t="shared" si="133"/>
        <v>1.3341563743314952E-2</v>
      </c>
      <c r="HF94" s="663"/>
      <c r="HV94" s="186">
        <f t="shared" si="152"/>
        <v>1.4531335828673235E-2</v>
      </c>
      <c r="HW94" s="308">
        <f t="shared" si="153"/>
        <v>0.12871736181756527</v>
      </c>
      <c r="HX94" s="308">
        <f t="shared" si="154"/>
        <v>1.8704352115518825E-3</v>
      </c>
      <c r="HY94" s="313">
        <f t="shared" si="155"/>
        <v>0</v>
      </c>
      <c r="HZ94" s="23">
        <f t="shared" si="156"/>
        <v>2.0999440535881632E-2</v>
      </c>
      <c r="IA94" s="23">
        <f t="shared" si="157"/>
        <v>1.2513367575740971E-2</v>
      </c>
      <c r="IB94" s="23">
        <f t="shared" si="158"/>
        <v>-3.1054141821595081E-2</v>
      </c>
      <c r="IC94" s="23">
        <f t="shared" si="159"/>
        <v>4.7168963800645024E-2</v>
      </c>
      <c r="ID94" s="23">
        <f t="shared" si="160"/>
        <v>-5.9975077956706119E-2</v>
      </c>
      <c r="IE94" s="23">
        <f t="shared" si="161"/>
        <v>-7.912310721565384E-2</v>
      </c>
      <c r="IF94" s="23">
        <f t="shared" si="162"/>
        <v>-5.7748747478805771E-3</v>
      </c>
      <c r="IG94" s="23">
        <f t="shared" si="163"/>
        <v>2.031009625852195E-2</v>
      </c>
      <c r="IH94" s="23">
        <f t="shared" si="164"/>
        <v>-2.6084971006402526E-2</v>
      </c>
      <c r="II94" s="23"/>
      <c r="IJ94" s="23"/>
      <c r="IK94" s="848">
        <v>22029</v>
      </c>
      <c r="IL94" s="332"/>
      <c r="IM94" s="330">
        <v>315779</v>
      </c>
      <c r="IN94" s="330"/>
      <c r="IO94" s="330">
        <v>7867</v>
      </c>
      <c r="IP94" s="76">
        <v>18166</v>
      </c>
      <c r="IQ94" s="76">
        <v>-54973</v>
      </c>
      <c r="IR94" s="76">
        <v>8365</v>
      </c>
      <c r="IS94" s="76">
        <v>-66586</v>
      </c>
      <c r="IT94" s="76"/>
      <c r="IU94" s="23"/>
      <c r="IV94" s="332">
        <v>341935</v>
      </c>
      <c r="IW94" s="332"/>
      <c r="JB94" s="76">
        <v>-57011</v>
      </c>
      <c r="JC94" s="76"/>
      <c r="JD94" s="76"/>
      <c r="JE94" s="76"/>
      <c r="JF94" s="76">
        <v>315779</v>
      </c>
      <c r="JG94" s="76">
        <v>-54973</v>
      </c>
      <c r="JK94" s="23">
        <f t="shared" ref="JK94:JK107" si="195">(IK94+IO94)/(IK94+IM94+IO94)</f>
        <v>8.6485860996600855E-2</v>
      </c>
      <c r="JL94" s="23">
        <f t="shared" ref="JL94:JL107" si="196">IK94/IM94</f>
        <v>6.9760813733655502E-2</v>
      </c>
      <c r="JM94" s="655">
        <f t="shared" ref="JM94:JM107" si="197">JK94/(1-JK94)*(1-IO94/(IO94+IK94))-JL94</f>
        <v>0</v>
      </c>
    </row>
    <row r="95" spans="2:273">
      <c r="B95" s="451">
        <v>2003</v>
      </c>
      <c r="C95" s="43">
        <v>9864.2000000000007</v>
      </c>
      <c r="D95" s="5">
        <v>1056.4000000000001</v>
      </c>
      <c r="E95" s="460">
        <f t="shared" si="172"/>
        <v>0.10709434115285578</v>
      </c>
      <c r="F95" s="454">
        <f t="shared" si="173"/>
        <v>0</v>
      </c>
      <c r="G95" s="76">
        <f t="shared" si="174"/>
        <v>889.80000000000007</v>
      </c>
      <c r="H95" s="23">
        <f t="shared" si="175"/>
        <v>9.0204983678352016E-2</v>
      </c>
      <c r="I95" s="454">
        <v>166.6</v>
      </c>
      <c r="J95" s="460">
        <f t="shared" si="176"/>
        <v>1.688935747450376E-2</v>
      </c>
      <c r="K95" s="6">
        <f t="shared" si="177"/>
        <v>0.15770541461567586</v>
      </c>
      <c r="L95" s="136">
        <v>250</v>
      </c>
      <c r="M95" s="136">
        <f t="shared" si="180"/>
        <v>83.4</v>
      </c>
      <c r="N95" s="460">
        <f t="shared" si="178"/>
        <v>2.5344173881308163E-2</v>
      </c>
      <c r="O95" s="460">
        <f t="shared" si="181"/>
        <v>8.4548164068044031E-3</v>
      </c>
      <c r="P95" s="449">
        <f t="shared" si="182"/>
        <v>7.8947368421052627E-2</v>
      </c>
      <c r="Q95" s="5">
        <f t="shared" si="179"/>
        <v>1056.4000000000001</v>
      </c>
      <c r="R95" s="169">
        <f t="shared" si="183"/>
        <v>83.4</v>
      </c>
      <c r="S95" s="454">
        <f t="shared" si="191"/>
        <v>0</v>
      </c>
      <c r="T95" s="76">
        <v>25.66</v>
      </c>
      <c r="U95" s="76">
        <v>63.304000000000002</v>
      </c>
      <c r="V95" s="76">
        <f t="shared" si="192"/>
        <v>-5.563999999999993</v>
      </c>
      <c r="W95" s="23">
        <f t="shared" si="48"/>
        <v>0.75904076738609105</v>
      </c>
      <c r="X95" s="326">
        <v>79.513999999999996</v>
      </c>
      <c r="Y95" s="153">
        <f t="shared" si="49"/>
        <v>9.9999999999766942E-4</v>
      </c>
      <c r="Z95" s="79">
        <f t="shared" si="50"/>
        <v>63.302999999999997</v>
      </c>
      <c r="AA95" s="159">
        <v>43.255000000000003</v>
      </c>
      <c r="AB95" s="159">
        <v>20.047999999999998</v>
      </c>
      <c r="AC95" s="79">
        <f t="shared" si="51"/>
        <v>16.21</v>
      </c>
      <c r="AD95" s="79">
        <v>17.728000000000002</v>
      </c>
      <c r="AE95" s="79">
        <v>1.518</v>
      </c>
      <c r="AF95" s="23">
        <f t="shared" si="52"/>
        <v>0.31669905059791792</v>
      </c>
      <c r="AG95" s="23">
        <f t="shared" si="53"/>
        <v>1.6781522150700494E-2</v>
      </c>
      <c r="AH95" s="450">
        <v>16.364999999999998</v>
      </c>
      <c r="AI95" s="153">
        <f t="shared" si="54"/>
        <v>63.149000000000001</v>
      </c>
      <c r="AJ95" s="153">
        <f t="shared" si="55"/>
        <v>2.1850000000000023</v>
      </c>
      <c r="AK95" s="153">
        <v>68.900000000000006</v>
      </c>
      <c r="AL95" s="23">
        <f t="shared" si="56"/>
        <v>0.6277939042089985</v>
      </c>
      <c r="AM95" s="182">
        <v>60.963999999999999</v>
      </c>
      <c r="AN95" s="79">
        <v>0.53800000000000003</v>
      </c>
      <c r="AO95" s="79">
        <v>8.84</v>
      </c>
      <c r="AP95" s="79">
        <v>0.68300000000000005</v>
      </c>
      <c r="AQ95" s="79">
        <v>6.9279999999999999</v>
      </c>
      <c r="AR95" s="79">
        <v>-0.78800000000000003</v>
      </c>
      <c r="AS95" s="79">
        <v>-1.2050000000000001</v>
      </c>
      <c r="AT95" s="79">
        <v>-0.309</v>
      </c>
      <c r="AU95" s="79">
        <v>-0.184</v>
      </c>
      <c r="AV95" s="79">
        <f t="shared" si="27"/>
        <v>16.016999999999999</v>
      </c>
      <c r="AW95" s="79">
        <f t="shared" si="28"/>
        <v>44.947000000000003</v>
      </c>
      <c r="AX95" s="23">
        <f t="shared" si="29"/>
        <v>8.8248802572009725E-3</v>
      </c>
      <c r="AY95" s="23">
        <f t="shared" si="30"/>
        <v>0.14500360868709403</v>
      </c>
      <c r="AZ95" s="23">
        <f t="shared" si="31"/>
        <v>1.1203333114625026E-2</v>
      </c>
      <c r="BA95" s="23">
        <f t="shared" si="32"/>
        <v>0.11364083721540581</v>
      </c>
      <c r="BB95" s="23">
        <f t="shared" si="33"/>
        <v>-1.2925661045863132E-2</v>
      </c>
      <c r="BC95" s="23">
        <f t="shared" si="34"/>
        <v>-1.9765763401351617E-2</v>
      </c>
      <c r="BD95" s="23">
        <f t="shared" si="35"/>
        <v>-5.0685650547864312E-3</v>
      </c>
      <c r="BE95" s="23">
        <f t="shared" si="36"/>
        <v>-3.0181746604553508E-3</v>
      </c>
      <c r="BF95" s="23">
        <f t="shared" si="37"/>
        <v>0.26272882356800736</v>
      </c>
      <c r="BG95" s="153">
        <v>35.970999999999997</v>
      </c>
      <c r="BH95" s="23">
        <f t="shared" si="194"/>
        <v>0.59003674299586639</v>
      </c>
      <c r="BI95" s="23">
        <f>'Assets(BoP)'!EF95</f>
        <v>0.28072129440748655</v>
      </c>
      <c r="BJ95" s="182">
        <v>3.6829999999999998</v>
      </c>
      <c r="BK95" s="79"/>
      <c r="BL95" s="79"/>
      <c r="BM95" s="79"/>
      <c r="BN95" s="79"/>
      <c r="BO95" s="79"/>
      <c r="BP95" s="79"/>
      <c r="BQ95" s="28">
        <f t="shared" si="193"/>
        <v>0</v>
      </c>
      <c r="BR95" s="23">
        <f t="shared" si="58"/>
        <v>0</v>
      </c>
      <c r="BS95" s="79"/>
      <c r="BT95" s="23">
        <f t="shared" si="59"/>
        <v>0</v>
      </c>
      <c r="BU95" s="182">
        <f t="shared" si="60"/>
        <v>44.753999999999998</v>
      </c>
      <c r="BV95" s="136">
        <f t="shared" si="61"/>
        <v>9.9999999999766942E-4</v>
      </c>
      <c r="BW95" s="153">
        <f t="shared" si="62"/>
        <v>8.4277469344369693E-2</v>
      </c>
      <c r="BX95" s="153">
        <f t="shared" si="63"/>
        <v>6.3112562337459863</v>
      </c>
      <c r="BY95" s="153">
        <f t="shared" si="64"/>
        <v>-1.546290205504657</v>
      </c>
      <c r="BZ95" s="153">
        <f t="shared" si="65"/>
        <v>3.8505099076542262</v>
      </c>
      <c r="CA95" s="153">
        <f t="shared" si="66"/>
        <v>-1.8816078050238856</v>
      </c>
      <c r="CB95" s="153">
        <f t="shared" si="67"/>
        <v>-0.14243632585624222</v>
      </c>
      <c r="CC95" s="153">
        <f t="shared" si="68"/>
        <v>6.6757092743597966</v>
      </c>
      <c r="CD95" s="153">
        <f t="shared" si="69"/>
        <v>37.495308490460829</v>
      </c>
      <c r="CE95" s="23">
        <f t="shared" si="70"/>
        <v>1.8831270801351768E-3</v>
      </c>
      <c r="CF95" s="23">
        <f t="shared" si="71"/>
        <v>0.14102105362081571</v>
      </c>
      <c r="CG95" s="23">
        <f t="shared" si="72"/>
        <v>-3.4550882725670487E-2</v>
      </c>
      <c r="CH95" s="23">
        <f t="shared" si="73"/>
        <v>8.6037223659432144E-2</v>
      </c>
      <c r="CI95" s="23">
        <f t="shared" si="74"/>
        <v>-4.2043343723999767E-2</v>
      </c>
      <c r="CJ95" s="23">
        <f t="shared" si="75"/>
        <v>-3.1826501733083572E-3</v>
      </c>
      <c r="CK95" s="23">
        <f t="shared" si="76"/>
        <v>0.14916452773740443</v>
      </c>
      <c r="CL95" s="23">
        <f t="shared" si="77"/>
        <v>0.85083547226259559</v>
      </c>
      <c r="CM95" s="23">
        <f t="shared" si="78"/>
        <v>1.1776146926637192E-2</v>
      </c>
      <c r="CN95" s="23">
        <f t="shared" si="79"/>
        <v>6.7171221494415442E-2</v>
      </c>
      <c r="CO95" s="23">
        <f t="shared" si="184"/>
        <v>1.2611586964274375E-3</v>
      </c>
      <c r="CP95" s="448">
        <f t="shared" si="185"/>
        <v>0</v>
      </c>
      <c r="CQ95" s="448">
        <f t="shared" si="186"/>
        <v>1.2611586964274375E-3</v>
      </c>
      <c r="CR95" s="23">
        <f t="shared" si="187"/>
        <v>7.1936577103769665E-3</v>
      </c>
      <c r="CS95" s="326">
        <v>16.21</v>
      </c>
      <c r="CT95" s="153">
        <v>1.518</v>
      </c>
      <c r="CU95" s="153">
        <v>17.728000000000002</v>
      </c>
      <c r="CV95" s="384">
        <f t="shared" si="134"/>
        <v>0.45372253065563034</v>
      </c>
      <c r="CW95" s="384">
        <f t="shared" si="135"/>
        <v>2.528743766254014</v>
      </c>
      <c r="CX95" s="384">
        <f t="shared" si="136"/>
        <v>2.2292902055046571</v>
      </c>
      <c r="CY95" s="384">
        <f t="shared" si="137"/>
        <v>3.0774900923457738</v>
      </c>
      <c r="CZ95" s="384">
        <f t="shared" si="138"/>
        <v>1.0936078050238855</v>
      </c>
      <c r="DA95" s="153">
        <f t="shared" si="138"/>
        <v>-4.1563674143757778E-2</v>
      </c>
      <c r="DB95" s="153">
        <f t="shared" si="85"/>
        <v>9.3412907256402047</v>
      </c>
      <c r="DC95" s="153">
        <f t="shared" si="189"/>
        <v>7.4516915095391756</v>
      </c>
      <c r="DD95" s="153">
        <f t="shared" si="87"/>
        <v>-0.58298223517937942</v>
      </c>
      <c r="DE95" s="23">
        <f t="shared" si="88"/>
        <v>0.57626716382727972</v>
      </c>
      <c r="DF95" s="149">
        <v>-43.957000000000001</v>
      </c>
      <c r="DG95" s="153">
        <v>-4.6669999999999998</v>
      </c>
      <c r="DH95" s="153">
        <v>-11.74</v>
      </c>
      <c r="DI95" s="153">
        <v>12.395</v>
      </c>
      <c r="DJ95" s="153">
        <v>-8.5060000000000002</v>
      </c>
      <c r="DK95" s="153">
        <v>-1.1359999999999999</v>
      </c>
      <c r="DL95" s="153">
        <v>0</v>
      </c>
      <c r="DM95" s="153">
        <f t="shared" si="38"/>
        <v>-13.654</v>
      </c>
      <c r="DN95" s="153">
        <f t="shared" si="39"/>
        <v>-30.303000000000001</v>
      </c>
      <c r="DO95" s="258">
        <f t="shared" si="140"/>
        <v>-44.928999999999974</v>
      </c>
      <c r="DP95" s="5">
        <v>1395.1590000000001</v>
      </c>
      <c r="DQ95" s="76">
        <v>23.346</v>
      </c>
      <c r="DR95" s="76">
        <v>146.601</v>
      </c>
      <c r="DS95" s="76">
        <v>109.212</v>
      </c>
      <c r="DT95" s="76">
        <v>124.247</v>
      </c>
      <c r="DU95" s="76">
        <v>61.223999999999997</v>
      </c>
      <c r="DV95" s="76">
        <v>2.1659999999999999</v>
      </c>
      <c r="DW95" s="76">
        <f t="shared" si="40"/>
        <v>466.79599999999999</v>
      </c>
      <c r="DX95" s="76">
        <f t="shared" si="41"/>
        <v>928.36300000000006</v>
      </c>
      <c r="DY95" s="23">
        <f t="shared" si="141"/>
        <v>0.33458265330331521</v>
      </c>
      <c r="DZ95" s="23">
        <f t="shared" si="42"/>
        <v>1.673357660309685E-2</v>
      </c>
      <c r="EA95" s="23">
        <f t="shared" si="43"/>
        <v>0.10507834590896091</v>
      </c>
      <c r="EB95" s="23">
        <f t="shared" si="44"/>
        <v>7.8279249891947802E-2</v>
      </c>
      <c r="EC95" s="23">
        <f t="shared" si="45"/>
        <v>8.9055799374838276E-2</v>
      </c>
      <c r="ED95" s="23">
        <f t="shared" si="46"/>
        <v>4.3883170305320032E-2</v>
      </c>
      <c r="EE95" s="23">
        <f t="shared" si="142"/>
        <v>1.5525112191513654E-3</v>
      </c>
      <c r="EF95" s="149">
        <v>318.33600000000001</v>
      </c>
      <c r="EG95" s="322">
        <f t="shared" si="143"/>
        <v>6.1755000000000013</v>
      </c>
      <c r="EH95" s="322">
        <f t="shared" si="144"/>
        <v>57.533512831006256</v>
      </c>
      <c r="EI95" s="324">
        <f t="shared" si="145"/>
        <v>51.91257173808377</v>
      </c>
      <c r="EJ95" s="322">
        <f t="shared" si="146"/>
        <v>64.196071497351937</v>
      </c>
      <c r="EK95" s="322">
        <f t="shared" si="147"/>
        <v>7.7678338950409271</v>
      </c>
      <c r="EL95" s="322">
        <f t="shared" si="148"/>
        <v>-1.6905000000000001</v>
      </c>
      <c r="EM95" s="330">
        <f t="shared" si="89"/>
        <v>185.89498996148291</v>
      </c>
      <c r="EN95" s="330">
        <f t="shared" si="90"/>
        <v>132.44101003851711</v>
      </c>
      <c r="EO95" s="23">
        <f t="shared" si="91"/>
        <v>0.58395842745238646</v>
      </c>
      <c r="EP95" s="258">
        <v>435.80599999999998</v>
      </c>
      <c r="EQ95" s="153">
        <f t="shared" si="92"/>
        <v>12.364900000000002</v>
      </c>
      <c r="ER95" s="153">
        <f t="shared" si="93"/>
        <v>63.290338933474629</v>
      </c>
      <c r="ES95" s="153">
        <f t="shared" si="149"/>
        <v>55.505484781562032</v>
      </c>
      <c r="ET95" s="153">
        <f t="shared" si="150"/>
        <v>78.440983488811852</v>
      </c>
      <c r="EU95" s="153">
        <f t="shared" si="94"/>
        <v>31.534474384217237</v>
      </c>
      <c r="EV95" s="153">
        <f t="shared" si="94"/>
        <v>-0.85907142857142893</v>
      </c>
      <c r="EW95" s="153">
        <f t="shared" si="95"/>
        <v>240.27711015949436</v>
      </c>
      <c r="EX95" s="153">
        <f t="shared" si="96"/>
        <v>195.52888984050563</v>
      </c>
      <c r="EY95" s="23">
        <f t="shared" si="97"/>
        <v>0.55133961019236621</v>
      </c>
      <c r="EZ95" s="258">
        <v>117.471</v>
      </c>
      <c r="FA95" s="316">
        <f t="shared" si="168"/>
        <v>6.1894</v>
      </c>
      <c r="FB95" s="484">
        <f t="shared" si="98"/>
        <v>5.7568261024683727</v>
      </c>
      <c r="FC95" s="483">
        <f t="shared" si="166"/>
        <v>3.5929130434782612</v>
      </c>
      <c r="FD95" s="484">
        <f t="shared" si="99"/>
        <v>14.244911991459913</v>
      </c>
      <c r="FE95" s="316">
        <f t="shared" si="100"/>
        <v>23.766640489176311</v>
      </c>
      <c r="FF95" s="316">
        <f t="shared" si="167"/>
        <v>0.83142857142857118</v>
      </c>
      <c r="FG95" s="153">
        <f t="shared" si="101"/>
        <v>54.382120198011435</v>
      </c>
      <c r="FH95" s="153">
        <f t="shared" si="102"/>
        <v>63.088879801988568</v>
      </c>
      <c r="FI95" s="23">
        <f t="shared" si="103"/>
        <v>0.46294081260916681</v>
      </c>
      <c r="FJ95" s="23"/>
      <c r="FK95" s="448">
        <f t="shared" si="104"/>
        <v>7.9595624862359351E-3</v>
      </c>
      <c r="FL95" s="448">
        <f t="shared" si="105"/>
        <v>4.0678650592236E-2</v>
      </c>
      <c r="FM95" s="23"/>
      <c r="FN95" s="23"/>
      <c r="FO95" s="326">
        <v>1076.8230000000001</v>
      </c>
      <c r="FP95" s="483">
        <f t="shared" si="106"/>
        <v>0</v>
      </c>
      <c r="FQ95" s="322">
        <f t="shared" si="107"/>
        <v>17.170499999999997</v>
      </c>
      <c r="FR95" s="322">
        <f t="shared" si="108"/>
        <v>89.06748716899375</v>
      </c>
      <c r="FS95" s="322">
        <f t="shared" si="109"/>
        <v>57.299428261916233</v>
      </c>
      <c r="FT95" s="322">
        <f t="shared" si="110"/>
        <v>60.050928502648063</v>
      </c>
      <c r="FU95" s="322">
        <f t="shared" si="111"/>
        <v>53.456166104959067</v>
      </c>
      <c r="FV95" s="322">
        <f t="shared" si="112"/>
        <v>3.8565</v>
      </c>
      <c r="FW95" s="322">
        <f t="shared" si="113"/>
        <v>280.90101003851709</v>
      </c>
      <c r="FX95" s="322">
        <f t="shared" si="114"/>
        <v>0</v>
      </c>
      <c r="FY95" s="322">
        <f t="shared" si="115"/>
        <v>795.92198996148295</v>
      </c>
      <c r="FZ95" s="367">
        <f t="shared" si="116"/>
        <v>0.26086089360880765</v>
      </c>
      <c r="GA95" s="248">
        <f t="shared" si="117"/>
        <v>1.594551750844846E-2</v>
      </c>
      <c r="GB95" s="248">
        <f t="shared" si="118"/>
        <v>8.2713210220243943E-2</v>
      </c>
      <c r="GC95" s="248">
        <f t="shared" si="119"/>
        <v>5.3211556831453476E-2</v>
      </c>
      <c r="GD95" s="248">
        <f t="shared" si="120"/>
        <v>5.5766758791972362E-2</v>
      </c>
      <c r="GE95" s="248">
        <f t="shared" si="121"/>
        <v>4.9642481730942843E-2</v>
      </c>
      <c r="GF95" s="248">
        <f t="shared" si="122"/>
        <v>3.581368525746571E-3</v>
      </c>
      <c r="GG95" s="248">
        <f t="shared" si="123"/>
        <v>0.10916475740556761</v>
      </c>
      <c r="GH95" s="23">
        <f t="shared" si="124"/>
        <v>8.068794123816253E-2</v>
      </c>
      <c r="GI95" s="23">
        <f t="shared" si="125"/>
        <v>2.8476816167405068E-2</v>
      </c>
      <c r="GJ95" s="326">
        <v>626.52</v>
      </c>
      <c r="GK95" s="153">
        <f t="shared" si="151"/>
        <v>-1.0000000000331966E-3</v>
      </c>
      <c r="GL95" s="153">
        <f t="shared" si="126"/>
        <v>318.33600000000001</v>
      </c>
      <c r="GM95" s="153">
        <f t="shared" si="127"/>
        <v>117.471</v>
      </c>
      <c r="GN95" s="153">
        <v>190.714</v>
      </c>
      <c r="GO95" s="153">
        <v>435.80599999999998</v>
      </c>
      <c r="GP95" s="153">
        <f t="shared" si="128"/>
        <v>435.80599999999998</v>
      </c>
      <c r="GQ95" s="295"/>
      <c r="GR95" s="153">
        <f t="shared" si="129"/>
        <v>1076.8230000000001</v>
      </c>
      <c r="GS95" s="153">
        <f>FoF_RoW!$AZ65/1000</f>
        <v>1658.2750000000001</v>
      </c>
      <c r="GT95" s="153">
        <f t="shared" si="15"/>
        <v>1339.9390000000001</v>
      </c>
      <c r="GU95" s="23">
        <f t="shared" si="130"/>
        <v>1.2443447066045208</v>
      </c>
      <c r="GV95" s="330">
        <f>FoF_RoW!$AE65/1000</f>
        <v>69.513000000000005</v>
      </c>
      <c r="GW95" s="330">
        <f t="shared" si="16"/>
        <v>80.330000000000155</v>
      </c>
      <c r="GX95" s="153">
        <v>2763.0610000000001</v>
      </c>
      <c r="GY95" s="153">
        <v>2136.5410000000002</v>
      </c>
      <c r="GZ95" s="153">
        <f t="shared" si="131"/>
        <v>1.9841153095726967</v>
      </c>
      <c r="HA95" s="153">
        <f t="shared" si="190"/>
        <v>318.33600000000001</v>
      </c>
      <c r="HB95" s="153">
        <v>488.87700000000001</v>
      </c>
      <c r="HC95" s="153">
        <v>626.52</v>
      </c>
      <c r="HD95" s="186">
        <f t="shared" si="132"/>
        <v>5.8786820118069537E-2</v>
      </c>
      <c r="HE95" s="503">
        <f t="shared" si="133"/>
        <v>4.3589336409047726E-2</v>
      </c>
      <c r="HF95" s="663"/>
      <c r="HV95" s="186">
        <f t="shared" si="152"/>
        <v>4.2343243605544589E-2</v>
      </c>
      <c r="HW95" s="308">
        <f t="shared" si="153"/>
        <v>0.13583858802538473</v>
      </c>
      <c r="HX95" s="308">
        <f t="shared" si="154"/>
        <v>5.7518464237920775E-3</v>
      </c>
      <c r="HY95" s="313">
        <f t="shared" si="155"/>
        <v>0</v>
      </c>
      <c r="HZ95" s="23">
        <f t="shared" si="156"/>
        <v>5.0006347333734396E-3</v>
      </c>
      <c r="IA95" s="23">
        <f t="shared" si="157"/>
        <v>7.2192686163150527E-2</v>
      </c>
      <c r="IB95" s="23">
        <f t="shared" si="158"/>
        <v>-2.7493960544580184E-2</v>
      </c>
      <c r="IC95" s="23">
        <f t="shared" si="159"/>
        <v>6.5327359873037574E-2</v>
      </c>
      <c r="ID95" s="23">
        <f t="shared" si="160"/>
        <v>-3.5861453400854275E-2</v>
      </c>
      <c r="IE95" s="23">
        <f t="shared" si="161"/>
        <v>-3.7629115973629577E-2</v>
      </c>
      <c r="IF95" s="23">
        <f t="shared" si="162"/>
        <v>2.4212559605667441E-2</v>
      </c>
      <c r="IG95" s="23">
        <f t="shared" si="163"/>
        <v>4.7995775811328682E-2</v>
      </c>
      <c r="IH95" s="23">
        <f t="shared" si="164"/>
        <v>-2.3783216205661241E-2</v>
      </c>
      <c r="II95" s="23"/>
      <c r="IJ95" s="23"/>
      <c r="IK95" s="848">
        <v>44552</v>
      </c>
      <c r="IL95" s="332">
        <v>8626</v>
      </c>
      <c r="IM95" s="330">
        <v>316369</v>
      </c>
      <c r="IN95" s="330">
        <v>14312</v>
      </c>
      <c r="IO95" s="330">
        <v>-4829</v>
      </c>
      <c r="IP95" s="76">
        <v>24255</v>
      </c>
      <c r="IQ95" s="76">
        <v>30416</v>
      </c>
      <c r="IR95" s="76">
        <v>13821</v>
      </c>
      <c r="IS95" s="76">
        <v>-5485</v>
      </c>
      <c r="IT95" s="23"/>
      <c r="IU95" s="23"/>
      <c r="IV95" s="332">
        <v>342711</v>
      </c>
      <c r="IW95" s="332"/>
      <c r="JB95" s="76">
        <v>37752</v>
      </c>
      <c r="JC95" s="76"/>
      <c r="JD95" s="76"/>
      <c r="JE95" s="76"/>
      <c r="JF95" s="76">
        <v>316369</v>
      </c>
      <c r="JG95" s="76">
        <v>30416</v>
      </c>
      <c r="JK95" s="23">
        <f t="shared" si="195"/>
        <v>0.11155263246576727</v>
      </c>
      <c r="JL95" s="23">
        <f t="shared" si="196"/>
        <v>0.14082289984164062</v>
      </c>
      <c r="JM95" s="655">
        <f t="shared" si="197"/>
        <v>0</v>
      </c>
    </row>
    <row r="96" spans="2:273">
      <c r="B96" s="451">
        <v>2004</v>
      </c>
      <c r="C96" s="43">
        <v>10540.9</v>
      </c>
      <c r="D96" s="5">
        <v>1283.3</v>
      </c>
      <c r="E96" s="460">
        <f t="shared" si="172"/>
        <v>0.12174482254835925</v>
      </c>
      <c r="F96" s="454">
        <f t="shared" si="173"/>
        <v>0</v>
      </c>
      <c r="G96" s="76">
        <f t="shared" si="174"/>
        <v>1078.3</v>
      </c>
      <c r="H96" s="23">
        <f t="shared" si="175"/>
        <v>0.10229676782817407</v>
      </c>
      <c r="I96" s="454">
        <v>205</v>
      </c>
      <c r="J96" s="460">
        <f t="shared" si="176"/>
        <v>1.9448054720185185E-2</v>
      </c>
      <c r="K96" s="6">
        <f t="shared" si="177"/>
        <v>0.15974440894568689</v>
      </c>
      <c r="L96" s="136">
        <v>328.1</v>
      </c>
      <c r="M96" s="136">
        <f t="shared" si="180"/>
        <v>123.10000000000002</v>
      </c>
      <c r="N96" s="460">
        <f t="shared" si="178"/>
        <v>3.1126374408257364E-2</v>
      </c>
      <c r="O96" s="460">
        <f t="shared" si="181"/>
        <v>1.1678319688072179E-2</v>
      </c>
      <c r="P96" s="449">
        <f t="shared" si="182"/>
        <v>9.592456946933689E-2</v>
      </c>
      <c r="Q96" s="5">
        <f t="shared" si="179"/>
        <v>1283.3</v>
      </c>
      <c r="R96" s="169">
        <f t="shared" si="183"/>
        <v>123.10000000000002</v>
      </c>
      <c r="S96" s="454">
        <f t="shared" si="191"/>
        <v>0</v>
      </c>
      <c r="T96" s="76">
        <v>37.036999999999999</v>
      </c>
      <c r="U96" s="76">
        <v>91.58</v>
      </c>
      <c r="V96" s="76">
        <f t="shared" si="192"/>
        <v>-5.5169999999999817</v>
      </c>
      <c r="W96" s="23">
        <f t="shared" si="48"/>
        <v>0.7439480097481721</v>
      </c>
      <c r="X96" s="326">
        <v>105.554</v>
      </c>
      <c r="Y96" s="153">
        <f t="shared" si="49"/>
        <v>0</v>
      </c>
      <c r="Z96" s="79">
        <f t="shared" si="50"/>
        <v>91.58</v>
      </c>
      <c r="AA96" s="159">
        <v>36.286999999999999</v>
      </c>
      <c r="AB96" s="159">
        <v>55.292999999999999</v>
      </c>
      <c r="AC96" s="79">
        <f t="shared" si="51"/>
        <v>13.974</v>
      </c>
      <c r="AD96" s="79">
        <v>16.187000000000001</v>
      </c>
      <c r="AE96" s="79">
        <v>2.2130000000000001</v>
      </c>
      <c r="AF96" s="23">
        <f t="shared" si="52"/>
        <v>0.60376719807818302</v>
      </c>
      <c r="AG96" s="23">
        <f t="shared" si="53"/>
        <v>1.2613574378555288E-2</v>
      </c>
      <c r="AH96" s="450">
        <v>15.904</v>
      </c>
      <c r="AI96" s="153">
        <f t="shared" si="54"/>
        <v>89.65</v>
      </c>
      <c r="AJ96" s="153">
        <f t="shared" si="55"/>
        <v>1.7600000000000051</v>
      </c>
      <c r="AK96" s="153">
        <v>73.3</v>
      </c>
      <c r="AL96" s="23">
        <f t="shared" si="56"/>
        <v>0.49504774897680764</v>
      </c>
      <c r="AM96" s="182">
        <v>87.89</v>
      </c>
      <c r="AN96" s="79">
        <v>0.33100000000000002</v>
      </c>
      <c r="AO96" s="79">
        <v>12.553000000000001</v>
      </c>
      <c r="AP96" s="79">
        <v>1.1879999999999999</v>
      </c>
      <c r="AQ96" s="79">
        <v>7.0229999999999997</v>
      </c>
      <c r="AR96" s="79">
        <v>0.74199999999999999</v>
      </c>
      <c r="AS96" s="79">
        <v>-0.373</v>
      </c>
      <c r="AT96" s="79">
        <v>0.41599999999999998</v>
      </c>
      <c r="AU96" s="79">
        <v>4.1000000000000002E-2</v>
      </c>
      <c r="AV96" s="79">
        <f t="shared" si="27"/>
        <v>21.878</v>
      </c>
      <c r="AW96" s="79">
        <f t="shared" si="28"/>
        <v>66.012</v>
      </c>
      <c r="AX96" s="23">
        <f t="shared" si="29"/>
        <v>3.7660712253953809E-3</v>
      </c>
      <c r="AY96" s="23">
        <f t="shared" si="30"/>
        <v>0.1428262600978496</v>
      </c>
      <c r="AZ96" s="23">
        <f t="shared" si="31"/>
        <v>1.3516896120150187E-2</v>
      </c>
      <c r="BA96" s="23">
        <f t="shared" si="32"/>
        <v>7.9906701558766641E-2</v>
      </c>
      <c r="BB96" s="23">
        <f t="shared" si="33"/>
        <v>8.442371145750369E-3</v>
      </c>
      <c r="BC96" s="23">
        <f t="shared" si="34"/>
        <v>-4.2439412902491747E-3</v>
      </c>
      <c r="BD96" s="23">
        <f t="shared" si="35"/>
        <v>4.7331892137899645E-3</v>
      </c>
      <c r="BE96" s="23">
        <f t="shared" si="36"/>
        <v>4.6649220616679944E-4</v>
      </c>
      <c r="BF96" s="23">
        <f t="shared" si="37"/>
        <v>0.24892479235407897</v>
      </c>
      <c r="BG96" s="153">
        <v>53.98</v>
      </c>
      <c r="BH96" s="23">
        <f t="shared" si="194"/>
        <v>0.61417681192399587</v>
      </c>
      <c r="BI96" s="23">
        <f>'Assets(BoP)'!EF96</f>
        <v>0.2641947713277672</v>
      </c>
      <c r="BJ96" s="182">
        <v>39.389000000000003</v>
      </c>
      <c r="BK96" s="79"/>
      <c r="BL96" s="79"/>
      <c r="BM96" s="79"/>
      <c r="BN96" s="79"/>
      <c r="BO96" s="79"/>
      <c r="BP96" s="79"/>
      <c r="BQ96" s="28">
        <f t="shared" si="193"/>
        <v>0</v>
      </c>
      <c r="BR96" s="23">
        <f t="shared" si="58"/>
        <v>0</v>
      </c>
      <c r="BS96" s="79"/>
      <c r="BT96" s="23">
        <f t="shared" si="59"/>
        <v>0</v>
      </c>
      <c r="BU96" s="182">
        <f t="shared" si="60"/>
        <v>73.915999999999997</v>
      </c>
      <c r="BV96" s="136">
        <f t="shared" si="61"/>
        <v>0</v>
      </c>
      <c r="BW96" s="153">
        <f t="shared" si="62"/>
        <v>7.0052066973020188E-2</v>
      </c>
      <c r="BX96" s="153">
        <f t="shared" si="63"/>
        <v>10.487864693862836</v>
      </c>
      <c r="BY96" s="153">
        <f t="shared" si="64"/>
        <v>-0.72556992086118921</v>
      </c>
      <c r="BZ96" s="153">
        <f t="shared" si="65"/>
        <v>4.2803500179196874</v>
      </c>
      <c r="CA96" s="153">
        <f t="shared" si="66"/>
        <v>-4.7797623808333856E-2</v>
      </c>
      <c r="CB96" s="153">
        <f t="shared" si="67"/>
        <v>6.9783748544407692E-2</v>
      </c>
      <c r="CC96" s="153">
        <f t="shared" si="68"/>
        <v>14.134682982630427</v>
      </c>
      <c r="CD96" s="153">
        <f t="shared" si="69"/>
        <v>58.876619373493547</v>
      </c>
      <c r="CE96" s="23">
        <f t="shared" si="70"/>
        <v>9.4772535003274244E-4</v>
      </c>
      <c r="CF96" s="23">
        <f t="shared" si="71"/>
        <v>0.14188896441721463</v>
      </c>
      <c r="CG96" s="23">
        <f t="shared" si="72"/>
        <v>-9.8161415777529796E-3</v>
      </c>
      <c r="CH96" s="23">
        <f t="shared" si="73"/>
        <v>5.7908301557439361E-2</v>
      </c>
      <c r="CI96" s="23">
        <f t="shared" si="74"/>
        <v>-6.4664786796273953E-4</v>
      </c>
      <c r="CJ96" s="23">
        <f t="shared" si="75"/>
        <v>9.4409530472979732E-4</v>
      </c>
      <c r="CK96" s="23">
        <f t="shared" si="76"/>
        <v>0.19122629718370082</v>
      </c>
      <c r="CL96" s="23">
        <f t="shared" si="77"/>
        <v>0.80877370281629912</v>
      </c>
      <c r="CM96" s="23">
        <f t="shared" si="78"/>
        <v>1.8343300228561971E-2</v>
      </c>
      <c r="CN96" s="23">
        <f t="shared" si="79"/>
        <v>7.7581269240774908E-2</v>
      </c>
      <c r="CO96" s="23">
        <f t="shared" si="184"/>
        <v>2.2332018312775548E-3</v>
      </c>
      <c r="CP96" s="448">
        <f t="shared" si="185"/>
        <v>0</v>
      </c>
      <c r="CQ96" s="448">
        <f t="shared" si="186"/>
        <v>2.2332018312775548E-3</v>
      </c>
      <c r="CR96" s="23">
        <f t="shared" si="187"/>
        <v>9.4451178567946225E-3</v>
      </c>
      <c r="CS96" s="326">
        <v>13.974</v>
      </c>
      <c r="CT96" s="153">
        <v>2.2130000000000001</v>
      </c>
      <c r="CU96" s="153">
        <v>16.187000000000001</v>
      </c>
      <c r="CV96" s="384">
        <f t="shared" si="134"/>
        <v>0.26094793302697983</v>
      </c>
      <c r="CW96" s="384">
        <f t="shared" si="135"/>
        <v>2.0651353061371651</v>
      </c>
      <c r="CX96" s="384">
        <f t="shared" si="136"/>
        <v>1.9135699208611892</v>
      </c>
      <c r="CY96" s="384">
        <f t="shared" si="137"/>
        <v>2.7426499820803123</v>
      </c>
      <c r="CZ96" s="384">
        <f t="shared" si="138"/>
        <v>0.78979762380833385</v>
      </c>
      <c r="DA96" s="153">
        <f t="shared" si="138"/>
        <v>-2.878374854440769E-2</v>
      </c>
      <c r="DB96" s="153">
        <f t="shared" si="85"/>
        <v>7.7433170173695727</v>
      </c>
      <c r="DC96" s="153">
        <f t="shared" si="189"/>
        <v>7.1353806265064526</v>
      </c>
      <c r="DD96" s="153">
        <f t="shared" si="87"/>
        <v>-0.90469764387602503</v>
      </c>
      <c r="DE96" s="23">
        <f t="shared" si="88"/>
        <v>0.55412315853510608</v>
      </c>
      <c r="DF96" s="149">
        <v>3.532</v>
      </c>
      <c r="DG96" s="153">
        <v>-3.6364999999999998</v>
      </c>
      <c r="DH96" s="153">
        <v>-3.9020000000000001</v>
      </c>
      <c r="DI96" s="153">
        <v>-0.182</v>
      </c>
      <c r="DJ96" s="153">
        <v>1.036</v>
      </c>
      <c r="DK96" s="153">
        <v>-6.8449999999999998</v>
      </c>
      <c r="DL96" s="153">
        <v>0.215</v>
      </c>
      <c r="DM96" s="153">
        <f t="shared" si="38"/>
        <v>-13.314499999999999</v>
      </c>
      <c r="DN96" s="153">
        <f t="shared" si="39"/>
        <v>16.846499999999999</v>
      </c>
      <c r="DO96" s="258">
        <f t="shared" si="140"/>
        <v>0.32999999999998408</v>
      </c>
      <c r="DP96" s="5">
        <v>1520.316</v>
      </c>
      <c r="DQ96" s="76">
        <v>16.446000000000002</v>
      </c>
      <c r="DR96" s="76">
        <v>159.601</v>
      </c>
      <c r="DS96" s="76">
        <v>116.479</v>
      </c>
      <c r="DT96" s="76">
        <v>122.16500000000001</v>
      </c>
      <c r="DU96" s="76">
        <v>51.268000000000001</v>
      </c>
      <c r="DV96" s="76">
        <v>1.7330000000000001</v>
      </c>
      <c r="DW96" s="86">
        <f t="shared" si="40"/>
        <v>467.69200000000001</v>
      </c>
      <c r="DX96" s="76">
        <f t="shared" si="41"/>
        <v>1052.624</v>
      </c>
      <c r="DY96" s="23">
        <f t="shared" si="141"/>
        <v>0.30762815098966267</v>
      </c>
      <c r="DZ96" s="23">
        <f t="shared" si="42"/>
        <v>1.0817487943295999E-2</v>
      </c>
      <c r="EA96" s="23">
        <f t="shared" si="43"/>
        <v>0.104978833347804</v>
      </c>
      <c r="EB96" s="23">
        <f t="shared" si="44"/>
        <v>7.6614993198782358E-2</v>
      </c>
      <c r="EC96" s="23">
        <f t="shared" si="45"/>
        <v>8.0355005143667502E-2</v>
      </c>
      <c r="ED96" s="23">
        <f t="shared" si="46"/>
        <v>3.3721936755253513E-2</v>
      </c>
      <c r="EE96" s="23">
        <f t="shared" si="142"/>
        <v>1.1398946008592951E-3</v>
      </c>
      <c r="EF96" s="149">
        <v>318.666</v>
      </c>
      <c r="EG96" s="322">
        <f t="shared" si="143"/>
        <v>2.5390000000000015</v>
      </c>
      <c r="EH96" s="322">
        <f t="shared" si="144"/>
        <v>53.631512831006255</v>
      </c>
      <c r="EI96" s="324">
        <f t="shared" si="145"/>
        <v>51.730571738083768</v>
      </c>
      <c r="EJ96" s="322">
        <f t="shared" si="146"/>
        <v>65.232071497351939</v>
      </c>
      <c r="EK96" s="322">
        <f t="shared" si="147"/>
        <v>0.92283389504092739</v>
      </c>
      <c r="EL96" s="322">
        <f t="shared" si="148"/>
        <v>-1.4755</v>
      </c>
      <c r="EM96" s="330">
        <f t="shared" si="89"/>
        <v>172.58048996148287</v>
      </c>
      <c r="EN96" s="330">
        <f t="shared" si="90"/>
        <v>146.08551003851713</v>
      </c>
      <c r="EO96" s="23">
        <f t="shared" si="91"/>
        <v>0.54157170818814326</v>
      </c>
      <c r="EP96" s="258">
        <v>461.363</v>
      </c>
      <c r="EQ96" s="153">
        <f t="shared" si="92"/>
        <v>9.1705000000000005</v>
      </c>
      <c r="ER96" s="153">
        <f t="shared" si="93"/>
        <v>60.710515402080361</v>
      </c>
      <c r="ES96" s="153">
        <f t="shared" si="149"/>
        <v>55.534832607648987</v>
      </c>
      <c r="ET96" s="153">
        <f t="shared" si="150"/>
        <v>82.748627811087346</v>
      </c>
      <c r="EU96" s="153">
        <f t="shared" si="94"/>
        <v>30.147984374492545</v>
      </c>
      <c r="EV96" s="153">
        <f t="shared" si="94"/>
        <v>-0.58864285714285747</v>
      </c>
      <c r="EW96" s="153">
        <f t="shared" si="95"/>
        <v>237.72381733816641</v>
      </c>
      <c r="EX96" s="153">
        <f t="shared" si="96"/>
        <v>223.63918266183359</v>
      </c>
      <c r="EY96" s="23">
        <f t="shared" si="97"/>
        <v>0.51526415715643958</v>
      </c>
      <c r="EZ96" s="258">
        <v>142.696</v>
      </c>
      <c r="FA96" s="316">
        <f t="shared" si="168"/>
        <v>6.6315</v>
      </c>
      <c r="FB96" s="484">
        <f t="shared" si="98"/>
        <v>7.0790025710741098</v>
      </c>
      <c r="FC96" s="483">
        <f t="shared" si="166"/>
        <v>3.8042608695652178</v>
      </c>
      <c r="FD96" s="484">
        <f t="shared" si="99"/>
        <v>17.516556313735403</v>
      </c>
      <c r="FE96" s="316">
        <f t="shared" si="100"/>
        <v>29.225150479451617</v>
      </c>
      <c r="FF96" s="316">
        <f t="shared" si="167"/>
        <v>0.88685714285714257</v>
      </c>
      <c r="FG96" s="153">
        <f t="shared" si="101"/>
        <v>65.143327376683487</v>
      </c>
      <c r="FH96" s="153">
        <f t="shared" si="102"/>
        <v>77.552672623316511</v>
      </c>
      <c r="FI96" s="23">
        <f t="shared" si="103"/>
        <v>0.45651824421626036</v>
      </c>
      <c r="FJ96" s="23"/>
      <c r="FK96" s="448">
        <f t="shared" si="104"/>
        <v>9.1684585140716993E-3</v>
      </c>
      <c r="FL96" s="448">
        <f t="shared" si="105"/>
        <v>3.5085171546049426E-2</v>
      </c>
      <c r="FM96" s="23"/>
      <c r="FN96" s="23"/>
      <c r="FO96" s="326">
        <v>1201.6489999999999</v>
      </c>
      <c r="FP96" s="483">
        <f t="shared" si="106"/>
        <v>-1.0000000002037268E-3</v>
      </c>
      <c r="FQ96" s="322">
        <f t="shared" si="107"/>
        <v>13.907</v>
      </c>
      <c r="FR96" s="322">
        <f t="shared" si="108"/>
        <v>105.96948716899374</v>
      </c>
      <c r="FS96" s="322">
        <f t="shared" si="109"/>
        <v>64.748428261916231</v>
      </c>
      <c r="FT96" s="322">
        <f t="shared" si="110"/>
        <v>56.932928502648068</v>
      </c>
      <c r="FU96" s="322">
        <f t="shared" si="111"/>
        <v>50.345166104959077</v>
      </c>
      <c r="FV96" s="322">
        <f t="shared" si="112"/>
        <v>3.2084999999999999</v>
      </c>
      <c r="FW96" s="322">
        <f t="shared" si="113"/>
        <v>295.11151003851717</v>
      </c>
      <c r="FX96" s="322">
        <f t="shared" si="114"/>
        <v>0</v>
      </c>
      <c r="FY96" s="322">
        <f t="shared" si="115"/>
        <v>906.53848996148292</v>
      </c>
      <c r="FZ96" s="367">
        <f t="shared" si="116"/>
        <v>0.24558877845237437</v>
      </c>
      <c r="GA96" s="248">
        <f t="shared" si="117"/>
        <v>1.1573263074325366E-2</v>
      </c>
      <c r="GB96" s="248">
        <f t="shared" si="118"/>
        <v>8.8186722719357943E-2</v>
      </c>
      <c r="GC96" s="248">
        <f t="shared" si="119"/>
        <v>5.3882979357463154E-2</v>
      </c>
      <c r="GD96" s="248">
        <f t="shared" si="120"/>
        <v>4.7379000442432088E-2</v>
      </c>
      <c r="GE96" s="248">
        <f t="shared" si="121"/>
        <v>4.1896731994916218E-2</v>
      </c>
      <c r="GF96" s="248">
        <f t="shared" si="122"/>
        <v>2.6700808638795526E-3</v>
      </c>
      <c r="GG96" s="248">
        <f t="shared" si="123"/>
        <v>0.11399870978758929</v>
      </c>
      <c r="GH96" s="23">
        <f t="shared" si="124"/>
        <v>8.6002000774268131E-2</v>
      </c>
      <c r="GI96" s="23">
        <f t="shared" si="125"/>
        <v>2.7996803881880784E-2</v>
      </c>
      <c r="GJ96" s="326">
        <v>702.73299999999995</v>
      </c>
      <c r="GK96" s="153">
        <f t="shared" si="151"/>
        <v>0</v>
      </c>
      <c r="GL96" s="153">
        <f t="shared" si="126"/>
        <v>318.666</v>
      </c>
      <c r="GM96" s="153">
        <f t="shared" si="127"/>
        <v>142.696</v>
      </c>
      <c r="GN96" s="153">
        <v>241.37100000000001</v>
      </c>
      <c r="GO96" s="153">
        <v>461.363</v>
      </c>
      <c r="GP96" s="153">
        <f t="shared" si="128"/>
        <v>461.363</v>
      </c>
      <c r="GQ96" s="295"/>
      <c r="GR96" s="153">
        <f t="shared" si="129"/>
        <v>1201.6489999999999</v>
      </c>
      <c r="GS96" s="153">
        <f>FoF_RoW!$AZ66/1000</f>
        <v>1830.644</v>
      </c>
      <c r="GT96" s="153">
        <f t="shared" si="15"/>
        <v>1511.9780000000001</v>
      </c>
      <c r="GU96" s="23">
        <f t="shared" si="130"/>
        <v>1.2582526178609563</v>
      </c>
      <c r="GV96" s="330">
        <f>FoF_RoW!$AE66/1000</f>
        <v>151.72999999999999</v>
      </c>
      <c r="GW96" s="330">
        <f t="shared" si="16"/>
        <v>172.36899999999991</v>
      </c>
      <c r="GX96" s="153">
        <v>3101.45</v>
      </c>
      <c r="GY96" s="153">
        <v>2398.7170000000001</v>
      </c>
      <c r="GZ96" s="153">
        <f t="shared" si="131"/>
        <v>1.9961877386824276</v>
      </c>
      <c r="HA96" s="153">
        <f t="shared" si="190"/>
        <v>318.666</v>
      </c>
      <c r="HB96" s="153">
        <v>576.31799999999998</v>
      </c>
      <c r="HC96" s="153">
        <v>702.73299999999995</v>
      </c>
      <c r="HD96" s="186">
        <f t="shared" si="132"/>
        <v>7.6211938760819511E-2</v>
      </c>
      <c r="HE96" s="503">
        <f t="shared" si="133"/>
        <v>6.2976792723998448E-2</v>
      </c>
      <c r="HF96" s="663"/>
      <c r="HV96" s="186">
        <f t="shared" si="152"/>
        <v>5.7543135149905784E-2</v>
      </c>
      <c r="HW96" s="308">
        <f t="shared" si="153"/>
        <v>0.14343917502300563</v>
      </c>
      <c r="HX96" s="308">
        <f t="shared" si="154"/>
        <v>8.2539398341398042E-3</v>
      </c>
      <c r="HY96" s="313">
        <f t="shared" si="155"/>
        <v>0</v>
      </c>
      <c r="HZ96" s="23">
        <f t="shared" si="156"/>
        <v>4.7121617776847129E-3</v>
      </c>
      <c r="IA96" s="23">
        <f t="shared" si="157"/>
        <v>9.2584638639119157E-2</v>
      </c>
      <c r="IB96" s="23">
        <f t="shared" si="158"/>
        <v>-1.0482931125838226E-2</v>
      </c>
      <c r="IC96" s="23">
        <f t="shared" si="159"/>
        <v>7.0331268952582848E-2</v>
      </c>
      <c r="ID96" s="23">
        <f t="shared" si="160"/>
        <v>-8.8813957291689137E-4</v>
      </c>
      <c r="IE96" s="23">
        <f t="shared" si="161"/>
        <v>2.0346276567640639E-2</v>
      </c>
      <c r="IF96" s="23">
        <f t="shared" si="162"/>
        <v>4.4805632946261179E-2</v>
      </c>
      <c r="IG96" s="23">
        <f t="shared" si="163"/>
        <v>6.0756019084012292E-2</v>
      </c>
      <c r="IH96" s="23">
        <f t="shared" si="164"/>
        <v>-1.5950386137751113E-2</v>
      </c>
      <c r="II96" s="23"/>
      <c r="IJ96" s="23"/>
      <c r="IK96" s="848">
        <v>74093</v>
      </c>
      <c r="IL96" s="666">
        <f>IL95+(IL$98-IL$95)/3</f>
        <v>14595.333333333332</v>
      </c>
      <c r="IM96" s="330">
        <v>323793</v>
      </c>
      <c r="IN96" s="666">
        <f>IN95+(IN$98-IN$95)/3</f>
        <v>15418</v>
      </c>
      <c r="IO96" s="330">
        <v>-5774</v>
      </c>
      <c r="IP96" s="76">
        <v>35479</v>
      </c>
      <c r="IQ96" s="76">
        <v>71523</v>
      </c>
      <c r="IR96" s="76">
        <v>21105</v>
      </c>
      <c r="IS96" s="76">
        <v>6186</v>
      </c>
      <c r="IT96" s="23"/>
      <c r="IU96" s="23"/>
      <c r="IV96" s="332">
        <v>351905</v>
      </c>
      <c r="IW96" s="332"/>
      <c r="JB96" s="76">
        <v>94834</v>
      </c>
      <c r="JC96" s="76"/>
      <c r="JD96" s="76"/>
      <c r="JE96" s="76"/>
      <c r="JF96" s="76">
        <v>323793</v>
      </c>
      <c r="JG96" s="76">
        <v>71523</v>
      </c>
      <c r="JK96" s="23">
        <f t="shared" si="195"/>
        <v>0.17423338229893501</v>
      </c>
      <c r="JL96" s="23">
        <f t="shared" si="196"/>
        <v>0.22882829462032842</v>
      </c>
      <c r="JM96" s="655">
        <f t="shared" si="197"/>
        <v>0</v>
      </c>
    </row>
    <row r="97" spans="1:273" s="82" customFormat="1">
      <c r="B97" s="83">
        <v>2005</v>
      </c>
      <c r="C97" s="44">
        <v>11239.8</v>
      </c>
      <c r="D97" s="48">
        <v>1477.7</v>
      </c>
      <c r="E97" s="20">
        <f t="shared" si="172"/>
        <v>0.13147031085962385</v>
      </c>
      <c r="F97" s="454">
        <f t="shared" si="173"/>
        <v>0</v>
      </c>
      <c r="G97" s="86">
        <f t="shared" si="174"/>
        <v>1238.6000000000001</v>
      </c>
      <c r="H97" s="34">
        <f t="shared" si="175"/>
        <v>0.11019769035036213</v>
      </c>
      <c r="I97" s="85">
        <v>239.1</v>
      </c>
      <c r="J97" s="20">
        <f t="shared" si="176"/>
        <v>2.1272620509261733E-2</v>
      </c>
      <c r="K97" s="49">
        <f t="shared" si="177"/>
        <v>0.16180550856060091</v>
      </c>
      <c r="L97" s="138">
        <v>383.7</v>
      </c>
      <c r="M97" s="138">
        <f t="shared" si="180"/>
        <v>144.6</v>
      </c>
      <c r="N97" s="20">
        <f t="shared" si="178"/>
        <v>3.413761810708376E-2</v>
      </c>
      <c r="O97" s="20">
        <f t="shared" si="181"/>
        <v>1.2864997597822026E-2</v>
      </c>
      <c r="P97" s="64">
        <f t="shared" si="182"/>
        <v>9.7854774311429915E-2</v>
      </c>
      <c r="Q97" s="5">
        <f t="shared" si="179"/>
        <v>1477.7</v>
      </c>
      <c r="R97" s="172">
        <f t="shared" si="183"/>
        <v>144.6</v>
      </c>
      <c r="S97" s="85">
        <f t="shared" si="191"/>
        <v>0</v>
      </c>
      <c r="T97" s="86">
        <v>38.082000000000001</v>
      </c>
      <c r="U97" s="86">
        <v>110.146</v>
      </c>
      <c r="V97" s="86">
        <f t="shared" si="192"/>
        <v>-3.6280000000000001</v>
      </c>
      <c r="W97" s="34">
        <f t="shared" si="48"/>
        <v>0.76172890733056708</v>
      </c>
      <c r="X97" s="328">
        <v>125.42</v>
      </c>
      <c r="Y97" s="157">
        <f t="shared" si="49"/>
        <v>-9.9999999998878764E-4</v>
      </c>
      <c r="Z97" s="88">
        <f t="shared" si="50"/>
        <v>110.14699999999999</v>
      </c>
      <c r="AA97" s="163">
        <v>64.394999999999996</v>
      </c>
      <c r="AB97" s="163">
        <v>45.752000000000002</v>
      </c>
      <c r="AC97" s="88">
        <f t="shared" si="51"/>
        <v>15.273999999999999</v>
      </c>
      <c r="AD97" s="88">
        <v>18.649999999999999</v>
      </c>
      <c r="AE97" s="88">
        <v>3.3759999999999999</v>
      </c>
      <c r="AF97" s="34">
        <f t="shared" si="52"/>
        <v>0.41537218444442431</v>
      </c>
      <c r="AG97" s="34">
        <f t="shared" si="53"/>
        <v>1.2620965013196182E-2</v>
      </c>
      <c r="AH97" s="84">
        <v>11.882</v>
      </c>
      <c r="AI97" s="157">
        <f t="shared" si="54"/>
        <v>113.538</v>
      </c>
      <c r="AJ97" s="157">
        <f t="shared" si="55"/>
        <v>3.2139999999999986</v>
      </c>
      <c r="AK97" s="157">
        <v>102.5</v>
      </c>
      <c r="AL97" s="34">
        <f t="shared" si="56"/>
        <v>0.62824390243902439</v>
      </c>
      <c r="AM97" s="180">
        <v>110.324</v>
      </c>
      <c r="AN97" s="88">
        <v>1.0309999999999999</v>
      </c>
      <c r="AO97" s="88">
        <v>15.743</v>
      </c>
      <c r="AP97" s="88">
        <v>2.4620000000000002</v>
      </c>
      <c r="AQ97" s="88">
        <v>4.4619999999999997</v>
      </c>
      <c r="AR97" s="88">
        <v>1.9379999999999999</v>
      </c>
      <c r="AS97" s="88">
        <v>-4.1000000000000002E-2</v>
      </c>
      <c r="AT97" s="88">
        <v>0.65900000000000003</v>
      </c>
      <c r="AU97" s="88">
        <v>0.17</v>
      </c>
      <c r="AV97" s="88">
        <f t="shared" si="27"/>
        <v>25.806000000000001</v>
      </c>
      <c r="AW97" s="88">
        <f t="shared" si="28"/>
        <v>84.518000000000001</v>
      </c>
      <c r="AX97" s="34">
        <f t="shared" si="29"/>
        <v>9.3452014067655267E-3</v>
      </c>
      <c r="AY97" s="34">
        <f t="shared" si="30"/>
        <v>0.14269787172328777</v>
      </c>
      <c r="AZ97" s="34">
        <f t="shared" si="31"/>
        <v>2.2316087161451725E-2</v>
      </c>
      <c r="BA97" s="34">
        <f t="shared" si="32"/>
        <v>4.0444508901055075E-2</v>
      </c>
      <c r="BB97" s="34">
        <f t="shared" si="33"/>
        <v>1.7566440665675646E-2</v>
      </c>
      <c r="BC97" s="34">
        <f t="shared" si="34"/>
        <v>-3.7163264566186869E-4</v>
      </c>
      <c r="BD97" s="34">
        <f t="shared" si="35"/>
        <v>5.9733149631993046E-3</v>
      </c>
      <c r="BE97" s="34">
        <f t="shared" si="36"/>
        <v>1.5409158478662849E-3</v>
      </c>
      <c r="BF97" s="34">
        <f t="shared" si="37"/>
        <v>0.23391102570610203</v>
      </c>
      <c r="BG97" s="157">
        <v>69.334999999999994</v>
      </c>
      <c r="BH97" s="34">
        <f t="shared" si="194"/>
        <v>0.62846706065769908</v>
      </c>
      <c r="BI97" s="34">
        <f>'Assets(BoP)'!EF97</f>
        <v>0.2416570728675099</v>
      </c>
      <c r="BJ97" s="180">
        <v>33.869</v>
      </c>
      <c r="BK97" s="88"/>
      <c r="BL97" s="88"/>
      <c r="BM97" s="88"/>
      <c r="BN97" s="88"/>
      <c r="BO97" s="88"/>
      <c r="BP97" s="88"/>
      <c r="BQ97" s="27">
        <f t="shared" si="193"/>
        <v>0</v>
      </c>
      <c r="BR97" s="34">
        <f t="shared" si="58"/>
        <v>0</v>
      </c>
      <c r="BS97" s="88"/>
      <c r="BT97" s="34">
        <f t="shared" si="59"/>
        <v>0</v>
      </c>
      <c r="BU97" s="180">
        <f t="shared" si="60"/>
        <v>95.05</v>
      </c>
      <c r="BV97" s="138">
        <f t="shared" si="61"/>
        <v>-9.9999999999056399E-4</v>
      </c>
      <c r="BW97" s="157">
        <f t="shared" si="62"/>
        <v>0.8599614654143235</v>
      </c>
      <c r="BX97" s="157">
        <f t="shared" si="63"/>
        <v>13.583113814007323</v>
      </c>
      <c r="BY97" s="157">
        <f t="shared" si="64"/>
        <v>0.26076614200316817</v>
      </c>
      <c r="BZ97" s="157">
        <f t="shared" si="65"/>
        <v>1.2711029551874331</v>
      </c>
      <c r="CA97" s="157">
        <f t="shared" si="66"/>
        <v>1.4765608519344993</v>
      </c>
      <c r="CB97" s="157">
        <f t="shared" si="67"/>
        <v>0.2028595241345954</v>
      </c>
      <c r="CC97" s="157">
        <f t="shared" si="68"/>
        <v>17.654364752681346</v>
      </c>
      <c r="CD97" s="157">
        <f t="shared" si="69"/>
        <v>76.127443996822436</v>
      </c>
      <c r="CE97" s="34">
        <f t="shared" si="70"/>
        <v>9.0474641285041933E-3</v>
      </c>
      <c r="CF97" s="34">
        <f t="shared" si="71"/>
        <v>0.14290493228834639</v>
      </c>
      <c r="CG97" s="34">
        <f t="shared" si="72"/>
        <v>2.7434628301227582E-3</v>
      </c>
      <c r="CH97" s="34">
        <f t="shared" si="73"/>
        <v>1.3372992690030859E-2</v>
      </c>
      <c r="CI97" s="34">
        <f t="shared" si="74"/>
        <v>1.553456972051025E-2</v>
      </c>
      <c r="CJ97" s="34">
        <f t="shared" si="75"/>
        <v>2.1342401276653908E-3</v>
      </c>
      <c r="CK97" s="34">
        <f t="shared" si="76"/>
        <v>0.18573766178517984</v>
      </c>
      <c r="CL97" s="34">
        <f t="shared" si="77"/>
        <v>0.81426233821482019</v>
      </c>
      <c r="CM97" s="34">
        <f t="shared" si="78"/>
        <v>1.8175316975121474E-2</v>
      </c>
      <c r="CN97" s="34">
        <f t="shared" si="79"/>
        <v>7.9679457336308449E-2</v>
      </c>
      <c r="CO97" s="34">
        <f t="shared" si="184"/>
        <v>2.3895145726914183E-3</v>
      </c>
      <c r="CP97" s="35">
        <f t="shared" si="185"/>
        <v>0</v>
      </c>
      <c r="CQ97" s="35">
        <f t="shared" si="186"/>
        <v>2.3895145726914183E-3</v>
      </c>
      <c r="CR97" s="34">
        <f t="shared" si="187"/>
        <v>1.0475483025130608E-2</v>
      </c>
      <c r="CS97" s="328">
        <v>15.273999999999999</v>
      </c>
      <c r="CT97" s="157">
        <v>3.3759999999999999</v>
      </c>
      <c r="CU97" s="157">
        <v>18.649999999999999</v>
      </c>
      <c r="CV97" s="386">
        <f t="shared" si="134"/>
        <v>0.17103853458567642</v>
      </c>
      <c r="CW97" s="386">
        <f t="shared" si="135"/>
        <v>2.1598861859926766</v>
      </c>
      <c r="CX97" s="386">
        <f t="shared" si="136"/>
        <v>2.201233857996832</v>
      </c>
      <c r="CY97" s="386">
        <f t="shared" si="137"/>
        <v>3.1908970448125666</v>
      </c>
      <c r="CZ97" s="386">
        <f t="shared" si="138"/>
        <v>0.46143914806550063</v>
      </c>
      <c r="DA97" s="157">
        <f t="shared" si="138"/>
        <v>-3.2859524134595378E-2</v>
      </c>
      <c r="DB97" s="157">
        <f t="shared" si="85"/>
        <v>8.1516352473186569</v>
      </c>
      <c r="DC97" s="157">
        <f t="shared" si="189"/>
        <v>8.3905560031775703</v>
      </c>
      <c r="DD97" s="157">
        <f t="shared" si="87"/>
        <v>-1.2681912504962281</v>
      </c>
      <c r="DE97" s="34">
        <f t="shared" si="88"/>
        <v>0.53369354768355748</v>
      </c>
      <c r="DF97" s="152">
        <v>0.18</v>
      </c>
      <c r="DG97" s="157">
        <v>-2.6059999999999999</v>
      </c>
      <c r="DH97" s="157">
        <v>-1.8069999999999999</v>
      </c>
      <c r="DI97" s="157">
        <v>3.6890000000000001</v>
      </c>
      <c r="DJ97" s="157">
        <v>6.2430000000000003</v>
      </c>
      <c r="DK97" s="157">
        <v>-9.8260000000000005</v>
      </c>
      <c r="DL97" s="157">
        <v>0</v>
      </c>
      <c r="DM97" s="157">
        <f t="shared" si="38"/>
        <v>-4.3070000000000004</v>
      </c>
      <c r="DN97" s="157">
        <f t="shared" si="39"/>
        <v>4.4870000000000001</v>
      </c>
      <c r="DO97" s="351">
        <f t="shared" si="140"/>
        <v>15.608000000000004</v>
      </c>
      <c r="DP97" s="48">
        <v>1634.1210000000001</v>
      </c>
      <c r="DQ97" s="274">
        <v>17.465</v>
      </c>
      <c r="DR97" s="86">
        <v>156.602</v>
      </c>
      <c r="DS97" s="86">
        <v>79.680000000000007</v>
      </c>
      <c r="DT97" s="86">
        <v>133.387</v>
      </c>
      <c r="DU97" s="86">
        <v>34.667999999999999</v>
      </c>
      <c r="DV97" s="86">
        <v>3.3380000000000001</v>
      </c>
      <c r="DW97" s="86">
        <f t="shared" si="40"/>
        <v>425.14</v>
      </c>
      <c r="DX97" s="86">
        <f t="shared" si="41"/>
        <v>1208.9810000000002</v>
      </c>
      <c r="DY97" s="34">
        <f t="shared" si="141"/>
        <v>0.26016433299614899</v>
      </c>
      <c r="DZ97" s="34">
        <f t="shared" si="42"/>
        <v>1.0687703052589129E-2</v>
      </c>
      <c r="EA97" s="34">
        <f t="shared" si="43"/>
        <v>9.5832560746725609E-2</v>
      </c>
      <c r="EB97" s="34">
        <f t="shared" si="44"/>
        <v>4.8760159131422953E-2</v>
      </c>
      <c r="EC97" s="34">
        <f t="shared" si="45"/>
        <v>8.1626146411434647E-2</v>
      </c>
      <c r="ED97" s="34">
        <f t="shared" si="46"/>
        <v>2.1215075260644711E-2</v>
      </c>
      <c r="EE97" s="34">
        <f t="shared" si="142"/>
        <v>2.0426883933319503E-3</v>
      </c>
      <c r="EF97" s="152">
        <v>334.274</v>
      </c>
      <c r="EG97" s="322">
        <f t="shared" si="143"/>
        <v>-6.6999999999998394E-2</v>
      </c>
      <c r="EH97" s="322">
        <f t="shared" si="144"/>
        <v>51.824512831006253</v>
      </c>
      <c r="EI97" s="324">
        <f t="shared" si="145"/>
        <v>55.419571738083768</v>
      </c>
      <c r="EJ97" s="322">
        <f t="shared" si="146"/>
        <v>71.475071497351934</v>
      </c>
      <c r="EK97" s="322">
        <f t="shared" si="147"/>
        <v>-8.9031661049590731</v>
      </c>
      <c r="EL97" s="322">
        <f t="shared" si="148"/>
        <v>-1.4755</v>
      </c>
      <c r="EM97" s="416">
        <f t="shared" si="89"/>
        <v>168.27348996148288</v>
      </c>
      <c r="EN97" s="416">
        <f t="shared" si="90"/>
        <v>166.00051003851712</v>
      </c>
      <c r="EO97" s="34">
        <f t="shared" si="91"/>
        <v>0.50339987543596831</v>
      </c>
      <c r="EP97" s="351">
        <v>491.548</v>
      </c>
      <c r="EQ97" s="157">
        <f t="shared" si="92"/>
        <v>7.0066000000000015</v>
      </c>
      <c r="ER97" s="157">
        <f t="shared" si="93"/>
        <v>59.713666258748141</v>
      </c>
      <c r="ES97" s="157">
        <f t="shared" si="149"/>
        <v>59.435180433735944</v>
      </c>
      <c r="ET97" s="157">
        <f t="shared" si="150"/>
        <v>90.996296259920641</v>
      </c>
      <c r="EU97" s="157">
        <f t="shared" si="94"/>
        <v>23.666633632556017</v>
      </c>
      <c r="EV97" s="157">
        <f t="shared" si="94"/>
        <v>-0.53321428571428608</v>
      </c>
      <c r="EW97" s="157">
        <f t="shared" si="95"/>
        <v>240.28516229924648</v>
      </c>
      <c r="EX97" s="157">
        <f t="shared" si="96"/>
        <v>251.26283770075352</v>
      </c>
      <c r="EY97" s="34">
        <f t="shared" si="97"/>
        <v>0.48883356721875887</v>
      </c>
      <c r="EZ97" s="351">
        <v>157.274</v>
      </c>
      <c r="FA97" s="318">
        <f t="shared" si="168"/>
        <v>7.0735999999999999</v>
      </c>
      <c r="FB97" s="484">
        <f t="shared" si="98"/>
        <v>7.8891534277418867</v>
      </c>
      <c r="FC97" s="484">
        <f t="shared" si="166"/>
        <v>4.0156086956521744</v>
      </c>
      <c r="FD97" s="484">
        <f t="shared" si="99"/>
        <v>19.521224762568707</v>
      </c>
      <c r="FE97" s="318">
        <f t="shared" si="100"/>
        <v>32.56979973751509</v>
      </c>
      <c r="FF97" s="318">
        <f t="shared" si="167"/>
        <v>0.94228571428571395</v>
      </c>
      <c r="FG97" s="157">
        <f t="shared" si="101"/>
        <v>72.011672337763585</v>
      </c>
      <c r="FH97" s="157">
        <f t="shared" si="102"/>
        <v>85.262327662236416</v>
      </c>
      <c r="FI97" s="34">
        <f t="shared" si="103"/>
        <v>0.45787398004605712</v>
      </c>
      <c r="FJ97" s="34"/>
      <c r="FK97" s="35">
        <f t="shared" si="104"/>
        <v>1.3402143707820563E-2</v>
      </c>
      <c r="FL97" s="35">
        <f t="shared" si="105"/>
        <v>3.7941360762326362E-2</v>
      </c>
      <c r="FM97" s="34"/>
      <c r="FN97" s="34"/>
      <c r="FO97" s="328">
        <v>1299.847</v>
      </c>
      <c r="FP97" s="484">
        <f t="shared" si="106"/>
        <v>0</v>
      </c>
      <c r="FQ97" s="324">
        <f t="shared" si="107"/>
        <v>17.531999999999996</v>
      </c>
      <c r="FR97" s="324">
        <f t="shared" si="108"/>
        <v>104.77748716899376</v>
      </c>
      <c r="FS97" s="324">
        <f t="shared" si="109"/>
        <v>24.260428261916239</v>
      </c>
      <c r="FT97" s="324">
        <f t="shared" si="110"/>
        <v>61.911928502648067</v>
      </c>
      <c r="FU97" s="324">
        <f t="shared" si="111"/>
        <v>43.571166104959076</v>
      </c>
      <c r="FV97" s="324">
        <f t="shared" si="112"/>
        <v>4.8135000000000003</v>
      </c>
      <c r="FW97" s="324">
        <f t="shared" si="113"/>
        <v>256.86651003851711</v>
      </c>
      <c r="FX97" s="324">
        <f t="shared" si="114"/>
        <v>0</v>
      </c>
      <c r="FY97" s="324">
        <f t="shared" si="115"/>
        <v>1042.980489961483</v>
      </c>
      <c r="FZ97" s="369">
        <f t="shared" si="116"/>
        <v>0.19761288062250182</v>
      </c>
      <c r="GA97" s="251">
        <f t="shared" si="117"/>
        <v>1.3487741249547059E-2</v>
      </c>
      <c r="GB97" s="251">
        <f t="shared" si="118"/>
        <v>8.0607553942112997E-2</v>
      </c>
      <c r="GC97" s="251">
        <f t="shared" si="119"/>
        <v>1.8664064510604893E-2</v>
      </c>
      <c r="GD97" s="251">
        <f t="shared" si="120"/>
        <v>4.7630166090815357E-2</v>
      </c>
      <c r="GE97" s="251">
        <f t="shared" si="121"/>
        <v>3.3520226692033042E-2</v>
      </c>
      <c r="GF97" s="251">
        <f t="shared" si="122"/>
        <v>3.7031281373884777E-3</v>
      </c>
      <c r="GG97" s="251">
        <f t="shared" si="123"/>
        <v>0.11564680866207584</v>
      </c>
      <c r="GH97" s="34">
        <f t="shared" si="124"/>
        <v>9.2793509667563751E-2</v>
      </c>
      <c r="GI97" s="34">
        <f t="shared" si="125"/>
        <v>2.2853298994512102E-2</v>
      </c>
      <c r="GJ97" s="328">
        <v>743.44799999999998</v>
      </c>
      <c r="GK97" s="157">
        <f t="shared" si="151"/>
        <v>0</v>
      </c>
      <c r="GL97" s="157">
        <f t="shared" si="126"/>
        <v>334.274</v>
      </c>
      <c r="GM97" s="157">
        <f t="shared" si="127"/>
        <v>157.274</v>
      </c>
      <c r="GN97" s="157">
        <v>251.9</v>
      </c>
      <c r="GO97" s="157">
        <v>491.548</v>
      </c>
      <c r="GP97" s="157">
        <f t="shared" si="128"/>
        <v>491.548</v>
      </c>
      <c r="GQ97" s="296"/>
      <c r="GR97" s="157">
        <f t="shared" si="129"/>
        <v>1299.847</v>
      </c>
      <c r="GS97" s="157">
        <f>FoF_RoW!$AZ67/1000</f>
        <v>2007.1510000000001</v>
      </c>
      <c r="GT97" s="157">
        <f t="shared" si="15"/>
        <v>1672.877</v>
      </c>
      <c r="GU97" s="34">
        <f t="shared" si="130"/>
        <v>1.28697992917628</v>
      </c>
      <c r="GV97" s="416">
        <f>FoF_RoW!$AE67/1000</f>
        <v>116.65600000000001</v>
      </c>
      <c r="GW97" s="416">
        <f t="shared" si="16"/>
        <v>176.50700000000006</v>
      </c>
      <c r="GX97" s="157">
        <v>3227.1439999999998</v>
      </c>
      <c r="GY97" s="157">
        <v>2483.6959999999999</v>
      </c>
      <c r="GZ97" s="157">
        <f t="shared" si="131"/>
        <v>1.9107602664005841</v>
      </c>
      <c r="HA97" s="157">
        <f t="shared" si="190"/>
        <v>334.274</v>
      </c>
      <c r="HB97" s="157">
        <v>597.86800000000005</v>
      </c>
      <c r="HC97" s="157">
        <v>743.44799999999998</v>
      </c>
      <c r="HD97" s="413">
        <f t="shared" si="132"/>
        <v>8.4738434600379886E-2</v>
      </c>
      <c r="HE97" s="35">
        <f t="shared" si="133"/>
        <v>7.5597358766070155E-2</v>
      </c>
      <c r="HF97" s="35"/>
      <c r="HV97" s="413">
        <f t="shared" si="152"/>
        <v>6.3131721537321592E-2</v>
      </c>
      <c r="HW97" s="309">
        <f t="shared" si="153"/>
        <v>0.14883512162138116</v>
      </c>
      <c r="HX97" s="309">
        <f t="shared" si="154"/>
        <v>9.3962174531744286E-3</v>
      </c>
      <c r="HY97" s="315">
        <f t="shared" si="155"/>
        <v>0</v>
      </c>
      <c r="HZ97" s="34">
        <f t="shared" si="156"/>
        <v>4.2348231287341304E-2</v>
      </c>
      <c r="IA97" s="34">
        <f t="shared" si="157"/>
        <v>0.1119229396046004</v>
      </c>
      <c r="IB97" s="34">
        <f t="shared" si="158"/>
        <v>9.2798399480933259E-3</v>
      </c>
      <c r="IC97" s="34">
        <f t="shared" si="159"/>
        <v>1.7725322414747283E-2</v>
      </c>
      <c r="ID97" s="34">
        <f t="shared" si="160"/>
        <v>2.9257681900774719E-2</v>
      </c>
      <c r="IE97" s="34">
        <f t="shared" si="161"/>
        <v>3.6384982759081447E-2</v>
      </c>
      <c r="IF97" s="34">
        <f t="shared" si="162"/>
        <v>5.9337925270241634E-2</v>
      </c>
      <c r="IG97" s="34">
        <f t="shared" si="163"/>
        <v>6.3016287103909538E-2</v>
      </c>
      <c r="IH97" s="34">
        <f t="shared" si="164"/>
        <v>-3.6783618336679036E-3</v>
      </c>
      <c r="II97" s="68"/>
      <c r="IJ97" s="34"/>
      <c r="IK97" s="848">
        <v>93972</v>
      </c>
      <c r="IL97" s="666">
        <f>IL96+(IL$98-IL$95)/3</f>
        <v>20564.666666666664</v>
      </c>
      <c r="IM97" s="330">
        <v>336125</v>
      </c>
      <c r="IN97" s="666">
        <f>IN96+(IN$98-IN$95)/3</f>
        <v>16524</v>
      </c>
      <c r="IO97" s="330">
        <v>-1325</v>
      </c>
      <c r="IP97" s="86">
        <v>42909</v>
      </c>
      <c r="IQ97" s="86">
        <v>98708</v>
      </c>
      <c r="IR97" s="86">
        <v>39886</v>
      </c>
      <c r="IS97" s="86">
        <v>2713</v>
      </c>
      <c r="IT97" s="34"/>
      <c r="IU97" s="23"/>
      <c r="IV97" s="332">
        <v>365498</v>
      </c>
      <c r="IW97" s="332"/>
      <c r="JB97" s="86">
        <v>133064</v>
      </c>
      <c r="JC97" s="86"/>
      <c r="JD97" s="86"/>
      <c r="JE97" s="86"/>
      <c r="JF97" s="86">
        <v>336125</v>
      </c>
      <c r="JG97" s="86">
        <v>98708</v>
      </c>
      <c r="JK97" s="23">
        <f t="shared" si="195"/>
        <v>0.21607521013499015</v>
      </c>
      <c r="JL97" s="23">
        <f t="shared" si="196"/>
        <v>0.27957456303458533</v>
      </c>
      <c r="JM97" s="655">
        <f t="shared" si="197"/>
        <v>0</v>
      </c>
    </row>
    <row r="98" spans="1:273">
      <c r="B98" s="451">
        <v>2006</v>
      </c>
      <c r="C98" s="43">
        <v>12004.8</v>
      </c>
      <c r="D98" s="5">
        <v>1646.5</v>
      </c>
      <c r="E98" s="460">
        <f t="shared" si="172"/>
        <v>0.13715347194455552</v>
      </c>
      <c r="F98" s="454">
        <f t="shared" si="173"/>
        <v>0</v>
      </c>
      <c r="G98" s="76">
        <f t="shared" si="174"/>
        <v>1390.3</v>
      </c>
      <c r="H98" s="23">
        <f t="shared" si="175"/>
        <v>0.11581200852992136</v>
      </c>
      <c r="I98" s="454">
        <v>256.2</v>
      </c>
      <c r="J98" s="460">
        <f t="shared" si="176"/>
        <v>2.1341463414634148E-2</v>
      </c>
      <c r="K98" s="6">
        <f t="shared" si="177"/>
        <v>0.155602793805041</v>
      </c>
      <c r="L98" s="136">
        <v>433.8</v>
      </c>
      <c r="M98" s="136">
        <f t="shared" si="180"/>
        <v>177.60000000000002</v>
      </c>
      <c r="N98" s="460">
        <f t="shared" si="178"/>
        <v>3.6135545781687331E-2</v>
      </c>
      <c r="O98" s="460">
        <f t="shared" si="181"/>
        <v>1.4794082367053181E-2</v>
      </c>
      <c r="P98" s="449">
        <f t="shared" si="182"/>
        <v>0.10786516853932586</v>
      </c>
      <c r="Q98" s="5">
        <f t="shared" si="179"/>
        <v>1646.5</v>
      </c>
      <c r="R98" s="169">
        <f t="shared" si="183"/>
        <v>177.60000000000002</v>
      </c>
      <c r="S98" s="454">
        <f t="shared" si="191"/>
        <v>0</v>
      </c>
      <c r="T98" s="76">
        <v>44.883000000000003</v>
      </c>
      <c r="U98" s="76">
        <v>136.52199999999999</v>
      </c>
      <c r="V98" s="76">
        <f t="shared" si="192"/>
        <v>-3.8049999999999784</v>
      </c>
      <c r="W98" s="23">
        <f t="shared" si="48"/>
        <v>0.76870495495495483</v>
      </c>
      <c r="X98" s="326">
        <v>154.946</v>
      </c>
      <c r="Y98" s="153">
        <f t="shared" si="49"/>
        <v>0</v>
      </c>
      <c r="Z98" s="79">
        <f t="shared" si="50"/>
        <v>136.52199999999999</v>
      </c>
      <c r="AA98" s="159">
        <v>63.23</v>
      </c>
      <c r="AB98" s="159">
        <v>73.292000000000002</v>
      </c>
      <c r="AC98" s="79">
        <f t="shared" si="51"/>
        <v>18.423999999999999</v>
      </c>
      <c r="AD98" s="79">
        <v>23.029</v>
      </c>
      <c r="AE98" s="79">
        <v>4.6050000000000004</v>
      </c>
      <c r="AF98" s="23">
        <f t="shared" si="52"/>
        <v>0.53685120346903803</v>
      </c>
      <c r="AG98" s="23">
        <f t="shared" si="53"/>
        <v>1.3986638323716976E-2</v>
      </c>
      <c r="AH98" s="450">
        <v>10.191000000000001</v>
      </c>
      <c r="AI98" s="153">
        <f t="shared" si="54"/>
        <v>144.755</v>
      </c>
      <c r="AJ98" s="157">
        <f t="shared" si="55"/>
        <v>0</v>
      </c>
      <c r="AK98" s="157">
        <v>108.1</v>
      </c>
      <c r="AL98" s="34">
        <f t="shared" si="56"/>
        <v>0.58492136910268266</v>
      </c>
      <c r="AM98" s="182">
        <v>144.755</v>
      </c>
      <c r="AN98" s="79">
        <v>1.93</v>
      </c>
      <c r="AO98" s="79">
        <v>20.25</v>
      </c>
      <c r="AP98" s="79">
        <v>2.71</v>
      </c>
      <c r="AQ98" s="79">
        <v>2.8620000000000001</v>
      </c>
      <c r="AR98" s="79">
        <v>3.492</v>
      </c>
      <c r="AS98" s="79">
        <v>0.67</v>
      </c>
      <c r="AT98" s="79">
        <v>1.155</v>
      </c>
      <c r="AU98" s="79">
        <v>0.35699999999999998</v>
      </c>
      <c r="AV98" s="79">
        <f t="shared" si="27"/>
        <v>31.601000000000003</v>
      </c>
      <c r="AW98" s="79">
        <f t="shared" si="28"/>
        <v>113.154</v>
      </c>
      <c r="AX98" s="23">
        <f t="shared" si="29"/>
        <v>1.3332872785050603E-2</v>
      </c>
      <c r="AY98" s="23">
        <f t="shared" si="30"/>
        <v>0.13989154087941694</v>
      </c>
      <c r="AZ98" s="23">
        <f t="shared" si="31"/>
        <v>1.8721287692998516E-2</v>
      </c>
      <c r="BA98" s="23">
        <f t="shared" si="32"/>
        <v>1.9771337777624264E-2</v>
      </c>
      <c r="BB98" s="23">
        <f t="shared" si="33"/>
        <v>2.4123519049428346E-2</v>
      </c>
      <c r="BC98" s="23">
        <f t="shared" si="34"/>
        <v>4.6285102414424378E-3</v>
      </c>
      <c r="BD98" s="23">
        <f t="shared" si="35"/>
        <v>7.9789989983074863E-3</v>
      </c>
      <c r="BE98" s="23">
        <f t="shared" si="36"/>
        <v>2.4662360540223137E-3</v>
      </c>
      <c r="BF98" s="23">
        <f t="shared" si="37"/>
        <v>0.21830679423854099</v>
      </c>
      <c r="BG98" s="153">
        <v>92.174000000000007</v>
      </c>
      <c r="BH98" s="23">
        <f t="shared" si="194"/>
        <v>0.63675866118614222</v>
      </c>
      <c r="BI98" s="23">
        <f>'Assets(BoP)'!EF98</f>
        <v>0.23617130418198437</v>
      </c>
      <c r="BJ98" s="182">
        <v>63.100999999999999</v>
      </c>
      <c r="BK98" s="79"/>
      <c r="BL98" s="79"/>
      <c r="BM98" s="79"/>
      <c r="BN98" s="79"/>
      <c r="BO98" s="79"/>
      <c r="BP98" s="79"/>
      <c r="BQ98" s="28">
        <f t="shared" si="193"/>
        <v>0</v>
      </c>
      <c r="BR98" s="23">
        <f t="shared" si="58"/>
        <v>0</v>
      </c>
      <c r="BS98" s="79"/>
      <c r="BT98" s="23">
        <f t="shared" si="59"/>
        <v>0</v>
      </c>
      <c r="BU98" s="182">
        <f t="shared" si="60"/>
        <v>126.33099999999999</v>
      </c>
      <c r="BV98" s="136">
        <f t="shared" si="61"/>
        <v>0</v>
      </c>
      <c r="BW98" s="153">
        <f t="shared" si="62"/>
        <v>1.6334279499809656</v>
      </c>
      <c r="BX98" s="153">
        <f t="shared" si="63"/>
        <v>17.689663289391998</v>
      </c>
      <c r="BY98" s="153">
        <f t="shared" si="64"/>
        <v>-0.12526330858243861</v>
      </c>
      <c r="BZ98" s="153">
        <f t="shared" si="65"/>
        <v>-0.35489653453532632</v>
      </c>
      <c r="CA98" s="153">
        <f t="shared" si="66"/>
        <v>2.800490620586447</v>
      </c>
      <c r="CB98" s="153">
        <f t="shared" si="67"/>
        <v>0.39230962004777525</v>
      </c>
      <c r="CC98" s="153">
        <f t="shared" si="68"/>
        <v>22.03573163688942</v>
      </c>
      <c r="CD98" s="153">
        <f t="shared" si="69"/>
        <v>102.45889386354786</v>
      </c>
      <c r="CE98" s="23">
        <f t="shared" si="70"/>
        <v>1.2929747646903498E-2</v>
      </c>
      <c r="CF98" s="23">
        <f t="shared" si="71"/>
        <v>0.1400263062066476</v>
      </c>
      <c r="CG98" s="23">
        <f t="shared" si="72"/>
        <v>-9.9154846065050242E-4</v>
      </c>
      <c r="CH98" s="23">
        <f t="shared" si="73"/>
        <v>-2.8092592834326204E-3</v>
      </c>
      <c r="CI98" s="23">
        <f t="shared" si="74"/>
        <v>2.2167881363928468E-2</v>
      </c>
      <c r="CJ98" s="23">
        <f t="shared" si="75"/>
        <v>3.1054105488579628E-3</v>
      </c>
      <c r="CK98" s="23">
        <f t="shared" si="76"/>
        <v>0.17442853802225441</v>
      </c>
      <c r="CL98" s="23">
        <f t="shared" si="77"/>
        <v>0.82557146197774556</v>
      </c>
      <c r="CM98" s="23">
        <f t="shared" si="78"/>
        <v>1.8814763651838682E-2</v>
      </c>
      <c r="CN98" s="23">
        <f t="shared" si="79"/>
        <v>8.9050404887487181E-2</v>
      </c>
      <c r="CO98" s="23">
        <f t="shared" si="184"/>
        <v>2.5805101586658997E-3</v>
      </c>
      <c r="CP98" s="448">
        <f t="shared" si="185"/>
        <v>0</v>
      </c>
      <c r="CQ98" s="448">
        <f t="shared" si="186"/>
        <v>2.5805101586658997E-3</v>
      </c>
      <c r="CR98" s="23">
        <f t="shared" si="187"/>
        <v>1.2213572208387282E-2</v>
      </c>
      <c r="CS98" s="326">
        <v>18.423999999999999</v>
      </c>
      <c r="CT98" s="153">
        <v>4.6050000000000004</v>
      </c>
      <c r="CU98" s="153">
        <v>23.029</v>
      </c>
      <c r="CV98" s="384">
        <f t="shared" si="134"/>
        <v>0.29657205001903431</v>
      </c>
      <c r="CW98" s="384">
        <f t="shared" si="135"/>
        <v>2.5603367106080008</v>
      </c>
      <c r="CX98" s="384">
        <f t="shared" si="136"/>
        <v>2.8352633085824386</v>
      </c>
      <c r="CY98" s="384">
        <f t="shared" si="137"/>
        <v>3.2168965345353264</v>
      </c>
      <c r="CZ98" s="384">
        <f t="shared" si="138"/>
        <v>0.69150937941355317</v>
      </c>
      <c r="DA98" s="153">
        <f t="shared" si="138"/>
        <v>-3.5309620047775256E-2</v>
      </c>
      <c r="DB98" s="153">
        <f t="shared" si="85"/>
        <v>9.5652683631105777</v>
      </c>
      <c r="DC98" s="153">
        <f t="shared" si="189"/>
        <v>10.695106136452138</v>
      </c>
      <c r="DD98" s="153">
        <f t="shared" si="87"/>
        <v>-1.8363744995627158</v>
      </c>
      <c r="DE98" s="23">
        <f t="shared" si="88"/>
        <v>0.51917435752879815</v>
      </c>
      <c r="DF98" s="149">
        <v>59.008000000000003</v>
      </c>
      <c r="DG98" s="153">
        <v>2.8780000000000001</v>
      </c>
      <c r="DH98" s="153">
        <v>6.28</v>
      </c>
      <c r="DI98" s="153">
        <v>12.218</v>
      </c>
      <c r="DJ98" s="153">
        <v>-4.8959999999999999</v>
      </c>
      <c r="DK98" s="153">
        <v>4.242</v>
      </c>
      <c r="DL98" s="153">
        <v>0</v>
      </c>
      <c r="DM98" s="153">
        <f t="shared" si="38"/>
        <v>20.722000000000001</v>
      </c>
      <c r="DN98" s="153">
        <f t="shared" si="39"/>
        <v>38.286000000000001</v>
      </c>
      <c r="DO98" s="258">
        <f t="shared" si="140"/>
        <v>63.24799999999999</v>
      </c>
      <c r="DP98" s="5">
        <v>1840.463</v>
      </c>
      <c r="DQ98" s="76">
        <v>25.516999999999999</v>
      </c>
      <c r="DR98" s="76">
        <v>182.01400000000001</v>
      </c>
      <c r="DS98" s="76">
        <v>89.156999999999996</v>
      </c>
      <c r="DT98" s="76">
        <v>134.56800000000001</v>
      </c>
      <c r="DU98" s="76">
        <v>42.411999999999999</v>
      </c>
      <c r="DV98" s="76">
        <v>6.4580000000000002</v>
      </c>
      <c r="DW98" s="76">
        <f t="shared" si="40"/>
        <v>480.12600000000003</v>
      </c>
      <c r="DX98" s="76">
        <f t="shared" si="41"/>
        <v>1360.337</v>
      </c>
      <c r="DY98" s="23">
        <f t="shared" si="141"/>
        <v>0.26087240004281531</v>
      </c>
      <c r="DZ98" s="23">
        <f t="shared" si="42"/>
        <v>1.3864446066017083E-2</v>
      </c>
      <c r="EA98" s="23">
        <f t="shared" si="43"/>
        <v>9.8895766989067435E-2</v>
      </c>
      <c r="EB98" s="23">
        <f t="shared" si="44"/>
        <v>4.8442701646270528E-2</v>
      </c>
      <c r="EC98" s="23">
        <f t="shared" si="45"/>
        <v>7.3116384301124229E-2</v>
      </c>
      <c r="ED98" s="23">
        <f t="shared" si="46"/>
        <v>2.3044201377588138E-2</v>
      </c>
      <c r="EE98" s="23">
        <f t="shared" si="142"/>
        <v>3.5088996627479067E-3</v>
      </c>
      <c r="EF98" s="149">
        <v>397.52199999999999</v>
      </c>
      <c r="EG98" s="322">
        <f t="shared" si="143"/>
        <v>2.8110000000000017</v>
      </c>
      <c r="EH98" s="322">
        <f t="shared" si="144"/>
        <v>58.104512831006254</v>
      </c>
      <c r="EI98" s="324">
        <f t="shared" si="145"/>
        <v>67.637571738083764</v>
      </c>
      <c r="EJ98" s="322">
        <f t="shared" si="146"/>
        <v>66.579071497351933</v>
      </c>
      <c r="EK98" s="322">
        <f t="shared" si="147"/>
        <v>-4.6611661049590731</v>
      </c>
      <c r="EL98" s="322">
        <f t="shared" si="148"/>
        <v>-1.4755</v>
      </c>
      <c r="EM98" s="330">
        <f t="shared" si="89"/>
        <v>188.99548996148286</v>
      </c>
      <c r="EN98" s="330">
        <f t="shared" si="90"/>
        <v>208.52651003851713</v>
      </c>
      <c r="EO98" s="23">
        <f t="shared" si="91"/>
        <v>0.47543403877391155</v>
      </c>
      <c r="EP98" s="258">
        <v>570.072</v>
      </c>
      <c r="EQ98" s="153">
        <f t="shared" si="92"/>
        <v>10.326700000000002</v>
      </c>
      <c r="ER98" s="153">
        <f t="shared" si="93"/>
        <v>66.855953211060466</v>
      </c>
      <c r="ES98" s="153">
        <f t="shared" si="149"/>
        <v>71.86452825982289</v>
      </c>
      <c r="ET98" s="153">
        <f t="shared" si="150"/>
        <v>88.233972269659162</v>
      </c>
      <c r="EU98" s="153">
        <f t="shared" si="94"/>
        <v>31.46852299334936</v>
      </c>
      <c r="EV98" s="153">
        <f t="shared" si="94"/>
        <v>-0.4777857142857147</v>
      </c>
      <c r="EW98" s="153">
        <f t="shared" si="95"/>
        <v>268.27189101960619</v>
      </c>
      <c r="EX98" s="153">
        <f t="shared" si="96"/>
        <v>301.80010898039382</v>
      </c>
      <c r="EY98" s="23">
        <f t="shared" si="97"/>
        <v>0.47059299705932967</v>
      </c>
      <c r="EZ98" s="258">
        <v>172.55</v>
      </c>
      <c r="FA98" s="316">
        <f t="shared" si="168"/>
        <v>7.5156999999999998</v>
      </c>
      <c r="FB98" s="484">
        <f t="shared" si="98"/>
        <v>8.7514403800542127</v>
      </c>
      <c r="FC98" s="483">
        <f t="shared" si="166"/>
        <v>4.2269565217391305</v>
      </c>
      <c r="FD98" s="484">
        <f t="shared" si="99"/>
        <v>21.654900772307226</v>
      </c>
      <c r="FE98" s="316">
        <f t="shared" si="100"/>
        <v>36.129689098308432</v>
      </c>
      <c r="FF98" s="316">
        <f t="shared" si="167"/>
        <v>0.99771428571428533</v>
      </c>
      <c r="FG98" s="153">
        <f t="shared" si="101"/>
        <v>79.276401058123284</v>
      </c>
      <c r="FH98" s="153">
        <f t="shared" si="102"/>
        <v>93.273598941876728</v>
      </c>
      <c r="FI98" s="23">
        <f t="shared" si="103"/>
        <v>0.45944016840407581</v>
      </c>
      <c r="FJ98" s="23"/>
      <c r="FK98" s="448">
        <f t="shared" si="104"/>
        <v>1.6045352074397473E-2</v>
      </c>
      <c r="FL98" s="448">
        <f t="shared" si="105"/>
        <v>4.0396651651019522E-2</v>
      </c>
      <c r="FM98" s="23"/>
      <c r="FN98" s="23"/>
      <c r="FO98" s="326">
        <v>1442.94</v>
      </c>
      <c r="FP98" s="483">
        <f t="shared" si="106"/>
        <v>-9.9999999997635314E-4</v>
      </c>
      <c r="FQ98" s="322">
        <f t="shared" si="107"/>
        <v>22.705999999999996</v>
      </c>
      <c r="FR98" s="322">
        <f t="shared" si="108"/>
        <v>123.90948716899376</v>
      </c>
      <c r="FS98" s="322">
        <f t="shared" si="109"/>
        <v>21.519428261916232</v>
      </c>
      <c r="FT98" s="322">
        <f t="shared" si="110"/>
        <v>67.988928502648079</v>
      </c>
      <c r="FU98" s="322">
        <f t="shared" si="111"/>
        <v>47.073166104959071</v>
      </c>
      <c r="FV98" s="322">
        <f t="shared" si="112"/>
        <v>7.9335000000000004</v>
      </c>
      <c r="FW98" s="322">
        <f t="shared" si="113"/>
        <v>291.13051003851717</v>
      </c>
      <c r="FX98" s="322">
        <f t="shared" si="114"/>
        <v>0</v>
      </c>
      <c r="FY98" s="322">
        <f t="shared" si="115"/>
        <v>1151.8104899614827</v>
      </c>
      <c r="FZ98" s="367">
        <f t="shared" si="116"/>
        <v>0.20176203448412072</v>
      </c>
      <c r="GA98" s="248">
        <f t="shared" si="117"/>
        <v>1.5735928035815763E-2</v>
      </c>
      <c r="GB98" s="248">
        <f t="shared" si="118"/>
        <v>8.587293107751795E-2</v>
      </c>
      <c r="GC98" s="248">
        <f t="shared" si="119"/>
        <v>1.4913598806545131E-2</v>
      </c>
      <c r="GD98" s="248">
        <f t="shared" si="120"/>
        <v>4.7118333750986237E-2</v>
      </c>
      <c r="GE98" s="248">
        <f t="shared" si="121"/>
        <v>3.2623093202045178E-2</v>
      </c>
      <c r="GF98" s="248">
        <f t="shared" si="122"/>
        <v>5.498149611210445E-3</v>
      </c>
      <c r="GG98" s="248">
        <f t="shared" si="123"/>
        <v>0.12019692123150741</v>
      </c>
      <c r="GH98" s="23">
        <f t="shared" si="124"/>
        <v>9.5945829165124188E-2</v>
      </c>
      <c r="GI98" s="23">
        <f t="shared" si="125"/>
        <v>2.4251175366396541E-2</v>
      </c>
      <c r="GJ98" s="326">
        <v>857.07100000000003</v>
      </c>
      <c r="GK98" s="153">
        <f t="shared" si="151"/>
        <v>0</v>
      </c>
      <c r="GL98" s="153">
        <f t="shared" si="126"/>
        <v>397.52199999999999</v>
      </c>
      <c r="GM98" s="153">
        <f t="shared" si="127"/>
        <v>172.55</v>
      </c>
      <c r="GN98" s="153">
        <v>286.99900000000002</v>
      </c>
      <c r="GO98" s="153">
        <v>570.072</v>
      </c>
      <c r="GP98" s="153">
        <f t="shared" si="128"/>
        <v>570.072</v>
      </c>
      <c r="GQ98" s="295"/>
      <c r="GR98" s="153">
        <f t="shared" si="129"/>
        <v>1442.94</v>
      </c>
      <c r="GS98" s="153">
        <f>FoF_RoW!$AZ68/1000</f>
        <v>2255.9549999999999</v>
      </c>
      <c r="GT98" s="153">
        <f t="shared" si="15"/>
        <v>1858.433</v>
      </c>
      <c r="GU98" s="23">
        <f t="shared" si="130"/>
        <v>1.287948909864582</v>
      </c>
      <c r="GV98" s="330">
        <f>FoF_RoW!$AE68/1000</f>
        <v>247.32599999999999</v>
      </c>
      <c r="GW98" s="330">
        <f t="shared" si="16"/>
        <v>248.80399999999986</v>
      </c>
      <c r="GX98" s="153">
        <v>3752.6019999999999</v>
      </c>
      <c r="GY98" s="153">
        <v>2895.5309999999999</v>
      </c>
      <c r="GZ98" s="153">
        <f t="shared" si="131"/>
        <v>2.0066884277932555</v>
      </c>
      <c r="HA98" s="153">
        <f t="shared" si="190"/>
        <v>397.52199999999999</v>
      </c>
      <c r="HB98" s="153">
        <v>635.59100000000001</v>
      </c>
      <c r="HC98" s="153">
        <v>857.07100000000003</v>
      </c>
      <c r="HD98" s="186">
        <f t="shared" si="132"/>
        <v>9.4613774654524779E-2</v>
      </c>
      <c r="HE98" s="503">
        <f t="shared" si="133"/>
        <v>8.755111092630323E-2</v>
      </c>
      <c r="HF98" s="663"/>
      <c r="HV98" s="186">
        <f t="shared" si="152"/>
        <v>7.3051473616728077E-2</v>
      </c>
      <c r="HW98" s="308">
        <f t="shared" si="153"/>
        <v>0.15480749366919899</v>
      </c>
      <c r="HX98" s="308">
        <f t="shared" si="154"/>
        <v>1.1308915539447288E-2</v>
      </c>
      <c r="HY98" s="313">
        <f t="shared" si="155"/>
        <v>0</v>
      </c>
      <c r="HZ98" s="248">
        <f t="shared" si="156"/>
        <v>6.0024239876345954E-2</v>
      </c>
      <c r="IA98" s="23">
        <f t="shared" si="157"/>
        <v>0.11911935327174189</v>
      </c>
      <c r="IB98" s="23">
        <f t="shared" si="158"/>
        <v>-4.8569146288908061E-3</v>
      </c>
      <c r="IC98" s="23">
        <f t="shared" si="159"/>
        <v>-4.3554284306993561E-3</v>
      </c>
      <c r="ID98" s="23">
        <f t="shared" si="160"/>
        <v>4.9639572512831388E-2</v>
      </c>
      <c r="IE98" s="23">
        <f t="shared" si="161"/>
        <v>4.1260211674935356E-2</v>
      </c>
      <c r="IF98" s="23">
        <f t="shared" si="162"/>
        <v>6.3154903130896126E-2</v>
      </c>
      <c r="IG98" s="23">
        <f t="shared" si="163"/>
        <v>7.4222564088377033E-2</v>
      </c>
      <c r="IH98" s="23">
        <f t="shared" si="164"/>
        <v>-1.1067660957480907E-2</v>
      </c>
      <c r="IJ98" s="23"/>
      <c r="IK98" s="848">
        <v>118318</v>
      </c>
      <c r="IL98" s="332">
        <v>26534</v>
      </c>
      <c r="IM98" s="330">
        <v>364098</v>
      </c>
      <c r="IN98" s="330">
        <v>17630</v>
      </c>
      <c r="IO98" s="330">
        <v>6722</v>
      </c>
      <c r="IP98" s="76">
        <v>53982</v>
      </c>
      <c r="IQ98" s="76">
        <v>136503</v>
      </c>
      <c r="IR98" s="76">
        <v>41724</v>
      </c>
      <c r="IS98" s="76">
        <v>24746</v>
      </c>
      <c r="IT98" s="23"/>
      <c r="IU98" s="23"/>
      <c r="IV98" s="332">
        <v>395877</v>
      </c>
      <c r="IW98" s="332"/>
      <c r="JB98" s="76">
        <v>178735</v>
      </c>
      <c r="JC98" s="76"/>
      <c r="JD98" s="76"/>
      <c r="JE98" s="76"/>
      <c r="JF98" s="231">
        <v>364098</v>
      </c>
      <c r="JG98" s="231">
        <v>136503</v>
      </c>
      <c r="JK98" s="23">
        <f t="shared" si="195"/>
        <v>0.25563337953706317</v>
      </c>
      <c r="JL98" s="23">
        <f t="shared" si="196"/>
        <v>0.32496196079077611</v>
      </c>
      <c r="JM98" s="655">
        <f t="shared" si="197"/>
        <v>0</v>
      </c>
    </row>
    <row r="99" spans="1:273">
      <c r="B99" s="451">
        <v>2007</v>
      </c>
      <c r="C99" s="43">
        <v>12321.4</v>
      </c>
      <c r="D99" s="5">
        <v>1529</v>
      </c>
      <c r="E99" s="460">
        <f t="shared" si="172"/>
        <v>0.12409304137516841</v>
      </c>
      <c r="F99" s="454">
        <f t="shared" si="173"/>
        <v>0</v>
      </c>
      <c r="G99" s="76">
        <f t="shared" si="174"/>
        <v>1175.5999999999999</v>
      </c>
      <c r="H99" s="23">
        <f t="shared" si="175"/>
        <v>9.5411235736198807E-2</v>
      </c>
      <c r="I99" s="454">
        <v>353.4</v>
      </c>
      <c r="J99" s="460">
        <f t="shared" si="176"/>
        <v>2.8681805638969597E-2</v>
      </c>
      <c r="K99" s="6">
        <f t="shared" si="177"/>
        <v>0.23113145846958796</v>
      </c>
      <c r="L99" s="136">
        <v>510.4</v>
      </c>
      <c r="M99" s="136">
        <f t="shared" si="180"/>
        <v>157</v>
      </c>
      <c r="N99" s="460">
        <f t="shared" si="178"/>
        <v>4.1423864171279239E-2</v>
      </c>
      <c r="O99" s="460">
        <f t="shared" si="181"/>
        <v>1.2742058532309641E-2</v>
      </c>
      <c r="P99" s="449">
        <f t="shared" si="182"/>
        <v>0.1026814911706998</v>
      </c>
      <c r="Q99" s="5">
        <f t="shared" si="179"/>
        <v>1529</v>
      </c>
      <c r="R99" s="169">
        <f t="shared" si="183"/>
        <v>157</v>
      </c>
      <c r="S99" s="454">
        <f t="shared" si="191"/>
        <v>0</v>
      </c>
      <c r="T99" s="76">
        <v>54.923999999999999</v>
      </c>
      <c r="U99" s="76">
        <v>108.339</v>
      </c>
      <c r="V99" s="76">
        <f t="shared" si="192"/>
        <v>-6.2630000000000052</v>
      </c>
      <c r="W99" s="23">
        <f t="shared" si="48"/>
        <v>0.69005732484076432</v>
      </c>
      <c r="X99" s="326">
        <v>132.72300000000001</v>
      </c>
      <c r="Y99" s="153">
        <f t="shared" si="49"/>
        <v>0</v>
      </c>
      <c r="Z99" s="79">
        <f t="shared" si="50"/>
        <v>108.34</v>
      </c>
      <c r="AA99" s="159">
        <v>53.625999999999998</v>
      </c>
      <c r="AB99" s="159">
        <v>54.713999999999999</v>
      </c>
      <c r="AC99" s="79">
        <f t="shared" si="51"/>
        <v>24.382999999999999</v>
      </c>
      <c r="AD99" s="79">
        <v>30.565999999999999</v>
      </c>
      <c r="AE99" s="79">
        <v>6.1829999999999998</v>
      </c>
      <c r="AF99" s="23">
        <f t="shared" si="52"/>
        <v>0.50502122946280226</v>
      </c>
      <c r="AG99" s="23">
        <f t="shared" si="53"/>
        <v>1.9990843688685415E-2</v>
      </c>
      <c r="AH99" s="450">
        <v>11.762</v>
      </c>
      <c r="AI99" s="153">
        <f t="shared" si="54"/>
        <v>120.96100000000001</v>
      </c>
      <c r="AJ99" s="153">
        <f t="shared" si="55"/>
        <v>1.0000000000189857E-3</v>
      </c>
      <c r="AK99" s="153">
        <v>108.6</v>
      </c>
      <c r="AL99" s="23">
        <f t="shared" si="56"/>
        <v>0.49379373848987107</v>
      </c>
      <c r="AM99" s="182">
        <v>120.96</v>
      </c>
      <c r="AN99" s="79">
        <v>1.702</v>
      </c>
      <c r="AO99" s="79">
        <v>21.395</v>
      </c>
      <c r="AP99" s="79">
        <v>4.3899999999999997</v>
      </c>
      <c r="AQ99" s="79">
        <v>5.915</v>
      </c>
      <c r="AR99" s="79">
        <v>4.7439999999999998</v>
      </c>
      <c r="AS99" s="79">
        <v>0.45</v>
      </c>
      <c r="AT99" s="79">
        <v>1.1930000000000001</v>
      </c>
      <c r="AU99" s="79">
        <v>0.374</v>
      </c>
      <c r="AV99" s="79">
        <f t="shared" si="27"/>
        <v>38.520000000000003</v>
      </c>
      <c r="AW99" s="79">
        <f t="shared" si="28"/>
        <v>82.44</v>
      </c>
      <c r="AX99" s="23">
        <f t="shared" si="29"/>
        <v>1.4070767195767196E-2</v>
      </c>
      <c r="AY99" s="23">
        <f t="shared" si="30"/>
        <v>0.17687665343915346</v>
      </c>
      <c r="AZ99" s="23">
        <f t="shared" si="31"/>
        <v>3.6292989417989419E-2</v>
      </c>
      <c r="BA99" s="23">
        <f t="shared" si="32"/>
        <v>4.8900462962962965E-2</v>
      </c>
      <c r="BB99" s="23">
        <f t="shared" si="33"/>
        <v>3.9219576719576717E-2</v>
      </c>
      <c r="BC99" s="23">
        <f t="shared" si="34"/>
        <v>3.7202380952380955E-3</v>
      </c>
      <c r="BD99" s="23">
        <f t="shared" si="35"/>
        <v>9.8627645502645505E-3</v>
      </c>
      <c r="BE99" s="23">
        <f t="shared" si="36"/>
        <v>3.0919312169312169E-3</v>
      </c>
      <c r="BF99" s="23">
        <f t="shared" si="37"/>
        <v>0.31845238095238099</v>
      </c>
      <c r="BG99" s="153">
        <v>60.689</v>
      </c>
      <c r="BH99" s="23">
        <f t="shared" si="194"/>
        <v>0.50172784391534397</v>
      </c>
      <c r="BI99" s="23">
        <f>'Assets(BoP)'!EF99</f>
        <v>0.18642804729368967</v>
      </c>
      <c r="BJ99" s="182">
        <v>42.951000000000001</v>
      </c>
      <c r="BK99" s="79"/>
      <c r="BL99" s="79"/>
      <c r="BM99" s="79"/>
      <c r="BN99" s="79"/>
      <c r="BO99" s="79"/>
      <c r="BP99" s="79"/>
      <c r="BQ99" s="28">
        <f t="shared" si="193"/>
        <v>0</v>
      </c>
      <c r="BR99" s="23">
        <f t="shared" si="58"/>
        <v>0</v>
      </c>
      <c r="BS99" s="79"/>
      <c r="BT99" s="23">
        <f t="shared" si="59"/>
        <v>0</v>
      </c>
      <c r="BU99" s="182">
        <f t="shared" si="60"/>
        <v>96.576999999999998</v>
      </c>
      <c r="BV99" s="136">
        <f t="shared" si="61"/>
        <v>0</v>
      </c>
      <c r="BW99" s="153">
        <f t="shared" si="62"/>
        <v>1.4081197045032028</v>
      </c>
      <c r="BX99" s="153">
        <f t="shared" si="63"/>
        <v>18.329647496430702</v>
      </c>
      <c r="BY99" s="153">
        <f t="shared" si="64"/>
        <v>1.4323398752368739</v>
      </c>
      <c r="BZ99" s="153">
        <f t="shared" si="65"/>
        <v>1.7791924878998904</v>
      </c>
      <c r="CA99" s="153">
        <f t="shared" si="66"/>
        <v>4.0577266356175699</v>
      </c>
      <c r="CB99" s="153">
        <f t="shared" si="67"/>
        <v>0.37915289874845076</v>
      </c>
      <c r="CC99" s="153">
        <f t="shared" si="68"/>
        <v>27.386179098436692</v>
      </c>
      <c r="CD99" s="153">
        <f t="shared" si="69"/>
        <v>67.878180841945849</v>
      </c>
      <c r="CE99" s="23">
        <f t="shared" si="70"/>
        <v>1.4580280030475195E-2</v>
      </c>
      <c r="CF99" s="23">
        <f t="shared" si="71"/>
        <v>0.18979309252131152</v>
      </c>
      <c r="CG99" s="23">
        <f t="shared" si="72"/>
        <v>1.4831066146565682E-2</v>
      </c>
      <c r="CH99" s="23">
        <f t="shared" si="73"/>
        <v>1.8422528012879778E-2</v>
      </c>
      <c r="CI99" s="23">
        <f t="shared" si="74"/>
        <v>4.2015455394323387E-2</v>
      </c>
      <c r="CJ99" s="23">
        <f t="shared" si="75"/>
        <v>3.9259129891014502E-3</v>
      </c>
      <c r="CK99" s="23">
        <f t="shared" si="76"/>
        <v>0.28356833509465701</v>
      </c>
      <c r="CL99" s="23">
        <f t="shared" si="77"/>
        <v>0.71643166490534305</v>
      </c>
      <c r="CM99" s="23">
        <f t="shared" si="78"/>
        <v>2.9117219496312068E-2</v>
      </c>
      <c r="CN99" s="23">
        <f t="shared" si="79"/>
        <v>7.3564271674387741E-2</v>
      </c>
      <c r="CO99" s="23">
        <f t="shared" si="184"/>
        <v>3.6132443236857139E-3</v>
      </c>
      <c r="CP99" s="448">
        <f t="shared" si="185"/>
        <v>0</v>
      </c>
      <c r="CQ99" s="448">
        <f t="shared" si="186"/>
        <v>3.6132443236857139E-3</v>
      </c>
      <c r="CR99" s="23">
        <f t="shared" si="187"/>
        <v>9.1288142086239279E-3</v>
      </c>
      <c r="CS99" s="326">
        <v>24.382999999999999</v>
      </c>
      <c r="CT99" s="153">
        <v>6.1829999999999998</v>
      </c>
      <c r="CU99" s="153">
        <v>30.565999999999999</v>
      </c>
      <c r="CV99" s="384">
        <f t="shared" si="134"/>
        <v>0.29388029549679717</v>
      </c>
      <c r="CW99" s="384">
        <f t="shared" si="135"/>
        <v>3.0653525035692977</v>
      </c>
      <c r="CX99" s="384">
        <f t="shared" si="136"/>
        <v>2.9576601247631258</v>
      </c>
      <c r="CY99" s="384">
        <f t="shared" si="137"/>
        <v>4.1358075121001097</v>
      </c>
      <c r="CZ99" s="384">
        <f t="shared" si="138"/>
        <v>0.68627336438242992</v>
      </c>
      <c r="DA99" s="153">
        <f t="shared" si="138"/>
        <v>-5.1528987484507453E-3</v>
      </c>
      <c r="DB99" s="153">
        <f t="shared" si="85"/>
        <v>11.133820901563309</v>
      </c>
      <c r="DC99" s="153">
        <f t="shared" si="189"/>
        <v>14.561819158054144</v>
      </c>
      <c r="DD99" s="153">
        <f t="shared" si="87"/>
        <v>-1.3126400596174541</v>
      </c>
      <c r="DE99" s="23">
        <f t="shared" si="88"/>
        <v>0.45662227377940817</v>
      </c>
      <c r="DF99" s="149">
        <v>30.748000000000001</v>
      </c>
      <c r="DG99" s="153">
        <v>2.645</v>
      </c>
      <c r="DH99" s="153">
        <v>24.184000000000001</v>
      </c>
      <c r="DI99" s="153">
        <v>4.32</v>
      </c>
      <c r="DJ99" s="153">
        <v>-8.1829999999999998</v>
      </c>
      <c r="DK99" s="153">
        <v>-9.8059999999999992</v>
      </c>
      <c r="DL99" s="153">
        <v>0</v>
      </c>
      <c r="DM99" s="153">
        <f t="shared" si="38"/>
        <v>13.160000000000002</v>
      </c>
      <c r="DN99" s="153">
        <f t="shared" si="39"/>
        <v>17.588000000000001</v>
      </c>
      <c r="DO99" s="258">
        <f t="shared" si="140"/>
        <v>56.271999999999991</v>
      </c>
      <c r="DP99" s="5">
        <v>1993.1559999999999</v>
      </c>
      <c r="DQ99" s="76">
        <v>26.088999999999999</v>
      </c>
      <c r="DR99" s="76">
        <v>184.613</v>
      </c>
      <c r="DS99" s="76">
        <v>123.389</v>
      </c>
      <c r="DT99" s="76">
        <v>149.732</v>
      </c>
      <c r="DU99" s="76">
        <v>42.185000000000002</v>
      </c>
      <c r="DV99" s="76">
        <v>12.151</v>
      </c>
      <c r="DW99" s="76">
        <f t="shared" si="40"/>
        <v>538.15899999999988</v>
      </c>
      <c r="DX99" s="76">
        <f t="shared" si="41"/>
        <v>1454.9970000000001</v>
      </c>
      <c r="DY99" s="23">
        <f t="shared" si="141"/>
        <v>0.27000345181210095</v>
      </c>
      <c r="DZ99" s="23">
        <f t="shared" si="42"/>
        <v>1.3089291555703618E-2</v>
      </c>
      <c r="EA99" s="23">
        <f t="shared" si="43"/>
        <v>9.2623457471467358E-2</v>
      </c>
      <c r="EB99" s="23">
        <f t="shared" si="44"/>
        <v>6.1906343507482607E-2</v>
      </c>
      <c r="EC99" s="23">
        <f t="shared" si="45"/>
        <v>7.5123071149473503E-2</v>
      </c>
      <c r="ED99" s="23">
        <f t="shared" si="46"/>
        <v>2.1164926378065742E-2</v>
      </c>
      <c r="EE99" s="23">
        <f t="shared" si="142"/>
        <v>6.0963617499081857E-3</v>
      </c>
      <c r="EF99" s="149">
        <v>453.79399999999998</v>
      </c>
      <c r="EG99" s="322">
        <f>EG98+(EG$101-EG$98)/3</f>
        <v>2.3830000000000009</v>
      </c>
      <c r="EH99" s="322">
        <f t="shared" ref="EH99:EL100" si="198">EH98+(EH$101-EH$98)/3</f>
        <v>63.87400855400417</v>
      </c>
      <c r="EI99" s="322">
        <f t="shared" si="198"/>
        <v>66.282714492055845</v>
      </c>
      <c r="EJ99" s="322">
        <f t="shared" si="198"/>
        <v>77.859380998234627</v>
      </c>
      <c r="EK99" s="322">
        <f t="shared" si="198"/>
        <v>-14.57077740330605</v>
      </c>
      <c r="EL99" s="322">
        <f t="shared" si="198"/>
        <v>-0.70866666666666656</v>
      </c>
      <c r="EM99" s="330">
        <f t="shared" si="89"/>
        <v>195.11965997432196</v>
      </c>
      <c r="EN99" s="330">
        <f t="shared" si="90"/>
        <v>258.67434002567802</v>
      </c>
      <c r="EO99" s="23">
        <f t="shared" si="91"/>
        <v>0.42997408510099733</v>
      </c>
      <c r="EP99" s="258">
        <v>710.64700000000005</v>
      </c>
      <c r="EQ99" s="153">
        <f t="shared" si="92"/>
        <v>10.340800000000002</v>
      </c>
      <c r="ER99" s="153">
        <f t="shared" si="93"/>
        <v>77.098001239430801</v>
      </c>
      <c r="ES99" s="153">
        <f t="shared" si="149"/>
        <v>70.721018839881935</v>
      </c>
      <c r="ET99" s="153">
        <f t="shared" si="150"/>
        <v>110.58133726834706</v>
      </c>
      <c r="EU99" s="153">
        <f t="shared" si="94"/>
        <v>40.023520633814201</v>
      </c>
      <c r="EV99" s="153">
        <f t="shared" si="94"/>
        <v>0.34447619047619016</v>
      </c>
      <c r="EW99" s="153">
        <f t="shared" si="95"/>
        <v>309.10915417195019</v>
      </c>
      <c r="EX99" s="153">
        <f t="shared" si="96"/>
        <v>401.53784582804985</v>
      </c>
      <c r="EY99" s="23">
        <f t="shared" si="97"/>
        <v>0.43496863305121974</v>
      </c>
      <c r="EZ99" s="258">
        <v>256.85300000000001</v>
      </c>
      <c r="FA99" s="316">
        <f t="shared" si="168"/>
        <v>7.9577999999999998</v>
      </c>
      <c r="FB99" s="484">
        <f t="shared" si="98"/>
        <v>13.223992685426623</v>
      </c>
      <c r="FC99" s="483">
        <f t="shared" si="166"/>
        <v>4.4383043478260866</v>
      </c>
      <c r="FD99" s="484">
        <f t="shared" si="99"/>
        <v>32.721956270112429</v>
      </c>
      <c r="FE99" s="316">
        <f t="shared" si="100"/>
        <v>54.594298037120254</v>
      </c>
      <c r="FF99" s="316">
        <f t="shared" si="167"/>
        <v>1.0531428571428567</v>
      </c>
      <c r="FG99" s="153">
        <f t="shared" si="101"/>
        <v>113.98949419762825</v>
      </c>
      <c r="FH99" s="153">
        <f t="shared" si="102"/>
        <v>142.86350580237178</v>
      </c>
      <c r="FI99" s="23">
        <f t="shared" si="103"/>
        <v>0.44379273046305956</v>
      </c>
      <c r="FJ99" s="23"/>
      <c r="FK99" s="448">
        <f t="shared" si="104"/>
        <v>1.8961662664569015E-2</v>
      </c>
      <c r="FL99" s="448">
        <f t="shared" si="105"/>
        <v>4.3011509230321099E-2</v>
      </c>
      <c r="FM99" s="23"/>
      <c r="FN99" s="23"/>
      <c r="FO99" s="326">
        <v>1539.3620000000001</v>
      </c>
      <c r="FP99" s="483">
        <f t="shared" si="106"/>
        <v>0</v>
      </c>
      <c r="FQ99" s="322">
        <f t="shared" si="107"/>
        <v>23.705999999999996</v>
      </c>
      <c r="FR99" s="322">
        <f t="shared" si="108"/>
        <v>120.73899144599582</v>
      </c>
      <c r="FS99" s="322">
        <f t="shared" si="109"/>
        <v>57.10628550794415</v>
      </c>
      <c r="FT99" s="322">
        <f t="shared" si="110"/>
        <v>71.872619001765372</v>
      </c>
      <c r="FU99" s="322">
        <f t="shared" si="111"/>
        <v>56.755777403306055</v>
      </c>
      <c r="FV99" s="322">
        <f t="shared" si="112"/>
        <v>12.859666666666666</v>
      </c>
      <c r="FW99" s="322">
        <f t="shared" si="113"/>
        <v>343.03934002567792</v>
      </c>
      <c r="FX99" s="322">
        <f t="shared" si="114"/>
        <v>0</v>
      </c>
      <c r="FY99" s="322">
        <f t="shared" si="115"/>
        <v>1196.3226599743221</v>
      </c>
      <c r="FZ99" s="367">
        <f t="shared" si="116"/>
        <v>0.22284513975639123</v>
      </c>
      <c r="GA99" s="248">
        <f t="shared" si="117"/>
        <v>1.5399886446462882E-2</v>
      </c>
      <c r="GB99" s="248">
        <f t="shared" si="118"/>
        <v>7.843443676405927E-2</v>
      </c>
      <c r="GC99" s="248">
        <f t="shared" si="119"/>
        <v>3.709737248804644E-2</v>
      </c>
      <c r="GD99" s="248">
        <f t="shared" si="120"/>
        <v>4.6689874767446106E-2</v>
      </c>
      <c r="GE99" s="248">
        <f t="shared" si="121"/>
        <v>3.6869675491084004E-2</v>
      </c>
      <c r="GF99" s="248">
        <f t="shared" si="122"/>
        <v>8.3538937992926054E-3</v>
      </c>
      <c r="GG99" s="248">
        <f t="shared" si="123"/>
        <v>0.12493401723830085</v>
      </c>
      <c r="GH99" s="23">
        <f t="shared" si="124"/>
        <v>9.7093078706504299E-2</v>
      </c>
      <c r="GI99" s="23">
        <f t="shared" si="125"/>
        <v>2.7840938531796543E-2</v>
      </c>
      <c r="GJ99" s="326">
        <v>1036.7260000000001</v>
      </c>
      <c r="GK99" s="153">
        <f t="shared" si="151"/>
        <v>0</v>
      </c>
      <c r="GL99" s="153">
        <f t="shared" si="126"/>
        <v>453.79399999999998</v>
      </c>
      <c r="GM99" s="153">
        <f t="shared" si="127"/>
        <v>256.85300000000001</v>
      </c>
      <c r="GN99" s="153">
        <v>326.07900000000001</v>
      </c>
      <c r="GO99" s="153">
        <v>710.64700000000005</v>
      </c>
      <c r="GP99" s="153">
        <f t="shared" si="128"/>
        <v>710.64700000000005</v>
      </c>
      <c r="GQ99" s="295"/>
      <c r="GR99" s="153">
        <f t="shared" si="129"/>
        <v>1539.3620000000001</v>
      </c>
      <c r="GS99" s="153">
        <f>FoF_RoW!$AZ69/1000</f>
        <v>2463.6</v>
      </c>
      <c r="GT99" s="153">
        <f t="shared" si="15"/>
        <v>2009.806</v>
      </c>
      <c r="GU99" s="23">
        <f t="shared" si="130"/>
        <v>1.3056097266270053</v>
      </c>
      <c r="GV99" s="330">
        <f>FoF_RoW!$AE69/1000</f>
        <v>227.714</v>
      </c>
      <c r="GW99" s="330">
        <f t="shared" si="16"/>
        <v>207.64499999999998</v>
      </c>
      <c r="GX99" s="153">
        <v>4134.2389999999996</v>
      </c>
      <c r="GY99" s="153">
        <v>3097.5129999999999</v>
      </c>
      <c r="GZ99" s="153">
        <f t="shared" si="131"/>
        <v>2.012205706000278</v>
      </c>
      <c r="HA99" s="153">
        <f t="shared" si="190"/>
        <v>453.79399999999998</v>
      </c>
      <c r="HB99" s="153">
        <v>766.95500000000004</v>
      </c>
      <c r="HC99" s="153">
        <v>1036.7260000000001</v>
      </c>
      <c r="HD99" s="186">
        <f t="shared" si="132"/>
        <v>7.0379806699138986E-2</v>
      </c>
      <c r="HE99" s="503">
        <f t="shared" si="133"/>
        <v>6.273897887566407E-2</v>
      </c>
      <c r="HF99" s="663"/>
      <c r="HV99" s="186">
        <f t="shared" si="152"/>
        <v>5.3269837641936504E-2</v>
      </c>
      <c r="HW99" s="308">
        <f t="shared" si="153"/>
        <v>0.16311506809291154</v>
      </c>
      <c r="HX99" s="308">
        <f t="shared" si="154"/>
        <v>8.6891131942628142E-3</v>
      </c>
      <c r="HY99" s="313">
        <f t="shared" si="155"/>
        <v>0</v>
      </c>
      <c r="HZ99" s="23">
        <f t="shared" si="156"/>
        <v>5.0434732275300397E-2</v>
      </c>
      <c r="IA99" s="23">
        <f t="shared" si="157"/>
        <v>0.12890061612330059</v>
      </c>
      <c r="IB99" s="23">
        <f t="shared" si="158"/>
        <v>2.129661570880647E-2</v>
      </c>
      <c r="IC99" s="23">
        <f t="shared" si="159"/>
        <v>2.1018798638637103E-2</v>
      </c>
      <c r="ID99" s="23">
        <f t="shared" si="160"/>
        <v>6.0704534485226856E-2</v>
      </c>
      <c r="IE99" s="23">
        <f t="shared" si="161"/>
        <v>2.5034164013853385E-2</v>
      </c>
      <c r="IF99" s="23">
        <f t="shared" si="162"/>
        <v>6.7785365152678384E-2</v>
      </c>
      <c r="IG99" s="23">
        <f t="shared" si="163"/>
        <v>4.8175950246269243E-2</v>
      </c>
      <c r="IH99" s="23">
        <f t="shared" si="164"/>
        <v>1.9609414906409141E-2</v>
      </c>
      <c r="IJ99" s="23"/>
      <c r="IK99" s="850">
        <v>125491</v>
      </c>
      <c r="IL99" s="851">
        <v>22208</v>
      </c>
      <c r="IM99" s="851">
        <v>408273</v>
      </c>
      <c r="IN99" s="851">
        <v>17366</v>
      </c>
      <c r="IO99" s="851">
        <v>10164</v>
      </c>
      <c r="IP99" s="852">
        <v>57486</v>
      </c>
      <c r="IQ99" s="852">
        <v>115084</v>
      </c>
      <c r="IR99" s="852">
        <v>53102</v>
      </c>
      <c r="IS99" s="852">
        <v>5342</v>
      </c>
      <c r="IT99" s="6"/>
      <c r="IU99" s="23"/>
      <c r="JK99" s="23">
        <f t="shared" si="195"/>
        <v>0.24939881749055021</v>
      </c>
      <c r="JL99" s="23">
        <f t="shared" si="196"/>
        <v>0.30737031349121791</v>
      </c>
      <c r="JM99" s="655">
        <f t="shared" si="197"/>
        <v>0</v>
      </c>
    </row>
    <row r="100" spans="1:273">
      <c r="B100" s="451">
        <v>2008</v>
      </c>
      <c r="C100" s="43">
        <v>12427.8</v>
      </c>
      <c r="D100" s="5">
        <v>1285.0999999999999</v>
      </c>
      <c r="E100" s="460">
        <f t="shared" si="172"/>
        <v>0.10340526883277812</v>
      </c>
      <c r="F100" s="454">
        <f t="shared" si="173"/>
        <v>0</v>
      </c>
      <c r="G100" s="76">
        <f t="shared" si="174"/>
        <v>878.39999999999986</v>
      </c>
      <c r="H100" s="23">
        <f t="shared" si="175"/>
        <v>7.0680249118910826E-2</v>
      </c>
      <c r="I100" s="454">
        <v>406.7</v>
      </c>
      <c r="J100" s="460">
        <f t="shared" si="176"/>
        <v>3.27250197138673E-2</v>
      </c>
      <c r="K100" s="6">
        <f t="shared" si="177"/>
        <v>0.31647342619251423</v>
      </c>
      <c r="L100" s="136">
        <v>582</v>
      </c>
      <c r="M100" s="136">
        <f t="shared" si="180"/>
        <v>175.3</v>
      </c>
      <c r="N100" s="460">
        <f t="shared" si="178"/>
        <v>4.6830492927147208E-2</v>
      </c>
      <c r="O100" s="460">
        <f t="shared" si="181"/>
        <v>1.4105473213279906E-2</v>
      </c>
      <c r="P100" s="449">
        <f t="shared" si="182"/>
        <v>0.1364096179285659</v>
      </c>
      <c r="Q100" s="5">
        <f t="shared" si="179"/>
        <v>1285.0999999999999</v>
      </c>
      <c r="R100" s="169">
        <f t="shared" si="183"/>
        <v>175.3</v>
      </c>
      <c r="S100" s="454">
        <f t="shared" si="191"/>
        <v>0</v>
      </c>
      <c r="T100" s="76">
        <v>70.135999999999996</v>
      </c>
      <c r="U100" s="76">
        <v>113.211</v>
      </c>
      <c r="V100" s="76">
        <f t="shared" si="192"/>
        <v>-8.0469999999999828</v>
      </c>
      <c r="W100" s="23">
        <f t="shared" si="48"/>
        <v>0.64581289218482596</v>
      </c>
      <c r="X100" s="326">
        <v>137.804</v>
      </c>
      <c r="Y100" s="153">
        <f t="shared" si="49"/>
        <v>1.0000000000083276E-3</v>
      </c>
      <c r="Z100" s="79">
        <f t="shared" si="50"/>
        <v>113.21</v>
      </c>
      <c r="AA100" s="159">
        <v>65.715999999999994</v>
      </c>
      <c r="AB100" s="159">
        <v>47.494</v>
      </c>
      <c r="AC100" s="79">
        <f t="shared" si="51"/>
        <v>24.593</v>
      </c>
      <c r="AD100" s="79">
        <v>30.19</v>
      </c>
      <c r="AE100" s="79">
        <v>5.5970000000000004</v>
      </c>
      <c r="AF100" s="23">
        <f t="shared" si="52"/>
        <v>0.41952124370638638</v>
      </c>
      <c r="AG100" s="23">
        <f t="shared" si="53"/>
        <v>2.3492335226830599E-2</v>
      </c>
      <c r="AH100" s="450">
        <v>12.083</v>
      </c>
      <c r="AI100" s="153">
        <f t="shared" si="54"/>
        <v>125.721</v>
      </c>
      <c r="AJ100" s="153">
        <f t="shared" si="55"/>
        <v>0</v>
      </c>
      <c r="AK100" s="153">
        <v>135.9</v>
      </c>
      <c r="AL100" s="23">
        <f t="shared" si="56"/>
        <v>0.48356144223693887</v>
      </c>
      <c r="AM100" s="182">
        <v>125.721</v>
      </c>
      <c r="AN100" s="79">
        <v>0.91500000000000004</v>
      </c>
      <c r="AO100" s="79">
        <v>10.581</v>
      </c>
      <c r="AP100" s="79">
        <v>6.81</v>
      </c>
      <c r="AQ100" s="79">
        <v>22.870999999999999</v>
      </c>
      <c r="AR100" s="79">
        <v>3.8079999999999998</v>
      </c>
      <c r="AS100" s="79">
        <v>2.2309999999999999</v>
      </c>
      <c r="AT100" s="79">
        <v>0.94299999999999995</v>
      </c>
      <c r="AU100" s="79">
        <v>0.55200000000000005</v>
      </c>
      <c r="AV100" s="79">
        <f t="shared" si="27"/>
        <v>45.536999999999992</v>
      </c>
      <c r="AW100" s="79">
        <f t="shared" si="28"/>
        <v>80.184000000000012</v>
      </c>
      <c r="AX100" s="23">
        <f t="shared" si="29"/>
        <v>7.2780203784570596E-3</v>
      </c>
      <c r="AY100" s="23">
        <f t="shared" si="30"/>
        <v>8.4162550409239506E-2</v>
      </c>
      <c r="AZ100" s="23">
        <f t="shared" si="31"/>
        <v>5.4167561505237785E-2</v>
      </c>
      <c r="BA100" s="23">
        <f t="shared" si="32"/>
        <v>0.18191869297889771</v>
      </c>
      <c r="BB100" s="23">
        <f t="shared" si="33"/>
        <v>3.0289291367392876E-2</v>
      </c>
      <c r="BC100" s="23">
        <f t="shared" si="34"/>
        <v>1.7745643130423715E-2</v>
      </c>
      <c r="BD100" s="23">
        <f t="shared" si="35"/>
        <v>7.5007357561584775E-3</v>
      </c>
      <c r="BE100" s="23">
        <f t="shared" si="36"/>
        <v>4.3906745889708164E-3</v>
      </c>
      <c r="BF100" s="23">
        <f t="shared" si="37"/>
        <v>0.36220679122819577</v>
      </c>
      <c r="BG100" s="153">
        <v>67.019000000000005</v>
      </c>
      <c r="BH100" s="23">
        <f t="shared" si="194"/>
        <v>0.53307721064897673</v>
      </c>
      <c r="BI100" s="23">
        <f>'Assets(BoP)'!EF100</f>
        <v>0.19559032354932129</v>
      </c>
      <c r="BJ100" s="182">
        <v>35.411000000000001</v>
      </c>
      <c r="BK100" s="79"/>
      <c r="BL100" s="79"/>
      <c r="BM100" s="79"/>
      <c r="BN100" s="79"/>
      <c r="BO100" s="79"/>
      <c r="BP100" s="79"/>
      <c r="BQ100" s="28">
        <f t="shared" si="193"/>
        <v>0</v>
      </c>
      <c r="BR100" s="23">
        <f t="shared" si="58"/>
        <v>0</v>
      </c>
      <c r="BS100" s="79"/>
      <c r="BT100" s="23">
        <f t="shared" si="59"/>
        <v>0</v>
      </c>
      <c r="BU100" s="182">
        <f t="shared" si="60"/>
        <v>101.128</v>
      </c>
      <c r="BV100" s="136">
        <f t="shared" si="61"/>
        <v>1.0000000000047748E-3</v>
      </c>
      <c r="BW100" s="153">
        <f t="shared" si="62"/>
        <v>0.64659353687919641</v>
      </c>
      <c r="BX100" s="153">
        <f t="shared" si="63"/>
        <v>7.4924472411585894</v>
      </c>
      <c r="BY100" s="153">
        <f t="shared" si="64"/>
        <v>4.127904574730394</v>
      </c>
      <c r="BZ100" s="153">
        <f t="shared" si="65"/>
        <v>18.529664366196034</v>
      </c>
      <c r="CA100" s="153">
        <f t="shared" si="66"/>
        <v>3.4378494935752624</v>
      </c>
      <c r="CB100" s="153">
        <f t="shared" si="67"/>
        <v>0.52450740010160679</v>
      </c>
      <c r="CC100" s="153">
        <f t="shared" si="68"/>
        <v>34.758966612641082</v>
      </c>
      <c r="CD100" s="153">
        <f t="shared" si="69"/>
        <v>65.4347892105109</v>
      </c>
      <c r="CE100" s="23">
        <f t="shared" si="70"/>
        <v>6.3938131563879086E-3</v>
      </c>
      <c r="CF100" s="23">
        <f t="shared" si="71"/>
        <v>7.4088751296956232E-2</v>
      </c>
      <c r="CG100" s="23">
        <f t="shared" si="72"/>
        <v>4.0818611806130785E-2</v>
      </c>
      <c r="CH100" s="23">
        <f t="shared" si="73"/>
        <v>0.18322981138948694</v>
      </c>
      <c r="CI100" s="23">
        <f t="shared" si="74"/>
        <v>3.399503098622797E-2</v>
      </c>
      <c r="CJ100" s="23">
        <f t="shared" si="75"/>
        <v>5.186569497088905E-3</v>
      </c>
      <c r="CK100" s="23">
        <f t="shared" si="76"/>
        <v>0.34371258813227878</v>
      </c>
      <c r="CL100" s="23">
        <f t="shared" si="77"/>
        <v>0.65628741186772122</v>
      </c>
      <c r="CM100" s="23">
        <f t="shared" si="78"/>
        <v>4.6885702824362684E-2</v>
      </c>
      <c r="CN100" s="23">
        <f t="shared" si="79"/>
        <v>8.9523915104203211E-2</v>
      </c>
      <c r="CO100" s="23">
        <f t="shared" si="184"/>
        <v>4.848228704966968E-3</v>
      </c>
      <c r="CP100" s="448">
        <f t="shared" si="185"/>
        <v>0</v>
      </c>
      <c r="CQ100" s="448">
        <f t="shared" si="186"/>
        <v>4.848228704966968E-3</v>
      </c>
      <c r="CR100" s="23">
        <f t="shared" si="187"/>
        <v>9.2572445083129382E-3</v>
      </c>
      <c r="CS100" s="326">
        <v>24.593</v>
      </c>
      <c r="CT100" s="153">
        <v>5.5970000000000004</v>
      </c>
      <c r="CU100" s="153">
        <v>30.19</v>
      </c>
      <c r="CV100" s="384">
        <f t="shared" si="134"/>
        <v>0.26840646312080363</v>
      </c>
      <c r="CW100" s="384">
        <f t="shared" si="135"/>
        <v>3.0885527588414101</v>
      </c>
      <c r="CX100" s="384">
        <f t="shared" si="136"/>
        <v>2.6820954252696056</v>
      </c>
      <c r="CY100" s="384">
        <f t="shared" si="137"/>
        <v>4.3413356338039657</v>
      </c>
      <c r="CZ100" s="384">
        <f t="shared" si="138"/>
        <v>0.37015050642473768</v>
      </c>
      <c r="DA100" s="153">
        <f t="shared" si="138"/>
        <v>2.7492599898393203E-2</v>
      </c>
      <c r="DB100" s="153">
        <f t="shared" si="85"/>
        <v>10.778033387358915</v>
      </c>
      <c r="DC100" s="153">
        <f t="shared" si="189"/>
        <v>14.749210789489112</v>
      </c>
      <c r="DD100" s="153">
        <f t="shared" si="87"/>
        <v>-0.93424417684802741</v>
      </c>
      <c r="DE100" s="23">
        <f t="shared" si="88"/>
        <v>0.43825614554380982</v>
      </c>
      <c r="DF100" s="149">
        <v>15.231</v>
      </c>
      <c r="DG100" s="153">
        <v>-6.9000000000000006E-2</v>
      </c>
      <c r="DH100" s="153">
        <v>10.095000000000001</v>
      </c>
      <c r="DI100" s="153">
        <v>1.03</v>
      </c>
      <c r="DJ100" s="153">
        <v>12.311999999999999</v>
      </c>
      <c r="DK100" s="153">
        <v>1.3089999999999999</v>
      </c>
      <c r="DL100" s="153">
        <v>0</v>
      </c>
      <c r="DM100" s="153">
        <f t="shared" si="38"/>
        <v>24.677</v>
      </c>
      <c r="DN100" s="153">
        <f t="shared" si="39"/>
        <v>-9.4459999999999997</v>
      </c>
      <c r="DO100" s="258">
        <f t="shared" si="140"/>
        <v>32.144000000000005</v>
      </c>
      <c r="DP100" s="5">
        <v>2046.662</v>
      </c>
      <c r="DQ100" s="76">
        <v>21.27</v>
      </c>
      <c r="DR100" s="76">
        <v>179.93799999999999</v>
      </c>
      <c r="DS100" s="76">
        <v>130.02000000000001</v>
      </c>
      <c r="DT100" s="76">
        <v>157.12100000000001</v>
      </c>
      <c r="DU100" s="76">
        <v>42.957000000000001</v>
      </c>
      <c r="DV100" s="76">
        <v>25.800999999999998</v>
      </c>
      <c r="DW100" s="76">
        <f t="shared" si="40"/>
        <v>557.10699999999997</v>
      </c>
      <c r="DX100" s="76">
        <f t="shared" si="41"/>
        <v>1489.5550000000001</v>
      </c>
      <c r="DY100" s="23">
        <f t="shared" si="141"/>
        <v>0.27220273792155225</v>
      </c>
      <c r="DZ100" s="23">
        <f t="shared" si="42"/>
        <v>1.0392531839649145E-2</v>
      </c>
      <c r="EA100" s="23">
        <f t="shared" si="43"/>
        <v>8.7917790040563604E-2</v>
      </c>
      <c r="EB100" s="23">
        <f t="shared" si="44"/>
        <v>6.3527832148151483E-2</v>
      </c>
      <c r="EC100" s="23">
        <f t="shared" si="45"/>
        <v>7.676939328526157E-2</v>
      </c>
      <c r="ED100" s="23">
        <f t="shared" si="46"/>
        <v>2.0988810072205377E-2</v>
      </c>
      <c r="EE100" s="23">
        <f t="shared" si="142"/>
        <v>1.2606380535721089E-2</v>
      </c>
      <c r="EF100" s="149">
        <v>485.93799999999999</v>
      </c>
      <c r="EG100" s="322">
        <f>EG99+(EG$101-EG$98)/3</f>
        <v>1.9550000000000001</v>
      </c>
      <c r="EH100" s="322">
        <f t="shared" si="198"/>
        <v>69.643504277002094</v>
      </c>
      <c r="EI100" s="322">
        <f t="shared" si="198"/>
        <v>64.927857246027926</v>
      </c>
      <c r="EJ100" s="322">
        <f t="shared" si="198"/>
        <v>89.139690499117322</v>
      </c>
      <c r="EK100" s="322">
        <f t="shared" si="198"/>
        <v>-24.480388701653027</v>
      </c>
      <c r="EL100" s="322">
        <f t="shared" si="198"/>
        <v>5.8166666666666922E-2</v>
      </c>
      <c r="EM100" s="416">
        <f t="shared" si="89"/>
        <v>201.24382998716095</v>
      </c>
      <c r="EN100" s="330">
        <f t="shared" si="90"/>
        <v>284.69417001283904</v>
      </c>
      <c r="EO100" s="23">
        <f t="shared" si="91"/>
        <v>0.41413478671592047</v>
      </c>
      <c r="EP100" s="258">
        <v>760.79899999999998</v>
      </c>
      <c r="EQ100" s="153">
        <f t="shared" si="92"/>
        <v>10.354900000000001</v>
      </c>
      <c r="ER100" s="153">
        <f>FB100+EH100</f>
        <v>83.947703639748426</v>
      </c>
      <c r="ES100" s="153">
        <f t="shared" si="149"/>
        <v>69.577509419940966</v>
      </c>
      <c r="ET100" s="153">
        <f t="shared" si="150"/>
        <v>124.53455173059535</v>
      </c>
      <c r="EU100" s="153">
        <f t="shared" si="94"/>
        <v>34.57346453079569</v>
      </c>
      <c r="EV100" s="153">
        <f t="shared" si="94"/>
        <v>1.166738095238095</v>
      </c>
      <c r="EW100" s="153">
        <f t="shared" si="95"/>
        <v>324.15486741631855</v>
      </c>
      <c r="EX100" s="153">
        <f t="shared" si="96"/>
        <v>436.64413258368143</v>
      </c>
      <c r="EY100" s="23">
        <f t="shared" si="97"/>
        <v>0.42607162656144204</v>
      </c>
      <c r="EZ100" s="258">
        <v>274.86099999999999</v>
      </c>
      <c r="FA100" s="316">
        <f t="shared" si="168"/>
        <v>8.3999000000000006</v>
      </c>
      <c r="FB100" s="484">
        <f>FB101*($EZ100/$EZ101-0.01)</f>
        <v>14.304199362746338</v>
      </c>
      <c r="FC100" s="483">
        <f t="shared" si="166"/>
        <v>4.6496521739130428</v>
      </c>
      <c r="FD100" s="484">
        <f>FD101*($EZ100/$EZ101-0.01)</f>
        <v>35.394861231478025</v>
      </c>
      <c r="FE100" s="484">
        <f>FE101*($EZ100/$EZ101-0.01)</f>
        <v>59.053853232448716</v>
      </c>
      <c r="FF100" s="316">
        <f t="shared" si="167"/>
        <v>1.1085714285714281</v>
      </c>
      <c r="FG100" s="153">
        <f t="shared" si="101"/>
        <v>122.91103742915755</v>
      </c>
      <c r="FH100" s="153">
        <f t="shared" si="102"/>
        <v>151.94996257084244</v>
      </c>
      <c r="FI100" s="23">
        <f t="shared" si="103"/>
        <v>0.44717525377975614</v>
      </c>
      <c r="FJ100" s="23"/>
      <c r="FK100" s="448">
        <f t="shared" si="104"/>
        <v>1.6964050276874396E-2</v>
      </c>
      <c r="FL100" s="448">
        <f t="shared" si="105"/>
        <v>3.9681965933183405E-2</v>
      </c>
      <c r="FM100" s="23"/>
      <c r="FN100" s="23"/>
      <c r="FO100" s="326">
        <v>1560.723</v>
      </c>
      <c r="FP100" s="483">
        <f t="shared" si="106"/>
        <v>-9.9999999997635314E-4</v>
      </c>
      <c r="FQ100" s="322">
        <f t="shared" si="107"/>
        <v>19.314999999999998</v>
      </c>
      <c r="FR100" s="322">
        <f t="shared" si="108"/>
        <v>110.29449572299789</v>
      </c>
      <c r="FS100" s="322">
        <f t="shared" si="109"/>
        <v>65.092142753972084</v>
      </c>
      <c r="FT100" s="322">
        <f t="shared" si="110"/>
        <v>67.981309500882688</v>
      </c>
      <c r="FU100" s="322">
        <f t="shared" si="111"/>
        <v>67.43738870165302</v>
      </c>
      <c r="FV100" s="322">
        <f t="shared" si="112"/>
        <v>25.74283333333333</v>
      </c>
      <c r="FW100" s="322">
        <f t="shared" si="113"/>
        <v>355.86317001283902</v>
      </c>
      <c r="FX100" s="322">
        <f t="shared" si="114"/>
        <v>0</v>
      </c>
      <c r="FY100" s="322">
        <f t="shared" si="115"/>
        <v>1204.860829987161</v>
      </c>
      <c r="FZ100" s="367">
        <f t="shared" si="116"/>
        <v>0.22801174200216121</v>
      </c>
      <c r="GA100" s="248">
        <f t="shared" si="117"/>
        <v>1.2375674607217295E-2</v>
      </c>
      <c r="GB100" s="248">
        <f t="shared" si="118"/>
        <v>7.066884752963716E-2</v>
      </c>
      <c r="GC100" s="248">
        <f t="shared" si="119"/>
        <v>4.1706403220797085E-2</v>
      </c>
      <c r="GD100" s="248">
        <f t="shared" si="120"/>
        <v>4.3557575239733567E-2</v>
      </c>
      <c r="GE100" s="248">
        <f t="shared" si="121"/>
        <v>4.3209069579709547E-2</v>
      </c>
      <c r="GF100" s="248">
        <f t="shared" si="122"/>
        <v>1.6494171825066545E-2</v>
      </c>
      <c r="GG100" s="248">
        <f t="shared" si="123"/>
        <v>0.12558320861294839</v>
      </c>
      <c r="GH100" s="23">
        <f t="shared" si="124"/>
        <v>9.6948842915653699E-2</v>
      </c>
      <c r="GI100" s="23">
        <f t="shared" si="125"/>
        <v>2.8634446162059176E-2</v>
      </c>
      <c r="GJ100" s="326">
        <v>1090.732</v>
      </c>
      <c r="GK100" s="153">
        <f t="shared" si="151"/>
        <v>0</v>
      </c>
      <c r="GL100" s="153">
        <f t="shared" si="126"/>
        <v>485.93799999999999</v>
      </c>
      <c r="GM100" s="153">
        <f t="shared" si="127"/>
        <v>274.86099999999999</v>
      </c>
      <c r="GN100" s="153">
        <v>329.93299999999999</v>
      </c>
      <c r="GO100" s="153">
        <v>760.79899999999998</v>
      </c>
      <c r="GP100" s="153">
        <f t="shared" si="128"/>
        <v>760.79899999999998</v>
      </c>
      <c r="GQ100" s="295"/>
      <c r="GR100" s="153">
        <f t="shared" si="129"/>
        <v>1560.723</v>
      </c>
      <c r="GS100" s="153">
        <f>FoF_RoW!$AZ70/1000</f>
        <v>2598.7890000000002</v>
      </c>
      <c r="GT100" s="153">
        <f t="shared" si="15"/>
        <v>2112.8510000000001</v>
      </c>
      <c r="GU100" s="23">
        <f t="shared" si="130"/>
        <v>1.3537642490051087</v>
      </c>
      <c r="GV100" s="330">
        <f>FoF_RoW!$AE70/1000</f>
        <v>318.45</v>
      </c>
      <c r="GW100" s="330">
        <f t="shared" si="16"/>
        <v>135.18900000000031</v>
      </c>
      <c r="GX100" s="153">
        <v>3091.24</v>
      </c>
      <c r="GY100" s="153">
        <v>2000.508</v>
      </c>
      <c r="GZ100" s="153">
        <f t="shared" si="131"/>
        <v>1.281782866017865</v>
      </c>
      <c r="HA100" s="153">
        <f t="shared" si="190"/>
        <v>485.93799999999999</v>
      </c>
      <c r="HB100" s="153">
        <v>779.06399999999996</v>
      </c>
      <c r="HC100" s="153">
        <v>1090.732</v>
      </c>
      <c r="HD100" s="186">
        <f t="shared" si="132"/>
        <v>7.2536894759672274E-2</v>
      </c>
      <c r="HE100" s="503">
        <f t="shared" si="133"/>
        <v>6.4794970023508328E-2</v>
      </c>
      <c r="HF100" s="663"/>
      <c r="HV100" s="186">
        <f t="shared" si="152"/>
        <v>5.2971779751615503E-2</v>
      </c>
      <c r="HW100" s="308">
        <f t="shared" si="153"/>
        <v>0.17001005809555997</v>
      </c>
      <c r="HX100" s="308">
        <f t="shared" si="154"/>
        <v>9.0057353529973579E-3</v>
      </c>
      <c r="HY100" s="313">
        <f t="shared" si="155"/>
        <v>0</v>
      </c>
      <c r="HZ100" s="23">
        <f t="shared" si="156"/>
        <v>2.7367531309819851E-2</v>
      </c>
      <c r="IA100" s="23">
        <f t="shared" si="157"/>
        <v>5.5535262749667386E-2</v>
      </c>
      <c r="IB100" s="23">
        <f t="shared" si="158"/>
        <v>5.1844185721650629E-2</v>
      </c>
      <c r="IC100" s="23">
        <f t="shared" si="159"/>
        <v>0.22283171548080236</v>
      </c>
      <c r="ID100" s="23">
        <f t="shared" si="160"/>
        <v>4.1675909978340184E-2</v>
      </c>
      <c r="IE100" s="23">
        <f t="shared" si="161"/>
        <v>1.6656902812708044E-2</v>
      </c>
      <c r="IF100" s="23">
        <f t="shared" si="162"/>
        <v>7.9851446932185738E-2</v>
      </c>
      <c r="IG100" s="23">
        <f t="shared" si="163"/>
        <v>4.4398755693768721E-2</v>
      </c>
      <c r="IH100" s="23">
        <f t="shared" si="164"/>
        <v>3.5452691238417017E-2</v>
      </c>
      <c r="II100" s="23"/>
      <c r="IJ100" s="23"/>
      <c r="IK100" s="848">
        <v>91937</v>
      </c>
      <c r="IL100" s="332">
        <v>22402</v>
      </c>
      <c r="IM100" s="330">
        <v>413491</v>
      </c>
      <c r="IN100" s="332">
        <v>18993</v>
      </c>
      <c r="IO100" s="330">
        <v>-2150</v>
      </c>
      <c r="IP100" s="76">
        <v>28516</v>
      </c>
      <c r="IQ100" s="76">
        <v>-23788</v>
      </c>
      <c r="IR100" s="76">
        <v>42915</v>
      </c>
      <c r="IS100" s="76">
        <v>-136026</v>
      </c>
      <c r="IT100" s="23"/>
      <c r="IU100" s="23"/>
      <c r="JK100" s="23">
        <f t="shared" si="195"/>
        <v>0.17840438087895755</v>
      </c>
      <c r="JL100" s="23">
        <f t="shared" si="196"/>
        <v>0.22234341255311482</v>
      </c>
      <c r="JM100" s="655">
        <f t="shared" si="197"/>
        <v>0</v>
      </c>
    </row>
    <row r="101" spans="1:273" s="113" customFormat="1">
      <c r="B101" s="457">
        <v>2009</v>
      </c>
      <c r="C101" s="104">
        <v>12126.1</v>
      </c>
      <c r="D101" s="8">
        <v>1397</v>
      </c>
      <c r="E101" s="461">
        <f t="shared" si="172"/>
        <v>0.11520604316309448</v>
      </c>
      <c r="F101" s="456">
        <f t="shared" si="173"/>
        <v>0</v>
      </c>
      <c r="G101" s="108">
        <f t="shared" si="174"/>
        <v>1039.8</v>
      </c>
      <c r="H101" s="105">
        <f t="shared" si="175"/>
        <v>8.574892174730539E-2</v>
      </c>
      <c r="I101" s="456">
        <v>357.2</v>
      </c>
      <c r="J101" s="461">
        <f t="shared" si="176"/>
        <v>2.945712141578908E-2</v>
      </c>
      <c r="K101" s="105">
        <f t="shared" si="177"/>
        <v>0.25569076592698642</v>
      </c>
      <c r="L101" s="134">
        <v>498.09999999999997</v>
      </c>
      <c r="M101" s="134">
        <f t="shared" si="180"/>
        <v>140.89999999999998</v>
      </c>
      <c r="N101" s="461">
        <f t="shared" si="178"/>
        <v>4.1076685826440487E-2</v>
      </c>
      <c r="O101" s="461">
        <f t="shared" si="181"/>
        <v>1.1619564410651402E-2</v>
      </c>
      <c r="P101" s="462">
        <f t="shared" si="182"/>
        <v>0.10085898353614887</v>
      </c>
      <c r="Q101" s="8">
        <f t="shared" si="179"/>
        <v>1397</v>
      </c>
      <c r="R101" s="170">
        <f t="shared" si="183"/>
        <v>140.89999999999998</v>
      </c>
      <c r="S101" s="456">
        <f t="shared" si="191"/>
        <v>0</v>
      </c>
      <c r="T101" s="108">
        <v>59.744999999999997</v>
      </c>
      <c r="U101" s="108">
        <v>88.218000000000004</v>
      </c>
      <c r="V101" s="108">
        <f t="shared" si="192"/>
        <v>-7.0630000000000308</v>
      </c>
      <c r="W101" s="105">
        <f t="shared" si="48"/>
        <v>0.62610361958836069</v>
      </c>
      <c r="X101" s="327">
        <v>112.123</v>
      </c>
      <c r="Y101" s="154">
        <f t="shared" si="49"/>
        <v>0</v>
      </c>
      <c r="Z101" s="134">
        <f t="shared" si="50"/>
        <v>88.218000000000004</v>
      </c>
      <c r="AA101" s="160">
        <v>59.271999999999998</v>
      </c>
      <c r="AB101" s="160">
        <v>28.946000000000002</v>
      </c>
      <c r="AC101" s="134">
        <f t="shared" si="51"/>
        <v>23.905000000000001</v>
      </c>
      <c r="AD101" s="134">
        <v>28.349</v>
      </c>
      <c r="AE101" s="134">
        <v>4.4450000000000003</v>
      </c>
      <c r="AF101" s="105">
        <f t="shared" si="52"/>
        <v>0.32811897798635198</v>
      </c>
      <c r="AG101" s="105">
        <f t="shared" si="53"/>
        <v>2.029277022190408E-2</v>
      </c>
      <c r="AH101" s="456">
        <v>14.132999999999999</v>
      </c>
      <c r="AI101" s="154">
        <f t="shared" si="54"/>
        <v>97.990000000000009</v>
      </c>
      <c r="AJ101" s="154">
        <f t="shared" si="55"/>
        <v>0</v>
      </c>
      <c r="AK101" s="154">
        <v>119</v>
      </c>
      <c r="AL101" s="105">
        <f t="shared" si="56"/>
        <v>0.49808403361344539</v>
      </c>
      <c r="AM101" s="183">
        <v>97.99</v>
      </c>
      <c r="AN101" s="134">
        <v>0.62</v>
      </c>
      <c r="AO101" s="134">
        <v>13.866</v>
      </c>
      <c r="AP101" s="134">
        <v>2.4009999999999998</v>
      </c>
      <c r="AQ101" s="134">
        <v>14.09</v>
      </c>
      <c r="AR101" s="134">
        <v>1.948</v>
      </c>
      <c r="AS101" s="134">
        <v>1.5029999999999999</v>
      </c>
      <c r="AT101" s="134">
        <v>-4.0000000000000001E-3</v>
      </c>
      <c r="AU101" s="134">
        <v>0.73</v>
      </c>
      <c r="AV101" s="134">
        <f t="shared" si="27"/>
        <v>33.654999999999994</v>
      </c>
      <c r="AW101" s="134">
        <f t="shared" si="28"/>
        <v>64.335000000000008</v>
      </c>
      <c r="AX101" s="105">
        <f t="shared" si="29"/>
        <v>6.327176242473722E-3</v>
      </c>
      <c r="AY101" s="105">
        <f t="shared" si="30"/>
        <v>0.14150423512603327</v>
      </c>
      <c r="AZ101" s="105">
        <f t="shared" si="31"/>
        <v>2.4502500255128075E-2</v>
      </c>
      <c r="BA101" s="105">
        <f t="shared" si="32"/>
        <v>0.14379018267170121</v>
      </c>
      <c r="BB101" s="105">
        <f t="shared" si="33"/>
        <v>1.9879579548933567E-2</v>
      </c>
      <c r="BC101" s="105">
        <f t="shared" si="34"/>
        <v>1.533829982651291E-2</v>
      </c>
      <c r="BD101" s="105">
        <f t="shared" si="35"/>
        <v>-4.0820491886927239E-5</v>
      </c>
      <c r="BE101" s="105">
        <f t="shared" si="36"/>
        <v>7.4497397693642211E-3</v>
      </c>
      <c r="BF101" s="105">
        <f t="shared" si="37"/>
        <v>0.34345341361363402</v>
      </c>
      <c r="BG101" s="154">
        <v>56.695</v>
      </c>
      <c r="BH101" s="105">
        <f t="shared" si="194"/>
        <v>0.57857944688233498</v>
      </c>
      <c r="BI101" s="105">
        <f>'Assets(BoP)'!EF101</f>
        <v>0.1891224241925191</v>
      </c>
      <c r="BJ101" s="183">
        <v>14.814</v>
      </c>
      <c r="BK101" s="134"/>
      <c r="BL101" s="134"/>
      <c r="BM101" s="134"/>
      <c r="BN101" s="134"/>
      <c r="BO101" s="134"/>
      <c r="BP101" s="134"/>
      <c r="BQ101" s="133">
        <f t="shared" si="193"/>
        <v>0</v>
      </c>
      <c r="BR101" s="105">
        <f t="shared" si="58"/>
        <v>0</v>
      </c>
      <c r="BS101" s="134"/>
      <c r="BT101" s="105">
        <f t="shared" si="59"/>
        <v>0</v>
      </c>
      <c r="BU101" s="183">
        <f t="shared" si="60"/>
        <v>74.084999999999994</v>
      </c>
      <c r="BV101" s="134">
        <f t="shared" si="61"/>
        <v>0</v>
      </c>
      <c r="BW101" s="154">
        <f t="shared" si="62"/>
        <v>0.34526144662514668</v>
      </c>
      <c r="BX101" s="154">
        <f t="shared" si="63"/>
        <v>10.687079353823133</v>
      </c>
      <c r="BY101" s="154">
        <f t="shared" si="64"/>
        <v>-9.7341620488468728E-2</v>
      </c>
      <c r="BZ101" s="154">
        <f t="shared" si="65"/>
        <v>9.4487353126479761</v>
      </c>
      <c r="CA101" s="154">
        <f t="shared" si="66"/>
        <v>1.7601320590908713</v>
      </c>
      <c r="CB101" s="154">
        <f t="shared" si="67"/>
        <v>0.6704847722055618</v>
      </c>
      <c r="CC101" s="154">
        <f t="shared" si="68"/>
        <v>22.814351323904219</v>
      </c>
      <c r="CD101" s="154">
        <f t="shared" si="69"/>
        <v>50.362513695298915</v>
      </c>
      <c r="CE101" s="105">
        <f t="shared" si="70"/>
        <v>4.6603421289754567E-3</v>
      </c>
      <c r="CF101" s="105">
        <f t="shared" si="71"/>
        <v>0.1442542937682815</v>
      </c>
      <c r="CG101" s="105">
        <f t="shared" si="72"/>
        <v>-1.3139180736784603E-3</v>
      </c>
      <c r="CH101" s="105">
        <f t="shared" si="73"/>
        <v>0.12753911470132925</v>
      </c>
      <c r="CI101" s="105">
        <f t="shared" si="74"/>
        <v>2.3758278451655145E-2</v>
      </c>
      <c r="CJ101" s="105">
        <f t="shared" si="75"/>
        <v>9.0502095188710521E-3</v>
      </c>
      <c r="CK101" s="105">
        <f t="shared" si="76"/>
        <v>0.30794832049543397</v>
      </c>
      <c r="CL101" s="105">
        <f t="shared" si="77"/>
        <v>0.69205167950456603</v>
      </c>
      <c r="CM101" s="105">
        <f t="shared" si="78"/>
        <v>3.1059354586833673E-2</v>
      </c>
      <c r="CN101" s="105">
        <f t="shared" si="79"/>
        <v>6.9799628949315198E-2</v>
      </c>
      <c r="CO101" s="105">
        <f t="shared" si="184"/>
        <v>3.5782253451486167E-3</v>
      </c>
      <c r="CP101" s="461">
        <f t="shared" si="185"/>
        <v>0</v>
      </c>
      <c r="CQ101" s="461">
        <f t="shared" si="186"/>
        <v>3.5782253451486167E-3</v>
      </c>
      <c r="CR101" s="105">
        <f t="shared" si="187"/>
        <v>8.0413390655027853E-3</v>
      </c>
      <c r="CS101" s="327">
        <v>23.905000000000001</v>
      </c>
      <c r="CT101" s="154">
        <v>4.4450000000000003</v>
      </c>
      <c r="CU101" s="154">
        <v>28.349</v>
      </c>
      <c r="CV101" s="385">
        <f t="shared" si="134"/>
        <v>0.27473855337485331</v>
      </c>
      <c r="CW101" s="385">
        <f t="shared" si="135"/>
        <v>3.1789206461768673</v>
      </c>
      <c r="CX101" s="385">
        <f t="shared" si="136"/>
        <v>2.4983416204884685</v>
      </c>
      <c r="CY101" s="385">
        <f t="shared" si="137"/>
        <v>4.6412646873520238</v>
      </c>
      <c r="CZ101" s="385">
        <f t="shared" si="138"/>
        <v>0.18786794090912851</v>
      </c>
      <c r="DA101" s="154">
        <f t="shared" si="138"/>
        <v>5.9515227794438179E-2</v>
      </c>
      <c r="DB101" s="154">
        <f t="shared" si="85"/>
        <v>10.84064867609578</v>
      </c>
      <c r="DC101" s="154">
        <f t="shared" si="189"/>
        <v>13.972486304701095</v>
      </c>
      <c r="DD101" s="154">
        <f t="shared" si="87"/>
        <v>-0.90813498079687349</v>
      </c>
      <c r="DE101" s="105">
        <f t="shared" si="88"/>
        <v>0.45348875449051579</v>
      </c>
      <c r="DF101" s="150">
        <v>1.9770000000000001</v>
      </c>
      <c r="DG101" s="154">
        <v>-4.875</v>
      </c>
      <c r="DH101" s="154">
        <v>-7.827</v>
      </c>
      <c r="DI101" s="154">
        <v>1.607</v>
      </c>
      <c r="DJ101" s="154">
        <v>-1.4970000000000001</v>
      </c>
      <c r="DK101" s="154">
        <v>-0.86499999999999999</v>
      </c>
      <c r="DL101" s="154">
        <v>-0.09</v>
      </c>
      <c r="DM101" s="154">
        <f t="shared" si="38"/>
        <v>-13.547000000000001</v>
      </c>
      <c r="DN101" s="154">
        <f t="shared" si="39"/>
        <v>15.524000000000001</v>
      </c>
      <c r="DO101" s="350">
        <f t="shared" si="140"/>
        <v>-4.3799999999999955</v>
      </c>
      <c r="DP101" s="8">
        <v>2069.4380000000001</v>
      </c>
      <c r="DQ101" s="108">
        <v>21.044</v>
      </c>
      <c r="DR101" s="108">
        <v>206.62200000000001</v>
      </c>
      <c r="DS101" s="108">
        <v>138.667</v>
      </c>
      <c r="DT101" s="108">
        <v>140.81899999999999</v>
      </c>
      <c r="DU101" s="108">
        <v>18.376999999999999</v>
      </c>
      <c r="DV101" s="108">
        <v>20.757000000000001</v>
      </c>
      <c r="DW101" s="108">
        <f t="shared" si="40"/>
        <v>546.28599999999994</v>
      </c>
      <c r="DX101" s="108">
        <f t="shared" si="41"/>
        <v>1523.152</v>
      </c>
      <c r="DY101" s="105">
        <f t="shared" si="141"/>
        <v>0.26397794956891674</v>
      </c>
      <c r="DZ101" s="105">
        <f t="shared" si="42"/>
        <v>1.0168944418726244E-2</v>
      </c>
      <c r="EA101" s="105">
        <f t="shared" si="43"/>
        <v>9.9844498844613855E-2</v>
      </c>
      <c r="EB101" s="105">
        <f t="shared" si="44"/>
        <v>6.7007081149568146E-2</v>
      </c>
      <c r="EC101" s="105">
        <f t="shared" si="45"/>
        <v>6.80469770053512E-2</v>
      </c>
      <c r="ED101" s="105">
        <f t="shared" si="46"/>
        <v>8.8801887275675798E-3</v>
      </c>
      <c r="EE101" s="105">
        <f t="shared" si="142"/>
        <v>1.0030259423089747E-2</v>
      </c>
      <c r="EF101" s="150">
        <v>481.55799999999999</v>
      </c>
      <c r="EG101" s="358">
        <f t="shared" ref="EG101:EM101" si="199">EQ101-FA101</f>
        <v>1.5269999999999992</v>
      </c>
      <c r="EH101" s="358">
        <f t="shared" si="199"/>
        <v>75.413000000000011</v>
      </c>
      <c r="EI101" s="358">
        <f t="shared" si="199"/>
        <v>63.573</v>
      </c>
      <c r="EJ101" s="358">
        <f t="shared" si="199"/>
        <v>100.42</v>
      </c>
      <c r="EK101" s="358">
        <f t="shared" si="199"/>
        <v>-34.39</v>
      </c>
      <c r="EL101" s="358">
        <f t="shared" si="199"/>
        <v>0.82500000000000018</v>
      </c>
      <c r="EM101" s="475">
        <f t="shared" si="199"/>
        <v>207.36800000000002</v>
      </c>
      <c r="EN101" s="475">
        <f t="shared" ref="EN101:EN108" si="200">EX101-FH101</f>
        <v>274.19099999999992</v>
      </c>
      <c r="EO101" s="476">
        <f t="shared" si="91"/>
        <v>0.43061894932697625</v>
      </c>
      <c r="EP101" s="350">
        <v>757.65</v>
      </c>
      <c r="EQ101" s="154">
        <v>10.369</v>
      </c>
      <c r="ER101" s="154">
        <v>89.927000000000007</v>
      </c>
      <c r="ES101" s="154">
        <v>68.433999999999997</v>
      </c>
      <c r="ET101" s="154">
        <v>136.334</v>
      </c>
      <c r="EU101" s="154">
        <v>25.53</v>
      </c>
      <c r="EV101" s="154">
        <v>1.9890000000000001</v>
      </c>
      <c r="EW101" s="154">
        <f t="shared" ref="EW101:EW108" si="201">EQ101+ER101+ES101+ET101+EU101+EV101</f>
        <v>332.58300000000003</v>
      </c>
      <c r="EX101" s="415">
        <f t="shared" ref="EX101:EX108" si="202">EP101-EW101</f>
        <v>425.06699999999995</v>
      </c>
      <c r="EY101" s="105">
        <f t="shared" ref="EY101:EY108" si="203">EW101/EP101</f>
        <v>0.43896654127895474</v>
      </c>
      <c r="EZ101" s="350">
        <v>276.09100000000001</v>
      </c>
      <c r="FA101" s="154">
        <v>8.8420000000000005</v>
      </c>
      <c r="FB101" s="154">
        <v>14.513999999999999</v>
      </c>
      <c r="FC101" s="154">
        <v>4.8609999999999998</v>
      </c>
      <c r="FD101" s="154">
        <v>35.914000000000001</v>
      </c>
      <c r="FE101" s="154">
        <v>59.92</v>
      </c>
      <c r="FF101" s="154">
        <v>1.1639999999999999</v>
      </c>
      <c r="FG101" s="154">
        <f t="shared" ref="FG101:FG108" si="204">FA101+FB101+FC101+FD101+FE101+FF101</f>
        <v>125.215</v>
      </c>
      <c r="FH101" s="415">
        <f t="shared" ref="FH101:FH108" si="205">EZ101-FG101</f>
        <v>150.876</v>
      </c>
      <c r="FI101" s="105">
        <f t="shared" ref="FI101:FI108" si="206">FG101/EZ101</f>
        <v>0.45352800344813848</v>
      </c>
      <c r="FJ101" s="105"/>
      <c r="FK101" s="461">
        <f t="shared" si="104"/>
        <v>1.2806882582927807E-2</v>
      </c>
      <c r="FL101" s="461">
        <f t="shared" si="105"/>
        <v>3.7417013132712992E-2</v>
      </c>
      <c r="FM101" s="105"/>
      <c r="FN101" s="105"/>
      <c r="FO101" s="327">
        <v>1587.88</v>
      </c>
      <c r="FP101" s="385">
        <f t="shared" si="106"/>
        <v>0</v>
      </c>
      <c r="FQ101" s="323">
        <f t="shared" si="107"/>
        <v>19.517000000000003</v>
      </c>
      <c r="FR101" s="323">
        <f t="shared" si="108"/>
        <v>131.209</v>
      </c>
      <c r="FS101" s="323">
        <f t="shared" si="109"/>
        <v>75.093999999999994</v>
      </c>
      <c r="FT101" s="323">
        <f t="shared" si="110"/>
        <v>40.398999999999987</v>
      </c>
      <c r="FU101" s="323">
        <f t="shared" si="111"/>
        <v>52.766999999999996</v>
      </c>
      <c r="FV101" s="323">
        <f t="shared" si="112"/>
        <v>19.932000000000002</v>
      </c>
      <c r="FW101" s="323">
        <f t="shared" si="113"/>
        <v>338.91799999999989</v>
      </c>
      <c r="FX101" s="323">
        <f t="shared" si="114"/>
        <v>0</v>
      </c>
      <c r="FY101" s="323">
        <f t="shared" si="115"/>
        <v>1248.9610000000002</v>
      </c>
      <c r="FZ101" s="368">
        <f t="shared" si="116"/>
        <v>0.2134405622591127</v>
      </c>
      <c r="GA101" s="247">
        <f t="shared" si="117"/>
        <v>1.2291231075396127E-2</v>
      </c>
      <c r="GB101" s="247">
        <f t="shared" si="118"/>
        <v>8.2631559059878582E-2</v>
      </c>
      <c r="GC101" s="247">
        <f t="shared" si="119"/>
        <v>4.7291986800010066E-2</v>
      </c>
      <c r="GD101" s="247">
        <f t="shared" si="120"/>
        <v>2.5442098899161134E-2</v>
      </c>
      <c r="GE101" s="247">
        <f t="shared" si="121"/>
        <v>3.3231100586946109E-2</v>
      </c>
      <c r="GF101" s="247">
        <f t="shared" si="122"/>
        <v>1.2552585837720735E-2</v>
      </c>
      <c r="GG101" s="247">
        <f t="shared" si="123"/>
        <v>0.1309472955030884</v>
      </c>
      <c r="GH101" s="105">
        <f t="shared" si="124"/>
        <v>0.10299774865785374</v>
      </c>
      <c r="GI101" s="105">
        <f t="shared" si="125"/>
        <v>2.7949464378489365E-2</v>
      </c>
      <c r="GJ101" s="327">
        <v>1104.729</v>
      </c>
      <c r="GK101" s="154">
        <f t="shared" si="151"/>
        <v>1.0000000000331966E-3</v>
      </c>
      <c r="GL101" s="154">
        <f t="shared" si="126"/>
        <v>481.55799999999999</v>
      </c>
      <c r="GM101" s="154">
        <f t="shared" si="127"/>
        <v>276.09100000000001</v>
      </c>
      <c r="GN101" s="154">
        <v>347.07900000000001</v>
      </c>
      <c r="GO101" s="154">
        <v>757.65</v>
      </c>
      <c r="GP101" s="154">
        <f t="shared" si="128"/>
        <v>757.65</v>
      </c>
      <c r="GQ101" s="294"/>
      <c r="GR101" s="154">
        <f t="shared" si="129"/>
        <v>1587.88</v>
      </c>
      <c r="GS101" s="154">
        <f>FoF_RoW!$AZ71/1000</f>
        <v>2560.4070000000002</v>
      </c>
      <c r="GT101" s="154">
        <f t="shared" si="15"/>
        <v>2078.8490000000002</v>
      </c>
      <c r="GU101" s="105">
        <f t="shared" si="130"/>
        <v>1.3091977983222913</v>
      </c>
      <c r="GV101" s="415">
        <f>FoF_RoW!$AE71/1000</f>
        <v>157.738</v>
      </c>
      <c r="GW101" s="415">
        <f t="shared" si="16"/>
        <v>-38.382000000000062</v>
      </c>
      <c r="GX101" s="154">
        <v>3618.63</v>
      </c>
      <c r="GY101" s="154">
        <v>2513.9009999999998</v>
      </c>
      <c r="GZ101" s="154">
        <f t="shared" si="131"/>
        <v>1.5831807189460159</v>
      </c>
      <c r="HA101" s="154">
        <f t="shared" si="190"/>
        <v>481.55799999999999</v>
      </c>
      <c r="HB101" s="154">
        <v>848.11300000000006</v>
      </c>
      <c r="HC101" s="154">
        <v>1104.729</v>
      </c>
      <c r="HD101" s="232">
        <f t="shared" si="132"/>
        <v>5.5557094994583972E-2</v>
      </c>
      <c r="HE101" s="504">
        <f t="shared" si="133"/>
        <v>4.6656548353779886E-2</v>
      </c>
      <c r="HF101" s="665"/>
      <c r="HV101" s="232">
        <f t="shared" si="152"/>
        <v>4.1346830423059741E-2</v>
      </c>
      <c r="HW101" s="310">
        <f t="shared" si="153"/>
        <v>0.17143591096890179</v>
      </c>
      <c r="HX101" s="310">
        <f t="shared" si="154"/>
        <v>7.0883315392539495E-3</v>
      </c>
      <c r="HY101" s="314">
        <f t="shared" si="155"/>
        <v>0</v>
      </c>
      <c r="HZ101" s="105">
        <f t="shared" si="156"/>
        <v>1.5677060705978085E-2</v>
      </c>
      <c r="IA101" s="105">
        <f t="shared" si="157"/>
        <v>7.2181354074576543E-2</v>
      </c>
      <c r="IB101" s="105">
        <f t="shared" si="158"/>
        <v>-1.148743190086593E-3</v>
      </c>
      <c r="IC101" s="105">
        <f t="shared" si="159"/>
        <v>0.20726820411962535</v>
      </c>
      <c r="ID101" s="105">
        <f t="shared" si="160"/>
        <v>2.9560546985624055E-2</v>
      </c>
      <c r="IE101" s="105">
        <f t="shared" si="161"/>
        <v>2.9810389915474834E-2</v>
      </c>
      <c r="IF101" s="105">
        <f t="shared" si="162"/>
        <v>5.96544857820114E-2</v>
      </c>
      <c r="IG101" s="105">
        <f t="shared" si="163"/>
        <v>3.5734535190345376E-2</v>
      </c>
      <c r="IH101" s="105">
        <f t="shared" si="164"/>
        <v>2.3919950591666024E-2</v>
      </c>
      <c r="II101" s="105"/>
      <c r="IJ101" s="105"/>
      <c r="IK101" s="849">
        <v>45877</v>
      </c>
      <c r="IL101" s="415">
        <v>5320</v>
      </c>
      <c r="IM101" s="415">
        <v>409579</v>
      </c>
      <c r="IN101" s="415">
        <v>19650</v>
      </c>
      <c r="IO101" s="415">
        <v>-8288</v>
      </c>
      <c r="IP101" s="108">
        <v>14680</v>
      </c>
      <c r="IQ101" s="108">
        <v>-19357</v>
      </c>
      <c r="IR101" s="108">
        <v>15576</v>
      </c>
      <c r="IS101" s="108">
        <v>-62794</v>
      </c>
      <c r="IT101" s="105"/>
      <c r="IU101" s="105"/>
      <c r="JK101" s="105">
        <f t="shared" si="195"/>
        <v>8.4060129526263058E-2</v>
      </c>
      <c r="JL101" s="105">
        <f t="shared" si="196"/>
        <v>0.11201013723848147</v>
      </c>
      <c r="JM101" s="667">
        <f t="shared" si="197"/>
        <v>0</v>
      </c>
    </row>
    <row r="102" spans="1:273">
      <c r="B102" s="451">
        <v>2010</v>
      </c>
      <c r="C102" s="43">
        <v>12739.5</v>
      </c>
      <c r="D102" s="5">
        <v>1746.4</v>
      </c>
      <c r="E102" s="460">
        <f t="shared" si="172"/>
        <v>0.13708544291377214</v>
      </c>
      <c r="F102" s="454">
        <f t="shared" si="173"/>
        <v>0</v>
      </c>
      <c r="G102" s="76">
        <f t="shared" si="174"/>
        <v>1351.2</v>
      </c>
      <c r="H102" s="23">
        <f t="shared" si="175"/>
        <v>0.10606381726127399</v>
      </c>
      <c r="I102" s="454">
        <v>395.2</v>
      </c>
      <c r="J102" s="460">
        <f t="shared" si="176"/>
        <v>3.1021625652498136E-2</v>
      </c>
      <c r="K102" s="6">
        <f t="shared" si="177"/>
        <v>0.22629409070087034</v>
      </c>
      <c r="L102" s="136">
        <v>584.6</v>
      </c>
      <c r="M102" s="136">
        <f t="shared" si="180"/>
        <v>189.40000000000003</v>
      </c>
      <c r="N102" s="460">
        <f t="shared" si="178"/>
        <v>4.58887711448644E-2</v>
      </c>
      <c r="O102" s="460">
        <f t="shared" si="181"/>
        <v>1.4867145492366266E-2</v>
      </c>
      <c r="P102" s="449">
        <f t="shared" si="182"/>
        <v>0.10845167201099405</v>
      </c>
      <c r="Q102" s="5">
        <f t="shared" si="179"/>
        <v>1746.4</v>
      </c>
      <c r="R102" s="169">
        <f t="shared" si="183"/>
        <v>189.40000000000003</v>
      </c>
      <c r="S102" s="454">
        <f t="shared" si="191"/>
        <v>0</v>
      </c>
      <c r="T102" s="76">
        <v>60.027000000000001</v>
      </c>
      <c r="U102" s="76">
        <v>133.917</v>
      </c>
      <c r="V102" s="76">
        <f t="shared" si="192"/>
        <v>-4.5439999999999543</v>
      </c>
      <c r="W102" s="23">
        <f t="shared" si="48"/>
        <v>0.70705913410770849</v>
      </c>
      <c r="X102" s="326">
        <v>157.584</v>
      </c>
      <c r="Y102" s="153">
        <f t="shared" si="49"/>
        <v>1.0000000000047748E-3</v>
      </c>
      <c r="Z102" s="79">
        <f t="shared" si="50"/>
        <v>133.916</v>
      </c>
      <c r="AA102" s="159">
        <v>66.549000000000007</v>
      </c>
      <c r="AB102" s="159">
        <v>67.367000000000004</v>
      </c>
      <c r="AC102" s="79">
        <f t="shared" si="51"/>
        <v>23.667000000000002</v>
      </c>
      <c r="AD102" s="79">
        <v>27.928000000000001</v>
      </c>
      <c r="AE102" s="79">
        <v>4.2610000000000001</v>
      </c>
      <c r="AF102" s="23">
        <f t="shared" si="52"/>
        <v>0.50305415334986114</v>
      </c>
      <c r="AG102" s="23">
        <f t="shared" si="53"/>
        <v>1.5991754466330738E-2</v>
      </c>
      <c r="AH102" s="450">
        <v>12.496</v>
      </c>
      <c r="AI102" s="153">
        <f t="shared" si="54"/>
        <v>145.08799999999999</v>
      </c>
      <c r="AJ102" s="153">
        <f t="shared" si="55"/>
        <v>0</v>
      </c>
      <c r="AK102" s="153">
        <v>126.6</v>
      </c>
      <c r="AL102" s="23">
        <f t="shared" si="56"/>
        <v>0.52566350710900478</v>
      </c>
      <c r="AM102" s="182">
        <v>145.08799999999999</v>
      </c>
      <c r="AN102" s="79">
        <v>1.0149999999999999</v>
      </c>
      <c r="AO102" s="79">
        <v>19.239000000000001</v>
      </c>
      <c r="AP102" s="79">
        <v>3.95</v>
      </c>
      <c r="AQ102" s="79">
        <v>11.837999999999999</v>
      </c>
      <c r="AR102" s="79">
        <v>1.0880000000000001</v>
      </c>
      <c r="AS102" s="79">
        <v>0.54100000000000004</v>
      </c>
      <c r="AT102" s="79">
        <v>0.13200000000000001</v>
      </c>
      <c r="AU102" s="79">
        <v>0.438</v>
      </c>
      <c r="AV102" s="79">
        <f t="shared" si="27"/>
        <v>37.568000000000005</v>
      </c>
      <c r="AW102" s="79">
        <f t="shared" si="28"/>
        <v>107.51999999999998</v>
      </c>
      <c r="AX102" s="23">
        <f t="shared" si="29"/>
        <v>6.9957543008381121E-3</v>
      </c>
      <c r="AY102" s="23">
        <f t="shared" si="30"/>
        <v>0.13260228275253641</v>
      </c>
      <c r="AZ102" s="23">
        <f t="shared" si="31"/>
        <v>2.7224856638729603E-2</v>
      </c>
      <c r="BA102" s="23">
        <f t="shared" si="32"/>
        <v>8.1591861490957207E-2</v>
      </c>
      <c r="BB102" s="23">
        <f t="shared" si="33"/>
        <v>7.4988972209969135E-3</v>
      </c>
      <c r="BC102" s="23">
        <f t="shared" si="34"/>
        <v>3.7287715041905605E-3</v>
      </c>
      <c r="BD102" s="23">
        <f t="shared" si="35"/>
        <v>9.0979267754741962E-4</v>
      </c>
      <c r="BE102" s="23">
        <f t="shared" si="36"/>
        <v>3.0188575209528011E-3</v>
      </c>
      <c r="BF102" s="23">
        <f t="shared" si="37"/>
        <v>0.25893250992501105</v>
      </c>
      <c r="BG102" s="153">
        <v>87.585999999999999</v>
      </c>
      <c r="BH102" s="23">
        <f t="shared" si="194"/>
        <v>0.60367501102779009</v>
      </c>
      <c r="BI102" s="23">
        <f>'Assets(BoP)'!EF102</f>
        <v>0.17542414482585217</v>
      </c>
      <c r="BJ102" s="182">
        <v>54.871000000000002</v>
      </c>
      <c r="BK102" s="79"/>
      <c r="BL102" s="79"/>
      <c r="BM102" s="79"/>
      <c r="BN102" s="79"/>
      <c r="BO102" s="79"/>
      <c r="BP102" s="79"/>
      <c r="BQ102" s="28">
        <f t="shared" si="193"/>
        <v>0</v>
      </c>
      <c r="BR102" s="23">
        <f t="shared" si="58"/>
        <v>0</v>
      </c>
      <c r="BS102" s="79"/>
      <c r="BT102" s="23">
        <f t="shared" si="59"/>
        <v>0</v>
      </c>
      <c r="BU102" s="182">
        <f t="shared" si="60"/>
        <v>121.42099999999999</v>
      </c>
      <c r="BV102" s="136">
        <f t="shared" si="61"/>
        <v>9.9999999999056399E-4</v>
      </c>
      <c r="BW102" s="153">
        <f t="shared" si="62"/>
        <v>0.5239061965971481</v>
      </c>
      <c r="BX102" s="153">
        <f t="shared" si="63"/>
        <v>16.643929130226287</v>
      </c>
      <c r="BY102" s="153">
        <f t="shared" si="64"/>
        <v>0.93185774842068092</v>
      </c>
      <c r="BZ102" s="153">
        <f t="shared" si="65"/>
        <v>6.3581225775409012</v>
      </c>
      <c r="CA102" s="153">
        <f t="shared" si="66"/>
        <v>0.7083220798631068</v>
      </c>
      <c r="CB102" s="153">
        <f t="shared" si="67"/>
        <v>0.34084099200080203</v>
      </c>
      <c r="CC102" s="153">
        <f t="shared" si="68"/>
        <v>25.506978724648928</v>
      </c>
      <c r="CD102" s="153">
        <f t="shared" si="69"/>
        <v>94.635539332267143</v>
      </c>
      <c r="CE102" s="23">
        <f t="shared" si="70"/>
        <v>4.3147906589234824E-3</v>
      </c>
      <c r="CF102" s="23">
        <f t="shared" si="71"/>
        <v>0.13707619876484536</v>
      </c>
      <c r="CG102" s="23">
        <f t="shared" si="72"/>
        <v>7.6746011680078486E-3</v>
      </c>
      <c r="CH102" s="23">
        <f t="shared" si="73"/>
        <v>5.2364274528630975E-2</v>
      </c>
      <c r="CI102" s="23">
        <f t="shared" si="74"/>
        <v>5.8336044000881796E-3</v>
      </c>
      <c r="CJ102" s="23">
        <f t="shared" si="75"/>
        <v>2.807100847471212E-3</v>
      </c>
      <c r="CK102" s="23">
        <f t="shared" si="76"/>
        <v>0.21007057036796706</v>
      </c>
      <c r="CL102" s="23">
        <f t="shared" si="77"/>
        <v>0.78992942963203294</v>
      </c>
      <c r="CM102" s="23">
        <f t="shared" si="78"/>
        <v>2.2782504596709208E-2</v>
      </c>
      <c r="CN102" s="23">
        <f t="shared" si="79"/>
        <v>8.5669167414284847E-2</v>
      </c>
      <c r="CO102" s="23">
        <f t="shared" si="184"/>
        <v>3.1231497333249316E-3</v>
      </c>
      <c r="CP102" s="448">
        <f t="shared" si="185"/>
        <v>0</v>
      </c>
      <c r="CQ102" s="448">
        <f t="shared" si="186"/>
        <v>3.1231497333249316E-3</v>
      </c>
      <c r="CR102" s="23">
        <f t="shared" si="187"/>
        <v>1.1743995759041333E-2</v>
      </c>
      <c r="CS102" s="326">
        <v>23.667000000000002</v>
      </c>
      <c r="CT102" s="153">
        <v>4.2610000000000001</v>
      </c>
      <c r="CU102" s="153">
        <v>27.928000000000001</v>
      </c>
      <c r="CV102" s="384">
        <f t="shared" si="134"/>
        <v>0.4910938034028518</v>
      </c>
      <c r="CW102" s="384">
        <f t="shared" si="135"/>
        <v>2.5950708697737146</v>
      </c>
      <c r="CX102" s="384">
        <f t="shared" si="136"/>
        <v>3.0181422515793193</v>
      </c>
      <c r="CY102" s="384">
        <f t="shared" si="137"/>
        <v>5.479877422459098</v>
      </c>
      <c r="CZ102" s="384">
        <f t="shared" si="138"/>
        <v>0.37967792013689328</v>
      </c>
      <c r="DA102" s="153">
        <f t="shared" si="138"/>
        <v>9.7159007999197952E-2</v>
      </c>
      <c r="DB102" s="153">
        <f t="shared" si="85"/>
        <v>12.061021275351074</v>
      </c>
      <c r="DC102" s="153">
        <f t="shared" si="189"/>
        <v>12.884460667732844</v>
      </c>
      <c r="DD102" s="153">
        <f t="shared" si="87"/>
        <v>-1.2784819430839161</v>
      </c>
      <c r="DE102" s="23">
        <f t="shared" si="88"/>
        <v>0.50961343961427608</v>
      </c>
      <c r="DF102" s="149">
        <v>2.7029999999999998</v>
      </c>
      <c r="DG102" s="153">
        <v>6.7270000000000003</v>
      </c>
      <c r="DH102" s="153">
        <v>-12.504</v>
      </c>
      <c r="DI102" s="153">
        <v>8.7249999999999996</v>
      </c>
      <c r="DJ102" s="153">
        <v>26.413</v>
      </c>
      <c r="DK102" s="153">
        <v>2.5049999999999999</v>
      </c>
      <c r="DL102" s="153">
        <v>0.80900000000000005</v>
      </c>
      <c r="DM102" s="153">
        <f t="shared" si="38"/>
        <v>32.674999999999997</v>
      </c>
      <c r="DN102" s="153">
        <f t="shared" si="39"/>
        <v>-29.971999999999998</v>
      </c>
      <c r="DO102" s="258">
        <f t="shared" si="140"/>
        <v>12.982000000000028</v>
      </c>
      <c r="DP102" s="5">
        <v>2280.0439999999999</v>
      </c>
      <c r="DQ102" s="76">
        <v>24.097000000000001</v>
      </c>
      <c r="DR102" s="76">
        <v>234.40799999999999</v>
      </c>
      <c r="DS102" s="76">
        <v>170.309</v>
      </c>
      <c r="DT102" s="76">
        <v>180.642</v>
      </c>
      <c r="DU102" s="76">
        <v>44.186999999999998</v>
      </c>
      <c r="DV102" s="76">
        <v>21.516999999999999</v>
      </c>
      <c r="DW102" s="76">
        <f t="shared" si="40"/>
        <v>675.16</v>
      </c>
      <c r="DX102" s="76">
        <f t="shared" si="41"/>
        <v>1604.884</v>
      </c>
      <c r="DY102" s="23">
        <f t="shared" si="141"/>
        <v>0.29611709247716272</v>
      </c>
      <c r="DZ102" s="23">
        <f t="shared" si="42"/>
        <v>1.0568655692609442E-2</v>
      </c>
      <c r="EA102" s="23">
        <f t="shared" si="43"/>
        <v>0.10280854229128912</v>
      </c>
      <c r="EB102" s="23">
        <f t="shared" si="44"/>
        <v>7.4695488332681304E-2</v>
      </c>
      <c r="EC102" s="23">
        <f t="shared" si="45"/>
        <v>7.9227418418241061E-2</v>
      </c>
      <c r="ED102" s="23">
        <f t="shared" si="46"/>
        <v>1.9379889160033754E-2</v>
      </c>
      <c r="EE102" s="23">
        <f t="shared" si="142"/>
        <v>9.4370985823080608E-3</v>
      </c>
      <c r="EF102" s="149">
        <v>494.54</v>
      </c>
      <c r="EG102" s="153">
        <f t="shared" ref="EG102:EG108" si="207">EQ102-FA102</f>
        <v>8.1969999999999992</v>
      </c>
      <c r="EH102" s="153">
        <f t="shared" ref="EH102:EH108" si="208">ER102-FB102</f>
        <v>62.507000000000005</v>
      </c>
      <c r="EI102" s="153">
        <f t="shared" ref="EI102:EI108" si="209">ES102-FC102</f>
        <v>75.947000000000003</v>
      </c>
      <c r="EJ102" s="153">
        <f t="shared" ref="EJ102:EJ108" si="210">ET102-FD102</f>
        <v>126.682</v>
      </c>
      <c r="EK102" s="153">
        <f t="shared" ref="EK102:EK108" si="211">EU102-FE102</f>
        <v>-24.57</v>
      </c>
      <c r="EL102" s="153">
        <f t="shared" ref="EL102:EL108" si="212">EV102-FF102</f>
        <v>1.6329999999999998</v>
      </c>
      <c r="EM102" s="330">
        <f t="shared" ref="EM102:EM108" si="213">EW102-FG102</f>
        <v>250.39599999999999</v>
      </c>
      <c r="EN102" s="330">
        <f t="shared" si="200"/>
        <v>244.14400000000009</v>
      </c>
      <c r="EO102" s="23">
        <f t="shared" si="91"/>
        <v>0.50632102559954706</v>
      </c>
      <c r="EP102" s="258">
        <v>773.21400000000006</v>
      </c>
      <c r="EQ102" s="153">
        <v>15.87</v>
      </c>
      <c r="ER102" s="153">
        <v>75.78</v>
      </c>
      <c r="ES102" s="153">
        <v>86.766000000000005</v>
      </c>
      <c r="ET102" s="153">
        <v>162.25700000000001</v>
      </c>
      <c r="EU102" s="153">
        <v>25.283999999999999</v>
      </c>
      <c r="EV102" s="153">
        <v>3.1349999999999998</v>
      </c>
      <c r="EW102" s="153">
        <f t="shared" si="201"/>
        <v>369.09199999999998</v>
      </c>
      <c r="EX102" s="330">
        <f t="shared" si="202"/>
        <v>404.12200000000007</v>
      </c>
      <c r="EY102" s="23">
        <f t="shared" si="203"/>
        <v>0.47734779763429008</v>
      </c>
      <c r="EZ102" s="258">
        <v>278.67399999999998</v>
      </c>
      <c r="FA102" s="153">
        <v>7.673</v>
      </c>
      <c r="FB102" s="153">
        <v>13.273</v>
      </c>
      <c r="FC102" s="153">
        <v>10.819000000000001</v>
      </c>
      <c r="FD102" s="153">
        <v>35.575000000000003</v>
      </c>
      <c r="FE102" s="153">
        <v>49.853999999999999</v>
      </c>
      <c r="FF102" s="153">
        <v>1.502</v>
      </c>
      <c r="FG102" s="153">
        <f t="shared" si="204"/>
        <v>118.696</v>
      </c>
      <c r="FH102" s="330">
        <f t="shared" si="205"/>
        <v>159.97799999999998</v>
      </c>
      <c r="FI102" s="23">
        <f t="shared" si="206"/>
        <v>0.42593137501166239</v>
      </c>
      <c r="FJ102" s="23"/>
      <c r="FK102" s="448">
        <f t="shared" si="104"/>
        <v>1.0702534348077261E-2</v>
      </c>
      <c r="FL102" s="448">
        <f t="shared" si="105"/>
        <v>3.6119366695377991E-2</v>
      </c>
      <c r="FM102" s="23"/>
      <c r="FN102" s="23"/>
      <c r="FO102" s="326">
        <v>1785.5039999999999</v>
      </c>
      <c r="FP102" s="483">
        <f t="shared" si="106"/>
        <v>0</v>
      </c>
      <c r="FQ102" s="153">
        <f t="shared" si="107"/>
        <v>15.900000000000002</v>
      </c>
      <c r="FR102" s="153">
        <f t="shared" si="108"/>
        <v>171.90099999999998</v>
      </c>
      <c r="FS102" s="153">
        <f t="shared" si="109"/>
        <v>94.361999999999995</v>
      </c>
      <c r="FT102" s="153">
        <f t="shared" si="110"/>
        <v>53.959999999999994</v>
      </c>
      <c r="FU102" s="153">
        <f t="shared" si="111"/>
        <v>68.757000000000005</v>
      </c>
      <c r="FV102" s="153">
        <f t="shared" si="112"/>
        <v>19.884</v>
      </c>
      <c r="FW102" s="153">
        <f t="shared" si="113"/>
        <v>424.76400000000001</v>
      </c>
      <c r="FX102" s="153">
        <f t="shared" si="114"/>
        <v>0</v>
      </c>
      <c r="FY102" s="153">
        <f t="shared" si="115"/>
        <v>1360.74</v>
      </c>
      <c r="FZ102" s="448">
        <f t="shared" si="116"/>
        <v>0.23789585461583959</v>
      </c>
      <c r="GA102" s="23">
        <f t="shared" si="117"/>
        <v>8.9050486585300296E-3</v>
      </c>
      <c r="GB102" s="23">
        <f t="shared" si="118"/>
        <v>9.6275897449683664E-2</v>
      </c>
      <c r="GC102" s="23">
        <f t="shared" si="119"/>
        <v>5.2848943491585566E-2</v>
      </c>
      <c r="GD102" s="23">
        <f t="shared" si="120"/>
        <v>3.0221158843665427E-2</v>
      </c>
      <c r="GE102" s="23">
        <f t="shared" si="121"/>
        <v>3.8508454755632027E-2</v>
      </c>
      <c r="GF102" s="23">
        <f t="shared" si="122"/>
        <v>1.1136351416742836E-2</v>
      </c>
      <c r="GG102" s="23">
        <f t="shared" si="123"/>
        <v>0.14015495113622983</v>
      </c>
      <c r="GH102" s="23">
        <f t="shared" si="124"/>
        <v>0.10681266925703521</v>
      </c>
      <c r="GI102" s="23">
        <f t="shared" si="125"/>
        <v>3.3342281879194628E-2</v>
      </c>
      <c r="GJ102" s="326">
        <v>1171.3440000000001</v>
      </c>
      <c r="GK102" s="153">
        <f t="shared" si="151"/>
        <v>0</v>
      </c>
      <c r="GL102" s="153">
        <f t="shared" si="126"/>
        <v>494.54</v>
      </c>
      <c r="GM102" s="153">
        <f t="shared" si="127"/>
        <v>278.67399999999998</v>
      </c>
      <c r="GN102" s="153">
        <v>398.13</v>
      </c>
      <c r="GO102" s="153">
        <v>773.21400000000006</v>
      </c>
      <c r="GP102" s="153">
        <f t="shared" si="128"/>
        <v>773.21400000000006</v>
      </c>
      <c r="GQ102" s="295"/>
      <c r="GR102" s="153">
        <f t="shared" si="129"/>
        <v>1785.5039999999999</v>
      </c>
      <c r="GS102" s="153">
        <f>FoF_RoW!$AZ72/1000</f>
        <v>2791.3580000000002</v>
      </c>
      <c r="GT102" s="153">
        <f t="shared" ref="GT102:GT108" si="214">GS102-GL102</f>
        <v>2296.8180000000002</v>
      </c>
      <c r="GU102" s="23">
        <f t="shared" si="130"/>
        <v>1.2863695628797249</v>
      </c>
      <c r="GV102" s="330">
        <f>FoF_RoW!$AE72/1000</f>
        <v>210.54499999999999</v>
      </c>
      <c r="GW102" s="330">
        <f t="shared" si="16"/>
        <v>230.95100000000002</v>
      </c>
      <c r="GX102" s="153">
        <v>4099.0969999999998</v>
      </c>
      <c r="GY102" s="153">
        <v>2927.7530000000002</v>
      </c>
      <c r="GZ102" s="153">
        <f t="shared" si="131"/>
        <v>1.6397347751671238</v>
      </c>
      <c r="HA102" s="153">
        <f t="shared" si="190"/>
        <v>494.54</v>
      </c>
      <c r="HB102" s="153">
        <v>865.54100000000005</v>
      </c>
      <c r="HC102" s="153">
        <v>1171.3440000000001</v>
      </c>
      <c r="HD102" s="186">
        <f t="shared" si="132"/>
        <v>7.5001792211050772E-2</v>
      </c>
      <c r="HE102" s="503">
        <f t="shared" si="133"/>
        <v>6.8003208057780887E-2</v>
      </c>
      <c r="HF102" s="663"/>
      <c r="HV102" s="186">
        <f t="shared" si="152"/>
        <v>5.7797815822346339E-2</v>
      </c>
      <c r="HW102" s="308">
        <f t="shared" si="153"/>
        <v>0.18029106322854116</v>
      </c>
      <c r="HX102" s="308">
        <f t="shared" si="154"/>
        <v>1.0420429666898221E-2</v>
      </c>
      <c r="HY102" s="313">
        <f t="shared" si="155"/>
        <v>0</v>
      </c>
      <c r="HZ102" s="23">
        <f t="shared" si="156"/>
        <v>2.8004953749192228E-2</v>
      </c>
      <c r="IA102" s="23">
        <f t="shared" si="157"/>
        <v>8.2291675276031415E-2</v>
      </c>
      <c r="IB102" s="23">
        <f t="shared" si="158"/>
        <v>8.3932649455727756E-3</v>
      </c>
      <c r="IC102" s="23">
        <f t="shared" si="159"/>
        <v>0.10014641432292327</v>
      </c>
      <c r="ID102" s="23">
        <f t="shared" si="160"/>
        <v>8.7557289648817517E-3</v>
      </c>
      <c r="IE102" s="23">
        <f t="shared" si="161"/>
        <v>1.4568891704779435E-2</v>
      </c>
      <c r="IF102" s="23">
        <f t="shared" si="162"/>
        <v>5.1037543951447197E-2</v>
      </c>
      <c r="IG102" s="23">
        <f t="shared" si="163"/>
        <v>5.9109537199968747E-2</v>
      </c>
      <c r="IH102" s="23">
        <f t="shared" si="164"/>
        <v>-8.0719932485215501E-3</v>
      </c>
      <c r="II102" s="23"/>
      <c r="IJ102" s="23"/>
      <c r="IK102" s="848">
        <v>110161</v>
      </c>
      <c r="IL102" s="332">
        <v>18481</v>
      </c>
      <c r="IM102" s="330">
        <v>415550</v>
      </c>
      <c r="IN102" s="332">
        <v>20327</v>
      </c>
      <c r="IO102" s="330">
        <v>-9059</v>
      </c>
      <c r="IP102" s="76">
        <v>30023</v>
      </c>
      <c r="IQ102" s="76">
        <v>96956</v>
      </c>
      <c r="IR102" s="76">
        <v>45114</v>
      </c>
      <c r="IS102" s="76">
        <v>-32954</v>
      </c>
      <c r="IT102" s="23"/>
      <c r="IU102" s="23"/>
      <c r="JK102" s="23">
        <f t="shared" si="195"/>
        <v>0.19568684530399572</v>
      </c>
      <c r="JL102" s="23">
        <f t="shared" si="196"/>
        <v>0.26509685958368429</v>
      </c>
      <c r="JM102" s="655">
        <f t="shared" si="197"/>
        <v>0</v>
      </c>
    </row>
    <row r="103" spans="1:273">
      <c r="B103" s="451">
        <v>2011</v>
      </c>
      <c r="C103" s="43">
        <v>13352.3</v>
      </c>
      <c r="D103" s="5">
        <v>1816.6</v>
      </c>
      <c r="E103" s="460">
        <f t="shared" si="172"/>
        <v>0.13605146678849336</v>
      </c>
      <c r="F103" s="454">
        <f t="shared" si="173"/>
        <v>0</v>
      </c>
      <c r="G103" s="76">
        <f t="shared" si="174"/>
        <v>1394.6999999999998</v>
      </c>
      <c r="H103" s="23">
        <f t="shared" si="175"/>
        <v>0.10445391430689843</v>
      </c>
      <c r="I103" s="454">
        <v>421.9</v>
      </c>
      <c r="J103" s="460">
        <f t="shared" si="176"/>
        <v>3.1597552481594932E-2</v>
      </c>
      <c r="K103" s="6">
        <f t="shared" si="177"/>
        <v>0.23224705493779588</v>
      </c>
      <c r="L103" s="136">
        <v>644.29999999999995</v>
      </c>
      <c r="M103" s="136">
        <f t="shared" si="180"/>
        <v>222.39999999999998</v>
      </c>
      <c r="N103" s="460">
        <f t="shared" si="178"/>
        <v>4.8253858885735045E-2</v>
      </c>
      <c r="O103" s="460">
        <f t="shared" si="181"/>
        <v>1.6656306404140109E-2</v>
      </c>
      <c r="P103" s="449">
        <f t="shared" si="182"/>
        <v>0.12242651106462622</v>
      </c>
      <c r="Q103" s="5">
        <f t="shared" si="179"/>
        <v>1816.6</v>
      </c>
      <c r="R103" s="169">
        <f t="shared" si="183"/>
        <v>222.39999999999998</v>
      </c>
      <c r="S103" s="454">
        <f t="shared" si="191"/>
        <v>0</v>
      </c>
      <c r="T103" s="76">
        <v>74.534000000000006</v>
      </c>
      <c r="U103" s="76">
        <v>153.82499999999999</v>
      </c>
      <c r="V103" s="76">
        <f t="shared" si="192"/>
        <v>-5.9590000000000032</v>
      </c>
      <c r="W103" s="23">
        <f t="shared" si="48"/>
        <v>0.69165917266187049</v>
      </c>
      <c r="X103" s="326">
        <v>178.262</v>
      </c>
      <c r="Y103" s="153">
        <f t="shared" si="49"/>
        <v>0</v>
      </c>
      <c r="Z103" s="79">
        <f t="shared" si="50"/>
        <v>153.82499999999999</v>
      </c>
      <c r="AA103" s="159">
        <v>69.149000000000001</v>
      </c>
      <c r="AB103" s="159">
        <v>84.676000000000002</v>
      </c>
      <c r="AC103" s="79">
        <f t="shared" si="51"/>
        <v>24.437000000000001</v>
      </c>
      <c r="AD103" s="79">
        <v>28.806000000000001</v>
      </c>
      <c r="AE103" s="79">
        <v>4.3689999999999998</v>
      </c>
      <c r="AF103" s="23">
        <f t="shared" si="52"/>
        <v>0.55046968958231757</v>
      </c>
      <c r="AG103" s="23">
        <f t="shared" si="53"/>
        <v>1.5857095673235715E-2</v>
      </c>
      <c r="AH103" s="450">
        <v>12.292999999999999</v>
      </c>
      <c r="AI103" s="153">
        <f t="shared" si="54"/>
        <v>165.96899999999999</v>
      </c>
      <c r="AJ103" s="153">
        <f t="shared" si="55"/>
        <v>1.0000000000047748E-3</v>
      </c>
      <c r="AK103" s="153">
        <v>143.69999999999999</v>
      </c>
      <c r="AL103" s="23">
        <f t="shared" si="56"/>
        <v>0.48120389700765487</v>
      </c>
      <c r="AM103" s="182">
        <v>165.96799999999999</v>
      </c>
      <c r="AN103" s="79">
        <v>0.90500000000000003</v>
      </c>
      <c r="AO103" s="79">
        <v>21.669</v>
      </c>
      <c r="AP103" s="79">
        <v>5.9409999999999998</v>
      </c>
      <c r="AQ103" s="79">
        <v>16.408999999999999</v>
      </c>
      <c r="AR103" s="79">
        <v>1.232</v>
      </c>
      <c r="AS103" s="79">
        <v>-0.2</v>
      </c>
      <c r="AT103" s="79">
        <v>1E-3</v>
      </c>
      <c r="AU103" s="79">
        <v>1.431</v>
      </c>
      <c r="AV103" s="79">
        <f t="shared" si="27"/>
        <v>47.586999999999996</v>
      </c>
      <c r="AW103" s="79">
        <f t="shared" si="28"/>
        <v>118.381</v>
      </c>
      <c r="AX103" s="23">
        <f t="shared" si="29"/>
        <v>5.4528583823387645E-3</v>
      </c>
      <c r="AY103" s="23">
        <f t="shared" si="30"/>
        <v>0.13056131302419743</v>
      </c>
      <c r="AZ103" s="23">
        <f t="shared" si="31"/>
        <v>3.579605707124265E-2</v>
      </c>
      <c r="BA103" s="23">
        <f t="shared" si="32"/>
        <v>9.8868456569941199E-2</v>
      </c>
      <c r="BB103" s="23">
        <f t="shared" si="33"/>
        <v>7.423117709437964E-3</v>
      </c>
      <c r="BC103" s="23">
        <f t="shared" si="34"/>
        <v>-1.2050515762074619E-3</v>
      </c>
      <c r="BD103" s="23">
        <f t="shared" si="35"/>
        <v>6.025257881037309E-6</v>
      </c>
      <c r="BE103" s="23">
        <f t="shared" si="36"/>
        <v>8.6221440277643897E-3</v>
      </c>
      <c r="BF103" s="23">
        <f t="shared" si="37"/>
        <v>0.28672394678492241</v>
      </c>
      <c r="BG103" s="153">
        <v>91.388999999999996</v>
      </c>
      <c r="BH103" s="23">
        <f t="shared" si="194"/>
        <v>0.55064229249011853</v>
      </c>
      <c r="BI103" s="23">
        <f>'Assets(BoP)'!EF103</f>
        <v>0.18351311254141242</v>
      </c>
      <c r="BJ103" s="182">
        <v>72.382999999999996</v>
      </c>
      <c r="BK103" s="79"/>
      <c r="BL103" s="79"/>
      <c r="BM103" s="79"/>
      <c r="BN103" s="79"/>
      <c r="BO103" s="79"/>
      <c r="BP103" s="79"/>
      <c r="BQ103" s="28">
        <f t="shared" si="193"/>
        <v>0</v>
      </c>
      <c r="BR103" s="23">
        <f t="shared" si="58"/>
        <v>0</v>
      </c>
      <c r="BS103" s="79"/>
      <c r="BT103" s="23">
        <f t="shared" si="59"/>
        <v>0</v>
      </c>
      <c r="BU103" s="182">
        <f t="shared" si="60"/>
        <v>141.53099999999998</v>
      </c>
      <c r="BV103" s="136">
        <f t="shared" si="61"/>
        <v>0</v>
      </c>
      <c r="BW103" s="153">
        <f t="shared" si="62"/>
        <v>0.46986769284381591</v>
      </c>
      <c r="BX103" s="153">
        <f t="shared" si="63"/>
        <v>19.471809279544406</v>
      </c>
      <c r="BY103" s="153">
        <f t="shared" si="64"/>
        <v>3.4269628503676413</v>
      </c>
      <c r="BZ103" s="153">
        <f t="shared" si="65"/>
        <v>10.545504104737969</v>
      </c>
      <c r="CA103" s="153">
        <f t="shared" si="66"/>
        <v>0.88638723481247528</v>
      </c>
      <c r="CB103" s="153">
        <f t="shared" si="67"/>
        <v>1.2783057735982077</v>
      </c>
      <c r="CC103" s="153">
        <f t="shared" si="68"/>
        <v>36.078836935904512</v>
      </c>
      <c r="CD103" s="153">
        <f t="shared" si="69"/>
        <v>103.91853051158364</v>
      </c>
      <c r="CE103" s="23">
        <f t="shared" si="70"/>
        <v>3.3198924111595054E-3</v>
      </c>
      <c r="CF103" s="23">
        <f t="shared" si="71"/>
        <v>0.1375798184111213</v>
      </c>
      <c r="CG103" s="23">
        <f t="shared" si="72"/>
        <v>2.4213514003063936E-2</v>
      </c>
      <c r="CH103" s="23">
        <f t="shared" si="73"/>
        <v>7.4510206984603866E-2</v>
      </c>
      <c r="CI103" s="23">
        <f t="shared" si="74"/>
        <v>6.2628486678711764E-3</v>
      </c>
      <c r="CJ103" s="23">
        <f t="shared" si="75"/>
        <v>9.0319843256827688E-3</v>
      </c>
      <c r="CK103" s="23">
        <f t="shared" si="76"/>
        <v>0.25491826480350255</v>
      </c>
      <c r="CL103" s="23">
        <f t="shared" si="77"/>
        <v>0.74508173519649745</v>
      </c>
      <c r="CM103" s="23">
        <f t="shared" si="78"/>
        <v>3.1208753766541322E-2</v>
      </c>
      <c r="CN103" s="23">
        <f t="shared" si="79"/>
        <v>9.1217757298084901E-2</v>
      </c>
      <c r="CO103" s="23">
        <f t="shared" si="184"/>
        <v>4.2459967265788641E-3</v>
      </c>
      <c r="CP103" s="448">
        <f t="shared" si="185"/>
        <v>0</v>
      </c>
      <c r="CQ103" s="448">
        <f t="shared" si="186"/>
        <v>4.2459967265788641E-3</v>
      </c>
      <c r="CR103" s="23">
        <f t="shared" si="187"/>
        <v>1.2410309677561246E-2</v>
      </c>
      <c r="CS103" s="326">
        <v>24.437000000000001</v>
      </c>
      <c r="CT103" s="153">
        <v>4.3689999999999998</v>
      </c>
      <c r="CU103" s="153">
        <v>28.806000000000001</v>
      </c>
      <c r="CV103" s="384">
        <f t="shared" si="134"/>
        <v>0.43513230715618412</v>
      </c>
      <c r="CW103" s="384">
        <f t="shared" si="135"/>
        <v>2.1971907204555947</v>
      </c>
      <c r="CX103" s="384">
        <f t="shared" si="136"/>
        <v>2.5140371496323586</v>
      </c>
      <c r="CY103" s="384">
        <f t="shared" si="137"/>
        <v>5.8634958952620311</v>
      </c>
      <c r="CZ103" s="384">
        <f t="shared" si="138"/>
        <v>0.34561276518752471</v>
      </c>
      <c r="DA103" s="153">
        <f t="shared" si="138"/>
        <v>0.15269422640179239</v>
      </c>
      <c r="DB103" s="153">
        <f t="shared" si="85"/>
        <v>11.508163064095484</v>
      </c>
      <c r="DC103" s="153">
        <f t="shared" si="189"/>
        <v>14.462469488416355</v>
      </c>
      <c r="DD103" s="153">
        <f t="shared" si="87"/>
        <v>-1.5336325525118379</v>
      </c>
      <c r="DE103" s="23">
        <f t="shared" si="88"/>
        <v>0.47093190915805883</v>
      </c>
      <c r="DF103" s="149">
        <v>51.017000000000003</v>
      </c>
      <c r="DG103" s="153">
        <v>-1.974</v>
      </c>
      <c r="DH103" s="153">
        <v>-9.5730000000000004</v>
      </c>
      <c r="DI103" s="153">
        <v>7.9530000000000003</v>
      </c>
      <c r="DJ103" s="153">
        <v>11.465999999999999</v>
      </c>
      <c r="DK103" s="153">
        <v>-1.2949999999999999</v>
      </c>
      <c r="DL103" s="153">
        <v>1.1200000000000001</v>
      </c>
      <c r="DM103" s="153">
        <f t="shared" si="38"/>
        <v>7.6969999999999992</v>
      </c>
      <c r="DN103" s="153">
        <f t="shared" si="39"/>
        <v>43.320000000000007</v>
      </c>
      <c r="DO103" s="258">
        <f t="shared" si="140"/>
        <v>35.824000000000012</v>
      </c>
      <c r="DP103" s="5">
        <v>2433.848</v>
      </c>
      <c r="DQ103" s="76">
        <v>22.448</v>
      </c>
      <c r="DR103" s="76">
        <v>222.465</v>
      </c>
      <c r="DS103" s="76">
        <v>172.19499999999999</v>
      </c>
      <c r="DT103" s="76">
        <v>198.05</v>
      </c>
      <c r="DU103" s="76">
        <v>53.527000000000001</v>
      </c>
      <c r="DV103" s="76">
        <v>16.818999999999999</v>
      </c>
      <c r="DW103" s="76">
        <f t="shared" si="40"/>
        <v>685.50400000000002</v>
      </c>
      <c r="DX103" s="76">
        <f t="shared" si="41"/>
        <v>1748.3440000000001</v>
      </c>
      <c r="DY103" s="23">
        <f t="shared" si="141"/>
        <v>0.2816544007678376</v>
      </c>
      <c r="DZ103" s="23">
        <f t="shared" si="42"/>
        <v>9.2232546979104692E-3</v>
      </c>
      <c r="EA103" s="23">
        <f t="shared" si="43"/>
        <v>9.1404639895342685E-2</v>
      </c>
      <c r="EB103" s="23">
        <f t="shared" si="44"/>
        <v>7.0750104361488472E-2</v>
      </c>
      <c r="EC103" s="23">
        <f t="shared" si="45"/>
        <v>8.1373199969759821E-2</v>
      </c>
      <c r="ED103" s="23">
        <f t="shared" si="46"/>
        <v>2.1992745643935038E-2</v>
      </c>
      <c r="EE103" s="23">
        <f t="shared" si="142"/>
        <v>6.9104561994011125E-3</v>
      </c>
      <c r="EF103" s="149">
        <v>530.36400000000003</v>
      </c>
      <c r="EG103" s="153">
        <f t="shared" si="207"/>
        <v>6.3599999999999994</v>
      </c>
      <c r="EH103" s="153">
        <f t="shared" si="208"/>
        <v>51.853000000000009</v>
      </c>
      <c r="EI103" s="153">
        <f t="shared" si="209"/>
        <v>67.218000000000004</v>
      </c>
      <c r="EJ103" s="153">
        <f t="shared" si="210"/>
        <v>145.352</v>
      </c>
      <c r="EK103" s="153">
        <f t="shared" si="211"/>
        <v>-30.802</v>
      </c>
      <c r="EL103" s="153">
        <f t="shared" si="212"/>
        <v>2.75</v>
      </c>
      <c r="EM103" s="330">
        <f t="shared" si="213"/>
        <v>242.73099999999994</v>
      </c>
      <c r="EN103" s="330">
        <f t="shared" si="200"/>
        <v>287.63300000000004</v>
      </c>
      <c r="EO103" s="23">
        <f t="shared" si="91"/>
        <v>0.45766869546198446</v>
      </c>
      <c r="EP103" s="258">
        <v>806.05399999999997</v>
      </c>
      <c r="EQ103" s="153">
        <v>14.526</v>
      </c>
      <c r="ER103" s="153">
        <v>65.373000000000005</v>
      </c>
      <c r="ES103" s="153">
        <v>71.613</v>
      </c>
      <c r="ET103" s="153">
        <v>171.63800000000001</v>
      </c>
      <c r="EU103" s="153">
        <v>26.024999999999999</v>
      </c>
      <c r="EV103" s="153">
        <v>4.8879999999999999</v>
      </c>
      <c r="EW103" s="153">
        <f t="shared" si="201"/>
        <v>354.06299999999993</v>
      </c>
      <c r="EX103" s="330">
        <f t="shared" si="202"/>
        <v>451.99100000000004</v>
      </c>
      <c r="EY103" s="23">
        <f t="shared" si="203"/>
        <v>0.4392546901324228</v>
      </c>
      <c r="EZ103" s="258">
        <v>275.69</v>
      </c>
      <c r="FA103" s="153">
        <v>8.1660000000000004</v>
      </c>
      <c r="FB103" s="153">
        <v>13.52</v>
      </c>
      <c r="FC103" s="153">
        <v>4.3949999999999996</v>
      </c>
      <c r="FD103" s="153">
        <v>26.286000000000001</v>
      </c>
      <c r="FE103" s="153">
        <v>56.826999999999998</v>
      </c>
      <c r="FF103" s="153">
        <v>2.1379999999999999</v>
      </c>
      <c r="FG103" s="153">
        <f t="shared" si="204"/>
        <v>111.33200000000001</v>
      </c>
      <c r="FH103" s="330">
        <f t="shared" si="205"/>
        <v>164.358</v>
      </c>
      <c r="FI103" s="23">
        <f t="shared" si="206"/>
        <v>0.40383038920526682</v>
      </c>
      <c r="FJ103" s="23"/>
      <c r="FK103" s="448">
        <f t="shared" si="104"/>
        <v>1.0284622030135896E-2</v>
      </c>
      <c r="FL103" s="448">
        <f t="shared" si="105"/>
        <v>3.5737059799963777E-2</v>
      </c>
      <c r="FM103" s="23"/>
      <c r="FN103" s="23"/>
      <c r="FO103" s="326">
        <v>1903.4839999999999</v>
      </c>
      <c r="FP103" s="483">
        <f t="shared" si="106"/>
        <v>0</v>
      </c>
      <c r="FQ103" s="153">
        <f t="shared" si="107"/>
        <v>16.088000000000001</v>
      </c>
      <c r="FR103" s="153">
        <f t="shared" si="108"/>
        <v>170.61199999999999</v>
      </c>
      <c r="FS103" s="153">
        <f t="shared" si="109"/>
        <v>104.97699999999999</v>
      </c>
      <c r="FT103" s="153">
        <f t="shared" si="110"/>
        <v>52.698000000000008</v>
      </c>
      <c r="FU103" s="153">
        <f t="shared" si="111"/>
        <v>84.329000000000008</v>
      </c>
      <c r="FV103" s="153">
        <f t="shared" si="112"/>
        <v>14.068999999999999</v>
      </c>
      <c r="FW103" s="153">
        <f t="shared" si="113"/>
        <v>442.77300000000008</v>
      </c>
      <c r="FX103" s="153">
        <f t="shared" si="114"/>
        <v>0</v>
      </c>
      <c r="FY103" s="153">
        <f t="shared" si="115"/>
        <v>1460.711</v>
      </c>
      <c r="FZ103" s="448">
        <f t="shared" si="116"/>
        <v>0.23261188431318577</v>
      </c>
      <c r="GA103" s="23">
        <f t="shared" si="117"/>
        <v>8.4518703598244066E-3</v>
      </c>
      <c r="GB103" s="23">
        <f t="shared" si="118"/>
        <v>8.963143372888871E-2</v>
      </c>
      <c r="GC103" s="23">
        <f t="shared" si="119"/>
        <v>5.514992508473935E-2</v>
      </c>
      <c r="GD103" s="23">
        <f t="shared" si="120"/>
        <v>2.7685023882522791E-2</v>
      </c>
      <c r="GE103" s="23">
        <f t="shared" si="121"/>
        <v>4.4302447512035832E-2</v>
      </c>
      <c r="GF103" s="23">
        <f t="shared" si="122"/>
        <v>7.3911837451746372E-3</v>
      </c>
      <c r="GG103" s="23">
        <f t="shared" si="123"/>
        <v>0.14255851051878704</v>
      </c>
      <c r="GH103" s="23">
        <f t="shared" si="124"/>
        <v>0.10939770676213087</v>
      </c>
      <c r="GI103" s="23">
        <f t="shared" si="125"/>
        <v>3.3160803756656164E-2</v>
      </c>
      <c r="GJ103" s="326">
        <v>1230.8630000000001</v>
      </c>
      <c r="GK103" s="153">
        <f t="shared" si="151"/>
        <v>0</v>
      </c>
      <c r="GL103" s="153">
        <f t="shared" si="126"/>
        <v>530.36400000000003</v>
      </c>
      <c r="GM103" s="153">
        <f t="shared" si="127"/>
        <v>275.69</v>
      </c>
      <c r="GN103" s="153">
        <v>424.80900000000003</v>
      </c>
      <c r="GO103" s="153">
        <v>806.05399999999997</v>
      </c>
      <c r="GP103" s="153">
        <f t="shared" si="128"/>
        <v>806.05399999999997</v>
      </c>
      <c r="GQ103" s="295"/>
      <c r="GR103" s="153">
        <f t="shared" si="129"/>
        <v>1903.4839999999999</v>
      </c>
      <c r="GS103" s="153">
        <f>FoF_RoW!$AZ73/1000</f>
        <v>2990.41</v>
      </c>
      <c r="GT103" s="153">
        <f t="shared" si="214"/>
        <v>2460.0459999999998</v>
      </c>
      <c r="GU103" s="23">
        <f t="shared" si="130"/>
        <v>1.2923912152663222</v>
      </c>
      <c r="GV103" s="330">
        <f>FoF_RoW!$AE73/1000</f>
        <v>242.15600000000001</v>
      </c>
      <c r="GW103" s="330">
        <f t="shared" si="16"/>
        <v>199.05199999999968</v>
      </c>
      <c r="GX103" s="153">
        <v>4199.2250000000004</v>
      </c>
      <c r="GY103" s="153">
        <v>2968.3620000000001</v>
      </c>
      <c r="GZ103" s="153">
        <f t="shared" si="131"/>
        <v>1.5594362757974325</v>
      </c>
      <c r="HA103" s="153">
        <f t="shared" si="190"/>
        <v>530.36400000000003</v>
      </c>
      <c r="HB103" s="153">
        <v>894.774</v>
      </c>
      <c r="HC103" s="153">
        <v>1230.8630000000001</v>
      </c>
      <c r="HD103" s="186">
        <f t="shared" si="132"/>
        <v>8.0812342000247964E-2</v>
      </c>
      <c r="HE103" s="503">
        <f t="shared" si="133"/>
        <v>7.4354184222194669E-2</v>
      </c>
      <c r="HF103" s="663"/>
      <c r="HV103" s="186">
        <f t="shared" si="152"/>
        <v>6.2129566892172798E-2</v>
      </c>
      <c r="HW103" s="308">
        <f t="shared" si="153"/>
        <v>0.18424136665593194</v>
      </c>
      <c r="HX103" s="308">
        <f t="shared" si="154"/>
        <v>1.1446836313955058E-2</v>
      </c>
      <c r="HY103" s="313">
        <f t="shared" si="155"/>
        <v>0</v>
      </c>
      <c r="HZ103" s="23">
        <f t="shared" si="156"/>
        <v>2.4404477216595239E-2</v>
      </c>
      <c r="IA103" s="23">
        <f t="shared" si="157"/>
        <v>9.5365812811178466E-2</v>
      </c>
      <c r="IB103" s="23">
        <f t="shared" si="158"/>
        <v>2.7277918068545161E-2</v>
      </c>
      <c r="IC103" s="23">
        <f t="shared" si="159"/>
        <v>0.16721267457247879</v>
      </c>
      <c r="ID103" s="23">
        <f t="shared" si="160"/>
        <v>8.7829927486590201E-3</v>
      </c>
      <c r="IE103" s="23">
        <f t="shared" si="161"/>
        <v>7.5921975921369136E-2</v>
      </c>
      <c r="IF103" s="23">
        <f t="shared" si="162"/>
        <v>6.8087498761764884E-2</v>
      </c>
      <c r="IG103" s="23">
        <f t="shared" si="163"/>
        <v>5.9446279438369318E-2</v>
      </c>
      <c r="IH103" s="23">
        <f t="shared" si="164"/>
        <v>8.6412193233955659E-3</v>
      </c>
      <c r="II103" s="23"/>
      <c r="IJ103" s="23"/>
      <c r="IK103" s="848">
        <v>143555</v>
      </c>
      <c r="IL103" s="332">
        <v>702.053</v>
      </c>
      <c r="IM103" s="330">
        <v>439168</v>
      </c>
      <c r="IN103" s="332">
        <v>27.003999999999998</v>
      </c>
      <c r="IO103" s="330">
        <v>7736</v>
      </c>
      <c r="IP103" s="76">
        <v>52733</v>
      </c>
      <c r="IQ103" s="76" t="s">
        <v>3537</v>
      </c>
      <c r="IR103" s="76" t="s">
        <v>3538</v>
      </c>
      <c r="IS103" s="76" t="s">
        <v>3539</v>
      </c>
      <c r="IT103" s="23"/>
      <c r="IU103" s="23"/>
      <c r="JK103" s="23">
        <f t="shared" si="195"/>
        <v>0.256226088517577</v>
      </c>
      <c r="JL103" s="23">
        <f t="shared" si="196"/>
        <v>0.32687946298455262</v>
      </c>
      <c r="JM103" s="655">
        <f t="shared" si="197"/>
        <v>0</v>
      </c>
    </row>
    <row r="104" spans="1:273">
      <c r="B104" s="451">
        <v>2012</v>
      </c>
      <c r="C104" s="43">
        <v>14061.9</v>
      </c>
      <c r="D104" s="5">
        <v>1998.2</v>
      </c>
      <c r="E104" s="460">
        <f t="shared" si="172"/>
        <v>0.14210028516772272</v>
      </c>
      <c r="F104" s="454">
        <f t="shared" si="173"/>
        <v>0</v>
      </c>
      <c r="G104" s="76">
        <f t="shared" si="174"/>
        <v>1587.9</v>
      </c>
      <c r="H104" s="23">
        <f t="shared" si="175"/>
        <v>0.11292215134512407</v>
      </c>
      <c r="I104" s="454">
        <v>410.3</v>
      </c>
      <c r="J104" s="460">
        <f t="shared" si="176"/>
        <v>2.9178133822598654E-2</v>
      </c>
      <c r="K104" s="6">
        <f t="shared" si="177"/>
        <v>0.20533480132118906</v>
      </c>
      <c r="L104" s="136">
        <v>650.29999999999995</v>
      </c>
      <c r="M104" s="136">
        <f t="shared" si="180"/>
        <v>239.99999999999994</v>
      </c>
      <c r="N104" s="460">
        <f t="shared" si="178"/>
        <v>4.6245528698113339E-2</v>
      </c>
      <c r="O104" s="460">
        <f t="shared" si="181"/>
        <v>1.7067394875514685E-2</v>
      </c>
      <c r="P104" s="449">
        <f t="shared" si="182"/>
        <v>0.12010809728755877</v>
      </c>
      <c r="Q104" s="5">
        <f t="shared" si="179"/>
        <v>1998.2</v>
      </c>
      <c r="R104" s="169">
        <f t="shared" si="183"/>
        <v>239.99999999999994</v>
      </c>
      <c r="S104" s="454">
        <f t="shared" si="191"/>
        <v>0</v>
      </c>
      <c r="T104" s="76">
        <v>96.786000000000001</v>
      </c>
      <c r="U104" s="76">
        <v>146.52099999999999</v>
      </c>
      <c r="V104" s="76">
        <f t="shared" si="192"/>
        <v>-3.3070000000000448</v>
      </c>
      <c r="W104" s="23">
        <f t="shared" si="48"/>
        <v>0.61050416666666674</v>
      </c>
      <c r="X104" s="326">
        <v>172.762</v>
      </c>
      <c r="Y104" s="153">
        <f t="shared" si="49"/>
        <v>0</v>
      </c>
      <c r="Z104" s="79">
        <f t="shared" si="50"/>
        <v>146.52100000000002</v>
      </c>
      <c r="AA104" s="159">
        <v>54.878</v>
      </c>
      <c r="AB104" s="159">
        <v>91.643000000000001</v>
      </c>
      <c r="AC104" s="79">
        <f t="shared" si="51"/>
        <v>26.241</v>
      </c>
      <c r="AD104" s="79">
        <v>29.872</v>
      </c>
      <c r="AE104" s="79">
        <v>3.6320000000000001</v>
      </c>
      <c r="AF104" s="23">
        <f t="shared" si="52"/>
        <v>0.62545983169648034</v>
      </c>
      <c r="AG104" s="23">
        <f t="shared" si="53"/>
        <v>1.4949454509058152E-2</v>
      </c>
      <c r="AH104" s="450">
        <v>12.433999999999999</v>
      </c>
      <c r="AI104" s="153">
        <f t="shared" si="54"/>
        <v>160.328</v>
      </c>
      <c r="AJ104" s="153">
        <f t="shared" si="55"/>
        <v>0</v>
      </c>
      <c r="AK104" s="153">
        <v>152.30000000000001</v>
      </c>
      <c r="AL104" s="23">
        <f t="shared" si="56"/>
        <v>0.36032829940906103</v>
      </c>
      <c r="AM104" s="182">
        <v>160.328</v>
      </c>
      <c r="AN104" s="79">
        <v>2.2170000000000001</v>
      </c>
      <c r="AO104" s="79">
        <v>21.765999999999998</v>
      </c>
      <c r="AP104" s="79">
        <v>7.665</v>
      </c>
      <c r="AQ104" s="79">
        <v>15.667999999999999</v>
      </c>
      <c r="AR104" s="79">
        <v>2.5329999999999999</v>
      </c>
      <c r="AS104" s="79">
        <v>0.80600000000000005</v>
      </c>
      <c r="AT104" s="79">
        <v>2E-3</v>
      </c>
      <c r="AU104" s="79">
        <v>0.53800000000000003</v>
      </c>
      <c r="AV104" s="79">
        <f t="shared" si="27"/>
        <v>50.386999999999993</v>
      </c>
      <c r="AW104" s="79">
        <f t="shared" si="28"/>
        <v>109.941</v>
      </c>
      <c r="AX104" s="23">
        <f t="shared" si="29"/>
        <v>1.3827902799261514E-2</v>
      </c>
      <c r="AY104" s="23">
        <f t="shared" si="30"/>
        <v>0.13575919365301131</v>
      </c>
      <c r="AZ104" s="23">
        <f t="shared" si="31"/>
        <v>4.7808243101641633E-2</v>
      </c>
      <c r="BA104" s="23">
        <f t="shared" si="32"/>
        <v>9.7724664437902301E-2</v>
      </c>
      <c r="BB104" s="23">
        <f t="shared" si="33"/>
        <v>1.5798862332218951E-2</v>
      </c>
      <c r="BC104" s="23">
        <f t="shared" si="34"/>
        <v>5.0271942517838434E-3</v>
      </c>
      <c r="BD104" s="23">
        <f t="shared" si="35"/>
        <v>1.2474427423781249E-5</v>
      </c>
      <c r="BE104" s="23">
        <f t="shared" si="36"/>
        <v>3.3556209769971561E-3</v>
      </c>
      <c r="BF104" s="23">
        <f t="shared" si="37"/>
        <v>0.31427448730103286</v>
      </c>
      <c r="BG104" s="153">
        <v>87.278999999999996</v>
      </c>
      <c r="BH104" s="23">
        <f t="shared" si="194"/>
        <v>0.54437777556010181</v>
      </c>
      <c r="BI104" s="23">
        <f>'Assets(BoP)'!EF104</f>
        <v>0.18232596572842505</v>
      </c>
      <c r="BJ104" s="182">
        <v>79.209999999999994</v>
      </c>
      <c r="BK104" s="79"/>
      <c r="BL104" s="79"/>
      <c r="BM104" s="79"/>
      <c r="BN104" s="79"/>
      <c r="BO104" s="79"/>
      <c r="BP104" s="79"/>
      <c r="BQ104" s="28">
        <f t="shared" si="193"/>
        <v>0</v>
      </c>
      <c r="BR104" s="23">
        <f t="shared" si="58"/>
        <v>0</v>
      </c>
      <c r="BS104" s="79"/>
      <c r="BT104" s="23">
        <f t="shared" si="59"/>
        <v>0</v>
      </c>
      <c r="BU104" s="182">
        <f t="shared" si="60"/>
        <v>134.08699999999999</v>
      </c>
      <c r="BV104" s="136">
        <f t="shared" si="61"/>
        <v>0</v>
      </c>
      <c r="BW104" s="153">
        <f t="shared" si="62"/>
        <v>1.8017120120043575</v>
      </c>
      <c r="BX104" s="153">
        <f t="shared" si="63"/>
        <v>19.364824747304869</v>
      </c>
      <c r="BY104" s="153">
        <f t="shared" si="64"/>
        <v>4.5551109244712826</v>
      </c>
      <c r="BZ104" s="153">
        <f t="shared" si="65"/>
        <v>10.314786244528186</v>
      </c>
      <c r="CA104" s="153">
        <f t="shared" si="66"/>
        <v>1.7621320356743677</v>
      </c>
      <c r="CB104" s="153">
        <f t="shared" si="67"/>
        <v>0.36505956684657731</v>
      </c>
      <c r="CC104" s="153">
        <f t="shared" si="68"/>
        <v>38.163625530829641</v>
      </c>
      <c r="CD104" s="153">
        <f t="shared" si="69"/>
        <v>95.109889232797727</v>
      </c>
      <c r="CE104" s="23">
        <f t="shared" si="70"/>
        <v>1.343688808015958E-2</v>
      </c>
      <c r="CF104" s="23">
        <f t="shared" si="71"/>
        <v>0.14441985238915683</v>
      </c>
      <c r="CG104" s="23">
        <f t="shared" si="72"/>
        <v>3.397130910879715E-2</v>
      </c>
      <c r="CH104" s="23">
        <f t="shared" si="73"/>
        <v>7.6926072210789911E-2</v>
      </c>
      <c r="CI104" s="23">
        <f t="shared" si="74"/>
        <v>1.3141706770040108E-2</v>
      </c>
      <c r="CJ104" s="23">
        <f t="shared" si="75"/>
        <v>2.7225574951082309E-3</v>
      </c>
      <c r="CK104" s="23">
        <f t="shared" si="76"/>
        <v>0.28461838605405182</v>
      </c>
      <c r="CL104" s="23">
        <f t="shared" si="77"/>
        <v>0.71538161394594812</v>
      </c>
      <c r="CM104" s="23">
        <f t="shared" si="78"/>
        <v>3.4184972802008017E-2</v>
      </c>
      <c r="CN104" s="23">
        <f t="shared" si="79"/>
        <v>8.5923124485550742E-2</v>
      </c>
      <c r="CO104" s="23">
        <f t="shared" si="184"/>
        <v>4.857694383616184E-3</v>
      </c>
      <c r="CP104" s="448">
        <f t="shared" si="185"/>
        <v>0</v>
      </c>
      <c r="CQ104" s="448">
        <f t="shared" si="186"/>
        <v>4.857694383616184E-3</v>
      </c>
      <c r="CR104" s="23">
        <f t="shared" si="187"/>
        <v>1.2209700491898498E-2</v>
      </c>
      <c r="CS104" s="326">
        <v>26.241</v>
      </c>
      <c r="CT104" s="153">
        <v>3.6320000000000001</v>
      </c>
      <c r="CU104" s="153">
        <v>29.872</v>
      </c>
      <c r="CV104" s="384">
        <f t="shared" si="134"/>
        <v>0.41528798799564259</v>
      </c>
      <c r="CW104" s="384">
        <f t="shared" si="135"/>
        <v>2.4011752526951304</v>
      </c>
      <c r="CX104" s="384">
        <f t="shared" si="136"/>
        <v>3.1098890755287179</v>
      </c>
      <c r="CY104" s="384">
        <f t="shared" si="137"/>
        <v>5.3532137554718124</v>
      </c>
      <c r="CZ104" s="384">
        <f t="shared" si="138"/>
        <v>0.77086796432563232</v>
      </c>
      <c r="DA104" s="153">
        <f t="shared" si="138"/>
        <v>0.17294043315342272</v>
      </c>
      <c r="DB104" s="153">
        <f t="shared" si="85"/>
        <v>12.223374469170357</v>
      </c>
      <c r="DC104" s="153">
        <f t="shared" si="189"/>
        <v>14.831110767202274</v>
      </c>
      <c r="DD104" s="153">
        <f t="shared" si="87"/>
        <v>-0.8134852363726317</v>
      </c>
      <c r="DE104" s="23">
        <f t="shared" si="88"/>
        <v>0.46581206772494788</v>
      </c>
      <c r="DF104" s="149">
        <v>4.9000000000000002E-2</v>
      </c>
      <c r="DG104" s="153">
        <v>-2.5110000000000001</v>
      </c>
      <c r="DH104" s="153">
        <v>7.0869999999999997</v>
      </c>
      <c r="DI104" s="153">
        <v>5.1950000000000003</v>
      </c>
      <c r="DJ104" s="153">
        <v>-3.5489999999999999</v>
      </c>
      <c r="DK104" s="153">
        <v>1.137</v>
      </c>
      <c r="DL104" s="153">
        <v>-0.34</v>
      </c>
      <c r="DM104" s="153">
        <f t="shared" si="38"/>
        <v>7.0190000000000019</v>
      </c>
      <c r="DN104" s="153">
        <f t="shared" si="39"/>
        <v>-6.9700000000000015</v>
      </c>
      <c r="DO104" s="258">
        <f t="shared" si="140"/>
        <v>-30.402000000000044</v>
      </c>
      <c r="DP104" s="5">
        <v>2584.7080000000001</v>
      </c>
      <c r="DQ104" s="76">
        <v>17.800999999999998</v>
      </c>
      <c r="DR104" s="76">
        <v>244.14699999999999</v>
      </c>
      <c r="DS104" s="76">
        <v>202.339</v>
      </c>
      <c r="DT104" s="76">
        <v>199.125</v>
      </c>
      <c r="DU104" s="76">
        <v>59.771999999999998</v>
      </c>
      <c r="DV104" s="76">
        <v>18.701000000000001</v>
      </c>
      <c r="DW104" s="76">
        <f t="shared" si="40"/>
        <v>741.8850000000001</v>
      </c>
      <c r="DX104" s="76">
        <f t="shared" si="41"/>
        <v>1842.8229999999999</v>
      </c>
      <c r="DY104" s="23">
        <f t="shared" si="141"/>
        <v>0.2870285540958592</v>
      </c>
      <c r="DZ104" s="23">
        <f t="shared" si="42"/>
        <v>6.8870448808917668E-3</v>
      </c>
      <c r="EA104" s="23">
        <f t="shared" si="43"/>
        <v>9.4458252150726493E-2</v>
      </c>
      <c r="EB104" s="23">
        <f t="shared" si="44"/>
        <v>7.8283117474004793E-2</v>
      </c>
      <c r="EC104" s="23">
        <f t="shared" si="45"/>
        <v>7.7039650126822831E-2</v>
      </c>
      <c r="ED104" s="23">
        <f t="shared" si="46"/>
        <v>2.3125242774038691E-2</v>
      </c>
      <c r="EE104" s="23">
        <f t="shared" si="142"/>
        <v>7.2352466893745833E-3</v>
      </c>
      <c r="EF104" s="149">
        <v>499.96199999999999</v>
      </c>
      <c r="EG104" s="153">
        <f t="shared" si="207"/>
        <v>3.8550000000000004</v>
      </c>
      <c r="EH104" s="153">
        <f t="shared" si="208"/>
        <v>46.45</v>
      </c>
      <c r="EI104" s="153">
        <f t="shared" si="209"/>
        <v>81.301000000000002</v>
      </c>
      <c r="EJ104" s="153">
        <f t="shared" si="210"/>
        <v>126.79299999999999</v>
      </c>
      <c r="EK104" s="153">
        <f t="shared" si="211"/>
        <v>-25.106999999999999</v>
      </c>
      <c r="EL104" s="153">
        <f t="shared" si="212"/>
        <v>2.5870000000000006</v>
      </c>
      <c r="EM104" s="330">
        <f t="shared" si="213"/>
        <v>235.87899999999999</v>
      </c>
      <c r="EN104" s="330">
        <f t="shared" si="200"/>
        <v>264.08199999999999</v>
      </c>
      <c r="EO104" s="23">
        <f t="shared" si="91"/>
        <v>0.4717938563330813</v>
      </c>
      <c r="EP104" s="258">
        <v>826.13099999999997</v>
      </c>
      <c r="EQ104" s="153">
        <v>13.88</v>
      </c>
      <c r="ER104" s="153">
        <v>72.67</v>
      </c>
      <c r="ES104" s="153">
        <v>87.483000000000004</v>
      </c>
      <c r="ET104" s="153">
        <v>154.71799999999999</v>
      </c>
      <c r="EU104" s="153">
        <v>35.890999999999998</v>
      </c>
      <c r="EV104" s="153">
        <v>5.4720000000000004</v>
      </c>
      <c r="EW104" s="153">
        <f t="shared" si="201"/>
        <v>370.11399999999998</v>
      </c>
      <c r="EX104" s="330">
        <f t="shared" si="202"/>
        <v>456.017</v>
      </c>
      <c r="EY104" s="23">
        <f t="shared" si="203"/>
        <v>0.44800885089652848</v>
      </c>
      <c r="EZ104" s="258">
        <v>326.17</v>
      </c>
      <c r="FA104" s="153">
        <v>10.025</v>
      </c>
      <c r="FB104" s="153">
        <v>26.22</v>
      </c>
      <c r="FC104" s="153">
        <v>6.1820000000000004</v>
      </c>
      <c r="FD104" s="153">
        <v>27.925000000000001</v>
      </c>
      <c r="FE104" s="153">
        <v>60.997999999999998</v>
      </c>
      <c r="FF104" s="153">
        <v>2.8849999999999998</v>
      </c>
      <c r="FG104" s="153">
        <f t="shared" si="204"/>
        <v>134.23499999999999</v>
      </c>
      <c r="FH104" s="330">
        <f t="shared" si="205"/>
        <v>191.93500000000003</v>
      </c>
      <c r="FI104" s="23">
        <f t="shared" si="206"/>
        <v>0.41154919213906854</v>
      </c>
      <c r="FJ104" s="23"/>
      <c r="FK104" s="448">
        <f t="shared" si="104"/>
        <v>8.6381787522683551E-3</v>
      </c>
      <c r="FL104" s="448">
        <f t="shared" si="105"/>
        <v>3.6158914264202653E-2</v>
      </c>
      <c r="FM104" s="23"/>
      <c r="FN104" s="23"/>
      <c r="FO104" s="326">
        <v>2084.7460000000001</v>
      </c>
      <c r="FP104" s="483">
        <f t="shared" si="106"/>
        <v>0</v>
      </c>
      <c r="FQ104" s="153">
        <f t="shared" si="107"/>
        <v>13.945999999999998</v>
      </c>
      <c r="FR104" s="153">
        <f t="shared" si="108"/>
        <v>197.697</v>
      </c>
      <c r="FS104" s="153">
        <f t="shared" si="109"/>
        <v>121.038</v>
      </c>
      <c r="FT104" s="153">
        <f t="shared" si="110"/>
        <v>72.332000000000008</v>
      </c>
      <c r="FU104" s="153">
        <f t="shared" si="111"/>
        <v>84.878999999999991</v>
      </c>
      <c r="FV104" s="153">
        <f t="shared" si="112"/>
        <v>16.114000000000001</v>
      </c>
      <c r="FW104" s="153">
        <f t="shared" si="113"/>
        <v>506.00600000000009</v>
      </c>
      <c r="FX104" s="153">
        <f t="shared" si="114"/>
        <v>0</v>
      </c>
      <c r="FY104" s="153">
        <f t="shared" si="115"/>
        <v>1578.741</v>
      </c>
      <c r="FZ104" s="448">
        <f t="shared" si="116"/>
        <v>0.24271829757677918</v>
      </c>
      <c r="GA104" s="23">
        <f t="shared" si="117"/>
        <v>6.6895439540356465E-3</v>
      </c>
      <c r="GB104" s="23">
        <f t="shared" si="118"/>
        <v>9.4830257498995082E-2</v>
      </c>
      <c r="GC104" s="23">
        <f t="shared" si="119"/>
        <v>5.8058871440453651E-2</v>
      </c>
      <c r="GD104" s="23">
        <f t="shared" si="120"/>
        <v>3.4695833449254733E-2</v>
      </c>
      <c r="GE104" s="23">
        <f t="shared" si="121"/>
        <v>4.0714312439021343E-2</v>
      </c>
      <c r="GF104" s="23">
        <f t="shared" si="122"/>
        <v>7.7294787950186739E-3</v>
      </c>
      <c r="GG104" s="23">
        <f t="shared" si="123"/>
        <v>0.14825492998812395</v>
      </c>
      <c r="GH104" s="23">
        <f t="shared" si="124"/>
        <v>0.11227081688818723</v>
      </c>
      <c r="GI104" s="23">
        <f t="shared" si="125"/>
        <v>3.5984184214082032E-2</v>
      </c>
      <c r="GJ104" s="326">
        <v>1246.5909999999999</v>
      </c>
      <c r="GK104" s="153">
        <f t="shared" si="151"/>
        <v>0</v>
      </c>
      <c r="GL104" s="153">
        <f t="shared" si="126"/>
        <v>499.96199999999999</v>
      </c>
      <c r="GM104" s="153">
        <f t="shared" si="127"/>
        <v>326.17</v>
      </c>
      <c r="GN104" s="153">
        <v>420.459</v>
      </c>
      <c r="GO104" s="153">
        <v>826.13099999999997</v>
      </c>
      <c r="GP104" s="153">
        <f t="shared" si="128"/>
        <v>826.13099999999997</v>
      </c>
      <c r="GQ104" s="295"/>
      <c r="GR104" s="153">
        <f t="shared" si="129"/>
        <v>2084.7460000000001</v>
      </c>
      <c r="GS104" s="153">
        <f>FoF_RoW!$AZ74/1000</f>
        <v>3158.652</v>
      </c>
      <c r="GT104" s="153">
        <f t="shared" si="214"/>
        <v>2658.69</v>
      </c>
      <c r="GU104" s="23">
        <f t="shared" si="130"/>
        <v>1.2753064402090231</v>
      </c>
      <c r="GV104" s="330">
        <f>FoF_RoW!$AE74/1000</f>
        <v>211.46700000000001</v>
      </c>
      <c r="GW104" s="330">
        <f t="shared" si="16"/>
        <v>168.24200000000019</v>
      </c>
      <c r="GX104" s="153">
        <v>4662.4340000000002</v>
      </c>
      <c r="GY104" s="153">
        <v>3415.8429999999998</v>
      </c>
      <c r="GZ104" s="153">
        <f t="shared" si="131"/>
        <v>1.6384936102527596</v>
      </c>
      <c r="HA104" s="153">
        <f t="shared" si="190"/>
        <v>499.96199999999999</v>
      </c>
      <c r="HB104" s="153">
        <v>985.60699999999997</v>
      </c>
      <c r="HC104" s="153">
        <v>1246.5909999999999</v>
      </c>
      <c r="HD104" s="186">
        <f t="shared" si="132"/>
        <v>7.0282422894683574E-2</v>
      </c>
      <c r="HE104" s="503">
        <f t="shared" si="133"/>
        <v>6.4318147150780006E-2</v>
      </c>
      <c r="HF104" s="663"/>
      <c r="HV104" s="186">
        <f t="shared" si="152"/>
        <v>5.4713348083701742E-2</v>
      </c>
      <c r="HW104" s="308">
        <f t="shared" si="153"/>
        <v>0.1890704670065923</v>
      </c>
      <c r="HX104" s="308">
        <f t="shared" si="154"/>
        <v>1.0344678273679729E-2</v>
      </c>
      <c r="HY104" s="313">
        <f t="shared" si="155"/>
        <v>0</v>
      </c>
      <c r="HZ104" s="23">
        <f t="shared" si="156"/>
        <v>0.10989944004299405</v>
      </c>
      <c r="IA104" s="23">
        <f t="shared" si="157"/>
        <v>8.3324604006780184E-2</v>
      </c>
      <c r="IB104" s="23">
        <f t="shared" si="158"/>
        <v>3.2013782114847851E-2</v>
      </c>
      <c r="IC104" s="23">
        <f t="shared" si="159"/>
        <v>0.12130802310129633</v>
      </c>
      <c r="ID104" s="23">
        <f t="shared" si="160"/>
        <v>1.7660295209456014E-2</v>
      </c>
      <c r="IE104" s="23">
        <f t="shared" si="161"/>
        <v>1.9271705099151881E-2</v>
      </c>
      <c r="IF104" s="23">
        <f t="shared" si="162"/>
        <v>6.415842968027867E-2</v>
      </c>
      <c r="IG104" s="23">
        <f t="shared" si="163"/>
        <v>5.1247720722618982E-2</v>
      </c>
      <c r="IH104" s="23">
        <f t="shared" si="164"/>
        <v>1.2910708957659688E-2</v>
      </c>
      <c r="II104" s="23"/>
      <c r="IJ104" s="23"/>
      <c r="IK104" s="848">
        <v>151498</v>
      </c>
      <c r="IL104" s="332">
        <v>800.88800000000003</v>
      </c>
      <c r="IM104" s="330">
        <v>467538</v>
      </c>
      <c r="IN104" s="330">
        <v>27.858000000000001</v>
      </c>
      <c r="IO104" s="330">
        <v>12049</v>
      </c>
      <c r="IP104" s="76">
        <v>55551</v>
      </c>
      <c r="IQ104" s="76" t="s">
        <v>3540</v>
      </c>
      <c r="IR104" s="76" t="s">
        <v>3541</v>
      </c>
      <c r="IS104" s="76" t="s">
        <v>3542</v>
      </c>
      <c r="IT104" s="23"/>
      <c r="IU104" s="23"/>
      <c r="JK104" s="23">
        <f t="shared" si="195"/>
        <v>0.25915209520112187</v>
      </c>
      <c r="JL104" s="23">
        <f t="shared" si="196"/>
        <v>0.32403355449182741</v>
      </c>
      <c r="JM104" s="655">
        <f t="shared" si="197"/>
        <v>0</v>
      </c>
    </row>
    <row r="105" spans="1:273">
      <c r="B105" s="451">
        <v>2013</v>
      </c>
      <c r="C105" s="43">
        <v>14444.8</v>
      </c>
      <c r="D105" s="5">
        <v>2032.9</v>
      </c>
      <c r="E105" s="460">
        <f t="shared" si="172"/>
        <v>0.14073576650420913</v>
      </c>
      <c r="F105" s="454">
        <f t="shared" si="173"/>
        <v>0</v>
      </c>
      <c r="G105" s="76">
        <f t="shared" si="174"/>
        <v>1621.1000000000001</v>
      </c>
      <c r="H105" s="23">
        <f t="shared" si="175"/>
        <v>0.11222723748338503</v>
      </c>
      <c r="I105" s="454">
        <v>411.8</v>
      </c>
      <c r="J105" s="460">
        <f t="shared" si="176"/>
        <v>2.8508529020824104E-2</v>
      </c>
      <c r="K105" s="6">
        <f t="shared" si="177"/>
        <v>0.20256776034236804</v>
      </c>
      <c r="L105" s="136">
        <v>668.1</v>
      </c>
      <c r="M105" s="136">
        <f t="shared" si="180"/>
        <v>256.3</v>
      </c>
      <c r="N105" s="460">
        <f t="shared" si="178"/>
        <v>4.6251938413823662E-2</v>
      </c>
      <c r="O105" s="460">
        <f t="shared" si="181"/>
        <v>1.7743409392999558E-2</v>
      </c>
      <c r="P105" s="449">
        <f t="shared" si="182"/>
        <v>0.12607604899404792</v>
      </c>
      <c r="Q105" s="5">
        <f t="shared" si="179"/>
        <v>2032.9</v>
      </c>
      <c r="R105" s="169">
        <f t="shared" si="183"/>
        <v>256.3</v>
      </c>
      <c r="S105" s="454">
        <f t="shared" si="191"/>
        <v>0</v>
      </c>
      <c r="T105" s="76">
        <v>109.56699999999999</v>
      </c>
      <c r="U105" s="76">
        <v>157.63200000000001</v>
      </c>
      <c r="V105" s="76">
        <f t="shared" si="192"/>
        <v>-10.899000000000001</v>
      </c>
      <c r="W105" s="23">
        <f t="shared" si="48"/>
        <v>0.61502926258291069</v>
      </c>
      <c r="X105" s="326">
        <v>184.11500000000001</v>
      </c>
      <c r="Y105" s="153">
        <f t="shared" si="49"/>
        <v>-9.9999999997280042E-4</v>
      </c>
      <c r="Z105" s="79">
        <f t="shared" si="50"/>
        <v>157.63299999999998</v>
      </c>
      <c r="AA105" s="159">
        <v>69.965999999999994</v>
      </c>
      <c r="AB105" s="159">
        <v>87.667000000000002</v>
      </c>
      <c r="AC105" s="79">
        <f t="shared" si="51"/>
        <v>26.483000000000001</v>
      </c>
      <c r="AD105" s="79">
        <v>30.065000000000001</v>
      </c>
      <c r="AE105" s="79">
        <v>3.5819999999999999</v>
      </c>
      <c r="AF105" s="243">
        <f t="shared" si="52"/>
        <v>0.55614623841454525</v>
      </c>
      <c r="AG105" s="23">
        <f t="shared" si="53"/>
        <v>1.47892173741945E-2</v>
      </c>
      <c r="AH105" s="450">
        <v>15.88</v>
      </c>
      <c r="AI105" s="153">
        <f t="shared" si="54"/>
        <v>168.23500000000001</v>
      </c>
      <c r="AJ105" s="153">
        <f t="shared" si="55"/>
        <v>0</v>
      </c>
      <c r="AK105" s="153">
        <v>179.5</v>
      </c>
      <c r="AL105" s="23">
        <f t="shared" si="56"/>
        <v>0.38978272980501388</v>
      </c>
      <c r="AM105" s="182">
        <v>168.23500000000001</v>
      </c>
      <c r="AN105" s="79">
        <v>1.468</v>
      </c>
      <c r="AO105" s="79">
        <v>24.314</v>
      </c>
      <c r="AP105" s="79">
        <v>7.9409999999999998</v>
      </c>
      <c r="AQ105" s="79">
        <v>14.269</v>
      </c>
      <c r="AR105" s="79">
        <v>4.218</v>
      </c>
      <c r="AS105" s="79">
        <v>1.776</v>
      </c>
      <c r="AT105" s="79">
        <v>1E-3</v>
      </c>
      <c r="AU105" s="79">
        <v>0.751</v>
      </c>
      <c r="AV105" s="79">
        <f t="shared" si="27"/>
        <v>52.960999999999991</v>
      </c>
      <c r="AW105" s="79">
        <f t="shared" si="28"/>
        <v>115.27400000000003</v>
      </c>
      <c r="AX105" s="23">
        <f t="shared" si="29"/>
        <v>8.7258893809254896E-3</v>
      </c>
      <c r="AY105" s="23">
        <f t="shared" si="30"/>
        <v>0.14452402888816238</v>
      </c>
      <c r="AZ105" s="23">
        <f t="shared" si="31"/>
        <v>4.7201830772431418E-2</v>
      </c>
      <c r="BA105" s="23">
        <f t="shared" si="32"/>
        <v>8.4815882545249202E-2</v>
      </c>
      <c r="BB105" s="23">
        <f t="shared" si="33"/>
        <v>2.5072071804321333E-2</v>
      </c>
      <c r="BC105" s="23">
        <f t="shared" si="34"/>
        <v>1.0556661812345824E-2</v>
      </c>
      <c r="BD105" s="23">
        <f t="shared" si="35"/>
        <v>5.944066335780307E-6</v>
      </c>
      <c r="BE105" s="23">
        <f t="shared" si="36"/>
        <v>4.4639938181710104E-3</v>
      </c>
      <c r="BF105" s="23">
        <f t="shared" si="37"/>
        <v>0.31480369720926088</v>
      </c>
      <c r="BG105" s="153">
        <v>88.399000000000001</v>
      </c>
      <c r="BH105" s="23">
        <f t="shared" si="194"/>
        <v>0.52544952001664336</v>
      </c>
      <c r="BI105" s="23">
        <f>'Assets(BoP)'!EF105</f>
        <v>0.17280848314731895</v>
      </c>
      <c r="BJ105" s="298">
        <v>71.787000000000006</v>
      </c>
      <c r="BK105" s="242"/>
      <c r="BL105" s="242"/>
      <c r="BM105" s="242"/>
      <c r="BN105" s="242"/>
      <c r="BO105" s="242"/>
      <c r="BP105" s="242"/>
      <c r="BQ105" s="212">
        <f t="shared" si="193"/>
        <v>0</v>
      </c>
      <c r="BR105" s="23">
        <f t="shared" si="58"/>
        <v>0</v>
      </c>
      <c r="BS105" s="79"/>
      <c r="BT105" s="243">
        <f t="shared" si="59"/>
        <v>0</v>
      </c>
      <c r="BU105" s="182">
        <f t="shared" si="60"/>
        <v>141.75200000000001</v>
      </c>
      <c r="BV105" s="136">
        <f t="shared" si="61"/>
        <v>-9.9999999997635314E-4</v>
      </c>
      <c r="BW105" s="375">
        <f t="shared" si="62"/>
        <v>1.0210651358733016</v>
      </c>
      <c r="BX105" s="375">
        <f t="shared" si="63"/>
        <v>22.032479753126939</v>
      </c>
      <c r="BY105" s="375">
        <f t="shared" si="64"/>
        <v>4.3058930299451852</v>
      </c>
      <c r="BZ105" s="375">
        <f t="shared" si="65"/>
        <v>9.1049751762895781</v>
      </c>
      <c r="CA105" s="375">
        <f t="shared" si="66"/>
        <v>3.0169804621599003</v>
      </c>
      <c r="CB105" s="375">
        <f t="shared" si="67"/>
        <v>0.57688663757670144</v>
      </c>
      <c r="CC105" s="375">
        <f t="shared" si="68"/>
        <v>40.058280194971601</v>
      </c>
      <c r="CD105" s="375">
        <f t="shared" si="69"/>
        <v>100.75982613496555</v>
      </c>
      <c r="CE105" s="243">
        <f t="shared" si="70"/>
        <v>7.2031797496564529E-3</v>
      </c>
      <c r="CF105" s="243">
        <f t="shared" si="71"/>
        <v>0.15542976291782082</v>
      </c>
      <c r="CG105" s="243">
        <f t="shared" si="72"/>
        <v>3.0376241816307246E-2</v>
      </c>
      <c r="CH105" s="243">
        <f t="shared" si="73"/>
        <v>6.4231722841932223E-2</v>
      </c>
      <c r="CI105" s="243">
        <f t="shared" si="74"/>
        <v>2.1283512487724338E-2</v>
      </c>
      <c r="CJ105" s="243">
        <f t="shared" si="75"/>
        <v>4.0696895816404802E-3</v>
      </c>
      <c r="CK105" s="243">
        <f t="shared" si="76"/>
        <v>0.28259410939508156</v>
      </c>
      <c r="CL105" s="243">
        <f t="shared" si="77"/>
        <v>0.71740589060491844</v>
      </c>
      <c r="CM105" s="23">
        <f t="shared" si="78"/>
        <v>3.5628348781523642E-2</v>
      </c>
      <c r="CN105" s="243">
        <f t="shared" si="79"/>
        <v>9.0447700212524282E-2</v>
      </c>
      <c r="CO105" s="243">
        <f t="shared" si="184"/>
        <v>5.0141829750470351E-3</v>
      </c>
      <c r="CP105" s="412">
        <f t="shared" si="185"/>
        <v>0</v>
      </c>
      <c r="CQ105" s="412">
        <f t="shared" si="186"/>
        <v>5.0141829750470351E-3</v>
      </c>
      <c r="CR105" s="243">
        <f t="shared" si="187"/>
        <v>1.2729226417952525E-2</v>
      </c>
      <c r="CS105" s="383">
        <v>26.483000000000001</v>
      </c>
      <c r="CT105" s="153">
        <v>3.5819999999999999</v>
      </c>
      <c r="CU105" s="153">
        <v>30.065000000000001</v>
      </c>
      <c r="CV105" s="322">
        <f t="shared" si="134"/>
        <v>0.44693486412669836</v>
      </c>
      <c r="CW105" s="322">
        <f t="shared" si="135"/>
        <v>2.2815202468730624</v>
      </c>
      <c r="CX105" s="322">
        <f t="shared" si="136"/>
        <v>3.6351069700548146</v>
      </c>
      <c r="CY105" s="322">
        <f t="shared" si="137"/>
        <v>5.1640248237104229</v>
      </c>
      <c r="CZ105" s="322">
        <f t="shared" si="138"/>
        <v>1.2010195378400996</v>
      </c>
      <c r="DA105" s="375">
        <f t="shared" si="138"/>
        <v>0.17411336242329861</v>
      </c>
      <c r="DB105" s="375">
        <f t="shared" si="85"/>
        <v>12.902719805028397</v>
      </c>
      <c r="DC105" s="375">
        <f t="shared" si="189"/>
        <v>14.514173865034474</v>
      </c>
      <c r="DD105" s="375">
        <f t="shared" si="87"/>
        <v>-0.93389367006287038</v>
      </c>
      <c r="DE105" s="243">
        <f t="shared" si="88"/>
        <v>0.48720763527653199</v>
      </c>
      <c r="DF105" s="149">
        <v>5.5039999999999996</v>
      </c>
      <c r="DG105" s="153">
        <v>-6.93</v>
      </c>
      <c r="DH105" s="153">
        <v>-3.67</v>
      </c>
      <c r="DI105" s="153">
        <v>21.13</v>
      </c>
      <c r="DJ105" s="153">
        <v>2.5649999999999999</v>
      </c>
      <c r="DK105" s="153">
        <v>3.8980000000000001</v>
      </c>
      <c r="DL105" s="153">
        <v>-0.27</v>
      </c>
      <c r="DM105" s="153">
        <f t="shared" si="38"/>
        <v>16.722999999999999</v>
      </c>
      <c r="DN105" s="153">
        <f t="shared" si="39"/>
        <v>-11.218999999999999</v>
      </c>
      <c r="DO105" s="258">
        <f t="shared" si="140"/>
        <v>5.2400000000000091</v>
      </c>
      <c r="DP105" s="5">
        <v>2727.8249999999998</v>
      </c>
      <c r="DQ105" s="76">
        <v>18.981000000000002</v>
      </c>
      <c r="DR105" s="76">
        <v>237.73400000000001</v>
      </c>
      <c r="DS105" s="76">
        <v>223.339</v>
      </c>
      <c r="DT105" s="76">
        <v>220.34899999999999</v>
      </c>
      <c r="DU105" s="76">
        <v>75.445999999999998</v>
      </c>
      <c r="DV105" s="76">
        <v>17.082000000000001</v>
      </c>
      <c r="DW105" s="76">
        <f t="shared" si="40"/>
        <v>792.93099999999993</v>
      </c>
      <c r="DX105" s="76">
        <f t="shared" si="41"/>
        <v>1934.8939999999998</v>
      </c>
      <c r="DY105" s="23">
        <f t="shared" si="141"/>
        <v>0.29068250345971608</v>
      </c>
      <c r="DZ105" s="23">
        <f t="shared" si="42"/>
        <v>6.9582909460834189E-3</v>
      </c>
      <c r="EA105" s="23">
        <f t="shared" si="43"/>
        <v>8.7151485157588929E-2</v>
      </c>
      <c r="EB105" s="23">
        <f t="shared" si="44"/>
        <v>8.1874387103278254E-2</v>
      </c>
      <c r="EC105" s="23">
        <f t="shared" si="45"/>
        <v>8.0778275732497504E-2</v>
      </c>
      <c r="ED105" s="23">
        <f t="shared" si="46"/>
        <v>2.7657932601981433E-2</v>
      </c>
      <c r="EE105" s="23">
        <f t="shared" si="142"/>
        <v>6.2621319182865473E-3</v>
      </c>
      <c r="EF105" s="149">
        <v>505.202</v>
      </c>
      <c r="EG105" s="153">
        <f t="shared" si="207"/>
        <v>-2.0330000000000013</v>
      </c>
      <c r="EH105" s="153">
        <f t="shared" si="208"/>
        <v>40.44</v>
      </c>
      <c r="EI105" s="153">
        <f t="shared" si="209"/>
        <v>101.46899999999999</v>
      </c>
      <c r="EJ105" s="153">
        <f t="shared" si="210"/>
        <v>129.464</v>
      </c>
      <c r="EK105" s="153">
        <f t="shared" si="211"/>
        <v>-17.750999999999998</v>
      </c>
      <c r="EL105" s="153">
        <f t="shared" si="212"/>
        <v>3.5999999999999588E-2</v>
      </c>
      <c r="EM105" s="330">
        <f t="shared" si="213"/>
        <v>251.625</v>
      </c>
      <c r="EN105" s="330">
        <f t="shared" si="200"/>
        <v>253.577</v>
      </c>
      <c r="EO105" s="23">
        <f t="shared" si="91"/>
        <v>0.49806809949287612</v>
      </c>
      <c r="EP105" s="258">
        <v>873.51499999999999</v>
      </c>
      <c r="EQ105" s="153">
        <v>16.951000000000001</v>
      </c>
      <c r="ER105" s="153">
        <v>73.113</v>
      </c>
      <c r="ES105" s="153">
        <v>106.71</v>
      </c>
      <c r="ET105" s="153">
        <v>155.46899999999999</v>
      </c>
      <c r="EU105" s="153">
        <v>48.795999999999999</v>
      </c>
      <c r="EV105" s="153">
        <v>6.3849999999999998</v>
      </c>
      <c r="EW105" s="153">
        <f t="shared" si="201"/>
        <v>407.42399999999998</v>
      </c>
      <c r="EX105" s="330">
        <f t="shared" si="202"/>
        <v>466.09100000000001</v>
      </c>
      <c r="EY105" s="23">
        <f t="shared" si="203"/>
        <v>0.4664190082597322</v>
      </c>
      <c r="EZ105" s="258">
        <v>368.31299999999999</v>
      </c>
      <c r="FA105" s="153">
        <v>18.984000000000002</v>
      </c>
      <c r="FB105" s="153">
        <v>32.673000000000002</v>
      </c>
      <c r="FC105" s="153">
        <v>5.2409999999999997</v>
      </c>
      <c r="FD105" s="153">
        <v>26.004999999999999</v>
      </c>
      <c r="FE105" s="153">
        <v>66.546999999999997</v>
      </c>
      <c r="FF105" s="153">
        <v>6.3490000000000002</v>
      </c>
      <c r="FG105" s="153">
        <f t="shared" si="204"/>
        <v>155.79899999999998</v>
      </c>
      <c r="FH105" s="330">
        <f t="shared" si="205"/>
        <v>212.51400000000001</v>
      </c>
      <c r="FI105" s="23">
        <f t="shared" si="206"/>
        <v>0.42300706192830551</v>
      </c>
      <c r="FJ105" s="23"/>
      <c r="FK105" s="448">
        <f t="shared" si="104"/>
        <v>7.1898258544692535E-3</v>
      </c>
      <c r="FL105" s="448">
        <f t="shared" si="105"/>
        <v>3.4418412963715568E-2</v>
      </c>
      <c r="FM105" s="23"/>
      <c r="FN105" s="23"/>
      <c r="FO105" s="326">
        <v>2222.623</v>
      </c>
      <c r="FP105" s="483">
        <f t="shared" si="106"/>
        <v>0</v>
      </c>
      <c r="FQ105" s="153">
        <f t="shared" si="107"/>
        <v>21.014000000000003</v>
      </c>
      <c r="FR105" s="153">
        <f t="shared" si="108"/>
        <v>197.29400000000001</v>
      </c>
      <c r="FS105" s="153">
        <f t="shared" si="109"/>
        <v>121.87</v>
      </c>
      <c r="FT105" s="153">
        <f t="shared" si="110"/>
        <v>90.884999999999991</v>
      </c>
      <c r="FU105" s="153">
        <f t="shared" si="111"/>
        <v>93.197000000000003</v>
      </c>
      <c r="FV105" s="153">
        <f t="shared" si="112"/>
        <v>17.045999999999999</v>
      </c>
      <c r="FW105" s="153">
        <f t="shared" si="113"/>
        <v>541.30599999999993</v>
      </c>
      <c r="FX105" s="153">
        <f t="shared" si="114"/>
        <v>0</v>
      </c>
      <c r="FY105" s="153">
        <f t="shared" si="115"/>
        <v>1681.3169999999998</v>
      </c>
      <c r="FZ105" s="448">
        <f t="shared" si="116"/>
        <v>0.24354377687983969</v>
      </c>
      <c r="GA105" s="23">
        <f t="shared" si="117"/>
        <v>9.4545948638163121E-3</v>
      </c>
      <c r="GB105" s="23">
        <f t="shared" si="118"/>
        <v>8.8766290999418254E-2</v>
      </c>
      <c r="GC105" s="23">
        <f t="shared" si="119"/>
        <v>5.4831611118934698E-2</v>
      </c>
      <c r="GD105" s="23">
        <f t="shared" si="120"/>
        <v>4.0890875330634117E-2</v>
      </c>
      <c r="GE105" s="23">
        <f t="shared" si="121"/>
        <v>4.1931087728328195E-2</v>
      </c>
      <c r="GF105" s="23">
        <f t="shared" si="122"/>
        <v>7.6693168387081383E-3</v>
      </c>
      <c r="GG105" s="23">
        <f t="shared" si="123"/>
        <v>0.15387011242800178</v>
      </c>
      <c r="GH105" s="23">
        <f t="shared" si="124"/>
        <v>0.11639600409836065</v>
      </c>
      <c r="GI105" s="23">
        <f t="shared" si="125"/>
        <v>3.7474108329641112E-2</v>
      </c>
      <c r="GJ105" s="326">
        <v>1371.7190000000001</v>
      </c>
      <c r="GK105" s="153">
        <f t="shared" si="151"/>
        <v>0</v>
      </c>
      <c r="GL105" s="153">
        <f t="shared" si="126"/>
        <v>505.202</v>
      </c>
      <c r="GM105" s="153">
        <f t="shared" si="127"/>
        <v>368.31299999999999</v>
      </c>
      <c r="GN105" s="153">
        <v>498.20400000000001</v>
      </c>
      <c r="GO105" s="153">
        <v>873.51499999999999</v>
      </c>
      <c r="GP105" s="153">
        <f t="shared" si="128"/>
        <v>873.51499999999999</v>
      </c>
      <c r="GQ105" s="295"/>
      <c r="GR105" s="153">
        <f t="shared" si="129"/>
        <v>2222.623</v>
      </c>
      <c r="GS105" s="153">
        <f>FoF_RoW!$AZ75/1000</f>
        <v>3320.8609999999999</v>
      </c>
      <c r="GT105" s="153">
        <f t="shared" si="214"/>
        <v>2815.6589999999997</v>
      </c>
      <c r="GU105" s="23">
        <f t="shared" si="130"/>
        <v>1.2668180793593873</v>
      </c>
      <c r="GV105" s="330">
        <f>FoF_RoW!$AE75/1000</f>
        <v>217.273</v>
      </c>
      <c r="GW105" s="330">
        <f t="shared" si="16"/>
        <v>162.20899999999983</v>
      </c>
      <c r="GX105" s="153">
        <v>5814.9350000000004</v>
      </c>
      <c r="GY105" s="153">
        <v>4443.2160000000003</v>
      </c>
      <c r="GZ105" s="153">
        <f t="shared" si="131"/>
        <v>1.9990866647200178</v>
      </c>
      <c r="HA105" s="153">
        <f t="shared" si="190"/>
        <v>505.202</v>
      </c>
      <c r="HB105" s="153">
        <v>1066.461</v>
      </c>
      <c r="HC105" s="153">
        <v>1371.7190000000001</v>
      </c>
      <c r="HD105" s="186">
        <f t="shared" si="132"/>
        <v>7.0922059206622076E-2</v>
      </c>
      <c r="HE105" s="503">
        <f t="shared" si="133"/>
        <v>6.3777347755332323E-2</v>
      </c>
      <c r="HF105" s="663"/>
      <c r="HV105" s="186">
        <f t="shared" si="152"/>
        <v>5.5415852155210103E-2</v>
      </c>
      <c r="HW105" s="308">
        <f t="shared" si="153"/>
        <v>0.19492544029685421</v>
      </c>
      <c r="HX105" s="308">
        <f t="shared" si="154"/>
        <v>1.0801959380779708E-2</v>
      </c>
      <c r="HY105" s="313">
        <f t="shared" si="155"/>
        <v>0</v>
      </c>
      <c r="HZ105" s="23">
        <f t="shared" si="156"/>
        <v>4.2219719597085065E-2</v>
      </c>
      <c r="IA105" s="23">
        <f t="shared" si="157"/>
        <v>9.7033149243892197E-2</v>
      </c>
      <c r="IB105" s="23">
        <f t="shared" si="158"/>
        <v>3.0699906334543208E-2</v>
      </c>
      <c r="IC105" s="23">
        <f t="shared" si="159"/>
        <v>8.7047675744332129E-2</v>
      </c>
      <c r="ID105" s="23">
        <f t="shared" si="160"/>
        <v>2.8128151337378258E-2</v>
      </c>
      <c r="IE105" s="23">
        <f t="shared" si="161"/>
        <v>2.9406180617748013E-2</v>
      </c>
      <c r="IF105" s="23">
        <f t="shared" si="162"/>
        <v>6.4301348968147029E-2</v>
      </c>
      <c r="IG105" s="23">
        <f t="shared" si="163"/>
        <v>5.2072500190991758E-2</v>
      </c>
      <c r="IH105" s="23">
        <f t="shared" si="164"/>
        <v>1.2228848777155271E-2</v>
      </c>
      <c r="II105" s="23"/>
      <c r="IJ105" s="23"/>
      <c r="IK105" s="848">
        <v>160970</v>
      </c>
      <c r="IL105" s="332">
        <v>12.533000000000001</v>
      </c>
      <c r="IM105" s="330">
        <v>491096</v>
      </c>
      <c r="IN105" s="330">
        <v>28.851999999999997</v>
      </c>
      <c r="IO105" s="330">
        <v>14764</v>
      </c>
      <c r="IP105" s="76">
        <v>52456</v>
      </c>
      <c r="IQ105" s="76" t="s">
        <v>3543</v>
      </c>
      <c r="IR105" s="76" t="s">
        <v>3544</v>
      </c>
      <c r="IS105" s="76" t="s">
        <v>3545</v>
      </c>
      <c r="IT105" s="23"/>
      <c r="IU105" s="23"/>
      <c r="JK105" s="23">
        <f t="shared" si="195"/>
        <v>0.26353643357377443</v>
      </c>
      <c r="JL105" s="23">
        <f t="shared" si="196"/>
        <v>0.32777705377360028</v>
      </c>
      <c r="JM105" s="655">
        <f t="shared" si="197"/>
        <v>0</v>
      </c>
    </row>
    <row r="106" spans="1:273">
      <c r="B106" s="451">
        <v>2014</v>
      </c>
      <c r="C106" s="43">
        <v>15144</v>
      </c>
      <c r="D106" s="5">
        <v>2140.6</v>
      </c>
      <c r="E106" s="460">
        <f t="shared" si="172"/>
        <v>0.14134970945589012</v>
      </c>
      <c r="F106" s="454">
        <f t="shared" si="173"/>
        <v>0</v>
      </c>
      <c r="G106" s="76">
        <f t="shared" si="174"/>
        <v>1743.1</v>
      </c>
      <c r="H106" s="23">
        <f t="shared" si="175"/>
        <v>0.11510169043845747</v>
      </c>
      <c r="I106" s="454">
        <v>397.5</v>
      </c>
      <c r="J106" s="460">
        <f t="shared" si="176"/>
        <v>2.6248019017432647E-2</v>
      </c>
      <c r="K106" s="6">
        <f t="shared" si="177"/>
        <v>0.18569559936466412</v>
      </c>
      <c r="L106" s="136">
        <v>686.3</v>
      </c>
      <c r="M106" s="136">
        <f t="shared" si="180"/>
        <v>288.79999999999995</v>
      </c>
      <c r="N106" s="460">
        <f t="shared" si="178"/>
        <v>4.5318277865821446E-2</v>
      </c>
      <c r="O106" s="460">
        <f t="shared" si="181"/>
        <v>1.9070258848388796E-2</v>
      </c>
      <c r="P106" s="449">
        <f t="shared" si="182"/>
        <v>0.13491544426796223</v>
      </c>
      <c r="Q106" s="5">
        <f t="shared" si="179"/>
        <v>2140.6</v>
      </c>
      <c r="R106" s="169">
        <f t="shared" si="183"/>
        <v>288.79999999999995</v>
      </c>
      <c r="S106" s="454">
        <f t="shared" si="191"/>
        <v>0</v>
      </c>
      <c r="T106" s="76">
        <v>126.289</v>
      </c>
      <c r="U106" s="76">
        <v>162.43700000000001</v>
      </c>
      <c r="V106" s="76">
        <f t="shared" si="192"/>
        <v>7.3999999999955435E-2</v>
      </c>
      <c r="W106" s="23">
        <f t="shared" si="48"/>
        <v>0.56245498614958467</v>
      </c>
      <c r="X106" s="326">
        <v>187.886</v>
      </c>
      <c r="Y106" s="153">
        <f t="shared" si="49"/>
        <v>0</v>
      </c>
      <c r="Z106" s="79">
        <f t="shared" si="50"/>
        <v>162.43700000000001</v>
      </c>
      <c r="AA106" s="159">
        <v>67.594999999999999</v>
      </c>
      <c r="AB106" s="159">
        <v>94.841999999999999</v>
      </c>
      <c r="AC106" s="79">
        <f t="shared" si="51"/>
        <v>25.449000000000002</v>
      </c>
      <c r="AD106" s="79">
        <v>30.003</v>
      </c>
      <c r="AE106" s="79">
        <v>4.5540000000000003</v>
      </c>
      <c r="AF106" s="243">
        <f t="shared" si="52"/>
        <v>0.58386943861312379</v>
      </c>
      <c r="AG106" s="23">
        <f t="shared" si="53"/>
        <v>1.4016163692422685E-2</v>
      </c>
      <c r="AH106" s="450">
        <v>10.592000000000001</v>
      </c>
      <c r="AI106" s="153">
        <f t="shared" si="54"/>
        <v>177.29399999999998</v>
      </c>
      <c r="AJ106" s="153">
        <f t="shared" si="55"/>
        <v>0</v>
      </c>
      <c r="AK106" s="153">
        <v>193.9</v>
      </c>
      <c r="AL106" s="23">
        <f t="shared" si="56"/>
        <v>0.34860752965446107</v>
      </c>
      <c r="AM106" s="169">
        <v>177.29400000000001</v>
      </c>
      <c r="AN106" s="450">
        <v>3.7519999999999998</v>
      </c>
      <c r="AO106" s="450">
        <v>20.74</v>
      </c>
      <c r="AP106" s="450">
        <v>7.5970000000000004</v>
      </c>
      <c r="AQ106" s="450">
        <v>20.074999999999999</v>
      </c>
      <c r="AR106" s="450">
        <v>5.7690000000000001</v>
      </c>
      <c r="AS106" s="450">
        <v>1.9650000000000001</v>
      </c>
      <c r="AT106" s="450">
        <v>1E-3</v>
      </c>
      <c r="AU106" s="450">
        <v>0.84499999999999997</v>
      </c>
      <c r="AV106" s="79">
        <f t="shared" si="27"/>
        <v>58.777999999999999</v>
      </c>
      <c r="AW106" s="79">
        <f t="shared" si="28"/>
        <v>118.51600000000002</v>
      </c>
      <c r="AX106" s="23">
        <f t="shared" si="29"/>
        <v>2.1162588694484865E-2</v>
      </c>
      <c r="AY106" s="23">
        <f t="shared" si="30"/>
        <v>0.11698083409478041</v>
      </c>
      <c r="AZ106" s="23">
        <f t="shared" si="31"/>
        <v>4.2849729827292522E-2</v>
      </c>
      <c r="BA106" s="23">
        <f t="shared" si="32"/>
        <v>0.11323000214333254</v>
      </c>
      <c r="BB106" s="23">
        <f t="shared" si="33"/>
        <v>3.2539172222410234E-2</v>
      </c>
      <c r="BC106" s="23">
        <f t="shared" si="34"/>
        <v>1.108328539036854E-2</v>
      </c>
      <c r="BD106" s="23">
        <f t="shared" si="35"/>
        <v>5.64034879916974E-6</v>
      </c>
      <c r="BE106" s="23">
        <f t="shared" si="36"/>
        <v>4.76609473529843E-3</v>
      </c>
      <c r="BF106" s="23">
        <f t="shared" si="37"/>
        <v>0.331528421717599</v>
      </c>
      <c r="BG106" s="153">
        <v>90.674000000000007</v>
      </c>
      <c r="BH106" s="23">
        <f t="shared" si="194"/>
        <v>0.51143298701591711</v>
      </c>
      <c r="BI106" s="23">
        <f>'Assets(BoP)'!EF106</f>
        <v>0.180805939683501</v>
      </c>
      <c r="BJ106" s="298">
        <v>84.25</v>
      </c>
      <c r="BK106" s="282"/>
      <c r="BL106" s="282"/>
      <c r="BM106" s="282"/>
      <c r="BN106" s="282"/>
      <c r="BO106" s="282"/>
      <c r="BP106" s="282"/>
      <c r="BQ106" s="212">
        <f t="shared" si="193"/>
        <v>0</v>
      </c>
      <c r="BR106" s="23">
        <f t="shared" si="58"/>
        <v>0</v>
      </c>
      <c r="BS106" s="79"/>
      <c r="BT106" s="243">
        <f t="shared" si="59"/>
        <v>0</v>
      </c>
      <c r="BU106" s="182">
        <f t="shared" si="60"/>
        <v>151.845</v>
      </c>
      <c r="BV106" s="136">
        <f t="shared" si="61"/>
        <v>0</v>
      </c>
      <c r="BW106" s="375">
        <f t="shared" si="62"/>
        <v>3.4621828386825899</v>
      </c>
      <c r="BX106" s="375">
        <f t="shared" si="63"/>
        <v>18.139029363079878</v>
      </c>
      <c r="BY106" s="375">
        <f t="shared" si="64"/>
        <v>4.3283868012533535</v>
      </c>
      <c r="BZ106" s="375">
        <f t="shared" si="65"/>
        <v>14.856803409695713</v>
      </c>
      <c r="CA106" s="375">
        <f t="shared" si="66"/>
        <v>4.5137410042317354</v>
      </c>
      <c r="CB106" s="375">
        <f t="shared" si="67"/>
        <v>0.65290486685240245</v>
      </c>
      <c r="CC106" s="375">
        <f t="shared" si="68"/>
        <v>45.953048283795674</v>
      </c>
      <c r="CD106" s="375">
        <f t="shared" si="69"/>
        <v>104.65606340690701</v>
      </c>
      <c r="CE106" s="243">
        <f t="shared" si="70"/>
        <v>2.2800769460190259E-2</v>
      </c>
      <c r="CF106" s="243">
        <f t="shared" si="71"/>
        <v>0.11945753474319126</v>
      </c>
      <c r="CG106" s="243">
        <f t="shared" si="72"/>
        <v>2.8505296857014414E-2</v>
      </c>
      <c r="CH106" s="243">
        <f t="shared" si="73"/>
        <v>9.7841900686197858E-2</v>
      </c>
      <c r="CI106" s="243">
        <f t="shared" si="74"/>
        <v>2.9725977175618132E-2</v>
      </c>
      <c r="CJ106" s="243">
        <f t="shared" si="75"/>
        <v>4.2998114317389603E-3</v>
      </c>
      <c r="CK106" s="243">
        <f t="shared" si="76"/>
        <v>0.30263129035395087</v>
      </c>
      <c r="CL106" s="243">
        <f t="shared" si="77"/>
        <v>0.69736870964604913</v>
      </c>
      <c r="CM106" s="23">
        <f t="shared" si="78"/>
        <v>4.0829634987489954E-2</v>
      </c>
      <c r="CN106" s="243">
        <f t="shared" si="79"/>
        <v>9.4085809280472277E-2</v>
      </c>
      <c r="CO106" s="243">
        <f t="shared" si="184"/>
        <v>5.7712570426717508E-3</v>
      </c>
      <c r="CP106" s="412">
        <f t="shared" si="185"/>
        <v>0</v>
      </c>
      <c r="CQ106" s="412">
        <f t="shared" si="186"/>
        <v>5.7712570426717508E-3</v>
      </c>
      <c r="CR106" s="243">
        <f t="shared" si="187"/>
        <v>1.3299001805717046E-2</v>
      </c>
      <c r="CS106" s="383">
        <v>25.449000000000002</v>
      </c>
      <c r="CT106" s="153">
        <v>4.5540000000000003</v>
      </c>
      <c r="CU106" s="153">
        <v>30.003</v>
      </c>
      <c r="CV106" s="322">
        <f t="shared" si="134"/>
        <v>0.28981716131740987</v>
      </c>
      <c r="CW106" s="322">
        <f t="shared" si="135"/>
        <v>2.6009706369201187</v>
      </c>
      <c r="CX106" s="322">
        <f t="shared" si="136"/>
        <v>3.2686131987466465</v>
      </c>
      <c r="CY106" s="322">
        <f t="shared" si="137"/>
        <v>5.2181965903042862</v>
      </c>
      <c r="CZ106" s="322">
        <f t="shared" si="138"/>
        <v>1.2552589957682649</v>
      </c>
      <c r="DA106" s="375">
        <f t="shared" si="138"/>
        <v>0.19209513314759755</v>
      </c>
      <c r="DB106" s="375">
        <f t="shared" si="85"/>
        <v>12.824951716204325</v>
      </c>
      <c r="DC106" s="375">
        <f t="shared" si="189"/>
        <v>13.859936593093009</v>
      </c>
      <c r="DD106" s="375">
        <f t="shared" si="87"/>
        <v>-1.2358883092973318</v>
      </c>
      <c r="DE106" s="243">
        <f t="shared" si="88"/>
        <v>0.50394717734309102</v>
      </c>
      <c r="DF106" s="149">
        <v>65.912999999999997</v>
      </c>
      <c r="DG106" s="153">
        <v>-6.3970000000000002</v>
      </c>
      <c r="DH106" s="153">
        <v>18.821999999999999</v>
      </c>
      <c r="DI106" s="153">
        <v>-4.7480000000000002</v>
      </c>
      <c r="DJ106" s="153">
        <v>20.777999999999999</v>
      </c>
      <c r="DK106" s="153">
        <v>2.5779999999999998</v>
      </c>
      <c r="DL106" s="153">
        <v>3.2210000000000001</v>
      </c>
      <c r="DM106" s="153">
        <f t="shared" si="38"/>
        <v>34.253999999999998</v>
      </c>
      <c r="DN106" s="153">
        <f t="shared" si="39"/>
        <v>31.658999999999999</v>
      </c>
      <c r="DO106" s="258">
        <f t="shared" si="140"/>
        <v>55.933999999999969</v>
      </c>
      <c r="DP106" s="5">
        <v>2945.7950000000001</v>
      </c>
      <c r="DQ106" s="76">
        <v>26.431000000000001</v>
      </c>
      <c r="DR106" s="76">
        <v>258.17700000000002</v>
      </c>
      <c r="DS106" s="76">
        <v>232.28800000000001</v>
      </c>
      <c r="DT106" s="76">
        <v>245.18799999999999</v>
      </c>
      <c r="DU106" s="76">
        <v>91.966999999999999</v>
      </c>
      <c r="DV106" s="76">
        <v>20.664999999999999</v>
      </c>
      <c r="DW106" s="76">
        <f t="shared" si="40"/>
        <v>874.71600000000001</v>
      </c>
      <c r="DX106" s="76">
        <f t="shared" si="41"/>
        <v>2071.0790000000002</v>
      </c>
      <c r="DY106" s="23">
        <f t="shared" si="141"/>
        <v>0.29693715957831418</v>
      </c>
      <c r="DZ106" s="23">
        <f t="shared" si="42"/>
        <v>8.9724505608842434E-3</v>
      </c>
      <c r="EA106" s="23">
        <f t="shared" si="43"/>
        <v>8.7642554896046748E-2</v>
      </c>
      <c r="EB106" s="23">
        <f t="shared" si="44"/>
        <v>7.885409541397144E-2</v>
      </c>
      <c r="EC106" s="23">
        <f t="shared" si="45"/>
        <v>8.3233218876398382E-2</v>
      </c>
      <c r="ED106" s="23">
        <f t="shared" si="46"/>
        <v>3.121975561775344E-2</v>
      </c>
      <c r="EE106" s="23">
        <f t="shared" si="142"/>
        <v>7.0150842132599171E-3</v>
      </c>
      <c r="EF106" s="149">
        <v>561.13599999999997</v>
      </c>
      <c r="EG106" s="153">
        <f t="shared" si="207"/>
        <v>-9.6360000000000028</v>
      </c>
      <c r="EH106" s="153">
        <f t="shared" si="208"/>
        <v>61.643000000000001</v>
      </c>
      <c r="EI106" s="153">
        <f t="shared" si="209"/>
        <v>96.210999999999999</v>
      </c>
      <c r="EJ106" s="153">
        <f t="shared" si="210"/>
        <v>144.86700000000002</v>
      </c>
      <c r="EK106" s="153">
        <f t="shared" si="211"/>
        <v>-11.448999999999998</v>
      </c>
      <c r="EL106" s="153">
        <f t="shared" si="212"/>
        <v>3.3929999999999998</v>
      </c>
      <c r="EM106" s="330">
        <f t="shared" si="213"/>
        <v>285.029</v>
      </c>
      <c r="EN106" s="330">
        <f t="shared" si="200"/>
        <v>276.10699999999997</v>
      </c>
      <c r="EO106" s="23">
        <f t="shared" si="91"/>
        <v>0.50794994439850594</v>
      </c>
      <c r="EP106" s="258">
        <v>945.81399999999996</v>
      </c>
      <c r="EQ106" s="153">
        <v>16.146999999999998</v>
      </c>
      <c r="ER106" s="153">
        <v>89.593000000000004</v>
      </c>
      <c r="ES106" s="153">
        <v>105.59</v>
      </c>
      <c r="ET106" s="153">
        <v>171.83</v>
      </c>
      <c r="EU106" s="153">
        <v>58.625</v>
      </c>
      <c r="EV106" s="153">
        <v>7.05</v>
      </c>
      <c r="EW106" s="153">
        <f t="shared" si="201"/>
        <v>448.83500000000004</v>
      </c>
      <c r="EX106" s="330">
        <f t="shared" si="202"/>
        <v>496.97899999999993</v>
      </c>
      <c r="EY106" s="23">
        <f t="shared" si="203"/>
        <v>0.47454890707898179</v>
      </c>
      <c r="EZ106" s="258">
        <v>384.678</v>
      </c>
      <c r="FA106" s="153">
        <v>25.783000000000001</v>
      </c>
      <c r="FB106" s="153">
        <v>27.95</v>
      </c>
      <c r="FC106" s="153">
        <v>9.3789999999999996</v>
      </c>
      <c r="FD106" s="153">
        <v>26.963000000000001</v>
      </c>
      <c r="FE106" s="153">
        <v>70.073999999999998</v>
      </c>
      <c r="FF106" s="153">
        <v>3.657</v>
      </c>
      <c r="FG106" s="153">
        <f t="shared" si="204"/>
        <v>163.80600000000001</v>
      </c>
      <c r="FH106" s="330">
        <f t="shared" si="205"/>
        <v>220.87199999999999</v>
      </c>
      <c r="FI106" s="23">
        <f t="shared" si="206"/>
        <v>0.42582627548235152</v>
      </c>
      <c r="FJ106" s="23"/>
      <c r="FK106" s="448">
        <f t="shared" si="104"/>
        <v>8.6256861341243059E-3</v>
      </c>
      <c r="FL106" s="448">
        <f t="shared" si="105"/>
        <v>3.1721881892211368E-2</v>
      </c>
      <c r="FM106" s="23"/>
      <c r="FN106" s="23"/>
      <c r="FO106" s="326">
        <v>2384.6590000000001</v>
      </c>
      <c r="FP106" s="483">
        <f t="shared" si="106"/>
        <v>0</v>
      </c>
      <c r="FQ106" s="153">
        <f t="shared" si="107"/>
        <v>36.067000000000007</v>
      </c>
      <c r="FR106" s="153">
        <f t="shared" si="108"/>
        <v>196.53400000000002</v>
      </c>
      <c r="FS106" s="153">
        <f t="shared" si="109"/>
        <v>136.077</v>
      </c>
      <c r="FT106" s="153">
        <f t="shared" si="110"/>
        <v>100.32099999999997</v>
      </c>
      <c r="FU106" s="153">
        <f t="shared" si="111"/>
        <v>103.416</v>
      </c>
      <c r="FV106" s="153">
        <f t="shared" si="112"/>
        <v>17.271999999999998</v>
      </c>
      <c r="FW106" s="153">
        <f t="shared" si="113"/>
        <v>589.68700000000001</v>
      </c>
      <c r="FX106" s="153">
        <f t="shared" si="114"/>
        <v>0</v>
      </c>
      <c r="FY106" s="153">
        <f t="shared" si="115"/>
        <v>1794.9720000000002</v>
      </c>
      <c r="FZ106" s="448">
        <f t="shared" si="116"/>
        <v>0.24728357387785843</v>
      </c>
      <c r="GA106" s="23">
        <f t="shared" si="117"/>
        <v>1.5124594334032668E-2</v>
      </c>
      <c r="GB106" s="23">
        <f t="shared" si="118"/>
        <v>8.241597645617256E-2</v>
      </c>
      <c r="GC106" s="23">
        <f t="shared" si="119"/>
        <v>5.7063504677188646E-2</v>
      </c>
      <c r="GD106" s="23">
        <f t="shared" si="120"/>
        <v>4.2069327312626234E-2</v>
      </c>
      <c r="GE106" s="23">
        <f t="shared" si="121"/>
        <v>4.3367206799798205E-2</v>
      </c>
      <c r="GF106" s="23">
        <f t="shared" si="122"/>
        <v>7.2429642980400962E-3</v>
      </c>
      <c r="GG106" s="23">
        <f t="shared" si="123"/>
        <v>0.15746559693608031</v>
      </c>
      <c r="GH106" s="23">
        <f t="shared" si="124"/>
        <v>0.11852694136291601</v>
      </c>
      <c r="GI106" s="23">
        <f t="shared" si="125"/>
        <v>3.8938655573164289E-2</v>
      </c>
      <c r="GJ106" s="326">
        <v>1473.7719999999999</v>
      </c>
      <c r="GK106" s="153">
        <f t="shared" si="151"/>
        <v>0</v>
      </c>
      <c r="GL106" s="153">
        <f t="shared" si="126"/>
        <v>561.13599999999997</v>
      </c>
      <c r="GM106" s="153">
        <f t="shared" si="127"/>
        <v>384.678</v>
      </c>
      <c r="GN106" s="153">
        <v>527.95799999999997</v>
      </c>
      <c r="GO106" s="153">
        <v>945.81399999999996</v>
      </c>
      <c r="GP106" s="153">
        <f t="shared" si="128"/>
        <v>945.81399999999996</v>
      </c>
      <c r="GQ106" s="295"/>
      <c r="GR106" s="153">
        <f t="shared" si="129"/>
        <v>2384.6590000000001</v>
      </c>
      <c r="GS106" s="153">
        <f>FoF_RoW!$AZ76/1000</f>
        <v>3540.654</v>
      </c>
      <c r="GT106" s="153">
        <f t="shared" si="214"/>
        <v>2979.518</v>
      </c>
      <c r="GU106" s="23">
        <f t="shared" si="130"/>
        <v>1.2494524374344507</v>
      </c>
      <c r="GV106" s="330">
        <f>FoF_RoW!$AE76/1000</f>
        <v>212.32499999999999</v>
      </c>
      <c r="GW106" s="330">
        <f t="shared" si="16"/>
        <v>219.79300000000012</v>
      </c>
      <c r="GX106" s="153">
        <v>6369.5240000000003</v>
      </c>
      <c r="GY106" s="153">
        <v>4895.7520000000004</v>
      </c>
      <c r="GZ106" s="153">
        <f t="shared" si="131"/>
        <v>2.0530197399292729</v>
      </c>
      <c r="HA106" s="153">
        <f t="shared" si="190"/>
        <v>561.13599999999997</v>
      </c>
      <c r="HB106" s="153">
        <v>1149.2909999999999</v>
      </c>
      <c r="HC106" s="153">
        <v>1473.7719999999999</v>
      </c>
      <c r="HD106" s="186">
        <f t="shared" si="132"/>
        <v>6.8117496044507828E-2</v>
      </c>
      <c r="HE106" s="503">
        <f t="shared" si="133"/>
        <v>6.3675770833481846E-2</v>
      </c>
      <c r="HF106" s="663"/>
      <c r="HV106" s="186">
        <f t="shared" si="152"/>
        <v>5.428607223615621E-2</v>
      </c>
      <c r="HW106" s="308">
        <f t="shared" si="153"/>
        <v>0.19674577390385631</v>
      </c>
      <c r="HX106" s="308">
        <f t="shared" si="154"/>
        <v>1.0680555294303201E-2</v>
      </c>
      <c r="HY106" s="313">
        <f t="shared" si="155"/>
        <v>0</v>
      </c>
      <c r="HZ106" s="23">
        <f t="shared" si="156"/>
        <v>8.183784573783065E-2</v>
      </c>
      <c r="IA106" s="23">
        <f t="shared" si="157"/>
        <v>7.8684748262014118E-2</v>
      </c>
      <c r="IB106" s="23">
        <f t="shared" si="158"/>
        <v>2.7117868295102394E-2</v>
      </c>
      <c r="IC106" s="23">
        <f t="shared" si="159"/>
        <v>0.12625475204067826</v>
      </c>
      <c r="ID106" s="23">
        <f t="shared" si="160"/>
        <v>3.7210294674856613E-2</v>
      </c>
      <c r="IE106" s="23">
        <f t="shared" si="161"/>
        <v>3.2227119226363378E-2</v>
      </c>
      <c r="IF106" s="23">
        <f t="shared" si="162"/>
        <v>6.6436536125082088E-2</v>
      </c>
      <c r="IG106" s="23">
        <f t="shared" si="163"/>
        <v>4.9707386066733812E-2</v>
      </c>
      <c r="IH106" s="23">
        <f t="shared" si="164"/>
        <v>1.6729150058348276E-2</v>
      </c>
      <c r="II106" s="23"/>
      <c r="IJ106" s="23"/>
      <c r="IK106" s="848">
        <v>164965</v>
      </c>
      <c r="IL106" s="332">
        <v>63.455999999999996</v>
      </c>
      <c r="IM106" s="330">
        <v>521059</v>
      </c>
      <c r="IN106" s="332">
        <v>28.905999999999999</v>
      </c>
      <c r="IO106" s="330">
        <v>17422</v>
      </c>
      <c r="IP106" s="76">
        <v>62979</v>
      </c>
      <c r="IQ106" s="76" t="s">
        <v>3546</v>
      </c>
      <c r="IR106" s="76" t="s">
        <v>3547</v>
      </c>
      <c r="IS106" s="76" t="s">
        <v>3548</v>
      </c>
      <c r="IT106" s="23"/>
      <c r="IU106" s="23"/>
      <c r="JK106" s="23">
        <f t="shared" si="195"/>
        <v>0.25927647609055993</v>
      </c>
      <c r="JL106" s="23">
        <f t="shared" si="196"/>
        <v>0.31659562544740616</v>
      </c>
      <c r="JM106" s="655">
        <f t="shared" si="197"/>
        <v>0</v>
      </c>
    </row>
    <row r="107" spans="1:273">
      <c r="B107" s="451">
        <v>2015</v>
      </c>
      <c r="C107" s="43">
        <v>15739.6</v>
      </c>
      <c r="D107" s="5">
        <v>2117.5</v>
      </c>
      <c r="E107" s="460">
        <f t="shared" si="172"/>
        <v>0.13453327911763957</v>
      </c>
      <c r="F107" s="454">
        <f t="shared" si="173"/>
        <v>0</v>
      </c>
      <c r="G107" s="76">
        <f t="shared" si="174"/>
        <v>1710.9666666666667</v>
      </c>
      <c r="H107" s="23">
        <f t="shared" si="175"/>
        <v>0.10870458376748245</v>
      </c>
      <c r="I107" s="454">
        <v>406.5333333333333</v>
      </c>
      <c r="J107" s="460">
        <f t="shared" si="176"/>
        <v>2.5828695350157138E-2</v>
      </c>
      <c r="K107" s="6">
        <f t="shared" si="177"/>
        <v>0.19198740653286106</v>
      </c>
      <c r="L107" s="136">
        <v>653.1</v>
      </c>
      <c r="M107" s="136">
        <f t="shared" si="180"/>
        <v>246.56666666666672</v>
      </c>
      <c r="N107" s="460">
        <f t="shared" si="178"/>
        <v>4.1494065922895118E-2</v>
      </c>
      <c r="O107" s="460">
        <f t="shared" si="181"/>
        <v>1.566537057273798E-2</v>
      </c>
      <c r="P107" s="449">
        <f t="shared" si="182"/>
        <v>0.11644234553325465</v>
      </c>
      <c r="Q107" s="5">
        <f t="shared" si="179"/>
        <v>2117.5</v>
      </c>
      <c r="R107" s="169">
        <f t="shared" si="183"/>
        <v>246.56666666666672</v>
      </c>
      <c r="S107" s="454">
        <f t="shared" si="191"/>
        <v>0</v>
      </c>
      <c r="T107" s="76">
        <v>136.76599999999999</v>
      </c>
      <c r="U107" s="76">
        <v>131.23699999999999</v>
      </c>
      <c r="V107" s="76">
        <f t="shared" si="192"/>
        <v>-21.436333333333266</v>
      </c>
      <c r="W107" s="23">
        <f t="shared" si="48"/>
        <v>0.53225767202920093</v>
      </c>
      <c r="X107" s="326">
        <v>159.25399999999999</v>
      </c>
      <c r="Y107" s="153">
        <f t="shared" si="49"/>
        <v>0</v>
      </c>
      <c r="Z107" s="79">
        <f t="shared" si="50"/>
        <v>131.23699999999999</v>
      </c>
      <c r="AA107" s="159">
        <v>50.49</v>
      </c>
      <c r="AB107" s="159">
        <v>80.747</v>
      </c>
      <c r="AC107" s="79">
        <f t="shared" si="51"/>
        <v>28.016999999999999</v>
      </c>
      <c r="AD107" s="79">
        <v>32.843000000000004</v>
      </c>
      <c r="AE107" s="79">
        <v>4.8259999999999996</v>
      </c>
      <c r="AF107" s="243">
        <f t="shared" si="52"/>
        <v>0.61527617973589765</v>
      </c>
      <c r="AG107" s="23">
        <f t="shared" si="53"/>
        <v>1.5510271546635184E-2</v>
      </c>
      <c r="AH107" s="450">
        <v>10.919</v>
      </c>
      <c r="AI107" s="153">
        <f t="shared" si="54"/>
        <v>148.33499999999998</v>
      </c>
      <c r="AJ107" s="153">
        <f t="shared" si="55"/>
        <v>0</v>
      </c>
      <c r="AK107" s="153">
        <v>187.3</v>
      </c>
      <c r="AL107" s="23">
        <f t="shared" si="56"/>
        <v>0.26956753870795513</v>
      </c>
      <c r="AM107" s="169">
        <v>148.33500000000001</v>
      </c>
      <c r="AN107" s="450">
        <v>4.8259999999999996</v>
      </c>
      <c r="AO107" s="450">
        <v>16.45</v>
      </c>
      <c r="AP107" s="450">
        <v>8.75</v>
      </c>
      <c r="AQ107" s="450">
        <v>18.486999999999998</v>
      </c>
      <c r="AR107" s="450">
        <v>5.9870000000000001</v>
      </c>
      <c r="AS107" s="450">
        <v>2.7160000000000002</v>
      </c>
      <c r="AT107" s="450">
        <v>1E-3</v>
      </c>
      <c r="AU107" s="450">
        <v>0.86599999999999999</v>
      </c>
      <c r="AV107" s="79">
        <f t="shared" si="27"/>
        <v>55.366</v>
      </c>
      <c r="AW107" s="79">
        <f t="shared" si="28"/>
        <v>92.969000000000008</v>
      </c>
      <c r="AX107" s="23">
        <f t="shared" si="29"/>
        <v>3.253446590487747E-2</v>
      </c>
      <c r="AY107" s="23">
        <f t="shared" si="30"/>
        <v>0.11089763036370377</v>
      </c>
      <c r="AZ107" s="23">
        <f t="shared" si="31"/>
        <v>5.898810125728924E-2</v>
      </c>
      <c r="BA107" s="23">
        <f t="shared" si="32"/>
        <v>0.1246300603364007</v>
      </c>
      <c r="BB107" s="23">
        <f t="shared" si="33"/>
        <v>4.0361344254558937E-2</v>
      </c>
      <c r="BC107" s="23">
        <f t="shared" si="34"/>
        <v>1.8309906630262582E-2</v>
      </c>
      <c r="BD107" s="23">
        <f t="shared" si="35"/>
        <v>6.741497286547342E-6</v>
      </c>
      <c r="BE107" s="23">
        <f t="shared" si="36"/>
        <v>5.8381366501499979E-3</v>
      </c>
      <c r="BF107" s="23">
        <f t="shared" si="37"/>
        <v>0.37324973876698009</v>
      </c>
      <c r="BG107" s="153">
        <v>72.274000000000001</v>
      </c>
      <c r="BH107" s="23">
        <f t="shared" si="194"/>
        <v>0.48723497488792261</v>
      </c>
      <c r="BI107" s="23">
        <f>'Assets(BoP)'!EF107</f>
        <v>0.18248498245596781</v>
      </c>
      <c r="BJ107" s="298">
        <v>69.828000000000003</v>
      </c>
      <c r="BK107" s="282"/>
      <c r="BL107" s="282"/>
      <c r="BM107" s="282"/>
      <c r="BN107" s="282"/>
      <c r="BO107" s="282"/>
      <c r="BP107" s="282"/>
      <c r="BQ107" s="212">
        <f t="shared" si="193"/>
        <v>0</v>
      </c>
      <c r="BR107" s="23">
        <f t="shared" si="58"/>
        <v>0</v>
      </c>
      <c r="BS107" s="79"/>
      <c r="BT107" s="243">
        <f t="shared" si="59"/>
        <v>0</v>
      </c>
      <c r="BU107" s="182">
        <f t="shared" si="60"/>
        <v>120.31800000000001</v>
      </c>
      <c r="BV107" s="136">
        <f t="shared" si="61"/>
        <v>0</v>
      </c>
      <c r="BW107" s="375">
        <f t="shared" si="62"/>
        <v>4.3626205516560344</v>
      </c>
      <c r="BX107" s="375">
        <f t="shared" si="63"/>
        <v>13.50379146571926</v>
      </c>
      <c r="BY107" s="375">
        <f t="shared" si="64"/>
        <v>3.211608478094818</v>
      </c>
      <c r="BZ107" s="375">
        <f t="shared" si="65"/>
        <v>13.553917425335083</v>
      </c>
      <c r="CA107" s="375">
        <f t="shared" si="66"/>
        <v>4.8918497590867203</v>
      </c>
      <c r="CB107" s="375">
        <f t="shared" si="67"/>
        <v>0.68378274491174462</v>
      </c>
      <c r="CC107" s="375">
        <f t="shared" si="68"/>
        <v>40.207570424803663</v>
      </c>
      <c r="CD107" s="375">
        <f t="shared" si="69"/>
        <v>78.66377944474209</v>
      </c>
      <c r="CE107" s="243">
        <f t="shared" si="70"/>
        <v>3.6259084689373444E-2</v>
      </c>
      <c r="CF107" s="243">
        <f t="shared" si="71"/>
        <v>0.11223417498395301</v>
      </c>
      <c r="CG107" s="243">
        <f t="shared" si="72"/>
        <v>2.6692668412829482E-2</v>
      </c>
      <c r="CH107" s="243">
        <f t="shared" si="73"/>
        <v>0.11265078729146995</v>
      </c>
      <c r="CI107" s="243">
        <f t="shared" si="74"/>
        <v>4.065767182870992E-2</v>
      </c>
      <c r="CJ107" s="243">
        <f t="shared" si="75"/>
        <v>5.6831292484228841E-3</v>
      </c>
      <c r="CK107" s="243">
        <f t="shared" si="76"/>
        <v>0.33417751645475868</v>
      </c>
      <c r="CL107" s="243">
        <f t="shared" si="77"/>
        <v>0.66582248354524132</v>
      </c>
      <c r="CM107" s="23">
        <f t="shared" si="78"/>
        <v>3.8912413840469902E-2</v>
      </c>
      <c r="CN107" s="243">
        <f t="shared" si="79"/>
        <v>7.7529931692784743E-2</v>
      </c>
      <c r="CO107" s="243">
        <f t="shared" si="184"/>
        <v>5.2350146323410385E-3</v>
      </c>
      <c r="CP107" s="412">
        <f t="shared" si="185"/>
        <v>0</v>
      </c>
      <c r="CQ107" s="412">
        <f t="shared" si="186"/>
        <v>5.2350146323410385E-3</v>
      </c>
      <c r="CR107" s="243">
        <f t="shared" si="187"/>
        <v>1.043035594039694E-2</v>
      </c>
      <c r="CS107" s="383">
        <v>28.016999999999999</v>
      </c>
      <c r="CT107" s="153">
        <v>4.8259999999999996</v>
      </c>
      <c r="CU107" s="153">
        <v>32.843000000000004</v>
      </c>
      <c r="CV107" s="322">
        <f t="shared" si="134"/>
        <v>0.46337944834396505</v>
      </c>
      <c r="CW107" s="322">
        <f t="shared" si="135"/>
        <v>2.94620853428074</v>
      </c>
      <c r="CX107" s="322">
        <f t="shared" si="136"/>
        <v>5.538391521905182</v>
      </c>
      <c r="CY107" s="322">
        <f t="shared" si="137"/>
        <v>4.9330825746649163</v>
      </c>
      <c r="CZ107" s="322">
        <f t="shared" si="138"/>
        <v>1.0951502409132801</v>
      </c>
      <c r="DA107" s="375">
        <f t="shared" si="138"/>
        <v>0.1822172550882554</v>
      </c>
      <c r="DB107" s="375">
        <f t="shared" si="85"/>
        <v>15.158429575196338</v>
      </c>
      <c r="DC107" s="375">
        <f t="shared" si="189"/>
        <v>14.305220555257913</v>
      </c>
      <c r="DD107" s="375">
        <f t="shared" si="87"/>
        <v>-1.4466501304542518</v>
      </c>
      <c r="DE107" s="243">
        <f t="shared" si="88"/>
        <v>0.54104399383218538</v>
      </c>
      <c r="DF107" s="149">
        <v>86.524000000000001</v>
      </c>
      <c r="DG107" s="153">
        <v>-0.23300000000000001</v>
      </c>
      <c r="DH107" s="153">
        <v>15.589</v>
      </c>
      <c r="DI107" s="153">
        <v>60.643000000000001</v>
      </c>
      <c r="DJ107" s="153">
        <v>-10.44</v>
      </c>
      <c r="DK107" s="153">
        <v>1.413</v>
      </c>
      <c r="DL107" s="153">
        <v>1.1240000000000001</v>
      </c>
      <c r="DM107" s="153">
        <f t="shared" si="38"/>
        <v>68.095999999999989</v>
      </c>
      <c r="DN107" s="153">
        <f t="shared" si="39"/>
        <v>18.428000000000011</v>
      </c>
      <c r="DO107" s="258">
        <f t="shared" si="140"/>
        <v>72.102000000000089</v>
      </c>
      <c r="DP107" s="5">
        <v>3303.5859999999998</v>
      </c>
      <c r="DQ107" s="76">
        <v>35.814</v>
      </c>
      <c r="DR107" s="76">
        <v>299.77999999999997</v>
      </c>
      <c r="DS107" s="76">
        <v>347.86399999999998</v>
      </c>
      <c r="DT107" s="76">
        <v>249.22499999999999</v>
      </c>
      <c r="DU107" s="76">
        <v>91.546000000000006</v>
      </c>
      <c r="DV107" s="76">
        <v>21.654</v>
      </c>
      <c r="DW107" s="76">
        <f t="shared" si="40"/>
        <v>1045.883</v>
      </c>
      <c r="DX107" s="76">
        <f t="shared" si="41"/>
        <v>2257.7029999999995</v>
      </c>
      <c r="DY107" s="23">
        <f t="shared" si="141"/>
        <v>0.31659021439127061</v>
      </c>
      <c r="DZ107" s="23">
        <f t="shared" si="42"/>
        <v>1.0840946777229351E-2</v>
      </c>
      <c r="EA107" s="23">
        <f t="shared" si="43"/>
        <v>9.0743815962411753E-2</v>
      </c>
      <c r="EB107" s="23">
        <f t="shared" si="44"/>
        <v>0.10529890851940892</v>
      </c>
      <c r="EC107" s="23">
        <f t="shared" si="45"/>
        <v>7.5440748326212795E-2</v>
      </c>
      <c r="ED107" s="23">
        <f t="shared" si="46"/>
        <v>2.7711099393204843E-2</v>
      </c>
      <c r="EE107" s="23">
        <f t="shared" si="142"/>
        <v>6.5546954128029361E-3</v>
      </c>
      <c r="EF107" s="149">
        <v>633.23800000000006</v>
      </c>
      <c r="EG107" s="153">
        <f t="shared" si="207"/>
        <v>-30.471</v>
      </c>
      <c r="EH107" s="153">
        <f t="shared" si="208"/>
        <v>74.716999999999999</v>
      </c>
      <c r="EI107" s="153">
        <f t="shared" si="209"/>
        <v>164.46699999999998</v>
      </c>
      <c r="EJ107" s="153">
        <f t="shared" si="210"/>
        <v>132.458</v>
      </c>
      <c r="EK107" s="153">
        <f t="shared" si="211"/>
        <v>-21.746999999999993</v>
      </c>
      <c r="EL107" s="153">
        <f t="shared" si="212"/>
        <v>2.8510000000000004</v>
      </c>
      <c r="EM107" s="330">
        <f t="shared" si="213"/>
        <v>322.27500000000009</v>
      </c>
      <c r="EN107" s="330">
        <f t="shared" si="200"/>
        <v>310.96299999999997</v>
      </c>
      <c r="EO107" s="23">
        <f t="shared" si="91"/>
        <v>0.50893187079739377</v>
      </c>
      <c r="EP107" s="258">
        <v>1041.451</v>
      </c>
      <c r="EQ107" s="153">
        <v>30.77</v>
      </c>
      <c r="ER107" s="153">
        <v>100.083</v>
      </c>
      <c r="ES107" s="153">
        <v>179.59299999999999</v>
      </c>
      <c r="ET107" s="153">
        <v>164.96</v>
      </c>
      <c r="EU107" s="153">
        <v>54.829000000000001</v>
      </c>
      <c r="EV107" s="153">
        <v>6.82</v>
      </c>
      <c r="EW107" s="153">
        <f t="shared" si="201"/>
        <v>537.05500000000006</v>
      </c>
      <c r="EX107" s="330">
        <f t="shared" si="202"/>
        <v>504.39599999999996</v>
      </c>
      <c r="EY107" s="23">
        <f t="shared" si="203"/>
        <v>0.5156795662974063</v>
      </c>
      <c r="EZ107" s="258">
        <v>408.21300000000002</v>
      </c>
      <c r="FA107" s="153">
        <v>61.241</v>
      </c>
      <c r="FB107" s="153">
        <v>25.366</v>
      </c>
      <c r="FC107" s="153">
        <v>15.125999999999999</v>
      </c>
      <c r="FD107" s="153">
        <v>32.502000000000002</v>
      </c>
      <c r="FE107" s="153">
        <v>76.575999999999993</v>
      </c>
      <c r="FF107" s="153">
        <v>3.9689999999999999</v>
      </c>
      <c r="FG107" s="153">
        <f t="shared" si="204"/>
        <v>214.78</v>
      </c>
      <c r="FH107" s="330">
        <f t="shared" si="205"/>
        <v>193.43300000000002</v>
      </c>
      <c r="FI107" s="23">
        <f t="shared" si="206"/>
        <v>0.52614688900157514</v>
      </c>
      <c r="FJ107" s="23"/>
      <c r="FK107" s="448">
        <f t="shared" si="104"/>
        <v>8.2783984575350404E-3</v>
      </c>
      <c r="FL107" s="448">
        <f t="shared" si="105"/>
        <v>3.1535809173931374E-2</v>
      </c>
      <c r="FM107" s="23"/>
      <c r="FN107" s="23"/>
      <c r="FO107" s="326">
        <v>2670.348</v>
      </c>
      <c r="FP107" s="483">
        <f t="shared" si="106"/>
        <v>0</v>
      </c>
      <c r="FQ107" s="153">
        <f t="shared" si="107"/>
        <v>66.284999999999997</v>
      </c>
      <c r="FR107" s="153">
        <f t="shared" si="108"/>
        <v>225.06299999999999</v>
      </c>
      <c r="FS107" s="153">
        <f t="shared" si="109"/>
        <v>183.39699999999999</v>
      </c>
      <c r="FT107" s="153">
        <f t="shared" si="110"/>
        <v>116.767</v>
      </c>
      <c r="FU107" s="153">
        <f t="shared" si="111"/>
        <v>113.29300000000001</v>
      </c>
      <c r="FV107" s="153">
        <f t="shared" si="112"/>
        <v>18.803000000000001</v>
      </c>
      <c r="FW107" s="153">
        <f t="shared" si="113"/>
        <v>723.60799999999995</v>
      </c>
      <c r="FX107" s="153">
        <f t="shared" si="114"/>
        <v>0</v>
      </c>
      <c r="FY107" s="153">
        <f t="shared" si="115"/>
        <v>1946.7399999999996</v>
      </c>
      <c r="FZ107" s="448">
        <f t="shared" si="116"/>
        <v>0.27097891360976173</v>
      </c>
      <c r="GA107" s="23">
        <f t="shared" si="117"/>
        <v>2.4822607390497419E-2</v>
      </c>
      <c r="GB107" s="23">
        <f t="shared" si="118"/>
        <v>8.4282273321679424E-2</v>
      </c>
      <c r="GC107" s="23">
        <f t="shared" si="119"/>
        <v>6.8679063552765401E-2</v>
      </c>
      <c r="GD107" s="23">
        <f t="shared" si="120"/>
        <v>4.3727259518235077E-2</v>
      </c>
      <c r="GE107" s="23">
        <f t="shared" si="121"/>
        <v>4.2426305485277579E-2</v>
      </c>
      <c r="GF107" s="23">
        <f t="shared" si="122"/>
        <v>7.0414043413068259E-3</v>
      </c>
      <c r="GG107" s="23">
        <f t="shared" si="123"/>
        <v>0.16965793285725175</v>
      </c>
      <c r="GH107" s="23">
        <f t="shared" si="124"/>
        <v>0.12368421052631576</v>
      </c>
      <c r="GI107" s="23">
        <f t="shared" si="125"/>
        <v>4.5973722330935982E-2</v>
      </c>
      <c r="GJ107" s="326">
        <v>1624.414</v>
      </c>
      <c r="GK107" s="153">
        <f t="shared" si="151"/>
        <v>0</v>
      </c>
      <c r="GL107" s="153">
        <f t="shared" si="126"/>
        <v>633.23800000000006</v>
      </c>
      <c r="GM107" s="153">
        <f t="shared" si="127"/>
        <v>408.21300000000002</v>
      </c>
      <c r="GN107" s="153">
        <v>582.96299999999997</v>
      </c>
      <c r="GO107" s="153">
        <v>1041.451</v>
      </c>
      <c r="GP107" s="153">
        <f t="shared" si="128"/>
        <v>1041.451</v>
      </c>
      <c r="GQ107" s="295"/>
      <c r="GR107" s="153">
        <f t="shared" si="129"/>
        <v>2670.348</v>
      </c>
      <c r="GS107" s="153">
        <f>FoF_RoW!$AZ77/1000</f>
        <v>3929.7339999999999</v>
      </c>
      <c r="GT107" s="153">
        <f t="shared" si="214"/>
        <v>3296.4960000000001</v>
      </c>
      <c r="GU107" s="23">
        <f t="shared" si="130"/>
        <v>1.2344817978780294</v>
      </c>
      <c r="GV107" s="330">
        <f>FoF_RoW!$AE77/1000</f>
        <v>476.68400000000003</v>
      </c>
      <c r="GW107" s="330">
        <f t="shared" si="16"/>
        <v>389.07999999999993</v>
      </c>
      <c r="GX107" s="153">
        <v>6700.8339999999998</v>
      </c>
      <c r="GY107" s="153">
        <v>5076.42</v>
      </c>
      <c r="GZ107" s="153">
        <f t="shared" si="131"/>
        <v>1.9010331237726319</v>
      </c>
      <c r="HA107" s="153">
        <f t="shared" si="190"/>
        <v>633.23800000000006</v>
      </c>
      <c r="HB107" s="153">
        <v>1211.037</v>
      </c>
      <c r="HC107" s="153">
        <v>1624.414</v>
      </c>
      <c r="HD107" s="186">
        <f t="shared" si="132"/>
        <v>4.9146028907093756E-2</v>
      </c>
      <c r="HE107" s="503">
        <f t="shared" si="133"/>
        <v>4.5057048744208621E-2</v>
      </c>
      <c r="HF107" s="663"/>
      <c r="HV107" s="186">
        <f t="shared" si="152"/>
        <v>3.9535474155233091E-2</v>
      </c>
      <c r="HW107" s="308">
        <f t="shared" si="153"/>
        <v>0.20943962997789017</v>
      </c>
      <c r="HX107" s="308">
        <f t="shared" si="154"/>
        <v>8.2802950780724582E-3</v>
      </c>
      <c r="HY107" s="313">
        <f t="shared" si="155"/>
        <v>0</v>
      </c>
      <c r="HZ107" s="23">
        <f t="shared" si="156"/>
        <v>5.7750585306276553E-2</v>
      </c>
      <c r="IA107" s="23">
        <f t="shared" si="157"/>
        <v>5.2647266732785448E-2</v>
      </c>
      <c r="IB107" s="23">
        <f t="shared" si="158"/>
        <v>1.5365778849894268E-2</v>
      </c>
      <c r="IC107" s="23">
        <f t="shared" si="159"/>
        <v>0.10185185027822966</v>
      </c>
      <c r="ID107" s="23">
        <f t="shared" si="160"/>
        <v>3.7887351147125069E-2</v>
      </c>
      <c r="IE107" s="23">
        <f t="shared" si="161"/>
        <v>3.1909147469888446E-2</v>
      </c>
      <c r="IF107" s="23">
        <f t="shared" si="162"/>
        <v>4.8756068835981756E-2</v>
      </c>
      <c r="IG107" s="23">
        <f t="shared" si="163"/>
        <v>3.5456108350823801E-2</v>
      </c>
      <c r="IH107" s="23">
        <f t="shared" si="164"/>
        <v>1.3299960485157955E-2</v>
      </c>
      <c r="II107" s="23"/>
      <c r="IJ107" s="23"/>
      <c r="IK107" s="848">
        <v>152800</v>
      </c>
      <c r="IL107" s="332">
        <v>5.4640000000000004</v>
      </c>
      <c r="IM107" s="330">
        <v>539105</v>
      </c>
      <c r="IN107" s="330">
        <v>29.768000000000001</v>
      </c>
      <c r="IO107" s="330">
        <v>16595</v>
      </c>
      <c r="IP107" s="76">
        <v>46487</v>
      </c>
      <c r="IQ107" s="76" t="s">
        <v>3549</v>
      </c>
      <c r="IR107" s="76" t="s">
        <v>3550</v>
      </c>
      <c r="IS107" s="76" t="s">
        <v>3551</v>
      </c>
      <c r="IT107" s="23"/>
      <c r="IU107" s="23"/>
      <c r="JK107" s="23">
        <f t="shared" si="195"/>
        <v>0.2390896259703599</v>
      </c>
      <c r="JL107" s="23">
        <f t="shared" si="196"/>
        <v>0.28343272646330492</v>
      </c>
      <c r="JM107" s="655">
        <f t="shared" si="197"/>
        <v>0</v>
      </c>
    </row>
    <row r="108" spans="1:273">
      <c r="B108" s="451">
        <v>2016</v>
      </c>
      <c r="C108" s="43">
        <v>16052</v>
      </c>
      <c r="D108" s="5">
        <v>2073.5</v>
      </c>
      <c r="E108" s="460">
        <f t="shared" si="172"/>
        <v>0.12917393471218538</v>
      </c>
      <c r="F108" s="454">
        <f t="shared" si="173"/>
        <v>0</v>
      </c>
      <c r="G108" s="76">
        <f t="shared" si="174"/>
        <v>1666.9666666666667</v>
      </c>
      <c r="H108" s="23">
        <f t="shared" si="175"/>
        <v>0.10384791095605947</v>
      </c>
      <c r="I108" s="454">
        <v>406.5333333333333</v>
      </c>
      <c r="J108" s="460">
        <f t="shared" si="176"/>
        <v>2.5326023756125922E-2</v>
      </c>
      <c r="K108" s="6">
        <f t="shared" si="177"/>
        <v>0.19606140985451329</v>
      </c>
      <c r="L108" s="136">
        <v>671.4</v>
      </c>
      <c r="M108" s="136">
        <f t="shared" si="180"/>
        <v>264.86666666666667</v>
      </c>
      <c r="N108" s="460">
        <f t="shared" si="178"/>
        <v>4.1826563668078742E-2</v>
      </c>
      <c r="O108" s="460">
        <f t="shared" si="181"/>
        <v>1.650053991195282E-2</v>
      </c>
      <c r="P108" s="449">
        <f t="shared" si="182"/>
        <v>0.12773892773892775</v>
      </c>
      <c r="Q108" s="5">
        <f t="shared" si="179"/>
        <v>2073.5</v>
      </c>
      <c r="R108" s="169">
        <f t="shared" si="183"/>
        <v>264.86666666666667</v>
      </c>
      <c r="S108" s="454">
        <f t="shared" si="191"/>
        <v>0</v>
      </c>
      <c r="T108" s="76">
        <v>138.488</v>
      </c>
      <c r="U108" s="76">
        <v>138.108</v>
      </c>
      <c r="V108" s="76">
        <f t="shared" si="192"/>
        <v>-11.729333333333329</v>
      </c>
      <c r="W108" s="23">
        <f t="shared" si="48"/>
        <v>0.52142461615907376</v>
      </c>
      <c r="X108" s="326">
        <v>170.95400000000001</v>
      </c>
      <c r="Y108" s="153">
        <f t="shared" si="49"/>
        <v>0</v>
      </c>
      <c r="Z108" s="79">
        <f t="shared" si="50"/>
        <v>138.108</v>
      </c>
      <c r="AA108" s="159">
        <v>40.436</v>
      </c>
      <c r="AB108" s="159">
        <v>97.671999999999997</v>
      </c>
      <c r="AC108" s="79">
        <f t="shared" si="51"/>
        <v>32.845999999999997</v>
      </c>
      <c r="AD108" s="79">
        <v>39.72</v>
      </c>
      <c r="AE108" s="79">
        <v>6.8739999999999997</v>
      </c>
      <c r="AF108" s="243">
        <f t="shared" si="52"/>
        <v>0.7072146436122454</v>
      </c>
      <c r="AG108" s="23">
        <f t="shared" si="53"/>
        <v>1.9156016397395708E-2</v>
      </c>
      <c r="AH108" s="450">
        <v>11.205</v>
      </c>
      <c r="AI108" s="153">
        <f t="shared" si="54"/>
        <v>159.749</v>
      </c>
      <c r="AJ108" s="153">
        <f t="shared" si="55"/>
        <v>0</v>
      </c>
      <c r="AK108" s="153">
        <v>178.9</v>
      </c>
      <c r="AL108" s="23">
        <f t="shared" si="56"/>
        <v>0.22602571268865287</v>
      </c>
      <c r="AM108" s="169">
        <v>159.749</v>
      </c>
      <c r="AN108" s="450">
        <v>4.7110000000000003</v>
      </c>
      <c r="AO108" s="450">
        <v>19.606999999999999</v>
      </c>
      <c r="AP108" s="450">
        <v>14.183</v>
      </c>
      <c r="AQ108" s="450">
        <v>17.751999999999999</v>
      </c>
      <c r="AR108" s="450">
        <v>6.1429999999999998</v>
      </c>
      <c r="AS108" s="450">
        <v>1.3080000000000001</v>
      </c>
      <c r="AT108" s="450">
        <v>1E-3</v>
      </c>
      <c r="AU108" s="450">
        <v>0.28199999999999997</v>
      </c>
      <c r="AV108" s="79">
        <f t="shared" si="27"/>
        <v>62.677999999999997</v>
      </c>
      <c r="AW108" s="79">
        <f t="shared" si="28"/>
        <v>97.070999999999998</v>
      </c>
      <c r="AX108" s="23">
        <f t="shared" si="29"/>
        <v>2.9490012457041987E-2</v>
      </c>
      <c r="AY108" s="23">
        <f t="shared" si="30"/>
        <v>0.12273629255895185</v>
      </c>
      <c r="AZ108" s="23">
        <f t="shared" si="31"/>
        <v>8.8783028375764489E-2</v>
      </c>
      <c r="BA108" s="23">
        <f t="shared" si="32"/>
        <v>0.11112432628686252</v>
      </c>
      <c r="BB108" s="23">
        <f t="shared" si="33"/>
        <v>3.8454074829889391E-2</v>
      </c>
      <c r="BC108" s="23">
        <f t="shared" si="34"/>
        <v>8.1878446813438595E-3</v>
      </c>
      <c r="BD108" s="23">
        <f t="shared" si="35"/>
        <v>6.2598200927705342E-6</v>
      </c>
      <c r="BE108" s="23">
        <f t="shared" si="36"/>
        <v>1.7652692661612904E-3</v>
      </c>
      <c r="BF108" s="23">
        <f t="shared" si="37"/>
        <v>0.39235300377467153</v>
      </c>
      <c r="BG108" s="153">
        <v>79.777000000000001</v>
      </c>
      <c r="BH108" s="23">
        <f t="shared" si="194"/>
        <v>0.49938966754095487</v>
      </c>
      <c r="BI108" s="23">
        <f>'Assets(BoP)'!EF108</f>
        <v>0.19435758087256017</v>
      </c>
      <c r="BJ108" s="298">
        <v>86.466999999999999</v>
      </c>
      <c r="BK108" s="282"/>
      <c r="BL108" s="282"/>
      <c r="BM108" s="282"/>
      <c r="BN108" s="282"/>
      <c r="BO108" s="282"/>
      <c r="BP108" s="282"/>
      <c r="BQ108" s="212">
        <f t="shared" si="193"/>
        <v>0</v>
      </c>
      <c r="BR108" s="23">
        <f t="shared" si="58"/>
        <v>0</v>
      </c>
      <c r="BS108" s="79"/>
      <c r="BT108" s="243">
        <f t="shared" si="59"/>
        <v>0</v>
      </c>
      <c r="BU108" s="182">
        <f t="shared" si="60"/>
        <v>126.90299999999999</v>
      </c>
      <c r="BV108" s="136">
        <f t="shared" si="61"/>
        <v>0</v>
      </c>
      <c r="BW108" s="375">
        <f t="shared" si="62"/>
        <v>3.4441143471741427</v>
      </c>
      <c r="BX108" s="375">
        <f t="shared" si="63"/>
        <v>16.068335681202573</v>
      </c>
      <c r="BY108" s="375">
        <f t="shared" si="64"/>
        <v>7.1338820481578447</v>
      </c>
      <c r="BZ108" s="375">
        <f t="shared" si="65"/>
        <v>11.257746094738021</v>
      </c>
      <c r="CA108" s="375">
        <f t="shared" si="66"/>
        <v>5.6692248546135673</v>
      </c>
      <c r="CB108" s="375">
        <f t="shared" si="67"/>
        <v>5.4114568105034455E-2</v>
      </c>
      <c r="CC108" s="375">
        <f t="shared" si="68"/>
        <v>43.627417593991183</v>
      </c>
      <c r="CD108" s="375">
        <f t="shared" si="69"/>
        <v>80.985744981777856</v>
      </c>
      <c r="CE108" s="243">
        <f t="shared" si="70"/>
        <v>2.7139739384995965E-2</v>
      </c>
      <c r="CF108" s="243">
        <f t="shared" si="71"/>
        <v>0.12661903722687859</v>
      </c>
      <c r="CG108" s="243">
        <f t="shared" si="72"/>
        <v>5.6215235637911198E-2</v>
      </c>
      <c r="CH108" s="243">
        <f t="shared" si="73"/>
        <v>8.8711426008353009E-2</v>
      </c>
      <c r="CI108" s="243">
        <f t="shared" si="74"/>
        <v>4.4673686631628629E-2</v>
      </c>
      <c r="CJ108" s="243">
        <f t="shared" si="75"/>
        <v>4.2642465587917119E-4</v>
      </c>
      <c r="CK108" s="243">
        <f t="shared" si="76"/>
        <v>0.34378554954564661</v>
      </c>
      <c r="CL108" s="243">
        <f t="shared" si="77"/>
        <v>0.65621445045435345</v>
      </c>
      <c r="CM108" s="23">
        <f t="shared" si="78"/>
        <v>4.3914797471098922E-2</v>
      </c>
      <c r="CN108" s="243">
        <f t="shared" si="79"/>
        <v>8.3824130267828839E-2</v>
      </c>
      <c r="CO108" s="243">
        <f t="shared" si="184"/>
        <v>5.6726471814305757E-3</v>
      </c>
      <c r="CP108" s="412">
        <f t="shared" si="185"/>
        <v>0</v>
      </c>
      <c r="CQ108" s="412">
        <f t="shared" si="186"/>
        <v>5.6726471814305757E-3</v>
      </c>
      <c r="CR108" s="243">
        <f t="shared" si="187"/>
        <v>1.0827892730522246E-2</v>
      </c>
      <c r="CS108" s="383">
        <v>32.845999999999997</v>
      </c>
      <c r="CT108" s="153">
        <v>6.8739999999999997</v>
      </c>
      <c r="CU108" s="153">
        <v>39.72</v>
      </c>
      <c r="CV108" s="322">
        <f t="shared" si="134"/>
        <v>1.2668856528258579</v>
      </c>
      <c r="CW108" s="322">
        <f t="shared" si="135"/>
        <v>3.5386643187974265</v>
      </c>
      <c r="CX108" s="322">
        <f t="shared" si="136"/>
        <v>7.0491179518421552</v>
      </c>
      <c r="CY108" s="322">
        <f t="shared" si="137"/>
        <v>6.4942539052619788</v>
      </c>
      <c r="CZ108" s="322">
        <f t="shared" si="138"/>
        <v>0.47377514538643295</v>
      </c>
      <c r="DA108" s="375">
        <f t="shared" si="138"/>
        <v>0.22788543189496552</v>
      </c>
      <c r="DB108" s="375">
        <f t="shared" si="85"/>
        <v>19.050582406008814</v>
      </c>
      <c r="DC108" s="375">
        <f t="shared" si="189"/>
        <v>16.085255018222142</v>
      </c>
      <c r="DD108" s="375">
        <f t="shared" si="87"/>
        <v>-2.28983742423096</v>
      </c>
      <c r="DE108" s="243">
        <f t="shared" si="88"/>
        <v>0.57999702874044989</v>
      </c>
      <c r="DF108" s="149">
        <v>116.56100000000001</v>
      </c>
      <c r="DG108" s="153">
        <v>3.6819999999999999</v>
      </c>
      <c r="DH108" s="153">
        <v>0.80600000000000005</v>
      </c>
      <c r="DI108" s="153">
        <v>34.551000000000002</v>
      </c>
      <c r="DJ108" s="153">
        <v>40.503</v>
      </c>
      <c r="DK108" s="153">
        <v>5.4</v>
      </c>
      <c r="DL108" s="153">
        <v>1.546</v>
      </c>
      <c r="DM108" s="153">
        <f t="shared" si="38"/>
        <v>86.488000000000014</v>
      </c>
      <c r="DN108" s="153">
        <f t="shared" si="39"/>
        <v>30.072999999999993</v>
      </c>
      <c r="DO108" s="258">
        <f t="shared" si="140"/>
        <v>138.8839999999999</v>
      </c>
      <c r="DP108" s="5">
        <v>3725.4180000000001</v>
      </c>
      <c r="DQ108" s="76">
        <v>85.46</v>
      </c>
      <c r="DR108" s="76">
        <v>355.24200000000002</v>
      </c>
      <c r="DS108" s="76">
        <v>417.38600000000002</v>
      </c>
      <c r="DT108" s="76">
        <v>310.75900000000001</v>
      </c>
      <c r="DU108" s="76">
        <v>98.992999999999995</v>
      </c>
      <c r="DV108" s="76">
        <v>23.933</v>
      </c>
      <c r="DW108" s="76">
        <f t="shared" si="40"/>
        <v>1291.7730000000001</v>
      </c>
      <c r="DX108" s="76">
        <f t="shared" si="41"/>
        <v>2433.645</v>
      </c>
      <c r="DY108" s="23">
        <f t="shared" si="141"/>
        <v>0.34674578798942834</v>
      </c>
      <c r="DZ108" s="23">
        <f t="shared" si="42"/>
        <v>2.2939707705283002E-2</v>
      </c>
      <c r="EA108" s="23">
        <f t="shared" si="43"/>
        <v>9.5356279483268719E-2</v>
      </c>
      <c r="EB108" s="23">
        <f t="shared" si="44"/>
        <v>0.11203736063979935</v>
      </c>
      <c r="EC108" s="23">
        <f t="shared" si="45"/>
        <v>8.3415874406576662E-2</v>
      </c>
      <c r="ED108" s="23">
        <f t="shared" si="46"/>
        <v>2.6572320206752636E-2</v>
      </c>
      <c r="EE108" s="23">
        <f t="shared" si="142"/>
        <v>6.4242455477479306E-3</v>
      </c>
      <c r="EF108" s="149">
        <v>772.12199999999996</v>
      </c>
      <c r="EG108" s="153">
        <f t="shared" si="207"/>
        <v>-18.296000000000006</v>
      </c>
      <c r="EH108" s="153">
        <f t="shared" si="208"/>
        <v>90.572000000000003</v>
      </c>
      <c r="EI108" s="153">
        <f t="shared" si="209"/>
        <v>196.59099999999998</v>
      </c>
      <c r="EJ108" s="153">
        <f t="shared" si="210"/>
        <v>166.47200000000001</v>
      </c>
      <c r="EK108" s="153">
        <f t="shared" si="211"/>
        <v>-16.913</v>
      </c>
      <c r="EL108" s="153">
        <f t="shared" si="212"/>
        <v>4.3990000000000009</v>
      </c>
      <c r="EM108" s="330">
        <f t="shared" si="213"/>
        <v>422.82500000000005</v>
      </c>
      <c r="EN108" s="330">
        <f t="shared" si="200"/>
        <v>349.29700000000003</v>
      </c>
      <c r="EO108" s="23">
        <f t="shared" si="91"/>
        <v>0.54761423712832957</v>
      </c>
      <c r="EP108" s="258">
        <v>1177.653</v>
      </c>
      <c r="EQ108" s="153">
        <v>65.72</v>
      </c>
      <c r="ER108" s="153">
        <v>112.149</v>
      </c>
      <c r="ES108" s="153">
        <v>215.25299999999999</v>
      </c>
      <c r="ET108" s="153">
        <v>205.69200000000001</v>
      </c>
      <c r="EU108" s="153">
        <v>29.654</v>
      </c>
      <c r="EV108" s="153">
        <v>7.9450000000000003</v>
      </c>
      <c r="EW108" s="153">
        <f t="shared" si="201"/>
        <v>636.41300000000001</v>
      </c>
      <c r="EX108" s="330">
        <f t="shared" si="202"/>
        <v>541.24</v>
      </c>
      <c r="EY108" s="23">
        <f t="shared" si="203"/>
        <v>0.54040791302701219</v>
      </c>
      <c r="EZ108" s="258">
        <v>405.53100000000001</v>
      </c>
      <c r="FA108" s="153">
        <v>84.016000000000005</v>
      </c>
      <c r="FB108" s="153">
        <v>21.577000000000002</v>
      </c>
      <c r="FC108" s="153">
        <v>18.661999999999999</v>
      </c>
      <c r="FD108" s="153">
        <v>39.22</v>
      </c>
      <c r="FE108" s="153">
        <v>46.567</v>
      </c>
      <c r="FF108" s="153">
        <v>3.5459999999999998</v>
      </c>
      <c r="FG108" s="153">
        <f t="shared" si="204"/>
        <v>213.58799999999999</v>
      </c>
      <c r="FH108" s="330">
        <f t="shared" si="205"/>
        <v>191.94300000000001</v>
      </c>
      <c r="FI108" s="23">
        <f t="shared" si="206"/>
        <v>0.5266872322954349</v>
      </c>
      <c r="FJ108" s="23"/>
      <c r="FK108" s="448">
        <f t="shared" si="104"/>
        <v>1.1304099010356883E-2</v>
      </c>
      <c r="FL108" s="448">
        <f t="shared" si="105"/>
        <v>3.3728101571515547E-2</v>
      </c>
      <c r="FM108" s="23"/>
      <c r="FN108" s="23"/>
      <c r="FO108" s="326">
        <v>2953.297</v>
      </c>
      <c r="FP108" s="483">
        <f t="shared" si="106"/>
        <v>9.9999999974897946E-4</v>
      </c>
      <c r="FQ108" s="153">
        <f t="shared" si="107"/>
        <v>103.756</v>
      </c>
      <c r="FR108" s="153">
        <f t="shared" si="108"/>
        <v>264.67</v>
      </c>
      <c r="FS108" s="153">
        <f t="shared" si="109"/>
        <v>220.79500000000004</v>
      </c>
      <c r="FT108" s="153">
        <f t="shared" si="110"/>
        <v>144.28700000000001</v>
      </c>
      <c r="FU108" s="153">
        <f t="shared" si="111"/>
        <v>115.90599999999999</v>
      </c>
      <c r="FV108" s="153">
        <f t="shared" si="112"/>
        <v>19.533999999999999</v>
      </c>
      <c r="FW108" s="153">
        <f t="shared" si="113"/>
        <v>868.94800000000009</v>
      </c>
      <c r="FX108" s="153">
        <f t="shared" si="114"/>
        <v>0</v>
      </c>
      <c r="FY108" s="153">
        <f t="shared" si="115"/>
        <v>2084.348</v>
      </c>
      <c r="FZ108" s="448">
        <f t="shared" si="116"/>
        <v>0.29422980485877315</v>
      </c>
      <c r="GA108" s="23">
        <f t="shared" si="117"/>
        <v>3.5132260656479862E-2</v>
      </c>
      <c r="GB108" s="23">
        <f t="shared" si="118"/>
        <v>8.9618484019724401E-2</v>
      </c>
      <c r="GC108" s="23">
        <f t="shared" si="119"/>
        <v>7.4762206442494622E-2</v>
      </c>
      <c r="GD108" s="23">
        <f t="shared" si="120"/>
        <v>4.8856244393977309E-2</v>
      </c>
      <c r="GE108" s="23">
        <f t="shared" si="121"/>
        <v>3.9246306754789642E-2</v>
      </c>
      <c r="GF108" s="23">
        <f t="shared" si="122"/>
        <v>6.6143025913072738E-3</v>
      </c>
      <c r="GG108" s="23">
        <f t="shared" si="123"/>
        <v>0.18398311736855222</v>
      </c>
      <c r="GH108" s="23">
        <f t="shared" si="124"/>
        <v>0.12984973835036132</v>
      </c>
      <c r="GI108" s="23">
        <f t="shared" si="125"/>
        <v>5.4133316720657867E-2</v>
      </c>
      <c r="GJ108" s="326">
        <v>1785.751</v>
      </c>
      <c r="GK108" s="153">
        <f t="shared" si="151"/>
        <v>0</v>
      </c>
      <c r="GL108" s="153">
        <f t="shared" si="126"/>
        <v>772.12199999999996</v>
      </c>
      <c r="GM108" s="153">
        <f t="shared" si="127"/>
        <v>405.53100000000001</v>
      </c>
      <c r="GN108" s="153">
        <v>608.09799999999996</v>
      </c>
      <c r="GO108" s="153">
        <v>1177.653</v>
      </c>
      <c r="GP108" s="153">
        <f t="shared" si="128"/>
        <v>1177.653</v>
      </c>
      <c r="GQ108" s="295"/>
      <c r="GR108" s="153">
        <f t="shared" si="129"/>
        <v>2953.297</v>
      </c>
      <c r="GS108" s="153">
        <f>FoF_RoW!$AZ78/1000</f>
        <v>4391.6319999999996</v>
      </c>
      <c r="GT108" s="153">
        <f t="shared" si="214"/>
        <v>3619.5099999999998</v>
      </c>
      <c r="GU108" s="23">
        <f t="shared" si="130"/>
        <v>1.2255827978019143</v>
      </c>
      <c r="GV108" s="330">
        <f>FoF_RoW!$AE78/1000</f>
        <v>468.33</v>
      </c>
      <c r="GW108" s="330">
        <f t="shared" ref="GW108" si="215">GS108-GS107</f>
        <v>461.89799999999968</v>
      </c>
      <c r="GX108" s="153">
        <v>7569.2510000000002</v>
      </c>
      <c r="GY108" s="153">
        <v>5783.5</v>
      </c>
      <c r="GZ108" s="153">
        <f t="shared" si="131"/>
        <v>1.9583198032571731</v>
      </c>
      <c r="HA108" s="153">
        <f t="shared" si="190"/>
        <v>772.12199999999996</v>
      </c>
      <c r="HB108" s="153">
        <v>1202.7149999999999</v>
      </c>
      <c r="HC108" s="153">
        <v>1785.751</v>
      </c>
      <c r="HD108" s="186">
        <f t="shared" si="132"/>
        <v>4.6764006464639352E-2</v>
      </c>
      <c r="HE108" s="503">
        <f t="shared" si="133"/>
        <v>4.296994172953144E-2</v>
      </c>
      <c r="HF108" s="663"/>
      <c r="HV108" s="186">
        <f t="shared" si="152"/>
        <v>3.7905383373954576E-2</v>
      </c>
      <c r="HW108" s="308">
        <f t="shared" si="153"/>
        <v>0.22548654373286817</v>
      </c>
      <c r="HX108" s="308">
        <f t="shared" si="154"/>
        <v>8.5471538858623436E-3</v>
      </c>
      <c r="HY108" s="313">
        <f t="shared" si="155"/>
        <v>0</v>
      </c>
      <c r="HZ108" s="23">
        <f t="shared" si="156"/>
        <v>2.9281982053942869E-2</v>
      </c>
      <c r="IA108" s="23">
        <f t="shared" si="157"/>
        <v>5.3555281603173667E-2</v>
      </c>
      <c r="IB108" s="23">
        <f t="shared" si="158"/>
        <v>2.8501834813439157E-2</v>
      </c>
      <c r="IC108" s="23">
        <f t="shared" si="159"/>
        <v>6.8827243154026621E-2</v>
      </c>
      <c r="ID108" s="23">
        <f t="shared" si="160"/>
        <v>4.3147326679169179E-2</v>
      </c>
      <c r="IE108" s="23">
        <f t="shared" si="161"/>
        <v>2.443763320179758E-3</v>
      </c>
      <c r="IF108" s="23">
        <f t="shared" si="162"/>
        <v>4.428960913802827E-2</v>
      </c>
      <c r="IG108" s="23">
        <f t="shared" si="163"/>
        <v>3.4274764571326041E-2</v>
      </c>
      <c r="IH108" s="23">
        <f t="shared" si="164"/>
        <v>1.0014844566702229E-2</v>
      </c>
      <c r="II108" s="23"/>
      <c r="IJ108" s="23"/>
      <c r="IK108" s="841"/>
      <c r="IL108" s="90"/>
      <c r="IN108" s="1355"/>
      <c r="IV108" s="153"/>
      <c r="IW108" s="153"/>
      <c r="IX108" s="153"/>
      <c r="IY108" s="153"/>
      <c r="IZ108" s="153"/>
      <c r="JJ108" s="153"/>
      <c r="JK108" s="153"/>
      <c r="JL108" s="153"/>
      <c r="JM108" s="153"/>
    </row>
    <row r="109" spans="1:273">
      <c r="B109" s="451">
        <v>2017</v>
      </c>
      <c r="C109" s="43"/>
      <c r="D109" s="69"/>
      <c r="E109" s="460"/>
      <c r="F109" s="460"/>
      <c r="G109" s="450"/>
      <c r="H109" s="23"/>
      <c r="I109" s="89"/>
      <c r="J109" s="59"/>
      <c r="K109" s="60"/>
      <c r="L109" s="89"/>
      <c r="M109" s="89"/>
      <c r="N109" s="59"/>
      <c r="O109" s="59"/>
      <c r="P109" s="61"/>
      <c r="Q109" s="59"/>
      <c r="R109" s="173"/>
      <c r="S109" s="177"/>
      <c r="V109" s="240"/>
      <c r="X109" s="69"/>
      <c r="AA109" s="78"/>
      <c r="AB109" s="78"/>
      <c r="AF109" s="13"/>
      <c r="AM109" s="67"/>
      <c r="BG109" s="80"/>
      <c r="BJ109" s="299"/>
      <c r="BK109" s="26"/>
      <c r="BL109" s="26"/>
      <c r="BM109" s="26"/>
      <c r="BN109" s="242"/>
      <c r="BO109" s="26"/>
      <c r="BP109" s="26"/>
      <c r="BQ109" s="26"/>
      <c r="BR109" s="79"/>
      <c r="BS109" s="79"/>
      <c r="BT109" s="13"/>
      <c r="BU109" s="301"/>
      <c r="BV109" s="51"/>
      <c r="BW109" s="13"/>
      <c r="BX109" s="13"/>
      <c r="BY109" s="13"/>
      <c r="BZ109" s="13"/>
      <c r="CA109" s="13"/>
      <c r="CB109" s="13"/>
      <c r="CC109" s="13"/>
      <c r="CD109" s="13"/>
      <c r="CE109" s="13"/>
      <c r="CF109" s="13"/>
      <c r="CG109" s="13"/>
      <c r="CH109" s="13"/>
      <c r="CI109" s="13"/>
      <c r="CJ109" s="13"/>
      <c r="CK109" s="13"/>
      <c r="CL109" s="13"/>
      <c r="CM109" s="23"/>
      <c r="CN109" s="13"/>
      <c r="CO109" s="13"/>
      <c r="CP109" s="13"/>
      <c r="CQ109" s="13"/>
      <c r="CR109" s="13"/>
      <c r="CS109" s="301"/>
      <c r="CT109" s="79"/>
      <c r="CU109" s="79"/>
      <c r="CV109" s="13"/>
      <c r="CW109" s="13"/>
      <c r="CX109" s="13"/>
      <c r="CY109" s="13"/>
      <c r="CZ109" s="13"/>
      <c r="DA109" s="13"/>
      <c r="DB109" s="13"/>
      <c r="DC109" s="13"/>
      <c r="DD109" s="13"/>
      <c r="DE109" s="13"/>
      <c r="DF109" s="97"/>
      <c r="DG109" s="79"/>
      <c r="DH109" s="79"/>
      <c r="DI109" s="79"/>
      <c r="DJ109" s="79"/>
      <c r="DK109" s="79"/>
      <c r="DL109" s="79"/>
      <c r="DM109" s="79"/>
      <c r="DN109" s="79"/>
      <c r="DO109" s="455"/>
      <c r="DP109" s="182"/>
      <c r="DR109" s="76"/>
      <c r="DS109" s="76"/>
      <c r="DT109" s="76"/>
      <c r="DU109" s="76"/>
      <c r="DV109" s="76"/>
      <c r="DW109" s="76"/>
      <c r="DX109" s="80"/>
      <c r="DY109" s="451"/>
      <c r="DZ109" s="451"/>
      <c r="EA109" s="451"/>
      <c r="EB109" s="451"/>
      <c r="EC109" s="451"/>
      <c r="ED109" s="451"/>
      <c r="EE109" s="451"/>
      <c r="EF109" s="148"/>
      <c r="EG109" s="451"/>
      <c r="EH109" s="451"/>
      <c r="EI109" s="451"/>
      <c r="EJ109" s="451"/>
      <c r="EK109" s="451"/>
      <c r="EL109" s="451"/>
      <c r="EM109" s="451"/>
      <c r="EN109" s="451"/>
      <c r="EO109" s="465"/>
      <c r="EP109" s="468"/>
      <c r="EQ109" s="79"/>
      <c r="ER109" s="79"/>
      <c r="ES109" s="79"/>
      <c r="ET109" s="79"/>
      <c r="EU109" s="79"/>
      <c r="EV109" s="79"/>
      <c r="EW109" s="79"/>
      <c r="EX109" s="79"/>
      <c r="EY109" s="79"/>
      <c r="EZ109" s="455"/>
      <c r="FA109" s="468"/>
      <c r="FB109" s="468"/>
      <c r="FC109" s="468"/>
      <c r="FD109" s="468"/>
      <c r="FE109" s="468"/>
      <c r="FF109" s="468"/>
      <c r="FG109" s="465"/>
      <c r="FH109" s="465"/>
      <c r="FI109" s="465"/>
      <c r="FJ109" s="465"/>
      <c r="FK109" s="451"/>
      <c r="FL109" s="451"/>
      <c r="FM109" s="465"/>
      <c r="FN109" s="465"/>
      <c r="FO109" s="293"/>
      <c r="FP109" s="136"/>
      <c r="FQ109" s="79"/>
      <c r="FR109" s="79"/>
      <c r="FS109" s="79"/>
      <c r="FT109" s="79"/>
      <c r="FU109" s="79"/>
      <c r="FV109" s="79"/>
      <c r="FW109" s="79"/>
      <c r="FX109" s="79"/>
      <c r="FY109" s="79"/>
      <c r="FZ109" s="451"/>
      <c r="GA109" s="451"/>
      <c r="GB109" s="451"/>
      <c r="GC109" s="451"/>
      <c r="GD109" s="451"/>
      <c r="GE109" s="451"/>
      <c r="GF109" s="451"/>
      <c r="GG109" s="451"/>
      <c r="GH109" s="451"/>
      <c r="GI109" s="451"/>
      <c r="GJ109" s="293"/>
      <c r="GK109" s="79"/>
      <c r="GL109" s="79"/>
      <c r="GM109" s="79"/>
      <c r="GN109" s="79"/>
      <c r="GO109" s="79"/>
      <c r="GP109" s="79"/>
      <c r="GQ109" s="293"/>
      <c r="GR109" s="79"/>
      <c r="GS109" s="79">
        <f>FoF_RoW!$AZ79/1000</f>
        <v>4698.5429999999997</v>
      </c>
      <c r="GT109" s="79"/>
      <c r="GU109" s="79"/>
      <c r="GV109" s="76">
        <f>FoF_RoW!$AE79/1000</f>
        <v>318.077</v>
      </c>
      <c r="GW109" s="76"/>
      <c r="GX109" s="79"/>
      <c r="GY109" s="79"/>
      <c r="GZ109" s="79"/>
      <c r="HA109" s="79"/>
      <c r="HB109" s="79"/>
      <c r="HC109" s="79"/>
      <c r="HD109" s="97"/>
      <c r="HE109" s="451"/>
      <c r="HF109" s="664"/>
      <c r="HV109" s="97"/>
      <c r="HW109" s="139"/>
      <c r="HX109" s="29"/>
      <c r="HY109" s="29"/>
      <c r="HZ109" s="451"/>
      <c r="IA109" s="451"/>
      <c r="IB109" s="451"/>
      <c r="IC109" s="451"/>
      <c r="ID109" s="451"/>
      <c r="IE109" s="451"/>
      <c r="IF109" s="451"/>
      <c r="IG109" s="451"/>
      <c r="IK109" s="841"/>
      <c r="IL109" s="90"/>
      <c r="IV109" s="79"/>
      <c r="IW109" s="79"/>
      <c r="IX109" s="79"/>
      <c r="IY109" s="79"/>
      <c r="IZ109" s="79"/>
      <c r="JJ109" s="79"/>
      <c r="JK109" s="79"/>
      <c r="JL109" s="79"/>
      <c r="JM109" s="79"/>
    </row>
    <row r="110" spans="1:273">
      <c r="A110" s="451"/>
      <c r="B110" s="451"/>
      <c r="C110" s="43"/>
      <c r="D110" s="69"/>
      <c r="E110" s="460"/>
      <c r="F110" s="460"/>
      <c r="G110" s="450"/>
      <c r="H110" s="23"/>
      <c r="I110" s="89"/>
      <c r="J110" s="59"/>
      <c r="K110" s="60"/>
      <c r="L110" s="89"/>
      <c r="M110" s="89"/>
      <c r="N110" s="59"/>
      <c r="O110" s="59"/>
      <c r="P110" s="61"/>
      <c r="Q110" s="59"/>
      <c r="R110" s="173"/>
      <c r="S110" s="177"/>
      <c r="V110" s="77"/>
      <c r="X110" s="69"/>
      <c r="Y110" s="80"/>
      <c r="AA110" s="78"/>
      <c r="AB110" s="78"/>
      <c r="AF110" s="13"/>
      <c r="AM110" s="67"/>
      <c r="BF110" s="81"/>
      <c r="BG110" s="80"/>
      <c r="BH110" s="81"/>
      <c r="BI110" s="81"/>
      <c r="BJ110" s="5"/>
      <c r="BK110" s="33"/>
      <c r="BL110" s="33"/>
      <c r="BM110" s="33"/>
      <c r="BN110" s="33"/>
      <c r="BO110" s="33"/>
      <c r="BP110" s="33"/>
      <c r="BQ110" s="33"/>
      <c r="BR110" s="23"/>
      <c r="BS110" s="79"/>
      <c r="BT110" s="13"/>
      <c r="BU110" s="301"/>
      <c r="BV110" s="51"/>
      <c r="BW110" s="13"/>
      <c r="BX110" s="13"/>
      <c r="BY110" s="13"/>
      <c r="BZ110" s="13"/>
      <c r="CA110" s="13"/>
      <c r="CB110" s="13"/>
      <c r="CC110" s="13"/>
      <c r="CD110" s="13"/>
      <c r="CE110" s="13"/>
      <c r="CF110" s="13"/>
      <c r="CG110" s="13"/>
      <c r="CH110" s="13"/>
      <c r="CI110" s="13"/>
      <c r="CJ110" s="13"/>
      <c r="CK110" s="13"/>
      <c r="CL110" s="13"/>
      <c r="CM110" s="23"/>
      <c r="CN110" s="13"/>
      <c r="CO110" s="13"/>
      <c r="CP110" s="13"/>
      <c r="CQ110" s="13"/>
      <c r="CR110" s="13"/>
      <c r="CS110" s="301"/>
      <c r="CT110" s="451"/>
      <c r="CU110" s="451"/>
      <c r="CV110" s="13"/>
      <c r="CW110" s="13"/>
      <c r="CX110" s="13"/>
      <c r="CY110" s="13"/>
      <c r="CZ110" s="13"/>
      <c r="DA110" s="13"/>
      <c r="DB110" s="13"/>
      <c r="DC110" s="13"/>
      <c r="DD110" s="13"/>
      <c r="DE110" s="13"/>
      <c r="DF110" s="97"/>
      <c r="DG110" s="79"/>
      <c r="DH110" s="79"/>
      <c r="DI110" s="79"/>
      <c r="DJ110" s="79"/>
      <c r="DK110" s="79"/>
      <c r="DL110" s="79"/>
      <c r="DM110" s="79"/>
      <c r="DN110" s="79"/>
      <c r="DO110" s="455"/>
      <c r="DP110" s="311"/>
      <c r="DW110" s="26"/>
      <c r="DX110" s="80"/>
      <c r="DY110" s="451"/>
      <c r="DZ110" s="451"/>
      <c r="EA110" s="451"/>
      <c r="EB110" s="451"/>
      <c r="EC110" s="451"/>
      <c r="ED110" s="451"/>
      <c r="EE110" s="451"/>
      <c r="EF110" s="148"/>
      <c r="EG110" s="76"/>
      <c r="EH110" s="451"/>
      <c r="EI110" s="451"/>
      <c r="EJ110" s="451"/>
      <c r="EK110" s="451"/>
      <c r="EL110" s="451"/>
      <c r="EM110" s="451"/>
      <c r="EN110" s="451"/>
      <c r="EO110" s="465"/>
      <c r="EP110" s="468"/>
      <c r="EQ110" s="79"/>
      <c r="ER110" s="79"/>
      <c r="ES110" s="79"/>
      <c r="ET110" s="79"/>
      <c r="EU110" s="79"/>
      <c r="EV110" s="79"/>
      <c r="EW110" s="79"/>
      <c r="EX110" s="79"/>
      <c r="EY110" s="79"/>
      <c r="EZ110" s="455"/>
      <c r="FA110" s="468"/>
      <c r="FB110" s="468"/>
      <c r="FC110" s="468"/>
      <c r="FD110" s="468"/>
      <c r="FE110" s="468"/>
      <c r="FF110" s="468"/>
      <c r="FG110" s="465"/>
      <c r="FH110" s="465"/>
      <c r="FI110" s="465"/>
      <c r="FJ110" s="465"/>
      <c r="FK110" s="451"/>
      <c r="FL110" s="451"/>
      <c r="FM110" s="465"/>
      <c r="FN110" s="465"/>
      <c r="FO110" s="148"/>
      <c r="FP110" s="468"/>
      <c r="FQ110" s="451"/>
      <c r="FR110" s="451"/>
      <c r="FS110" s="451"/>
      <c r="FT110" s="451"/>
      <c r="FU110" s="451"/>
      <c r="FV110" s="451"/>
      <c r="FW110" s="451"/>
      <c r="FX110" s="451"/>
      <c r="FY110" s="451"/>
      <c r="FZ110" s="451"/>
      <c r="GA110" s="451"/>
      <c r="GB110" s="451"/>
      <c r="GC110" s="451"/>
      <c r="GD110" s="451"/>
      <c r="GE110" s="451"/>
      <c r="GF110" s="451"/>
      <c r="GG110" s="451"/>
      <c r="GH110" s="451"/>
      <c r="GI110" s="451"/>
      <c r="GJ110" s="293"/>
      <c r="GK110" s="79"/>
      <c r="GL110" s="79"/>
      <c r="GM110" s="79"/>
      <c r="GN110" s="79"/>
      <c r="GO110" s="79"/>
      <c r="GP110" s="79"/>
      <c r="GQ110" s="148"/>
      <c r="GR110" s="451"/>
      <c r="GS110" s="451"/>
      <c r="GT110" s="451"/>
      <c r="GU110" s="451"/>
      <c r="GV110" s="900"/>
      <c r="GW110" s="900"/>
      <c r="GX110" s="451"/>
      <c r="GY110" s="451"/>
      <c r="GZ110" s="451"/>
      <c r="HA110" s="451"/>
      <c r="HB110" s="451"/>
      <c r="HC110" s="451"/>
      <c r="HD110" s="97"/>
      <c r="HE110" s="451"/>
      <c r="HF110" s="664"/>
      <c r="HV110" s="97"/>
      <c r="HW110" s="139"/>
      <c r="HX110" s="140"/>
      <c r="HY110" s="140"/>
      <c r="HZ110" s="451"/>
      <c r="IA110" s="451"/>
      <c r="IB110" s="451"/>
      <c r="IC110" s="451"/>
      <c r="ID110" s="451"/>
      <c r="IE110" s="451"/>
      <c r="IF110" s="451"/>
      <c r="IG110" s="451"/>
      <c r="IK110" s="841"/>
      <c r="IL110" s="90"/>
      <c r="IV110" s="382"/>
      <c r="IW110" s="382"/>
      <c r="IX110" s="382"/>
      <c r="IY110" s="382"/>
      <c r="IZ110" s="382"/>
      <c r="JJ110" s="382"/>
      <c r="JK110" s="382"/>
      <c r="JL110" s="382"/>
      <c r="JM110" s="382"/>
    </row>
    <row r="111" spans="1:273">
      <c r="A111" s="451"/>
      <c r="B111" s="451"/>
      <c r="C111" s="91"/>
      <c r="D111" s="69"/>
      <c r="E111" s="90"/>
      <c r="F111" s="90"/>
      <c r="I111" s="90"/>
      <c r="J111" s="90"/>
      <c r="K111" s="90"/>
      <c r="L111" s="90"/>
      <c r="M111" s="90"/>
      <c r="N111" s="90"/>
      <c r="O111" s="90"/>
      <c r="P111" s="92"/>
      <c r="Q111" s="90"/>
      <c r="R111" s="164"/>
      <c r="S111" s="89"/>
      <c r="X111" s="69"/>
      <c r="AM111" s="67"/>
      <c r="BJ111" s="5"/>
      <c r="BK111" s="33"/>
      <c r="BL111" s="33"/>
      <c r="BM111" s="33"/>
      <c r="BN111" s="33"/>
      <c r="BO111" s="33"/>
      <c r="BP111" s="33"/>
      <c r="BQ111" s="33"/>
      <c r="BR111" s="23"/>
      <c r="BU111" s="69"/>
      <c r="BV111" s="90"/>
      <c r="CN111" s="11"/>
      <c r="CO111" s="11"/>
      <c r="CP111" s="11"/>
      <c r="CQ111" s="11"/>
      <c r="CR111" s="11"/>
      <c r="CS111" s="69"/>
      <c r="CT111" s="451"/>
      <c r="CU111" s="451"/>
      <c r="DF111" s="148"/>
      <c r="DG111" s="451"/>
      <c r="DH111" s="451"/>
      <c r="DI111" s="451"/>
      <c r="DJ111" s="451"/>
      <c r="DK111" s="451"/>
      <c r="DL111" s="451"/>
      <c r="DM111" s="451"/>
      <c r="DN111" s="451"/>
      <c r="DO111" s="455"/>
      <c r="DP111" s="69"/>
      <c r="DW111" s="312"/>
      <c r="DX111" s="312"/>
      <c r="DY111" s="451"/>
      <c r="DZ111" s="451"/>
      <c r="EA111" s="451"/>
      <c r="EB111" s="451"/>
      <c r="EC111" s="451"/>
      <c r="ED111" s="451"/>
      <c r="EE111" s="451"/>
      <c r="EF111" s="148"/>
      <c r="EG111" s="76"/>
      <c r="EH111" s="76"/>
      <c r="EI111" s="76"/>
      <c r="EJ111" s="76"/>
      <c r="EK111" s="76"/>
      <c r="EL111" s="76"/>
      <c r="EM111" s="76"/>
      <c r="EN111" s="31"/>
      <c r="EO111" s="31"/>
      <c r="EP111" s="468"/>
      <c r="EQ111" s="79"/>
      <c r="ER111" s="79"/>
      <c r="ES111" s="79"/>
      <c r="ET111" s="79"/>
      <c r="EU111" s="79"/>
      <c r="EV111" s="79"/>
      <c r="EW111" s="79"/>
      <c r="EX111" s="79"/>
      <c r="EY111" s="79"/>
      <c r="EZ111" s="455"/>
      <c r="FA111" s="468"/>
      <c r="FB111" s="468"/>
      <c r="FC111" s="468"/>
      <c r="FD111" s="468"/>
      <c r="FE111" s="468"/>
      <c r="FF111" s="468"/>
      <c r="FG111" s="465"/>
      <c r="FH111" s="465"/>
      <c r="FI111" s="465"/>
      <c r="FJ111" s="465"/>
      <c r="FK111" s="451"/>
      <c r="FL111" s="451"/>
      <c r="FM111" s="465"/>
      <c r="FN111" s="465"/>
      <c r="FO111" s="148"/>
      <c r="FP111" s="468"/>
      <c r="FQ111" s="451"/>
      <c r="FR111" s="451"/>
      <c r="FS111" s="451"/>
      <c r="FT111" s="451"/>
      <c r="FU111" s="451"/>
      <c r="FV111" s="451"/>
      <c r="FW111" s="451"/>
      <c r="FX111" s="451"/>
      <c r="FY111" s="451"/>
      <c r="FZ111" s="451"/>
      <c r="GA111" s="451"/>
      <c r="GB111" s="451"/>
      <c r="GC111" s="451"/>
      <c r="GD111" s="451"/>
      <c r="GE111" s="451"/>
      <c r="GF111" s="451"/>
      <c r="GG111" s="451"/>
      <c r="GH111" s="451"/>
      <c r="GI111" s="451"/>
      <c r="GJ111" s="293"/>
      <c r="GK111" s="79"/>
      <c r="GL111" s="79"/>
      <c r="GM111" s="79"/>
      <c r="GN111" s="79"/>
      <c r="GO111" s="79"/>
      <c r="GP111" s="79"/>
      <c r="GQ111" s="148"/>
      <c r="GR111" s="451"/>
      <c r="GS111" s="451"/>
      <c r="GT111" s="451"/>
      <c r="GU111" s="451"/>
      <c r="GV111" s="900"/>
      <c r="GW111" s="900"/>
      <c r="GX111" s="451"/>
      <c r="GY111" s="451"/>
      <c r="GZ111" s="451"/>
      <c r="HA111" s="451"/>
      <c r="HB111" s="451"/>
      <c r="HC111" s="451"/>
      <c r="HD111" s="97"/>
      <c r="HE111" s="451"/>
      <c r="HF111" s="664"/>
      <c r="HV111" s="97"/>
      <c r="HW111" s="139"/>
      <c r="HX111" s="29"/>
      <c r="HY111" s="29"/>
      <c r="HZ111" s="451"/>
      <c r="IA111" s="451"/>
      <c r="IB111" s="451"/>
      <c r="IC111" s="451"/>
      <c r="ID111" s="451"/>
      <c r="IE111" s="451"/>
      <c r="IF111" s="382"/>
      <c r="IG111" s="451"/>
      <c r="IK111" s="841"/>
      <c r="IL111" s="90"/>
      <c r="IV111" s="660"/>
      <c r="IW111" s="900"/>
      <c r="IX111" s="595"/>
      <c r="IY111" s="900"/>
      <c r="IZ111" s="660"/>
      <c r="JJ111" s="451"/>
      <c r="JK111" s="660"/>
      <c r="JL111" s="660"/>
      <c r="JM111" s="660"/>
    </row>
    <row r="112" spans="1:273">
      <c r="A112" s="451">
        <v>1930</v>
      </c>
      <c r="B112" s="451" t="s">
        <v>717</v>
      </c>
      <c r="C112" s="91"/>
      <c r="D112" s="69"/>
      <c r="E112" s="93">
        <f>AVERAGE(E22:E31)</f>
        <v>5.4183261001233426E-2</v>
      </c>
      <c r="F112" s="93"/>
      <c r="I112" s="90"/>
      <c r="J112" s="90"/>
      <c r="K112" s="90"/>
      <c r="L112" s="90"/>
      <c r="M112" s="90"/>
      <c r="N112" s="90"/>
      <c r="O112" s="90"/>
      <c r="P112" s="94">
        <f>AVERAGE(P22:P32)</f>
        <v>7.9479756403468844E-3</v>
      </c>
      <c r="Q112" s="93"/>
      <c r="R112" s="69"/>
      <c r="S112" s="90"/>
      <c r="X112" s="69"/>
      <c r="AM112" s="67"/>
      <c r="BJ112" s="69"/>
      <c r="BU112" s="69"/>
      <c r="BV112" s="90"/>
      <c r="CM112" s="240"/>
      <c r="CN112" s="240"/>
      <c r="CO112" s="240"/>
      <c r="CP112" s="240"/>
      <c r="CQ112" s="240"/>
      <c r="CR112" s="240"/>
      <c r="CS112" s="69"/>
      <c r="CT112" s="451"/>
      <c r="CU112" s="451"/>
      <c r="DF112" s="148"/>
      <c r="DG112" s="451"/>
      <c r="DH112" s="451"/>
      <c r="DI112" s="451"/>
      <c r="DJ112" s="451"/>
      <c r="DK112" s="451"/>
      <c r="DL112" s="451"/>
      <c r="DM112" s="451"/>
      <c r="DN112" s="451"/>
      <c r="DO112" s="455"/>
      <c r="DP112" s="69"/>
      <c r="DZ112" s="451"/>
      <c r="EA112" s="451"/>
      <c r="EB112" s="451"/>
      <c r="EC112" s="451"/>
      <c r="ED112" s="451"/>
      <c r="EE112" s="451"/>
      <c r="EF112" s="148"/>
      <c r="EG112" s="76"/>
      <c r="EH112" s="76"/>
      <c r="EI112" s="76"/>
      <c r="EJ112" s="76"/>
      <c r="EK112" s="76"/>
      <c r="EL112" s="76"/>
      <c r="EM112" s="76"/>
      <c r="EN112" s="31"/>
      <c r="EO112" s="31"/>
      <c r="EP112" s="468"/>
      <c r="EQ112" s="465"/>
      <c r="ER112" s="465"/>
      <c r="ES112" s="465"/>
      <c r="ET112" s="465"/>
      <c r="EU112" s="465"/>
      <c r="EV112" s="465"/>
      <c r="EW112" s="465"/>
      <c r="EX112" s="465"/>
      <c r="EY112" s="465"/>
      <c r="EZ112" s="455"/>
      <c r="FA112" s="468"/>
      <c r="FB112" s="468"/>
      <c r="FC112" s="468"/>
      <c r="FD112" s="468"/>
      <c r="FE112" s="468"/>
      <c r="FF112" s="468"/>
      <c r="FG112" s="465"/>
      <c r="FH112" s="465"/>
      <c r="FI112" s="465"/>
      <c r="FJ112" s="465"/>
      <c r="FK112" s="451"/>
      <c r="FL112" s="451"/>
      <c r="FM112" s="465"/>
      <c r="FN112" s="465"/>
      <c r="FO112" s="148"/>
      <c r="FP112" s="468"/>
      <c r="FQ112" s="451"/>
      <c r="FR112" s="451"/>
      <c r="FS112" s="451"/>
      <c r="FT112" s="451"/>
      <c r="FU112" s="451"/>
      <c r="FV112" s="451"/>
      <c r="FW112" s="451"/>
      <c r="FX112" s="451"/>
      <c r="FY112" s="451"/>
      <c r="FZ112" s="451"/>
      <c r="GA112" s="451"/>
      <c r="GB112" s="451"/>
      <c r="GC112" s="451"/>
      <c r="GD112" s="451"/>
      <c r="GE112" s="451"/>
      <c r="GF112" s="451"/>
      <c r="GG112" s="451"/>
      <c r="GH112" s="451"/>
      <c r="GI112" s="451"/>
      <c r="GJ112" s="79"/>
      <c r="GK112" s="79"/>
      <c r="GL112" s="79"/>
      <c r="GM112" s="79"/>
      <c r="GN112" s="79"/>
      <c r="GO112" s="79"/>
      <c r="GP112" s="79"/>
      <c r="GQ112" s="148"/>
      <c r="GR112" s="451"/>
      <c r="GS112" s="451"/>
      <c r="GT112" s="451"/>
      <c r="GU112" s="451"/>
      <c r="GV112" s="900"/>
      <c r="GW112" s="900"/>
      <c r="GX112" s="451"/>
      <c r="GY112" s="451"/>
      <c r="GZ112" s="451"/>
      <c r="HA112" s="451"/>
      <c r="HB112" s="451"/>
      <c r="HC112" s="451"/>
      <c r="HD112" s="234"/>
      <c r="HE112" s="451"/>
      <c r="HF112" s="664"/>
      <c r="HV112" s="234"/>
      <c r="HW112" s="139"/>
      <c r="HX112" s="139"/>
      <c r="HY112" s="139"/>
      <c r="HZ112" s="102"/>
      <c r="IA112" s="102"/>
      <c r="IB112" s="102"/>
      <c r="IC112" s="102"/>
      <c r="ID112" s="102"/>
      <c r="IE112" s="102"/>
      <c r="IF112" s="429"/>
      <c r="IG112" s="139"/>
      <c r="IK112" s="841"/>
      <c r="IL112" s="90"/>
      <c r="IV112" s="660"/>
      <c r="IW112" s="900"/>
      <c r="IX112" s="595"/>
      <c r="IY112" s="900"/>
      <c r="IZ112" s="660"/>
      <c r="JJ112" s="451"/>
      <c r="JK112" s="660"/>
      <c r="JL112" s="660"/>
      <c r="JM112" s="660"/>
    </row>
    <row r="113" spans="1:273" hidden="1">
      <c r="A113" s="451"/>
      <c r="B113" s="451"/>
      <c r="C113" s="91"/>
      <c r="D113" s="69"/>
      <c r="E113" s="93"/>
      <c r="F113" s="93"/>
      <c r="I113" s="90"/>
      <c r="J113" s="90"/>
      <c r="K113" s="90"/>
      <c r="L113" s="90"/>
      <c r="M113" s="90"/>
      <c r="N113" s="90"/>
      <c r="O113" s="90"/>
      <c r="P113" s="94"/>
      <c r="Q113" s="93"/>
      <c r="R113" s="69"/>
      <c r="S113" s="90"/>
      <c r="X113" s="69"/>
      <c r="AM113" s="67"/>
      <c r="BJ113" s="69"/>
      <c r="BU113" s="69"/>
      <c r="BV113" s="90"/>
      <c r="CM113" s="240"/>
      <c r="CN113" s="240"/>
      <c r="CO113" s="240"/>
      <c r="CP113" s="240"/>
      <c r="CQ113" s="240"/>
      <c r="CR113" s="240"/>
      <c r="CS113" s="69"/>
      <c r="CT113" s="451"/>
      <c r="CU113" s="451"/>
      <c r="DF113" s="148"/>
      <c r="DG113" s="451"/>
      <c r="DH113" s="451"/>
      <c r="DI113" s="451"/>
      <c r="DJ113" s="451"/>
      <c r="DK113" s="451"/>
      <c r="DL113" s="451"/>
      <c r="DM113" s="451"/>
      <c r="DN113" s="451"/>
      <c r="DO113" s="455"/>
      <c r="DP113" s="69"/>
      <c r="DZ113" s="451"/>
      <c r="EA113" s="451"/>
      <c r="EB113" s="451"/>
      <c r="EC113" s="451"/>
      <c r="ED113" s="451"/>
      <c r="EE113" s="451"/>
      <c r="EF113" s="148"/>
      <c r="EG113" s="76"/>
      <c r="EH113" s="76"/>
      <c r="EI113" s="76"/>
      <c r="EJ113" s="76"/>
      <c r="EK113" s="76"/>
      <c r="EL113" s="76"/>
      <c r="EM113" s="76"/>
      <c r="EN113" s="31"/>
      <c r="EO113" s="31"/>
      <c r="EP113" s="468"/>
      <c r="EQ113" s="465"/>
      <c r="ER113" s="465"/>
      <c r="ES113" s="465"/>
      <c r="ET113" s="465"/>
      <c r="EU113" s="465"/>
      <c r="EV113" s="465"/>
      <c r="EW113" s="465"/>
      <c r="EX113" s="465"/>
      <c r="EY113" s="465"/>
      <c r="EZ113" s="455"/>
      <c r="FA113" s="468"/>
      <c r="FB113" s="468"/>
      <c r="FC113" s="468"/>
      <c r="FD113" s="468"/>
      <c r="FE113" s="468"/>
      <c r="FF113" s="468"/>
      <c r="FG113" s="465"/>
      <c r="FH113" s="465"/>
      <c r="FI113" s="465"/>
      <c r="FJ113" s="465"/>
      <c r="FK113" s="451"/>
      <c r="FL113" s="451"/>
      <c r="FM113" s="465"/>
      <c r="FN113" s="465"/>
      <c r="FO113" s="148"/>
      <c r="FP113" s="468"/>
      <c r="FQ113" s="451"/>
      <c r="FR113" s="451"/>
      <c r="FS113" s="451"/>
      <c r="FT113" s="451"/>
      <c r="FU113" s="451"/>
      <c r="FV113" s="451"/>
      <c r="FW113" s="451"/>
      <c r="FX113" s="451"/>
      <c r="FY113" s="451"/>
      <c r="FZ113" s="451"/>
      <c r="GA113" s="451"/>
      <c r="GB113" s="451"/>
      <c r="GC113" s="451"/>
      <c r="GD113" s="451"/>
      <c r="GE113" s="451"/>
      <c r="GF113" s="451"/>
      <c r="GG113" s="451"/>
      <c r="GH113" s="451"/>
      <c r="GI113" s="451"/>
      <c r="GJ113" s="451"/>
      <c r="GK113" s="451"/>
      <c r="GL113" s="451"/>
      <c r="GM113" s="451"/>
      <c r="GN113" s="451"/>
      <c r="GO113" s="451"/>
      <c r="GP113" s="451"/>
      <c r="GQ113" s="148"/>
      <c r="GR113" s="451"/>
      <c r="GS113" s="451"/>
      <c r="GT113" s="451"/>
      <c r="GU113" s="451"/>
      <c r="GV113" s="900"/>
      <c r="GW113" s="900"/>
      <c r="GX113" s="451"/>
      <c r="GY113" s="451"/>
      <c r="GZ113" s="451"/>
      <c r="HA113" s="451"/>
      <c r="HB113" s="451"/>
      <c r="HC113" s="451"/>
      <c r="HD113" s="234"/>
      <c r="HE113" s="451"/>
      <c r="HF113" s="664"/>
      <c r="HV113" s="234"/>
      <c r="HW113" s="139"/>
      <c r="HX113" s="139"/>
      <c r="HY113" s="139"/>
      <c r="HZ113" s="102"/>
      <c r="IA113" s="102"/>
      <c r="IB113" s="102"/>
      <c r="IC113" s="102"/>
      <c r="ID113" s="102"/>
      <c r="IE113" s="102"/>
      <c r="IF113" s="139"/>
      <c r="IG113" s="139"/>
      <c r="IK113" s="841"/>
      <c r="IL113" s="90"/>
      <c r="IV113" s="660"/>
      <c r="IW113" s="900"/>
      <c r="IX113" s="595"/>
      <c r="IY113" s="900"/>
      <c r="IZ113" s="660"/>
      <c r="JJ113" s="451"/>
      <c r="JK113" s="660"/>
      <c r="JL113" s="660"/>
      <c r="JM113" s="660"/>
    </row>
    <row r="114" spans="1:273" hidden="1">
      <c r="A114" s="451"/>
      <c r="B114" s="451"/>
      <c r="C114" s="91"/>
      <c r="D114" s="69"/>
      <c r="E114" s="93"/>
      <c r="F114" s="93"/>
      <c r="I114" s="90"/>
      <c r="J114" s="90"/>
      <c r="K114" s="90"/>
      <c r="L114" s="90"/>
      <c r="M114" s="90"/>
      <c r="N114" s="90"/>
      <c r="O114" s="90"/>
      <c r="P114" s="94"/>
      <c r="Q114" s="93"/>
      <c r="R114" s="69"/>
      <c r="S114" s="90"/>
      <c r="X114" s="69"/>
      <c r="AM114" s="67"/>
      <c r="BJ114" s="69"/>
      <c r="BU114" s="69"/>
      <c r="BV114" s="90"/>
      <c r="CM114" s="240"/>
      <c r="CN114" s="240"/>
      <c r="CO114" s="240"/>
      <c r="CP114" s="240"/>
      <c r="CQ114" s="240"/>
      <c r="CR114" s="240"/>
      <c r="CS114" s="69"/>
      <c r="CT114" s="451"/>
      <c r="CU114" s="451"/>
      <c r="DF114" s="148"/>
      <c r="DG114" s="451"/>
      <c r="DH114" s="451"/>
      <c r="DI114" s="451"/>
      <c r="DJ114" s="451"/>
      <c r="DK114" s="451"/>
      <c r="DL114" s="451"/>
      <c r="DM114" s="451"/>
      <c r="DN114" s="451"/>
      <c r="DO114" s="455"/>
      <c r="DP114" s="69"/>
      <c r="DZ114" s="451"/>
      <c r="EA114" s="451"/>
      <c r="EB114" s="451"/>
      <c r="EC114" s="451"/>
      <c r="ED114" s="451"/>
      <c r="EE114" s="451"/>
      <c r="EF114" s="148"/>
      <c r="EG114" s="76"/>
      <c r="EH114" s="76"/>
      <c r="EI114" s="76"/>
      <c r="EJ114" s="76"/>
      <c r="EK114" s="76"/>
      <c r="EL114" s="76"/>
      <c r="EM114" s="76"/>
      <c r="EN114" s="31"/>
      <c r="EO114" s="31"/>
      <c r="EP114" s="468"/>
      <c r="EQ114" s="465"/>
      <c r="ER114" s="465"/>
      <c r="ES114" s="465"/>
      <c r="ET114" s="465"/>
      <c r="EU114" s="465"/>
      <c r="EV114" s="465"/>
      <c r="EW114" s="465"/>
      <c r="EX114" s="465"/>
      <c r="EY114" s="465"/>
      <c r="EZ114" s="455"/>
      <c r="FA114" s="468"/>
      <c r="FB114" s="468"/>
      <c r="FC114" s="468"/>
      <c r="FD114" s="468"/>
      <c r="FE114" s="468"/>
      <c r="FF114" s="468"/>
      <c r="FG114" s="465"/>
      <c r="FH114" s="465"/>
      <c r="FI114" s="465"/>
      <c r="FJ114" s="465"/>
      <c r="FK114" s="451"/>
      <c r="FL114" s="451"/>
      <c r="FM114" s="465"/>
      <c r="FN114" s="465"/>
      <c r="FO114" s="148"/>
      <c r="FP114" s="468"/>
      <c r="FQ114" s="451"/>
      <c r="FR114" s="451"/>
      <c r="FS114" s="451"/>
      <c r="FT114" s="451"/>
      <c r="FU114" s="451"/>
      <c r="FV114" s="451"/>
      <c r="FW114" s="451"/>
      <c r="FX114" s="451"/>
      <c r="FY114" s="451"/>
      <c r="FZ114" s="451"/>
      <c r="GA114" s="451"/>
      <c r="GB114" s="451"/>
      <c r="GC114" s="451"/>
      <c r="GD114" s="451"/>
      <c r="GE114" s="451"/>
      <c r="GF114" s="451"/>
      <c r="GG114" s="451"/>
      <c r="GH114" s="451"/>
      <c r="GI114" s="451"/>
      <c r="GJ114" s="451"/>
      <c r="GK114" s="451"/>
      <c r="GL114" s="451"/>
      <c r="GM114" s="451"/>
      <c r="GN114" s="451"/>
      <c r="GO114" s="451"/>
      <c r="GP114" s="451"/>
      <c r="GQ114" s="148"/>
      <c r="GR114" s="451"/>
      <c r="GS114" s="451"/>
      <c r="GT114" s="451"/>
      <c r="GU114" s="451"/>
      <c r="GV114" s="900"/>
      <c r="GW114" s="900"/>
      <c r="GX114" s="451"/>
      <c r="GY114" s="451"/>
      <c r="GZ114" s="451"/>
      <c r="HA114" s="451"/>
      <c r="HB114" s="451"/>
      <c r="HC114" s="451"/>
      <c r="HD114" s="234"/>
      <c r="HE114" s="451"/>
      <c r="HF114" s="664"/>
      <c r="HV114" s="234"/>
      <c r="HW114" s="139"/>
      <c r="HX114" s="139"/>
      <c r="HY114" s="139"/>
      <c r="HZ114" s="102"/>
      <c r="IA114" s="102"/>
      <c r="IB114" s="102"/>
      <c r="IC114" s="102"/>
      <c r="ID114" s="102"/>
      <c r="IE114" s="102"/>
      <c r="IF114" s="139"/>
      <c r="IG114" s="139"/>
      <c r="IK114" s="841"/>
      <c r="IL114" s="90"/>
      <c r="IV114" s="660"/>
      <c r="IW114" s="900"/>
      <c r="IX114" s="595"/>
      <c r="IY114" s="900"/>
      <c r="IZ114" s="660"/>
      <c r="JJ114" s="451"/>
      <c r="JK114" s="660"/>
      <c r="JL114" s="660"/>
      <c r="JM114" s="660"/>
    </row>
    <row r="115" spans="1:273" hidden="1">
      <c r="A115" s="451"/>
      <c r="B115" s="451"/>
      <c r="C115" s="91"/>
      <c r="D115" s="69"/>
      <c r="E115" s="93"/>
      <c r="F115" s="93"/>
      <c r="I115" s="90"/>
      <c r="J115" s="90"/>
      <c r="K115" s="90"/>
      <c r="L115" s="90"/>
      <c r="M115" s="90"/>
      <c r="N115" s="90"/>
      <c r="O115" s="90"/>
      <c r="P115" s="94"/>
      <c r="Q115" s="93"/>
      <c r="R115" s="69"/>
      <c r="S115" s="90"/>
      <c r="X115" s="69"/>
      <c r="AM115" s="67"/>
      <c r="BJ115" s="69"/>
      <c r="BU115" s="69"/>
      <c r="BV115" s="90"/>
      <c r="CM115" s="240"/>
      <c r="CN115" s="240"/>
      <c r="CO115" s="240"/>
      <c r="CP115" s="240"/>
      <c r="CQ115" s="240"/>
      <c r="CR115" s="240"/>
      <c r="CS115" s="69"/>
      <c r="CT115" s="451"/>
      <c r="CU115" s="451"/>
      <c r="DF115" s="148"/>
      <c r="DG115" s="451"/>
      <c r="DH115" s="451"/>
      <c r="DI115" s="451"/>
      <c r="DJ115" s="451"/>
      <c r="DK115" s="451"/>
      <c r="DL115" s="451"/>
      <c r="DM115" s="451"/>
      <c r="DN115" s="451"/>
      <c r="DO115" s="455"/>
      <c r="DP115" s="69"/>
      <c r="DZ115" s="451"/>
      <c r="EA115" s="451"/>
      <c r="EB115" s="451"/>
      <c r="EC115" s="451"/>
      <c r="ED115" s="451"/>
      <c r="EE115" s="451"/>
      <c r="EF115" s="148"/>
      <c r="EG115" s="76"/>
      <c r="EH115" s="76"/>
      <c r="EI115" s="76"/>
      <c r="EJ115" s="76"/>
      <c r="EK115" s="76"/>
      <c r="EL115" s="76"/>
      <c r="EM115" s="76"/>
      <c r="EN115" s="31"/>
      <c r="EO115" s="31"/>
      <c r="EP115" s="468"/>
      <c r="EQ115" s="465"/>
      <c r="ER115" s="465"/>
      <c r="ES115" s="465"/>
      <c r="ET115" s="465"/>
      <c r="EU115" s="465"/>
      <c r="EV115" s="465"/>
      <c r="EW115" s="465"/>
      <c r="EX115" s="465"/>
      <c r="EY115" s="465"/>
      <c r="EZ115" s="455"/>
      <c r="FA115" s="468"/>
      <c r="FB115" s="468"/>
      <c r="FC115" s="468"/>
      <c r="FD115" s="468"/>
      <c r="FE115" s="468"/>
      <c r="FF115" s="468"/>
      <c r="FG115" s="465"/>
      <c r="FH115" s="465"/>
      <c r="FI115" s="465"/>
      <c r="FJ115" s="465"/>
      <c r="FK115" s="451"/>
      <c r="FL115" s="451"/>
      <c r="FM115" s="465"/>
      <c r="FN115" s="465"/>
      <c r="FO115" s="148"/>
      <c r="FP115" s="468"/>
      <c r="FQ115" s="451"/>
      <c r="FR115" s="451"/>
      <c r="FS115" s="451"/>
      <c r="FT115" s="451"/>
      <c r="FU115" s="451"/>
      <c r="FV115" s="451"/>
      <c r="FW115" s="451"/>
      <c r="FX115" s="451"/>
      <c r="FY115" s="451"/>
      <c r="FZ115" s="451"/>
      <c r="GA115" s="451"/>
      <c r="GB115" s="451"/>
      <c r="GC115" s="451"/>
      <c r="GD115" s="451"/>
      <c r="GE115" s="451"/>
      <c r="GF115" s="451"/>
      <c r="GG115" s="451"/>
      <c r="GH115" s="451"/>
      <c r="GI115" s="451"/>
      <c r="GJ115" s="451"/>
      <c r="GK115" s="451"/>
      <c r="GL115" s="451"/>
      <c r="GM115" s="451"/>
      <c r="GN115" s="451"/>
      <c r="GO115" s="451"/>
      <c r="GP115" s="451"/>
      <c r="GQ115" s="148"/>
      <c r="GR115" s="451"/>
      <c r="GS115" s="451"/>
      <c r="GT115" s="451"/>
      <c r="GU115" s="451"/>
      <c r="GV115" s="900"/>
      <c r="GW115" s="900"/>
      <c r="GX115" s="451"/>
      <c r="GY115" s="451"/>
      <c r="GZ115" s="451"/>
      <c r="HA115" s="451"/>
      <c r="HB115" s="451"/>
      <c r="HC115" s="451"/>
      <c r="HD115" s="234"/>
      <c r="HE115" s="451"/>
      <c r="HF115" s="664"/>
      <c r="HV115" s="234"/>
      <c r="HW115" s="139"/>
      <c r="HX115" s="139"/>
      <c r="HY115" s="139"/>
      <c r="HZ115" s="102"/>
      <c r="IA115" s="102"/>
      <c r="IB115" s="102"/>
      <c r="IC115" s="102"/>
      <c r="ID115" s="102"/>
      <c r="IE115" s="102"/>
      <c r="IF115" s="139"/>
      <c r="IG115" s="139"/>
      <c r="IK115" s="841"/>
      <c r="IL115" s="90"/>
      <c r="IV115" s="660"/>
      <c r="IW115" s="900"/>
      <c r="IX115" s="595"/>
      <c r="IY115" s="900"/>
      <c r="IZ115" s="660"/>
      <c r="JJ115" s="451"/>
      <c r="JK115" s="660"/>
      <c r="JL115" s="660"/>
      <c r="JM115" s="660"/>
    </row>
    <row r="116" spans="1:273" hidden="1">
      <c r="A116" s="451"/>
      <c r="B116" s="451"/>
      <c r="C116" s="91"/>
      <c r="D116" s="69"/>
      <c r="E116" s="93"/>
      <c r="F116" s="93"/>
      <c r="I116" s="90"/>
      <c r="J116" s="90"/>
      <c r="K116" s="90"/>
      <c r="L116" s="90"/>
      <c r="M116" s="90"/>
      <c r="N116" s="90"/>
      <c r="O116" s="90"/>
      <c r="P116" s="94"/>
      <c r="Q116" s="93"/>
      <c r="R116" s="69"/>
      <c r="S116" s="90"/>
      <c r="X116" s="69"/>
      <c r="AM116" s="67"/>
      <c r="BJ116" s="69"/>
      <c r="BU116" s="69"/>
      <c r="BV116" s="90"/>
      <c r="CM116" s="240"/>
      <c r="CN116" s="240"/>
      <c r="CO116" s="240"/>
      <c r="CP116" s="240"/>
      <c r="CQ116" s="240"/>
      <c r="CR116" s="240"/>
      <c r="CS116" s="69"/>
      <c r="CT116" s="451"/>
      <c r="CU116" s="451"/>
      <c r="DF116" s="148"/>
      <c r="DG116" s="451"/>
      <c r="DH116" s="451"/>
      <c r="DI116" s="451"/>
      <c r="DJ116" s="451"/>
      <c r="DK116" s="451"/>
      <c r="DL116" s="451"/>
      <c r="DM116" s="451"/>
      <c r="DN116" s="451"/>
      <c r="DO116" s="455"/>
      <c r="DP116" s="69"/>
      <c r="DZ116" s="451"/>
      <c r="EA116" s="451"/>
      <c r="EB116" s="451"/>
      <c r="EC116" s="451"/>
      <c r="ED116" s="451"/>
      <c r="EE116" s="451"/>
      <c r="EF116" s="148"/>
      <c r="EG116" s="76"/>
      <c r="EH116" s="76"/>
      <c r="EI116" s="76"/>
      <c r="EJ116" s="76"/>
      <c r="EK116" s="76"/>
      <c r="EL116" s="76"/>
      <c r="EM116" s="76"/>
      <c r="EN116" s="31"/>
      <c r="EO116" s="31"/>
      <c r="EP116" s="468"/>
      <c r="EQ116" s="465"/>
      <c r="ER116" s="465"/>
      <c r="ES116" s="465"/>
      <c r="ET116" s="465"/>
      <c r="EU116" s="465"/>
      <c r="EV116" s="465"/>
      <c r="EW116" s="465"/>
      <c r="EX116" s="465"/>
      <c r="EY116" s="465"/>
      <c r="EZ116" s="455"/>
      <c r="FA116" s="468"/>
      <c r="FB116" s="468"/>
      <c r="FC116" s="468"/>
      <c r="FD116" s="468"/>
      <c r="FE116" s="468"/>
      <c r="FF116" s="468"/>
      <c r="FG116" s="465"/>
      <c r="FH116" s="465"/>
      <c r="FI116" s="465"/>
      <c r="FJ116" s="465"/>
      <c r="FK116" s="451"/>
      <c r="FL116" s="451"/>
      <c r="FM116" s="465"/>
      <c r="FN116" s="465"/>
      <c r="FO116" s="148"/>
      <c r="FP116" s="468"/>
      <c r="FQ116" s="451"/>
      <c r="FR116" s="451"/>
      <c r="FS116" s="451"/>
      <c r="FT116" s="451"/>
      <c r="FU116" s="451"/>
      <c r="FV116" s="451"/>
      <c r="FW116" s="451"/>
      <c r="FX116" s="451"/>
      <c r="FY116" s="451"/>
      <c r="FZ116" s="451"/>
      <c r="GA116" s="451"/>
      <c r="GB116" s="451"/>
      <c r="GC116" s="451"/>
      <c r="GD116" s="451"/>
      <c r="GE116" s="451"/>
      <c r="GF116" s="451"/>
      <c r="GG116" s="451"/>
      <c r="GH116" s="451"/>
      <c r="GI116" s="451"/>
      <c r="GJ116" s="451"/>
      <c r="GK116" s="451"/>
      <c r="GL116" s="451"/>
      <c r="GM116" s="451"/>
      <c r="GN116" s="451"/>
      <c r="GO116" s="451"/>
      <c r="GP116" s="451"/>
      <c r="GQ116" s="148"/>
      <c r="GR116" s="451"/>
      <c r="GS116" s="451"/>
      <c r="GT116" s="451"/>
      <c r="GU116" s="451"/>
      <c r="GV116" s="900"/>
      <c r="GW116" s="900"/>
      <c r="GX116" s="451"/>
      <c r="GY116" s="451"/>
      <c r="GZ116" s="451"/>
      <c r="HA116" s="451"/>
      <c r="HB116" s="451"/>
      <c r="HC116" s="451"/>
      <c r="HD116" s="234"/>
      <c r="HE116" s="451"/>
      <c r="HF116" s="664"/>
      <c r="HV116" s="234"/>
      <c r="HW116" s="139"/>
      <c r="HX116" s="139"/>
      <c r="HY116" s="139"/>
      <c r="HZ116" s="102"/>
      <c r="IA116" s="102"/>
      <c r="IB116" s="102"/>
      <c r="IC116" s="102"/>
      <c r="ID116" s="102"/>
      <c r="IE116" s="102"/>
      <c r="IF116" s="139"/>
      <c r="IG116" s="139"/>
      <c r="IK116" s="841"/>
      <c r="IL116" s="90"/>
      <c r="IV116" s="660"/>
      <c r="IW116" s="900"/>
      <c r="IX116" s="595"/>
      <c r="IY116" s="900"/>
      <c r="IZ116" s="660"/>
      <c r="JJ116" s="451"/>
      <c r="JK116" s="660"/>
      <c r="JL116" s="660"/>
      <c r="JM116" s="660"/>
    </row>
    <row r="117" spans="1:273" hidden="1">
      <c r="A117" s="451"/>
      <c r="B117" s="451"/>
      <c r="C117" s="91"/>
      <c r="D117" s="69"/>
      <c r="E117" s="93"/>
      <c r="F117" s="93"/>
      <c r="I117" s="90"/>
      <c r="J117" s="90"/>
      <c r="K117" s="90"/>
      <c r="L117" s="90"/>
      <c r="M117" s="90"/>
      <c r="N117" s="90"/>
      <c r="O117" s="90"/>
      <c r="P117" s="94"/>
      <c r="Q117" s="93"/>
      <c r="R117" s="69"/>
      <c r="S117" s="90"/>
      <c r="X117" s="69"/>
      <c r="AM117" s="67"/>
      <c r="BJ117" s="69"/>
      <c r="BU117" s="69"/>
      <c r="BV117" s="90"/>
      <c r="CM117" s="240"/>
      <c r="CN117" s="240"/>
      <c r="CO117" s="240"/>
      <c r="CP117" s="240"/>
      <c r="CQ117" s="240"/>
      <c r="CR117" s="240"/>
      <c r="CS117" s="69"/>
      <c r="CT117" s="451"/>
      <c r="CU117" s="451"/>
      <c r="DF117" s="148"/>
      <c r="DG117" s="451"/>
      <c r="DH117" s="451"/>
      <c r="DI117" s="451"/>
      <c r="DJ117" s="451"/>
      <c r="DK117" s="451"/>
      <c r="DL117" s="451"/>
      <c r="DM117" s="451"/>
      <c r="DN117" s="451"/>
      <c r="DO117" s="455"/>
      <c r="DP117" s="69"/>
      <c r="DZ117" s="451"/>
      <c r="EA117" s="451"/>
      <c r="EB117" s="451"/>
      <c r="EC117" s="451"/>
      <c r="ED117" s="451"/>
      <c r="EE117" s="451"/>
      <c r="EF117" s="148"/>
      <c r="EG117" s="76"/>
      <c r="EH117" s="76"/>
      <c r="EI117" s="76"/>
      <c r="EJ117" s="76"/>
      <c r="EK117" s="76"/>
      <c r="EL117" s="76"/>
      <c r="EM117" s="76"/>
      <c r="EN117" s="31"/>
      <c r="EO117" s="31"/>
      <c r="EP117" s="468"/>
      <c r="EQ117" s="465"/>
      <c r="ER117" s="465"/>
      <c r="ES117" s="465"/>
      <c r="ET117" s="465"/>
      <c r="EU117" s="465"/>
      <c r="EV117" s="465"/>
      <c r="EW117" s="465"/>
      <c r="EX117" s="465"/>
      <c r="EY117" s="465"/>
      <c r="EZ117" s="455"/>
      <c r="FA117" s="468"/>
      <c r="FB117" s="468"/>
      <c r="FC117" s="468"/>
      <c r="FD117" s="468"/>
      <c r="FE117" s="468"/>
      <c r="FF117" s="468"/>
      <c r="FG117" s="465"/>
      <c r="FH117" s="465"/>
      <c r="FI117" s="465"/>
      <c r="FJ117" s="465"/>
      <c r="FK117" s="451"/>
      <c r="FL117" s="451"/>
      <c r="FM117" s="465"/>
      <c r="FN117" s="465"/>
      <c r="FO117" s="148"/>
      <c r="FP117" s="468"/>
      <c r="FQ117" s="451"/>
      <c r="FR117" s="451"/>
      <c r="FS117" s="451"/>
      <c r="FT117" s="451"/>
      <c r="FU117" s="451"/>
      <c r="FV117" s="451"/>
      <c r="FW117" s="451"/>
      <c r="FX117" s="451"/>
      <c r="FY117" s="451"/>
      <c r="FZ117" s="451"/>
      <c r="GA117" s="451"/>
      <c r="GB117" s="451"/>
      <c r="GC117" s="451"/>
      <c r="GD117" s="451"/>
      <c r="GE117" s="451"/>
      <c r="GF117" s="451"/>
      <c r="GG117" s="451"/>
      <c r="GH117" s="451"/>
      <c r="GI117" s="451"/>
      <c r="GJ117" s="451"/>
      <c r="GK117" s="451"/>
      <c r="GL117" s="451"/>
      <c r="GM117" s="451"/>
      <c r="GN117" s="451"/>
      <c r="GO117" s="451"/>
      <c r="GP117" s="451"/>
      <c r="GQ117" s="148"/>
      <c r="GR117" s="451"/>
      <c r="GS117" s="451"/>
      <c r="GT117" s="451"/>
      <c r="GU117" s="451"/>
      <c r="GV117" s="900"/>
      <c r="GW117" s="900"/>
      <c r="GX117" s="451"/>
      <c r="GY117" s="451"/>
      <c r="GZ117" s="451"/>
      <c r="HA117" s="451"/>
      <c r="HB117" s="451"/>
      <c r="HC117" s="451"/>
      <c r="HD117" s="234"/>
      <c r="HE117" s="451"/>
      <c r="HF117" s="664"/>
      <c r="HV117" s="234"/>
      <c r="HW117" s="139"/>
      <c r="HX117" s="139"/>
      <c r="HY117" s="139"/>
      <c r="HZ117" s="102"/>
      <c r="IA117" s="102"/>
      <c r="IB117" s="102"/>
      <c r="IC117" s="102"/>
      <c r="ID117" s="102"/>
      <c r="IE117" s="102"/>
      <c r="IF117" s="139"/>
      <c r="IG117" s="139"/>
      <c r="IK117" s="841"/>
      <c r="IL117" s="90"/>
      <c r="IV117" s="660"/>
      <c r="IW117" s="900"/>
      <c r="IX117" s="595"/>
      <c r="IY117" s="900"/>
      <c r="IZ117" s="660"/>
      <c r="JJ117" s="451"/>
      <c r="JK117" s="660"/>
      <c r="JL117" s="660"/>
      <c r="JM117" s="660"/>
    </row>
    <row r="118" spans="1:273" hidden="1">
      <c r="A118" s="451"/>
      <c r="B118" s="451"/>
      <c r="C118" s="91"/>
      <c r="D118" s="69"/>
      <c r="E118" s="93"/>
      <c r="F118" s="93"/>
      <c r="I118" s="90"/>
      <c r="J118" s="90"/>
      <c r="K118" s="90"/>
      <c r="L118" s="90"/>
      <c r="M118" s="90"/>
      <c r="N118" s="90"/>
      <c r="O118" s="90"/>
      <c r="P118" s="94"/>
      <c r="Q118" s="93"/>
      <c r="R118" s="69"/>
      <c r="S118" s="90"/>
      <c r="X118" s="69"/>
      <c r="AM118" s="67"/>
      <c r="BJ118" s="69"/>
      <c r="BU118" s="69"/>
      <c r="BV118" s="90"/>
      <c r="CM118" s="240"/>
      <c r="CN118" s="240"/>
      <c r="CO118" s="240"/>
      <c r="CP118" s="240"/>
      <c r="CQ118" s="240"/>
      <c r="CR118" s="240"/>
      <c r="CS118" s="69"/>
      <c r="CT118" s="451"/>
      <c r="CU118" s="451"/>
      <c r="DF118" s="148"/>
      <c r="DG118" s="451"/>
      <c r="DH118" s="451"/>
      <c r="DI118" s="451"/>
      <c r="DJ118" s="451"/>
      <c r="DK118" s="451"/>
      <c r="DL118" s="451"/>
      <c r="DM118" s="451"/>
      <c r="DN118" s="451"/>
      <c r="DO118" s="455"/>
      <c r="DP118" s="69"/>
      <c r="DZ118" s="451"/>
      <c r="EA118" s="451"/>
      <c r="EB118" s="451"/>
      <c r="EC118" s="451"/>
      <c r="ED118" s="451"/>
      <c r="EE118" s="451"/>
      <c r="EF118" s="148"/>
      <c r="EG118" s="76"/>
      <c r="EH118" s="76"/>
      <c r="EI118" s="76"/>
      <c r="EJ118" s="76"/>
      <c r="EK118" s="76"/>
      <c r="EL118" s="76"/>
      <c r="EM118" s="76"/>
      <c r="EN118" s="31"/>
      <c r="EO118" s="31"/>
      <c r="EP118" s="468"/>
      <c r="EQ118" s="465"/>
      <c r="ER118" s="465"/>
      <c r="ES118" s="465"/>
      <c r="ET118" s="465"/>
      <c r="EU118" s="465"/>
      <c r="EV118" s="465"/>
      <c r="EW118" s="465"/>
      <c r="EX118" s="465"/>
      <c r="EY118" s="465"/>
      <c r="EZ118" s="455"/>
      <c r="FA118" s="468"/>
      <c r="FB118" s="468"/>
      <c r="FC118" s="468"/>
      <c r="FD118" s="468"/>
      <c r="FE118" s="468"/>
      <c r="FF118" s="468"/>
      <c r="FG118" s="465"/>
      <c r="FH118" s="465"/>
      <c r="FI118" s="465"/>
      <c r="FJ118" s="465"/>
      <c r="FK118" s="451"/>
      <c r="FL118" s="451"/>
      <c r="FM118" s="465"/>
      <c r="FN118" s="465"/>
      <c r="FO118" s="148"/>
      <c r="FP118" s="468"/>
      <c r="FQ118" s="451"/>
      <c r="FR118" s="451"/>
      <c r="FS118" s="451"/>
      <c r="FT118" s="451"/>
      <c r="FU118" s="451"/>
      <c r="FV118" s="451"/>
      <c r="FW118" s="451"/>
      <c r="FX118" s="451"/>
      <c r="FY118" s="451"/>
      <c r="FZ118" s="451"/>
      <c r="GA118" s="451"/>
      <c r="GB118" s="451"/>
      <c r="GC118" s="451"/>
      <c r="GD118" s="451"/>
      <c r="GE118" s="451"/>
      <c r="GF118" s="451"/>
      <c r="GG118" s="451"/>
      <c r="GH118" s="451"/>
      <c r="GI118" s="451"/>
      <c r="GJ118" s="451"/>
      <c r="GK118" s="451"/>
      <c r="GL118" s="451"/>
      <c r="GM118" s="451"/>
      <c r="GN118" s="451"/>
      <c r="GO118" s="451"/>
      <c r="GP118" s="451"/>
      <c r="GQ118" s="148"/>
      <c r="GR118" s="451"/>
      <c r="GS118" s="451"/>
      <c r="GT118" s="451"/>
      <c r="GU118" s="451"/>
      <c r="GV118" s="900"/>
      <c r="GW118" s="900"/>
      <c r="GX118" s="451"/>
      <c r="GY118" s="451"/>
      <c r="GZ118" s="451"/>
      <c r="HA118" s="451"/>
      <c r="HB118" s="451"/>
      <c r="HC118" s="451"/>
      <c r="HD118" s="234"/>
      <c r="HE118" s="451"/>
      <c r="HF118" s="664"/>
      <c r="HV118" s="234"/>
      <c r="HW118" s="139"/>
      <c r="HX118" s="139"/>
      <c r="HY118" s="139"/>
      <c r="HZ118" s="102"/>
      <c r="IA118" s="102"/>
      <c r="IB118" s="102"/>
      <c r="IC118" s="102"/>
      <c r="ID118" s="102"/>
      <c r="IE118" s="102"/>
      <c r="IF118" s="139"/>
      <c r="IG118" s="139"/>
      <c r="IK118" s="841"/>
      <c r="IL118" s="90"/>
      <c r="IV118" s="660"/>
      <c r="IW118" s="900"/>
      <c r="IX118" s="595"/>
      <c r="IY118" s="900"/>
      <c r="IZ118" s="660"/>
      <c r="JJ118" s="451"/>
      <c r="JK118" s="660"/>
      <c r="JL118" s="660"/>
      <c r="JM118" s="660"/>
    </row>
    <row r="119" spans="1:273" hidden="1">
      <c r="A119" s="451"/>
      <c r="B119" s="451"/>
      <c r="C119" s="91"/>
      <c r="D119" s="69"/>
      <c r="E119" s="93"/>
      <c r="F119" s="93"/>
      <c r="I119" s="90"/>
      <c r="J119" s="90"/>
      <c r="K119" s="90"/>
      <c r="L119" s="90"/>
      <c r="M119" s="90"/>
      <c r="N119" s="90"/>
      <c r="O119" s="90"/>
      <c r="P119" s="94"/>
      <c r="Q119" s="93"/>
      <c r="R119" s="69"/>
      <c r="S119" s="90"/>
      <c r="X119" s="69"/>
      <c r="AM119" s="67"/>
      <c r="BJ119" s="69"/>
      <c r="BU119" s="69"/>
      <c r="BV119" s="90"/>
      <c r="CM119" s="240"/>
      <c r="CN119" s="240"/>
      <c r="CO119" s="240"/>
      <c r="CP119" s="240"/>
      <c r="CQ119" s="240"/>
      <c r="CR119" s="240"/>
      <c r="CS119" s="69"/>
      <c r="CT119" s="451"/>
      <c r="CU119" s="451"/>
      <c r="DF119" s="148"/>
      <c r="DG119" s="451"/>
      <c r="DH119" s="451"/>
      <c r="DI119" s="451"/>
      <c r="DJ119" s="451"/>
      <c r="DK119" s="451"/>
      <c r="DL119" s="451"/>
      <c r="DM119" s="451"/>
      <c r="DN119" s="451"/>
      <c r="DO119" s="455"/>
      <c r="DP119" s="69"/>
      <c r="DZ119" s="451"/>
      <c r="EA119" s="451"/>
      <c r="EB119" s="451"/>
      <c r="EC119" s="451"/>
      <c r="ED119" s="451"/>
      <c r="EE119" s="451"/>
      <c r="EF119" s="148"/>
      <c r="EG119" s="76"/>
      <c r="EH119" s="76"/>
      <c r="EI119" s="76"/>
      <c r="EJ119" s="76"/>
      <c r="EK119" s="76"/>
      <c r="EL119" s="76"/>
      <c r="EM119" s="76"/>
      <c r="EN119" s="31"/>
      <c r="EO119" s="31"/>
      <c r="EP119" s="468"/>
      <c r="EQ119" s="465"/>
      <c r="ER119" s="465"/>
      <c r="ES119" s="465"/>
      <c r="ET119" s="465"/>
      <c r="EU119" s="465"/>
      <c r="EV119" s="465"/>
      <c r="EW119" s="465"/>
      <c r="EX119" s="465"/>
      <c r="EY119" s="465"/>
      <c r="EZ119" s="455"/>
      <c r="FA119" s="468"/>
      <c r="FB119" s="468"/>
      <c r="FC119" s="468"/>
      <c r="FD119" s="468"/>
      <c r="FE119" s="468"/>
      <c r="FF119" s="468"/>
      <c r="FG119" s="465"/>
      <c r="FH119" s="465"/>
      <c r="FI119" s="465"/>
      <c r="FJ119" s="465"/>
      <c r="FK119" s="451"/>
      <c r="FL119" s="451"/>
      <c r="FM119" s="465"/>
      <c r="FN119" s="465"/>
      <c r="FO119" s="148"/>
      <c r="FP119" s="468"/>
      <c r="FQ119" s="451"/>
      <c r="FR119" s="451"/>
      <c r="FS119" s="451"/>
      <c r="FT119" s="451"/>
      <c r="FU119" s="451"/>
      <c r="FV119" s="451"/>
      <c r="FW119" s="451"/>
      <c r="FX119" s="451"/>
      <c r="FY119" s="451"/>
      <c r="FZ119" s="451"/>
      <c r="GA119" s="451"/>
      <c r="GB119" s="451"/>
      <c r="GC119" s="451"/>
      <c r="GD119" s="451"/>
      <c r="GE119" s="451"/>
      <c r="GF119" s="451"/>
      <c r="GG119" s="451"/>
      <c r="GH119" s="451"/>
      <c r="GI119" s="451"/>
      <c r="GJ119" s="451"/>
      <c r="GK119" s="451"/>
      <c r="GL119" s="451"/>
      <c r="GM119" s="451"/>
      <c r="GN119" s="451"/>
      <c r="GO119" s="451"/>
      <c r="GP119" s="451"/>
      <c r="GQ119" s="148"/>
      <c r="GR119" s="451"/>
      <c r="GS119" s="451"/>
      <c r="GT119" s="451"/>
      <c r="GU119" s="451"/>
      <c r="GV119" s="900"/>
      <c r="GW119" s="900"/>
      <c r="GX119" s="451"/>
      <c r="GY119" s="451"/>
      <c r="GZ119" s="451"/>
      <c r="HA119" s="451"/>
      <c r="HB119" s="451"/>
      <c r="HC119" s="451"/>
      <c r="HD119" s="234"/>
      <c r="HE119" s="451"/>
      <c r="HF119" s="664"/>
      <c r="HV119" s="234"/>
      <c r="HW119" s="139"/>
      <c r="HX119" s="139"/>
      <c r="HY119" s="139"/>
      <c r="HZ119" s="102"/>
      <c r="IA119" s="102"/>
      <c r="IB119" s="102"/>
      <c r="IC119" s="102"/>
      <c r="ID119" s="102"/>
      <c r="IE119" s="102"/>
      <c r="IF119" s="139"/>
      <c r="IG119" s="139"/>
      <c r="IK119" s="841"/>
      <c r="IL119" s="90"/>
      <c r="IV119" s="660"/>
      <c r="IW119" s="900"/>
      <c r="IX119" s="595"/>
      <c r="IY119" s="900"/>
      <c r="IZ119" s="660"/>
      <c r="JJ119" s="451"/>
      <c r="JK119" s="660"/>
      <c r="JL119" s="660"/>
      <c r="JM119" s="660"/>
    </row>
    <row r="120" spans="1:273" hidden="1">
      <c r="A120" s="451"/>
      <c r="B120" s="451"/>
      <c r="C120" s="91"/>
      <c r="D120" s="69"/>
      <c r="E120" s="93"/>
      <c r="F120" s="93"/>
      <c r="I120" s="90"/>
      <c r="J120" s="90"/>
      <c r="K120" s="90"/>
      <c r="L120" s="90"/>
      <c r="M120" s="90"/>
      <c r="N120" s="90"/>
      <c r="O120" s="90"/>
      <c r="P120" s="94"/>
      <c r="Q120" s="93"/>
      <c r="R120" s="69"/>
      <c r="S120" s="90"/>
      <c r="X120" s="69"/>
      <c r="AM120" s="67"/>
      <c r="BJ120" s="69"/>
      <c r="BU120" s="69"/>
      <c r="BV120" s="90"/>
      <c r="CM120" s="240"/>
      <c r="CN120" s="240"/>
      <c r="CO120" s="240"/>
      <c r="CP120" s="240"/>
      <c r="CQ120" s="240"/>
      <c r="CR120" s="240"/>
      <c r="CS120" s="69"/>
      <c r="CT120" s="451"/>
      <c r="CU120" s="451"/>
      <c r="DF120" s="148"/>
      <c r="DG120" s="451"/>
      <c r="DH120" s="451"/>
      <c r="DI120" s="451"/>
      <c r="DJ120" s="451"/>
      <c r="DK120" s="451"/>
      <c r="DL120" s="451"/>
      <c r="DM120" s="451"/>
      <c r="DN120" s="451"/>
      <c r="DO120" s="455"/>
      <c r="DP120" s="69"/>
      <c r="DZ120" s="451"/>
      <c r="EA120" s="451"/>
      <c r="EB120" s="451"/>
      <c r="EC120" s="451"/>
      <c r="ED120" s="451"/>
      <c r="EE120" s="451"/>
      <c r="EF120" s="148"/>
      <c r="EG120" s="76"/>
      <c r="EH120" s="76"/>
      <c r="EI120" s="76"/>
      <c r="EJ120" s="76"/>
      <c r="EK120" s="76"/>
      <c r="EL120" s="76"/>
      <c r="EM120" s="76"/>
      <c r="EN120" s="31"/>
      <c r="EO120" s="31"/>
      <c r="EP120" s="468"/>
      <c r="EQ120" s="465"/>
      <c r="ER120" s="465"/>
      <c r="ES120" s="465"/>
      <c r="ET120" s="465"/>
      <c r="EU120" s="465"/>
      <c r="EV120" s="465"/>
      <c r="EW120" s="465"/>
      <c r="EX120" s="465"/>
      <c r="EY120" s="465"/>
      <c r="EZ120" s="455"/>
      <c r="FA120" s="468"/>
      <c r="FB120" s="468"/>
      <c r="FC120" s="468"/>
      <c r="FD120" s="468"/>
      <c r="FE120" s="468"/>
      <c r="FF120" s="468"/>
      <c r="FG120" s="465"/>
      <c r="FH120" s="465"/>
      <c r="FI120" s="465"/>
      <c r="FJ120" s="465"/>
      <c r="FK120" s="451"/>
      <c r="FL120" s="451"/>
      <c r="FM120" s="465"/>
      <c r="FN120" s="465"/>
      <c r="FO120" s="148"/>
      <c r="FP120" s="468"/>
      <c r="FQ120" s="451"/>
      <c r="FR120" s="451"/>
      <c r="FS120" s="451"/>
      <c r="FT120" s="451"/>
      <c r="FU120" s="451"/>
      <c r="FV120" s="451"/>
      <c r="FW120" s="451"/>
      <c r="FX120" s="451"/>
      <c r="FY120" s="451"/>
      <c r="FZ120" s="451"/>
      <c r="GA120" s="451"/>
      <c r="GB120" s="451"/>
      <c r="GC120" s="451"/>
      <c r="GD120" s="451"/>
      <c r="GE120" s="451"/>
      <c r="GF120" s="451"/>
      <c r="GG120" s="451"/>
      <c r="GH120" s="451"/>
      <c r="GI120" s="451"/>
      <c r="GJ120" s="451"/>
      <c r="GK120" s="451"/>
      <c r="GL120" s="451"/>
      <c r="GM120" s="451"/>
      <c r="GN120" s="451"/>
      <c r="GO120" s="451"/>
      <c r="GP120" s="451"/>
      <c r="GQ120" s="148"/>
      <c r="GR120" s="451"/>
      <c r="GS120" s="451"/>
      <c r="GT120" s="451"/>
      <c r="GU120" s="451"/>
      <c r="GV120" s="900"/>
      <c r="GW120" s="900"/>
      <c r="GX120" s="451"/>
      <c r="GY120" s="451"/>
      <c r="GZ120" s="451"/>
      <c r="HA120" s="451"/>
      <c r="HB120" s="451"/>
      <c r="HC120" s="451"/>
      <c r="HD120" s="234"/>
      <c r="HE120" s="451"/>
      <c r="HF120" s="664"/>
      <c r="HV120" s="234"/>
      <c r="HW120" s="139"/>
      <c r="HX120" s="139"/>
      <c r="HY120" s="139"/>
      <c r="HZ120" s="102"/>
      <c r="IA120" s="102"/>
      <c r="IB120" s="102"/>
      <c r="IC120" s="102"/>
      <c r="ID120" s="102"/>
      <c r="IE120" s="102"/>
      <c r="IF120" s="139"/>
      <c r="IG120" s="139"/>
      <c r="IK120" s="841"/>
      <c r="IL120" s="90"/>
      <c r="IV120" s="660"/>
      <c r="IW120" s="900"/>
      <c r="IX120" s="595"/>
      <c r="IY120" s="900"/>
      <c r="IZ120" s="660"/>
      <c r="JJ120" s="451"/>
      <c r="JK120" s="660"/>
      <c r="JL120" s="660"/>
      <c r="JM120" s="660"/>
    </row>
    <row r="121" spans="1:273" hidden="1">
      <c r="A121" s="451"/>
      <c r="B121" s="451"/>
      <c r="C121" s="91"/>
      <c r="D121" s="69"/>
      <c r="E121" s="93"/>
      <c r="F121" s="93"/>
      <c r="I121" s="90"/>
      <c r="J121" s="90"/>
      <c r="K121" s="90"/>
      <c r="L121" s="90"/>
      <c r="M121" s="90"/>
      <c r="N121" s="90"/>
      <c r="O121" s="90"/>
      <c r="P121" s="94"/>
      <c r="Q121" s="93"/>
      <c r="R121" s="69"/>
      <c r="S121" s="90"/>
      <c r="X121" s="69"/>
      <c r="AM121" s="67"/>
      <c r="BJ121" s="69"/>
      <c r="BU121" s="69"/>
      <c r="BV121" s="90"/>
      <c r="CM121" s="240"/>
      <c r="CN121" s="240"/>
      <c r="CO121" s="240"/>
      <c r="CP121" s="240"/>
      <c r="CQ121" s="240"/>
      <c r="CR121" s="240"/>
      <c r="CS121" s="69"/>
      <c r="CT121" s="451"/>
      <c r="CU121" s="451"/>
      <c r="DF121" s="148"/>
      <c r="DG121" s="451"/>
      <c r="DH121" s="451"/>
      <c r="DI121" s="451"/>
      <c r="DJ121" s="451"/>
      <c r="DK121" s="451"/>
      <c r="DL121" s="451"/>
      <c r="DM121" s="451"/>
      <c r="DN121" s="451"/>
      <c r="DO121" s="455"/>
      <c r="DP121" s="69"/>
      <c r="DZ121" s="451"/>
      <c r="EA121" s="451"/>
      <c r="EB121" s="451"/>
      <c r="EC121" s="451"/>
      <c r="ED121" s="451"/>
      <c r="EE121" s="451"/>
      <c r="EF121" s="148"/>
      <c r="EG121" s="76"/>
      <c r="EH121" s="76"/>
      <c r="EI121" s="76"/>
      <c r="EJ121" s="76"/>
      <c r="EK121" s="76"/>
      <c r="EL121" s="76"/>
      <c r="EM121" s="76"/>
      <c r="EN121" s="31"/>
      <c r="EO121" s="31"/>
      <c r="EP121" s="468"/>
      <c r="EQ121" s="465"/>
      <c r="ER121" s="465"/>
      <c r="ES121" s="465"/>
      <c r="ET121" s="465"/>
      <c r="EU121" s="465"/>
      <c r="EV121" s="465"/>
      <c r="EW121" s="465"/>
      <c r="EX121" s="465"/>
      <c r="EY121" s="465"/>
      <c r="EZ121" s="455"/>
      <c r="FA121" s="468"/>
      <c r="FB121" s="468"/>
      <c r="FC121" s="468"/>
      <c r="FD121" s="468"/>
      <c r="FE121" s="468"/>
      <c r="FF121" s="468"/>
      <c r="FG121" s="465"/>
      <c r="FH121" s="465"/>
      <c r="FI121" s="465"/>
      <c r="FJ121" s="465"/>
      <c r="FK121" s="451"/>
      <c r="FL121" s="451"/>
      <c r="FM121" s="465"/>
      <c r="FN121" s="465"/>
      <c r="FO121" s="148"/>
      <c r="FP121" s="468"/>
      <c r="FQ121" s="451"/>
      <c r="FR121" s="451"/>
      <c r="FS121" s="451"/>
      <c r="FT121" s="451"/>
      <c r="FU121" s="451"/>
      <c r="FV121" s="451"/>
      <c r="FW121" s="451"/>
      <c r="FX121" s="451"/>
      <c r="FY121" s="451"/>
      <c r="FZ121" s="451"/>
      <c r="GA121" s="451"/>
      <c r="GB121" s="451"/>
      <c r="GC121" s="451"/>
      <c r="GD121" s="451"/>
      <c r="GE121" s="451"/>
      <c r="GF121" s="451"/>
      <c r="GG121" s="451"/>
      <c r="GH121" s="451"/>
      <c r="GI121" s="451"/>
      <c r="GJ121" s="451"/>
      <c r="GK121" s="451"/>
      <c r="GL121" s="451"/>
      <c r="GM121" s="451"/>
      <c r="GN121" s="451"/>
      <c r="GO121" s="451"/>
      <c r="GP121" s="451"/>
      <c r="GQ121" s="148"/>
      <c r="GR121" s="451"/>
      <c r="GS121" s="451"/>
      <c r="GT121" s="451"/>
      <c r="GU121" s="451"/>
      <c r="GV121" s="900"/>
      <c r="GW121" s="900"/>
      <c r="GX121" s="451"/>
      <c r="GY121" s="451"/>
      <c r="GZ121" s="451"/>
      <c r="HA121" s="451"/>
      <c r="HB121" s="451"/>
      <c r="HC121" s="451"/>
      <c r="HD121" s="234"/>
      <c r="HE121" s="451"/>
      <c r="HF121" s="664"/>
      <c r="HV121" s="234"/>
      <c r="HW121" s="139"/>
      <c r="HX121" s="139"/>
      <c r="HY121" s="139"/>
      <c r="HZ121" s="102"/>
      <c r="IA121" s="102"/>
      <c r="IB121" s="102"/>
      <c r="IC121" s="102"/>
      <c r="ID121" s="102"/>
      <c r="IE121" s="102"/>
      <c r="IF121" s="139"/>
      <c r="IG121" s="139"/>
      <c r="IK121" s="841"/>
      <c r="IL121" s="90"/>
      <c r="IV121" s="660"/>
      <c r="IW121" s="900"/>
      <c r="IX121" s="595"/>
      <c r="IY121" s="900"/>
      <c r="IZ121" s="660"/>
      <c r="JJ121" s="451"/>
      <c r="JK121" s="660"/>
      <c r="JL121" s="660"/>
      <c r="JM121" s="660"/>
    </row>
    <row r="122" spans="1:273">
      <c r="A122" s="451">
        <v>1940</v>
      </c>
      <c r="B122" s="451" t="s">
        <v>718</v>
      </c>
      <c r="C122" s="91"/>
      <c r="D122" s="69"/>
      <c r="E122" s="93">
        <f>AVERAGE(E32:E41)</f>
        <v>0.11875856174991901</v>
      </c>
      <c r="F122" s="93"/>
      <c r="I122" s="90"/>
      <c r="J122" s="90"/>
      <c r="K122" s="90"/>
      <c r="L122" s="90"/>
      <c r="M122" s="90"/>
      <c r="N122" s="90"/>
      <c r="O122" s="90"/>
      <c r="P122" s="94">
        <f>AVERAGE(P32:P41)</f>
        <v>8.848263871542179E-3</v>
      </c>
      <c r="Q122" s="93"/>
      <c r="R122" s="69"/>
      <c r="S122" s="90"/>
      <c r="X122" s="69"/>
      <c r="AM122" s="67"/>
      <c r="BJ122" s="69"/>
      <c r="BS122" s="25"/>
      <c r="BU122" s="69"/>
      <c r="BV122" s="90"/>
      <c r="CM122" s="240"/>
      <c r="CN122" s="240"/>
      <c r="CO122" s="240"/>
      <c r="CP122" s="240"/>
      <c r="CQ122" s="240"/>
      <c r="CR122" s="240"/>
      <c r="CS122" s="69"/>
      <c r="CT122" s="451"/>
      <c r="CU122" s="451"/>
      <c r="DF122" s="148"/>
      <c r="DG122" s="451"/>
      <c r="DH122" s="451"/>
      <c r="DI122" s="451"/>
      <c r="DJ122" s="451"/>
      <c r="DK122" s="451"/>
      <c r="DL122" s="451"/>
      <c r="DM122" s="451"/>
      <c r="DN122" s="451"/>
      <c r="DO122" s="455"/>
      <c r="DP122" s="69"/>
      <c r="DW122" s="82"/>
      <c r="DZ122" s="451"/>
      <c r="EA122" s="451"/>
      <c r="EB122" s="451"/>
      <c r="EC122" s="451"/>
      <c r="ED122" s="451"/>
      <c r="EE122" s="451"/>
      <c r="EF122" s="148"/>
      <c r="EG122" s="451"/>
      <c r="EH122" s="451"/>
      <c r="EI122" s="451"/>
      <c r="EJ122" s="451"/>
      <c r="EK122" s="451"/>
      <c r="EL122" s="451"/>
      <c r="EM122" s="451"/>
      <c r="EN122" s="451"/>
      <c r="EO122" s="465"/>
      <c r="EP122" s="468"/>
      <c r="EQ122" s="465"/>
      <c r="ER122" s="465"/>
      <c r="ES122" s="465"/>
      <c r="ET122" s="465"/>
      <c r="EU122" s="465"/>
      <c r="EV122" s="465"/>
      <c r="EW122" s="465"/>
      <c r="EX122" s="465"/>
      <c r="EY122" s="465"/>
      <c r="EZ122" s="455"/>
      <c r="FA122" s="468"/>
      <c r="FB122" s="468"/>
      <c r="FC122" s="468"/>
      <c r="FD122" s="468"/>
      <c r="FE122" s="468"/>
      <c r="FF122" s="468"/>
      <c r="FG122" s="465"/>
      <c r="FH122" s="465"/>
      <c r="FI122" s="465"/>
      <c r="FJ122" s="465"/>
      <c r="FK122" s="451"/>
      <c r="FL122" s="451"/>
      <c r="FM122" s="465"/>
      <c r="FN122" s="465"/>
      <c r="FO122" s="148"/>
      <c r="FP122" s="468"/>
      <c r="FQ122" s="451"/>
      <c r="FR122" s="451"/>
      <c r="FS122" s="451"/>
      <c r="FT122" s="451"/>
      <c r="FU122" s="451"/>
      <c r="FV122" s="451"/>
      <c r="FW122" s="451"/>
      <c r="FX122" s="451"/>
      <c r="FY122" s="451"/>
      <c r="FZ122" s="451"/>
      <c r="GA122" s="451"/>
      <c r="GB122" s="451"/>
      <c r="GC122" s="451"/>
      <c r="GD122" s="451"/>
      <c r="GE122" s="451"/>
      <c r="GF122" s="451"/>
      <c r="GG122" s="451"/>
      <c r="GH122" s="451"/>
      <c r="GI122" s="451"/>
      <c r="GJ122" s="451"/>
      <c r="GK122" s="451"/>
      <c r="GL122" s="451"/>
      <c r="GM122" s="451"/>
      <c r="GN122" s="451"/>
      <c r="GO122" s="451"/>
      <c r="GP122" s="451"/>
      <c r="GQ122" s="148"/>
      <c r="GR122" s="451"/>
      <c r="GS122" s="451"/>
      <c r="GT122" s="451"/>
      <c r="GU122" s="451"/>
      <c r="GV122" s="900"/>
      <c r="GW122" s="900"/>
      <c r="GX122" s="451"/>
      <c r="GY122" s="451"/>
      <c r="GZ122" s="451"/>
      <c r="HA122" s="451"/>
      <c r="HB122" s="451"/>
      <c r="HC122" s="451"/>
      <c r="HD122" s="234"/>
      <c r="HE122" s="451"/>
      <c r="HF122" s="664"/>
      <c r="HV122" s="234"/>
      <c r="HW122" s="139"/>
      <c r="HX122" s="139"/>
      <c r="HY122" s="139"/>
      <c r="HZ122" s="139"/>
      <c r="IA122" s="139"/>
      <c r="IB122" s="139"/>
      <c r="IC122" s="139"/>
      <c r="ID122" s="139"/>
      <c r="IE122" s="139"/>
      <c r="IF122" s="428"/>
      <c r="IG122" s="139"/>
      <c r="IK122" s="841"/>
      <c r="IL122" s="90"/>
      <c r="IV122" s="660"/>
      <c r="IW122" s="900"/>
      <c r="IX122" s="595"/>
      <c r="IY122" s="900"/>
      <c r="IZ122" s="660"/>
      <c r="JJ122" s="451"/>
      <c r="JK122" s="660"/>
      <c r="JL122" s="660"/>
      <c r="JM122" s="660"/>
    </row>
    <row r="123" spans="1:273" hidden="1">
      <c r="A123" s="451"/>
      <c r="B123" s="451"/>
      <c r="C123" s="91"/>
      <c r="D123" s="69"/>
      <c r="E123" s="93"/>
      <c r="F123" s="93"/>
      <c r="I123" s="90"/>
      <c r="J123" s="90"/>
      <c r="K123" s="90"/>
      <c r="L123" s="90"/>
      <c r="M123" s="90"/>
      <c r="N123" s="90"/>
      <c r="O123" s="90"/>
      <c r="P123" s="94"/>
      <c r="Q123" s="93"/>
      <c r="R123" s="69"/>
      <c r="S123" s="90"/>
      <c r="X123" s="69"/>
      <c r="AM123" s="67"/>
      <c r="BJ123" s="69"/>
      <c r="BS123" s="25"/>
      <c r="BU123" s="69"/>
      <c r="BV123" s="90"/>
      <c r="CM123" s="240"/>
      <c r="CN123" s="240"/>
      <c r="CO123" s="240"/>
      <c r="CP123" s="240"/>
      <c r="CQ123" s="240"/>
      <c r="CR123" s="240"/>
      <c r="CS123" s="69"/>
      <c r="CT123" s="451"/>
      <c r="CU123" s="451"/>
      <c r="DF123" s="148"/>
      <c r="DG123" s="451"/>
      <c r="DH123" s="451"/>
      <c r="DI123" s="451"/>
      <c r="DJ123" s="451"/>
      <c r="DK123" s="451"/>
      <c r="DL123" s="451"/>
      <c r="DM123" s="451"/>
      <c r="DN123" s="451"/>
      <c r="DO123" s="455"/>
      <c r="DP123" s="69"/>
      <c r="DW123" s="82"/>
      <c r="DZ123" s="451"/>
      <c r="EA123" s="451"/>
      <c r="EB123" s="451"/>
      <c r="EC123" s="451"/>
      <c r="ED123" s="451"/>
      <c r="EE123" s="451"/>
      <c r="EF123" s="148"/>
      <c r="EG123" s="451"/>
      <c r="EH123" s="451"/>
      <c r="EI123" s="451"/>
      <c r="EJ123" s="451"/>
      <c r="EK123" s="451"/>
      <c r="EL123" s="451"/>
      <c r="EM123" s="451"/>
      <c r="EN123" s="451"/>
      <c r="EO123" s="465"/>
      <c r="EP123" s="468"/>
      <c r="EQ123" s="465"/>
      <c r="ER123" s="465"/>
      <c r="ES123" s="465"/>
      <c r="ET123" s="465"/>
      <c r="EU123" s="465"/>
      <c r="EV123" s="465"/>
      <c r="EW123" s="465"/>
      <c r="EX123" s="465"/>
      <c r="EY123" s="465"/>
      <c r="EZ123" s="455"/>
      <c r="FA123" s="468"/>
      <c r="FB123" s="468"/>
      <c r="FC123" s="468"/>
      <c r="FD123" s="468"/>
      <c r="FE123" s="468"/>
      <c r="FF123" s="468"/>
      <c r="FG123" s="465"/>
      <c r="FH123" s="465"/>
      <c r="FI123" s="465"/>
      <c r="FJ123" s="465"/>
      <c r="FK123" s="451"/>
      <c r="FL123" s="451"/>
      <c r="FM123" s="465"/>
      <c r="FN123" s="465"/>
      <c r="FO123" s="148"/>
      <c r="FP123" s="468"/>
      <c r="FQ123" s="451"/>
      <c r="FR123" s="451"/>
      <c r="FS123" s="451"/>
      <c r="FT123" s="451"/>
      <c r="FU123" s="451"/>
      <c r="FV123" s="451"/>
      <c r="FW123" s="451"/>
      <c r="FX123" s="451"/>
      <c r="FY123" s="451"/>
      <c r="FZ123" s="451"/>
      <c r="GA123" s="451"/>
      <c r="GB123" s="451"/>
      <c r="GC123" s="451"/>
      <c r="GD123" s="451"/>
      <c r="GE123" s="451"/>
      <c r="GF123" s="451"/>
      <c r="GG123" s="451"/>
      <c r="GH123" s="451"/>
      <c r="GI123" s="451"/>
      <c r="GJ123" s="451"/>
      <c r="GK123" s="451"/>
      <c r="GL123" s="451"/>
      <c r="GM123" s="451"/>
      <c r="GN123" s="451"/>
      <c r="GO123" s="451"/>
      <c r="GP123" s="451"/>
      <c r="GQ123" s="148"/>
      <c r="GR123" s="451"/>
      <c r="GS123" s="451"/>
      <c r="GT123" s="451"/>
      <c r="GU123" s="451"/>
      <c r="GV123" s="900"/>
      <c r="GW123" s="900"/>
      <c r="GX123" s="451"/>
      <c r="GY123" s="451"/>
      <c r="GZ123" s="451"/>
      <c r="HA123" s="451"/>
      <c r="HB123" s="451"/>
      <c r="HC123" s="451"/>
      <c r="HD123" s="234"/>
      <c r="HE123" s="451"/>
      <c r="HF123" s="664"/>
      <c r="HV123" s="234"/>
      <c r="HW123" s="139"/>
      <c r="HX123" s="139"/>
      <c r="HY123" s="139"/>
      <c r="HZ123" s="139"/>
      <c r="IA123" s="139"/>
      <c r="IB123" s="139"/>
      <c r="IC123" s="139"/>
      <c r="ID123" s="139"/>
      <c r="IE123" s="139"/>
      <c r="IF123" s="139"/>
      <c r="IG123" s="139"/>
      <c r="IK123" s="841"/>
      <c r="IL123" s="90"/>
      <c r="IV123" s="660"/>
      <c r="IW123" s="900"/>
      <c r="IX123" s="595"/>
      <c r="IY123" s="900"/>
      <c r="IZ123" s="660"/>
      <c r="JJ123" s="451"/>
      <c r="JK123" s="660"/>
      <c r="JL123" s="660"/>
      <c r="JM123" s="660"/>
    </row>
    <row r="124" spans="1:273" hidden="1">
      <c r="A124" s="451"/>
      <c r="B124" s="451"/>
      <c r="C124" s="91"/>
      <c r="D124" s="69"/>
      <c r="E124" s="93"/>
      <c r="F124" s="93"/>
      <c r="I124" s="90"/>
      <c r="J124" s="90"/>
      <c r="K124" s="90"/>
      <c r="L124" s="90"/>
      <c r="M124" s="90"/>
      <c r="N124" s="90"/>
      <c r="O124" s="90"/>
      <c r="P124" s="94"/>
      <c r="Q124" s="93"/>
      <c r="R124" s="69"/>
      <c r="S124" s="90"/>
      <c r="X124" s="69"/>
      <c r="AM124" s="67"/>
      <c r="BJ124" s="69"/>
      <c r="BS124" s="25"/>
      <c r="BU124" s="69"/>
      <c r="BV124" s="90"/>
      <c r="CM124" s="240"/>
      <c r="CN124" s="240"/>
      <c r="CO124" s="240"/>
      <c r="CP124" s="240"/>
      <c r="CQ124" s="240"/>
      <c r="CR124" s="240"/>
      <c r="CS124" s="69"/>
      <c r="CT124" s="451"/>
      <c r="CU124" s="451"/>
      <c r="DF124" s="148"/>
      <c r="DG124" s="451"/>
      <c r="DH124" s="451"/>
      <c r="DI124" s="451"/>
      <c r="DJ124" s="451"/>
      <c r="DK124" s="451"/>
      <c r="DL124" s="451"/>
      <c r="DM124" s="451"/>
      <c r="DN124" s="451"/>
      <c r="DO124" s="455"/>
      <c r="DP124" s="69"/>
      <c r="DW124" s="82"/>
      <c r="DZ124" s="451"/>
      <c r="EA124" s="451"/>
      <c r="EB124" s="451"/>
      <c r="EC124" s="451"/>
      <c r="ED124" s="451"/>
      <c r="EE124" s="451"/>
      <c r="EF124" s="148"/>
      <c r="EG124" s="451"/>
      <c r="EH124" s="451"/>
      <c r="EI124" s="451"/>
      <c r="EJ124" s="451"/>
      <c r="EK124" s="451"/>
      <c r="EL124" s="451"/>
      <c r="EM124" s="451"/>
      <c r="EN124" s="451"/>
      <c r="EO124" s="465"/>
      <c r="EP124" s="468"/>
      <c r="EQ124" s="465"/>
      <c r="ER124" s="465"/>
      <c r="ES124" s="465"/>
      <c r="ET124" s="465"/>
      <c r="EU124" s="465"/>
      <c r="EV124" s="465"/>
      <c r="EW124" s="465"/>
      <c r="EX124" s="465"/>
      <c r="EY124" s="465"/>
      <c r="EZ124" s="455"/>
      <c r="FA124" s="468"/>
      <c r="FB124" s="468"/>
      <c r="FC124" s="468"/>
      <c r="FD124" s="468"/>
      <c r="FE124" s="468"/>
      <c r="FF124" s="468"/>
      <c r="FG124" s="465"/>
      <c r="FH124" s="465"/>
      <c r="FI124" s="465"/>
      <c r="FJ124" s="465"/>
      <c r="FK124" s="451"/>
      <c r="FL124" s="451"/>
      <c r="FM124" s="465"/>
      <c r="FN124" s="465"/>
      <c r="FO124" s="148"/>
      <c r="FP124" s="468"/>
      <c r="FQ124" s="451"/>
      <c r="FR124" s="451"/>
      <c r="FS124" s="451"/>
      <c r="FT124" s="451"/>
      <c r="FU124" s="451"/>
      <c r="FV124" s="451"/>
      <c r="FW124" s="451"/>
      <c r="FX124" s="451"/>
      <c r="FY124" s="451"/>
      <c r="FZ124" s="451"/>
      <c r="GA124" s="451"/>
      <c r="GB124" s="451"/>
      <c r="GC124" s="451"/>
      <c r="GD124" s="451"/>
      <c r="GE124" s="451"/>
      <c r="GF124" s="451"/>
      <c r="GG124" s="451"/>
      <c r="GH124" s="451"/>
      <c r="GI124" s="451"/>
      <c r="GJ124" s="451"/>
      <c r="GK124" s="451"/>
      <c r="GL124" s="451"/>
      <c r="GM124" s="451"/>
      <c r="GN124" s="451"/>
      <c r="GO124" s="451"/>
      <c r="GP124" s="451"/>
      <c r="GQ124" s="148"/>
      <c r="GR124" s="451"/>
      <c r="GS124" s="451"/>
      <c r="GT124" s="451"/>
      <c r="GU124" s="451"/>
      <c r="GV124" s="900"/>
      <c r="GW124" s="900"/>
      <c r="GX124" s="451"/>
      <c r="GY124" s="451"/>
      <c r="GZ124" s="451"/>
      <c r="HA124" s="451"/>
      <c r="HB124" s="451"/>
      <c r="HC124" s="451"/>
      <c r="HD124" s="234"/>
      <c r="HE124" s="451"/>
      <c r="HF124" s="664"/>
      <c r="HV124" s="234"/>
      <c r="HW124" s="139"/>
      <c r="HX124" s="139"/>
      <c r="HY124" s="139"/>
      <c r="HZ124" s="139"/>
      <c r="IA124" s="139"/>
      <c r="IB124" s="139"/>
      <c r="IC124" s="139"/>
      <c r="ID124" s="139"/>
      <c r="IE124" s="139"/>
      <c r="IF124" s="139"/>
      <c r="IG124" s="139"/>
      <c r="IK124" s="841"/>
      <c r="IL124" s="90"/>
      <c r="IV124" s="660"/>
      <c r="IW124" s="900"/>
      <c r="IX124" s="595"/>
      <c r="IY124" s="900"/>
      <c r="IZ124" s="660"/>
      <c r="JJ124" s="451"/>
      <c r="JK124" s="660"/>
      <c r="JL124" s="660"/>
      <c r="JM124" s="660"/>
    </row>
    <row r="125" spans="1:273" hidden="1">
      <c r="A125" s="451"/>
      <c r="B125" s="451"/>
      <c r="C125" s="91"/>
      <c r="D125" s="69"/>
      <c r="E125" s="93"/>
      <c r="F125" s="93"/>
      <c r="I125" s="90"/>
      <c r="J125" s="90"/>
      <c r="K125" s="90"/>
      <c r="L125" s="90"/>
      <c r="M125" s="90"/>
      <c r="N125" s="90"/>
      <c r="O125" s="90"/>
      <c r="P125" s="94"/>
      <c r="Q125" s="93"/>
      <c r="R125" s="69"/>
      <c r="S125" s="90"/>
      <c r="X125" s="69"/>
      <c r="AM125" s="67"/>
      <c r="BJ125" s="69"/>
      <c r="BS125" s="25"/>
      <c r="BU125" s="69"/>
      <c r="BV125" s="90"/>
      <c r="CM125" s="240"/>
      <c r="CN125" s="240"/>
      <c r="CO125" s="240"/>
      <c r="CP125" s="240"/>
      <c r="CQ125" s="240"/>
      <c r="CR125" s="240"/>
      <c r="CS125" s="69"/>
      <c r="CT125" s="451"/>
      <c r="CU125" s="451"/>
      <c r="DF125" s="148"/>
      <c r="DG125" s="451"/>
      <c r="DH125" s="451"/>
      <c r="DI125" s="451"/>
      <c r="DJ125" s="451"/>
      <c r="DK125" s="451"/>
      <c r="DL125" s="451"/>
      <c r="DM125" s="451"/>
      <c r="DN125" s="451"/>
      <c r="DO125" s="455"/>
      <c r="DP125" s="69"/>
      <c r="DW125" s="82"/>
      <c r="DZ125" s="451"/>
      <c r="EA125" s="451"/>
      <c r="EB125" s="451"/>
      <c r="EC125" s="451"/>
      <c r="ED125" s="451"/>
      <c r="EE125" s="451"/>
      <c r="EF125" s="148"/>
      <c r="EG125" s="451"/>
      <c r="EH125" s="451"/>
      <c r="EI125" s="451"/>
      <c r="EJ125" s="451"/>
      <c r="EK125" s="451"/>
      <c r="EL125" s="451"/>
      <c r="EM125" s="451"/>
      <c r="EN125" s="451"/>
      <c r="EO125" s="465"/>
      <c r="EP125" s="468"/>
      <c r="EQ125" s="465"/>
      <c r="ER125" s="465"/>
      <c r="ES125" s="465"/>
      <c r="ET125" s="465"/>
      <c r="EU125" s="465"/>
      <c r="EV125" s="465"/>
      <c r="EW125" s="465"/>
      <c r="EX125" s="465"/>
      <c r="EY125" s="465"/>
      <c r="EZ125" s="455"/>
      <c r="FA125" s="468"/>
      <c r="FB125" s="468"/>
      <c r="FC125" s="468"/>
      <c r="FD125" s="468"/>
      <c r="FE125" s="468"/>
      <c r="FF125" s="468"/>
      <c r="FG125" s="465"/>
      <c r="FH125" s="465"/>
      <c r="FI125" s="465"/>
      <c r="FJ125" s="465"/>
      <c r="FK125" s="451"/>
      <c r="FL125" s="451"/>
      <c r="FM125" s="465"/>
      <c r="FN125" s="465"/>
      <c r="FO125" s="148"/>
      <c r="FP125" s="468"/>
      <c r="FQ125" s="451"/>
      <c r="FR125" s="451"/>
      <c r="FS125" s="451"/>
      <c r="FT125" s="451"/>
      <c r="FU125" s="451"/>
      <c r="FV125" s="451"/>
      <c r="FW125" s="451"/>
      <c r="FX125" s="451"/>
      <c r="FY125" s="451"/>
      <c r="FZ125" s="451"/>
      <c r="GA125" s="451"/>
      <c r="GB125" s="451"/>
      <c r="GC125" s="451"/>
      <c r="GD125" s="451"/>
      <c r="GE125" s="451"/>
      <c r="GF125" s="451"/>
      <c r="GG125" s="451"/>
      <c r="GH125" s="451"/>
      <c r="GI125" s="451"/>
      <c r="GJ125" s="451"/>
      <c r="GK125" s="451"/>
      <c r="GL125" s="451"/>
      <c r="GM125" s="451"/>
      <c r="GN125" s="451"/>
      <c r="GO125" s="451"/>
      <c r="GP125" s="451"/>
      <c r="GQ125" s="148"/>
      <c r="GR125" s="451"/>
      <c r="GS125" s="451"/>
      <c r="GT125" s="451"/>
      <c r="GU125" s="451"/>
      <c r="GV125" s="900"/>
      <c r="GW125" s="900"/>
      <c r="GX125" s="451"/>
      <c r="GY125" s="451"/>
      <c r="GZ125" s="451"/>
      <c r="HA125" s="451"/>
      <c r="HB125" s="451"/>
      <c r="HC125" s="451"/>
      <c r="HD125" s="234"/>
      <c r="HE125" s="451"/>
      <c r="HF125" s="664"/>
      <c r="HV125" s="234"/>
      <c r="HW125" s="139"/>
      <c r="HX125" s="139"/>
      <c r="HY125" s="139"/>
      <c r="HZ125" s="139"/>
      <c r="IA125" s="139"/>
      <c r="IB125" s="139"/>
      <c r="IC125" s="139"/>
      <c r="ID125" s="139"/>
      <c r="IE125" s="139"/>
      <c r="IF125" s="139"/>
      <c r="IG125" s="139"/>
      <c r="IK125" s="841"/>
      <c r="IL125" s="90"/>
      <c r="IV125" s="660"/>
      <c r="IW125" s="900"/>
      <c r="IX125" s="595"/>
      <c r="IY125" s="900"/>
      <c r="IZ125" s="660"/>
      <c r="JJ125" s="451"/>
      <c r="JK125" s="660"/>
      <c r="JL125" s="660"/>
      <c r="JM125" s="660"/>
    </row>
    <row r="126" spans="1:273" hidden="1">
      <c r="A126" s="451"/>
      <c r="B126" s="451"/>
      <c r="C126" s="91"/>
      <c r="D126" s="69"/>
      <c r="E126" s="93"/>
      <c r="F126" s="93"/>
      <c r="I126" s="90"/>
      <c r="J126" s="90"/>
      <c r="K126" s="90"/>
      <c r="L126" s="90"/>
      <c r="M126" s="90"/>
      <c r="N126" s="90"/>
      <c r="O126" s="90"/>
      <c r="P126" s="94"/>
      <c r="Q126" s="93"/>
      <c r="R126" s="69"/>
      <c r="S126" s="90"/>
      <c r="X126" s="69"/>
      <c r="AM126" s="67"/>
      <c r="BJ126" s="69"/>
      <c r="BS126" s="25"/>
      <c r="BU126" s="69"/>
      <c r="BV126" s="90"/>
      <c r="CM126" s="240"/>
      <c r="CN126" s="240"/>
      <c r="CO126" s="240"/>
      <c r="CP126" s="240"/>
      <c r="CQ126" s="240"/>
      <c r="CR126" s="240"/>
      <c r="CS126" s="69"/>
      <c r="CT126" s="451"/>
      <c r="CU126" s="451"/>
      <c r="DF126" s="148"/>
      <c r="DG126" s="451"/>
      <c r="DH126" s="451"/>
      <c r="DI126" s="451"/>
      <c r="DJ126" s="451"/>
      <c r="DK126" s="451"/>
      <c r="DL126" s="451"/>
      <c r="DM126" s="451"/>
      <c r="DN126" s="451"/>
      <c r="DO126" s="455"/>
      <c r="DP126" s="69"/>
      <c r="DW126" s="82"/>
      <c r="DZ126" s="451"/>
      <c r="EA126" s="451"/>
      <c r="EB126" s="451"/>
      <c r="EC126" s="451"/>
      <c r="ED126" s="451"/>
      <c r="EE126" s="451"/>
      <c r="EF126" s="148"/>
      <c r="EG126" s="451"/>
      <c r="EH126" s="451"/>
      <c r="EI126" s="451"/>
      <c r="EJ126" s="451"/>
      <c r="EK126" s="451"/>
      <c r="EL126" s="451"/>
      <c r="EM126" s="451"/>
      <c r="EN126" s="451"/>
      <c r="EO126" s="465"/>
      <c r="EP126" s="468"/>
      <c r="EQ126" s="465"/>
      <c r="ER126" s="465"/>
      <c r="ES126" s="465"/>
      <c r="ET126" s="465"/>
      <c r="EU126" s="465"/>
      <c r="EV126" s="465"/>
      <c r="EW126" s="465"/>
      <c r="EX126" s="465"/>
      <c r="EY126" s="465"/>
      <c r="EZ126" s="455"/>
      <c r="FA126" s="468"/>
      <c r="FB126" s="468"/>
      <c r="FC126" s="468"/>
      <c r="FD126" s="468"/>
      <c r="FE126" s="468"/>
      <c r="FF126" s="468"/>
      <c r="FG126" s="465"/>
      <c r="FH126" s="465"/>
      <c r="FI126" s="465"/>
      <c r="FJ126" s="465"/>
      <c r="FK126" s="451"/>
      <c r="FL126" s="451"/>
      <c r="FM126" s="465"/>
      <c r="FN126" s="465"/>
      <c r="FO126" s="148"/>
      <c r="FP126" s="468"/>
      <c r="FQ126" s="451"/>
      <c r="FR126" s="451"/>
      <c r="FS126" s="451"/>
      <c r="FT126" s="451"/>
      <c r="FU126" s="451"/>
      <c r="FV126" s="451"/>
      <c r="FW126" s="451"/>
      <c r="FX126" s="451"/>
      <c r="FY126" s="451"/>
      <c r="FZ126" s="451"/>
      <c r="GA126" s="451"/>
      <c r="GB126" s="451"/>
      <c r="GC126" s="451"/>
      <c r="GD126" s="451"/>
      <c r="GE126" s="451"/>
      <c r="GF126" s="451"/>
      <c r="GG126" s="451"/>
      <c r="GH126" s="451"/>
      <c r="GI126" s="451"/>
      <c r="GJ126" s="451"/>
      <c r="GK126" s="451"/>
      <c r="GL126" s="451"/>
      <c r="GM126" s="451"/>
      <c r="GN126" s="451"/>
      <c r="GO126" s="451"/>
      <c r="GP126" s="451"/>
      <c r="GQ126" s="148"/>
      <c r="GR126" s="451"/>
      <c r="GS126" s="451"/>
      <c r="GT126" s="451"/>
      <c r="GU126" s="451"/>
      <c r="GV126" s="900"/>
      <c r="GW126" s="900"/>
      <c r="GX126" s="451"/>
      <c r="GY126" s="451"/>
      <c r="GZ126" s="451"/>
      <c r="HA126" s="451"/>
      <c r="HB126" s="451"/>
      <c r="HC126" s="451"/>
      <c r="HD126" s="234"/>
      <c r="HE126" s="451"/>
      <c r="HF126" s="664"/>
      <c r="HV126" s="234"/>
      <c r="HW126" s="139"/>
      <c r="HX126" s="139"/>
      <c r="HY126" s="139"/>
      <c r="HZ126" s="139"/>
      <c r="IA126" s="139"/>
      <c r="IB126" s="139"/>
      <c r="IC126" s="139"/>
      <c r="ID126" s="139"/>
      <c r="IE126" s="139"/>
      <c r="IF126" s="139"/>
      <c r="IG126" s="139"/>
      <c r="IK126" s="841"/>
      <c r="IL126" s="90"/>
      <c r="IV126" s="660"/>
      <c r="IW126" s="900"/>
      <c r="IX126" s="595"/>
      <c r="IY126" s="900"/>
      <c r="IZ126" s="660"/>
      <c r="JJ126" s="451"/>
      <c r="JK126" s="660"/>
      <c r="JL126" s="660"/>
      <c r="JM126" s="660"/>
    </row>
    <row r="127" spans="1:273" hidden="1">
      <c r="A127" s="451"/>
      <c r="B127" s="451"/>
      <c r="C127" s="91"/>
      <c r="D127" s="69"/>
      <c r="E127" s="93"/>
      <c r="F127" s="93"/>
      <c r="I127" s="90"/>
      <c r="J127" s="90"/>
      <c r="K127" s="90"/>
      <c r="L127" s="90"/>
      <c r="M127" s="90"/>
      <c r="N127" s="90"/>
      <c r="O127" s="90"/>
      <c r="P127" s="94"/>
      <c r="Q127" s="93"/>
      <c r="R127" s="69"/>
      <c r="S127" s="90"/>
      <c r="X127" s="69"/>
      <c r="AM127" s="67"/>
      <c r="BJ127" s="69"/>
      <c r="BS127" s="25"/>
      <c r="BU127" s="69"/>
      <c r="BV127" s="90"/>
      <c r="CM127" s="240"/>
      <c r="CN127" s="240"/>
      <c r="CO127" s="240"/>
      <c r="CP127" s="240"/>
      <c r="CQ127" s="240"/>
      <c r="CR127" s="240"/>
      <c r="CS127" s="69"/>
      <c r="CT127" s="451"/>
      <c r="CU127" s="451"/>
      <c r="DF127" s="148"/>
      <c r="DG127" s="451"/>
      <c r="DH127" s="451"/>
      <c r="DI127" s="451"/>
      <c r="DJ127" s="451"/>
      <c r="DK127" s="451"/>
      <c r="DL127" s="451"/>
      <c r="DM127" s="451"/>
      <c r="DN127" s="451"/>
      <c r="DO127" s="455"/>
      <c r="DP127" s="69"/>
      <c r="DW127" s="82"/>
      <c r="DZ127" s="451"/>
      <c r="EA127" s="451"/>
      <c r="EB127" s="451"/>
      <c r="EC127" s="451"/>
      <c r="ED127" s="451"/>
      <c r="EE127" s="451"/>
      <c r="EF127" s="148"/>
      <c r="EG127" s="451"/>
      <c r="EH127" s="451"/>
      <c r="EI127" s="451"/>
      <c r="EJ127" s="451"/>
      <c r="EK127" s="451"/>
      <c r="EL127" s="451"/>
      <c r="EM127" s="451"/>
      <c r="EN127" s="451"/>
      <c r="EO127" s="465"/>
      <c r="EP127" s="468"/>
      <c r="EQ127" s="465"/>
      <c r="ER127" s="465"/>
      <c r="ES127" s="465"/>
      <c r="ET127" s="465"/>
      <c r="EU127" s="465"/>
      <c r="EV127" s="465"/>
      <c r="EW127" s="465"/>
      <c r="EX127" s="465"/>
      <c r="EY127" s="465"/>
      <c r="EZ127" s="455"/>
      <c r="FA127" s="468"/>
      <c r="FB127" s="468"/>
      <c r="FC127" s="468"/>
      <c r="FD127" s="468"/>
      <c r="FE127" s="468"/>
      <c r="FF127" s="468"/>
      <c r="FG127" s="465"/>
      <c r="FH127" s="465"/>
      <c r="FI127" s="465"/>
      <c r="FJ127" s="465"/>
      <c r="FK127" s="451"/>
      <c r="FL127" s="451"/>
      <c r="FM127" s="465"/>
      <c r="FN127" s="465"/>
      <c r="FO127" s="148"/>
      <c r="FP127" s="468"/>
      <c r="FQ127" s="451"/>
      <c r="FR127" s="451"/>
      <c r="FS127" s="451"/>
      <c r="FT127" s="451"/>
      <c r="FU127" s="451"/>
      <c r="FV127" s="451"/>
      <c r="FW127" s="451"/>
      <c r="FX127" s="451"/>
      <c r="FY127" s="451"/>
      <c r="FZ127" s="451"/>
      <c r="GA127" s="451"/>
      <c r="GB127" s="451"/>
      <c r="GC127" s="451"/>
      <c r="GD127" s="451"/>
      <c r="GE127" s="451"/>
      <c r="GF127" s="451"/>
      <c r="GG127" s="451"/>
      <c r="GH127" s="451"/>
      <c r="GI127" s="451"/>
      <c r="GJ127" s="451"/>
      <c r="GK127" s="451"/>
      <c r="GL127" s="451"/>
      <c r="GM127" s="451"/>
      <c r="GN127" s="451"/>
      <c r="GO127" s="451"/>
      <c r="GP127" s="451"/>
      <c r="GQ127" s="148"/>
      <c r="GR127" s="451"/>
      <c r="GS127" s="451"/>
      <c r="GT127" s="451"/>
      <c r="GU127" s="451"/>
      <c r="GV127" s="900"/>
      <c r="GW127" s="900"/>
      <c r="GX127" s="451"/>
      <c r="GY127" s="451"/>
      <c r="GZ127" s="451"/>
      <c r="HA127" s="451"/>
      <c r="HB127" s="451"/>
      <c r="HC127" s="451"/>
      <c r="HD127" s="234"/>
      <c r="HE127" s="451"/>
      <c r="HF127" s="664"/>
      <c r="HV127" s="234"/>
      <c r="HW127" s="139"/>
      <c r="HX127" s="139"/>
      <c r="HY127" s="139"/>
      <c r="HZ127" s="139"/>
      <c r="IA127" s="139"/>
      <c r="IB127" s="139"/>
      <c r="IC127" s="139"/>
      <c r="ID127" s="139"/>
      <c r="IE127" s="139"/>
      <c r="IF127" s="139"/>
      <c r="IG127" s="139"/>
      <c r="IK127" s="841"/>
      <c r="IL127" s="90"/>
      <c r="IV127" s="660"/>
      <c r="IW127" s="900"/>
      <c r="IX127" s="595"/>
      <c r="IY127" s="900"/>
      <c r="IZ127" s="660"/>
      <c r="JJ127" s="451"/>
      <c r="JK127" s="660"/>
      <c r="JL127" s="660"/>
      <c r="JM127" s="660"/>
    </row>
    <row r="128" spans="1:273" hidden="1">
      <c r="A128" s="451"/>
      <c r="B128" s="451"/>
      <c r="C128" s="91"/>
      <c r="D128" s="69"/>
      <c r="E128" s="93"/>
      <c r="F128" s="93"/>
      <c r="I128" s="90"/>
      <c r="J128" s="90"/>
      <c r="K128" s="90"/>
      <c r="L128" s="90"/>
      <c r="M128" s="90"/>
      <c r="N128" s="90"/>
      <c r="O128" s="90"/>
      <c r="P128" s="94"/>
      <c r="Q128" s="93"/>
      <c r="R128" s="69"/>
      <c r="S128" s="90"/>
      <c r="X128" s="69"/>
      <c r="AM128" s="67"/>
      <c r="BJ128" s="69"/>
      <c r="BS128" s="25"/>
      <c r="BU128" s="69"/>
      <c r="BV128" s="90"/>
      <c r="CM128" s="240"/>
      <c r="CN128" s="240"/>
      <c r="CO128" s="240"/>
      <c r="CP128" s="240"/>
      <c r="CQ128" s="240"/>
      <c r="CR128" s="240"/>
      <c r="CS128" s="69"/>
      <c r="CT128" s="451"/>
      <c r="CU128" s="451"/>
      <c r="DF128" s="148"/>
      <c r="DG128" s="451"/>
      <c r="DH128" s="451"/>
      <c r="DI128" s="451"/>
      <c r="DJ128" s="451"/>
      <c r="DK128" s="451"/>
      <c r="DL128" s="451"/>
      <c r="DM128" s="451"/>
      <c r="DN128" s="451"/>
      <c r="DO128" s="455"/>
      <c r="DP128" s="69"/>
      <c r="DW128" s="82"/>
      <c r="DZ128" s="451"/>
      <c r="EA128" s="451"/>
      <c r="EB128" s="451"/>
      <c r="EC128" s="451"/>
      <c r="ED128" s="451"/>
      <c r="EE128" s="451"/>
      <c r="EF128" s="148"/>
      <c r="EG128" s="451"/>
      <c r="EH128" s="451"/>
      <c r="EI128" s="451"/>
      <c r="EJ128" s="451"/>
      <c r="EK128" s="451"/>
      <c r="EL128" s="451"/>
      <c r="EM128" s="451"/>
      <c r="EN128" s="451"/>
      <c r="EO128" s="465"/>
      <c r="EP128" s="468"/>
      <c r="EQ128" s="465"/>
      <c r="ER128" s="465"/>
      <c r="ES128" s="465"/>
      <c r="ET128" s="465"/>
      <c r="EU128" s="465"/>
      <c r="EV128" s="465"/>
      <c r="EW128" s="465"/>
      <c r="EX128" s="465"/>
      <c r="EY128" s="465"/>
      <c r="EZ128" s="455"/>
      <c r="FA128" s="468"/>
      <c r="FB128" s="468"/>
      <c r="FC128" s="468"/>
      <c r="FD128" s="468"/>
      <c r="FE128" s="468"/>
      <c r="FF128" s="468"/>
      <c r="FG128" s="465"/>
      <c r="FH128" s="465"/>
      <c r="FI128" s="465"/>
      <c r="FJ128" s="465"/>
      <c r="FK128" s="451"/>
      <c r="FL128" s="451"/>
      <c r="FM128" s="465"/>
      <c r="FN128" s="465"/>
      <c r="FO128" s="148"/>
      <c r="FP128" s="468"/>
      <c r="FQ128" s="451"/>
      <c r="FR128" s="451"/>
      <c r="FS128" s="451"/>
      <c r="FT128" s="451"/>
      <c r="FU128" s="451"/>
      <c r="FV128" s="451"/>
      <c r="FW128" s="451"/>
      <c r="FX128" s="451"/>
      <c r="FY128" s="451"/>
      <c r="FZ128" s="451"/>
      <c r="GA128" s="451"/>
      <c r="GB128" s="451"/>
      <c r="GC128" s="451"/>
      <c r="GD128" s="451"/>
      <c r="GE128" s="451"/>
      <c r="GF128" s="451"/>
      <c r="GG128" s="451"/>
      <c r="GH128" s="451"/>
      <c r="GI128" s="451"/>
      <c r="GJ128" s="451"/>
      <c r="GK128" s="451"/>
      <c r="GL128" s="451"/>
      <c r="GM128" s="451"/>
      <c r="GN128" s="451"/>
      <c r="GO128" s="451"/>
      <c r="GP128" s="451"/>
      <c r="GQ128" s="148"/>
      <c r="GR128" s="451"/>
      <c r="GS128" s="451"/>
      <c r="GT128" s="451"/>
      <c r="GU128" s="451"/>
      <c r="GV128" s="900"/>
      <c r="GW128" s="900"/>
      <c r="GX128" s="451"/>
      <c r="GY128" s="451"/>
      <c r="GZ128" s="451"/>
      <c r="HA128" s="451"/>
      <c r="HB128" s="451"/>
      <c r="HC128" s="451"/>
      <c r="HD128" s="234"/>
      <c r="HE128" s="451"/>
      <c r="HF128" s="664"/>
      <c r="HV128" s="234"/>
      <c r="HW128" s="139"/>
      <c r="HX128" s="139"/>
      <c r="HY128" s="139"/>
      <c r="HZ128" s="139"/>
      <c r="IA128" s="139"/>
      <c r="IB128" s="139"/>
      <c r="IC128" s="139"/>
      <c r="ID128" s="139"/>
      <c r="IE128" s="139"/>
      <c r="IF128" s="139"/>
      <c r="IG128" s="139"/>
      <c r="IK128" s="841"/>
      <c r="IL128" s="90"/>
      <c r="IV128" s="660"/>
      <c r="IW128" s="900"/>
      <c r="IX128" s="595"/>
      <c r="IY128" s="900"/>
      <c r="IZ128" s="660"/>
      <c r="JJ128" s="451"/>
      <c r="JK128" s="660"/>
      <c r="JL128" s="660"/>
      <c r="JM128" s="660"/>
    </row>
    <row r="129" spans="1:273" hidden="1">
      <c r="A129" s="451"/>
      <c r="B129" s="451"/>
      <c r="C129" s="91"/>
      <c r="D129" s="69"/>
      <c r="E129" s="93"/>
      <c r="F129" s="93"/>
      <c r="I129" s="90"/>
      <c r="J129" s="90"/>
      <c r="K129" s="90"/>
      <c r="L129" s="90"/>
      <c r="M129" s="90"/>
      <c r="N129" s="90"/>
      <c r="O129" s="90"/>
      <c r="P129" s="94"/>
      <c r="Q129" s="93"/>
      <c r="R129" s="69"/>
      <c r="S129" s="90"/>
      <c r="X129" s="69"/>
      <c r="AM129" s="67"/>
      <c r="BJ129" s="69"/>
      <c r="BS129" s="25"/>
      <c r="BU129" s="69"/>
      <c r="BV129" s="90"/>
      <c r="CM129" s="240"/>
      <c r="CN129" s="240"/>
      <c r="CO129" s="240"/>
      <c r="CP129" s="240"/>
      <c r="CQ129" s="240"/>
      <c r="CR129" s="240"/>
      <c r="CS129" s="69"/>
      <c r="CT129" s="451"/>
      <c r="CU129" s="451"/>
      <c r="DF129" s="148"/>
      <c r="DG129" s="451"/>
      <c r="DH129" s="451"/>
      <c r="DI129" s="451"/>
      <c r="DJ129" s="451"/>
      <c r="DK129" s="451"/>
      <c r="DL129" s="451"/>
      <c r="DM129" s="451"/>
      <c r="DN129" s="451"/>
      <c r="DO129" s="455"/>
      <c r="DP129" s="69"/>
      <c r="DW129" s="82"/>
      <c r="DZ129" s="451"/>
      <c r="EA129" s="451"/>
      <c r="EB129" s="451"/>
      <c r="EC129" s="451"/>
      <c r="ED129" s="451"/>
      <c r="EE129" s="451"/>
      <c r="EF129" s="148"/>
      <c r="EG129" s="451"/>
      <c r="EH129" s="451"/>
      <c r="EI129" s="451"/>
      <c r="EJ129" s="451"/>
      <c r="EK129" s="451"/>
      <c r="EL129" s="451"/>
      <c r="EM129" s="451"/>
      <c r="EN129" s="451"/>
      <c r="EO129" s="465"/>
      <c r="EP129" s="468"/>
      <c r="EQ129" s="465"/>
      <c r="ER129" s="465"/>
      <c r="ES129" s="465"/>
      <c r="ET129" s="465"/>
      <c r="EU129" s="465"/>
      <c r="EV129" s="465"/>
      <c r="EW129" s="465"/>
      <c r="EX129" s="465"/>
      <c r="EY129" s="465"/>
      <c r="EZ129" s="455"/>
      <c r="FA129" s="468"/>
      <c r="FB129" s="468"/>
      <c r="FC129" s="468"/>
      <c r="FD129" s="468"/>
      <c r="FE129" s="468"/>
      <c r="FF129" s="468"/>
      <c r="FG129" s="465"/>
      <c r="FH129" s="465"/>
      <c r="FI129" s="465"/>
      <c r="FJ129" s="465"/>
      <c r="FK129" s="451"/>
      <c r="FL129" s="451"/>
      <c r="FM129" s="465"/>
      <c r="FN129" s="465"/>
      <c r="FO129" s="148"/>
      <c r="FP129" s="468"/>
      <c r="FQ129" s="451"/>
      <c r="FR129" s="451"/>
      <c r="FS129" s="451"/>
      <c r="FT129" s="451"/>
      <c r="FU129" s="451"/>
      <c r="FV129" s="451"/>
      <c r="FW129" s="451"/>
      <c r="FX129" s="451"/>
      <c r="FY129" s="451"/>
      <c r="FZ129" s="451"/>
      <c r="GA129" s="451"/>
      <c r="GB129" s="451"/>
      <c r="GC129" s="451"/>
      <c r="GD129" s="451"/>
      <c r="GE129" s="451"/>
      <c r="GF129" s="451"/>
      <c r="GG129" s="451"/>
      <c r="GH129" s="451"/>
      <c r="GI129" s="451"/>
      <c r="GJ129" s="451"/>
      <c r="GK129" s="451"/>
      <c r="GL129" s="451"/>
      <c r="GM129" s="451"/>
      <c r="GN129" s="451"/>
      <c r="GO129" s="451"/>
      <c r="GP129" s="451"/>
      <c r="GQ129" s="148"/>
      <c r="GR129" s="451"/>
      <c r="GS129" s="451"/>
      <c r="GT129" s="451"/>
      <c r="GU129" s="451"/>
      <c r="GV129" s="900"/>
      <c r="GW129" s="900"/>
      <c r="GX129" s="451"/>
      <c r="GY129" s="451"/>
      <c r="GZ129" s="451"/>
      <c r="HA129" s="451"/>
      <c r="HB129" s="451"/>
      <c r="HC129" s="451"/>
      <c r="HD129" s="234"/>
      <c r="HE129" s="451"/>
      <c r="HF129" s="664"/>
      <c r="HV129" s="234"/>
      <c r="HW129" s="139"/>
      <c r="HX129" s="139"/>
      <c r="HY129" s="139"/>
      <c r="HZ129" s="139"/>
      <c r="IA129" s="139"/>
      <c r="IB129" s="139"/>
      <c r="IC129" s="139"/>
      <c r="ID129" s="139"/>
      <c r="IE129" s="139"/>
      <c r="IF129" s="139"/>
      <c r="IG129" s="139"/>
      <c r="IK129" s="841"/>
      <c r="IL129" s="90"/>
      <c r="IV129" s="660"/>
      <c r="IW129" s="900"/>
      <c r="IX129" s="595"/>
      <c r="IY129" s="900"/>
      <c r="IZ129" s="660"/>
      <c r="JJ129" s="451"/>
      <c r="JK129" s="660"/>
      <c r="JL129" s="660"/>
      <c r="JM129" s="660"/>
    </row>
    <row r="130" spans="1:273" hidden="1">
      <c r="A130" s="451"/>
      <c r="B130" s="451"/>
      <c r="C130" s="91"/>
      <c r="D130" s="69"/>
      <c r="E130" s="93"/>
      <c r="F130" s="93"/>
      <c r="I130" s="90"/>
      <c r="J130" s="90"/>
      <c r="K130" s="90"/>
      <c r="L130" s="90"/>
      <c r="M130" s="90"/>
      <c r="N130" s="90"/>
      <c r="O130" s="90"/>
      <c r="P130" s="94"/>
      <c r="Q130" s="93"/>
      <c r="R130" s="69"/>
      <c r="S130" s="90"/>
      <c r="X130" s="69"/>
      <c r="AM130" s="67"/>
      <c r="BJ130" s="69"/>
      <c r="BS130" s="25"/>
      <c r="BU130" s="69"/>
      <c r="BV130" s="90"/>
      <c r="CM130" s="240"/>
      <c r="CN130" s="240"/>
      <c r="CO130" s="240"/>
      <c r="CP130" s="240"/>
      <c r="CQ130" s="240"/>
      <c r="CR130" s="240"/>
      <c r="CS130" s="69"/>
      <c r="CT130" s="451"/>
      <c r="CU130" s="451"/>
      <c r="DF130" s="148"/>
      <c r="DG130" s="451"/>
      <c r="DH130" s="451"/>
      <c r="DI130" s="451"/>
      <c r="DJ130" s="451"/>
      <c r="DK130" s="451"/>
      <c r="DL130" s="451"/>
      <c r="DM130" s="451"/>
      <c r="DN130" s="451"/>
      <c r="DO130" s="455"/>
      <c r="DP130" s="69"/>
      <c r="DW130" s="82"/>
      <c r="DZ130" s="451"/>
      <c r="EA130" s="451"/>
      <c r="EB130" s="451"/>
      <c r="EC130" s="451"/>
      <c r="ED130" s="451"/>
      <c r="EE130" s="451"/>
      <c r="EF130" s="148"/>
      <c r="EG130" s="451"/>
      <c r="EH130" s="451"/>
      <c r="EI130" s="451"/>
      <c r="EJ130" s="451"/>
      <c r="EK130" s="451"/>
      <c r="EL130" s="451"/>
      <c r="EM130" s="451"/>
      <c r="EN130" s="451"/>
      <c r="EO130" s="465"/>
      <c r="EP130" s="468"/>
      <c r="EQ130" s="465"/>
      <c r="ER130" s="465"/>
      <c r="ES130" s="465"/>
      <c r="ET130" s="465"/>
      <c r="EU130" s="465"/>
      <c r="EV130" s="465"/>
      <c r="EW130" s="465"/>
      <c r="EX130" s="465"/>
      <c r="EY130" s="465"/>
      <c r="EZ130" s="455"/>
      <c r="FA130" s="468"/>
      <c r="FB130" s="468"/>
      <c r="FC130" s="468"/>
      <c r="FD130" s="468"/>
      <c r="FE130" s="468"/>
      <c r="FF130" s="468"/>
      <c r="FG130" s="465"/>
      <c r="FH130" s="465"/>
      <c r="FI130" s="465"/>
      <c r="FJ130" s="465"/>
      <c r="FK130" s="451"/>
      <c r="FL130" s="451"/>
      <c r="FM130" s="465"/>
      <c r="FN130" s="465"/>
      <c r="FO130" s="148"/>
      <c r="FP130" s="468"/>
      <c r="FQ130" s="451"/>
      <c r="FR130" s="451"/>
      <c r="FS130" s="451"/>
      <c r="FT130" s="451"/>
      <c r="FU130" s="451"/>
      <c r="FV130" s="451"/>
      <c r="FW130" s="451"/>
      <c r="FX130" s="451"/>
      <c r="FY130" s="451"/>
      <c r="FZ130" s="451"/>
      <c r="GA130" s="451"/>
      <c r="GB130" s="451"/>
      <c r="GC130" s="451"/>
      <c r="GD130" s="451"/>
      <c r="GE130" s="451"/>
      <c r="GF130" s="451"/>
      <c r="GG130" s="451"/>
      <c r="GH130" s="451"/>
      <c r="GI130" s="451"/>
      <c r="GJ130" s="451"/>
      <c r="GK130" s="451"/>
      <c r="GL130" s="451"/>
      <c r="GM130" s="451"/>
      <c r="GN130" s="451"/>
      <c r="GO130" s="451"/>
      <c r="GP130" s="451"/>
      <c r="GQ130" s="148"/>
      <c r="GR130" s="451"/>
      <c r="GS130" s="451"/>
      <c r="GT130" s="451"/>
      <c r="GU130" s="451"/>
      <c r="GV130" s="900"/>
      <c r="GW130" s="900"/>
      <c r="GX130" s="451"/>
      <c r="GY130" s="451"/>
      <c r="GZ130" s="451"/>
      <c r="HA130" s="451"/>
      <c r="HB130" s="451"/>
      <c r="HC130" s="451"/>
      <c r="HD130" s="234"/>
      <c r="HE130" s="451"/>
      <c r="HF130" s="664"/>
      <c r="HV130" s="234"/>
      <c r="HW130" s="139"/>
      <c r="HX130" s="139"/>
      <c r="HY130" s="139"/>
      <c r="HZ130" s="139"/>
      <c r="IA130" s="139"/>
      <c r="IB130" s="139"/>
      <c r="IC130" s="139"/>
      <c r="ID130" s="139"/>
      <c r="IE130" s="139"/>
      <c r="IF130" s="139"/>
      <c r="IG130" s="139"/>
      <c r="IK130" s="841"/>
      <c r="IL130" s="90"/>
      <c r="IV130" s="660"/>
      <c r="IW130" s="900"/>
      <c r="IX130" s="595"/>
      <c r="IY130" s="900"/>
      <c r="IZ130" s="660"/>
      <c r="JJ130" s="451"/>
      <c r="JK130" s="660"/>
      <c r="JL130" s="660"/>
      <c r="JM130" s="660"/>
    </row>
    <row r="131" spans="1:273" hidden="1">
      <c r="A131" s="451"/>
      <c r="B131" s="451"/>
      <c r="C131" s="91"/>
      <c r="D131" s="69"/>
      <c r="E131" s="93"/>
      <c r="F131" s="93"/>
      <c r="I131" s="90"/>
      <c r="J131" s="90"/>
      <c r="K131" s="90"/>
      <c r="L131" s="90"/>
      <c r="M131" s="90"/>
      <c r="N131" s="90"/>
      <c r="O131" s="90"/>
      <c r="P131" s="94"/>
      <c r="Q131" s="93"/>
      <c r="R131" s="69"/>
      <c r="S131" s="90"/>
      <c r="X131" s="69"/>
      <c r="AM131" s="67"/>
      <c r="BJ131" s="69"/>
      <c r="BS131" s="25"/>
      <c r="BU131" s="69"/>
      <c r="BV131" s="90"/>
      <c r="CM131" s="240"/>
      <c r="CN131" s="240"/>
      <c r="CO131" s="240"/>
      <c r="CP131" s="240"/>
      <c r="CQ131" s="240"/>
      <c r="CR131" s="240"/>
      <c r="CS131" s="69"/>
      <c r="CT131" s="451"/>
      <c r="CU131" s="451"/>
      <c r="DF131" s="148"/>
      <c r="DG131" s="451"/>
      <c r="DH131" s="451"/>
      <c r="DI131" s="451"/>
      <c r="DJ131" s="451"/>
      <c r="DK131" s="451"/>
      <c r="DL131" s="451"/>
      <c r="DM131" s="451"/>
      <c r="DN131" s="451"/>
      <c r="DO131" s="455"/>
      <c r="DP131" s="69"/>
      <c r="DW131" s="82"/>
      <c r="DZ131" s="451"/>
      <c r="EA131" s="451"/>
      <c r="EB131" s="451"/>
      <c r="EC131" s="451"/>
      <c r="ED131" s="451"/>
      <c r="EE131" s="451"/>
      <c r="EF131" s="148"/>
      <c r="EG131" s="451"/>
      <c r="EH131" s="451"/>
      <c r="EI131" s="451"/>
      <c r="EJ131" s="451"/>
      <c r="EK131" s="451"/>
      <c r="EL131" s="451"/>
      <c r="EM131" s="451"/>
      <c r="EN131" s="451"/>
      <c r="EO131" s="465"/>
      <c r="EP131" s="468"/>
      <c r="EQ131" s="465"/>
      <c r="ER131" s="465"/>
      <c r="ES131" s="465"/>
      <c r="ET131" s="465"/>
      <c r="EU131" s="465"/>
      <c r="EV131" s="465"/>
      <c r="EW131" s="465"/>
      <c r="EX131" s="465"/>
      <c r="EY131" s="465"/>
      <c r="EZ131" s="455"/>
      <c r="FA131" s="468"/>
      <c r="FB131" s="468"/>
      <c r="FC131" s="468"/>
      <c r="FD131" s="468"/>
      <c r="FE131" s="468"/>
      <c r="FF131" s="468"/>
      <c r="FG131" s="465"/>
      <c r="FH131" s="465"/>
      <c r="FI131" s="465"/>
      <c r="FJ131" s="465"/>
      <c r="FK131" s="451"/>
      <c r="FL131" s="451"/>
      <c r="FM131" s="465"/>
      <c r="FN131" s="465"/>
      <c r="FO131" s="148"/>
      <c r="FP131" s="468"/>
      <c r="FQ131" s="451"/>
      <c r="FR131" s="451"/>
      <c r="FS131" s="451"/>
      <c r="FT131" s="451"/>
      <c r="FU131" s="451"/>
      <c r="FV131" s="451"/>
      <c r="FW131" s="451"/>
      <c r="FX131" s="451"/>
      <c r="FY131" s="451"/>
      <c r="FZ131" s="451"/>
      <c r="GA131" s="451"/>
      <c r="GB131" s="451"/>
      <c r="GC131" s="451"/>
      <c r="GD131" s="451"/>
      <c r="GE131" s="451"/>
      <c r="GF131" s="451"/>
      <c r="GG131" s="451"/>
      <c r="GH131" s="451"/>
      <c r="GI131" s="451"/>
      <c r="GJ131" s="451"/>
      <c r="GK131" s="451"/>
      <c r="GL131" s="451"/>
      <c r="GM131" s="451"/>
      <c r="GN131" s="451"/>
      <c r="GO131" s="451"/>
      <c r="GP131" s="451"/>
      <c r="GQ131" s="148"/>
      <c r="GR131" s="451"/>
      <c r="GS131" s="451"/>
      <c r="GT131" s="451"/>
      <c r="GU131" s="451"/>
      <c r="GV131" s="900"/>
      <c r="GW131" s="900"/>
      <c r="GX131" s="451"/>
      <c r="GY131" s="451"/>
      <c r="GZ131" s="451"/>
      <c r="HA131" s="451"/>
      <c r="HB131" s="451"/>
      <c r="HC131" s="451"/>
      <c r="HD131" s="234"/>
      <c r="HE131" s="451"/>
      <c r="HF131" s="664"/>
      <c r="HV131" s="234"/>
      <c r="HW131" s="139"/>
      <c r="HX131" s="139"/>
      <c r="HY131" s="139"/>
      <c r="HZ131" s="139"/>
      <c r="IA131" s="139"/>
      <c r="IB131" s="139"/>
      <c r="IC131" s="139"/>
      <c r="ID131" s="139"/>
      <c r="IE131" s="139"/>
      <c r="IF131" s="139"/>
      <c r="IG131" s="139"/>
      <c r="IK131" s="841"/>
      <c r="IL131" s="90"/>
      <c r="IV131" s="660"/>
      <c r="IW131" s="900"/>
      <c r="IX131" s="595"/>
      <c r="IY131" s="900"/>
      <c r="IZ131" s="660"/>
      <c r="JJ131" s="451"/>
      <c r="JK131" s="660"/>
      <c r="JL131" s="660"/>
      <c r="JM131" s="660"/>
    </row>
    <row r="132" spans="1:273">
      <c r="A132" s="451">
        <v>1950</v>
      </c>
      <c r="B132" s="451" t="s">
        <v>719</v>
      </c>
      <c r="C132" s="91"/>
      <c r="D132" s="69"/>
      <c r="E132" s="93">
        <f>AVERAGE(E42:E51)</f>
        <v>0.12208950567660745</v>
      </c>
      <c r="F132" s="93"/>
      <c r="G132" s="81"/>
      <c r="H132" s="81"/>
      <c r="I132" s="95"/>
      <c r="J132" s="95"/>
      <c r="K132" s="95"/>
      <c r="L132" s="95"/>
      <c r="M132" s="95"/>
      <c r="N132" s="90"/>
      <c r="O132" s="90"/>
      <c r="P132" s="94">
        <f>AVERAGE(P42:P51)</f>
        <v>1.1930164630411582E-2</v>
      </c>
      <c r="Q132" s="93"/>
      <c r="R132" s="69"/>
      <c r="S132" s="90"/>
      <c r="X132" s="69"/>
      <c r="AM132" s="67"/>
      <c r="BJ132" s="69"/>
      <c r="BU132" s="69"/>
      <c r="BV132" s="90"/>
      <c r="CM132" s="240"/>
      <c r="CN132" s="240"/>
      <c r="CO132" s="240"/>
      <c r="CP132" s="240"/>
      <c r="CQ132" s="240"/>
      <c r="CR132" s="240"/>
      <c r="CS132" s="69"/>
      <c r="CT132" s="451"/>
      <c r="CU132" s="451"/>
      <c r="DF132" s="148"/>
      <c r="DG132" s="451"/>
      <c r="DH132" s="451"/>
      <c r="DI132" s="451"/>
      <c r="DJ132" s="451"/>
      <c r="DK132" s="451"/>
      <c r="DL132" s="451"/>
      <c r="DM132" s="451"/>
      <c r="DN132" s="451"/>
      <c r="DO132" s="455"/>
      <c r="DP132" s="69"/>
      <c r="DZ132" s="451"/>
      <c r="EA132" s="451"/>
      <c r="EB132" s="451"/>
      <c r="EC132" s="451"/>
      <c r="ED132" s="451"/>
      <c r="EE132" s="451"/>
      <c r="EF132" s="148"/>
      <c r="EG132" s="451"/>
      <c r="EH132" s="451"/>
      <c r="EI132" s="451"/>
      <c r="EJ132" s="451"/>
      <c r="EK132" s="451"/>
      <c r="EL132" s="451"/>
      <c r="EM132" s="451"/>
      <c r="EN132" s="451"/>
      <c r="EO132" s="465"/>
      <c r="EP132" s="468"/>
      <c r="EQ132" s="465"/>
      <c r="ER132" s="465"/>
      <c r="ES132" s="465"/>
      <c r="ET132" s="465"/>
      <c r="EU132" s="465"/>
      <c r="EV132" s="465"/>
      <c r="EW132" s="465"/>
      <c r="EX132" s="465"/>
      <c r="EY132" s="465"/>
      <c r="EZ132" s="455"/>
      <c r="FA132" s="468"/>
      <c r="FB132" s="468"/>
      <c r="FC132" s="468"/>
      <c r="FD132" s="468"/>
      <c r="FE132" s="468"/>
      <c r="FF132" s="468"/>
      <c r="FG132" s="465"/>
      <c r="FH132" s="465"/>
      <c r="FI132" s="465"/>
      <c r="FJ132" s="465"/>
      <c r="FK132" s="451"/>
      <c r="FL132" s="451"/>
      <c r="FM132" s="465"/>
      <c r="FN132" s="465"/>
      <c r="FO132" s="148"/>
      <c r="FP132" s="468"/>
      <c r="FQ132" s="451"/>
      <c r="FR132" s="451"/>
      <c r="FS132" s="451"/>
      <c r="FT132" s="451"/>
      <c r="FU132" s="451"/>
      <c r="FV132" s="451"/>
      <c r="FW132" s="451"/>
      <c r="FX132" s="451"/>
      <c r="FY132" s="451"/>
      <c r="FZ132" s="451"/>
      <c r="GA132" s="451"/>
      <c r="GB132" s="451"/>
      <c r="GC132" s="451"/>
      <c r="GD132" s="451"/>
      <c r="GE132" s="451"/>
      <c r="GF132" s="451"/>
      <c r="GG132" s="451"/>
      <c r="GH132" s="451"/>
      <c r="GI132" s="451"/>
      <c r="GJ132" s="451"/>
      <c r="GK132" s="451"/>
      <c r="GL132" s="451"/>
      <c r="GM132" s="451"/>
      <c r="GN132" s="451"/>
      <c r="GO132" s="451"/>
      <c r="GP132" s="451"/>
      <c r="GQ132" s="148"/>
      <c r="GR132" s="451"/>
      <c r="GS132" s="451"/>
      <c r="GT132" s="451"/>
      <c r="GU132" s="451"/>
      <c r="GV132" s="900"/>
      <c r="GW132" s="900"/>
      <c r="GX132" s="451"/>
      <c r="GY132" s="451"/>
      <c r="GZ132" s="451"/>
      <c r="HA132" s="451"/>
      <c r="HB132" s="451"/>
      <c r="HC132" s="451"/>
      <c r="HD132" s="97"/>
      <c r="HE132" s="451"/>
      <c r="HF132" s="664"/>
      <c r="HV132" s="97"/>
      <c r="HW132" s="29"/>
      <c r="HX132" s="29"/>
      <c r="HY132" s="29"/>
      <c r="HZ132" s="451"/>
      <c r="IA132" s="451"/>
      <c r="IB132" s="451"/>
      <c r="IC132" s="451"/>
      <c r="ID132" s="451"/>
      <c r="IE132" s="451"/>
      <c r="IF132" s="382"/>
      <c r="IG132" s="451"/>
      <c r="IK132" s="841"/>
      <c r="IL132" s="90"/>
      <c r="IV132" s="660"/>
      <c r="IW132" s="900"/>
      <c r="IX132" s="595"/>
      <c r="IY132" s="900"/>
      <c r="IZ132" s="660"/>
      <c r="JJ132" s="451"/>
      <c r="JK132" s="660"/>
      <c r="JL132" s="660"/>
      <c r="JM132" s="660"/>
    </row>
    <row r="133" spans="1:273" hidden="1">
      <c r="A133" s="451"/>
      <c r="B133" s="451"/>
      <c r="C133" s="91"/>
      <c r="D133" s="69"/>
      <c r="E133" s="455"/>
      <c r="F133" s="455"/>
      <c r="I133" s="90"/>
      <c r="J133" s="90"/>
      <c r="K133" s="90"/>
      <c r="L133" s="90"/>
      <c r="M133" s="90"/>
      <c r="N133" s="90"/>
      <c r="O133" s="90"/>
      <c r="P133" s="96"/>
      <c r="Q133" s="455"/>
      <c r="R133" s="69"/>
      <c r="S133" s="90"/>
      <c r="X133" s="69"/>
      <c r="AM133" s="67"/>
      <c r="BJ133" s="69"/>
      <c r="BU133" s="69"/>
      <c r="BV133" s="90"/>
      <c r="CS133" s="69"/>
      <c r="CT133" s="451"/>
      <c r="CU133" s="451"/>
      <c r="DF133" s="148"/>
      <c r="DG133" s="451"/>
      <c r="DH133" s="451"/>
      <c r="DI133" s="451"/>
      <c r="DJ133" s="451"/>
      <c r="DK133" s="451"/>
      <c r="DL133" s="451"/>
      <c r="DM133" s="451"/>
      <c r="DN133" s="451"/>
      <c r="DO133" s="455"/>
      <c r="DP133" s="69"/>
      <c r="DZ133" s="451"/>
      <c r="EA133" s="451"/>
      <c r="EB133" s="451"/>
      <c r="EC133" s="451"/>
      <c r="ED133" s="451"/>
      <c r="EE133" s="451"/>
      <c r="EF133" s="148"/>
      <c r="EG133" s="451"/>
      <c r="EH133" s="451"/>
      <c r="EI133" s="451"/>
      <c r="EJ133" s="451"/>
      <c r="EK133" s="451"/>
      <c r="EL133" s="451"/>
      <c r="EM133" s="451"/>
      <c r="EN133" s="451"/>
      <c r="EO133" s="465"/>
      <c r="EP133" s="468"/>
      <c r="EQ133" s="465"/>
      <c r="ER133" s="465"/>
      <c r="ES133" s="465"/>
      <c r="ET133" s="465"/>
      <c r="EU133" s="465"/>
      <c r="EV133" s="465"/>
      <c r="EW133" s="465"/>
      <c r="EX133" s="465"/>
      <c r="EY133" s="465"/>
      <c r="EZ133" s="455"/>
      <c r="FA133" s="468"/>
      <c r="FB133" s="468"/>
      <c r="FC133" s="468"/>
      <c r="FD133" s="468"/>
      <c r="FE133" s="468"/>
      <c r="FF133" s="468"/>
      <c r="FG133" s="465"/>
      <c r="FH133" s="465"/>
      <c r="FI133" s="465"/>
      <c r="FJ133" s="465"/>
      <c r="FK133" s="451"/>
      <c r="FL133" s="451"/>
      <c r="FM133" s="465"/>
      <c r="FN133" s="465"/>
      <c r="FO133" s="148"/>
      <c r="FP133" s="468"/>
      <c r="FQ133" s="451"/>
      <c r="FR133" s="451"/>
      <c r="FS133" s="451"/>
      <c r="FT133" s="451"/>
      <c r="FU133" s="451"/>
      <c r="FV133" s="451"/>
      <c r="FW133" s="451"/>
      <c r="FX133" s="451"/>
      <c r="FY133" s="451"/>
      <c r="FZ133" s="451"/>
      <c r="GA133" s="451"/>
      <c r="GB133" s="451"/>
      <c r="GC133" s="451"/>
      <c r="GD133" s="451"/>
      <c r="GE133" s="451"/>
      <c r="GF133" s="451"/>
      <c r="GG133" s="451"/>
      <c r="GH133" s="451"/>
      <c r="GI133" s="451"/>
      <c r="GJ133" s="451"/>
      <c r="GK133" s="451"/>
      <c r="GL133" s="451"/>
      <c r="GM133" s="451"/>
      <c r="GN133" s="451"/>
      <c r="GO133" s="451"/>
      <c r="GP133" s="451"/>
      <c r="GQ133" s="148"/>
      <c r="GR133" s="451"/>
      <c r="GS133" s="451"/>
      <c r="GT133" s="451"/>
      <c r="GU133" s="451"/>
      <c r="GV133" s="900"/>
      <c r="GW133" s="900"/>
      <c r="GX133" s="451"/>
      <c r="GY133" s="451"/>
      <c r="GZ133" s="451"/>
      <c r="HA133" s="451"/>
      <c r="HB133" s="451"/>
      <c r="HC133" s="451"/>
      <c r="HD133" s="97"/>
      <c r="HE133" s="451"/>
      <c r="HF133" s="664"/>
      <c r="HV133" s="97"/>
      <c r="HW133" s="29"/>
      <c r="HX133" s="29"/>
      <c r="HY133" s="29"/>
      <c r="HZ133" s="451"/>
      <c r="IA133" s="451"/>
      <c r="IB133" s="451"/>
      <c r="IC133" s="451"/>
      <c r="ID133" s="451"/>
      <c r="IE133" s="451"/>
      <c r="IF133" s="451"/>
      <c r="IG133" s="451"/>
      <c r="IK133" s="841"/>
      <c r="IL133" s="90"/>
      <c r="IV133" s="660"/>
      <c r="IW133" s="900"/>
      <c r="IX133" s="595"/>
      <c r="IY133" s="900"/>
      <c r="IZ133" s="660"/>
      <c r="JJ133" s="451"/>
      <c r="JK133" s="660"/>
      <c r="JL133" s="660"/>
      <c r="JM133" s="660"/>
    </row>
    <row r="134" spans="1:273" hidden="1">
      <c r="A134" s="451"/>
      <c r="B134" s="451"/>
      <c r="C134" s="91"/>
      <c r="D134" s="69"/>
      <c r="E134" s="455"/>
      <c r="F134" s="455"/>
      <c r="I134" s="90"/>
      <c r="J134" s="90"/>
      <c r="K134" s="90"/>
      <c r="L134" s="90"/>
      <c r="M134" s="90"/>
      <c r="N134" s="90"/>
      <c r="O134" s="90"/>
      <c r="P134" s="96"/>
      <c r="Q134" s="455"/>
      <c r="R134" s="69"/>
      <c r="S134" s="90"/>
      <c r="X134" s="69"/>
      <c r="AM134" s="67"/>
      <c r="BJ134" s="69"/>
      <c r="BU134" s="69"/>
      <c r="BV134" s="90"/>
      <c r="CS134" s="69"/>
      <c r="CT134" s="451"/>
      <c r="CU134" s="451"/>
      <c r="DF134" s="148"/>
      <c r="DG134" s="451"/>
      <c r="DH134" s="451"/>
      <c r="DI134" s="451"/>
      <c r="DJ134" s="451"/>
      <c r="DK134" s="451"/>
      <c r="DL134" s="451"/>
      <c r="DM134" s="451"/>
      <c r="DN134" s="451"/>
      <c r="DO134" s="455"/>
      <c r="DP134" s="69"/>
      <c r="DZ134" s="451"/>
      <c r="EA134" s="451"/>
      <c r="EB134" s="451"/>
      <c r="EC134" s="451"/>
      <c r="ED134" s="451"/>
      <c r="EE134" s="451"/>
      <c r="EF134" s="148"/>
      <c r="EG134" s="451"/>
      <c r="EH134" s="451"/>
      <c r="EI134" s="451"/>
      <c r="EJ134" s="451"/>
      <c r="EK134" s="451"/>
      <c r="EL134" s="451"/>
      <c r="EM134" s="451"/>
      <c r="EN134" s="451"/>
      <c r="EO134" s="465"/>
      <c r="EP134" s="468"/>
      <c r="EQ134" s="465"/>
      <c r="ER134" s="465"/>
      <c r="ES134" s="465"/>
      <c r="ET134" s="465"/>
      <c r="EU134" s="465"/>
      <c r="EV134" s="465"/>
      <c r="EW134" s="465"/>
      <c r="EX134" s="465"/>
      <c r="EY134" s="465"/>
      <c r="EZ134" s="455"/>
      <c r="FA134" s="468"/>
      <c r="FB134" s="468"/>
      <c r="FC134" s="468"/>
      <c r="FD134" s="468"/>
      <c r="FE134" s="468"/>
      <c r="FF134" s="468"/>
      <c r="FG134" s="465"/>
      <c r="FH134" s="465"/>
      <c r="FI134" s="465"/>
      <c r="FJ134" s="465"/>
      <c r="FK134" s="451"/>
      <c r="FL134" s="451"/>
      <c r="FM134" s="465"/>
      <c r="FN134" s="465"/>
      <c r="FO134" s="148"/>
      <c r="FP134" s="468"/>
      <c r="FQ134" s="451"/>
      <c r="FR134" s="451"/>
      <c r="FS134" s="451"/>
      <c r="FT134" s="451"/>
      <c r="FU134" s="451"/>
      <c r="FV134" s="451"/>
      <c r="FW134" s="451"/>
      <c r="FX134" s="451"/>
      <c r="FY134" s="451"/>
      <c r="FZ134" s="451"/>
      <c r="GA134" s="451"/>
      <c r="GB134" s="451"/>
      <c r="GC134" s="451"/>
      <c r="GD134" s="451"/>
      <c r="GE134" s="451"/>
      <c r="GF134" s="451"/>
      <c r="GG134" s="451"/>
      <c r="GH134" s="451"/>
      <c r="GI134" s="451"/>
      <c r="GJ134" s="451"/>
      <c r="GK134" s="451"/>
      <c r="GL134" s="451"/>
      <c r="GM134" s="451"/>
      <c r="GN134" s="451"/>
      <c r="GO134" s="451"/>
      <c r="GP134" s="451"/>
      <c r="GQ134" s="148"/>
      <c r="GR134" s="451"/>
      <c r="GS134" s="451"/>
      <c r="GT134" s="451"/>
      <c r="GU134" s="451"/>
      <c r="GV134" s="900"/>
      <c r="GW134" s="900"/>
      <c r="GX134" s="451"/>
      <c r="GY134" s="451"/>
      <c r="GZ134" s="451"/>
      <c r="HA134" s="451"/>
      <c r="HB134" s="451"/>
      <c r="HC134" s="451"/>
      <c r="HD134" s="97"/>
      <c r="HE134" s="451"/>
      <c r="HF134" s="664"/>
      <c r="HV134" s="97"/>
      <c r="HW134" s="29"/>
      <c r="HX134" s="29"/>
      <c r="HY134" s="29"/>
      <c r="HZ134" s="451"/>
      <c r="IA134" s="451"/>
      <c r="IB134" s="451"/>
      <c r="IC134" s="451"/>
      <c r="ID134" s="451"/>
      <c r="IE134" s="451"/>
      <c r="IF134" s="451"/>
      <c r="IG134" s="451"/>
      <c r="IK134" s="841"/>
      <c r="IL134" s="90"/>
      <c r="IV134" s="660"/>
      <c r="IW134" s="900"/>
      <c r="IX134" s="595"/>
      <c r="IY134" s="900"/>
      <c r="IZ134" s="660"/>
      <c r="JJ134" s="451"/>
      <c r="JK134" s="660"/>
      <c r="JL134" s="660"/>
      <c r="JM134" s="660"/>
    </row>
    <row r="135" spans="1:273" hidden="1">
      <c r="A135" s="451"/>
      <c r="B135" s="451"/>
      <c r="C135" s="91"/>
      <c r="D135" s="69"/>
      <c r="E135" s="455"/>
      <c r="F135" s="455"/>
      <c r="I135" s="90"/>
      <c r="J135" s="90"/>
      <c r="K135" s="90"/>
      <c r="L135" s="90"/>
      <c r="M135" s="90"/>
      <c r="N135" s="90"/>
      <c r="O135" s="90"/>
      <c r="P135" s="96"/>
      <c r="Q135" s="455"/>
      <c r="R135" s="69"/>
      <c r="S135" s="90"/>
      <c r="X135" s="69"/>
      <c r="AM135" s="67"/>
      <c r="BJ135" s="69"/>
      <c r="BU135" s="69"/>
      <c r="BV135" s="90"/>
      <c r="CS135" s="69"/>
      <c r="CT135" s="451"/>
      <c r="CU135" s="451"/>
      <c r="DF135" s="148"/>
      <c r="DG135" s="451"/>
      <c r="DH135" s="451"/>
      <c r="DI135" s="451"/>
      <c r="DJ135" s="451"/>
      <c r="DK135" s="451"/>
      <c r="DL135" s="451"/>
      <c r="DM135" s="451"/>
      <c r="DN135" s="451"/>
      <c r="DO135" s="455"/>
      <c r="DP135" s="69"/>
      <c r="DZ135" s="451"/>
      <c r="EA135" s="451"/>
      <c r="EB135" s="451"/>
      <c r="EC135" s="451"/>
      <c r="ED135" s="451"/>
      <c r="EE135" s="451"/>
      <c r="EF135" s="148"/>
      <c r="EG135" s="451"/>
      <c r="EH135" s="451"/>
      <c r="EI135" s="451"/>
      <c r="EJ135" s="451"/>
      <c r="EK135" s="451"/>
      <c r="EL135" s="451"/>
      <c r="EM135" s="451"/>
      <c r="EN135" s="451"/>
      <c r="EO135" s="465"/>
      <c r="EP135" s="468"/>
      <c r="EQ135" s="465"/>
      <c r="ER135" s="465"/>
      <c r="ES135" s="465"/>
      <c r="ET135" s="465"/>
      <c r="EU135" s="465"/>
      <c r="EV135" s="465"/>
      <c r="EW135" s="465"/>
      <c r="EX135" s="465"/>
      <c r="EY135" s="465"/>
      <c r="EZ135" s="455"/>
      <c r="FA135" s="468"/>
      <c r="FB135" s="468"/>
      <c r="FC135" s="468"/>
      <c r="FD135" s="468"/>
      <c r="FE135" s="468"/>
      <c r="FF135" s="468"/>
      <c r="FG135" s="465"/>
      <c r="FH135" s="465"/>
      <c r="FI135" s="465"/>
      <c r="FJ135" s="465"/>
      <c r="FK135" s="451"/>
      <c r="FL135" s="451"/>
      <c r="FM135" s="465"/>
      <c r="FN135" s="465"/>
      <c r="FO135" s="148"/>
      <c r="FP135" s="468"/>
      <c r="FQ135" s="451"/>
      <c r="FR135" s="451"/>
      <c r="FS135" s="451"/>
      <c r="FT135" s="451"/>
      <c r="FU135" s="451"/>
      <c r="FV135" s="451"/>
      <c r="FW135" s="451"/>
      <c r="FX135" s="451"/>
      <c r="FY135" s="451"/>
      <c r="FZ135" s="451"/>
      <c r="GA135" s="451"/>
      <c r="GB135" s="451"/>
      <c r="GC135" s="451"/>
      <c r="GD135" s="451"/>
      <c r="GE135" s="451"/>
      <c r="GF135" s="451"/>
      <c r="GG135" s="451"/>
      <c r="GH135" s="451"/>
      <c r="GI135" s="451"/>
      <c r="GJ135" s="451"/>
      <c r="GK135" s="451"/>
      <c r="GL135" s="451"/>
      <c r="GM135" s="451"/>
      <c r="GN135" s="451"/>
      <c r="GO135" s="451"/>
      <c r="GP135" s="451"/>
      <c r="GQ135" s="148"/>
      <c r="GR135" s="451"/>
      <c r="GS135" s="451"/>
      <c r="GT135" s="451"/>
      <c r="GU135" s="451"/>
      <c r="GV135" s="900"/>
      <c r="GW135" s="900"/>
      <c r="GX135" s="451"/>
      <c r="GY135" s="451"/>
      <c r="GZ135" s="451"/>
      <c r="HA135" s="451"/>
      <c r="HB135" s="451"/>
      <c r="HC135" s="451"/>
      <c r="HD135" s="97"/>
      <c r="HE135" s="451"/>
      <c r="HF135" s="664"/>
      <c r="HV135" s="97"/>
      <c r="HW135" s="29"/>
      <c r="HX135" s="29"/>
      <c r="HY135" s="29"/>
      <c r="HZ135" s="451"/>
      <c r="IA135" s="451"/>
      <c r="IB135" s="451"/>
      <c r="IC135" s="451"/>
      <c r="ID135" s="451"/>
      <c r="IE135" s="451"/>
      <c r="IF135" s="451"/>
      <c r="IG135" s="451"/>
      <c r="IK135" s="841"/>
      <c r="IL135" s="90"/>
      <c r="IV135" s="660"/>
      <c r="IW135" s="900"/>
      <c r="IX135" s="595"/>
      <c r="IY135" s="900"/>
      <c r="IZ135" s="660"/>
      <c r="JJ135" s="451"/>
      <c r="JK135" s="660"/>
      <c r="JL135" s="660"/>
      <c r="JM135" s="660"/>
    </row>
    <row r="136" spans="1:273" hidden="1">
      <c r="A136" s="451"/>
      <c r="B136" s="451"/>
      <c r="C136" s="91"/>
      <c r="D136" s="69"/>
      <c r="E136" s="455"/>
      <c r="F136" s="455"/>
      <c r="I136" s="90"/>
      <c r="J136" s="90"/>
      <c r="K136" s="90"/>
      <c r="L136" s="90"/>
      <c r="M136" s="90"/>
      <c r="N136" s="90"/>
      <c r="O136" s="90"/>
      <c r="P136" s="96"/>
      <c r="Q136" s="455"/>
      <c r="R136" s="69"/>
      <c r="S136" s="90"/>
      <c r="X136" s="69"/>
      <c r="AM136" s="67"/>
      <c r="BJ136" s="69"/>
      <c r="BU136" s="69"/>
      <c r="BV136" s="90"/>
      <c r="CS136" s="69"/>
      <c r="CT136" s="451"/>
      <c r="CU136" s="451"/>
      <c r="DF136" s="148"/>
      <c r="DG136" s="451"/>
      <c r="DH136" s="451"/>
      <c r="DI136" s="451"/>
      <c r="DJ136" s="451"/>
      <c r="DK136" s="451"/>
      <c r="DL136" s="451"/>
      <c r="DM136" s="451"/>
      <c r="DN136" s="451"/>
      <c r="DO136" s="455"/>
      <c r="DP136" s="69"/>
      <c r="DZ136" s="451"/>
      <c r="EA136" s="451"/>
      <c r="EB136" s="451"/>
      <c r="EC136" s="451"/>
      <c r="ED136" s="451"/>
      <c r="EE136" s="451"/>
      <c r="EF136" s="148"/>
      <c r="EG136" s="451"/>
      <c r="EH136" s="451"/>
      <c r="EI136" s="451"/>
      <c r="EJ136" s="451"/>
      <c r="EK136" s="451"/>
      <c r="EL136" s="451"/>
      <c r="EM136" s="451"/>
      <c r="EN136" s="451"/>
      <c r="EO136" s="465"/>
      <c r="EP136" s="468"/>
      <c r="EQ136" s="465"/>
      <c r="ER136" s="465"/>
      <c r="ES136" s="465"/>
      <c r="ET136" s="465"/>
      <c r="EU136" s="465"/>
      <c r="EV136" s="465"/>
      <c r="EW136" s="465"/>
      <c r="EX136" s="465"/>
      <c r="EY136" s="465"/>
      <c r="EZ136" s="455"/>
      <c r="FA136" s="468"/>
      <c r="FB136" s="468"/>
      <c r="FC136" s="468"/>
      <c r="FD136" s="468"/>
      <c r="FE136" s="468"/>
      <c r="FF136" s="468"/>
      <c r="FG136" s="465"/>
      <c r="FH136" s="465"/>
      <c r="FI136" s="465"/>
      <c r="FJ136" s="465"/>
      <c r="FK136" s="451"/>
      <c r="FL136" s="451"/>
      <c r="FM136" s="465"/>
      <c r="FN136" s="465"/>
      <c r="FO136" s="148"/>
      <c r="FP136" s="468"/>
      <c r="FQ136" s="451"/>
      <c r="FR136" s="451"/>
      <c r="FS136" s="451"/>
      <c r="FT136" s="451"/>
      <c r="FU136" s="451"/>
      <c r="FV136" s="451"/>
      <c r="FW136" s="451"/>
      <c r="FX136" s="451"/>
      <c r="FY136" s="451"/>
      <c r="FZ136" s="451"/>
      <c r="GA136" s="451"/>
      <c r="GB136" s="451"/>
      <c r="GC136" s="451"/>
      <c r="GD136" s="451"/>
      <c r="GE136" s="451"/>
      <c r="GF136" s="451"/>
      <c r="GG136" s="451"/>
      <c r="GH136" s="451"/>
      <c r="GI136" s="451"/>
      <c r="GJ136" s="451"/>
      <c r="GK136" s="451"/>
      <c r="GL136" s="451"/>
      <c r="GM136" s="451"/>
      <c r="GN136" s="451"/>
      <c r="GO136" s="451"/>
      <c r="GP136" s="451"/>
      <c r="GQ136" s="148"/>
      <c r="GR136" s="451"/>
      <c r="GS136" s="451"/>
      <c r="GT136" s="451"/>
      <c r="GU136" s="451"/>
      <c r="GV136" s="900"/>
      <c r="GW136" s="900"/>
      <c r="GX136" s="451"/>
      <c r="GY136" s="451"/>
      <c r="GZ136" s="451"/>
      <c r="HA136" s="451"/>
      <c r="HB136" s="451"/>
      <c r="HC136" s="451"/>
      <c r="HD136" s="97"/>
      <c r="HE136" s="451"/>
      <c r="HF136" s="664"/>
      <c r="HV136" s="97"/>
      <c r="HW136" s="29"/>
      <c r="HX136" s="29"/>
      <c r="HY136" s="29"/>
      <c r="HZ136" s="451"/>
      <c r="IA136" s="451"/>
      <c r="IB136" s="451"/>
      <c r="IC136" s="451"/>
      <c r="ID136" s="451"/>
      <c r="IE136" s="451"/>
      <c r="IF136" s="451"/>
      <c r="IG136" s="451"/>
      <c r="IK136" s="841"/>
      <c r="IL136" s="90"/>
      <c r="IV136" s="660"/>
      <c r="IW136" s="900"/>
      <c r="IX136" s="595"/>
      <c r="IY136" s="900"/>
      <c r="IZ136" s="660"/>
      <c r="JJ136" s="451"/>
      <c r="JK136" s="660"/>
      <c r="JL136" s="660"/>
      <c r="JM136" s="660"/>
    </row>
    <row r="137" spans="1:273" hidden="1">
      <c r="A137" s="451"/>
      <c r="B137" s="451"/>
      <c r="C137" s="91"/>
      <c r="D137" s="69"/>
      <c r="E137" s="455"/>
      <c r="F137" s="455"/>
      <c r="I137" s="90"/>
      <c r="J137" s="90"/>
      <c r="K137" s="90"/>
      <c r="L137" s="90"/>
      <c r="M137" s="90"/>
      <c r="N137" s="90"/>
      <c r="O137" s="90"/>
      <c r="P137" s="96"/>
      <c r="Q137" s="455"/>
      <c r="R137" s="69"/>
      <c r="S137" s="90"/>
      <c r="X137" s="69"/>
      <c r="AM137" s="67"/>
      <c r="BJ137" s="69"/>
      <c r="BU137" s="69"/>
      <c r="BV137" s="90"/>
      <c r="CS137" s="69"/>
      <c r="CT137" s="451"/>
      <c r="CU137" s="451"/>
      <c r="DF137" s="148"/>
      <c r="DG137" s="451"/>
      <c r="DH137" s="451"/>
      <c r="DI137" s="451"/>
      <c r="DJ137" s="451"/>
      <c r="DK137" s="451"/>
      <c r="DL137" s="451"/>
      <c r="DM137" s="451"/>
      <c r="DN137" s="451"/>
      <c r="DO137" s="455"/>
      <c r="DP137" s="69"/>
      <c r="DZ137" s="451"/>
      <c r="EA137" s="451"/>
      <c r="EB137" s="451"/>
      <c r="EC137" s="451"/>
      <c r="ED137" s="451"/>
      <c r="EE137" s="451"/>
      <c r="EF137" s="148"/>
      <c r="EG137" s="451"/>
      <c r="EH137" s="451"/>
      <c r="EI137" s="451"/>
      <c r="EJ137" s="451"/>
      <c r="EK137" s="451"/>
      <c r="EL137" s="451"/>
      <c r="EM137" s="451"/>
      <c r="EN137" s="451"/>
      <c r="EO137" s="465"/>
      <c r="EP137" s="468"/>
      <c r="EQ137" s="465"/>
      <c r="ER137" s="465"/>
      <c r="ES137" s="465"/>
      <c r="ET137" s="465"/>
      <c r="EU137" s="465"/>
      <c r="EV137" s="465"/>
      <c r="EW137" s="465"/>
      <c r="EX137" s="465"/>
      <c r="EY137" s="465"/>
      <c r="EZ137" s="455"/>
      <c r="FA137" s="468"/>
      <c r="FB137" s="468"/>
      <c r="FC137" s="468"/>
      <c r="FD137" s="468"/>
      <c r="FE137" s="468"/>
      <c r="FF137" s="468"/>
      <c r="FG137" s="465"/>
      <c r="FH137" s="465"/>
      <c r="FI137" s="465"/>
      <c r="FJ137" s="465"/>
      <c r="FK137" s="451"/>
      <c r="FL137" s="451"/>
      <c r="FM137" s="465"/>
      <c r="FN137" s="465"/>
      <c r="FO137" s="148"/>
      <c r="FP137" s="468"/>
      <c r="FQ137" s="451"/>
      <c r="FR137" s="451"/>
      <c r="FS137" s="451"/>
      <c r="FT137" s="451"/>
      <c r="FU137" s="451"/>
      <c r="FV137" s="451"/>
      <c r="FW137" s="451"/>
      <c r="FX137" s="451"/>
      <c r="FY137" s="451"/>
      <c r="FZ137" s="451"/>
      <c r="GA137" s="451"/>
      <c r="GB137" s="451"/>
      <c r="GC137" s="451"/>
      <c r="GD137" s="451"/>
      <c r="GE137" s="451"/>
      <c r="GF137" s="451"/>
      <c r="GG137" s="451"/>
      <c r="GH137" s="451"/>
      <c r="GI137" s="451"/>
      <c r="GJ137" s="451"/>
      <c r="GK137" s="451"/>
      <c r="GL137" s="451"/>
      <c r="GM137" s="451"/>
      <c r="GN137" s="451"/>
      <c r="GO137" s="451"/>
      <c r="GP137" s="451"/>
      <c r="GQ137" s="148"/>
      <c r="GR137" s="451"/>
      <c r="GS137" s="451"/>
      <c r="GT137" s="451"/>
      <c r="GU137" s="451"/>
      <c r="GV137" s="900"/>
      <c r="GW137" s="900"/>
      <c r="GX137" s="451"/>
      <c r="GY137" s="451"/>
      <c r="GZ137" s="451"/>
      <c r="HA137" s="451"/>
      <c r="HB137" s="451"/>
      <c r="HC137" s="451"/>
      <c r="HD137" s="97"/>
      <c r="HE137" s="451"/>
      <c r="HF137" s="664"/>
      <c r="HV137" s="97"/>
      <c r="HW137" s="29"/>
      <c r="HX137" s="29"/>
      <c r="HY137" s="29"/>
      <c r="HZ137" s="451"/>
      <c r="IA137" s="451"/>
      <c r="IB137" s="451"/>
      <c r="IC137" s="451"/>
      <c r="ID137" s="451"/>
      <c r="IE137" s="451"/>
      <c r="IF137" s="451"/>
      <c r="IG137" s="451"/>
      <c r="IK137" s="841"/>
      <c r="IL137" s="90"/>
      <c r="IV137" s="660"/>
      <c r="IW137" s="900"/>
      <c r="IX137" s="595"/>
      <c r="IY137" s="900"/>
      <c r="IZ137" s="660"/>
      <c r="JJ137" s="451"/>
      <c r="JK137" s="660"/>
      <c r="JL137" s="660"/>
      <c r="JM137" s="660"/>
    </row>
    <row r="138" spans="1:273" hidden="1">
      <c r="A138" s="451"/>
      <c r="B138" s="451"/>
      <c r="C138" s="91"/>
      <c r="D138" s="69"/>
      <c r="E138" s="455"/>
      <c r="F138" s="455"/>
      <c r="I138" s="90"/>
      <c r="J138" s="90"/>
      <c r="K138" s="90"/>
      <c r="L138" s="90"/>
      <c r="M138" s="90"/>
      <c r="N138" s="90"/>
      <c r="O138" s="90"/>
      <c r="P138" s="96"/>
      <c r="Q138" s="455"/>
      <c r="R138" s="69"/>
      <c r="S138" s="90"/>
      <c r="X138" s="69"/>
      <c r="AM138" s="67"/>
      <c r="BJ138" s="69"/>
      <c r="BU138" s="69"/>
      <c r="BV138" s="90"/>
      <c r="CS138" s="69"/>
      <c r="CT138" s="451"/>
      <c r="CU138" s="451"/>
      <c r="DF138" s="148"/>
      <c r="DG138" s="451"/>
      <c r="DH138" s="451"/>
      <c r="DI138" s="451"/>
      <c r="DJ138" s="451"/>
      <c r="DK138" s="451"/>
      <c r="DL138" s="451"/>
      <c r="DM138" s="451"/>
      <c r="DN138" s="451"/>
      <c r="DO138" s="455"/>
      <c r="DP138" s="69"/>
      <c r="DZ138" s="451"/>
      <c r="EA138" s="451"/>
      <c r="EB138" s="451"/>
      <c r="EC138" s="451"/>
      <c r="ED138" s="451"/>
      <c r="EE138" s="451"/>
      <c r="EF138" s="148"/>
      <c r="EG138" s="451"/>
      <c r="EH138" s="451"/>
      <c r="EI138" s="451"/>
      <c r="EJ138" s="451"/>
      <c r="EK138" s="451"/>
      <c r="EL138" s="451"/>
      <c r="EM138" s="451"/>
      <c r="EN138" s="451"/>
      <c r="EO138" s="465"/>
      <c r="EP138" s="468"/>
      <c r="EQ138" s="465"/>
      <c r="ER138" s="465"/>
      <c r="ES138" s="465"/>
      <c r="ET138" s="465"/>
      <c r="EU138" s="465"/>
      <c r="EV138" s="465"/>
      <c r="EW138" s="465"/>
      <c r="EX138" s="465"/>
      <c r="EY138" s="465"/>
      <c r="EZ138" s="455"/>
      <c r="FA138" s="468"/>
      <c r="FB138" s="468"/>
      <c r="FC138" s="468"/>
      <c r="FD138" s="468"/>
      <c r="FE138" s="468"/>
      <c r="FF138" s="468"/>
      <c r="FG138" s="465"/>
      <c r="FH138" s="465"/>
      <c r="FI138" s="465"/>
      <c r="FJ138" s="465"/>
      <c r="FK138" s="451"/>
      <c r="FL138" s="451"/>
      <c r="FM138" s="465"/>
      <c r="FN138" s="465"/>
      <c r="FO138" s="148"/>
      <c r="FP138" s="468"/>
      <c r="FQ138" s="451"/>
      <c r="FR138" s="451"/>
      <c r="FS138" s="451"/>
      <c r="FT138" s="451"/>
      <c r="FU138" s="451"/>
      <c r="FV138" s="451"/>
      <c r="FW138" s="451"/>
      <c r="FX138" s="451"/>
      <c r="FY138" s="451"/>
      <c r="FZ138" s="451"/>
      <c r="GA138" s="451"/>
      <c r="GB138" s="451"/>
      <c r="GC138" s="451"/>
      <c r="GD138" s="451"/>
      <c r="GE138" s="451"/>
      <c r="GF138" s="451"/>
      <c r="GG138" s="451"/>
      <c r="GH138" s="451"/>
      <c r="GI138" s="451"/>
      <c r="GJ138" s="451"/>
      <c r="GK138" s="451"/>
      <c r="GL138" s="451"/>
      <c r="GM138" s="451"/>
      <c r="GN138" s="451"/>
      <c r="GO138" s="451"/>
      <c r="GP138" s="451"/>
      <c r="GQ138" s="148"/>
      <c r="GR138" s="451"/>
      <c r="GS138" s="451"/>
      <c r="GT138" s="451"/>
      <c r="GU138" s="451"/>
      <c r="GV138" s="900"/>
      <c r="GW138" s="900"/>
      <c r="GX138" s="451"/>
      <c r="GY138" s="451"/>
      <c r="GZ138" s="451"/>
      <c r="HA138" s="451"/>
      <c r="HB138" s="451"/>
      <c r="HC138" s="451"/>
      <c r="HD138" s="97"/>
      <c r="HE138" s="451"/>
      <c r="HF138" s="664"/>
      <c r="HV138" s="97"/>
      <c r="HW138" s="29"/>
      <c r="HX138" s="29"/>
      <c r="HY138" s="29"/>
      <c r="HZ138" s="451"/>
      <c r="IA138" s="451"/>
      <c r="IB138" s="451"/>
      <c r="IC138" s="451"/>
      <c r="ID138" s="451"/>
      <c r="IE138" s="451"/>
      <c r="IF138" s="451"/>
      <c r="IG138" s="451"/>
      <c r="IK138" s="841"/>
      <c r="IL138" s="90"/>
      <c r="IV138" s="660"/>
      <c r="IW138" s="900"/>
      <c r="IX138" s="595"/>
      <c r="IY138" s="900"/>
      <c r="IZ138" s="660"/>
      <c r="JJ138" s="451"/>
      <c r="JK138" s="660"/>
      <c r="JL138" s="660"/>
      <c r="JM138" s="660"/>
    </row>
    <row r="139" spans="1:273" hidden="1">
      <c r="A139" s="451"/>
      <c r="B139" s="451"/>
      <c r="C139" s="91"/>
      <c r="D139" s="69"/>
      <c r="E139" s="455"/>
      <c r="F139" s="455"/>
      <c r="I139" s="90"/>
      <c r="J139" s="90"/>
      <c r="K139" s="90"/>
      <c r="L139" s="90"/>
      <c r="M139" s="90"/>
      <c r="N139" s="90"/>
      <c r="O139" s="90"/>
      <c r="P139" s="96"/>
      <c r="Q139" s="455"/>
      <c r="R139" s="69"/>
      <c r="S139" s="90"/>
      <c r="X139" s="69"/>
      <c r="AM139" s="67"/>
      <c r="BJ139" s="69"/>
      <c r="BU139" s="69"/>
      <c r="BV139" s="90"/>
      <c r="CS139" s="69"/>
      <c r="CT139" s="451"/>
      <c r="CU139" s="451"/>
      <c r="DF139" s="148"/>
      <c r="DG139" s="451"/>
      <c r="DH139" s="451"/>
      <c r="DI139" s="451"/>
      <c r="DJ139" s="451"/>
      <c r="DK139" s="451"/>
      <c r="DL139" s="451"/>
      <c r="DM139" s="451"/>
      <c r="DN139" s="451"/>
      <c r="DO139" s="455"/>
      <c r="DP139" s="69"/>
      <c r="DZ139" s="451"/>
      <c r="EA139" s="451"/>
      <c r="EB139" s="451"/>
      <c r="EC139" s="451"/>
      <c r="ED139" s="451"/>
      <c r="EE139" s="451"/>
      <c r="EF139" s="148"/>
      <c r="EG139" s="451"/>
      <c r="EH139" s="451"/>
      <c r="EI139" s="451"/>
      <c r="EJ139" s="451"/>
      <c r="EK139" s="451"/>
      <c r="EL139" s="451"/>
      <c r="EM139" s="451"/>
      <c r="EN139" s="451"/>
      <c r="EO139" s="465"/>
      <c r="EP139" s="468"/>
      <c r="EQ139" s="465"/>
      <c r="ER139" s="465"/>
      <c r="ES139" s="465"/>
      <c r="ET139" s="465"/>
      <c r="EU139" s="465"/>
      <c r="EV139" s="465"/>
      <c r="EW139" s="465"/>
      <c r="EX139" s="465"/>
      <c r="EY139" s="465"/>
      <c r="EZ139" s="455"/>
      <c r="FA139" s="468"/>
      <c r="FB139" s="468"/>
      <c r="FC139" s="468"/>
      <c r="FD139" s="468"/>
      <c r="FE139" s="468"/>
      <c r="FF139" s="468"/>
      <c r="FG139" s="465"/>
      <c r="FH139" s="465"/>
      <c r="FI139" s="465"/>
      <c r="FJ139" s="465"/>
      <c r="FK139" s="451"/>
      <c r="FL139" s="451"/>
      <c r="FM139" s="465"/>
      <c r="FN139" s="465"/>
      <c r="FO139" s="148"/>
      <c r="FP139" s="468"/>
      <c r="FQ139" s="451"/>
      <c r="FR139" s="451"/>
      <c r="FS139" s="451"/>
      <c r="FT139" s="451"/>
      <c r="FU139" s="451"/>
      <c r="FV139" s="451"/>
      <c r="FW139" s="451"/>
      <c r="FX139" s="451"/>
      <c r="FY139" s="451"/>
      <c r="FZ139" s="451"/>
      <c r="GA139" s="451"/>
      <c r="GB139" s="451"/>
      <c r="GC139" s="451"/>
      <c r="GD139" s="451"/>
      <c r="GE139" s="451"/>
      <c r="GF139" s="451"/>
      <c r="GG139" s="451"/>
      <c r="GH139" s="451"/>
      <c r="GI139" s="451"/>
      <c r="GJ139" s="451"/>
      <c r="GK139" s="451"/>
      <c r="GL139" s="451"/>
      <c r="GM139" s="451"/>
      <c r="GN139" s="451"/>
      <c r="GO139" s="451"/>
      <c r="GP139" s="451"/>
      <c r="GQ139" s="148"/>
      <c r="GR139" s="451"/>
      <c r="GS139" s="451"/>
      <c r="GT139" s="451"/>
      <c r="GU139" s="451"/>
      <c r="GV139" s="900"/>
      <c r="GW139" s="900"/>
      <c r="GX139" s="451"/>
      <c r="GY139" s="451"/>
      <c r="GZ139" s="451"/>
      <c r="HA139" s="451"/>
      <c r="HB139" s="451"/>
      <c r="HC139" s="451"/>
      <c r="HD139" s="97"/>
      <c r="HE139" s="451"/>
      <c r="HF139" s="664"/>
      <c r="HV139" s="97"/>
      <c r="HW139" s="29"/>
      <c r="HX139" s="29"/>
      <c r="HY139" s="29"/>
      <c r="HZ139" s="451"/>
      <c r="IA139" s="451"/>
      <c r="IB139" s="451"/>
      <c r="IC139" s="451"/>
      <c r="ID139" s="451"/>
      <c r="IE139" s="451"/>
      <c r="IF139" s="451"/>
      <c r="IG139" s="451"/>
      <c r="IK139" s="841"/>
      <c r="IL139" s="90"/>
      <c r="IV139" s="660"/>
      <c r="IW139" s="900"/>
      <c r="IX139" s="595"/>
      <c r="IY139" s="900"/>
      <c r="IZ139" s="660"/>
      <c r="JJ139" s="451"/>
      <c r="JK139" s="660"/>
      <c r="JL139" s="660"/>
      <c r="JM139" s="660"/>
    </row>
    <row r="140" spans="1:273" hidden="1">
      <c r="A140" s="451"/>
      <c r="B140" s="451"/>
      <c r="C140" s="91"/>
      <c r="D140" s="69"/>
      <c r="E140" s="455"/>
      <c r="F140" s="455"/>
      <c r="I140" s="90"/>
      <c r="J140" s="90"/>
      <c r="K140" s="90"/>
      <c r="L140" s="90"/>
      <c r="M140" s="90"/>
      <c r="N140" s="90"/>
      <c r="O140" s="90"/>
      <c r="P140" s="96"/>
      <c r="Q140" s="455"/>
      <c r="R140" s="69"/>
      <c r="S140" s="90"/>
      <c r="X140" s="69"/>
      <c r="AM140" s="67"/>
      <c r="BJ140" s="69"/>
      <c r="BU140" s="69"/>
      <c r="BV140" s="90"/>
      <c r="CS140" s="69"/>
      <c r="CT140" s="451"/>
      <c r="CU140" s="451"/>
      <c r="DF140" s="148"/>
      <c r="DG140" s="451"/>
      <c r="DH140" s="451"/>
      <c r="DI140" s="451"/>
      <c r="DJ140" s="451"/>
      <c r="DK140" s="451"/>
      <c r="DL140" s="451"/>
      <c r="DM140" s="451"/>
      <c r="DN140" s="451"/>
      <c r="DO140" s="455"/>
      <c r="DP140" s="69"/>
      <c r="DZ140" s="451"/>
      <c r="EA140" s="451"/>
      <c r="EB140" s="451"/>
      <c r="EC140" s="451"/>
      <c r="ED140" s="451"/>
      <c r="EE140" s="451"/>
      <c r="EF140" s="148"/>
      <c r="EG140" s="451"/>
      <c r="EH140" s="451"/>
      <c r="EI140" s="451"/>
      <c r="EJ140" s="451"/>
      <c r="EK140" s="451"/>
      <c r="EL140" s="451"/>
      <c r="EM140" s="451"/>
      <c r="EN140" s="451"/>
      <c r="EO140" s="465"/>
      <c r="EP140" s="468"/>
      <c r="EQ140" s="465"/>
      <c r="ER140" s="465"/>
      <c r="ES140" s="465"/>
      <c r="ET140" s="465"/>
      <c r="EU140" s="465"/>
      <c r="EV140" s="465"/>
      <c r="EW140" s="465"/>
      <c r="EX140" s="465"/>
      <c r="EY140" s="465"/>
      <c r="EZ140" s="455"/>
      <c r="FA140" s="468"/>
      <c r="FB140" s="468"/>
      <c r="FC140" s="468"/>
      <c r="FD140" s="468"/>
      <c r="FE140" s="468"/>
      <c r="FF140" s="468"/>
      <c r="FG140" s="465"/>
      <c r="FH140" s="465"/>
      <c r="FI140" s="465"/>
      <c r="FJ140" s="465"/>
      <c r="FK140" s="451"/>
      <c r="FL140" s="451"/>
      <c r="FM140" s="465"/>
      <c r="FN140" s="465"/>
      <c r="FO140" s="148"/>
      <c r="FP140" s="468"/>
      <c r="FQ140" s="451"/>
      <c r="FR140" s="451"/>
      <c r="FS140" s="451"/>
      <c r="FT140" s="451"/>
      <c r="FU140" s="451"/>
      <c r="FV140" s="451"/>
      <c r="FW140" s="451"/>
      <c r="FX140" s="451"/>
      <c r="FY140" s="451"/>
      <c r="FZ140" s="451"/>
      <c r="GA140" s="451"/>
      <c r="GB140" s="451"/>
      <c r="GC140" s="451"/>
      <c r="GD140" s="451"/>
      <c r="GE140" s="451"/>
      <c r="GF140" s="451"/>
      <c r="GG140" s="451"/>
      <c r="GH140" s="451"/>
      <c r="GI140" s="451"/>
      <c r="GJ140" s="451"/>
      <c r="GK140" s="451"/>
      <c r="GL140" s="451"/>
      <c r="GM140" s="451"/>
      <c r="GN140" s="451"/>
      <c r="GO140" s="451"/>
      <c r="GP140" s="451"/>
      <c r="GQ140" s="148"/>
      <c r="GR140" s="451"/>
      <c r="GS140" s="451"/>
      <c r="GT140" s="451"/>
      <c r="GU140" s="451"/>
      <c r="GV140" s="900"/>
      <c r="GW140" s="900"/>
      <c r="GX140" s="451"/>
      <c r="GY140" s="451"/>
      <c r="GZ140" s="451"/>
      <c r="HA140" s="451"/>
      <c r="HB140" s="451"/>
      <c r="HC140" s="451"/>
      <c r="HD140" s="97"/>
      <c r="HE140" s="451"/>
      <c r="HF140" s="664"/>
      <c r="HV140" s="97"/>
      <c r="HW140" s="29"/>
      <c r="HX140" s="29"/>
      <c r="HY140" s="29"/>
      <c r="HZ140" s="451"/>
      <c r="IA140" s="451"/>
      <c r="IB140" s="451"/>
      <c r="IC140" s="451"/>
      <c r="ID140" s="451"/>
      <c r="IE140" s="451"/>
      <c r="IF140" s="451"/>
      <c r="IG140" s="451"/>
      <c r="IK140" s="841"/>
      <c r="IL140" s="90"/>
      <c r="IV140" s="660"/>
      <c r="IW140" s="900"/>
      <c r="IX140" s="595"/>
      <c r="IY140" s="900"/>
      <c r="IZ140" s="660"/>
      <c r="JJ140" s="451"/>
      <c r="JK140" s="660"/>
      <c r="JL140" s="660"/>
      <c r="JM140" s="660"/>
    </row>
    <row r="141" spans="1:273" hidden="1">
      <c r="A141" s="451"/>
      <c r="B141" s="451"/>
      <c r="C141" s="91"/>
      <c r="D141" s="69"/>
      <c r="E141" s="455"/>
      <c r="F141" s="455"/>
      <c r="I141" s="90"/>
      <c r="J141" s="90"/>
      <c r="K141" s="90"/>
      <c r="L141" s="90"/>
      <c r="M141" s="90"/>
      <c r="N141" s="90"/>
      <c r="O141" s="90"/>
      <c r="P141" s="96"/>
      <c r="Q141" s="455"/>
      <c r="R141" s="69"/>
      <c r="S141" s="90"/>
      <c r="X141" s="69"/>
      <c r="AM141" s="67"/>
      <c r="BJ141" s="69"/>
      <c r="BU141" s="69"/>
      <c r="BV141" s="90"/>
      <c r="CS141" s="69"/>
      <c r="CT141" s="451"/>
      <c r="CU141" s="451"/>
      <c r="DF141" s="148"/>
      <c r="DG141" s="451"/>
      <c r="DH141" s="451"/>
      <c r="DI141" s="451"/>
      <c r="DJ141" s="451"/>
      <c r="DK141" s="451"/>
      <c r="DL141" s="451"/>
      <c r="DM141" s="451"/>
      <c r="DN141" s="451"/>
      <c r="DO141" s="455"/>
      <c r="DP141" s="69"/>
      <c r="DZ141" s="451"/>
      <c r="EA141" s="451"/>
      <c r="EB141" s="451"/>
      <c r="EC141" s="451"/>
      <c r="ED141" s="451"/>
      <c r="EE141" s="451"/>
      <c r="EF141" s="148"/>
      <c r="EG141" s="451"/>
      <c r="EH141" s="451"/>
      <c r="EI141" s="451"/>
      <c r="EJ141" s="451"/>
      <c r="EK141" s="451"/>
      <c r="EL141" s="451"/>
      <c r="EM141" s="451"/>
      <c r="EN141" s="451"/>
      <c r="EO141" s="465"/>
      <c r="EP141" s="468"/>
      <c r="EQ141" s="465"/>
      <c r="ER141" s="465"/>
      <c r="ES141" s="465"/>
      <c r="ET141" s="465"/>
      <c r="EU141" s="465"/>
      <c r="EV141" s="465"/>
      <c r="EW141" s="465"/>
      <c r="EX141" s="465"/>
      <c r="EY141" s="465"/>
      <c r="EZ141" s="455"/>
      <c r="FA141" s="468"/>
      <c r="FB141" s="468"/>
      <c r="FC141" s="468"/>
      <c r="FD141" s="468"/>
      <c r="FE141" s="468"/>
      <c r="FF141" s="468"/>
      <c r="FG141" s="465"/>
      <c r="FH141" s="465"/>
      <c r="FI141" s="465"/>
      <c r="FJ141" s="465"/>
      <c r="FK141" s="451"/>
      <c r="FL141" s="451"/>
      <c r="FM141" s="465"/>
      <c r="FN141" s="465"/>
      <c r="FO141" s="148"/>
      <c r="FP141" s="468"/>
      <c r="FQ141" s="451"/>
      <c r="FR141" s="451"/>
      <c r="FS141" s="451"/>
      <c r="FT141" s="451"/>
      <c r="FU141" s="451"/>
      <c r="FV141" s="451"/>
      <c r="FW141" s="451"/>
      <c r="FX141" s="451"/>
      <c r="FY141" s="451"/>
      <c r="FZ141" s="451"/>
      <c r="GA141" s="451"/>
      <c r="GB141" s="451"/>
      <c r="GC141" s="451"/>
      <c r="GD141" s="451"/>
      <c r="GE141" s="451"/>
      <c r="GF141" s="451"/>
      <c r="GG141" s="451"/>
      <c r="GH141" s="451"/>
      <c r="GI141" s="451"/>
      <c r="GJ141" s="451"/>
      <c r="GK141" s="451"/>
      <c r="GL141" s="451"/>
      <c r="GM141" s="451"/>
      <c r="GN141" s="451"/>
      <c r="GO141" s="451"/>
      <c r="GP141" s="451"/>
      <c r="GQ141" s="148"/>
      <c r="GR141" s="451"/>
      <c r="GS141" s="451"/>
      <c r="GT141" s="451"/>
      <c r="GU141" s="451"/>
      <c r="GV141" s="900"/>
      <c r="GW141" s="900"/>
      <c r="GX141" s="451"/>
      <c r="GY141" s="451"/>
      <c r="GZ141" s="451"/>
      <c r="HA141" s="451"/>
      <c r="HB141" s="451"/>
      <c r="HC141" s="451"/>
      <c r="HD141" s="97"/>
      <c r="HE141" s="451"/>
      <c r="HF141" s="664"/>
      <c r="HV141" s="97"/>
      <c r="HW141" s="29"/>
      <c r="HX141" s="29"/>
      <c r="HY141" s="29"/>
      <c r="HZ141" s="451"/>
      <c r="IA141" s="451"/>
      <c r="IB141" s="451"/>
      <c r="IC141" s="451"/>
      <c r="ID141" s="451"/>
      <c r="IE141" s="451"/>
      <c r="IF141" s="451"/>
      <c r="IG141" s="451"/>
      <c r="IK141" s="841"/>
      <c r="IL141" s="90"/>
      <c r="IV141" s="660"/>
      <c r="IW141" s="900"/>
      <c r="IX141" s="595"/>
      <c r="IY141" s="900"/>
      <c r="IZ141" s="660"/>
      <c r="JJ141" s="451"/>
      <c r="JK141" s="660"/>
      <c r="JL141" s="660"/>
      <c r="JM141" s="660"/>
    </row>
    <row r="142" spans="1:273">
      <c r="A142" s="451">
        <v>1960</v>
      </c>
      <c r="B142" s="451" t="s">
        <v>720</v>
      </c>
      <c r="C142" s="91"/>
      <c r="D142" s="69"/>
      <c r="E142" s="93">
        <f>AVERAGE(E52:E61)</f>
        <v>0.12220571165697844</v>
      </c>
      <c r="F142" s="93"/>
      <c r="I142" s="90"/>
      <c r="J142" s="90"/>
      <c r="K142" s="90"/>
      <c r="L142" s="90"/>
      <c r="M142" s="90"/>
      <c r="N142" s="90"/>
      <c r="O142" s="90"/>
      <c r="P142" s="94">
        <f>AVERAGE(P52:P61)</f>
        <v>1.2191076358650552E-2</v>
      </c>
      <c r="Q142" s="93"/>
      <c r="R142" s="69"/>
      <c r="S142" s="90"/>
      <c r="X142" s="69"/>
      <c r="AM142" s="67"/>
      <c r="BJ142" s="69"/>
      <c r="BU142" s="69"/>
      <c r="BV142" s="90"/>
      <c r="CM142" s="240"/>
      <c r="CN142" s="240"/>
      <c r="CO142" s="240"/>
      <c r="CP142" s="240"/>
      <c r="CQ142" s="240"/>
      <c r="CR142" s="240"/>
      <c r="CS142" s="69"/>
      <c r="CT142" s="451"/>
      <c r="CU142" s="451"/>
      <c r="DF142" s="148"/>
      <c r="DG142" s="451"/>
      <c r="DH142" s="451"/>
      <c r="DI142" s="451"/>
      <c r="DJ142" s="451"/>
      <c r="DK142" s="451"/>
      <c r="DL142" s="451"/>
      <c r="DM142" s="451"/>
      <c r="DN142" s="451"/>
      <c r="DO142" s="455"/>
      <c r="DP142" s="69"/>
      <c r="DZ142" s="451"/>
      <c r="EA142" s="451"/>
      <c r="EB142" s="451"/>
      <c r="EC142" s="451"/>
      <c r="ED142" s="451"/>
      <c r="EE142" s="451"/>
      <c r="EF142" s="148"/>
      <c r="EI142" s="451"/>
      <c r="EJ142" s="451"/>
      <c r="EK142" s="451"/>
      <c r="EL142" s="451"/>
      <c r="EM142" s="451"/>
      <c r="EN142" s="451"/>
      <c r="EO142" s="465"/>
      <c r="EP142" s="468"/>
      <c r="EQ142" s="465"/>
      <c r="ER142" s="465"/>
      <c r="ES142" s="465"/>
      <c r="ET142" s="465"/>
      <c r="EU142" s="465"/>
      <c r="EV142" s="465"/>
      <c r="EW142" s="465"/>
      <c r="EX142" s="465"/>
      <c r="EY142" s="465"/>
      <c r="FG142" s="465"/>
      <c r="FH142" s="465"/>
      <c r="FI142" s="465"/>
      <c r="FJ142" s="465"/>
      <c r="FK142" s="451"/>
      <c r="FL142" s="451"/>
      <c r="FM142" s="465"/>
      <c r="FN142" s="465"/>
      <c r="FO142" s="148"/>
      <c r="FP142" s="468"/>
      <c r="FQ142" s="451"/>
      <c r="FR142" s="451"/>
      <c r="FS142" s="451"/>
      <c r="FT142" s="451"/>
      <c r="FU142" s="451"/>
      <c r="FV142" s="451"/>
      <c r="FW142" s="451"/>
      <c r="FX142" s="451"/>
      <c r="FY142" s="451"/>
      <c r="FZ142" s="451"/>
      <c r="GA142" s="451"/>
      <c r="GB142" s="451"/>
      <c r="GC142" s="451"/>
      <c r="GD142" s="451"/>
      <c r="GE142" s="451"/>
      <c r="GF142" s="451"/>
      <c r="GG142" s="451"/>
      <c r="GH142" s="451"/>
      <c r="GI142" s="451"/>
      <c r="GJ142" s="451"/>
      <c r="GK142" s="451"/>
      <c r="GL142" s="451"/>
      <c r="GM142" s="451"/>
      <c r="GN142" s="451"/>
      <c r="GO142" s="451"/>
      <c r="GP142" s="451"/>
      <c r="GQ142" s="148"/>
      <c r="GR142" s="451"/>
      <c r="GS142" s="451"/>
      <c r="GT142" s="451"/>
      <c r="GU142" s="451"/>
      <c r="GV142" s="900"/>
      <c r="GW142" s="900"/>
      <c r="GX142" s="451"/>
      <c r="GY142" s="451"/>
      <c r="GZ142" s="451"/>
      <c r="HA142" s="451"/>
      <c r="HB142" s="451"/>
      <c r="HC142" s="451"/>
      <c r="HD142" s="186"/>
      <c r="HE142" s="451"/>
      <c r="HF142" s="664"/>
      <c r="HV142" s="186"/>
      <c r="HW142" s="30"/>
      <c r="HX142" s="30"/>
      <c r="HY142" s="30"/>
      <c r="HZ142" s="448"/>
      <c r="IA142" s="448"/>
      <c r="IB142" s="448"/>
      <c r="IC142" s="448"/>
      <c r="ID142" s="448"/>
      <c r="IE142" s="448"/>
      <c r="IF142" s="463"/>
      <c r="IG142" s="448"/>
      <c r="IK142" s="841"/>
      <c r="IL142" s="90"/>
      <c r="IV142" s="660"/>
      <c r="IW142" s="900"/>
      <c r="IX142" s="595"/>
      <c r="IY142" s="900"/>
      <c r="IZ142" s="660"/>
      <c r="JJ142" s="451"/>
      <c r="JK142" s="660"/>
      <c r="JL142" s="660"/>
      <c r="JM142" s="660"/>
    </row>
    <row r="143" spans="1:273" hidden="1">
      <c r="A143" s="451"/>
      <c r="B143" s="451"/>
      <c r="C143" s="91"/>
      <c r="D143" s="69"/>
      <c r="E143" s="455"/>
      <c r="F143" s="455"/>
      <c r="I143" s="90"/>
      <c r="J143" s="90"/>
      <c r="K143" s="90"/>
      <c r="L143" s="90"/>
      <c r="M143" s="90"/>
      <c r="N143" s="90"/>
      <c r="O143" s="90"/>
      <c r="P143" s="96"/>
      <c r="Q143" s="455"/>
      <c r="R143" s="69"/>
      <c r="S143" s="90"/>
      <c r="X143" s="69"/>
      <c r="AM143" s="69"/>
      <c r="BJ143" s="69"/>
      <c r="BU143" s="69"/>
      <c r="BV143" s="90"/>
      <c r="CS143" s="69"/>
      <c r="CT143" s="451"/>
      <c r="CU143" s="451"/>
      <c r="DF143" s="148"/>
      <c r="DG143" s="451"/>
      <c r="DH143" s="451"/>
      <c r="DI143" s="451"/>
      <c r="DJ143" s="451"/>
      <c r="DK143" s="451"/>
      <c r="DL143" s="451"/>
      <c r="DM143" s="451"/>
      <c r="DN143" s="451"/>
      <c r="DO143" s="455"/>
      <c r="DP143" s="69"/>
      <c r="DZ143" s="451"/>
      <c r="EA143" s="451"/>
      <c r="EB143" s="451"/>
      <c r="EC143" s="451"/>
      <c r="ED143" s="451"/>
      <c r="EE143" s="451"/>
      <c r="EF143" s="148"/>
      <c r="EI143" s="451"/>
      <c r="EJ143" s="451"/>
      <c r="EK143" s="451"/>
      <c r="EL143" s="451"/>
      <c r="EM143" s="451"/>
      <c r="EN143" s="451"/>
      <c r="EO143" s="465"/>
      <c r="EP143" s="468"/>
      <c r="EQ143" s="465"/>
      <c r="ER143" s="465"/>
      <c r="ES143" s="465"/>
      <c r="ET143" s="465"/>
      <c r="EU143" s="465"/>
      <c r="EV143" s="465"/>
      <c r="EW143" s="465"/>
      <c r="EX143" s="465"/>
      <c r="EY143" s="465"/>
      <c r="FG143" s="465"/>
      <c r="FH143" s="465"/>
      <c r="FI143" s="465"/>
      <c r="FJ143" s="465"/>
      <c r="FK143" s="451"/>
      <c r="FL143" s="451"/>
      <c r="FM143" s="465"/>
      <c r="FN143" s="465"/>
      <c r="FO143" s="148"/>
      <c r="FP143" s="468"/>
      <c r="FQ143" s="451"/>
      <c r="FR143" s="451"/>
      <c r="FS143" s="451"/>
      <c r="FT143" s="451"/>
      <c r="FU143" s="451"/>
      <c r="FV143" s="451"/>
      <c r="FW143" s="451"/>
      <c r="FX143" s="451"/>
      <c r="FY143" s="451"/>
      <c r="FZ143" s="451"/>
      <c r="GA143" s="451"/>
      <c r="GB143" s="451"/>
      <c r="GC143" s="451"/>
      <c r="GD143" s="451"/>
      <c r="GE143" s="451"/>
      <c r="GF143" s="451"/>
      <c r="GG143" s="451"/>
      <c r="GH143" s="451"/>
      <c r="GI143" s="451"/>
      <c r="GJ143" s="451"/>
      <c r="GK143" s="451"/>
      <c r="GL143" s="451"/>
      <c r="GM143" s="451"/>
      <c r="GN143" s="451"/>
      <c r="GO143" s="451"/>
      <c r="GP143" s="451"/>
      <c r="GQ143" s="148"/>
      <c r="GR143" s="451"/>
      <c r="GS143" s="451"/>
      <c r="GT143" s="451"/>
      <c r="GU143" s="451"/>
      <c r="GV143" s="900"/>
      <c r="GW143" s="900"/>
      <c r="GX143" s="451"/>
      <c r="GY143" s="451"/>
      <c r="GZ143" s="451"/>
      <c r="HA143" s="451"/>
      <c r="HB143" s="451"/>
      <c r="HC143" s="451"/>
      <c r="HD143" s="186"/>
      <c r="HE143" s="451"/>
      <c r="HF143" s="664"/>
      <c r="HV143" s="186"/>
      <c r="HW143" s="30"/>
      <c r="HX143" s="30"/>
      <c r="HY143" s="30"/>
      <c r="HZ143" s="448"/>
      <c r="IA143" s="448"/>
      <c r="IB143" s="448"/>
      <c r="IC143" s="448"/>
      <c r="ID143" s="448"/>
      <c r="IE143" s="448"/>
      <c r="IF143" s="448"/>
      <c r="IG143" s="448"/>
      <c r="IK143" s="841"/>
      <c r="IL143" s="90"/>
      <c r="IV143" s="660"/>
      <c r="IW143" s="900"/>
      <c r="IX143" s="595"/>
      <c r="IY143" s="900"/>
      <c r="IZ143" s="660"/>
      <c r="JJ143" s="451"/>
      <c r="JK143" s="660"/>
      <c r="JL143" s="660"/>
      <c r="JM143" s="660"/>
    </row>
    <row r="144" spans="1:273" hidden="1">
      <c r="A144" s="451"/>
      <c r="B144" s="451"/>
      <c r="C144" s="91"/>
      <c r="D144" s="69"/>
      <c r="E144" s="455"/>
      <c r="F144" s="455"/>
      <c r="I144" s="90"/>
      <c r="J144" s="90"/>
      <c r="K144" s="90"/>
      <c r="L144" s="90"/>
      <c r="M144" s="90"/>
      <c r="N144" s="90"/>
      <c r="O144" s="90"/>
      <c r="P144" s="96"/>
      <c r="Q144" s="455"/>
      <c r="R144" s="69"/>
      <c r="S144" s="90"/>
      <c r="X144" s="69"/>
      <c r="AM144" s="69"/>
      <c r="BJ144" s="69"/>
      <c r="BU144" s="69"/>
      <c r="BV144" s="90"/>
      <c r="CS144" s="69"/>
      <c r="CT144" s="451"/>
      <c r="CU144" s="451"/>
      <c r="DF144" s="148"/>
      <c r="DG144" s="451"/>
      <c r="DH144" s="451"/>
      <c r="DI144" s="451"/>
      <c r="DJ144" s="451"/>
      <c r="DK144" s="451"/>
      <c r="DL144" s="451"/>
      <c r="DM144" s="451"/>
      <c r="DN144" s="451"/>
      <c r="DO144" s="455"/>
      <c r="DP144" s="69"/>
      <c r="DZ144" s="451"/>
      <c r="EA144" s="451"/>
      <c r="EB144" s="451"/>
      <c r="EC144" s="451"/>
      <c r="ED144" s="451"/>
      <c r="EE144" s="451"/>
      <c r="EF144" s="148"/>
      <c r="EI144" s="451"/>
      <c r="EJ144" s="451"/>
      <c r="EK144" s="451"/>
      <c r="EL144" s="451"/>
      <c r="EM144" s="451"/>
      <c r="EN144" s="451"/>
      <c r="EO144" s="465"/>
      <c r="EP144" s="468"/>
      <c r="EQ144" s="465"/>
      <c r="ER144" s="465"/>
      <c r="ES144" s="465"/>
      <c r="ET144" s="465"/>
      <c r="EU144" s="465"/>
      <c r="EV144" s="465"/>
      <c r="EW144" s="465"/>
      <c r="EX144" s="465"/>
      <c r="EY144" s="465"/>
      <c r="FG144" s="465"/>
      <c r="FH144" s="465"/>
      <c r="FI144" s="465"/>
      <c r="FJ144" s="465"/>
      <c r="FK144" s="451"/>
      <c r="FL144" s="451"/>
      <c r="FM144" s="465"/>
      <c r="FN144" s="465"/>
      <c r="FO144" s="148"/>
      <c r="FP144" s="468"/>
      <c r="FQ144" s="451"/>
      <c r="FR144" s="451"/>
      <c r="FS144" s="451"/>
      <c r="FT144" s="451"/>
      <c r="FU144" s="451"/>
      <c r="FV144" s="451"/>
      <c r="FW144" s="451"/>
      <c r="FX144" s="451"/>
      <c r="FY144" s="451"/>
      <c r="FZ144" s="451"/>
      <c r="GA144" s="451"/>
      <c r="GB144" s="451"/>
      <c r="GC144" s="451"/>
      <c r="GD144" s="451"/>
      <c r="GE144" s="451"/>
      <c r="GF144" s="451"/>
      <c r="GG144" s="451"/>
      <c r="GH144" s="451"/>
      <c r="GI144" s="451"/>
      <c r="GJ144" s="451"/>
      <c r="GK144" s="451"/>
      <c r="GL144" s="451"/>
      <c r="GM144" s="451"/>
      <c r="GN144" s="451"/>
      <c r="GO144" s="451"/>
      <c r="GP144" s="451"/>
      <c r="GQ144" s="148"/>
      <c r="GR144" s="451"/>
      <c r="GS144" s="451"/>
      <c r="GT144" s="451"/>
      <c r="GU144" s="451"/>
      <c r="GV144" s="900"/>
      <c r="GW144" s="900"/>
      <c r="GX144" s="451"/>
      <c r="GY144" s="451"/>
      <c r="GZ144" s="451"/>
      <c r="HA144" s="451"/>
      <c r="HB144" s="451"/>
      <c r="HC144" s="451"/>
      <c r="HD144" s="186"/>
      <c r="HE144" s="451"/>
      <c r="HF144" s="664"/>
      <c r="HV144" s="186"/>
      <c r="HW144" s="30"/>
      <c r="HX144" s="30"/>
      <c r="HY144" s="30"/>
      <c r="HZ144" s="448"/>
      <c r="IA144" s="448"/>
      <c r="IB144" s="448"/>
      <c r="IC144" s="448"/>
      <c r="ID144" s="448"/>
      <c r="IE144" s="448"/>
      <c r="IF144" s="448"/>
      <c r="IG144" s="448"/>
      <c r="IK144" s="841"/>
      <c r="IL144" s="90"/>
      <c r="IV144" s="660"/>
      <c r="IW144" s="900"/>
      <c r="IX144" s="595"/>
      <c r="IY144" s="900"/>
      <c r="IZ144" s="660"/>
      <c r="JJ144" s="451"/>
      <c r="JK144" s="660"/>
      <c r="JL144" s="660"/>
      <c r="JM144" s="660"/>
    </row>
    <row r="145" spans="1:273" hidden="1">
      <c r="A145" s="451"/>
      <c r="B145" s="451"/>
      <c r="C145" s="91"/>
      <c r="D145" s="69"/>
      <c r="E145" s="455"/>
      <c r="F145" s="455"/>
      <c r="I145" s="90"/>
      <c r="J145" s="90"/>
      <c r="K145" s="90"/>
      <c r="L145" s="90"/>
      <c r="M145" s="90"/>
      <c r="N145" s="90"/>
      <c r="O145" s="90"/>
      <c r="P145" s="96"/>
      <c r="Q145" s="455"/>
      <c r="R145" s="69"/>
      <c r="S145" s="90"/>
      <c r="X145" s="69"/>
      <c r="AM145" s="69"/>
      <c r="BJ145" s="69"/>
      <c r="BU145" s="69"/>
      <c r="BV145" s="90"/>
      <c r="CS145" s="69"/>
      <c r="CT145" s="451"/>
      <c r="CU145" s="451"/>
      <c r="DF145" s="148"/>
      <c r="DG145" s="451"/>
      <c r="DH145" s="451"/>
      <c r="DI145" s="451"/>
      <c r="DJ145" s="451"/>
      <c r="DK145" s="451"/>
      <c r="DL145" s="451"/>
      <c r="DM145" s="451"/>
      <c r="DN145" s="451"/>
      <c r="DO145" s="455"/>
      <c r="DP145" s="69"/>
      <c r="DZ145" s="451"/>
      <c r="EA145" s="451"/>
      <c r="EB145" s="451"/>
      <c r="EC145" s="451"/>
      <c r="ED145" s="451"/>
      <c r="EE145" s="451"/>
      <c r="EF145" s="148"/>
      <c r="EI145" s="451"/>
      <c r="EJ145" s="451"/>
      <c r="EK145" s="451"/>
      <c r="EL145" s="451"/>
      <c r="EM145" s="451"/>
      <c r="EN145" s="451"/>
      <c r="EO145" s="465"/>
      <c r="EP145" s="468"/>
      <c r="EQ145" s="465"/>
      <c r="ER145" s="465"/>
      <c r="ES145" s="465"/>
      <c r="ET145" s="465"/>
      <c r="EU145" s="465"/>
      <c r="EV145" s="465"/>
      <c r="EW145" s="465"/>
      <c r="EX145" s="465"/>
      <c r="EY145" s="465"/>
      <c r="FG145" s="465"/>
      <c r="FH145" s="465"/>
      <c r="FI145" s="465"/>
      <c r="FJ145" s="465"/>
      <c r="FK145" s="451"/>
      <c r="FL145" s="451"/>
      <c r="FM145" s="465"/>
      <c r="FN145" s="465"/>
      <c r="FO145" s="148"/>
      <c r="FP145" s="468"/>
      <c r="FQ145" s="451"/>
      <c r="FR145" s="451"/>
      <c r="FS145" s="451"/>
      <c r="FT145" s="451"/>
      <c r="FU145" s="451"/>
      <c r="FV145" s="451"/>
      <c r="FW145" s="451"/>
      <c r="FX145" s="451"/>
      <c r="FY145" s="451"/>
      <c r="FZ145" s="451"/>
      <c r="GA145" s="451"/>
      <c r="GB145" s="451"/>
      <c r="GC145" s="451"/>
      <c r="GD145" s="451"/>
      <c r="GE145" s="451"/>
      <c r="GF145" s="451"/>
      <c r="GG145" s="451"/>
      <c r="GH145" s="451"/>
      <c r="GI145" s="451"/>
      <c r="GJ145" s="451"/>
      <c r="GK145" s="451"/>
      <c r="GL145" s="451"/>
      <c r="GM145" s="451"/>
      <c r="GN145" s="451"/>
      <c r="GO145" s="451"/>
      <c r="GP145" s="451"/>
      <c r="GQ145" s="148"/>
      <c r="GR145" s="451"/>
      <c r="GS145" s="451"/>
      <c r="GT145" s="451"/>
      <c r="GU145" s="451"/>
      <c r="GV145" s="900"/>
      <c r="GW145" s="900"/>
      <c r="GX145" s="451"/>
      <c r="GY145" s="451"/>
      <c r="GZ145" s="451"/>
      <c r="HA145" s="451"/>
      <c r="HB145" s="451"/>
      <c r="HC145" s="451"/>
      <c r="HD145" s="186"/>
      <c r="HE145" s="451"/>
      <c r="HF145" s="664"/>
      <c r="HV145" s="186"/>
      <c r="HW145" s="30"/>
      <c r="HX145" s="30"/>
      <c r="HY145" s="30"/>
      <c r="HZ145" s="448"/>
      <c r="IA145" s="448"/>
      <c r="IB145" s="448"/>
      <c r="IC145" s="448"/>
      <c r="ID145" s="448"/>
      <c r="IE145" s="448"/>
      <c r="IF145" s="448"/>
      <c r="IG145" s="448"/>
      <c r="IK145" s="841"/>
      <c r="IL145" s="90"/>
      <c r="IV145" s="660"/>
      <c r="IW145" s="900"/>
      <c r="IX145" s="595"/>
      <c r="IY145" s="900"/>
      <c r="IZ145" s="660"/>
      <c r="JJ145" s="451"/>
      <c r="JK145" s="660"/>
      <c r="JL145" s="660"/>
      <c r="JM145" s="660"/>
    </row>
    <row r="146" spans="1:273" hidden="1">
      <c r="A146" s="451"/>
      <c r="B146" s="451"/>
      <c r="C146" s="91"/>
      <c r="D146" s="69"/>
      <c r="E146" s="455"/>
      <c r="F146" s="455"/>
      <c r="I146" s="90"/>
      <c r="J146" s="90"/>
      <c r="K146" s="90"/>
      <c r="L146" s="90"/>
      <c r="M146" s="90"/>
      <c r="N146" s="90"/>
      <c r="O146" s="90"/>
      <c r="P146" s="96"/>
      <c r="Q146" s="455"/>
      <c r="R146" s="69"/>
      <c r="S146" s="90"/>
      <c r="X146" s="69"/>
      <c r="AM146" s="69"/>
      <c r="BJ146" s="69"/>
      <c r="BU146" s="69"/>
      <c r="BV146" s="90"/>
      <c r="CS146" s="69"/>
      <c r="CT146" s="451"/>
      <c r="CU146" s="451"/>
      <c r="DF146" s="148"/>
      <c r="DG146" s="451"/>
      <c r="DH146" s="451"/>
      <c r="DI146" s="451"/>
      <c r="DJ146" s="451"/>
      <c r="DK146" s="451"/>
      <c r="DL146" s="451"/>
      <c r="DM146" s="451"/>
      <c r="DN146" s="451"/>
      <c r="DO146" s="455"/>
      <c r="DP146" s="69"/>
      <c r="DZ146" s="451"/>
      <c r="EA146" s="451"/>
      <c r="EB146" s="451"/>
      <c r="EC146" s="451"/>
      <c r="ED146" s="451"/>
      <c r="EE146" s="451"/>
      <c r="EF146" s="148"/>
      <c r="EI146" s="451"/>
      <c r="EJ146" s="451"/>
      <c r="EK146" s="451"/>
      <c r="EL146" s="451"/>
      <c r="EM146" s="451"/>
      <c r="EN146" s="451"/>
      <c r="EO146" s="465"/>
      <c r="EP146" s="468"/>
      <c r="EQ146" s="465"/>
      <c r="ER146" s="465"/>
      <c r="ES146" s="465"/>
      <c r="ET146" s="465"/>
      <c r="EU146" s="465"/>
      <c r="EV146" s="465"/>
      <c r="EW146" s="465"/>
      <c r="EX146" s="465"/>
      <c r="EY146" s="465"/>
      <c r="FG146" s="465"/>
      <c r="FH146" s="465"/>
      <c r="FI146" s="465"/>
      <c r="FJ146" s="465"/>
      <c r="FK146" s="451"/>
      <c r="FL146" s="451"/>
      <c r="FM146" s="465"/>
      <c r="FN146" s="465"/>
      <c r="FO146" s="148"/>
      <c r="FP146" s="468"/>
      <c r="FQ146" s="451"/>
      <c r="FR146" s="451"/>
      <c r="FS146" s="451"/>
      <c r="FT146" s="451"/>
      <c r="FU146" s="451"/>
      <c r="FV146" s="451"/>
      <c r="FW146" s="451"/>
      <c r="FX146" s="451"/>
      <c r="FY146" s="451"/>
      <c r="FZ146" s="451"/>
      <c r="GA146" s="451"/>
      <c r="GB146" s="451"/>
      <c r="GC146" s="451"/>
      <c r="GD146" s="451"/>
      <c r="GE146" s="451"/>
      <c r="GF146" s="451"/>
      <c r="GG146" s="451"/>
      <c r="GH146" s="451"/>
      <c r="GI146" s="451"/>
      <c r="GJ146" s="451"/>
      <c r="GK146" s="451"/>
      <c r="GL146" s="451"/>
      <c r="GM146" s="451"/>
      <c r="GN146" s="451"/>
      <c r="GO146" s="451"/>
      <c r="GP146" s="451"/>
      <c r="GQ146" s="148"/>
      <c r="GR146" s="451"/>
      <c r="GS146" s="451"/>
      <c r="GT146" s="451"/>
      <c r="GU146" s="451"/>
      <c r="GV146" s="900"/>
      <c r="GW146" s="900"/>
      <c r="GX146" s="451"/>
      <c r="GY146" s="451"/>
      <c r="GZ146" s="451"/>
      <c r="HA146" s="451"/>
      <c r="HB146" s="451"/>
      <c r="HC146" s="451"/>
      <c r="HD146" s="186"/>
      <c r="HE146" s="451"/>
      <c r="HF146" s="664"/>
      <c r="HV146" s="186"/>
      <c r="HW146" s="30"/>
      <c r="HX146" s="30"/>
      <c r="HY146" s="30"/>
      <c r="HZ146" s="448"/>
      <c r="IA146" s="448"/>
      <c r="IB146" s="448"/>
      <c r="IC146" s="448"/>
      <c r="ID146" s="448"/>
      <c r="IE146" s="448"/>
      <c r="IF146" s="448"/>
      <c r="IG146" s="448"/>
      <c r="IK146" s="841"/>
      <c r="IL146" s="90"/>
      <c r="IV146" s="660"/>
      <c r="IW146" s="900"/>
      <c r="IX146" s="595"/>
      <c r="IY146" s="900"/>
      <c r="IZ146" s="660"/>
      <c r="JJ146" s="451"/>
      <c r="JK146" s="660"/>
      <c r="JL146" s="660"/>
      <c r="JM146" s="660"/>
    </row>
    <row r="147" spans="1:273" hidden="1">
      <c r="A147" s="451"/>
      <c r="B147" s="451"/>
      <c r="C147" s="91"/>
      <c r="D147" s="69"/>
      <c r="E147" s="455"/>
      <c r="F147" s="455"/>
      <c r="I147" s="90"/>
      <c r="J147" s="90"/>
      <c r="K147" s="90"/>
      <c r="L147" s="90"/>
      <c r="M147" s="90"/>
      <c r="N147" s="90"/>
      <c r="O147" s="90"/>
      <c r="P147" s="96"/>
      <c r="Q147" s="455"/>
      <c r="R147" s="69"/>
      <c r="S147" s="90"/>
      <c r="X147" s="69"/>
      <c r="AM147" s="69"/>
      <c r="BJ147" s="69"/>
      <c r="BU147" s="69"/>
      <c r="BV147" s="90"/>
      <c r="CS147" s="69"/>
      <c r="CT147" s="451"/>
      <c r="CU147" s="451"/>
      <c r="DF147" s="148"/>
      <c r="DG147" s="451"/>
      <c r="DH147" s="451"/>
      <c r="DI147" s="451"/>
      <c r="DJ147" s="451"/>
      <c r="DK147" s="451"/>
      <c r="DL147" s="451"/>
      <c r="DM147" s="451"/>
      <c r="DN147" s="451"/>
      <c r="DO147" s="455"/>
      <c r="DP147" s="69"/>
      <c r="DZ147" s="451"/>
      <c r="EA147" s="451"/>
      <c r="EB147" s="451"/>
      <c r="EC147" s="451"/>
      <c r="ED147" s="451"/>
      <c r="EE147" s="451"/>
      <c r="EF147" s="148"/>
      <c r="EI147" s="451"/>
      <c r="EJ147" s="451"/>
      <c r="EK147" s="451"/>
      <c r="EL147" s="451"/>
      <c r="EM147" s="451"/>
      <c r="EN147" s="451"/>
      <c r="EO147" s="465"/>
      <c r="EP147" s="468"/>
      <c r="EQ147" s="465"/>
      <c r="ER147" s="465"/>
      <c r="ES147" s="465"/>
      <c r="ET147" s="465"/>
      <c r="EU147" s="465"/>
      <c r="EV147" s="465"/>
      <c r="EW147" s="465"/>
      <c r="EX147" s="465"/>
      <c r="EY147" s="465"/>
      <c r="FG147" s="465"/>
      <c r="FH147" s="465"/>
      <c r="FI147" s="465"/>
      <c r="FJ147" s="465"/>
      <c r="FK147" s="451"/>
      <c r="FL147" s="451"/>
      <c r="FM147" s="465"/>
      <c r="FN147" s="465"/>
      <c r="FO147" s="148"/>
      <c r="FP147" s="468"/>
      <c r="FQ147" s="451"/>
      <c r="FR147" s="451"/>
      <c r="FS147" s="451"/>
      <c r="FT147" s="451"/>
      <c r="FU147" s="451"/>
      <c r="FV147" s="451"/>
      <c r="FW147" s="451"/>
      <c r="FX147" s="451"/>
      <c r="FY147" s="451"/>
      <c r="FZ147" s="451"/>
      <c r="GA147" s="451"/>
      <c r="GB147" s="451"/>
      <c r="GC147" s="451"/>
      <c r="GD147" s="451"/>
      <c r="GE147" s="451"/>
      <c r="GF147" s="451"/>
      <c r="GG147" s="451"/>
      <c r="GH147" s="451"/>
      <c r="GI147" s="451"/>
      <c r="GJ147" s="451"/>
      <c r="GK147" s="451"/>
      <c r="GL147" s="451"/>
      <c r="GM147" s="451"/>
      <c r="GN147" s="451"/>
      <c r="GO147" s="451"/>
      <c r="GP147" s="451"/>
      <c r="GQ147" s="148"/>
      <c r="GR147" s="451"/>
      <c r="GS147" s="451"/>
      <c r="GT147" s="451"/>
      <c r="GU147" s="451"/>
      <c r="GV147" s="900"/>
      <c r="GW147" s="900"/>
      <c r="GX147" s="451"/>
      <c r="GY147" s="451"/>
      <c r="GZ147" s="451"/>
      <c r="HA147" s="451"/>
      <c r="HB147" s="451"/>
      <c r="HC147" s="451"/>
      <c r="HD147" s="186"/>
      <c r="HE147" s="451"/>
      <c r="HF147" s="664"/>
      <c r="HV147" s="186"/>
      <c r="HW147" s="30"/>
      <c r="HX147" s="30"/>
      <c r="HY147" s="30"/>
      <c r="HZ147" s="448"/>
      <c r="IA147" s="448"/>
      <c r="IB147" s="448"/>
      <c r="IC147" s="448"/>
      <c r="ID147" s="448"/>
      <c r="IE147" s="448"/>
      <c r="IF147" s="448"/>
      <c r="IG147" s="448"/>
      <c r="IK147" s="841"/>
      <c r="IL147" s="90"/>
      <c r="IV147" s="660"/>
      <c r="IW147" s="900"/>
      <c r="IX147" s="595"/>
      <c r="IY147" s="900"/>
      <c r="IZ147" s="660"/>
      <c r="JJ147" s="451"/>
      <c r="JK147" s="660"/>
      <c r="JL147" s="660"/>
      <c r="JM147" s="660"/>
    </row>
    <row r="148" spans="1:273" hidden="1">
      <c r="A148" s="451"/>
      <c r="B148" s="451"/>
      <c r="C148" s="91"/>
      <c r="D148" s="69"/>
      <c r="E148" s="455"/>
      <c r="F148" s="455"/>
      <c r="I148" s="90"/>
      <c r="J148" s="90"/>
      <c r="K148" s="90"/>
      <c r="L148" s="90"/>
      <c r="M148" s="90"/>
      <c r="N148" s="90"/>
      <c r="O148" s="90"/>
      <c r="P148" s="96"/>
      <c r="Q148" s="455"/>
      <c r="R148" s="69"/>
      <c r="S148" s="90"/>
      <c r="X148" s="69"/>
      <c r="AM148" s="69"/>
      <c r="BJ148" s="69"/>
      <c r="BU148" s="69"/>
      <c r="BV148" s="90"/>
      <c r="CS148" s="69"/>
      <c r="CT148" s="451"/>
      <c r="CU148" s="451"/>
      <c r="DF148" s="148"/>
      <c r="DG148" s="451"/>
      <c r="DH148" s="451"/>
      <c r="DI148" s="451"/>
      <c r="DJ148" s="451"/>
      <c r="DK148" s="451"/>
      <c r="DL148" s="451"/>
      <c r="DM148" s="451"/>
      <c r="DN148" s="451"/>
      <c r="DO148" s="455"/>
      <c r="DP148" s="69"/>
      <c r="DZ148" s="451"/>
      <c r="EA148" s="451"/>
      <c r="EB148" s="451"/>
      <c r="EC148" s="451"/>
      <c r="ED148" s="451"/>
      <c r="EE148" s="451"/>
      <c r="EF148" s="148"/>
      <c r="EI148" s="451"/>
      <c r="EJ148" s="451"/>
      <c r="EK148" s="451"/>
      <c r="EL148" s="451"/>
      <c r="EM148" s="451"/>
      <c r="EN148" s="451"/>
      <c r="EO148" s="465"/>
      <c r="EP148" s="468"/>
      <c r="EQ148" s="465"/>
      <c r="ER148" s="465"/>
      <c r="ES148" s="465"/>
      <c r="ET148" s="465"/>
      <c r="EU148" s="465"/>
      <c r="EV148" s="465"/>
      <c r="EW148" s="465"/>
      <c r="EX148" s="465"/>
      <c r="EY148" s="465"/>
      <c r="FG148" s="465"/>
      <c r="FH148" s="465"/>
      <c r="FI148" s="465"/>
      <c r="FJ148" s="465"/>
      <c r="FK148" s="451"/>
      <c r="FL148" s="451"/>
      <c r="FM148" s="465"/>
      <c r="FN148" s="465"/>
      <c r="FO148" s="148"/>
      <c r="FP148" s="468"/>
      <c r="FQ148" s="451"/>
      <c r="FR148" s="451"/>
      <c r="FS148" s="451"/>
      <c r="FT148" s="451"/>
      <c r="FU148" s="451"/>
      <c r="FV148" s="451"/>
      <c r="FW148" s="451"/>
      <c r="FX148" s="451"/>
      <c r="FY148" s="451"/>
      <c r="FZ148" s="451"/>
      <c r="GA148" s="451"/>
      <c r="GB148" s="451"/>
      <c r="GC148" s="451"/>
      <c r="GD148" s="451"/>
      <c r="GE148" s="451"/>
      <c r="GF148" s="451"/>
      <c r="GG148" s="451"/>
      <c r="GH148" s="451"/>
      <c r="GI148" s="451"/>
      <c r="GJ148" s="451"/>
      <c r="GK148" s="451"/>
      <c r="GL148" s="451"/>
      <c r="GM148" s="451"/>
      <c r="GN148" s="451"/>
      <c r="GO148" s="451"/>
      <c r="GP148" s="451"/>
      <c r="GQ148" s="148"/>
      <c r="GR148" s="451"/>
      <c r="GS148" s="451"/>
      <c r="GT148" s="451"/>
      <c r="GU148" s="451"/>
      <c r="GV148" s="900"/>
      <c r="GW148" s="900"/>
      <c r="GX148" s="451"/>
      <c r="GY148" s="451"/>
      <c r="GZ148" s="451"/>
      <c r="HA148" s="451"/>
      <c r="HB148" s="451"/>
      <c r="HC148" s="451"/>
      <c r="HD148" s="186"/>
      <c r="HE148" s="451"/>
      <c r="HF148" s="664"/>
      <c r="HV148" s="186"/>
      <c r="HW148" s="30"/>
      <c r="HX148" s="30"/>
      <c r="HY148" s="30"/>
      <c r="HZ148" s="448"/>
      <c r="IA148" s="448"/>
      <c r="IB148" s="448"/>
      <c r="IC148" s="448"/>
      <c r="ID148" s="448"/>
      <c r="IE148" s="448"/>
      <c r="IF148" s="448"/>
      <c r="IG148" s="448"/>
      <c r="IK148" s="841"/>
      <c r="IL148" s="90"/>
      <c r="IV148" s="660"/>
      <c r="IW148" s="900"/>
      <c r="IX148" s="595"/>
      <c r="IY148" s="900"/>
      <c r="IZ148" s="660"/>
      <c r="JJ148" s="451"/>
      <c r="JK148" s="660"/>
      <c r="JL148" s="660"/>
      <c r="JM148" s="660"/>
    </row>
    <row r="149" spans="1:273" hidden="1">
      <c r="A149" s="451"/>
      <c r="B149" s="451"/>
      <c r="C149" s="91"/>
      <c r="D149" s="69"/>
      <c r="E149" s="455"/>
      <c r="F149" s="455"/>
      <c r="I149" s="90"/>
      <c r="J149" s="90"/>
      <c r="K149" s="90"/>
      <c r="L149" s="90"/>
      <c r="M149" s="90"/>
      <c r="N149" s="90"/>
      <c r="O149" s="90"/>
      <c r="P149" s="96"/>
      <c r="Q149" s="455"/>
      <c r="R149" s="69"/>
      <c r="S149" s="90"/>
      <c r="X149" s="69"/>
      <c r="AM149" s="69"/>
      <c r="BJ149" s="69"/>
      <c r="BU149" s="69"/>
      <c r="BV149" s="90"/>
      <c r="CS149" s="69"/>
      <c r="CT149" s="451"/>
      <c r="CU149" s="451"/>
      <c r="DF149" s="148"/>
      <c r="DG149" s="451"/>
      <c r="DH149" s="451"/>
      <c r="DI149" s="451"/>
      <c r="DJ149" s="451"/>
      <c r="DK149" s="451"/>
      <c r="DL149" s="451"/>
      <c r="DM149" s="451"/>
      <c r="DN149" s="451"/>
      <c r="DO149" s="455"/>
      <c r="DP149" s="69"/>
      <c r="DZ149" s="451"/>
      <c r="EA149" s="451"/>
      <c r="EB149" s="451"/>
      <c r="EC149" s="451"/>
      <c r="ED149" s="451"/>
      <c r="EE149" s="451"/>
      <c r="EF149" s="148"/>
      <c r="EI149" s="451"/>
      <c r="EJ149" s="451"/>
      <c r="EK149" s="451"/>
      <c r="EL149" s="451"/>
      <c r="EM149" s="451"/>
      <c r="EN149" s="451"/>
      <c r="EO149" s="465"/>
      <c r="EP149" s="468"/>
      <c r="EQ149" s="465"/>
      <c r="ER149" s="465"/>
      <c r="ES149" s="465"/>
      <c r="ET149" s="465"/>
      <c r="EU149" s="465"/>
      <c r="EV149" s="465"/>
      <c r="EW149" s="465"/>
      <c r="EX149" s="465"/>
      <c r="EY149" s="465"/>
      <c r="FG149" s="465"/>
      <c r="FH149" s="465"/>
      <c r="FI149" s="465"/>
      <c r="FJ149" s="465"/>
      <c r="FK149" s="451"/>
      <c r="FL149" s="451"/>
      <c r="FM149" s="465"/>
      <c r="FN149" s="465"/>
      <c r="FO149" s="148"/>
      <c r="FP149" s="468"/>
      <c r="FQ149" s="451"/>
      <c r="FR149" s="451"/>
      <c r="FS149" s="451"/>
      <c r="FT149" s="451"/>
      <c r="FU149" s="451"/>
      <c r="FV149" s="451"/>
      <c r="FW149" s="451"/>
      <c r="FX149" s="451"/>
      <c r="FY149" s="451"/>
      <c r="FZ149" s="451"/>
      <c r="GA149" s="451"/>
      <c r="GB149" s="451"/>
      <c r="GC149" s="451"/>
      <c r="GD149" s="451"/>
      <c r="GE149" s="451"/>
      <c r="GF149" s="451"/>
      <c r="GG149" s="451"/>
      <c r="GH149" s="451"/>
      <c r="GI149" s="451"/>
      <c r="GJ149" s="451"/>
      <c r="GK149" s="451"/>
      <c r="GL149" s="451"/>
      <c r="GM149" s="451"/>
      <c r="GN149" s="451"/>
      <c r="GO149" s="451"/>
      <c r="GP149" s="451"/>
      <c r="GQ149" s="148"/>
      <c r="GR149" s="451"/>
      <c r="GS149" s="451"/>
      <c r="GT149" s="451"/>
      <c r="GU149" s="451"/>
      <c r="GV149" s="900"/>
      <c r="GW149" s="900"/>
      <c r="GX149" s="451"/>
      <c r="GY149" s="451"/>
      <c r="GZ149" s="451"/>
      <c r="HA149" s="451"/>
      <c r="HB149" s="451"/>
      <c r="HC149" s="451"/>
      <c r="HD149" s="186"/>
      <c r="HE149" s="451"/>
      <c r="HF149" s="664"/>
      <c r="HV149" s="186"/>
      <c r="HW149" s="30"/>
      <c r="HX149" s="30"/>
      <c r="HY149" s="30"/>
      <c r="HZ149" s="448"/>
      <c r="IA149" s="448"/>
      <c r="IB149" s="448"/>
      <c r="IC149" s="448"/>
      <c r="ID149" s="448"/>
      <c r="IE149" s="448"/>
      <c r="IF149" s="448"/>
      <c r="IG149" s="448"/>
      <c r="IK149" s="841"/>
      <c r="IL149" s="90"/>
      <c r="IV149" s="660"/>
      <c r="IW149" s="900"/>
      <c r="IX149" s="595"/>
      <c r="IY149" s="900"/>
      <c r="IZ149" s="660"/>
      <c r="JJ149" s="451"/>
      <c r="JK149" s="660"/>
      <c r="JL149" s="660"/>
      <c r="JM149" s="660"/>
    </row>
    <row r="150" spans="1:273" hidden="1">
      <c r="A150" s="451"/>
      <c r="B150" s="451"/>
      <c r="C150" s="91"/>
      <c r="D150" s="69"/>
      <c r="E150" s="455"/>
      <c r="F150" s="455"/>
      <c r="I150" s="90"/>
      <c r="J150" s="90"/>
      <c r="K150" s="90"/>
      <c r="L150" s="90"/>
      <c r="M150" s="90"/>
      <c r="N150" s="90"/>
      <c r="O150" s="90"/>
      <c r="P150" s="96"/>
      <c r="Q150" s="455"/>
      <c r="R150" s="69"/>
      <c r="S150" s="90"/>
      <c r="X150" s="69"/>
      <c r="AM150" s="69"/>
      <c r="BJ150" s="69"/>
      <c r="BU150" s="69"/>
      <c r="BV150" s="90"/>
      <c r="CS150" s="69"/>
      <c r="CT150" s="451"/>
      <c r="CU150" s="451"/>
      <c r="DF150" s="148"/>
      <c r="DG150" s="451"/>
      <c r="DH150" s="451"/>
      <c r="DI150" s="451"/>
      <c r="DJ150" s="451"/>
      <c r="DK150" s="451"/>
      <c r="DL150" s="451"/>
      <c r="DM150" s="451"/>
      <c r="DN150" s="451"/>
      <c r="DO150" s="455"/>
      <c r="DP150" s="69"/>
      <c r="DZ150" s="451"/>
      <c r="EA150" s="451"/>
      <c r="EB150" s="451"/>
      <c r="EC150" s="451"/>
      <c r="ED150" s="451"/>
      <c r="EE150" s="451"/>
      <c r="EF150" s="148"/>
      <c r="EI150" s="451"/>
      <c r="EJ150" s="451"/>
      <c r="EK150" s="451"/>
      <c r="EL150" s="451"/>
      <c r="EM150" s="451"/>
      <c r="EN150" s="451"/>
      <c r="EO150" s="465"/>
      <c r="EP150" s="468"/>
      <c r="EQ150" s="465"/>
      <c r="ER150" s="465"/>
      <c r="ES150" s="465"/>
      <c r="ET150" s="465"/>
      <c r="EU150" s="465"/>
      <c r="EV150" s="465"/>
      <c r="EW150" s="465"/>
      <c r="EX150" s="465"/>
      <c r="EY150" s="465"/>
      <c r="FG150" s="465"/>
      <c r="FH150" s="465"/>
      <c r="FI150" s="465"/>
      <c r="FJ150" s="465"/>
      <c r="FK150" s="451"/>
      <c r="FL150" s="451"/>
      <c r="FM150" s="465"/>
      <c r="FN150" s="465"/>
      <c r="FO150" s="148"/>
      <c r="FP150" s="468"/>
      <c r="FQ150" s="451"/>
      <c r="FR150" s="451"/>
      <c r="FS150" s="451"/>
      <c r="FT150" s="451"/>
      <c r="FU150" s="451"/>
      <c r="FV150" s="451"/>
      <c r="FW150" s="451"/>
      <c r="FX150" s="451"/>
      <c r="FY150" s="451"/>
      <c r="FZ150" s="451"/>
      <c r="GA150" s="451"/>
      <c r="GB150" s="451"/>
      <c r="GC150" s="451"/>
      <c r="GD150" s="451"/>
      <c r="GE150" s="451"/>
      <c r="GF150" s="451"/>
      <c r="GG150" s="451"/>
      <c r="GH150" s="451"/>
      <c r="GI150" s="451"/>
      <c r="GJ150" s="451"/>
      <c r="GK150" s="451"/>
      <c r="GL150" s="451"/>
      <c r="GM150" s="451"/>
      <c r="GN150" s="451"/>
      <c r="GO150" s="451"/>
      <c r="GP150" s="451"/>
      <c r="GQ150" s="148"/>
      <c r="GR150" s="451"/>
      <c r="GS150" s="451"/>
      <c r="GT150" s="451"/>
      <c r="GU150" s="451"/>
      <c r="GV150" s="900"/>
      <c r="GW150" s="900"/>
      <c r="GX150" s="451"/>
      <c r="GY150" s="451"/>
      <c r="GZ150" s="451"/>
      <c r="HA150" s="451"/>
      <c r="HB150" s="451"/>
      <c r="HC150" s="451"/>
      <c r="HD150" s="186"/>
      <c r="HE150" s="451"/>
      <c r="HF150" s="664"/>
      <c r="HV150" s="186"/>
      <c r="HW150" s="30"/>
      <c r="HX150" s="30"/>
      <c r="HY150" s="30"/>
      <c r="HZ150" s="448"/>
      <c r="IA150" s="448"/>
      <c r="IB150" s="448"/>
      <c r="IC150" s="448"/>
      <c r="ID150" s="448"/>
      <c r="IE150" s="448"/>
      <c r="IF150" s="448"/>
      <c r="IG150" s="448"/>
      <c r="IK150" s="841"/>
      <c r="IL150" s="90"/>
      <c r="IV150" s="660"/>
      <c r="IW150" s="900"/>
      <c r="IX150" s="595"/>
      <c r="IY150" s="900"/>
      <c r="IZ150" s="660"/>
      <c r="JJ150" s="451"/>
      <c r="JK150" s="660"/>
      <c r="JL150" s="660"/>
      <c r="JM150" s="660"/>
    </row>
    <row r="151" spans="1:273" hidden="1">
      <c r="A151" s="451"/>
      <c r="B151" s="451"/>
      <c r="C151" s="91"/>
      <c r="D151" s="69"/>
      <c r="E151" s="455"/>
      <c r="F151" s="455"/>
      <c r="I151" s="90"/>
      <c r="J151" s="90"/>
      <c r="K151" s="90"/>
      <c r="L151" s="90"/>
      <c r="M151" s="90"/>
      <c r="N151" s="90"/>
      <c r="O151" s="90"/>
      <c r="P151" s="96"/>
      <c r="Q151" s="455"/>
      <c r="R151" s="69"/>
      <c r="S151" s="90"/>
      <c r="X151" s="69"/>
      <c r="AM151" s="69"/>
      <c r="BJ151" s="69"/>
      <c r="BU151" s="69"/>
      <c r="BV151" s="90"/>
      <c r="CS151" s="69"/>
      <c r="CT151" s="451"/>
      <c r="CU151" s="451"/>
      <c r="DF151" s="148"/>
      <c r="DG151" s="451"/>
      <c r="DH151" s="451"/>
      <c r="DI151" s="451"/>
      <c r="DJ151" s="451"/>
      <c r="DK151" s="451"/>
      <c r="DL151" s="451"/>
      <c r="DM151" s="451"/>
      <c r="DN151" s="451"/>
      <c r="DO151" s="455"/>
      <c r="DP151" s="69"/>
      <c r="DZ151" s="451"/>
      <c r="EA151" s="451"/>
      <c r="EB151" s="451"/>
      <c r="EC151" s="451"/>
      <c r="ED151" s="451"/>
      <c r="EE151" s="451"/>
      <c r="EF151" s="148"/>
      <c r="EI151" s="451"/>
      <c r="EJ151" s="451"/>
      <c r="EK151" s="451"/>
      <c r="EL151" s="451"/>
      <c r="EM151" s="451"/>
      <c r="EN151" s="451"/>
      <c r="EO151" s="465"/>
      <c r="EP151" s="468"/>
      <c r="EQ151" s="465"/>
      <c r="ER151" s="465"/>
      <c r="ES151" s="465"/>
      <c r="ET151" s="465"/>
      <c r="EU151" s="465"/>
      <c r="EV151" s="465"/>
      <c r="EW151" s="465"/>
      <c r="EX151" s="465"/>
      <c r="EY151" s="465"/>
      <c r="FG151" s="465"/>
      <c r="FH151" s="465"/>
      <c r="FI151" s="465"/>
      <c r="FJ151" s="465"/>
      <c r="FK151" s="451"/>
      <c r="FL151" s="451"/>
      <c r="FM151" s="465"/>
      <c r="FN151" s="465"/>
      <c r="FO151" s="148"/>
      <c r="FP151" s="468"/>
      <c r="FQ151" s="451"/>
      <c r="FR151" s="451"/>
      <c r="FS151" s="451"/>
      <c r="FT151" s="451"/>
      <c r="FU151" s="451"/>
      <c r="FV151" s="451"/>
      <c r="FW151" s="451"/>
      <c r="FX151" s="451"/>
      <c r="FY151" s="451"/>
      <c r="FZ151" s="451"/>
      <c r="GA151" s="451"/>
      <c r="GB151" s="451"/>
      <c r="GC151" s="451"/>
      <c r="GD151" s="451"/>
      <c r="GE151" s="451"/>
      <c r="GF151" s="451"/>
      <c r="GG151" s="451"/>
      <c r="GH151" s="451"/>
      <c r="GI151" s="451"/>
      <c r="GJ151" s="451"/>
      <c r="GK151" s="451"/>
      <c r="GL151" s="451"/>
      <c r="GM151" s="451"/>
      <c r="GN151" s="451"/>
      <c r="GO151" s="451"/>
      <c r="GP151" s="451"/>
      <c r="GQ151" s="148"/>
      <c r="GR151" s="451"/>
      <c r="GS151" s="451"/>
      <c r="GT151" s="451"/>
      <c r="GU151" s="451"/>
      <c r="GV151" s="900"/>
      <c r="GW151" s="900"/>
      <c r="GX151" s="451"/>
      <c r="GY151" s="451"/>
      <c r="GZ151" s="451"/>
      <c r="HA151" s="451"/>
      <c r="HB151" s="451"/>
      <c r="HC151" s="451"/>
      <c r="HD151" s="186"/>
      <c r="HE151" s="451"/>
      <c r="HF151" s="664"/>
      <c r="HV151" s="186"/>
      <c r="HW151" s="30"/>
      <c r="HX151" s="30"/>
      <c r="HY151" s="30"/>
      <c r="HZ151" s="448"/>
      <c r="IA151" s="448"/>
      <c r="IB151" s="448"/>
      <c r="IC151" s="448"/>
      <c r="ID151" s="448"/>
      <c r="IE151" s="448"/>
      <c r="IF151" s="448"/>
      <c r="IG151" s="448"/>
      <c r="IK151" s="841"/>
      <c r="IL151" s="90"/>
      <c r="IV151" s="660"/>
      <c r="IW151" s="900"/>
      <c r="IX151" s="595"/>
      <c r="IY151" s="900"/>
      <c r="IZ151" s="660"/>
      <c r="JJ151" s="451"/>
      <c r="JK151" s="660"/>
      <c r="JL151" s="660"/>
      <c r="JM151" s="660"/>
    </row>
    <row r="152" spans="1:273">
      <c r="A152" s="451">
        <v>1970</v>
      </c>
      <c r="B152" s="451" t="s">
        <v>721</v>
      </c>
      <c r="C152" s="91"/>
      <c r="D152" s="69"/>
      <c r="E152" s="93">
        <f>AVERAGE(E62:E71)</f>
        <v>0.10405292616906572</v>
      </c>
      <c r="F152" s="93"/>
      <c r="I152" s="90"/>
      <c r="J152" s="90"/>
      <c r="K152" s="90"/>
      <c r="L152" s="90"/>
      <c r="M152" s="90"/>
      <c r="N152" s="90"/>
      <c r="O152" s="90"/>
      <c r="P152" s="94">
        <f>AVERAGE(P62:P71)</f>
        <v>2.2799185436148457E-2</v>
      </c>
      <c r="Q152" s="93"/>
      <c r="R152" s="69"/>
      <c r="S152" s="90"/>
      <c r="X152" s="69"/>
      <c r="AM152" s="69"/>
      <c r="BJ152" s="69"/>
      <c r="BU152" s="69"/>
      <c r="BV152" s="90"/>
      <c r="CM152" s="240"/>
      <c r="CN152" s="240"/>
      <c r="CO152" s="240"/>
      <c r="CP152" s="240"/>
      <c r="CQ152" s="240"/>
      <c r="CR152" s="240"/>
      <c r="CS152" s="69"/>
      <c r="CT152" s="451"/>
      <c r="CU152" s="451"/>
      <c r="DF152" s="148"/>
      <c r="DG152" s="451"/>
      <c r="DH152" s="451"/>
      <c r="DI152" s="451"/>
      <c r="DJ152" s="451"/>
      <c r="DK152" s="451"/>
      <c r="DL152" s="451"/>
      <c r="DM152" s="451"/>
      <c r="DN152" s="451"/>
      <c r="DO152" s="455"/>
      <c r="DP152" s="69"/>
      <c r="DZ152" s="451"/>
      <c r="EA152" s="451"/>
      <c r="EB152" s="451"/>
      <c r="EC152" s="451"/>
      <c r="ED152" s="451"/>
      <c r="EE152" s="451"/>
      <c r="EF152" s="148"/>
      <c r="EI152" s="451"/>
      <c r="EJ152" s="451"/>
      <c r="EK152" s="451"/>
      <c r="EL152" s="451"/>
      <c r="EM152" s="451"/>
      <c r="EN152" s="451"/>
      <c r="EO152" s="465"/>
      <c r="EP152" s="468"/>
      <c r="EQ152" s="465"/>
      <c r="ER152" s="465"/>
      <c r="ES152" s="465"/>
      <c r="ET152" s="465"/>
      <c r="EU152" s="465"/>
      <c r="EV152" s="465"/>
      <c r="EW152" s="465"/>
      <c r="EX152" s="465"/>
      <c r="EY152" s="465"/>
      <c r="FG152" s="465"/>
      <c r="FH152" s="465"/>
      <c r="FI152" s="465"/>
      <c r="FJ152" s="465"/>
      <c r="FK152" s="451"/>
      <c r="FL152" s="451"/>
      <c r="FM152" s="465"/>
      <c r="FN152" s="465"/>
      <c r="FO152" s="148"/>
      <c r="FP152" s="468"/>
      <c r="FQ152" s="451"/>
      <c r="FR152" s="451"/>
      <c r="FS152" s="451"/>
      <c r="FT152" s="451"/>
      <c r="FU152" s="451"/>
      <c r="FV152" s="451"/>
      <c r="FW152" s="451"/>
      <c r="FX152" s="451"/>
      <c r="FY152" s="451"/>
      <c r="FZ152" s="451"/>
      <c r="GA152" s="451"/>
      <c r="GB152" s="451"/>
      <c r="GC152" s="451"/>
      <c r="GD152" s="451"/>
      <c r="GE152" s="451"/>
      <c r="GF152" s="451"/>
      <c r="GG152" s="451"/>
      <c r="GH152" s="451"/>
      <c r="GI152" s="451"/>
      <c r="GJ152" s="451"/>
      <c r="GK152" s="451"/>
      <c r="GL152" s="451"/>
      <c r="GM152" s="451"/>
      <c r="GN152" s="451"/>
      <c r="GO152" s="451"/>
      <c r="GP152" s="451"/>
      <c r="GQ152" s="148"/>
      <c r="GR152" s="451"/>
      <c r="GS152" s="451"/>
      <c r="GT152" s="451"/>
      <c r="GU152" s="451"/>
      <c r="GV152" s="900"/>
      <c r="GW152" s="900"/>
      <c r="GX152" s="451"/>
      <c r="GY152" s="451"/>
      <c r="GZ152" s="451"/>
      <c r="HA152" s="451"/>
      <c r="HB152" s="451"/>
      <c r="HC152" s="451"/>
      <c r="HD152" s="186"/>
      <c r="HE152" s="451"/>
      <c r="HF152" s="664"/>
      <c r="HV152" s="186"/>
      <c r="HW152" s="30"/>
      <c r="HX152" s="30"/>
      <c r="HY152" s="30"/>
      <c r="HZ152" s="448"/>
      <c r="IA152" s="448"/>
      <c r="IB152" s="448"/>
      <c r="IC152" s="448"/>
      <c r="ID152" s="448"/>
      <c r="IE152" s="448"/>
      <c r="IF152" s="448"/>
      <c r="IG152" s="448"/>
      <c r="IK152" s="841"/>
      <c r="IL152" s="90"/>
      <c r="IV152" s="660"/>
      <c r="IW152" s="900"/>
      <c r="IX152" s="595"/>
      <c r="IY152" s="900"/>
      <c r="IZ152" s="660"/>
      <c r="JJ152" s="451"/>
      <c r="JK152" s="660"/>
      <c r="JL152" s="660"/>
      <c r="JM152" s="660"/>
    </row>
    <row r="153" spans="1:273" hidden="1">
      <c r="A153" s="451"/>
      <c r="B153" s="451"/>
      <c r="C153" s="91"/>
      <c r="D153" s="69"/>
      <c r="E153" s="455"/>
      <c r="F153" s="455"/>
      <c r="I153" s="90"/>
      <c r="J153" s="90"/>
      <c r="K153" s="90"/>
      <c r="L153" s="90"/>
      <c r="M153" s="90"/>
      <c r="N153" s="90"/>
      <c r="O153" s="90"/>
      <c r="P153" s="96"/>
      <c r="Q153" s="455"/>
      <c r="R153" s="69"/>
      <c r="S153" s="90"/>
      <c r="X153" s="69"/>
      <c r="AM153" s="69"/>
      <c r="BJ153" s="69"/>
      <c r="BU153" s="69"/>
      <c r="BV153" s="90"/>
      <c r="CS153" s="69"/>
      <c r="CT153" s="451"/>
      <c r="CU153" s="451"/>
      <c r="DF153" s="148"/>
      <c r="DG153" s="451"/>
      <c r="DH153" s="451"/>
      <c r="DI153" s="451"/>
      <c r="DJ153" s="451"/>
      <c r="DK153" s="451"/>
      <c r="DL153" s="451"/>
      <c r="DM153" s="451"/>
      <c r="DN153" s="451"/>
      <c r="DO153" s="455"/>
      <c r="DP153" s="69"/>
      <c r="DZ153" s="451"/>
      <c r="EA153" s="451"/>
      <c r="EB153" s="451"/>
      <c r="EC153" s="451"/>
      <c r="ED153" s="451"/>
      <c r="EE153" s="451"/>
      <c r="EF153" s="148"/>
      <c r="EI153" s="451"/>
      <c r="EJ153" s="451"/>
      <c r="EK153" s="451"/>
      <c r="EL153" s="451"/>
      <c r="EM153" s="451"/>
      <c r="EN153" s="451"/>
      <c r="EO153" s="465"/>
      <c r="EP153" s="468"/>
      <c r="EQ153" s="465"/>
      <c r="ER153" s="465"/>
      <c r="ES153" s="465"/>
      <c r="ET153" s="465"/>
      <c r="EU153" s="465"/>
      <c r="EV153" s="465"/>
      <c r="EW153" s="465"/>
      <c r="EX153" s="465"/>
      <c r="EY153" s="465"/>
      <c r="FG153" s="465"/>
      <c r="FH153" s="465"/>
      <c r="FI153" s="465"/>
      <c r="FJ153" s="465"/>
      <c r="FK153" s="451"/>
      <c r="FL153" s="451"/>
      <c r="FM153" s="465"/>
      <c r="FN153" s="465"/>
      <c r="FO153" s="148"/>
      <c r="FP153" s="468"/>
      <c r="FQ153" s="451"/>
      <c r="FR153" s="451"/>
      <c r="FS153" s="451"/>
      <c r="FT153" s="451"/>
      <c r="FU153" s="451"/>
      <c r="FV153" s="451"/>
      <c r="FW153" s="451"/>
      <c r="FX153" s="451"/>
      <c r="FY153" s="451"/>
      <c r="FZ153" s="451"/>
      <c r="GA153" s="451"/>
      <c r="GB153" s="451"/>
      <c r="GC153" s="451"/>
      <c r="GD153" s="451"/>
      <c r="GE153" s="451"/>
      <c r="GF153" s="451"/>
      <c r="GG153" s="451"/>
      <c r="GH153" s="451"/>
      <c r="GI153" s="451"/>
      <c r="GJ153" s="451"/>
      <c r="GK153" s="451"/>
      <c r="GL153" s="451"/>
      <c r="GM153" s="451"/>
      <c r="GN153" s="451"/>
      <c r="GO153" s="451"/>
      <c r="GP153" s="451"/>
      <c r="GQ153" s="148"/>
      <c r="GR153" s="451"/>
      <c r="GS153" s="451"/>
      <c r="GT153" s="451"/>
      <c r="GU153" s="451"/>
      <c r="GV153" s="900"/>
      <c r="GW153" s="900"/>
      <c r="GX153" s="451"/>
      <c r="GY153" s="451"/>
      <c r="GZ153" s="451"/>
      <c r="HA153" s="451"/>
      <c r="HB153" s="451"/>
      <c r="HC153" s="451"/>
      <c r="HD153" s="67"/>
      <c r="HE153" s="451"/>
      <c r="HF153" s="664"/>
      <c r="HV153" s="67"/>
      <c r="IK153" s="841"/>
      <c r="IL153" s="90"/>
      <c r="IV153" s="660"/>
      <c r="IW153" s="900"/>
      <c r="IX153" s="595"/>
      <c r="IY153" s="900"/>
      <c r="IZ153" s="660"/>
      <c r="JJ153" s="451"/>
      <c r="JK153" s="660"/>
      <c r="JL153" s="660"/>
      <c r="JM153" s="660"/>
    </row>
    <row r="154" spans="1:273" hidden="1">
      <c r="A154" s="451"/>
      <c r="B154" s="451"/>
      <c r="C154" s="91"/>
      <c r="D154" s="69"/>
      <c r="E154" s="455"/>
      <c r="F154" s="455"/>
      <c r="I154" s="90"/>
      <c r="J154" s="90"/>
      <c r="K154" s="90"/>
      <c r="L154" s="90"/>
      <c r="M154" s="90"/>
      <c r="N154" s="90"/>
      <c r="O154" s="90"/>
      <c r="P154" s="96"/>
      <c r="Q154" s="455"/>
      <c r="R154" s="69"/>
      <c r="S154" s="90"/>
      <c r="X154" s="69"/>
      <c r="AM154" s="69"/>
      <c r="BJ154" s="69"/>
      <c r="BU154" s="69"/>
      <c r="BV154" s="90"/>
      <c r="CS154" s="69"/>
      <c r="CT154" s="451"/>
      <c r="CU154" s="451"/>
      <c r="DF154" s="148"/>
      <c r="DG154" s="451"/>
      <c r="DH154" s="451"/>
      <c r="DI154" s="451"/>
      <c r="DJ154" s="451"/>
      <c r="DK154" s="451"/>
      <c r="DL154" s="451"/>
      <c r="DM154" s="451"/>
      <c r="DN154" s="451"/>
      <c r="DO154" s="455"/>
      <c r="DP154" s="69"/>
      <c r="DZ154" s="451"/>
      <c r="EA154" s="451"/>
      <c r="EB154" s="451"/>
      <c r="EC154" s="451"/>
      <c r="ED154" s="451"/>
      <c r="EE154" s="451"/>
      <c r="EF154" s="148"/>
      <c r="EI154" s="451"/>
      <c r="EJ154" s="451"/>
      <c r="EK154" s="451"/>
      <c r="EL154" s="451"/>
      <c r="EM154" s="451"/>
      <c r="EN154" s="451"/>
      <c r="EO154" s="465"/>
      <c r="EP154" s="468"/>
      <c r="EQ154" s="465"/>
      <c r="ER154" s="465"/>
      <c r="ES154" s="465"/>
      <c r="ET154" s="465"/>
      <c r="EU154" s="465"/>
      <c r="EV154" s="465"/>
      <c r="EW154" s="465"/>
      <c r="EX154" s="465"/>
      <c r="EY154" s="465"/>
      <c r="FG154" s="465"/>
      <c r="FH154" s="465"/>
      <c r="FI154" s="465"/>
      <c r="FJ154" s="465"/>
      <c r="FK154" s="451"/>
      <c r="FL154" s="451"/>
      <c r="FM154" s="465"/>
      <c r="FN154" s="465"/>
      <c r="FO154" s="148"/>
      <c r="FP154" s="468"/>
      <c r="FQ154" s="451"/>
      <c r="FR154" s="451"/>
      <c r="FS154" s="451"/>
      <c r="FT154" s="451"/>
      <c r="FU154" s="451"/>
      <c r="FV154" s="451"/>
      <c r="FW154" s="451"/>
      <c r="FX154" s="451"/>
      <c r="FY154" s="451"/>
      <c r="FZ154" s="451"/>
      <c r="GA154" s="451"/>
      <c r="GB154" s="451"/>
      <c r="GC154" s="451"/>
      <c r="GD154" s="451"/>
      <c r="GE154" s="451"/>
      <c r="GF154" s="451"/>
      <c r="GG154" s="451"/>
      <c r="GH154" s="451"/>
      <c r="GI154" s="451"/>
      <c r="GJ154" s="451"/>
      <c r="GK154" s="451"/>
      <c r="GL154" s="451"/>
      <c r="GM154" s="451"/>
      <c r="GN154" s="451"/>
      <c r="GO154" s="451"/>
      <c r="GP154" s="451"/>
      <c r="GQ154" s="148"/>
      <c r="GR154" s="451"/>
      <c r="GS154" s="451"/>
      <c r="GT154" s="451"/>
      <c r="GU154" s="451"/>
      <c r="GV154" s="900"/>
      <c r="GW154" s="900"/>
      <c r="GX154" s="451"/>
      <c r="GY154" s="451"/>
      <c r="GZ154" s="451"/>
      <c r="HA154" s="451"/>
      <c r="HB154" s="451"/>
      <c r="HC154" s="451"/>
      <c r="HD154" s="67"/>
      <c r="HE154" s="451"/>
      <c r="HF154" s="664"/>
      <c r="HV154" s="67"/>
      <c r="IK154" s="841"/>
      <c r="IL154" s="90"/>
      <c r="IV154" s="660"/>
      <c r="IW154" s="900"/>
      <c r="IX154" s="595"/>
      <c r="IY154" s="900"/>
      <c r="IZ154" s="660"/>
      <c r="JJ154" s="451"/>
      <c r="JK154" s="660"/>
      <c r="JL154" s="660"/>
      <c r="JM154" s="660"/>
    </row>
    <row r="155" spans="1:273" hidden="1">
      <c r="A155" s="451"/>
      <c r="B155" s="451"/>
      <c r="C155" s="91"/>
      <c r="D155" s="69"/>
      <c r="E155" s="455"/>
      <c r="F155" s="455"/>
      <c r="I155" s="90"/>
      <c r="J155" s="90"/>
      <c r="K155" s="90"/>
      <c r="L155" s="90"/>
      <c r="M155" s="90"/>
      <c r="N155" s="90"/>
      <c r="O155" s="90"/>
      <c r="P155" s="96"/>
      <c r="Q155" s="455"/>
      <c r="R155" s="69"/>
      <c r="S155" s="90"/>
      <c r="X155" s="69"/>
      <c r="AM155" s="69"/>
      <c r="BJ155" s="69"/>
      <c r="BU155" s="69"/>
      <c r="BV155" s="90"/>
      <c r="CS155" s="69"/>
      <c r="CT155" s="451"/>
      <c r="CU155" s="451"/>
      <c r="DF155" s="148"/>
      <c r="DG155" s="451"/>
      <c r="DH155" s="451"/>
      <c r="DI155" s="451"/>
      <c r="DJ155" s="451"/>
      <c r="DK155" s="451"/>
      <c r="DL155" s="451"/>
      <c r="DM155" s="451"/>
      <c r="DN155" s="451"/>
      <c r="DO155" s="455"/>
      <c r="DP155" s="69"/>
      <c r="DZ155" s="451"/>
      <c r="EA155" s="451"/>
      <c r="EB155" s="451"/>
      <c r="EC155" s="451"/>
      <c r="ED155" s="451"/>
      <c r="EE155" s="451"/>
      <c r="EF155" s="148"/>
      <c r="EI155" s="451"/>
      <c r="EJ155" s="451"/>
      <c r="EK155" s="451"/>
      <c r="EL155" s="451"/>
      <c r="EM155" s="451"/>
      <c r="EN155" s="451"/>
      <c r="EO155" s="465"/>
      <c r="EP155" s="468"/>
      <c r="EQ155" s="465"/>
      <c r="ER155" s="465"/>
      <c r="ES155" s="465"/>
      <c r="ET155" s="465"/>
      <c r="EU155" s="465"/>
      <c r="EV155" s="465"/>
      <c r="EW155" s="465"/>
      <c r="EX155" s="465"/>
      <c r="EY155" s="465"/>
      <c r="FG155" s="465"/>
      <c r="FH155" s="465"/>
      <c r="FI155" s="465"/>
      <c r="FJ155" s="465"/>
      <c r="FK155" s="451"/>
      <c r="FL155" s="451"/>
      <c r="FM155" s="465"/>
      <c r="FN155" s="465"/>
      <c r="FO155" s="148"/>
      <c r="FP155" s="468"/>
      <c r="FQ155" s="451"/>
      <c r="FR155" s="451"/>
      <c r="FS155" s="451"/>
      <c r="FT155" s="451"/>
      <c r="FU155" s="451"/>
      <c r="FV155" s="451"/>
      <c r="FW155" s="451"/>
      <c r="FX155" s="451"/>
      <c r="FY155" s="451"/>
      <c r="FZ155" s="451"/>
      <c r="GA155" s="451"/>
      <c r="GB155" s="451"/>
      <c r="GC155" s="451"/>
      <c r="GD155" s="451"/>
      <c r="GE155" s="451"/>
      <c r="GF155" s="451"/>
      <c r="GG155" s="451"/>
      <c r="GH155" s="451"/>
      <c r="GI155" s="451"/>
      <c r="GJ155" s="451"/>
      <c r="GK155" s="451"/>
      <c r="GL155" s="451"/>
      <c r="GM155" s="451"/>
      <c r="GN155" s="451"/>
      <c r="GO155" s="451"/>
      <c r="GP155" s="451"/>
      <c r="GQ155" s="148"/>
      <c r="GR155" s="451"/>
      <c r="GS155" s="451"/>
      <c r="GT155" s="451"/>
      <c r="GU155" s="451"/>
      <c r="GV155" s="900"/>
      <c r="GW155" s="900"/>
      <c r="GX155" s="451"/>
      <c r="GY155" s="451"/>
      <c r="GZ155" s="451"/>
      <c r="HA155" s="451"/>
      <c r="HB155" s="451"/>
      <c r="HC155" s="451"/>
      <c r="HD155" s="67"/>
      <c r="HE155" s="451"/>
      <c r="HF155" s="664"/>
      <c r="HV155" s="67"/>
      <c r="IK155" s="841"/>
      <c r="IL155" s="90"/>
      <c r="IV155" s="660"/>
      <c r="IW155" s="900"/>
      <c r="IX155" s="595"/>
      <c r="IY155" s="900"/>
      <c r="IZ155" s="660"/>
      <c r="JJ155" s="451"/>
      <c r="JK155" s="660"/>
      <c r="JL155" s="660"/>
      <c r="JM155" s="660"/>
    </row>
    <row r="156" spans="1:273" hidden="1">
      <c r="A156" s="451"/>
      <c r="B156" s="451"/>
      <c r="C156" s="91"/>
      <c r="D156" s="69"/>
      <c r="E156" s="455"/>
      <c r="F156" s="455"/>
      <c r="I156" s="90"/>
      <c r="J156" s="90"/>
      <c r="K156" s="90"/>
      <c r="L156" s="90"/>
      <c r="M156" s="90"/>
      <c r="N156" s="90"/>
      <c r="O156" s="90"/>
      <c r="P156" s="96"/>
      <c r="Q156" s="455"/>
      <c r="R156" s="69"/>
      <c r="S156" s="90"/>
      <c r="X156" s="69"/>
      <c r="AM156" s="69"/>
      <c r="BJ156" s="69"/>
      <c r="BU156" s="69"/>
      <c r="BV156" s="90"/>
      <c r="CS156" s="69"/>
      <c r="CT156" s="451"/>
      <c r="CU156" s="451"/>
      <c r="DF156" s="148"/>
      <c r="DG156" s="451"/>
      <c r="DH156" s="451"/>
      <c r="DI156" s="451"/>
      <c r="DJ156" s="451"/>
      <c r="DK156" s="451"/>
      <c r="DL156" s="451"/>
      <c r="DM156" s="451"/>
      <c r="DN156" s="451"/>
      <c r="DO156" s="455"/>
      <c r="DP156" s="69"/>
      <c r="DZ156" s="451"/>
      <c r="EA156" s="451"/>
      <c r="EB156" s="451"/>
      <c r="EC156" s="451"/>
      <c r="ED156" s="451"/>
      <c r="EE156" s="451"/>
      <c r="EF156" s="148"/>
      <c r="EI156" s="451"/>
      <c r="EJ156" s="451"/>
      <c r="EK156" s="451"/>
      <c r="EL156" s="451"/>
      <c r="EM156" s="451"/>
      <c r="EN156" s="451"/>
      <c r="EO156" s="465"/>
      <c r="EP156" s="468"/>
      <c r="EQ156" s="465"/>
      <c r="ER156" s="465"/>
      <c r="ES156" s="465"/>
      <c r="ET156" s="465"/>
      <c r="EU156" s="465"/>
      <c r="EV156" s="465"/>
      <c r="EW156" s="465"/>
      <c r="EX156" s="465"/>
      <c r="EY156" s="465"/>
      <c r="FG156" s="465"/>
      <c r="FH156" s="465"/>
      <c r="FI156" s="465"/>
      <c r="FJ156" s="465"/>
      <c r="FK156" s="451"/>
      <c r="FL156" s="451"/>
      <c r="FM156" s="465"/>
      <c r="FN156" s="465"/>
      <c r="FO156" s="148"/>
      <c r="FP156" s="468"/>
      <c r="FQ156" s="451"/>
      <c r="FR156" s="451"/>
      <c r="FS156" s="451"/>
      <c r="FT156" s="451"/>
      <c r="FU156" s="451"/>
      <c r="FV156" s="451"/>
      <c r="FW156" s="451"/>
      <c r="FX156" s="451"/>
      <c r="FY156" s="451"/>
      <c r="FZ156" s="451"/>
      <c r="GA156" s="451"/>
      <c r="GB156" s="451"/>
      <c r="GC156" s="451"/>
      <c r="GD156" s="451"/>
      <c r="GE156" s="451"/>
      <c r="GF156" s="451"/>
      <c r="GG156" s="451"/>
      <c r="GH156" s="451"/>
      <c r="GI156" s="451"/>
      <c r="GJ156" s="451"/>
      <c r="GK156" s="451"/>
      <c r="GL156" s="451"/>
      <c r="GM156" s="451"/>
      <c r="GN156" s="451"/>
      <c r="GO156" s="451"/>
      <c r="GP156" s="451"/>
      <c r="GQ156" s="148"/>
      <c r="GR156" s="451"/>
      <c r="GS156" s="451"/>
      <c r="GT156" s="451"/>
      <c r="GU156" s="451"/>
      <c r="GV156" s="900"/>
      <c r="GW156" s="900"/>
      <c r="GX156" s="451"/>
      <c r="GY156" s="451"/>
      <c r="GZ156" s="451"/>
      <c r="HA156" s="451"/>
      <c r="HB156" s="451"/>
      <c r="HC156" s="451"/>
      <c r="HD156" s="67"/>
      <c r="HE156" s="451"/>
      <c r="HF156" s="664"/>
      <c r="HV156" s="67"/>
      <c r="IK156" s="841"/>
      <c r="IL156" s="90"/>
      <c r="IV156" s="660"/>
      <c r="IW156" s="900"/>
      <c r="IX156" s="595"/>
      <c r="IY156" s="900"/>
      <c r="IZ156" s="660"/>
      <c r="JJ156" s="451"/>
      <c r="JK156" s="660"/>
      <c r="JL156" s="660"/>
      <c r="JM156" s="660"/>
    </row>
    <row r="157" spans="1:273" hidden="1">
      <c r="A157" s="451"/>
      <c r="B157" s="451"/>
      <c r="C157" s="91"/>
      <c r="D157" s="69"/>
      <c r="E157" s="455"/>
      <c r="F157" s="455"/>
      <c r="I157" s="90"/>
      <c r="J157" s="90"/>
      <c r="K157" s="90"/>
      <c r="L157" s="90"/>
      <c r="M157" s="90"/>
      <c r="N157" s="90"/>
      <c r="O157" s="90"/>
      <c r="P157" s="96"/>
      <c r="Q157" s="455"/>
      <c r="R157" s="69"/>
      <c r="S157" s="90"/>
      <c r="X157" s="69"/>
      <c r="AM157" s="69"/>
      <c r="BJ157" s="69"/>
      <c r="BU157" s="69"/>
      <c r="BV157" s="90"/>
      <c r="CS157" s="69"/>
      <c r="CT157" s="451"/>
      <c r="CU157" s="451"/>
      <c r="DF157" s="148"/>
      <c r="DG157" s="451"/>
      <c r="DH157" s="451"/>
      <c r="DI157" s="451"/>
      <c r="DJ157" s="451"/>
      <c r="DK157" s="451"/>
      <c r="DL157" s="451"/>
      <c r="DM157" s="451"/>
      <c r="DN157" s="451"/>
      <c r="DO157" s="455"/>
      <c r="DP157" s="69"/>
      <c r="DZ157" s="451"/>
      <c r="EA157" s="451"/>
      <c r="EB157" s="451"/>
      <c r="EC157" s="451"/>
      <c r="ED157" s="451"/>
      <c r="EE157" s="451"/>
      <c r="EF157" s="148"/>
      <c r="EI157" s="451"/>
      <c r="EJ157" s="451"/>
      <c r="EK157" s="451"/>
      <c r="EL157" s="451"/>
      <c r="EM157" s="451"/>
      <c r="EN157" s="451"/>
      <c r="EO157" s="465"/>
      <c r="EP157" s="468"/>
      <c r="EQ157" s="465"/>
      <c r="ER157" s="465"/>
      <c r="ES157" s="465"/>
      <c r="ET157" s="465"/>
      <c r="EU157" s="465"/>
      <c r="EV157" s="465"/>
      <c r="EW157" s="465"/>
      <c r="EX157" s="465"/>
      <c r="EY157" s="465"/>
      <c r="FG157" s="465"/>
      <c r="FH157" s="465"/>
      <c r="FI157" s="465"/>
      <c r="FJ157" s="465"/>
      <c r="FK157" s="451"/>
      <c r="FL157" s="451"/>
      <c r="FM157" s="465"/>
      <c r="FN157" s="465"/>
      <c r="FO157" s="148"/>
      <c r="FP157" s="468"/>
      <c r="FQ157" s="451"/>
      <c r="FR157" s="451"/>
      <c r="FS157" s="451"/>
      <c r="FT157" s="451"/>
      <c r="FU157" s="451"/>
      <c r="FV157" s="451"/>
      <c r="FW157" s="451"/>
      <c r="FX157" s="451"/>
      <c r="FY157" s="451"/>
      <c r="FZ157" s="451"/>
      <c r="GA157" s="451"/>
      <c r="GB157" s="451"/>
      <c r="GC157" s="451"/>
      <c r="GD157" s="451"/>
      <c r="GE157" s="451"/>
      <c r="GF157" s="451"/>
      <c r="GG157" s="451"/>
      <c r="GH157" s="451"/>
      <c r="GI157" s="451"/>
      <c r="GJ157" s="451"/>
      <c r="GK157" s="451"/>
      <c r="GL157" s="451"/>
      <c r="GM157" s="451"/>
      <c r="GN157" s="451"/>
      <c r="GO157" s="451"/>
      <c r="GP157" s="451"/>
      <c r="GQ157" s="148"/>
      <c r="GR157" s="451"/>
      <c r="GS157" s="451"/>
      <c r="GT157" s="451"/>
      <c r="GU157" s="451"/>
      <c r="GV157" s="900"/>
      <c r="GW157" s="900"/>
      <c r="GX157" s="451"/>
      <c r="GY157" s="451"/>
      <c r="GZ157" s="451"/>
      <c r="HA157" s="451"/>
      <c r="HB157" s="451"/>
      <c r="HC157" s="451"/>
      <c r="HD157" s="67"/>
      <c r="HE157" s="451"/>
      <c r="HF157" s="664"/>
      <c r="HV157" s="67"/>
      <c r="IK157" s="841"/>
      <c r="IL157" s="90"/>
      <c r="IV157" s="660"/>
      <c r="IW157" s="900"/>
      <c r="IX157" s="595"/>
      <c r="IY157" s="900"/>
      <c r="IZ157" s="660"/>
      <c r="JJ157" s="451"/>
      <c r="JK157" s="660"/>
      <c r="JL157" s="660"/>
      <c r="JM157" s="660"/>
    </row>
    <row r="158" spans="1:273" hidden="1">
      <c r="A158" s="451"/>
      <c r="B158" s="451"/>
      <c r="C158" s="91"/>
      <c r="D158" s="69"/>
      <c r="E158" s="455"/>
      <c r="F158" s="455"/>
      <c r="I158" s="90"/>
      <c r="J158" s="90"/>
      <c r="K158" s="90"/>
      <c r="L158" s="90"/>
      <c r="M158" s="90"/>
      <c r="N158" s="90"/>
      <c r="O158" s="90"/>
      <c r="P158" s="96"/>
      <c r="Q158" s="455"/>
      <c r="R158" s="69"/>
      <c r="S158" s="90"/>
      <c r="X158" s="69"/>
      <c r="AM158" s="69"/>
      <c r="BJ158" s="69"/>
      <c r="BU158" s="69"/>
      <c r="BV158" s="90"/>
      <c r="CS158" s="69"/>
      <c r="CT158" s="451"/>
      <c r="CU158" s="451"/>
      <c r="DF158" s="148"/>
      <c r="DG158" s="451"/>
      <c r="DH158" s="451"/>
      <c r="DI158" s="451"/>
      <c r="DJ158" s="451"/>
      <c r="DK158" s="451"/>
      <c r="DL158" s="451"/>
      <c r="DM158" s="451"/>
      <c r="DN158" s="451"/>
      <c r="DO158" s="455"/>
      <c r="DP158" s="69"/>
      <c r="DZ158" s="451"/>
      <c r="EA158" s="451"/>
      <c r="EB158" s="451"/>
      <c r="EC158" s="451"/>
      <c r="ED158" s="451"/>
      <c r="EE158" s="451"/>
      <c r="EF158" s="148"/>
      <c r="EI158" s="451"/>
      <c r="EJ158" s="451"/>
      <c r="EK158" s="451"/>
      <c r="EL158" s="451"/>
      <c r="EM158" s="451"/>
      <c r="EN158" s="451"/>
      <c r="EO158" s="465"/>
      <c r="EP158" s="468"/>
      <c r="EQ158" s="465"/>
      <c r="ER158" s="465"/>
      <c r="ES158" s="465"/>
      <c r="ET158" s="465"/>
      <c r="EU158" s="465"/>
      <c r="EV158" s="465"/>
      <c r="EW158" s="465"/>
      <c r="EX158" s="465"/>
      <c r="EY158" s="465"/>
      <c r="FG158" s="465"/>
      <c r="FH158" s="465"/>
      <c r="FI158" s="465"/>
      <c r="FJ158" s="465"/>
      <c r="FK158" s="451"/>
      <c r="FL158" s="451"/>
      <c r="FM158" s="465"/>
      <c r="FN158" s="465"/>
      <c r="FO158" s="148"/>
      <c r="FP158" s="468"/>
      <c r="FQ158" s="451"/>
      <c r="FR158" s="451"/>
      <c r="FS158" s="451"/>
      <c r="FT158" s="451"/>
      <c r="FU158" s="451"/>
      <c r="FV158" s="451"/>
      <c r="FW158" s="451"/>
      <c r="FX158" s="451"/>
      <c r="FY158" s="451"/>
      <c r="FZ158" s="451"/>
      <c r="GA158" s="451"/>
      <c r="GB158" s="451"/>
      <c r="GC158" s="451"/>
      <c r="GD158" s="451"/>
      <c r="GE158" s="451"/>
      <c r="GF158" s="451"/>
      <c r="GG158" s="451"/>
      <c r="GH158" s="451"/>
      <c r="GI158" s="451"/>
      <c r="GJ158" s="451"/>
      <c r="GK158" s="451"/>
      <c r="GL158" s="451"/>
      <c r="GM158" s="451"/>
      <c r="GN158" s="451"/>
      <c r="GO158" s="451"/>
      <c r="GP158" s="451"/>
      <c r="GQ158" s="148"/>
      <c r="GR158" s="451"/>
      <c r="GS158" s="451"/>
      <c r="GT158" s="451"/>
      <c r="GU158" s="451"/>
      <c r="GV158" s="900"/>
      <c r="GW158" s="900"/>
      <c r="GX158" s="451"/>
      <c r="GY158" s="451"/>
      <c r="GZ158" s="451"/>
      <c r="HA158" s="451"/>
      <c r="HB158" s="451"/>
      <c r="HC158" s="451"/>
      <c r="HD158" s="67"/>
      <c r="HE158" s="451"/>
      <c r="HF158" s="664"/>
      <c r="HV158" s="67"/>
      <c r="IK158" s="841"/>
      <c r="IL158" s="90"/>
      <c r="IV158" s="660"/>
      <c r="IW158" s="900"/>
      <c r="IX158" s="595"/>
      <c r="IY158" s="900"/>
      <c r="IZ158" s="660"/>
      <c r="JJ158" s="451"/>
      <c r="JK158" s="660"/>
      <c r="JL158" s="660"/>
      <c r="JM158" s="660"/>
    </row>
    <row r="159" spans="1:273" hidden="1">
      <c r="A159" s="451"/>
      <c r="B159" s="451"/>
      <c r="C159" s="91"/>
      <c r="D159" s="69"/>
      <c r="E159" s="455"/>
      <c r="F159" s="455"/>
      <c r="I159" s="90"/>
      <c r="J159" s="90"/>
      <c r="K159" s="90"/>
      <c r="L159" s="90"/>
      <c r="M159" s="90"/>
      <c r="N159" s="90"/>
      <c r="O159" s="90"/>
      <c r="P159" s="96"/>
      <c r="Q159" s="455"/>
      <c r="R159" s="69"/>
      <c r="S159" s="90"/>
      <c r="X159" s="69"/>
      <c r="AM159" s="69"/>
      <c r="BJ159" s="69"/>
      <c r="BU159" s="69"/>
      <c r="BV159" s="90"/>
      <c r="CS159" s="69"/>
      <c r="CT159" s="451"/>
      <c r="CU159" s="451"/>
      <c r="DF159" s="148"/>
      <c r="DG159" s="451"/>
      <c r="DH159" s="451"/>
      <c r="DI159" s="451"/>
      <c r="DJ159" s="451"/>
      <c r="DK159" s="451"/>
      <c r="DL159" s="451"/>
      <c r="DM159" s="451"/>
      <c r="DN159" s="451"/>
      <c r="DO159" s="455"/>
      <c r="DP159" s="69"/>
      <c r="DZ159" s="451"/>
      <c r="EA159" s="451"/>
      <c r="EB159" s="451"/>
      <c r="EC159" s="451"/>
      <c r="ED159" s="451"/>
      <c r="EE159" s="451"/>
      <c r="EF159" s="148"/>
      <c r="EI159" s="451"/>
      <c r="EJ159" s="451"/>
      <c r="EK159" s="451"/>
      <c r="EL159" s="451"/>
      <c r="EM159" s="451"/>
      <c r="EN159" s="451"/>
      <c r="EO159" s="465"/>
      <c r="EP159" s="468"/>
      <c r="EQ159" s="465"/>
      <c r="ER159" s="465"/>
      <c r="ES159" s="465"/>
      <c r="ET159" s="465"/>
      <c r="EU159" s="465"/>
      <c r="EV159" s="465"/>
      <c r="EW159" s="465"/>
      <c r="EX159" s="465"/>
      <c r="EY159" s="465"/>
      <c r="FG159" s="465"/>
      <c r="FH159" s="465"/>
      <c r="FI159" s="465"/>
      <c r="FJ159" s="465"/>
      <c r="FK159" s="451"/>
      <c r="FL159" s="451"/>
      <c r="FM159" s="465"/>
      <c r="FN159" s="465"/>
      <c r="FO159" s="148"/>
      <c r="FP159" s="468"/>
      <c r="FQ159" s="451"/>
      <c r="FR159" s="451"/>
      <c r="FS159" s="451"/>
      <c r="FT159" s="451"/>
      <c r="FU159" s="451"/>
      <c r="FV159" s="451"/>
      <c r="FW159" s="451"/>
      <c r="FX159" s="451"/>
      <c r="FY159" s="451"/>
      <c r="FZ159" s="451"/>
      <c r="GA159" s="451"/>
      <c r="GB159" s="451"/>
      <c r="GC159" s="451"/>
      <c r="GD159" s="451"/>
      <c r="GE159" s="451"/>
      <c r="GF159" s="451"/>
      <c r="GG159" s="451"/>
      <c r="GH159" s="451"/>
      <c r="GI159" s="451"/>
      <c r="GJ159" s="451"/>
      <c r="GK159" s="451"/>
      <c r="GL159" s="451"/>
      <c r="GM159" s="451"/>
      <c r="GN159" s="451"/>
      <c r="GO159" s="451"/>
      <c r="GP159" s="451"/>
      <c r="GQ159" s="148"/>
      <c r="GR159" s="451"/>
      <c r="GS159" s="451"/>
      <c r="GT159" s="451"/>
      <c r="GU159" s="451"/>
      <c r="GV159" s="900"/>
      <c r="GW159" s="900"/>
      <c r="GX159" s="451"/>
      <c r="GY159" s="451"/>
      <c r="GZ159" s="451"/>
      <c r="HA159" s="451"/>
      <c r="HB159" s="451"/>
      <c r="HC159" s="451"/>
      <c r="HD159" s="67"/>
      <c r="HE159" s="451"/>
      <c r="HF159" s="664"/>
      <c r="HV159" s="67"/>
      <c r="IK159" s="841"/>
      <c r="IL159" s="90"/>
      <c r="IV159" s="660"/>
      <c r="IW159" s="900"/>
      <c r="IX159" s="595"/>
      <c r="IY159" s="900"/>
      <c r="IZ159" s="660"/>
      <c r="JJ159" s="451"/>
      <c r="JK159" s="660"/>
      <c r="JL159" s="660"/>
      <c r="JM159" s="660"/>
    </row>
    <row r="160" spans="1:273" hidden="1">
      <c r="A160" s="451"/>
      <c r="B160" s="451"/>
      <c r="C160" s="91"/>
      <c r="D160" s="69"/>
      <c r="E160" s="455"/>
      <c r="F160" s="455"/>
      <c r="I160" s="90"/>
      <c r="J160" s="90"/>
      <c r="K160" s="90"/>
      <c r="L160" s="90"/>
      <c r="M160" s="90"/>
      <c r="N160" s="90"/>
      <c r="O160" s="90"/>
      <c r="P160" s="96"/>
      <c r="Q160" s="455"/>
      <c r="R160" s="69"/>
      <c r="S160" s="90"/>
      <c r="X160" s="69"/>
      <c r="AM160" s="69"/>
      <c r="BJ160" s="69"/>
      <c r="BU160" s="69"/>
      <c r="BV160" s="90"/>
      <c r="CS160" s="69"/>
      <c r="CT160" s="451"/>
      <c r="CU160" s="451"/>
      <c r="DF160" s="148"/>
      <c r="DG160" s="451"/>
      <c r="DH160" s="451"/>
      <c r="DI160" s="451"/>
      <c r="DJ160" s="451"/>
      <c r="DK160" s="451"/>
      <c r="DL160" s="451"/>
      <c r="DM160" s="451"/>
      <c r="DN160" s="451"/>
      <c r="DO160" s="455"/>
      <c r="DP160" s="69"/>
      <c r="DZ160" s="451"/>
      <c r="EA160" s="451"/>
      <c r="EB160" s="451"/>
      <c r="EC160" s="451"/>
      <c r="ED160" s="451"/>
      <c r="EE160" s="451"/>
      <c r="EF160" s="148"/>
      <c r="EI160" s="451"/>
      <c r="EJ160" s="451"/>
      <c r="EK160" s="451"/>
      <c r="EL160" s="451"/>
      <c r="EM160" s="451"/>
      <c r="EN160" s="451"/>
      <c r="EO160" s="465"/>
      <c r="EP160" s="468"/>
      <c r="EQ160" s="465"/>
      <c r="ER160" s="465"/>
      <c r="ES160" s="465"/>
      <c r="ET160" s="465"/>
      <c r="EU160" s="465"/>
      <c r="EV160" s="465"/>
      <c r="EW160" s="465"/>
      <c r="EX160" s="465"/>
      <c r="EY160" s="465"/>
      <c r="FG160" s="465"/>
      <c r="FH160" s="465"/>
      <c r="FI160" s="465"/>
      <c r="FJ160" s="465"/>
      <c r="FK160" s="451"/>
      <c r="FL160" s="451"/>
      <c r="FM160" s="465"/>
      <c r="FN160" s="465"/>
      <c r="FO160" s="148"/>
      <c r="FP160" s="468"/>
      <c r="FQ160" s="451"/>
      <c r="FR160" s="451"/>
      <c r="FS160" s="451"/>
      <c r="FT160" s="451"/>
      <c r="FU160" s="451"/>
      <c r="FV160" s="451"/>
      <c r="FW160" s="451"/>
      <c r="FX160" s="451"/>
      <c r="FY160" s="451"/>
      <c r="FZ160" s="451"/>
      <c r="GA160" s="451"/>
      <c r="GB160" s="451"/>
      <c r="GC160" s="451"/>
      <c r="GD160" s="451"/>
      <c r="GE160" s="451"/>
      <c r="GF160" s="451"/>
      <c r="GG160" s="451"/>
      <c r="GH160" s="451"/>
      <c r="GI160" s="451"/>
      <c r="GJ160" s="451"/>
      <c r="GK160" s="451"/>
      <c r="GL160" s="451"/>
      <c r="GM160" s="451"/>
      <c r="GN160" s="451"/>
      <c r="GO160" s="451"/>
      <c r="GP160" s="451"/>
      <c r="GQ160" s="148"/>
      <c r="GR160" s="451"/>
      <c r="GS160" s="451"/>
      <c r="GT160" s="451"/>
      <c r="GU160" s="451"/>
      <c r="GV160" s="900"/>
      <c r="GW160" s="900"/>
      <c r="GX160" s="451"/>
      <c r="GY160" s="451"/>
      <c r="GZ160" s="451"/>
      <c r="HA160" s="451"/>
      <c r="HB160" s="451"/>
      <c r="HC160" s="451"/>
      <c r="HD160" s="67"/>
      <c r="HE160" s="451"/>
      <c r="HF160" s="664"/>
      <c r="HV160" s="67"/>
      <c r="IK160" s="841"/>
      <c r="IL160" s="90"/>
      <c r="IV160" s="660"/>
      <c r="IW160" s="900"/>
      <c r="IX160" s="595"/>
      <c r="IY160" s="900"/>
      <c r="IZ160" s="660"/>
      <c r="JJ160" s="451"/>
      <c r="JK160" s="660"/>
      <c r="JL160" s="660"/>
      <c r="JM160" s="660"/>
    </row>
    <row r="161" spans="1:273" hidden="1">
      <c r="A161" s="451"/>
      <c r="B161" s="451"/>
      <c r="C161" s="91"/>
      <c r="D161" s="69"/>
      <c r="E161" s="455"/>
      <c r="F161" s="455"/>
      <c r="I161" s="90"/>
      <c r="J161" s="90"/>
      <c r="K161" s="90"/>
      <c r="L161" s="90"/>
      <c r="M161" s="90"/>
      <c r="N161" s="90"/>
      <c r="O161" s="90"/>
      <c r="P161" s="96"/>
      <c r="Q161" s="455"/>
      <c r="R161" s="69"/>
      <c r="S161" s="90"/>
      <c r="X161" s="69"/>
      <c r="AM161" s="69"/>
      <c r="BJ161" s="69"/>
      <c r="BU161" s="69"/>
      <c r="BV161" s="90"/>
      <c r="CS161" s="69"/>
      <c r="CT161" s="451"/>
      <c r="CU161" s="451"/>
      <c r="DF161" s="148"/>
      <c r="DG161" s="451"/>
      <c r="DH161" s="451"/>
      <c r="DI161" s="451"/>
      <c r="DJ161" s="451"/>
      <c r="DK161" s="451"/>
      <c r="DL161" s="451"/>
      <c r="DM161" s="451"/>
      <c r="DN161" s="451"/>
      <c r="DO161" s="455"/>
      <c r="DP161" s="69"/>
      <c r="DZ161" s="451"/>
      <c r="EA161" s="451"/>
      <c r="EB161" s="451"/>
      <c r="EC161" s="451"/>
      <c r="ED161" s="451"/>
      <c r="EE161" s="451"/>
      <c r="EF161" s="148"/>
      <c r="EI161" s="451"/>
      <c r="EJ161" s="451"/>
      <c r="EK161" s="451"/>
      <c r="EL161" s="451"/>
      <c r="EM161" s="451"/>
      <c r="EN161" s="451"/>
      <c r="EO161" s="465"/>
      <c r="EP161" s="468"/>
      <c r="EQ161" s="465"/>
      <c r="ER161" s="465"/>
      <c r="ES161" s="465"/>
      <c r="ET161" s="465"/>
      <c r="EU161" s="465"/>
      <c r="EV161" s="465"/>
      <c r="EW161" s="465"/>
      <c r="EX161" s="465"/>
      <c r="EY161" s="465"/>
      <c r="FG161" s="465"/>
      <c r="FH161" s="465"/>
      <c r="FI161" s="465"/>
      <c r="FJ161" s="465"/>
      <c r="FK161" s="451"/>
      <c r="FL161" s="451"/>
      <c r="FM161" s="465"/>
      <c r="FN161" s="465"/>
      <c r="FO161" s="148"/>
      <c r="FP161" s="468"/>
      <c r="FQ161" s="451"/>
      <c r="FR161" s="451"/>
      <c r="FS161" s="451"/>
      <c r="FT161" s="451"/>
      <c r="FU161" s="451"/>
      <c r="FV161" s="451"/>
      <c r="FW161" s="451"/>
      <c r="FX161" s="451"/>
      <c r="FY161" s="451"/>
      <c r="FZ161" s="451"/>
      <c r="GA161" s="451"/>
      <c r="GB161" s="451"/>
      <c r="GC161" s="451"/>
      <c r="GD161" s="451"/>
      <c r="GE161" s="451"/>
      <c r="GF161" s="451"/>
      <c r="GG161" s="451"/>
      <c r="GH161" s="451"/>
      <c r="GI161" s="451"/>
      <c r="GJ161" s="451"/>
      <c r="GK161" s="451"/>
      <c r="GL161" s="451"/>
      <c r="GM161" s="451"/>
      <c r="GN161" s="451"/>
      <c r="GO161" s="451"/>
      <c r="GP161" s="451"/>
      <c r="GQ161" s="148"/>
      <c r="GR161" s="451"/>
      <c r="GS161" s="451"/>
      <c r="GT161" s="451"/>
      <c r="GU161" s="451"/>
      <c r="GV161" s="900"/>
      <c r="GW161" s="900"/>
      <c r="GX161" s="451"/>
      <c r="GY161" s="451"/>
      <c r="GZ161" s="451"/>
      <c r="HA161" s="451"/>
      <c r="HB161" s="451"/>
      <c r="HC161" s="451"/>
      <c r="HD161" s="67"/>
      <c r="HE161" s="451"/>
      <c r="HF161" s="664"/>
      <c r="HV161" s="67"/>
      <c r="IK161" s="841"/>
      <c r="IL161" s="90"/>
      <c r="IV161" s="660"/>
      <c r="IW161" s="900"/>
      <c r="IX161" s="595"/>
      <c r="IY161" s="900"/>
      <c r="IZ161" s="660"/>
      <c r="JJ161" s="451"/>
      <c r="JK161" s="660"/>
      <c r="JL161" s="660"/>
      <c r="JM161" s="660"/>
    </row>
    <row r="162" spans="1:273">
      <c r="A162" s="451">
        <v>1980</v>
      </c>
      <c r="B162" s="451" t="s">
        <v>1201</v>
      </c>
      <c r="C162" s="91"/>
      <c r="D162" s="69"/>
      <c r="E162" s="93">
        <f>AVERAGE(E72:E81)</f>
        <v>9.0185652028122523E-2</v>
      </c>
      <c r="F162" s="93"/>
      <c r="I162" s="90"/>
      <c r="J162" s="90"/>
      <c r="K162" s="90"/>
      <c r="L162" s="90"/>
      <c r="M162" s="90"/>
      <c r="N162" s="90"/>
      <c r="O162" s="90"/>
      <c r="P162" s="94">
        <f>AVERAGE(P72:P81)</f>
        <v>2.7694327746979375E-2</v>
      </c>
      <c r="Q162" s="93"/>
      <c r="R162" s="69"/>
      <c r="S162" s="90"/>
      <c r="X162" s="69"/>
      <c r="AM162" s="69"/>
      <c r="BJ162" s="69"/>
      <c r="BU162" s="69"/>
      <c r="BV162" s="90"/>
      <c r="CM162" s="240">
        <f>AVERAGE(CM72:CM81)</f>
        <v>1.299574968929235E-2</v>
      </c>
      <c r="CN162" s="240">
        <f>AVERAGE(CN72:CN81)</f>
        <v>1.2734355292673669E-2</v>
      </c>
      <c r="CO162" s="240">
        <f>AVERAGE(CO72:CO81)</f>
        <v>1.1444867689646473E-3</v>
      </c>
      <c r="CP162" s="240"/>
      <c r="CQ162" s="240"/>
      <c r="CR162" s="240">
        <f>AVERAGE(CR72:CR81)</f>
        <v>1.179939620360801E-3</v>
      </c>
      <c r="CS162" s="69"/>
      <c r="CT162" s="451"/>
      <c r="CU162" s="451"/>
      <c r="DF162" s="148"/>
      <c r="DG162" s="451"/>
      <c r="DH162" s="451"/>
      <c r="DI162" s="451"/>
      <c r="DJ162" s="451"/>
      <c r="DK162" s="451"/>
      <c r="DL162" s="451"/>
      <c r="DM162" s="451"/>
      <c r="DN162" s="451"/>
      <c r="DO162" s="455"/>
      <c r="DP162" s="69"/>
      <c r="DZ162" s="451"/>
      <c r="EA162" s="451"/>
      <c r="EB162" s="451"/>
      <c r="EC162" s="451"/>
      <c r="ED162" s="451"/>
      <c r="EE162" s="451"/>
      <c r="EF162" s="148"/>
      <c r="EI162" s="451"/>
      <c r="EJ162" s="451"/>
      <c r="EK162" s="451"/>
      <c r="EL162" s="451"/>
      <c r="EM162" s="451"/>
      <c r="EN162" s="451"/>
      <c r="EO162" s="465"/>
      <c r="EP162" s="468"/>
      <c r="EQ162" s="465"/>
      <c r="ER162" s="465"/>
      <c r="ES162" s="465"/>
      <c r="ET162" s="465"/>
      <c r="EU162" s="465"/>
      <c r="EV162" s="465"/>
      <c r="EW162" s="465"/>
      <c r="EX162" s="465"/>
      <c r="EY162" s="465"/>
      <c r="FG162" s="465"/>
      <c r="FH162" s="465"/>
      <c r="FI162" s="465"/>
      <c r="FJ162" s="465"/>
      <c r="FK162" s="451"/>
      <c r="FL162" s="451"/>
      <c r="FM162" s="465"/>
      <c r="FN162" s="465"/>
      <c r="FO162" s="148"/>
      <c r="FP162" s="468"/>
      <c r="FQ162" s="451"/>
      <c r="FR162" s="451"/>
      <c r="FS162" s="451"/>
      <c r="FT162" s="451"/>
      <c r="FU162" s="451"/>
      <c r="FV162" s="451"/>
      <c r="FW162" s="451"/>
      <c r="FX162" s="451"/>
      <c r="FY162" s="451"/>
      <c r="FZ162" s="451"/>
      <c r="GA162" s="451"/>
      <c r="GB162" s="451"/>
      <c r="GC162" s="451"/>
      <c r="GD162" s="451"/>
      <c r="GE162" s="451"/>
      <c r="GF162" s="451"/>
      <c r="GG162" s="451"/>
      <c r="GH162" s="451"/>
      <c r="GI162" s="451"/>
      <c r="GJ162" s="451"/>
      <c r="GK162" s="451"/>
      <c r="GL162" s="451"/>
      <c r="GM162" s="451"/>
      <c r="GN162" s="451"/>
      <c r="GO162" s="451"/>
      <c r="GP162" s="451"/>
      <c r="GQ162" s="148"/>
      <c r="GR162" s="451"/>
      <c r="GS162" s="451"/>
      <c r="GT162" s="451"/>
      <c r="GU162" s="451"/>
      <c r="GV162" s="900"/>
      <c r="GW162" s="900"/>
      <c r="GX162" s="451"/>
      <c r="GY162" s="451"/>
      <c r="GZ162" s="451"/>
      <c r="HA162" s="451"/>
      <c r="HB162" s="451"/>
      <c r="HC162" s="451"/>
      <c r="HD162" s="147">
        <f>AVERAGE(HD72:HD81)</f>
        <v>2.0973951231911432E-2</v>
      </c>
      <c r="HE162" s="451"/>
      <c r="HF162" s="664"/>
      <c r="HV162" s="147">
        <f t="shared" ref="HV162:IH162" si="216">AVERAGE(HV72:HV81)</f>
        <v>1.5291144900003776E-2</v>
      </c>
      <c r="HW162" s="93"/>
      <c r="HX162" s="93"/>
      <c r="HY162" s="93"/>
      <c r="HZ162" s="93">
        <f t="shared" si="216"/>
        <v>8.9879124470431476E-2</v>
      </c>
      <c r="IA162" s="93">
        <f t="shared" si="216"/>
        <v>3.0131379516108357E-2</v>
      </c>
      <c r="IB162" s="93">
        <f t="shared" si="216"/>
        <v>-3.1318959869837369E-2</v>
      </c>
      <c r="IC162" s="93">
        <f t="shared" si="216"/>
        <v>3.3432837582566932E-2</v>
      </c>
      <c r="ID162" s="93">
        <f t="shared" si="216"/>
        <v>-4.140391306004574E-2</v>
      </c>
      <c r="IE162" s="93">
        <f t="shared" si="216"/>
        <v>-1.6053196272800996E-2</v>
      </c>
      <c r="IF162" s="93">
        <f t="shared" si="216"/>
        <v>1.8305395057169667E-2</v>
      </c>
      <c r="IG162" s="93">
        <f t="shared" si="216"/>
        <v>1.0719229583850199E-2</v>
      </c>
      <c r="IH162" s="93">
        <f t="shared" si="216"/>
        <v>7.5861654733194719E-3</v>
      </c>
      <c r="II162" s="93"/>
      <c r="IJ162" s="93"/>
      <c r="IK162" s="841"/>
      <c r="IL162" s="90"/>
      <c r="IV162" s="660"/>
      <c r="IW162" s="900"/>
      <c r="IX162" s="595"/>
      <c r="IY162" s="900"/>
      <c r="IZ162" s="660"/>
      <c r="JJ162" s="451"/>
      <c r="JK162" s="660"/>
      <c r="JL162" s="660"/>
      <c r="JM162" s="660"/>
    </row>
    <row r="163" spans="1:273" hidden="1">
      <c r="A163" s="451"/>
      <c r="B163" s="451"/>
      <c r="C163" s="91"/>
      <c r="D163" s="69"/>
      <c r="E163" s="455"/>
      <c r="F163" s="455"/>
      <c r="I163" s="90"/>
      <c r="J163" s="90"/>
      <c r="K163" s="90"/>
      <c r="L163" s="90"/>
      <c r="M163" s="90"/>
      <c r="N163" s="90"/>
      <c r="O163" s="90"/>
      <c r="P163" s="96"/>
      <c r="Q163" s="455"/>
      <c r="R163" s="69"/>
      <c r="S163" s="90"/>
      <c r="X163" s="69"/>
      <c r="AM163" s="69"/>
      <c r="BJ163" s="69"/>
      <c r="BU163" s="69"/>
      <c r="BV163" s="90"/>
      <c r="CS163" s="69"/>
      <c r="CT163" s="451"/>
      <c r="CU163" s="451"/>
      <c r="DF163" s="148"/>
      <c r="DG163" s="451"/>
      <c r="DH163" s="451"/>
      <c r="DI163" s="451"/>
      <c r="DJ163" s="451"/>
      <c r="DK163" s="451"/>
      <c r="DL163" s="451"/>
      <c r="DM163" s="451"/>
      <c r="DN163" s="451"/>
      <c r="DO163" s="455"/>
      <c r="DP163" s="69"/>
      <c r="DY163" s="451"/>
      <c r="DZ163" s="451"/>
      <c r="EA163" s="451"/>
      <c r="EB163" s="451"/>
      <c r="EC163" s="451"/>
      <c r="ED163" s="451"/>
      <c r="EE163" s="451"/>
      <c r="EF163" s="148"/>
      <c r="EG163" s="451"/>
      <c r="EH163" s="451"/>
      <c r="EI163" s="451"/>
      <c r="EJ163" s="451"/>
      <c r="EK163" s="451"/>
      <c r="EL163" s="451"/>
      <c r="EM163" s="451"/>
      <c r="EN163" s="451"/>
      <c r="EO163" s="465"/>
      <c r="EP163" s="468"/>
      <c r="EQ163" s="465"/>
      <c r="ER163" s="465"/>
      <c r="ES163" s="465"/>
      <c r="ET163" s="465"/>
      <c r="EU163" s="465"/>
      <c r="EV163" s="465"/>
      <c r="EW163" s="465"/>
      <c r="EX163" s="465"/>
      <c r="EY163" s="465"/>
      <c r="EZ163" s="455"/>
      <c r="FA163" s="468"/>
      <c r="FB163" s="468"/>
      <c r="FC163" s="468"/>
      <c r="FD163" s="468"/>
      <c r="FE163" s="468"/>
      <c r="FF163" s="468"/>
      <c r="FG163" s="465"/>
      <c r="FH163" s="465"/>
      <c r="FI163" s="465"/>
      <c r="FJ163" s="465"/>
      <c r="FK163" s="451"/>
      <c r="FL163" s="451"/>
      <c r="FM163" s="465"/>
      <c r="FN163" s="465"/>
      <c r="FO163" s="148"/>
      <c r="FP163" s="468"/>
      <c r="FQ163" s="451"/>
      <c r="FR163" s="451"/>
      <c r="FS163" s="451"/>
      <c r="FT163" s="451"/>
      <c r="FU163" s="451"/>
      <c r="FV163" s="451"/>
      <c r="FW163" s="451"/>
      <c r="FX163" s="451"/>
      <c r="FY163" s="451"/>
      <c r="FZ163" s="451"/>
      <c r="GA163" s="451"/>
      <c r="GB163" s="451"/>
      <c r="GC163" s="451"/>
      <c r="GD163" s="451"/>
      <c r="GE163" s="451"/>
      <c r="GF163" s="451"/>
      <c r="GG163" s="451"/>
      <c r="GH163" s="451"/>
      <c r="GI163" s="451"/>
      <c r="GJ163" s="451"/>
      <c r="GK163" s="451"/>
      <c r="GL163" s="451"/>
      <c r="GM163" s="451"/>
      <c r="GN163" s="451"/>
      <c r="GO163" s="451"/>
      <c r="GP163" s="451"/>
      <c r="GQ163" s="148"/>
      <c r="GR163" s="451"/>
      <c r="GS163" s="451"/>
      <c r="GT163" s="451"/>
      <c r="GU163" s="451"/>
      <c r="GV163" s="900"/>
      <c r="GW163" s="900"/>
      <c r="GX163" s="451"/>
      <c r="GY163" s="451"/>
      <c r="GZ163" s="451"/>
      <c r="HA163" s="451"/>
      <c r="HB163" s="451"/>
      <c r="HC163" s="451"/>
      <c r="HD163" s="69"/>
      <c r="HE163" s="451"/>
      <c r="HF163" s="664"/>
      <c r="HV163" s="69"/>
      <c r="HW163" s="90"/>
      <c r="HX163" s="90"/>
      <c r="HY163" s="90"/>
      <c r="HZ163" s="90"/>
      <c r="IA163" s="90"/>
      <c r="IB163" s="90"/>
      <c r="IC163" s="90"/>
      <c r="ID163" s="90"/>
      <c r="IE163" s="90"/>
      <c r="IF163" s="90"/>
      <c r="IG163" s="90"/>
      <c r="IH163" s="90"/>
      <c r="II163" s="90"/>
      <c r="IJ163" s="90"/>
      <c r="IK163" s="841"/>
      <c r="IL163" s="90"/>
      <c r="IV163" s="660"/>
      <c r="IW163" s="900"/>
      <c r="IX163" s="595"/>
      <c r="IY163" s="900"/>
      <c r="IZ163" s="660"/>
      <c r="JJ163" s="451"/>
      <c r="JK163" s="660"/>
      <c r="JL163" s="660"/>
      <c r="JM163" s="660"/>
    </row>
    <row r="164" spans="1:273" hidden="1">
      <c r="A164" s="451"/>
      <c r="B164" s="451"/>
      <c r="C164" s="91"/>
      <c r="D164" s="69"/>
      <c r="E164" s="455"/>
      <c r="F164" s="455"/>
      <c r="I164" s="90"/>
      <c r="J164" s="90"/>
      <c r="K164" s="90"/>
      <c r="L164" s="90"/>
      <c r="M164" s="90"/>
      <c r="N164" s="90"/>
      <c r="O164" s="90"/>
      <c r="P164" s="96"/>
      <c r="Q164" s="455"/>
      <c r="R164" s="69"/>
      <c r="S164" s="90"/>
      <c r="X164" s="69"/>
      <c r="AM164" s="69"/>
      <c r="BJ164" s="69"/>
      <c r="BU164" s="69"/>
      <c r="BV164" s="90"/>
      <c r="CS164" s="69"/>
      <c r="CT164" s="451"/>
      <c r="CU164" s="451"/>
      <c r="DF164" s="148"/>
      <c r="DG164" s="451"/>
      <c r="DH164" s="451"/>
      <c r="DI164" s="451"/>
      <c r="DJ164" s="451"/>
      <c r="DK164" s="451"/>
      <c r="DL164" s="451"/>
      <c r="DM164" s="451"/>
      <c r="DN164" s="451"/>
      <c r="DO164" s="455"/>
      <c r="DP164" s="69"/>
      <c r="DY164" s="451"/>
      <c r="DZ164" s="451"/>
      <c r="EA164" s="451"/>
      <c r="EB164" s="451"/>
      <c r="EC164" s="451"/>
      <c r="ED164" s="451"/>
      <c r="EE164" s="451"/>
      <c r="EF164" s="148"/>
      <c r="EG164" s="451"/>
      <c r="EH164" s="451"/>
      <c r="EI164" s="451"/>
      <c r="EJ164" s="451"/>
      <c r="EK164" s="451"/>
      <c r="EL164" s="451"/>
      <c r="EM164" s="451"/>
      <c r="EN164" s="451"/>
      <c r="EO164" s="465"/>
      <c r="EP164" s="468"/>
      <c r="EQ164" s="465"/>
      <c r="ER164" s="465"/>
      <c r="ES164" s="465"/>
      <c r="ET164" s="465"/>
      <c r="EU164" s="465"/>
      <c r="EV164" s="465"/>
      <c r="EW164" s="465"/>
      <c r="EX164" s="465"/>
      <c r="EY164" s="465"/>
      <c r="EZ164" s="455"/>
      <c r="FA164" s="468"/>
      <c r="FB164" s="468"/>
      <c r="FC164" s="468"/>
      <c r="FD164" s="468"/>
      <c r="FE164" s="468"/>
      <c r="FF164" s="468"/>
      <c r="FG164" s="465"/>
      <c r="FH164" s="465"/>
      <c r="FI164" s="465"/>
      <c r="FJ164" s="465"/>
      <c r="FK164" s="451"/>
      <c r="FL164" s="451"/>
      <c r="FM164" s="465"/>
      <c r="FN164" s="465"/>
      <c r="FO164" s="148"/>
      <c r="FP164" s="468"/>
      <c r="FQ164" s="451"/>
      <c r="FR164" s="451"/>
      <c r="FS164" s="451"/>
      <c r="FT164" s="451"/>
      <c r="FU164" s="451"/>
      <c r="FV164" s="451"/>
      <c r="FW164" s="451"/>
      <c r="FX164" s="451"/>
      <c r="FY164" s="451"/>
      <c r="FZ164" s="451"/>
      <c r="GA164" s="451"/>
      <c r="GB164" s="451"/>
      <c r="GC164" s="451"/>
      <c r="GD164" s="451"/>
      <c r="GE164" s="451"/>
      <c r="GF164" s="451"/>
      <c r="GG164" s="451"/>
      <c r="GH164" s="451"/>
      <c r="GI164" s="451"/>
      <c r="GJ164" s="451"/>
      <c r="GK164" s="451"/>
      <c r="GL164" s="451"/>
      <c r="GM164" s="451"/>
      <c r="GN164" s="451"/>
      <c r="GO164" s="451"/>
      <c r="GP164" s="451"/>
      <c r="GQ164" s="148"/>
      <c r="GR164" s="451"/>
      <c r="GS164" s="451"/>
      <c r="GT164" s="451"/>
      <c r="GU164" s="451"/>
      <c r="GV164" s="900"/>
      <c r="GW164" s="900"/>
      <c r="GX164" s="451"/>
      <c r="GY164" s="451"/>
      <c r="GZ164" s="451"/>
      <c r="HA164" s="451"/>
      <c r="HB164" s="451"/>
      <c r="HC164" s="451"/>
      <c r="HD164" s="69"/>
      <c r="HE164" s="451"/>
      <c r="HF164" s="664"/>
      <c r="HV164" s="69"/>
      <c r="HW164" s="90"/>
      <c r="HX164" s="90"/>
      <c r="HY164" s="90"/>
      <c r="HZ164" s="90"/>
      <c r="IA164" s="90"/>
      <c r="IB164" s="90"/>
      <c r="IC164" s="90"/>
      <c r="ID164" s="90"/>
      <c r="IE164" s="90"/>
      <c r="IF164" s="90"/>
      <c r="IG164" s="90"/>
      <c r="IH164" s="90"/>
      <c r="II164" s="90"/>
      <c r="IJ164" s="90"/>
      <c r="IK164" s="841"/>
      <c r="IL164" s="90"/>
      <c r="IV164" s="660"/>
      <c r="IW164" s="900"/>
      <c r="IX164" s="595"/>
      <c r="IY164" s="900"/>
      <c r="IZ164" s="660"/>
      <c r="JJ164" s="451"/>
      <c r="JK164" s="660"/>
      <c r="JL164" s="660"/>
      <c r="JM164" s="660"/>
    </row>
    <row r="165" spans="1:273" hidden="1">
      <c r="A165" s="451"/>
      <c r="B165" s="451"/>
      <c r="C165" s="91"/>
      <c r="D165" s="69"/>
      <c r="E165" s="455"/>
      <c r="F165" s="455"/>
      <c r="I165" s="90"/>
      <c r="J165" s="90"/>
      <c r="K165" s="90"/>
      <c r="L165" s="90"/>
      <c r="M165" s="90"/>
      <c r="N165" s="90"/>
      <c r="O165" s="90"/>
      <c r="P165" s="96"/>
      <c r="Q165" s="455"/>
      <c r="R165" s="69"/>
      <c r="S165" s="90"/>
      <c r="X165" s="69"/>
      <c r="AM165" s="69"/>
      <c r="BJ165" s="69"/>
      <c r="BU165" s="69"/>
      <c r="BV165" s="90"/>
      <c r="CS165" s="69"/>
      <c r="CT165" s="451"/>
      <c r="CU165" s="451"/>
      <c r="DF165" s="148"/>
      <c r="DG165" s="451"/>
      <c r="DH165" s="451"/>
      <c r="DI165" s="451"/>
      <c r="DJ165" s="451"/>
      <c r="DK165" s="451"/>
      <c r="DL165" s="451"/>
      <c r="DM165" s="451"/>
      <c r="DN165" s="451"/>
      <c r="DO165" s="455"/>
      <c r="DP165" s="69"/>
      <c r="DY165" s="451"/>
      <c r="DZ165" s="451"/>
      <c r="EA165" s="451"/>
      <c r="EB165" s="451"/>
      <c r="EC165" s="451"/>
      <c r="ED165" s="451"/>
      <c r="EE165" s="451"/>
      <c r="EF165" s="148"/>
      <c r="EG165" s="451"/>
      <c r="EH165" s="451"/>
      <c r="EI165" s="451"/>
      <c r="EJ165" s="451"/>
      <c r="EK165" s="451"/>
      <c r="EL165" s="451"/>
      <c r="EM165" s="451"/>
      <c r="EN165" s="451"/>
      <c r="EO165" s="465"/>
      <c r="EP165" s="468"/>
      <c r="EQ165" s="465"/>
      <c r="ER165" s="465"/>
      <c r="ES165" s="465"/>
      <c r="ET165" s="465"/>
      <c r="EU165" s="465"/>
      <c r="EV165" s="465"/>
      <c r="EW165" s="465"/>
      <c r="EX165" s="465"/>
      <c r="EY165" s="465"/>
      <c r="EZ165" s="455"/>
      <c r="FA165" s="468"/>
      <c r="FB165" s="468"/>
      <c r="FC165" s="468"/>
      <c r="FD165" s="468"/>
      <c r="FE165" s="468"/>
      <c r="FF165" s="468"/>
      <c r="FG165" s="465"/>
      <c r="FH165" s="465"/>
      <c r="FI165" s="465"/>
      <c r="FJ165" s="465"/>
      <c r="FK165" s="451"/>
      <c r="FL165" s="451"/>
      <c r="FM165" s="465"/>
      <c r="FN165" s="465"/>
      <c r="FO165" s="148"/>
      <c r="FP165" s="468"/>
      <c r="FQ165" s="451"/>
      <c r="FR165" s="451"/>
      <c r="FS165" s="451"/>
      <c r="FT165" s="451"/>
      <c r="FU165" s="451"/>
      <c r="FV165" s="451"/>
      <c r="FW165" s="451"/>
      <c r="FX165" s="451"/>
      <c r="FY165" s="451"/>
      <c r="FZ165" s="451"/>
      <c r="GA165" s="451"/>
      <c r="GB165" s="451"/>
      <c r="GC165" s="451"/>
      <c r="GD165" s="451"/>
      <c r="GE165" s="451"/>
      <c r="GF165" s="451"/>
      <c r="GG165" s="451"/>
      <c r="GH165" s="451"/>
      <c r="GI165" s="451"/>
      <c r="GJ165" s="451"/>
      <c r="GK165" s="451"/>
      <c r="GL165" s="451"/>
      <c r="GM165" s="451"/>
      <c r="GN165" s="451"/>
      <c r="GO165" s="451"/>
      <c r="GP165" s="451"/>
      <c r="GQ165" s="148"/>
      <c r="GR165" s="451"/>
      <c r="GS165" s="451"/>
      <c r="GT165" s="451"/>
      <c r="GU165" s="451"/>
      <c r="GV165" s="900"/>
      <c r="GW165" s="900"/>
      <c r="GX165" s="451"/>
      <c r="GY165" s="451"/>
      <c r="GZ165" s="451"/>
      <c r="HA165" s="451"/>
      <c r="HB165" s="451"/>
      <c r="HC165" s="451"/>
      <c r="HD165" s="69"/>
      <c r="HE165" s="451"/>
      <c r="HF165" s="664"/>
      <c r="HV165" s="69"/>
      <c r="HW165" s="90"/>
      <c r="HX165" s="90"/>
      <c r="HY165" s="90"/>
      <c r="HZ165" s="90"/>
      <c r="IA165" s="90"/>
      <c r="IB165" s="90"/>
      <c r="IC165" s="90"/>
      <c r="ID165" s="90"/>
      <c r="IE165" s="90"/>
      <c r="IF165" s="90"/>
      <c r="IG165" s="90"/>
      <c r="IH165" s="90"/>
      <c r="II165" s="90"/>
      <c r="IJ165" s="90"/>
      <c r="IK165" s="841"/>
      <c r="IL165" s="90"/>
      <c r="IV165" s="660"/>
      <c r="IW165" s="900"/>
      <c r="IX165" s="595"/>
      <c r="IY165" s="900"/>
      <c r="IZ165" s="660"/>
      <c r="JJ165" s="451"/>
      <c r="JK165" s="660"/>
      <c r="JL165" s="660"/>
      <c r="JM165" s="660"/>
    </row>
    <row r="166" spans="1:273" hidden="1">
      <c r="A166" s="451"/>
      <c r="B166" s="451"/>
      <c r="C166" s="91"/>
      <c r="D166" s="69"/>
      <c r="E166" s="455"/>
      <c r="F166" s="455"/>
      <c r="I166" s="90"/>
      <c r="J166" s="90"/>
      <c r="K166" s="90"/>
      <c r="L166" s="90"/>
      <c r="M166" s="90"/>
      <c r="N166" s="90"/>
      <c r="O166" s="90"/>
      <c r="P166" s="96"/>
      <c r="Q166" s="455"/>
      <c r="R166" s="69"/>
      <c r="S166" s="90"/>
      <c r="X166" s="69"/>
      <c r="AM166" s="69"/>
      <c r="BJ166" s="69"/>
      <c r="BU166" s="69"/>
      <c r="BV166" s="90"/>
      <c r="CS166" s="69"/>
      <c r="CT166" s="451"/>
      <c r="CU166" s="451"/>
      <c r="DF166" s="148"/>
      <c r="DG166" s="451"/>
      <c r="DH166" s="451"/>
      <c r="DI166" s="451"/>
      <c r="DJ166" s="451"/>
      <c r="DK166" s="451"/>
      <c r="DL166" s="451"/>
      <c r="DM166" s="451"/>
      <c r="DN166" s="451"/>
      <c r="DO166" s="455"/>
      <c r="DP166" s="69"/>
      <c r="DY166" s="451"/>
      <c r="DZ166" s="451"/>
      <c r="EA166" s="451"/>
      <c r="EB166" s="451"/>
      <c r="EC166" s="451"/>
      <c r="ED166" s="451"/>
      <c r="EE166" s="451"/>
      <c r="EF166" s="148"/>
      <c r="EG166" s="451"/>
      <c r="EH166" s="451"/>
      <c r="EI166" s="451"/>
      <c r="EJ166" s="451"/>
      <c r="EK166" s="451"/>
      <c r="EL166" s="451"/>
      <c r="EM166" s="451"/>
      <c r="EN166" s="451"/>
      <c r="EO166" s="465"/>
      <c r="EP166" s="468"/>
      <c r="EQ166" s="465"/>
      <c r="ER166" s="465"/>
      <c r="ES166" s="465"/>
      <c r="ET166" s="465"/>
      <c r="EU166" s="465"/>
      <c r="EV166" s="465"/>
      <c r="EW166" s="465"/>
      <c r="EX166" s="465"/>
      <c r="EY166" s="465"/>
      <c r="EZ166" s="455"/>
      <c r="FA166" s="468"/>
      <c r="FB166" s="468"/>
      <c r="FC166" s="468"/>
      <c r="FD166" s="468"/>
      <c r="FE166" s="468"/>
      <c r="FF166" s="468"/>
      <c r="FG166" s="465"/>
      <c r="FH166" s="465"/>
      <c r="FI166" s="465"/>
      <c r="FJ166" s="465"/>
      <c r="FK166" s="451"/>
      <c r="FL166" s="451"/>
      <c r="FM166" s="465"/>
      <c r="FN166" s="465"/>
      <c r="FO166" s="148"/>
      <c r="FP166" s="468"/>
      <c r="FQ166" s="451"/>
      <c r="FR166" s="451"/>
      <c r="FS166" s="451"/>
      <c r="FT166" s="451"/>
      <c r="FU166" s="451"/>
      <c r="FV166" s="451"/>
      <c r="FW166" s="451"/>
      <c r="FX166" s="451"/>
      <c r="FY166" s="451"/>
      <c r="FZ166" s="451"/>
      <c r="GA166" s="451"/>
      <c r="GB166" s="451"/>
      <c r="GC166" s="451"/>
      <c r="GD166" s="451"/>
      <c r="GE166" s="451"/>
      <c r="GF166" s="451"/>
      <c r="GG166" s="451"/>
      <c r="GH166" s="451"/>
      <c r="GI166" s="451"/>
      <c r="GJ166" s="451"/>
      <c r="GK166" s="451"/>
      <c r="GL166" s="451"/>
      <c r="GM166" s="451"/>
      <c r="GN166" s="451"/>
      <c r="GO166" s="451"/>
      <c r="GP166" s="451"/>
      <c r="GQ166" s="148"/>
      <c r="GR166" s="451"/>
      <c r="GS166" s="451"/>
      <c r="GT166" s="451"/>
      <c r="GU166" s="451"/>
      <c r="GV166" s="900"/>
      <c r="GW166" s="900"/>
      <c r="GX166" s="451"/>
      <c r="GY166" s="451"/>
      <c r="GZ166" s="451"/>
      <c r="HA166" s="451"/>
      <c r="HB166" s="451"/>
      <c r="HC166" s="451"/>
      <c r="HD166" s="69"/>
      <c r="HE166" s="451"/>
      <c r="HF166" s="664"/>
      <c r="HV166" s="69"/>
      <c r="HW166" s="90"/>
      <c r="HX166" s="90"/>
      <c r="HY166" s="90"/>
      <c r="HZ166" s="90"/>
      <c r="IA166" s="90"/>
      <c r="IB166" s="90"/>
      <c r="IC166" s="90"/>
      <c r="ID166" s="90"/>
      <c r="IE166" s="90"/>
      <c r="IF166" s="90"/>
      <c r="IG166" s="90"/>
      <c r="IH166" s="90"/>
      <c r="II166" s="90"/>
      <c r="IJ166" s="90"/>
      <c r="IK166" s="841"/>
      <c r="IL166" s="90"/>
      <c r="IV166" s="660"/>
      <c r="IW166" s="900"/>
      <c r="IX166" s="595"/>
      <c r="IY166" s="900"/>
      <c r="IZ166" s="660"/>
      <c r="JJ166" s="451"/>
      <c r="JK166" s="660"/>
      <c r="JL166" s="660"/>
      <c r="JM166" s="660"/>
    </row>
    <row r="167" spans="1:273" hidden="1">
      <c r="A167" s="451"/>
      <c r="B167" s="451"/>
      <c r="C167" s="91"/>
      <c r="D167" s="69"/>
      <c r="E167" s="455"/>
      <c r="F167" s="455"/>
      <c r="I167" s="90"/>
      <c r="J167" s="90"/>
      <c r="K167" s="90"/>
      <c r="L167" s="90"/>
      <c r="M167" s="90"/>
      <c r="N167" s="90"/>
      <c r="O167" s="90"/>
      <c r="P167" s="96"/>
      <c r="Q167" s="455"/>
      <c r="R167" s="69"/>
      <c r="S167" s="90"/>
      <c r="X167" s="69"/>
      <c r="AM167" s="69"/>
      <c r="BJ167" s="69"/>
      <c r="BU167" s="69"/>
      <c r="BV167" s="90"/>
      <c r="CS167" s="69"/>
      <c r="CT167" s="451"/>
      <c r="CU167" s="451"/>
      <c r="DF167" s="148"/>
      <c r="DG167" s="451"/>
      <c r="DH167" s="451"/>
      <c r="DI167" s="451"/>
      <c r="DJ167" s="451"/>
      <c r="DK167" s="451"/>
      <c r="DL167" s="451"/>
      <c r="DM167" s="451"/>
      <c r="DN167" s="451"/>
      <c r="DO167" s="455"/>
      <c r="DP167" s="69"/>
      <c r="DY167" s="451"/>
      <c r="DZ167" s="451"/>
      <c r="EA167" s="451"/>
      <c r="EB167" s="451"/>
      <c r="EC167" s="451"/>
      <c r="ED167" s="451"/>
      <c r="EE167" s="451"/>
      <c r="EF167" s="148"/>
      <c r="EG167" s="451"/>
      <c r="EH167" s="451"/>
      <c r="EI167" s="451"/>
      <c r="EJ167" s="451"/>
      <c r="EK167" s="451"/>
      <c r="EL167" s="451"/>
      <c r="EM167" s="451"/>
      <c r="EN167" s="451"/>
      <c r="EO167" s="465"/>
      <c r="EP167" s="468"/>
      <c r="EQ167" s="465"/>
      <c r="ER167" s="465"/>
      <c r="ES167" s="465"/>
      <c r="ET167" s="465"/>
      <c r="EU167" s="465"/>
      <c r="EV167" s="465"/>
      <c r="EW167" s="465"/>
      <c r="EX167" s="465"/>
      <c r="EY167" s="465"/>
      <c r="EZ167" s="455"/>
      <c r="FA167" s="468"/>
      <c r="FB167" s="468"/>
      <c r="FC167" s="468"/>
      <c r="FD167" s="468"/>
      <c r="FE167" s="468"/>
      <c r="FF167" s="468"/>
      <c r="FG167" s="465"/>
      <c r="FH167" s="465"/>
      <c r="FI167" s="465"/>
      <c r="FJ167" s="465"/>
      <c r="FK167" s="451"/>
      <c r="FL167" s="451"/>
      <c r="FM167" s="465"/>
      <c r="FN167" s="465"/>
      <c r="FO167" s="148"/>
      <c r="FP167" s="468"/>
      <c r="FQ167" s="451"/>
      <c r="FR167" s="451"/>
      <c r="FS167" s="451"/>
      <c r="FT167" s="451"/>
      <c r="FU167" s="451"/>
      <c r="FV167" s="451"/>
      <c r="FW167" s="451"/>
      <c r="FX167" s="451"/>
      <c r="FY167" s="451"/>
      <c r="FZ167" s="451"/>
      <c r="GA167" s="451"/>
      <c r="GB167" s="451"/>
      <c r="GC167" s="451"/>
      <c r="GD167" s="451"/>
      <c r="GE167" s="451"/>
      <c r="GF167" s="451"/>
      <c r="GG167" s="451"/>
      <c r="GH167" s="451"/>
      <c r="GI167" s="451"/>
      <c r="GJ167" s="451"/>
      <c r="GK167" s="451"/>
      <c r="GL167" s="451"/>
      <c r="GM167" s="451"/>
      <c r="GN167" s="451"/>
      <c r="GO167" s="451"/>
      <c r="GP167" s="451"/>
      <c r="GQ167" s="148"/>
      <c r="GR167" s="451"/>
      <c r="GS167" s="451"/>
      <c r="GT167" s="451"/>
      <c r="GU167" s="451"/>
      <c r="GV167" s="900"/>
      <c r="GW167" s="900"/>
      <c r="GX167" s="451"/>
      <c r="GY167" s="451"/>
      <c r="GZ167" s="451"/>
      <c r="HA167" s="451"/>
      <c r="HB167" s="451"/>
      <c r="HC167" s="451"/>
      <c r="HD167" s="69"/>
      <c r="HE167" s="451"/>
      <c r="HF167" s="664"/>
      <c r="HV167" s="69"/>
      <c r="HW167" s="90"/>
      <c r="HX167" s="90"/>
      <c r="HY167" s="90"/>
      <c r="HZ167" s="90"/>
      <c r="IA167" s="90"/>
      <c r="IB167" s="90"/>
      <c r="IC167" s="90"/>
      <c r="ID167" s="90"/>
      <c r="IE167" s="90"/>
      <c r="IF167" s="90"/>
      <c r="IG167" s="90"/>
      <c r="IH167" s="90"/>
      <c r="II167" s="90"/>
      <c r="IJ167" s="90"/>
      <c r="IK167" s="841"/>
      <c r="IL167" s="90"/>
      <c r="IV167" s="660"/>
      <c r="IW167" s="900"/>
      <c r="IX167" s="595"/>
      <c r="IY167" s="900"/>
      <c r="IZ167" s="660"/>
      <c r="JJ167" s="451"/>
      <c r="JK167" s="660"/>
      <c r="JL167" s="660"/>
      <c r="JM167" s="660"/>
    </row>
    <row r="168" spans="1:273" hidden="1">
      <c r="A168" s="451"/>
      <c r="B168" s="451"/>
      <c r="C168" s="91"/>
      <c r="D168" s="69"/>
      <c r="E168" s="455"/>
      <c r="F168" s="455"/>
      <c r="I168" s="90"/>
      <c r="J168" s="90"/>
      <c r="K168" s="90"/>
      <c r="L168" s="90"/>
      <c r="M168" s="90"/>
      <c r="N168" s="90"/>
      <c r="O168" s="90"/>
      <c r="P168" s="96"/>
      <c r="Q168" s="455"/>
      <c r="R168" s="69"/>
      <c r="S168" s="90"/>
      <c r="X168" s="69"/>
      <c r="AM168" s="69"/>
      <c r="BJ168" s="69"/>
      <c r="BU168" s="69"/>
      <c r="BV168" s="90"/>
      <c r="CS168" s="69"/>
      <c r="CT168" s="451"/>
      <c r="CU168" s="451"/>
      <c r="DF168" s="148"/>
      <c r="DG168" s="451"/>
      <c r="DH168" s="451"/>
      <c r="DI168" s="451"/>
      <c r="DJ168" s="451"/>
      <c r="DK168" s="451"/>
      <c r="DL168" s="451"/>
      <c r="DM168" s="451"/>
      <c r="DN168" s="451"/>
      <c r="DO168" s="455"/>
      <c r="DP168" s="69"/>
      <c r="DY168" s="451"/>
      <c r="DZ168" s="451"/>
      <c r="EA168" s="451"/>
      <c r="EB168" s="451"/>
      <c r="EC168" s="451"/>
      <c r="ED168" s="451"/>
      <c r="EE168" s="451"/>
      <c r="EF168" s="148"/>
      <c r="EG168" s="451"/>
      <c r="EH168" s="451"/>
      <c r="EI168" s="451"/>
      <c r="EJ168" s="451"/>
      <c r="EK168" s="451"/>
      <c r="EL168" s="451"/>
      <c r="EM168" s="451"/>
      <c r="EN168" s="451"/>
      <c r="EO168" s="465"/>
      <c r="EP168" s="468"/>
      <c r="EQ168" s="465"/>
      <c r="ER168" s="465"/>
      <c r="ES168" s="465"/>
      <c r="ET168" s="465"/>
      <c r="EU168" s="465"/>
      <c r="EV168" s="465"/>
      <c r="EW168" s="465"/>
      <c r="EX168" s="465"/>
      <c r="EY168" s="465"/>
      <c r="EZ168" s="455"/>
      <c r="FA168" s="468"/>
      <c r="FB168" s="468"/>
      <c r="FC168" s="468"/>
      <c r="FD168" s="468"/>
      <c r="FE168" s="468"/>
      <c r="FF168" s="468"/>
      <c r="FG168" s="465"/>
      <c r="FH168" s="465"/>
      <c r="FI168" s="465"/>
      <c r="FJ168" s="465"/>
      <c r="FK168" s="451"/>
      <c r="FL168" s="451"/>
      <c r="FM168" s="465"/>
      <c r="FN168" s="465"/>
      <c r="FO168" s="148"/>
      <c r="FP168" s="468"/>
      <c r="FQ168" s="451"/>
      <c r="FR168" s="451"/>
      <c r="FS168" s="451"/>
      <c r="FT168" s="451"/>
      <c r="FU168" s="451"/>
      <c r="FV168" s="451"/>
      <c r="FW168" s="451"/>
      <c r="FX168" s="451"/>
      <c r="FY168" s="451"/>
      <c r="FZ168" s="451"/>
      <c r="GA168" s="451"/>
      <c r="GB168" s="451"/>
      <c r="GC168" s="451"/>
      <c r="GD168" s="451"/>
      <c r="GE168" s="451"/>
      <c r="GF168" s="451"/>
      <c r="GG168" s="451"/>
      <c r="GH168" s="451"/>
      <c r="GI168" s="451"/>
      <c r="GJ168" s="451"/>
      <c r="GK168" s="451"/>
      <c r="GL168" s="451"/>
      <c r="GM168" s="451"/>
      <c r="GN168" s="451"/>
      <c r="GO168" s="451"/>
      <c r="GP168" s="451"/>
      <c r="GQ168" s="148"/>
      <c r="GR168" s="451"/>
      <c r="GS168" s="451"/>
      <c r="GT168" s="451"/>
      <c r="GU168" s="451"/>
      <c r="GV168" s="900"/>
      <c r="GW168" s="900"/>
      <c r="GX168" s="451"/>
      <c r="GY168" s="451"/>
      <c r="GZ168" s="451"/>
      <c r="HA168" s="451"/>
      <c r="HB168" s="451"/>
      <c r="HC168" s="451"/>
      <c r="HD168" s="69"/>
      <c r="HE168" s="451"/>
      <c r="HF168" s="664"/>
      <c r="HV168" s="69"/>
      <c r="HW168" s="90"/>
      <c r="HX168" s="90"/>
      <c r="HY168" s="90"/>
      <c r="HZ168" s="90"/>
      <c r="IA168" s="90"/>
      <c r="IB168" s="90"/>
      <c r="IC168" s="90"/>
      <c r="ID168" s="90"/>
      <c r="IE168" s="90"/>
      <c r="IF168" s="90"/>
      <c r="IG168" s="90"/>
      <c r="IH168" s="90"/>
      <c r="II168" s="90"/>
      <c r="IJ168" s="90"/>
      <c r="IK168" s="841"/>
      <c r="IL168" s="90"/>
      <c r="IV168" s="660"/>
      <c r="IW168" s="900"/>
      <c r="IX168" s="595"/>
      <c r="IY168" s="900"/>
      <c r="IZ168" s="660"/>
      <c r="JJ168" s="451"/>
      <c r="JK168" s="660"/>
      <c r="JL168" s="660"/>
      <c r="JM168" s="660"/>
    </row>
    <row r="169" spans="1:273" hidden="1">
      <c r="A169" s="451"/>
      <c r="B169" s="451"/>
      <c r="C169" s="91"/>
      <c r="D169" s="69"/>
      <c r="E169" s="455"/>
      <c r="F169" s="455"/>
      <c r="I169" s="90"/>
      <c r="J169" s="90"/>
      <c r="K169" s="90"/>
      <c r="L169" s="90"/>
      <c r="M169" s="90"/>
      <c r="N169" s="90"/>
      <c r="O169" s="90"/>
      <c r="P169" s="96"/>
      <c r="Q169" s="455"/>
      <c r="R169" s="69"/>
      <c r="S169" s="90"/>
      <c r="X169" s="69"/>
      <c r="AM169" s="69"/>
      <c r="BJ169" s="69"/>
      <c r="BU169" s="69"/>
      <c r="BV169" s="90"/>
      <c r="CS169" s="69"/>
      <c r="CT169" s="451"/>
      <c r="CU169" s="451"/>
      <c r="DF169" s="148"/>
      <c r="DG169" s="451"/>
      <c r="DH169" s="451"/>
      <c r="DI169" s="451"/>
      <c r="DJ169" s="451"/>
      <c r="DK169" s="451"/>
      <c r="DL169" s="451"/>
      <c r="DM169" s="451"/>
      <c r="DN169" s="451"/>
      <c r="DO169" s="455"/>
      <c r="DP169" s="69"/>
      <c r="DY169" s="451"/>
      <c r="DZ169" s="451"/>
      <c r="EA169" s="451"/>
      <c r="EB169" s="451"/>
      <c r="EC169" s="451"/>
      <c r="ED169" s="451"/>
      <c r="EE169" s="451"/>
      <c r="EF169" s="148"/>
      <c r="EG169" s="451"/>
      <c r="EH169" s="451"/>
      <c r="EI169" s="451"/>
      <c r="EJ169" s="451"/>
      <c r="EK169" s="451"/>
      <c r="EL169" s="451"/>
      <c r="EM169" s="451"/>
      <c r="EN169" s="451"/>
      <c r="EO169" s="465"/>
      <c r="EP169" s="468"/>
      <c r="EQ169" s="465"/>
      <c r="ER169" s="465"/>
      <c r="ES169" s="465"/>
      <c r="ET169" s="465"/>
      <c r="EU169" s="465"/>
      <c r="EV169" s="465"/>
      <c r="EW169" s="465"/>
      <c r="EX169" s="465"/>
      <c r="EY169" s="465"/>
      <c r="EZ169" s="455"/>
      <c r="FA169" s="468"/>
      <c r="FB169" s="468"/>
      <c r="FC169" s="468"/>
      <c r="FD169" s="468"/>
      <c r="FE169" s="468"/>
      <c r="FF169" s="468"/>
      <c r="FG169" s="465"/>
      <c r="FH169" s="465"/>
      <c r="FI169" s="465"/>
      <c r="FJ169" s="465"/>
      <c r="FK169" s="451"/>
      <c r="FL169" s="451"/>
      <c r="FM169" s="465"/>
      <c r="FN169" s="465"/>
      <c r="FO169" s="148"/>
      <c r="FP169" s="468"/>
      <c r="FQ169" s="451"/>
      <c r="FR169" s="451"/>
      <c r="FS169" s="451"/>
      <c r="FT169" s="451"/>
      <c r="FU169" s="451"/>
      <c r="FV169" s="451"/>
      <c r="FW169" s="451"/>
      <c r="FX169" s="451"/>
      <c r="FY169" s="451"/>
      <c r="FZ169" s="451"/>
      <c r="GA169" s="451"/>
      <c r="GB169" s="451"/>
      <c r="GC169" s="451"/>
      <c r="GD169" s="451"/>
      <c r="GE169" s="451"/>
      <c r="GF169" s="451"/>
      <c r="GG169" s="451"/>
      <c r="GH169" s="451"/>
      <c r="GI169" s="451"/>
      <c r="GJ169" s="451"/>
      <c r="GK169" s="451"/>
      <c r="GL169" s="451"/>
      <c r="GM169" s="451"/>
      <c r="GN169" s="451"/>
      <c r="GO169" s="451"/>
      <c r="GP169" s="451"/>
      <c r="GQ169" s="148"/>
      <c r="GR169" s="451"/>
      <c r="GS169" s="451"/>
      <c r="GT169" s="451"/>
      <c r="GU169" s="451"/>
      <c r="GV169" s="900"/>
      <c r="GW169" s="900"/>
      <c r="GX169" s="451"/>
      <c r="GY169" s="451"/>
      <c r="GZ169" s="451"/>
      <c r="HA169" s="451"/>
      <c r="HB169" s="451"/>
      <c r="HC169" s="451"/>
      <c r="HD169" s="69"/>
      <c r="HE169" s="451"/>
      <c r="HF169" s="664"/>
      <c r="HV169" s="69"/>
      <c r="HW169" s="90"/>
      <c r="HX169" s="90"/>
      <c r="HY169" s="90"/>
      <c r="HZ169" s="90"/>
      <c r="IA169" s="90"/>
      <c r="IB169" s="90"/>
      <c r="IC169" s="90"/>
      <c r="ID169" s="90"/>
      <c r="IE169" s="90"/>
      <c r="IF169" s="90"/>
      <c r="IG169" s="90"/>
      <c r="IH169" s="90"/>
      <c r="II169" s="90"/>
      <c r="IJ169" s="90"/>
      <c r="IK169" s="841"/>
      <c r="IL169" s="90"/>
      <c r="IV169" s="660"/>
      <c r="IW169" s="900"/>
      <c r="IX169" s="595"/>
      <c r="IY169" s="900"/>
      <c r="IZ169" s="660"/>
      <c r="JJ169" s="451"/>
      <c r="JK169" s="660"/>
      <c r="JL169" s="660"/>
      <c r="JM169" s="660"/>
    </row>
    <row r="170" spans="1:273" hidden="1">
      <c r="A170" s="451"/>
      <c r="B170" s="451"/>
      <c r="C170" s="91"/>
      <c r="D170" s="69"/>
      <c r="E170" s="455"/>
      <c r="F170" s="455"/>
      <c r="I170" s="90"/>
      <c r="J170" s="90"/>
      <c r="K170" s="90"/>
      <c r="L170" s="90"/>
      <c r="M170" s="90"/>
      <c r="N170" s="90"/>
      <c r="O170" s="90"/>
      <c r="P170" s="96"/>
      <c r="Q170" s="455"/>
      <c r="R170" s="69"/>
      <c r="S170" s="90"/>
      <c r="X170" s="69"/>
      <c r="AM170" s="69"/>
      <c r="BJ170" s="69"/>
      <c r="BU170" s="69"/>
      <c r="BV170" s="90"/>
      <c r="CS170" s="69"/>
      <c r="CT170" s="451"/>
      <c r="CU170" s="451"/>
      <c r="DF170" s="148"/>
      <c r="DG170" s="451"/>
      <c r="DH170" s="451"/>
      <c r="DI170" s="451"/>
      <c r="DJ170" s="451"/>
      <c r="DK170" s="451"/>
      <c r="DL170" s="451"/>
      <c r="DM170" s="451"/>
      <c r="DN170" s="451"/>
      <c r="DO170" s="455"/>
      <c r="DP170" s="69"/>
      <c r="DY170" s="451"/>
      <c r="DZ170" s="451"/>
      <c r="EA170" s="451"/>
      <c r="EB170" s="451"/>
      <c r="EC170" s="451"/>
      <c r="ED170" s="451"/>
      <c r="EE170" s="451"/>
      <c r="EF170" s="148"/>
      <c r="EG170" s="451"/>
      <c r="EH170" s="451"/>
      <c r="EI170" s="451"/>
      <c r="EJ170" s="451"/>
      <c r="EK170" s="451"/>
      <c r="EL170" s="451"/>
      <c r="EM170" s="451"/>
      <c r="EN170" s="451"/>
      <c r="EO170" s="465"/>
      <c r="EP170" s="468"/>
      <c r="EQ170" s="465"/>
      <c r="ER170" s="465"/>
      <c r="ES170" s="465"/>
      <c r="ET170" s="465"/>
      <c r="EU170" s="465"/>
      <c r="EV170" s="465"/>
      <c r="EW170" s="465"/>
      <c r="EX170" s="465"/>
      <c r="EY170" s="465"/>
      <c r="EZ170" s="455"/>
      <c r="FA170" s="468"/>
      <c r="FB170" s="468"/>
      <c r="FC170" s="468"/>
      <c r="FD170" s="468"/>
      <c r="FE170" s="468"/>
      <c r="FF170" s="468"/>
      <c r="FG170" s="465"/>
      <c r="FH170" s="465"/>
      <c r="FI170" s="465"/>
      <c r="FJ170" s="465"/>
      <c r="FK170" s="451"/>
      <c r="FL170" s="451"/>
      <c r="FM170" s="465"/>
      <c r="FN170" s="465"/>
      <c r="FO170" s="148"/>
      <c r="FP170" s="468"/>
      <c r="FQ170" s="451"/>
      <c r="FR170" s="451"/>
      <c r="FS170" s="451"/>
      <c r="FT170" s="451"/>
      <c r="FU170" s="451"/>
      <c r="FV170" s="451"/>
      <c r="FW170" s="451"/>
      <c r="FX170" s="451"/>
      <c r="FY170" s="451"/>
      <c r="FZ170" s="451"/>
      <c r="GA170" s="451"/>
      <c r="GB170" s="451"/>
      <c r="GC170" s="451"/>
      <c r="GD170" s="451"/>
      <c r="GE170" s="451"/>
      <c r="GF170" s="451"/>
      <c r="GG170" s="451"/>
      <c r="GH170" s="451"/>
      <c r="GI170" s="451"/>
      <c r="GJ170" s="451"/>
      <c r="GK170" s="451"/>
      <c r="GL170" s="451"/>
      <c r="GM170" s="451"/>
      <c r="GN170" s="451"/>
      <c r="GO170" s="451"/>
      <c r="GP170" s="451"/>
      <c r="GQ170" s="148"/>
      <c r="GR170" s="451"/>
      <c r="GS170" s="451"/>
      <c r="GT170" s="451"/>
      <c r="GU170" s="451"/>
      <c r="GV170" s="900"/>
      <c r="GW170" s="900"/>
      <c r="GX170" s="451"/>
      <c r="GY170" s="451"/>
      <c r="GZ170" s="451"/>
      <c r="HA170" s="451"/>
      <c r="HB170" s="451"/>
      <c r="HC170" s="451"/>
      <c r="HD170" s="69"/>
      <c r="HE170" s="451"/>
      <c r="HF170" s="664"/>
      <c r="HV170" s="69"/>
      <c r="HW170" s="90"/>
      <c r="HX170" s="90"/>
      <c r="HY170" s="90"/>
      <c r="HZ170" s="90"/>
      <c r="IA170" s="90"/>
      <c r="IB170" s="90"/>
      <c r="IC170" s="90"/>
      <c r="ID170" s="90"/>
      <c r="IE170" s="90"/>
      <c r="IF170" s="90"/>
      <c r="IG170" s="90"/>
      <c r="IH170" s="90"/>
      <c r="II170" s="90"/>
      <c r="IJ170" s="90"/>
      <c r="IK170" s="841"/>
      <c r="IL170" s="90"/>
      <c r="IV170" s="660"/>
      <c r="IW170" s="900"/>
      <c r="IX170" s="595"/>
      <c r="IY170" s="900"/>
      <c r="IZ170" s="660"/>
      <c r="JJ170" s="451"/>
      <c r="JK170" s="660"/>
      <c r="JL170" s="660"/>
      <c r="JM170" s="660"/>
    </row>
    <row r="171" spans="1:273" hidden="1">
      <c r="A171" s="451"/>
      <c r="B171" s="451"/>
      <c r="C171" s="91"/>
      <c r="D171" s="69"/>
      <c r="E171" s="455"/>
      <c r="F171" s="455"/>
      <c r="I171" s="90"/>
      <c r="J171" s="90"/>
      <c r="K171" s="90"/>
      <c r="L171" s="90"/>
      <c r="M171" s="90"/>
      <c r="N171" s="90"/>
      <c r="O171" s="90"/>
      <c r="P171" s="96"/>
      <c r="Q171" s="455"/>
      <c r="R171" s="69"/>
      <c r="S171" s="90"/>
      <c r="X171" s="69"/>
      <c r="AM171" s="69"/>
      <c r="BJ171" s="69"/>
      <c r="BU171" s="69"/>
      <c r="BV171" s="90"/>
      <c r="CS171" s="69"/>
      <c r="CT171" s="451"/>
      <c r="CU171" s="451"/>
      <c r="DF171" s="148"/>
      <c r="DG171" s="451"/>
      <c r="DH171" s="451"/>
      <c r="DI171" s="451"/>
      <c r="DJ171" s="451"/>
      <c r="DK171" s="451"/>
      <c r="DL171" s="451"/>
      <c r="DM171" s="451"/>
      <c r="DN171" s="451"/>
      <c r="DO171" s="455"/>
      <c r="DP171" s="69"/>
      <c r="DY171" s="451"/>
      <c r="DZ171" s="451"/>
      <c r="EA171" s="451"/>
      <c r="EB171" s="451"/>
      <c r="EC171" s="451"/>
      <c r="ED171" s="451"/>
      <c r="EE171" s="451"/>
      <c r="EF171" s="148"/>
      <c r="EG171" s="451"/>
      <c r="EH171" s="451"/>
      <c r="EI171" s="451"/>
      <c r="EJ171" s="451"/>
      <c r="EK171" s="451"/>
      <c r="EL171" s="451"/>
      <c r="EM171" s="451"/>
      <c r="EN171" s="451"/>
      <c r="EO171" s="465"/>
      <c r="EP171" s="468"/>
      <c r="EQ171" s="465"/>
      <c r="ER171" s="465"/>
      <c r="ES171" s="465"/>
      <c r="ET171" s="465"/>
      <c r="EU171" s="465"/>
      <c r="EV171" s="465"/>
      <c r="EW171" s="465"/>
      <c r="EX171" s="465"/>
      <c r="EY171" s="465"/>
      <c r="EZ171" s="455"/>
      <c r="FA171" s="468"/>
      <c r="FB171" s="468"/>
      <c r="FC171" s="468"/>
      <c r="FD171" s="468"/>
      <c r="FE171" s="468"/>
      <c r="FF171" s="468"/>
      <c r="FG171" s="465"/>
      <c r="FH171" s="465"/>
      <c r="FI171" s="465"/>
      <c r="FJ171" s="465"/>
      <c r="FK171" s="451"/>
      <c r="FL171" s="451"/>
      <c r="FM171" s="465"/>
      <c r="FN171" s="465"/>
      <c r="FO171" s="148"/>
      <c r="FP171" s="468"/>
      <c r="FQ171" s="451"/>
      <c r="FR171" s="451"/>
      <c r="FS171" s="451"/>
      <c r="FT171" s="451"/>
      <c r="FU171" s="451"/>
      <c r="FV171" s="451"/>
      <c r="FW171" s="451"/>
      <c r="FX171" s="451"/>
      <c r="FY171" s="451"/>
      <c r="FZ171" s="451"/>
      <c r="GA171" s="451"/>
      <c r="GB171" s="451"/>
      <c r="GC171" s="451"/>
      <c r="GD171" s="451"/>
      <c r="GE171" s="451"/>
      <c r="GF171" s="451"/>
      <c r="GG171" s="451"/>
      <c r="GH171" s="451"/>
      <c r="GI171" s="451"/>
      <c r="GJ171" s="451"/>
      <c r="GK171" s="451"/>
      <c r="GL171" s="451"/>
      <c r="GM171" s="451"/>
      <c r="GN171" s="451"/>
      <c r="GO171" s="451"/>
      <c r="GP171" s="451"/>
      <c r="GQ171" s="148"/>
      <c r="GR171" s="451"/>
      <c r="GS171" s="451"/>
      <c r="GT171" s="451"/>
      <c r="GU171" s="451"/>
      <c r="GV171" s="900"/>
      <c r="GW171" s="900"/>
      <c r="GX171" s="451"/>
      <c r="GY171" s="451"/>
      <c r="GZ171" s="451"/>
      <c r="HA171" s="451"/>
      <c r="HB171" s="451"/>
      <c r="HC171" s="451"/>
      <c r="HD171" s="69"/>
      <c r="HE171" s="451"/>
      <c r="HF171" s="664"/>
      <c r="HV171" s="69"/>
      <c r="HW171" s="90"/>
      <c r="HX171" s="90"/>
      <c r="HY171" s="90"/>
      <c r="HZ171" s="90"/>
      <c r="IA171" s="90"/>
      <c r="IB171" s="90"/>
      <c r="IC171" s="90"/>
      <c r="ID171" s="90"/>
      <c r="IE171" s="90"/>
      <c r="IF171" s="90"/>
      <c r="IG171" s="90"/>
      <c r="IH171" s="90"/>
      <c r="II171" s="90"/>
      <c r="IJ171" s="90"/>
      <c r="IK171" s="841"/>
      <c r="IL171" s="90"/>
      <c r="IV171" s="660"/>
      <c r="IW171" s="900"/>
      <c r="IX171" s="595"/>
      <c r="IY171" s="900"/>
      <c r="IZ171" s="660"/>
      <c r="JJ171" s="451"/>
      <c r="JK171" s="660"/>
      <c r="JL171" s="660"/>
      <c r="JM171" s="660"/>
    </row>
    <row r="172" spans="1:273">
      <c r="A172" s="451">
        <v>1990</v>
      </c>
      <c r="B172" s="451" t="s">
        <v>722</v>
      </c>
      <c r="C172" s="91"/>
      <c r="D172" s="69"/>
      <c r="E172" s="93">
        <f>AVERAGE(E82:E91)</f>
        <v>9.9008913636684723E-2</v>
      </c>
      <c r="F172" s="93"/>
      <c r="I172" s="90"/>
      <c r="J172" s="90"/>
      <c r="K172" s="90"/>
      <c r="L172" s="90"/>
      <c r="M172" s="90"/>
      <c r="N172" s="90"/>
      <c r="O172" s="90"/>
      <c r="P172" s="94">
        <f>AVERAGE(P82:P91)</f>
        <v>3.5938249414655753E-2</v>
      </c>
      <c r="Q172" s="93"/>
      <c r="R172" s="69"/>
      <c r="S172" s="90"/>
      <c r="X172" s="69"/>
      <c r="AM172" s="69"/>
      <c r="BJ172" s="69"/>
      <c r="BU172" s="69"/>
      <c r="BV172" s="90"/>
      <c r="CM172" s="240">
        <f>AVERAGE(CM82:CM91)</f>
        <v>9.7545846935704998E-3</v>
      </c>
      <c r="CN172" s="240">
        <f>AVERAGE(CN82:CN91)</f>
        <v>2.618366472108526E-2</v>
      </c>
      <c r="CO172" s="240">
        <f>AVERAGE(CO82:CO91)</f>
        <v>9.9605315240991433E-4</v>
      </c>
      <c r="CP172" s="240"/>
      <c r="CQ172" s="240"/>
      <c r="CR172" s="240">
        <f>AVERAGE(CR82:CR91)</f>
        <v>2.7646235027333466E-3</v>
      </c>
      <c r="CS172" s="69"/>
      <c r="CT172" s="451"/>
      <c r="CU172" s="451"/>
      <c r="DF172" s="148"/>
      <c r="DG172" s="451"/>
      <c r="DH172" s="451"/>
      <c r="DI172" s="451"/>
      <c r="DJ172" s="451"/>
      <c r="DK172" s="451"/>
      <c r="DL172" s="451"/>
      <c r="DM172" s="451"/>
      <c r="DN172" s="451"/>
      <c r="DO172" s="455"/>
      <c r="DP172" s="69"/>
      <c r="DY172" s="451"/>
      <c r="DZ172" s="451"/>
      <c r="EA172" s="451"/>
      <c r="EB172" s="451"/>
      <c r="EC172" s="451"/>
      <c r="ED172" s="451"/>
      <c r="EE172" s="451"/>
      <c r="EF172" s="148"/>
      <c r="EG172" s="451"/>
      <c r="EH172" s="451"/>
      <c r="EI172" s="451"/>
      <c r="EJ172" s="451"/>
      <c r="EK172" s="451"/>
      <c r="EL172" s="451"/>
      <c r="EM172" s="451"/>
      <c r="EN172" s="451"/>
      <c r="EO172" s="465"/>
      <c r="EP172" s="468"/>
      <c r="EQ172" s="465"/>
      <c r="ER172" s="465"/>
      <c r="ES172" s="465"/>
      <c r="ET172" s="465"/>
      <c r="EU172" s="465"/>
      <c r="EV172" s="465"/>
      <c r="EW172" s="465"/>
      <c r="EX172" s="465"/>
      <c r="EY172" s="465"/>
      <c r="EZ172" s="455"/>
      <c r="FA172" s="468"/>
      <c r="FB172" s="468"/>
      <c r="FC172" s="468"/>
      <c r="FD172" s="468"/>
      <c r="FE172" s="468"/>
      <c r="FF172" s="468"/>
      <c r="FG172" s="465"/>
      <c r="FH172" s="465"/>
      <c r="FI172" s="465"/>
      <c r="FJ172" s="465"/>
      <c r="FK172" s="451"/>
      <c r="FL172" s="451"/>
      <c r="FM172" s="465"/>
      <c r="FN172" s="465"/>
      <c r="FO172" s="148"/>
      <c r="FP172" s="468"/>
      <c r="FQ172" s="451"/>
      <c r="FR172" s="451"/>
      <c r="FS172" s="451"/>
      <c r="FT172" s="451"/>
      <c r="FU172" s="451"/>
      <c r="FV172" s="451"/>
      <c r="FW172" s="451"/>
      <c r="FX172" s="451"/>
      <c r="FY172" s="451"/>
      <c r="FZ172" s="451"/>
      <c r="GA172" s="451"/>
      <c r="GB172" s="451"/>
      <c r="GC172" s="451"/>
      <c r="GD172" s="451"/>
      <c r="GE172" s="451"/>
      <c r="GF172" s="451"/>
      <c r="GG172" s="451"/>
      <c r="GH172" s="451"/>
      <c r="GI172" s="451"/>
      <c r="GJ172" s="451"/>
      <c r="GK172" s="451"/>
      <c r="GL172" s="451"/>
      <c r="GM172" s="451"/>
      <c r="GN172" s="451"/>
      <c r="GO172" s="451"/>
      <c r="GP172" s="451"/>
      <c r="GQ172" s="148"/>
      <c r="GR172" s="451"/>
      <c r="GS172" s="451"/>
      <c r="GT172" s="451"/>
      <c r="GU172" s="451"/>
      <c r="GV172" s="900"/>
      <c r="GW172" s="900"/>
      <c r="GX172" s="451"/>
      <c r="GY172" s="451"/>
      <c r="GZ172" s="451"/>
      <c r="HA172" s="451"/>
      <c r="HB172" s="451"/>
      <c r="HC172" s="451"/>
      <c r="HD172" s="147">
        <f>AVERAGE(HD82:HD91)</f>
        <v>2.6290453545813341E-2</v>
      </c>
      <c r="HE172" s="451"/>
      <c r="HF172" s="664"/>
      <c r="HV172" s="147">
        <f t="shared" ref="HV172:IH172" si="217">AVERAGE(HV82:HV91)</f>
        <v>1.9151058982048639E-2</v>
      </c>
      <c r="HW172" s="93"/>
      <c r="HX172" s="93"/>
      <c r="HY172" s="93"/>
      <c r="HZ172" s="93">
        <f t="shared" si="217"/>
        <v>0.33860063845319227</v>
      </c>
      <c r="IA172" s="93">
        <f t="shared" si="217"/>
        <v>3.5206172638695313E-2</v>
      </c>
      <c r="IB172" s="93">
        <f t="shared" si="217"/>
        <v>10.01501927622502</v>
      </c>
      <c r="IC172" s="93">
        <f t="shared" si="217"/>
        <v>2.0861701774107316E-2</v>
      </c>
      <c r="ID172" s="93">
        <f t="shared" si="217"/>
        <v>-2.9917405043642181E-2</v>
      </c>
      <c r="IE172" s="93" t="e">
        <f t="shared" si="217"/>
        <v>#DIV/0!</v>
      </c>
      <c r="IF172" s="93">
        <f t="shared" si="217"/>
        <v>2.0007036861625506E-2</v>
      </c>
      <c r="IG172" s="93">
        <f t="shared" si="217"/>
        <v>1.7194022537737875E-2</v>
      </c>
      <c r="IH172" s="93">
        <f t="shared" si="217"/>
        <v>2.8130143238876302E-3</v>
      </c>
      <c r="II172" s="93"/>
      <c r="IJ172" s="93"/>
      <c r="IK172" s="841"/>
      <c r="IL172" s="90"/>
      <c r="IV172" s="76">
        <f>SUM(IV82:IV91)</f>
        <v>2130567</v>
      </c>
      <c r="IW172" s="76"/>
      <c r="IX172" s="76">
        <f>SUM(IX82:IX91)</f>
        <v>252078</v>
      </c>
      <c r="IY172" s="76"/>
      <c r="IZ172" s="76">
        <f>SUM(IZ82:IZ91)</f>
        <v>89811</v>
      </c>
      <c r="JA172" s="76">
        <f>SUM(JA82:JA91)</f>
        <v>173733</v>
      </c>
      <c r="JJ172" s="23">
        <f>JA172/IX172</f>
        <v>0.6892033418227691</v>
      </c>
      <c r="JK172" s="23">
        <f>(IX172+IZ172)/(IX172+IV172+IZ172)</f>
        <v>0.13827910385462877</v>
      </c>
      <c r="JL172" s="23">
        <f>IX172/IV172</f>
        <v>0.11831498375784474</v>
      </c>
      <c r="JM172" s="660"/>
    </row>
    <row r="173" spans="1:273" hidden="1">
      <c r="A173" s="451"/>
      <c r="B173" s="451"/>
      <c r="C173" s="91"/>
      <c r="D173" s="69"/>
      <c r="E173" s="455"/>
      <c r="F173" s="455"/>
      <c r="I173" s="90"/>
      <c r="J173" s="90"/>
      <c r="K173" s="90"/>
      <c r="L173" s="90"/>
      <c r="M173" s="90"/>
      <c r="N173" s="90"/>
      <c r="O173" s="90"/>
      <c r="P173" s="96"/>
      <c r="Q173" s="455"/>
      <c r="R173" s="69"/>
      <c r="S173" s="90"/>
      <c r="X173" s="69"/>
      <c r="AM173" s="69"/>
      <c r="BJ173" s="69"/>
      <c r="BU173" s="69"/>
      <c r="BV173" s="90"/>
      <c r="CS173" s="69"/>
      <c r="DF173" s="69"/>
      <c r="DO173" s="90"/>
      <c r="DP173" s="69"/>
      <c r="EF173" s="69"/>
      <c r="EP173" s="90"/>
      <c r="EZ173" s="90"/>
      <c r="FA173" s="90"/>
      <c r="FB173" s="90"/>
      <c r="FC173" s="90"/>
      <c r="FD173" s="90"/>
      <c r="FE173" s="90"/>
      <c r="FF173" s="90"/>
      <c r="FO173" s="69"/>
      <c r="FP173" s="90"/>
      <c r="GQ173" s="69"/>
      <c r="HD173" s="69"/>
      <c r="HV173" s="69"/>
      <c r="HW173" s="90"/>
      <c r="HX173" s="90"/>
      <c r="HY173" s="90"/>
      <c r="HZ173" s="90"/>
      <c r="IA173" s="90"/>
      <c r="IB173" s="90"/>
      <c r="IC173" s="90"/>
      <c r="ID173" s="90"/>
      <c r="IE173" s="90"/>
      <c r="IF173" s="90"/>
      <c r="IG173" s="90"/>
      <c r="IH173" s="90"/>
      <c r="II173" s="90"/>
      <c r="IJ173" s="90"/>
      <c r="IK173" s="841"/>
      <c r="IL173" s="90"/>
      <c r="JJ173" s="23"/>
    </row>
    <row r="174" spans="1:273" hidden="1">
      <c r="A174" s="451"/>
      <c r="B174" s="451"/>
      <c r="C174" s="91"/>
      <c r="D174" s="69"/>
      <c r="E174" s="455"/>
      <c r="F174" s="455"/>
      <c r="I174" s="90"/>
      <c r="J174" s="90"/>
      <c r="K174" s="90"/>
      <c r="L174" s="90"/>
      <c r="M174" s="90"/>
      <c r="N174" s="90"/>
      <c r="O174" s="90"/>
      <c r="P174" s="96"/>
      <c r="Q174" s="455"/>
      <c r="R174" s="69"/>
      <c r="S174" s="90"/>
      <c r="X174" s="69"/>
      <c r="AM174" s="69"/>
      <c r="BJ174" s="69"/>
      <c r="BU174" s="69"/>
      <c r="BV174" s="90"/>
      <c r="CS174" s="69"/>
      <c r="DF174" s="69"/>
      <c r="DO174" s="90"/>
      <c r="DP174" s="69"/>
      <c r="EF174" s="69"/>
      <c r="EP174" s="90"/>
      <c r="EZ174" s="90"/>
      <c r="FA174" s="90"/>
      <c r="FB174" s="90"/>
      <c r="FC174" s="90"/>
      <c r="FD174" s="90"/>
      <c r="FE174" s="90"/>
      <c r="FF174" s="90"/>
      <c r="FO174" s="69"/>
      <c r="FP174" s="90"/>
      <c r="GQ174" s="69"/>
      <c r="HD174" s="69"/>
      <c r="HV174" s="69"/>
      <c r="HW174" s="90"/>
      <c r="HX174" s="90"/>
      <c r="HY174" s="90"/>
      <c r="HZ174" s="90"/>
      <c r="IA174" s="90"/>
      <c r="IB174" s="90"/>
      <c r="IC174" s="90"/>
      <c r="ID174" s="90"/>
      <c r="IE174" s="90"/>
      <c r="IF174" s="90"/>
      <c r="IG174" s="90"/>
      <c r="IH174" s="90"/>
      <c r="II174" s="90"/>
      <c r="IJ174" s="90"/>
      <c r="IK174" s="841"/>
      <c r="IL174" s="90"/>
      <c r="JJ174" s="23"/>
    </row>
    <row r="175" spans="1:273" hidden="1">
      <c r="A175" s="451"/>
      <c r="B175" s="451"/>
      <c r="C175" s="91"/>
      <c r="D175" s="69"/>
      <c r="E175" s="455"/>
      <c r="F175" s="455"/>
      <c r="I175" s="90"/>
      <c r="J175" s="90"/>
      <c r="K175" s="90"/>
      <c r="L175" s="90"/>
      <c r="M175" s="90"/>
      <c r="N175" s="90"/>
      <c r="O175" s="90"/>
      <c r="P175" s="96"/>
      <c r="Q175" s="455"/>
      <c r="R175" s="69"/>
      <c r="S175" s="90"/>
      <c r="X175" s="69"/>
      <c r="AM175" s="69"/>
      <c r="BJ175" s="69"/>
      <c r="BU175" s="69"/>
      <c r="BV175" s="90"/>
      <c r="CS175" s="69"/>
      <c r="DF175" s="69"/>
      <c r="DO175" s="90"/>
      <c r="DP175" s="69"/>
      <c r="EF175" s="69"/>
      <c r="EP175" s="90"/>
      <c r="EZ175" s="90"/>
      <c r="FA175" s="90"/>
      <c r="FB175" s="90"/>
      <c r="FC175" s="90"/>
      <c r="FD175" s="90"/>
      <c r="FE175" s="90"/>
      <c r="FF175" s="90"/>
      <c r="FO175" s="69"/>
      <c r="FP175" s="90"/>
      <c r="GQ175" s="69"/>
      <c r="HD175" s="69"/>
      <c r="HV175" s="69"/>
      <c r="HW175" s="90"/>
      <c r="HX175" s="90"/>
      <c r="HY175" s="90"/>
      <c r="HZ175" s="90"/>
      <c r="IA175" s="90"/>
      <c r="IB175" s="90"/>
      <c r="IC175" s="90"/>
      <c r="ID175" s="90"/>
      <c r="IE175" s="90"/>
      <c r="IF175" s="90"/>
      <c r="IG175" s="90"/>
      <c r="IH175" s="90"/>
      <c r="II175" s="90"/>
      <c r="IJ175" s="90"/>
      <c r="IK175" s="841"/>
      <c r="IL175" s="90"/>
      <c r="JJ175" s="23"/>
    </row>
    <row r="176" spans="1:273" hidden="1">
      <c r="A176" s="451"/>
      <c r="B176" s="451"/>
      <c r="C176" s="91"/>
      <c r="D176" s="69"/>
      <c r="E176" s="455"/>
      <c r="F176" s="455"/>
      <c r="I176" s="90"/>
      <c r="J176" s="90"/>
      <c r="K176" s="90"/>
      <c r="L176" s="90"/>
      <c r="M176" s="90"/>
      <c r="N176" s="90"/>
      <c r="O176" s="90"/>
      <c r="P176" s="96"/>
      <c r="Q176" s="455"/>
      <c r="R176" s="69"/>
      <c r="S176" s="90"/>
      <c r="X176" s="69"/>
      <c r="AM176" s="69"/>
      <c r="BJ176" s="69"/>
      <c r="BU176" s="69"/>
      <c r="BV176" s="90"/>
      <c r="CS176" s="69"/>
      <c r="DF176" s="69"/>
      <c r="DO176" s="90"/>
      <c r="DP176" s="69"/>
      <c r="EF176" s="69"/>
      <c r="EP176" s="90"/>
      <c r="EZ176" s="90"/>
      <c r="FA176" s="90"/>
      <c r="FB176" s="90"/>
      <c r="FC176" s="90"/>
      <c r="FD176" s="90"/>
      <c r="FE176" s="90"/>
      <c r="FF176" s="90"/>
      <c r="FO176" s="69"/>
      <c r="FP176" s="90"/>
      <c r="GQ176" s="69"/>
      <c r="HD176" s="69"/>
      <c r="HV176" s="69"/>
      <c r="HW176" s="90"/>
      <c r="HX176" s="90"/>
      <c r="HY176" s="90"/>
      <c r="HZ176" s="90"/>
      <c r="IA176" s="90"/>
      <c r="IB176" s="90"/>
      <c r="IC176" s="90"/>
      <c r="ID176" s="90"/>
      <c r="IE176" s="90"/>
      <c r="IF176" s="90"/>
      <c r="IG176" s="90"/>
      <c r="IH176" s="90"/>
      <c r="II176" s="90"/>
      <c r="IJ176" s="90"/>
      <c r="IK176" s="841"/>
      <c r="IL176" s="90"/>
      <c r="JJ176" s="23"/>
    </row>
    <row r="177" spans="1:272" hidden="1">
      <c r="A177" s="451"/>
      <c r="B177" s="451"/>
      <c r="C177" s="91"/>
      <c r="D177" s="69"/>
      <c r="E177" s="455"/>
      <c r="F177" s="455"/>
      <c r="I177" s="90"/>
      <c r="J177" s="90"/>
      <c r="K177" s="90"/>
      <c r="L177" s="90"/>
      <c r="M177" s="90"/>
      <c r="N177" s="90"/>
      <c r="O177" s="90"/>
      <c r="P177" s="96"/>
      <c r="Q177" s="455"/>
      <c r="R177" s="69"/>
      <c r="S177" s="90"/>
      <c r="X177" s="69"/>
      <c r="AM177" s="69"/>
      <c r="BJ177" s="69"/>
      <c r="BU177" s="69"/>
      <c r="BV177" s="90"/>
      <c r="CS177" s="69"/>
      <c r="DF177" s="69"/>
      <c r="DO177" s="90"/>
      <c r="DP177" s="69"/>
      <c r="EF177" s="69"/>
      <c r="EP177" s="90"/>
      <c r="EZ177" s="90"/>
      <c r="FA177" s="90"/>
      <c r="FB177" s="90"/>
      <c r="FC177" s="90"/>
      <c r="FD177" s="90"/>
      <c r="FE177" s="90"/>
      <c r="FF177" s="90"/>
      <c r="FO177" s="69"/>
      <c r="FP177" s="90"/>
      <c r="GQ177" s="69"/>
      <c r="HD177" s="69"/>
      <c r="HV177" s="69"/>
      <c r="HW177" s="90"/>
      <c r="HX177" s="90"/>
      <c r="HY177" s="90"/>
      <c r="HZ177" s="90"/>
      <c r="IA177" s="90"/>
      <c r="IB177" s="90"/>
      <c r="IC177" s="90"/>
      <c r="ID177" s="90"/>
      <c r="IE177" s="90"/>
      <c r="IF177" s="90"/>
      <c r="IG177" s="90"/>
      <c r="IH177" s="90"/>
      <c r="II177" s="90"/>
      <c r="IJ177" s="90"/>
      <c r="IK177" s="841"/>
      <c r="IL177" s="90"/>
      <c r="JJ177" s="23"/>
    </row>
    <row r="178" spans="1:272" hidden="1">
      <c r="A178" s="451"/>
      <c r="B178" s="451"/>
      <c r="C178" s="91"/>
      <c r="D178" s="69"/>
      <c r="E178" s="455"/>
      <c r="F178" s="455"/>
      <c r="I178" s="90"/>
      <c r="J178" s="90"/>
      <c r="K178" s="90"/>
      <c r="L178" s="90"/>
      <c r="M178" s="90"/>
      <c r="N178" s="90"/>
      <c r="O178" s="90"/>
      <c r="P178" s="96"/>
      <c r="Q178" s="455"/>
      <c r="R178" s="69"/>
      <c r="S178" s="90"/>
      <c r="X178" s="69"/>
      <c r="AM178" s="69"/>
      <c r="BJ178" s="69"/>
      <c r="BU178" s="69"/>
      <c r="BV178" s="90"/>
      <c r="CS178" s="69"/>
      <c r="DF178" s="69"/>
      <c r="DO178" s="90"/>
      <c r="DP178" s="69"/>
      <c r="EF178" s="69"/>
      <c r="EP178" s="90"/>
      <c r="EZ178" s="90"/>
      <c r="FA178" s="90"/>
      <c r="FB178" s="90"/>
      <c r="FC178" s="90"/>
      <c r="FD178" s="90"/>
      <c r="FE178" s="90"/>
      <c r="FF178" s="90"/>
      <c r="FO178" s="69"/>
      <c r="FP178" s="90"/>
      <c r="GQ178" s="69"/>
      <c r="HD178" s="69"/>
      <c r="HV178" s="69"/>
      <c r="HW178" s="90"/>
      <c r="HX178" s="90"/>
      <c r="HY178" s="90"/>
      <c r="HZ178" s="90"/>
      <c r="IA178" s="90"/>
      <c r="IB178" s="90"/>
      <c r="IC178" s="90"/>
      <c r="ID178" s="90"/>
      <c r="IE178" s="90"/>
      <c r="IF178" s="90"/>
      <c r="IG178" s="90"/>
      <c r="IH178" s="90"/>
      <c r="II178" s="90"/>
      <c r="IJ178" s="90"/>
      <c r="IK178" s="841"/>
      <c r="IL178" s="90"/>
      <c r="JJ178" s="23"/>
    </row>
    <row r="179" spans="1:272" hidden="1">
      <c r="A179" s="451"/>
      <c r="B179" s="451"/>
      <c r="C179" s="91"/>
      <c r="D179" s="69"/>
      <c r="E179" s="455"/>
      <c r="F179" s="455"/>
      <c r="I179" s="90"/>
      <c r="J179" s="90"/>
      <c r="K179" s="90"/>
      <c r="L179" s="90"/>
      <c r="M179" s="90"/>
      <c r="N179" s="90"/>
      <c r="O179" s="90"/>
      <c r="P179" s="96"/>
      <c r="Q179" s="455"/>
      <c r="R179" s="69"/>
      <c r="S179" s="90"/>
      <c r="X179" s="69"/>
      <c r="AM179" s="69"/>
      <c r="BJ179" s="69"/>
      <c r="BU179" s="69"/>
      <c r="BV179" s="90"/>
      <c r="CS179" s="69"/>
      <c r="DF179" s="69"/>
      <c r="DO179" s="90"/>
      <c r="DP179" s="69"/>
      <c r="EF179" s="69"/>
      <c r="EP179" s="90"/>
      <c r="EZ179" s="90"/>
      <c r="FA179" s="90"/>
      <c r="FB179" s="90"/>
      <c r="FC179" s="90"/>
      <c r="FD179" s="90"/>
      <c r="FE179" s="90"/>
      <c r="FF179" s="90"/>
      <c r="FO179" s="69"/>
      <c r="FP179" s="90"/>
      <c r="GQ179" s="69"/>
      <c r="HD179" s="69"/>
      <c r="HV179" s="69"/>
      <c r="HW179" s="90"/>
      <c r="HX179" s="90"/>
      <c r="HY179" s="90"/>
      <c r="HZ179" s="90"/>
      <c r="IA179" s="90"/>
      <c r="IB179" s="90"/>
      <c r="IC179" s="90"/>
      <c r="ID179" s="90"/>
      <c r="IE179" s="90"/>
      <c r="IF179" s="90"/>
      <c r="IG179" s="90"/>
      <c r="IH179" s="90"/>
      <c r="II179" s="90"/>
      <c r="IJ179" s="90"/>
      <c r="IK179" s="841"/>
      <c r="IL179" s="90"/>
      <c r="JJ179" s="23"/>
    </row>
    <row r="180" spans="1:272" hidden="1">
      <c r="A180" s="451"/>
      <c r="B180" s="451"/>
      <c r="C180" s="91"/>
      <c r="D180" s="69"/>
      <c r="E180" s="455"/>
      <c r="F180" s="455"/>
      <c r="I180" s="90"/>
      <c r="J180" s="90"/>
      <c r="K180" s="90"/>
      <c r="L180" s="90"/>
      <c r="M180" s="90"/>
      <c r="N180" s="90"/>
      <c r="O180" s="90"/>
      <c r="P180" s="96"/>
      <c r="Q180" s="455"/>
      <c r="R180" s="69"/>
      <c r="S180" s="90"/>
      <c r="X180" s="69"/>
      <c r="AM180" s="69"/>
      <c r="BJ180" s="69"/>
      <c r="BU180" s="69"/>
      <c r="BV180" s="90"/>
      <c r="CS180" s="69"/>
      <c r="DF180" s="69"/>
      <c r="DO180" s="90"/>
      <c r="DP180" s="69"/>
      <c r="EF180" s="69"/>
      <c r="EP180" s="90"/>
      <c r="EZ180" s="90"/>
      <c r="FA180" s="90"/>
      <c r="FB180" s="90"/>
      <c r="FC180" s="90"/>
      <c r="FD180" s="90"/>
      <c r="FE180" s="90"/>
      <c r="FF180" s="90"/>
      <c r="FO180" s="69"/>
      <c r="FP180" s="90"/>
      <c r="GQ180" s="69"/>
      <c r="HD180" s="69"/>
      <c r="HV180" s="69"/>
      <c r="HW180" s="90"/>
      <c r="HX180" s="90"/>
      <c r="HY180" s="90"/>
      <c r="HZ180" s="90"/>
      <c r="IA180" s="90"/>
      <c r="IB180" s="90"/>
      <c r="IC180" s="90"/>
      <c r="ID180" s="90"/>
      <c r="IE180" s="90"/>
      <c r="IF180" s="90"/>
      <c r="IG180" s="90"/>
      <c r="IH180" s="90"/>
      <c r="II180" s="90"/>
      <c r="IJ180" s="90"/>
      <c r="IK180" s="841"/>
      <c r="IL180" s="90"/>
      <c r="JJ180" s="23"/>
    </row>
    <row r="181" spans="1:272" hidden="1">
      <c r="A181" s="451"/>
      <c r="B181" s="451"/>
      <c r="C181" s="91"/>
      <c r="D181" s="69"/>
      <c r="E181" s="455"/>
      <c r="F181" s="455"/>
      <c r="I181" s="90"/>
      <c r="J181" s="90"/>
      <c r="K181" s="90"/>
      <c r="L181" s="90"/>
      <c r="M181" s="90"/>
      <c r="N181" s="90"/>
      <c r="O181" s="90"/>
      <c r="P181" s="96"/>
      <c r="Q181" s="455"/>
      <c r="R181" s="69"/>
      <c r="S181" s="90"/>
      <c r="X181" s="69"/>
      <c r="AM181" s="69"/>
      <c r="BJ181" s="69"/>
      <c r="BU181" s="69"/>
      <c r="BV181" s="90"/>
      <c r="CS181" s="69"/>
      <c r="DF181" s="69"/>
      <c r="DO181" s="90"/>
      <c r="DP181" s="69"/>
      <c r="EF181" s="69"/>
      <c r="EP181" s="90"/>
      <c r="EZ181" s="90"/>
      <c r="FA181" s="90"/>
      <c r="FB181" s="90"/>
      <c r="FC181" s="90"/>
      <c r="FD181" s="90"/>
      <c r="FE181" s="90"/>
      <c r="FF181" s="90"/>
      <c r="FO181" s="69"/>
      <c r="FP181" s="90"/>
      <c r="GQ181" s="69"/>
      <c r="HD181" s="69"/>
      <c r="HV181" s="69"/>
      <c r="HW181" s="90"/>
      <c r="HX181" s="90"/>
      <c r="HY181" s="90"/>
      <c r="HZ181" s="90"/>
      <c r="IA181" s="90"/>
      <c r="IB181" s="90"/>
      <c r="IC181" s="90"/>
      <c r="ID181" s="90"/>
      <c r="IE181" s="90"/>
      <c r="IF181" s="90"/>
      <c r="IG181" s="90"/>
      <c r="IH181" s="90"/>
      <c r="II181" s="90"/>
      <c r="IJ181" s="90"/>
      <c r="IK181" s="841"/>
      <c r="IL181" s="90"/>
      <c r="JJ181" s="23"/>
    </row>
    <row r="182" spans="1:272">
      <c r="A182" s="451">
        <v>2000</v>
      </c>
      <c r="B182" s="451" t="s">
        <v>723</v>
      </c>
      <c r="C182" s="91"/>
      <c r="D182" s="69"/>
      <c r="E182" s="93">
        <f>AVERAGE(E92:E101)</f>
        <v>0.1106101820956988</v>
      </c>
      <c r="F182" s="93"/>
      <c r="I182" s="90"/>
      <c r="J182" s="90"/>
      <c r="K182" s="90"/>
      <c r="L182" s="90"/>
      <c r="M182" s="90"/>
      <c r="N182" s="90"/>
      <c r="O182" s="90"/>
      <c r="P182" s="94">
        <f>AVERAGE(P92:P101)</f>
        <v>8.6174400199516249E-2</v>
      </c>
      <c r="Q182" s="93"/>
      <c r="R182" s="69"/>
      <c r="S182" s="90"/>
      <c r="X182" s="69"/>
      <c r="AM182" s="69"/>
      <c r="BJ182" s="69"/>
      <c r="BU182" s="69"/>
      <c r="BV182" s="90"/>
      <c r="CM182" s="240">
        <f>AVERAGE(CM92:CM101)</f>
        <v>2.011507400824852E-2</v>
      </c>
      <c r="CN182" s="240">
        <f>AVERAGE(CN92:CN101)</f>
        <v>6.6059326191267725E-2</v>
      </c>
      <c r="CO182" s="240">
        <f>AVERAGE(CO92:CO101)</f>
        <v>2.2777520692536151E-3</v>
      </c>
      <c r="CP182" s="240"/>
      <c r="CQ182" s="240"/>
      <c r="CR182" s="240">
        <f>AVERAGE(CR92:CR101)</f>
        <v>7.6202068265084468E-3</v>
      </c>
      <c r="CS182" s="69"/>
      <c r="DF182" s="69"/>
      <c r="DO182" s="90"/>
      <c r="DP182" s="69"/>
      <c r="EF182" s="69"/>
      <c r="EP182" s="90"/>
      <c r="EZ182" s="90"/>
      <c r="FA182" s="90"/>
      <c r="FB182" s="90"/>
      <c r="FC182" s="90"/>
      <c r="FD182" s="90"/>
      <c r="FE182" s="90"/>
      <c r="FF182" s="90"/>
      <c r="FO182" s="69"/>
      <c r="FP182" s="90"/>
      <c r="GQ182" s="69"/>
      <c r="HD182" s="147">
        <f>AVERAGE(HD92:HD101)</f>
        <v>5.6938955557429727E-2</v>
      </c>
      <c r="HV182" s="147">
        <f t="shared" ref="HV182:IH182" si="218">AVERAGE(HV92:HV101)</f>
        <v>4.2736388804269658E-2</v>
      </c>
      <c r="HW182" s="93"/>
      <c r="HX182" s="93"/>
      <c r="HY182" s="93"/>
      <c r="HZ182" s="93">
        <f t="shared" si="218"/>
        <v>2.3182726662756042E-2</v>
      </c>
      <c r="IA182" s="93">
        <f t="shared" si="218"/>
        <v>7.3203414205159828E-2</v>
      </c>
      <c r="IB182" s="93">
        <f t="shared" si="218"/>
        <v>0.18955375064717589</v>
      </c>
      <c r="IC182" s="93">
        <f t="shared" si="218"/>
        <v>6.7427791284336042E-2</v>
      </c>
      <c r="ID182" s="93">
        <f t="shared" si="218"/>
        <v>1.3489072753581844E-2</v>
      </c>
      <c r="IE182" s="93">
        <f t="shared" si="218"/>
        <v>2.9574057685932049E-3</v>
      </c>
      <c r="IF182" s="93">
        <f t="shared" si="218"/>
        <v>4.4157885042744795E-2</v>
      </c>
      <c r="IG182" s="93">
        <f t="shared" si="218"/>
        <v>4.1790322189596697E-2</v>
      </c>
      <c r="IH182" s="93">
        <f t="shared" si="218"/>
        <v>2.3675628531481018E-3</v>
      </c>
      <c r="II182" s="93"/>
      <c r="IJ182" s="93"/>
      <c r="IK182" s="841"/>
      <c r="IL182" s="90"/>
      <c r="IV182" s="76">
        <f>SUM(IV92:IV101)</f>
        <v>2142656</v>
      </c>
      <c r="IW182" s="76"/>
      <c r="IX182" s="76">
        <f>SUM(IX92:IX101)</f>
        <v>-1972</v>
      </c>
      <c r="IY182" s="76"/>
      <c r="IZ182" s="76">
        <f>SUM(IZ92:IZ101)</f>
        <v>8742</v>
      </c>
      <c r="JA182" s="76">
        <f>SUM(JA92:JA101)</f>
        <v>18911</v>
      </c>
      <c r="JJ182" s="23">
        <f>JA182/IX182</f>
        <v>-9.5897565922920887</v>
      </c>
      <c r="JK182" s="23">
        <f>(IX182+IZ182)/(IX182+IV182+IZ182)</f>
        <v>3.1496781001067262E-3</v>
      </c>
      <c r="JL182" s="23">
        <f>IX182/IV182</f>
        <v>-9.2035305714029689E-4</v>
      </c>
    </row>
    <row r="183" spans="1:272" hidden="1">
      <c r="A183" s="451"/>
      <c r="B183" s="451"/>
      <c r="C183" s="91"/>
      <c r="D183" s="69"/>
      <c r="E183" s="455"/>
      <c r="F183" s="455"/>
      <c r="I183" s="90"/>
      <c r="J183" s="90"/>
      <c r="K183" s="90"/>
      <c r="L183" s="90"/>
      <c r="M183" s="90"/>
      <c r="N183" s="90"/>
      <c r="O183" s="90"/>
      <c r="P183" s="96"/>
      <c r="Q183" s="455"/>
      <c r="R183" s="69"/>
      <c r="S183" s="90"/>
      <c r="X183" s="69"/>
      <c r="AM183" s="69"/>
      <c r="BJ183" s="69"/>
      <c r="BU183" s="69"/>
      <c r="BV183" s="90"/>
      <c r="CS183" s="69"/>
      <c r="DF183" s="69"/>
      <c r="DO183" s="90"/>
      <c r="DP183" s="69"/>
      <c r="EF183" s="69"/>
      <c r="EP183" s="90"/>
      <c r="EZ183" s="90"/>
      <c r="FA183" s="90"/>
      <c r="FB183" s="90"/>
      <c r="FC183" s="90"/>
      <c r="FD183" s="90"/>
      <c r="FE183" s="90"/>
      <c r="FF183" s="90"/>
      <c r="FO183" s="69"/>
      <c r="FP183" s="90"/>
      <c r="GQ183" s="69"/>
      <c r="HD183" s="69"/>
      <c r="HV183" s="69"/>
      <c r="HW183" s="90"/>
      <c r="HX183" s="90"/>
      <c r="HY183" s="90"/>
      <c r="HZ183" s="90"/>
      <c r="IA183" s="90"/>
      <c r="IB183" s="90"/>
      <c r="IC183" s="90"/>
      <c r="ID183" s="90"/>
      <c r="IE183" s="90"/>
      <c r="IF183" s="90"/>
      <c r="IG183" s="90"/>
      <c r="IH183" s="90"/>
      <c r="II183" s="90"/>
      <c r="IJ183" s="90"/>
      <c r="IK183" s="841"/>
      <c r="IL183" s="90"/>
      <c r="JJ183" s="23"/>
    </row>
    <row r="184" spans="1:272" hidden="1">
      <c r="A184" s="451"/>
      <c r="B184" s="451"/>
      <c r="C184" s="91"/>
      <c r="D184" s="69"/>
      <c r="E184" s="455"/>
      <c r="F184" s="455"/>
      <c r="I184" s="90"/>
      <c r="J184" s="90"/>
      <c r="K184" s="90"/>
      <c r="L184" s="90"/>
      <c r="M184" s="90"/>
      <c r="N184" s="90"/>
      <c r="O184" s="90"/>
      <c r="P184" s="96"/>
      <c r="Q184" s="455"/>
      <c r="R184" s="69"/>
      <c r="S184" s="90"/>
      <c r="X184" s="69"/>
      <c r="AM184" s="69"/>
      <c r="BJ184" s="69"/>
      <c r="BU184" s="69"/>
      <c r="BV184" s="90"/>
      <c r="CS184" s="69"/>
      <c r="DF184" s="69"/>
      <c r="DO184" s="90"/>
      <c r="DP184" s="69"/>
      <c r="EF184" s="69"/>
      <c r="EP184" s="90"/>
      <c r="EZ184" s="90"/>
      <c r="FA184" s="90"/>
      <c r="FB184" s="90"/>
      <c r="FC184" s="90"/>
      <c r="FD184" s="90"/>
      <c r="FE184" s="90"/>
      <c r="FF184" s="90"/>
      <c r="FO184" s="69"/>
      <c r="FP184" s="90"/>
      <c r="GQ184" s="69"/>
      <c r="HD184" s="69"/>
      <c r="HV184" s="69"/>
      <c r="HW184" s="90"/>
      <c r="HX184" s="90"/>
      <c r="HY184" s="90"/>
      <c r="HZ184" s="90"/>
      <c r="IA184" s="90"/>
      <c r="IB184" s="90"/>
      <c r="IC184" s="90"/>
      <c r="ID184" s="90"/>
      <c r="IE184" s="90"/>
      <c r="IF184" s="90"/>
      <c r="IG184" s="90"/>
      <c r="IH184" s="90"/>
      <c r="II184" s="90"/>
      <c r="IJ184" s="90"/>
      <c r="IK184" s="841"/>
      <c r="IL184" s="90"/>
      <c r="JJ184" s="23"/>
    </row>
    <row r="185" spans="1:272" hidden="1">
      <c r="A185" s="451"/>
      <c r="B185" s="451"/>
      <c r="C185" s="91"/>
      <c r="D185" s="69"/>
      <c r="E185" s="455"/>
      <c r="F185" s="455"/>
      <c r="I185" s="90"/>
      <c r="J185" s="90"/>
      <c r="K185" s="90"/>
      <c r="L185" s="90"/>
      <c r="M185" s="90"/>
      <c r="N185" s="90"/>
      <c r="O185" s="90"/>
      <c r="P185" s="96"/>
      <c r="Q185" s="455"/>
      <c r="R185" s="69"/>
      <c r="S185" s="90"/>
      <c r="X185" s="69"/>
      <c r="AM185" s="69"/>
      <c r="BJ185" s="69"/>
      <c r="BU185" s="69"/>
      <c r="BV185" s="90"/>
      <c r="CS185" s="69"/>
      <c r="DF185" s="69"/>
      <c r="DO185" s="90"/>
      <c r="DP185" s="69"/>
      <c r="EF185" s="69"/>
      <c r="EP185" s="90"/>
      <c r="EZ185" s="90"/>
      <c r="FA185" s="90"/>
      <c r="FB185" s="90"/>
      <c r="FC185" s="90"/>
      <c r="FD185" s="90"/>
      <c r="FE185" s="90"/>
      <c r="FF185" s="90"/>
      <c r="FO185" s="69"/>
      <c r="FP185" s="90"/>
      <c r="GQ185" s="69"/>
      <c r="HD185" s="69"/>
      <c r="HV185" s="69"/>
      <c r="HW185" s="90"/>
      <c r="HX185" s="90"/>
      <c r="HY185" s="90"/>
      <c r="HZ185" s="90"/>
      <c r="IA185" s="90"/>
      <c r="IB185" s="90"/>
      <c r="IC185" s="90"/>
      <c r="ID185" s="90"/>
      <c r="IE185" s="90"/>
      <c r="IF185" s="90"/>
      <c r="IG185" s="90"/>
      <c r="IH185" s="90"/>
      <c r="II185" s="90"/>
      <c r="IJ185" s="90"/>
      <c r="IK185" s="841"/>
      <c r="IL185" s="90"/>
      <c r="JJ185" s="23"/>
    </row>
    <row r="186" spans="1:272" hidden="1">
      <c r="A186" s="451"/>
      <c r="B186" s="451"/>
      <c r="C186" s="91"/>
      <c r="D186" s="69"/>
      <c r="E186" s="455"/>
      <c r="F186" s="455"/>
      <c r="I186" s="90"/>
      <c r="J186" s="90"/>
      <c r="K186" s="90"/>
      <c r="L186" s="90"/>
      <c r="M186" s="90"/>
      <c r="N186" s="90"/>
      <c r="O186" s="90"/>
      <c r="P186" s="96"/>
      <c r="Q186" s="455"/>
      <c r="R186" s="69"/>
      <c r="S186" s="90"/>
      <c r="X186" s="69"/>
      <c r="AM186" s="69"/>
      <c r="BJ186" s="69"/>
      <c r="BU186" s="69"/>
      <c r="BV186" s="90"/>
      <c r="CS186" s="69"/>
      <c r="DF186" s="69"/>
      <c r="DO186" s="90"/>
      <c r="DP186" s="69"/>
      <c r="EF186" s="69"/>
      <c r="EP186" s="90"/>
      <c r="EZ186" s="90"/>
      <c r="FA186" s="90"/>
      <c r="FB186" s="90"/>
      <c r="FC186" s="90"/>
      <c r="FD186" s="90"/>
      <c r="FE186" s="90"/>
      <c r="FF186" s="90"/>
      <c r="FO186" s="69"/>
      <c r="FP186" s="90"/>
      <c r="GQ186" s="69"/>
      <c r="HD186" s="69"/>
      <c r="HV186" s="69"/>
      <c r="HW186" s="90"/>
      <c r="HX186" s="90"/>
      <c r="HY186" s="90"/>
      <c r="HZ186" s="90"/>
      <c r="IA186" s="90"/>
      <c r="IB186" s="90"/>
      <c r="IC186" s="90"/>
      <c r="ID186" s="90"/>
      <c r="IE186" s="90"/>
      <c r="IF186" s="90"/>
      <c r="IG186" s="90"/>
      <c r="IH186" s="90"/>
      <c r="II186" s="90"/>
      <c r="IJ186" s="90"/>
      <c r="IK186" s="841"/>
      <c r="IL186" s="90"/>
      <c r="JJ186" s="23"/>
    </row>
    <row r="187" spans="1:272" hidden="1">
      <c r="A187" s="451"/>
      <c r="B187" s="451"/>
      <c r="C187" s="91"/>
      <c r="D187" s="69"/>
      <c r="E187" s="455"/>
      <c r="F187" s="455"/>
      <c r="I187" s="90"/>
      <c r="J187" s="90"/>
      <c r="K187" s="90"/>
      <c r="L187" s="90"/>
      <c r="M187" s="90"/>
      <c r="N187" s="90"/>
      <c r="O187" s="90"/>
      <c r="P187" s="96"/>
      <c r="Q187" s="455"/>
      <c r="R187" s="69"/>
      <c r="S187" s="90"/>
      <c r="X187" s="69"/>
      <c r="AM187" s="69"/>
      <c r="BJ187" s="69"/>
      <c r="BU187" s="69"/>
      <c r="BV187" s="90"/>
      <c r="CS187" s="69"/>
      <c r="DF187" s="69"/>
      <c r="DO187" s="90"/>
      <c r="DP187" s="69"/>
      <c r="EF187" s="69"/>
      <c r="EP187" s="90"/>
      <c r="EZ187" s="90"/>
      <c r="FA187" s="90"/>
      <c r="FB187" s="90"/>
      <c r="FC187" s="90"/>
      <c r="FD187" s="90"/>
      <c r="FE187" s="90"/>
      <c r="FF187" s="90"/>
      <c r="FO187" s="69"/>
      <c r="FP187" s="90"/>
      <c r="GQ187" s="69"/>
      <c r="HD187" s="69"/>
      <c r="HV187" s="69"/>
      <c r="HW187" s="90"/>
      <c r="HX187" s="90"/>
      <c r="HY187" s="90"/>
      <c r="HZ187" s="90"/>
      <c r="IA187" s="90"/>
      <c r="IB187" s="90"/>
      <c r="IC187" s="90"/>
      <c r="ID187" s="90"/>
      <c r="IE187" s="90"/>
      <c r="IF187" s="90"/>
      <c r="IG187" s="90"/>
      <c r="IH187" s="90"/>
      <c r="II187" s="90"/>
      <c r="IJ187" s="90"/>
      <c r="IK187" s="841"/>
      <c r="IL187" s="90"/>
      <c r="JJ187" s="23"/>
    </row>
    <row r="188" spans="1:272" hidden="1">
      <c r="A188" s="451"/>
      <c r="B188" s="451"/>
      <c r="C188" s="91"/>
      <c r="D188" s="69"/>
      <c r="E188" s="455"/>
      <c r="F188" s="455"/>
      <c r="I188" s="90"/>
      <c r="J188" s="90"/>
      <c r="K188" s="90"/>
      <c r="L188" s="90"/>
      <c r="M188" s="90"/>
      <c r="N188" s="90"/>
      <c r="O188" s="90"/>
      <c r="P188" s="96"/>
      <c r="Q188" s="455"/>
      <c r="R188" s="69"/>
      <c r="S188" s="90"/>
      <c r="X188" s="69"/>
      <c r="AM188" s="69"/>
      <c r="BJ188" s="69"/>
      <c r="BU188" s="69"/>
      <c r="BV188" s="90"/>
      <c r="CS188" s="69"/>
      <c r="DF188" s="69"/>
      <c r="DO188" s="90"/>
      <c r="DP188" s="69"/>
      <c r="EF188" s="69"/>
      <c r="EP188" s="90"/>
      <c r="EZ188" s="90"/>
      <c r="FA188" s="90"/>
      <c r="FB188" s="90"/>
      <c r="FC188" s="90"/>
      <c r="FD188" s="90"/>
      <c r="FE188" s="90"/>
      <c r="FF188" s="90"/>
      <c r="FO188" s="69"/>
      <c r="FP188" s="90"/>
      <c r="GQ188" s="69"/>
      <c r="HD188" s="69"/>
      <c r="HV188" s="69"/>
      <c r="HW188" s="90"/>
      <c r="HX188" s="90"/>
      <c r="HY188" s="90"/>
      <c r="HZ188" s="90"/>
      <c r="IA188" s="90"/>
      <c r="IB188" s="90"/>
      <c r="IC188" s="90"/>
      <c r="ID188" s="90"/>
      <c r="IE188" s="90"/>
      <c r="IF188" s="90"/>
      <c r="IG188" s="90"/>
      <c r="IH188" s="90"/>
      <c r="II188" s="90"/>
      <c r="IJ188" s="90"/>
      <c r="IK188" s="841"/>
      <c r="IL188" s="90"/>
      <c r="JJ188" s="23"/>
    </row>
    <row r="189" spans="1:272" hidden="1">
      <c r="A189" s="451"/>
      <c r="B189" s="451"/>
      <c r="C189" s="91"/>
      <c r="D189" s="69"/>
      <c r="E189" s="455"/>
      <c r="F189" s="455"/>
      <c r="I189" s="90"/>
      <c r="J189" s="90"/>
      <c r="K189" s="90"/>
      <c r="L189" s="90"/>
      <c r="M189" s="90"/>
      <c r="N189" s="90"/>
      <c r="O189" s="90"/>
      <c r="P189" s="96"/>
      <c r="Q189" s="455"/>
      <c r="R189" s="69"/>
      <c r="S189" s="90"/>
      <c r="X189" s="69"/>
      <c r="AM189" s="69"/>
      <c r="BJ189" s="69"/>
      <c r="BU189" s="69"/>
      <c r="BV189" s="90"/>
      <c r="CS189" s="69"/>
      <c r="DF189" s="69"/>
      <c r="DO189" s="90"/>
      <c r="DP189" s="69"/>
      <c r="EF189" s="69"/>
      <c r="EP189" s="90"/>
      <c r="EZ189" s="90"/>
      <c r="FA189" s="90"/>
      <c r="FB189" s="90"/>
      <c r="FC189" s="90"/>
      <c r="FD189" s="90"/>
      <c r="FE189" s="90"/>
      <c r="FF189" s="90"/>
      <c r="FO189" s="69"/>
      <c r="FP189" s="90"/>
      <c r="GQ189" s="69"/>
      <c r="HD189" s="69"/>
      <c r="HV189" s="69"/>
      <c r="HW189" s="90"/>
      <c r="HX189" s="90"/>
      <c r="HY189" s="90"/>
      <c r="HZ189" s="90"/>
      <c r="IA189" s="90"/>
      <c r="IB189" s="90"/>
      <c r="IC189" s="90"/>
      <c r="ID189" s="90"/>
      <c r="IE189" s="90"/>
      <c r="IF189" s="90"/>
      <c r="IG189" s="90"/>
      <c r="IH189" s="90"/>
      <c r="II189" s="90"/>
      <c r="IJ189" s="90"/>
      <c r="IK189" s="841"/>
      <c r="IL189" s="90"/>
      <c r="JJ189" s="23"/>
    </row>
    <row r="190" spans="1:272" hidden="1">
      <c r="A190" s="451"/>
      <c r="B190" s="451"/>
      <c r="C190" s="91"/>
      <c r="D190" s="69"/>
      <c r="E190" s="455"/>
      <c r="F190" s="455"/>
      <c r="I190" s="90"/>
      <c r="J190" s="90"/>
      <c r="K190" s="90"/>
      <c r="L190" s="90"/>
      <c r="M190" s="90"/>
      <c r="N190" s="90"/>
      <c r="O190" s="90"/>
      <c r="P190" s="96"/>
      <c r="Q190" s="455"/>
      <c r="R190" s="69"/>
      <c r="S190" s="90"/>
      <c r="X190" s="69"/>
      <c r="AM190" s="69"/>
      <c r="BJ190" s="69"/>
      <c r="BU190" s="69"/>
      <c r="BV190" s="90"/>
      <c r="CS190" s="69"/>
      <c r="DF190" s="69"/>
      <c r="DO190" s="90"/>
      <c r="DP190" s="69"/>
      <c r="EF190" s="69"/>
      <c r="EP190" s="90"/>
      <c r="EZ190" s="90"/>
      <c r="FA190" s="90"/>
      <c r="FB190" s="90"/>
      <c r="FC190" s="90"/>
      <c r="FD190" s="90"/>
      <c r="FE190" s="90"/>
      <c r="FF190" s="90"/>
      <c r="FO190" s="69"/>
      <c r="FP190" s="90"/>
      <c r="GQ190" s="69"/>
      <c r="HD190" s="69"/>
      <c r="HV190" s="69"/>
      <c r="HW190" s="90"/>
      <c r="HX190" s="90"/>
      <c r="HY190" s="90"/>
      <c r="HZ190" s="90"/>
      <c r="IA190" s="90"/>
      <c r="IB190" s="90"/>
      <c r="IC190" s="90"/>
      <c r="ID190" s="90"/>
      <c r="IE190" s="90"/>
      <c r="IF190" s="90"/>
      <c r="IG190" s="90"/>
      <c r="IH190" s="90"/>
      <c r="II190" s="90"/>
      <c r="IJ190" s="90"/>
      <c r="IK190" s="841"/>
      <c r="IL190" s="90"/>
      <c r="JJ190" s="23"/>
    </row>
    <row r="191" spans="1:272" hidden="1">
      <c r="A191" s="451"/>
      <c r="B191" s="451"/>
      <c r="C191" s="91"/>
      <c r="D191" s="69"/>
      <c r="E191" s="455"/>
      <c r="F191" s="455"/>
      <c r="I191" s="90"/>
      <c r="J191" s="90"/>
      <c r="K191" s="90"/>
      <c r="L191" s="90"/>
      <c r="M191" s="90"/>
      <c r="N191" s="90"/>
      <c r="O191" s="90"/>
      <c r="P191" s="96"/>
      <c r="Q191" s="455"/>
      <c r="R191" s="69"/>
      <c r="S191" s="90"/>
      <c r="X191" s="69"/>
      <c r="AM191" s="69"/>
      <c r="BJ191" s="69"/>
      <c r="BU191" s="69"/>
      <c r="BV191" s="90"/>
      <c r="CS191" s="69"/>
      <c r="DF191" s="69"/>
      <c r="DO191" s="90"/>
      <c r="DP191" s="69"/>
      <c r="EF191" s="69"/>
      <c r="EP191" s="90"/>
      <c r="EZ191" s="90"/>
      <c r="FA191" s="90"/>
      <c r="FB191" s="90"/>
      <c r="FC191" s="90"/>
      <c r="FD191" s="90"/>
      <c r="FE191" s="90"/>
      <c r="FF191" s="90"/>
      <c r="FO191" s="69"/>
      <c r="FP191" s="90"/>
      <c r="GQ191" s="69"/>
      <c r="HD191" s="69"/>
      <c r="HV191" s="69"/>
      <c r="HW191" s="90"/>
      <c r="HX191" s="90"/>
      <c r="HY191" s="90"/>
      <c r="HZ191" s="90"/>
      <c r="IA191" s="90"/>
      <c r="IB191" s="90"/>
      <c r="IC191" s="90"/>
      <c r="ID191" s="90"/>
      <c r="IE191" s="90"/>
      <c r="IF191" s="90"/>
      <c r="IG191" s="90"/>
      <c r="IH191" s="90"/>
      <c r="II191" s="90"/>
      <c r="IJ191" s="90"/>
      <c r="IK191" s="841"/>
      <c r="IL191" s="90"/>
      <c r="JJ191" s="23"/>
    </row>
    <row r="192" spans="1:272">
      <c r="A192" s="451">
        <v>2010</v>
      </c>
      <c r="B192" s="451" t="s">
        <v>954</v>
      </c>
      <c r="C192" s="91"/>
      <c r="D192" s="69"/>
      <c r="E192" s="147">
        <f>AVERAGE(E102:E111)</f>
        <v>0.13728998352284463</v>
      </c>
      <c r="F192" s="93"/>
      <c r="I192" s="90"/>
      <c r="J192" s="90"/>
      <c r="K192" s="90"/>
      <c r="L192" s="90"/>
      <c r="M192" s="90"/>
      <c r="N192" s="90"/>
      <c r="O192" s="90"/>
      <c r="P192" s="147">
        <f>AVERAGE(P102:P111)</f>
        <v>0.12230843527105306</v>
      </c>
      <c r="Q192" s="93"/>
      <c r="R192" s="69"/>
      <c r="S192" s="90"/>
      <c r="X192" s="69"/>
      <c r="AM192" s="69"/>
      <c r="BJ192" s="69"/>
      <c r="BU192" s="69"/>
      <c r="BV192" s="90"/>
      <c r="CM192" s="240">
        <f>AVERAGE(CM102:CM111)</f>
        <v>3.5351632320834422E-2</v>
      </c>
      <c r="CN192" s="240">
        <f>AVERAGE(CN102:CN111)</f>
        <v>8.6956802950218667E-2</v>
      </c>
      <c r="CO192" s="240">
        <f>AVERAGE(CO102:CO111)</f>
        <v>4.845706096430054E-3</v>
      </c>
      <c r="CP192" s="240"/>
      <c r="CQ192" s="240"/>
      <c r="CR192" s="240">
        <f>AVERAGE(CR102:CR111)</f>
        <v>1.1950068974727118E-2</v>
      </c>
      <c r="CS192" s="69"/>
      <c r="DF192" s="69"/>
      <c r="DO192" s="90"/>
      <c r="DP192" s="69"/>
      <c r="EF192" s="69"/>
      <c r="EP192" s="90"/>
      <c r="EZ192" s="90"/>
      <c r="FA192" s="90"/>
      <c r="FB192" s="90"/>
      <c r="FC192" s="90"/>
      <c r="FD192" s="90"/>
      <c r="FE192" s="90"/>
      <c r="FF192" s="90"/>
      <c r="FO192" s="69"/>
      <c r="FP192" s="90"/>
      <c r="GQ192" s="69"/>
      <c r="HD192" s="147">
        <f>AVERAGE(HD102:HD111)</f>
        <v>6.5863735389835046E-2</v>
      </c>
      <c r="HV192" s="147">
        <f t="shared" ref="HV192:IH192" si="219">AVERAGE(HV102:HV111)</f>
        <v>5.1683358959824975E-2</v>
      </c>
      <c r="HW192" s="93"/>
      <c r="HX192" s="93"/>
      <c r="HY192" s="93"/>
      <c r="HZ192" s="93">
        <f t="shared" si="219"/>
        <v>5.3342714814845246E-2</v>
      </c>
      <c r="IA192" s="93">
        <f t="shared" si="219"/>
        <v>7.755750541940791E-2</v>
      </c>
      <c r="IB192" s="93">
        <f t="shared" si="219"/>
        <v>2.4195764774563543E-2</v>
      </c>
      <c r="IC192" s="93">
        <f t="shared" si="219"/>
        <v>0.1103783761734236</v>
      </c>
      <c r="ID192" s="93">
        <f t="shared" si="219"/>
        <v>2.593887725164656E-2</v>
      </c>
      <c r="IE192" s="93">
        <f t="shared" si="219"/>
        <v>2.9392683337068577E-2</v>
      </c>
      <c r="IF192" s="93">
        <f t="shared" si="219"/>
        <v>5.8152433637247133E-2</v>
      </c>
      <c r="IG192" s="93">
        <f t="shared" si="219"/>
        <v>4.875918522011892E-2</v>
      </c>
      <c r="IH192" s="93">
        <f t="shared" si="219"/>
        <v>9.3932484171282051E-3</v>
      </c>
      <c r="II192" s="93"/>
      <c r="IJ192" s="93"/>
      <c r="IK192" s="841"/>
      <c r="IL192" s="90"/>
      <c r="IV192" s="76">
        <f>SUM(IV102:IV111)</f>
        <v>0</v>
      </c>
      <c r="IW192" s="76"/>
      <c r="IX192" s="76">
        <f>SUM(IX102:IX111)</f>
        <v>0</v>
      </c>
      <c r="IY192" s="76"/>
      <c r="IZ192" s="76">
        <f>SUM(IZ102:IZ111)</f>
        <v>0</v>
      </c>
      <c r="JA192" s="76">
        <f>SUM(JA102:JA111)</f>
        <v>0</v>
      </c>
      <c r="JJ192" s="23" t="e">
        <f>JA192/IX192</f>
        <v>#DIV/0!</v>
      </c>
      <c r="JK192" s="23" t="e">
        <f>(IX192+IZ192)/(IX192+IV192+IZ192)</f>
        <v>#DIV/0!</v>
      </c>
      <c r="JL192" s="23" t="e">
        <f>IX192/IV192</f>
        <v>#DIV/0!</v>
      </c>
    </row>
    <row r="193" spans="10:261">
      <c r="J193" s="90"/>
      <c r="K193" s="90"/>
      <c r="L193" s="90"/>
      <c r="M193" s="90"/>
      <c r="N193" s="90"/>
      <c r="O193" s="90"/>
      <c r="P193" s="92"/>
      <c r="Q193" s="90"/>
      <c r="R193" s="69"/>
      <c r="S193" s="90"/>
      <c r="X193" s="69"/>
      <c r="AM193" s="69"/>
      <c r="DF193" s="69"/>
      <c r="DO193" s="90"/>
      <c r="FO193" s="69"/>
      <c r="FP193" s="90"/>
      <c r="GQ193" s="69"/>
      <c r="HD193" s="67"/>
      <c r="HV193" s="67"/>
      <c r="IK193" s="841"/>
      <c r="IL193" s="90"/>
    </row>
    <row r="194" spans="10:261">
      <c r="DF194" s="69"/>
      <c r="DO194" s="90"/>
      <c r="EG194" s="451"/>
      <c r="EH194" s="451"/>
      <c r="EZ194" s="451"/>
      <c r="FA194" s="465"/>
      <c r="FB194" s="465"/>
      <c r="FC194" s="465"/>
      <c r="FD194" s="465"/>
      <c r="FE194" s="465"/>
      <c r="FF194" s="465"/>
      <c r="GQ194" s="69"/>
      <c r="HD194" s="67"/>
      <c r="HV194" s="67"/>
      <c r="IK194" s="841"/>
      <c r="IL194" s="90"/>
    </row>
    <row r="195" spans="10:261">
      <c r="DF195" s="69"/>
      <c r="DO195" s="90"/>
      <c r="EG195" s="451"/>
      <c r="EH195" s="451"/>
      <c r="EZ195" s="455"/>
      <c r="FA195" s="468"/>
      <c r="FB195" s="468"/>
      <c r="FC195" s="468"/>
      <c r="FD195" s="468"/>
      <c r="FE195" s="468"/>
      <c r="FF195" s="468"/>
      <c r="GQ195" s="69"/>
      <c r="HD195" s="67"/>
      <c r="HV195" s="67"/>
      <c r="IK195" s="841"/>
      <c r="IL195" s="90"/>
    </row>
    <row r="196" spans="10:261">
      <c r="DF196" s="69"/>
      <c r="DO196" s="90"/>
      <c r="EG196" s="451"/>
      <c r="EH196" s="451"/>
      <c r="EZ196" s="455"/>
      <c r="FA196" s="468"/>
      <c r="FB196" s="468"/>
      <c r="FC196" s="468"/>
      <c r="FD196" s="468"/>
      <c r="FE196" s="468"/>
      <c r="FF196" s="468"/>
      <c r="GQ196" s="69"/>
      <c r="HD196" s="67"/>
      <c r="IK196" s="841"/>
      <c r="IL196" s="90"/>
    </row>
    <row r="197" spans="10:261">
      <c r="EG197" s="451"/>
      <c r="EH197" s="451"/>
      <c r="EZ197" s="455"/>
      <c r="FA197" s="468"/>
      <c r="FB197" s="468"/>
      <c r="FC197" s="468"/>
      <c r="FD197" s="468"/>
      <c r="FE197" s="468"/>
      <c r="FF197" s="468"/>
      <c r="GQ197" s="69"/>
      <c r="HD197" s="67"/>
      <c r="IK197" s="841"/>
      <c r="IL197" s="90"/>
    </row>
    <row r="198" spans="10:261">
      <c r="EG198" s="451"/>
      <c r="EH198" s="451"/>
      <c r="EZ198" s="455"/>
      <c r="FA198" s="468"/>
      <c r="FB198" s="468"/>
      <c r="FC198" s="468"/>
      <c r="FD198" s="468"/>
      <c r="FE198" s="468"/>
      <c r="FF198" s="468"/>
      <c r="GQ198" s="69"/>
      <c r="HD198" s="67"/>
      <c r="IK198" s="841"/>
      <c r="IL198" s="90"/>
    </row>
    <row r="199" spans="10:261">
      <c r="EG199" s="451"/>
      <c r="EH199" s="451"/>
      <c r="EZ199" s="455"/>
      <c r="FA199" s="468"/>
      <c r="FB199" s="468"/>
      <c r="FC199" s="468"/>
      <c r="FD199" s="468"/>
      <c r="FE199" s="468"/>
      <c r="FF199" s="468"/>
      <c r="GQ199" s="69"/>
      <c r="HD199" s="67"/>
      <c r="IK199" s="841"/>
      <c r="IL199" s="90"/>
      <c r="JA199" s="660" t="s">
        <v>2274</v>
      </c>
    </row>
    <row r="200" spans="10:261">
      <c r="EG200" s="451"/>
      <c r="EH200" s="451"/>
      <c r="EZ200" s="455"/>
      <c r="FA200" s="468"/>
      <c r="FB200" s="468"/>
      <c r="FC200" s="468"/>
      <c r="FD200" s="468"/>
      <c r="FE200" s="468"/>
      <c r="FF200" s="468"/>
      <c r="GQ200" s="69"/>
      <c r="HD200" s="67"/>
      <c r="IK200" s="841"/>
      <c r="IL200" s="90"/>
    </row>
    <row r="201" spans="10:261">
      <c r="EG201" s="451"/>
      <c r="EH201" s="451"/>
      <c r="EZ201" s="455"/>
      <c r="FA201" s="468"/>
      <c r="FB201" s="468"/>
      <c r="FC201" s="468"/>
      <c r="FD201" s="468"/>
      <c r="FE201" s="468"/>
      <c r="FF201" s="468"/>
      <c r="GQ201" s="69"/>
      <c r="HD201" s="67"/>
      <c r="IK201" s="841"/>
      <c r="IL201" s="90"/>
    </row>
    <row r="202" spans="10:261" ht="45">
      <c r="EG202" s="451"/>
      <c r="EH202" s="451"/>
      <c r="EZ202" s="455"/>
      <c r="FA202" s="468"/>
      <c r="FB202" s="468"/>
      <c r="FC202" s="468"/>
      <c r="FD202" s="468"/>
      <c r="FE202" s="468"/>
      <c r="FF202" s="468"/>
      <c r="GQ202" s="69"/>
      <c r="HD202" s="67"/>
      <c r="IK202" s="841"/>
      <c r="IL202" s="90"/>
      <c r="IZ202" s="670" t="s">
        <v>2272</v>
      </c>
      <c r="JA202" s="68" t="s">
        <v>2276</v>
      </c>
    </row>
    <row r="203" spans="10:261">
      <c r="EG203" s="451"/>
      <c r="EH203" s="451"/>
      <c r="EZ203" s="455"/>
      <c r="FA203" s="468"/>
      <c r="FB203" s="468"/>
      <c r="FC203" s="468"/>
      <c r="FD203" s="468"/>
      <c r="FE203" s="468"/>
      <c r="FF203" s="468"/>
      <c r="GQ203" s="69"/>
      <c r="HD203" s="67"/>
      <c r="IK203" s="841"/>
      <c r="IL203" s="90"/>
      <c r="IX203" s="68" t="s">
        <v>2275</v>
      </c>
      <c r="IZ203" s="76">
        <v>218946</v>
      </c>
      <c r="JA203" s="11" t="e">
        <f>IZ203/#REF!</f>
        <v>#REF!</v>
      </c>
    </row>
    <row r="204" spans="10:261">
      <c r="EH204" s="451"/>
      <c r="EZ204" s="455"/>
      <c r="FA204" s="468"/>
      <c r="FB204" s="468"/>
      <c r="FC204" s="468"/>
      <c r="FD204" s="468"/>
      <c r="FE204" s="468"/>
      <c r="FF204" s="468"/>
      <c r="GQ204" s="69"/>
      <c r="HD204" s="67"/>
      <c r="IK204" s="841"/>
      <c r="IL204" s="90"/>
      <c r="IX204" s="68" t="s">
        <v>2270</v>
      </c>
      <c r="IZ204" s="76">
        <v>35623</v>
      </c>
      <c r="JA204" s="11" t="e">
        <f>IZ204/#REF!</f>
        <v>#REF!</v>
      </c>
    </row>
    <row r="205" spans="10:261">
      <c r="EG205" s="451"/>
      <c r="EH205" s="451"/>
      <c r="EZ205" s="455"/>
      <c r="FA205" s="468"/>
      <c r="FB205" s="468"/>
      <c r="FC205" s="468"/>
      <c r="FD205" s="468"/>
      <c r="FE205" s="468"/>
      <c r="FF205" s="468"/>
      <c r="GQ205" s="69"/>
      <c r="HD205" s="67"/>
      <c r="IK205" s="841"/>
      <c r="IL205" s="90"/>
      <c r="IX205" s="68" t="s">
        <v>1857</v>
      </c>
      <c r="IZ205" s="76">
        <v>3877</v>
      </c>
      <c r="JA205" s="11" t="e">
        <f>IZ205/#REF!</f>
        <v>#REF!</v>
      </c>
    </row>
    <row r="206" spans="10:261">
      <c r="EG206" s="451"/>
      <c r="EH206" s="451"/>
      <c r="EZ206" s="455"/>
      <c r="FA206" s="468"/>
      <c r="FB206" s="468"/>
      <c r="FC206" s="468"/>
      <c r="FD206" s="468"/>
      <c r="FE206" s="468"/>
      <c r="FF206" s="468"/>
      <c r="GQ206" s="69"/>
      <c r="IK206" s="841"/>
      <c r="IL206" s="90"/>
      <c r="IX206" s="68" t="s">
        <v>2273</v>
      </c>
      <c r="IZ206" s="68">
        <f>IZ205/IZ207</f>
        <v>0.52082213863514237</v>
      </c>
    </row>
    <row r="207" spans="10:261">
      <c r="EG207" s="451"/>
      <c r="EH207" s="451"/>
      <c r="EZ207" s="455"/>
      <c r="FA207" s="468"/>
      <c r="FB207" s="468"/>
      <c r="FC207" s="468"/>
      <c r="FD207" s="468"/>
      <c r="FE207" s="468"/>
      <c r="FF207" s="468"/>
      <c r="IK207" s="841"/>
      <c r="IL207" s="90"/>
      <c r="IX207" s="68" t="s">
        <v>2271</v>
      </c>
      <c r="IZ207" s="76">
        <v>7444</v>
      </c>
      <c r="JA207" s="11" t="e">
        <f>IZ207/#REF!</f>
        <v>#REF!</v>
      </c>
    </row>
    <row r="208" spans="10:261">
      <c r="EG208" s="451"/>
      <c r="EH208" s="451"/>
      <c r="EZ208" s="455"/>
      <c r="FA208" s="468"/>
      <c r="FB208" s="468"/>
      <c r="FC208" s="468"/>
      <c r="FD208" s="468"/>
      <c r="FE208" s="468"/>
      <c r="FF208" s="468"/>
      <c r="IK208" s="841"/>
      <c r="IL208" s="90"/>
      <c r="IX208" s="68" t="s">
        <v>1884</v>
      </c>
      <c r="IZ208" s="76">
        <v>540</v>
      </c>
    </row>
    <row r="209" spans="137:246">
      <c r="EG209" s="451"/>
      <c r="EH209" s="451"/>
      <c r="EZ209" s="455"/>
      <c r="FA209" s="468"/>
      <c r="FB209" s="468"/>
      <c r="FC209" s="468"/>
      <c r="FD209" s="468"/>
      <c r="FE209" s="468"/>
      <c r="FF209" s="468"/>
      <c r="IK209" s="841"/>
      <c r="IL209" s="90"/>
    </row>
    <row r="210" spans="137:246">
      <c r="EG210" s="451"/>
      <c r="EH210" s="451"/>
      <c r="EZ210" s="455"/>
      <c r="FA210" s="468"/>
      <c r="FB210" s="468"/>
      <c r="FC210" s="468"/>
      <c r="FD210" s="468"/>
      <c r="FE210" s="468"/>
      <c r="FF210" s="468"/>
      <c r="IK210" s="841"/>
      <c r="IL210" s="90"/>
    </row>
    <row r="211" spans="137:246">
      <c r="EG211" s="451"/>
      <c r="EH211" s="451"/>
      <c r="EZ211" s="455"/>
      <c r="FA211" s="468"/>
      <c r="FB211" s="468"/>
      <c r="FC211" s="468"/>
      <c r="FD211" s="468"/>
      <c r="FE211" s="468"/>
      <c r="FF211" s="468"/>
      <c r="IK211" s="841"/>
      <c r="IL211" s="90"/>
    </row>
    <row r="212" spans="137:246">
      <c r="EG212" s="451"/>
      <c r="EH212" s="451"/>
      <c r="EZ212" s="455"/>
      <c r="FA212" s="468"/>
      <c r="FB212" s="468"/>
      <c r="FC212" s="468"/>
      <c r="FD212" s="468"/>
      <c r="FE212" s="468"/>
      <c r="FF212" s="468"/>
      <c r="IK212" s="841"/>
      <c r="IL212" s="90"/>
    </row>
    <row r="213" spans="137:246">
      <c r="EG213" s="451"/>
      <c r="EH213" s="451"/>
      <c r="EZ213" s="455"/>
      <c r="FA213" s="468"/>
      <c r="FB213" s="468"/>
      <c r="FC213" s="468"/>
      <c r="FD213" s="468"/>
      <c r="FE213" s="468"/>
      <c r="FF213" s="468"/>
      <c r="IK213" s="841"/>
      <c r="IL213" s="90"/>
    </row>
    <row r="214" spans="137:246">
      <c r="EH214" s="451"/>
      <c r="EZ214" s="455"/>
      <c r="FA214" s="468"/>
      <c r="FB214" s="468"/>
      <c r="FC214" s="468"/>
      <c r="FD214" s="468"/>
      <c r="FE214" s="468"/>
      <c r="FF214" s="468"/>
      <c r="IK214" s="841"/>
      <c r="IL214" s="90"/>
    </row>
    <row r="215" spans="137:246">
      <c r="IG215" s="240"/>
      <c r="IK215" s="841"/>
      <c r="IL215" s="90"/>
    </row>
    <row r="216" spans="137:246">
      <c r="IK216" s="841"/>
      <c r="IL216" s="90"/>
    </row>
    <row r="217" spans="137:246">
      <c r="IK217" s="841"/>
      <c r="IL217" s="90"/>
    </row>
    <row r="218" spans="137:246">
      <c r="IK218" s="841"/>
      <c r="IL218" s="90"/>
    </row>
    <row r="219" spans="137:246">
      <c r="IK219" s="841"/>
      <c r="IL219" s="90"/>
    </row>
    <row r="220" spans="137:246">
      <c r="IK220" s="841"/>
      <c r="IL220" s="90"/>
    </row>
  </sheetData>
  <pageMargins left="0.75" right="0.75" top="1" bottom="1" header="0.5" footer="0.5"/>
  <pageSetup paperSize="9" orientation="portrait" horizontalDpi="4294967292" verticalDpi="4294967292"/>
  <ignoredErrors>
    <ignoredError sqref="BD72:BD108 DB74:DB108" formula="1"/>
  </ignoredErrors>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
  <sheetViews>
    <sheetView workbookViewId="0">
      <selection activeCell="X67" sqref="X67"/>
    </sheetView>
  </sheetViews>
  <sheetFormatPr baseColWidth="10" defaultRowHeight="15" x14ac:dyDescent="0"/>
  <sheetData/>
  <pageMargins left="0.75" right="0.75" top="1" bottom="1" header="0.5" footer="0.5"/>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
  <sheetViews>
    <sheetView topLeftCell="I1" workbookViewId="0">
      <selection activeCell="X67" sqref="X67"/>
    </sheetView>
  </sheetViews>
  <sheetFormatPr baseColWidth="10" defaultColWidth="7.5703125" defaultRowHeight="15" x14ac:dyDescent="0"/>
  <cols>
    <col min="1" max="16384" width="7.5703125" style="1267"/>
  </cols>
  <sheetData/>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6"/>
  <sheetViews>
    <sheetView zoomScale="90" zoomScaleNormal="90" zoomScalePageLayoutView="90" workbookViewId="0">
      <pane xSplit="1" ySplit="7" topLeftCell="B29"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5" x14ac:dyDescent="0"/>
  <cols>
    <col min="1" max="1" width="15.42578125" style="1483" customWidth="1"/>
    <col min="2" max="3" width="12.28515625" style="1483" customWidth="1"/>
    <col min="4" max="4" width="15" style="1483" customWidth="1"/>
    <col min="5" max="6" width="7.5703125" style="1483"/>
    <col min="7" max="7" width="60.42578125" style="1483" customWidth="1"/>
    <col min="8" max="16384" width="7.5703125" style="1483"/>
  </cols>
  <sheetData>
    <row r="1" spans="1:7" ht="10" customHeight="1"/>
    <row r="2" spans="1:7" ht="16" thickBot="1"/>
    <row r="3" spans="1:7" ht="32" customHeight="1" thickTop="1">
      <c r="A3" s="1864" t="s">
        <v>3330</v>
      </c>
      <c r="B3" s="1865"/>
      <c r="C3" s="1865"/>
      <c r="D3" s="1866"/>
    </row>
    <row r="4" spans="1:7" ht="13" customHeight="1">
      <c r="A4" s="1867"/>
      <c r="B4" s="1868"/>
      <c r="C4" s="1868"/>
      <c r="D4" s="1869"/>
    </row>
    <row r="5" spans="1:7" ht="13" customHeight="1">
      <c r="A5" s="1867"/>
      <c r="B5" s="1868"/>
      <c r="C5" s="1868"/>
      <c r="D5" s="1869"/>
    </row>
    <row r="6" spans="1:7" ht="13" customHeight="1" thickBot="1">
      <c r="A6" s="1509"/>
      <c r="B6" s="1508" t="s">
        <v>2411</v>
      </c>
      <c r="C6" s="1508" t="s">
        <v>2412</v>
      </c>
      <c r="D6" s="1507" t="s">
        <v>2413</v>
      </c>
    </row>
    <row r="7" spans="1:7" ht="44" customHeight="1">
      <c r="A7" s="1506"/>
      <c r="B7" s="1505" t="s">
        <v>2629</v>
      </c>
      <c r="C7" s="1504" t="s">
        <v>2978</v>
      </c>
      <c r="D7" s="1503" t="s">
        <v>2979</v>
      </c>
    </row>
    <row r="8" spans="1:7">
      <c r="A8" s="1502" t="s">
        <v>1948</v>
      </c>
      <c r="B8" s="1501">
        <v>-0.68940333333333337</v>
      </c>
      <c r="C8" s="1500">
        <v>-1.4441033333333333</v>
      </c>
      <c r="D8" s="1499">
        <v>-0.99442000000000008</v>
      </c>
    </row>
    <row r="9" spans="1:7">
      <c r="A9" s="1502" t="s">
        <v>1947</v>
      </c>
      <c r="B9" s="1501">
        <v>0.45543</v>
      </c>
      <c r="C9" s="1500">
        <v>0.80380666666666667</v>
      </c>
      <c r="D9" s="1499">
        <v>-1.1792899999999999</v>
      </c>
    </row>
    <row r="10" spans="1:7">
      <c r="A10" s="1502" t="s">
        <v>1895</v>
      </c>
      <c r="B10" s="1501">
        <v>-0.39212666666666668</v>
      </c>
      <c r="C10" s="1500">
        <v>0.16792666666666667</v>
      </c>
      <c r="D10" s="1499">
        <v>0.23383666666666664</v>
      </c>
      <c r="G10" s="1316"/>
    </row>
    <row r="11" spans="1:7">
      <c r="A11" s="1502" t="s">
        <v>510</v>
      </c>
      <c r="B11" s="1501">
        <v>-0.2535466666666667</v>
      </c>
      <c r="C11" s="1500">
        <v>-0.63250666666666666</v>
      </c>
      <c r="D11" s="1499">
        <v>1.6907666666666665</v>
      </c>
      <c r="G11" s="1316"/>
    </row>
    <row r="12" spans="1:7">
      <c r="A12" s="1502" t="s">
        <v>1944</v>
      </c>
      <c r="B12" s="1501">
        <v>-1.0731333333333335</v>
      </c>
      <c r="C12" s="1500">
        <v>-0.23332999999999998</v>
      </c>
      <c r="D12" s="1499">
        <v>-3.3933133333333338</v>
      </c>
      <c r="G12" s="1317"/>
    </row>
    <row r="13" spans="1:7">
      <c r="A13" s="1502" t="s">
        <v>1943</v>
      </c>
      <c r="B13" s="1501">
        <v>-6.3559266666666669</v>
      </c>
      <c r="C13" s="1500">
        <v>-4.135766666666667</v>
      </c>
      <c r="D13" s="1499">
        <v>-1.2888600000000001</v>
      </c>
      <c r="G13" s="1316"/>
    </row>
    <row r="14" spans="1:7">
      <c r="A14" s="1502" t="s">
        <v>1942</v>
      </c>
      <c r="B14" s="1501">
        <v>1.4310533333333333</v>
      </c>
      <c r="C14" s="1500">
        <v>1.3472766666666669</v>
      </c>
      <c r="D14" s="1499">
        <v>0.72456666666666669</v>
      </c>
      <c r="G14" s="1317"/>
    </row>
    <row r="15" spans="1:7">
      <c r="A15" s="1502" t="s">
        <v>1940</v>
      </c>
      <c r="B15" s="1501">
        <v>-1.8735200000000001</v>
      </c>
      <c r="C15" s="1500">
        <v>0.93617333333333341</v>
      </c>
      <c r="D15" s="1499">
        <v>0.36258333333333331</v>
      </c>
    </row>
    <row r="16" spans="1:7">
      <c r="A16" s="1502" t="s">
        <v>1936</v>
      </c>
      <c r="B16" s="1501"/>
      <c r="C16" s="1500"/>
      <c r="D16" s="1499"/>
    </row>
    <row r="17" spans="1:4">
      <c r="A17" s="1502" t="s">
        <v>1890</v>
      </c>
      <c r="B17" s="1501">
        <v>1.9607699999999999</v>
      </c>
      <c r="C17" s="1500">
        <v>2.3425266666666666</v>
      </c>
      <c r="D17" s="1499">
        <v>-0.12865333333333331</v>
      </c>
    </row>
    <row r="18" spans="1:4">
      <c r="A18" s="1502" t="s">
        <v>1891</v>
      </c>
      <c r="B18" s="1501">
        <v>1.32291</v>
      </c>
      <c r="C18" s="1500">
        <v>0.91994999999999993</v>
      </c>
      <c r="D18" s="1499">
        <v>-0.50468000000000002</v>
      </c>
    </row>
    <row r="19" spans="1:4">
      <c r="A19" s="1502" t="s">
        <v>1932</v>
      </c>
      <c r="B19" s="1501">
        <v>-1.8871933333333333</v>
      </c>
      <c r="C19" s="1500">
        <v>-2.9330233333333333</v>
      </c>
      <c r="D19" s="1499">
        <v>1.1212633333333333</v>
      </c>
    </row>
    <row r="20" spans="1:4">
      <c r="A20" s="1502" t="s">
        <v>693</v>
      </c>
      <c r="B20" s="1501">
        <v>-4.0709766666666667</v>
      </c>
      <c r="C20" s="1500">
        <v>-7.9164166666666658</v>
      </c>
      <c r="D20" s="1499">
        <v>-0.46194000000000002</v>
      </c>
    </row>
    <row r="21" spans="1:4">
      <c r="A21" s="1502" t="s">
        <v>1929</v>
      </c>
      <c r="B21" s="1501">
        <v>1.9728366666666668</v>
      </c>
      <c r="C21" s="1500">
        <v>2.4739866666666668</v>
      </c>
      <c r="D21" s="1499">
        <v>-6.1460000000000001E-2</v>
      </c>
    </row>
    <row r="22" spans="1:4">
      <c r="A22" s="1502" t="s">
        <v>1896</v>
      </c>
      <c r="B22" s="1501">
        <v>0.21488333333333334</v>
      </c>
      <c r="C22" s="1500">
        <v>0.11744666666666664</v>
      </c>
      <c r="D22" s="1499">
        <v>-2.5226666666666665E-2</v>
      </c>
    </row>
    <row r="23" spans="1:4">
      <c r="A23" s="1502" t="s">
        <v>1436</v>
      </c>
      <c r="B23" s="1501">
        <v>-5.3763066666666663</v>
      </c>
      <c r="C23" s="1500">
        <v>-6.5650533333333332</v>
      </c>
      <c r="D23" s="1499">
        <v>-0.63593333333333335</v>
      </c>
    </row>
    <row r="24" spans="1:4">
      <c r="A24" s="1502" t="s">
        <v>1928</v>
      </c>
      <c r="B24" s="1501">
        <v>-1.6800133333333331</v>
      </c>
      <c r="C24" s="1500">
        <v>-1.5970433333333331</v>
      </c>
      <c r="D24" s="1499">
        <v>-0.14131000000000002</v>
      </c>
    </row>
    <row r="25" spans="1:4">
      <c r="A25" s="1502" t="s">
        <v>1926</v>
      </c>
      <c r="B25" s="1501">
        <v>-2.0956366666666666</v>
      </c>
      <c r="C25" s="1500">
        <v>0.64272666666666667</v>
      </c>
      <c r="D25" s="1499">
        <v>9.9973333333333345E-2</v>
      </c>
    </row>
    <row r="26" spans="1:4">
      <c r="A26" s="1502" t="s">
        <v>697</v>
      </c>
      <c r="B26" s="1501">
        <v>0.10242666666666668</v>
      </c>
      <c r="C26" s="1500">
        <v>-0.19392666666666666</v>
      </c>
      <c r="D26" s="1499">
        <v>0.70293666666666654</v>
      </c>
    </row>
    <row r="27" spans="1:4">
      <c r="A27" s="1502" t="s">
        <v>1894</v>
      </c>
      <c r="B27" s="1501">
        <v>-0.62483666666666671</v>
      </c>
      <c r="C27" s="1500">
        <v>-0.81652999999999998</v>
      </c>
      <c r="D27" s="1499">
        <v>0.67971666666666664</v>
      </c>
    </row>
    <row r="28" spans="1:4">
      <c r="A28" s="1502" t="s">
        <v>694</v>
      </c>
      <c r="B28" s="1501">
        <v>-0.19558</v>
      </c>
      <c r="C28" s="1500">
        <v>-0.53238666666666667</v>
      </c>
      <c r="D28" s="1499">
        <v>0.73970666666666673</v>
      </c>
    </row>
    <row r="29" spans="1:4">
      <c r="A29" s="1502" t="s">
        <v>1923</v>
      </c>
      <c r="B29" s="1501">
        <v>-4.6240166666666669</v>
      </c>
      <c r="C29" s="1500">
        <v>-7.3048999999999999</v>
      </c>
      <c r="D29" s="1499">
        <v>-0.74426333333333339</v>
      </c>
    </row>
    <row r="30" spans="1:4">
      <c r="A30" s="1502" t="s">
        <v>1897</v>
      </c>
      <c r="B30" s="1501">
        <v>1.2426333333333333</v>
      </c>
      <c r="C30" s="1500">
        <v>1.4490966666666665</v>
      </c>
      <c r="D30" s="1499">
        <v>-0.36224333333333331</v>
      </c>
    </row>
    <row r="31" spans="1:4">
      <c r="A31" s="1502" t="s">
        <v>1919</v>
      </c>
      <c r="B31" s="1501">
        <v>-5.5086233333333334</v>
      </c>
      <c r="C31" s="1500">
        <v>-6.8732166666666661</v>
      </c>
      <c r="D31" s="1499">
        <v>-1.6962566666666667</v>
      </c>
    </row>
    <row r="32" spans="1:4">
      <c r="A32" s="1502" t="s">
        <v>1918</v>
      </c>
      <c r="B32" s="1501">
        <v>-0.78392333333333319</v>
      </c>
      <c r="C32" s="1500">
        <v>-0.6156666666666667</v>
      </c>
      <c r="D32" s="1499">
        <v>-1.3284733333333334</v>
      </c>
    </row>
    <row r="33" spans="1:7">
      <c r="A33" s="1502" t="s">
        <v>1915</v>
      </c>
      <c r="B33" s="1501">
        <v>-2.2988166666666667</v>
      </c>
      <c r="C33" s="1500">
        <v>5.2529666666666666</v>
      </c>
      <c r="D33" s="1499">
        <v>-1.1479566666666667</v>
      </c>
    </row>
    <row r="34" spans="1:7">
      <c r="A34" s="1502" t="s">
        <v>1941</v>
      </c>
      <c r="B34" s="1501">
        <v>1.7305933333333332</v>
      </c>
      <c r="C34" s="1500">
        <v>1.9301700000000002</v>
      </c>
      <c r="D34" s="1499">
        <v>-0.92250666666666681</v>
      </c>
    </row>
    <row r="35" spans="1:7">
      <c r="A35" s="1502" t="s">
        <v>1913</v>
      </c>
      <c r="B35" s="1501">
        <v>1.1688033333333334</v>
      </c>
      <c r="C35" s="1500">
        <v>0.56244333333333341</v>
      </c>
      <c r="D35" s="1499">
        <v>8.0246666666666661E-2</v>
      </c>
    </row>
    <row r="36" spans="1:7">
      <c r="A36" s="1502" t="s">
        <v>695</v>
      </c>
      <c r="B36" s="1501">
        <v>0.22554666666666665</v>
      </c>
      <c r="C36" s="1500">
        <v>0.27135999999999999</v>
      </c>
      <c r="D36" s="1499">
        <v>8.9423333333333313E-2</v>
      </c>
    </row>
    <row r="37" spans="1:7">
      <c r="A37" s="1502" t="s">
        <v>1911</v>
      </c>
      <c r="B37" s="1501">
        <v>-1.1612066666666665</v>
      </c>
      <c r="C37" s="1500">
        <v>-1.0295899999999998</v>
      </c>
      <c r="D37" s="1499">
        <v>-1.9589800000000002</v>
      </c>
    </row>
    <row r="38" spans="1:7">
      <c r="A38" s="1502" t="s">
        <v>1892</v>
      </c>
      <c r="B38" s="1501">
        <v>0.31362333333333331</v>
      </c>
      <c r="C38" s="1500">
        <v>-0.39037666666666665</v>
      </c>
      <c r="D38" s="1499">
        <v>0.42655666666666664</v>
      </c>
    </row>
    <row r="39" spans="1:7" ht="45">
      <c r="A39" s="1498" t="s">
        <v>3276</v>
      </c>
      <c r="B39" s="1497">
        <v>2.9</v>
      </c>
      <c r="C39" s="1496">
        <v>3.3</v>
      </c>
      <c r="D39" s="1495">
        <v>-0.8</v>
      </c>
    </row>
    <row r="40" spans="1:7" ht="45" customHeight="1" thickBot="1">
      <c r="A40" s="1494" t="s">
        <v>3277</v>
      </c>
      <c r="B40" s="1493">
        <v>3.4145133333333333</v>
      </c>
      <c r="C40" s="1492">
        <v>4.2032266666666676</v>
      </c>
      <c r="D40" s="1491">
        <v>-0.84771666666666656</v>
      </c>
    </row>
    <row r="41" spans="1:7" ht="16" thickTop="1"/>
    <row r="42" spans="1:7" ht="16" thickBot="1">
      <c r="G42" s="1316"/>
    </row>
    <row r="43" spans="1:7">
      <c r="A43" s="1423" t="s">
        <v>3304</v>
      </c>
      <c r="B43" s="1490"/>
      <c r="C43" s="1490"/>
      <c r="D43" s="1489"/>
    </row>
    <row r="44" spans="1:7">
      <c r="A44" s="1424" t="s">
        <v>3305</v>
      </c>
      <c r="B44" s="1488"/>
      <c r="C44" s="1488"/>
      <c r="D44" s="1487"/>
    </row>
    <row r="45" spans="1:7">
      <c r="A45" s="1425" t="s">
        <v>3315</v>
      </c>
      <c r="B45" s="1488"/>
      <c r="C45" s="1488"/>
      <c r="D45" s="1487"/>
    </row>
    <row r="46" spans="1:7">
      <c r="A46" s="1424" t="s">
        <v>3306</v>
      </c>
      <c r="B46" s="1488"/>
      <c r="C46" s="1488"/>
      <c r="D46" s="1487"/>
    </row>
    <row r="47" spans="1:7">
      <c r="A47" s="1424" t="s">
        <v>3307</v>
      </c>
      <c r="B47" s="1488"/>
      <c r="C47" s="1488"/>
      <c r="D47" s="1487"/>
    </row>
    <row r="48" spans="1:7">
      <c r="A48" s="1424" t="s">
        <v>3308</v>
      </c>
      <c r="B48" s="1488"/>
      <c r="C48" s="1488"/>
      <c r="D48" s="1487"/>
    </row>
    <row r="49" spans="1:4">
      <c r="A49" s="1424" t="s">
        <v>3309</v>
      </c>
      <c r="B49" s="1488"/>
      <c r="C49" s="1488"/>
      <c r="D49" s="1487"/>
    </row>
    <row r="50" spans="1:4">
      <c r="A50" s="1424" t="s">
        <v>3310</v>
      </c>
      <c r="B50" s="1488"/>
      <c r="C50" s="1488"/>
      <c r="D50" s="1487"/>
    </row>
    <row r="51" spans="1:4">
      <c r="A51" s="1424" t="s">
        <v>3311</v>
      </c>
      <c r="B51" s="1488"/>
      <c r="C51" s="1488"/>
      <c r="D51" s="1487"/>
    </row>
    <row r="52" spans="1:4">
      <c r="A52" s="1424" t="s">
        <v>3312</v>
      </c>
      <c r="B52" s="1488"/>
      <c r="C52" s="1488"/>
      <c r="D52" s="1487"/>
    </row>
    <row r="53" spans="1:4">
      <c r="A53" s="1424" t="s">
        <v>3313</v>
      </c>
      <c r="B53" s="1488"/>
      <c r="C53" s="1488"/>
      <c r="D53" s="1487"/>
    </row>
    <row r="54" spans="1:4">
      <c r="A54" s="1424" t="s">
        <v>3314</v>
      </c>
      <c r="B54" s="1488"/>
      <c r="C54" s="1488"/>
      <c r="D54" s="1487"/>
    </row>
    <row r="55" spans="1:4" ht="16" thickBot="1">
      <c r="A55" s="1426" t="s">
        <v>3454</v>
      </c>
      <c r="B55" s="1486"/>
      <c r="C55" s="1486"/>
      <c r="D55" s="1485"/>
    </row>
    <row r="56" spans="1:4">
      <c r="A56" s="1484"/>
    </row>
  </sheetData>
  <mergeCells count="1">
    <mergeCell ref="A3:D5"/>
  </mergeCells>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69"/>
  <sheetViews>
    <sheetView zoomScale="80" zoomScaleNormal="80" zoomScalePageLayoutView="80" workbookViewId="0">
      <pane xSplit="1" ySplit="7" topLeftCell="B32"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5" x14ac:dyDescent="0"/>
  <cols>
    <col min="1" max="1" width="15.5703125" style="1483" customWidth="1"/>
    <col min="2" max="7" width="11.7109375" style="1483" customWidth="1"/>
    <col min="8" max="8" width="17.28515625" style="1483" customWidth="1"/>
    <col min="9" max="12" width="7.5703125" style="1483"/>
    <col min="13" max="13" width="11.7109375" style="1483" customWidth="1"/>
    <col min="14" max="14" width="11.5703125" style="1483" customWidth="1"/>
    <col min="15" max="15" width="13.28515625" style="1483" customWidth="1"/>
    <col min="16" max="16" width="15.140625" style="1483" customWidth="1"/>
    <col min="17" max="16384" width="7.5703125" style="1483"/>
  </cols>
  <sheetData>
    <row r="2" spans="1:16" ht="16" thickBot="1"/>
    <row r="3" spans="1:16" ht="48" customHeight="1" thickTop="1">
      <c r="A3" s="1870" t="s">
        <v>2977</v>
      </c>
      <c r="B3" s="1871"/>
      <c r="C3" s="1871"/>
      <c r="D3" s="1871"/>
      <c r="E3" s="1871"/>
      <c r="F3" s="1871"/>
      <c r="G3" s="1871"/>
      <c r="H3" s="1872"/>
      <c r="M3" s="1512"/>
      <c r="N3" s="1512"/>
      <c r="O3" s="1512"/>
      <c r="P3" s="1512"/>
    </row>
    <row r="4" spans="1:16" ht="13" customHeight="1">
      <c r="A4" s="1873"/>
      <c r="B4" s="1874"/>
      <c r="C4" s="1874"/>
      <c r="D4" s="1874"/>
      <c r="E4" s="1874"/>
      <c r="F4" s="1874"/>
      <c r="G4" s="1874"/>
      <c r="H4" s="1875"/>
      <c r="M4" s="1512"/>
      <c r="N4" s="1512"/>
      <c r="O4" s="1512"/>
      <c r="P4" s="1512"/>
    </row>
    <row r="5" spans="1:16" ht="13" customHeight="1" thickBot="1">
      <c r="A5" s="1543"/>
      <c r="B5" s="839" t="s">
        <v>2411</v>
      </c>
      <c r="C5" s="839" t="s">
        <v>2412</v>
      </c>
      <c r="D5" s="839" t="s">
        <v>2413</v>
      </c>
      <c r="E5" s="839" t="s">
        <v>2414</v>
      </c>
      <c r="F5" s="839" t="s">
        <v>2415</v>
      </c>
      <c r="G5" s="839" t="s">
        <v>2416</v>
      </c>
      <c r="H5" s="840" t="s">
        <v>2417</v>
      </c>
      <c r="M5" s="1512"/>
      <c r="N5" s="1512"/>
      <c r="O5" s="1512"/>
      <c r="P5" s="1512"/>
    </row>
    <row r="6" spans="1:16" ht="24" customHeight="1">
      <c r="A6" s="1542"/>
      <c r="B6" s="1882" t="s">
        <v>2632</v>
      </c>
      <c r="C6" s="1883"/>
      <c r="D6" s="1883"/>
      <c r="E6" s="1884" t="s">
        <v>2633</v>
      </c>
      <c r="F6" s="1883"/>
      <c r="G6" s="1885"/>
      <c r="H6" s="1886" t="s">
        <v>2636</v>
      </c>
      <c r="M6" s="1512"/>
      <c r="N6" s="1512"/>
      <c r="O6" s="1512"/>
      <c r="P6" s="1512"/>
    </row>
    <row r="7" spans="1:16" s="1511" customFormat="1" ht="80" customHeight="1">
      <c r="A7" s="1541"/>
      <c r="B7" s="1540" t="s">
        <v>2625</v>
      </c>
      <c r="C7" s="1538" t="s">
        <v>2626</v>
      </c>
      <c r="D7" s="1537" t="s">
        <v>2627</v>
      </c>
      <c r="E7" s="1539" t="s">
        <v>2634</v>
      </c>
      <c r="F7" s="1538" t="s">
        <v>2635</v>
      </c>
      <c r="G7" s="1537" t="s">
        <v>2627</v>
      </c>
      <c r="H7" s="1887"/>
      <c r="M7" s="1510"/>
      <c r="N7" s="1510"/>
      <c r="O7" s="1510"/>
      <c r="P7" s="1510"/>
    </row>
    <row r="8" spans="1:16">
      <c r="A8" s="1502" t="s">
        <v>1948</v>
      </c>
      <c r="B8" s="1527">
        <v>4.1874866666666666</v>
      </c>
      <c r="C8" s="1496">
        <v>5.6315900000000001</v>
      </c>
      <c r="D8" s="1496">
        <v>-1.4441033333333333</v>
      </c>
      <c r="E8" s="1536">
        <v>4.1866007337404625</v>
      </c>
      <c r="F8" s="1535">
        <v>5.5554034448501026</v>
      </c>
      <c r="G8" s="1534">
        <v>-1.3688027111096399</v>
      </c>
      <c r="H8" s="1495">
        <v>30</v>
      </c>
      <c r="L8" s="1516">
        <f t="shared" ref="L8:L15" si="0">D8-(B8-C8)</f>
        <v>0</v>
      </c>
      <c r="M8" s="1515">
        <f t="shared" ref="M8:M39" si="1">G8-(E8-F8)</f>
        <v>0</v>
      </c>
      <c r="N8" s="1510"/>
      <c r="O8" s="1510"/>
      <c r="P8" s="1510"/>
    </row>
    <row r="9" spans="1:16">
      <c r="A9" s="1502" t="s">
        <v>1947</v>
      </c>
      <c r="B9" s="1527">
        <v>2.8775133333333329</v>
      </c>
      <c r="C9" s="1496">
        <v>2.0737066666666668</v>
      </c>
      <c r="D9" s="1496">
        <v>0.80380666666666667</v>
      </c>
      <c r="E9" s="1530">
        <v>2.8965949257881234</v>
      </c>
      <c r="F9" s="1529">
        <v>2.0772599367869988</v>
      </c>
      <c r="G9" s="1528">
        <v>0.81933498900112467</v>
      </c>
      <c r="H9" s="1495">
        <v>25</v>
      </c>
      <c r="L9" s="1516">
        <f t="shared" si="0"/>
        <v>0</v>
      </c>
      <c r="M9" s="1515">
        <f t="shared" si="1"/>
        <v>0</v>
      </c>
      <c r="N9" s="1510"/>
      <c r="O9" s="1510"/>
      <c r="P9" s="1510"/>
    </row>
    <row r="10" spans="1:16">
      <c r="A10" s="1502" t="s">
        <v>1895</v>
      </c>
      <c r="B10" s="1527">
        <v>4.0035166666666671</v>
      </c>
      <c r="C10" s="1496">
        <v>3.8355899999999998</v>
      </c>
      <c r="D10" s="1496">
        <v>0.16792666666666667</v>
      </c>
      <c r="E10" s="1530">
        <v>3.3421801501853499</v>
      </c>
      <c r="F10" s="1529">
        <v>3.5720364894358378</v>
      </c>
      <c r="G10" s="1528">
        <v>-0.22985633925048857</v>
      </c>
      <c r="H10" s="1495">
        <v>33.99</v>
      </c>
      <c r="K10" s="1524"/>
      <c r="L10" s="1516">
        <f t="shared" si="0"/>
        <v>-5.5511151231257827E-16</v>
      </c>
      <c r="M10" s="1515">
        <f t="shared" si="1"/>
        <v>-5.8286708792820718E-16</v>
      </c>
      <c r="N10" s="1510"/>
      <c r="O10" s="1510"/>
      <c r="P10" s="1510"/>
    </row>
    <row r="11" spans="1:16">
      <c r="A11" s="1502" t="s">
        <v>510</v>
      </c>
      <c r="B11" s="1527">
        <v>3.6728199999999998</v>
      </c>
      <c r="C11" s="1496">
        <v>4.3053266666666667</v>
      </c>
      <c r="D11" s="1496">
        <v>-0.63250666666666666</v>
      </c>
      <c r="E11" s="1530">
        <v>3.6239918522696528</v>
      </c>
      <c r="F11" s="1529">
        <v>4.2496109350917246</v>
      </c>
      <c r="G11" s="1528">
        <v>-0.62561908282207135</v>
      </c>
      <c r="H11" s="1495">
        <v>26.533333333333331</v>
      </c>
      <c r="L11" s="1516">
        <f t="shared" si="0"/>
        <v>0</v>
      </c>
      <c r="M11" s="1515">
        <f t="shared" si="1"/>
        <v>0</v>
      </c>
      <c r="N11" s="1510"/>
      <c r="O11" s="1510"/>
      <c r="P11" s="1510"/>
    </row>
    <row r="12" spans="1:16">
      <c r="A12" s="1502" t="s">
        <v>1944</v>
      </c>
      <c r="B12" s="1527">
        <v>5.4988499999999991</v>
      </c>
      <c r="C12" s="1496">
        <v>5.7321799999999996</v>
      </c>
      <c r="D12" s="1496">
        <v>-0.23332999999999998</v>
      </c>
      <c r="E12" s="1530">
        <v>4.514967324683349</v>
      </c>
      <c r="F12" s="1529">
        <v>5.2517557009863349</v>
      </c>
      <c r="G12" s="1528">
        <v>-0.73678837630298621</v>
      </c>
      <c r="H12" s="1495">
        <v>22.5</v>
      </c>
      <c r="K12" s="1533"/>
      <c r="L12" s="1516">
        <f t="shared" si="0"/>
        <v>4.9960036108132044E-16</v>
      </c>
      <c r="M12" s="1515">
        <f t="shared" si="1"/>
        <v>0</v>
      </c>
      <c r="N12" s="1510"/>
      <c r="O12" s="1510"/>
      <c r="P12" s="1510"/>
    </row>
    <row r="13" spans="1:16">
      <c r="A13" s="1502" t="s">
        <v>1943</v>
      </c>
      <c r="B13" s="1527">
        <v>8.9066633333333325</v>
      </c>
      <c r="C13" s="1496">
        <v>13.042430000000001</v>
      </c>
      <c r="D13" s="1532">
        <v>-4.135766666666667</v>
      </c>
      <c r="E13" s="1530">
        <v>9.8213622005356562</v>
      </c>
      <c r="F13" s="1529">
        <v>12.896034415319349</v>
      </c>
      <c r="G13" s="1531">
        <v>-3.0746722147836931</v>
      </c>
      <c r="H13" s="1495">
        <v>19</v>
      </c>
      <c r="K13" s="1533"/>
      <c r="L13" s="1516">
        <f t="shared" si="0"/>
        <v>0</v>
      </c>
      <c r="M13" s="1515">
        <f t="shared" si="1"/>
        <v>0</v>
      </c>
      <c r="N13" s="1510"/>
      <c r="O13" s="1510"/>
      <c r="P13" s="1510"/>
    </row>
    <row r="14" spans="1:16">
      <c r="A14" s="1502" t="s">
        <v>1942</v>
      </c>
      <c r="B14" s="1527">
        <v>6.8732533333333334</v>
      </c>
      <c r="C14" s="1496">
        <v>5.5259766666666659</v>
      </c>
      <c r="D14" s="1496">
        <v>1.3472766666666669</v>
      </c>
      <c r="E14" s="1530">
        <v>7.5283697519520976</v>
      </c>
      <c r="F14" s="1529">
        <v>5.6485261469324533</v>
      </c>
      <c r="G14" s="1528">
        <v>1.8798436050196452</v>
      </c>
      <c r="H14" s="1495">
        <v>23.333333333333332</v>
      </c>
      <c r="K14" s="1533"/>
      <c r="L14" s="1516">
        <f t="shared" si="0"/>
        <v>0</v>
      </c>
      <c r="M14" s="1515">
        <f t="shared" si="1"/>
        <v>0</v>
      </c>
      <c r="N14" s="1510"/>
      <c r="O14" s="1510"/>
      <c r="P14" s="1510"/>
    </row>
    <row r="15" spans="1:16">
      <c r="A15" s="1502" t="s">
        <v>1940</v>
      </c>
      <c r="B15" s="1527">
        <v>8.4914799999999993</v>
      </c>
      <c r="C15" s="1496">
        <v>7.5553033333333337</v>
      </c>
      <c r="D15" s="1496">
        <v>0.93617333333333341</v>
      </c>
      <c r="E15" s="1530">
        <v>8.4679035376356424</v>
      </c>
      <c r="F15" s="1529">
        <v>7.5422904270127278</v>
      </c>
      <c r="G15" s="1528">
        <v>0.92561311062291496</v>
      </c>
      <c r="H15" s="1495">
        <v>20.333333333333332</v>
      </c>
      <c r="L15" s="1516">
        <f t="shared" si="0"/>
        <v>-3.3333333321339254E-6</v>
      </c>
      <c r="M15" s="1515">
        <f t="shared" si="1"/>
        <v>0</v>
      </c>
      <c r="N15" s="1510"/>
      <c r="O15" s="1510"/>
      <c r="P15" s="1510"/>
    </row>
    <row r="16" spans="1:16">
      <c r="A16" s="1502" t="s">
        <v>1936</v>
      </c>
      <c r="B16" s="1527">
        <v>6.7789366666666666</v>
      </c>
      <c r="C16" s="1496"/>
      <c r="D16" s="1496"/>
      <c r="E16" s="1530">
        <v>6.4823572821999633</v>
      </c>
      <c r="F16" s="1529">
        <v>5.1381970548231299</v>
      </c>
      <c r="G16" s="1528">
        <v>1.3441602273768334</v>
      </c>
      <c r="H16" s="1495">
        <v>20</v>
      </c>
      <c r="K16" s="1524"/>
      <c r="L16" s="1516"/>
      <c r="M16" s="1515">
        <f t="shared" si="1"/>
        <v>0</v>
      </c>
      <c r="N16" s="1510"/>
      <c r="O16" s="1510"/>
      <c r="P16" s="1510"/>
    </row>
    <row r="17" spans="1:16">
      <c r="A17" s="1502" t="s">
        <v>1890</v>
      </c>
      <c r="B17" s="1527">
        <v>5.8368633333333326</v>
      </c>
      <c r="C17" s="1496">
        <v>3.4943366666666669</v>
      </c>
      <c r="D17" s="1496">
        <v>2.3425266666666666</v>
      </c>
      <c r="E17" s="1530">
        <v>5.7169345349637437</v>
      </c>
      <c r="F17" s="1529">
        <v>3.6233660080935293</v>
      </c>
      <c r="G17" s="1528">
        <v>2.093568526870214</v>
      </c>
      <c r="H17" s="1495">
        <v>36.80746666666667</v>
      </c>
      <c r="K17" s="1524"/>
      <c r="L17" s="1516">
        <f t="shared" ref="L17:L39" si="2">D17-(B17-C17)</f>
        <v>0</v>
      </c>
      <c r="M17" s="1515">
        <f t="shared" si="1"/>
        <v>0</v>
      </c>
      <c r="N17" s="1510"/>
      <c r="O17" s="1510"/>
      <c r="P17" s="1510"/>
    </row>
    <row r="18" spans="1:16">
      <c r="A18" s="1502" t="s">
        <v>1891</v>
      </c>
      <c r="B18" s="1527">
        <v>5.4024900000000011</v>
      </c>
      <c r="C18" s="1496">
        <v>4.4825399999999993</v>
      </c>
      <c r="D18" s="1496">
        <v>0.91994999999999993</v>
      </c>
      <c r="E18" s="1530">
        <v>5.6296425476985537</v>
      </c>
      <c r="F18" s="1529">
        <v>4.128643400458003</v>
      </c>
      <c r="G18" s="1528">
        <v>1.5009991472405497</v>
      </c>
      <c r="H18" s="1495">
        <v>30.175000000000001</v>
      </c>
      <c r="L18" s="1516">
        <f t="shared" si="2"/>
        <v>-1.8873791418627661E-15</v>
      </c>
      <c r="M18" s="1515">
        <f t="shared" si="1"/>
        <v>0</v>
      </c>
      <c r="N18" s="1510"/>
      <c r="O18" s="1510"/>
      <c r="P18" s="1510"/>
    </row>
    <row r="19" spans="1:16">
      <c r="A19" s="1502" t="s">
        <v>1932</v>
      </c>
      <c r="B19" s="1527">
        <v>3.2679</v>
      </c>
      <c r="C19" s="1496">
        <v>6.2009233333333338</v>
      </c>
      <c r="D19" s="1529">
        <v>-2.9330233333333333</v>
      </c>
      <c r="E19" s="1530">
        <v>3.3729841672205065</v>
      </c>
      <c r="F19" s="1529">
        <v>6.2881374928947782</v>
      </c>
      <c r="G19" s="1528">
        <v>-2.9151533256742712</v>
      </c>
      <c r="H19" s="1495">
        <v>19</v>
      </c>
      <c r="L19" s="1516">
        <f t="shared" si="2"/>
        <v>0</v>
      </c>
      <c r="M19" s="1515">
        <f t="shared" si="1"/>
        <v>0</v>
      </c>
      <c r="N19" s="1510"/>
      <c r="O19" s="1510"/>
      <c r="P19" s="1510"/>
    </row>
    <row r="20" spans="1:16">
      <c r="A20" s="1502" t="s">
        <v>693</v>
      </c>
      <c r="B20" s="1527">
        <v>3.0592366666666666</v>
      </c>
      <c r="C20" s="1496">
        <v>10.97565</v>
      </c>
      <c r="D20" s="1496">
        <v>-7.9164166666666658</v>
      </c>
      <c r="E20" s="1530">
        <v>3.1013044466853374</v>
      </c>
      <c r="F20" s="1529">
        <v>11.66850171480165</v>
      </c>
      <c r="G20" s="1528">
        <v>-8.5671972681163098</v>
      </c>
      <c r="H20" s="1495">
        <v>12.5</v>
      </c>
      <c r="K20" s="1533"/>
      <c r="L20" s="1516">
        <f t="shared" si="2"/>
        <v>-3.3333333329110815E-6</v>
      </c>
      <c r="M20" s="1515">
        <f t="shared" si="1"/>
        <v>0</v>
      </c>
      <c r="N20" s="1510"/>
      <c r="O20" s="1510"/>
      <c r="P20" s="1510"/>
    </row>
    <row r="21" spans="1:16">
      <c r="A21" s="1502" t="s">
        <v>1929</v>
      </c>
      <c r="B21" s="1527">
        <v>7.8962933333333334</v>
      </c>
      <c r="C21" s="1496">
        <v>5.4223066666666657</v>
      </c>
      <c r="D21" s="1496">
        <v>2.4739866666666668</v>
      </c>
      <c r="E21" s="1526"/>
      <c r="F21" s="1496"/>
      <c r="G21" s="1525"/>
      <c r="H21" s="1495">
        <v>26</v>
      </c>
      <c r="L21" s="1516">
        <f t="shared" si="2"/>
        <v>0</v>
      </c>
      <c r="M21" s="1515">
        <f t="shared" si="1"/>
        <v>0</v>
      </c>
      <c r="N21" s="1510"/>
      <c r="O21" s="1510"/>
      <c r="P21" s="1510"/>
    </row>
    <row r="22" spans="1:16">
      <c r="A22" s="1502" t="s">
        <v>1896</v>
      </c>
      <c r="B22" s="1527">
        <v>3.7410033333333335</v>
      </c>
      <c r="C22" s="1496">
        <v>3.6235600000000008</v>
      </c>
      <c r="D22" s="1496">
        <v>0.11744666666666664</v>
      </c>
      <c r="E22" s="1530">
        <v>3.741690781590421</v>
      </c>
      <c r="F22" s="1529">
        <v>3.6200641307564423</v>
      </c>
      <c r="G22" s="1528">
        <v>0.12162665083397887</v>
      </c>
      <c r="H22" s="1495">
        <v>31.2927</v>
      </c>
      <c r="L22" s="1516">
        <f t="shared" si="2"/>
        <v>3.3333333339657933E-6</v>
      </c>
      <c r="M22" s="1515">
        <f t="shared" si="1"/>
        <v>1.5265566588595902E-16</v>
      </c>
      <c r="N22" s="1510"/>
      <c r="O22" s="1510"/>
      <c r="P22" s="1510"/>
    </row>
    <row r="23" spans="1:16">
      <c r="A23" s="1502" t="s">
        <v>1436</v>
      </c>
      <c r="B23" s="1527">
        <v>8.7069966666666669</v>
      </c>
      <c r="C23" s="1496">
        <v>15.27204666666667</v>
      </c>
      <c r="D23" s="1532">
        <v>-6.5650533333333332</v>
      </c>
      <c r="E23" s="1526"/>
      <c r="F23" s="1496"/>
      <c r="G23" s="1525"/>
      <c r="H23" s="1495">
        <v>33.023333333333333</v>
      </c>
      <c r="L23" s="1516">
        <f t="shared" si="2"/>
        <v>-3.3333333302465462E-6</v>
      </c>
      <c r="M23" s="1515">
        <f t="shared" si="1"/>
        <v>0</v>
      </c>
      <c r="N23" s="1510"/>
      <c r="O23" s="1510"/>
      <c r="P23" s="1510"/>
    </row>
    <row r="24" spans="1:16">
      <c r="A24" s="1502" t="s">
        <v>1928</v>
      </c>
      <c r="B24" s="1527">
        <v>5.1630633333333344</v>
      </c>
      <c r="C24" s="1496">
        <v>6.760110000000001</v>
      </c>
      <c r="D24" s="1496">
        <v>-1.5970433333333331</v>
      </c>
      <c r="E24" s="1530">
        <v>2.0873865013510158</v>
      </c>
      <c r="F24" s="1529">
        <v>1.0732705442855213</v>
      </c>
      <c r="G24" s="1528">
        <v>1.0141159570654943</v>
      </c>
      <c r="H24" s="1495">
        <v>24.2</v>
      </c>
      <c r="L24" s="1516">
        <f t="shared" si="2"/>
        <v>3.3333333333551707E-6</v>
      </c>
      <c r="M24" s="1515">
        <f t="shared" si="1"/>
        <v>0</v>
      </c>
      <c r="N24" s="1510"/>
      <c r="O24" s="1510"/>
      <c r="P24" s="1510"/>
    </row>
    <row r="25" spans="1:16">
      <c r="A25" s="1502" t="s">
        <v>1926</v>
      </c>
      <c r="B25" s="1527">
        <v>9.5845366666666649</v>
      </c>
      <c r="C25" s="1496">
        <v>8.9418133333333323</v>
      </c>
      <c r="D25" s="1496">
        <v>0.64272666666666667</v>
      </c>
      <c r="E25" s="1530">
        <v>9.8321558675978178</v>
      </c>
      <c r="F25" s="1529">
        <v>8.9203900484814547</v>
      </c>
      <c r="G25" s="1528">
        <v>0.91176581911636223</v>
      </c>
      <c r="H25" s="1495">
        <v>15</v>
      </c>
      <c r="K25" s="1524"/>
      <c r="L25" s="1516">
        <f t="shared" si="2"/>
        <v>3.3333333340213045E-6</v>
      </c>
      <c r="M25" s="1515">
        <f t="shared" si="1"/>
        <v>-8.8817841970012523E-16</v>
      </c>
      <c r="N25" s="1510"/>
      <c r="O25" s="1510"/>
      <c r="P25" s="1510"/>
    </row>
    <row r="26" spans="1:16">
      <c r="A26" s="1502" t="s">
        <v>697</v>
      </c>
      <c r="B26" s="1527">
        <v>2.1201433333333335</v>
      </c>
      <c r="C26" s="1496">
        <v>2.314073333333333</v>
      </c>
      <c r="D26" s="1496">
        <v>-0.19392666666666666</v>
      </c>
      <c r="E26" s="1530">
        <v>1.6657059581348153</v>
      </c>
      <c r="F26" s="1529">
        <v>1.9589256615208273</v>
      </c>
      <c r="G26" s="1528">
        <v>-0.29321970338601183</v>
      </c>
      <c r="H26" s="1495">
        <v>29.22</v>
      </c>
      <c r="L26" s="1516">
        <f t="shared" si="2"/>
        <v>3.3333333328278147E-6</v>
      </c>
      <c r="M26" s="1515">
        <f t="shared" si="1"/>
        <v>0</v>
      </c>
      <c r="N26" s="1510"/>
      <c r="O26" s="1510"/>
      <c r="P26" s="1510"/>
    </row>
    <row r="27" spans="1:16">
      <c r="A27" s="1502" t="s">
        <v>1894</v>
      </c>
      <c r="B27" s="1527">
        <v>3.72776</v>
      </c>
      <c r="C27" s="1496">
        <v>4.5442900000000002</v>
      </c>
      <c r="D27" s="1496">
        <v>-0.81652999999999998</v>
      </c>
      <c r="E27" s="1526"/>
      <c r="F27" s="1496"/>
      <c r="G27" s="1525"/>
      <c r="H27" s="1495">
        <v>30</v>
      </c>
      <c r="L27" s="1516">
        <f t="shared" si="2"/>
        <v>0</v>
      </c>
      <c r="M27" s="1515">
        <f t="shared" si="1"/>
        <v>0</v>
      </c>
      <c r="N27" s="1510"/>
      <c r="O27" s="1510"/>
      <c r="P27" s="1510"/>
    </row>
    <row r="28" spans="1:16">
      <c r="A28" s="1502" t="s">
        <v>694</v>
      </c>
      <c r="B28" s="1527">
        <v>5.1363699999999994</v>
      </c>
      <c r="C28" s="1496">
        <v>5.668753333333334</v>
      </c>
      <c r="D28" s="1496">
        <v>-0.53238666666666667</v>
      </c>
      <c r="E28" s="1530">
        <v>5.1322046970428827</v>
      </c>
      <c r="F28" s="1529">
        <v>5.6666606114065887</v>
      </c>
      <c r="G28" s="1528">
        <v>-0.53445591436370654</v>
      </c>
      <c r="H28" s="1495">
        <v>25</v>
      </c>
      <c r="L28" s="1516">
        <f t="shared" si="2"/>
        <v>-3.3333333321339254E-6</v>
      </c>
      <c r="M28" s="1515">
        <f t="shared" si="1"/>
        <v>0</v>
      </c>
      <c r="N28" s="1510"/>
      <c r="O28" s="1510"/>
      <c r="P28" s="1510"/>
    </row>
    <row r="29" spans="1:16">
      <c r="A29" s="1502" t="s">
        <v>1923</v>
      </c>
      <c r="B29" s="1527">
        <v>4.6427866666666668</v>
      </c>
      <c r="C29" s="1496">
        <v>11.94769</v>
      </c>
      <c r="D29" s="1532">
        <v>-7.3048999999999999</v>
      </c>
      <c r="E29" s="1530">
        <v>4.6051140160541983</v>
      </c>
      <c r="F29" s="1529">
        <v>11.911236851482077</v>
      </c>
      <c r="G29" s="1531">
        <v>-7.3061228354278809</v>
      </c>
      <c r="H29" s="1495">
        <v>28</v>
      </c>
      <c r="L29" s="1516">
        <f t="shared" si="2"/>
        <v>3.3333333329110815E-6</v>
      </c>
      <c r="M29" s="1515">
        <f t="shared" si="1"/>
        <v>0</v>
      </c>
      <c r="N29" s="1510"/>
      <c r="O29" s="1510"/>
      <c r="P29" s="1510"/>
    </row>
    <row r="30" spans="1:16">
      <c r="A30" s="1502" t="s">
        <v>1897</v>
      </c>
      <c r="B30" s="1527">
        <v>5.9992333333333336</v>
      </c>
      <c r="C30" s="1496">
        <v>4.5501366666666678</v>
      </c>
      <c r="D30" s="1496">
        <v>1.4490966666666665</v>
      </c>
      <c r="E30" s="1530">
        <v>5.211611095292584</v>
      </c>
      <c r="F30" s="1529">
        <v>3.7841940125637614</v>
      </c>
      <c r="G30" s="1528">
        <v>1.4274170827288224</v>
      </c>
      <c r="H30" s="1495">
        <v>26.333333333333332</v>
      </c>
      <c r="L30" s="1516">
        <f t="shared" si="2"/>
        <v>0</v>
      </c>
      <c r="M30" s="1515">
        <f t="shared" si="1"/>
        <v>0</v>
      </c>
      <c r="N30" s="1510"/>
      <c r="O30" s="1510"/>
      <c r="P30" s="1510"/>
    </row>
    <row r="31" spans="1:16">
      <c r="A31" s="1502" t="s">
        <v>1919</v>
      </c>
      <c r="B31" s="1527">
        <v>4.1083833333333342</v>
      </c>
      <c r="C31" s="1496">
        <v>10.981596666666666</v>
      </c>
      <c r="D31" s="1532">
        <v>-6.8732166666666661</v>
      </c>
      <c r="E31" s="1530">
        <v>3.9754031793878513</v>
      </c>
      <c r="F31" s="1529">
        <v>11.366096482891324</v>
      </c>
      <c r="G31" s="1531">
        <v>-7.3906933035034719</v>
      </c>
      <c r="H31" s="1495">
        <v>19</v>
      </c>
      <c r="K31" s="1533"/>
      <c r="L31" s="1516">
        <f t="shared" si="2"/>
        <v>-3.3333333337992599E-6</v>
      </c>
      <c r="M31" s="1515">
        <f t="shared" si="1"/>
        <v>0</v>
      </c>
    </row>
    <row r="32" spans="1:16">
      <c r="A32" s="1502" t="s">
        <v>1918</v>
      </c>
      <c r="B32" s="1527">
        <v>3.1288133333333334</v>
      </c>
      <c r="C32" s="1496">
        <v>3.7444800000000003</v>
      </c>
      <c r="D32" s="1496">
        <v>-0.6156666666666667</v>
      </c>
      <c r="E32" s="1530">
        <v>3.0377351059322293</v>
      </c>
      <c r="F32" s="1529">
        <v>3.7200488381206744</v>
      </c>
      <c r="G32" s="1528">
        <v>-0.68231373218844549</v>
      </c>
      <c r="H32" s="1495">
        <v>30.166666666666668</v>
      </c>
      <c r="L32" s="1516">
        <f t="shared" si="2"/>
        <v>0</v>
      </c>
      <c r="M32" s="1515">
        <f t="shared" si="1"/>
        <v>0</v>
      </c>
    </row>
    <row r="33" spans="1:13">
      <c r="A33" s="1502" t="s">
        <v>1915</v>
      </c>
      <c r="B33" s="1527">
        <v>14.00825</v>
      </c>
      <c r="C33" s="1496">
        <v>8.7552833333333346</v>
      </c>
      <c r="D33" s="1532">
        <v>5.2529666666666666</v>
      </c>
      <c r="E33" s="1530">
        <v>13.998692947103027</v>
      </c>
      <c r="F33" s="1529">
        <v>8.7493563573501785</v>
      </c>
      <c r="G33" s="1531">
        <v>5.2493365897528488</v>
      </c>
      <c r="H33" s="1495">
        <v>22</v>
      </c>
      <c r="L33" s="1516">
        <f t="shared" si="2"/>
        <v>0</v>
      </c>
      <c r="M33" s="1515">
        <f t="shared" si="1"/>
        <v>0</v>
      </c>
    </row>
    <row r="34" spans="1:13">
      <c r="A34" s="1502" t="s">
        <v>1941</v>
      </c>
      <c r="B34" s="1527">
        <v>5.8224299999999998</v>
      </c>
      <c r="C34" s="1496">
        <v>3.8922599999999994</v>
      </c>
      <c r="D34" s="1496">
        <v>1.9301700000000002</v>
      </c>
      <c r="E34" s="1530">
        <v>5.7884541991057246</v>
      </c>
      <c r="F34" s="1529">
        <v>3.8049483599256075</v>
      </c>
      <c r="G34" s="1528">
        <v>1.9835058391801175</v>
      </c>
      <c r="H34" s="1495">
        <v>27.666666666666668</v>
      </c>
      <c r="L34" s="1516">
        <f t="shared" si="2"/>
        <v>0</v>
      </c>
      <c r="M34" s="1515">
        <f t="shared" si="1"/>
        <v>0</v>
      </c>
    </row>
    <row r="35" spans="1:13">
      <c r="A35" s="1502" t="s">
        <v>1913</v>
      </c>
      <c r="B35" s="1527">
        <v>7.8954166666666659</v>
      </c>
      <c r="C35" s="1496">
        <v>7.3329733333333325</v>
      </c>
      <c r="D35" s="1496">
        <v>0.56244333333333341</v>
      </c>
      <c r="E35" s="1530">
        <v>7.8193453045155525</v>
      </c>
      <c r="F35" s="1529">
        <v>7.4957932399593199</v>
      </c>
      <c r="G35" s="1528">
        <v>0.32355206455623442</v>
      </c>
      <c r="H35" s="1495">
        <v>22</v>
      </c>
      <c r="K35" s="1524"/>
      <c r="L35" s="1516">
        <f t="shared" si="2"/>
        <v>0</v>
      </c>
      <c r="M35" s="1515">
        <f t="shared" si="1"/>
        <v>1.7763568394002505E-15</v>
      </c>
    </row>
    <row r="36" spans="1:13">
      <c r="A36" s="1502" t="s">
        <v>695</v>
      </c>
      <c r="B36" s="1527">
        <v>8.1086333333333336</v>
      </c>
      <c r="C36" s="1496">
        <v>7.8372733333333331</v>
      </c>
      <c r="D36" s="1496">
        <v>0.27135999999999999</v>
      </c>
      <c r="E36" s="1530">
        <v>8.1251063593010002</v>
      </c>
      <c r="F36" s="1529">
        <v>7.9937944208307536</v>
      </c>
      <c r="G36" s="1528">
        <v>0.13131193847024805</v>
      </c>
      <c r="H36" s="1495">
        <v>21.148599999999998</v>
      </c>
      <c r="L36" s="1516">
        <f t="shared" si="2"/>
        <v>-4.9960036108132044E-16</v>
      </c>
      <c r="M36" s="1515">
        <f t="shared" si="1"/>
        <v>1.4710455076283324E-15</v>
      </c>
    </row>
    <row r="37" spans="1:13">
      <c r="A37" s="1502" t="s">
        <v>1911</v>
      </c>
      <c r="B37" s="1527">
        <v>0.80467333333333335</v>
      </c>
      <c r="C37" s="1496">
        <v>1.8342566666666666</v>
      </c>
      <c r="D37" s="1496">
        <v>-1.0295899999999998</v>
      </c>
      <c r="E37" s="1530">
        <v>0.80338893569260539</v>
      </c>
      <c r="F37" s="1529">
        <v>1.8109336840252215</v>
      </c>
      <c r="G37" s="1528">
        <v>-1.0075447483326159</v>
      </c>
      <c r="H37" s="1495">
        <v>20</v>
      </c>
      <c r="L37" s="1516">
        <f t="shared" si="2"/>
        <v>-6.6666666664882968E-6</v>
      </c>
      <c r="M37" s="1515">
        <f t="shared" si="1"/>
        <v>0</v>
      </c>
    </row>
    <row r="38" spans="1:13">
      <c r="A38" s="1502" t="s">
        <v>1892</v>
      </c>
      <c r="B38" s="1527">
        <v>5.0816166666666662</v>
      </c>
      <c r="C38" s="1496">
        <v>5.4719933333333328</v>
      </c>
      <c r="D38" s="1496">
        <v>-0.39037666666666665</v>
      </c>
      <c r="E38" s="1526"/>
      <c r="F38" s="1496"/>
      <c r="G38" s="1525"/>
      <c r="H38" s="1495">
        <v>20.333333333333332</v>
      </c>
      <c r="K38" s="1524"/>
      <c r="L38" s="1516">
        <f t="shared" si="2"/>
        <v>0</v>
      </c>
      <c r="M38" s="1515">
        <f t="shared" si="1"/>
        <v>0</v>
      </c>
    </row>
    <row r="39" spans="1:13" s="1514" customFormat="1" ht="43" customHeight="1" thickBot="1">
      <c r="A39" s="1523" t="s">
        <v>1900</v>
      </c>
      <c r="B39" s="1522">
        <v>7.2222599999999995</v>
      </c>
      <c r="C39" s="1521">
        <v>3.0190299999999999</v>
      </c>
      <c r="D39" s="1521">
        <v>4.2032266666666676</v>
      </c>
      <c r="E39" s="1520">
        <v>7.2222640462066678</v>
      </c>
      <c r="F39" s="1519">
        <v>3.0190172383721228</v>
      </c>
      <c r="G39" s="1518">
        <v>4.203246807834546</v>
      </c>
      <c r="H39" s="1517">
        <v>38.998966666666668</v>
      </c>
      <c r="K39" s="1483"/>
      <c r="L39" s="1516">
        <f t="shared" si="2"/>
        <v>-3.3333333320229031E-6</v>
      </c>
      <c r="M39" s="1515">
        <f t="shared" si="1"/>
        <v>0</v>
      </c>
    </row>
    <row r="40" spans="1:13" ht="17" thickTop="1" thickBot="1"/>
    <row r="41" spans="1:13">
      <c r="A41" s="1876" t="s">
        <v>3431</v>
      </c>
      <c r="B41" s="1877"/>
      <c r="C41" s="1877"/>
      <c r="D41" s="1877"/>
      <c r="E41" s="1877"/>
      <c r="F41" s="1877"/>
      <c r="G41" s="1877"/>
      <c r="H41" s="1878"/>
    </row>
    <row r="42" spans="1:13" ht="58" customHeight="1" thickBot="1">
      <c r="A42" s="1879" t="s">
        <v>3455</v>
      </c>
      <c r="B42" s="1880"/>
      <c r="C42" s="1880"/>
      <c r="D42" s="1880"/>
      <c r="E42" s="1880"/>
      <c r="F42" s="1880"/>
      <c r="G42" s="1880"/>
      <c r="H42" s="1881"/>
    </row>
    <row r="43" spans="1:13">
      <c r="B43" s="1513"/>
    </row>
    <row r="45" spans="1:13" s="1511" customFormat="1" ht="45" customHeight="1">
      <c r="A45" s="1512"/>
      <c r="B45" s="1512"/>
      <c r="C45" s="1512"/>
      <c r="D45" s="1512"/>
    </row>
    <row r="46" spans="1:13">
      <c r="A46" s="1510"/>
      <c r="B46" s="1510"/>
      <c r="C46" s="1510"/>
      <c r="D46" s="1510"/>
    </row>
    <row r="47" spans="1:13">
      <c r="A47" s="1510"/>
      <c r="B47" s="1510"/>
      <c r="C47" s="1510"/>
      <c r="D47" s="1510"/>
    </row>
    <row r="48" spans="1:13">
      <c r="A48" s="1510"/>
      <c r="B48" s="1510"/>
      <c r="C48" s="1510"/>
      <c r="D48" s="1510"/>
    </row>
    <row r="49" spans="1:4">
      <c r="A49" s="1510"/>
      <c r="B49" s="1510"/>
      <c r="C49" s="1510"/>
      <c r="D49" s="1510"/>
    </row>
    <row r="50" spans="1:4">
      <c r="A50" s="1510"/>
      <c r="B50" s="1510"/>
      <c r="C50" s="1510"/>
      <c r="D50" s="1510"/>
    </row>
    <row r="51" spans="1:4">
      <c r="A51" s="1510"/>
      <c r="B51" s="1510"/>
      <c r="C51" s="1510"/>
      <c r="D51" s="1510"/>
    </row>
    <row r="52" spans="1:4">
      <c r="A52" s="1510"/>
      <c r="B52" s="1510"/>
      <c r="C52" s="1510"/>
      <c r="D52" s="1510"/>
    </row>
    <row r="53" spans="1:4">
      <c r="A53" s="1510"/>
      <c r="B53" s="1510"/>
      <c r="C53" s="1510"/>
      <c r="D53" s="1510"/>
    </row>
    <row r="54" spans="1:4">
      <c r="A54" s="1510"/>
      <c r="B54" s="1510"/>
      <c r="C54" s="1510"/>
      <c r="D54" s="1510"/>
    </row>
    <row r="55" spans="1:4">
      <c r="A55" s="1510"/>
      <c r="B55" s="1510"/>
      <c r="C55" s="1510"/>
      <c r="D55" s="1510"/>
    </row>
    <row r="56" spans="1:4">
      <c r="A56" s="1510"/>
      <c r="B56" s="1510"/>
      <c r="C56" s="1510"/>
      <c r="D56" s="1510"/>
    </row>
    <row r="57" spans="1:4">
      <c r="A57" s="1510"/>
      <c r="B57" s="1510"/>
      <c r="C57" s="1510"/>
      <c r="D57" s="1510"/>
    </row>
    <row r="58" spans="1:4">
      <c r="A58" s="1510"/>
      <c r="B58" s="1510"/>
      <c r="C58" s="1510"/>
      <c r="D58" s="1510"/>
    </row>
    <row r="59" spans="1:4">
      <c r="A59" s="1510"/>
      <c r="B59" s="1510"/>
      <c r="C59" s="1510"/>
      <c r="D59" s="1510"/>
    </row>
    <row r="60" spans="1:4">
      <c r="A60" s="1510"/>
      <c r="B60" s="1510"/>
      <c r="C60" s="1510"/>
      <c r="D60" s="1510"/>
    </row>
    <row r="61" spans="1:4">
      <c r="A61" s="1510"/>
      <c r="B61" s="1510"/>
      <c r="C61" s="1510"/>
      <c r="D61" s="1510"/>
    </row>
    <row r="62" spans="1:4">
      <c r="A62" s="1510"/>
      <c r="B62" s="1510"/>
      <c r="C62" s="1510"/>
      <c r="D62" s="1510"/>
    </row>
    <row r="63" spans="1:4">
      <c r="A63" s="1510"/>
      <c r="B63" s="1510"/>
      <c r="C63" s="1510"/>
      <c r="D63" s="1510"/>
    </row>
    <row r="64" spans="1:4">
      <c r="A64" s="1510"/>
      <c r="B64" s="1510"/>
      <c r="C64" s="1510"/>
      <c r="D64" s="1510"/>
    </row>
    <row r="65" spans="1:4">
      <c r="A65" s="1510"/>
      <c r="B65" s="1510"/>
      <c r="C65" s="1510"/>
      <c r="D65" s="1510"/>
    </row>
    <row r="66" spans="1:4">
      <c r="A66" s="1510"/>
      <c r="B66" s="1510"/>
      <c r="C66" s="1510"/>
      <c r="D66" s="1510"/>
    </row>
    <row r="67" spans="1:4">
      <c r="A67" s="1510"/>
      <c r="B67" s="1510"/>
      <c r="C67" s="1510"/>
      <c r="D67" s="1510"/>
    </row>
    <row r="68" spans="1:4">
      <c r="A68" s="1510"/>
      <c r="B68" s="1510"/>
      <c r="C68" s="1510"/>
      <c r="D68" s="1510"/>
    </row>
    <row r="69" spans="1:4">
      <c r="A69" s="1510"/>
      <c r="B69" s="1510"/>
      <c r="C69" s="1510"/>
      <c r="D69" s="1510"/>
    </row>
  </sheetData>
  <mergeCells count="6">
    <mergeCell ref="A3:H4"/>
    <mergeCell ref="A41:H41"/>
    <mergeCell ref="A42:H42"/>
    <mergeCell ref="B6:D6"/>
    <mergeCell ref="E6:G6"/>
    <mergeCell ref="H6:H7"/>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N75"/>
  <sheetViews>
    <sheetView zoomScale="90" zoomScaleNormal="90" zoomScalePageLayoutView="90" workbookViewId="0">
      <pane xSplit="1" ySplit="9" topLeftCell="B50" activePane="bottomRight" state="frozen"/>
      <selection activeCell="X67" sqref="X67"/>
      <selection pane="topRight" activeCell="X67" sqref="X67"/>
      <selection pane="bottomLeft" activeCell="X67" sqref="X67"/>
      <selection pane="bottomRight" activeCell="A3" sqref="A3:L3"/>
    </sheetView>
  </sheetViews>
  <sheetFormatPr baseColWidth="10" defaultColWidth="9.28515625" defaultRowHeight="15" x14ac:dyDescent="0"/>
  <cols>
    <col min="1" max="1" width="16.28515625" style="805" customWidth="1"/>
    <col min="2" max="4" width="9.7109375" style="805" customWidth="1"/>
    <col min="5" max="5" width="11.140625" style="805" bestFit="1" customWidth="1"/>
    <col min="6" max="16384" width="9.28515625" style="805"/>
  </cols>
  <sheetData>
    <row r="2" spans="1:12" ht="16" thickBot="1"/>
    <row r="3" spans="1:12" ht="32" customHeight="1" thickTop="1">
      <c r="A3" s="1734" t="s">
        <v>2468</v>
      </c>
      <c r="B3" s="1735"/>
      <c r="C3" s="1735"/>
      <c r="D3" s="1735"/>
      <c r="E3" s="1735"/>
      <c r="F3" s="1735"/>
      <c r="G3" s="1735"/>
      <c r="H3" s="1735"/>
      <c r="I3" s="1735"/>
      <c r="J3" s="1735"/>
      <c r="K3" s="1735"/>
      <c r="L3" s="1736"/>
    </row>
    <row r="4" spans="1:12" ht="12" customHeight="1">
      <c r="A4" s="806"/>
      <c r="B4" s="807"/>
      <c r="C4" s="807"/>
      <c r="D4" s="807"/>
      <c r="E4" s="887"/>
      <c r="F4" s="887"/>
      <c r="G4" s="887"/>
      <c r="H4" s="887"/>
      <c r="I4" s="887"/>
      <c r="J4" s="887"/>
      <c r="K4" s="887"/>
      <c r="L4" s="888"/>
    </row>
    <row r="5" spans="1:12">
      <c r="A5" s="809"/>
      <c r="B5" s="839" t="s">
        <v>2411</v>
      </c>
      <c r="C5" s="839" t="s">
        <v>2412</v>
      </c>
      <c r="D5" s="839" t="s">
        <v>2413</v>
      </c>
      <c r="E5" s="839" t="s">
        <v>2414</v>
      </c>
      <c r="F5" s="839" t="s">
        <v>2415</v>
      </c>
      <c r="G5" s="839" t="s">
        <v>2416</v>
      </c>
      <c r="H5" s="839" t="s">
        <v>2417</v>
      </c>
      <c r="I5" s="839" t="s">
        <v>2429</v>
      </c>
      <c r="J5" s="839" t="s">
        <v>2430</v>
      </c>
      <c r="K5" s="839" t="s">
        <v>2431</v>
      </c>
      <c r="L5" s="811" t="s">
        <v>2432</v>
      </c>
    </row>
    <row r="6" spans="1:12" ht="21" customHeight="1">
      <c r="A6" s="809"/>
      <c r="B6" s="1763" t="s">
        <v>2460</v>
      </c>
      <c r="C6" s="1764"/>
      <c r="D6" s="1764"/>
      <c r="E6" s="1764"/>
      <c r="F6" s="1764"/>
      <c r="G6" s="1765"/>
      <c r="H6" s="1756" t="s">
        <v>2174</v>
      </c>
      <c r="I6" s="1758" t="s">
        <v>2472</v>
      </c>
      <c r="J6" s="1771" t="s">
        <v>3220</v>
      </c>
      <c r="K6" s="1762" t="s">
        <v>2193</v>
      </c>
      <c r="L6" s="1769" t="s">
        <v>2459</v>
      </c>
    </row>
    <row r="7" spans="1:12" ht="21" customHeight="1">
      <c r="A7" s="809"/>
      <c r="B7" s="1766" t="s">
        <v>1855</v>
      </c>
      <c r="C7" s="1767"/>
      <c r="D7" s="1768"/>
      <c r="E7" s="1766" t="s">
        <v>2244</v>
      </c>
      <c r="F7" s="1767"/>
      <c r="G7" s="1768"/>
      <c r="H7" s="1757"/>
      <c r="I7" s="1759"/>
      <c r="J7" s="1772"/>
      <c r="K7" s="1741"/>
      <c r="L7" s="1770"/>
    </row>
    <row r="8" spans="1:12" ht="85" customHeight="1">
      <c r="A8" s="809"/>
      <c r="B8" s="1762" t="s">
        <v>2423</v>
      </c>
      <c r="C8" s="1750" t="s">
        <v>780</v>
      </c>
      <c r="D8" s="1760" t="s">
        <v>2271</v>
      </c>
      <c r="E8" s="1762" t="s">
        <v>2423</v>
      </c>
      <c r="F8" s="1750" t="s">
        <v>780</v>
      </c>
      <c r="G8" s="1760" t="s">
        <v>2271</v>
      </c>
      <c r="H8" s="1757"/>
      <c r="I8" s="1759"/>
      <c r="J8" s="1772"/>
      <c r="K8" s="1741"/>
      <c r="L8" s="1770"/>
    </row>
    <row r="9" spans="1:12" ht="33" customHeight="1">
      <c r="A9" s="809"/>
      <c r="B9" s="1741"/>
      <c r="C9" s="1744"/>
      <c r="D9" s="1761"/>
      <c r="E9" s="1741"/>
      <c r="F9" s="1744"/>
      <c r="G9" s="1761"/>
      <c r="H9" s="1757"/>
      <c r="I9" s="1759"/>
      <c r="J9" s="1773"/>
      <c r="K9" s="1741"/>
      <c r="L9" s="1770"/>
    </row>
    <row r="10" spans="1:12" ht="14" customHeight="1">
      <c r="A10" s="921">
        <v>1966</v>
      </c>
      <c r="B10" s="922">
        <f>'Assets(MOFA)'!DE11/1000</f>
        <v>1.241942528735632</v>
      </c>
      <c r="C10" s="923">
        <f>'Assets(MOFA)'!GK11/1000</f>
        <v>2.2480000000000002</v>
      </c>
      <c r="D10" s="926">
        <f t="shared" ref="D10:D41" si="0">B10+C10</f>
        <v>3.4899425287356323</v>
      </c>
      <c r="E10" s="922">
        <f>T.A1!E10-B10</f>
        <v>3.2170899215954938</v>
      </c>
      <c r="F10" s="923">
        <f>T.A1!J10-C10</f>
        <v>2.7157830224523511</v>
      </c>
      <c r="G10" s="926">
        <f t="shared" ref="G10:G41" si="1">E10+F10</f>
        <v>5.9328729440478449</v>
      </c>
      <c r="H10" s="927">
        <f>B10/(B10+E10)</f>
        <v>0.27852287297066114</v>
      </c>
      <c r="I10" s="928">
        <f>D10/(D10+G10)</f>
        <v>0.37037152418147823</v>
      </c>
      <c r="J10" s="1346">
        <f>'Assets(MOFA)'!EH11*'Assets(MOFA)'!EI11</f>
        <v>10.257509788566953</v>
      </c>
      <c r="K10" s="924">
        <f t="shared" ref="K10:K41" si="2">C10/D10</f>
        <v>0.64413668176204208</v>
      </c>
      <c r="L10" s="925">
        <f>F10/G10</f>
        <v>0.45775175839168453</v>
      </c>
    </row>
    <row r="11" spans="1:12" ht="14" customHeight="1">
      <c r="A11" s="826">
        <v>1967</v>
      </c>
      <c r="B11" s="814">
        <f>'Assets(MOFA)'!DE12/1000</f>
        <v>1.5002500000000001</v>
      </c>
      <c r="C11" s="828">
        <f>'Assets(MOFA)'!GK12/1000</f>
        <v>2.6591499999999995</v>
      </c>
      <c r="D11" s="918">
        <f t="shared" si="0"/>
        <v>4.1593999999999998</v>
      </c>
      <c r="E11" s="814">
        <f>T.A1!E11-B11</f>
        <v>3.3465785879715053</v>
      </c>
      <c r="F11" s="828">
        <f>T.A1!J11-C11</f>
        <v>2.7390117262385267</v>
      </c>
      <c r="G11" s="918">
        <f t="shared" si="1"/>
        <v>6.085590314210032</v>
      </c>
      <c r="H11" s="912">
        <f t="shared" ref="H11:H59" si="3">B11/(B11+E11)</f>
        <v>0.30953229988846886</v>
      </c>
      <c r="I11" s="915">
        <f t="shared" ref="I11:I59" si="4">D11/(D11+G11)</f>
        <v>0.4059935512316511</v>
      </c>
      <c r="J11" s="1347">
        <f>'Assets(MOFA)'!EH12*'Assets(MOFA)'!EI12</f>
        <v>10.005734073432805</v>
      </c>
      <c r="K11" s="889">
        <f t="shared" si="2"/>
        <v>0.63931095831129481</v>
      </c>
      <c r="L11" s="890">
        <f t="shared" ref="L11:L60" si="5">F11/G11</f>
        <v>0.45008151794951656</v>
      </c>
    </row>
    <row r="12" spans="1:12" ht="14" customHeight="1">
      <c r="A12" s="826">
        <v>1968</v>
      </c>
      <c r="B12" s="814">
        <f>'Assets(MOFA)'!DE13/1000</f>
        <v>1.7847</v>
      </c>
      <c r="C12" s="828">
        <f>'Assets(MOFA)'!GK13/1000</f>
        <v>3.0900999999999996</v>
      </c>
      <c r="D12" s="918">
        <f t="shared" si="0"/>
        <v>4.8747999999999996</v>
      </c>
      <c r="E12" s="814">
        <f>T.A1!E12-B12</f>
        <v>3.908260923865118</v>
      </c>
      <c r="F12" s="828">
        <f>T.A1!J12-C12</f>
        <v>2.8997999999999999</v>
      </c>
      <c r="G12" s="918">
        <f t="shared" si="1"/>
        <v>6.808060923865118</v>
      </c>
      <c r="H12" s="912">
        <f t="shared" si="3"/>
        <v>0.31349240296353814</v>
      </c>
      <c r="I12" s="915">
        <f t="shared" si="4"/>
        <v>0.41726080895493856</v>
      </c>
      <c r="J12" s="1347">
        <f>'Assets(MOFA)'!EH13*'Assets(MOFA)'!EI13</f>
        <v>9.6305558278600127</v>
      </c>
      <c r="K12" s="889">
        <f t="shared" si="2"/>
        <v>0.63389267251989823</v>
      </c>
      <c r="L12" s="890">
        <f t="shared" si="5"/>
        <v>0.42593625885969688</v>
      </c>
    </row>
    <row r="13" spans="1:12" ht="14" customHeight="1">
      <c r="A13" s="856">
        <v>1969</v>
      </c>
      <c r="B13" s="857">
        <f>'Assets(MOFA)'!DE14/1000</f>
        <v>1.8233999999999999</v>
      </c>
      <c r="C13" s="858">
        <f>'Assets(MOFA)'!GK14/1000</f>
        <v>3.5555000000000003</v>
      </c>
      <c r="D13" s="919">
        <f t="shared" si="0"/>
        <v>5.3788999999999998</v>
      </c>
      <c r="E13" s="857">
        <f>T.A1!E13-B13</f>
        <v>4.7464138321200142</v>
      </c>
      <c r="F13" s="858">
        <f>T.A1!J13-C13</f>
        <v>3.3088499999999996</v>
      </c>
      <c r="G13" s="919">
        <f t="shared" si="1"/>
        <v>8.0552638321200138</v>
      </c>
      <c r="H13" s="913">
        <f t="shared" si="3"/>
        <v>0.27754211102380766</v>
      </c>
      <c r="I13" s="916">
        <f t="shared" si="4"/>
        <v>0.40038963847824149</v>
      </c>
      <c r="J13" s="1348">
        <f>'Assets(MOFA)'!EH14*'Assets(MOFA)'!EI14</f>
        <v>9.2132889430741827</v>
      </c>
      <c r="K13" s="891">
        <f t="shared" si="2"/>
        <v>0.66100875643718982</v>
      </c>
      <c r="L13" s="892">
        <f t="shared" si="5"/>
        <v>0.41076866865689793</v>
      </c>
    </row>
    <row r="14" spans="1:12" ht="14" customHeight="1">
      <c r="A14" s="863">
        <v>1970</v>
      </c>
      <c r="B14" s="864">
        <f>'Assets(MOFA)'!DE15/1000</f>
        <v>2.2045333401803178</v>
      </c>
      <c r="C14" s="865">
        <f>'Assets(MOFA)'!GK15/1000</f>
        <v>3.597</v>
      </c>
      <c r="D14" s="920">
        <f t="shared" si="0"/>
        <v>5.8015333401803177</v>
      </c>
      <c r="E14" s="864">
        <f>T.A1!E14-B14</f>
        <v>4.8374995756645554</v>
      </c>
      <c r="F14" s="865">
        <f>T.A1!J14-C14</f>
        <v>3.8691760670560034</v>
      </c>
      <c r="G14" s="920">
        <f t="shared" si="1"/>
        <v>8.7066756427205583</v>
      </c>
      <c r="H14" s="914">
        <f t="shared" si="3"/>
        <v>0.31305354100518679</v>
      </c>
      <c r="I14" s="917">
        <f t="shared" si="4"/>
        <v>0.39987936119598944</v>
      </c>
      <c r="J14" s="1349">
        <f>'Assets(MOFA)'!EH15*'Assets(MOFA)'!EI15</f>
        <v>8.801012318029116</v>
      </c>
      <c r="K14" s="893">
        <f t="shared" si="2"/>
        <v>0.62000850276733932</v>
      </c>
      <c r="L14" s="894">
        <f t="shared" si="5"/>
        <v>0.44439189259231543</v>
      </c>
    </row>
    <row r="15" spans="1:12" ht="14" customHeight="1">
      <c r="A15" s="826">
        <v>1971</v>
      </c>
      <c r="B15" s="814">
        <f>'Assets(MOFA)'!DE16/1000</f>
        <v>2.7340999999999998</v>
      </c>
      <c r="C15" s="828">
        <f>'Assets(MOFA)'!GK16/1000</f>
        <v>5.2084500000000009</v>
      </c>
      <c r="D15" s="918">
        <f t="shared" si="0"/>
        <v>7.9425500000000007</v>
      </c>
      <c r="E15" s="814">
        <f>T.A1!E15-B15</f>
        <v>6.1774390885937613</v>
      </c>
      <c r="F15" s="828">
        <f>T.A1!J15-C15</f>
        <v>4.4682782768166227</v>
      </c>
      <c r="G15" s="918">
        <f t="shared" si="1"/>
        <v>10.645717365410384</v>
      </c>
      <c r="H15" s="912">
        <f t="shared" si="3"/>
        <v>0.30680446697467612</v>
      </c>
      <c r="I15" s="915">
        <f t="shared" si="4"/>
        <v>0.42728834505467356</v>
      </c>
      <c r="J15" s="1347">
        <f>'Assets(MOFA)'!EH16*'Assets(MOFA)'!EI16</f>
        <v>10.505786714789036</v>
      </c>
      <c r="K15" s="889">
        <f t="shared" si="2"/>
        <v>0.65576546575092387</v>
      </c>
      <c r="L15" s="890">
        <f t="shared" si="5"/>
        <v>0.41972542792980433</v>
      </c>
    </row>
    <row r="16" spans="1:12" ht="14" customHeight="1">
      <c r="A16" s="826">
        <v>1972</v>
      </c>
      <c r="B16" s="814">
        <f>'Assets(MOFA)'!DE17/1000</f>
        <v>3.0950000000000002</v>
      </c>
      <c r="C16" s="828">
        <f>'Assets(MOFA)'!GK17/1000</f>
        <v>7.0395000000000012</v>
      </c>
      <c r="D16" s="918">
        <f t="shared" si="0"/>
        <v>10.134500000000001</v>
      </c>
      <c r="E16" s="814">
        <f>T.A1!E16-B16</f>
        <v>7.5964710238627635</v>
      </c>
      <c r="F16" s="828">
        <f>T.A1!J16-C16</f>
        <v>4.566899999999996</v>
      </c>
      <c r="G16" s="918">
        <f t="shared" si="1"/>
        <v>12.163371023862759</v>
      </c>
      <c r="H16" s="912">
        <f t="shared" si="3"/>
        <v>0.28948308358056002</v>
      </c>
      <c r="I16" s="915">
        <f t="shared" si="4"/>
        <v>0.45450527492755921</v>
      </c>
      <c r="J16" s="1347">
        <f>'Assets(MOFA)'!EH17*'Assets(MOFA)'!EI17</f>
        <v>11.246753635230577</v>
      </c>
      <c r="K16" s="889">
        <f t="shared" si="2"/>
        <v>0.69460752873846765</v>
      </c>
      <c r="L16" s="890">
        <f t="shared" si="5"/>
        <v>0.37546334737634862</v>
      </c>
    </row>
    <row r="17" spans="1:12" ht="14" customHeight="1">
      <c r="A17" s="826">
        <v>1973</v>
      </c>
      <c r="B17" s="814">
        <f>'Assets(MOFA)'!DE18/1000</f>
        <v>6.5745499999999995</v>
      </c>
      <c r="C17" s="828">
        <f>'Assets(MOFA)'!GK18/1000</f>
        <v>12.001377672209028</v>
      </c>
      <c r="D17" s="918">
        <f t="shared" si="0"/>
        <v>18.575927672209026</v>
      </c>
      <c r="E17" s="814">
        <f>T.A1!E17-B17</f>
        <v>9.7428126746601826</v>
      </c>
      <c r="F17" s="828">
        <f>T.A1!J17-C17</f>
        <v>5.6425558194774297</v>
      </c>
      <c r="G17" s="918">
        <f t="shared" si="1"/>
        <v>15.385368494137612</v>
      </c>
      <c r="H17" s="912">
        <f t="shared" si="3"/>
        <v>0.40291744021905296</v>
      </c>
      <c r="I17" s="915">
        <f t="shared" si="4"/>
        <v>0.54697346005941083</v>
      </c>
      <c r="J17" s="1347">
        <f>'Assets(MOFA)'!EH18*'Assets(MOFA)'!EI18</f>
        <v>14.156674944812361</v>
      </c>
      <c r="K17" s="889">
        <f t="shared" si="2"/>
        <v>0.64607151168896848</v>
      </c>
      <c r="L17" s="890">
        <f t="shared" si="5"/>
        <v>0.36674817516573943</v>
      </c>
    </row>
    <row r="18" spans="1:12" ht="14" customHeight="1">
      <c r="A18" s="826">
        <v>1974</v>
      </c>
      <c r="B18" s="814">
        <f>'Assets(MOFA)'!DE19/1000</f>
        <v>8.9803499999999961</v>
      </c>
      <c r="C18" s="828">
        <f>'Assets(MOFA)'!GK19/1000</f>
        <v>35.661626032218088</v>
      </c>
      <c r="D18" s="918">
        <f t="shared" si="0"/>
        <v>44.641976032218082</v>
      </c>
      <c r="E18" s="814">
        <f>T.A1!E18-B18</f>
        <v>9.9692924387760247</v>
      </c>
      <c r="F18" s="828">
        <f>T.A1!J18-C18</f>
        <v>6.7397103345724929</v>
      </c>
      <c r="G18" s="918">
        <f t="shared" si="1"/>
        <v>16.709002773348516</v>
      </c>
      <c r="H18" s="912">
        <f t="shared" si="3"/>
        <v>0.47390603960018823</v>
      </c>
      <c r="I18" s="915">
        <f t="shared" si="4"/>
        <v>0.7276489617826204</v>
      </c>
      <c r="J18" s="1347">
        <f>'Assets(MOFA)'!EH19*'Assets(MOFA)'!EI19</f>
        <v>45.129710450212428</v>
      </c>
      <c r="K18" s="889">
        <f t="shared" si="2"/>
        <v>0.79883618965435399</v>
      </c>
      <c r="L18" s="890">
        <f t="shared" si="5"/>
        <v>0.40335802357532569</v>
      </c>
    </row>
    <row r="19" spans="1:12" ht="14" customHeight="1">
      <c r="A19" s="826">
        <v>1975</v>
      </c>
      <c r="B19" s="814">
        <f>'Assets(MOFA)'!DE20/1000</f>
        <v>5.0347499999999998</v>
      </c>
      <c r="C19" s="828">
        <f>'Assets(MOFA)'!GK20/1000</f>
        <v>35.661626032218088</v>
      </c>
      <c r="D19" s="918">
        <f t="shared" si="0"/>
        <v>40.69637603221809</v>
      </c>
      <c r="E19" s="814">
        <f>T.A1!E19-B19</f>
        <v>11.214306054229947</v>
      </c>
      <c r="F19" s="828">
        <f>T.A1!J19-C19</f>
        <v>6.7397103345724929</v>
      </c>
      <c r="G19" s="918">
        <f t="shared" si="1"/>
        <v>17.95401638880244</v>
      </c>
      <c r="H19" s="912">
        <f t="shared" si="3"/>
        <v>0.30984876802670369</v>
      </c>
      <c r="I19" s="915">
        <f t="shared" si="4"/>
        <v>0.69388071165969478</v>
      </c>
      <c r="J19" s="1347">
        <f>'Assets(MOFA)'!EH20*'Assets(MOFA)'!EI20</f>
        <v>41.471603071042573</v>
      </c>
      <c r="K19" s="889">
        <f t="shared" si="2"/>
        <v>0.87628505309627214</v>
      </c>
      <c r="L19" s="890">
        <f t="shared" si="5"/>
        <v>0.37538733331979773</v>
      </c>
    </row>
    <row r="20" spans="1:12" ht="14" customHeight="1">
      <c r="A20" s="826">
        <v>1976</v>
      </c>
      <c r="B20" s="814">
        <f>'Assets(MOFA)'!DE21/1000</f>
        <v>5.379150000000001</v>
      </c>
      <c r="C20" s="828">
        <f>'Assets(MOFA)'!GK21/1000</f>
        <v>48.640096499763644</v>
      </c>
      <c r="D20" s="918">
        <f t="shared" si="0"/>
        <v>54.019246499763646</v>
      </c>
      <c r="E20" s="814">
        <f>T.A1!E20-B20</f>
        <v>13.457638022413024</v>
      </c>
      <c r="F20" s="828">
        <f>T.A1!J20-C20</f>
        <v>8.7718035002363521</v>
      </c>
      <c r="G20" s="918">
        <f t="shared" si="1"/>
        <v>22.229441522649374</v>
      </c>
      <c r="H20" s="912">
        <f t="shared" si="3"/>
        <v>0.28556620128652499</v>
      </c>
      <c r="I20" s="915">
        <f t="shared" si="4"/>
        <v>0.7084613243953114</v>
      </c>
      <c r="J20" s="1347">
        <f>'Assets(MOFA)'!EH21*'Assets(MOFA)'!EI21</f>
        <v>43.645069190641308</v>
      </c>
      <c r="K20" s="889">
        <f t="shared" si="2"/>
        <v>0.9004216025111802</v>
      </c>
      <c r="L20" s="890">
        <f t="shared" si="5"/>
        <v>0.39460296343022572</v>
      </c>
    </row>
    <row r="21" spans="1:12" ht="14" customHeight="1">
      <c r="A21" s="826">
        <v>1977</v>
      </c>
      <c r="B21" s="814">
        <f>'Assets(MOFA)'!DE22/1000</f>
        <v>5.5890000000000004</v>
      </c>
      <c r="C21" s="828">
        <f>'Assets(MOFA)'!GK22/1000</f>
        <v>40.225000000000001</v>
      </c>
      <c r="D21" s="918">
        <f t="shared" si="0"/>
        <v>45.814</v>
      </c>
      <c r="E21" s="814">
        <f>T.A1!E21-B21</f>
        <v>13.043999999999999</v>
      </c>
      <c r="F21" s="828">
        <f>T.A1!J21-C21</f>
        <v>9.8399999999999963</v>
      </c>
      <c r="G21" s="918">
        <f t="shared" si="1"/>
        <v>22.883999999999993</v>
      </c>
      <c r="H21" s="912">
        <f t="shared" si="3"/>
        <v>0.29995169859925941</v>
      </c>
      <c r="I21" s="915">
        <f t="shared" si="4"/>
        <v>0.66688986578939713</v>
      </c>
      <c r="J21" s="1347">
        <f>'Assets(MOFA)'!EH22*'Assets(MOFA)'!EI22</f>
        <v>44.57086738435364</v>
      </c>
      <c r="K21" s="889">
        <f t="shared" si="2"/>
        <v>0.87800672283581438</v>
      </c>
      <c r="L21" s="890">
        <f t="shared" si="5"/>
        <v>0.42999475616151017</v>
      </c>
    </row>
    <row r="22" spans="1:12" ht="14" customHeight="1">
      <c r="A22" s="826">
        <v>1978</v>
      </c>
      <c r="B22" s="814">
        <f>'Assets(MOFA)'!DE23/1000</f>
        <v>6.3105000000000002</v>
      </c>
      <c r="C22" s="828">
        <f>'Assets(MOFA)'!GK23/1000</f>
        <v>37.377600000000001</v>
      </c>
      <c r="D22" s="918">
        <f t="shared" si="0"/>
        <v>43.688099999999999</v>
      </c>
      <c r="E22" s="814">
        <f>T.A1!E22-B22</f>
        <v>17.801679840390385</v>
      </c>
      <c r="F22" s="828">
        <f>T.A1!J22-C22</f>
        <v>11.404799999999994</v>
      </c>
      <c r="G22" s="918">
        <f t="shared" si="1"/>
        <v>29.206479840390379</v>
      </c>
      <c r="H22" s="912">
        <f t="shared" si="3"/>
        <v>0.26171420592298594</v>
      </c>
      <c r="I22" s="915">
        <f t="shared" si="4"/>
        <v>0.59933262659115738</v>
      </c>
      <c r="J22" s="1347">
        <f>'Assets(MOFA)'!EH23*'Assets(MOFA)'!EI23</f>
        <v>41.952387400970423</v>
      </c>
      <c r="K22" s="889">
        <f t="shared" si="2"/>
        <v>0.8555556318539832</v>
      </c>
      <c r="L22" s="890">
        <f t="shared" si="5"/>
        <v>0.39048868820637561</v>
      </c>
    </row>
    <row r="23" spans="1:12" ht="14" customHeight="1">
      <c r="A23" s="856">
        <v>1979</v>
      </c>
      <c r="B23" s="857">
        <f>'Assets(MOFA)'!DE24/1000</f>
        <v>13.9566</v>
      </c>
      <c r="C23" s="858">
        <f>'Assets(MOFA)'!GK24/1000</f>
        <v>52.89</v>
      </c>
      <c r="D23" s="919">
        <f t="shared" si="0"/>
        <v>66.846599999999995</v>
      </c>
      <c r="E23" s="857">
        <f>T.A1!E23-B23</f>
        <v>22.207881217912878</v>
      </c>
      <c r="F23" s="858">
        <f>T.A1!J23-C23</f>
        <v>14.216399999999993</v>
      </c>
      <c r="G23" s="919">
        <f t="shared" si="1"/>
        <v>36.424281217912871</v>
      </c>
      <c r="H23" s="913">
        <f t="shared" si="3"/>
        <v>0.38592009424670137</v>
      </c>
      <c r="I23" s="916">
        <f t="shared" si="4"/>
        <v>0.64729378902990431</v>
      </c>
      <c r="J23" s="1348">
        <f>'Assets(MOFA)'!EH24*'Assets(MOFA)'!EI24</f>
        <v>86.882529334743424</v>
      </c>
      <c r="K23" s="891">
        <f t="shared" si="2"/>
        <v>0.79121451203202564</v>
      </c>
      <c r="L23" s="892">
        <f t="shared" si="5"/>
        <v>0.39030008347861639</v>
      </c>
    </row>
    <row r="24" spans="1:12" ht="14" customHeight="1">
      <c r="A24" s="863">
        <v>1980</v>
      </c>
      <c r="B24" s="864">
        <f>'Assets(MOFA)'!DE25/1000</f>
        <v>12.521949999999999</v>
      </c>
      <c r="C24" s="865">
        <f>'Assets(MOFA)'!GK25/1000</f>
        <v>22.148399999999999</v>
      </c>
      <c r="D24" s="920">
        <f t="shared" si="0"/>
        <v>34.670349999999999</v>
      </c>
      <c r="E24" s="864">
        <f>T.A1!E24-B24</f>
        <v>22.660351530015767</v>
      </c>
      <c r="F24" s="865">
        <f>T.A1!J24-C24</f>
        <v>13.847999999999995</v>
      </c>
      <c r="G24" s="920">
        <f t="shared" si="1"/>
        <v>36.508351530015759</v>
      </c>
      <c r="H24" s="914">
        <f t="shared" si="3"/>
        <v>0.35591616964901807</v>
      </c>
      <c r="I24" s="917">
        <f t="shared" si="4"/>
        <v>0.48708882368948048</v>
      </c>
      <c r="J24" s="1349">
        <f>'Assets(MOFA)'!EH25*'Assets(MOFA)'!EI25</f>
        <v>91.415078220928635</v>
      </c>
      <c r="K24" s="893">
        <f t="shared" si="2"/>
        <v>0.63882827834158007</v>
      </c>
      <c r="L24" s="894">
        <f t="shared" si="5"/>
        <v>0.37931047060875112</v>
      </c>
    </row>
    <row r="25" spans="1:12" ht="14" customHeight="1">
      <c r="A25" s="826">
        <v>1981</v>
      </c>
      <c r="B25" s="814">
        <f>'Assets(MOFA)'!DE26/1000</f>
        <v>11.997</v>
      </c>
      <c r="C25" s="828">
        <f>'Assets(MOFA)'!GK26/1000</f>
        <v>20.746699999999997</v>
      </c>
      <c r="D25" s="918">
        <f t="shared" si="0"/>
        <v>32.743699999999997</v>
      </c>
      <c r="E25" s="814">
        <f>T.A1!E25-B25</f>
        <v>18.831318863416868</v>
      </c>
      <c r="F25" s="828">
        <f>T.A1!J25-C25</f>
        <v>12.329500000000003</v>
      </c>
      <c r="G25" s="918">
        <f t="shared" si="1"/>
        <v>31.160818863416871</v>
      </c>
      <c r="H25" s="912">
        <f t="shared" si="3"/>
        <v>0.38915518076584171</v>
      </c>
      <c r="I25" s="915">
        <f t="shared" si="4"/>
        <v>0.51238473557688635</v>
      </c>
      <c r="J25" s="1347">
        <f>'Assets(MOFA)'!EH26*'Assets(MOFA)'!EI26</f>
        <v>81.865471528763464</v>
      </c>
      <c r="K25" s="889">
        <f t="shared" si="2"/>
        <v>0.63360890797313674</v>
      </c>
      <c r="L25" s="890">
        <f t="shared" si="5"/>
        <v>0.39567317065839258</v>
      </c>
    </row>
    <row r="26" spans="1:12" ht="14" customHeight="1">
      <c r="A26" s="826">
        <v>1982</v>
      </c>
      <c r="B26" s="814">
        <f>'Assets(MOFA)'!DE27/1000</f>
        <v>8.0749999999999993</v>
      </c>
      <c r="C26" s="828">
        <f>'Assets(MOFA)'!GK27/1000</f>
        <v>19.344999999999999</v>
      </c>
      <c r="D26" s="918">
        <f t="shared" si="0"/>
        <v>27.419999999999998</v>
      </c>
      <c r="E26" s="814">
        <f>T.A1!E26-B26</f>
        <v>15.344000000000001</v>
      </c>
      <c r="F26" s="828">
        <f>T.A1!J26-C26</f>
        <v>10.811</v>
      </c>
      <c r="G26" s="918">
        <f t="shared" si="1"/>
        <v>26.155000000000001</v>
      </c>
      <c r="H26" s="912">
        <f t="shared" si="3"/>
        <v>0.3448054998078483</v>
      </c>
      <c r="I26" s="915">
        <f t="shared" si="4"/>
        <v>0.51180587960802604</v>
      </c>
      <c r="J26" s="1347">
        <f>'Assets(MOFA)'!EH27*'Assets(MOFA)'!EI27</f>
        <v>71.190756038217316</v>
      </c>
      <c r="K26" s="889">
        <f t="shared" si="2"/>
        <v>0.7055069292487236</v>
      </c>
      <c r="L26" s="890">
        <f t="shared" si="5"/>
        <v>0.41334352896195753</v>
      </c>
    </row>
    <row r="27" spans="1:12" ht="14" customHeight="1">
      <c r="A27" s="826">
        <v>1983</v>
      </c>
      <c r="B27" s="814">
        <f>'Assets(MOFA)'!DE28/1000</f>
        <v>9.4269999999999996</v>
      </c>
      <c r="C27" s="828">
        <f>'Assets(MOFA)'!GK28/1000</f>
        <v>19.355</v>
      </c>
      <c r="D27" s="918">
        <f t="shared" si="0"/>
        <v>28.782</v>
      </c>
      <c r="E27" s="814">
        <f>T.A1!E27-B27</f>
        <v>18.484999999999999</v>
      </c>
      <c r="F27" s="828">
        <f>T.A1!J27-C27</f>
        <v>10.766999999999999</v>
      </c>
      <c r="G27" s="918">
        <f t="shared" si="1"/>
        <v>29.251999999999999</v>
      </c>
      <c r="H27" s="912">
        <f t="shared" si="3"/>
        <v>0.33774004012611064</v>
      </c>
      <c r="I27" s="915">
        <f t="shared" si="4"/>
        <v>0.49595064961918878</v>
      </c>
      <c r="J27" s="1347">
        <f>'Assets(MOFA)'!EH28*'Assets(MOFA)'!EI28</f>
        <v>61.172966489028809</v>
      </c>
      <c r="K27" s="889">
        <f t="shared" si="2"/>
        <v>0.67246890417622129</v>
      </c>
      <c r="L27" s="890">
        <f t="shared" si="5"/>
        <v>0.368077396417339</v>
      </c>
    </row>
    <row r="28" spans="1:12" ht="14" customHeight="1">
      <c r="A28" s="826">
        <v>1984</v>
      </c>
      <c r="B28" s="814">
        <f>'Assets(MOFA)'!DE29/1000</f>
        <v>9.3219999999999992</v>
      </c>
      <c r="C28" s="828">
        <f>'Assets(MOFA)'!GK29/1000</f>
        <v>21.673999999999999</v>
      </c>
      <c r="D28" s="918">
        <f t="shared" si="0"/>
        <v>30.995999999999999</v>
      </c>
      <c r="E28" s="814">
        <f>T.A1!E28-B28</f>
        <v>21.551000000000002</v>
      </c>
      <c r="F28" s="828">
        <f>T.A1!J28-C28</f>
        <v>11.913000000000004</v>
      </c>
      <c r="G28" s="918">
        <f t="shared" si="1"/>
        <v>33.464000000000006</v>
      </c>
      <c r="H28" s="912">
        <f t="shared" si="3"/>
        <v>0.30194668480549341</v>
      </c>
      <c r="I28" s="915">
        <f t="shared" si="4"/>
        <v>0.48085634502016744</v>
      </c>
      <c r="J28" s="1347">
        <f>'Assets(MOFA)'!EH29*'Assets(MOFA)'!EI29</f>
        <v>57.406959652072224</v>
      </c>
      <c r="K28" s="889">
        <f t="shared" si="2"/>
        <v>0.69925151632468707</v>
      </c>
      <c r="L28" s="890">
        <f t="shared" si="5"/>
        <v>0.35599450155390872</v>
      </c>
    </row>
    <row r="29" spans="1:12" ht="14" customHeight="1">
      <c r="A29" s="826">
        <v>1985</v>
      </c>
      <c r="B29" s="814">
        <f>'Assets(MOFA)'!DE30/1000</f>
        <v>8.3450000000000006</v>
      </c>
      <c r="C29" s="828">
        <f>'Assets(MOFA)'!GK30/1000</f>
        <v>20.518000000000001</v>
      </c>
      <c r="D29" s="918">
        <f t="shared" si="0"/>
        <v>28.863</v>
      </c>
      <c r="E29" s="814">
        <f>T.A1!E29-B29</f>
        <v>21.231000000000002</v>
      </c>
      <c r="F29" s="828">
        <f>T.A1!J29-C29</f>
        <v>12.586999999999996</v>
      </c>
      <c r="G29" s="918">
        <f t="shared" si="1"/>
        <v>33.817999999999998</v>
      </c>
      <c r="H29" s="912">
        <f t="shared" si="3"/>
        <v>0.28215444955369218</v>
      </c>
      <c r="I29" s="915">
        <f t="shared" si="4"/>
        <v>0.46047446594661862</v>
      </c>
      <c r="J29" s="1347">
        <f>'Assets(MOFA)'!EH30*'Assets(MOFA)'!EI30</f>
        <v>53.094137413741365</v>
      </c>
      <c r="K29" s="889">
        <f t="shared" si="2"/>
        <v>0.71087551536569316</v>
      </c>
      <c r="L29" s="890">
        <f t="shared" si="5"/>
        <v>0.37219823762493337</v>
      </c>
    </row>
    <row r="30" spans="1:12" ht="14" customHeight="1">
      <c r="A30" s="826">
        <v>1986</v>
      </c>
      <c r="B30" s="814">
        <f>'Assets(MOFA)'!DE31/1000</f>
        <v>5.774</v>
      </c>
      <c r="C30" s="828">
        <f>'Assets(MOFA)'!GK31/1000</f>
        <v>9.4640000000000004</v>
      </c>
      <c r="D30" s="918">
        <f t="shared" si="0"/>
        <v>15.238</v>
      </c>
      <c r="E30" s="814">
        <f>T.A1!E30-B30</f>
        <v>26.131999999999998</v>
      </c>
      <c r="F30" s="828">
        <f>T.A1!J30-C30</f>
        <v>14.99</v>
      </c>
      <c r="G30" s="918">
        <f t="shared" si="1"/>
        <v>41.122</v>
      </c>
      <c r="H30" s="912">
        <f t="shared" si="3"/>
        <v>0.18096909672161976</v>
      </c>
      <c r="I30" s="915">
        <f t="shared" si="4"/>
        <v>0.27036905606813344</v>
      </c>
      <c r="J30" s="1347">
        <f>'Assets(MOFA)'!EH31*'Assets(MOFA)'!EI31</f>
        <v>27.210522397083974</v>
      </c>
      <c r="K30" s="889">
        <f t="shared" si="2"/>
        <v>0.62107888174301096</v>
      </c>
      <c r="L30" s="890">
        <f t="shared" si="5"/>
        <v>0.36452507173775595</v>
      </c>
    </row>
    <row r="31" spans="1:12" ht="14" customHeight="1">
      <c r="A31" s="826">
        <v>1987</v>
      </c>
      <c r="B31" s="814">
        <f>'Assets(MOFA)'!DE32/1000</f>
        <v>5.88</v>
      </c>
      <c r="C31" s="828">
        <f>'Assets(MOFA)'!GK32/1000</f>
        <v>9.2579999999999991</v>
      </c>
      <c r="D31" s="918">
        <f t="shared" si="0"/>
        <v>15.137999999999998</v>
      </c>
      <c r="E31" s="814">
        <f>T.A1!E31-B31</f>
        <v>36.817999999999998</v>
      </c>
      <c r="F31" s="828">
        <f>T.A1!J31-C31</f>
        <v>18.670000000000002</v>
      </c>
      <c r="G31" s="918">
        <f t="shared" si="1"/>
        <v>55.488</v>
      </c>
      <c r="H31" s="912">
        <f t="shared" si="3"/>
        <v>0.13771136821396787</v>
      </c>
      <c r="I31" s="915">
        <f t="shared" si="4"/>
        <v>0.21434032792456031</v>
      </c>
      <c r="J31" s="1347">
        <f>'Assets(MOFA)'!EH32*'Assets(MOFA)'!EI32</f>
        <v>33.735349413573942</v>
      </c>
      <c r="K31" s="889">
        <f t="shared" si="2"/>
        <v>0.61157352358303607</v>
      </c>
      <c r="L31" s="890">
        <f t="shared" si="5"/>
        <v>0.33646914648212228</v>
      </c>
    </row>
    <row r="32" spans="1:12" ht="14" customHeight="1">
      <c r="A32" s="826">
        <v>1988</v>
      </c>
      <c r="B32" s="814">
        <f>'Assets(MOFA)'!DE33/1000</f>
        <v>5.2060000000000004</v>
      </c>
      <c r="C32" s="828">
        <f>'Assets(MOFA)'!GK33/1000</f>
        <v>7.452</v>
      </c>
      <c r="D32" s="918">
        <f t="shared" si="0"/>
        <v>12.658000000000001</v>
      </c>
      <c r="E32" s="814">
        <f>T.A1!E32-B32</f>
        <v>44.218999999999994</v>
      </c>
      <c r="F32" s="828">
        <f>T.A1!J32-C32</f>
        <v>23.39</v>
      </c>
      <c r="G32" s="918">
        <f t="shared" si="1"/>
        <v>67.608999999999995</v>
      </c>
      <c r="H32" s="912">
        <f t="shared" si="3"/>
        <v>0.10533131006575622</v>
      </c>
      <c r="I32" s="915">
        <f t="shared" si="4"/>
        <v>0.15769868065331957</v>
      </c>
      <c r="J32" s="1347">
        <f>'Assets(MOFA)'!EH33*'Assets(MOFA)'!EI33</f>
        <v>26.285890668997702</v>
      </c>
      <c r="K32" s="889">
        <f t="shared" si="2"/>
        <v>0.58871859693474471</v>
      </c>
      <c r="L32" s="890">
        <f t="shared" si="5"/>
        <v>0.34595985741543289</v>
      </c>
    </row>
    <row r="33" spans="1:12" ht="14" customHeight="1">
      <c r="A33" s="856">
        <v>1989</v>
      </c>
      <c r="B33" s="857">
        <f>'Assets(MOFA)'!DE34/1000</f>
        <v>5.335</v>
      </c>
      <c r="C33" s="858">
        <f>'Assets(MOFA)'!GK34/1000</f>
        <v>8.0879999999999992</v>
      </c>
      <c r="D33" s="919">
        <f t="shared" si="0"/>
        <v>13.422999999999998</v>
      </c>
      <c r="E33" s="857">
        <f>T.A1!E33-B33</f>
        <v>46.967999999999996</v>
      </c>
      <c r="F33" s="858">
        <f>T.A1!J33-C33</f>
        <v>25.202999999999996</v>
      </c>
      <c r="G33" s="919">
        <f t="shared" si="1"/>
        <v>72.170999999999992</v>
      </c>
      <c r="H33" s="913">
        <f t="shared" si="3"/>
        <v>0.10200179722004474</v>
      </c>
      <c r="I33" s="916">
        <f t="shared" si="4"/>
        <v>0.15682173984157768</v>
      </c>
      <c r="J33" s="1348">
        <f>'Assets(MOFA)'!EH34*'Assets(MOFA)'!EI34</f>
        <v>30.77780120111704</v>
      </c>
      <c r="K33" s="891">
        <f t="shared" si="2"/>
        <v>0.60254786560381435</v>
      </c>
      <c r="L33" s="892">
        <f t="shared" si="5"/>
        <v>0.34921228748389238</v>
      </c>
    </row>
    <row r="34" spans="1:12" ht="14" customHeight="1">
      <c r="A34" s="863">
        <v>1990</v>
      </c>
      <c r="B34" s="864">
        <f>'Assets(MOFA)'!DE35/1000</f>
        <v>9.3789999999999996</v>
      </c>
      <c r="C34" s="865">
        <f>'Assets(MOFA)'!GK35/1000</f>
        <v>7.7750000000000004</v>
      </c>
      <c r="D34" s="920">
        <f t="shared" si="0"/>
        <v>17.154</v>
      </c>
      <c r="E34" s="864">
        <f>T.A1!E34-B34</f>
        <v>43.503</v>
      </c>
      <c r="F34" s="865">
        <f>T.A1!J34-C34</f>
        <v>23.917999999999999</v>
      </c>
      <c r="G34" s="920">
        <f t="shared" si="1"/>
        <v>67.420999999999992</v>
      </c>
      <c r="H34" s="914">
        <f t="shared" si="3"/>
        <v>0.17735713475284595</v>
      </c>
      <c r="I34" s="917">
        <f t="shared" si="4"/>
        <v>0.20282589417676622</v>
      </c>
      <c r="J34" s="1349">
        <f>'Assets(MOFA)'!EH35*'Assets(MOFA)'!EI35</f>
        <v>38.402125857822696</v>
      </c>
      <c r="K34" s="893">
        <f t="shared" si="2"/>
        <v>0.45324705608021454</v>
      </c>
      <c r="L34" s="894">
        <f t="shared" si="5"/>
        <v>0.35475593657762422</v>
      </c>
    </row>
    <row r="35" spans="1:12" ht="14" customHeight="1">
      <c r="A35" s="826">
        <v>1991</v>
      </c>
      <c r="B35" s="814">
        <f>'Assets(MOFA)'!DE36/1000</f>
        <v>9.17</v>
      </c>
      <c r="C35" s="828">
        <f>'Assets(MOFA)'!GK36/1000</f>
        <v>5.7789999999999999</v>
      </c>
      <c r="D35" s="918">
        <f t="shared" si="0"/>
        <v>14.949</v>
      </c>
      <c r="E35" s="814">
        <f>T.A1!E35-B35</f>
        <v>37.253999999999998</v>
      </c>
      <c r="F35" s="828">
        <f>T.A1!J35-C35</f>
        <v>21.097999999999999</v>
      </c>
      <c r="G35" s="918">
        <f t="shared" si="1"/>
        <v>58.351999999999997</v>
      </c>
      <c r="H35" s="912">
        <f t="shared" si="3"/>
        <v>0.19752714113389627</v>
      </c>
      <c r="I35" s="915">
        <f t="shared" si="4"/>
        <v>0.20393991896427061</v>
      </c>
      <c r="J35" s="1347">
        <f>'Assets(MOFA)'!EH36*'Assets(MOFA)'!EI36</f>
        <v>31.344969459900799</v>
      </c>
      <c r="K35" s="889">
        <f t="shared" si="2"/>
        <v>0.3865810422101813</v>
      </c>
      <c r="L35" s="890">
        <f t="shared" si="5"/>
        <v>0.36156429942418428</v>
      </c>
    </row>
    <row r="36" spans="1:12" ht="14" customHeight="1">
      <c r="A36" s="826">
        <v>1992</v>
      </c>
      <c r="B36" s="814">
        <f>'Assets(MOFA)'!DE37/1000</f>
        <v>6.3049999999999997</v>
      </c>
      <c r="C36" s="828">
        <f>'Assets(MOFA)'!GK37/1000</f>
        <v>7.7249999999999996</v>
      </c>
      <c r="D36" s="918">
        <f t="shared" si="0"/>
        <v>14.03</v>
      </c>
      <c r="E36" s="814">
        <f>T.A1!E36-B36</f>
        <v>36.456000000000003</v>
      </c>
      <c r="F36" s="828">
        <f>T.A1!J36-C36</f>
        <v>18.960999999999999</v>
      </c>
      <c r="G36" s="918">
        <f t="shared" si="1"/>
        <v>55.417000000000002</v>
      </c>
      <c r="H36" s="912">
        <f t="shared" si="3"/>
        <v>0.14744744042468602</v>
      </c>
      <c r="I36" s="915">
        <f t="shared" si="4"/>
        <v>0.20202456549598974</v>
      </c>
      <c r="J36" s="1347">
        <f>'Assets(MOFA)'!EH37*'Assets(MOFA)'!EI37</f>
        <v>29.499042690475278</v>
      </c>
      <c r="K36" s="889">
        <f t="shared" si="2"/>
        <v>0.55060584461867423</v>
      </c>
      <c r="L36" s="890">
        <f t="shared" si="5"/>
        <v>0.34215132540556142</v>
      </c>
    </row>
    <row r="37" spans="1:12" ht="14" customHeight="1">
      <c r="A37" s="826">
        <v>1993</v>
      </c>
      <c r="B37" s="814">
        <f>'Assets(MOFA)'!DE38/1000</f>
        <v>8.7810000000000006</v>
      </c>
      <c r="C37" s="828">
        <f>'Assets(MOFA)'!GK38/1000</f>
        <v>7.4450000000000003</v>
      </c>
      <c r="D37" s="918">
        <f t="shared" si="0"/>
        <v>16.225999999999999</v>
      </c>
      <c r="E37" s="814">
        <f>T.A1!E37-B37</f>
        <v>40.69</v>
      </c>
      <c r="F37" s="828">
        <f>T.A1!J37-C37</f>
        <v>16.870999999999999</v>
      </c>
      <c r="G37" s="918">
        <f t="shared" si="1"/>
        <v>57.560999999999993</v>
      </c>
      <c r="H37" s="912">
        <f t="shared" si="3"/>
        <v>0.17749792807907666</v>
      </c>
      <c r="I37" s="915">
        <f t="shared" si="4"/>
        <v>0.21990323498719289</v>
      </c>
      <c r="J37" s="1347">
        <f>'Assets(MOFA)'!EH38*'Assets(MOFA)'!EI38</f>
        <v>25.281085698107173</v>
      </c>
      <c r="K37" s="889">
        <f t="shared" si="2"/>
        <v>0.45883150499198821</v>
      </c>
      <c r="L37" s="890">
        <f t="shared" si="5"/>
        <v>0.29309775716196734</v>
      </c>
    </row>
    <row r="38" spans="1:12" ht="14" customHeight="1">
      <c r="A38" s="826">
        <v>1994</v>
      </c>
      <c r="B38" s="814">
        <f>'Assets(MOFA)'!DE39/1000</f>
        <v>7.6139999999999999</v>
      </c>
      <c r="C38" s="828">
        <f>'Assets(MOFA)'!GK39/1000</f>
        <v>6.7080000000000002</v>
      </c>
      <c r="D38" s="918">
        <f t="shared" si="0"/>
        <v>14.321999999999999</v>
      </c>
      <c r="E38" s="814">
        <f>T.A1!E38-B38</f>
        <v>48.009</v>
      </c>
      <c r="F38" s="828">
        <f>T.A1!J38-C38</f>
        <v>22.569000000000003</v>
      </c>
      <c r="G38" s="918">
        <f t="shared" si="1"/>
        <v>70.578000000000003</v>
      </c>
      <c r="H38" s="912">
        <f t="shared" si="3"/>
        <v>0.13688582061377488</v>
      </c>
      <c r="I38" s="915">
        <f t="shared" si="4"/>
        <v>0.16869257950530034</v>
      </c>
      <c r="J38" s="1347">
        <f>'Assets(MOFA)'!EH39*'Assets(MOFA)'!EI39</f>
        <v>23.082024135406041</v>
      </c>
      <c r="K38" s="889">
        <f t="shared" si="2"/>
        <v>0.46837033933808131</v>
      </c>
      <c r="L38" s="890">
        <f t="shared" si="5"/>
        <v>0.31977386721074558</v>
      </c>
    </row>
    <row r="39" spans="1:12">
      <c r="A39" s="826">
        <v>1995</v>
      </c>
      <c r="B39" s="814">
        <f>'Assets(MOFA)'!DE40/1000</f>
        <v>8.8629999999999995</v>
      </c>
      <c r="C39" s="828">
        <f>'Assets(MOFA)'!GK40/1000</f>
        <v>8.2859999999999996</v>
      </c>
      <c r="D39" s="918">
        <f t="shared" si="0"/>
        <v>17.149000000000001</v>
      </c>
      <c r="E39" s="814">
        <f>T.A1!E39-B39</f>
        <v>67.215999999999994</v>
      </c>
      <c r="F39" s="828">
        <f>T.A1!J39-C39</f>
        <v>30.515000000000001</v>
      </c>
      <c r="G39" s="918">
        <f t="shared" si="1"/>
        <v>97.730999999999995</v>
      </c>
      <c r="H39" s="912">
        <f t="shared" si="3"/>
        <v>0.11649732514885842</v>
      </c>
      <c r="I39" s="915">
        <f t="shared" si="4"/>
        <v>0.1492775069637883</v>
      </c>
      <c r="J39" s="1347">
        <f>'Assets(MOFA)'!EH40*'Assets(MOFA)'!EI40</f>
        <v>24.326702612085985</v>
      </c>
      <c r="K39" s="889">
        <f t="shared" si="2"/>
        <v>0.48317686162458445</v>
      </c>
      <c r="L39" s="890">
        <f t="shared" si="5"/>
        <v>0.31223460314536844</v>
      </c>
    </row>
    <row r="40" spans="1:12">
      <c r="A40" s="826">
        <v>1996</v>
      </c>
      <c r="B40" s="814">
        <f>'Assets(MOFA)'!DE41/1000</f>
        <v>12.375999999999999</v>
      </c>
      <c r="C40" s="828">
        <f>'Assets(MOFA)'!GK41/1000</f>
        <v>12.153</v>
      </c>
      <c r="D40" s="918">
        <f t="shared" si="0"/>
        <v>24.529</v>
      </c>
      <c r="E40" s="814">
        <f>T.A1!E40-B40</f>
        <v>72.718999999999994</v>
      </c>
      <c r="F40" s="828">
        <f>T.A1!J40-C40</f>
        <v>33.039000000000001</v>
      </c>
      <c r="G40" s="918">
        <f t="shared" si="1"/>
        <v>105.758</v>
      </c>
      <c r="H40" s="912">
        <f t="shared" si="3"/>
        <v>0.14543745225923968</v>
      </c>
      <c r="I40" s="915">
        <f t="shared" si="4"/>
        <v>0.18826897541581278</v>
      </c>
      <c r="J40" s="1347">
        <f>'Assets(MOFA)'!EH41*'Assets(MOFA)'!EI41</f>
        <v>28.931536979938169</v>
      </c>
      <c r="K40" s="889">
        <f t="shared" si="2"/>
        <v>0.49545436014513433</v>
      </c>
      <c r="L40" s="890">
        <f t="shared" si="5"/>
        <v>0.31240189867433199</v>
      </c>
    </row>
    <row r="41" spans="1:12">
      <c r="A41" s="826">
        <v>1997</v>
      </c>
      <c r="B41" s="814">
        <f>'Assets(MOFA)'!DE42/1000</f>
        <v>13.967000000000001</v>
      </c>
      <c r="C41" s="828">
        <f>'Assets(MOFA)'!GK42/1000</f>
        <v>10.835000000000001</v>
      </c>
      <c r="D41" s="918">
        <f t="shared" si="0"/>
        <v>24.802</v>
      </c>
      <c r="E41" s="814">
        <f>T.A1!E41-B41</f>
        <v>82.73</v>
      </c>
      <c r="F41" s="828">
        <f>T.A1!J41-C41</f>
        <v>36.744999999999997</v>
      </c>
      <c r="G41" s="918">
        <f t="shared" si="1"/>
        <v>119.47499999999999</v>
      </c>
      <c r="H41" s="912">
        <f t="shared" si="3"/>
        <v>0.14444088234381625</v>
      </c>
      <c r="I41" s="915">
        <f t="shared" si="4"/>
        <v>0.1719054319122244</v>
      </c>
      <c r="J41" s="1347">
        <f>'Assets(MOFA)'!EH42*'Assets(MOFA)'!EI42</f>
        <v>26.272134065913143</v>
      </c>
      <c r="K41" s="889">
        <f t="shared" si="2"/>
        <v>0.43685993065075401</v>
      </c>
      <c r="L41" s="890">
        <f t="shared" si="5"/>
        <v>0.30755388156518099</v>
      </c>
    </row>
    <row r="42" spans="1:12">
      <c r="A42" s="826">
        <v>1998</v>
      </c>
      <c r="B42" s="814">
        <f>'Assets(MOFA)'!DE43/1000</f>
        <v>7.9119999999999999</v>
      </c>
      <c r="C42" s="828">
        <f>'Assets(MOFA)'!GK43/1000</f>
        <v>4.7930000000000001</v>
      </c>
      <c r="D42" s="918">
        <f t="shared" ref="D42:D60" si="6">B42+C42</f>
        <v>12.705</v>
      </c>
      <c r="E42" s="814">
        <f>T.A1!E42-B42</f>
        <v>75.727999999999994</v>
      </c>
      <c r="F42" s="828">
        <f>T.A1!J42-C42</f>
        <v>35.743000000000002</v>
      </c>
      <c r="G42" s="918">
        <f t="shared" ref="G42:G60" si="7">E42+F42</f>
        <v>111.471</v>
      </c>
      <c r="H42" s="912">
        <f t="shared" si="3"/>
        <v>9.4595887135341936E-2</v>
      </c>
      <c r="I42" s="915">
        <f t="shared" si="4"/>
        <v>0.10231445689988404</v>
      </c>
      <c r="J42" s="1347">
        <f>'Assets(MOFA)'!EH43*'Assets(MOFA)'!EI43</f>
        <v>17.363934397761394</v>
      </c>
      <c r="K42" s="889">
        <f t="shared" ref="K42:K60" si="8">C42/D42</f>
        <v>0.37725304998032272</v>
      </c>
      <c r="L42" s="890">
        <f t="shared" si="5"/>
        <v>0.32064841976837027</v>
      </c>
    </row>
    <row r="43" spans="1:12">
      <c r="A43" s="856">
        <v>1999</v>
      </c>
      <c r="B43" s="857">
        <f>'Assets(MOFA)'!DE44/1000</f>
        <v>11.638999999999999</v>
      </c>
      <c r="C43" s="858">
        <f>'Assets(MOFA)'!GK44/1000</f>
        <v>7.0810000000000004</v>
      </c>
      <c r="D43" s="919">
        <f t="shared" si="6"/>
        <v>18.72</v>
      </c>
      <c r="E43" s="857">
        <f>T.A1!E43-B43</f>
        <v>85.249000000000009</v>
      </c>
      <c r="F43" s="858">
        <f>T.A1!J43-C43</f>
        <v>37.986999999999995</v>
      </c>
      <c r="G43" s="919">
        <f t="shared" si="7"/>
        <v>123.236</v>
      </c>
      <c r="H43" s="913">
        <f t="shared" si="3"/>
        <v>0.12012839567335479</v>
      </c>
      <c r="I43" s="916">
        <f t="shared" si="4"/>
        <v>0.13187184761475385</v>
      </c>
      <c r="J43" s="1348">
        <f>'Assets(MOFA)'!EH44*'Assets(MOFA)'!EI44</f>
        <v>24.18394507099212</v>
      </c>
      <c r="K43" s="891">
        <f t="shared" si="8"/>
        <v>0.37825854700854705</v>
      </c>
      <c r="L43" s="892">
        <f t="shared" si="5"/>
        <v>0.30824596708753932</v>
      </c>
    </row>
    <row r="44" spans="1:12">
      <c r="A44" s="863">
        <v>2000</v>
      </c>
      <c r="B44" s="864">
        <f>'Assets(MOFA)'!DE45/1000</f>
        <v>23.451000000000001</v>
      </c>
      <c r="C44" s="865">
        <f>'Assets(MOFA)'!GK45/1000</f>
        <v>17.498999999999999</v>
      </c>
      <c r="D44" s="920">
        <f t="shared" si="6"/>
        <v>40.950000000000003</v>
      </c>
      <c r="E44" s="864">
        <f>T.A1!E44-B44</f>
        <v>88.902999999999992</v>
      </c>
      <c r="F44" s="865">
        <f>T.A1!J44-C44</f>
        <v>42.302000000000007</v>
      </c>
      <c r="G44" s="920">
        <f t="shared" si="7"/>
        <v>131.20499999999998</v>
      </c>
      <c r="H44" s="914">
        <f t="shared" si="3"/>
        <v>0.20872421097602226</v>
      </c>
      <c r="I44" s="917">
        <f t="shared" si="4"/>
        <v>0.23786703842467549</v>
      </c>
      <c r="J44" s="1349">
        <f>'Assets(MOFA)'!EH45*'Assets(MOFA)'!EI45</f>
        <v>37.416580461814398</v>
      </c>
      <c r="K44" s="893">
        <f t="shared" si="8"/>
        <v>0.42732600732600728</v>
      </c>
      <c r="L44" s="894">
        <f t="shared" si="5"/>
        <v>0.32241149346442599</v>
      </c>
    </row>
    <row r="45" spans="1:12">
      <c r="A45" s="826">
        <v>2001</v>
      </c>
      <c r="B45" s="814">
        <f>'Assets(MOFA)'!DE46/1000</f>
        <v>19.791</v>
      </c>
      <c r="C45" s="828">
        <f>'Assets(MOFA)'!GK46/1000</f>
        <v>14.972</v>
      </c>
      <c r="D45" s="918">
        <f t="shared" si="6"/>
        <v>34.762999999999998</v>
      </c>
      <c r="E45" s="814">
        <f>T.A1!E45-B45</f>
        <v>66.192999999999998</v>
      </c>
      <c r="F45" s="828">
        <f>T.A1!J45-C45</f>
        <v>40.241999999999997</v>
      </c>
      <c r="G45" s="918">
        <f t="shared" si="7"/>
        <v>106.435</v>
      </c>
      <c r="H45" s="912">
        <f t="shared" si="3"/>
        <v>0.23017072943803502</v>
      </c>
      <c r="I45" s="915">
        <f t="shared" si="4"/>
        <v>0.24620037111007234</v>
      </c>
      <c r="J45" s="1347">
        <f>'Assets(MOFA)'!EH46*'Assets(MOFA)'!EI46</f>
        <v>31.488644913715078</v>
      </c>
      <c r="K45" s="889">
        <f t="shared" si="8"/>
        <v>0.43068780024738945</v>
      </c>
      <c r="L45" s="890">
        <f>(L44+L46)/2</f>
        <v>0.31236004126614397</v>
      </c>
    </row>
    <row r="46" spans="1:12">
      <c r="A46" s="826">
        <v>2002</v>
      </c>
      <c r="B46" s="814">
        <f>'Assets(MOFA)'!DE47/1000</f>
        <v>16.972000000000001</v>
      </c>
      <c r="C46" s="828">
        <f>'Assets(MOFA)'!GK47/1000</f>
        <v>14.093</v>
      </c>
      <c r="D46" s="918">
        <f t="shared" si="6"/>
        <v>31.065000000000001</v>
      </c>
      <c r="E46" s="814">
        <f>T.A1!E46-B46</f>
        <v>84.983000000000004</v>
      </c>
      <c r="F46" s="828">
        <f>T.A1!J46-C46</f>
        <v>36.822999999999993</v>
      </c>
      <c r="G46" s="918">
        <f t="shared" si="7"/>
        <v>121.806</v>
      </c>
      <c r="H46" s="912">
        <f t="shared" si="3"/>
        <v>0.1664655975675543</v>
      </c>
      <c r="I46" s="915">
        <f t="shared" si="4"/>
        <v>0.20321055007162903</v>
      </c>
      <c r="J46" s="1347">
        <f>'Assets(MOFA)'!EH47*'Assets(MOFA)'!EI47</f>
        <v>31.808176433613831</v>
      </c>
      <c r="K46" s="889">
        <f t="shared" si="8"/>
        <v>0.45366167712860128</v>
      </c>
      <c r="L46" s="890">
        <f t="shared" si="5"/>
        <v>0.30230858906786195</v>
      </c>
    </row>
    <row r="47" spans="1:12">
      <c r="A47" s="826">
        <v>2003</v>
      </c>
      <c r="B47" s="814">
        <f>'Assets(MOFA)'!DE48/1000</f>
        <v>25.231000000000002</v>
      </c>
      <c r="C47" s="828">
        <f>'Assets(MOFA)'!GK48/1000</f>
        <v>18.715</v>
      </c>
      <c r="D47" s="918">
        <f t="shared" si="6"/>
        <v>43.945999999999998</v>
      </c>
      <c r="E47" s="814">
        <f>T.A1!E47-B47</f>
        <v>122.61600000000001</v>
      </c>
      <c r="F47" s="828">
        <f>T.A1!J47-C47</f>
        <v>40.513000000000005</v>
      </c>
      <c r="G47" s="918">
        <f t="shared" si="7"/>
        <v>163.12900000000002</v>
      </c>
      <c r="H47" s="912">
        <f t="shared" si="3"/>
        <v>0.17065615129153788</v>
      </c>
      <c r="I47" s="915">
        <f t="shared" si="4"/>
        <v>0.21222262465290351</v>
      </c>
      <c r="J47" s="1347">
        <f>'Assets(MOFA)'!EH48*'Assets(MOFA)'!EI48</f>
        <v>35.936978269488264</v>
      </c>
      <c r="K47" s="889">
        <f t="shared" si="8"/>
        <v>0.42586355982341967</v>
      </c>
      <c r="L47" s="890">
        <f t="shared" si="5"/>
        <v>0.24834946576022657</v>
      </c>
    </row>
    <row r="48" spans="1:12">
      <c r="A48" s="826">
        <v>2004</v>
      </c>
      <c r="B48" s="814">
        <f>'Assets(MOFA)'!DE49/1000</f>
        <v>38.841000000000001</v>
      </c>
      <c r="C48" s="828">
        <f>'Assets(MOFA)'!GK49/1000</f>
        <v>25.004000000000001</v>
      </c>
      <c r="D48" s="918">
        <f t="shared" si="6"/>
        <v>63.844999999999999</v>
      </c>
      <c r="E48" s="814">
        <f>T.A1!E48-B48</f>
        <v>145.85399999999998</v>
      </c>
      <c r="F48" s="828">
        <f>T.A1!J48-C48</f>
        <v>49.063999999999993</v>
      </c>
      <c r="G48" s="918">
        <f t="shared" si="7"/>
        <v>194.91799999999998</v>
      </c>
      <c r="H48" s="912">
        <f t="shared" si="3"/>
        <v>0.21029805896207263</v>
      </c>
      <c r="I48" s="915">
        <f t="shared" si="4"/>
        <v>0.24673156517740175</v>
      </c>
      <c r="J48" s="1347">
        <f>'Assets(MOFA)'!EH49*'Assets(MOFA)'!EI49</f>
        <v>46.563577639543823</v>
      </c>
      <c r="K48" s="889">
        <f t="shared" si="8"/>
        <v>0.39163599342156791</v>
      </c>
      <c r="L48" s="890">
        <f t="shared" si="5"/>
        <v>0.25171610626006835</v>
      </c>
    </row>
    <row r="49" spans="1:14">
      <c r="A49" s="826">
        <v>2005</v>
      </c>
      <c r="B49" s="814">
        <f>'Assets(MOFA)'!DE50/1000</f>
        <v>51.557661244155796</v>
      </c>
      <c r="C49" s="828">
        <f>'Assets(MOFA)'!GK50/1000</f>
        <v>34.159252984567601</v>
      </c>
      <c r="D49" s="918">
        <f t="shared" si="6"/>
        <v>85.716914228723397</v>
      </c>
      <c r="E49" s="814">
        <f>T.A1!E49-B49</f>
        <v>173.16133875584421</v>
      </c>
      <c r="F49" s="828">
        <f>T.A1!J49-C49</f>
        <v>65.9837470154324</v>
      </c>
      <c r="G49" s="918">
        <f t="shared" si="7"/>
        <v>239.14508577127663</v>
      </c>
      <c r="H49" s="912">
        <f t="shared" si="3"/>
        <v>0.2294316957807564</v>
      </c>
      <c r="I49" s="915">
        <f t="shared" si="4"/>
        <v>0.26385638895507441</v>
      </c>
      <c r="J49" s="1347">
        <f>'Assets(MOFA)'!EH50*'Assets(MOFA)'!EI50</f>
        <v>64.505680254001135</v>
      </c>
      <c r="K49" s="889">
        <f t="shared" si="8"/>
        <v>0.39851239737140431</v>
      </c>
      <c r="L49" s="890">
        <f t="shared" si="5"/>
        <v>0.27591512826878928</v>
      </c>
    </row>
    <row r="50" spans="1:14">
      <c r="A50" s="826">
        <v>2006</v>
      </c>
      <c r="B50" s="814">
        <f>'Assets(MOFA)'!DE51/1000</f>
        <v>58.555601504565495</v>
      </c>
      <c r="C50" s="828">
        <f>'Assets(MOFA)'!GK51/1000</f>
        <v>40.503303288672349</v>
      </c>
      <c r="D50" s="918">
        <f t="shared" si="6"/>
        <v>99.058904793237843</v>
      </c>
      <c r="E50" s="814">
        <f>T.A1!E50-B50</f>
        <v>192.61839849543452</v>
      </c>
      <c r="F50" s="828">
        <f>T.A1!J50-C50</f>
        <v>73.523696711327659</v>
      </c>
      <c r="G50" s="918">
        <f t="shared" si="7"/>
        <v>266.14209520676218</v>
      </c>
      <c r="H50" s="912">
        <f t="shared" si="3"/>
        <v>0.23312763862726832</v>
      </c>
      <c r="I50" s="915">
        <f t="shared" si="4"/>
        <v>0.27124488923425139</v>
      </c>
      <c r="J50" s="1347">
        <f>'Assets(MOFA)'!EH51*'Assets(MOFA)'!EI51</f>
        <v>75.066035008418723</v>
      </c>
      <c r="K50" s="889">
        <f t="shared" si="8"/>
        <v>0.40888099230668323</v>
      </c>
      <c r="L50" s="890">
        <f t="shared" si="5"/>
        <v>0.27625730027490802</v>
      </c>
    </row>
    <row r="51" spans="1:14">
      <c r="A51" s="826">
        <v>2007</v>
      </c>
      <c r="B51" s="814">
        <f>'Assets(MOFA)'!DE52/1000</f>
        <v>62.522187130072446</v>
      </c>
      <c r="C51" s="828">
        <f>'Assets(MOFA)'!GK52/1000</f>
        <v>49.866</v>
      </c>
      <c r="D51" s="918">
        <f t="shared" si="6"/>
        <v>112.38818713007245</v>
      </c>
      <c r="E51" s="814">
        <f>T.A1!E51-B51</f>
        <v>231.84681286992759</v>
      </c>
      <c r="F51" s="828">
        <f>T.A1!J51-C51</f>
        <v>75.314999999999998</v>
      </c>
      <c r="G51" s="918">
        <f t="shared" si="7"/>
        <v>307.16181286992759</v>
      </c>
      <c r="H51" s="912">
        <f t="shared" si="3"/>
        <v>0.21239392439445878</v>
      </c>
      <c r="I51" s="915">
        <f t="shared" si="4"/>
        <v>0.26787793381020719</v>
      </c>
      <c r="J51" s="1347">
        <f>'Assets(MOFA)'!EH52*'Assets(MOFA)'!EI52</f>
        <v>81.376023504493531</v>
      </c>
      <c r="K51" s="889">
        <f t="shared" si="8"/>
        <v>0.44369431764467909</v>
      </c>
      <c r="L51" s="890">
        <f t="shared" si="5"/>
        <v>0.24519649528144077</v>
      </c>
    </row>
    <row r="52" spans="1:14">
      <c r="A52" s="826">
        <v>2008</v>
      </c>
      <c r="B52" s="814">
        <f>'Assets(MOFA)'!DE53/1000</f>
        <v>79.375559158023336</v>
      </c>
      <c r="C52" s="830">
        <f>'Assets(MOFA)'!GK53/1000</f>
        <v>76.851256804617293</v>
      </c>
      <c r="D52" s="918">
        <f t="shared" si="6"/>
        <v>156.22681596264061</v>
      </c>
      <c r="E52" s="814">
        <f>T.A1!E52-B52</f>
        <v>229.13844084197666</v>
      </c>
      <c r="F52" s="830">
        <f>T.A1!J52-C52</f>
        <v>63.792743195382712</v>
      </c>
      <c r="G52" s="918">
        <f t="shared" si="7"/>
        <v>292.93118403735934</v>
      </c>
      <c r="H52" s="912">
        <f t="shared" si="3"/>
        <v>0.25728349169899367</v>
      </c>
      <c r="I52" s="915">
        <f t="shared" si="4"/>
        <v>0.3478215148403026</v>
      </c>
      <c r="J52" s="1347">
        <f>'Assets(MOFA)'!EH53*'Assets(MOFA)'!EI53</f>
        <v>106.09274190628237</v>
      </c>
      <c r="K52" s="889">
        <f t="shared" si="8"/>
        <v>0.49192103372954332</v>
      </c>
      <c r="L52" s="890">
        <f t="shared" si="5"/>
        <v>0.21777382085495831</v>
      </c>
    </row>
    <row r="53" spans="1:14">
      <c r="A53" s="856">
        <v>2009</v>
      </c>
      <c r="B53" s="857">
        <f>'Assets(MOFA)'!DE54/1000</f>
        <v>44.976500064835228</v>
      </c>
      <c r="C53" s="884">
        <f>'Assets(MOFA)'!GK54/1000</f>
        <v>40.448499935164769</v>
      </c>
      <c r="D53" s="919">
        <f t="shared" si="6"/>
        <v>85.424999999999997</v>
      </c>
      <c r="E53" s="857">
        <f>T.A1!E53-B53</f>
        <v>244.27849993516477</v>
      </c>
      <c r="F53" s="884">
        <f>T.A1!J53-C53</f>
        <v>68.975500064835245</v>
      </c>
      <c r="G53" s="919">
        <f t="shared" si="7"/>
        <v>313.25400000000002</v>
      </c>
      <c r="H53" s="913">
        <f t="shared" si="3"/>
        <v>0.15549083011472656</v>
      </c>
      <c r="I53" s="916">
        <f t="shared" si="4"/>
        <v>0.21427012709473031</v>
      </c>
      <c r="J53" s="1348">
        <f>'Assets(MOFA)'!EH54*'Assets(MOFA)'!EI54</f>
        <v>67.318502541897246</v>
      </c>
      <c r="K53" s="891">
        <f t="shared" si="8"/>
        <v>0.47349721902446323</v>
      </c>
      <c r="L53" s="892">
        <f t="shared" si="5"/>
        <v>0.22019032499133367</v>
      </c>
    </row>
    <row r="54" spans="1:14">
      <c r="A54" s="826">
        <v>2010</v>
      </c>
      <c r="B54" s="814">
        <f>'Assets(MOFA)'!DE55/1000</f>
        <v>59.976300000000002</v>
      </c>
      <c r="C54" s="830">
        <f>'Assets(MOFA)'!GK55/1000</f>
        <v>50.3187</v>
      </c>
      <c r="D54" s="918">
        <f t="shared" si="6"/>
        <v>110.295</v>
      </c>
      <c r="E54" s="814">
        <f>T.A1!E54-B54</f>
        <v>270.19670000000002</v>
      </c>
      <c r="F54" s="830">
        <f>T.A1!J54-C54</f>
        <v>79.681299999999993</v>
      </c>
      <c r="G54" s="918">
        <f t="shared" si="7"/>
        <v>349.87800000000004</v>
      </c>
      <c r="H54" s="912">
        <f t="shared" si="3"/>
        <v>0.18165113440529662</v>
      </c>
      <c r="I54" s="915">
        <f t="shared" si="4"/>
        <v>0.23968159800770578</v>
      </c>
      <c r="J54" s="1347">
        <f>'Assets(MOFA)'!EH55*'Assets(MOFA)'!EI55</f>
        <v>85.363874758541726</v>
      </c>
      <c r="K54" s="889">
        <f t="shared" si="8"/>
        <v>0.45621923024615801</v>
      </c>
      <c r="L54" s="890">
        <f t="shared" si="5"/>
        <v>0.22774024088396522</v>
      </c>
    </row>
    <row r="55" spans="1:14">
      <c r="A55" s="826">
        <v>2011</v>
      </c>
      <c r="B55" s="814">
        <f>'Assets(MOFA)'!DE56/1000</f>
        <v>74.215000000000003</v>
      </c>
      <c r="C55" s="830">
        <f>'Assets(MOFA)'!GK56/1000</f>
        <v>70.495999999999995</v>
      </c>
      <c r="D55" s="918">
        <f t="shared" si="6"/>
        <v>144.71100000000001</v>
      </c>
      <c r="E55" s="814">
        <f>T.A1!E55-B55</f>
        <v>322.995</v>
      </c>
      <c r="F55" s="830">
        <f>T.A1!J55-C55</f>
        <v>93.381999999999991</v>
      </c>
      <c r="G55" s="918">
        <f t="shared" si="7"/>
        <v>416.37700000000001</v>
      </c>
      <c r="H55" s="912">
        <f t="shared" si="3"/>
        <v>0.18684071398001056</v>
      </c>
      <c r="I55" s="915">
        <f t="shared" si="4"/>
        <v>0.25791141496521047</v>
      </c>
      <c r="J55" s="1347">
        <f>'Assets(MOFA)'!EH56*'Assets(MOFA)'!EI56</f>
        <v>116.6053180373016</v>
      </c>
      <c r="K55" s="889">
        <f t="shared" si="8"/>
        <v>0.48715025119030336</v>
      </c>
      <c r="L55" s="890">
        <f t="shared" si="5"/>
        <v>0.22427271439104463</v>
      </c>
    </row>
    <row r="56" spans="1:14">
      <c r="A56" s="826">
        <v>2012</v>
      </c>
      <c r="B56" s="814">
        <f>'Assets(MOFA)'!DE57/1000</f>
        <v>63.884001829277011</v>
      </c>
      <c r="C56" s="830">
        <f>'Assets(MOFA)'!GK57/1000</f>
        <v>68.015998170722995</v>
      </c>
      <c r="D56" s="918">
        <f t="shared" si="6"/>
        <v>131.9</v>
      </c>
      <c r="E56" s="814">
        <f>T.A1!E56-B56</f>
        <v>326.82899817072303</v>
      </c>
      <c r="F56" s="830">
        <f>T.A1!J56-C56</f>
        <v>84.651001829277007</v>
      </c>
      <c r="G56" s="918">
        <f t="shared" si="7"/>
        <v>411.48</v>
      </c>
      <c r="H56" s="912">
        <f t="shared" si="3"/>
        <v>0.16350621000395946</v>
      </c>
      <c r="I56" s="915">
        <f t="shared" si="4"/>
        <v>0.24273988737163679</v>
      </c>
      <c r="J56" s="1347">
        <f>'Assets(MOFA)'!EH57*'Assets(MOFA)'!EI57</f>
        <v>114.86444438704507</v>
      </c>
      <c r="K56" s="889">
        <f t="shared" si="8"/>
        <v>0.51566336748084152</v>
      </c>
      <c r="L56" s="890">
        <f t="shared" si="5"/>
        <v>0.20572324737357103</v>
      </c>
    </row>
    <row r="57" spans="1:14">
      <c r="A57" s="826">
        <v>2013</v>
      </c>
      <c r="B57" s="814">
        <f>'Assets(MOFA)'!DE58/1000</f>
        <v>64.404921921760717</v>
      </c>
      <c r="C57" s="830">
        <f>'Assets(MOFA)'!GK58/1000</f>
        <v>56.874078078239286</v>
      </c>
      <c r="D57" s="918">
        <f t="shared" si="6"/>
        <v>121.279</v>
      </c>
      <c r="E57" s="814">
        <f>T.A1!E57-B57</f>
        <v>308.71407807823931</v>
      </c>
      <c r="F57" s="830">
        <f>T.A1!J57-C57</f>
        <v>81.73292192176072</v>
      </c>
      <c r="G57" s="918">
        <f t="shared" si="7"/>
        <v>390.447</v>
      </c>
      <c r="H57" s="912">
        <f t="shared" si="3"/>
        <v>0.17261228166284942</v>
      </c>
      <c r="I57" s="915">
        <f t="shared" si="4"/>
        <v>0.23699987884141122</v>
      </c>
      <c r="J57" s="1347">
        <f>'Assets(MOFA)'!EH58*'Assets(MOFA)'!EI58</f>
        <v>110.30054147628302</v>
      </c>
      <c r="K57" s="889">
        <f t="shared" si="8"/>
        <v>0.46895239965896229</v>
      </c>
      <c r="L57" s="890">
        <f t="shared" si="5"/>
        <v>0.20933166837435227</v>
      </c>
    </row>
    <row r="58" spans="1:14">
      <c r="A58" s="826">
        <v>2014</v>
      </c>
      <c r="B58" s="814">
        <f>'Assets(MOFA)'!DE59/1000</f>
        <v>53.418999999999997</v>
      </c>
      <c r="C58" s="830">
        <f>'Assets(MOFA)'!GK59/1000</f>
        <v>41.561999999999998</v>
      </c>
      <c r="D58" s="918">
        <f t="shared" si="6"/>
        <v>94.980999999999995</v>
      </c>
      <c r="E58" s="814">
        <f>T.A1!E58-B58</f>
        <v>367.64300000000003</v>
      </c>
      <c r="F58" s="830">
        <f>T.A1!J58-C58</f>
        <v>91.60199999999999</v>
      </c>
      <c r="G58" s="918">
        <f t="shared" si="7"/>
        <v>459.245</v>
      </c>
      <c r="H58" s="912">
        <f t="shared" si="3"/>
        <v>0.12686730220252598</v>
      </c>
      <c r="I58" s="915">
        <f t="shared" si="4"/>
        <v>0.17137593689217034</v>
      </c>
      <c r="J58" s="1347">
        <f>'Assets(MOFA)'!EH59*'Assets(MOFA)'!EI59</f>
        <v>98.946007905138302</v>
      </c>
      <c r="K58" s="889">
        <f t="shared" si="8"/>
        <v>0.43758225329276379</v>
      </c>
      <c r="L58" s="890">
        <f t="shared" si="5"/>
        <v>0.19946216072031267</v>
      </c>
    </row>
    <row r="59" spans="1:14">
      <c r="A59" s="826">
        <v>2015</v>
      </c>
      <c r="B59" s="814">
        <f>'Assets(MOFA)'!DE60/1000</f>
        <v>18.571999999999999</v>
      </c>
      <c r="C59" s="830">
        <f>'Assets(MOFA)'!GK60/1000</f>
        <v>11.965999999999999</v>
      </c>
      <c r="D59" s="918">
        <f t="shared" si="6"/>
        <v>30.537999999999997</v>
      </c>
      <c r="E59" s="814">
        <f>T.A1!E59-B59</f>
        <v>368.19400000000002</v>
      </c>
      <c r="F59" s="830">
        <f>T.A1!J59-C59</f>
        <v>79.456000000000003</v>
      </c>
      <c r="G59" s="918">
        <f t="shared" si="7"/>
        <v>447.65000000000003</v>
      </c>
      <c r="H59" s="912">
        <f t="shared" si="3"/>
        <v>4.801869864465852E-2</v>
      </c>
      <c r="I59" s="915">
        <f t="shared" si="4"/>
        <v>6.3861912051327074E-2</v>
      </c>
      <c r="J59" s="1347">
        <f>'Assets(MOFA)'!EH60*'Assets(MOFA)'!EI60</f>
        <v>52.231724596175006</v>
      </c>
      <c r="K59" s="889">
        <f t="shared" si="8"/>
        <v>0.39183967515881857</v>
      </c>
      <c r="L59" s="890">
        <f t="shared" si="5"/>
        <v>0.17749581145984586</v>
      </c>
    </row>
    <row r="60" spans="1:14">
      <c r="A60" s="826">
        <v>2016</v>
      </c>
      <c r="B60" s="814">
        <f>'Assets(MOFA)'!DE61/1000</f>
        <v>7.141</v>
      </c>
      <c r="C60" s="830">
        <f>'Assets(MOFA)'!GK61/1000</f>
        <v>8.484</v>
      </c>
      <c r="D60" s="918">
        <f t="shared" si="6"/>
        <v>15.625</v>
      </c>
      <c r="E60" s="814">
        <f>T.A1!E60-B60</f>
        <v>340.661</v>
      </c>
      <c r="F60" s="830">
        <f>T.A1!J60-C60</f>
        <v>78.421000000000006</v>
      </c>
      <c r="G60" s="918">
        <f t="shared" si="7"/>
        <v>419.08199999999999</v>
      </c>
      <c r="H60" s="912">
        <f t="shared" ref="H60" si="9">B60/(B60+E60)</f>
        <v>2.0531796826930265E-2</v>
      </c>
      <c r="I60" s="915">
        <f t="shared" ref="I60" si="10">D60/(D60+G60)</f>
        <v>3.594375061823251E-2</v>
      </c>
      <c r="J60" s="1350">
        <f>'Assets(MOFA)'!EH61*'Assets(MOFA)'!EI61</f>
        <v>43.08993483446455</v>
      </c>
      <c r="K60" s="889">
        <f t="shared" si="8"/>
        <v>0.54297600000000001</v>
      </c>
      <c r="L60" s="890">
        <f t="shared" si="5"/>
        <v>0.18712566991662732</v>
      </c>
      <c r="N60" s="854"/>
    </row>
    <row r="61" spans="1:14" ht="16" thickBot="1">
      <c r="A61" s="819"/>
      <c r="B61" s="820"/>
      <c r="C61" s="821"/>
      <c r="D61" s="822"/>
      <c r="E61" s="820"/>
      <c r="F61" s="821"/>
      <c r="G61" s="822"/>
      <c r="H61" s="821"/>
      <c r="I61" s="821"/>
      <c r="J61" s="960"/>
      <c r="K61" s="820"/>
      <c r="L61" s="823"/>
    </row>
    <row r="62" spans="1:14" ht="17" thickTop="1" thickBot="1">
      <c r="E62" s="829"/>
    </row>
    <row r="63" spans="1:14" s="825" customFormat="1" ht="28" customHeight="1" thickBot="1">
      <c r="A63" s="1753" t="s">
        <v>3470</v>
      </c>
      <c r="B63" s="1754"/>
      <c r="C63" s="1754"/>
      <c r="D63" s="1754"/>
      <c r="E63" s="1754"/>
      <c r="F63" s="1754"/>
      <c r="G63" s="1754"/>
      <c r="H63" s="1754"/>
      <c r="I63" s="1754"/>
      <c r="J63" s="1754"/>
      <c r="K63" s="1754"/>
      <c r="L63" s="1755"/>
    </row>
    <row r="64" spans="1:14" s="825" customFormat="1" ht="25" customHeight="1">
      <c r="A64" s="1678"/>
      <c r="B64" s="1678"/>
      <c r="C64" s="1678"/>
      <c r="D64" s="1678"/>
      <c r="E64" s="1678"/>
      <c r="F64" s="1678"/>
      <c r="G64" s="1678"/>
      <c r="H64" s="1678"/>
      <c r="I64" s="1678"/>
      <c r="J64" s="1678"/>
      <c r="K64" s="1678"/>
      <c r="L64" s="1678"/>
    </row>
    <row r="65" spans="1:12">
      <c r="A65" s="829" t="s">
        <v>2457</v>
      </c>
      <c r="K65" s="855">
        <f>SUM(C10:C13)/SUM(D10:D13)</f>
        <v>0.64529534471344907</v>
      </c>
      <c r="L65" s="855">
        <f>SUM(F10:F13)/SUM(G10:G13)</f>
        <v>0.43387905382302455</v>
      </c>
    </row>
    <row r="66" spans="1:12">
      <c r="A66" s="829" t="s">
        <v>2455</v>
      </c>
      <c r="K66" s="855">
        <f>SUM(C14:C23)/SUM(D14:D23)</f>
        <v>0.82298796417263986</v>
      </c>
      <c r="L66" s="855">
        <f>SUM(F14:F23)/SUM(G14:G23)</f>
        <v>0.39654717353551389</v>
      </c>
    </row>
    <row r="67" spans="1:12">
      <c r="A67" s="829" t="s">
        <v>1201</v>
      </c>
      <c r="K67" s="855">
        <f>SUM(C24:C33)/SUM(D24:D33)</f>
        <v>0.65872441801751791</v>
      </c>
      <c r="L67" s="855">
        <f>SUM(F24:F33)/SUM(G24:G33)</f>
        <v>0.3620601345696543</v>
      </c>
    </row>
    <row r="68" spans="1:12">
      <c r="A68" s="829" t="s">
        <v>722</v>
      </c>
      <c r="B68" s="855"/>
      <c r="K68" s="855">
        <f>SUM(C34:C45)/SUM(D34:D45)</f>
        <v>0.44367336665348245</v>
      </c>
      <c r="L68" s="855">
        <f>SUM(F34:F45)/SUM(G34:G45)</f>
        <v>0.32588897740440337</v>
      </c>
    </row>
    <row r="69" spans="1:12">
      <c r="A69" s="829" t="s">
        <v>723</v>
      </c>
      <c r="B69" s="855"/>
      <c r="K69" s="855">
        <f>SUM(C44:C53)/SUM(D44:D53)</f>
        <v>0.44082559571723173</v>
      </c>
      <c r="L69" s="855">
        <f>SUM(F44:F53)/SUM(G44:G53)</f>
        <v>0.26053443481671507</v>
      </c>
    </row>
    <row r="70" spans="1:12">
      <c r="A70" s="829" t="s">
        <v>2456</v>
      </c>
      <c r="B70" s="855"/>
      <c r="K70" s="855">
        <f>SUM(C54:C59)/SUM(D54:D59)</f>
        <v>0.47219644542083095</v>
      </c>
      <c r="L70" s="855">
        <f>SUM(F54:F59)/SUM(G54:G59)</f>
        <v>0.20625831994359675</v>
      </c>
    </row>
    <row r="71" spans="1:12" s="825" customFormat="1">
      <c r="B71" s="805"/>
      <c r="C71" s="805"/>
      <c r="D71" s="805"/>
      <c r="E71" s="805"/>
    </row>
    <row r="72" spans="1:12" s="825" customFormat="1">
      <c r="A72" s="805"/>
      <c r="B72" s="805"/>
      <c r="C72" s="805"/>
      <c r="D72" s="805"/>
      <c r="E72" s="805"/>
    </row>
    <row r="73" spans="1:12" s="825" customFormat="1">
      <c r="A73" s="805"/>
      <c r="B73" s="805"/>
      <c r="C73" s="805"/>
      <c r="D73" s="805"/>
      <c r="E73" s="805"/>
    </row>
    <row r="75" spans="1:12" s="825" customFormat="1">
      <c r="A75" s="805"/>
      <c r="B75" s="805"/>
      <c r="C75" s="805"/>
      <c r="D75" s="805"/>
      <c r="E75" s="805"/>
    </row>
  </sheetData>
  <mergeCells count="16">
    <mergeCell ref="A63:L63"/>
    <mergeCell ref="A3:L3"/>
    <mergeCell ref="H6:H9"/>
    <mergeCell ref="I6:I9"/>
    <mergeCell ref="G8:G9"/>
    <mergeCell ref="B8:B9"/>
    <mergeCell ref="B6:G6"/>
    <mergeCell ref="E7:G7"/>
    <mergeCell ref="K6:K9"/>
    <mergeCell ref="L6:L9"/>
    <mergeCell ref="C8:C9"/>
    <mergeCell ref="D8:D9"/>
    <mergeCell ref="E8:E9"/>
    <mergeCell ref="B7:D7"/>
    <mergeCell ref="F8:F9"/>
    <mergeCell ref="J6:J9"/>
  </mergeCells>
  <pageMargins left="0.75" right="0.75" top="1" bottom="1" header="0.5" footer="0.5"/>
  <pageSetup scale="74" orientation="portrait" horizontalDpi="4294967292" verticalDpi="4294967292"/>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6"/>
  <sheetViews>
    <sheetView zoomScale="90" zoomScaleNormal="90" zoomScalePageLayoutView="90" workbookViewId="0">
      <pane xSplit="1" ySplit="9" topLeftCell="B85"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5" x14ac:dyDescent="0"/>
  <cols>
    <col min="1" max="1" width="25.7109375" style="1544" customWidth="1"/>
    <col min="2" max="2" width="10.28515625" style="1544" customWidth="1"/>
    <col min="3" max="3" width="10" style="1544" customWidth="1"/>
    <col min="4" max="4" width="9.85546875" style="1544" customWidth="1"/>
    <col min="5" max="6" width="7.7109375" style="1544" bestFit="1" customWidth="1"/>
    <col min="7" max="7" width="9" style="1544" customWidth="1"/>
    <col min="8" max="8" width="10.28515625" style="1544" customWidth="1"/>
    <col min="9" max="9" width="7.7109375" style="1544" bestFit="1" customWidth="1"/>
    <col min="10" max="10" width="8.140625" style="1544" bestFit="1" customWidth="1"/>
    <col min="11" max="11" width="9.140625" style="1544" customWidth="1"/>
    <col min="12" max="12" width="18" style="1544" customWidth="1"/>
    <col min="13" max="13" width="7.5703125" style="1544"/>
    <col min="14" max="14" width="46" style="1544" customWidth="1"/>
    <col min="15" max="15" width="7.85546875" style="1544" customWidth="1"/>
    <col min="16" max="16384" width="7.5703125" style="1544"/>
  </cols>
  <sheetData>
    <row r="1" spans="1:15">
      <c r="A1" s="1282" t="s">
        <v>2637</v>
      </c>
      <c r="B1" s="1283"/>
      <c r="C1" s="1283"/>
      <c r="D1" s="1283"/>
      <c r="E1" s="1283"/>
      <c r="F1" s="1283"/>
      <c r="G1" s="1283"/>
      <c r="H1" s="1283"/>
      <c r="I1" s="1283"/>
      <c r="J1" s="1283"/>
      <c r="K1" s="1283"/>
    </row>
    <row r="2" spans="1:15" ht="16" thickBot="1"/>
    <row r="3" spans="1:15" ht="21" customHeight="1" thickTop="1">
      <c r="A3" s="1888" t="s">
        <v>3325</v>
      </c>
      <c r="B3" s="1889"/>
      <c r="C3" s="1889"/>
      <c r="D3" s="1889"/>
      <c r="E3" s="1889"/>
      <c r="F3" s="1889"/>
      <c r="G3" s="1889"/>
      <c r="H3" s="1889"/>
      <c r="I3" s="1889"/>
      <c r="J3" s="1889"/>
      <c r="K3" s="1889"/>
      <c r="L3" s="1890"/>
    </row>
    <row r="4" spans="1:15">
      <c r="A4" s="1891"/>
      <c r="B4" s="1892"/>
      <c r="C4" s="1892"/>
      <c r="D4" s="1892"/>
      <c r="E4" s="1892"/>
      <c r="F4" s="1892"/>
      <c r="G4" s="1892"/>
      <c r="H4" s="1892"/>
      <c r="I4" s="1892"/>
      <c r="J4" s="1892"/>
      <c r="K4" s="1892"/>
      <c r="L4" s="1893"/>
    </row>
    <row r="5" spans="1:15" ht="20" customHeight="1">
      <c r="A5" s="1891"/>
      <c r="B5" s="1892"/>
      <c r="C5" s="1892"/>
      <c r="D5" s="1892"/>
      <c r="E5" s="1892"/>
      <c r="F5" s="1892"/>
      <c r="G5" s="1892"/>
      <c r="H5" s="1892"/>
      <c r="I5" s="1892"/>
      <c r="J5" s="1892"/>
      <c r="K5" s="1892"/>
      <c r="L5" s="1893"/>
    </row>
    <row r="6" spans="1:15" ht="19" thickBot="1">
      <c r="A6" s="1563"/>
      <c r="B6" s="1562" t="s">
        <v>2411</v>
      </c>
      <c r="C6" s="1562" t="s">
        <v>2412</v>
      </c>
      <c r="D6" s="1562" t="s">
        <v>2413</v>
      </c>
      <c r="E6" s="1562" t="s">
        <v>2414</v>
      </c>
      <c r="F6" s="1562" t="s">
        <v>2415</v>
      </c>
      <c r="G6" s="1562" t="s">
        <v>2416</v>
      </c>
      <c r="H6" s="1562" t="s">
        <v>2417</v>
      </c>
      <c r="I6" s="1562" t="s">
        <v>2429</v>
      </c>
      <c r="J6" s="1562" t="s">
        <v>2430</v>
      </c>
      <c r="K6" s="1562" t="s">
        <v>2431</v>
      </c>
      <c r="L6" s="1561" t="s">
        <v>2432</v>
      </c>
    </row>
    <row r="7" spans="1:15">
      <c r="A7" s="1896" t="s">
        <v>0</v>
      </c>
      <c r="B7" s="1898" t="s">
        <v>3337</v>
      </c>
      <c r="C7" s="1898" t="s">
        <v>0</v>
      </c>
      <c r="D7" s="1898" t="s">
        <v>0</v>
      </c>
      <c r="E7" s="1898" t="s">
        <v>0</v>
      </c>
      <c r="F7" s="1898" t="s">
        <v>0</v>
      </c>
      <c r="G7" s="1898" t="s">
        <v>3338</v>
      </c>
      <c r="H7" s="1898" t="s">
        <v>0</v>
      </c>
      <c r="I7" s="1898" t="s">
        <v>0</v>
      </c>
      <c r="J7" s="1898" t="s">
        <v>0</v>
      </c>
      <c r="K7" s="1899" t="s">
        <v>3339</v>
      </c>
      <c r="L7" s="1894" t="s">
        <v>2982</v>
      </c>
    </row>
    <row r="8" spans="1:15" ht="90">
      <c r="A8" s="1897" t="s">
        <v>0</v>
      </c>
      <c r="B8" s="1428" t="s">
        <v>3340</v>
      </c>
      <c r="C8" s="1428" t="s">
        <v>3341</v>
      </c>
      <c r="D8" s="1428" t="s">
        <v>3342</v>
      </c>
      <c r="E8" s="1428" t="s">
        <v>3343</v>
      </c>
      <c r="F8" s="1428" t="s">
        <v>3344</v>
      </c>
      <c r="G8" s="1428" t="s">
        <v>3340</v>
      </c>
      <c r="H8" s="1428" t="s">
        <v>3345</v>
      </c>
      <c r="I8" s="1428" t="s">
        <v>3346</v>
      </c>
      <c r="J8" s="1428" t="s">
        <v>3344</v>
      </c>
      <c r="K8" s="1900" t="s">
        <v>0</v>
      </c>
      <c r="L8" s="1895"/>
      <c r="M8" s="1284"/>
    </row>
    <row r="9" spans="1:15">
      <c r="A9" s="1897" t="s">
        <v>0</v>
      </c>
      <c r="L9" s="1560"/>
      <c r="O9" s="1544" t="s">
        <v>2638</v>
      </c>
    </row>
    <row r="10" spans="1:15">
      <c r="A10" s="1429" t="s">
        <v>3347</v>
      </c>
      <c r="B10" s="1555">
        <v>40646093</v>
      </c>
      <c r="C10" s="1555">
        <v>35491271</v>
      </c>
      <c r="D10" s="1555">
        <v>4188535</v>
      </c>
      <c r="E10" s="1555">
        <v>32712</v>
      </c>
      <c r="F10" s="1555">
        <v>933577</v>
      </c>
      <c r="G10" s="1555">
        <v>34178124</v>
      </c>
      <c r="H10" s="1555">
        <v>31097194</v>
      </c>
      <c r="I10" s="1555">
        <v>809495</v>
      </c>
      <c r="J10" s="1555">
        <v>2271434</v>
      </c>
      <c r="K10" s="1555">
        <v>6467970</v>
      </c>
      <c r="L10" s="1559">
        <f>I10/(K10-D10-E10+I10)</f>
        <v>0.26486821293507207</v>
      </c>
      <c r="N10" s="1558" t="s">
        <v>2639</v>
      </c>
      <c r="O10" s="1557">
        <v>0.26829999999999998</v>
      </c>
    </row>
    <row r="11" spans="1:15">
      <c r="A11" s="1430"/>
      <c r="B11" s="1555"/>
      <c r="C11" s="1555"/>
      <c r="D11" s="1555"/>
      <c r="E11" s="1555"/>
      <c r="F11" s="1555"/>
      <c r="G11" s="1555"/>
      <c r="H11" s="1555"/>
      <c r="I11" s="1555"/>
      <c r="J11" s="1555"/>
      <c r="K11" s="1555"/>
      <c r="L11" s="1554"/>
    </row>
    <row r="12" spans="1:15">
      <c r="A12" s="1430" t="s">
        <v>3348</v>
      </c>
      <c r="B12" s="1555">
        <v>4094087</v>
      </c>
      <c r="C12" s="1555">
        <v>3788455</v>
      </c>
      <c r="D12" s="1555">
        <v>241087</v>
      </c>
      <c r="E12" s="1555">
        <v>-3529</v>
      </c>
      <c r="F12" s="1555">
        <v>68074</v>
      </c>
      <c r="G12" s="1555">
        <v>3678009</v>
      </c>
      <c r="H12" s="1555">
        <v>3461476</v>
      </c>
      <c r="I12" s="1555">
        <v>47874</v>
      </c>
      <c r="J12" s="1555">
        <v>168659</v>
      </c>
      <c r="K12" s="1555">
        <v>416076</v>
      </c>
      <c r="L12" s="1554">
        <f>I12/(K12-D12-E12+I12)</f>
        <v>0.21146506943708257</v>
      </c>
    </row>
    <row r="13" spans="1:15">
      <c r="A13" s="1430"/>
      <c r="B13" s="1555"/>
      <c r="C13" s="1555"/>
      <c r="D13" s="1555"/>
      <c r="E13" s="1555"/>
      <c r="F13" s="1555"/>
      <c r="G13" s="1555"/>
      <c r="H13" s="1555"/>
      <c r="I13" s="1555"/>
      <c r="J13" s="1555"/>
      <c r="K13" s="1555"/>
      <c r="L13" s="1554"/>
    </row>
    <row r="14" spans="1:15">
      <c r="A14" s="1430" t="s">
        <v>3349</v>
      </c>
      <c r="B14" s="1555">
        <v>20056411</v>
      </c>
      <c r="C14" s="1555">
        <v>16729726</v>
      </c>
      <c r="D14" s="1555">
        <v>2657145</v>
      </c>
      <c r="E14" s="1555">
        <v>29497</v>
      </c>
      <c r="F14" s="1555">
        <v>640042</v>
      </c>
      <c r="G14" s="1555">
        <v>16347600</v>
      </c>
      <c r="H14" s="1555">
        <v>14626032</v>
      </c>
      <c r="I14" s="1555">
        <v>325071</v>
      </c>
      <c r="J14" s="1555">
        <v>1396499</v>
      </c>
      <c r="K14" s="1555">
        <v>3708810</v>
      </c>
      <c r="L14" s="1554">
        <f t="shared" ref="L14:L20" si="0">I14/(K14-D14-E14+I14)</f>
        <v>0.24128680954158838</v>
      </c>
    </row>
    <row r="15" spans="1:15">
      <c r="A15" s="1431" t="s">
        <v>3350</v>
      </c>
      <c r="B15" s="1555">
        <v>149355</v>
      </c>
      <c r="C15" s="1555">
        <v>126946</v>
      </c>
      <c r="D15" s="1555">
        <v>13545</v>
      </c>
      <c r="E15" s="1555">
        <v>-34</v>
      </c>
      <c r="F15" s="1555">
        <v>5491</v>
      </c>
      <c r="G15" s="1555">
        <v>130244</v>
      </c>
      <c r="H15" s="1555">
        <v>118130</v>
      </c>
      <c r="I15" s="1555">
        <v>1097</v>
      </c>
      <c r="J15" s="1555">
        <v>9551</v>
      </c>
      <c r="K15" s="1555">
        <v>14912</v>
      </c>
      <c r="L15" s="1556">
        <f t="shared" si="0"/>
        <v>0.43915132105684546</v>
      </c>
    </row>
    <row r="16" spans="1:15">
      <c r="A16" s="1431" t="s">
        <v>3351</v>
      </c>
      <c r="B16" s="1555">
        <v>851039</v>
      </c>
      <c r="C16" s="1555">
        <v>799987</v>
      </c>
      <c r="D16" s="1555">
        <v>26755.474719999998</v>
      </c>
      <c r="E16" s="1555">
        <v>1081</v>
      </c>
      <c r="F16" s="1555" t="e">
        <v>#VALUE!</v>
      </c>
      <c r="G16" s="1555">
        <v>780323</v>
      </c>
      <c r="H16" s="1555">
        <v>732808</v>
      </c>
      <c r="I16" s="1555">
        <v>7521</v>
      </c>
      <c r="J16" s="1555">
        <v>32235</v>
      </c>
      <c r="K16" s="1555">
        <v>52582</v>
      </c>
      <c r="L16" s="1556">
        <f t="shared" si="0"/>
        <v>0.23308986433261214</v>
      </c>
    </row>
    <row r="17" spans="1:12">
      <c r="A17" s="1431" t="s">
        <v>3352</v>
      </c>
      <c r="B17" s="1555">
        <v>108328</v>
      </c>
      <c r="C17" s="1555">
        <v>107064</v>
      </c>
      <c r="D17" s="1555">
        <v>347</v>
      </c>
      <c r="E17" s="1555">
        <v>-13</v>
      </c>
      <c r="F17" s="1555">
        <v>931</v>
      </c>
      <c r="G17" s="1555">
        <v>100901</v>
      </c>
      <c r="H17" s="1555">
        <v>93794</v>
      </c>
      <c r="I17" s="1555">
        <v>1462</v>
      </c>
      <c r="J17" s="1555">
        <v>5645</v>
      </c>
      <c r="K17" s="1555">
        <v>7427</v>
      </c>
      <c r="L17" s="1556">
        <f t="shared" si="0"/>
        <v>0.17089421390999415</v>
      </c>
    </row>
    <row r="18" spans="1:12">
      <c r="A18" s="1431" t="s">
        <v>3353</v>
      </c>
      <c r="B18" s="1555">
        <v>141430</v>
      </c>
      <c r="C18" s="1555">
        <v>125121</v>
      </c>
      <c r="D18" s="1555">
        <v>12273</v>
      </c>
      <c r="E18" s="1555">
        <v>1195</v>
      </c>
      <c r="F18" s="1555">
        <v>2842</v>
      </c>
      <c r="G18" s="1555">
        <v>119392</v>
      </c>
      <c r="H18" s="1555">
        <v>95964</v>
      </c>
      <c r="I18" s="1555">
        <v>13968</v>
      </c>
      <c r="J18" s="1555">
        <v>9461</v>
      </c>
      <c r="K18" s="1555">
        <v>22037</v>
      </c>
      <c r="L18" s="1556">
        <f t="shared" si="0"/>
        <v>0.6197808048986112</v>
      </c>
    </row>
    <row r="19" spans="1:12">
      <c r="A19" s="1431" t="s">
        <v>3354</v>
      </c>
      <c r="B19" s="1555">
        <v>73361</v>
      </c>
      <c r="C19" s="1555">
        <v>59914</v>
      </c>
      <c r="D19" s="1555">
        <v>1334.4484339999999</v>
      </c>
      <c r="E19" s="1555">
        <v>18.102212000000002</v>
      </c>
      <c r="F19" s="1555" t="e">
        <v>#VALUE!</v>
      </c>
      <c r="G19" s="1555">
        <v>71632</v>
      </c>
      <c r="H19" s="1555">
        <v>66490</v>
      </c>
      <c r="I19" s="1555">
        <v>464</v>
      </c>
      <c r="J19" s="1555">
        <v>3840</v>
      </c>
      <c r="K19" s="1555">
        <v>1236</v>
      </c>
      <c r="L19" s="1556">
        <f t="shared" si="0"/>
        <v>1.3354464317121737</v>
      </c>
    </row>
    <row r="20" spans="1:12">
      <c r="A20" s="1431" t="s">
        <v>3355</v>
      </c>
      <c r="B20" s="1555">
        <v>1300735</v>
      </c>
      <c r="C20" s="1555">
        <v>1250264</v>
      </c>
      <c r="D20" s="1555">
        <v>29661.948479999999</v>
      </c>
      <c r="E20" s="1555">
        <v>-4287.3900789999998</v>
      </c>
      <c r="F20" s="1555">
        <v>24874</v>
      </c>
      <c r="G20" s="1555">
        <v>1257848</v>
      </c>
      <c r="H20" s="1555">
        <v>1167286</v>
      </c>
      <c r="I20" s="1555">
        <v>20647</v>
      </c>
      <c r="J20" s="1555">
        <v>69915</v>
      </c>
      <c r="K20" s="1555">
        <v>42885</v>
      </c>
      <c r="L20" s="1556">
        <f t="shared" si="0"/>
        <v>0.5411002188506554</v>
      </c>
    </row>
    <row r="21" spans="1:12">
      <c r="A21" s="1430"/>
      <c r="B21" s="1555"/>
      <c r="C21" s="1555"/>
      <c r="D21" s="1555"/>
      <c r="E21" s="1555"/>
      <c r="F21" s="1555"/>
      <c r="G21" s="1555"/>
      <c r="H21" s="1555"/>
      <c r="I21" s="1555"/>
      <c r="J21" s="1555"/>
      <c r="K21" s="1555"/>
      <c r="L21" s="1556"/>
    </row>
    <row r="22" spans="1:12">
      <c r="A22" s="1431" t="s">
        <v>3356</v>
      </c>
      <c r="B22" s="1555">
        <v>2149772</v>
      </c>
      <c r="C22" s="1555">
        <v>2049679</v>
      </c>
      <c r="D22" s="1555">
        <v>35091</v>
      </c>
      <c r="E22" s="1555">
        <v>-4653</v>
      </c>
      <c r="F22" s="1555">
        <v>55117</v>
      </c>
      <c r="G22" s="1555">
        <v>2055227</v>
      </c>
      <c r="H22" s="1555">
        <v>1888361</v>
      </c>
      <c r="I22" s="1555">
        <v>21380</v>
      </c>
      <c r="J22" s="1555">
        <v>112779</v>
      </c>
      <c r="K22" s="1555">
        <v>71569</v>
      </c>
      <c r="L22" s="1556">
        <f t="shared" ref="L22:L28" si="1">I22/(K22-D22-E22+I22)</f>
        <v>0.34201980451440545</v>
      </c>
    </row>
    <row r="23" spans="1:12">
      <c r="A23" s="1431" t="s">
        <v>3357</v>
      </c>
      <c r="B23" s="1555">
        <v>39699</v>
      </c>
      <c r="C23" s="1555">
        <v>39182</v>
      </c>
      <c r="D23" s="1555">
        <v>348.23367000000002</v>
      </c>
      <c r="E23" s="1555">
        <v>6.0310160000000002</v>
      </c>
      <c r="F23" s="1555" t="e">
        <v>#VALUE!</v>
      </c>
      <c r="G23" s="1555">
        <v>39633</v>
      </c>
      <c r="H23" s="1555">
        <v>37777</v>
      </c>
      <c r="I23" s="1555">
        <v>537</v>
      </c>
      <c r="J23" s="1555">
        <v>1102</v>
      </c>
      <c r="K23" s="1555">
        <v>312</v>
      </c>
      <c r="L23" s="1556">
        <f t="shared" si="1"/>
        <v>1.0854288845044928</v>
      </c>
    </row>
    <row r="24" spans="1:12">
      <c r="A24" s="1431" t="s">
        <v>3358</v>
      </c>
      <c r="B24" s="1555">
        <v>175855</v>
      </c>
      <c r="C24" s="1555">
        <v>131316</v>
      </c>
      <c r="D24" s="1555">
        <v>6025.6419590000005</v>
      </c>
      <c r="E24" s="1555">
        <v>209.94500800000003</v>
      </c>
      <c r="F24" s="1555" t="e">
        <v>#VALUE!</v>
      </c>
      <c r="G24" s="1555" t="e">
        <v>#VALUE!</v>
      </c>
      <c r="H24" s="1555">
        <v>109089</v>
      </c>
      <c r="I24" s="1555" t="e">
        <v>#VALUE!</v>
      </c>
      <c r="J24" s="1555" t="e">
        <v>#VALUE!</v>
      </c>
      <c r="K24" s="1555" t="e">
        <v>#VALUE!</v>
      </c>
      <c r="L24" s="1556" t="e">
        <f t="shared" si="1"/>
        <v>#VALUE!</v>
      </c>
    </row>
    <row r="25" spans="1:12">
      <c r="A25" s="1431" t="s">
        <v>3359</v>
      </c>
      <c r="B25" s="1555">
        <v>2353086</v>
      </c>
      <c r="C25" s="1555">
        <v>1933145</v>
      </c>
      <c r="D25" s="1555">
        <v>322765</v>
      </c>
      <c r="E25" s="1555">
        <v>5764</v>
      </c>
      <c r="F25" s="1555">
        <v>91411</v>
      </c>
      <c r="G25" s="1555">
        <v>1665218</v>
      </c>
      <c r="H25" s="1555">
        <v>1431969</v>
      </c>
      <c r="I25" s="1555">
        <v>19767</v>
      </c>
      <c r="J25" s="1555">
        <v>213482</v>
      </c>
      <c r="K25" s="1555">
        <v>687867</v>
      </c>
      <c r="L25" s="1554">
        <f t="shared" si="1"/>
        <v>5.2141227364450482E-2</v>
      </c>
    </row>
    <row r="26" spans="1:12">
      <c r="A26" s="1431" t="s">
        <v>3360</v>
      </c>
      <c r="B26" s="1555">
        <v>701958</v>
      </c>
      <c r="C26" s="1555">
        <v>685427</v>
      </c>
      <c r="D26" s="1555">
        <v>9720</v>
      </c>
      <c r="E26" s="1555">
        <v>-1196</v>
      </c>
      <c r="F26" s="1555">
        <v>8007</v>
      </c>
      <c r="G26" s="1555">
        <v>681904</v>
      </c>
      <c r="H26" s="1555">
        <v>638677</v>
      </c>
      <c r="I26" s="1555">
        <v>11621</v>
      </c>
      <c r="J26" s="1555">
        <v>31608</v>
      </c>
      <c r="K26" s="1555">
        <v>20054</v>
      </c>
      <c r="L26" s="1554">
        <f t="shared" si="1"/>
        <v>0.50196535786791063</v>
      </c>
    </row>
    <row r="27" spans="1:12">
      <c r="A27" s="1431" t="s">
        <v>3361</v>
      </c>
      <c r="B27" s="1555">
        <v>910250</v>
      </c>
      <c r="C27" s="1555">
        <v>275991</v>
      </c>
      <c r="D27" s="1555">
        <v>556753</v>
      </c>
      <c r="E27" s="1555">
        <v>4344</v>
      </c>
      <c r="F27" s="1555">
        <v>73160</v>
      </c>
      <c r="G27" s="1555">
        <v>323939</v>
      </c>
      <c r="H27" s="1555">
        <v>208946</v>
      </c>
      <c r="I27" s="1555">
        <v>6024</v>
      </c>
      <c r="J27" s="1555">
        <v>108969</v>
      </c>
      <c r="K27" s="1555">
        <v>586310</v>
      </c>
      <c r="L27" s="1554">
        <f t="shared" si="1"/>
        <v>0.19284822486154241</v>
      </c>
    </row>
    <row r="28" spans="1:12">
      <c r="A28" s="1431" t="s">
        <v>3362</v>
      </c>
      <c r="B28" s="1555">
        <v>2447157</v>
      </c>
      <c r="C28" s="1555">
        <v>1394957</v>
      </c>
      <c r="D28" s="1555">
        <v>896530</v>
      </c>
      <c r="E28" s="1555">
        <v>-6441</v>
      </c>
      <c r="F28" s="1555">
        <v>162110</v>
      </c>
      <c r="G28" s="1555">
        <v>1501884</v>
      </c>
      <c r="H28" s="1555">
        <v>1243557</v>
      </c>
      <c r="I28" s="1555">
        <v>25378</v>
      </c>
      <c r="J28" s="1555">
        <v>232947</v>
      </c>
      <c r="K28" s="1555">
        <v>945275</v>
      </c>
      <c r="L28" s="1554">
        <f t="shared" si="1"/>
        <v>0.31500422024725683</v>
      </c>
    </row>
    <row r="29" spans="1:12">
      <c r="A29" s="1430"/>
      <c r="B29" s="1555"/>
      <c r="C29" s="1555"/>
      <c r="D29" s="1555"/>
      <c r="E29" s="1555"/>
      <c r="F29" s="1555"/>
      <c r="G29" s="1555"/>
      <c r="H29" s="1555"/>
      <c r="I29" s="1555"/>
      <c r="J29" s="1555"/>
      <c r="K29" s="1555"/>
      <c r="L29" s="1554"/>
    </row>
    <row r="30" spans="1:12">
      <c r="A30" s="1431" t="s">
        <v>3363</v>
      </c>
      <c r="B30" s="1555">
        <v>371220</v>
      </c>
      <c r="C30" s="1555">
        <v>323608</v>
      </c>
      <c r="D30" s="1555">
        <v>29627</v>
      </c>
      <c r="E30" s="1555">
        <v>1252.131754</v>
      </c>
      <c r="F30" s="1555" t="e">
        <v>#VALUE!</v>
      </c>
      <c r="G30" s="1555">
        <v>294839</v>
      </c>
      <c r="H30" s="1555">
        <v>220404</v>
      </c>
      <c r="I30" s="1555">
        <v>49341</v>
      </c>
      <c r="J30" s="1555">
        <v>16165</v>
      </c>
      <c r="K30" s="1555">
        <v>65585</v>
      </c>
      <c r="L30" s="1554">
        <f t="shared" ref="L30:L61" si="2">I30/(K30-D30-E30+I30)</f>
        <v>0.58706530094115983</v>
      </c>
    </row>
    <row r="31" spans="1:12">
      <c r="A31" s="1431" t="s">
        <v>3364</v>
      </c>
      <c r="B31" s="1555">
        <v>241299</v>
      </c>
      <c r="C31" s="1555">
        <v>235066</v>
      </c>
      <c r="D31" s="1555">
        <v>2175</v>
      </c>
      <c r="E31" s="1555">
        <v>460</v>
      </c>
      <c r="F31" s="1555">
        <v>3597</v>
      </c>
      <c r="G31" s="1555">
        <v>227236</v>
      </c>
      <c r="H31" s="1555">
        <v>209795</v>
      </c>
      <c r="I31" s="1555">
        <v>2430</v>
      </c>
      <c r="J31" s="1555">
        <v>15011</v>
      </c>
      <c r="K31" s="1555">
        <v>14063</v>
      </c>
      <c r="L31" s="1554">
        <f t="shared" si="2"/>
        <v>0.17534997835185454</v>
      </c>
    </row>
    <row r="32" spans="1:12">
      <c r="A32" s="1431" t="s">
        <v>3365</v>
      </c>
      <c r="B32" s="1555">
        <v>81838</v>
      </c>
      <c r="C32" s="1555">
        <v>63247</v>
      </c>
      <c r="D32" s="1555">
        <v>13833.140566</v>
      </c>
      <c r="E32" s="1555">
        <v>221.26671699999997</v>
      </c>
      <c r="F32" s="1555" t="e">
        <v>#VALUE!</v>
      </c>
      <c r="G32" s="1555">
        <v>60783</v>
      </c>
      <c r="H32" s="1555">
        <v>57329</v>
      </c>
      <c r="I32" s="1555" t="e">
        <v>#VALUE!</v>
      </c>
      <c r="J32" s="1555" t="e">
        <v>#VALUE!</v>
      </c>
      <c r="K32" s="1555">
        <v>21053</v>
      </c>
      <c r="L32" s="1556" t="e">
        <f t="shared" si="2"/>
        <v>#VALUE!</v>
      </c>
    </row>
    <row r="33" spans="1:12">
      <c r="A33" s="1431" t="s">
        <v>3366</v>
      </c>
      <c r="B33" s="1555">
        <v>289998</v>
      </c>
      <c r="C33" s="1555">
        <v>282859</v>
      </c>
      <c r="D33" s="1555">
        <v>7702.3446199999998</v>
      </c>
      <c r="E33" s="1555">
        <v>757</v>
      </c>
      <c r="F33" s="1555" t="e">
        <v>#VALUE!</v>
      </c>
      <c r="G33" s="1555">
        <v>271100</v>
      </c>
      <c r="H33" s="1555">
        <v>252102</v>
      </c>
      <c r="I33" s="1555" t="e">
        <v>#VALUE!</v>
      </c>
      <c r="J33" s="1555" t="e">
        <v>#VALUE!</v>
      </c>
      <c r="K33" s="1555">
        <v>18899</v>
      </c>
      <c r="L33" s="1554" t="e">
        <f t="shared" si="2"/>
        <v>#VALUE!</v>
      </c>
    </row>
    <row r="34" spans="1:12" ht="16" customHeight="1">
      <c r="A34" s="1431" t="s">
        <v>3367</v>
      </c>
      <c r="B34" s="1555">
        <v>534431</v>
      </c>
      <c r="C34" s="1555">
        <v>493972</v>
      </c>
      <c r="D34" s="1555">
        <v>25583</v>
      </c>
      <c r="E34" s="1555">
        <v>2179</v>
      </c>
      <c r="F34" s="1555">
        <v>12696</v>
      </c>
      <c r="G34" s="1555">
        <v>496760</v>
      </c>
      <c r="H34" s="1555">
        <v>459544</v>
      </c>
      <c r="I34" s="1555">
        <v>5254</v>
      </c>
      <c r="J34" s="1555">
        <v>31961</v>
      </c>
      <c r="K34" s="1555">
        <v>37670</v>
      </c>
      <c r="L34" s="1554">
        <f t="shared" si="2"/>
        <v>0.34652420524996702</v>
      </c>
    </row>
    <row r="35" spans="1:12">
      <c r="A35" s="1431" t="s">
        <v>3368</v>
      </c>
      <c r="B35" s="1555">
        <v>231747</v>
      </c>
      <c r="C35" s="1555">
        <v>210106</v>
      </c>
      <c r="D35" s="1555">
        <v>13344.46636</v>
      </c>
      <c r="E35" s="1555">
        <v>-738</v>
      </c>
      <c r="F35" s="1555">
        <v>10442</v>
      </c>
      <c r="G35" s="1555">
        <v>213659</v>
      </c>
      <c r="H35" s="1555">
        <v>185408</v>
      </c>
      <c r="I35" s="1555">
        <v>2558</v>
      </c>
      <c r="J35" s="1555">
        <v>25691</v>
      </c>
      <c r="K35" s="1555">
        <v>18088</v>
      </c>
      <c r="L35" s="1554">
        <f t="shared" si="2"/>
        <v>0.31817765986734525</v>
      </c>
    </row>
    <row r="36" spans="1:12">
      <c r="A36" s="1431" t="s">
        <v>3369</v>
      </c>
      <c r="B36" s="1555">
        <v>2049607</v>
      </c>
      <c r="C36" s="1555">
        <v>1798060</v>
      </c>
      <c r="D36" s="1555">
        <v>208560</v>
      </c>
      <c r="E36" s="1555">
        <v>-149</v>
      </c>
      <c r="F36" s="1555">
        <v>43140</v>
      </c>
      <c r="G36" s="1555">
        <v>1674549</v>
      </c>
      <c r="H36" s="1555">
        <v>1529181</v>
      </c>
      <c r="I36" s="1555">
        <v>17501</v>
      </c>
      <c r="J36" s="1555">
        <v>127867</v>
      </c>
      <c r="K36" s="1555">
        <v>375057</v>
      </c>
      <c r="L36" s="1554">
        <f t="shared" si="2"/>
        <v>9.5038203174637653E-2</v>
      </c>
    </row>
    <row r="37" spans="1:12">
      <c r="A37" s="1431" t="s">
        <v>3370</v>
      </c>
      <c r="B37" s="1555">
        <v>149205</v>
      </c>
      <c r="C37" s="1555">
        <v>146738</v>
      </c>
      <c r="D37" s="1555">
        <v>2252.783676</v>
      </c>
      <c r="E37" s="1555">
        <v>0.96434800000000109</v>
      </c>
      <c r="F37" s="1555" t="e">
        <v>#VALUE!</v>
      </c>
      <c r="G37" s="1555">
        <v>145411</v>
      </c>
      <c r="H37" s="1555">
        <v>137405</v>
      </c>
      <c r="I37" s="1555">
        <v>909</v>
      </c>
      <c r="J37" s="1555">
        <v>2920</v>
      </c>
      <c r="K37" s="1555">
        <v>3963</v>
      </c>
      <c r="L37" s="1554">
        <f t="shared" si="2"/>
        <v>0.3471781968780227</v>
      </c>
    </row>
    <row r="38" spans="1:12">
      <c r="A38" s="1431" t="s">
        <v>3371</v>
      </c>
      <c r="B38" s="1555">
        <v>4275435</v>
      </c>
      <c r="C38" s="1555">
        <v>3835561</v>
      </c>
      <c r="D38" s="1555">
        <v>301005.05687999999</v>
      </c>
      <c r="E38" s="1555">
        <v>22672</v>
      </c>
      <c r="F38" s="1555" t="e">
        <v>#VALUE!</v>
      </c>
      <c r="G38" s="1555">
        <v>3805659</v>
      </c>
      <c r="H38" s="1555">
        <v>3489424</v>
      </c>
      <c r="I38" s="1555">
        <v>61434</v>
      </c>
      <c r="J38" s="1555">
        <v>254798</v>
      </c>
      <c r="K38" s="1555">
        <v>469776</v>
      </c>
      <c r="L38" s="1554">
        <f t="shared" si="2"/>
        <v>0.29602047307003948</v>
      </c>
    </row>
    <row r="39" spans="1:12">
      <c r="A39" s="1431" t="s">
        <v>3344</v>
      </c>
      <c r="B39" s="1555">
        <v>429611</v>
      </c>
      <c r="C39" s="1555">
        <v>350860</v>
      </c>
      <c r="D39" s="1555" t="e">
        <v>#VALUE!</v>
      </c>
      <c r="E39" s="1555" t="e">
        <v>#VALUE!</v>
      </c>
      <c r="F39" s="1555" t="e">
        <v>#VALUE!</v>
      </c>
      <c r="G39" s="1555" t="e">
        <v>#VALUE!</v>
      </c>
      <c r="H39" s="1555">
        <v>252586</v>
      </c>
      <c r="I39" s="1555" t="e">
        <v>#VALUE!</v>
      </c>
      <c r="J39" s="1555" t="e">
        <v>#VALUE!</v>
      </c>
      <c r="K39" s="1555" t="e">
        <v>#VALUE!</v>
      </c>
      <c r="L39" s="1554" t="e">
        <f t="shared" si="2"/>
        <v>#VALUE!</v>
      </c>
    </row>
    <row r="40" spans="1:12">
      <c r="A40" s="1430" t="s">
        <v>0</v>
      </c>
      <c r="B40" s="1555" t="e">
        <v>#VALUE!</v>
      </c>
      <c r="C40" s="1555" t="e">
        <v>#VALUE!</v>
      </c>
      <c r="D40" s="1555" t="e">
        <v>#VALUE!</v>
      </c>
      <c r="E40" s="1555" t="e">
        <v>#VALUE!</v>
      </c>
      <c r="F40" s="1555" t="e">
        <v>#VALUE!</v>
      </c>
      <c r="G40" s="1555" t="e">
        <v>#VALUE!</v>
      </c>
      <c r="H40" s="1555" t="e">
        <v>#VALUE!</v>
      </c>
      <c r="I40" s="1555" t="e">
        <v>#VALUE!</v>
      </c>
      <c r="J40" s="1555" t="e">
        <v>#VALUE!</v>
      </c>
      <c r="K40" s="1555" t="e">
        <v>#VALUE!</v>
      </c>
      <c r="L40" s="1554" t="e">
        <f t="shared" si="2"/>
        <v>#VALUE!</v>
      </c>
    </row>
    <row r="41" spans="1:12">
      <c r="A41" s="1430" t="s">
        <v>3372</v>
      </c>
      <c r="B41" s="1555">
        <v>5395682</v>
      </c>
      <c r="C41" s="1555">
        <v>4458961</v>
      </c>
      <c r="D41" s="1555">
        <v>822153</v>
      </c>
      <c r="E41" s="1555">
        <v>10093</v>
      </c>
      <c r="F41" s="1555">
        <v>104473</v>
      </c>
      <c r="G41" s="1555">
        <v>4225642</v>
      </c>
      <c r="H41" s="1555">
        <v>3851126</v>
      </c>
      <c r="I41" s="1555">
        <v>106036</v>
      </c>
      <c r="J41" s="1555">
        <v>268479</v>
      </c>
      <c r="K41" s="1555">
        <v>1170039</v>
      </c>
      <c r="L41" s="1554">
        <f t="shared" si="2"/>
        <v>0.23891183316096964</v>
      </c>
    </row>
    <row r="42" spans="1:12">
      <c r="A42" s="1430" t="s">
        <v>0</v>
      </c>
      <c r="B42" s="1555" t="e">
        <v>#VALUE!</v>
      </c>
      <c r="C42" s="1555" t="e">
        <v>#VALUE!</v>
      </c>
      <c r="D42" s="1555" t="e">
        <v>#VALUE!</v>
      </c>
      <c r="E42" s="1555" t="e">
        <v>#VALUE!</v>
      </c>
      <c r="F42" s="1555" t="e">
        <v>#VALUE!</v>
      </c>
      <c r="G42" s="1555" t="e">
        <v>#VALUE!</v>
      </c>
      <c r="H42" s="1555" t="e">
        <v>#VALUE!</v>
      </c>
      <c r="I42" s="1555" t="e">
        <v>#VALUE!</v>
      </c>
      <c r="J42" s="1555" t="e">
        <v>#VALUE!</v>
      </c>
      <c r="K42" s="1555" t="e">
        <v>#VALUE!</v>
      </c>
      <c r="L42" s="1554" t="e">
        <f t="shared" si="2"/>
        <v>#VALUE!</v>
      </c>
    </row>
    <row r="43" spans="1:12">
      <c r="A43" s="1431" t="s">
        <v>3373</v>
      </c>
      <c r="B43" s="1555">
        <v>2159278</v>
      </c>
      <c r="C43" s="1555">
        <v>2098175</v>
      </c>
      <c r="D43" s="1555" t="e">
        <v>#VALUE!</v>
      </c>
      <c r="E43" s="1555">
        <v>-7917</v>
      </c>
      <c r="F43" s="1555">
        <v>25450</v>
      </c>
      <c r="G43" s="1555">
        <v>2018863</v>
      </c>
      <c r="H43" s="1555">
        <v>1857163</v>
      </c>
      <c r="I43" s="1555">
        <v>57124</v>
      </c>
      <c r="J43" s="1555">
        <v>104576</v>
      </c>
      <c r="K43" s="1555">
        <v>140416</v>
      </c>
      <c r="L43" s="1554" t="e">
        <f t="shared" si="2"/>
        <v>#VALUE!</v>
      </c>
    </row>
    <row r="44" spans="1:12">
      <c r="A44" s="1432" t="s">
        <v>3374</v>
      </c>
      <c r="B44" s="1555">
        <v>296130</v>
      </c>
      <c r="C44" s="1555">
        <v>286778</v>
      </c>
      <c r="D44" s="1555" t="e">
        <v>#VALUE!</v>
      </c>
      <c r="E44" s="1555">
        <v>-456</v>
      </c>
      <c r="F44" s="1555">
        <v>3520</v>
      </c>
      <c r="G44" s="1555">
        <v>276414</v>
      </c>
      <c r="H44" s="1555">
        <v>247781</v>
      </c>
      <c r="I44" s="1555" t="e">
        <v>#VALUE!</v>
      </c>
      <c r="J44" s="1555" t="e">
        <v>#VALUE!</v>
      </c>
      <c r="K44" s="1555">
        <v>19716</v>
      </c>
      <c r="L44" s="1554" t="e">
        <f t="shared" si="2"/>
        <v>#VALUE!</v>
      </c>
    </row>
    <row r="45" spans="1:12">
      <c r="A45" s="1432" t="s">
        <v>3375</v>
      </c>
      <c r="B45" s="1555">
        <v>1203875</v>
      </c>
      <c r="C45" s="1555">
        <v>1171672</v>
      </c>
      <c r="D45" s="1555">
        <v>19318</v>
      </c>
      <c r="E45" s="1555">
        <v>-3564</v>
      </c>
      <c r="F45" s="1555">
        <v>16450</v>
      </c>
      <c r="G45" s="1555">
        <v>1147572</v>
      </c>
      <c r="H45" s="1555">
        <v>1074785</v>
      </c>
      <c r="I45" s="1555">
        <v>18354</v>
      </c>
      <c r="J45" s="1555">
        <v>54432</v>
      </c>
      <c r="K45" s="1555">
        <v>56303</v>
      </c>
      <c r="L45" s="1554">
        <f t="shared" si="2"/>
        <v>0.31159703240921516</v>
      </c>
    </row>
    <row r="46" spans="1:12">
      <c r="A46" s="1432" t="s">
        <v>3376</v>
      </c>
      <c r="B46" s="1555">
        <v>222668</v>
      </c>
      <c r="C46" s="1555">
        <v>216300</v>
      </c>
      <c r="D46" s="1555">
        <v>4393</v>
      </c>
      <c r="E46" s="1555">
        <v>-485</v>
      </c>
      <c r="F46" s="1555">
        <v>2126</v>
      </c>
      <c r="G46" s="1555">
        <v>197860</v>
      </c>
      <c r="H46" s="1555">
        <v>172533</v>
      </c>
      <c r="I46" s="1555">
        <v>6727</v>
      </c>
      <c r="J46" s="1555">
        <v>14016</v>
      </c>
      <c r="K46" s="1555">
        <v>24806</v>
      </c>
      <c r="L46" s="1554">
        <f t="shared" si="2"/>
        <v>0.24351131221719458</v>
      </c>
    </row>
    <row r="47" spans="1:12">
      <c r="A47" s="1432" t="s">
        <v>3377</v>
      </c>
      <c r="B47" s="1555">
        <v>141044</v>
      </c>
      <c r="C47" s="1555">
        <v>139657</v>
      </c>
      <c r="D47" s="1555" t="e">
        <v>#VALUE!</v>
      </c>
      <c r="E47" s="1555" t="e">
        <v>#VALUE!</v>
      </c>
      <c r="F47" s="1555">
        <v>761</v>
      </c>
      <c r="G47" s="1555">
        <v>132421</v>
      </c>
      <c r="H47" s="1555">
        <v>122185</v>
      </c>
      <c r="I47" s="1555" t="e">
        <v>#VALUE!</v>
      </c>
      <c r="J47" s="1555" t="e">
        <v>#VALUE!</v>
      </c>
      <c r="K47" s="1555">
        <v>8621</v>
      </c>
      <c r="L47" s="1554" t="e">
        <f t="shared" si="2"/>
        <v>#VALUE!</v>
      </c>
    </row>
    <row r="48" spans="1:12">
      <c r="A48" s="1432" t="s">
        <v>3378</v>
      </c>
      <c r="B48" s="1555">
        <v>31604</v>
      </c>
      <c r="C48" s="1555">
        <v>31250</v>
      </c>
      <c r="D48" s="1555" t="e">
        <v>#VALUE!</v>
      </c>
      <c r="E48" s="1555" t="e">
        <v>#VALUE!</v>
      </c>
      <c r="F48" s="1555" t="e">
        <v>#VALUE!</v>
      </c>
      <c r="G48" s="1555">
        <v>30040</v>
      </c>
      <c r="H48" s="1555">
        <v>28633</v>
      </c>
      <c r="I48" s="1555">
        <v>495</v>
      </c>
      <c r="J48" s="1555">
        <v>913</v>
      </c>
      <c r="K48" s="1555">
        <v>1564</v>
      </c>
      <c r="L48" s="1554" t="e">
        <f t="shared" si="2"/>
        <v>#VALUE!</v>
      </c>
    </row>
    <row r="49" spans="1:12">
      <c r="A49" s="1432" t="s">
        <v>3379</v>
      </c>
      <c r="B49" s="1555">
        <v>90502</v>
      </c>
      <c r="C49" s="1555">
        <v>87619</v>
      </c>
      <c r="D49" s="1555" t="e">
        <v>#VALUE!</v>
      </c>
      <c r="E49" s="1555" t="e">
        <v>#VALUE!</v>
      </c>
      <c r="F49" s="1555" t="e">
        <v>#VALUE!</v>
      </c>
      <c r="G49" s="1555">
        <v>77913</v>
      </c>
      <c r="H49" s="1555">
        <v>65688</v>
      </c>
      <c r="I49" s="1555">
        <v>6954</v>
      </c>
      <c r="J49" s="1555">
        <v>5271</v>
      </c>
      <c r="K49" s="1555">
        <v>12592</v>
      </c>
      <c r="L49" s="1554" t="e">
        <f t="shared" si="2"/>
        <v>#VALUE!</v>
      </c>
    </row>
    <row r="50" spans="1:12">
      <c r="A50" s="1432" t="s">
        <v>3380</v>
      </c>
      <c r="B50" s="1555">
        <v>123317</v>
      </c>
      <c r="C50" s="1555">
        <v>115417</v>
      </c>
      <c r="D50" s="1555" t="e">
        <v>#VALUE!</v>
      </c>
      <c r="E50" s="1555" t="e">
        <v>#VALUE!</v>
      </c>
      <c r="F50" s="1555" t="e">
        <v>#VALUE!</v>
      </c>
      <c r="G50" s="1555">
        <v>110104</v>
      </c>
      <c r="H50" s="1555">
        <v>101019</v>
      </c>
      <c r="I50" s="1555">
        <v>4078</v>
      </c>
      <c r="J50" s="1555">
        <v>5008</v>
      </c>
      <c r="K50" s="1555">
        <v>13214</v>
      </c>
      <c r="L50" s="1554" t="e">
        <f t="shared" si="2"/>
        <v>#VALUE!</v>
      </c>
    </row>
    <row r="51" spans="1:12">
      <c r="A51" s="1432" t="s">
        <v>3344</v>
      </c>
      <c r="B51" s="1555">
        <v>50139</v>
      </c>
      <c r="C51" s="1555">
        <v>49479</v>
      </c>
      <c r="D51" s="1555" t="e">
        <v>#VALUE!</v>
      </c>
      <c r="E51" s="1555" t="e">
        <v>#VALUE!</v>
      </c>
      <c r="F51" s="1555" t="e">
        <v>#VALUE!</v>
      </c>
      <c r="G51" s="1555">
        <v>46538</v>
      </c>
      <c r="H51" s="1555">
        <v>44537</v>
      </c>
      <c r="I51" s="1555">
        <v>639</v>
      </c>
      <c r="J51" s="1555">
        <v>1362</v>
      </c>
      <c r="K51" s="1555">
        <v>3601</v>
      </c>
      <c r="L51" s="1554" t="e">
        <f t="shared" si="2"/>
        <v>#VALUE!</v>
      </c>
    </row>
    <row r="52" spans="1:12">
      <c r="A52" s="1430" t="s">
        <v>0</v>
      </c>
      <c r="B52" s="1555" t="e">
        <v>#VALUE!</v>
      </c>
      <c r="C52" s="1555" t="e">
        <v>#VALUE!</v>
      </c>
      <c r="D52" s="1555" t="e">
        <v>#VALUE!</v>
      </c>
      <c r="E52" s="1555" t="e">
        <v>#VALUE!</v>
      </c>
      <c r="F52" s="1555" t="e">
        <v>#VALUE!</v>
      </c>
      <c r="G52" s="1555" t="e">
        <v>#VALUE!</v>
      </c>
      <c r="H52" s="1555" t="e">
        <v>#VALUE!</v>
      </c>
      <c r="I52" s="1555" t="e">
        <v>#VALUE!</v>
      </c>
      <c r="J52" s="1555" t="e">
        <v>#VALUE!</v>
      </c>
      <c r="K52" s="1555" t="e">
        <v>#VALUE!</v>
      </c>
      <c r="L52" s="1554" t="e">
        <f t="shared" si="2"/>
        <v>#VALUE!</v>
      </c>
    </row>
    <row r="53" spans="1:12">
      <c r="A53" s="1431" t="s">
        <v>3381</v>
      </c>
      <c r="B53" s="1555">
        <v>1608943</v>
      </c>
      <c r="C53" s="1555">
        <v>1551962</v>
      </c>
      <c r="D53" s="1555" t="e">
        <v>#VALUE!</v>
      </c>
      <c r="E53" s="1555">
        <v>2361</v>
      </c>
      <c r="F53" s="1555">
        <v>15945</v>
      </c>
      <c r="G53" s="1555">
        <v>1489460</v>
      </c>
      <c r="H53" s="1555">
        <v>1401404</v>
      </c>
      <c r="I53" s="1555" t="e">
        <v>#VALUE!</v>
      </c>
      <c r="J53" s="1555" t="e">
        <v>#VALUE!</v>
      </c>
      <c r="K53" s="1555">
        <v>119483</v>
      </c>
      <c r="L53" s="1554" t="e">
        <f t="shared" si="2"/>
        <v>#VALUE!</v>
      </c>
    </row>
    <row r="54" spans="1:12">
      <c r="A54" s="1432" t="s">
        <v>3382</v>
      </c>
      <c r="B54" s="1555">
        <v>62428</v>
      </c>
      <c r="C54" s="1555">
        <v>61769</v>
      </c>
      <c r="D54" s="1555" t="e">
        <v>#VALUE!</v>
      </c>
      <c r="E54" s="1555" t="e">
        <v>#VALUE!</v>
      </c>
      <c r="F54" s="1555" t="e">
        <v>#VALUE!</v>
      </c>
      <c r="G54" s="1555">
        <v>58036</v>
      </c>
      <c r="H54" s="1555">
        <v>55945</v>
      </c>
      <c r="I54" s="1555" t="e">
        <v>#VALUE!</v>
      </c>
      <c r="J54" s="1555" t="e">
        <v>#VALUE!</v>
      </c>
      <c r="K54" s="1555">
        <v>4392</v>
      </c>
      <c r="L54" s="1554" t="e">
        <f t="shared" si="2"/>
        <v>#VALUE!</v>
      </c>
    </row>
    <row r="55" spans="1:12">
      <c r="A55" s="1432" t="s">
        <v>3383</v>
      </c>
      <c r="B55" s="1555">
        <v>22899</v>
      </c>
      <c r="C55" s="1555">
        <v>22845</v>
      </c>
      <c r="D55" s="1555" t="e">
        <v>#VALUE!</v>
      </c>
      <c r="E55" s="1555" t="e">
        <v>#VALUE!</v>
      </c>
      <c r="F55" s="1555" t="e">
        <v>#VALUE!</v>
      </c>
      <c r="G55" s="1555">
        <v>22198</v>
      </c>
      <c r="H55" s="1555">
        <v>21795</v>
      </c>
      <c r="I55" s="1555" t="e">
        <v>#VALUE!</v>
      </c>
      <c r="J55" s="1555" t="e">
        <v>#VALUE!</v>
      </c>
      <c r="K55" s="1555">
        <v>703</v>
      </c>
      <c r="L55" s="1554" t="e">
        <f t="shared" si="2"/>
        <v>#VALUE!</v>
      </c>
    </row>
    <row r="56" spans="1:12">
      <c r="A56" s="1432" t="s">
        <v>3384</v>
      </c>
      <c r="B56" s="1555">
        <v>1408135</v>
      </c>
      <c r="C56" s="1555">
        <v>1353757</v>
      </c>
      <c r="D56" s="1555">
        <v>43216.019540000001</v>
      </c>
      <c r="E56" s="1555">
        <v>2018</v>
      </c>
      <c r="F56" s="1555">
        <v>15102</v>
      </c>
      <c r="G56" s="1555">
        <v>1297387</v>
      </c>
      <c r="H56" s="1555">
        <v>1216230</v>
      </c>
      <c r="I56" s="1555" t="e">
        <v>#VALUE!</v>
      </c>
      <c r="J56" s="1555" t="e">
        <v>#VALUE!</v>
      </c>
      <c r="K56" s="1555">
        <v>110749</v>
      </c>
      <c r="L56" s="1554" t="e">
        <f t="shared" si="2"/>
        <v>#VALUE!</v>
      </c>
    </row>
    <row r="57" spans="1:12">
      <c r="A57" s="1432" t="s">
        <v>3385</v>
      </c>
      <c r="B57" s="1555">
        <v>58636</v>
      </c>
      <c r="C57" s="1555">
        <v>57343</v>
      </c>
      <c r="D57" s="1555" t="e">
        <v>#VALUE!</v>
      </c>
      <c r="E57" s="1555" t="e">
        <v>#VALUE!</v>
      </c>
      <c r="F57" s="1555" t="e">
        <v>#VALUE!</v>
      </c>
      <c r="G57" s="1555">
        <v>58176</v>
      </c>
      <c r="H57" s="1555">
        <v>55878</v>
      </c>
      <c r="I57" s="1555">
        <v>609</v>
      </c>
      <c r="J57" s="1555">
        <v>1690</v>
      </c>
      <c r="K57" s="1555">
        <v>460</v>
      </c>
      <c r="L57" s="1554" t="e">
        <f t="shared" si="2"/>
        <v>#VALUE!</v>
      </c>
    </row>
    <row r="58" spans="1:12">
      <c r="A58" s="1432" t="s">
        <v>3344</v>
      </c>
      <c r="B58" s="1555">
        <v>56842</v>
      </c>
      <c r="C58" s="1555">
        <v>56250</v>
      </c>
      <c r="D58" s="1555" t="e">
        <v>#VALUE!</v>
      </c>
      <c r="E58" s="1555" t="e">
        <v>#VALUE!</v>
      </c>
      <c r="F58" s="1555" t="e">
        <v>#VALUE!</v>
      </c>
      <c r="G58" s="1555">
        <v>53663</v>
      </c>
      <c r="H58" s="1555">
        <v>51556</v>
      </c>
      <c r="I58" s="1555" t="e">
        <v>#VALUE!</v>
      </c>
      <c r="J58" s="1555" t="e">
        <v>#VALUE!</v>
      </c>
      <c r="K58" s="1555">
        <v>3180</v>
      </c>
      <c r="L58" s="1554" t="e">
        <f t="shared" si="2"/>
        <v>#VALUE!</v>
      </c>
    </row>
    <row r="59" spans="1:12">
      <c r="A59" s="1430" t="s">
        <v>0</v>
      </c>
      <c r="B59" s="1555" t="e">
        <v>#VALUE!</v>
      </c>
      <c r="C59" s="1555" t="e">
        <v>#VALUE!</v>
      </c>
      <c r="D59" s="1555" t="e">
        <v>#VALUE!</v>
      </c>
      <c r="E59" s="1555" t="e">
        <v>#VALUE!</v>
      </c>
      <c r="F59" s="1555" t="e">
        <v>#VALUE!</v>
      </c>
      <c r="G59" s="1555" t="e">
        <v>#VALUE!</v>
      </c>
      <c r="H59" s="1555" t="e">
        <v>#VALUE!</v>
      </c>
      <c r="I59" s="1555" t="e">
        <v>#VALUE!</v>
      </c>
      <c r="J59" s="1555" t="e">
        <v>#VALUE!</v>
      </c>
      <c r="K59" s="1555" t="e">
        <v>#VALUE!</v>
      </c>
      <c r="L59" s="1554" t="e">
        <f t="shared" si="2"/>
        <v>#VALUE!</v>
      </c>
    </row>
    <row r="60" spans="1:12">
      <c r="A60" s="1431" t="s">
        <v>3386</v>
      </c>
      <c r="B60" s="1555">
        <v>1627461</v>
      </c>
      <c r="C60" s="1555">
        <v>808826</v>
      </c>
      <c r="D60" s="1555">
        <v>739906</v>
      </c>
      <c r="E60" s="1555">
        <v>15649</v>
      </c>
      <c r="F60" s="1555">
        <v>63080</v>
      </c>
      <c r="G60" s="1555">
        <v>717320</v>
      </c>
      <c r="H60" s="1555">
        <v>592560</v>
      </c>
      <c r="I60" s="1555" t="e">
        <v>#VALUE!</v>
      </c>
      <c r="J60" s="1555" t="e">
        <v>#VALUE!</v>
      </c>
      <c r="K60" s="1555">
        <v>910140</v>
      </c>
      <c r="L60" s="1554" t="e">
        <f t="shared" si="2"/>
        <v>#VALUE!</v>
      </c>
    </row>
    <row r="61" spans="1:12">
      <c r="A61" s="1432" t="s">
        <v>3387</v>
      </c>
      <c r="B61" s="1555">
        <v>69115</v>
      </c>
      <c r="C61" s="1555">
        <v>61645</v>
      </c>
      <c r="D61" s="1555" t="e">
        <v>#VALUE!</v>
      </c>
      <c r="E61" s="1555" t="e">
        <v>#VALUE!</v>
      </c>
      <c r="F61" s="1555" t="e">
        <v>#VALUE!</v>
      </c>
      <c r="G61" s="1555">
        <v>53040</v>
      </c>
      <c r="H61" s="1555">
        <v>48929</v>
      </c>
      <c r="I61" s="1555">
        <v>693</v>
      </c>
      <c r="J61" s="1555">
        <v>3418</v>
      </c>
      <c r="K61" s="1555">
        <v>16077</v>
      </c>
      <c r="L61" s="1554" t="e">
        <f t="shared" si="2"/>
        <v>#VALUE!</v>
      </c>
    </row>
    <row r="62" spans="1:12">
      <c r="A62" s="1432" t="s">
        <v>3388</v>
      </c>
      <c r="B62" s="1555">
        <v>757853</v>
      </c>
      <c r="C62" s="1555">
        <v>300130</v>
      </c>
      <c r="D62" s="1555">
        <v>417088</v>
      </c>
      <c r="E62" s="1555">
        <v>4714</v>
      </c>
      <c r="F62" s="1555">
        <v>35923</v>
      </c>
      <c r="G62" s="1555">
        <v>284378</v>
      </c>
      <c r="H62" s="1555">
        <v>232467</v>
      </c>
      <c r="I62" s="1555" t="e">
        <v>#VALUE!</v>
      </c>
      <c r="J62" s="1555" t="e">
        <v>#VALUE!</v>
      </c>
      <c r="K62" s="1555">
        <v>473476</v>
      </c>
      <c r="L62" s="1554" t="e">
        <f t="shared" ref="L62:L93" si="3">I62/(K62-D62-E62+I62)</f>
        <v>#VALUE!</v>
      </c>
    </row>
    <row r="63" spans="1:12">
      <c r="A63" s="1432" t="s">
        <v>3389</v>
      </c>
      <c r="B63" s="1555">
        <v>24605</v>
      </c>
      <c r="C63" s="1555">
        <v>24419</v>
      </c>
      <c r="D63" s="1555" t="e">
        <v>#VALUE!</v>
      </c>
      <c r="E63" s="1555">
        <v>78</v>
      </c>
      <c r="F63" s="1555">
        <v>102</v>
      </c>
      <c r="G63" s="1555">
        <v>22339</v>
      </c>
      <c r="H63" s="1555">
        <v>20720</v>
      </c>
      <c r="I63" s="1555">
        <v>688</v>
      </c>
      <c r="J63" s="1555">
        <v>931</v>
      </c>
      <c r="K63" s="1555">
        <v>2265</v>
      </c>
      <c r="L63" s="1554" t="e">
        <f t="shared" si="3"/>
        <v>#VALUE!</v>
      </c>
    </row>
    <row r="64" spans="1:12">
      <c r="A64" s="1432" t="s">
        <v>3390</v>
      </c>
      <c r="B64" s="1555">
        <v>584115</v>
      </c>
      <c r="C64" s="1555">
        <v>288728</v>
      </c>
      <c r="D64" s="1555">
        <v>267969</v>
      </c>
      <c r="E64" s="1555">
        <v>7085</v>
      </c>
      <c r="F64" s="1555">
        <v>20331</v>
      </c>
      <c r="G64" s="1555">
        <v>255779</v>
      </c>
      <c r="H64" s="1555">
        <v>200800</v>
      </c>
      <c r="I64" s="1555">
        <v>4866</v>
      </c>
      <c r="J64" s="1555">
        <v>50115</v>
      </c>
      <c r="K64" s="1555">
        <v>328335</v>
      </c>
      <c r="L64" s="1554">
        <f t="shared" si="3"/>
        <v>8.368445491598879E-2</v>
      </c>
    </row>
    <row r="65" spans="1:12">
      <c r="A65" s="1432" t="s">
        <v>3344</v>
      </c>
      <c r="B65" s="1555">
        <v>191774</v>
      </c>
      <c r="C65" s="1555">
        <v>133907</v>
      </c>
      <c r="D65" s="1555" t="e">
        <v>#VALUE!</v>
      </c>
      <c r="E65" s="1555" t="e">
        <v>#VALUE!</v>
      </c>
      <c r="F65" s="1555" t="e">
        <v>#VALUE!</v>
      </c>
      <c r="G65" s="1555">
        <v>101785</v>
      </c>
      <c r="H65" s="1555">
        <v>89644</v>
      </c>
      <c r="I65" s="1555" t="e">
        <v>#VALUE!</v>
      </c>
      <c r="J65" s="1555" t="e">
        <v>#VALUE!</v>
      </c>
      <c r="K65" s="1555">
        <v>89990</v>
      </c>
      <c r="L65" s="1554" t="e">
        <f t="shared" si="3"/>
        <v>#VALUE!</v>
      </c>
    </row>
    <row r="66" spans="1:12">
      <c r="A66" s="1430" t="s">
        <v>0</v>
      </c>
      <c r="B66" s="1555" t="e">
        <v>#VALUE!</v>
      </c>
      <c r="C66" s="1555" t="e">
        <v>#VALUE!</v>
      </c>
      <c r="D66" s="1555" t="e">
        <v>#VALUE!</v>
      </c>
      <c r="E66" s="1555" t="e">
        <v>#VALUE!</v>
      </c>
      <c r="F66" s="1555" t="e">
        <v>#VALUE!</v>
      </c>
      <c r="G66" s="1555" t="e">
        <v>#VALUE!</v>
      </c>
      <c r="H66" s="1555" t="e">
        <v>#VALUE!</v>
      </c>
      <c r="I66" s="1555" t="e">
        <v>#VALUE!</v>
      </c>
      <c r="J66" s="1555" t="e">
        <v>#VALUE!</v>
      </c>
      <c r="K66" s="1555" t="e">
        <v>#VALUE!</v>
      </c>
      <c r="L66" s="1554" t="e">
        <f t="shared" si="3"/>
        <v>#VALUE!</v>
      </c>
    </row>
    <row r="67" spans="1:12">
      <c r="A67" s="1430" t="s">
        <v>3391</v>
      </c>
      <c r="B67" s="1555">
        <v>768593</v>
      </c>
      <c r="C67" s="1555">
        <v>656398</v>
      </c>
      <c r="D67" s="1555" t="e">
        <v>#VALUE!</v>
      </c>
      <c r="E67" s="1555">
        <v>5479</v>
      </c>
      <c r="F67" s="1555" t="e">
        <v>#VALUE!</v>
      </c>
      <c r="G67" s="1555">
        <v>585216</v>
      </c>
      <c r="H67" s="1555">
        <v>456059</v>
      </c>
      <c r="I67" s="1555" t="e">
        <v>#VALUE!</v>
      </c>
      <c r="J67" s="1555" t="e">
        <v>#VALUE!</v>
      </c>
      <c r="K67" s="1555">
        <v>183378</v>
      </c>
      <c r="L67" s="1554" t="e">
        <f t="shared" si="3"/>
        <v>#VALUE!</v>
      </c>
    </row>
    <row r="68" spans="1:12">
      <c r="A68" s="1431" t="s">
        <v>3392</v>
      </c>
      <c r="B68" s="1555">
        <v>83818</v>
      </c>
      <c r="C68" s="1555">
        <v>81287</v>
      </c>
      <c r="D68" s="1555" t="e">
        <v>#VALUE!</v>
      </c>
      <c r="E68" s="1555" t="e">
        <v>#VALUE!</v>
      </c>
      <c r="F68" s="1555" t="e">
        <v>#VALUE!</v>
      </c>
      <c r="G68" s="1555">
        <v>72834</v>
      </c>
      <c r="H68" s="1555">
        <v>59364</v>
      </c>
      <c r="I68" s="1555" t="e">
        <v>#VALUE!</v>
      </c>
      <c r="J68" s="1555" t="e">
        <v>#VALUE!</v>
      </c>
      <c r="K68" s="1555">
        <v>10983</v>
      </c>
      <c r="L68" s="1554" t="e">
        <f t="shared" si="3"/>
        <v>#VALUE!</v>
      </c>
    </row>
    <row r="69" spans="1:12">
      <c r="A69" s="1431" t="s">
        <v>3393</v>
      </c>
      <c r="B69" s="1555" t="e">
        <v>#VALUE!</v>
      </c>
      <c r="C69" s="1555">
        <v>142496</v>
      </c>
      <c r="D69" s="1555" t="e">
        <v>#VALUE!</v>
      </c>
      <c r="E69" s="1555" t="e">
        <v>#VALUE!</v>
      </c>
      <c r="F69" s="1555" t="e">
        <v>#VALUE!</v>
      </c>
      <c r="G69" s="1555">
        <v>113621</v>
      </c>
      <c r="H69" s="1555">
        <v>64333</v>
      </c>
      <c r="I69" s="1555" t="e">
        <v>#VALUE!</v>
      </c>
      <c r="J69" s="1555" t="e">
        <v>#VALUE!</v>
      </c>
      <c r="K69" s="1555" t="e">
        <v>#VALUE!</v>
      </c>
      <c r="L69" s="1554" t="e">
        <f t="shared" si="3"/>
        <v>#VALUE!</v>
      </c>
    </row>
    <row r="70" spans="1:12">
      <c r="A70" s="1431" t="s">
        <v>3394</v>
      </c>
      <c r="B70" s="1555">
        <v>191785</v>
      </c>
      <c r="C70" s="1555">
        <v>189280</v>
      </c>
      <c r="D70" s="1555">
        <v>614</v>
      </c>
      <c r="E70" s="1555">
        <v>545</v>
      </c>
      <c r="F70" s="1555">
        <v>1239</v>
      </c>
      <c r="G70" s="1555">
        <v>184755</v>
      </c>
      <c r="H70" s="1555">
        <v>176953</v>
      </c>
      <c r="I70" s="1555">
        <v>2157</v>
      </c>
      <c r="J70" s="1555">
        <v>5645</v>
      </c>
      <c r="K70" s="1555">
        <v>7030</v>
      </c>
      <c r="L70" s="1554">
        <f t="shared" si="3"/>
        <v>0.26868460388639759</v>
      </c>
    </row>
    <row r="71" spans="1:12">
      <c r="A71" s="1431" t="s">
        <v>3344</v>
      </c>
      <c r="B71" s="1555" t="e">
        <v>#VALUE!</v>
      </c>
      <c r="C71" s="1555">
        <v>243336</v>
      </c>
      <c r="D71" s="1555" t="e">
        <v>#VALUE!</v>
      </c>
      <c r="E71" s="1555" t="e">
        <v>#VALUE!</v>
      </c>
      <c r="F71" s="1555" t="e">
        <v>#VALUE!</v>
      </c>
      <c r="G71" s="1555">
        <v>214006</v>
      </c>
      <c r="H71" s="1555">
        <v>155408</v>
      </c>
      <c r="I71" s="1555" t="e">
        <v>#VALUE!</v>
      </c>
      <c r="J71" s="1555" t="e">
        <v>#VALUE!</v>
      </c>
      <c r="K71" s="1555" t="e">
        <v>#VALUE!</v>
      </c>
      <c r="L71" s="1554" t="e">
        <f t="shared" si="3"/>
        <v>#VALUE!</v>
      </c>
    </row>
    <row r="72" spans="1:12">
      <c r="A72" s="1430" t="s">
        <v>0</v>
      </c>
      <c r="B72" s="1555" t="e">
        <v>#VALUE!</v>
      </c>
      <c r="C72" s="1555" t="e">
        <v>#VALUE!</v>
      </c>
      <c r="D72" s="1555" t="e">
        <v>#VALUE!</v>
      </c>
      <c r="E72" s="1555" t="e">
        <v>#VALUE!</v>
      </c>
      <c r="F72" s="1555" t="e">
        <v>#VALUE!</v>
      </c>
      <c r="G72" s="1555" t="e">
        <v>#VALUE!</v>
      </c>
      <c r="H72" s="1555" t="e">
        <v>#VALUE!</v>
      </c>
      <c r="I72" s="1555" t="e">
        <v>#VALUE!</v>
      </c>
      <c r="J72" s="1555" t="e">
        <v>#VALUE!</v>
      </c>
      <c r="K72" s="1555" t="e">
        <v>#VALUE!</v>
      </c>
      <c r="L72" s="1554" t="e">
        <f t="shared" si="3"/>
        <v>#VALUE!</v>
      </c>
    </row>
    <row r="73" spans="1:12">
      <c r="A73" s="1430" t="s">
        <v>3395</v>
      </c>
      <c r="B73" s="1555">
        <v>495763</v>
      </c>
      <c r="C73" s="1555">
        <v>423513</v>
      </c>
      <c r="D73" s="1555" t="e">
        <v>#VALUE!</v>
      </c>
      <c r="E73" s="1555">
        <v>-515</v>
      </c>
      <c r="F73" s="1555" t="e">
        <v>#VALUE!</v>
      </c>
      <c r="G73" s="1555">
        <v>384515</v>
      </c>
      <c r="H73" s="1555">
        <v>305998</v>
      </c>
      <c r="I73" s="1555" t="e">
        <v>#VALUE!</v>
      </c>
      <c r="J73" s="1555" t="e">
        <v>#VALUE!</v>
      </c>
      <c r="K73" s="1555">
        <v>111247</v>
      </c>
      <c r="L73" s="1554" t="e">
        <f t="shared" si="3"/>
        <v>#VALUE!</v>
      </c>
    </row>
    <row r="74" spans="1:12" ht="16" customHeight="1">
      <c r="A74" s="1431" t="s">
        <v>3396</v>
      </c>
      <c r="B74" s="1555">
        <v>116359</v>
      </c>
      <c r="C74" s="1555">
        <v>110515</v>
      </c>
      <c r="D74" s="1555">
        <v>4750.6796279999999</v>
      </c>
      <c r="E74" s="1555">
        <v>95.146636999999998</v>
      </c>
      <c r="F74" s="1555" t="e">
        <v>#VALUE!</v>
      </c>
      <c r="G74" s="1555">
        <v>100302</v>
      </c>
      <c r="H74" s="1555">
        <v>90073</v>
      </c>
      <c r="I74" s="1555">
        <v>1746</v>
      </c>
      <c r="J74" s="1555">
        <v>6791</v>
      </c>
      <c r="K74" s="1555">
        <v>12776</v>
      </c>
      <c r="L74" s="1554">
        <f t="shared" si="3"/>
        <v>0.18044322557835926</v>
      </c>
    </row>
    <row r="75" spans="1:12">
      <c r="A75" s="1431" t="s">
        <v>3397</v>
      </c>
      <c r="B75" s="1555" t="e">
        <v>#VALUE!</v>
      </c>
      <c r="C75" s="1555">
        <v>65573</v>
      </c>
      <c r="D75" s="1555" t="e">
        <v>#VALUE!</v>
      </c>
      <c r="E75" s="1555">
        <v>-19</v>
      </c>
      <c r="F75" s="1555" t="e">
        <v>#VALUE!</v>
      </c>
      <c r="G75" s="1555">
        <v>63369</v>
      </c>
      <c r="H75" s="1555">
        <v>52348</v>
      </c>
      <c r="I75" s="1555" t="e">
        <v>#VALUE!</v>
      </c>
      <c r="J75" s="1555" t="e">
        <v>#VALUE!</v>
      </c>
      <c r="K75" s="1555" t="e">
        <v>#VALUE!</v>
      </c>
      <c r="L75" s="1554" t="e">
        <f t="shared" si="3"/>
        <v>#VALUE!</v>
      </c>
    </row>
    <row r="76" spans="1:12">
      <c r="A76" s="1431" t="s">
        <v>3398</v>
      </c>
      <c r="B76" s="1555" t="e">
        <v>#VALUE!</v>
      </c>
      <c r="C76" s="1555">
        <v>165171</v>
      </c>
      <c r="D76" s="1555" t="e">
        <v>#VALUE!</v>
      </c>
      <c r="E76" s="1555" t="e">
        <v>#VALUE!</v>
      </c>
      <c r="F76" s="1555" t="e">
        <v>#VALUE!</v>
      </c>
      <c r="G76" s="1555" t="e">
        <v>#VALUE!</v>
      </c>
      <c r="H76" s="1555">
        <v>114655</v>
      </c>
      <c r="I76" s="1555" t="e">
        <v>#VALUE!</v>
      </c>
      <c r="J76" s="1555" t="e">
        <v>#VALUE!</v>
      </c>
      <c r="K76" s="1555">
        <v>14687</v>
      </c>
      <c r="L76" s="1554" t="e">
        <f t="shared" si="3"/>
        <v>#VALUE!</v>
      </c>
    </row>
    <row r="77" spans="1:12">
      <c r="A77" s="1431" t="s">
        <v>3344</v>
      </c>
      <c r="B77" s="1555" t="e">
        <v>#VALUE!</v>
      </c>
      <c r="C77" s="1555">
        <v>82252</v>
      </c>
      <c r="D77" s="1555" t="e">
        <v>#VALUE!</v>
      </c>
      <c r="E77" s="1555" t="e">
        <v>#VALUE!</v>
      </c>
      <c r="F77" s="1555" t="e">
        <v>#VALUE!</v>
      </c>
      <c r="G77" s="1555" t="e">
        <v>#VALUE!</v>
      </c>
      <c r="H77" s="1555">
        <v>48922</v>
      </c>
      <c r="I77" s="1555" t="e">
        <v>#VALUE!</v>
      </c>
      <c r="J77" s="1555" t="e">
        <v>#VALUE!</v>
      </c>
      <c r="K77" s="1555" t="e">
        <v>#VALUE!</v>
      </c>
      <c r="L77" s="1554" t="e">
        <f t="shared" si="3"/>
        <v>#VALUE!</v>
      </c>
    </row>
    <row r="78" spans="1:12">
      <c r="A78" s="1430" t="s">
        <v>0</v>
      </c>
      <c r="B78" s="1555" t="e">
        <v>#VALUE!</v>
      </c>
      <c r="C78" s="1555" t="e">
        <v>#VALUE!</v>
      </c>
      <c r="D78" s="1555" t="e">
        <v>#VALUE!</v>
      </c>
      <c r="E78" s="1555" t="e">
        <v>#VALUE!</v>
      </c>
      <c r="F78" s="1555" t="e">
        <v>#VALUE!</v>
      </c>
      <c r="G78" s="1555" t="e">
        <v>#VALUE!</v>
      </c>
      <c r="H78" s="1555" t="e">
        <v>#VALUE!</v>
      </c>
      <c r="I78" s="1555" t="e">
        <v>#VALUE!</v>
      </c>
      <c r="J78" s="1555" t="e">
        <v>#VALUE!</v>
      </c>
      <c r="K78" s="1555" t="e">
        <v>#VALUE!</v>
      </c>
      <c r="L78" s="1554" t="e">
        <f t="shared" si="3"/>
        <v>#VALUE!</v>
      </c>
    </row>
    <row r="79" spans="1:12">
      <c r="A79" s="1430" t="s">
        <v>3399</v>
      </c>
      <c r="B79" s="1555">
        <v>9835557</v>
      </c>
      <c r="C79" s="1555">
        <v>9434216</v>
      </c>
      <c r="D79" s="1555">
        <v>299030</v>
      </c>
      <c r="E79" s="1555">
        <v>-4219</v>
      </c>
      <c r="F79" s="1555">
        <v>106531</v>
      </c>
      <c r="G79" s="1555">
        <v>8957139</v>
      </c>
      <c r="H79" s="1555">
        <v>8396501</v>
      </c>
      <c r="I79" s="1555">
        <v>169586</v>
      </c>
      <c r="J79" s="1555">
        <v>391050</v>
      </c>
      <c r="K79" s="1555">
        <v>878419</v>
      </c>
      <c r="L79" s="1554">
        <f t="shared" si="3"/>
        <v>0.22515580315297254</v>
      </c>
    </row>
    <row r="80" spans="1:12">
      <c r="A80" s="1431" t="s">
        <v>3400</v>
      </c>
      <c r="B80" s="1555">
        <v>1106033</v>
      </c>
      <c r="C80" s="1555">
        <v>1033471</v>
      </c>
      <c r="D80" s="1555">
        <v>64641</v>
      </c>
      <c r="E80" s="1555">
        <v>-15996</v>
      </c>
      <c r="F80" s="1555">
        <v>23919</v>
      </c>
      <c r="G80" s="1555">
        <v>1005305</v>
      </c>
      <c r="H80" s="1555">
        <v>892967</v>
      </c>
      <c r="I80" s="1555">
        <v>21614</v>
      </c>
      <c r="J80" s="1555">
        <v>90723</v>
      </c>
      <c r="K80" s="1555">
        <v>100726</v>
      </c>
      <c r="L80" s="1554">
        <f t="shared" si="3"/>
        <v>0.2932899111201574</v>
      </c>
    </row>
    <row r="81" spans="1:12">
      <c r="A81" s="1431" t="s">
        <v>3401</v>
      </c>
      <c r="B81" s="1555">
        <v>1620726</v>
      </c>
      <c r="C81" s="1555">
        <v>1577155</v>
      </c>
      <c r="D81" s="1555">
        <v>26644</v>
      </c>
      <c r="E81" s="1555">
        <v>-1335</v>
      </c>
      <c r="F81" s="1555">
        <v>18263</v>
      </c>
      <c r="G81" s="1555">
        <v>1499695</v>
      </c>
      <c r="H81" s="1555">
        <v>1411447</v>
      </c>
      <c r="I81" s="1555" t="e">
        <v>#VALUE!</v>
      </c>
      <c r="J81" s="1555" t="e">
        <v>#VALUE!</v>
      </c>
      <c r="K81" s="1555">
        <v>121030</v>
      </c>
      <c r="L81" s="1554" t="e">
        <f t="shared" si="3"/>
        <v>#VALUE!</v>
      </c>
    </row>
    <row r="82" spans="1:12">
      <c r="A82" s="1431" t="s">
        <v>3402</v>
      </c>
      <c r="B82" s="1555">
        <v>795880</v>
      </c>
      <c r="C82" s="1555">
        <v>740004</v>
      </c>
      <c r="D82" s="1555">
        <v>39071</v>
      </c>
      <c r="E82" s="1555">
        <v>8414</v>
      </c>
      <c r="F82" s="1555">
        <v>8392</v>
      </c>
      <c r="G82" s="1555">
        <v>711010</v>
      </c>
      <c r="H82" s="1555">
        <v>681990</v>
      </c>
      <c r="I82" s="1555">
        <v>7589</v>
      </c>
      <c r="J82" s="1555">
        <v>21432</v>
      </c>
      <c r="K82" s="1555">
        <v>84870</v>
      </c>
      <c r="L82" s="1554">
        <f t="shared" si="3"/>
        <v>0.16874193978743274</v>
      </c>
    </row>
    <row r="83" spans="1:12">
      <c r="A83" s="1431" t="s">
        <v>3403</v>
      </c>
      <c r="B83" s="1555">
        <v>411900</v>
      </c>
      <c r="C83" s="1555">
        <v>399231</v>
      </c>
      <c r="D83" s="1555">
        <v>1490</v>
      </c>
      <c r="E83" s="1555">
        <v>2979</v>
      </c>
      <c r="F83" s="1555">
        <v>8197</v>
      </c>
      <c r="G83" s="1555">
        <v>384451</v>
      </c>
      <c r="H83" s="1555">
        <v>349597</v>
      </c>
      <c r="I83" s="1555">
        <v>11893</v>
      </c>
      <c r="J83" s="1555">
        <v>22962</v>
      </c>
      <c r="K83" s="1555">
        <v>27448</v>
      </c>
      <c r="L83" s="1554">
        <f t="shared" si="3"/>
        <v>0.34104725854553797</v>
      </c>
    </row>
    <row r="84" spans="1:12">
      <c r="A84" s="1431" t="s">
        <v>3404</v>
      </c>
      <c r="B84" s="1555">
        <v>189830</v>
      </c>
      <c r="C84" s="1555">
        <v>173495</v>
      </c>
      <c r="D84" s="1555">
        <v>14920</v>
      </c>
      <c r="E84" s="1555">
        <v>538</v>
      </c>
      <c r="F84" s="1555">
        <v>875</v>
      </c>
      <c r="G84" s="1555">
        <v>147033</v>
      </c>
      <c r="H84" s="1555">
        <v>121417</v>
      </c>
      <c r="I84" s="1555" t="e">
        <v>#VALUE!</v>
      </c>
      <c r="J84" s="1555" t="e">
        <v>#VALUE!</v>
      </c>
      <c r="K84" s="1555">
        <v>42795</v>
      </c>
      <c r="L84" s="1554" t="e">
        <f t="shared" si="3"/>
        <v>#VALUE!</v>
      </c>
    </row>
    <row r="85" spans="1:12">
      <c r="A85" s="1431" t="s">
        <v>3405</v>
      </c>
      <c r="B85" s="1555">
        <v>1496788</v>
      </c>
      <c r="C85" s="1555">
        <v>1470886</v>
      </c>
      <c r="D85" s="1555">
        <v>11834</v>
      </c>
      <c r="E85" s="1555">
        <v>-9129</v>
      </c>
      <c r="F85" s="1555">
        <v>16965</v>
      </c>
      <c r="G85" s="1555">
        <v>1411654</v>
      </c>
      <c r="H85" s="1555">
        <v>1324443</v>
      </c>
      <c r="I85" s="1555">
        <v>31701</v>
      </c>
      <c r="J85" s="1555">
        <v>39136</v>
      </c>
      <c r="K85" s="1555">
        <v>85135</v>
      </c>
      <c r="L85" s="1554">
        <f t="shared" si="3"/>
        <v>0.27775976728496204</v>
      </c>
    </row>
    <row r="86" spans="1:12">
      <c r="A86" s="1431" t="s">
        <v>3406</v>
      </c>
      <c r="B86" s="1555">
        <v>407298</v>
      </c>
      <c r="C86" s="1555">
        <v>400224</v>
      </c>
      <c r="D86" s="1555">
        <v>1243</v>
      </c>
      <c r="E86" s="1555">
        <v>2247</v>
      </c>
      <c r="F86" s="1555">
        <v>3583</v>
      </c>
      <c r="G86" s="1555">
        <v>381204</v>
      </c>
      <c r="H86" s="1555">
        <v>357756</v>
      </c>
      <c r="I86" s="1555">
        <v>6383</v>
      </c>
      <c r="J86" s="1555">
        <v>17065</v>
      </c>
      <c r="K86" s="1555">
        <v>26093</v>
      </c>
      <c r="L86" s="1554">
        <f t="shared" si="3"/>
        <v>0.22020975643414062</v>
      </c>
    </row>
    <row r="87" spans="1:12">
      <c r="A87" s="1431" t="s">
        <v>3407</v>
      </c>
      <c r="B87" s="1555">
        <v>316960</v>
      </c>
      <c r="C87" s="1555">
        <v>309724</v>
      </c>
      <c r="D87" s="1555">
        <v>4483</v>
      </c>
      <c r="E87" s="1555">
        <v>1056</v>
      </c>
      <c r="F87" s="1555">
        <v>1699</v>
      </c>
      <c r="G87" s="1555">
        <v>281342</v>
      </c>
      <c r="H87" s="1555">
        <v>266244</v>
      </c>
      <c r="I87" s="1555" t="e">
        <v>#VALUE!</v>
      </c>
      <c r="J87" s="1555" t="e">
        <v>#VALUE!</v>
      </c>
      <c r="K87" s="1555">
        <v>35620</v>
      </c>
      <c r="L87" s="1554" t="e">
        <f t="shared" si="3"/>
        <v>#VALUE!</v>
      </c>
    </row>
    <row r="88" spans="1:12">
      <c r="A88" s="1431" t="s">
        <v>3408</v>
      </c>
      <c r="B88" s="1555">
        <v>90959</v>
      </c>
      <c r="C88" s="1555">
        <v>88852</v>
      </c>
      <c r="D88" s="1555">
        <v>2292.1959420000003</v>
      </c>
      <c r="E88" s="1555">
        <v>34.401551999999995</v>
      </c>
      <c r="F88" s="1555" t="e">
        <v>#VALUE!</v>
      </c>
      <c r="G88" s="1555">
        <v>84926</v>
      </c>
      <c r="H88" s="1555">
        <v>79710</v>
      </c>
      <c r="I88" s="1555">
        <v>790</v>
      </c>
      <c r="J88" s="1555">
        <v>3514</v>
      </c>
      <c r="K88" s="1555">
        <v>6034</v>
      </c>
      <c r="L88" s="1554">
        <f t="shared" si="3"/>
        <v>0.17565694841545942</v>
      </c>
    </row>
    <row r="89" spans="1:12">
      <c r="A89" s="1431" t="s">
        <v>3409</v>
      </c>
      <c r="B89" s="1555">
        <v>129788</v>
      </c>
      <c r="C89" s="1555">
        <v>125504</v>
      </c>
      <c r="D89" s="1555">
        <v>3519</v>
      </c>
      <c r="E89" s="1555">
        <v>195</v>
      </c>
      <c r="F89" s="1555">
        <v>570</v>
      </c>
      <c r="G89" s="1555">
        <v>118504</v>
      </c>
      <c r="H89" s="1555">
        <v>109175</v>
      </c>
      <c r="I89" s="1555">
        <v>2604</v>
      </c>
      <c r="J89" s="1555">
        <v>6726</v>
      </c>
      <c r="K89" s="1555">
        <v>11285</v>
      </c>
      <c r="L89" s="1554">
        <f t="shared" si="3"/>
        <v>0.25592137592137593</v>
      </c>
    </row>
    <row r="90" spans="1:12">
      <c r="A90" s="1431" t="s">
        <v>3410</v>
      </c>
      <c r="B90" s="1555">
        <v>2517857</v>
      </c>
      <c r="C90" s="1555">
        <v>2374363</v>
      </c>
      <c r="D90" s="1555">
        <v>118939</v>
      </c>
      <c r="E90" s="1555">
        <v>5297</v>
      </c>
      <c r="F90" s="1555">
        <v>19258</v>
      </c>
      <c r="G90" s="1555">
        <v>2255526</v>
      </c>
      <c r="H90" s="1555">
        <v>2160966</v>
      </c>
      <c r="I90" s="1555">
        <v>10449</v>
      </c>
      <c r="J90" s="1555">
        <v>84110</v>
      </c>
      <c r="K90" s="1555">
        <v>262332</v>
      </c>
      <c r="L90" s="1554">
        <f t="shared" si="3"/>
        <v>7.0342320508936684E-2</v>
      </c>
    </row>
    <row r="91" spans="1:12">
      <c r="A91" s="1431" t="s">
        <v>3411</v>
      </c>
      <c r="B91" s="1555">
        <v>233371</v>
      </c>
      <c r="C91" s="1555">
        <v>229748</v>
      </c>
      <c r="D91" s="1555" t="e">
        <v>#VALUE!</v>
      </c>
      <c r="E91" s="1555">
        <v>1361</v>
      </c>
      <c r="F91" s="1555">
        <v>1119</v>
      </c>
      <c r="G91" s="1555">
        <v>213194</v>
      </c>
      <c r="H91" s="1555">
        <v>201895</v>
      </c>
      <c r="I91" s="1555">
        <v>3760</v>
      </c>
      <c r="J91" s="1555">
        <v>7540</v>
      </c>
      <c r="K91" s="1555">
        <v>20180</v>
      </c>
      <c r="L91" s="1554" t="e">
        <f t="shared" si="3"/>
        <v>#VALUE!</v>
      </c>
    </row>
    <row r="92" spans="1:12">
      <c r="A92" s="1431" t="s">
        <v>3412</v>
      </c>
      <c r="B92" s="1555">
        <v>356370</v>
      </c>
      <c r="C92" s="1555">
        <v>351303</v>
      </c>
      <c r="D92" s="1555" t="e">
        <v>#VALUE!</v>
      </c>
      <c r="E92" s="1555">
        <v>1312</v>
      </c>
      <c r="F92" s="1555" t="e">
        <v>#VALUE!</v>
      </c>
      <c r="G92" s="1555">
        <v>324692</v>
      </c>
      <c r="H92" s="1555">
        <v>309284</v>
      </c>
      <c r="I92" s="1555" t="e">
        <v>#VALUE!</v>
      </c>
      <c r="J92" s="1555" t="e">
        <v>#VALUE!</v>
      </c>
      <c r="K92" s="1555">
        <v>31680</v>
      </c>
      <c r="L92" s="1554" t="e">
        <f t="shared" si="3"/>
        <v>#VALUE!</v>
      </c>
    </row>
    <row r="93" spans="1:12">
      <c r="A93" s="1431" t="s">
        <v>3344</v>
      </c>
      <c r="B93" s="1555">
        <v>161796</v>
      </c>
      <c r="C93" s="1555">
        <v>160260</v>
      </c>
      <c r="D93" s="1555" t="e">
        <v>#VALUE!</v>
      </c>
      <c r="E93" s="1555" t="e">
        <v>#VALUE!</v>
      </c>
      <c r="F93" s="1555" t="e">
        <v>#VALUE!</v>
      </c>
      <c r="G93" s="1555">
        <v>138605</v>
      </c>
      <c r="H93" s="1555">
        <v>129607</v>
      </c>
      <c r="I93" s="1555" t="e">
        <v>#VALUE!</v>
      </c>
      <c r="J93" s="1555" t="e">
        <v>#VALUE!</v>
      </c>
      <c r="K93" s="1555">
        <v>23191</v>
      </c>
      <c r="L93" s="1554" t="e">
        <f t="shared" si="3"/>
        <v>#VALUE!</v>
      </c>
    </row>
    <row r="94" spans="1:12">
      <c r="A94" s="1430" t="s">
        <v>0</v>
      </c>
      <c r="B94" s="1555" t="e">
        <v>#VALUE!</v>
      </c>
      <c r="C94" s="1555" t="e">
        <v>#VALUE!</v>
      </c>
      <c r="D94" s="1555" t="e">
        <v>#VALUE!</v>
      </c>
      <c r="E94" s="1555" t="e">
        <v>#VALUE!</v>
      </c>
      <c r="F94" s="1555" t="e">
        <v>#VALUE!</v>
      </c>
      <c r="G94" s="1555" t="e">
        <v>#VALUE!</v>
      </c>
      <c r="H94" s="1555" t="e">
        <v>#VALUE!</v>
      </c>
      <c r="I94" s="1555" t="e">
        <v>#VALUE!</v>
      </c>
      <c r="J94" s="1555" t="e">
        <v>#VALUE!</v>
      </c>
      <c r="K94" s="1555" t="e">
        <v>#VALUE!</v>
      </c>
      <c r="L94" s="1554" t="e">
        <f t="shared" ref="L94:L97" si="4">I94/(K94-D94-E94+I94)</f>
        <v>#VALUE!</v>
      </c>
    </row>
    <row r="95" spans="1:12">
      <c r="A95" s="1430" t="s">
        <v>3413</v>
      </c>
      <c r="B95" s="1555" t="e">
        <v>#VALUE!</v>
      </c>
      <c r="C95" s="1555" t="e">
        <v>#VALUE!</v>
      </c>
      <c r="D95" s="1555" t="e">
        <v>#VALUE!</v>
      </c>
      <c r="E95" s="1555" t="e">
        <v>#VALUE!</v>
      </c>
      <c r="F95" s="1555" t="e">
        <v>#VALUE!</v>
      </c>
      <c r="G95" s="1555" t="e">
        <v>#VALUE!</v>
      </c>
      <c r="H95" s="1555" t="e">
        <v>#VALUE!</v>
      </c>
      <c r="I95" s="1555" t="e">
        <v>#VALUE!</v>
      </c>
      <c r="J95" s="1555" t="e">
        <v>#VALUE!</v>
      </c>
      <c r="K95" s="1555" t="e">
        <v>#VALUE!</v>
      </c>
      <c r="L95" s="1554" t="e">
        <f t="shared" si="4"/>
        <v>#VALUE!</v>
      </c>
    </row>
    <row r="96" spans="1:12">
      <c r="A96" s="1431" t="s">
        <v>3414</v>
      </c>
      <c r="B96" s="1555">
        <v>16912312</v>
      </c>
      <c r="C96" s="1555">
        <v>13965029</v>
      </c>
      <c r="D96" s="1555">
        <v>2342892</v>
      </c>
      <c r="E96" s="1555">
        <v>20178</v>
      </c>
      <c r="F96" s="1555">
        <v>584211</v>
      </c>
      <c r="G96" s="1555">
        <v>13798557</v>
      </c>
      <c r="H96" s="1555">
        <v>12359093</v>
      </c>
      <c r="I96" s="1555">
        <v>214834</v>
      </c>
      <c r="J96" s="1555">
        <v>1224629</v>
      </c>
      <c r="K96" s="1555">
        <v>3113755</v>
      </c>
      <c r="L96" s="1554">
        <f t="shared" si="4"/>
        <v>0.2225062375779244</v>
      </c>
    </row>
    <row r="97" spans="1:14" ht="16" thickBot="1">
      <c r="A97" s="1433" t="s">
        <v>3415</v>
      </c>
      <c r="B97" s="1553">
        <v>819465</v>
      </c>
      <c r="C97" s="1552">
        <v>672931</v>
      </c>
      <c r="D97" s="1552" t="e">
        <v>#VALUE!</v>
      </c>
      <c r="E97" s="1552">
        <v>-1548</v>
      </c>
      <c r="F97" s="1552" t="e">
        <v>#VALUE!</v>
      </c>
      <c r="G97" s="1552">
        <v>601509</v>
      </c>
      <c r="H97" s="1552">
        <v>444030</v>
      </c>
      <c r="I97" s="1552">
        <v>135292</v>
      </c>
      <c r="J97" s="1552">
        <v>22189</v>
      </c>
      <c r="K97" s="1551">
        <v>217955</v>
      </c>
      <c r="L97" s="1550" t="e">
        <f t="shared" si="4"/>
        <v>#VALUE!</v>
      </c>
    </row>
    <row r="98" spans="1:14" ht="17" thickTop="1" thickBot="1">
      <c r="A98" s="1549"/>
      <c r="B98" s="1549"/>
      <c r="C98" s="1549"/>
      <c r="D98" s="1549"/>
      <c r="E98" s="1549"/>
      <c r="F98" s="1549"/>
      <c r="G98" s="1549"/>
      <c r="H98" s="1549"/>
      <c r="I98" s="1549"/>
      <c r="J98" s="1549"/>
      <c r="K98" s="1549"/>
      <c r="L98" s="1549"/>
    </row>
    <row r="99" spans="1:14">
      <c r="A99" s="1423" t="s">
        <v>3324</v>
      </c>
      <c r="B99" s="1490"/>
      <c r="C99" s="1490"/>
      <c r="D99" s="1490"/>
      <c r="E99" s="1490"/>
      <c r="F99" s="1490"/>
      <c r="G99" s="1490"/>
      <c r="H99" s="1490"/>
      <c r="I99" s="1490"/>
      <c r="J99" s="1490"/>
      <c r="K99" s="1490"/>
      <c r="L99" s="1489"/>
    </row>
    <row r="100" spans="1:14">
      <c r="A100" s="1546" t="s">
        <v>3323</v>
      </c>
      <c r="B100" s="1548"/>
      <c r="C100" s="1548"/>
      <c r="D100" s="1548"/>
      <c r="E100" s="1548"/>
      <c r="F100" s="1548"/>
      <c r="G100" s="1548"/>
      <c r="H100" s="1548"/>
      <c r="I100" s="1548"/>
      <c r="J100" s="1548"/>
      <c r="K100" s="1548"/>
      <c r="L100" s="1547"/>
      <c r="N100" s="1303"/>
    </row>
    <row r="101" spans="1:14">
      <c r="A101" s="1425" t="s">
        <v>3322</v>
      </c>
      <c r="B101" s="1488"/>
      <c r="C101" s="1488"/>
      <c r="D101" s="1488"/>
      <c r="E101" s="1488"/>
      <c r="F101" s="1488"/>
      <c r="G101" s="1488"/>
      <c r="H101" s="1488"/>
      <c r="I101" s="1488"/>
      <c r="J101" s="1488"/>
      <c r="K101" s="1488"/>
      <c r="L101" s="1487"/>
    </row>
    <row r="102" spans="1:14" ht="14" customHeight="1">
      <c r="A102" s="1546" t="s">
        <v>3317</v>
      </c>
      <c r="B102" s="1488"/>
      <c r="C102" s="1488"/>
      <c r="D102" s="1488"/>
      <c r="E102" s="1488"/>
      <c r="F102" s="1488"/>
      <c r="G102" s="1488"/>
      <c r="H102" s="1488"/>
      <c r="I102" s="1488"/>
      <c r="J102" s="1488"/>
      <c r="K102" s="1488"/>
      <c r="L102" s="1487"/>
      <c r="N102" s="1303"/>
    </row>
    <row r="103" spans="1:14">
      <c r="A103" s="1546" t="s">
        <v>3318</v>
      </c>
      <c r="B103" s="1488"/>
      <c r="C103" s="1488"/>
      <c r="D103" s="1488"/>
      <c r="E103" s="1488"/>
      <c r="F103" s="1488"/>
      <c r="G103" s="1488"/>
      <c r="H103" s="1488"/>
      <c r="I103" s="1488"/>
      <c r="J103" s="1488"/>
      <c r="K103" s="1488"/>
      <c r="L103" s="1487"/>
    </row>
    <row r="104" spans="1:14">
      <c r="A104" s="1546" t="s">
        <v>3319</v>
      </c>
      <c r="B104" s="1488"/>
      <c r="C104" s="1488"/>
      <c r="D104" s="1488"/>
      <c r="E104" s="1488"/>
      <c r="F104" s="1488"/>
      <c r="G104" s="1488"/>
      <c r="H104" s="1488"/>
      <c r="I104" s="1488"/>
      <c r="J104" s="1488"/>
      <c r="K104" s="1488"/>
      <c r="L104" s="1487"/>
    </row>
    <row r="105" spans="1:14">
      <c r="A105" s="1546" t="s">
        <v>3320</v>
      </c>
      <c r="B105" s="1488"/>
      <c r="C105" s="1488"/>
      <c r="D105" s="1488"/>
      <c r="E105" s="1488"/>
      <c r="F105" s="1488"/>
      <c r="G105" s="1488"/>
      <c r="H105" s="1488"/>
      <c r="I105" s="1488"/>
      <c r="J105" s="1488"/>
      <c r="K105" s="1488"/>
      <c r="L105" s="1487"/>
    </row>
    <row r="106" spans="1:14" ht="16" thickBot="1">
      <c r="A106" s="1545" t="s">
        <v>3321</v>
      </c>
      <c r="B106" s="1486"/>
      <c r="C106" s="1486"/>
      <c r="D106" s="1486"/>
      <c r="E106" s="1486"/>
      <c r="F106" s="1486"/>
      <c r="G106" s="1486"/>
      <c r="H106" s="1486"/>
      <c r="I106" s="1486"/>
      <c r="J106" s="1486"/>
      <c r="K106" s="1486"/>
      <c r="L106" s="1485"/>
    </row>
  </sheetData>
  <mergeCells count="6">
    <mergeCell ref="A3:L5"/>
    <mergeCell ref="L7:L8"/>
    <mergeCell ref="A7:A9"/>
    <mergeCell ref="B7:F7"/>
    <mergeCell ref="G7:J7"/>
    <mergeCell ref="K7:K8"/>
  </mergeCells>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5"/>
  <sheetViews>
    <sheetView workbookViewId="0">
      <selection activeCell="X67" sqref="X67"/>
    </sheetView>
  </sheetViews>
  <sheetFormatPr baseColWidth="10" defaultRowHeight="15" x14ac:dyDescent="0"/>
  <cols>
    <col min="1" max="1" width="12.7109375" style="1482" customWidth="1"/>
    <col min="2" max="9" width="10.7109375" style="1482"/>
    <col min="10" max="11" width="11" style="1482" bestFit="1" customWidth="1"/>
    <col min="12" max="12" width="14.5703125" style="1482" customWidth="1"/>
    <col min="13" max="13" width="14.7109375" style="1482" customWidth="1"/>
    <col min="14" max="16384" width="10.7109375" style="1482"/>
  </cols>
  <sheetData>
    <row r="2" spans="1:13" ht="16" thickBot="1"/>
    <row r="3" spans="1:13" ht="19" thickTop="1">
      <c r="A3" s="1901" t="s">
        <v>3418</v>
      </c>
      <c r="B3" s="1902"/>
      <c r="C3" s="1902"/>
      <c r="D3" s="1902"/>
      <c r="E3" s="1902"/>
      <c r="F3" s="1902"/>
      <c r="G3" s="1902"/>
      <c r="H3" s="1902"/>
      <c r="I3" s="1902"/>
      <c r="J3" s="1902"/>
      <c r="K3" s="1902"/>
      <c r="L3" s="1902"/>
      <c r="M3" s="1903"/>
    </row>
    <row r="4" spans="1:13" ht="19" thickBot="1">
      <c r="A4" s="1468"/>
      <c r="B4" s="904" t="s">
        <v>2411</v>
      </c>
      <c r="C4" s="904" t="s">
        <v>2412</v>
      </c>
      <c r="D4" s="904" t="s">
        <v>2413</v>
      </c>
      <c r="E4" s="904" t="s">
        <v>2414</v>
      </c>
      <c r="F4" s="904" t="s">
        <v>2415</v>
      </c>
      <c r="G4" s="904" t="s">
        <v>2416</v>
      </c>
      <c r="H4" s="904" t="s">
        <v>2417</v>
      </c>
      <c r="I4" s="904" t="s">
        <v>2429</v>
      </c>
      <c r="J4" s="904" t="s">
        <v>2430</v>
      </c>
      <c r="K4" s="904" t="s">
        <v>2431</v>
      </c>
      <c r="L4" s="904" t="s">
        <v>2432</v>
      </c>
      <c r="M4" s="1469" t="s">
        <v>2433</v>
      </c>
    </row>
    <row r="5" spans="1:13" ht="16" thickBot="1">
      <c r="A5" s="1441"/>
      <c r="B5" s="1904" t="s">
        <v>3283</v>
      </c>
      <c r="C5" s="1905"/>
      <c r="D5" s="1905"/>
      <c r="E5" s="1906"/>
      <c r="F5" s="1905" t="s">
        <v>3284</v>
      </c>
      <c r="G5" s="1905"/>
      <c r="H5" s="1905"/>
      <c r="I5" s="1905"/>
      <c r="J5" s="1907" t="s">
        <v>3437</v>
      </c>
      <c r="K5" s="1905"/>
      <c r="L5" s="1905"/>
      <c r="M5" s="1908"/>
    </row>
    <row r="6" spans="1:13" ht="77" customHeight="1">
      <c r="A6" s="1437"/>
      <c r="B6" s="1909" t="s">
        <v>3436</v>
      </c>
      <c r="C6" s="1910"/>
      <c r="D6" s="1910" t="s">
        <v>3435</v>
      </c>
      <c r="E6" s="1911"/>
      <c r="F6" s="1912" t="s">
        <v>3434</v>
      </c>
      <c r="G6" s="1910"/>
      <c r="H6" s="1910" t="s">
        <v>3433</v>
      </c>
      <c r="I6" s="1911"/>
      <c r="J6" s="1444" t="s">
        <v>3287</v>
      </c>
      <c r="K6" s="1443" t="s">
        <v>3288</v>
      </c>
      <c r="L6" s="1443" t="s">
        <v>3422</v>
      </c>
      <c r="M6" s="1445" t="s">
        <v>3423</v>
      </c>
    </row>
    <row r="7" spans="1:13">
      <c r="A7" s="1440"/>
      <c r="B7" s="1446" t="s">
        <v>2653</v>
      </c>
      <c r="C7" s="1438" t="s">
        <v>2638</v>
      </c>
      <c r="D7" s="1438" t="s">
        <v>2653</v>
      </c>
      <c r="E7" s="1442" t="s">
        <v>2638</v>
      </c>
      <c r="F7" s="1438"/>
      <c r="G7" s="1438"/>
      <c r="H7" s="1438"/>
      <c r="I7" s="1438"/>
      <c r="J7" s="614"/>
      <c r="K7" s="1438"/>
      <c r="L7" s="1438"/>
      <c r="M7" s="1439"/>
    </row>
    <row r="8" spans="1:13">
      <c r="A8" s="1455">
        <v>2013</v>
      </c>
      <c r="B8" s="1446"/>
      <c r="C8" s="1438"/>
      <c r="D8" s="1438"/>
      <c r="E8" s="1442"/>
      <c r="F8" s="1438">
        <v>7120688</v>
      </c>
      <c r="G8" s="1438">
        <v>5814935</v>
      </c>
      <c r="H8" s="1438">
        <v>6162903</v>
      </c>
      <c r="I8" s="1438">
        <v>4187378</v>
      </c>
      <c r="J8" s="614"/>
      <c r="K8" s="1438"/>
      <c r="L8" s="1438"/>
      <c r="M8" s="1439"/>
    </row>
    <row r="9" spans="1:13">
      <c r="A9" s="1455">
        <v>2014</v>
      </c>
      <c r="B9" s="1446">
        <v>474805</v>
      </c>
      <c r="C9" s="1438">
        <v>198107</v>
      </c>
      <c r="D9" s="1438">
        <v>383325</v>
      </c>
      <c r="E9" s="1442">
        <v>187515</v>
      </c>
      <c r="F9" s="1438">
        <v>7189420</v>
      </c>
      <c r="G9" s="1438">
        <v>6369524</v>
      </c>
      <c r="H9" s="1438">
        <v>6545768</v>
      </c>
      <c r="I9" s="1438">
        <v>4453290</v>
      </c>
      <c r="J9" s="1447">
        <v>3.2610999773180716</v>
      </c>
      <c r="K9" s="618">
        <v>2.9731913583794607</v>
      </c>
      <c r="L9" s="618">
        <v>2.1585443060604308</v>
      </c>
      <c r="M9" s="1448">
        <v>1.74177660773737</v>
      </c>
    </row>
    <row r="10" spans="1:13">
      <c r="A10" s="1455">
        <v>2015</v>
      </c>
      <c r="B10" s="1446">
        <v>436909</v>
      </c>
      <c r="C10" s="1438">
        <v>170380</v>
      </c>
      <c r="D10" s="1438">
        <v>352894</v>
      </c>
      <c r="E10" s="1442">
        <v>159461</v>
      </c>
      <c r="F10" s="1438">
        <v>6998949</v>
      </c>
      <c r="G10" s="1438">
        <v>6700834</v>
      </c>
      <c r="H10" s="1438">
        <v>6774912</v>
      </c>
      <c r="I10" s="1438">
        <v>4920910</v>
      </c>
      <c r="J10" s="1447">
        <v>3.4021853726222107</v>
      </c>
      <c r="K10" s="618">
        <v>2.8487435361451867</v>
      </c>
      <c r="L10" s="618">
        <v>2.4050188740062719</v>
      </c>
      <c r="M10" s="1448">
        <v>1.8104320131582086</v>
      </c>
    </row>
    <row r="11" spans="1:13">
      <c r="A11" s="1455">
        <v>2016</v>
      </c>
      <c r="B11" s="1446">
        <v>444038</v>
      </c>
      <c r="C11" s="1438">
        <v>185211</v>
      </c>
      <c r="D11" s="1438">
        <v>424222</v>
      </c>
      <c r="E11" s="1442">
        <v>174006</v>
      </c>
      <c r="F11" s="1438">
        <v>7375049</v>
      </c>
      <c r="G11" s="1438">
        <v>7569251</v>
      </c>
      <c r="H11" s="1438">
        <v>7102351</v>
      </c>
      <c r="I11" s="1438">
        <v>5405261</v>
      </c>
      <c r="J11" s="1447">
        <v>3.5803533316611245</v>
      </c>
      <c r="K11" s="618">
        <v>2.7903964742582277</v>
      </c>
      <c r="L11" s="618">
        <v>3.4644430987688741</v>
      </c>
      <c r="M11" s="1448">
        <v>2.7256073771084179</v>
      </c>
    </row>
    <row r="12" spans="1:13" ht="16" thickBot="1">
      <c r="A12" s="1456" t="s">
        <v>3292</v>
      </c>
      <c r="B12" s="1449"/>
      <c r="C12" s="1450"/>
      <c r="D12" s="1450"/>
      <c r="E12" s="1451"/>
      <c r="F12" s="1450"/>
      <c r="G12" s="1450"/>
      <c r="H12" s="1450"/>
      <c r="I12" s="1450"/>
      <c r="J12" s="1452">
        <f>AVERAGE(J9:J11)</f>
        <v>3.4145462272004692</v>
      </c>
      <c r="K12" s="1453">
        <f>AVERAGE(K9:K11)</f>
        <v>2.8707771229276253</v>
      </c>
      <c r="L12" s="1453">
        <f>AVERAGE(L9:L11)</f>
        <v>2.676002092945192</v>
      </c>
      <c r="M12" s="1454">
        <f>AVERAGE(M9:M11)</f>
        <v>2.0926053326679988</v>
      </c>
    </row>
    <row r="13" spans="1:13" ht="16" thickTop="1"/>
    <row r="14" spans="1:13">
      <c r="A14" s="1482" t="s">
        <v>3432</v>
      </c>
    </row>
    <row r="15" spans="1:13">
      <c r="A15" s="24"/>
    </row>
  </sheetData>
  <mergeCells count="8">
    <mergeCell ref="A3:M3"/>
    <mergeCell ref="B5:E5"/>
    <mergeCell ref="F5:I5"/>
    <mergeCell ref="J5:M5"/>
    <mergeCell ref="B6:C6"/>
    <mergeCell ref="D6:E6"/>
    <mergeCell ref="F6:G6"/>
    <mergeCell ref="H6:I6"/>
  </mergeCells>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
  <sheetViews>
    <sheetView workbookViewId="0">
      <selection activeCell="X67" sqref="X67"/>
    </sheetView>
  </sheetViews>
  <sheetFormatPr baseColWidth="10" defaultRowHeight="15" x14ac:dyDescent="0"/>
  <cols>
    <col min="1" max="1" width="11.5703125" style="1482" customWidth="1"/>
    <col min="2" max="16384" width="10.7109375" style="1482"/>
  </cols>
  <sheetData>
    <row r="1" spans="1:21" ht="16" thickBot="1"/>
    <row r="2" spans="1:21" ht="19" thickTop="1">
      <c r="A2" s="1901" t="s">
        <v>3419</v>
      </c>
      <c r="B2" s="1902"/>
      <c r="C2" s="1902"/>
      <c r="D2" s="1902"/>
      <c r="E2" s="1902"/>
      <c r="F2" s="1902"/>
      <c r="G2" s="1902"/>
      <c r="H2" s="1902"/>
      <c r="I2" s="1902"/>
      <c r="J2" s="1902"/>
      <c r="K2" s="1902"/>
      <c r="L2" s="1902"/>
      <c r="M2" s="1902"/>
      <c r="N2" s="1902"/>
      <c r="O2" s="1902"/>
      <c r="P2" s="1902"/>
      <c r="Q2" s="1903"/>
    </row>
    <row r="3" spans="1:21" ht="19" thickBot="1">
      <c r="A3" s="1468"/>
      <c r="B3" s="904" t="s">
        <v>2411</v>
      </c>
      <c r="C3" s="904" t="s">
        <v>2412</v>
      </c>
      <c r="D3" s="904" t="s">
        <v>2413</v>
      </c>
      <c r="E3" s="904" t="s">
        <v>2414</v>
      </c>
      <c r="F3" s="904" t="s">
        <v>2415</v>
      </c>
      <c r="G3" s="904" t="s">
        <v>2416</v>
      </c>
      <c r="H3" s="904" t="s">
        <v>2417</v>
      </c>
      <c r="I3" s="904" t="s">
        <v>2429</v>
      </c>
      <c r="J3" s="904" t="s">
        <v>2430</v>
      </c>
      <c r="K3" s="904" t="s">
        <v>2431</v>
      </c>
      <c r="L3" s="904" t="s">
        <v>2432</v>
      </c>
      <c r="M3" s="1470" t="s">
        <v>2433</v>
      </c>
      <c r="N3" s="1470" t="s">
        <v>2450</v>
      </c>
      <c r="O3" s="904" t="s">
        <v>2461</v>
      </c>
      <c r="P3" s="904" t="s">
        <v>2462</v>
      </c>
      <c r="Q3" s="1471" t="s">
        <v>3424</v>
      </c>
    </row>
    <row r="4" spans="1:21" ht="16">
      <c r="A4" s="1587"/>
      <c r="B4" s="1914" t="s">
        <v>2641</v>
      </c>
      <c r="C4" s="1914"/>
      <c r="D4" s="1914"/>
      <c r="E4" s="1914"/>
      <c r="F4" s="1913" t="s">
        <v>2642</v>
      </c>
      <c r="G4" s="1914"/>
      <c r="H4" s="1914"/>
      <c r="I4" s="1914"/>
      <c r="J4" s="1914"/>
      <c r="K4" s="1915"/>
      <c r="L4" s="1914" t="s">
        <v>3445</v>
      </c>
      <c r="M4" s="1914"/>
      <c r="N4" s="1914"/>
      <c r="O4" s="1913" t="s">
        <v>3444</v>
      </c>
      <c r="P4" s="1914"/>
      <c r="Q4" s="1916"/>
      <c r="T4" s="1586"/>
      <c r="U4" s="1565"/>
    </row>
    <row r="5" spans="1:21" ht="42" customHeight="1">
      <c r="A5" s="1581"/>
      <c r="B5" s="1921" t="s">
        <v>3443</v>
      </c>
      <c r="C5" s="1918"/>
      <c r="D5" s="1919" t="s">
        <v>3442</v>
      </c>
      <c r="E5" s="1921"/>
      <c r="F5" s="1917" t="s">
        <v>3441</v>
      </c>
      <c r="G5" s="1918"/>
      <c r="H5" s="1919" t="s">
        <v>3440</v>
      </c>
      <c r="I5" s="1918"/>
      <c r="J5" s="1919" t="s">
        <v>3439</v>
      </c>
      <c r="K5" s="1920"/>
      <c r="L5" s="1585" t="s">
        <v>2650</v>
      </c>
      <c r="M5" s="1585" t="s">
        <v>2651</v>
      </c>
      <c r="N5" s="1585" t="s">
        <v>2652</v>
      </c>
      <c r="O5" s="1584" t="s">
        <v>2650</v>
      </c>
      <c r="P5" s="1583" t="s">
        <v>2651</v>
      </c>
      <c r="Q5" s="1582" t="s">
        <v>2652</v>
      </c>
      <c r="T5" s="1565"/>
      <c r="U5" s="1565"/>
    </row>
    <row r="6" spans="1:21" ht="16">
      <c r="A6" s="1581"/>
      <c r="B6" s="1571" t="s">
        <v>2653</v>
      </c>
      <c r="C6" s="1571" t="s">
        <v>2638</v>
      </c>
      <c r="D6" s="1580" t="s">
        <v>2653</v>
      </c>
      <c r="E6" s="1578" t="s">
        <v>2638</v>
      </c>
      <c r="F6" s="1571" t="s">
        <v>2653</v>
      </c>
      <c r="G6" s="1571" t="s">
        <v>2638</v>
      </c>
      <c r="H6" s="1580" t="s">
        <v>2653</v>
      </c>
      <c r="I6" s="1579" t="s">
        <v>2638</v>
      </c>
      <c r="J6" s="1571" t="s">
        <v>2653</v>
      </c>
      <c r="K6" s="1578" t="s">
        <v>2638</v>
      </c>
      <c r="L6" s="1571"/>
      <c r="M6" s="1571"/>
      <c r="N6" s="1571"/>
      <c r="O6" s="1574"/>
      <c r="P6" s="1577"/>
      <c r="Q6" s="1576"/>
      <c r="T6" s="1565"/>
      <c r="U6" s="1565"/>
    </row>
    <row r="7" spans="1:21" ht="16">
      <c r="A7" s="1575">
        <v>2013</v>
      </c>
      <c r="B7" s="1571"/>
      <c r="C7" s="1572"/>
      <c r="D7" s="1571"/>
      <c r="E7" s="1571"/>
      <c r="F7" s="1574">
        <v>6054227</v>
      </c>
      <c r="G7" s="1571">
        <v>4443216</v>
      </c>
      <c r="H7" s="1573">
        <v>5096442</v>
      </c>
      <c r="I7" s="1572">
        <v>2815659</v>
      </c>
      <c r="J7" s="1571">
        <v>4379769</v>
      </c>
      <c r="K7" s="1570">
        <v>2222623</v>
      </c>
      <c r="L7" s="1571"/>
      <c r="M7" s="1571"/>
      <c r="N7" s="1571"/>
      <c r="O7" s="1574"/>
      <c r="P7" s="1577"/>
      <c r="Q7" s="1576"/>
      <c r="T7" s="1565"/>
      <c r="U7" s="1564"/>
    </row>
    <row r="8" spans="1:21" ht="16">
      <c r="A8" s="1575">
        <v>2014</v>
      </c>
      <c r="B8" s="1571">
        <v>455568</v>
      </c>
      <c r="C8" s="1572">
        <v>162437</v>
      </c>
      <c r="D8" s="1571">
        <v>436799</v>
      </c>
      <c r="E8" s="1571">
        <v>151845</v>
      </c>
      <c r="F8" s="1574">
        <v>6040129</v>
      </c>
      <c r="G8" s="1571">
        <v>4895752</v>
      </c>
      <c r="H8" s="1573">
        <v>5396477</v>
      </c>
      <c r="I8" s="1572">
        <v>2979518</v>
      </c>
      <c r="J8" s="1571">
        <v>4673411</v>
      </c>
      <c r="K8" s="1570">
        <v>2384659</v>
      </c>
      <c r="L8" s="1569">
        <f>(B8/F7)-(C8/G7)</f>
        <v>3.8689492073893217E-2</v>
      </c>
      <c r="M8" s="1569">
        <f>(B8/H7)-(C8/I7)</f>
        <v>3.1698841371605162E-2</v>
      </c>
      <c r="N8" s="1569">
        <f>(B8/J7)-(C8/K7)</f>
        <v>3.0932975306611182E-2</v>
      </c>
      <c r="O8" s="1568">
        <f>(D8/F7)-(E8/G7)</f>
        <v>3.797320292716843E-2</v>
      </c>
      <c r="P8" s="1567">
        <f>(D8/H7)-(E8/I7)</f>
        <v>3.1777895191913479E-2</v>
      </c>
      <c r="Q8" s="1566">
        <f>(D8/J7)-(E8/K7)</f>
        <v>3.1413130013949686E-2</v>
      </c>
      <c r="T8" s="1565"/>
      <c r="U8" s="1564"/>
    </row>
    <row r="9" spans="1:21" ht="16">
      <c r="A9" s="1575">
        <v>2015</v>
      </c>
      <c r="B9" s="1571">
        <v>416422</v>
      </c>
      <c r="C9" s="1572">
        <v>131237</v>
      </c>
      <c r="D9" s="1571">
        <v>397330</v>
      </c>
      <c r="E9" s="1571">
        <v>120318</v>
      </c>
      <c r="F9" s="1574">
        <v>5787912</v>
      </c>
      <c r="G9" s="1571">
        <v>5076420</v>
      </c>
      <c r="H9" s="1573">
        <v>5563875</v>
      </c>
      <c r="I9" s="1572">
        <v>3296496</v>
      </c>
      <c r="J9" s="1571">
        <v>4828912</v>
      </c>
      <c r="K9" s="1570">
        <v>2670348</v>
      </c>
      <c r="L9" s="1569">
        <f>(B9/F8)-(C9/G8)</f>
        <v>4.2136266640280744E-2</v>
      </c>
      <c r="M9" s="1569">
        <f>(B9/H8)-(C9/I8)</f>
        <v>3.3119142521409968E-2</v>
      </c>
      <c r="N9" s="1569">
        <f>(B9/J8)-(C9/K8)</f>
        <v>3.4070646222031646E-2</v>
      </c>
      <c r="O9" s="1568">
        <f>(D9/F8)-(E9/G8)</f>
        <v>4.1205707877642814E-2</v>
      </c>
      <c r="P9" s="1567">
        <f>(D9/H8)-(E9/I8)</f>
        <v>3.3245965541740113E-2</v>
      </c>
      <c r="Q9" s="1566">
        <f>(D9/J8)-(E9/K8)</f>
        <v>3.4564259145575614E-2</v>
      </c>
      <c r="T9" s="1565"/>
      <c r="U9" s="1564"/>
    </row>
    <row r="10" spans="1:21" ht="16">
      <c r="A10" s="1575">
        <v>2016</v>
      </c>
      <c r="B10" s="1571">
        <v>419493</v>
      </c>
      <c r="C10" s="1572">
        <v>138108</v>
      </c>
      <c r="D10" s="1571">
        <v>399678</v>
      </c>
      <c r="E10" s="1571">
        <v>126903</v>
      </c>
      <c r="F10" s="1574">
        <v>6172334</v>
      </c>
      <c r="G10" s="1571">
        <v>5783500</v>
      </c>
      <c r="H10" s="1573">
        <v>5899636</v>
      </c>
      <c r="I10" s="1572">
        <v>3619510</v>
      </c>
      <c r="J10" s="1571">
        <v>5143140</v>
      </c>
      <c r="K10" s="1570">
        <v>2953297</v>
      </c>
      <c r="L10" s="1569">
        <f>(B10/F9)-(C10/G9)</f>
        <v>4.5271645520862401E-2</v>
      </c>
      <c r="M10" s="1569">
        <f>(B10/H9)-(C10/I9)</f>
        <v>3.3500440355081859E-2</v>
      </c>
      <c r="N10" s="1569">
        <f>(B10/J9)-(C10/K9)</f>
        <v>3.5152019499500468E-2</v>
      </c>
      <c r="O10" s="1568">
        <f>(D10/F9)-(E10/G9)</f>
        <v>4.405539530868624E-2</v>
      </c>
      <c r="P10" s="1567">
        <f>(D10/H9)-(E10/I9)</f>
        <v>3.3338137235071966E-2</v>
      </c>
      <c r="Q10" s="1566">
        <f>(D10/J9)-(E10/K9)</f>
        <v>3.5244693006885049E-2</v>
      </c>
      <c r="T10" s="1565"/>
      <c r="U10" s="1564"/>
    </row>
    <row r="11" spans="1:21" s="1464" customFormat="1" ht="16" thickBot="1">
      <c r="A11" s="1457" t="s">
        <v>3292</v>
      </c>
      <c r="B11" s="1458"/>
      <c r="C11" s="1466"/>
      <c r="D11" s="1459"/>
      <c r="E11" s="1459"/>
      <c r="F11" s="1458"/>
      <c r="G11" s="1459"/>
      <c r="H11" s="1465"/>
      <c r="I11" s="1466"/>
      <c r="J11" s="1459"/>
      <c r="K11" s="1460"/>
      <c r="L11" s="1461">
        <f t="shared" ref="L11:Q11" si="0">AVERAGE(L8:L10)</f>
        <v>4.2032468078345459E-2</v>
      </c>
      <c r="M11" s="1461">
        <f t="shared" si="0"/>
        <v>3.2772808082698994E-2</v>
      </c>
      <c r="N11" s="1461">
        <f t="shared" si="0"/>
        <v>3.338521367604777E-2</v>
      </c>
      <c r="O11" s="1462">
        <f t="shared" si="0"/>
        <v>4.1078102037832492E-2</v>
      </c>
      <c r="P11" s="1467">
        <f t="shared" si="0"/>
        <v>3.2787332656241855E-2</v>
      </c>
      <c r="Q11" s="1463">
        <f t="shared" si="0"/>
        <v>3.3740694055470116E-2</v>
      </c>
    </row>
    <row r="12" spans="1:21" ht="16" thickTop="1"/>
    <row r="13" spans="1:21">
      <c r="A13" s="1482" t="s">
        <v>3438</v>
      </c>
    </row>
  </sheetData>
  <mergeCells count="10">
    <mergeCell ref="A2:Q2"/>
    <mergeCell ref="F4:K4"/>
    <mergeCell ref="L4:N4"/>
    <mergeCell ref="O4:Q4"/>
    <mergeCell ref="F5:G5"/>
    <mergeCell ref="H5:I5"/>
    <mergeCell ref="J5:K5"/>
    <mergeCell ref="B4:E4"/>
    <mergeCell ref="B5:C5"/>
    <mergeCell ref="D5:E5"/>
  </mergeCells>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X67" sqref="X67"/>
    </sheetView>
  </sheetViews>
  <sheetFormatPr baseColWidth="10" defaultRowHeight="15" x14ac:dyDescent="0"/>
  <cols>
    <col min="1" max="1" width="14.85546875" style="1482" customWidth="1"/>
    <col min="2" max="5" width="10.7109375" style="1482"/>
    <col min="6" max="6" width="21.5703125" style="1482" customWidth="1"/>
    <col min="7" max="16384" width="10.7109375" style="1482"/>
  </cols>
  <sheetData>
    <row r="1" spans="1:7" ht="16" thickBot="1"/>
    <row r="2" spans="1:7" ht="19" thickTop="1">
      <c r="A2" s="1901" t="s">
        <v>3420</v>
      </c>
      <c r="B2" s="1902"/>
      <c r="C2" s="1902"/>
      <c r="D2" s="1902"/>
      <c r="E2" s="1902"/>
      <c r="F2" s="1903"/>
    </row>
    <row r="3" spans="1:7" ht="19" thickBot="1">
      <c r="A3" s="1468"/>
      <c r="B3" s="904" t="s">
        <v>2411</v>
      </c>
      <c r="C3" s="904" t="s">
        <v>2412</v>
      </c>
      <c r="D3" s="904" t="s">
        <v>2413</v>
      </c>
      <c r="E3" s="904" t="s">
        <v>2414</v>
      </c>
      <c r="F3" s="1471" t="s">
        <v>2415</v>
      </c>
      <c r="G3" s="904"/>
    </row>
    <row r="4" spans="1:7" ht="30">
      <c r="A4" s="1605"/>
      <c r="B4" s="1922" t="s">
        <v>3278</v>
      </c>
      <c r="C4" s="1923"/>
      <c r="D4" s="1924" t="s">
        <v>3279</v>
      </c>
      <c r="E4" s="1923"/>
      <c r="F4" s="1604" t="s">
        <v>3417</v>
      </c>
    </row>
    <row r="5" spans="1:7">
      <c r="A5" s="1603"/>
      <c r="B5" s="1927" t="s">
        <v>3447</v>
      </c>
      <c r="C5" s="1926"/>
      <c r="D5" s="1925" t="s">
        <v>3446</v>
      </c>
      <c r="E5" s="1926"/>
      <c r="F5" s="1602"/>
    </row>
    <row r="6" spans="1:7">
      <c r="A6" s="1601"/>
      <c r="B6" s="1600" t="s">
        <v>2653</v>
      </c>
      <c r="C6" s="1598" t="s">
        <v>2638</v>
      </c>
      <c r="D6" s="1599" t="s">
        <v>2653</v>
      </c>
      <c r="E6" s="1598" t="s">
        <v>2638</v>
      </c>
      <c r="F6" s="1597"/>
    </row>
    <row r="7" spans="1:7">
      <c r="A7" s="1596">
        <v>2013</v>
      </c>
      <c r="B7" s="1595"/>
      <c r="C7" s="1593"/>
      <c r="D7" s="1594">
        <v>1066461</v>
      </c>
      <c r="E7" s="1593">
        <v>1371719</v>
      </c>
      <c r="F7" s="1592"/>
    </row>
    <row r="8" spans="1:7">
      <c r="A8" s="1596">
        <v>2014</v>
      </c>
      <c r="B8" s="1595">
        <v>19237</v>
      </c>
      <c r="C8" s="1593">
        <v>35670</v>
      </c>
      <c r="D8" s="1594">
        <v>1149291</v>
      </c>
      <c r="E8" s="1593">
        <v>1473772</v>
      </c>
      <c r="F8" s="1592">
        <f>100*(B8/D7)-100*(C8/E7)</f>
        <v>-0.7965702655391933</v>
      </c>
    </row>
    <row r="9" spans="1:7">
      <c r="A9" s="1596">
        <v>2015</v>
      </c>
      <c r="B9" s="1595">
        <v>20487</v>
      </c>
      <c r="C9" s="1593">
        <v>39143</v>
      </c>
      <c r="D9" s="1594">
        <v>1211037</v>
      </c>
      <c r="E9" s="1593">
        <v>1624414</v>
      </c>
      <c r="F9" s="1592">
        <f>100*(B9/D8)-100*(C9/E8)</f>
        <v>-0.87339666419520867</v>
      </c>
    </row>
    <row r="10" spans="1:7">
      <c r="A10" s="1596">
        <v>2016</v>
      </c>
      <c r="B10" s="1595">
        <v>24544</v>
      </c>
      <c r="C10" s="1593">
        <v>47103</v>
      </c>
      <c r="D10" s="1594">
        <v>1202715</v>
      </c>
      <c r="E10" s="1593">
        <v>1785751</v>
      </c>
      <c r="F10" s="1592">
        <f>100*(B10/D9)-100*(C10/E9)</f>
        <v>-0.87299900126413732</v>
      </c>
    </row>
    <row r="11" spans="1:7" ht="16" thickBot="1">
      <c r="A11" s="1591" t="s">
        <v>3295</v>
      </c>
      <c r="B11" s="1590"/>
      <c r="C11" s="1589"/>
      <c r="D11" s="1590"/>
      <c r="E11" s="1589"/>
      <c r="F11" s="1588">
        <f>AVERAGE(F8:F10)</f>
        <v>-0.84765531033284647</v>
      </c>
    </row>
    <row r="12" spans="1:7" ht="16" thickTop="1"/>
    <row r="13" spans="1:7">
      <c r="A13" s="1482" t="s">
        <v>3438</v>
      </c>
    </row>
  </sheetData>
  <mergeCells count="5">
    <mergeCell ref="B4:C4"/>
    <mergeCell ref="D4:E4"/>
    <mergeCell ref="A2:F2"/>
    <mergeCell ref="D5:E5"/>
    <mergeCell ref="B5:C5"/>
  </mergeCells>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46"/>
  <sheetViews>
    <sheetView zoomScale="80" zoomScaleNormal="80" zoomScalePageLayoutView="80" workbookViewId="0">
      <pane xSplit="1" ySplit="6" topLeftCell="B29"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5" x14ac:dyDescent="0"/>
  <cols>
    <col min="1" max="1" width="16.28515625" style="1483" customWidth="1"/>
    <col min="2" max="2" width="12.7109375" style="1483" customWidth="1"/>
    <col min="3" max="3" width="11.5703125" style="1483" customWidth="1"/>
    <col min="4" max="4" width="17.28515625" style="1483" customWidth="1"/>
    <col min="5" max="7" width="12.85546875" style="1483" customWidth="1"/>
    <col min="8" max="8" width="37.28515625" style="1483" customWidth="1"/>
    <col min="9" max="11" width="28.140625" style="1483" customWidth="1"/>
    <col min="12" max="12" width="11.42578125" style="1483" customWidth="1"/>
    <col min="13" max="16384" width="7.5703125" style="1483"/>
  </cols>
  <sheetData>
    <row r="2" spans="1:17" ht="16" thickBot="1"/>
    <row r="3" spans="1:17" ht="26" customHeight="1" thickTop="1">
      <c r="A3" s="1928" t="s">
        <v>3333</v>
      </c>
      <c r="B3" s="1929"/>
      <c r="C3" s="1929"/>
      <c r="D3" s="1929"/>
      <c r="E3" s="1929"/>
      <c r="F3" s="1929"/>
      <c r="G3" s="1929"/>
      <c r="H3" s="1929"/>
      <c r="I3" s="1929"/>
      <c r="J3" s="1929"/>
      <c r="K3" s="1929"/>
      <c r="L3" s="1930"/>
    </row>
    <row r="4" spans="1:17" ht="26" customHeight="1" thickBot="1">
      <c r="A4" s="1621"/>
      <c r="B4" s="1470" t="s">
        <v>2411</v>
      </c>
      <c r="C4" s="1470" t="s">
        <v>2412</v>
      </c>
      <c r="D4" s="1470" t="s">
        <v>2413</v>
      </c>
      <c r="E4" s="1470" t="s">
        <v>2414</v>
      </c>
      <c r="F4" s="1470" t="s">
        <v>2415</v>
      </c>
      <c r="G4" s="1470" t="s">
        <v>2416</v>
      </c>
      <c r="H4" s="1470" t="s">
        <v>2417</v>
      </c>
      <c r="I4" s="1470" t="s">
        <v>2429</v>
      </c>
      <c r="J4" s="1470" t="s">
        <v>2430</v>
      </c>
      <c r="K4" s="1470" t="s">
        <v>2431</v>
      </c>
      <c r="L4" s="1469" t="s">
        <v>2432</v>
      </c>
      <c r="M4" s="1472"/>
      <c r="N4" s="904"/>
      <c r="O4" s="904"/>
      <c r="P4" s="904"/>
      <c r="Q4" s="904"/>
    </row>
    <row r="5" spans="1:17" s="1616" customFormat="1" ht="113" customHeight="1">
      <c r="A5" s="1620"/>
      <c r="B5" s="1619" t="s">
        <v>2662</v>
      </c>
      <c r="C5" s="1618" t="s">
        <v>2663</v>
      </c>
      <c r="D5" s="1618" t="s">
        <v>2664</v>
      </c>
      <c r="E5" s="1618" t="s">
        <v>2665</v>
      </c>
      <c r="F5" s="1618" t="s">
        <v>2666</v>
      </c>
      <c r="G5" s="1618" t="s">
        <v>2667</v>
      </c>
      <c r="H5" s="1618" t="s">
        <v>2668</v>
      </c>
      <c r="I5" s="1618" t="s">
        <v>2669</v>
      </c>
      <c r="J5" s="1618" t="s">
        <v>2670</v>
      </c>
      <c r="K5" s="1618" t="s">
        <v>2671</v>
      </c>
      <c r="L5" s="1617" t="s">
        <v>2672</v>
      </c>
    </row>
    <row r="6" spans="1:17" ht="16" customHeight="1">
      <c r="A6" s="1615"/>
      <c r="B6" s="1614" t="s">
        <v>2673</v>
      </c>
      <c r="C6" s="1614" t="s">
        <v>2674</v>
      </c>
      <c r="D6" s="1614" t="s">
        <v>2675</v>
      </c>
      <c r="E6" s="1614" t="s">
        <v>2676</v>
      </c>
      <c r="F6" s="1614" t="s">
        <v>2677</v>
      </c>
      <c r="G6" s="1614" t="s">
        <v>2678</v>
      </c>
      <c r="H6" s="1614" t="s">
        <v>2679</v>
      </c>
      <c r="I6" s="1614" t="s">
        <v>2680</v>
      </c>
      <c r="J6" s="1614" t="s">
        <v>2681</v>
      </c>
      <c r="K6" s="1614" t="s">
        <v>2682</v>
      </c>
      <c r="L6" s="1613" t="s">
        <v>2683</v>
      </c>
    </row>
    <row r="7" spans="1:17">
      <c r="A7" s="1612" t="s">
        <v>2684</v>
      </c>
      <c r="B7" s="1488" t="s">
        <v>2685</v>
      </c>
      <c r="C7" s="1488" t="s">
        <v>2686</v>
      </c>
      <c r="D7" s="1488" t="s">
        <v>2687</v>
      </c>
      <c r="E7" s="1488" t="s">
        <v>2686</v>
      </c>
      <c r="F7" s="1488" t="s">
        <v>2686</v>
      </c>
      <c r="G7" s="1488" t="s">
        <v>2688</v>
      </c>
      <c r="H7" s="1611" t="s">
        <v>2689</v>
      </c>
      <c r="I7" s="1488" t="s">
        <v>2689</v>
      </c>
      <c r="J7" s="1488" t="s">
        <v>2690</v>
      </c>
      <c r="K7" s="1488" t="s">
        <v>2690</v>
      </c>
      <c r="L7" s="1610" t="s">
        <v>2686</v>
      </c>
    </row>
    <row r="8" spans="1:17">
      <c r="A8" s="1612" t="s">
        <v>2691</v>
      </c>
      <c r="B8" s="1488" t="s">
        <v>2692</v>
      </c>
      <c r="C8" s="1488" t="s">
        <v>2693</v>
      </c>
      <c r="D8" s="1488" t="s">
        <v>2694</v>
      </c>
      <c r="E8" s="1488" t="s">
        <v>2693</v>
      </c>
      <c r="F8" s="1488" t="s">
        <v>2686</v>
      </c>
      <c r="G8" s="1488" t="s">
        <v>2688</v>
      </c>
      <c r="H8" s="1611" t="s">
        <v>2695</v>
      </c>
      <c r="I8" s="1488" t="s">
        <v>2695</v>
      </c>
      <c r="J8" s="1488" t="s">
        <v>2696</v>
      </c>
      <c r="K8" s="1488" t="s">
        <v>2696</v>
      </c>
      <c r="L8" s="1610" t="s">
        <v>2686</v>
      </c>
    </row>
    <row r="9" spans="1:17">
      <c r="A9" s="1612" t="s">
        <v>2697</v>
      </c>
      <c r="B9" s="1488" t="s">
        <v>2698</v>
      </c>
      <c r="C9" s="1488" t="s">
        <v>2693</v>
      </c>
      <c r="D9" s="1488" t="s">
        <v>2694</v>
      </c>
      <c r="E9" s="1488" t="s">
        <v>2693</v>
      </c>
      <c r="F9" s="1488" t="s">
        <v>2693</v>
      </c>
      <c r="G9" s="1488" t="s">
        <v>2686</v>
      </c>
      <c r="H9" s="1611" t="s">
        <v>2699</v>
      </c>
      <c r="I9" s="1488" t="s">
        <v>2699</v>
      </c>
      <c r="J9" s="1488" t="s">
        <v>2700</v>
      </c>
      <c r="K9" s="1488" t="s">
        <v>2700</v>
      </c>
      <c r="L9" s="1610" t="s">
        <v>2686</v>
      </c>
    </row>
    <row r="10" spans="1:17">
      <c r="A10" s="1612" t="s">
        <v>2701</v>
      </c>
      <c r="B10" s="1488" t="s">
        <v>2685</v>
      </c>
      <c r="C10" s="1488" t="s">
        <v>2686</v>
      </c>
      <c r="D10" s="1488" t="s">
        <v>2687</v>
      </c>
      <c r="E10" s="1488" t="s">
        <v>2686</v>
      </c>
      <c r="F10" s="1488" t="s">
        <v>2686</v>
      </c>
      <c r="G10" s="1488" t="s">
        <v>2686</v>
      </c>
      <c r="H10" s="1611" t="s">
        <v>2981</v>
      </c>
      <c r="I10" s="1488" t="s">
        <v>2980</v>
      </c>
      <c r="J10" s="1488" t="s">
        <v>2702</v>
      </c>
      <c r="K10" s="1488" t="s">
        <v>2702</v>
      </c>
      <c r="L10" s="1610" t="s">
        <v>2693</v>
      </c>
    </row>
    <row r="11" spans="1:17">
      <c r="A11" s="1612" t="s">
        <v>2703</v>
      </c>
      <c r="B11" s="1488" t="s">
        <v>2685</v>
      </c>
      <c r="C11" s="1488" t="s">
        <v>2686</v>
      </c>
      <c r="D11" s="1488" t="s">
        <v>2687</v>
      </c>
      <c r="E11" s="1488" t="s">
        <v>2693</v>
      </c>
      <c r="F11" s="1488" t="s">
        <v>2693</v>
      </c>
      <c r="G11" s="1488" t="s">
        <v>2688</v>
      </c>
      <c r="H11" s="1611" t="s">
        <v>2695</v>
      </c>
      <c r="I11" s="1488" t="s">
        <v>2704</v>
      </c>
      <c r="J11" s="1488" t="s">
        <v>2705</v>
      </c>
      <c r="K11" s="1488" t="s">
        <v>2705</v>
      </c>
      <c r="L11" s="1610" t="s">
        <v>2686</v>
      </c>
    </row>
    <row r="12" spans="1:17">
      <c r="A12" s="1612" t="s">
        <v>2706</v>
      </c>
      <c r="B12" s="1488" t="s">
        <v>2685</v>
      </c>
      <c r="C12" s="1488" t="s">
        <v>2686</v>
      </c>
      <c r="D12" s="1488" t="s">
        <v>2687</v>
      </c>
      <c r="E12" s="1488" t="s">
        <v>2686</v>
      </c>
      <c r="F12" s="1488" t="s">
        <v>2686</v>
      </c>
      <c r="G12" s="1488" t="s">
        <v>2686</v>
      </c>
      <c r="H12" s="1611" t="s">
        <v>2696</v>
      </c>
      <c r="I12" s="1488" t="s">
        <v>2696</v>
      </c>
      <c r="J12" s="1488" t="s">
        <v>2696</v>
      </c>
      <c r="K12" s="1488" t="s">
        <v>2696</v>
      </c>
      <c r="L12" s="1610" t="s">
        <v>2693</v>
      </c>
    </row>
    <row r="13" spans="1:17">
      <c r="A13" s="1612" t="s">
        <v>2707</v>
      </c>
      <c r="B13" s="1488" t="s">
        <v>2692</v>
      </c>
      <c r="C13" s="1488" t="s">
        <v>2693</v>
      </c>
      <c r="D13" s="1488" t="s">
        <v>2694</v>
      </c>
      <c r="E13" s="1488" t="s">
        <v>2686</v>
      </c>
      <c r="F13" s="1488" t="s">
        <v>2686</v>
      </c>
      <c r="G13" s="1488" t="s">
        <v>2686</v>
      </c>
      <c r="H13" s="1611" t="s">
        <v>2708</v>
      </c>
      <c r="I13" s="1488" t="s">
        <v>2708</v>
      </c>
      <c r="J13" s="1488" t="s">
        <v>2696</v>
      </c>
      <c r="K13" s="1488" t="s">
        <v>2696</v>
      </c>
      <c r="L13" s="1610" t="s">
        <v>2686</v>
      </c>
    </row>
    <row r="14" spans="1:17">
      <c r="A14" s="1612" t="s">
        <v>2709</v>
      </c>
      <c r="B14" s="1488" t="s">
        <v>2685</v>
      </c>
      <c r="C14" s="1488" t="s">
        <v>2693</v>
      </c>
      <c r="D14" s="1488" t="s">
        <v>2710</v>
      </c>
      <c r="E14" s="1488" t="s">
        <v>2686</v>
      </c>
      <c r="F14" s="1488" t="s">
        <v>2686</v>
      </c>
      <c r="G14" s="1488" t="s">
        <v>2686</v>
      </c>
      <c r="H14" s="1611" t="s">
        <v>2695</v>
      </c>
      <c r="I14" s="1488" t="s">
        <v>2695</v>
      </c>
      <c r="J14" s="1488" t="s">
        <v>2696</v>
      </c>
      <c r="K14" s="1488" t="s">
        <v>2711</v>
      </c>
      <c r="L14" s="1610" t="s">
        <v>2686</v>
      </c>
    </row>
    <row r="15" spans="1:17">
      <c r="A15" s="1612" t="s">
        <v>2712</v>
      </c>
      <c r="B15" s="1488" t="s">
        <v>2692</v>
      </c>
      <c r="C15" s="1488" t="s">
        <v>2693</v>
      </c>
      <c r="D15" s="1488" t="s">
        <v>2694</v>
      </c>
      <c r="E15" s="1488" t="s">
        <v>2686</v>
      </c>
      <c r="F15" s="1488" t="s">
        <v>2686</v>
      </c>
      <c r="G15" s="1488" t="s">
        <v>2686</v>
      </c>
      <c r="H15" s="1611" t="s">
        <v>2695</v>
      </c>
      <c r="I15" s="1488" t="s">
        <v>2695</v>
      </c>
      <c r="J15" s="1488" t="s">
        <v>2696</v>
      </c>
      <c r="K15" s="1488" t="s">
        <v>2696</v>
      </c>
      <c r="L15" s="1610" t="s">
        <v>2686</v>
      </c>
    </row>
    <row r="16" spans="1:17">
      <c r="A16" s="1612" t="s">
        <v>2713</v>
      </c>
      <c r="B16" s="1488" t="s">
        <v>2692</v>
      </c>
      <c r="C16" s="1488" t="s">
        <v>2693</v>
      </c>
      <c r="D16" s="1488" t="s">
        <v>2710</v>
      </c>
      <c r="E16" s="1488" t="s">
        <v>2693</v>
      </c>
      <c r="F16" s="1488" t="s">
        <v>2693</v>
      </c>
      <c r="G16" s="1488" t="s">
        <v>2686</v>
      </c>
      <c r="H16" s="1611" t="s">
        <v>2695</v>
      </c>
      <c r="I16" s="1488" t="s">
        <v>2695</v>
      </c>
      <c r="J16" s="1488" t="s">
        <v>2696</v>
      </c>
      <c r="K16" s="1488" t="s">
        <v>2696</v>
      </c>
      <c r="L16" s="1610" t="s">
        <v>2693</v>
      </c>
    </row>
    <row r="17" spans="1:12">
      <c r="A17" s="1612" t="s">
        <v>2714</v>
      </c>
      <c r="B17" s="1488" t="s">
        <v>2692</v>
      </c>
      <c r="C17" s="1488" t="s">
        <v>2688</v>
      </c>
      <c r="D17" s="1488" t="s">
        <v>2694</v>
      </c>
      <c r="E17" s="1488" t="s">
        <v>2693</v>
      </c>
      <c r="F17" s="1488" t="s">
        <v>2693</v>
      </c>
      <c r="G17" s="1488" t="s">
        <v>2686</v>
      </c>
      <c r="H17" s="1611" t="s">
        <v>2695</v>
      </c>
      <c r="I17" s="1488" t="s">
        <v>2695</v>
      </c>
      <c r="J17" s="1488" t="s">
        <v>2696</v>
      </c>
      <c r="K17" s="1488" t="s">
        <v>2696</v>
      </c>
      <c r="L17" s="1610" t="s">
        <v>2693</v>
      </c>
    </row>
    <row r="18" spans="1:12">
      <c r="A18" s="1612" t="s">
        <v>2715</v>
      </c>
      <c r="B18" s="1488" t="s">
        <v>2685</v>
      </c>
      <c r="C18" s="1488" t="s">
        <v>2693</v>
      </c>
      <c r="D18" s="1488" t="s">
        <v>2687</v>
      </c>
      <c r="E18" s="1488" t="s">
        <v>2686</v>
      </c>
      <c r="F18" s="1488" t="s">
        <v>2686</v>
      </c>
      <c r="G18" s="1488" t="s">
        <v>2686</v>
      </c>
      <c r="H18" s="1611" t="s">
        <v>2695</v>
      </c>
      <c r="I18" s="1488" t="s">
        <v>2696</v>
      </c>
      <c r="J18" s="1488" t="s">
        <v>2696</v>
      </c>
      <c r="K18" s="1488" t="s">
        <v>2696</v>
      </c>
      <c r="L18" s="1610" t="s">
        <v>2693</v>
      </c>
    </row>
    <row r="19" spans="1:12">
      <c r="A19" s="1612" t="s">
        <v>2716</v>
      </c>
      <c r="B19" s="1488" t="s">
        <v>2685</v>
      </c>
      <c r="C19" s="1488" t="s">
        <v>2693</v>
      </c>
      <c r="D19" s="1488" t="s">
        <v>2687</v>
      </c>
      <c r="E19" s="1488" t="s">
        <v>2686</v>
      </c>
      <c r="F19" s="1488" t="s">
        <v>2686</v>
      </c>
      <c r="G19" s="1488" t="s">
        <v>2686</v>
      </c>
      <c r="H19" s="1611" t="s">
        <v>2695</v>
      </c>
      <c r="I19" s="1488" t="s">
        <v>2695</v>
      </c>
      <c r="J19" s="1488" t="s">
        <v>2696</v>
      </c>
      <c r="K19" s="1488" t="s">
        <v>2696</v>
      </c>
      <c r="L19" s="1610" t="s">
        <v>2686</v>
      </c>
    </row>
    <row r="20" spans="1:12">
      <c r="A20" s="1612" t="s">
        <v>2717</v>
      </c>
      <c r="B20" s="1488" t="s">
        <v>2685</v>
      </c>
      <c r="C20" s="1488" t="s">
        <v>2686</v>
      </c>
      <c r="D20" s="1488" t="s">
        <v>2687</v>
      </c>
      <c r="E20" s="1488" t="s">
        <v>2686</v>
      </c>
      <c r="F20" s="1488" t="s">
        <v>2686</v>
      </c>
      <c r="G20" s="1488" t="s">
        <v>2686</v>
      </c>
      <c r="H20" s="1611" t="s">
        <v>2696</v>
      </c>
      <c r="I20" s="1488" t="s">
        <v>2696</v>
      </c>
      <c r="J20" s="1488" t="s">
        <v>2696</v>
      </c>
      <c r="K20" s="1488" t="s">
        <v>2696</v>
      </c>
      <c r="L20" s="1610" t="s">
        <v>2686</v>
      </c>
    </row>
    <row r="21" spans="1:12">
      <c r="A21" s="1612" t="s">
        <v>2718</v>
      </c>
      <c r="B21" s="1488" t="s">
        <v>2685</v>
      </c>
      <c r="C21" s="1488" t="s">
        <v>2693</v>
      </c>
      <c r="D21" s="1488" t="s">
        <v>2687</v>
      </c>
      <c r="E21" s="1488" t="s">
        <v>2686</v>
      </c>
      <c r="F21" s="1488" t="s">
        <v>2686</v>
      </c>
      <c r="G21" s="1488" t="s">
        <v>2686</v>
      </c>
      <c r="H21" s="1611" t="s">
        <v>2708</v>
      </c>
      <c r="I21" s="1488" t="s">
        <v>2708</v>
      </c>
      <c r="J21" s="1488" t="s">
        <v>2696</v>
      </c>
      <c r="K21" s="1488" t="s">
        <v>2696</v>
      </c>
      <c r="L21" s="1610" t="s">
        <v>2686</v>
      </c>
    </row>
    <row r="22" spans="1:12">
      <c r="A22" s="1612" t="s">
        <v>2719</v>
      </c>
      <c r="B22" s="1488" t="s">
        <v>2216</v>
      </c>
      <c r="C22" s="1488" t="s">
        <v>2693</v>
      </c>
      <c r="D22" s="1488" t="s">
        <v>2687</v>
      </c>
      <c r="E22" s="1488" t="s">
        <v>2686</v>
      </c>
      <c r="F22" s="1488" t="s">
        <v>2686</v>
      </c>
      <c r="G22" s="1488" t="s">
        <v>2686</v>
      </c>
      <c r="H22" s="1611" t="s">
        <v>2695</v>
      </c>
      <c r="I22" s="1488" t="s">
        <v>2695</v>
      </c>
      <c r="J22" s="1488" t="s">
        <v>2696</v>
      </c>
      <c r="K22" s="1488" t="s">
        <v>2696</v>
      </c>
      <c r="L22" s="1610" t="s">
        <v>2693</v>
      </c>
    </row>
    <row r="23" spans="1:12">
      <c r="A23" s="1612" t="s">
        <v>2720</v>
      </c>
      <c r="B23" s="1488" t="s">
        <v>2685</v>
      </c>
      <c r="C23" s="1488" t="s">
        <v>2686</v>
      </c>
      <c r="D23" s="1488" t="s">
        <v>2710</v>
      </c>
      <c r="E23" s="1488" t="s">
        <v>2686</v>
      </c>
      <c r="F23" s="1488" t="s">
        <v>2686</v>
      </c>
      <c r="G23" s="1488" t="s">
        <v>2688</v>
      </c>
      <c r="H23" s="1611" t="s">
        <v>2705</v>
      </c>
      <c r="I23" s="1488" t="s">
        <v>2705</v>
      </c>
      <c r="J23" s="1488" t="s">
        <v>2705</v>
      </c>
      <c r="K23" s="1488" t="s">
        <v>2705</v>
      </c>
      <c r="L23" s="1610" t="s">
        <v>2693</v>
      </c>
    </row>
    <row r="24" spans="1:12">
      <c r="A24" s="1612" t="s">
        <v>2721</v>
      </c>
      <c r="B24" s="1488" t="s">
        <v>2685</v>
      </c>
      <c r="C24" s="1488" t="s">
        <v>2686</v>
      </c>
      <c r="D24" s="1488" t="s">
        <v>2694</v>
      </c>
      <c r="E24" s="1488" t="s">
        <v>2686</v>
      </c>
      <c r="F24" s="1488" t="s">
        <v>2686</v>
      </c>
      <c r="G24" s="1488" t="s">
        <v>2688</v>
      </c>
      <c r="H24" s="1611" t="s">
        <v>2696</v>
      </c>
      <c r="I24" s="1488" t="s">
        <v>2696</v>
      </c>
      <c r="J24" s="1488" t="s">
        <v>2696</v>
      </c>
      <c r="K24" s="1488" t="s">
        <v>2722</v>
      </c>
      <c r="L24" s="1610" t="s">
        <v>2686</v>
      </c>
    </row>
    <row r="25" spans="1:12">
      <c r="A25" s="1612" t="s">
        <v>2723</v>
      </c>
      <c r="B25" s="1488" t="s">
        <v>2685</v>
      </c>
      <c r="C25" s="1488" t="s">
        <v>2693</v>
      </c>
      <c r="D25" s="1488" t="s">
        <v>2687</v>
      </c>
      <c r="E25" s="1488" t="s">
        <v>2686</v>
      </c>
      <c r="F25" s="1488" t="s">
        <v>2686</v>
      </c>
      <c r="G25" s="1488" t="s">
        <v>2686</v>
      </c>
      <c r="H25" s="1611" t="s">
        <v>2695</v>
      </c>
      <c r="I25" s="1488" t="s">
        <v>2696</v>
      </c>
      <c r="J25" s="1488" t="s">
        <v>2696</v>
      </c>
      <c r="K25" s="1488" t="s">
        <v>2696</v>
      </c>
      <c r="L25" s="1610" t="s">
        <v>2693</v>
      </c>
    </row>
    <row r="26" spans="1:12">
      <c r="A26" s="1612" t="s">
        <v>2724</v>
      </c>
      <c r="B26" s="1488" t="s">
        <v>2685</v>
      </c>
      <c r="C26" s="1488" t="s">
        <v>2693</v>
      </c>
      <c r="D26" s="1488" t="s">
        <v>2687</v>
      </c>
      <c r="E26" s="1488" t="s">
        <v>2693</v>
      </c>
      <c r="F26" s="1488" t="s">
        <v>2693</v>
      </c>
      <c r="G26" s="1488" t="s">
        <v>2686</v>
      </c>
      <c r="H26" s="1611" t="s">
        <v>2695</v>
      </c>
      <c r="I26" s="1488" t="s">
        <v>2695</v>
      </c>
      <c r="J26" s="1488" t="s">
        <v>2696</v>
      </c>
      <c r="K26" s="1488" t="s">
        <v>2725</v>
      </c>
      <c r="L26" s="1610" t="s">
        <v>2686</v>
      </c>
    </row>
    <row r="27" spans="1:12">
      <c r="A27" s="1612" t="s">
        <v>2726</v>
      </c>
      <c r="B27" s="1488" t="s">
        <v>2685</v>
      </c>
      <c r="C27" s="1488" t="s">
        <v>2686</v>
      </c>
      <c r="D27" s="1488" t="s">
        <v>2687</v>
      </c>
      <c r="E27" s="1488" t="s">
        <v>2686</v>
      </c>
      <c r="F27" s="1488" t="s">
        <v>2686</v>
      </c>
      <c r="G27" s="1488" t="s">
        <v>2693</v>
      </c>
      <c r="H27" s="1611" t="s">
        <v>2695</v>
      </c>
      <c r="I27" s="1488" t="s">
        <v>2695</v>
      </c>
      <c r="J27" s="1488" t="s">
        <v>2696</v>
      </c>
      <c r="K27" s="1488" t="s">
        <v>2696</v>
      </c>
      <c r="L27" s="1610" t="s">
        <v>2693</v>
      </c>
    </row>
    <row r="28" spans="1:12">
      <c r="A28" s="1612" t="s">
        <v>2727</v>
      </c>
      <c r="B28" s="1488" t="s">
        <v>2692</v>
      </c>
      <c r="C28" s="1488" t="s">
        <v>2693</v>
      </c>
      <c r="D28" s="1488" t="s">
        <v>2687</v>
      </c>
      <c r="E28" s="1488" t="s">
        <v>2686</v>
      </c>
      <c r="F28" s="1488" t="s">
        <v>2686</v>
      </c>
      <c r="G28" s="1488" t="s">
        <v>2686</v>
      </c>
      <c r="H28" s="1611" t="s">
        <v>2728</v>
      </c>
      <c r="I28" s="1488" t="s">
        <v>2728</v>
      </c>
      <c r="J28" s="1488" t="s">
        <v>2729</v>
      </c>
      <c r="K28" s="1488" t="s">
        <v>2729</v>
      </c>
      <c r="L28" s="1610" t="s">
        <v>2686</v>
      </c>
    </row>
    <row r="29" spans="1:12">
      <c r="A29" s="1612" t="s">
        <v>2730</v>
      </c>
      <c r="B29" s="1488" t="s">
        <v>2685</v>
      </c>
      <c r="C29" s="1488" t="s">
        <v>2686</v>
      </c>
      <c r="D29" s="1488" t="s">
        <v>2687</v>
      </c>
      <c r="E29" s="1488" t="s">
        <v>2731</v>
      </c>
      <c r="F29" s="1488" t="s">
        <v>2693</v>
      </c>
      <c r="G29" s="1488" t="s">
        <v>2686</v>
      </c>
      <c r="H29" s="1611" t="s">
        <v>2732</v>
      </c>
      <c r="I29" s="1488" t="s">
        <v>2732</v>
      </c>
      <c r="J29" s="1488" t="s">
        <v>2733</v>
      </c>
      <c r="K29" s="1488" t="s">
        <v>2733</v>
      </c>
      <c r="L29" s="1610" t="s">
        <v>2693</v>
      </c>
    </row>
    <row r="30" spans="1:12">
      <c r="A30" s="1612" t="s">
        <v>2734</v>
      </c>
      <c r="B30" s="1488" t="s">
        <v>2685</v>
      </c>
      <c r="C30" s="1488" t="s">
        <v>2686</v>
      </c>
      <c r="D30" s="1488" t="s">
        <v>2694</v>
      </c>
      <c r="E30" s="1488" t="s">
        <v>2693</v>
      </c>
      <c r="F30" s="1488" t="s">
        <v>2693</v>
      </c>
      <c r="G30" s="1488" t="s">
        <v>2686</v>
      </c>
      <c r="H30" s="1611" t="s">
        <v>2696</v>
      </c>
      <c r="I30" s="1488" t="s">
        <v>2699</v>
      </c>
      <c r="J30" s="1488" t="s">
        <v>2696</v>
      </c>
      <c r="K30" s="1488" t="s">
        <v>2700</v>
      </c>
      <c r="L30" s="1610" t="s">
        <v>2686</v>
      </c>
    </row>
    <row r="31" spans="1:12">
      <c r="A31" s="1612" t="s">
        <v>2735</v>
      </c>
      <c r="B31" s="1488" t="s">
        <v>2685</v>
      </c>
      <c r="C31" s="1488" t="s">
        <v>2688</v>
      </c>
      <c r="D31" s="1488" t="s">
        <v>2687</v>
      </c>
      <c r="E31" s="1488" t="s">
        <v>2686</v>
      </c>
      <c r="F31" s="1488" t="s">
        <v>2686</v>
      </c>
      <c r="G31" s="1488" t="s">
        <v>2686</v>
      </c>
      <c r="H31" s="1611" t="s">
        <v>2695</v>
      </c>
      <c r="I31" s="1488" t="s">
        <v>2695</v>
      </c>
      <c r="J31" s="1488" t="s">
        <v>2696</v>
      </c>
      <c r="K31" s="1488" t="s">
        <v>2696</v>
      </c>
      <c r="L31" s="1610" t="s">
        <v>2686</v>
      </c>
    </row>
    <row r="32" spans="1:12">
      <c r="A32" s="1612" t="s">
        <v>2736</v>
      </c>
      <c r="B32" s="1488" t="s">
        <v>2685</v>
      </c>
      <c r="C32" s="1488" t="s">
        <v>2693</v>
      </c>
      <c r="D32" s="1488" t="s">
        <v>2687</v>
      </c>
      <c r="E32" s="1488" t="s">
        <v>2686</v>
      </c>
      <c r="F32" s="1488" t="s">
        <v>2686</v>
      </c>
      <c r="G32" s="1488" t="s">
        <v>2686</v>
      </c>
      <c r="H32" s="1611" t="s">
        <v>2695</v>
      </c>
      <c r="I32" s="1488" t="s">
        <v>2695</v>
      </c>
      <c r="J32" s="1488" t="s">
        <v>2696</v>
      </c>
      <c r="K32" s="1488" t="s">
        <v>2696</v>
      </c>
      <c r="L32" s="1610" t="s">
        <v>2686</v>
      </c>
    </row>
    <row r="33" spans="1:12">
      <c r="A33" s="1612" t="s">
        <v>2737</v>
      </c>
      <c r="B33" s="1488" t="s">
        <v>2685</v>
      </c>
      <c r="C33" s="1488" t="s">
        <v>2693</v>
      </c>
      <c r="D33" s="1488" t="s">
        <v>2687</v>
      </c>
      <c r="E33" s="1488" t="s">
        <v>2686</v>
      </c>
      <c r="F33" s="1488" t="s">
        <v>2686</v>
      </c>
      <c r="G33" s="1488" t="s">
        <v>2686</v>
      </c>
      <c r="H33" s="1611" t="s">
        <v>2708</v>
      </c>
      <c r="I33" s="1488" t="s">
        <v>2708</v>
      </c>
      <c r="J33" s="1488" t="s">
        <v>2696</v>
      </c>
      <c r="K33" s="1488" t="s">
        <v>2696</v>
      </c>
      <c r="L33" s="1610" t="s">
        <v>2693</v>
      </c>
    </row>
    <row r="34" spans="1:12">
      <c r="A34" s="1612" t="s">
        <v>2738</v>
      </c>
      <c r="B34" s="1488" t="s">
        <v>2685</v>
      </c>
      <c r="C34" s="1488" t="s">
        <v>2693</v>
      </c>
      <c r="D34" s="1488" t="s">
        <v>2694</v>
      </c>
      <c r="E34" s="1488" t="s">
        <v>2686</v>
      </c>
      <c r="F34" s="1488" t="s">
        <v>2686</v>
      </c>
      <c r="G34" s="1488" t="s">
        <v>2686</v>
      </c>
      <c r="H34" s="1611" t="s">
        <v>2708</v>
      </c>
      <c r="I34" s="1488" t="s">
        <v>2708</v>
      </c>
      <c r="J34" s="1488" t="s">
        <v>2696</v>
      </c>
      <c r="K34" s="1488" t="s">
        <v>2696</v>
      </c>
      <c r="L34" s="1610" t="s">
        <v>2693</v>
      </c>
    </row>
    <row r="35" spans="1:12">
      <c r="A35" s="1612" t="s">
        <v>2739</v>
      </c>
      <c r="B35" s="1488" t="s">
        <v>2685</v>
      </c>
      <c r="C35" s="1488" t="s">
        <v>2693</v>
      </c>
      <c r="D35" s="1488" t="s">
        <v>2687</v>
      </c>
      <c r="E35" s="1488" t="s">
        <v>2686</v>
      </c>
      <c r="F35" s="1488" t="s">
        <v>2686</v>
      </c>
      <c r="G35" s="1488" t="s">
        <v>2688</v>
      </c>
      <c r="H35" s="1611" t="s">
        <v>2695</v>
      </c>
      <c r="I35" s="1488" t="s">
        <v>2695</v>
      </c>
      <c r="J35" s="1488" t="s">
        <v>2696</v>
      </c>
      <c r="K35" s="1488" t="s">
        <v>2696</v>
      </c>
      <c r="L35" s="1610" t="s">
        <v>2686</v>
      </c>
    </row>
    <row r="36" spans="1:12">
      <c r="A36" s="1612" t="s">
        <v>2740</v>
      </c>
      <c r="B36" s="1488" t="s">
        <v>2685</v>
      </c>
      <c r="C36" s="1488" t="s">
        <v>2693</v>
      </c>
      <c r="D36" s="1488" t="s">
        <v>2694</v>
      </c>
      <c r="E36" s="1488" t="s">
        <v>2686</v>
      </c>
      <c r="F36" s="1488" t="s">
        <v>2686</v>
      </c>
      <c r="G36" s="1488" t="s">
        <v>2686</v>
      </c>
      <c r="H36" s="1611" t="s">
        <v>2696</v>
      </c>
      <c r="I36" s="1488" t="s">
        <v>2696</v>
      </c>
      <c r="J36" s="1488" t="s">
        <v>2696</v>
      </c>
      <c r="K36" s="1488" t="s">
        <v>2696</v>
      </c>
      <c r="L36" s="1610" t="s">
        <v>2686</v>
      </c>
    </row>
    <row r="37" spans="1:12">
      <c r="A37" s="1612" t="s">
        <v>2741</v>
      </c>
      <c r="B37" s="1488" t="s">
        <v>2698</v>
      </c>
      <c r="C37" s="1488" t="s">
        <v>2686</v>
      </c>
      <c r="D37" s="1488" t="s">
        <v>2694</v>
      </c>
      <c r="E37" s="1488" t="s">
        <v>2686</v>
      </c>
      <c r="F37" s="1488" t="s">
        <v>2686</v>
      </c>
      <c r="G37" s="1488" t="s">
        <v>2686</v>
      </c>
      <c r="H37" s="1611" t="s">
        <v>2696</v>
      </c>
      <c r="I37" s="1488" t="s">
        <v>2696</v>
      </c>
      <c r="J37" s="1488" t="s">
        <v>2696</v>
      </c>
      <c r="K37" s="1488" t="s">
        <v>2696</v>
      </c>
      <c r="L37" s="1610" t="s">
        <v>2686</v>
      </c>
    </row>
    <row r="38" spans="1:12">
      <c r="A38" s="1612" t="s">
        <v>2742</v>
      </c>
      <c r="B38" s="1488" t="s">
        <v>2216</v>
      </c>
      <c r="C38" s="1488" t="s">
        <v>2686</v>
      </c>
      <c r="D38" s="1488" t="s">
        <v>2694</v>
      </c>
      <c r="E38" s="1488" t="s">
        <v>2693</v>
      </c>
      <c r="F38" s="1488" t="s">
        <v>2693</v>
      </c>
      <c r="G38" s="1488" t="s">
        <v>2693</v>
      </c>
      <c r="H38" s="1611" t="s">
        <v>2695</v>
      </c>
      <c r="I38" s="1488" t="s">
        <v>2696</v>
      </c>
      <c r="J38" s="1488" t="s">
        <v>2743</v>
      </c>
      <c r="K38" s="1488" t="s">
        <v>2696</v>
      </c>
      <c r="L38" s="1610" t="s">
        <v>2693</v>
      </c>
    </row>
    <row r="39" spans="1:12">
      <c r="A39" s="1612" t="s">
        <v>2744</v>
      </c>
      <c r="B39" s="1488" t="s">
        <v>2685</v>
      </c>
      <c r="C39" s="1488" t="s">
        <v>2686</v>
      </c>
      <c r="D39" s="1488" t="s">
        <v>2687</v>
      </c>
      <c r="E39" s="1488" t="s">
        <v>2686</v>
      </c>
      <c r="F39" s="1488" t="s">
        <v>2686</v>
      </c>
      <c r="G39" s="1488" t="s">
        <v>2686</v>
      </c>
      <c r="H39" s="1611" t="s">
        <v>2696</v>
      </c>
      <c r="I39" s="1488" t="s">
        <v>2696</v>
      </c>
      <c r="J39" s="1488" t="s">
        <v>2696</v>
      </c>
      <c r="K39" s="1488" t="s">
        <v>2696</v>
      </c>
      <c r="L39" s="1610" t="s">
        <v>2686</v>
      </c>
    </row>
    <row r="40" spans="1:12" ht="18" customHeight="1" thickBot="1">
      <c r="A40" s="1609" t="s">
        <v>2745</v>
      </c>
      <c r="B40" s="1608" t="s">
        <v>2698</v>
      </c>
      <c r="C40" s="1608" t="s">
        <v>2688</v>
      </c>
      <c r="D40" s="1608" t="s">
        <v>2710</v>
      </c>
      <c r="E40" s="1608" t="s">
        <v>2686</v>
      </c>
      <c r="F40" s="1608" t="s">
        <v>2686</v>
      </c>
      <c r="G40" s="1608" t="s">
        <v>2686</v>
      </c>
      <c r="H40" s="1608" t="s">
        <v>2746</v>
      </c>
      <c r="I40" s="1608" t="s">
        <v>2746</v>
      </c>
      <c r="J40" s="1608" t="s">
        <v>2725</v>
      </c>
      <c r="K40" s="1608" t="s">
        <v>2725</v>
      </c>
      <c r="L40" s="1607" t="s">
        <v>2693</v>
      </c>
    </row>
    <row r="41" spans="1:12" ht="16" thickTop="1">
      <c r="A41" s="1484"/>
      <c r="B41" s="1484"/>
      <c r="C41" s="1484"/>
      <c r="D41" s="1484"/>
      <c r="E41" s="1484"/>
      <c r="F41" s="1484"/>
      <c r="G41" s="1484"/>
      <c r="H41" s="1484"/>
      <c r="I41" s="1484"/>
      <c r="J41" s="1484"/>
      <c r="K41" s="1484"/>
      <c r="L41" s="1484"/>
    </row>
    <row r="42" spans="1:12" ht="16" thickBot="1">
      <c r="A42" s="1484"/>
      <c r="B42" s="1484"/>
      <c r="C42" s="1484"/>
      <c r="D42" s="1484"/>
      <c r="E42" s="1484"/>
      <c r="F42" s="1484"/>
      <c r="G42" s="1484"/>
      <c r="H42" s="1484"/>
      <c r="I42" s="1484"/>
      <c r="J42" s="1484"/>
      <c r="K42" s="1484"/>
      <c r="L42" s="1484"/>
    </row>
    <row r="43" spans="1:12">
      <c r="A43" s="1606" t="s">
        <v>3332</v>
      </c>
      <c r="B43" s="1490"/>
      <c r="C43" s="1490"/>
      <c r="D43" s="1490"/>
      <c r="E43" s="1490"/>
      <c r="F43" s="1490"/>
      <c r="G43" s="1490"/>
      <c r="H43" s="1490"/>
      <c r="I43" s="1490"/>
      <c r="J43" s="1490"/>
      <c r="K43" s="1490"/>
      <c r="L43" s="1489"/>
    </row>
    <row r="44" spans="1:12">
      <c r="A44" s="1546" t="s">
        <v>3331</v>
      </c>
      <c r="B44" s="1488"/>
      <c r="C44" s="1488"/>
      <c r="D44" s="1488"/>
      <c r="E44" s="1488"/>
      <c r="F44" s="1488"/>
      <c r="G44" s="1488"/>
      <c r="H44" s="1488"/>
      <c r="I44" s="1488"/>
      <c r="J44" s="1488"/>
      <c r="K44" s="1488"/>
      <c r="L44" s="1487"/>
    </row>
    <row r="45" spans="1:12" ht="16" thickBot="1">
      <c r="A45" s="1427" t="s">
        <v>2782</v>
      </c>
      <c r="B45" s="1486"/>
      <c r="C45" s="1486"/>
      <c r="D45" s="1486"/>
      <c r="E45" s="1486"/>
      <c r="F45" s="1486"/>
      <c r="G45" s="1486"/>
      <c r="H45" s="1486"/>
      <c r="I45" s="1486"/>
      <c r="J45" s="1486"/>
      <c r="K45" s="1486"/>
      <c r="L45" s="1485"/>
    </row>
    <row r="46" spans="1:12">
      <c r="A46" s="1511"/>
    </row>
  </sheetData>
  <mergeCells count="1">
    <mergeCell ref="A3:L3"/>
  </mergeCells>
  <hyperlinks>
    <hyperlink ref="A45" r:id="rId1"/>
  </hyperlinks>
  <pageMargins left="0.7" right="0.7" top="0.75" bottom="0.75" header="0.3" footer="0.3"/>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D35"/>
  <sheetViews>
    <sheetView zoomScale="80" zoomScaleNormal="80" zoomScalePageLayoutView="80" workbookViewId="0">
      <selection activeCell="C29" sqref="C29:C35"/>
    </sheetView>
  </sheetViews>
  <sheetFormatPr baseColWidth="10" defaultRowHeight="15" x14ac:dyDescent="0"/>
  <cols>
    <col min="1" max="1" width="10.7109375" style="1544"/>
    <col min="2" max="2" width="8.85546875" style="1544" customWidth="1"/>
    <col min="3" max="3" width="28.28515625" style="1544" customWidth="1"/>
    <col min="4" max="4" width="45.7109375" style="1544" customWidth="1"/>
    <col min="5" max="5" width="10.7109375" style="1544"/>
    <col min="6" max="6" width="51.5703125" style="1544" customWidth="1"/>
    <col min="7" max="16384" width="10.7109375" style="1544"/>
  </cols>
  <sheetData>
    <row r="2" spans="3:4" ht="16" thickBot="1"/>
    <row r="3" spans="3:4" ht="19" thickTop="1">
      <c r="C3" s="1931" t="s">
        <v>3334</v>
      </c>
      <c r="D3" s="1932"/>
    </row>
    <row r="4" spans="3:4" ht="18">
      <c r="C4" s="1666"/>
      <c r="D4" s="1667"/>
    </row>
    <row r="5" spans="3:4">
      <c r="C5" s="1638" t="s">
        <v>1955</v>
      </c>
      <c r="D5" s="1637" t="s">
        <v>3335</v>
      </c>
    </row>
    <row r="6" spans="3:4">
      <c r="C6" s="1635" t="s">
        <v>1935</v>
      </c>
      <c r="D6" s="1636">
        <v>2.0205520044552124E-2</v>
      </c>
    </row>
    <row r="7" spans="3:4">
      <c r="C7" s="1635" t="s">
        <v>2748</v>
      </c>
      <c r="D7" s="1629">
        <v>0.14049233486153823</v>
      </c>
    </row>
    <row r="8" spans="3:4">
      <c r="C8" s="1635" t="s">
        <v>1436</v>
      </c>
      <c r="D8" s="1629">
        <v>0.1453065729937858</v>
      </c>
    </row>
    <row r="9" spans="3:4">
      <c r="C9" s="1635" t="s">
        <v>1897</v>
      </c>
      <c r="D9" s="1629">
        <v>0.14870735657447709</v>
      </c>
    </row>
    <row r="10" spans="3:4">
      <c r="C10" s="1635" t="s">
        <v>1891</v>
      </c>
      <c r="D10" s="1629">
        <v>0.18990020004572372</v>
      </c>
    </row>
    <row r="11" spans="3:4">
      <c r="C11" s="1635" t="s">
        <v>2749</v>
      </c>
      <c r="D11" s="1629">
        <v>0.19047339472170111</v>
      </c>
    </row>
    <row r="12" spans="3:4">
      <c r="C12" s="1635" t="s">
        <v>1892</v>
      </c>
      <c r="D12" s="1629">
        <v>0.19734822513247399</v>
      </c>
    </row>
    <row r="13" spans="3:4">
      <c r="C13" s="1635" t="s">
        <v>1913</v>
      </c>
      <c r="D13" s="1629">
        <v>0.21371352222795006</v>
      </c>
    </row>
    <row r="14" spans="3:4">
      <c r="C14" s="1635" t="s">
        <v>1890</v>
      </c>
      <c r="D14" s="1629">
        <v>0.23956444921923045</v>
      </c>
    </row>
    <row r="15" spans="3:4">
      <c r="C15" s="1635" t="s">
        <v>1942</v>
      </c>
      <c r="D15" s="1629">
        <v>0.24342074960625124</v>
      </c>
    </row>
    <row r="16" spans="3:4">
      <c r="C16" s="1635" t="s">
        <v>1930</v>
      </c>
      <c r="D16" s="1629">
        <v>0.2941373546002311</v>
      </c>
    </row>
    <row r="17" spans="3:4">
      <c r="C17" s="1635" t="s">
        <v>1896</v>
      </c>
      <c r="D17" s="1629">
        <v>0.30548375289191754</v>
      </c>
    </row>
    <row r="18" spans="3:4" ht="16" thickBot="1">
      <c r="C18" s="1634" t="s">
        <v>1900</v>
      </c>
      <c r="D18" s="1627">
        <v>0.4754030188392297</v>
      </c>
    </row>
    <row r="19" spans="3:4" ht="17" thickTop="1" thickBot="1">
      <c r="C19" s="1633"/>
      <c r="D19" s="1633"/>
    </row>
    <row r="20" spans="3:4" ht="16" thickTop="1">
      <c r="C20" s="1632" t="s">
        <v>3453</v>
      </c>
      <c r="D20" s="1631" t="s">
        <v>2784</v>
      </c>
    </row>
    <row r="21" spans="3:4">
      <c r="C21" s="1630" t="s">
        <v>2751</v>
      </c>
      <c r="D21" s="1629">
        <v>0.14506675218902906</v>
      </c>
    </row>
    <row r="22" spans="3:4">
      <c r="C22" s="1630" t="s">
        <v>2752</v>
      </c>
      <c r="D22" s="1629">
        <v>0.21918892525786024</v>
      </c>
    </row>
    <row r="23" spans="3:4" ht="16" thickBot="1">
      <c r="C23" s="1628" t="s">
        <v>1900</v>
      </c>
      <c r="D23" s="1627">
        <v>0.4754030188392297</v>
      </c>
    </row>
    <row r="24" spans="3:4" ht="17" thickTop="1" thickBot="1">
      <c r="C24" s="1483"/>
      <c r="D24" s="1483"/>
    </row>
    <row r="25" spans="3:4">
      <c r="C25" s="1434" t="s">
        <v>3456</v>
      </c>
      <c r="D25" s="1626"/>
    </row>
    <row r="26" spans="3:4">
      <c r="C26" s="1436" t="s">
        <v>3416</v>
      </c>
      <c r="D26" s="1624"/>
    </row>
    <row r="27" spans="3:4">
      <c r="C27" s="1625" t="s">
        <v>3296</v>
      </c>
      <c r="D27" s="1624"/>
    </row>
    <row r="28" spans="3:4" ht="20" customHeight="1">
      <c r="C28" s="1435" t="s">
        <v>3316</v>
      </c>
      <c r="D28" s="1624"/>
    </row>
    <row r="29" spans="3:4">
      <c r="C29" s="1436" t="s">
        <v>3297</v>
      </c>
      <c r="D29" s="1624"/>
    </row>
    <row r="30" spans="3:4">
      <c r="C30" s="1625" t="s">
        <v>3298</v>
      </c>
      <c r="D30" s="1624"/>
    </row>
    <row r="31" spans="3:4">
      <c r="C31" s="1625" t="s">
        <v>3299</v>
      </c>
      <c r="D31" s="1624"/>
    </row>
    <row r="32" spans="3:4">
      <c r="C32" s="1625" t="s">
        <v>3300</v>
      </c>
      <c r="D32" s="1624"/>
    </row>
    <row r="33" spans="3:4">
      <c r="C33" s="1625" t="s">
        <v>3301</v>
      </c>
      <c r="D33" s="1624"/>
    </row>
    <row r="34" spans="3:4">
      <c r="C34" s="1625" t="s">
        <v>3302</v>
      </c>
      <c r="D34" s="1624"/>
    </row>
    <row r="35" spans="3:4" ht="16" thickBot="1">
      <c r="C35" s="1623" t="s">
        <v>3303</v>
      </c>
      <c r="D35" s="1622"/>
    </row>
  </sheetData>
  <mergeCells count="1">
    <mergeCell ref="C3:D3"/>
  </mergeCells>
  <pageMargins left="0.7" right="0.7" top="0.75" bottom="0.75" header="0.3" footer="0.3"/>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R51"/>
  <sheetViews>
    <sheetView topLeftCell="A22" zoomScale="80" zoomScaleNormal="80" zoomScalePageLayoutView="80" workbookViewId="0">
      <selection activeCell="X67" sqref="X67"/>
    </sheetView>
  </sheetViews>
  <sheetFormatPr baseColWidth="10" defaultColWidth="7.5703125" defaultRowHeight="15" x14ac:dyDescent="0"/>
  <cols>
    <col min="1" max="1" width="6.42578125" style="1544" customWidth="1"/>
    <col min="2" max="2" width="18.85546875" style="1544" customWidth="1"/>
    <col min="3" max="3" width="14.42578125" style="1544" customWidth="1"/>
    <col min="4" max="4" width="20.5703125" style="1544" customWidth="1"/>
    <col min="5" max="5" width="11.140625" style="1544" customWidth="1"/>
    <col min="6" max="6" width="16.28515625" style="1544" customWidth="1"/>
    <col min="7" max="7" width="13" style="1544" customWidth="1"/>
    <col min="8" max="8" width="13.42578125" style="1544" customWidth="1"/>
    <col min="9" max="9" width="12.140625" style="1544" customWidth="1"/>
    <col min="10" max="10" width="15.140625" style="1544" customWidth="1"/>
    <col min="11" max="11" width="20.5703125" style="1544" customWidth="1"/>
    <col min="12" max="12" width="13.5703125" style="1544" customWidth="1"/>
    <col min="13" max="13" width="16.28515625" style="1544" customWidth="1"/>
    <col min="14" max="14" width="14.140625" style="1544" customWidth="1"/>
    <col min="15" max="15" width="14.28515625" style="1544" customWidth="1"/>
    <col min="16" max="16" width="13.140625" style="1544" customWidth="1"/>
    <col min="17" max="17" width="23.5703125" style="1544" customWidth="1"/>
    <col min="18" max="18" width="17.28515625" style="1544" customWidth="1"/>
    <col min="19" max="16384" width="7.5703125" style="1544"/>
  </cols>
  <sheetData>
    <row r="4" spans="2:18" ht="16" thickBot="1"/>
    <row r="5" spans="2:18" ht="19" thickTop="1">
      <c r="B5" s="1928" t="s">
        <v>3336</v>
      </c>
      <c r="C5" s="1929"/>
      <c r="D5" s="1929"/>
      <c r="E5" s="1929"/>
      <c r="F5" s="1929"/>
      <c r="G5" s="1929"/>
      <c r="H5" s="1929"/>
      <c r="I5" s="1929"/>
      <c r="J5" s="1929"/>
      <c r="K5" s="1929"/>
      <c r="L5" s="1929"/>
      <c r="M5" s="1929"/>
      <c r="N5" s="1929"/>
      <c r="O5" s="1929"/>
      <c r="P5" s="1929"/>
      <c r="Q5" s="1930"/>
    </row>
    <row r="6" spans="2:18" ht="19" thickBot="1">
      <c r="B6" s="1621"/>
      <c r="C6" s="1470" t="s">
        <v>2411</v>
      </c>
      <c r="D6" s="1470" t="s">
        <v>2412</v>
      </c>
      <c r="E6" s="1470" t="s">
        <v>2413</v>
      </c>
      <c r="F6" s="1470" t="s">
        <v>2414</v>
      </c>
      <c r="G6" s="1470" t="s">
        <v>2415</v>
      </c>
      <c r="H6" s="1470" t="s">
        <v>2416</v>
      </c>
      <c r="I6" s="1470" t="s">
        <v>2417</v>
      </c>
      <c r="J6" s="1470" t="s">
        <v>2429</v>
      </c>
      <c r="K6" s="1470" t="s">
        <v>2430</v>
      </c>
      <c r="L6" s="1470" t="s">
        <v>2431</v>
      </c>
      <c r="M6" s="1470" t="s">
        <v>2432</v>
      </c>
      <c r="N6" s="1470" t="s">
        <v>2433</v>
      </c>
      <c r="O6" s="1470" t="s">
        <v>2450</v>
      </c>
      <c r="P6" s="1470" t="s">
        <v>2461</v>
      </c>
      <c r="Q6" s="1469" t="s">
        <v>2462</v>
      </c>
      <c r="R6" s="1472"/>
    </row>
    <row r="7" spans="2:18" ht="21" customHeight="1">
      <c r="B7" s="1933" t="s">
        <v>2753</v>
      </c>
      <c r="C7" s="1934"/>
      <c r="D7" s="1934"/>
      <c r="E7" s="1934"/>
      <c r="F7" s="1934"/>
      <c r="G7" s="1934"/>
      <c r="H7" s="1934"/>
      <c r="I7" s="1923"/>
      <c r="J7" s="1935" t="s">
        <v>2754</v>
      </c>
      <c r="K7" s="1936"/>
      <c r="L7" s="1936"/>
      <c r="M7" s="1936"/>
      <c r="N7" s="1936"/>
      <c r="O7" s="1936"/>
      <c r="P7" s="1936"/>
      <c r="Q7" s="1663"/>
    </row>
    <row r="8" spans="2:18" ht="55.5" customHeight="1">
      <c r="B8" s="1662" t="s">
        <v>2755</v>
      </c>
      <c r="C8" s="1660" t="s">
        <v>2756</v>
      </c>
      <c r="D8" s="1660" t="s">
        <v>2757</v>
      </c>
      <c r="E8" s="1660"/>
      <c r="F8" s="1660"/>
      <c r="G8" s="1937" t="s">
        <v>2758</v>
      </c>
      <c r="H8" s="1937"/>
      <c r="I8" s="1661"/>
      <c r="J8" s="1660" t="s">
        <v>2759</v>
      </c>
      <c r="K8" s="1660" t="s">
        <v>2760</v>
      </c>
      <c r="L8" s="1660"/>
      <c r="M8" s="1660"/>
      <c r="N8" s="1937" t="s">
        <v>2758</v>
      </c>
      <c r="O8" s="1937"/>
      <c r="P8" s="1659"/>
      <c r="Q8" s="1658"/>
    </row>
    <row r="9" spans="2:18" ht="49.5" customHeight="1">
      <c r="B9" s="1657" t="s">
        <v>2750</v>
      </c>
      <c r="C9" s="1655" t="s">
        <v>1907</v>
      </c>
      <c r="D9" s="1655" t="s">
        <v>2783</v>
      </c>
      <c r="E9" s="1655" t="s">
        <v>2761</v>
      </c>
      <c r="F9" s="1655" t="s">
        <v>3448</v>
      </c>
      <c r="G9" s="1655" t="s">
        <v>2762</v>
      </c>
      <c r="H9" s="1655" t="s">
        <v>2763</v>
      </c>
      <c r="I9" s="1656" t="s">
        <v>2764</v>
      </c>
      <c r="J9" s="1655" t="s">
        <v>1907</v>
      </c>
      <c r="K9" s="1655" t="s">
        <v>2783</v>
      </c>
      <c r="L9" s="1655" t="s">
        <v>2761</v>
      </c>
      <c r="M9" s="1655" t="s">
        <v>3448</v>
      </c>
      <c r="N9" s="1655" t="s">
        <v>2762</v>
      </c>
      <c r="O9" s="1655" t="s">
        <v>2763</v>
      </c>
      <c r="P9" s="1654" t="s">
        <v>2764</v>
      </c>
      <c r="Q9" s="1653" t="s">
        <v>3294</v>
      </c>
      <c r="R9" s="1652"/>
    </row>
    <row r="10" spans="2:18">
      <c r="B10" s="1630" t="s">
        <v>1948</v>
      </c>
      <c r="C10" s="1645">
        <v>406014685600.00067</v>
      </c>
      <c r="D10" s="1645">
        <v>151510409070.43866</v>
      </c>
      <c r="E10" s="1644">
        <f t="shared" ref="E10:E34" si="0">(C10-D10)/C10</f>
        <v>0.62683515044156712</v>
      </c>
      <c r="F10" s="1644">
        <f t="shared" ref="F10:F34" si="1">C10/D10</f>
        <v>2.6797808024611727</v>
      </c>
      <c r="G10" s="1645">
        <v>20579365633.333336</v>
      </c>
      <c r="H10" s="1644">
        <v>5.0686259298531398E-2</v>
      </c>
      <c r="I10" s="1646">
        <v>0.13582806461677355</v>
      </c>
      <c r="J10" s="1645">
        <v>404260993333.33398</v>
      </c>
      <c r="K10" s="1645">
        <v>305453642112.50165</v>
      </c>
      <c r="L10" s="1644">
        <f>(J10-K10)/K10</f>
        <v>0.32347740409145487</v>
      </c>
      <c r="M10" s="1644">
        <f>J10/K10</f>
        <v>1.323477404091455</v>
      </c>
      <c r="N10" s="1645">
        <v>41482036400.000053</v>
      </c>
      <c r="O10" s="1644">
        <v>0.10261201818646891</v>
      </c>
      <c r="P10" s="1644">
        <f>N10/K10</f>
        <v>0.13580468745801302</v>
      </c>
      <c r="Q10" s="1643">
        <f t="shared" ref="Q10:Q27" si="2">H10-O10</f>
        <v>-5.1925758887937511E-2</v>
      </c>
    </row>
    <row r="11" spans="2:18">
      <c r="B11" s="1630" t="s">
        <v>1947</v>
      </c>
      <c r="C11" s="1645">
        <v>262844772936.66666</v>
      </c>
      <c r="D11" s="1645">
        <v>217865029368.39267</v>
      </c>
      <c r="E11" s="1644">
        <f t="shared" si="0"/>
        <v>0.17112664279274828</v>
      </c>
      <c r="F11" s="1644">
        <f t="shared" si="1"/>
        <v>1.206456922887871</v>
      </c>
      <c r="G11" s="1645">
        <v>43292914303.333328</v>
      </c>
      <c r="H11" s="1644">
        <v>0.16470905553737186</v>
      </c>
      <c r="I11" s="1646">
        <v>0.1987143803153851</v>
      </c>
      <c r="J11" s="1645">
        <v>231634554873.33334</v>
      </c>
      <c r="K11" s="1645">
        <v>222921108668.78934</v>
      </c>
      <c r="L11" s="1644">
        <f>(J11-K11)/K11</f>
        <v>3.9087577917487522E-2</v>
      </c>
      <c r="M11" s="1644">
        <f>J11/K11</f>
        <v>1.0390875779174875</v>
      </c>
      <c r="N11" s="1645">
        <v>43698018683.333336</v>
      </c>
      <c r="O11" s="1644">
        <v>0.18865069033948362</v>
      </c>
      <c r="P11" s="1644">
        <f>N11/K11</f>
        <v>0.196024588897316</v>
      </c>
      <c r="Q11" s="1643">
        <f t="shared" si="2"/>
        <v>-2.3941634802111755E-2</v>
      </c>
    </row>
    <row r="12" spans="2:18">
      <c r="B12" s="1630" t="s">
        <v>1895</v>
      </c>
      <c r="C12" s="1645">
        <v>469299934866.66669</v>
      </c>
      <c r="D12" s="1645">
        <v>485676185120.35895</v>
      </c>
      <c r="E12" s="1644">
        <f t="shared" si="0"/>
        <v>-3.4895061850679643E-2</v>
      </c>
      <c r="F12" s="1644">
        <f t="shared" si="1"/>
        <v>0.96628154569770819</v>
      </c>
      <c r="G12" s="1645">
        <v>302233397256.66669</v>
      </c>
      <c r="H12" s="1649">
        <v>0.64400903303456569</v>
      </c>
      <c r="I12" s="1646">
        <v>0.62229404388392651</v>
      </c>
      <c r="J12" s="1645">
        <v>694462470106.66663</v>
      </c>
      <c r="K12" s="1645">
        <v>674083562738.30334</v>
      </c>
      <c r="L12" s="1644">
        <f>(J12-K12)/K12</f>
        <v>3.0232019433286343E-2</v>
      </c>
      <c r="M12" s="1644">
        <f>J12/K12</f>
        <v>1.0302320194332864</v>
      </c>
      <c r="N12" s="1645">
        <v>319912712553.33331</v>
      </c>
      <c r="O12" s="1644">
        <v>0.46066234868558992</v>
      </c>
      <c r="P12" s="1644">
        <f>N12/K12</f>
        <v>0.47458910176323599</v>
      </c>
      <c r="Q12" s="1648">
        <f t="shared" si="2"/>
        <v>0.18334668434897577</v>
      </c>
    </row>
    <row r="13" spans="2:18">
      <c r="B13" s="1630" t="s">
        <v>510</v>
      </c>
      <c r="C13" s="1645">
        <v>688354196925.05994</v>
      </c>
      <c r="D13" s="1645">
        <v>634588579416.87854</v>
      </c>
      <c r="E13" s="1644">
        <f t="shared" si="0"/>
        <v>7.8107488482466209E-2</v>
      </c>
      <c r="F13" s="1644">
        <f t="shared" si="1"/>
        <v>1.0847251577669212</v>
      </c>
      <c r="G13" s="1645">
        <v>78748652003.069061</v>
      </c>
      <c r="H13" s="1644">
        <v>0.11440135377229683</v>
      </c>
      <c r="I13" s="1646">
        <v>0.12409402651940404</v>
      </c>
      <c r="J13" s="1645">
        <v>488279893950.78497</v>
      </c>
      <c r="K13" s="1645">
        <v>685083878916.57324</v>
      </c>
      <c r="L13" s="1644">
        <f>(J13-K13)/K13</f>
        <v>-0.28726991106114508</v>
      </c>
      <c r="M13" s="1644">
        <f>J13/K13</f>
        <v>0.71273008893885492</v>
      </c>
      <c r="N13" s="1645">
        <v>103671893462.14293</v>
      </c>
      <c r="O13" s="1644">
        <v>0.21232062746493571</v>
      </c>
      <c r="P13" s="1644">
        <f>N13/K13</f>
        <v>0.15132729969663711</v>
      </c>
      <c r="Q13" s="1643">
        <f t="shared" si="2"/>
        <v>-9.7919273692638878E-2</v>
      </c>
    </row>
    <row r="14" spans="2:18">
      <c r="B14" s="1630" t="s">
        <v>1944</v>
      </c>
      <c r="C14" s="1645">
        <v>86852579469.675735</v>
      </c>
      <c r="D14" s="1645">
        <v>15679669186.098566</v>
      </c>
      <c r="E14" s="1644">
        <f t="shared" si="0"/>
        <v>0.81946800795279695</v>
      </c>
      <c r="F14" s="1644">
        <f t="shared" si="1"/>
        <v>5.539184432964845</v>
      </c>
      <c r="G14" s="1645">
        <v>2023462296.158679</v>
      </c>
      <c r="H14" s="1644">
        <v>2.3297664945750557E-2</v>
      </c>
      <c r="I14" s="1646">
        <v>0.12905006299193225</v>
      </c>
      <c r="J14" s="1645"/>
      <c r="K14" s="1645"/>
      <c r="L14" s="1644"/>
      <c r="M14" s="1644"/>
      <c r="N14" s="1645"/>
      <c r="O14" s="1644"/>
      <c r="P14" s="1644"/>
      <c r="Q14" s="1643">
        <f t="shared" si="2"/>
        <v>2.3297664945750557E-2</v>
      </c>
    </row>
    <row r="15" spans="2:18">
      <c r="B15" s="1651" t="s">
        <v>1933</v>
      </c>
      <c r="C15" s="1645">
        <v>4719958469.9400492</v>
      </c>
      <c r="D15" s="1645">
        <v>3003061079.601017</v>
      </c>
      <c r="E15" s="1644">
        <f t="shared" si="0"/>
        <v>0.36375264767124943</v>
      </c>
      <c r="F15" s="1644">
        <f t="shared" si="1"/>
        <v>1.5717157742815997</v>
      </c>
      <c r="G15" s="1645"/>
      <c r="H15" s="1644"/>
      <c r="I15" s="1646"/>
      <c r="J15" s="1645">
        <v>21574323667.30447</v>
      </c>
      <c r="K15" s="1645">
        <v>22221295241.568768</v>
      </c>
      <c r="L15" s="1644">
        <f t="shared" ref="L15:L27" si="3">(J15-K15)/K15</f>
        <v>-2.9114935346074046E-2</v>
      </c>
      <c r="M15" s="1644">
        <f t="shared" ref="M15:M27" si="4">J15/K15</f>
        <v>0.97088506465392599</v>
      </c>
      <c r="N15" s="1645">
        <v>6413528541.6473207</v>
      </c>
      <c r="O15" s="1644">
        <v>0.29727599532433624</v>
      </c>
      <c r="P15" s="1644">
        <f>N15/K15</f>
        <v>0.2886208239405284</v>
      </c>
      <c r="Q15" s="1643">
        <f t="shared" si="2"/>
        <v>-0.29727599532433624</v>
      </c>
    </row>
    <row r="16" spans="2:18">
      <c r="B16" s="1630" t="s">
        <v>1943</v>
      </c>
      <c r="C16" s="1645">
        <v>18324617540.845596</v>
      </c>
      <c r="D16" s="1645">
        <v>14356720489.741434</v>
      </c>
      <c r="E16" s="1644">
        <f t="shared" si="0"/>
        <v>0.21653368984426086</v>
      </c>
      <c r="F16" s="1644">
        <f t="shared" si="1"/>
        <v>1.2763790695750756</v>
      </c>
      <c r="G16" s="1645">
        <v>8253950731.452095</v>
      </c>
      <c r="H16" s="1649">
        <v>0.4504296317810742</v>
      </c>
      <c r="I16" s="1646">
        <v>0.57491895432177142</v>
      </c>
      <c r="J16" s="1645">
        <v>109586754154.935</v>
      </c>
      <c r="K16" s="1645">
        <v>97421528464.898254</v>
      </c>
      <c r="L16" s="1644">
        <f t="shared" si="3"/>
        <v>0.1248720470898788</v>
      </c>
      <c r="M16" s="1644">
        <f t="shared" si="4"/>
        <v>1.1248720470898788</v>
      </c>
      <c r="N16" s="1645">
        <v>40259793089.149834</v>
      </c>
      <c r="O16" s="1644">
        <v>0.36737827851192745</v>
      </c>
      <c r="P16" s="1644">
        <f>N16/K16</f>
        <v>0.41325355620606746</v>
      </c>
      <c r="Q16" s="1643">
        <f t="shared" si="2"/>
        <v>8.3051353269146755E-2</v>
      </c>
    </row>
    <row r="17" spans="2:17">
      <c r="B17" s="1630" t="s">
        <v>1942</v>
      </c>
      <c r="C17" s="1645">
        <v>170142039016.63568</v>
      </c>
      <c r="D17" s="1645">
        <v>129646321843.606</v>
      </c>
      <c r="E17" s="1644">
        <f t="shared" si="0"/>
        <v>0.23801123700574789</v>
      </c>
      <c r="F17" s="1644">
        <f t="shared" si="1"/>
        <v>1.3123553109503574</v>
      </c>
      <c r="G17" s="1645">
        <v>40296573068.752937</v>
      </c>
      <c r="H17" s="1644">
        <v>0.2368407790435198</v>
      </c>
      <c r="I17" s="1646">
        <v>0.31081925422738332</v>
      </c>
      <c r="J17" s="1645">
        <v>107513442124.32011</v>
      </c>
      <c r="K17" s="1645">
        <v>90709781995.687729</v>
      </c>
      <c r="L17" s="1644">
        <f t="shared" si="3"/>
        <v>0.18524639525019715</v>
      </c>
      <c r="M17" s="1644">
        <f t="shared" si="4"/>
        <v>1.185246395250197</v>
      </c>
      <c r="N17" s="1645">
        <v>28792183930.976513</v>
      </c>
      <c r="O17" s="1644">
        <v>0.2678007825075816</v>
      </c>
      <c r="P17" s="1644">
        <f>N17/K17</f>
        <v>0.31740991211229314</v>
      </c>
      <c r="Q17" s="1643">
        <f t="shared" si="2"/>
        <v>-3.0960003464061803E-2</v>
      </c>
    </row>
    <row r="18" spans="2:17">
      <c r="B18" s="1630" t="s">
        <v>2</v>
      </c>
      <c r="C18" s="1645">
        <v>16984937744473.234</v>
      </c>
      <c r="D18" s="1645">
        <v>12985147860739.6</v>
      </c>
      <c r="E18" s="1644">
        <f t="shared" si="0"/>
        <v>0.23549040590597012</v>
      </c>
      <c r="F18" s="1644">
        <f t="shared" si="1"/>
        <v>1.3080280584117905</v>
      </c>
      <c r="G18" s="1645">
        <v>4896660543923.4053</v>
      </c>
      <c r="H18" s="1644">
        <v>0.28829428859795148</v>
      </c>
      <c r="I18" s="1646">
        <v>0.37709701856598687</v>
      </c>
      <c r="J18" s="1645">
        <v>70917447447.115463</v>
      </c>
      <c r="K18" s="1645">
        <v>64230446647.693535</v>
      </c>
      <c r="L18" s="1644">
        <f t="shared" si="3"/>
        <v>0.1041095173461954</v>
      </c>
      <c r="M18" s="1644">
        <f t="shared" si="4"/>
        <v>1.1041095173461954</v>
      </c>
      <c r="N18" s="1645"/>
      <c r="O18" s="1644"/>
      <c r="P18" s="1644"/>
      <c r="Q18" s="1643">
        <f t="shared" si="2"/>
        <v>0.28829428859795148</v>
      </c>
    </row>
    <row r="19" spans="2:17">
      <c r="B19" s="1630" t="s">
        <v>1936</v>
      </c>
      <c r="C19" s="1645">
        <v>112976366579.425</v>
      </c>
      <c r="D19" s="1645">
        <v>75790285579.399551</v>
      </c>
      <c r="E19" s="1644">
        <f t="shared" si="0"/>
        <v>0.32914920284573657</v>
      </c>
      <c r="F19" s="1644">
        <f t="shared" si="1"/>
        <v>1.4906444238301293</v>
      </c>
      <c r="G19" s="1645">
        <v>28836738324.194767</v>
      </c>
      <c r="H19" s="1644">
        <v>0.25524575800481131</v>
      </c>
      <c r="I19" s="1646">
        <v>0.38048066587616658</v>
      </c>
      <c r="J19" s="1645">
        <v>638233552850.84924</v>
      </c>
      <c r="K19" s="1645">
        <v>561437533480.50098</v>
      </c>
      <c r="L19" s="1644">
        <f t="shared" si="3"/>
        <v>0.13678461946473236</v>
      </c>
      <c r="M19" s="1644">
        <f t="shared" si="4"/>
        <v>1.1367846194647324</v>
      </c>
      <c r="N19" s="1645">
        <v>282925974451.20306</v>
      </c>
      <c r="O19" s="1644">
        <v>0.44329536293953026</v>
      </c>
      <c r="P19" s="1644">
        <f t="shared" ref="P19:P27" si="5">N19/K19</f>
        <v>0.50393135046969428</v>
      </c>
      <c r="Q19" s="1643">
        <f t="shared" si="2"/>
        <v>-0.18804960493471895</v>
      </c>
    </row>
    <row r="20" spans="2:17">
      <c r="B20" s="1630" t="s">
        <v>1890</v>
      </c>
      <c r="C20" s="1645">
        <v>1188355365321.2468</v>
      </c>
      <c r="D20" s="1645">
        <v>1010191630913.6597</v>
      </c>
      <c r="E20" s="1644">
        <f t="shared" si="0"/>
        <v>0.14992462659469236</v>
      </c>
      <c r="F20" s="1644">
        <f t="shared" si="1"/>
        <v>1.1763662744329493</v>
      </c>
      <c r="G20" s="1645">
        <v>250051905815.32571</v>
      </c>
      <c r="H20" s="1644">
        <v>0.21041845992568853</v>
      </c>
      <c r="I20" s="1646">
        <v>0.24752917977470104</v>
      </c>
      <c r="J20" s="1645">
        <v>605492052937.09961</v>
      </c>
      <c r="K20" s="1645">
        <v>598681457694.09802</v>
      </c>
      <c r="L20" s="1644">
        <f t="shared" si="3"/>
        <v>1.1375991615363382E-2</v>
      </c>
      <c r="M20" s="1644">
        <f t="shared" si="4"/>
        <v>1.0113759916153633</v>
      </c>
      <c r="N20" s="1645">
        <v>253091574241.27277</v>
      </c>
      <c r="O20" s="1644">
        <v>0.41799322222906982</v>
      </c>
      <c r="P20" s="1644">
        <f t="shared" si="5"/>
        <v>0.42274830962042642</v>
      </c>
      <c r="Q20" s="1643">
        <f t="shared" si="2"/>
        <v>-0.20757476230338129</v>
      </c>
    </row>
    <row r="21" spans="2:17">
      <c r="B21" s="1630" t="s">
        <v>1891</v>
      </c>
      <c r="C21" s="1645">
        <v>1464763927061.4333</v>
      </c>
      <c r="D21" s="1645">
        <v>1302449273968.5198</v>
      </c>
      <c r="E21" s="1644">
        <f t="shared" si="0"/>
        <v>0.11081284164236929</v>
      </c>
      <c r="F21" s="1644">
        <f t="shared" si="1"/>
        <v>1.1246226293315411</v>
      </c>
      <c r="G21" s="1645">
        <v>492115921014.84576</v>
      </c>
      <c r="H21" s="1644">
        <v>0.33596944321404359</v>
      </c>
      <c r="I21" s="1646">
        <v>0.37783883860243161</v>
      </c>
      <c r="J21" s="1645">
        <v>18534111311.979935</v>
      </c>
      <c r="K21" s="1645">
        <v>18431143607.214336</v>
      </c>
      <c r="L21" s="1644">
        <f t="shared" si="3"/>
        <v>5.5866150771726707E-3</v>
      </c>
      <c r="M21" s="1644">
        <f t="shared" si="4"/>
        <v>1.0055866150771726</v>
      </c>
      <c r="N21" s="1645">
        <v>8859261724.6840363</v>
      </c>
      <c r="O21" s="1644">
        <v>0.47799765392353372</v>
      </c>
      <c r="P21" s="1644">
        <f t="shared" si="5"/>
        <v>0.4806680428237961</v>
      </c>
      <c r="Q21" s="1643">
        <f t="shared" si="2"/>
        <v>-0.14202821070949012</v>
      </c>
    </row>
    <row r="22" spans="2:17">
      <c r="B22" s="1630" t="s">
        <v>1935</v>
      </c>
      <c r="C22" s="1645">
        <v>25037079880.293232</v>
      </c>
      <c r="D22" s="1645">
        <v>13129783680.069601</v>
      </c>
      <c r="E22" s="1644">
        <f t="shared" si="0"/>
        <v>0.47558646044804542</v>
      </c>
      <c r="F22" s="1644">
        <f t="shared" si="1"/>
        <v>1.9068920319150688</v>
      </c>
      <c r="G22" s="1645">
        <v>2038117158.1233983</v>
      </c>
      <c r="H22" s="1644">
        <v>8.1403948378485108E-2</v>
      </c>
      <c r="I22" s="1646">
        <v>0.15522854052935883</v>
      </c>
      <c r="J22" s="1645">
        <v>214474513864.98166</v>
      </c>
      <c r="K22" s="1645">
        <v>90323340655.766006</v>
      </c>
      <c r="L22" s="1644">
        <f t="shared" si="3"/>
        <v>1.3745192804855604</v>
      </c>
      <c r="M22" s="1644">
        <f t="shared" si="4"/>
        <v>2.3745192804855604</v>
      </c>
      <c r="N22" s="1645">
        <v>73733653916.452911</v>
      </c>
      <c r="O22" s="1644">
        <v>0.34378748592418085</v>
      </c>
      <c r="P22" s="1644">
        <f t="shared" si="5"/>
        <v>0.81633001371662561</v>
      </c>
      <c r="Q22" s="1643">
        <f t="shared" si="2"/>
        <v>-0.26238353754569577</v>
      </c>
    </row>
    <row r="23" spans="2:17">
      <c r="B23" s="1630" t="s">
        <v>1932</v>
      </c>
      <c r="C23" s="1645">
        <v>166754546645.69766</v>
      </c>
      <c r="D23" s="1645">
        <v>43387200860.324303</v>
      </c>
      <c r="E23" s="1644">
        <f t="shared" si="0"/>
        <v>0.73981398568694612</v>
      </c>
      <c r="F23" s="1644">
        <f t="shared" si="1"/>
        <v>3.8434041223937863</v>
      </c>
      <c r="G23" s="1645">
        <v>82657046886.555283</v>
      </c>
      <c r="H23" s="1649">
        <v>0.49568091874685849</v>
      </c>
      <c r="I23" s="1646">
        <v>1.9051020865036152</v>
      </c>
      <c r="J23" s="1645">
        <v>6413381927.2490969</v>
      </c>
      <c r="K23" s="1645">
        <v>5636880778.1975393</v>
      </c>
      <c r="L23" s="1644">
        <f t="shared" si="3"/>
        <v>0.13775369386113806</v>
      </c>
      <c r="M23" s="1644">
        <f t="shared" si="4"/>
        <v>1.1377536938611381</v>
      </c>
      <c r="N23" s="1645">
        <v>4117398155.0816135</v>
      </c>
      <c r="O23" s="1644">
        <v>0.64200108488591079</v>
      </c>
      <c r="P23" s="1644">
        <f t="shared" si="5"/>
        <v>0.73043910579180304</v>
      </c>
      <c r="Q23" s="1643">
        <f t="shared" si="2"/>
        <v>-0.1463201661390523</v>
      </c>
    </row>
    <row r="24" spans="2:17" ht="14.5" customHeight="1">
      <c r="B24" s="1630" t="s">
        <v>1930</v>
      </c>
      <c r="C24" s="1645">
        <v>7835663686.8204298</v>
      </c>
      <c r="D24" s="1645">
        <v>1279263910.2255387</v>
      </c>
      <c r="E24" s="1644">
        <f t="shared" si="0"/>
        <v>0.83673828263236227</v>
      </c>
      <c r="F24" s="1644">
        <f t="shared" si="1"/>
        <v>6.1251346373391984</v>
      </c>
      <c r="G24" s="1645">
        <v>3665422065.7381134</v>
      </c>
      <c r="H24" s="1649">
        <v>0.4677870582811442</v>
      </c>
      <c r="I24" s="1646">
        <v>2.8652587135768464</v>
      </c>
      <c r="J24" s="1645">
        <v>613187066300</v>
      </c>
      <c r="K24" s="1645">
        <v>945089015402.88538</v>
      </c>
      <c r="L24" s="1644">
        <f t="shared" si="3"/>
        <v>-0.35118591338340516</v>
      </c>
      <c r="M24" s="1644">
        <f t="shared" si="4"/>
        <v>0.64881408661659479</v>
      </c>
      <c r="N24" s="1645">
        <v>221271506666.66669</v>
      </c>
      <c r="O24" s="1644">
        <v>0.36085481711450557</v>
      </c>
      <c r="P24" s="1644">
        <f t="shared" si="5"/>
        <v>0.23412768856734628</v>
      </c>
      <c r="Q24" s="1643">
        <f t="shared" si="2"/>
        <v>0.10693224116663863</v>
      </c>
    </row>
    <row r="25" spans="2:17">
      <c r="B25" s="1630" t="s">
        <v>693</v>
      </c>
      <c r="C25" s="1645">
        <v>703862704966.66663</v>
      </c>
      <c r="D25" s="1645">
        <v>336994498355.29401</v>
      </c>
      <c r="E25" s="1644">
        <f t="shared" si="0"/>
        <v>0.52122126094001053</v>
      </c>
      <c r="F25" s="1644">
        <f t="shared" si="1"/>
        <v>2.0886474657653986</v>
      </c>
      <c r="G25" s="1645">
        <v>350428817783.33331</v>
      </c>
      <c r="H25" s="1649">
        <v>0.49786530144387864</v>
      </c>
      <c r="I25" s="1646">
        <v>1.0398651001532835</v>
      </c>
      <c r="J25" s="1645">
        <v>90980323333.333328</v>
      </c>
      <c r="K25" s="1645">
        <v>21449614512.127499</v>
      </c>
      <c r="L25" s="1649">
        <f t="shared" si="3"/>
        <v>3.2415831427596768</v>
      </c>
      <c r="M25" s="1644">
        <f t="shared" si="4"/>
        <v>4.2415831427596764</v>
      </c>
      <c r="N25" s="1645">
        <v>17882860000</v>
      </c>
      <c r="O25" s="1644">
        <v>0.19655744610272324</v>
      </c>
      <c r="P25" s="1644">
        <f t="shared" si="5"/>
        <v>0.83371474997320472</v>
      </c>
      <c r="Q25" s="1648">
        <f t="shared" si="2"/>
        <v>0.3013078553411554</v>
      </c>
    </row>
    <row r="26" spans="2:17">
      <c r="B26" s="1630" t="s">
        <v>1929</v>
      </c>
      <c r="C26" s="1645">
        <v>75540180000</v>
      </c>
      <c r="D26" s="1645">
        <v>31520387896.278931</v>
      </c>
      <c r="E26" s="1644">
        <f t="shared" si="0"/>
        <v>0.58273348175396289</v>
      </c>
      <c r="F26" s="1644">
        <f t="shared" si="1"/>
        <v>2.3965498219302601</v>
      </c>
      <c r="G26" s="1645">
        <v>35489226666.666672</v>
      </c>
      <c r="H26" s="1649">
        <v>0.46980595845372186</v>
      </c>
      <c r="I26" s="1646">
        <v>1.1259133860740425</v>
      </c>
      <c r="J26" s="1645">
        <v>308118092276.98199</v>
      </c>
      <c r="K26" s="1645">
        <v>346197927831.13165</v>
      </c>
      <c r="L26" s="1644">
        <f t="shared" si="3"/>
        <v>-0.10999440635798442</v>
      </c>
      <c r="M26" s="1644">
        <f t="shared" si="4"/>
        <v>0.89000559364201559</v>
      </c>
      <c r="N26" s="1645">
        <v>127801836830.06845</v>
      </c>
      <c r="O26" s="1644">
        <v>0.41478199441524943</v>
      </c>
      <c r="P26" s="1644">
        <f t="shared" si="5"/>
        <v>0.36915829517156323</v>
      </c>
      <c r="Q26" s="1643">
        <f t="shared" si="2"/>
        <v>5.5023964038472428E-2</v>
      </c>
    </row>
    <row r="27" spans="2:17">
      <c r="B27" s="1630" t="s">
        <v>1896</v>
      </c>
      <c r="C27" s="1645">
        <v>477519628957.38629</v>
      </c>
      <c r="D27" s="1645">
        <v>343814101374.47333</v>
      </c>
      <c r="E27" s="1644">
        <f t="shared" si="0"/>
        <v>0.28000006591319582</v>
      </c>
      <c r="F27" s="1644">
        <f t="shared" si="1"/>
        <v>1.388889016036269</v>
      </c>
      <c r="G27" s="1645">
        <v>147386382223.51819</v>
      </c>
      <c r="H27" s="1644">
        <v>0.30864989266581733</v>
      </c>
      <c r="I27" s="1646">
        <v>0.42868044572432706</v>
      </c>
      <c r="J27" s="1645">
        <v>179369591527.26135</v>
      </c>
      <c r="K27" s="1645">
        <v>207950588312.56137</v>
      </c>
      <c r="L27" s="1644">
        <f t="shared" si="3"/>
        <v>-0.13744128841963738</v>
      </c>
      <c r="M27" s="1644">
        <f t="shared" si="4"/>
        <v>0.86255871158036268</v>
      </c>
      <c r="N27" s="1645">
        <v>49435002299.611008</v>
      </c>
      <c r="O27" s="1644">
        <v>0.2756041415866059</v>
      </c>
      <c r="P27" s="1644">
        <f t="shared" si="5"/>
        <v>0.23772475327315465</v>
      </c>
      <c r="Q27" s="1643">
        <f t="shared" si="2"/>
        <v>3.3045751079211427E-2</v>
      </c>
    </row>
    <row r="28" spans="2:17">
      <c r="B28" s="1630" t="s">
        <v>1436</v>
      </c>
      <c r="C28" s="1645">
        <v>1156289707734.9634</v>
      </c>
      <c r="D28" s="1645">
        <v>1063008945230.9033</v>
      </c>
      <c r="E28" s="1644">
        <f t="shared" si="0"/>
        <v>8.0672483617264215E-2</v>
      </c>
      <c r="F28" s="1644">
        <f t="shared" si="1"/>
        <v>1.0877516251604054</v>
      </c>
      <c r="G28" s="1645">
        <v>148226347092.64868</v>
      </c>
      <c r="H28" s="1644">
        <v>0.12819135732255785</v>
      </c>
      <c r="I28" s="1646">
        <v>0.13944035725913054</v>
      </c>
      <c r="J28" s="1645"/>
      <c r="K28" s="1645"/>
      <c r="L28" s="1644"/>
      <c r="M28" s="1644"/>
      <c r="N28" s="1645"/>
      <c r="O28" s="1644"/>
      <c r="P28" s="1644"/>
      <c r="Q28" s="1643"/>
    </row>
    <row r="29" spans="2:17">
      <c r="B29" s="1630" t="s">
        <v>2748</v>
      </c>
      <c r="C29" s="1645">
        <v>237156363929.49902</v>
      </c>
      <c r="D29" s="1645">
        <v>149412345918.51132</v>
      </c>
      <c r="E29" s="1644">
        <f t="shared" si="0"/>
        <v>0.36998382230666987</v>
      </c>
      <c r="F29" s="1644">
        <f t="shared" si="1"/>
        <v>1.5872608282239462</v>
      </c>
      <c r="G29" s="1645">
        <v>20699473134.710155</v>
      </c>
      <c r="H29" s="1644">
        <v>8.7281963645148564E-2</v>
      </c>
      <c r="I29" s="1646">
        <v>0.13853924190441086</v>
      </c>
      <c r="J29" s="1645">
        <v>11640324266.666666</v>
      </c>
      <c r="K29" s="1645">
        <v>8459167348.8246231</v>
      </c>
      <c r="L29" s="1644">
        <f t="shared" ref="L29:L45" si="6">(J29-K29)/K29</f>
        <v>0.37606028899334348</v>
      </c>
      <c r="M29" s="1644">
        <f t="shared" ref="M29:M45" si="7">J29/K29</f>
        <v>1.3760602889933435</v>
      </c>
      <c r="N29" s="1645">
        <v>1326051566.6666667</v>
      </c>
      <c r="O29" s="1644">
        <v>0.11391878235419606</v>
      </c>
      <c r="P29" s="1644">
        <f>N29/K29</f>
        <v>0.15675911256808484</v>
      </c>
      <c r="Q29" s="1643">
        <f>H29-O29</f>
        <v>-2.6636818709047494E-2</v>
      </c>
    </row>
    <row r="30" spans="2:17">
      <c r="B30" s="1630" t="s">
        <v>697</v>
      </c>
      <c r="C30" s="1645">
        <v>3950856504875.2231</v>
      </c>
      <c r="D30" s="1645">
        <v>1827942427809.6833</v>
      </c>
      <c r="E30" s="1644">
        <f t="shared" si="0"/>
        <v>0.53733008891766521</v>
      </c>
      <c r="F30" s="1644">
        <f t="shared" si="1"/>
        <v>2.1613681288689732</v>
      </c>
      <c r="G30" s="1645">
        <v>1283207062705.166</v>
      </c>
      <c r="H30" s="1644">
        <v>0.32479212067604379</v>
      </c>
      <c r="I30" s="1646">
        <v>0.70199533813696646</v>
      </c>
      <c r="J30" s="1645">
        <v>3151466229041.9634</v>
      </c>
      <c r="K30" s="1645">
        <v>2245226979791.5332</v>
      </c>
      <c r="L30" s="1644">
        <f t="shared" si="6"/>
        <v>0.40362923544352453</v>
      </c>
      <c r="M30" s="1644">
        <f t="shared" si="7"/>
        <v>1.4036292354435245</v>
      </c>
      <c r="N30" s="1645">
        <v>782718356916.1427</v>
      </c>
      <c r="O30" s="1644">
        <v>0.24836641107021692</v>
      </c>
      <c r="P30" s="1644">
        <f>N30/K30</f>
        <v>0.34861435568034072</v>
      </c>
      <c r="Q30" s="1643">
        <f>H30-O30</f>
        <v>7.6425709605826869E-2</v>
      </c>
    </row>
    <row r="31" spans="2:17">
      <c r="B31" s="1630" t="s">
        <v>1894</v>
      </c>
      <c r="C31" s="1645">
        <v>134309717736.62199</v>
      </c>
      <c r="D31" s="1645">
        <v>72282634579.2798</v>
      </c>
      <c r="E31" s="1644">
        <f t="shared" si="0"/>
        <v>0.46182126061031381</v>
      </c>
      <c r="F31" s="1644">
        <f t="shared" si="1"/>
        <v>1.8581187379011581</v>
      </c>
      <c r="G31" s="1645">
        <v>32371498789.663086</v>
      </c>
      <c r="H31" s="1644">
        <v>0.24102127035322035</v>
      </c>
      <c r="I31" s="1646">
        <v>0.44784613867605966</v>
      </c>
      <c r="J31" s="1645">
        <v>381896025024.54834</v>
      </c>
      <c r="K31" s="1645">
        <v>219675964003.25232</v>
      </c>
      <c r="L31" s="1644">
        <f t="shared" si="6"/>
        <v>0.73845157232993563</v>
      </c>
      <c r="M31" s="1644">
        <f t="shared" si="7"/>
        <v>1.7384515723299356</v>
      </c>
      <c r="N31" s="1645">
        <v>92398909548.210907</v>
      </c>
      <c r="O31" s="1644">
        <v>0.24194781692810627</v>
      </c>
      <c r="P31" s="1644">
        <f>N31/K31</f>
        <v>0.42061456276046172</v>
      </c>
      <c r="Q31" s="1643">
        <f>H31-O31</f>
        <v>-9.2654657488591696E-4</v>
      </c>
    </row>
    <row r="32" spans="2:17">
      <c r="B32" s="1630" t="s">
        <v>694</v>
      </c>
      <c r="C32" s="1645">
        <v>3699085647116.6665</v>
      </c>
      <c r="D32" s="1645">
        <v>2597985578102.1533</v>
      </c>
      <c r="E32" s="1644">
        <f t="shared" si="0"/>
        <v>0.29766817372092746</v>
      </c>
      <c r="F32" s="1644">
        <f t="shared" si="1"/>
        <v>1.4238283993165484</v>
      </c>
      <c r="G32" s="1645">
        <v>903090289450.00012</v>
      </c>
      <c r="H32" s="1644">
        <v>0.24413878877174247</v>
      </c>
      <c r="I32" s="1646">
        <v>0.34761174082795099</v>
      </c>
      <c r="J32" s="1645">
        <v>3114317288716.6665</v>
      </c>
      <c r="K32" s="1645">
        <v>2749959840761.0171</v>
      </c>
      <c r="L32" s="1644">
        <f t="shared" si="6"/>
        <v>0.13249555231861787</v>
      </c>
      <c r="M32" s="1644">
        <f t="shared" si="7"/>
        <v>1.132495552318618</v>
      </c>
      <c r="N32" s="1645">
        <v>713450432443.33325</v>
      </c>
      <c r="O32" s="1644">
        <v>0.22908726577995162</v>
      </c>
      <c r="P32" s="1644">
        <f>N32/K32</f>
        <v>0.25944030958862829</v>
      </c>
      <c r="Q32" s="1643">
        <f>H32-O32</f>
        <v>1.5051522991790856E-2</v>
      </c>
    </row>
    <row r="33" spans="2:17">
      <c r="B33" s="1651" t="s">
        <v>1923</v>
      </c>
      <c r="C33" s="1645">
        <v>14525220714.573334</v>
      </c>
      <c r="D33" s="1645">
        <v>12192962721.286901</v>
      </c>
      <c r="E33" s="1644">
        <f t="shared" si="0"/>
        <v>0.16056609666154326</v>
      </c>
      <c r="F33" s="1644">
        <f t="shared" si="1"/>
        <v>1.1912790227115757</v>
      </c>
      <c r="G33" s="1645"/>
      <c r="H33" s="1644"/>
      <c r="I33" s="1646"/>
      <c r="J33" s="1645">
        <v>47954495475.799904</v>
      </c>
      <c r="K33" s="1645">
        <v>61103247083.489296</v>
      </c>
      <c r="L33" s="1644">
        <f t="shared" si="6"/>
        <v>-0.21518908135476675</v>
      </c>
      <c r="M33" s="1644">
        <f t="shared" si="7"/>
        <v>0.78481091864523322</v>
      </c>
      <c r="N33" s="1645"/>
      <c r="O33" s="1644"/>
      <c r="P33" s="1644"/>
      <c r="Q33" s="1643"/>
    </row>
    <row r="34" spans="2:17">
      <c r="B34" s="1630" t="s">
        <v>1897</v>
      </c>
      <c r="C34" s="1645">
        <v>169264495962.87433</v>
      </c>
      <c r="D34" s="1645">
        <v>123506644269.25066</v>
      </c>
      <c r="E34" s="1644">
        <f t="shared" si="0"/>
        <v>0.27033342954366507</v>
      </c>
      <c r="F34" s="1644">
        <f t="shared" si="1"/>
        <v>1.3704889883808136</v>
      </c>
      <c r="G34" s="1645">
        <v>43639270568.586464</v>
      </c>
      <c r="H34" s="1644">
        <v>0.25781703552384722</v>
      </c>
      <c r="I34" s="1646">
        <v>0.3533354082024176</v>
      </c>
      <c r="J34" s="1645">
        <v>100293595093.59978</v>
      </c>
      <c r="K34" s="1645">
        <v>97387059268.090637</v>
      </c>
      <c r="L34" s="1644">
        <f t="shared" si="6"/>
        <v>2.9845195525495052E-2</v>
      </c>
      <c r="M34" s="1644">
        <f t="shared" si="7"/>
        <v>1.029845195525495</v>
      </c>
      <c r="N34" s="1645">
        <v>27487072299.970779</v>
      </c>
      <c r="O34" s="1644">
        <v>0.2740660784401861</v>
      </c>
      <c r="P34" s="1644">
        <f t="shared" ref="P34:P40" si="8">N34/K34</f>
        <v>0.28224563413813913</v>
      </c>
      <c r="Q34" s="1643">
        <f>H34-O34</f>
        <v>-1.6249042916338885E-2</v>
      </c>
    </row>
    <row r="35" spans="2:17">
      <c r="B35" s="1650" t="s">
        <v>2765</v>
      </c>
      <c r="C35" s="1645"/>
      <c r="D35" s="1645"/>
      <c r="E35" s="1644"/>
      <c r="F35" s="1644"/>
      <c r="G35" s="1645"/>
      <c r="H35" s="1644"/>
      <c r="I35" s="1646"/>
      <c r="J35" s="1645">
        <v>147549876688.43033</v>
      </c>
      <c r="K35" s="1645">
        <v>141549494943.35068</v>
      </c>
      <c r="L35" s="1644">
        <f t="shared" si="6"/>
        <v>4.2390696960671284E-2</v>
      </c>
      <c r="M35" s="1644">
        <f t="shared" si="7"/>
        <v>1.0423906969606713</v>
      </c>
      <c r="N35" s="1645">
        <v>42326348203</v>
      </c>
      <c r="O35" s="1644">
        <v>0.28686129160498913</v>
      </c>
      <c r="P35" s="1644">
        <f t="shared" si="8"/>
        <v>0.29902154168716299</v>
      </c>
      <c r="Q35" s="1643"/>
    </row>
    <row r="36" spans="2:17">
      <c r="B36" s="1630" t="s">
        <v>1919</v>
      </c>
      <c r="C36" s="1645">
        <v>29775072322.480331</v>
      </c>
      <c r="D36" s="1645">
        <v>15820064755.047632</v>
      </c>
      <c r="E36" s="1644">
        <f t="shared" ref="E36:E45" si="9">(C36-D36)/C36</f>
        <v>0.46868089576046462</v>
      </c>
      <c r="F36" s="1644">
        <f t="shared" ref="F36:F45" si="10">C36/D36</f>
        <v>1.8821081192464868</v>
      </c>
      <c r="G36" s="1645">
        <v>12653238231.006756</v>
      </c>
      <c r="H36" s="1649">
        <v>0.4249607891448679</v>
      </c>
      <c r="I36" s="1646">
        <v>0.79982215161095016</v>
      </c>
      <c r="J36" s="1645">
        <v>106358513761.33333</v>
      </c>
      <c r="K36" s="1645">
        <v>71965646025.317093</v>
      </c>
      <c r="L36" s="1644">
        <f t="shared" si="6"/>
        <v>0.47790674628164981</v>
      </c>
      <c r="M36" s="1644">
        <f t="shared" si="7"/>
        <v>1.4779067462816498</v>
      </c>
      <c r="N36" s="1645">
        <v>51841483120.017914</v>
      </c>
      <c r="O36" s="1644">
        <v>0.48742203408698725</v>
      </c>
      <c r="P36" s="1644">
        <f t="shared" si="8"/>
        <v>0.72036431246348265</v>
      </c>
      <c r="Q36" s="1643">
        <f>H36-O36</f>
        <v>-6.2461244942119354E-2</v>
      </c>
    </row>
    <row r="37" spans="2:17">
      <c r="B37" s="1630" t="s">
        <v>1915</v>
      </c>
      <c r="C37" s="1645">
        <v>2074259080</v>
      </c>
      <c r="D37" s="1645">
        <v>4278419832.79001</v>
      </c>
      <c r="E37" s="1644">
        <f t="shared" si="9"/>
        <v>-1.0626255775098306</v>
      </c>
      <c r="F37" s="1644">
        <f t="shared" si="10"/>
        <v>0.48481896612921932</v>
      </c>
      <c r="G37" s="1645">
        <v>210237768.33333331</v>
      </c>
      <c r="H37" s="1644">
        <v>0.10135559745667513</v>
      </c>
      <c r="I37" s="1646">
        <v>4.9139115970354572E-2</v>
      </c>
      <c r="J37" s="1645">
        <v>39811134003.333336</v>
      </c>
      <c r="K37" s="1645">
        <v>36406664913.885269</v>
      </c>
      <c r="L37" s="1644">
        <f t="shared" si="6"/>
        <v>9.3512248306755058E-2</v>
      </c>
      <c r="M37" s="1644">
        <f t="shared" si="7"/>
        <v>1.093512248306755</v>
      </c>
      <c r="N37" s="1645">
        <v>12435090156.666666</v>
      </c>
      <c r="O37" s="1644">
        <v>0.31235207104689588</v>
      </c>
      <c r="P37" s="1644">
        <f t="shared" si="8"/>
        <v>0.34156081547376238</v>
      </c>
      <c r="Q37" s="1643">
        <f>H37-O37</f>
        <v>-0.21099647359022075</v>
      </c>
    </row>
    <row r="38" spans="2:17">
      <c r="B38" s="1630" t="s">
        <v>1914</v>
      </c>
      <c r="C38" s="1645">
        <v>4410040091.666667</v>
      </c>
      <c r="D38" s="1645">
        <v>3214426229.5215034</v>
      </c>
      <c r="E38" s="1644">
        <f t="shared" si="9"/>
        <v>0.27111178975547828</v>
      </c>
      <c r="F38" s="1644">
        <f t="shared" si="10"/>
        <v>1.3719524968918455</v>
      </c>
      <c r="G38" s="1645">
        <v>134936276.70000002</v>
      </c>
      <c r="H38" s="1644">
        <v>3.0597517005566302E-2</v>
      </c>
      <c r="I38" s="1646">
        <v>4.1978339854477388E-2</v>
      </c>
      <c r="J38" s="1645">
        <v>10904232835.966669</v>
      </c>
      <c r="K38" s="1645">
        <v>8468588393.988739</v>
      </c>
      <c r="L38" s="1644">
        <f t="shared" si="6"/>
        <v>0.28760926008717397</v>
      </c>
      <c r="M38" s="1644">
        <f t="shared" si="7"/>
        <v>1.287609260087174</v>
      </c>
      <c r="N38" s="1645">
        <v>2402760264.1999998</v>
      </c>
      <c r="O38" s="1644">
        <v>0.2203511517357464</v>
      </c>
      <c r="P38" s="1644">
        <f t="shared" si="8"/>
        <v>0.28372618344582101</v>
      </c>
      <c r="Q38" s="1643">
        <f>H38-O38</f>
        <v>-0.18975363473018009</v>
      </c>
    </row>
    <row r="39" spans="2:17">
      <c r="B39" s="1630" t="s">
        <v>1941</v>
      </c>
      <c r="C39" s="1645">
        <v>550877779400</v>
      </c>
      <c r="D39" s="1645">
        <v>444682126245.83173</v>
      </c>
      <c r="E39" s="1644">
        <f t="shared" si="9"/>
        <v>0.19277534350692721</v>
      </c>
      <c r="F39" s="1644">
        <f t="shared" si="10"/>
        <v>1.238812506476729</v>
      </c>
      <c r="G39" s="1645">
        <v>88603883599.999985</v>
      </c>
      <c r="H39" s="1644">
        <v>0.16084127353349548</v>
      </c>
      <c r="I39" s="1646">
        <v>0.19925218121093871</v>
      </c>
      <c r="J39" s="1645">
        <v>465992065533.33331</v>
      </c>
      <c r="K39" s="1645">
        <v>397367574546.86401</v>
      </c>
      <c r="L39" s="1644">
        <f t="shared" si="6"/>
        <v>0.17269776242997398</v>
      </c>
      <c r="M39" s="1644">
        <f t="shared" si="7"/>
        <v>1.1726977624299739</v>
      </c>
      <c r="N39" s="1645">
        <v>148442619166.66669</v>
      </c>
      <c r="O39" s="1644">
        <v>0.31855181696446355</v>
      </c>
      <c r="P39" s="1644">
        <f t="shared" si="8"/>
        <v>0.373565002972229</v>
      </c>
      <c r="Q39" s="1643">
        <f>H39-O39</f>
        <v>-0.15771054343096808</v>
      </c>
    </row>
    <row r="40" spans="2:17">
      <c r="B40" s="1630" t="s">
        <v>1913</v>
      </c>
      <c r="C40" s="1645">
        <v>550877779400</v>
      </c>
      <c r="D40" s="1645">
        <v>297698853479.414</v>
      </c>
      <c r="E40" s="1644">
        <f t="shared" si="9"/>
        <v>0.45959182851111019</v>
      </c>
      <c r="F40" s="1644">
        <f t="shared" si="10"/>
        <v>1.8504531440464329</v>
      </c>
      <c r="G40" s="1645">
        <v>68780152628.032288</v>
      </c>
      <c r="H40" s="1644">
        <v>0.12485555816563453</v>
      </c>
      <c r="I40" s="1646">
        <v>0.23103936015927071</v>
      </c>
      <c r="J40" s="1645">
        <v>244245874461.84766</v>
      </c>
      <c r="K40" s="1645">
        <v>219128333608.44531</v>
      </c>
      <c r="L40" s="1644">
        <f t="shared" si="6"/>
        <v>0.11462479744077378</v>
      </c>
      <c r="M40" s="1644">
        <f t="shared" si="7"/>
        <v>1.1146247974407737</v>
      </c>
      <c r="N40" s="1645">
        <v>70922397528.293915</v>
      </c>
      <c r="O40" s="1644">
        <v>0.29037295997141732</v>
      </c>
      <c r="P40" s="1644">
        <f t="shared" si="8"/>
        <v>0.32365690169041894</v>
      </c>
      <c r="Q40" s="1643">
        <f>H40-O40</f>
        <v>-0.16551740180578278</v>
      </c>
    </row>
    <row r="41" spans="2:17">
      <c r="B41" s="1630" t="s">
        <v>695</v>
      </c>
      <c r="C41" s="1645">
        <v>1011313455591.2186</v>
      </c>
      <c r="D41" s="1645">
        <v>801887632790.08557</v>
      </c>
      <c r="E41" s="1644">
        <f t="shared" si="9"/>
        <v>0.20708299849397507</v>
      </c>
      <c r="F41" s="1644">
        <f t="shared" si="10"/>
        <v>1.2611660465101044</v>
      </c>
      <c r="G41" s="1645">
        <v>342598509566.27789</v>
      </c>
      <c r="H41" s="1644">
        <v>0.33876589663883505</v>
      </c>
      <c r="I41" s="1646">
        <v>0.42724004655645031</v>
      </c>
      <c r="J41" s="1645">
        <v>866978266079.10303</v>
      </c>
      <c r="K41" s="1645">
        <v>913104810367.84094</v>
      </c>
      <c r="L41" s="1644">
        <f t="shared" si="6"/>
        <v>-5.0516155171886575E-2</v>
      </c>
      <c r="M41" s="1644">
        <f t="shared" si="7"/>
        <v>0.94948384482811343</v>
      </c>
      <c r="N41" s="1645"/>
      <c r="O41" s="1644"/>
      <c r="P41" s="1644"/>
      <c r="Q41" s="1648"/>
    </row>
    <row r="42" spans="2:17">
      <c r="B42" s="1630" t="s">
        <v>1911</v>
      </c>
      <c r="C42" s="1645">
        <v>30871666666.666668</v>
      </c>
      <c r="D42" s="1645">
        <v>11537395117.701233</v>
      </c>
      <c r="E42" s="1644">
        <f t="shared" si="9"/>
        <v>0.62627883870751289</v>
      </c>
      <c r="F42" s="1644">
        <f t="shared" si="10"/>
        <v>2.6757917495000112</v>
      </c>
      <c r="G42" s="1645">
        <v>13932666666.666668</v>
      </c>
      <c r="H42" s="1649">
        <v>0.45130918317767105</v>
      </c>
      <c r="I42" s="1646">
        <v>1.2076093888204014</v>
      </c>
      <c r="J42" s="1645">
        <v>102771000000</v>
      </c>
      <c r="K42" s="1645">
        <v>84931960893.300797</v>
      </c>
      <c r="L42" s="1644">
        <f t="shared" si="6"/>
        <v>0.21003917628971519</v>
      </c>
      <c r="M42" s="1644">
        <f t="shared" si="7"/>
        <v>1.2100391762897151</v>
      </c>
      <c r="N42" s="1645">
        <v>27066666666.666664</v>
      </c>
      <c r="O42" s="1644">
        <v>0.26336871945068807</v>
      </c>
      <c r="P42" s="1644">
        <f>N42/K42</f>
        <v>0.31868646834458769</v>
      </c>
      <c r="Q42" s="1648">
        <f>H42-O42</f>
        <v>0.18794046372698298</v>
      </c>
    </row>
    <row r="43" spans="2:17">
      <c r="B43" s="1630" t="s">
        <v>1892</v>
      </c>
      <c r="C43" s="1645">
        <v>1528193343800</v>
      </c>
      <c r="D43" s="1645">
        <v>2041586744664.5166</v>
      </c>
      <c r="E43" s="1644">
        <f t="shared" si="9"/>
        <v>-0.33594793678914636</v>
      </c>
      <c r="F43" s="1644">
        <f t="shared" si="10"/>
        <v>0.74853216391308419</v>
      </c>
      <c r="G43" s="1645">
        <v>413725757533.33331</v>
      </c>
      <c r="H43" s="1644">
        <v>0.2707286739677614</v>
      </c>
      <c r="I43" s="1646">
        <v>0.20264912015840833</v>
      </c>
      <c r="J43" s="1645">
        <v>1310155906400</v>
      </c>
      <c r="K43" s="1645">
        <v>2498277078138.8467</v>
      </c>
      <c r="L43" s="1644">
        <f t="shared" si="6"/>
        <v>-0.47557622096263513</v>
      </c>
      <c r="M43" s="1644">
        <f t="shared" si="7"/>
        <v>0.52442377903736481</v>
      </c>
      <c r="N43" s="1645">
        <v>348762366966.66669</v>
      </c>
      <c r="O43" s="1644">
        <v>0.26619913344892177</v>
      </c>
      <c r="P43" s="1644">
        <f>N43/K43</f>
        <v>0.13960115553975536</v>
      </c>
      <c r="Q43" s="1643">
        <f>H43-O43</f>
        <v>4.5295405188396365E-3</v>
      </c>
    </row>
    <row r="44" spans="2:17">
      <c r="B44" s="1630" t="s">
        <v>1900</v>
      </c>
      <c r="C44" s="1645">
        <v>4881821000000</v>
      </c>
      <c r="D44" s="1645">
        <v>3333704216996.2266</v>
      </c>
      <c r="E44" s="1644">
        <f t="shared" si="9"/>
        <v>0.31711871103093975</v>
      </c>
      <c r="F44" s="1644">
        <f t="shared" si="10"/>
        <v>1.4643833652400859</v>
      </c>
      <c r="G44" s="1645">
        <v>2003421000000.0002</v>
      </c>
      <c r="H44" s="1647">
        <v>0.4103839530371966</v>
      </c>
      <c r="I44" s="1646">
        <v>0.60095943418913933</v>
      </c>
      <c r="J44" s="1645">
        <v>2669434666666.6665</v>
      </c>
      <c r="K44" s="1645">
        <v>3409046775093.9434</v>
      </c>
      <c r="L44" s="1644">
        <f t="shared" si="6"/>
        <v>-0.21695569384110175</v>
      </c>
      <c r="M44" s="1644">
        <f t="shared" si="7"/>
        <v>0.7830443061588982</v>
      </c>
      <c r="N44" s="1645">
        <v>616542666666.66663</v>
      </c>
      <c r="O44" s="1644">
        <v>0.23096375961751703</v>
      </c>
      <c r="P44" s="1644">
        <f>N44/K44</f>
        <v>0.18085485689754918</v>
      </c>
      <c r="Q44" s="1643">
        <f>H44-O44</f>
        <v>0.17942019341967957</v>
      </c>
    </row>
    <row r="45" spans="2:17" ht="16" thickBot="1">
      <c r="B45" s="1628" t="s">
        <v>1907</v>
      </c>
      <c r="C45" s="1641">
        <v>26674626855161.969</v>
      </c>
      <c r="D45" s="1641">
        <v>25123639289408.668</v>
      </c>
      <c r="E45" s="1640">
        <f t="shared" si="9"/>
        <v>5.8144677118628925E-2</v>
      </c>
      <c r="F45" s="1640">
        <f t="shared" si="10"/>
        <v>1.0617341917660452</v>
      </c>
      <c r="G45" s="1641">
        <v>7400026361549.1318</v>
      </c>
      <c r="H45" s="1640">
        <v>0.27741817727122614</v>
      </c>
      <c r="I45" s="1642">
        <v>0.29454436422627467</v>
      </c>
      <c r="J45" s="1641">
        <v>25123639289408.668</v>
      </c>
      <c r="K45" s="1641">
        <v>26674626855161.969</v>
      </c>
      <c r="L45" s="1640">
        <f t="shared" si="6"/>
        <v>-5.8144677118628925E-2</v>
      </c>
      <c r="M45" s="1640">
        <f t="shared" si="7"/>
        <v>0.94185532288137108</v>
      </c>
      <c r="N45" s="1641">
        <v>5935744916226.04</v>
      </c>
      <c r="O45" s="1640">
        <v>0.23626134923567232</v>
      </c>
      <c r="P45" s="1640">
        <f>N45/K45</f>
        <v>0.22252400936875255</v>
      </c>
      <c r="Q45" s="1639">
        <f>H45-O45</f>
        <v>4.1156828035553816E-2</v>
      </c>
    </row>
    <row r="46" spans="2:17" ht="16" thickTop="1"/>
    <row r="47" spans="2:17">
      <c r="B47" s="1544" t="s">
        <v>3450</v>
      </c>
    </row>
    <row r="48" spans="2:17">
      <c r="B48" s="1668"/>
    </row>
    <row r="51" spans="2:2">
      <c r="B51" s="1549"/>
    </row>
  </sheetData>
  <mergeCells count="5">
    <mergeCell ref="B7:I7"/>
    <mergeCell ref="J7:P7"/>
    <mergeCell ref="G8:H8"/>
    <mergeCell ref="N8:O8"/>
    <mergeCell ref="B5:Q5"/>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L17"/>
  <sheetViews>
    <sheetView topLeftCell="A5" workbookViewId="0">
      <selection activeCell="X67" sqref="X67"/>
    </sheetView>
  </sheetViews>
  <sheetFormatPr baseColWidth="10" defaultRowHeight="15" x14ac:dyDescent="0"/>
  <cols>
    <col min="1" max="1" width="10.7109375" style="1544"/>
    <col min="2" max="2" width="22.28515625" style="1544" customWidth="1"/>
    <col min="3" max="7" width="10.7109375" style="1544"/>
    <col min="8" max="8" width="15.85546875" style="1544" customWidth="1"/>
    <col min="9" max="9" width="21" style="1544" customWidth="1"/>
    <col min="10" max="10" width="15" style="1544" customWidth="1"/>
    <col min="11" max="11" width="16.5703125" style="1544" customWidth="1"/>
    <col min="12" max="16384" width="10.7109375" style="1544"/>
  </cols>
  <sheetData>
    <row r="6" spans="2:12">
      <c r="B6" s="1544" t="s">
        <v>2825</v>
      </c>
    </row>
    <row r="9" spans="2:12">
      <c r="H9" s="1549" t="s">
        <v>3449</v>
      </c>
    </row>
    <row r="10" spans="2:12" ht="45">
      <c r="H10" s="1544" t="s">
        <v>2976</v>
      </c>
      <c r="I10" s="1665" t="s">
        <v>2968</v>
      </c>
      <c r="J10" s="1664" t="s">
        <v>2853</v>
      </c>
      <c r="K10" s="1664" t="s">
        <v>2856</v>
      </c>
      <c r="L10" s="1664" t="s">
        <v>2859</v>
      </c>
    </row>
    <row r="11" spans="2:12">
      <c r="H11" s="1544" t="s">
        <v>2957</v>
      </c>
      <c r="I11" s="1544">
        <v>3.0614531129616118</v>
      </c>
      <c r="J11" s="1544">
        <v>3.8279493345146092</v>
      </c>
      <c r="K11" s="1544">
        <v>-8.2872293272811657</v>
      </c>
      <c r="L11" s="1544">
        <v>0.51564894053993182</v>
      </c>
    </row>
    <row r="14" spans="2:12">
      <c r="H14" s="1669" t="s">
        <v>3457</v>
      </c>
      <c r="I14" s="1544" t="s">
        <v>2974</v>
      </c>
    </row>
    <row r="15" spans="2:12">
      <c r="H15" s="1669" t="s">
        <v>525</v>
      </c>
      <c r="I15" s="1669" t="s">
        <v>3458</v>
      </c>
    </row>
    <row r="17" spans="11:11" ht="52" customHeight="1">
      <c r="K17" s="1549"/>
    </row>
  </sheetData>
  <pageMargins left="0.7" right="0.7" top="0.75" bottom="0.75" header="0.3" footer="0.3"/>
  <pageSetup paperSize="9" orientation="portrait" horizontalDpi="0" verticalDpi="0"/>
  <drawing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zoomScale="90" zoomScaleNormal="90" zoomScalePageLayoutView="90" workbookViewId="0">
      <selection activeCell="C1" sqref="C1"/>
    </sheetView>
  </sheetViews>
  <sheetFormatPr baseColWidth="10" defaultRowHeight="15" x14ac:dyDescent="0"/>
  <cols>
    <col min="1" max="16384" width="10.7109375" style="1712"/>
  </cols>
  <sheetData>
    <row r="1" spans="3:3" ht="18">
      <c r="C1" s="1716" t="s">
        <v>3517</v>
      </c>
    </row>
    <row r="21" spans="1:1">
      <c r="A21" s="1715"/>
    </row>
    <row r="22" spans="1:1">
      <c r="A22" s="1714"/>
    </row>
    <row r="23" spans="1:1">
      <c r="A23" s="1714"/>
    </row>
    <row r="24" spans="1:1">
      <c r="A24" s="1714"/>
    </row>
    <row r="25" spans="1:1">
      <c r="A25" s="1714"/>
    </row>
    <row r="26" spans="1:1">
      <c r="A26" s="1714"/>
    </row>
    <row r="27" spans="1:1">
      <c r="A27" s="1714"/>
    </row>
    <row r="28" spans="1:1">
      <c r="A28" s="1714"/>
    </row>
    <row r="29" spans="1:1">
      <c r="A29" s="1714"/>
    </row>
    <row r="30" spans="1:1">
      <c r="A30" s="1714"/>
    </row>
    <row r="31" spans="1:1">
      <c r="A31" s="1714"/>
    </row>
    <row r="33" spans="2:2">
      <c r="B33" s="1713" t="s">
        <v>3516</v>
      </c>
    </row>
    <row r="34" spans="2:2">
      <c r="B34" s="1713" t="s">
        <v>3515</v>
      </c>
    </row>
  </sheetData>
  <pageMargins left="0.7" right="0.7" top="0.75" bottom="0.75" header="0.3" footer="0.3"/>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zoomScale="80" zoomScaleNormal="80" zoomScalePageLayoutView="80" workbookViewId="0">
      <selection activeCell="J27" sqref="J27"/>
    </sheetView>
  </sheetViews>
  <sheetFormatPr baseColWidth="10" defaultRowHeight="15" x14ac:dyDescent="0"/>
  <cols>
    <col min="1" max="16384" width="10.7109375" style="1712"/>
  </cols>
  <sheetData>
    <row r="1" spans="2:2" ht="18">
      <c r="B1" s="1716" t="s">
        <v>3520</v>
      </c>
    </row>
    <row r="25" spans="1:8">
      <c r="A25" s="1717"/>
      <c r="B25" s="1717"/>
      <c r="C25" s="1717"/>
      <c r="D25" s="1717"/>
      <c r="E25" s="1717"/>
      <c r="F25" s="1717"/>
      <c r="G25" s="1717"/>
      <c r="H25" s="1717"/>
    </row>
    <row r="26" spans="1:8">
      <c r="A26" s="1717"/>
      <c r="B26" s="1717"/>
      <c r="C26" s="1717"/>
      <c r="D26" s="1717"/>
      <c r="E26" s="1717"/>
      <c r="F26" s="1717"/>
      <c r="G26" s="1717"/>
      <c r="H26" s="1717"/>
    </row>
    <row r="27" spans="1:8">
      <c r="A27" s="1717"/>
      <c r="B27" s="1717"/>
      <c r="C27" s="1717"/>
      <c r="D27" s="1717"/>
      <c r="E27" s="1717"/>
      <c r="F27" s="1717"/>
      <c r="G27" s="1717"/>
      <c r="H27" s="1717"/>
    </row>
    <row r="28" spans="1:8">
      <c r="A28" s="1717"/>
      <c r="B28" s="1717"/>
      <c r="C28" s="1717"/>
      <c r="D28" s="1717"/>
      <c r="E28" s="1717"/>
      <c r="F28" s="1717"/>
      <c r="G28" s="1717"/>
      <c r="H28" s="1717"/>
    </row>
    <row r="29" spans="1:8">
      <c r="A29" s="1718"/>
      <c r="B29" s="1717"/>
      <c r="C29" s="1717"/>
      <c r="D29" s="1717"/>
      <c r="E29" s="1717"/>
      <c r="F29" s="1717"/>
      <c r="G29" s="1717"/>
      <c r="H29" s="1717"/>
    </row>
    <row r="30" spans="1:8">
      <c r="A30" s="1717"/>
      <c r="B30" s="1717"/>
      <c r="C30" s="1717"/>
      <c r="D30" s="1717"/>
      <c r="E30" s="1717"/>
      <c r="F30" s="1717"/>
      <c r="G30" s="1717"/>
      <c r="H30" s="1717"/>
    </row>
    <row r="31" spans="1:8">
      <c r="A31" s="1717"/>
      <c r="B31" s="1717"/>
      <c r="C31" s="1717"/>
      <c r="D31" s="1717"/>
      <c r="E31" s="1717"/>
      <c r="F31" s="1717"/>
      <c r="G31" s="1717"/>
      <c r="H31" s="1717"/>
    </row>
    <row r="32" spans="1:8">
      <c r="A32" s="1717"/>
      <c r="B32" s="1713" t="s">
        <v>3519</v>
      </c>
      <c r="C32" s="1717"/>
      <c r="D32" s="1717"/>
      <c r="E32" s="1717"/>
      <c r="F32" s="1717"/>
      <c r="G32" s="1717"/>
      <c r="H32" s="1717"/>
    </row>
    <row r="33" spans="1:8">
      <c r="A33" s="1717"/>
      <c r="B33" s="1713" t="s">
        <v>3518</v>
      </c>
      <c r="C33" s="1717"/>
      <c r="D33" s="1717"/>
      <c r="E33" s="1717"/>
      <c r="F33" s="1717"/>
      <c r="G33" s="1717"/>
      <c r="H33" s="1717"/>
    </row>
    <row r="34" spans="1:8">
      <c r="A34" s="1717"/>
      <c r="B34" s="1717"/>
      <c r="C34" s="1717"/>
      <c r="D34" s="1717"/>
      <c r="E34" s="1717"/>
      <c r="F34" s="1717"/>
      <c r="G34" s="1717"/>
      <c r="H34" s="1717"/>
    </row>
    <row r="35" spans="1:8">
      <c r="A35" s="1717"/>
      <c r="B35" s="1717"/>
      <c r="C35" s="1717"/>
      <c r="D35" s="1717"/>
      <c r="E35" s="1717"/>
      <c r="F35" s="1717"/>
      <c r="G35" s="1717"/>
      <c r="H35" s="1717"/>
    </row>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L66"/>
  <sheetViews>
    <sheetView zoomScale="90" zoomScaleNormal="90" zoomScalePageLayoutView="90" workbookViewId="0">
      <pane xSplit="1" ySplit="9" topLeftCell="B44" activePane="bottomRight" state="frozen"/>
      <selection activeCell="X67" sqref="X67"/>
      <selection pane="topRight" activeCell="X67" sqref="X67"/>
      <selection pane="bottomLeft" activeCell="X67" sqref="X67"/>
      <selection pane="bottomRight" activeCell="L60" sqref="L60"/>
    </sheetView>
  </sheetViews>
  <sheetFormatPr baseColWidth="10" defaultColWidth="9.28515625" defaultRowHeight="15" x14ac:dyDescent="0"/>
  <cols>
    <col min="1" max="1" width="16.28515625" style="805" customWidth="1"/>
    <col min="2" max="4" width="9.7109375" style="805" customWidth="1"/>
    <col min="5" max="5" width="11.140625" style="805" bestFit="1" customWidth="1"/>
    <col min="6" max="16384" width="9.28515625" style="805"/>
  </cols>
  <sheetData>
    <row r="2" spans="1:12" ht="16" thickBot="1"/>
    <row r="3" spans="1:12" ht="32" customHeight="1" thickTop="1">
      <c r="A3" s="1734" t="s">
        <v>3471</v>
      </c>
      <c r="B3" s="1735"/>
      <c r="C3" s="1735"/>
      <c r="D3" s="1735"/>
      <c r="E3" s="1735"/>
      <c r="F3" s="1735"/>
      <c r="G3" s="1735"/>
      <c r="H3" s="1735"/>
      <c r="I3" s="1735"/>
      <c r="J3" s="1735"/>
      <c r="K3" s="1735"/>
      <c r="L3" s="1736"/>
    </row>
    <row r="4" spans="1:12" ht="12" customHeight="1">
      <c r="A4" s="806"/>
      <c r="B4" s="807"/>
      <c r="C4" s="807"/>
      <c r="D4" s="807"/>
      <c r="E4" s="887"/>
      <c r="F4" s="887"/>
      <c r="G4" s="887"/>
      <c r="H4" s="887"/>
      <c r="I4" s="887"/>
      <c r="J4" s="887"/>
      <c r="K4" s="887"/>
      <c r="L4" s="888"/>
    </row>
    <row r="5" spans="1:12">
      <c r="A5" s="809"/>
      <c r="B5" s="839" t="s">
        <v>2411</v>
      </c>
      <c r="C5" s="839" t="s">
        <v>2412</v>
      </c>
      <c r="D5" s="839" t="s">
        <v>2413</v>
      </c>
      <c r="E5" s="839" t="s">
        <v>2414</v>
      </c>
      <c r="F5" s="839" t="s">
        <v>2415</v>
      </c>
      <c r="G5" s="839" t="s">
        <v>2416</v>
      </c>
      <c r="H5" s="839" t="s">
        <v>2417</v>
      </c>
      <c r="I5" s="839" t="s">
        <v>2429</v>
      </c>
      <c r="J5" s="839" t="s">
        <v>2430</v>
      </c>
      <c r="K5" s="839" t="s">
        <v>2431</v>
      </c>
      <c r="L5" s="811" t="s">
        <v>2432</v>
      </c>
    </row>
    <row r="6" spans="1:12" ht="21" customHeight="1">
      <c r="A6" s="809"/>
      <c r="B6" s="1763" t="s">
        <v>2460</v>
      </c>
      <c r="C6" s="1764"/>
      <c r="D6" s="1764"/>
      <c r="E6" s="1764"/>
      <c r="F6" s="1764"/>
      <c r="G6" s="1765"/>
      <c r="H6" s="1756" t="s">
        <v>3250</v>
      </c>
      <c r="I6" s="1774" t="s">
        <v>3251</v>
      </c>
      <c r="J6" s="1771" t="s">
        <v>3220</v>
      </c>
      <c r="K6" s="1762" t="s">
        <v>3252</v>
      </c>
      <c r="L6" s="1769" t="s">
        <v>3253</v>
      </c>
    </row>
    <row r="7" spans="1:12" ht="21" customHeight="1">
      <c r="A7" s="809"/>
      <c r="B7" s="1766" t="s">
        <v>3246</v>
      </c>
      <c r="C7" s="1767"/>
      <c r="D7" s="1768"/>
      <c r="E7" s="1766" t="s">
        <v>3249</v>
      </c>
      <c r="F7" s="1767"/>
      <c r="G7" s="1768"/>
      <c r="H7" s="1757"/>
      <c r="I7" s="1759"/>
      <c r="J7" s="1772"/>
      <c r="K7" s="1741"/>
      <c r="L7" s="1770"/>
    </row>
    <row r="8" spans="1:12" ht="85" customHeight="1">
      <c r="A8" s="809"/>
      <c r="B8" s="1762" t="s">
        <v>2423</v>
      </c>
      <c r="C8" s="1750" t="s">
        <v>780</v>
      </c>
      <c r="D8" s="1760" t="s">
        <v>2271</v>
      </c>
      <c r="E8" s="1762" t="s">
        <v>2423</v>
      </c>
      <c r="F8" s="1750" t="s">
        <v>780</v>
      </c>
      <c r="G8" s="1760" t="s">
        <v>2271</v>
      </c>
      <c r="H8" s="1757"/>
      <c r="I8" s="1759"/>
      <c r="J8" s="1772"/>
      <c r="K8" s="1741"/>
      <c r="L8" s="1770"/>
    </row>
    <row r="9" spans="1:12" ht="33" customHeight="1">
      <c r="A9" s="809"/>
      <c r="B9" s="1741"/>
      <c r="C9" s="1744"/>
      <c r="D9" s="1761"/>
      <c r="E9" s="1741"/>
      <c r="F9" s="1744"/>
      <c r="G9" s="1761"/>
      <c r="H9" s="1757"/>
      <c r="I9" s="1759"/>
      <c r="J9" s="1773"/>
      <c r="K9" s="1741"/>
      <c r="L9" s="1770"/>
    </row>
    <row r="10" spans="1:12" ht="14" hidden="1" customHeight="1">
      <c r="A10" s="921">
        <v>1966</v>
      </c>
      <c r="B10" s="1060"/>
      <c r="C10" s="1061"/>
      <c r="D10" s="1396"/>
      <c r="E10" s="922"/>
      <c r="F10" s="923"/>
      <c r="G10" s="926"/>
      <c r="H10" s="927"/>
      <c r="I10" s="928"/>
      <c r="J10" s="1346"/>
      <c r="K10" s="924"/>
      <c r="L10" s="925"/>
    </row>
    <row r="11" spans="1:12" ht="14" hidden="1" customHeight="1">
      <c r="A11" s="826">
        <v>1967</v>
      </c>
      <c r="B11" s="816"/>
      <c r="C11" s="832"/>
      <c r="D11" s="1397"/>
      <c r="E11" s="814"/>
      <c r="F11" s="828"/>
      <c r="G11" s="918"/>
      <c r="H11" s="912"/>
      <c r="I11" s="915"/>
      <c r="J11" s="1347"/>
      <c r="K11" s="889"/>
      <c r="L11" s="890"/>
    </row>
    <row r="12" spans="1:12" ht="14" hidden="1" customHeight="1">
      <c r="A12" s="826">
        <v>1968</v>
      </c>
      <c r="B12" s="816"/>
      <c r="C12" s="832"/>
      <c r="D12" s="1397"/>
      <c r="E12" s="814"/>
      <c r="F12" s="828"/>
      <c r="G12" s="918"/>
      <c r="H12" s="912"/>
      <c r="I12" s="915"/>
      <c r="J12" s="1347"/>
      <c r="K12" s="889"/>
      <c r="L12" s="890"/>
    </row>
    <row r="13" spans="1:12" ht="14" hidden="1" customHeight="1">
      <c r="A13" s="856">
        <v>1969</v>
      </c>
      <c r="B13" s="872"/>
      <c r="C13" s="876"/>
      <c r="D13" s="1398"/>
      <c r="E13" s="857"/>
      <c r="F13" s="858"/>
      <c r="G13" s="919"/>
      <c r="H13" s="913"/>
      <c r="I13" s="916"/>
      <c r="J13" s="1348"/>
      <c r="K13" s="891"/>
      <c r="L13" s="892"/>
    </row>
    <row r="14" spans="1:12" ht="14" hidden="1" customHeight="1">
      <c r="A14" s="863">
        <v>1970</v>
      </c>
      <c r="B14" s="873"/>
      <c r="C14" s="879"/>
      <c r="D14" s="1399"/>
      <c r="E14" s="864"/>
      <c r="F14" s="865"/>
      <c r="G14" s="920"/>
      <c r="H14" s="914"/>
      <c r="I14" s="917"/>
      <c r="J14" s="1349"/>
      <c r="K14" s="893"/>
      <c r="L14" s="894"/>
    </row>
    <row r="15" spans="1:12" ht="14" hidden="1" customHeight="1">
      <c r="A15" s="826">
        <v>1971</v>
      </c>
      <c r="B15" s="816"/>
      <c r="C15" s="832"/>
      <c r="D15" s="1397"/>
      <c r="E15" s="814"/>
      <c r="F15" s="828"/>
      <c r="G15" s="918"/>
      <c r="H15" s="912"/>
      <c r="I15" s="915"/>
      <c r="J15" s="1347"/>
      <c r="K15" s="889"/>
      <c r="L15" s="890"/>
    </row>
    <row r="16" spans="1:12" ht="14" hidden="1" customHeight="1">
      <c r="A16" s="826">
        <v>1972</v>
      </c>
      <c r="B16" s="816"/>
      <c r="C16" s="832"/>
      <c r="D16" s="1397"/>
      <c r="E16" s="814"/>
      <c r="F16" s="828"/>
      <c r="G16" s="918"/>
      <c r="H16" s="912"/>
      <c r="I16" s="915"/>
      <c r="J16" s="1347"/>
      <c r="K16" s="889"/>
      <c r="L16" s="890"/>
    </row>
    <row r="17" spans="1:12" ht="14" hidden="1" customHeight="1">
      <c r="A17" s="826">
        <v>1973</v>
      </c>
      <c r="B17" s="816"/>
      <c r="C17" s="832"/>
      <c r="D17" s="1397"/>
      <c r="E17" s="814"/>
      <c r="F17" s="828"/>
      <c r="G17" s="918"/>
      <c r="H17" s="912"/>
      <c r="I17" s="915"/>
      <c r="J17" s="1347"/>
      <c r="K17" s="889"/>
      <c r="L17" s="890"/>
    </row>
    <row r="18" spans="1:12" ht="14" hidden="1" customHeight="1">
      <c r="A18" s="826">
        <v>1974</v>
      </c>
      <c r="B18" s="816"/>
      <c r="C18" s="832"/>
      <c r="D18" s="1397"/>
      <c r="E18" s="814"/>
      <c r="F18" s="828"/>
      <c r="G18" s="918"/>
      <c r="H18" s="912"/>
      <c r="I18" s="915"/>
      <c r="J18" s="1347"/>
      <c r="K18" s="889"/>
      <c r="L18" s="890"/>
    </row>
    <row r="19" spans="1:12" ht="14" hidden="1" customHeight="1">
      <c r="A19" s="826">
        <v>1975</v>
      </c>
      <c r="B19" s="816"/>
      <c r="C19" s="832"/>
      <c r="D19" s="1397"/>
      <c r="E19" s="814"/>
      <c r="F19" s="828"/>
      <c r="G19" s="918"/>
      <c r="H19" s="912"/>
      <c r="I19" s="915"/>
      <c r="J19" s="1347"/>
      <c r="K19" s="889"/>
      <c r="L19" s="890"/>
    </row>
    <row r="20" spans="1:12" ht="14" hidden="1" customHeight="1">
      <c r="A20" s="826">
        <v>1976</v>
      </c>
      <c r="B20" s="816"/>
      <c r="C20" s="832"/>
      <c r="D20" s="1397"/>
      <c r="E20" s="814"/>
      <c r="F20" s="828"/>
      <c r="G20" s="918"/>
      <c r="H20" s="912"/>
      <c r="I20" s="915"/>
      <c r="J20" s="1347"/>
      <c r="K20" s="889"/>
      <c r="L20" s="890"/>
    </row>
    <row r="21" spans="1:12" ht="14" customHeight="1">
      <c r="A21" s="826">
        <v>1977</v>
      </c>
      <c r="B21" s="816">
        <f t="shared" ref="B21:B59" si="0">D21-C21</f>
        <v>3.4170000000000016</v>
      </c>
      <c r="C21" s="832">
        <f>'Assets(MOFA)'!GL22/1000</f>
        <v>36.768000000000001</v>
      </c>
      <c r="D21" s="1397">
        <f>'Assets(MOFA)'!AV22/1000</f>
        <v>40.185000000000002</v>
      </c>
      <c r="E21" s="816">
        <f t="shared" ref="E21" si="1">G21-F21</f>
        <v>2.171999999999997</v>
      </c>
      <c r="F21" s="832">
        <f>T.A2!C21-T.A2b!C21</f>
        <v>3.4570000000000007</v>
      </c>
      <c r="G21" s="1397">
        <f>T.A2!D21-T.A2b!D21</f>
        <v>5.6289999999999978</v>
      </c>
      <c r="H21" s="912">
        <f t="shared" ref="H21:H59" si="2">B21/(B21+E21)</f>
        <v>0.61137949543746684</v>
      </c>
      <c r="I21" s="915">
        <f t="shared" ref="I21:I59" si="3">D21/(D21+G21)</f>
        <v>0.87713362727550537</v>
      </c>
      <c r="J21" s="1347">
        <f>'Assets(MOFA)'!EH22*'Assets(MOFA)'!EI22</f>
        <v>44.57086738435364</v>
      </c>
      <c r="K21" s="889">
        <f t="shared" ref="K21:K59" si="4">C21/D21</f>
        <v>0.91496827174318773</v>
      </c>
      <c r="L21" s="890">
        <f t="shared" ref="L21:L59" si="5">F21/G21</f>
        <v>0.61414105524960061</v>
      </c>
    </row>
    <row r="22" spans="1:12" ht="14" customHeight="1">
      <c r="A22" s="826">
        <v>1978</v>
      </c>
      <c r="B22" s="816"/>
      <c r="C22" s="832"/>
      <c r="D22" s="1397"/>
      <c r="E22" s="814"/>
      <c r="F22" s="828"/>
      <c r="G22" s="918"/>
      <c r="H22" s="912"/>
      <c r="I22" s="915"/>
      <c r="J22" s="1347"/>
      <c r="K22" s="889"/>
      <c r="L22" s="890"/>
    </row>
    <row r="23" spans="1:12" ht="14" customHeight="1">
      <c r="A23" s="856">
        <v>1979</v>
      </c>
      <c r="B23" s="872"/>
      <c r="C23" s="876"/>
      <c r="D23" s="1398"/>
      <c r="E23" s="857"/>
      <c r="F23" s="858"/>
      <c r="G23" s="919"/>
      <c r="H23" s="913"/>
      <c r="I23" s="916"/>
      <c r="J23" s="1348"/>
      <c r="K23" s="891"/>
      <c r="L23" s="892"/>
    </row>
    <row r="24" spans="1:12" ht="14" customHeight="1">
      <c r="A24" s="863">
        <v>1980</v>
      </c>
      <c r="B24" s="873"/>
      <c r="C24" s="879"/>
      <c r="D24" s="1399"/>
      <c r="E24" s="864"/>
      <c r="F24" s="865"/>
      <c r="G24" s="920"/>
      <c r="H24" s="914"/>
      <c r="I24" s="917"/>
      <c r="J24" s="1349"/>
      <c r="K24" s="893"/>
      <c r="L24" s="894"/>
    </row>
    <row r="25" spans="1:12" ht="14" customHeight="1">
      <c r="A25" s="826">
        <v>1981</v>
      </c>
      <c r="B25" s="816"/>
      <c r="C25" s="832"/>
      <c r="D25" s="1397"/>
      <c r="E25" s="814"/>
      <c r="F25" s="828"/>
      <c r="G25" s="918"/>
      <c r="H25" s="912"/>
      <c r="I25" s="915"/>
      <c r="J25" s="1347"/>
      <c r="K25" s="889"/>
      <c r="L25" s="890"/>
    </row>
    <row r="26" spans="1:12" ht="14" customHeight="1">
      <c r="A26" s="826">
        <v>1982</v>
      </c>
      <c r="B26" s="816">
        <f t="shared" si="0"/>
        <v>3.8869999999999987</v>
      </c>
      <c r="C26" s="832">
        <f>'Assets(MOFA)'!GL27/1000</f>
        <v>8.6010000000000009</v>
      </c>
      <c r="D26" s="1397">
        <f>'Assets(MOFA)'!AV27/1000</f>
        <v>12.488</v>
      </c>
      <c r="E26" s="816">
        <f t="shared" ref="E26" si="6">G26-F26</f>
        <v>4.1880000000000006</v>
      </c>
      <c r="F26" s="832">
        <f>T.A2!C26-T.A2b!C26</f>
        <v>10.743999999999998</v>
      </c>
      <c r="G26" s="1397">
        <f>T.A2!D26-T.A2b!D26</f>
        <v>14.931999999999999</v>
      </c>
      <c r="H26" s="912">
        <f t="shared" si="2"/>
        <v>0.48136222910216708</v>
      </c>
      <c r="I26" s="915">
        <f t="shared" si="3"/>
        <v>0.4554339897884756</v>
      </c>
      <c r="J26" s="1347">
        <f>'Assets(MOFA)'!EH27*'Assets(MOFA)'!EI27</f>
        <v>71.190756038217316</v>
      </c>
      <c r="K26" s="889">
        <f t="shared" si="4"/>
        <v>0.68874119154388225</v>
      </c>
      <c r="L26" s="890">
        <f t="shared" si="5"/>
        <v>0.71952852933297606</v>
      </c>
    </row>
    <row r="27" spans="1:12" ht="14" customHeight="1">
      <c r="A27" s="826">
        <v>1983</v>
      </c>
      <c r="B27" s="816">
        <f t="shared" si="0"/>
        <v>3.0359999999999996</v>
      </c>
      <c r="C27" s="832">
        <f>'Assets(MOFA)'!GL28/1000</f>
        <v>8.3420000000000005</v>
      </c>
      <c r="D27" s="1397">
        <f>'Assets(MOFA)'!AV28/1000</f>
        <v>11.378</v>
      </c>
      <c r="E27" s="816">
        <f t="shared" ref="E27:E59" si="7">G27-F27</f>
        <v>6.391</v>
      </c>
      <c r="F27" s="832">
        <f>T.A2!C27-T.A2b!C27</f>
        <v>11.013</v>
      </c>
      <c r="G27" s="1397">
        <f>T.A2!D27-T.A2b!D27</f>
        <v>17.404</v>
      </c>
      <c r="H27" s="912">
        <f t="shared" si="2"/>
        <v>0.32205367561260206</v>
      </c>
      <c r="I27" s="915">
        <f t="shared" si="3"/>
        <v>0.39531651726773681</v>
      </c>
      <c r="J27" s="1347">
        <f>'Assets(MOFA)'!EH28*'Assets(MOFA)'!EI28</f>
        <v>61.172966489028809</v>
      </c>
      <c r="K27" s="889">
        <f t="shared" si="4"/>
        <v>0.73316927403761645</v>
      </c>
      <c r="L27" s="890">
        <f t="shared" si="5"/>
        <v>0.63278556653642837</v>
      </c>
    </row>
    <row r="28" spans="1:12" ht="14" customHeight="1">
      <c r="A28" s="826">
        <v>1984</v>
      </c>
      <c r="B28" s="816">
        <f t="shared" si="0"/>
        <v>3.2350000000000012</v>
      </c>
      <c r="C28" s="832">
        <f>'Assets(MOFA)'!GL29/1000</f>
        <v>8.9179999999999993</v>
      </c>
      <c r="D28" s="1397">
        <f>'Assets(MOFA)'!AV29/1000</f>
        <v>12.153</v>
      </c>
      <c r="E28" s="816">
        <f t="shared" si="7"/>
        <v>6.0869999999999962</v>
      </c>
      <c r="F28" s="832">
        <f>T.A2!C28-T.A2b!C28</f>
        <v>12.756</v>
      </c>
      <c r="G28" s="1397">
        <f>T.A2!D28-T.A2b!D28</f>
        <v>18.842999999999996</v>
      </c>
      <c r="H28" s="912">
        <f t="shared" si="2"/>
        <v>0.34702853464921712</v>
      </c>
      <c r="I28" s="915">
        <f t="shared" si="3"/>
        <v>0.39208284939992266</v>
      </c>
      <c r="J28" s="1347">
        <f>'Assets(MOFA)'!EH29*'Assets(MOFA)'!EI29</f>
        <v>57.406959652072224</v>
      </c>
      <c r="K28" s="889">
        <f t="shared" si="4"/>
        <v>0.7338105817493622</v>
      </c>
      <c r="L28" s="890">
        <f t="shared" si="5"/>
        <v>0.67696226715491181</v>
      </c>
    </row>
    <row r="29" spans="1:12" ht="14" customHeight="1">
      <c r="A29" s="826">
        <v>1985</v>
      </c>
      <c r="B29" s="816">
        <f t="shared" si="0"/>
        <v>2.2889999999999997</v>
      </c>
      <c r="C29" s="832">
        <f>'Assets(MOFA)'!GL30/1000</f>
        <v>8.1910000000000007</v>
      </c>
      <c r="D29" s="1397">
        <f>'Assets(MOFA)'!AV30/1000</f>
        <v>10.48</v>
      </c>
      <c r="E29" s="816">
        <f t="shared" si="7"/>
        <v>6.0559999999999992</v>
      </c>
      <c r="F29" s="832">
        <f>T.A2!C29-T.A2b!C29</f>
        <v>12.327</v>
      </c>
      <c r="G29" s="1397">
        <f>T.A2!D29-T.A2b!D29</f>
        <v>18.382999999999999</v>
      </c>
      <c r="H29" s="912">
        <f t="shared" si="2"/>
        <v>0.2742959856201318</v>
      </c>
      <c r="I29" s="915">
        <f t="shared" si="3"/>
        <v>0.3630946194089319</v>
      </c>
      <c r="J29" s="1347">
        <f>'Assets(MOFA)'!EH30*'Assets(MOFA)'!EI30</f>
        <v>53.094137413741365</v>
      </c>
      <c r="K29" s="889">
        <f t="shared" si="4"/>
        <v>0.7815839694656489</v>
      </c>
      <c r="L29" s="890">
        <f t="shared" si="5"/>
        <v>0.67056519610509713</v>
      </c>
    </row>
    <row r="30" spans="1:12" ht="14" customHeight="1">
      <c r="A30" s="826">
        <v>1986</v>
      </c>
      <c r="B30" s="816">
        <f t="shared" si="0"/>
        <v>1.7400000000000002</v>
      </c>
      <c r="C30" s="832">
        <f>'Assets(MOFA)'!GL31/1000</f>
        <v>3.2229999999999999</v>
      </c>
      <c r="D30" s="1397">
        <f>'Assets(MOFA)'!AV31/1000</f>
        <v>4.9630000000000001</v>
      </c>
      <c r="E30" s="816">
        <f t="shared" si="7"/>
        <v>4.033999999999998</v>
      </c>
      <c r="F30" s="832">
        <f>T.A2!C30-T.A2b!C30</f>
        <v>6.2410000000000005</v>
      </c>
      <c r="G30" s="1397">
        <f>T.A2!D30-T.A2b!D30</f>
        <v>10.274999999999999</v>
      </c>
      <c r="H30" s="912">
        <f t="shared" si="2"/>
        <v>0.30135088326983039</v>
      </c>
      <c r="I30" s="915">
        <f t="shared" si="3"/>
        <v>0.3256989106181914</v>
      </c>
      <c r="J30" s="1347">
        <f>'Assets(MOFA)'!EH31*'Assets(MOFA)'!EI31</f>
        <v>27.210522397083974</v>
      </c>
      <c r="K30" s="889">
        <f t="shared" si="4"/>
        <v>0.64940560145073545</v>
      </c>
      <c r="L30" s="890">
        <f t="shared" si="5"/>
        <v>0.60739659367396603</v>
      </c>
    </row>
    <row r="31" spans="1:12" ht="14" customHeight="1">
      <c r="A31" s="826">
        <v>1987</v>
      </c>
      <c r="B31" s="816">
        <f t="shared" si="0"/>
        <v>1.7480000000000002</v>
      </c>
      <c r="C31" s="832">
        <f>'Assets(MOFA)'!GL32/1000</f>
        <v>3.75</v>
      </c>
      <c r="D31" s="1397">
        <f>'Assets(MOFA)'!AV32/1000</f>
        <v>5.4980000000000002</v>
      </c>
      <c r="E31" s="816">
        <f t="shared" si="7"/>
        <v>4.1319999999999979</v>
      </c>
      <c r="F31" s="832">
        <f>T.A2!C31-T.A2b!C31</f>
        <v>5.5079999999999991</v>
      </c>
      <c r="G31" s="1397">
        <f>T.A2!D31-T.A2b!D31</f>
        <v>9.639999999999997</v>
      </c>
      <c r="H31" s="912">
        <f t="shared" si="2"/>
        <v>0.29727891156462599</v>
      </c>
      <c r="I31" s="915">
        <f t="shared" si="3"/>
        <v>0.36319196723477348</v>
      </c>
      <c r="J31" s="1347">
        <f>'Assets(MOFA)'!EH32*'Assets(MOFA)'!EI32</f>
        <v>33.735349413573942</v>
      </c>
      <c r="K31" s="889">
        <f t="shared" si="4"/>
        <v>0.682066205893052</v>
      </c>
      <c r="L31" s="890">
        <f t="shared" si="5"/>
        <v>0.57136929460580921</v>
      </c>
    </row>
    <row r="32" spans="1:12" ht="14" customHeight="1">
      <c r="A32" s="826">
        <v>1988</v>
      </c>
      <c r="B32" s="816">
        <f t="shared" si="0"/>
        <v>1.7480000000000002</v>
      </c>
      <c r="C32" s="832">
        <f>'Assets(MOFA)'!GL33/1000</f>
        <v>3.1150000000000002</v>
      </c>
      <c r="D32" s="1397">
        <f>'Assets(MOFA)'!AV33/1000</f>
        <v>4.8630000000000004</v>
      </c>
      <c r="E32" s="816">
        <f t="shared" si="7"/>
        <v>3.4580000000000011</v>
      </c>
      <c r="F32" s="832">
        <f>T.A2!C32-T.A2b!C32</f>
        <v>4.3369999999999997</v>
      </c>
      <c r="G32" s="1397">
        <f>T.A2!D32-T.A2b!D32</f>
        <v>7.7950000000000008</v>
      </c>
      <c r="H32" s="912">
        <f t="shared" si="2"/>
        <v>0.33576642335766421</v>
      </c>
      <c r="I32" s="915">
        <f t="shared" si="3"/>
        <v>0.38418391531047558</v>
      </c>
      <c r="J32" s="1347">
        <f>'Assets(MOFA)'!EH33*'Assets(MOFA)'!EI33</f>
        <v>26.285890668997702</v>
      </c>
      <c r="K32" s="889">
        <f t="shared" si="4"/>
        <v>0.64055110014394401</v>
      </c>
      <c r="L32" s="890">
        <f t="shared" si="5"/>
        <v>0.55638229634381009</v>
      </c>
    </row>
    <row r="33" spans="1:12" ht="14" customHeight="1">
      <c r="A33" s="856">
        <v>1989</v>
      </c>
      <c r="B33" s="872">
        <f t="shared" si="0"/>
        <v>1.6350000000000002</v>
      </c>
      <c r="C33" s="876">
        <f>'Assets(MOFA)'!GL34/1000</f>
        <v>3.7189999999999999</v>
      </c>
      <c r="D33" s="1398">
        <f>'Assets(MOFA)'!AV34/1000</f>
        <v>5.3540000000000001</v>
      </c>
      <c r="E33" s="872">
        <f t="shared" si="7"/>
        <v>3.6999999999999993</v>
      </c>
      <c r="F33" s="876">
        <f>T.A2!C33-T.A2b!C33</f>
        <v>4.3689999999999998</v>
      </c>
      <c r="G33" s="1398">
        <f>T.A2!D33-T.A2b!D33</f>
        <v>8.0689999999999991</v>
      </c>
      <c r="H33" s="913">
        <f t="shared" si="2"/>
        <v>0.30646672914714163</v>
      </c>
      <c r="I33" s="916">
        <f t="shared" si="3"/>
        <v>0.39886761528719367</v>
      </c>
      <c r="J33" s="1348">
        <f>'Assets(MOFA)'!EH34*'Assets(MOFA)'!EI34</f>
        <v>30.77780120111704</v>
      </c>
      <c r="K33" s="891">
        <f t="shared" si="4"/>
        <v>0.69462084422861403</v>
      </c>
      <c r="L33" s="892">
        <f t="shared" si="5"/>
        <v>0.54145495104721775</v>
      </c>
    </row>
    <row r="34" spans="1:12" ht="14" customHeight="1">
      <c r="A34" s="863">
        <v>1990</v>
      </c>
      <c r="B34" s="873">
        <f t="shared" si="0"/>
        <v>2.0809999999999995</v>
      </c>
      <c r="C34" s="879">
        <f>'Assets(MOFA)'!GL35/1000</f>
        <v>4.9370000000000003</v>
      </c>
      <c r="D34" s="1399">
        <f>'Assets(MOFA)'!AV35/1000</f>
        <v>7.0179999999999998</v>
      </c>
      <c r="E34" s="873">
        <f t="shared" si="7"/>
        <v>7.2979999999999992</v>
      </c>
      <c r="F34" s="879">
        <f>T.A2!C34-T.A2b!C34</f>
        <v>2.8380000000000001</v>
      </c>
      <c r="G34" s="1399">
        <f>T.A2!D34-T.A2b!D34</f>
        <v>10.135999999999999</v>
      </c>
      <c r="H34" s="914">
        <f t="shared" si="2"/>
        <v>0.22187866510288942</v>
      </c>
      <c r="I34" s="917">
        <f t="shared" si="3"/>
        <v>0.40911740701877114</v>
      </c>
      <c r="J34" s="1349">
        <f>'Assets(MOFA)'!EH35*'Assets(MOFA)'!EI35</f>
        <v>38.402125857822696</v>
      </c>
      <c r="K34" s="893">
        <f t="shared" si="4"/>
        <v>0.70347677400968944</v>
      </c>
      <c r="L34" s="894">
        <f t="shared" si="5"/>
        <v>0.27999210734017366</v>
      </c>
    </row>
    <row r="35" spans="1:12" ht="14" customHeight="1">
      <c r="A35" s="826">
        <v>1991</v>
      </c>
      <c r="B35" s="816">
        <f t="shared" si="0"/>
        <v>2.7210000000000001</v>
      </c>
      <c r="C35" s="832">
        <f>'Assets(MOFA)'!GL36/1000</f>
        <v>4.2530000000000001</v>
      </c>
      <c r="D35" s="1397">
        <f>'Assets(MOFA)'!AV36/1000</f>
        <v>6.9740000000000002</v>
      </c>
      <c r="E35" s="816">
        <f t="shared" si="7"/>
        <v>6.4489999999999998</v>
      </c>
      <c r="F35" s="832">
        <f>T.A2!C35-T.A2b!C35</f>
        <v>1.5259999999999998</v>
      </c>
      <c r="G35" s="1397">
        <f>T.A2!D35-T.A2b!D35</f>
        <v>7.9749999999999996</v>
      </c>
      <c r="H35" s="912">
        <f t="shared" si="2"/>
        <v>0.29672846237731737</v>
      </c>
      <c r="I35" s="915">
        <f t="shared" si="3"/>
        <v>0.46651949963208245</v>
      </c>
      <c r="J35" s="1347">
        <f>'Assets(MOFA)'!EH36*'Assets(MOFA)'!EI36</f>
        <v>31.344969459900799</v>
      </c>
      <c r="K35" s="889">
        <f t="shared" si="4"/>
        <v>0.60983653570404361</v>
      </c>
      <c r="L35" s="890">
        <f t="shared" si="5"/>
        <v>0.19134796238244511</v>
      </c>
    </row>
    <row r="36" spans="1:12" ht="14" customHeight="1">
      <c r="A36" s="826">
        <v>1992</v>
      </c>
      <c r="B36" s="816">
        <f t="shared" si="0"/>
        <v>3.0310000000000001</v>
      </c>
      <c r="C36" s="832">
        <f>'Assets(MOFA)'!GL37/1000</f>
        <v>3.9209999999999998</v>
      </c>
      <c r="D36" s="1397">
        <f>'Assets(MOFA)'!AV37/1000</f>
        <v>6.952</v>
      </c>
      <c r="E36" s="816">
        <f t="shared" si="7"/>
        <v>3.2739999999999996</v>
      </c>
      <c r="F36" s="832">
        <f>T.A2!C36-T.A2b!C36</f>
        <v>3.8039999999999998</v>
      </c>
      <c r="G36" s="1397">
        <f>T.A2!D36-T.A2b!D36</f>
        <v>7.0779999999999994</v>
      </c>
      <c r="H36" s="912">
        <f t="shared" si="2"/>
        <v>0.48072957969865193</v>
      </c>
      <c r="I36" s="915">
        <f t="shared" si="3"/>
        <v>0.49550962223806133</v>
      </c>
      <c r="J36" s="1347">
        <f>'Assets(MOFA)'!EH37*'Assets(MOFA)'!EI37</f>
        <v>29.499042690475278</v>
      </c>
      <c r="K36" s="889">
        <f t="shared" si="4"/>
        <v>0.56401035673187572</v>
      </c>
      <c r="L36" s="890">
        <f t="shared" si="5"/>
        <v>0.53743995478948858</v>
      </c>
    </row>
    <row r="37" spans="1:12" ht="14" customHeight="1">
      <c r="A37" s="826">
        <v>1993</v>
      </c>
      <c r="B37" s="816">
        <f t="shared" si="0"/>
        <v>2.6850000000000001</v>
      </c>
      <c r="C37" s="832">
        <f>'Assets(MOFA)'!GL38/1000</f>
        <v>3.39</v>
      </c>
      <c r="D37" s="1397">
        <f>'Assets(MOFA)'!AV38/1000</f>
        <v>6.0750000000000002</v>
      </c>
      <c r="E37" s="816">
        <f t="shared" si="7"/>
        <v>6.0960000000000001</v>
      </c>
      <c r="F37" s="832">
        <f>T.A2!C37-T.A2b!C37</f>
        <v>4.0549999999999997</v>
      </c>
      <c r="G37" s="1397">
        <f>T.A2!D37-T.A2b!D37</f>
        <v>10.151</v>
      </c>
      <c r="H37" s="912">
        <f t="shared" si="2"/>
        <v>0.30577382985992485</v>
      </c>
      <c r="I37" s="915">
        <f t="shared" si="3"/>
        <v>0.37439911253543701</v>
      </c>
      <c r="J37" s="1347">
        <f>'Assets(MOFA)'!EH38*'Assets(MOFA)'!EI38</f>
        <v>25.281085698107173</v>
      </c>
      <c r="K37" s="889">
        <f t="shared" si="4"/>
        <v>0.55802469135802468</v>
      </c>
      <c r="L37" s="890">
        <f t="shared" si="5"/>
        <v>0.39946803270613729</v>
      </c>
    </row>
    <row r="38" spans="1:12" ht="14" customHeight="1">
      <c r="A38" s="826">
        <v>1994</v>
      </c>
      <c r="B38" s="816">
        <f t="shared" si="0"/>
        <v>2.4710000000000005</v>
      </c>
      <c r="C38" s="832">
        <f>'Assets(MOFA)'!GL39/1000</f>
        <v>2.8359999999999999</v>
      </c>
      <c r="D38" s="1397">
        <f>'Assets(MOFA)'!AV39/1000</f>
        <v>5.3070000000000004</v>
      </c>
      <c r="E38" s="816">
        <f t="shared" si="7"/>
        <v>5.1429999999999989</v>
      </c>
      <c r="F38" s="832">
        <f>T.A2!C38-T.A2b!C38</f>
        <v>3.8720000000000003</v>
      </c>
      <c r="G38" s="1397">
        <f>T.A2!D38-T.A2b!D38</f>
        <v>9.0149999999999988</v>
      </c>
      <c r="H38" s="912">
        <f t="shared" si="2"/>
        <v>0.32453375361176789</v>
      </c>
      <c r="I38" s="915">
        <f t="shared" si="3"/>
        <v>0.37054880603267704</v>
      </c>
      <c r="J38" s="1347">
        <f>'Assets(MOFA)'!EH39*'Assets(MOFA)'!EI39</f>
        <v>23.082024135406041</v>
      </c>
      <c r="K38" s="889">
        <f t="shared" si="4"/>
        <v>0.53438854343320141</v>
      </c>
      <c r="L38" s="890">
        <f t="shared" si="5"/>
        <v>0.42950637825845822</v>
      </c>
    </row>
    <row r="39" spans="1:12">
      <c r="A39" s="826">
        <v>1995</v>
      </c>
      <c r="B39" s="816">
        <f t="shared" si="0"/>
        <v>3.4499999999999997</v>
      </c>
      <c r="C39" s="832">
        <f>'Assets(MOFA)'!GL40/1000</f>
        <v>3.4369999999999998</v>
      </c>
      <c r="D39" s="1397">
        <f>'Assets(MOFA)'!AV40/1000</f>
        <v>6.8869999999999996</v>
      </c>
      <c r="E39" s="816">
        <f t="shared" si="7"/>
        <v>5.4130000000000003</v>
      </c>
      <c r="F39" s="832">
        <f>T.A2!C39-T.A2b!C39</f>
        <v>4.8490000000000002</v>
      </c>
      <c r="G39" s="1397">
        <f>T.A2!D39-T.A2b!D39</f>
        <v>10.262</v>
      </c>
      <c r="H39" s="912">
        <f t="shared" si="2"/>
        <v>0.3892587160103802</v>
      </c>
      <c r="I39" s="915">
        <f t="shared" si="3"/>
        <v>0.40159776080237908</v>
      </c>
      <c r="J39" s="1347">
        <f>'Assets(MOFA)'!EH40*'Assets(MOFA)'!EI40</f>
        <v>24.326702612085985</v>
      </c>
      <c r="K39" s="889">
        <f t="shared" si="4"/>
        <v>0.49905619282706548</v>
      </c>
      <c r="L39" s="890">
        <f t="shared" si="5"/>
        <v>0.47251997661274603</v>
      </c>
    </row>
    <row r="40" spans="1:12">
      <c r="A40" s="826">
        <v>1996</v>
      </c>
      <c r="B40" s="816">
        <f t="shared" si="0"/>
        <v>3.62</v>
      </c>
      <c r="C40" s="832">
        <f>'Assets(MOFA)'!GL41/1000</f>
        <v>4.6239999999999997</v>
      </c>
      <c r="D40" s="1397">
        <f>'Assets(MOFA)'!AV41/1000</f>
        <v>8.2439999999999998</v>
      </c>
      <c r="E40" s="816">
        <f t="shared" si="7"/>
        <v>8.7560000000000002</v>
      </c>
      <c r="F40" s="832">
        <f>T.A2!C40-T.A2b!C40</f>
        <v>7.5290000000000008</v>
      </c>
      <c r="G40" s="1397">
        <f>T.A2!D40-T.A2b!D40</f>
        <v>16.285</v>
      </c>
      <c r="H40" s="912">
        <f t="shared" si="2"/>
        <v>0.29250161603102776</v>
      </c>
      <c r="I40" s="915">
        <f t="shared" si="3"/>
        <v>0.33609197276692893</v>
      </c>
      <c r="J40" s="1347">
        <f>'Assets(MOFA)'!EH41*'Assets(MOFA)'!EI41</f>
        <v>28.931536979938169</v>
      </c>
      <c r="K40" s="889">
        <f t="shared" si="4"/>
        <v>0.56089277049975739</v>
      </c>
      <c r="L40" s="890">
        <f t="shared" si="5"/>
        <v>0.46232729505680076</v>
      </c>
    </row>
    <row r="41" spans="1:12">
      <c r="A41" s="826">
        <v>1997</v>
      </c>
      <c r="B41" s="816">
        <f t="shared" si="0"/>
        <v>3.3200000000000003</v>
      </c>
      <c r="C41" s="832">
        <f>'Assets(MOFA)'!GL42/1000</f>
        <v>4.5279999999999996</v>
      </c>
      <c r="D41" s="1397">
        <f>'Assets(MOFA)'!AV42/1000</f>
        <v>7.8479999999999999</v>
      </c>
      <c r="E41" s="816">
        <f t="shared" si="7"/>
        <v>10.646999999999998</v>
      </c>
      <c r="F41" s="832">
        <f>T.A2!C41-T.A2b!C41</f>
        <v>6.3070000000000013</v>
      </c>
      <c r="G41" s="1397">
        <f>T.A2!D41-T.A2b!D41</f>
        <v>16.954000000000001</v>
      </c>
      <c r="H41" s="912">
        <f t="shared" si="2"/>
        <v>0.23770315744254317</v>
      </c>
      <c r="I41" s="915">
        <f t="shared" si="3"/>
        <v>0.31642609466978472</v>
      </c>
      <c r="J41" s="1347">
        <f>'Assets(MOFA)'!EH42*'Assets(MOFA)'!EI42</f>
        <v>26.272134065913143</v>
      </c>
      <c r="K41" s="889">
        <f t="shared" si="4"/>
        <v>0.57696228338430167</v>
      </c>
      <c r="L41" s="890">
        <f t="shared" si="5"/>
        <v>0.37200660611065239</v>
      </c>
    </row>
    <row r="42" spans="1:12">
      <c r="A42" s="826">
        <v>1998</v>
      </c>
      <c r="B42" s="816">
        <f t="shared" si="0"/>
        <v>2.2799999999999998</v>
      </c>
      <c r="C42" s="832">
        <f>'Assets(MOFA)'!GL43/1000</f>
        <v>2.2879999999999998</v>
      </c>
      <c r="D42" s="1397">
        <f>'Assets(MOFA)'!AV43/1000</f>
        <v>4.5679999999999996</v>
      </c>
      <c r="E42" s="816">
        <f t="shared" si="7"/>
        <v>5.6319999999999997</v>
      </c>
      <c r="F42" s="832">
        <f>T.A2!C42-T.A2b!C42</f>
        <v>2.5050000000000003</v>
      </c>
      <c r="G42" s="1397">
        <f>T.A2!D42-T.A2b!D42</f>
        <v>8.1370000000000005</v>
      </c>
      <c r="H42" s="912">
        <f t="shared" si="2"/>
        <v>0.28816986855409504</v>
      </c>
      <c r="I42" s="915">
        <f t="shared" si="3"/>
        <v>0.35954348681621406</v>
      </c>
      <c r="J42" s="1347">
        <f>'Assets(MOFA)'!EH43*'Assets(MOFA)'!EI43</f>
        <v>17.363934397761394</v>
      </c>
      <c r="K42" s="889">
        <f t="shared" si="4"/>
        <v>0.50087565674255696</v>
      </c>
      <c r="L42" s="890">
        <f t="shared" si="5"/>
        <v>0.30785301708246282</v>
      </c>
    </row>
    <row r="43" spans="1:12">
      <c r="A43" s="856">
        <v>1999</v>
      </c>
      <c r="B43" s="872">
        <f t="shared" si="0"/>
        <v>3.9750000000000005</v>
      </c>
      <c r="C43" s="876">
        <f>'Assets(MOFA)'!GL44/1000</f>
        <v>3.01</v>
      </c>
      <c r="D43" s="1398">
        <f>'Assets(MOFA)'!AV44/1000</f>
        <v>6.9850000000000003</v>
      </c>
      <c r="E43" s="872">
        <f t="shared" si="7"/>
        <v>7.6639999999999988</v>
      </c>
      <c r="F43" s="876">
        <f>T.A2!C43-T.A2b!C43</f>
        <v>4.0710000000000006</v>
      </c>
      <c r="G43" s="1398">
        <f>T.A2!D43-T.A2b!D43</f>
        <v>11.734999999999999</v>
      </c>
      <c r="H43" s="913">
        <f t="shared" si="2"/>
        <v>0.34152418592662609</v>
      </c>
      <c r="I43" s="916">
        <f t="shared" si="3"/>
        <v>0.37313034188034194</v>
      </c>
      <c r="J43" s="1348">
        <f>'Assets(MOFA)'!EH44*'Assets(MOFA)'!EI44</f>
        <v>24.18394507099212</v>
      </c>
      <c r="K43" s="891">
        <f t="shared" si="4"/>
        <v>0.43092340730136003</v>
      </c>
      <c r="L43" s="892">
        <f t="shared" si="5"/>
        <v>0.3469109501491266</v>
      </c>
    </row>
    <row r="44" spans="1:12">
      <c r="A44" s="863">
        <v>2000</v>
      </c>
      <c r="B44" s="873">
        <f t="shared" si="0"/>
        <v>4.8419999999999996</v>
      </c>
      <c r="C44" s="879">
        <f>'Assets(MOFA)'!GL45/1000</f>
        <v>5.9249999999999998</v>
      </c>
      <c r="D44" s="1399">
        <f>'Assets(MOFA)'!AV45/1000</f>
        <v>10.766999999999999</v>
      </c>
      <c r="E44" s="873">
        <f t="shared" si="7"/>
        <v>18.609000000000005</v>
      </c>
      <c r="F44" s="879">
        <f>T.A2!C44-T.A2b!C44</f>
        <v>11.573999999999998</v>
      </c>
      <c r="G44" s="1399">
        <f>T.A2!D44-T.A2b!D44</f>
        <v>30.183000000000003</v>
      </c>
      <c r="H44" s="914">
        <f t="shared" si="2"/>
        <v>0.20647307151080974</v>
      </c>
      <c r="I44" s="917">
        <f t="shared" si="3"/>
        <v>0.26293040293040287</v>
      </c>
      <c r="J44" s="1349">
        <f>'Assets(MOFA)'!EH45*'Assets(MOFA)'!EI45</f>
        <v>37.416580461814398</v>
      </c>
      <c r="K44" s="893">
        <f t="shared" si="4"/>
        <v>0.55029256060183895</v>
      </c>
      <c r="L44" s="894">
        <f t="shared" si="5"/>
        <v>0.38346088857966393</v>
      </c>
    </row>
    <row r="45" spans="1:12">
      <c r="A45" s="826">
        <v>2001</v>
      </c>
      <c r="B45" s="816">
        <f t="shared" si="0"/>
        <v>4.1639999999999997</v>
      </c>
      <c r="C45" s="832">
        <f>'Assets(MOFA)'!GL46/1000</f>
        <v>5.3209999999999997</v>
      </c>
      <c r="D45" s="1397">
        <f>'Assets(MOFA)'!AV46/1000</f>
        <v>9.4849999999999994</v>
      </c>
      <c r="E45" s="816">
        <f t="shared" si="7"/>
        <v>15.626999999999999</v>
      </c>
      <c r="F45" s="832">
        <f>T.A2!C45-T.A2b!C45</f>
        <v>9.6509999999999998</v>
      </c>
      <c r="G45" s="1397">
        <f>T.A2!D45-T.A2b!D45</f>
        <v>25.277999999999999</v>
      </c>
      <c r="H45" s="912">
        <f t="shared" si="2"/>
        <v>0.21039866606033047</v>
      </c>
      <c r="I45" s="915">
        <f t="shared" si="3"/>
        <v>0.2728475678163565</v>
      </c>
      <c r="J45" s="1347">
        <f>'Assets(MOFA)'!EH46*'Assets(MOFA)'!EI46</f>
        <v>31.488644913715078</v>
      </c>
      <c r="K45" s="889">
        <f t="shared" si="4"/>
        <v>0.56099103848181342</v>
      </c>
      <c r="L45" s="890">
        <f t="shared" si="5"/>
        <v>0.38179444576311417</v>
      </c>
    </row>
    <row r="46" spans="1:12">
      <c r="A46" s="826">
        <v>2002</v>
      </c>
      <c r="B46" s="816">
        <f t="shared" si="0"/>
        <v>3.33</v>
      </c>
      <c r="C46" s="832">
        <f>'Assets(MOFA)'!GL47/1000</f>
        <v>4.8070000000000004</v>
      </c>
      <c r="D46" s="1397">
        <f>'Assets(MOFA)'!AV47/1000</f>
        <v>8.1370000000000005</v>
      </c>
      <c r="E46" s="816">
        <f t="shared" si="7"/>
        <v>13.642000000000001</v>
      </c>
      <c r="F46" s="832">
        <f>T.A2!C46-T.A2b!C46</f>
        <v>9.2859999999999996</v>
      </c>
      <c r="G46" s="1397">
        <f>T.A2!D46-T.A2b!D46</f>
        <v>22.928000000000001</v>
      </c>
      <c r="H46" s="912">
        <f t="shared" si="2"/>
        <v>0.19620551496582606</v>
      </c>
      <c r="I46" s="915">
        <f t="shared" si="3"/>
        <v>0.26193465314662806</v>
      </c>
      <c r="J46" s="1347">
        <f>'Assets(MOFA)'!EH47*'Assets(MOFA)'!EI47</f>
        <v>31.808176433613831</v>
      </c>
      <c r="K46" s="889">
        <f t="shared" si="4"/>
        <v>0.5907582647167261</v>
      </c>
      <c r="L46" s="890">
        <f t="shared" si="5"/>
        <v>0.40500697836706206</v>
      </c>
    </row>
    <row r="47" spans="1:12">
      <c r="A47" s="826">
        <v>2003</v>
      </c>
      <c r="B47" s="816">
        <f t="shared" si="0"/>
        <v>4.8389999999999995</v>
      </c>
      <c r="C47" s="832">
        <f>'Assets(MOFA)'!GL48/1000</f>
        <v>5.9349999999999996</v>
      </c>
      <c r="D47" s="1397">
        <f>'Assets(MOFA)'!AV48/1000</f>
        <v>10.773999999999999</v>
      </c>
      <c r="E47" s="816">
        <f t="shared" si="7"/>
        <v>20.391999999999996</v>
      </c>
      <c r="F47" s="832">
        <f>T.A2!C47-T.A2b!C47</f>
        <v>12.780000000000001</v>
      </c>
      <c r="G47" s="1397">
        <f>T.A2!D47-T.A2b!D47</f>
        <v>33.171999999999997</v>
      </c>
      <c r="H47" s="912">
        <f t="shared" si="2"/>
        <v>0.19178787998890257</v>
      </c>
      <c r="I47" s="915">
        <f t="shared" si="3"/>
        <v>0.2451645200928412</v>
      </c>
      <c r="J47" s="1347">
        <f>'Assets(MOFA)'!EH48*'Assets(MOFA)'!EI48</f>
        <v>35.936978269488264</v>
      </c>
      <c r="K47" s="889">
        <f t="shared" si="4"/>
        <v>0.55086318915908672</v>
      </c>
      <c r="L47" s="890">
        <f t="shared" si="5"/>
        <v>0.38526468105631262</v>
      </c>
    </row>
    <row r="48" spans="1:12">
      <c r="A48" s="826">
        <v>2004</v>
      </c>
      <c r="B48" s="816">
        <f t="shared" si="0"/>
        <v>6.722999999999999</v>
      </c>
      <c r="C48" s="832">
        <f>'Assets(MOFA)'!GL49/1000</f>
        <v>7.6630000000000003</v>
      </c>
      <c r="D48" s="1397">
        <f>'Assets(MOFA)'!AV49/1000</f>
        <v>14.385999999999999</v>
      </c>
      <c r="E48" s="816">
        <f t="shared" si="7"/>
        <v>32.118000000000002</v>
      </c>
      <c r="F48" s="832">
        <f>T.A2!C48-T.A2b!C48</f>
        <v>17.341000000000001</v>
      </c>
      <c r="G48" s="1397">
        <f>T.A2!D48-T.A2b!D48</f>
        <v>49.459000000000003</v>
      </c>
      <c r="H48" s="912">
        <f t="shared" si="2"/>
        <v>0.17309029118714758</v>
      </c>
      <c r="I48" s="915">
        <f t="shared" si="3"/>
        <v>0.22532696374030856</v>
      </c>
      <c r="J48" s="1347">
        <f>'Assets(MOFA)'!EH49*'Assets(MOFA)'!EI49</f>
        <v>46.563577639543823</v>
      </c>
      <c r="K48" s="889">
        <f t="shared" si="4"/>
        <v>0.53267065202279995</v>
      </c>
      <c r="L48" s="890">
        <f t="shared" si="5"/>
        <v>0.35061363958025837</v>
      </c>
    </row>
    <row r="49" spans="1:12">
      <c r="A49" s="826">
        <v>2005</v>
      </c>
      <c r="B49" s="816">
        <f t="shared" si="0"/>
        <v>8.213000000000001</v>
      </c>
      <c r="C49" s="832">
        <f>'Assets(MOFA)'!GL50/1000</f>
        <v>10.016999999999999</v>
      </c>
      <c r="D49" s="1397">
        <f>'Assets(MOFA)'!AV50/1000</f>
        <v>18.23</v>
      </c>
      <c r="E49" s="816">
        <f t="shared" si="7"/>
        <v>43.344661244155787</v>
      </c>
      <c r="F49" s="832">
        <f>T.A2!C49-T.A2b!C49</f>
        <v>24.142252984567602</v>
      </c>
      <c r="G49" s="1397">
        <f>T.A2!D49-T.A2b!D49</f>
        <v>67.486914228723393</v>
      </c>
      <c r="H49" s="912">
        <f t="shared" si="2"/>
        <v>0.15929737311214767</v>
      </c>
      <c r="I49" s="915">
        <f t="shared" si="3"/>
        <v>0.21267681138585831</v>
      </c>
      <c r="J49" s="1347">
        <f>'Assets(MOFA)'!EH50*'Assets(MOFA)'!EI50</f>
        <v>64.505680254001135</v>
      </c>
      <c r="K49" s="889">
        <f t="shared" si="4"/>
        <v>0.54947888096544151</v>
      </c>
      <c r="L49" s="890">
        <f t="shared" si="5"/>
        <v>0.35773235834647654</v>
      </c>
    </row>
    <row r="50" spans="1:12">
      <c r="A50" s="826">
        <v>2006</v>
      </c>
      <c r="B50" s="816">
        <f t="shared" si="0"/>
        <v>12.609</v>
      </c>
      <c r="C50" s="832">
        <f>'Assets(MOFA)'!GL51/1000</f>
        <v>14.699</v>
      </c>
      <c r="D50" s="1397">
        <f>'Assets(MOFA)'!AV51/1000</f>
        <v>27.308</v>
      </c>
      <c r="E50" s="816">
        <f t="shared" si="7"/>
        <v>45.9466015045655</v>
      </c>
      <c r="F50" s="832">
        <f>T.A2!C50-T.A2b!C50</f>
        <v>25.804303288672351</v>
      </c>
      <c r="G50" s="1397">
        <f>T.A2!D50-T.A2b!D50</f>
        <v>71.750904793237851</v>
      </c>
      <c r="H50" s="912">
        <f t="shared" si="2"/>
        <v>0.21533379687026002</v>
      </c>
      <c r="I50" s="915">
        <f t="shared" si="3"/>
        <v>0.27567435817101982</v>
      </c>
      <c r="J50" s="1347">
        <f>'Assets(MOFA)'!EH51*'Assets(MOFA)'!EI51</f>
        <v>75.066035008418723</v>
      </c>
      <c r="K50" s="889">
        <f t="shared" si="4"/>
        <v>0.53826717445437233</v>
      </c>
      <c r="L50" s="890">
        <f t="shared" si="5"/>
        <v>0.35963732252620001</v>
      </c>
    </row>
    <row r="51" spans="1:12">
      <c r="A51" s="826">
        <v>2007</v>
      </c>
      <c r="B51" s="816">
        <f t="shared" si="0"/>
        <v>14.829999999999998</v>
      </c>
      <c r="C51" s="832">
        <f>'Assets(MOFA)'!GL52/1000</f>
        <v>19.125</v>
      </c>
      <c r="D51" s="1397">
        <f>'Assets(MOFA)'!AV52/1000</f>
        <v>33.954999999999998</v>
      </c>
      <c r="E51" s="816">
        <f t="shared" si="7"/>
        <v>47.692187130072455</v>
      </c>
      <c r="F51" s="832">
        <f>T.A2!C51-T.A2b!C51</f>
        <v>30.741</v>
      </c>
      <c r="G51" s="1397">
        <f>T.A2!D51-T.A2b!D51</f>
        <v>78.433187130072454</v>
      </c>
      <c r="H51" s="912">
        <f t="shared" si="2"/>
        <v>0.23719579689602605</v>
      </c>
      <c r="I51" s="915">
        <f t="shared" si="3"/>
        <v>0.30212249941092284</v>
      </c>
      <c r="J51" s="1347">
        <f>'Assets(MOFA)'!EH52*'Assets(MOFA)'!EI52</f>
        <v>81.376023504493531</v>
      </c>
      <c r="K51" s="889">
        <f t="shared" si="4"/>
        <v>0.56324547194816676</v>
      </c>
      <c r="L51" s="890">
        <f t="shared" si="5"/>
        <v>0.39193868214254218</v>
      </c>
    </row>
    <row r="52" spans="1:12">
      <c r="A52" s="826">
        <v>2008</v>
      </c>
      <c r="B52" s="816">
        <f t="shared" si="0"/>
        <v>17.846000000000004</v>
      </c>
      <c r="C52" s="1400">
        <f>'Assets(MOFA)'!GL53/1000</f>
        <v>30.170999999999999</v>
      </c>
      <c r="D52" s="1397">
        <f>'Assets(MOFA)'!AV53/1000</f>
        <v>48.017000000000003</v>
      </c>
      <c r="E52" s="816">
        <f t="shared" si="7"/>
        <v>61.529559158023325</v>
      </c>
      <c r="F52" s="1400">
        <f>T.A2!C52-T.A2b!C52</f>
        <v>46.680256804617294</v>
      </c>
      <c r="G52" s="1397">
        <f>T.A2!D52-T.A2b!D52</f>
        <v>108.20981596264062</v>
      </c>
      <c r="H52" s="912">
        <f t="shared" si="2"/>
        <v>0.22482991224630788</v>
      </c>
      <c r="I52" s="915">
        <f t="shared" si="3"/>
        <v>0.30735440458238983</v>
      </c>
      <c r="J52" s="1347">
        <f>'Assets(MOFA)'!EH53*'Assets(MOFA)'!EI53</f>
        <v>106.09274190628237</v>
      </c>
      <c r="K52" s="889">
        <f t="shared" si="4"/>
        <v>0.62833996292979566</v>
      </c>
      <c r="L52" s="890">
        <f t="shared" si="5"/>
        <v>0.43138652800900823</v>
      </c>
    </row>
    <row r="53" spans="1:12">
      <c r="A53" s="856">
        <v>2009</v>
      </c>
      <c r="B53" s="872">
        <f t="shared" si="0"/>
        <v>10.808</v>
      </c>
      <c r="C53" s="1401">
        <f>'Assets(MOFA)'!GL54/1000</f>
        <v>16.346</v>
      </c>
      <c r="D53" s="1398">
        <f>'Assets(MOFA)'!AV54/1000</f>
        <v>27.154</v>
      </c>
      <c r="E53" s="872">
        <f t="shared" si="7"/>
        <v>34.168500064835229</v>
      </c>
      <c r="F53" s="1401">
        <f>T.A2!C53-T.A2b!C53</f>
        <v>24.102499935164769</v>
      </c>
      <c r="G53" s="1398">
        <f>T.A2!D53-T.A2b!D53</f>
        <v>58.271000000000001</v>
      </c>
      <c r="H53" s="913">
        <f t="shared" si="2"/>
        <v>0.24030326913876987</v>
      </c>
      <c r="I53" s="916">
        <f t="shared" si="3"/>
        <v>0.31786947614866845</v>
      </c>
      <c r="J53" s="1348">
        <f>'Assets(MOFA)'!EH54*'Assets(MOFA)'!EI54</f>
        <v>67.318502541897246</v>
      </c>
      <c r="K53" s="891">
        <f t="shared" si="4"/>
        <v>0.60197392649333437</v>
      </c>
      <c r="L53" s="892">
        <f t="shared" si="5"/>
        <v>0.41362770392072845</v>
      </c>
    </row>
    <row r="54" spans="1:12">
      <c r="A54" s="826">
        <v>2010</v>
      </c>
      <c r="B54" s="816">
        <f t="shared" si="0"/>
        <v>13.030999999999999</v>
      </c>
      <c r="C54" s="1400">
        <f>'Assets(MOFA)'!GL55/1000</f>
        <v>20.914000000000001</v>
      </c>
      <c r="D54" s="1397">
        <f>'Assets(MOFA)'!AV55/1000</f>
        <v>33.945</v>
      </c>
      <c r="E54" s="816">
        <f t="shared" si="7"/>
        <v>46.945299999999996</v>
      </c>
      <c r="F54" s="1400">
        <f>T.A2!C54-T.A2b!C54</f>
        <v>29.404699999999998</v>
      </c>
      <c r="G54" s="1397">
        <f>T.A2!D54-T.A2b!D54</f>
        <v>76.349999999999994</v>
      </c>
      <c r="H54" s="912">
        <f t="shared" si="2"/>
        <v>0.21726915464941984</v>
      </c>
      <c r="I54" s="915">
        <f t="shared" si="3"/>
        <v>0.30776553787569705</v>
      </c>
      <c r="J54" s="1347">
        <f>'Assets(MOFA)'!EH55*'Assets(MOFA)'!EI55</f>
        <v>85.363874758541726</v>
      </c>
      <c r="K54" s="889">
        <f t="shared" si="4"/>
        <v>0.61611430254823984</v>
      </c>
      <c r="L54" s="890">
        <f t="shared" si="5"/>
        <v>0.38513032089063526</v>
      </c>
    </row>
    <row r="55" spans="1:12">
      <c r="A55" s="826">
        <v>2011</v>
      </c>
      <c r="B55" s="816">
        <f t="shared" si="0"/>
        <v>16.538999999999998</v>
      </c>
      <c r="C55" s="1400">
        <f>'Assets(MOFA)'!GL56/1000</f>
        <v>29.791</v>
      </c>
      <c r="D55" s="1397">
        <f>'Assets(MOFA)'!AV56/1000</f>
        <v>46.33</v>
      </c>
      <c r="E55" s="816">
        <f t="shared" si="7"/>
        <v>57.676000000000016</v>
      </c>
      <c r="F55" s="1400">
        <f>T.A2!C55-T.A2b!C55</f>
        <v>40.704999999999998</v>
      </c>
      <c r="G55" s="1397">
        <f>T.A2!D55-T.A2b!D55</f>
        <v>98.381000000000014</v>
      </c>
      <c r="H55" s="912">
        <f t="shared" si="2"/>
        <v>0.22285252307485001</v>
      </c>
      <c r="I55" s="915">
        <f t="shared" si="3"/>
        <v>0.32015534409961921</v>
      </c>
      <c r="J55" s="1347">
        <f>'Assets(MOFA)'!EH56*'Assets(MOFA)'!EI56</f>
        <v>116.6053180373016</v>
      </c>
      <c r="K55" s="889">
        <f t="shared" si="4"/>
        <v>0.64301748327217789</v>
      </c>
      <c r="L55" s="890">
        <f t="shared" si="5"/>
        <v>0.41374858966670386</v>
      </c>
    </row>
    <row r="56" spans="1:12">
      <c r="A56" s="826">
        <v>2012</v>
      </c>
      <c r="B56" s="816">
        <f t="shared" si="0"/>
        <v>18.094999999999999</v>
      </c>
      <c r="C56" s="1400">
        <f>'Assets(MOFA)'!GL57/1000</f>
        <v>32.450000000000003</v>
      </c>
      <c r="D56" s="1397">
        <f>'Assets(MOFA)'!AV57/1000</f>
        <v>50.545000000000002</v>
      </c>
      <c r="E56" s="816">
        <f t="shared" si="7"/>
        <v>45.789001829277012</v>
      </c>
      <c r="F56" s="1400">
        <f>T.A2!C56-T.A2b!C56</f>
        <v>35.565998170722992</v>
      </c>
      <c r="G56" s="1397">
        <f>T.A2!D56-T.A2b!D56</f>
        <v>81.355000000000004</v>
      </c>
      <c r="H56" s="912">
        <f t="shared" si="2"/>
        <v>0.28324775345722553</v>
      </c>
      <c r="I56" s="915">
        <f t="shared" si="3"/>
        <v>0.38320697498104622</v>
      </c>
      <c r="J56" s="1347">
        <f>'Assets(MOFA)'!EH57*'Assets(MOFA)'!EI57</f>
        <v>114.86444438704507</v>
      </c>
      <c r="K56" s="889">
        <f t="shared" si="4"/>
        <v>0.64200217627856371</v>
      </c>
      <c r="L56" s="890">
        <f t="shared" si="5"/>
        <v>0.43717040342600932</v>
      </c>
    </row>
    <row r="57" spans="1:12">
      <c r="A57" s="826">
        <v>2013</v>
      </c>
      <c r="B57" s="816">
        <f t="shared" si="0"/>
        <v>15.851000000000003</v>
      </c>
      <c r="C57" s="1400">
        <f>'Assets(MOFA)'!GL58/1000</f>
        <v>28.242999999999999</v>
      </c>
      <c r="D57" s="1397">
        <f>'Assets(MOFA)'!AV58/1000</f>
        <v>44.094000000000001</v>
      </c>
      <c r="E57" s="816">
        <f t="shared" si="7"/>
        <v>48.553921921760718</v>
      </c>
      <c r="F57" s="1400">
        <f>T.A2!C57-T.A2b!C57</f>
        <v>28.631078078239288</v>
      </c>
      <c r="G57" s="1397">
        <f>T.A2!D57-T.A2b!D57</f>
        <v>77.185000000000002</v>
      </c>
      <c r="H57" s="912">
        <f t="shared" si="2"/>
        <v>0.2461147304744169</v>
      </c>
      <c r="I57" s="915">
        <f t="shared" si="3"/>
        <v>0.36357489755027667</v>
      </c>
      <c r="J57" s="1347">
        <f>'Assets(MOFA)'!EH58*'Assets(MOFA)'!EI58</f>
        <v>110.30054147628302</v>
      </c>
      <c r="K57" s="889">
        <f t="shared" si="4"/>
        <v>0.64051798430625473</v>
      </c>
      <c r="L57" s="890">
        <f t="shared" si="5"/>
        <v>0.37094096104475333</v>
      </c>
    </row>
    <row r="58" spans="1:12">
      <c r="A58" s="826">
        <v>2014</v>
      </c>
      <c r="B58" s="816">
        <f t="shared" si="0"/>
        <v>12.265999999999998</v>
      </c>
      <c r="C58" s="1400">
        <f>'Assets(MOFA)'!GL59/1000</f>
        <v>18.015000000000001</v>
      </c>
      <c r="D58" s="1397">
        <f>'Assets(MOFA)'!AV59/1000</f>
        <v>30.280999999999999</v>
      </c>
      <c r="E58" s="816">
        <f t="shared" si="7"/>
        <v>41.152999999999992</v>
      </c>
      <c r="F58" s="1400">
        <f>T.A2!C58-T.A2b!C58</f>
        <v>23.546999999999997</v>
      </c>
      <c r="G58" s="1397">
        <f>T.A2!D58-T.A2b!D58</f>
        <v>64.699999999999989</v>
      </c>
      <c r="H58" s="912">
        <f t="shared" si="2"/>
        <v>0.22961867500327598</v>
      </c>
      <c r="I58" s="915">
        <f t="shared" si="3"/>
        <v>0.31881113064718208</v>
      </c>
      <c r="J58" s="1347">
        <f>'Assets(MOFA)'!EH59*'Assets(MOFA)'!EI59</f>
        <v>98.946007905138302</v>
      </c>
      <c r="K58" s="889">
        <f t="shared" si="4"/>
        <v>0.59492751230144314</v>
      </c>
      <c r="L58" s="890">
        <f t="shared" si="5"/>
        <v>0.36394126738794436</v>
      </c>
    </row>
    <row r="59" spans="1:12">
      <c r="A59" s="826">
        <v>2015</v>
      </c>
      <c r="B59" s="816">
        <f t="shared" si="0"/>
        <v>4.5720000000000001</v>
      </c>
      <c r="C59" s="1400">
        <f>'Assets(MOFA)'!GL60/1000</f>
        <v>5.8920000000000003</v>
      </c>
      <c r="D59" s="1397">
        <f>'Assets(MOFA)'!AV60/1000</f>
        <v>10.464</v>
      </c>
      <c r="E59" s="816">
        <f t="shared" si="7"/>
        <v>14</v>
      </c>
      <c r="F59" s="1400">
        <f>T.A2!C59-T.A2b!C59</f>
        <v>6.073999999999999</v>
      </c>
      <c r="G59" s="1397">
        <f>T.A2!D59-T.A2b!D59</f>
        <v>20.073999999999998</v>
      </c>
      <c r="H59" s="912">
        <f t="shared" si="2"/>
        <v>0.24617704070643981</v>
      </c>
      <c r="I59" s="915">
        <f t="shared" si="3"/>
        <v>0.34265505272119989</v>
      </c>
      <c r="J59" s="1347">
        <f>'Assets(MOFA)'!EH60*'Assets(MOFA)'!EI60</f>
        <v>52.231724596175006</v>
      </c>
      <c r="K59" s="889">
        <f t="shared" si="4"/>
        <v>0.56307339449541283</v>
      </c>
      <c r="L59" s="890">
        <f t="shared" si="5"/>
        <v>0.3025804523263923</v>
      </c>
    </row>
    <row r="60" spans="1:12">
      <c r="A60" s="826">
        <v>2016</v>
      </c>
      <c r="B60" s="816">
        <f t="shared" ref="B60" si="8">D60-C60</f>
        <v>5.3240000000000007</v>
      </c>
      <c r="C60" s="1400">
        <f>'Assets(MOFA)'!GL61/1000</f>
        <v>5.6970000000000001</v>
      </c>
      <c r="D60" s="1397">
        <f>'Assets(MOFA)'!AV61/1000</f>
        <v>11.021000000000001</v>
      </c>
      <c r="E60" s="816">
        <f t="shared" ref="E60" si="9">G60-F60</f>
        <v>1.8169999999999993</v>
      </c>
      <c r="F60" s="1400">
        <f>T.A2!C60-T.A2b!C60</f>
        <v>2.7869999999999999</v>
      </c>
      <c r="G60" s="1397">
        <f>T.A2!D60-T.A2b!D60</f>
        <v>4.6039999999999992</v>
      </c>
      <c r="H60" s="912">
        <f t="shared" ref="H60" si="10">B60/(B60+E60)</f>
        <v>0.74555384399943991</v>
      </c>
      <c r="I60" s="915">
        <f t="shared" ref="I60" si="11">D60/(D60+G60)</f>
        <v>0.70534400000000008</v>
      </c>
      <c r="J60" s="1350">
        <f>'Assets(MOFA)'!EH61*'Assets(MOFA)'!EI61</f>
        <v>43.08993483446455</v>
      </c>
      <c r="K60" s="889">
        <f t="shared" ref="K60" si="12">C60/D60</f>
        <v>0.5169222393612195</v>
      </c>
      <c r="L60" s="890">
        <f t="shared" ref="L60" si="13">F60/G60</f>
        <v>0.6053431798436143</v>
      </c>
    </row>
    <row r="61" spans="1:12" ht="16" thickBot="1">
      <c r="A61" s="819"/>
      <c r="B61" s="820"/>
      <c r="C61" s="821"/>
      <c r="D61" s="822"/>
      <c r="E61" s="820"/>
      <c r="F61" s="821"/>
      <c r="G61" s="822"/>
      <c r="H61" s="821"/>
      <c r="I61" s="821"/>
      <c r="J61" s="960"/>
      <c r="K61" s="820"/>
      <c r="L61" s="823"/>
    </row>
    <row r="62" spans="1:12" ht="16" thickTop="1">
      <c r="E62" s="829"/>
    </row>
    <row r="63" spans="1:12" s="825" customFormat="1">
      <c r="A63" s="805"/>
      <c r="B63" s="805"/>
      <c r="C63" s="805"/>
      <c r="D63" s="805"/>
      <c r="E63" s="805"/>
    </row>
    <row r="64" spans="1:12" s="825" customFormat="1">
      <c r="A64" s="805"/>
      <c r="B64" s="805"/>
      <c r="C64" s="805"/>
      <c r="D64" s="805"/>
      <c r="E64" s="805"/>
    </row>
    <row r="66" spans="1:5" s="825" customFormat="1">
      <c r="A66" s="805"/>
      <c r="B66" s="805"/>
      <c r="C66" s="805"/>
      <c r="D66" s="805"/>
      <c r="E66" s="805"/>
    </row>
  </sheetData>
  <mergeCells count="15">
    <mergeCell ref="A3:L3"/>
    <mergeCell ref="B6:G6"/>
    <mergeCell ref="H6:H9"/>
    <mergeCell ref="I6:I9"/>
    <mergeCell ref="J6:J9"/>
    <mergeCell ref="K6:K9"/>
    <mergeCell ref="L6:L9"/>
    <mergeCell ref="B7:D7"/>
    <mergeCell ref="E7:G7"/>
    <mergeCell ref="B8:B9"/>
    <mergeCell ref="C8:C9"/>
    <mergeCell ref="D8:D9"/>
    <mergeCell ref="E8:E9"/>
    <mergeCell ref="F8:F9"/>
    <mergeCell ref="G8:G9"/>
  </mergeCells>
  <pageMargins left="0.75" right="0.75" top="1" bottom="1" header="0.5" footer="0.5"/>
  <pageSetup scale="74" orientation="portrait" horizontalDpi="4294967292" verticalDpi="4294967292"/>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39"/>
  <sheetViews>
    <sheetView zoomScale="80" zoomScaleNormal="80" zoomScalePageLayoutView="80" workbookViewId="0">
      <selection activeCell="B1" sqref="B1"/>
    </sheetView>
  </sheetViews>
  <sheetFormatPr baseColWidth="10" defaultRowHeight="15" x14ac:dyDescent="0"/>
  <cols>
    <col min="1" max="16384" width="10.7109375" style="1712"/>
  </cols>
  <sheetData>
    <row r="1" spans="2:2" ht="18">
      <c r="B1" s="1716" t="s">
        <v>3523</v>
      </c>
    </row>
    <row r="38" spans="2:2">
      <c r="B38" s="1713" t="s">
        <v>3522</v>
      </c>
    </row>
    <row r="39" spans="2:2">
      <c r="B39" s="1713" t="s">
        <v>3521</v>
      </c>
    </row>
  </sheetData>
  <pageMargins left="0.7" right="0.7" top="0.75" bottom="0.75" header="0.3" footer="0.3"/>
  <drawing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
  <sheetViews>
    <sheetView workbookViewId="0">
      <selection activeCell="P1" sqref="P1:Q23"/>
    </sheetView>
  </sheetViews>
  <sheetFormatPr baseColWidth="10" defaultRowHeight="15" x14ac:dyDescent="0"/>
  <cols>
    <col min="1" max="16384" width="10.7109375" style="1712"/>
  </cols>
  <sheetData>
    <row r="1" spans="2:17">
      <c r="B1" s="1723" t="s">
        <v>2819</v>
      </c>
      <c r="E1" s="1723" t="s">
        <v>3528</v>
      </c>
      <c r="I1" s="1723" t="s">
        <v>3527</v>
      </c>
      <c r="P1" t="s">
        <v>3326</v>
      </c>
      <c r="Q1"/>
    </row>
    <row r="2" spans="2:17">
      <c r="P2"/>
      <c r="Q2"/>
    </row>
    <row r="3" spans="2:17">
      <c r="B3" s="1712" t="s">
        <v>3327</v>
      </c>
      <c r="C3" s="1712" t="s">
        <v>3526</v>
      </c>
      <c r="E3" s="1712" t="s">
        <v>3327</v>
      </c>
      <c r="F3" s="1712" t="s">
        <v>3525</v>
      </c>
      <c r="I3" s="1712" t="s">
        <v>3327</v>
      </c>
      <c r="J3" s="1712" t="s">
        <v>3525</v>
      </c>
      <c r="L3" s="1712" t="s">
        <v>3327</v>
      </c>
      <c r="M3" s="1712" t="s">
        <v>3524</v>
      </c>
      <c r="P3" s="1408" t="s">
        <v>3327</v>
      </c>
      <c r="Q3" s="1408" t="s">
        <v>3329</v>
      </c>
    </row>
    <row r="4" spans="2:17" ht="16">
      <c r="B4" s="1720">
        <v>18</v>
      </c>
      <c r="C4" s="1720">
        <v>-3.3248189999999997</v>
      </c>
      <c r="E4" s="1720">
        <v>18</v>
      </c>
      <c r="F4" s="1720">
        <v>9.7916910000000001</v>
      </c>
      <c r="I4" s="1720">
        <v>19</v>
      </c>
      <c r="J4" s="1720">
        <v>12.012014000000001</v>
      </c>
      <c r="L4" s="1720">
        <v>19</v>
      </c>
      <c r="M4" s="1721">
        <v>14.523695999999999</v>
      </c>
      <c r="P4" s="1408">
        <v>13.062968</v>
      </c>
      <c r="Q4">
        <v>-6.5318689999999995</v>
      </c>
    </row>
    <row r="5" spans="2:17" ht="16">
      <c r="B5" s="1720">
        <v>20.428571000000002</v>
      </c>
      <c r="C5" s="1720">
        <v>0.15825900000000001</v>
      </c>
      <c r="E5" s="1720">
        <v>20</v>
      </c>
      <c r="F5" s="1720">
        <v>6.1744329999999996</v>
      </c>
      <c r="I5" s="1720">
        <v>20.5</v>
      </c>
      <c r="J5" s="1720">
        <v>6.0262120000000001</v>
      </c>
      <c r="L5" s="1720">
        <v>20.5</v>
      </c>
      <c r="M5" s="1721">
        <v>8.1178129999999999</v>
      </c>
      <c r="P5" s="1408">
        <v>19.821002</v>
      </c>
      <c r="Q5">
        <v>0.36280800000000002</v>
      </c>
    </row>
    <row r="6" spans="2:17" ht="16">
      <c r="B6" s="1720">
        <v>21.148581</v>
      </c>
      <c r="C6" s="1720">
        <v>0.27135799999999999</v>
      </c>
      <c r="E6" s="1720">
        <v>21</v>
      </c>
      <c r="F6" s="1720">
        <v>7.3576760000000005</v>
      </c>
      <c r="I6" s="1720">
        <v>21.148581</v>
      </c>
      <c r="J6" s="1720">
        <v>7.8372720000000005</v>
      </c>
      <c r="L6" s="1720">
        <v>21.148581</v>
      </c>
      <c r="M6" s="1721">
        <v>11.490243999999999</v>
      </c>
      <c r="P6" s="1408">
        <v>21.164033</v>
      </c>
      <c r="Q6">
        <v>-0.53247299999999997</v>
      </c>
    </row>
    <row r="7" spans="2:17" ht="16">
      <c r="B7" s="1720">
        <v>22.1</v>
      </c>
      <c r="C7" s="1720">
        <v>0.50914300000000001</v>
      </c>
      <c r="E7" s="1720">
        <v>21.148581</v>
      </c>
      <c r="F7" s="1720">
        <v>7.8372720000000005</v>
      </c>
      <c r="I7" s="1720">
        <v>22</v>
      </c>
      <c r="J7" s="1720">
        <v>5.5207639999999998</v>
      </c>
      <c r="L7" s="1720">
        <v>22</v>
      </c>
      <c r="M7" s="1721">
        <v>13.45809</v>
      </c>
      <c r="P7" s="1408">
        <v>21.316087</v>
      </c>
      <c r="Q7">
        <v>-4.2225169999999999</v>
      </c>
    </row>
    <row r="8" spans="2:17" ht="16">
      <c r="B8" s="1720">
        <v>24.1</v>
      </c>
      <c r="C8" s="1720">
        <v>-0.29635099999999998</v>
      </c>
      <c r="E8" s="1720">
        <v>22</v>
      </c>
      <c r="F8" s="1720">
        <v>6.8799219999999996</v>
      </c>
      <c r="I8" s="1720">
        <v>23.333333</v>
      </c>
      <c r="J8" s="1720">
        <v>4.7372540000000001</v>
      </c>
      <c r="L8" s="1720">
        <v>23.333333</v>
      </c>
      <c r="M8" s="1721">
        <v>8.3452359999999999</v>
      </c>
      <c r="P8" s="1408">
        <v>21.696211000000002</v>
      </c>
      <c r="Q8">
        <v>-2.7037879999999999</v>
      </c>
    </row>
    <row r="9" spans="2:17" ht="16">
      <c r="B9" s="1720">
        <v>25</v>
      </c>
      <c r="C9" s="1720">
        <v>0.49522999999999995</v>
      </c>
      <c r="E9" s="1720">
        <v>23</v>
      </c>
      <c r="F9" s="1720">
        <v>4.7383229999999994</v>
      </c>
      <c r="I9" s="1720">
        <v>24.200001</v>
      </c>
      <c r="J9" s="1720">
        <v>6.7601089999999999</v>
      </c>
      <c r="L9" s="1720">
        <v>24.200001</v>
      </c>
      <c r="M9" s="1721">
        <v>8.6691409999999998</v>
      </c>
      <c r="P9" s="1408">
        <v>22.157183</v>
      </c>
      <c r="Q9">
        <v>-0.95795900000000012</v>
      </c>
    </row>
    <row r="10" spans="2:17" ht="16">
      <c r="B10" s="1720">
        <v>26.533334</v>
      </c>
      <c r="C10" s="1720">
        <v>-0.63250600000000001</v>
      </c>
      <c r="E10" s="1720">
        <v>24.150001</v>
      </c>
      <c r="F10" s="1720">
        <v>6.2538609999999997</v>
      </c>
      <c r="I10" s="1720">
        <v>24.944444000000001</v>
      </c>
      <c r="J10" s="1720">
        <v>4.2014469999999999</v>
      </c>
      <c r="L10" s="1720">
        <v>24.944444000000001</v>
      </c>
      <c r="M10" s="1721">
        <v>7.5190220000000005</v>
      </c>
      <c r="P10" s="1408">
        <v>22.579537999999999</v>
      </c>
      <c r="Q10">
        <v>-1.0024999999999999E-2</v>
      </c>
    </row>
    <row r="11" spans="2:17" ht="16">
      <c r="B11" s="1720">
        <v>27.666667</v>
      </c>
      <c r="C11" s="1720">
        <v>-2.8548710000000002</v>
      </c>
      <c r="E11" s="1720">
        <v>24.944444000000001</v>
      </c>
      <c r="F11" s="1720">
        <v>4.2014469999999999</v>
      </c>
      <c r="I11" s="1720">
        <v>26.200001</v>
      </c>
      <c r="J11" s="1720">
        <v>5.0884850000000004</v>
      </c>
      <c r="L11" s="1720">
        <v>26.200001</v>
      </c>
      <c r="M11" s="1721">
        <v>6.4612810000000005</v>
      </c>
      <c r="P11" s="1408">
        <v>23.315055000000001</v>
      </c>
      <c r="Q11">
        <v>1.2337070000000001</v>
      </c>
    </row>
    <row r="12" spans="2:17" ht="16">
      <c r="B12" s="1720">
        <v>29.332000000000001</v>
      </c>
      <c r="C12" s="1720">
        <v>-0.31010399999999999</v>
      </c>
      <c r="E12" s="1720">
        <v>26.200001</v>
      </c>
      <c r="F12" s="1720">
        <v>5.0884850000000004</v>
      </c>
      <c r="I12" s="1720">
        <v>26.85</v>
      </c>
      <c r="J12" s="1720">
        <v>4.305898</v>
      </c>
      <c r="L12" s="1720">
        <v>26.85</v>
      </c>
      <c r="M12" s="1721">
        <v>8.0547889999999995</v>
      </c>
      <c r="P12" s="1408">
        <v>23.830565</v>
      </c>
      <c r="Q12">
        <v>0.95545000000000002</v>
      </c>
    </row>
    <row r="13" spans="2:17" ht="16">
      <c r="B13" s="1720">
        <v>29.994</v>
      </c>
      <c r="C13" s="1720">
        <v>-2.0474420000000002</v>
      </c>
      <c r="E13" s="1720">
        <v>26.85</v>
      </c>
      <c r="F13" s="1720">
        <v>4.305898</v>
      </c>
      <c r="I13" s="1720">
        <v>28.914999000000002</v>
      </c>
      <c r="J13" s="1720">
        <v>2.692949</v>
      </c>
      <c r="L13" s="1720">
        <v>28.914999000000002</v>
      </c>
      <c r="M13" s="1721">
        <v>3.5830389999999999</v>
      </c>
      <c r="P13" s="1408">
        <v>24.423179999999999</v>
      </c>
      <c r="Q13">
        <v>-3.6149000000000001E-2</v>
      </c>
    </row>
    <row r="14" spans="2:17" ht="16">
      <c r="B14" s="1720">
        <v>30.733874</v>
      </c>
      <c r="C14" s="1720">
        <v>0.51869799999999999</v>
      </c>
      <c r="E14" s="1720">
        <v>28.914999000000002</v>
      </c>
      <c r="F14" s="1720">
        <v>2.692949</v>
      </c>
      <c r="I14" s="1720">
        <v>30</v>
      </c>
      <c r="J14" s="1720">
        <v>5.1909299999999998</v>
      </c>
      <c r="L14" s="1720">
        <v>30</v>
      </c>
      <c r="M14" s="1721">
        <v>7.4566990000000004</v>
      </c>
      <c r="P14" s="1408">
        <v>25.319053</v>
      </c>
      <c r="Q14">
        <v>4.1238999999999998E-2</v>
      </c>
    </row>
    <row r="15" spans="2:17" ht="16">
      <c r="B15" s="1720">
        <v>33.116000999999997</v>
      </c>
      <c r="C15" s="1720">
        <v>-1.1252</v>
      </c>
      <c r="E15" s="1720">
        <v>29.5</v>
      </c>
      <c r="F15" s="1720">
        <v>4.0652849999999994</v>
      </c>
      <c r="I15" s="1720">
        <v>30.174999</v>
      </c>
      <c r="J15" s="1720">
        <v>4.4825410000000003</v>
      </c>
      <c r="L15" s="1720">
        <v>30.174999</v>
      </c>
      <c r="M15" s="1721">
        <v>6.8125790000000004</v>
      </c>
      <c r="P15" s="1408">
        <v>25.792829999999999</v>
      </c>
      <c r="Q15">
        <v>-3.2289810000000001</v>
      </c>
    </row>
    <row r="16" spans="2:17" ht="16">
      <c r="B16" s="1720">
        <v>36.853101000000002</v>
      </c>
      <c r="C16" s="1720">
        <v>0.17339600000000002</v>
      </c>
      <c r="E16" s="1720">
        <v>30</v>
      </c>
      <c r="F16" s="1720">
        <v>5.1909299999999998</v>
      </c>
      <c r="I16" s="1720">
        <v>31.292749000000001</v>
      </c>
      <c r="J16" s="1720">
        <v>3.6235580000000005</v>
      </c>
      <c r="L16" s="1720">
        <v>31.292749000000001</v>
      </c>
      <c r="M16" s="1721">
        <v>7.2757100000000001</v>
      </c>
      <c r="P16" s="1408">
        <v>26.488047000000002</v>
      </c>
      <c r="Q16">
        <v>-1.8684619999999998</v>
      </c>
    </row>
    <row r="17" spans="1:17" ht="16">
      <c r="A17" s="1712" t="s">
        <v>3459</v>
      </c>
      <c r="B17" s="1722">
        <v>12.5</v>
      </c>
      <c r="C17" s="1722">
        <v>-7.9</v>
      </c>
      <c r="E17" s="1720">
        <v>30.174999</v>
      </c>
      <c r="F17" s="1720">
        <v>4.4825410000000003</v>
      </c>
      <c r="I17" s="1720">
        <v>33.990001999999997</v>
      </c>
      <c r="J17" s="1720">
        <v>3.8355889999999997</v>
      </c>
      <c r="L17" s="1720">
        <v>33.990001999999997</v>
      </c>
      <c r="M17" s="1721">
        <v>5.0013549999999993</v>
      </c>
      <c r="P17" s="1408">
        <v>27.145334999999999</v>
      </c>
      <c r="Q17">
        <v>-2.923257</v>
      </c>
    </row>
    <row r="18" spans="1:17" ht="16">
      <c r="A18" s="1712" t="s">
        <v>3460</v>
      </c>
      <c r="B18" s="1722">
        <v>39</v>
      </c>
      <c r="C18" s="1722">
        <v>3.3</v>
      </c>
      <c r="E18" s="1720">
        <v>31.344562</v>
      </c>
      <c r="F18" s="1720">
        <v>3.4933859999999997</v>
      </c>
      <c r="I18" s="1720">
        <v>34.43</v>
      </c>
      <c r="J18" s="1720">
        <v>3.7824820000000003</v>
      </c>
      <c r="L18" s="1720">
        <v>34.43</v>
      </c>
      <c r="M18" s="1721">
        <v>7.9536789999999993</v>
      </c>
      <c r="P18" s="1408">
        <v>28.663347999999999</v>
      </c>
      <c r="Q18">
        <v>-1.9562489999999999</v>
      </c>
    </row>
    <row r="19" spans="1:17" ht="16">
      <c r="E19" s="1720">
        <v>33.990001999999997</v>
      </c>
      <c r="F19" s="1720">
        <v>3.8355889999999997</v>
      </c>
      <c r="I19" s="1720">
        <v>37.996200999999999</v>
      </c>
      <c r="J19" s="1720">
        <v>3.3502619999999999</v>
      </c>
      <c r="L19" s="1720">
        <v>37.996200999999999</v>
      </c>
      <c r="M19" s="1721">
        <v>7.6159309999999998</v>
      </c>
      <c r="P19" s="1408">
        <v>31.415958</v>
      </c>
      <c r="Q19">
        <v>0.36168699999999998</v>
      </c>
    </row>
    <row r="20" spans="1:17">
      <c r="B20" s="1719"/>
      <c r="C20" s="1719"/>
      <c r="E20" s="1720">
        <v>36.807467000000003</v>
      </c>
      <c r="F20" s="1720">
        <v>3.4943360000000001</v>
      </c>
      <c r="H20" s="1712" t="s">
        <v>3459</v>
      </c>
      <c r="I20" s="1712">
        <v>12.5</v>
      </c>
      <c r="J20" s="1712">
        <v>11</v>
      </c>
      <c r="K20" s="1712" t="s">
        <v>3459</v>
      </c>
      <c r="L20" s="1712">
        <v>12.5</v>
      </c>
      <c r="M20" s="1712">
        <f>DataFB2!J20/(1-T.B3!L25)</f>
        <v>11.605104386399434</v>
      </c>
      <c r="P20" s="1408">
        <v>32.181992999999999</v>
      </c>
      <c r="Q20">
        <v>-2.4405710000000003</v>
      </c>
    </row>
    <row r="21" spans="1:17">
      <c r="B21" s="1719"/>
      <c r="C21" s="1719"/>
      <c r="D21" s="1712" t="s">
        <v>3459</v>
      </c>
      <c r="E21" s="1712">
        <v>12.5</v>
      </c>
      <c r="F21" s="1712">
        <v>11</v>
      </c>
      <c r="H21" s="1712" t="s">
        <v>3460</v>
      </c>
      <c r="I21" s="1712">
        <v>39</v>
      </c>
      <c r="J21" s="1712">
        <v>4.8</v>
      </c>
      <c r="K21" s="1712" t="s">
        <v>3460</v>
      </c>
      <c r="L21" s="1712">
        <v>39</v>
      </c>
      <c r="M21" s="1712">
        <f>J21/(1-T.B3!O10)</f>
        <v>6.5600656006560065</v>
      </c>
      <c r="P21" s="1408">
        <v>33.661591999999999</v>
      </c>
      <c r="Q21">
        <v>1.80904</v>
      </c>
    </row>
    <row r="22" spans="1:17">
      <c r="D22" s="1712" t="s">
        <v>3460</v>
      </c>
      <c r="E22" s="1712">
        <v>39</v>
      </c>
      <c r="F22" s="1712">
        <v>4.8</v>
      </c>
      <c r="P22" s="1408">
        <v>35.359423</v>
      </c>
      <c r="Q22">
        <v>1.5111700000000001</v>
      </c>
    </row>
    <row r="23" spans="1:17">
      <c r="P23" s="1408">
        <v>38.357388</v>
      </c>
      <c r="Q23">
        <v>1.299987</v>
      </c>
    </row>
  </sheetData>
  <pageMargins left="0.75" right="0.75" top="1" bottom="1" header="0.5" footer="0.5"/>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2"/>
  <sheetViews>
    <sheetView zoomScale="90" zoomScaleNormal="90" zoomScalePageLayoutView="90" workbookViewId="0">
      <selection activeCell="K15" sqref="K15"/>
    </sheetView>
  </sheetViews>
  <sheetFormatPr baseColWidth="10" defaultRowHeight="15" x14ac:dyDescent="0"/>
  <sheetData>
    <row r="32" spans="2:2">
      <c r="B32" s="1709" t="s">
        <v>3508</v>
      </c>
    </row>
  </sheetData>
  <pageMargins left="0.7" right="0.7" top="0.75" bottom="0.75" header="0.3" footer="0.3"/>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C42"/>
  <sheetViews>
    <sheetView workbookViewId="0">
      <selection activeCell="H43" sqref="H43"/>
    </sheetView>
  </sheetViews>
  <sheetFormatPr baseColWidth="10" defaultRowHeight="15" x14ac:dyDescent="0"/>
  <sheetData>
    <row r="4" spans="2:3">
      <c r="B4" t="s">
        <v>3452</v>
      </c>
    </row>
    <row r="6" spans="2:3">
      <c r="B6" s="1482" t="s">
        <v>3327</v>
      </c>
      <c r="C6" s="1482" t="s">
        <v>3451</v>
      </c>
    </row>
    <row r="7" spans="2:3">
      <c r="B7" s="1671">
        <v>18</v>
      </c>
      <c r="C7" s="1671">
        <v>6.4668710000000003</v>
      </c>
    </row>
    <row r="8" spans="2:3">
      <c r="B8" s="1671">
        <v>20</v>
      </c>
      <c r="C8" s="1671">
        <v>6.2034739999999999</v>
      </c>
    </row>
    <row r="9" spans="2:3">
      <c r="B9" s="1671">
        <v>21</v>
      </c>
      <c r="C9" s="1671">
        <v>8.2636909999999997</v>
      </c>
    </row>
    <row r="10" spans="2:3">
      <c r="B10" s="1671">
        <v>21.148581</v>
      </c>
      <c r="C10" s="1671">
        <v>8.1086299999999998</v>
      </c>
    </row>
    <row r="11" spans="2:3">
      <c r="B11" s="1671">
        <v>22</v>
      </c>
      <c r="C11" s="1671">
        <v>7.5405990000000003</v>
      </c>
    </row>
    <row r="12" spans="2:3">
      <c r="B12" s="1671">
        <v>23.333333</v>
      </c>
      <c r="C12" s="1671">
        <v>5.346158</v>
      </c>
    </row>
    <row r="13" spans="2:3">
      <c r="B13" s="1671">
        <v>24.275001</v>
      </c>
      <c r="C13" s="1671">
        <v>5.7328999999999999</v>
      </c>
    </row>
    <row r="14" spans="2:3">
      <c r="B14" s="1671">
        <v>25</v>
      </c>
      <c r="C14" s="1671">
        <v>4.4277240000000004</v>
      </c>
    </row>
    <row r="15" spans="2:3">
      <c r="B15" s="1671">
        <v>26.533334</v>
      </c>
      <c r="C15" s="1671">
        <v>3.6728190000000001</v>
      </c>
    </row>
    <row r="16" spans="2:3">
      <c r="B16" s="1671">
        <v>27.666667</v>
      </c>
      <c r="C16" s="1671">
        <v>5.3232530000000002</v>
      </c>
    </row>
    <row r="17" spans="1:3">
      <c r="B17" s="1671">
        <v>29.219999000000001</v>
      </c>
      <c r="C17" s="1671">
        <v>2.1201439999999998</v>
      </c>
    </row>
    <row r="18" spans="1:3">
      <c r="B18" s="1671">
        <v>29.656666000000001</v>
      </c>
      <c r="C18" s="1671">
        <v>5.1377040000000003</v>
      </c>
    </row>
    <row r="19" spans="1:3">
      <c r="B19" s="1671">
        <v>30</v>
      </c>
      <c r="C19" s="1671">
        <v>4.6590389999999999</v>
      </c>
    </row>
    <row r="20" spans="1:3">
      <c r="B20" s="1671">
        <v>30.733874</v>
      </c>
      <c r="C20" s="1671">
        <v>4.5717479999999995</v>
      </c>
    </row>
    <row r="21" spans="1:3">
      <c r="B21" s="1671">
        <v>31.805</v>
      </c>
      <c r="C21" s="1671">
        <v>5.4290219999999998</v>
      </c>
    </row>
    <row r="22" spans="1:3">
      <c r="B22" s="1671">
        <v>34.100000999999999</v>
      </c>
      <c r="C22" s="1671">
        <v>4.5241389999999999</v>
      </c>
    </row>
    <row r="23" spans="1:3">
      <c r="B23" s="1671">
        <v>37.660800999999999</v>
      </c>
      <c r="C23" s="1671">
        <v>6.8869479999999994</v>
      </c>
    </row>
    <row r="24" spans="1:3">
      <c r="A24" t="s">
        <v>3459</v>
      </c>
      <c r="B24" s="1482">
        <v>12.5</v>
      </c>
      <c r="C24" s="1482">
        <v>3.1</v>
      </c>
    </row>
    <row r="25" spans="1:3">
      <c r="A25" t="s">
        <v>3460</v>
      </c>
      <c r="B25" s="1482">
        <v>39</v>
      </c>
      <c r="C25" s="1482">
        <v>8.1</v>
      </c>
    </row>
    <row r="28" spans="1:3">
      <c r="C28" s="1482"/>
    </row>
    <row r="29" spans="1:3">
      <c r="B29" s="1482"/>
      <c r="C29" s="1482"/>
    </row>
    <row r="32" spans="1:3">
      <c r="C32" s="1482"/>
    </row>
    <row r="33" spans="3:3">
      <c r="C33" s="1482"/>
    </row>
    <row r="34" spans="3:3">
      <c r="C34" s="1482"/>
    </row>
    <row r="35" spans="3:3">
      <c r="C35" s="1482"/>
    </row>
    <row r="36" spans="3:3">
      <c r="C36" s="1482"/>
    </row>
    <row r="37" spans="3:3">
      <c r="C37" s="1482"/>
    </row>
    <row r="38" spans="3:3">
      <c r="C38" s="1482"/>
    </row>
    <row r="39" spans="3:3">
      <c r="C39" s="1482"/>
    </row>
    <row r="40" spans="3:3">
      <c r="C40" s="1482"/>
    </row>
    <row r="41" spans="3:3">
      <c r="C41" s="1482"/>
    </row>
    <row r="42" spans="3:3">
      <c r="C42" s="1482"/>
    </row>
  </sheetData>
  <pageMargins left="0.7" right="0.7" top="0.75" bottom="0.75" header="0.3" footer="0.3"/>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zoomScale="80" zoomScaleNormal="80" zoomScalePageLayoutView="80" workbookViewId="0">
      <selection activeCell="B20" sqref="B20"/>
    </sheetView>
  </sheetViews>
  <sheetFormatPr baseColWidth="10" defaultRowHeight="15" x14ac:dyDescent="0"/>
  <sheetData>
    <row r="1" spans="1:2">
      <c r="A1" s="1267" t="s">
        <v>1955</v>
      </c>
      <c r="B1" s="1267" t="s">
        <v>2625</v>
      </c>
    </row>
    <row r="2" spans="1:2">
      <c r="A2" s="1267" t="s">
        <v>1911</v>
      </c>
      <c r="B2" s="1322">
        <v>0.80467333333333335</v>
      </c>
    </row>
    <row r="3" spans="1:2">
      <c r="A3" s="1267" t="s">
        <v>697</v>
      </c>
      <c r="B3" s="1322">
        <v>2.1201433333333335</v>
      </c>
    </row>
    <row r="4" spans="1:2">
      <c r="A4" s="1267" t="s">
        <v>1947</v>
      </c>
      <c r="B4" s="1322">
        <v>2.8775133333333329</v>
      </c>
    </row>
    <row r="5" spans="1:2">
      <c r="A5" s="1267" t="s">
        <v>693</v>
      </c>
      <c r="B5" s="1322">
        <v>3.0592366666666666</v>
      </c>
    </row>
    <row r="6" spans="1:2">
      <c r="A6" s="1267" t="s">
        <v>1918</v>
      </c>
      <c r="B6" s="1322">
        <v>3.1288133333333334</v>
      </c>
    </row>
    <row r="7" spans="1:2">
      <c r="A7" s="1267" t="s">
        <v>510</v>
      </c>
      <c r="B7" s="1322">
        <v>3.6728199999999998</v>
      </c>
    </row>
    <row r="8" spans="1:2">
      <c r="A8" s="1267" t="s">
        <v>1896</v>
      </c>
      <c r="B8" s="1322">
        <v>3.7410033333333335</v>
      </c>
    </row>
    <row r="9" spans="1:2">
      <c r="A9" s="1267" t="s">
        <v>1895</v>
      </c>
      <c r="B9" s="1322">
        <v>4.0035166666666671</v>
      </c>
    </row>
    <row r="10" spans="1:2">
      <c r="A10" s="1267" t="s">
        <v>1948</v>
      </c>
      <c r="B10" s="1322">
        <v>4.1874866666666666</v>
      </c>
    </row>
    <row r="11" spans="1:2">
      <c r="A11" s="1267" t="s">
        <v>1923</v>
      </c>
      <c r="B11" s="1322">
        <v>4.6427866666666668</v>
      </c>
    </row>
    <row r="12" spans="1:2">
      <c r="A12" s="1267" t="s">
        <v>1892</v>
      </c>
      <c r="B12" s="1322">
        <v>5.0816166666666662</v>
      </c>
    </row>
    <row r="13" spans="1:2">
      <c r="A13" s="1267" t="s">
        <v>694</v>
      </c>
      <c r="B13" s="1322">
        <v>5.1363699999999994</v>
      </c>
    </row>
    <row r="14" spans="1:2">
      <c r="A14" s="1267" t="s">
        <v>1928</v>
      </c>
      <c r="B14" s="1322">
        <v>5.1630633333333344</v>
      </c>
    </row>
    <row r="15" spans="1:2">
      <c r="A15" s="1267" t="s">
        <v>1891</v>
      </c>
      <c r="B15" s="1322">
        <v>5.4024900000000011</v>
      </c>
    </row>
    <row r="16" spans="1:2">
      <c r="A16" s="1267" t="s">
        <v>1944</v>
      </c>
      <c r="B16" s="1322">
        <v>5.4988499999999991</v>
      </c>
    </row>
    <row r="17" spans="1:3">
      <c r="A17" s="1267" t="s">
        <v>1941</v>
      </c>
      <c r="B17" s="1322">
        <v>5.8224299999999998</v>
      </c>
    </row>
    <row r="18" spans="1:3">
      <c r="A18" s="1267" t="s">
        <v>1890</v>
      </c>
      <c r="B18" s="1322">
        <v>5.8368633333333326</v>
      </c>
    </row>
    <row r="19" spans="1:3">
      <c r="A19" s="1267" t="s">
        <v>1897</v>
      </c>
      <c r="B19" s="1322">
        <v>5.9992333333333336</v>
      </c>
    </row>
    <row r="20" spans="1:3">
      <c r="A20" s="1267" t="s">
        <v>2628</v>
      </c>
      <c r="B20" s="1322">
        <v>6.871792666666666</v>
      </c>
    </row>
    <row r="21" spans="1:3">
      <c r="A21" s="1267" t="s">
        <v>1942</v>
      </c>
      <c r="B21" s="1322">
        <v>6.8732533333333334</v>
      </c>
    </row>
    <row r="22" spans="1:3">
      <c r="A22" s="1267" t="s">
        <v>1913</v>
      </c>
      <c r="B22" s="1322">
        <v>7.8954166666666659</v>
      </c>
    </row>
    <row r="23" spans="1:3">
      <c r="A23" s="1267" t="s">
        <v>1900</v>
      </c>
      <c r="B23" s="1322">
        <v>8.0650261458443246</v>
      </c>
    </row>
    <row r="24" spans="1:3">
      <c r="A24" s="1267" t="s">
        <v>695</v>
      </c>
      <c r="B24" s="1322">
        <v>8.1086333333333336</v>
      </c>
    </row>
    <row r="25" spans="1:3">
      <c r="A25" s="1267" t="s">
        <v>1436</v>
      </c>
      <c r="B25" s="1322">
        <v>8.7069966666666669</v>
      </c>
    </row>
    <row r="27" spans="1:3">
      <c r="C27" t="s">
        <v>3421</v>
      </c>
    </row>
  </sheetData>
  <sortState ref="A2:B25">
    <sortCondition ref="B2:B25"/>
  </sortState>
  <pageMargins left="0.7" right="0.7" top="0.75" bottom="0.75" header="0.3" footer="0.3"/>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zoomScale="125" zoomScaleNormal="125" zoomScalePageLayoutView="125" workbookViewId="0">
      <selection activeCell="X67" sqref="X67"/>
    </sheetView>
  </sheetViews>
  <sheetFormatPr baseColWidth="10" defaultRowHeight="15" x14ac:dyDescent="0"/>
  <sheetData>
    <row r="1" spans="1:2">
      <c r="A1" s="1267" t="s">
        <v>1955</v>
      </c>
      <c r="B1" s="1267" t="s">
        <v>2626</v>
      </c>
    </row>
    <row r="2" spans="1:2">
      <c r="A2" s="1267" t="s">
        <v>1436</v>
      </c>
      <c r="B2" s="1322">
        <v>15.27204666666667</v>
      </c>
    </row>
    <row r="3" spans="1:2">
      <c r="A3" s="1267" t="s">
        <v>1923</v>
      </c>
      <c r="B3" s="1322">
        <v>11.94769</v>
      </c>
    </row>
    <row r="4" spans="1:2">
      <c r="A4" s="1267" t="s">
        <v>693</v>
      </c>
      <c r="B4" s="1322">
        <v>10.97565</v>
      </c>
    </row>
    <row r="5" spans="1:2">
      <c r="A5" s="1267" t="s">
        <v>2628</v>
      </c>
      <c r="B5" s="1322">
        <v>9.3444133333333337</v>
      </c>
    </row>
    <row r="6" spans="1:2">
      <c r="A6" s="1267" t="s">
        <v>695</v>
      </c>
      <c r="B6" s="1322">
        <v>7.8372733333333331</v>
      </c>
    </row>
    <row r="7" spans="1:2">
      <c r="A7" s="1267" t="s">
        <v>1913</v>
      </c>
      <c r="B7" s="1322">
        <v>7.3329733333333325</v>
      </c>
    </row>
    <row r="8" spans="1:2">
      <c r="A8" s="1267" t="s">
        <v>1928</v>
      </c>
      <c r="B8" s="1322">
        <v>6.760110000000001</v>
      </c>
    </row>
    <row r="9" spans="1:2">
      <c r="A9" s="1267" t="s">
        <v>1944</v>
      </c>
      <c r="B9" s="1322">
        <v>5.7321799999999996</v>
      </c>
    </row>
    <row r="10" spans="1:2">
      <c r="A10" s="1267" t="s">
        <v>694</v>
      </c>
      <c r="B10" s="1322">
        <v>5.668753333333334</v>
      </c>
    </row>
    <row r="11" spans="1:2">
      <c r="A11" s="1267" t="s">
        <v>1948</v>
      </c>
      <c r="B11" s="1322">
        <v>5.6315900000000001</v>
      </c>
    </row>
    <row r="12" spans="1:2">
      <c r="A12" s="1267" t="s">
        <v>1942</v>
      </c>
      <c r="B12" s="1322">
        <v>5.5259766666666659</v>
      </c>
    </row>
    <row r="13" spans="1:2">
      <c r="A13" s="1267" t="s">
        <v>1892</v>
      </c>
      <c r="B13" s="1322">
        <v>5.4719933333333328</v>
      </c>
    </row>
    <row r="14" spans="1:2">
      <c r="A14" s="1267" t="s">
        <v>1900</v>
      </c>
      <c r="B14" s="1322">
        <v>4.7877453375744246</v>
      </c>
    </row>
    <row r="15" spans="1:2">
      <c r="A15" s="1267" t="s">
        <v>1897</v>
      </c>
      <c r="B15" s="1322">
        <v>4.5501366666666678</v>
      </c>
    </row>
    <row r="16" spans="1:2">
      <c r="A16" s="1267" t="s">
        <v>1891</v>
      </c>
      <c r="B16" s="1322">
        <v>4.4825399999999993</v>
      </c>
    </row>
    <row r="17" spans="1:4">
      <c r="A17" s="1267" t="s">
        <v>510</v>
      </c>
      <c r="B17" s="1322">
        <v>4.3053266666666667</v>
      </c>
    </row>
    <row r="18" spans="1:4">
      <c r="A18" s="1267" t="s">
        <v>1941</v>
      </c>
      <c r="B18" s="1322">
        <v>3.8922599999999994</v>
      </c>
    </row>
    <row r="19" spans="1:4">
      <c r="A19" s="1267" t="s">
        <v>1895</v>
      </c>
      <c r="B19" s="1322">
        <v>3.8355899999999998</v>
      </c>
    </row>
    <row r="20" spans="1:4">
      <c r="A20" s="1267" t="s">
        <v>1918</v>
      </c>
      <c r="B20" s="1322">
        <v>3.7444800000000003</v>
      </c>
    </row>
    <row r="21" spans="1:4">
      <c r="A21" s="1267" t="s">
        <v>1896</v>
      </c>
      <c r="B21" s="1322">
        <v>3.6235600000000008</v>
      </c>
    </row>
    <row r="22" spans="1:4">
      <c r="A22" s="1267" t="s">
        <v>1890</v>
      </c>
      <c r="B22" s="1322">
        <v>3.4943366666666669</v>
      </c>
    </row>
    <row r="23" spans="1:4">
      <c r="A23" s="1267" t="s">
        <v>697</v>
      </c>
      <c r="B23" s="1322">
        <v>2.314073333333333</v>
      </c>
    </row>
    <row r="24" spans="1:4">
      <c r="A24" s="1267" t="s">
        <v>1947</v>
      </c>
      <c r="B24" s="1322">
        <v>2.0737066666666668</v>
      </c>
    </row>
    <row r="25" spans="1:4">
      <c r="A25" s="1267" t="s">
        <v>1911</v>
      </c>
      <c r="B25" s="1322">
        <v>1.8342566666666666</v>
      </c>
    </row>
    <row r="30" spans="1:4">
      <c r="D30" t="s">
        <v>3421</v>
      </c>
    </row>
  </sheetData>
  <sortState ref="A2:B25">
    <sortCondition descending="1" ref="B2:B25"/>
  </sortState>
  <pageMargins left="0.7" right="0.7" top="0.75" bottom="0.75" header="0.3" footer="0.3"/>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zoomScale="90" zoomScaleNormal="90" zoomScalePageLayoutView="90" workbookViewId="0">
      <selection activeCell="X67" sqref="X67"/>
    </sheetView>
  </sheetViews>
  <sheetFormatPr baseColWidth="10" defaultRowHeight="15" x14ac:dyDescent="0"/>
  <cols>
    <col min="2" max="2" width="19.5703125" customWidth="1"/>
  </cols>
  <sheetData>
    <row r="1" spans="1:2">
      <c r="A1" s="1267" t="s">
        <v>1955</v>
      </c>
      <c r="B1" s="1422" t="s">
        <v>3328</v>
      </c>
    </row>
    <row r="2" spans="1:2">
      <c r="A2" s="1267" t="s">
        <v>693</v>
      </c>
      <c r="B2" s="1322">
        <v>-7.9164166666666658</v>
      </c>
    </row>
    <row r="3" spans="1:2">
      <c r="A3" s="1267" t="s">
        <v>1923</v>
      </c>
      <c r="B3" s="1322">
        <v>-7.3048999999999999</v>
      </c>
    </row>
    <row r="4" spans="1:2">
      <c r="A4" s="1267" t="s">
        <v>1436</v>
      </c>
      <c r="B4" s="1322">
        <v>-6.5650533333333332</v>
      </c>
    </row>
    <row r="5" spans="1:2">
      <c r="A5" s="1267" t="s">
        <v>2628</v>
      </c>
      <c r="B5" s="1322">
        <v>-2.4726213333333336</v>
      </c>
    </row>
    <row r="6" spans="1:2">
      <c r="A6" s="1267" t="s">
        <v>1928</v>
      </c>
      <c r="B6" s="1322">
        <v>-1.5970433333333331</v>
      </c>
    </row>
    <row r="7" spans="1:2">
      <c r="A7" s="1267" t="s">
        <v>1948</v>
      </c>
      <c r="B7" s="1322">
        <v>-1.4441033333333333</v>
      </c>
    </row>
    <row r="8" spans="1:2">
      <c r="A8" s="1267" t="s">
        <v>1911</v>
      </c>
      <c r="B8" s="1322">
        <v>-1.0295899999999998</v>
      </c>
    </row>
    <row r="9" spans="1:2">
      <c r="A9" s="1267" t="s">
        <v>510</v>
      </c>
      <c r="B9" s="1322">
        <v>-0.63250666666666666</v>
      </c>
    </row>
    <row r="10" spans="1:2">
      <c r="A10" s="1267" t="s">
        <v>1918</v>
      </c>
      <c r="B10" s="1322">
        <v>-0.6156666666666667</v>
      </c>
    </row>
    <row r="11" spans="1:2">
      <c r="A11" s="1267" t="s">
        <v>694</v>
      </c>
      <c r="B11" s="1322">
        <v>-0.53238666666666667</v>
      </c>
    </row>
    <row r="12" spans="1:2">
      <c r="A12" s="1267" t="s">
        <v>1892</v>
      </c>
      <c r="B12" s="1322">
        <v>-0.39037666666666665</v>
      </c>
    </row>
    <row r="13" spans="1:2">
      <c r="A13" s="1267" t="s">
        <v>1944</v>
      </c>
      <c r="B13" s="1322">
        <v>-0.23332999999999998</v>
      </c>
    </row>
    <row r="14" spans="1:2">
      <c r="A14" s="1267" t="s">
        <v>697</v>
      </c>
      <c r="B14" s="1322">
        <v>-0.19392666666666666</v>
      </c>
    </row>
    <row r="15" spans="1:2">
      <c r="A15" s="1267" t="s">
        <v>1896</v>
      </c>
      <c r="B15" s="1322">
        <v>0.11744666666666664</v>
      </c>
    </row>
    <row r="16" spans="1:2">
      <c r="A16" s="1267" t="s">
        <v>1895</v>
      </c>
      <c r="B16" s="1322">
        <v>0.16792666666666667</v>
      </c>
    </row>
    <row r="17" spans="1:2">
      <c r="A17" s="1267" t="s">
        <v>695</v>
      </c>
      <c r="B17" s="1322">
        <v>0.27135999999999999</v>
      </c>
    </row>
    <row r="18" spans="1:2">
      <c r="A18" s="1267" t="s">
        <v>1913</v>
      </c>
      <c r="B18" s="1322">
        <v>0.56244333333333341</v>
      </c>
    </row>
    <row r="19" spans="1:2">
      <c r="A19" s="1267" t="s">
        <v>1947</v>
      </c>
      <c r="B19" s="1322">
        <v>0.80380666666666667</v>
      </c>
    </row>
    <row r="20" spans="1:2">
      <c r="A20" s="1267" t="s">
        <v>1891</v>
      </c>
      <c r="B20" s="1322">
        <v>0.91994999999999993</v>
      </c>
    </row>
    <row r="21" spans="1:2">
      <c r="A21" s="1267" t="s">
        <v>1942</v>
      </c>
      <c r="B21" s="1322">
        <v>1.3472766666666669</v>
      </c>
    </row>
    <row r="22" spans="1:2">
      <c r="A22" s="1267" t="s">
        <v>1897</v>
      </c>
      <c r="B22" s="1322">
        <v>1.4490966666666665</v>
      </c>
    </row>
    <row r="23" spans="1:2">
      <c r="A23" s="1267" t="s">
        <v>1941</v>
      </c>
      <c r="B23" s="1322">
        <v>1.9301700000000002</v>
      </c>
    </row>
    <row r="24" spans="1:2">
      <c r="A24" s="1267" t="s">
        <v>1890</v>
      </c>
      <c r="B24" s="1322">
        <v>2.3425266666666666</v>
      </c>
    </row>
    <row r="25" spans="1:2">
      <c r="A25" s="1267" t="s">
        <v>1900</v>
      </c>
      <c r="B25" s="1322">
        <v>3.2772808082698992</v>
      </c>
    </row>
  </sheetData>
  <pageMargins left="0.7" right="0.7" top="0.75" bottom="0.75" header="0.3" footer="0.3"/>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A16"/>
  <sheetViews>
    <sheetView workbookViewId="0">
      <selection activeCell="X67" sqref="X67"/>
    </sheetView>
  </sheetViews>
  <sheetFormatPr baseColWidth="10" defaultRowHeight="15" x14ac:dyDescent="0"/>
  <sheetData>
    <row r="1" spans="1:1">
      <c r="A1" s="24" t="s">
        <v>2279</v>
      </c>
    </row>
    <row r="2" spans="1:1" s="676" customFormat="1">
      <c r="A2" s="68" t="s">
        <v>2292</v>
      </c>
    </row>
    <row r="4" spans="1:1" s="676" customFormat="1">
      <c r="A4" s="24" t="s">
        <v>2285</v>
      </c>
    </row>
    <row r="5" spans="1:1">
      <c r="A5" t="s">
        <v>2286</v>
      </c>
    </row>
    <row r="7" spans="1:1">
      <c r="A7" s="24" t="s">
        <v>2282</v>
      </c>
    </row>
    <row r="8" spans="1:1">
      <c r="A8" t="s">
        <v>2283</v>
      </c>
    </row>
    <row r="9" spans="1:1">
      <c r="A9" t="s">
        <v>2284</v>
      </c>
    </row>
    <row r="10" spans="1:1">
      <c r="A10" t="s">
        <v>2289</v>
      </c>
    </row>
    <row r="11" spans="1:1" s="676" customFormat="1">
      <c r="A11" s="676" t="s">
        <v>2288</v>
      </c>
    </row>
    <row r="12" spans="1:1" s="676" customFormat="1"/>
    <row r="13" spans="1:1">
      <c r="A13" s="24" t="s">
        <v>2287</v>
      </c>
    </row>
    <row r="14" spans="1:1">
      <c r="A14" t="s">
        <v>2291</v>
      </c>
    </row>
    <row r="15" spans="1:1">
      <c r="A15" t="s">
        <v>2290</v>
      </c>
    </row>
    <row r="16" spans="1:1">
      <c r="A16" t="s">
        <v>2293</v>
      </c>
    </row>
  </sheetData>
  <pageMargins left="0.75" right="0.75" top="1" bottom="1" header="0.5" footer="0.5"/>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0.249977111117893"/>
  </sheetPr>
  <dimension ref="A1"/>
  <sheetViews>
    <sheetView workbookViewId="0">
      <selection activeCell="X67" sqref="X67"/>
    </sheetView>
  </sheetViews>
  <sheetFormatPr baseColWidth="10" defaultRowHeight="15" x14ac:dyDescent="0"/>
  <sheetData/>
  <pageMargins left="0.75" right="0.75" top="1" bottom="1" header="0.5" footer="0.5"/>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62"/>
  <sheetViews>
    <sheetView zoomScale="150" zoomScaleNormal="150" zoomScalePageLayoutView="150" workbookViewId="0">
      <pane xSplit="2" ySplit="6" topLeftCell="C7"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5" x14ac:dyDescent="0"/>
  <cols>
    <col min="1" max="1" width="7.5703125" style="263"/>
    <col min="2" max="2" width="23.42578125" style="263" customWidth="1"/>
    <col min="3" max="16384" width="7.5703125" style="263"/>
  </cols>
  <sheetData>
    <row r="1" spans="1:90" ht="17">
      <c r="A1" s="1940" t="s">
        <v>162</v>
      </c>
      <c r="B1" s="1939"/>
      <c r="C1" s="1939"/>
      <c r="D1" s="1939"/>
      <c r="E1" s="1939"/>
      <c r="F1" s="1939"/>
      <c r="G1" s="1939"/>
      <c r="H1" s="1939"/>
      <c r="I1" s="1939"/>
      <c r="J1" s="1939"/>
      <c r="K1" s="1939"/>
      <c r="L1" s="1939"/>
      <c r="M1" s="1939"/>
      <c r="N1" s="1939"/>
      <c r="O1" s="1939"/>
      <c r="P1" s="1939"/>
      <c r="Q1" s="1939"/>
      <c r="R1" s="1939"/>
      <c r="S1" s="1939"/>
      <c r="T1" s="1939"/>
      <c r="U1" s="1939"/>
      <c r="V1" s="1939"/>
      <c r="W1" s="1939"/>
      <c r="X1" s="1939"/>
      <c r="Y1" s="1939"/>
      <c r="Z1" s="1939"/>
      <c r="AA1" s="1939"/>
      <c r="AB1" s="1939"/>
      <c r="AC1" s="1939"/>
      <c r="AD1" s="1939"/>
      <c r="AE1" s="1939"/>
      <c r="AF1" s="1939"/>
      <c r="AG1" s="1939"/>
      <c r="AH1" s="1939"/>
      <c r="AI1" s="1939"/>
      <c r="AJ1" s="1939"/>
      <c r="AK1" s="1939"/>
      <c r="AL1" s="1939"/>
      <c r="AM1" s="1939"/>
      <c r="AN1" s="1939"/>
      <c r="AO1" s="1939"/>
      <c r="AP1" s="1939"/>
      <c r="AQ1" s="1939"/>
      <c r="AR1" s="1939"/>
      <c r="AS1" s="1939"/>
      <c r="AT1" s="1939"/>
      <c r="AU1" s="1939"/>
      <c r="AV1" s="1939"/>
      <c r="AW1" s="1939"/>
      <c r="AX1" s="1939"/>
      <c r="AY1" s="1939"/>
      <c r="AZ1" s="1939"/>
      <c r="BA1" s="1939"/>
      <c r="BB1" s="1939"/>
      <c r="BC1" s="1939"/>
      <c r="BD1" s="1939"/>
      <c r="BE1" s="1939"/>
      <c r="BF1" s="1939"/>
      <c r="BG1" s="1939"/>
      <c r="BH1" s="1939"/>
      <c r="BI1" s="1939"/>
      <c r="BJ1" s="1939"/>
      <c r="BK1" s="1939"/>
      <c r="BL1" s="1939"/>
      <c r="BM1" s="1939"/>
      <c r="BN1" s="1939"/>
      <c r="BO1" s="1939"/>
      <c r="BP1" s="1939"/>
      <c r="BQ1" s="1939"/>
      <c r="BR1" s="1939"/>
      <c r="BS1" s="1939"/>
      <c r="BT1" s="1939"/>
      <c r="BU1" s="1939"/>
      <c r="BV1" s="1939"/>
      <c r="BW1" s="1939"/>
      <c r="BX1" s="1939"/>
      <c r="BY1" s="1939"/>
      <c r="BZ1" s="1939"/>
      <c r="CA1" s="1939"/>
      <c r="CB1" s="1939"/>
      <c r="CC1" s="1939"/>
      <c r="CD1" s="1939"/>
      <c r="CE1" s="1939"/>
      <c r="CF1" s="1939"/>
      <c r="CG1" s="1939"/>
      <c r="CH1" s="1939"/>
      <c r="CI1" s="1939"/>
      <c r="CJ1" s="1939"/>
      <c r="CK1" s="1939"/>
      <c r="CL1" s="1939"/>
    </row>
    <row r="2" spans="1:90" ht="16">
      <c r="A2" s="1941" t="s">
        <v>161</v>
      </c>
      <c r="B2" s="1939"/>
      <c r="C2" s="1939"/>
      <c r="D2" s="1939"/>
      <c r="E2" s="1939"/>
      <c r="F2" s="1939"/>
      <c r="G2" s="1939"/>
      <c r="H2" s="1939"/>
      <c r="I2" s="1939"/>
      <c r="J2" s="1939"/>
      <c r="K2" s="1939"/>
      <c r="L2" s="1939"/>
      <c r="M2" s="1939"/>
      <c r="N2" s="1939"/>
      <c r="O2" s="1939"/>
      <c r="P2" s="1939"/>
      <c r="Q2" s="1939"/>
      <c r="R2" s="1939"/>
      <c r="S2" s="1939"/>
      <c r="T2" s="1939"/>
      <c r="U2" s="1939"/>
      <c r="V2" s="1939"/>
      <c r="W2" s="1939"/>
      <c r="X2" s="1939"/>
      <c r="Y2" s="1939"/>
      <c r="Z2" s="1939"/>
      <c r="AA2" s="1939"/>
      <c r="AB2" s="1939"/>
      <c r="AC2" s="1939"/>
      <c r="AD2" s="1939"/>
      <c r="AE2" s="1939"/>
      <c r="AF2" s="1939"/>
      <c r="AG2" s="1939"/>
      <c r="AH2" s="1939"/>
      <c r="AI2" s="1939"/>
      <c r="AJ2" s="1939"/>
      <c r="AK2" s="1939"/>
      <c r="AL2" s="1939"/>
      <c r="AM2" s="1939"/>
      <c r="AN2" s="1939"/>
      <c r="AO2" s="1939"/>
      <c r="AP2" s="1939"/>
      <c r="AQ2" s="1939"/>
      <c r="AR2" s="1939"/>
      <c r="AS2" s="1939"/>
      <c r="AT2" s="1939"/>
      <c r="AU2" s="1939"/>
      <c r="AV2" s="1939"/>
      <c r="AW2" s="1939"/>
      <c r="AX2" s="1939"/>
      <c r="AY2" s="1939"/>
      <c r="AZ2" s="1939"/>
      <c r="BA2" s="1939"/>
      <c r="BB2" s="1939"/>
      <c r="BC2" s="1939"/>
      <c r="BD2" s="1939"/>
      <c r="BE2" s="1939"/>
      <c r="BF2" s="1939"/>
      <c r="BG2" s="1939"/>
      <c r="BH2" s="1939"/>
      <c r="BI2" s="1939"/>
      <c r="BJ2" s="1939"/>
      <c r="BK2" s="1939"/>
      <c r="BL2" s="1939"/>
      <c r="BM2" s="1939"/>
      <c r="BN2" s="1939"/>
      <c r="BO2" s="1939"/>
      <c r="BP2" s="1939"/>
      <c r="BQ2" s="1939"/>
      <c r="BR2" s="1939"/>
      <c r="BS2" s="1939"/>
      <c r="BT2" s="1939"/>
      <c r="BU2" s="1939"/>
      <c r="BV2" s="1939"/>
      <c r="BW2" s="1939"/>
      <c r="BX2" s="1939"/>
      <c r="BY2" s="1939"/>
      <c r="BZ2" s="1939"/>
      <c r="CA2" s="1939"/>
      <c r="CB2" s="1939"/>
      <c r="CC2" s="1939"/>
      <c r="CD2" s="1939"/>
      <c r="CE2" s="1939"/>
      <c r="CF2" s="1939"/>
      <c r="CG2" s="1939"/>
      <c r="CH2" s="1939"/>
      <c r="CI2" s="1939"/>
      <c r="CJ2" s="1939"/>
      <c r="CK2" s="1939"/>
      <c r="CL2" s="1939"/>
    </row>
    <row r="3" spans="1:90">
      <c r="A3" s="1939" t="s">
        <v>160</v>
      </c>
      <c r="B3" s="1939"/>
      <c r="C3" s="1939"/>
      <c r="D3" s="1939"/>
      <c r="E3" s="1939"/>
      <c r="F3" s="1939"/>
      <c r="G3" s="1939"/>
      <c r="H3" s="1939"/>
      <c r="I3" s="1939"/>
      <c r="J3" s="1939"/>
      <c r="K3" s="1939"/>
      <c r="L3" s="1939"/>
      <c r="M3" s="1939"/>
      <c r="N3" s="1939"/>
      <c r="O3" s="1939"/>
      <c r="P3" s="1939"/>
      <c r="Q3" s="1939"/>
      <c r="R3" s="1939"/>
      <c r="S3" s="1939"/>
      <c r="T3" s="1939"/>
      <c r="U3" s="1939"/>
      <c r="V3" s="1939"/>
      <c r="W3" s="1939"/>
      <c r="X3" s="1939"/>
      <c r="Y3" s="1939"/>
      <c r="Z3" s="1939"/>
      <c r="AA3" s="1939"/>
      <c r="AB3" s="1939"/>
      <c r="AC3" s="1939"/>
      <c r="AD3" s="1939"/>
      <c r="AE3" s="1939"/>
      <c r="AF3" s="1939"/>
      <c r="AG3" s="1939"/>
      <c r="AH3" s="1939"/>
      <c r="AI3" s="1939"/>
      <c r="AJ3" s="1939"/>
      <c r="AK3" s="1939"/>
      <c r="AL3" s="1939"/>
      <c r="AM3" s="1939"/>
      <c r="AN3" s="1939"/>
      <c r="AO3" s="1939"/>
      <c r="AP3" s="1939"/>
      <c r="AQ3" s="1939"/>
      <c r="AR3" s="1939"/>
      <c r="AS3" s="1939"/>
      <c r="AT3" s="1939"/>
      <c r="AU3" s="1939"/>
      <c r="AV3" s="1939"/>
      <c r="AW3" s="1939"/>
      <c r="AX3" s="1939"/>
      <c r="AY3" s="1939"/>
      <c r="AZ3" s="1939"/>
      <c r="BA3" s="1939"/>
      <c r="BB3" s="1939"/>
      <c r="BC3" s="1939"/>
      <c r="BD3" s="1939"/>
      <c r="BE3" s="1939"/>
      <c r="BF3" s="1939"/>
      <c r="BG3" s="1939"/>
      <c r="BH3" s="1939"/>
      <c r="BI3" s="1939"/>
      <c r="BJ3" s="1939"/>
      <c r="BK3" s="1939"/>
      <c r="BL3" s="1939"/>
      <c r="BM3" s="1939"/>
      <c r="BN3" s="1939"/>
      <c r="BO3" s="1939"/>
      <c r="BP3" s="1939"/>
      <c r="BQ3" s="1939"/>
      <c r="BR3" s="1939"/>
      <c r="BS3" s="1939"/>
      <c r="BT3" s="1939"/>
      <c r="BU3" s="1939"/>
      <c r="BV3" s="1939"/>
      <c r="BW3" s="1939"/>
      <c r="BX3" s="1939"/>
      <c r="BY3" s="1939"/>
      <c r="BZ3" s="1939"/>
      <c r="CA3" s="1939"/>
      <c r="CB3" s="1939"/>
      <c r="CC3" s="1939"/>
      <c r="CD3" s="1939"/>
      <c r="CE3" s="1939"/>
      <c r="CF3" s="1939"/>
      <c r="CG3" s="1939"/>
      <c r="CH3" s="1939"/>
      <c r="CI3" s="1939"/>
      <c r="CJ3" s="1939"/>
      <c r="CK3" s="1939"/>
      <c r="CL3" s="1939"/>
    </row>
    <row r="4" spans="1:90">
      <c r="A4" s="1939" t="s">
        <v>867</v>
      </c>
      <c r="B4" s="1939"/>
      <c r="C4" s="1939"/>
      <c r="D4" s="1939"/>
      <c r="E4" s="1939"/>
      <c r="F4" s="1939"/>
      <c r="G4" s="1939"/>
      <c r="H4" s="1939"/>
      <c r="I4" s="1939"/>
      <c r="J4" s="1939"/>
      <c r="K4" s="1939"/>
      <c r="L4" s="1939"/>
      <c r="M4" s="1939"/>
      <c r="N4" s="1939"/>
      <c r="O4" s="1939"/>
      <c r="P4" s="1939"/>
      <c r="Q4" s="1939"/>
      <c r="R4" s="1939"/>
      <c r="S4" s="1939"/>
      <c r="T4" s="1939"/>
      <c r="U4" s="1939"/>
      <c r="V4" s="1939"/>
      <c r="W4" s="1939"/>
      <c r="X4" s="1939"/>
      <c r="Y4" s="1939"/>
      <c r="Z4" s="1939"/>
      <c r="AA4" s="1939"/>
      <c r="AB4" s="1939"/>
      <c r="AC4" s="1939"/>
      <c r="AD4" s="1939"/>
      <c r="AE4" s="1939"/>
      <c r="AF4" s="1939"/>
      <c r="AG4" s="1939"/>
      <c r="AH4" s="1939"/>
      <c r="AI4" s="1939"/>
      <c r="AJ4" s="1939"/>
      <c r="AK4" s="1939"/>
      <c r="AL4" s="1939"/>
      <c r="AM4" s="1939"/>
      <c r="AN4" s="1939"/>
      <c r="AO4" s="1939"/>
      <c r="AP4" s="1939"/>
      <c r="AQ4" s="1939"/>
      <c r="AR4" s="1939"/>
      <c r="AS4" s="1939"/>
      <c r="AT4" s="1939"/>
      <c r="AU4" s="1939"/>
      <c r="AV4" s="1939"/>
      <c r="AW4" s="1939"/>
      <c r="AX4" s="1939"/>
      <c r="AY4" s="1939"/>
      <c r="AZ4" s="1939"/>
      <c r="BA4" s="1939"/>
      <c r="BB4" s="1939"/>
      <c r="BC4" s="1939"/>
      <c r="BD4" s="1939"/>
      <c r="BE4" s="1939"/>
      <c r="BF4" s="1939"/>
      <c r="BG4" s="1939"/>
      <c r="BH4" s="1939"/>
      <c r="BI4" s="1939"/>
      <c r="BJ4" s="1939"/>
      <c r="BK4" s="1939"/>
      <c r="BL4" s="1939"/>
      <c r="BM4" s="1939"/>
      <c r="BN4" s="1939"/>
      <c r="BO4" s="1939"/>
      <c r="BP4" s="1939"/>
      <c r="BQ4" s="1939"/>
      <c r="BR4" s="1939"/>
      <c r="BS4" s="1939"/>
      <c r="BT4" s="1939"/>
      <c r="BU4" s="1939"/>
      <c r="BV4" s="1939"/>
      <c r="BW4" s="1939"/>
      <c r="BX4" s="1939"/>
      <c r="BY4" s="1939"/>
      <c r="BZ4" s="1939"/>
      <c r="CA4" s="1939"/>
      <c r="CB4" s="1939"/>
      <c r="CC4" s="1939"/>
      <c r="CD4" s="1939"/>
      <c r="CE4" s="1939"/>
      <c r="CF4" s="1939"/>
      <c r="CG4" s="1939"/>
      <c r="CH4" s="1939"/>
      <c r="CI4" s="1939"/>
      <c r="CJ4" s="1939"/>
      <c r="CK4" s="1939"/>
      <c r="CL4" s="1939"/>
    </row>
    <row r="6" spans="1:90">
      <c r="A6" s="264" t="s">
        <v>159</v>
      </c>
      <c r="B6" s="264" t="s">
        <v>32</v>
      </c>
      <c r="C6" s="264" t="s">
        <v>158</v>
      </c>
      <c r="D6" s="264" t="s">
        <v>157</v>
      </c>
      <c r="E6" s="264" t="s">
        <v>156</v>
      </c>
      <c r="F6" s="264" t="s">
        <v>155</v>
      </c>
      <c r="G6" s="264" t="s">
        <v>154</v>
      </c>
      <c r="H6" s="264" t="s">
        <v>153</v>
      </c>
      <c r="I6" s="264" t="s">
        <v>152</v>
      </c>
      <c r="J6" s="264" t="s">
        <v>151</v>
      </c>
      <c r="K6" s="264" t="s">
        <v>150</v>
      </c>
      <c r="L6" s="264" t="s">
        <v>149</v>
      </c>
      <c r="M6" s="264" t="s">
        <v>148</v>
      </c>
      <c r="N6" s="264" t="s">
        <v>147</v>
      </c>
      <c r="O6" s="264" t="s">
        <v>146</v>
      </c>
      <c r="P6" s="264" t="s">
        <v>145</v>
      </c>
      <c r="Q6" s="264" t="s">
        <v>144</v>
      </c>
      <c r="R6" s="264" t="s">
        <v>143</v>
      </c>
      <c r="S6" s="264" t="s">
        <v>142</v>
      </c>
      <c r="T6" s="264" t="s">
        <v>141</v>
      </c>
      <c r="U6" s="264" t="s">
        <v>140</v>
      </c>
      <c r="V6" s="264" t="s">
        <v>139</v>
      </c>
      <c r="W6" s="264" t="s">
        <v>138</v>
      </c>
      <c r="X6" s="264" t="s">
        <v>137</v>
      </c>
      <c r="Y6" s="264" t="s">
        <v>136</v>
      </c>
      <c r="Z6" s="264" t="s">
        <v>135</v>
      </c>
      <c r="AA6" s="264" t="s">
        <v>134</v>
      </c>
      <c r="AB6" s="264" t="s">
        <v>133</v>
      </c>
      <c r="AC6" s="264" t="s">
        <v>132</v>
      </c>
      <c r="AD6" s="264" t="s">
        <v>131</v>
      </c>
      <c r="AE6" s="264" t="s">
        <v>130</v>
      </c>
      <c r="AF6" s="264" t="s">
        <v>129</v>
      </c>
      <c r="AG6" s="264" t="s">
        <v>128</v>
      </c>
      <c r="AH6" s="264" t="s">
        <v>127</v>
      </c>
      <c r="AI6" s="264" t="s">
        <v>126</v>
      </c>
      <c r="AJ6" s="264" t="s">
        <v>125</v>
      </c>
      <c r="AK6" s="264" t="s">
        <v>124</v>
      </c>
      <c r="AL6" s="264" t="s">
        <v>123</v>
      </c>
      <c r="AM6" s="264" t="s">
        <v>122</v>
      </c>
      <c r="AN6" s="264" t="s">
        <v>121</v>
      </c>
      <c r="AO6" s="264" t="s">
        <v>120</v>
      </c>
      <c r="AP6" s="264" t="s">
        <v>119</v>
      </c>
      <c r="AQ6" s="264" t="s">
        <v>118</v>
      </c>
      <c r="AR6" s="264" t="s">
        <v>117</v>
      </c>
      <c r="AS6" s="264" t="s">
        <v>116</v>
      </c>
      <c r="AT6" s="264" t="s">
        <v>115</v>
      </c>
      <c r="AU6" s="264" t="s">
        <v>114</v>
      </c>
      <c r="AV6" s="264" t="s">
        <v>113</v>
      </c>
      <c r="AW6" s="264" t="s">
        <v>112</v>
      </c>
      <c r="AX6" s="264" t="s">
        <v>111</v>
      </c>
      <c r="AY6" s="264" t="s">
        <v>110</v>
      </c>
      <c r="AZ6" s="264" t="s">
        <v>109</v>
      </c>
      <c r="BA6" s="264" t="s">
        <v>108</v>
      </c>
      <c r="BB6" s="264" t="s">
        <v>107</v>
      </c>
      <c r="BC6" s="264" t="s">
        <v>106</v>
      </c>
      <c r="BD6" s="264" t="s">
        <v>105</v>
      </c>
      <c r="BE6" s="264" t="s">
        <v>104</v>
      </c>
      <c r="BF6" s="264" t="s">
        <v>103</v>
      </c>
      <c r="BG6" s="264" t="s">
        <v>102</v>
      </c>
      <c r="BH6" s="264" t="s">
        <v>101</v>
      </c>
      <c r="BI6" s="264" t="s">
        <v>100</v>
      </c>
      <c r="BJ6" s="264" t="s">
        <v>99</v>
      </c>
      <c r="BK6" s="264" t="s">
        <v>98</v>
      </c>
      <c r="BL6" s="264" t="s">
        <v>97</v>
      </c>
      <c r="BM6" s="264" t="s">
        <v>96</v>
      </c>
      <c r="BN6" s="264" t="s">
        <v>95</v>
      </c>
      <c r="BO6" s="264" t="s">
        <v>94</v>
      </c>
      <c r="BP6" s="264" t="s">
        <v>93</v>
      </c>
      <c r="BQ6" s="264" t="s">
        <v>92</v>
      </c>
      <c r="BR6" s="264" t="s">
        <v>91</v>
      </c>
      <c r="BS6" s="264" t="s">
        <v>90</v>
      </c>
      <c r="BT6" s="264" t="s">
        <v>89</v>
      </c>
      <c r="BU6" s="264" t="s">
        <v>88</v>
      </c>
      <c r="BV6" s="264" t="s">
        <v>87</v>
      </c>
      <c r="BW6" s="264" t="s">
        <v>86</v>
      </c>
      <c r="BX6" s="264" t="s">
        <v>85</v>
      </c>
      <c r="BY6" s="264" t="s">
        <v>84</v>
      </c>
      <c r="BZ6" s="264" t="s">
        <v>83</v>
      </c>
      <c r="CA6" s="264" t="s">
        <v>82</v>
      </c>
      <c r="CB6" s="264" t="s">
        <v>81</v>
      </c>
      <c r="CC6" s="264" t="s">
        <v>80</v>
      </c>
      <c r="CD6" s="264" t="s">
        <v>79</v>
      </c>
      <c r="CE6" s="264" t="s">
        <v>78</v>
      </c>
      <c r="CF6" s="264" t="s">
        <v>77</v>
      </c>
      <c r="CG6" s="264" t="s">
        <v>76</v>
      </c>
      <c r="CH6" s="264" t="s">
        <v>75</v>
      </c>
      <c r="CI6" s="264" t="s">
        <v>74</v>
      </c>
      <c r="CJ6" s="264" t="s">
        <v>866</v>
      </c>
      <c r="CK6" s="264" t="s">
        <v>865</v>
      </c>
      <c r="CL6" s="264" t="s">
        <v>864</v>
      </c>
    </row>
    <row r="7" spans="1:90">
      <c r="A7" s="263" t="s">
        <v>73</v>
      </c>
      <c r="B7" s="269" t="s">
        <v>868</v>
      </c>
      <c r="C7" s="263">
        <v>94.2</v>
      </c>
      <c r="D7" s="263">
        <v>83.1</v>
      </c>
      <c r="E7" s="263">
        <v>67.7</v>
      </c>
      <c r="F7" s="263">
        <v>51.3</v>
      </c>
      <c r="G7" s="263">
        <v>49</v>
      </c>
      <c r="H7" s="263">
        <v>58.3</v>
      </c>
      <c r="I7" s="263">
        <v>66.400000000000006</v>
      </c>
      <c r="J7" s="263">
        <v>75.2</v>
      </c>
      <c r="K7" s="263">
        <v>83.7</v>
      </c>
      <c r="L7" s="263">
        <v>77.099999999999994</v>
      </c>
      <c r="M7" s="263">
        <v>82.5</v>
      </c>
      <c r="N7" s="263">
        <v>91.6</v>
      </c>
      <c r="O7" s="263">
        <v>117.4</v>
      </c>
      <c r="P7" s="263">
        <v>152.4</v>
      </c>
      <c r="Q7" s="263">
        <v>187.3</v>
      </c>
      <c r="R7" s="263">
        <v>201</v>
      </c>
      <c r="S7" s="263">
        <v>201.4</v>
      </c>
      <c r="T7" s="263">
        <v>201.5</v>
      </c>
      <c r="U7" s="263">
        <v>219</v>
      </c>
      <c r="V7" s="263">
        <v>245.1</v>
      </c>
      <c r="W7" s="263">
        <v>240</v>
      </c>
      <c r="X7" s="263">
        <v>267</v>
      </c>
      <c r="Y7" s="263">
        <v>308</v>
      </c>
      <c r="Z7" s="263">
        <v>326.5</v>
      </c>
      <c r="AA7" s="263">
        <v>344.4</v>
      </c>
      <c r="AB7" s="263">
        <v>344.4</v>
      </c>
      <c r="AC7" s="263">
        <v>377.6</v>
      </c>
      <c r="AD7" s="263">
        <v>400.9</v>
      </c>
      <c r="AE7" s="263">
        <v>419.4</v>
      </c>
      <c r="AF7" s="263">
        <v>421.6</v>
      </c>
      <c r="AG7" s="263">
        <v>459.6</v>
      </c>
      <c r="AH7" s="263">
        <v>479.9</v>
      </c>
      <c r="AI7" s="263">
        <v>497.2</v>
      </c>
      <c r="AJ7" s="263">
        <v>535.20000000000005</v>
      </c>
      <c r="AK7" s="263">
        <v>566.6</v>
      </c>
      <c r="AL7" s="263">
        <v>608.29999999999995</v>
      </c>
      <c r="AM7" s="263">
        <v>660.3</v>
      </c>
      <c r="AN7" s="263">
        <v>719.7</v>
      </c>
      <c r="AO7" s="263">
        <v>760.2</v>
      </c>
      <c r="AP7" s="263">
        <v>832.1</v>
      </c>
      <c r="AQ7" s="263">
        <v>899.5</v>
      </c>
      <c r="AR7" s="263">
        <v>940.1</v>
      </c>
      <c r="AS7" s="263">
        <v>1017</v>
      </c>
      <c r="AT7" s="263">
        <v>1123</v>
      </c>
      <c r="AU7" s="263">
        <v>1257</v>
      </c>
      <c r="AV7" s="263">
        <v>1350.8</v>
      </c>
      <c r="AW7" s="263">
        <v>1451.1</v>
      </c>
      <c r="AX7" s="263">
        <v>1614.8</v>
      </c>
      <c r="AY7" s="263">
        <v>1798.7</v>
      </c>
      <c r="AZ7" s="263">
        <v>2029.9</v>
      </c>
      <c r="BA7" s="263">
        <v>2248.1999999999998</v>
      </c>
      <c r="BB7" s="263">
        <v>2426.8000000000002</v>
      </c>
      <c r="BC7" s="263">
        <v>2722.1</v>
      </c>
      <c r="BD7" s="263">
        <v>2840.4</v>
      </c>
      <c r="BE7" s="263">
        <v>3060.5</v>
      </c>
      <c r="BF7" s="263">
        <v>3444</v>
      </c>
      <c r="BG7" s="263">
        <v>3684.2</v>
      </c>
      <c r="BH7" s="263">
        <v>3848.2</v>
      </c>
      <c r="BI7" s="263">
        <v>4119.2</v>
      </c>
      <c r="BJ7" s="263">
        <v>4493.3999999999996</v>
      </c>
      <c r="BK7" s="263">
        <v>4782.2</v>
      </c>
      <c r="BL7" s="263">
        <v>5036.1000000000004</v>
      </c>
      <c r="BM7" s="263">
        <v>5186.1000000000004</v>
      </c>
      <c r="BN7" s="263">
        <v>5499.7</v>
      </c>
      <c r="BO7" s="263">
        <v>5754.8</v>
      </c>
      <c r="BP7" s="263">
        <v>6140.2</v>
      </c>
      <c r="BQ7" s="263">
        <v>6479.5</v>
      </c>
      <c r="BR7" s="263">
        <v>6899.4</v>
      </c>
      <c r="BS7" s="263">
        <v>7380.4</v>
      </c>
      <c r="BT7" s="263">
        <v>7857.3</v>
      </c>
      <c r="BU7" s="263">
        <v>8324.4</v>
      </c>
      <c r="BV7" s="263">
        <v>8907</v>
      </c>
      <c r="BW7" s="263">
        <v>9184.6</v>
      </c>
      <c r="BX7" s="263">
        <v>9436.7999999999993</v>
      </c>
      <c r="BY7" s="263">
        <v>9864.2000000000007</v>
      </c>
      <c r="BZ7" s="263">
        <v>10540.9</v>
      </c>
      <c r="CA7" s="263">
        <v>11239.8</v>
      </c>
      <c r="CB7" s="263">
        <v>12004.8</v>
      </c>
      <c r="CC7" s="263">
        <v>12321.4</v>
      </c>
      <c r="CD7" s="263">
        <v>12427.8</v>
      </c>
      <c r="CE7" s="263">
        <v>12126.1</v>
      </c>
      <c r="CF7" s="263">
        <v>12739.5</v>
      </c>
      <c r="CG7" s="263">
        <v>13352.3</v>
      </c>
      <c r="CH7" s="263">
        <v>14061.9</v>
      </c>
      <c r="CI7" s="263">
        <v>14444.8</v>
      </c>
      <c r="CJ7" s="263">
        <v>15144</v>
      </c>
      <c r="CK7" s="263">
        <v>15739.6</v>
      </c>
      <c r="CL7" s="263">
        <v>16052</v>
      </c>
    </row>
    <row r="8" spans="1:90">
      <c r="A8" s="263" t="s">
        <v>72</v>
      </c>
      <c r="B8" s="269" t="s">
        <v>71</v>
      </c>
      <c r="C8" s="263">
        <v>51.4</v>
      </c>
      <c r="D8" s="263">
        <v>47.2</v>
      </c>
      <c r="E8" s="263">
        <v>40.1</v>
      </c>
      <c r="F8" s="263">
        <v>31.4</v>
      </c>
      <c r="G8" s="263">
        <v>29.8</v>
      </c>
      <c r="H8" s="263">
        <v>34.6</v>
      </c>
      <c r="I8" s="263">
        <v>37.700000000000003</v>
      </c>
      <c r="J8" s="263">
        <v>43.3</v>
      </c>
      <c r="K8" s="263">
        <v>48.4</v>
      </c>
      <c r="L8" s="263">
        <v>45.5</v>
      </c>
      <c r="M8" s="263">
        <v>48.6</v>
      </c>
      <c r="N8" s="263">
        <v>52.8</v>
      </c>
      <c r="O8" s="263">
        <v>66.2</v>
      </c>
      <c r="P8" s="263">
        <v>88.1</v>
      </c>
      <c r="Q8" s="263">
        <v>112.8</v>
      </c>
      <c r="R8" s="263">
        <v>124.4</v>
      </c>
      <c r="S8" s="263">
        <v>126.4</v>
      </c>
      <c r="T8" s="263">
        <v>122.6</v>
      </c>
      <c r="U8" s="263">
        <v>132.5</v>
      </c>
      <c r="V8" s="263">
        <v>144.5</v>
      </c>
      <c r="W8" s="263">
        <v>144.5</v>
      </c>
      <c r="X8" s="263">
        <v>158.5</v>
      </c>
      <c r="Y8" s="263">
        <v>185.9</v>
      </c>
      <c r="Z8" s="263">
        <v>201.3</v>
      </c>
      <c r="AA8" s="263">
        <v>215.5</v>
      </c>
      <c r="AB8" s="263">
        <v>214.4</v>
      </c>
      <c r="AC8" s="263">
        <v>230.9</v>
      </c>
      <c r="AD8" s="263">
        <v>249.6</v>
      </c>
      <c r="AE8" s="263">
        <v>263</v>
      </c>
      <c r="AF8" s="263">
        <v>265.10000000000002</v>
      </c>
      <c r="AG8" s="263">
        <v>286.3</v>
      </c>
      <c r="AH8" s="263">
        <v>301.89999999999998</v>
      </c>
      <c r="AI8" s="263">
        <v>311.10000000000002</v>
      </c>
      <c r="AJ8" s="263">
        <v>332.9</v>
      </c>
      <c r="AK8" s="263">
        <v>351.2</v>
      </c>
      <c r="AL8" s="263">
        <v>376.8</v>
      </c>
      <c r="AM8" s="263">
        <v>406.3</v>
      </c>
      <c r="AN8" s="263">
        <v>450.3</v>
      </c>
      <c r="AO8" s="263">
        <v>482.9</v>
      </c>
      <c r="AP8" s="263">
        <v>532.1</v>
      </c>
      <c r="AQ8" s="263">
        <v>586</v>
      </c>
      <c r="AR8" s="263">
        <v>625.1</v>
      </c>
      <c r="AS8" s="263">
        <v>667</v>
      </c>
      <c r="AT8" s="263">
        <v>733.6</v>
      </c>
      <c r="AU8" s="263">
        <v>815</v>
      </c>
      <c r="AV8" s="263">
        <v>890.3</v>
      </c>
      <c r="AW8" s="263">
        <v>950.2</v>
      </c>
      <c r="AX8" s="263">
        <v>1051.2</v>
      </c>
      <c r="AY8" s="263">
        <v>1169</v>
      </c>
      <c r="AZ8" s="263">
        <v>1320.2</v>
      </c>
      <c r="BA8" s="263">
        <v>1481</v>
      </c>
      <c r="BB8" s="263">
        <v>1626.2</v>
      </c>
      <c r="BC8" s="263">
        <v>1795.3</v>
      </c>
      <c r="BD8" s="263">
        <v>1894.3</v>
      </c>
      <c r="BE8" s="263">
        <v>2013.9</v>
      </c>
      <c r="BF8" s="263">
        <v>2217.4</v>
      </c>
      <c r="BG8" s="263">
        <v>2389</v>
      </c>
      <c r="BH8" s="263">
        <v>2543.8000000000002</v>
      </c>
      <c r="BI8" s="263">
        <v>2724.3</v>
      </c>
      <c r="BJ8" s="263">
        <v>2950</v>
      </c>
      <c r="BK8" s="263">
        <v>3142.6</v>
      </c>
      <c r="BL8" s="263">
        <v>3342.7</v>
      </c>
      <c r="BM8" s="263">
        <v>3452</v>
      </c>
      <c r="BN8" s="263">
        <v>3671.1</v>
      </c>
      <c r="BO8" s="263">
        <v>3820.7</v>
      </c>
      <c r="BP8" s="263">
        <v>4010.1</v>
      </c>
      <c r="BQ8" s="263">
        <v>4202.6000000000004</v>
      </c>
      <c r="BR8" s="263">
        <v>4422.1000000000004</v>
      </c>
      <c r="BS8" s="263">
        <v>4714.7</v>
      </c>
      <c r="BT8" s="263">
        <v>5077.8</v>
      </c>
      <c r="BU8" s="263">
        <v>5410.3</v>
      </c>
      <c r="BV8" s="263">
        <v>5856.6</v>
      </c>
      <c r="BW8" s="263">
        <v>6046.5</v>
      </c>
      <c r="BX8" s="263">
        <v>6141.9</v>
      </c>
      <c r="BY8" s="263">
        <v>6364.5</v>
      </c>
      <c r="BZ8" s="263">
        <v>6739.5</v>
      </c>
      <c r="CA8" s="263">
        <v>7086.8</v>
      </c>
      <c r="CB8" s="263">
        <v>7502.3</v>
      </c>
      <c r="CC8" s="263">
        <v>7898.3</v>
      </c>
      <c r="CD8" s="263">
        <v>8078.3</v>
      </c>
      <c r="CE8" s="263">
        <v>7787</v>
      </c>
      <c r="CF8" s="263">
        <v>7961.4</v>
      </c>
      <c r="CG8" s="263">
        <v>8269</v>
      </c>
      <c r="CH8" s="263">
        <v>8609.9</v>
      </c>
      <c r="CI8" s="263">
        <v>8842.4</v>
      </c>
      <c r="CJ8" s="263">
        <v>9256.5</v>
      </c>
      <c r="CK8" s="263">
        <v>9708.2999999999993</v>
      </c>
      <c r="CL8" s="263">
        <v>9978.6</v>
      </c>
    </row>
    <row r="9" spans="1:90">
      <c r="A9" s="263" t="s">
        <v>70</v>
      </c>
      <c r="B9" s="263" t="s">
        <v>538</v>
      </c>
      <c r="C9" s="263">
        <v>50.5</v>
      </c>
      <c r="D9" s="263">
        <v>46.2</v>
      </c>
      <c r="E9" s="263">
        <v>39.200000000000003</v>
      </c>
      <c r="F9" s="263">
        <v>30.5</v>
      </c>
      <c r="G9" s="263">
        <v>29</v>
      </c>
      <c r="H9" s="263">
        <v>33.700000000000003</v>
      </c>
      <c r="I9" s="263">
        <v>36.700000000000003</v>
      </c>
      <c r="J9" s="263">
        <v>42</v>
      </c>
      <c r="K9" s="263">
        <v>46.1</v>
      </c>
      <c r="L9" s="263">
        <v>43</v>
      </c>
      <c r="M9" s="263">
        <v>46</v>
      </c>
      <c r="N9" s="263">
        <v>49.9</v>
      </c>
      <c r="O9" s="263">
        <v>62.1</v>
      </c>
      <c r="P9" s="263">
        <v>82.1</v>
      </c>
      <c r="Q9" s="263">
        <v>105.8</v>
      </c>
      <c r="R9" s="263">
        <v>116.7</v>
      </c>
      <c r="S9" s="263">
        <v>117.5</v>
      </c>
      <c r="T9" s="263">
        <v>112</v>
      </c>
      <c r="U9" s="263">
        <v>123.1</v>
      </c>
      <c r="V9" s="263">
        <v>135.6</v>
      </c>
      <c r="W9" s="263">
        <v>134.69999999999999</v>
      </c>
      <c r="X9" s="263">
        <v>147.30000000000001</v>
      </c>
      <c r="Y9" s="263">
        <v>171.6</v>
      </c>
      <c r="Z9" s="263">
        <v>185.6</v>
      </c>
      <c r="AA9" s="263">
        <v>199</v>
      </c>
      <c r="AB9" s="263">
        <v>197.3</v>
      </c>
      <c r="AC9" s="263">
        <v>212.2</v>
      </c>
      <c r="AD9" s="263">
        <v>229</v>
      </c>
      <c r="AE9" s="263">
        <v>240</v>
      </c>
      <c r="AF9" s="263">
        <v>241.3</v>
      </c>
      <c r="AG9" s="263">
        <v>259.8</v>
      </c>
      <c r="AH9" s="263">
        <v>272.89999999999998</v>
      </c>
      <c r="AI9" s="263">
        <v>280.5</v>
      </c>
      <c r="AJ9" s="263">
        <v>299.39999999999998</v>
      </c>
      <c r="AK9" s="263">
        <v>314.89999999999998</v>
      </c>
      <c r="AL9" s="263">
        <v>337.8</v>
      </c>
      <c r="AM9" s="263">
        <v>363.8</v>
      </c>
      <c r="AN9" s="263">
        <v>400.3</v>
      </c>
      <c r="AO9" s="263">
        <v>429</v>
      </c>
      <c r="AP9" s="263">
        <v>472</v>
      </c>
      <c r="AQ9" s="263">
        <v>518.29999999999995</v>
      </c>
      <c r="AR9" s="263">
        <v>551.6</v>
      </c>
      <c r="AS9" s="263">
        <v>584.5</v>
      </c>
      <c r="AT9" s="263">
        <v>638.79999999999995</v>
      </c>
      <c r="AU9" s="263">
        <v>708.8</v>
      </c>
      <c r="AV9" s="263">
        <v>772.3</v>
      </c>
      <c r="AW9" s="263">
        <v>814.8</v>
      </c>
      <c r="AX9" s="263">
        <v>899.7</v>
      </c>
      <c r="AY9" s="263">
        <v>994.2</v>
      </c>
      <c r="AZ9" s="263">
        <v>1120.5999999999999</v>
      </c>
      <c r="BA9" s="263">
        <v>1253.3</v>
      </c>
      <c r="BB9" s="263">
        <v>1373.4</v>
      </c>
      <c r="BC9" s="263">
        <v>1511.4</v>
      </c>
      <c r="BD9" s="263">
        <v>1587.5</v>
      </c>
      <c r="BE9" s="263">
        <v>1677.5</v>
      </c>
      <c r="BF9" s="263">
        <v>1844.9</v>
      </c>
      <c r="BG9" s="263">
        <v>1982.6</v>
      </c>
      <c r="BH9" s="263">
        <v>2102.3000000000002</v>
      </c>
      <c r="BI9" s="263">
        <v>2256.3000000000002</v>
      </c>
      <c r="BJ9" s="263">
        <v>2439.8000000000002</v>
      </c>
      <c r="BK9" s="263">
        <v>2583.1</v>
      </c>
      <c r="BL9" s="263">
        <v>2741.2</v>
      </c>
      <c r="BM9" s="263">
        <v>2814.5</v>
      </c>
      <c r="BN9" s="263">
        <v>2965.5</v>
      </c>
      <c r="BO9" s="263">
        <v>3079.3</v>
      </c>
      <c r="BP9" s="263">
        <v>3236.6</v>
      </c>
      <c r="BQ9" s="263">
        <v>3418</v>
      </c>
      <c r="BR9" s="263">
        <v>3616.5</v>
      </c>
      <c r="BS9" s="263">
        <v>3876.8</v>
      </c>
      <c r="BT9" s="263">
        <v>4181.6000000000004</v>
      </c>
      <c r="BU9" s="263">
        <v>4458</v>
      </c>
      <c r="BV9" s="263">
        <v>4825.8999999999996</v>
      </c>
      <c r="BW9" s="263">
        <v>4954.3999999999996</v>
      </c>
      <c r="BX9" s="263">
        <v>4996.3999999999996</v>
      </c>
      <c r="BY9" s="263">
        <v>5137.8</v>
      </c>
      <c r="BZ9" s="263">
        <v>5421.9</v>
      </c>
      <c r="CA9" s="263">
        <v>5692</v>
      </c>
      <c r="CB9" s="263">
        <v>6057.4</v>
      </c>
      <c r="CC9" s="263">
        <v>6395.2</v>
      </c>
      <c r="CD9" s="263">
        <v>6531.9</v>
      </c>
      <c r="CE9" s="263">
        <v>6251.4</v>
      </c>
      <c r="CF9" s="263">
        <v>6377.5</v>
      </c>
      <c r="CG9" s="263">
        <v>6633.2</v>
      </c>
      <c r="CH9" s="263">
        <v>6930.3</v>
      </c>
      <c r="CI9" s="263">
        <v>7116.7</v>
      </c>
      <c r="CJ9" s="263">
        <v>7476.8</v>
      </c>
      <c r="CK9" s="263">
        <v>7858.9</v>
      </c>
      <c r="CL9" s="263">
        <v>8085.2</v>
      </c>
    </row>
    <row r="10" spans="1:90">
      <c r="A10" s="263" t="s">
        <v>69</v>
      </c>
      <c r="B10" s="263" t="s">
        <v>869</v>
      </c>
      <c r="C10" s="263">
        <v>5</v>
      </c>
      <c r="D10" s="263">
        <v>5.2</v>
      </c>
      <c r="E10" s="263">
        <v>5.3</v>
      </c>
      <c r="F10" s="263">
        <v>5</v>
      </c>
      <c r="G10" s="263">
        <v>5.2</v>
      </c>
      <c r="H10" s="263">
        <v>6.1</v>
      </c>
      <c r="I10" s="263">
        <v>6.5</v>
      </c>
      <c r="J10" s="263">
        <v>7.9</v>
      </c>
      <c r="K10" s="263">
        <v>7.5</v>
      </c>
      <c r="L10" s="263">
        <v>8.3000000000000007</v>
      </c>
      <c r="M10" s="263">
        <v>8.1999999999999993</v>
      </c>
      <c r="N10" s="263">
        <v>8.5</v>
      </c>
      <c r="O10" s="263">
        <v>10.199999999999999</v>
      </c>
      <c r="P10" s="263">
        <v>16</v>
      </c>
      <c r="Q10" s="263">
        <v>26.6</v>
      </c>
      <c r="R10" s="263">
        <v>33</v>
      </c>
      <c r="S10" s="263">
        <v>34.9</v>
      </c>
      <c r="T10" s="263">
        <v>20.7</v>
      </c>
      <c r="U10" s="263">
        <v>17.5</v>
      </c>
      <c r="V10" s="263">
        <v>19</v>
      </c>
      <c r="W10" s="263">
        <v>20.8</v>
      </c>
      <c r="X10" s="263">
        <v>22.6</v>
      </c>
      <c r="Y10" s="263">
        <v>29.2</v>
      </c>
      <c r="Z10" s="263">
        <v>33.4</v>
      </c>
      <c r="AA10" s="263">
        <v>34.299999999999997</v>
      </c>
      <c r="AB10" s="263">
        <v>34.9</v>
      </c>
      <c r="AC10" s="263">
        <v>36.6</v>
      </c>
      <c r="AD10" s="263">
        <v>38.799999999999997</v>
      </c>
      <c r="AE10" s="263">
        <v>41</v>
      </c>
      <c r="AF10" s="263">
        <v>44.1</v>
      </c>
      <c r="AG10" s="263">
        <v>46.1</v>
      </c>
      <c r="AH10" s="263">
        <v>49.2</v>
      </c>
      <c r="AI10" s="263">
        <v>52.5</v>
      </c>
      <c r="AJ10" s="263">
        <v>56.3</v>
      </c>
      <c r="AK10" s="263">
        <v>60</v>
      </c>
      <c r="AL10" s="263">
        <v>64.900000000000006</v>
      </c>
      <c r="AM10" s="263">
        <v>69.900000000000006</v>
      </c>
      <c r="AN10" s="263">
        <v>78.400000000000006</v>
      </c>
      <c r="AO10" s="263">
        <v>86.5</v>
      </c>
      <c r="AP10" s="263">
        <v>96.7</v>
      </c>
      <c r="AQ10" s="263">
        <v>105.6</v>
      </c>
      <c r="AR10" s="263">
        <v>117.2</v>
      </c>
      <c r="AS10" s="263">
        <v>126.8</v>
      </c>
      <c r="AT10" s="263">
        <v>137.9</v>
      </c>
      <c r="AU10" s="263">
        <v>148.80000000000001</v>
      </c>
      <c r="AV10" s="263">
        <v>160.5</v>
      </c>
      <c r="AW10" s="263">
        <v>176.2</v>
      </c>
      <c r="AX10" s="263">
        <v>188.9</v>
      </c>
      <c r="AY10" s="263">
        <v>202.6</v>
      </c>
      <c r="AZ10" s="263">
        <v>220</v>
      </c>
      <c r="BA10" s="263">
        <v>237.1</v>
      </c>
      <c r="BB10" s="263">
        <v>261.5</v>
      </c>
      <c r="BC10" s="263">
        <v>285.8</v>
      </c>
      <c r="BD10" s="263">
        <v>307.5</v>
      </c>
      <c r="BE10" s="263">
        <v>324.8</v>
      </c>
      <c r="BF10" s="263">
        <v>348.1</v>
      </c>
      <c r="BG10" s="263">
        <v>373.9</v>
      </c>
      <c r="BH10" s="263">
        <v>397.2</v>
      </c>
      <c r="BI10" s="263">
        <v>423.1</v>
      </c>
      <c r="BJ10" s="263">
        <v>452</v>
      </c>
      <c r="BK10" s="263">
        <v>481.1</v>
      </c>
      <c r="BL10" s="263">
        <v>519</v>
      </c>
      <c r="BM10" s="263">
        <v>548.79999999999995</v>
      </c>
      <c r="BN10" s="263">
        <v>572</v>
      </c>
      <c r="BO10" s="263">
        <v>589</v>
      </c>
      <c r="BP10" s="263">
        <v>609.5</v>
      </c>
      <c r="BQ10" s="263">
        <v>629</v>
      </c>
      <c r="BR10" s="263">
        <v>648.1</v>
      </c>
      <c r="BS10" s="263">
        <v>671.9</v>
      </c>
      <c r="BT10" s="263">
        <v>701.3</v>
      </c>
      <c r="BU10" s="263">
        <v>733.8</v>
      </c>
      <c r="BV10" s="263">
        <v>779.8</v>
      </c>
      <c r="BW10" s="263">
        <v>822</v>
      </c>
      <c r="BX10" s="263">
        <v>873.2</v>
      </c>
      <c r="BY10" s="263">
        <v>913.3</v>
      </c>
      <c r="BZ10" s="263">
        <v>952.7</v>
      </c>
      <c r="CA10" s="263">
        <v>991.5</v>
      </c>
      <c r="CB10" s="263">
        <v>1035</v>
      </c>
      <c r="CC10" s="263">
        <v>1088.8</v>
      </c>
      <c r="CD10" s="263">
        <v>1144.0999999999999</v>
      </c>
      <c r="CE10" s="263">
        <v>1175.0999999999999</v>
      </c>
      <c r="CF10" s="263">
        <v>1191.0999999999999</v>
      </c>
      <c r="CG10" s="263">
        <v>1194.8</v>
      </c>
      <c r="CH10" s="263">
        <v>1198.2</v>
      </c>
      <c r="CI10" s="263">
        <v>1208</v>
      </c>
      <c r="CJ10" s="263">
        <v>1236.9000000000001</v>
      </c>
      <c r="CK10" s="263">
        <v>1275.5999999999999</v>
      </c>
      <c r="CL10" s="263">
        <v>1307.5</v>
      </c>
    </row>
    <row r="11" spans="1:90">
      <c r="A11" s="263" t="s">
        <v>68</v>
      </c>
      <c r="B11" s="263" t="s">
        <v>870</v>
      </c>
      <c r="C11" s="263">
        <v>45.5</v>
      </c>
      <c r="D11" s="263">
        <v>41</v>
      </c>
      <c r="E11" s="263">
        <v>33.9</v>
      </c>
      <c r="F11" s="263">
        <v>25.5</v>
      </c>
      <c r="G11" s="263">
        <v>23.9</v>
      </c>
      <c r="H11" s="263">
        <v>27.6</v>
      </c>
      <c r="I11" s="263">
        <v>30.2</v>
      </c>
      <c r="J11" s="263">
        <v>34.1</v>
      </c>
      <c r="K11" s="263">
        <v>38.6</v>
      </c>
      <c r="L11" s="263">
        <v>34.799999999999997</v>
      </c>
      <c r="M11" s="263">
        <v>37.700000000000003</v>
      </c>
      <c r="N11" s="263">
        <v>41.4</v>
      </c>
      <c r="O11" s="263">
        <v>51.9</v>
      </c>
      <c r="P11" s="263">
        <v>66.099999999999994</v>
      </c>
      <c r="Q11" s="263">
        <v>79.2</v>
      </c>
      <c r="R11" s="263">
        <v>83.8</v>
      </c>
      <c r="S11" s="263">
        <v>82.6</v>
      </c>
      <c r="T11" s="263">
        <v>91.3</v>
      </c>
      <c r="U11" s="263">
        <v>105.6</v>
      </c>
      <c r="V11" s="263">
        <v>116.5</v>
      </c>
      <c r="W11" s="263">
        <v>113.9</v>
      </c>
      <c r="X11" s="263">
        <v>124.6</v>
      </c>
      <c r="Y11" s="263">
        <v>142.4</v>
      </c>
      <c r="Z11" s="263">
        <v>152.30000000000001</v>
      </c>
      <c r="AA11" s="263">
        <v>164.7</v>
      </c>
      <c r="AB11" s="263">
        <v>162.4</v>
      </c>
      <c r="AC11" s="263">
        <v>175.6</v>
      </c>
      <c r="AD11" s="263">
        <v>190.2</v>
      </c>
      <c r="AE11" s="263">
        <v>198.9</v>
      </c>
      <c r="AF11" s="263">
        <v>197.2</v>
      </c>
      <c r="AG11" s="263">
        <v>213.8</v>
      </c>
      <c r="AH11" s="263">
        <v>223.7</v>
      </c>
      <c r="AI11" s="263">
        <v>228</v>
      </c>
      <c r="AJ11" s="263">
        <v>243</v>
      </c>
      <c r="AK11" s="263">
        <v>254.8</v>
      </c>
      <c r="AL11" s="263">
        <v>272.89999999999998</v>
      </c>
      <c r="AM11" s="263">
        <v>293.8</v>
      </c>
      <c r="AN11" s="263">
        <v>321.89999999999998</v>
      </c>
      <c r="AO11" s="263">
        <v>342.5</v>
      </c>
      <c r="AP11" s="263">
        <v>375.3</v>
      </c>
      <c r="AQ11" s="263">
        <v>412.7</v>
      </c>
      <c r="AR11" s="263">
        <v>434.3</v>
      </c>
      <c r="AS11" s="263">
        <v>457.8</v>
      </c>
      <c r="AT11" s="263">
        <v>500.9</v>
      </c>
      <c r="AU11" s="263">
        <v>560</v>
      </c>
      <c r="AV11" s="263">
        <v>611.79999999999995</v>
      </c>
      <c r="AW11" s="263">
        <v>638.6</v>
      </c>
      <c r="AX11" s="263">
        <v>710.8</v>
      </c>
      <c r="AY11" s="263">
        <v>791.6</v>
      </c>
      <c r="AZ11" s="263">
        <v>900.6</v>
      </c>
      <c r="BA11" s="263">
        <v>1016.2</v>
      </c>
      <c r="BB11" s="263">
        <v>1112</v>
      </c>
      <c r="BC11" s="263">
        <v>1225.5</v>
      </c>
      <c r="BD11" s="263">
        <v>1280</v>
      </c>
      <c r="BE11" s="263">
        <v>1352.7</v>
      </c>
      <c r="BF11" s="263">
        <v>1496.8</v>
      </c>
      <c r="BG11" s="263">
        <v>1608.7</v>
      </c>
      <c r="BH11" s="263">
        <v>1705.1</v>
      </c>
      <c r="BI11" s="263">
        <v>1833.2</v>
      </c>
      <c r="BJ11" s="263">
        <v>1987.7</v>
      </c>
      <c r="BK11" s="263">
        <v>2101.9</v>
      </c>
      <c r="BL11" s="263">
        <v>2222.1999999999998</v>
      </c>
      <c r="BM11" s="263">
        <v>2265.6999999999998</v>
      </c>
      <c r="BN11" s="263">
        <v>2393.5</v>
      </c>
      <c r="BO11" s="263">
        <v>2490.3000000000002</v>
      </c>
      <c r="BP11" s="263">
        <v>2627.1</v>
      </c>
      <c r="BQ11" s="263">
        <v>2789</v>
      </c>
      <c r="BR11" s="263">
        <v>2968.4</v>
      </c>
      <c r="BS11" s="263">
        <v>3205</v>
      </c>
      <c r="BT11" s="263">
        <v>3480.3</v>
      </c>
      <c r="BU11" s="263">
        <v>3724.2</v>
      </c>
      <c r="BV11" s="263">
        <v>4046.1</v>
      </c>
      <c r="BW11" s="263">
        <v>4132.3999999999996</v>
      </c>
      <c r="BX11" s="263">
        <v>4123.3</v>
      </c>
      <c r="BY11" s="263">
        <v>4224.5</v>
      </c>
      <c r="BZ11" s="263">
        <v>4469.3</v>
      </c>
      <c r="CA11" s="263">
        <v>4700.3999999999996</v>
      </c>
      <c r="CB11" s="263">
        <v>5022.3999999999996</v>
      </c>
      <c r="CC11" s="263">
        <v>5306.3</v>
      </c>
      <c r="CD11" s="263">
        <v>5387.8</v>
      </c>
      <c r="CE11" s="263">
        <v>5076.3</v>
      </c>
      <c r="CF11" s="263">
        <v>5186.3999999999996</v>
      </c>
      <c r="CG11" s="263">
        <v>5438.4</v>
      </c>
      <c r="CH11" s="263">
        <v>5732</v>
      </c>
      <c r="CI11" s="263">
        <v>5908.7</v>
      </c>
      <c r="CJ11" s="263">
        <v>6239.9</v>
      </c>
      <c r="CK11" s="263">
        <v>6583.3</v>
      </c>
      <c r="CL11" s="263">
        <v>6777.8</v>
      </c>
    </row>
    <row r="12" spans="1:90">
      <c r="A12" s="263" t="s">
        <v>66</v>
      </c>
      <c r="B12" s="263" t="s">
        <v>537</v>
      </c>
      <c r="C12" s="263">
        <v>1</v>
      </c>
      <c r="D12" s="263">
        <v>1</v>
      </c>
      <c r="E12" s="263">
        <v>1</v>
      </c>
      <c r="F12" s="263">
        <v>0.9</v>
      </c>
      <c r="G12" s="263">
        <v>0.8</v>
      </c>
      <c r="H12" s="263">
        <v>0.9</v>
      </c>
      <c r="I12" s="263">
        <v>1</v>
      </c>
      <c r="J12" s="263">
        <v>1.4</v>
      </c>
      <c r="K12" s="263">
        <v>2.2000000000000002</v>
      </c>
      <c r="L12" s="263">
        <v>2.5</v>
      </c>
      <c r="M12" s="263">
        <v>2.6</v>
      </c>
      <c r="N12" s="263">
        <v>2.9</v>
      </c>
      <c r="O12" s="263">
        <v>4.2</v>
      </c>
      <c r="P12" s="263">
        <v>6</v>
      </c>
      <c r="Q12" s="263">
        <v>7</v>
      </c>
      <c r="R12" s="263">
        <v>7.7</v>
      </c>
      <c r="S12" s="263">
        <v>8.9</v>
      </c>
      <c r="T12" s="263">
        <v>10.6</v>
      </c>
      <c r="U12" s="263">
        <v>9.4</v>
      </c>
      <c r="V12" s="263">
        <v>8.9</v>
      </c>
      <c r="W12" s="263">
        <v>9.8000000000000007</v>
      </c>
      <c r="X12" s="263">
        <v>11.2</v>
      </c>
      <c r="Y12" s="263">
        <v>14.3</v>
      </c>
      <c r="Z12" s="263">
        <v>15.7</v>
      </c>
      <c r="AA12" s="263">
        <v>16.5</v>
      </c>
      <c r="AB12" s="263">
        <v>17.2</v>
      </c>
      <c r="AC12" s="263">
        <v>18.7</v>
      </c>
      <c r="AD12" s="263">
        <v>20.6</v>
      </c>
      <c r="AE12" s="263">
        <v>23</v>
      </c>
      <c r="AF12" s="263">
        <v>23.8</v>
      </c>
      <c r="AG12" s="263">
        <v>26.5</v>
      </c>
      <c r="AH12" s="263">
        <v>29</v>
      </c>
      <c r="AI12" s="263">
        <v>30.6</v>
      </c>
      <c r="AJ12" s="263">
        <v>33.6</v>
      </c>
      <c r="AK12" s="263">
        <v>36.299999999999997</v>
      </c>
      <c r="AL12" s="263">
        <v>39</v>
      </c>
      <c r="AM12" s="263">
        <v>42.6</v>
      </c>
      <c r="AN12" s="263">
        <v>50</v>
      </c>
      <c r="AO12" s="263">
        <v>53.9</v>
      </c>
      <c r="AP12" s="263">
        <v>60.1</v>
      </c>
      <c r="AQ12" s="263">
        <v>67.7</v>
      </c>
      <c r="AR12" s="263">
        <v>73.599999999999994</v>
      </c>
      <c r="AS12" s="263">
        <v>82.5</v>
      </c>
      <c r="AT12" s="263">
        <v>94.9</v>
      </c>
      <c r="AU12" s="263">
        <v>106.3</v>
      </c>
      <c r="AV12" s="263">
        <v>118</v>
      </c>
      <c r="AW12" s="263">
        <v>135.30000000000001</v>
      </c>
      <c r="AX12" s="263">
        <v>151.5</v>
      </c>
      <c r="AY12" s="263">
        <v>174.8</v>
      </c>
      <c r="AZ12" s="263">
        <v>199.7</v>
      </c>
      <c r="BA12" s="263">
        <v>227.7</v>
      </c>
      <c r="BB12" s="263">
        <v>252.8</v>
      </c>
      <c r="BC12" s="263">
        <v>283.89999999999998</v>
      </c>
      <c r="BD12" s="263">
        <v>306.8</v>
      </c>
      <c r="BE12" s="263">
        <v>336.4</v>
      </c>
      <c r="BF12" s="263">
        <v>372.5</v>
      </c>
      <c r="BG12" s="263">
        <v>406.4</v>
      </c>
      <c r="BH12" s="263">
        <v>441.5</v>
      </c>
      <c r="BI12" s="263">
        <v>468</v>
      </c>
      <c r="BJ12" s="263">
        <v>510.3</v>
      </c>
      <c r="BK12" s="263">
        <v>559.5</v>
      </c>
      <c r="BL12" s="263">
        <v>601.5</v>
      </c>
      <c r="BM12" s="263">
        <v>637.5</v>
      </c>
      <c r="BN12" s="263">
        <v>705.6</v>
      </c>
      <c r="BO12" s="263">
        <v>741.3</v>
      </c>
      <c r="BP12" s="263">
        <v>773.5</v>
      </c>
      <c r="BQ12" s="263">
        <v>784.6</v>
      </c>
      <c r="BR12" s="263">
        <v>805.6</v>
      </c>
      <c r="BS12" s="263">
        <v>837.8</v>
      </c>
      <c r="BT12" s="263">
        <v>896.2</v>
      </c>
      <c r="BU12" s="263">
        <v>952.3</v>
      </c>
      <c r="BV12" s="263">
        <v>1030.7</v>
      </c>
      <c r="BW12" s="263">
        <v>1092.0999999999999</v>
      </c>
      <c r="BX12" s="263">
        <v>1145.5</v>
      </c>
      <c r="BY12" s="263">
        <v>1226.5999999999999</v>
      </c>
      <c r="BZ12" s="263">
        <v>1317.6</v>
      </c>
      <c r="CA12" s="263">
        <v>1394.8</v>
      </c>
      <c r="CB12" s="263">
        <v>1444.9</v>
      </c>
      <c r="CC12" s="263">
        <v>1503.1</v>
      </c>
      <c r="CD12" s="263">
        <v>1546.4</v>
      </c>
      <c r="CE12" s="263">
        <v>1535.6</v>
      </c>
      <c r="CF12" s="263">
        <v>1583.9</v>
      </c>
      <c r="CG12" s="263">
        <v>1635.9</v>
      </c>
      <c r="CH12" s="263">
        <v>1679.6</v>
      </c>
      <c r="CI12" s="263">
        <v>1725.8</v>
      </c>
      <c r="CJ12" s="263">
        <v>1779.7</v>
      </c>
      <c r="CK12" s="263">
        <v>1849.4</v>
      </c>
      <c r="CL12" s="263">
        <v>1893.4</v>
      </c>
    </row>
    <row r="13" spans="1:90">
      <c r="A13" s="263" t="s">
        <v>65</v>
      </c>
      <c r="B13" s="263" t="s">
        <v>871</v>
      </c>
      <c r="C13" s="263">
        <v>1</v>
      </c>
      <c r="D13" s="263">
        <v>1</v>
      </c>
      <c r="E13" s="263">
        <v>1</v>
      </c>
      <c r="F13" s="263">
        <v>0.9</v>
      </c>
      <c r="G13" s="263">
        <v>0.8</v>
      </c>
      <c r="H13" s="263">
        <v>0.8</v>
      </c>
      <c r="I13" s="263">
        <v>1</v>
      </c>
      <c r="J13" s="263">
        <v>1.1000000000000001</v>
      </c>
      <c r="K13" s="263">
        <v>1.2</v>
      </c>
      <c r="L13" s="263">
        <v>1.3</v>
      </c>
      <c r="M13" s="263">
        <v>1.3</v>
      </c>
      <c r="N13" s="263">
        <v>1.6</v>
      </c>
      <c r="O13" s="263">
        <v>2.4</v>
      </c>
      <c r="P13" s="263">
        <v>4</v>
      </c>
      <c r="Q13" s="263">
        <v>4.7</v>
      </c>
      <c r="R13" s="263">
        <v>5.0999999999999996</v>
      </c>
      <c r="S13" s="263">
        <v>5.4</v>
      </c>
      <c r="T13" s="263">
        <v>5.5</v>
      </c>
      <c r="U13" s="263">
        <v>5.5</v>
      </c>
      <c r="V13" s="263">
        <v>5.9</v>
      </c>
      <c r="W13" s="263">
        <v>6.4</v>
      </c>
      <c r="X13" s="263">
        <v>7.8</v>
      </c>
      <c r="Y13" s="263">
        <v>10.199999999999999</v>
      </c>
      <c r="Z13" s="263">
        <v>11.6</v>
      </c>
      <c r="AA13" s="263">
        <v>12.3</v>
      </c>
      <c r="AB13" s="263">
        <v>12.6</v>
      </c>
      <c r="AC13" s="263">
        <v>13.6</v>
      </c>
      <c r="AD13" s="263">
        <v>14.9</v>
      </c>
      <c r="AE13" s="263">
        <v>16.7</v>
      </c>
      <c r="AF13" s="263">
        <v>17.5</v>
      </c>
      <c r="AG13" s="263">
        <v>18.600000000000001</v>
      </c>
      <c r="AH13" s="263">
        <v>19.7</v>
      </c>
      <c r="AI13" s="263">
        <v>21</v>
      </c>
      <c r="AJ13" s="263">
        <v>22.4</v>
      </c>
      <c r="AK13" s="263">
        <v>23.9</v>
      </c>
      <c r="AL13" s="263">
        <v>26.4</v>
      </c>
      <c r="AM13" s="263">
        <v>29.5</v>
      </c>
      <c r="AN13" s="263">
        <v>33.1</v>
      </c>
      <c r="AO13" s="263">
        <v>35.9</v>
      </c>
      <c r="AP13" s="263">
        <v>40.200000000000003</v>
      </c>
      <c r="AQ13" s="263">
        <v>44.9</v>
      </c>
      <c r="AR13" s="263">
        <v>49.7</v>
      </c>
      <c r="AS13" s="263">
        <v>56</v>
      </c>
      <c r="AT13" s="263">
        <v>63.7</v>
      </c>
      <c r="AU13" s="263">
        <v>66.5</v>
      </c>
      <c r="AV13" s="263">
        <v>73.3</v>
      </c>
      <c r="AW13" s="263">
        <v>88.6</v>
      </c>
      <c r="AX13" s="263">
        <v>97.1</v>
      </c>
      <c r="AY13" s="263">
        <v>113.7</v>
      </c>
      <c r="AZ13" s="263">
        <v>128.1</v>
      </c>
      <c r="BA13" s="263">
        <v>145.1</v>
      </c>
      <c r="BB13" s="263">
        <v>163.9</v>
      </c>
      <c r="BC13" s="263">
        <v>180.3</v>
      </c>
      <c r="BD13" s="263">
        <v>197</v>
      </c>
      <c r="BE13" s="263">
        <v>216.5</v>
      </c>
      <c r="BF13" s="263">
        <v>233.5</v>
      </c>
      <c r="BG13" s="263">
        <v>258.7</v>
      </c>
      <c r="BH13" s="263">
        <v>283.60000000000002</v>
      </c>
      <c r="BI13" s="263">
        <v>301.8</v>
      </c>
      <c r="BJ13" s="263">
        <v>325.60000000000002</v>
      </c>
      <c r="BK13" s="263">
        <v>365.8</v>
      </c>
      <c r="BL13" s="263">
        <v>395</v>
      </c>
      <c r="BM13" s="263">
        <v>422.4</v>
      </c>
      <c r="BN13" s="263">
        <v>477.2</v>
      </c>
      <c r="BO13" s="263">
        <v>501.7</v>
      </c>
      <c r="BP13" s="263">
        <v>519.4</v>
      </c>
      <c r="BQ13" s="263">
        <v>520.5</v>
      </c>
      <c r="BR13" s="263">
        <v>530.79999999999995</v>
      </c>
      <c r="BS13" s="263">
        <v>548.29999999999995</v>
      </c>
      <c r="BT13" s="263">
        <v>589</v>
      </c>
      <c r="BU13" s="263">
        <v>629</v>
      </c>
      <c r="BV13" s="263">
        <v>685.5</v>
      </c>
      <c r="BW13" s="263">
        <v>734.1</v>
      </c>
      <c r="BX13" s="263">
        <v>779.5</v>
      </c>
      <c r="BY13" s="263">
        <v>844.1</v>
      </c>
      <c r="BZ13" s="263">
        <v>908.9</v>
      </c>
      <c r="CA13" s="263">
        <v>966.8</v>
      </c>
      <c r="CB13" s="263">
        <v>997.6</v>
      </c>
      <c r="CC13" s="263">
        <v>1041.4000000000001</v>
      </c>
      <c r="CD13" s="263">
        <v>1075.0999999999999</v>
      </c>
      <c r="CE13" s="263">
        <v>1077.5</v>
      </c>
      <c r="CF13" s="263">
        <v>1114.5999999999999</v>
      </c>
      <c r="CG13" s="263">
        <v>1142</v>
      </c>
      <c r="CH13" s="263">
        <v>1165.3</v>
      </c>
      <c r="CI13" s="263">
        <v>1199</v>
      </c>
      <c r="CJ13" s="263">
        <v>1231.7</v>
      </c>
      <c r="CK13" s="263">
        <v>1278</v>
      </c>
      <c r="CL13" s="263">
        <v>1309.8</v>
      </c>
    </row>
    <row r="14" spans="1:90">
      <c r="A14" s="263" t="s">
        <v>64</v>
      </c>
      <c r="B14" s="263" t="s">
        <v>872</v>
      </c>
      <c r="C14" s="263">
        <v>0</v>
      </c>
      <c r="D14" s="263">
        <v>0</v>
      </c>
      <c r="E14" s="263">
        <v>0</v>
      </c>
      <c r="F14" s="263">
        <v>0</v>
      </c>
      <c r="G14" s="263">
        <v>0</v>
      </c>
      <c r="H14" s="263">
        <v>0</v>
      </c>
      <c r="I14" s="263">
        <v>0</v>
      </c>
      <c r="J14" s="263">
        <v>0.2</v>
      </c>
      <c r="K14" s="263">
        <v>1</v>
      </c>
      <c r="L14" s="263">
        <v>1.2</v>
      </c>
      <c r="M14" s="263">
        <v>1.3</v>
      </c>
      <c r="N14" s="263">
        <v>1.4</v>
      </c>
      <c r="O14" s="263">
        <v>1.7</v>
      </c>
      <c r="P14" s="263">
        <v>2</v>
      </c>
      <c r="Q14" s="263">
        <v>2.2999999999999998</v>
      </c>
      <c r="R14" s="263">
        <v>2.5</v>
      </c>
      <c r="S14" s="263">
        <v>3.5</v>
      </c>
      <c r="T14" s="263">
        <v>5.0999999999999996</v>
      </c>
      <c r="U14" s="263">
        <v>3.9</v>
      </c>
      <c r="V14" s="263">
        <v>3</v>
      </c>
      <c r="W14" s="263">
        <v>3.3</v>
      </c>
      <c r="X14" s="263">
        <v>3.4</v>
      </c>
      <c r="Y14" s="263">
        <v>4.0999999999999996</v>
      </c>
      <c r="Z14" s="263">
        <v>4.0999999999999996</v>
      </c>
      <c r="AA14" s="263">
        <v>4.2</v>
      </c>
      <c r="AB14" s="263">
        <v>4.5999999999999996</v>
      </c>
      <c r="AC14" s="263">
        <v>5.2</v>
      </c>
      <c r="AD14" s="263">
        <v>5.7</v>
      </c>
      <c r="AE14" s="263">
        <v>6.4</v>
      </c>
      <c r="AF14" s="263">
        <v>6.3</v>
      </c>
      <c r="AG14" s="263">
        <v>7.9</v>
      </c>
      <c r="AH14" s="263">
        <v>9.3000000000000007</v>
      </c>
      <c r="AI14" s="263">
        <v>9.6</v>
      </c>
      <c r="AJ14" s="263">
        <v>11.2</v>
      </c>
      <c r="AK14" s="263">
        <v>12.4</v>
      </c>
      <c r="AL14" s="263">
        <v>12.6</v>
      </c>
      <c r="AM14" s="263">
        <v>13.1</v>
      </c>
      <c r="AN14" s="263">
        <v>16.8</v>
      </c>
      <c r="AO14" s="263">
        <v>18</v>
      </c>
      <c r="AP14" s="263">
        <v>20</v>
      </c>
      <c r="AQ14" s="263">
        <v>22.8</v>
      </c>
      <c r="AR14" s="263">
        <v>23.8</v>
      </c>
      <c r="AS14" s="263">
        <v>26.4</v>
      </c>
      <c r="AT14" s="263">
        <v>31.2</v>
      </c>
      <c r="AU14" s="263">
        <v>39.799999999999997</v>
      </c>
      <c r="AV14" s="263">
        <v>44.7</v>
      </c>
      <c r="AW14" s="263">
        <v>46.7</v>
      </c>
      <c r="AX14" s="263">
        <v>54.4</v>
      </c>
      <c r="AY14" s="263">
        <v>61.1</v>
      </c>
      <c r="AZ14" s="263">
        <v>71.5</v>
      </c>
      <c r="BA14" s="263">
        <v>82.6</v>
      </c>
      <c r="BB14" s="263">
        <v>88.9</v>
      </c>
      <c r="BC14" s="263">
        <v>103.6</v>
      </c>
      <c r="BD14" s="263">
        <v>109.8</v>
      </c>
      <c r="BE14" s="263">
        <v>119.9</v>
      </c>
      <c r="BF14" s="263">
        <v>139</v>
      </c>
      <c r="BG14" s="263">
        <v>147.69999999999999</v>
      </c>
      <c r="BH14" s="263">
        <v>157.9</v>
      </c>
      <c r="BI14" s="263">
        <v>166.3</v>
      </c>
      <c r="BJ14" s="263">
        <v>184.6</v>
      </c>
      <c r="BK14" s="263">
        <v>193.7</v>
      </c>
      <c r="BL14" s="263">
        <v>206.5</v>
      </c>
      <c r="BM14" s="263">
        <v>215.1</v>
      </c>
      <c r="BN14" s="263">
        <v>228.4</v>
      </c>
      <c r="BO14" s="263">
        <v>239.7</v>
      </c>
      <c r="BP14" s="263">
        <v>254.1</v>
      </c>
      <c r="BQ14" s="263">
        <v>264.10000000000002</v>
      </c>
      <c r="BR14" s="263">
        <v>274.8</v>
      </c>
      <c r="BS14" s="263">
        <v>289.60000000000002</v>
      </c>
      <c r="BT14" s="263">
        <v>307.2</v>
      </c>
      <c r="BU14" s="263">
        <v>323.3</v>
      </c>
      <c r="BV14" s="263">
        <v>345.2</v>
      </c>
      <c r="BW14" s="263">
        <v>358</v>
      </c>
      <c r="BX14" s="263">
        <v>366</v>
      </c>
      <c r="BY14" s="263">
        <v>382.5</v>
      </c>
      <c r="BZ14" s="263">
        <v>408.7</v>
      </c>
      <c r="CA14" s="263">
        <v>428.1</v>
      </c>
      <c r="CB14" s="263">
        <v>447.4</v>
      </c>
      <c r="CC14" s="263">
        <v>461.7</v>
      </c>
      <c r="CD14" s="263">
        <v>471.3</v>
      </c>
      <c r="CE14" s="263">
        <v>458.1</v>
      </c>
      <c r="CF14" s="263">
        <v>469.4</v>
      </c>
      <c r="CG14" s="263">
        <v>493.9</v>
      </c>
      <c r="CH14" s="263">
        <v>514.29999999999995</v>
      </c>
      <c r="CI14" s="263">
        <v>526.79999999999995</v>
      </c>
      <c r="CJ14" s="263">
        <v>548</v>
      </c>
      <c r="CK14" s="263">
        <v>571.4</v>
      </c>
      <c r="CL14" s="263">
        <v>583.6</v>
      </c>
    </row>
    <row r="15" spans="1:90">
      <c r="A15" s="263" t="s">
        <v>63</v>
      </c>
      <c r="B15" s="269" t="s">
        <v>62</v>
      </c>
      <c r="C15" s="263">
        <v>14</v>
      </c>
      <c r="D15" s="263">
        <v>10.9</v>
      </c>
      <c r="E15" s="263">
        <v>8.3000000000000007</v>
      </c>
      <c r="F15" s="263">
        <v>5</v>
      </c>
      <c r="G15" s="263">
        <v>5.3</v>
      </c>
      <c r="H15" s="263">
        <v>7</v>
      </c>
      <c r="I15" s="263">
        <v>10.1</v>
      </c>
      <c r="J15" s="263">
        <v>10.4</v>
      </c>
      <c r="K15" s="263">
        <v>12.5</v>
      </c>
      <c r="L15" s="263">
        <v>10.6</v>
      </c>
      <c r="M15" s="263">
        <v>11.1</v>
      </c>
      <c r="N15" s="263">
        <v>12.2</v>
      </c>
      <c r="O15" s="263">
        <v>16.7</v>
      </c>
      <c r="P15" s="263">
        <v>23.3</v>
      </c>
      <c r="Q15" s="263">
        <v>28.2</v>
      </c>
      <c r="R15" s="263">
        <v>29.3</v>
      </c>
      <c r="S15" s="263">
        <v>30.8</v>
      </c>
      <c r="T15" s="263">
        <v>35.700000000000003</v>
      </c>
      <c r="U15" s="263">
        <v>34.6</v>
      </c>
      <c r="V15" s="263">
        <v>39.299999999999997</v>
      </c>
      <c r="W15" s="263">
        <v>34.700000000000003</v>
      </c>
      <c r="X15" s="263">
        <v>37.5</v>
      </c>
      <c r="Y15" s="263">
        <v>42.6</v>
      </c>
      <c r="Z15" s="263">
        <v>43</v>
      </c>
      <c r="AA15" s="263">
        <v>42</v>
      </c>
      <c r="AB15" s="263">
        <v>42.3</v>
      </c>
      <c r="AC15" s="263">
        <v>44.3</v>
      </c>
      <c r="AD15" s="263">
        <v>45.8</v>
      </c>
      <c r="AE15" s="263">
        <v>47.8</v>
      </c>
      <c r="AF15" s="263">
        <v>50.2</v>
      </c>
      <c r="AG15" s="263">
        <v>50.3</v>
      </c>
      <c r="AH15" s="263">
        <v>50.6</v>
      </c>
      <c r="AI15" s="263">
        <v>53.2</v>
      </c>
      <c r="AJ15" s="263">
        <v>55.2</v>
      </c>
      <c r="AK15" s="263">
        <v>56.4</v>
      </c>
      <c r="AL15" s="263">
        <v>59.1</v>
      </c>
      <c r="AM15" s="263">
        <v>63.7</v>
      </c>
      <c r="AN15" s="263">
        <v>67.900000000000006</v>
      </c>
      <c r="AO15" s="263">
        <v>69.5</v>
      </c>
      <c r="AP15" s="263">
        <v>73.8</v>
      </c>
      <c r="AQ15" s="263">
        <v>77</v>
      </c>
      <c r="AR15" s="263">
        <v>77.8</v>
      </c>
      <c r="AS15" s="263">
        <v>83.9</v>
      </c>
      <c r="AT15" s="263">
        <v>95.1</v>
      </c>
      <c r="AU15" s="263">
        <v>112.5</v>
      </c>
      <c r="AV15" s="263">
        <v>112.2</v>
      </c>
      <c r="AW15" s="263">
        <v>118.2</v>
      </c>
      <c r="AX15" s="263">
        <v>131</v>
      </c>
      <c r="AY15" s="263">
        <v>144.5</v>
      </c>
      <c r="AZ15" s="263">
        <v>166</v>
      </c>
      <c r="BA15" s="263">
        <v>179.4</v>
      </c>
      <c r="BB15" s="263">
        <v>171.6</v>
      </c>
      <c r="BC15" s="263">
        <v>179.7</v>
      </c>
      <c r="BD15" s="263">
        <v>171.2</v>
      </c>
      <c r="BE15" s="263">
        <v>186.3</v>
      </c>
      <c r="BF15" s="263">
        <v>228.2</v>
      </c>
      <c r="BG15" s="263">
        <v>241.1</v>
      </c>
      <c r="BH15" s="263">
        <v>256.5</v>
      </c>
      <c r="BI15" s="263">
        <v>286.5</v>
      </c>
      <c r="BJ15" s="263">
        <v>325.8</v>
      </c>
      <c r="BK15" s="263">
        <v>341.9</v>
      </c>
      <c r="BL15" s="263">
        <v>354.4</v>
      </c>
      <c r="BM15" s="263">
        <v>356</v>
      </c>
      <c r="BN15" s="263">
        <v>402.4</v>
      </c>
      <c r="BO15" s="263">
        <v>430.5</v>
      </c>
      <c r="BP15" s="263">
        <v>459.5</v>
      </c>
      <c r="BQ15" s="263">
        <v>484.5</v>
      </c>
      <c r="BR15" s="263">
        <v>547.4</v>
      </c>
      <c r="BS15" s="263">
        <v>587.9</v>
      </c>
      <c r="BT15" s="263">
        <v>644.20000000000005</v>
      </c>
      <c r="BU15" s="263">
        <v>700.4</v>
      </c>
      <c r="BV15" s="263">
        <v>757.8</v>
      </c>
      <c r="BW15" s="263">
        <v>836.8</v>
      </c>
      <c r="BX15" s="263">
        <v>871</v>
      </c>
      <c r="BY15" s="263">
        <v>900.1</v>
      </c>
      <c r="BZ15" s="263">
        <v>962.1</v>
      </c>
      <c r="CA15" s="263">
        <v>979</v>
      </c>
      <c r="CB15" s="263">
        <v>1053.7</v>
      </c>
      <c r="CC15" s="263">
        <v>979.2</v>
      </c>
      <c r="CD15" s="263">
        <v>1026.5</v>
      </c>
      <c r="CE15" s="263">
        <v>973</v>
      </c>
      <c r="CF15" s="263">
        <v>1032.7</v>
      </c>
      <c r="CG15" s="263">
        <v>1143.7</v>
      </c>
      <c r="CH15" s="263">
        <v>1241.4000000000001</v>
      </c>
      <c r="CI15" s="263">
        <v>1284.7</v>
      </c>
      <c r="CJ15" s="263">
        <v>1315.8</v>
      </c>
      <c r="CK15" s="263">
        <v>1318.8</v>
      </c>
      <c r="CL15" s="263">
        <v>1341.9</v>
      </c>
    </row>
    <row r="16" spans="1:90">
      <c r="A16" s="263" t="s">
        <v>61</v>
      </c>
      <c r="B16" s="263" t="s">
        <v>28</v>
      </c>
      <c r="C16" s="263">
        <v>5.7</v>
      </c>
      <c r="D16" s="263">
        <v>3.9</v>
      </c>
      <c r="E16" s="263">
        <v>3</v>
      </c>
      <c r="F16" s="263">
        <v>1.8</v>
      </c>
      <c r="G16" s="263">
        <v>2.2000000000000002</v>
      </c>
      <c r="H16" s="263">
        <v>2.6</v>
      </c>
      <c r="I16" s="263">
        <v>4.9000000000000004</v>
      </c>
      <c r="J16" s="263">
        <v>3.9</v>
      </c>
      <c r="K16" s="263">
        <v>5.6</v>
      </c>
      <c r="L16" s="263">
        <v>4</v>
      </c>
      <c r="M16" s="263">
        <v>4</v>
      </c>
      <c r="N16" s="263">
        <v>4.0999999999999996</v>
      </c>
      <c r="O16" s="263">
        <v>6</v>
      </c>
      <c r="P16" s="263">
        <v>9.6999999999999993</v>
      </c>
      <c r="Q16" s="263">
        <v>11.5</v>
      </c>
      <c r="R16" s="263">
        <v>11.4</v>
      </c>
      <c r="S16" s="263">
        <v>11.8</v>
      </c>
      <c r="T16" s="263">
        <v>14.2</v>
      </c>
      <c r="U16" s="263">
        <v>14.3</v>
      </c>
      <c r="V16" s="263">
        <v>16.7</v>
      </c>
      <c r="W16" s="263">
        <v>12</v>
      </c>
      <c r="X16" s="263">
        <v>12.9</v>
      </c>
      <c r="Y16" s="263">
        <v>15.3</v>
      </c>
      <c r="Z16" s="263">
        <v>14.3</v>
      </c>
      <c r="AA16" s="263">
        <v>12.2</v>
      </c>
      <c r="AB16" s="263">
        <v>11.7</v>
      </c>
      <c r="AC16" s="263">
        <v>10.7</v>
      </c>
      <c r="AD16" s="263">
        <v>10.6</v>
      </c>
      <c r="AE16" s="263">
        <v>10.6</v>
      </c>
      <c r="AF16" s="263">
        <v>12.4</v>
      </c>
      <c r="AG16" s="263">
        <v>10</v>
      </c>
      <c r="AH16" s="263">
        <v>10.6</v>
      </c>
      <c r="AI16" s="263">
        <v>11.2</v>
      </c>
      <c r="AJ16" s="263">
        <v>11.2</v>
      </c>
      <c r="AK16" s="263">
        <v>11</v>
      </c>
      <c r="AL16" s="263">
        <v>9.8000000000000007</v>
      </c>
      <c r="AM16" s="263">
        <v>12</v>
      </c>
      <c r="AN16" s="263">
        <v>13</v>
      </c>
      <c r="AO16" s="263">
        <v>11.6</v>
      </c>
      <c r="AP16" s="263">
        <v>11.7</v>
      </c>
      <c r="AQ16" s="263">
        <v>12.8</v>
      </c>
      <c r="AR16" s="263">
        <v>12.9</v>
      </c>
      <c r="AS16" s="263">
        <v>13.4</v>
      </c>
      <c r="AT16" s="263">
        <v>17</v>
      </c>
      <c r="AU16" s="263">
        <v>29.1</v>
      </c>
      <c r="AV16" s="263">
        <v>23.5</v>
      </c>
      <c r="AW16" s="263">
        <v>22</v>
      </c>
      <c r="AX16" s="263">
        <v>17.2</v>
      </c>
      <c r="AY16" s="263">
        <v>16</v>
      </c>
      <c r="AZ16" s="263">
        <v>19.899999999999999</v>
      </c>
      <c r="BA16" s="263">
        <v>22.2</v>
      </c>
      <c r="BB16" s="263">
        <v>11.7</v>
      </c>
      <c r="BC16" s="263">
        <v>19</v>
      </c>
      <c r="BD16" s="263">
        <v>13.3</v>
      </c>
      <c r="BE16" s="263">
        <v>6.2</v>
      </c>
      <c r="BF16" s="263">
        <v>20.9</v>
      </c>
      <c r="BG16" s="263">
        <v>21</v>
      </c>
      <c r="BH16" s="263">
        <v>22.8</v>
      </c>
      <c r="BI16" s="263">
        <v>28.9</v>
      </c>
      <c r="BJ16" s="263">
        <v>26.8</v>
      </c>
      <c r="BK16" s="263">
        <v>33</v>
      </c>
      <c r="BL16" s="263">
        <v>32.200000000000003</v>
      </c>
      <c r="BM16" s="263">
        <v>26.8</v>
      </c>
      <c r="BN16" s="263">
        <v>34.799999999999997</v>
      </c>
      <c r="BO16" s="263">
        <v>31.4</v>
      </c>
      <c r="BP16" s="263">
        <v>34.700000000000003</v>
      </c>
      <c r="BQ16" s="263">
        <v>22</v>
      </c>
      <c r="BR16" s="263">
        <v>37.299999999999997</v>
      </c>
      <c r="BS16" s="263">
        <v>32.4</v>
      </c>
      <c r="BT16" s="263">
        <v>28.4</v>
      </c>
      <c r="BU16" s="263">
        <v>28.1</v>
      </c>
      <c r="BV16" s="263">
        <v>31.5</v>
      </c>
      <c r="BW16" s="263">
        <v>32.1</v>
      </c>
      <c r="BX16" s="263">
        <v>19.899999999999999</v>
      </c>
      <c r="BY16" s="263">
        <v>38</v>
      </c>
      <c r="BZ16" s="263">
        <v>50.4</v>
      </c>
      <c r="CA16" s="263">
        <v>46.4</v>
      </c>
      <c r="CB16" s="263">
        <v>36</v>
      </c>
      <c r="CC16" s="263">
        <v>38.1</v>
      </c>
      <c r="CD16" s="263">
        <v>47</v>
      </c>
      <c r="CE16" s="263">
        <v>35.5</v>
      </c>
      <c r="CF16" s="263">
        <v>46</v>
      </c>
      <c r="CG16" s="263">
        <v>75.5</v>
      </c>
      <c r="CH16" s="263">
        <v>61.6</v>
      </c>
      <c r="CI16" s="263">
        <v>87.8</v>
      </c>
      <c r="CJ16" s="263">
        <v>68.099999999999994</v>
      </c>
      <c r="CK16" s="263">
        <v>53.7</v>
      </c>
      <c r="CL16" s="263">
        <v>43.2</v>
      </c>
    </row>
    <row r="17" spans="1:90">
      <c r="A17" s="263" t="s">
        <v>60</v>
      </c>
      <c r="B17" s="263" t="s">
        <v>24</v>
      </c>
      <c r="C17" s="263">
        <v>8.4</v>
      </c>
      <c r="D17" s="263">
        <v>7</v>
      </c>
      <c r="E17" s="263">
        <v>5.3</v>
      </c>
      <c r="F17" s="263">
        <v>3.3</v>
      </c>
      <c r="G17" s="263">
        <v>3</v>
      </c>
      <c r="H17" s="263">
        <v>4.4000000000000004</v>
      </c>
      <c r="I17" s="263">
        <v>5.2</v>
      </c>
      <c r="J17" s="263">
        <v>6.4</v>
      </c>
      <c r="K17" s="263">
        <v>6.9</v>
      </c>
      <c r="L17" s="263">
        <v>6.6</v>
      </c>
      <c r="M17" s="263">
        <v>7.1</v>
      </c>
      <c r="N17" s="263">
        <v>8.1999999999999993</v>
      </c>
      <c r="O17" s="263">
        <v>10.6</v>
      </c>
      <c r="P17" s="263">
        <v>13.7</v>
      </c>
      <c r="Q17" s="263">
        <v>16.7</v>
      </c>
      <c r="R17" s="263">
        <v>17.899999999999999</v>
      </c>
      <c r="S17" s="263">
        <v>19</v>
      </c>
      <c r="T17" s="263">
        <v>21.5</v>
      </c>
      <c r="U17" s="263">
        <v>20.2</v>
      </c>
      <c r="V17" s="263">
        <v>22.6</v>
      </c>
      <c r="W17" s="263">
        <v>22.7</v>
      </c>
      <c r="X17" s="263">
        <v>24.6</v>
      </c>
      <c r="Y17" s="263">
        <v>27.3</v>
      </c>
      <c r="Z17" s="263">
        <v>28.7</v>
      </c>
      <c r="AA17" s="263">
        <v>29.8</v>
      </c>
      <c r="AB17" s="263">
        <v>30.5</v>
      </c>
      <c r="AC17" s="263">
        <v>33.6</v>
      </c>
      <c r="AD17" s="263">
        <v>35.200000000000003</v>
      </c>
      <c r="AE17" s="263">
        <v>37.200000000000003</v>
      </c>
      <c r="AF17" s="263">
        <v>37.700000000000003</v>
      </c>
      <c r="AG17" s="263">
        <v>40.299999999999997</v>
      </c>
      <c r="AH17" s="263">
        <v>39.9</v>
      </c>
      <c r="AI17" s="263">
        <v>42</v>
      </c>
      <c r="AJ17" s="263">
        <v>44</v>
      </c>
      <c r="AK17" s="263">
        <v>45.4</v>
      </c>
      <c r="AL17" s="263">
        <v>49.4</v>
      </c>
      <c r="AM17" s="263">
        <v>51.6</v>
      </c>
      <c r="AN17" s="263">
        <v>54.9</v>
      </c>
      <c r="AO17" s="263">
        <v>57.8</v>
      </c>
      <c r="AP17" s="263">
        <v>62.2</v>
      </c>
      <c r="AQ17" s="263">
        <v>64.2</v>
      </c>
      <c r="AR17" s="263">
        <v>64.900000000000006</v>
      </c>
      <c r="AS17" s="263">
        <v>70.5</v>
      </c>
      <c r="AT17" s="263">
        <v>78.099999999999994</v>
      </c>
      <c r="AU17" s="263">
        <v>83.4</v>
      </c>
      <c r="AV17" s="263">
        <v>88.7</v>
      </c>
      <c r="AW17" s="263">
        <v>96.2</v>
      </c>
      <c r="AX17" s="263">
        <v>113.8</v>
      </c>
      <c r="AY17" s="263">
        <v>128.5</v>
      </c>
      <c r="AZ17" s="263">
        <v>146.1</v>
      </c>
      <c r="BA17" s="263">
        <v>157.30000000000001</v>
      </c>
      <c r="BB17" s="263">
        <v>159.9</v>
      </c>
      <c r="BC17" s="263">
        <v>160.69999999999999</v>
      </c>
      <c r="BD17" s="263">
        <v>157.9</v>
      </c>
      <c r="BE17" s="263">
        <v>180.1</v>
      </c>
      <c r="BF17" s="263">
        <v>207.3</v>
      </c>
      <c r="BG17" s="263">
        <v>220.1</v>
      </c>
      <c r="BH17" s="263">
        <v>233.7</v>
      </c>
      <c r="BI17" s="263">
        <v>257.60000000000002</v>
      </c>
      <c r="BJ17" s="263">
        <v>299.10000000000002</v>
      </c>
      <c r="BK17" s="263">
        <v>308.89999999999998</v>
      </c>
      <c r="BL17" s="263">
        <v>322.3</v>
      </c>
      <c r="BM17" s="263">
        <v>329.2</v>
      </c>
      <c r="BN17" s="263">
        <v>367.6</v>
      </c>
      <c r="BO17" s="263">
        <v>399.2</v>
      </c>
      <c r="BP17" s="263">
        <v>424.8</v>
      </c>
      <c r="BQ17" s="263">
        <v>462.4</v>
      </c>
      <c r="BR17" s="263">
        <v>510.1</v>
      </c>
      <c r="BS17" s="263">
        <v>555.5</v>
      </c>
      <c r="BT17" s="263">
        <v>615.70000000000005</v>
      </c>
      <c r="BU17" s="263">
        <v>672.3</v>
      </c>
      <c r="BV17" s="263">
        <v>726.3</v>
      </c>
      <c r="BW17" s="263">
        <v>804.7</v>
      </c>
      <c r="BX17" s="263">
        <v>851.1</v>
      </c>
      <c r="BY17" s="263">
        <v>862</v>
      </c>
      <c r="BZ17" s="263">
        <v>911.6</v>
      </c>
      <c r="CA17" s="263">
        <v>932.6</v>
      </c>
      <c r="CB17" s="263">
        <v>1017.7</v>
      </c>
      <c r="CC17" s="263">
        <v>941.1</v>
      </c>
      <c r="CD17" s="263">
        <v>979.5</v>
      </c>
      <c r="CE17" s="263">
        <v>937.5</v>
      </c>
      <c r="CF17" s="263">
        <v>986.7</v>
      </c>
      <c r="CG17" s="263">
        <v>1068.0999999999999</v>
      </c>
      <c r="CH17" s="263">
        <v>1179.8</v>
      </c>
      <c r="CI17" s="263">
        <v>1197</v>
      </c>
      <c r="CJ17" s="263">
        <v>1247.7</v>
      </c>
      <c r="CK17" s="263">
        <v>1265.0999999999999</v>
      </c>
      <c r="CL17" s="263">
        <v>1298.7</v>
      </c>
    </row>
    <row r="18" spans="1:90">
      <c r="A18" s="263" t="s">
        <v>59</v>
      </c>
      <c r="B18" s="269" t="s">
        <v>58</v>
      </c>
      <c r="C18" s="263">
        <v>6.1</v>
      </c>
      <c r="D18" s="263">
        <v>5.4</v>
      </c>
      <c r="E18" s="263">
        <v>4.4000000000000004</v>
      </c>
      <c r="F18" s="263">
        <v>3.6</v>
      </c>
      <c r="G18" s="263">
        <v>2.9</v>
      </c>
      <c r="H18" s="263">
        <v>2.5</v>
      </c>
      <c r="I18" s="263">
        <v>2.6</v>
      </c>
      <c r="J18" s="263">
        <v>2.7</v>
      </c>
      <c r="K18" s="263">
        <v>3</v>
      </c>
      <c r="L18" s="263">
        <v>3.5</v>
      </c>
      <c r="M18" s="263">
        <v>3.7</v>
      </c>
      <c r="N18" s="263">
        <v>3.8</v>
      </c>
      <c r="O18" s="263">
        <v>4.4000000000000004</v>
      </c>
      <c r="P18" s="263">
        <v>5.5</v>
      </c>
      <c r="Q18" s="263">
        <v>6</v>
      </c>
      <c r="R18" s="263">
        <v>6.3</v>
      </c>
      <c r="S18" s="263">
        <v>6.6</v>
      </c>
      <c r="T18" s="263">
        <v>6.9</v>
      </c>
      <c r="U18" s="263">
        <v>6.9</v>
      </c>
      <c r="V18" s="263">
        <v>7.5</v>
      </c>
      <c r="W18" s="263">
        <v>7.8</v>
      </c>
      <c r="X18" s="263">
        <v>8.8000000000000007</v>
      </c>
      <c r="Y18" s="263">
        <v>9.6999999999999993</v>
      </c>
      <c r="Z18" s="263">
        <v>10.8</v>
      </c>
      <c r="AA18" s="263">
        <v>12</v>
      </c>
      <c r="AB18" s="263">
        <v>13.1</v>
      </c>
      <c r="AC18" s="263">
        <v>13.4</v>
      </c>
      <c r="AD18" s="263">
        <v>13.7</v>
      </c>
      <c r="AE18" s="263">
        <v>14.1</v>
      </c>
      <c r="AF18" s="263">
        <v>14.8</v>
      </c>
      <c r="AG18" s="263">
        <v>15.6</v>
      </c>
      <c r="AH18" s="263">
        <v>16.5</v>
      </c>
      <c r="AI18" s="263">
        <v>17.2</v>
      </c>
      <c r="AJ18" s="263">
        <v>18</v>
      </c>
      <c r="AK18" s="263">
        <v>18.7</v>
      </c>
      <c r="AL18" s="263">
        <v>18.8</v>
      </c>
      <c r="AM18" s="263">
        <v>19.3</v>
      </c>
      <c r="AN18" s="263">
        <v>19.899999999999999</v>
      </c>
      <c r="AO18" s="263">
        <v>20.3</v>
      </c>
      <c r="AP18" s="263">
        <v>20.100000000000001</v>
      </c>
      <c r="AQ18" s="263">
        <v>20.399999999999999</v>
      </c>
      <c r="AR18" s="263">
        <v>20.7</v>
      </c>
      <c r="AS18" s="263">
        <v>21.9</v>
      </c>
      <c r="AT18" s="263">
        <v>22.8</v>
      </c>
      <c r="AU18" s="263">
        <v>23.3</v>
      </c>
      <c r="AV18" s="263">
        <v>23.3</v>
      </c>
      <c r="AW18" s="263">
        <v>22.5</v>
      </c>
      <c r="AX18" s="263">
        <v>20.6</v>
      </c>
      <c r="AY18" s="263">
        <v>16.2</v>
      </c>
      <c r="AZ18" s="263">
        <v>16.899999999999999</v>
      </c>
      <c r="BA18" s="263">
        <v>16.600000000000001</v>
      </c>
      <c r="BB18" s="263">
        <v>19.7</v>
      </c>
      <c r="BC18" s="263">
        <v>25.4</v>
      </c>
      <c r="BD18" s="263">
        <v>26.1</v>
      </c>
      <c r="BE18" s="263">
        <v>27.5</v>
      </c>
      <c r="BF18" s="263">
        <v>27.9</v>
      </c>
      <c r="BG18" s="263">
        <v>29.5</v>
      </c>
      <c r="BH18" s="263">
        <v>21.9</v>
      </c>
      <c r="BI18" s="263">
        <v>20.2</v>
      </c>
      <c r="BJ18" s="263">
        <v>25.1</v>
      </c>
      <c r="BK18" s="263">
        <v>24.4</v>
      </c>
      <c r="BL18" s="263">
        <v>31.4</v>
      </c>
      <c r="BM18" s="263">
        <v>42</v>
      </c>
      <c r="BN18" s="263">
        <v>64.3</v>
      </c>
      <c r="BO18" s="263">
        <v>93.6</v>
      </c>
      <c r="BP18" s="263">
        <v>117.5</v>
      </c>
      <c r="BQ18" s="263">
        <v>129.19999999999999</v>
      </c>
      <c r="BR18" s="263">
        <v>147</v>
      </c>
      <c r="BS18" s="263">
        <v>152</v>
      </c>
      <c r="BT18" s="263">
        <v>169.9</v>
      </c>
      <c r="BU18" s="263">
        <v>183.1</v>
      </c>
      <c r="BV18" s="263">
        <v>187.7</v>
      </c>
      <c r="BW18" s="263">
        <v>207.5</v>
      </c>
      <c r="BX18" s="263">
        <v>217.3</v>
      </c>
      <c r="BY18" s="263">
        <v>238</v>
      </c>
      <c r="BZ18" s="263">
        <v>255.4</v>
      </c>
      <c r="CA18" s="263">
        <v>238.4</v>
      </c>
      <c r="CB18" s="263">
        <v>207.5</v>
      </c>
      <c r="CC18" s="263">
        <v>189.4</v>
      </c>
      <c r="CD18" s="263">
        <v>262.10000000000002</v>
      </c>
      <c r="CE18" s="263">
        <v>333.7</v>
      </c>
      <c r="CF18" s="263">
        <v>402.8</v>
      </c>
      <c r="CG18" s="263">
        <v>485.3</v>
      </c>
      <c r="CH18" s="263">
        <v>525.29999999999995</v>
      </c>
      <c r="CI18" s="263">
        <v>567.1</v>
      </c>
      <c r="CJ18" s="263">
        <v>611.70000000000005</v>
      </c>
      <c r="CK18" s="263">
        <v>662.5</v>
      </c>
      <c r="CL18" s="263">
        <v>707.3</v>
      </c>
    </row>
    <row r="19" spans="1:90">
      <c r="A19" s="263" t="s">
        <v>57</v>
      </c>
      <c r="B19" s="269" t="s">
        <v>56</v>
      </c>
      <c r="C19" s="263">
        <v>10.8</v>
      </c>
      <c r="D19" s="263">
        <v>7.5</v>
      </c>
      <c r="E19" s="263">
        <v>3</v>
      </c>
      <c r="F19" s="263">
        <v>-0.2</v>
      </c>
      <c r="G19" s="263">
        <v>-0.2</v>
      </c>
      <c r="H19" s="263">
        <v>2.5</v>
      </c>
      <c r="I19" s="263">
        <v>4</v>
      </c>
      <c r="J19" s="263">
        <v>6.2</v>
      </c>
      <c r="K19" s="263">
        <v>7.1</v>
      </c>
      <c r="L19" s="263">
        <v>5</v>
      </c>
      <c r="M19" s="263">
        <v>6.6</v>
      </c>
      <c r="N19" s="263">
        <v>9.9</v>
      </c>
      <c r="O19" s="263">
        <v>15.7</v>
      </c>
      <c r="P19" s="263">
        <v>20.8</v>
      </c>
      <c r="Q19" s="263">
        <v>24.9</v>
      </c>
      <c r="R19" s="263">
        <v>25</v>
      </c>
      <c r="S19" s="263">
        <v>20.5</v>
      </c>
      <c r="T19" s="263">
        <v>18.2</v>
      </c>
      <c r="U19" s="263">
        <v>24.2</v>
      </c>
      <c r="V19" s="263">
        <v>31.4</v>
      </c>
      <c r="W19" s="263">
        <v>29.1</v>
      </c>
      <c r="X19" s="263">
        <v>36.1</v>
      </c>
      <c r="Y19" s="263">
        <v>41.2</v>
      </c>
      <c r="Z19" s="263">
        <v>39.700000000000003</v>
      </c>
      <c r="AA19" s="263">
        <v>40.299999999999997</v>
      </c>
      <c r="AB19" s="263">
        <v>39.5</v>
      </c>
      <c r="AC19" s="263">
        <v>50.2</v>
      </c>
      <c r="AD19" s="263">
        <v>49.6</v>
      </c>
      <c r="AE19" s="263">
        <v>49.1</v>
      </c>
      <c r="AF19" s="263">
        <v>43.9</v>
      </c>
      <c r="AG19" s="263">
        <v>55.5</v>
      </c>
      <c r="AH19" s="263">
        <v>54.7</v>
      </c>
      <c r="AI19" s="263">
        <v>55.9</v>
      </c>
      <c r="AJ19" s="263">
        <v>64</v>
      </c>
      <c r="AK19" s="263">
        <v>70.5</v>
      </c>
      <c r="AL19" s="263">
        <v>77.7</v>
      </c>
      <c r="AM19" s="263">
        <v>89.3</v>
      </c>
      <c r="AN19" s="263">
        <v>96.1</v>
      </c>
      <c r="AO19" s="263">
        <v>93.9</v>
      </c>
      <c r="AP19" s="263">
        <v>101.7</v>
      </c>
      <c r="AQ19" s="263">
        <v>98.4</v>
      </c>
      <c r="AR19" s="263">
        <v>86.2</v>
      </c>
      <c r="AS19" s="263">
        <v>100.6</v>
      </c>
      <c r="AT19" s="263">
        <v>117.2</v>
      </c>
      <c r="AU19" s="263">
        <v>133.4</v>
      </c>
      <c r="AV19" s="263">
        <v>125.7</v>
      </c>
      <c r="AW19" s="263">
        <v>138.9</v>
      </c>
      <c r="AX19" s="263">
        <v>174.3</v>
      </c>
      <c r="AY19" s="263">
        <v>205.8</v>
      </c>
      <c r="AZ19" s="263">
        <v>238.6</v>
      </c>
      <c r="BA19" s="263">
        <v>249</v>
      </c>
      <c r="BB19" s="263">
        <v>223.6</v>
      </c>
      <c r="BC19" s="263">
        <v>247.5</v>
      </c>
      <c r="BD19" s="263">
        <v>229.9</v>
      </c>
      <c r="BE19" s="263">
        <v>279.8</v>
      </c>
      <c r="BF19" s="263">
        <v>337.9</v>
      </c>
      <c r="BG19" s="263">
        <v>354.5</v>
      </c>
      <c r="BH19" s="263">
        <v>324.39999999999998</v>
      </c>
      <c r="BI19" s="263">
        <v>366</v>
      </c>
      <c r="BJ19" s="263">
        <v>414.9</v>
      </c>
      <c r="BK19" s="263">
        <v>414.2</v>
      </c>
      <c r="BL19" s="263">
        <v>417.2</v>
      </c>
      <c r="BM19" s="263">
        <v>451.3</v>
      </c>
      <c r="BN19" s="263">
        <v>475.3</v>
      </c>
      <c r="BO19" s="263">
        <v>522</v>
      </c>
      <c r="BP19" s="263">
        <v>621.9</v>
      </c>
      <c r="BQ19" s="263">
        <v>703</v>
      </c>
      <c r="BR19" s="263">
        <v>786.1</v>
      </c>
      <c r="BS19" s="263">
        <v>865.8</v>
      </c>
      <c r="BT19" s="263">
        <v>804.1</v>
      </c>
      <c r="BU19" s="263">
        <v>830.2</v>
      </c>
      <c r="BV19" s="263">
        <v>781.2</v>
      </c>
      <c r="BW19" s="263">
        <v>754</v>
      </c>
      <c r="BX19" s="263">
        <v>907.2</v>
      </c>
      <c r="BY19" s="263">
        <v>1056.4000000000001</v>
      </c>
      <c r="BZ19" s="263">
        <v>1283.3</v>
      </c>
      <c r="CA19" s="263">
        <v>1477.7</v>
      </c>
      <c r="CB19" s="263">
        <v>1646.5</v>
      </c>
      <c r="CC19" s="263">
        <v>1529</v>
      </c>
      <c r="CD19" s="263">
        <v>1285.0999999999999</v>
      </c>
      <c r="CE19" s="263">
        <v>1397</v>
      </c>
      <c r="CF19" s="263">
        <v>1746.4</v>
      </c>
      <c r="CG19" s="263">
        <v>1816.6</v>
      </c>
      <c r="CH19" s="263">
        <v>1998.2</v>
      </c>
      <c r="CI19" s="263">
        <v>2032.9</v>
      </c>
      <c r="CJ19" s="263">
        <v>2140.6</v>
      </c>
      <c r="CK19" s="263">
        <v>2117.5</v>
      </c>
      <c r="CL19" s="263">
        <v>2073.5</v>
      </c>
    </row>
    <row r="20" spans="1:90">
      <c r="A20" s="263" t="s">
        <v>55</v>
      </c>
      <c r="B20" s="263" t="s">
        <v>873</v>
      </c>
      <c r="C20" s="263">
        <v>1.4</v>
      </c>
      <c r="D20" s="263">
        <v>0.8</v>
      </c>
      <c r="E20" s="263">
        <v>0.5</v>
      </c>
      <c r="F20" s="263">
        <v>0.4</v>
      </c>
      <c r="G20" s="263">
        <v>0.5</v>
      </c>
      <c r="H20" s="263">
        <v>0.7</v>
      </c>
      <c r="I20" s="263">
        <v>1</v>
      </c>
      <c r="J20" s="263">
        <v>1.4</v>
      </c>
      <c r="K20" s="263">
        <v>1.5</v>
      </c>
      <c r="L20" s="263">
        <v>1</v>
      </c>
      <c r="M20" s="263">
        <v>1.4</v>
      </c>
      <c r="N20" s="263">
        <v>2.8</v>
      </c>
      <c r="O20" s="263">
        <v>7.6</v>
      </c>
      <c r="P20" s="263">
        <v>11.4</v>
      </c>
      <c r="Q20" s="263">
        <v>14.1</v>
      </c>
      <c r="R20" s="263">
        <v>12.9</v>
      </c>
      <c r="S20" s="263">
        <v>10.7</v>
      </c>
      <c r="T20" s="263">
        <v>9.1</v>
      </c>
      <c r="U20" s="263">
        <v>11.3</v>
      </c>
      <c r="V20" s="263">
        <v>12.4</v>
      </c>
      <c r="W20" s="263">
        <v>10.199999999999999</v>
      </c>
      <c r="X20" s="263">
        <v>17.899999999999999</v>
      </c>
      <c r="Y20" s="263">
        <v>22.6</v>
      </c>
      <c r="Z20" s="263">
        <v>19.399999999999999</v>
      </c>
      <c r="AA20" s="263">
        <v>20.3</v>
      </c>
      <c r="AB20" s="263">
        <v>17.600000000000001</v>
      </c>
      <c r="AC20" s="263">
        <v>22</v>
      </c>
      <c r="AD20" s="263">
        <v>22</v>
      </c>
      <c r="AE20" s="263">
        <v>21.4</v>
      </c>
      <c r="AF20" s="263">
        <v>19</v>
      </c>
      <c r="AG20" s="263">
        <v>23.7</v>
      </c>
      <c r="AH20" s="263">
        <v>22.8</v>
      </c>
      <c r="AI20" s="263">
        <v>22.9</v>
      </c>
      <c r="AJ20" s="263">
        <v>24.1</v>
      </c>
      <c r="AK20" s="263">
        <v>26.4</v>
      </c>
      <c r="AL20" s="263">
        <v>28.2</v>
      </c>
      <c r="AM20" s="263">
        <v>31.1</v>
      </c>
      <c r="AN20" s="263">
        <v>33.9</v>
      </c>
      <c r="AO20" s="263">
        <v>32.9</v>
      </c>
      <c r="AP20" s="263">
        <v>39.6</v>
      </c>
      <c r="AQ20" s="263">
        <v>40</v>
      </c>
      <c r="AR20" s="263">
        <v>34.799999999999997</v>
      </c>
      <c r="AS20" s="263">
        <v>38.200000000000003</v>
      </c>
      <c r="AT20" s="263">
        <v>42.3</v>
      </c>
      <c r="AU20" s="263">
        <v>50</v>
      </c>
      <c r="AV20" s="263">
        <v>52.8</v>
      </c>
      <c r="AW20" s="263">
        <v>51.6</v>
      </c>
      <c r="AX20" s="263">
        <v>65.3</v>
      </c>
      <c r="AY20" s="263">
        <v>74.400000000000006</v>
      </c>
      <c r="AZ20" s="263">
        <v>84.9</v>
      </c>
      <c r="BA20" s="263">
        <v>90</v>
      </c>
      <c r="BB20" s="263">
        <v>87.2</v>
      </c>
      <c r="BC20" s="263">
        <v>84.3</v>
      </c>
      <c r="BD20" s="263">
        <v>66.5</v>
      </c>
      <c r="BE20" s="263">
        <v>80.599999999999994</v>
      </c>
      <c r="BF20" s="263">
        <v>97.5</v>
      </c>
      <c r="BG20" s="263">
        <v>99.4</v>
      </c>
      <c r="BH20" s="263">
        <v>109.7</v>
      </c>
      <c r="BI20" s="263">
        <v>130.4</v>
      </c>
      <c r="BJ20" s="263">
        <v>141.6</v>
      </c>
      <c r="BK20" s="263">
        <v>146.1</v>
      </c>
      <c r="BL20" s="263">
        <v>145.4</v>
      </c>
      <c r="BM20" s="263">
        <v>138.6</v>
      </c>
      <c r="BN20" s="263">
        <v>148.69999999999999</v>
      </c>
      <c r="BO20" s="263">
        <v>171</v>
      </c>
      <c r="BP20" s="263">
        <v>193.1</v>
      </c>
      <c r="BQ20" s="263">
        <v>217.8</v>
      </c>
      <c r="BR20" s="263">
        <v>231.5</v>
      </c>
      <c r="BS20" s="263">
        <v>245.4</v>
      </c>
      <c r="BT20" s="263">
        <v>248.4</v>
      </c>
      <c r="BU20" s="263">
        <v>258.8</v>
      </c>
      <c r="BV20" s="263">
        <v>265.10000000000002</v>
      </c>
      <c r="BW20" s="263">
        <v>203.3</v>
      </c>
      <c r="BX20" s="263">
        <v>192.3</v>
      </c>
      <c r="BY20" s="263">
        <v>243.8</v>
      </c>
      <c r="BZ20" s="263">
        <v>306.10000000000002</v>
      </c>
      <c r="CA20" s="263">
        <v>412.4</v>
      </c>
      <c r="CB20" s="263">
        <v>473.4</v>
      </c>
      <c r="CC20" s="263">
        <v>445.5</v>
      </c>
      <c r="CD20" s="263">
        <v>309.10000000000002</v>
      </c>
      <c r="CE20" s="263">
        <v>269.39999999999998</v>
      </c>
      <c r="CF20" s="263">
        <v>370.6</v>
      </c>
      <c r="CG20" s="263">
        <v>379.1</v>
      </c>
      <c r="CH20" s="263">
        <v>447.6</v>
      </c>
      <c r="CI20" s="263">
        <v>467.7</v>
      </c>
      <c r="CJ20" s="263">
        <v>505.3</v>
      </c>
      <c r="CK20" s="263">
        <v>507.4</v>
      </c>
      <c r="CL20" s="263">
        <v>471</v>
      </c>
    </row>
    <row r="21" spans="1:90">
      <c r="A21" s="263" t="s">
        <v>54</v>
      </c>
      <c r="B21" s="263" t="s">
        <v>874</v>
      </c>
      <c r="C21" s="263">
        <v>9.5</v>
      </c>
      <c r="D21" s="263">
        <v>6.7</v>
      </c>
      <c r="E21" s="263">
        <v>2.5</v>
      </c>
      <c r="F21" s="263">
        <v>-0.6</v>
      </c>
      <c r="G21" s="263">
        <v>-0.7</v>
      </c>
      <c r="H21" s="263">
        <v>1.8</v>
      </c>
      <c r="I21" s="263">
        <v>3.1</v>
      </c>
      <c r="J21" s="263">
        <v>4.8</v>
      </c>
      <c r="K21" s="263">
        <v>5.6</v>
      </c>
      <c r="L21" s="263">
        <v>4</v>
      </c>
      <c r="M21" s="263">
        <v>5.2</v>
      </c>
      <c r="N21" s="263">
        <v>7</v>
      </c>
      <c r="O21" s="263">
        <v>8.1</v>
      </c>
      <c r="P21" s="263">
        <v>9.4</v>
      </c>
      <c r="Q21" s="263">
        <v>10.8</v>
      </c>
      <c r="R21" s="263">
        <v>12</v>
      </c>
      <c r="S21" s="263">
        <v>9.8000000000000007</v>
      </c>
      <c r="T21" s="263">
        <v>9.1</v>
      </c>
      <c r="U21" s="263">
        <v>12.9</v>
      </c>
      <c r="V21" s="263">
        <v>19</v>
      </c>
      <c r="W21" s="263">
        <v>18.899999999999999</v>
      </c>
      <c r="X21" s="263">
        <v>18.100000000000001</v>
      </c>
      <c r="Y21" s="263">
        <v>18.600000000000001</v>
      </c>
      <c r="Z21" s="263">
        <v>20.3</v>
      </c>
      <c r="AA21" s="263">
        <v>20</v>
      </c>
      <c r="AB21" s="263">
        <v>21.8</v>
      </c>
      <c r="AC21" s="263">
        <v>28.1</v>
      </c>
      <c r="AD21" s="263">
        <v>27.7</v>
      </c>
      <c r="AE21" s="263">
        <v>27.7</v>
      </c>
      <c r="AF21" s="263">
        <v>24.9</v>
      </c>
      <c r="AG21" s="263">
        <v>31.8</v>
      </c>
      <c r="AH21" s="263">
        <v>31.9</v>
      </c>
      <c r="AI21" s="263">
        <v>33.1</v>
      </c>
      <c r="AJ21" s="263">
        <v>39.9</v>
      </c>
      <c r="AK21" s="263">
        <v>44.1</v>
      </c>
      <c r="AL21" s="263">
        <v>49.6</v>
      </c>
      <c r="AM21" s="263">
        <v>58.2</v>
      </c>
      <c r="AN21" s="263">
        <v>62.2</v>
      </c>
      <c r="AO21" s="263">
        <v>61</v>
      </c>
      <c r="AP21" s="263">
        <v>62.1</v>
      </c>
      <c r="AQ21" s="263">
        <v>58.4</v>
      </c>
      <c r="AR21" s="263">
        <v>51.5</v>
      </c>
      <c r="AS21" s="263">
        <v>62.5</v>
      </c>
      <c r="AT21" s="263">
        <v>74.900000000000006</v>
      </c>
      <c r="AU21" s="263">
        <v>83.4</v>
      </c>
      <c r="AV21" s="263">
        <v>72.900000000000006</v>
      </c>
      <c r="AW21" s="263">
        <v>87.2</v>
      </c>
      <c r="AX21" s="263">
        <v>109.1</v>
      </c>
      <c r="AY21" s="263">
        <v>131.30000000000001</v>
      </c>
      <c r="AZ21" s="263">
        <v>153.69999999999999</v>
      </c>
      <c r="BA21" s="263">
        <v>159</v>
      </c>
      <c r="BB21" s="263">
        <v>136.4</v>
      </c>
      <c r="BC21" s="263">
        <v>163.19999999999999</v>
      </c>
      <c r="BD21" s="263">
        <v>163.4</v>
      </c>
      <c r="BE21" s="263">
        <v>199.1</v>
      </c>
      <c r="BF21" s="263">
        <v>240.4</v>
      </c>
      <c r="BG21" s="263">
        <v>255.1</v>
      </c>
      <c r="BH21" s="263">
        <v>214.7</v>
      </c>
      <c r="BI21" s="263">
        <v>235.5</v>
      </c>
      <c r="BJ21" s="263">
        <v>273.2</v>
      </c>
      <c r="BK21" s="263">
        <v>268.2</v>
      </c>
      <c r="BL21" s="263">
        <v>271.7</v>
      </c>
      <c r="BM21" s="263">
        <v>312.7</v>
      </c>
      <c r="BN21" s="263">
        <v>326.60000000000002</v>
      </c>
      <c r="BO21" s="263">
        <v>351</v>
      </c>
      <c r="BP21" s="263">
        <v>428.8</v>
      </c>
      <c r="BQ21" s="263">
        <v>485.2</v>
      </c>
      <c r="BR21" s="263">
        <v>554.6</v>
      </c>
      <c r="BS21" s="263">
        <v>620.29999999999995</v>
      </c>
      <c r="BT21" s="263">
        <v>555.70000000000005</v>
      </c>
      <c r="BU21" s="263">
        <v>571.4</v>
      </c>
      <c r="BV21" s="263">
        <v>516.1</v>
      </c>
      <c r="BW21" s="263">
        <v>550.70000000000005</v>
      </c>
      <c r="BX21" s="263">
        <v>714.8</v>
      </c>
      <c r="BY21" s="263">
        <v>812.6</v>
      </c>
      <c r="BZ21" s="263">
        <v>977.3</v>
      </c>
      <c r="CA21" s="263">
        <v>1065.3</v>
      </c>
      <c r="CB21" s="263">
        <v>1173.0999999999999</v>
      </c>
      <c r="CC21" s="263">
        <v>1083.5</v>
      </c>
      <c r="CD21" s="263">
        <v>976</v>
      </c>
      <c r="CE21" s="263">
        <v>1127.5</v>
      </c>
      <c r="CF21" s="263">
        <v>1375.9</v>
      </c>
      <c r="CG21" s="263">
        <v>1437.5</v>
      </c>
      <c r="CH21" s="263">
        <v>1550.5</v>
      </c>
      <c r="CI21" s="263">
        <v>1565.2</v>
      </c>
      <c r="CJ21" s="263">
        <v>1635.3</v>
      </c>
      <c r="CK21" s="263">
        <v>1610</v>
      </c>
      <c r="CL21" s="263">
        <v>1602.4</v>
      </c>
    </row>
    <row r="22" spans="1:90">
      <c r="A22" s="263" t="s">
        <v>53</v>
      </c>
      <c r="B22" s="263" t="s">
        <v>535</v>
      </c>
      <c r="C22" s="263">
        <v>5.8</v>
      </c>
      <c r="D22" s="263">
        <v>5.5</v>
      </c>
      <c r="E22" s="263">
        <v>4.0999999999999996</v>
      </c>
      <c r="F22" s="263">
        <v>2.5</v>
      </c>
      <c r="G22" s="263">
        <v>2</v>
      </c>
      <c r="H22" s="263">
        <v>2.6</v>
      </c>
      <c r="I22" s="263">
        <v>2.8</v>
      </c>
      <c r="J22" s="263">
        <v>4.5</v>
      </c>
      <c r="K22" s="263">
        <v>4.7</v>
      </c>
      <c r="L22" s="263">
        <v>3.2</v>
      </c>
      <c r="M22" s="263">
        <v>3.8</v>
      </c>
      <c r="N22" s="263">
        <v>4</v>
      </c>
      <c r="O22" s="263">
        <v>4.4000000000000004</v>
      </c>
      <c r="P22" s="263">
        <v>4.3</v>
      </c>
      <c r="Q22" s="263">
        <v>4.4000000000000004</v>
      </c>
      <c r="R22" s="263">
        <v>4.5999999999999996</v>
      </c>
      <c r="S22" s="263">
        <v>4.5999999999999996</v>
      </c>
      <c r="T22" s="263">
        <v>5.6</v>
      </c>
      <c r="U22" s="263">
        <v>6.3</v>
      </c>
      <c r="V22" s="263">
        <v>7</v>
      </c>
      <c r="W22" s="263">
        <v>7.2</v>
      </c>
      <c r="X22" s="263">
        <v>8.8000000000000007</v>
      </c>
      <c r="Y22" s="263">
        <v>8.6</v>
      </c>
      <c r="Z22" s="263">
        <v>8.6</v>
      </c>
      <c r="AA22" s="263">
        <v>8.9</v>
      </c>
      <c r="AB22" s="263">
        <v>9.3000000000000007</v>
      </c>
      <c r="AC22" s="263">
        <v>10.5</v>
      </c>
      <c r="AD22" s="263">
        <v>11.3</v>
      </c>
      <c r="AE22" s="263">
        <v>11.7</v>
      </c>
      <c r="AF22" s="263">
        <v>11.6</v>
      </c>
      <c r="AG22" s="263">
        <v>12.6</v>
      </c>
      <c r="AH22" s="263">
        <v>13.4</v>
      </c>
      <c r="AI22" s="263">
        <v>13.9</v>
      </c>
      <c r="AJ22" s="263">
        <v>15</v>
      </c>
      <c r="AK22" s="263">
        <v>16.2</v>
      </c>
      <c r="AL22" s="263">
        <v>18.2</v>
      </c>
      <c r="AM22" s="263">
        <v>20.2</v>
      </c>
      <c r="AN22" s="263">
        <v>20.7</v>
      </c>
      <c r="AO22" s="263">
        <v>21.5</v>
      </c>
      <c r="AP22" s="263">
        <v>23.5</v>
      </c>
      <c r="AQ22" s="263">
        <v>24.2</v>
      </c>
      <c r="AR22" s="263">
        <v>24.3</v>
      </c>
      <c r="AS22" s="263">
        <v>25</v>
      </c>
      <c r="AT22" s="263">
        <v>26.8</v>
      </c>
      <c r="AU22" s="263">
        <v>29.9</v>
      </c>
      <c r="AV22" s="263">
        <v>33.200000000000003</v>
      </c>
      <c r="AW22" s="263">
        <v>33</v>
      </c>
      <c r="AX22" s="263">
        <v>39</v>
      </c>
      <c r="AY22" s="263">
        <v>44.8</v>
      </c>
      <c r="AZ22" s="263">
        <v>50.8</v>
      </c>
      <c r="BA22" s="263">
        <v>57.5</v>
      </c>
      <c r="BB22" s="263">
        <v>64.099999999999994</v>
      </c>
      <c r="BC22" s="263">
        <v>73.8</v>
      </c>
      <c r="BD22" s="263">
        <v>77.7</v>
      </c>
      <c r="BE22" s="263">
        <v>83.5</v>
      </c>
      <c r="BF22" s="263">
        <v>90.8</v>
      </c>
      <c r="BG22" s="263">
        <v>97.5</v>
      </c>
      <c r="BH22" s="263">
        <v>106.2</v>
      </c>
      <c r="BI22" s="263">
        <v>112.3</v>
      </c>
      <c r="BJ22" s="263">
        <v>129.9</v>
      </c>
      <c r="BK22" s="263">
        <v>158</v>
      </c>
      <c r="BL22" s="263">
        <v>169.1</v>
      </c>
      <c r="BM22" s="263">
        <v>180.5</v>
      </c>
      <c r="BN22" s="263">
        <v>189.5</v>
      </c>
      <c r="BO22" s="263">
        <v>205.3</v>
      </c>
      <c r="BP22" s="263">
        <v>236</v>
      </c>
      <c r="BQ22" s="263">
        <v>259</v>
      </c>
      <c r="BR22" s="263">
        <v>303.5</v>
      </c>
      <c r="BS22" s="263">
        <v>339.5</v>
      </c>
      <c r="BT22" s="263">
        <v>357.1</v>
      </c>
      <c r="BU22" s="263">
        <v>347.9</v>
      </c>
      <c r="BV22" s="263">
        <v>384.7</v>
      </c>
      <c r="BW22" s="263">
        <v>370.6</v>
      </c>
      <c r="BX22" s="263">
        <v>400.2</v>
      </c>
      <c r="BY22" s="263">
        <v>434</v>
      </c>
      <c r="BZ22" s="263">
        <v>564.1</v>
      </c>
      <c r="CA22" s="263">
        <v>580.5</v>
      </c>
      <c r="CB22" s="263">
        <v>726</v>
      </c>
      <c r="CC22" s="263">
        <v>818.9</v>
      </c>
      <c r="CD22" s="263">
        <v>808.6</v>
      </c>
      <c r="CE22" s="263">
        <v>574.6</v>
      </c>
      <c r="CF22" s="263">
        <v>564</v>
      </c>
      <c r="CG22" s="263">
        <v>703.7</v>
      </c>
      <c r="CH22" s="263">
        <v>859.4</v>
      </c>
      <c r="CI22" s="263">
        <v>929.4</v>
      </c>
      <c r="CJ22" s="263">
        <v>986.4</v>
      </c>
      <c r="CK22" s="263">
        <v>1039.9000000000001</v>
      </c>
      <c r="CL22" s="263">
        <v>981.9</v>
      </c>
    </row>
    <row r="23" spans="1:90">
      <c r="A23" s="263" t="s">
        <v>52</v>
      </c>
      <c r="B23" s="263" t="s">
        <v>534</v>
      </c>
      <c r="C23" s="263">
        <v>3.7</v>
      </c>
      <c r="D23" s="263">
        <v>1.2</v>
      </c>
      <c r="E23" s="263">
        <v>-1.6</v>
      </c>
      <c r="F23" s="263">
        <v>-3.1</v>
      </c>
      <c r="G23" s="263">
        <v>-2.7</v>
      </c>
      <c r="H23" s="263">
        <v>-0.8</v>
      </c>
      <c r="I23" s="263">
        <v>0.2</v>
      </c>
      <c r="J23" s="263">
        <v>0.3</v>
      </c>
      <c r="K23" s="263">
        <v>0.9</v>
      </c>
      <c r="L23" s="263">
        <v>0.8</v>
      </c>
      <c r="M23" s="263">
        <v>1.4</v>
      </c>
      <c r="N23" s="263">
        <v>3</v>
      </c>
      <c r="O23" s="263">
        <v>3.7</v>
      </c>
      <c r="P23" s="263">
        <v>5.0999999999999996</v>
      </c>
      <c r="Q23" s="263">
        <v>6.4</v>
      </c>
      <c r="R23" s="263">
        <v>7.4</v>
      </c>
      <c r="S23" s="263">
        <v>5.2</v>
      </c>
      <c r="T23" s="263">
        <v>3.6</v>
      </c>
      <c r="U23" s="263">
        <v>6.6</v>
      </c>
      <c r="V23" s="263">
        <v>11.9</v>
      </c>
      <c r="W23" s="263">
        <v>11.6</v>
      </c>
      <c r="X23" s="263">
        <v>9.3000000000000007</v>
      </c>
      <c r="Y23" s="263">
        <v>10.1</v>
      </c>
      <c r="Z23" s="263">
        <v>11.7</v>
      </c>
      <c r="AA23" s="263">
        <v>11.1</v>
      </c>
      <c r="AB23" s="263">
        <v>12.6</v>
      </c>
      <c r="AC23" s="263">
        <v>17.600000000000001</v>
      </c>
      <c r="AD23" s="263">
        <v>16.399999999999999</v>
      </c>
      <c r="AE23" s="263">
        <v>16</v>
      </c>
      <c r="AF23" s="263">
        <v>13.3</v>
      </c>
      <c r="AG23" s="263">
        <v>19.2</v>
      </c>
      <c r="AH23" s="263">
        <v>18.5</v>
      </c>
      <c r="AI23" s="263">
        <v>19.2</v>
      </c>
      <c r="AJ23" s="263">
        <v>24.9</v>
      </c>
      <c r="AK23" s="263">
        <v>27.9</v>
      </c>
      <c r="AL23" s="263">
        <v>31.4</v>
      </c>
      <c r="AM23" s="263">
        <v>38</v>
      </c>
      <c r="AN23" s="263">
        <v>41.6</v>
      </c>
      <c r="AO23" s="263">
        <v>39.5</v>
      </c>
      <c r="AP23" s="263">
        <v>38.6</v>
      </c>
      <c r="AQ23" s="263">
        <v>34.200000000000003</v>
      </c>
      <c r="AR23" s="263">
        <v>27.2</v>
      </c>
      <c r="AS23" s="263">
        <v>37.5</v>
      </c>
      <c r="AT23" s="263">
        <v>48</v>
      </c>
      <c r="AU23" s="263">
        <v>53.5</v>
      </c>
      <c r="AV23" s="263">
        <v>39.700000000000003</v>
      </c>
      <c r="AW23" s="263">
        <v>54.3</v>
      </c>
      <c r="AX23" s="263">
        <v>70</v>
      </c>
      <c r="AY23" s="263">
        <v>86.6</v>
      </c>
      <c r="AZ23" s="263">
        <v>102.9</v>
      </c>
      <c r="BA23" s="263">
        <v>101.4</v>
      </c>
      <c r="BB23" s="263">
        <v>72.3</v>
      </c>
      <c r="BC23" s="263">
        <v>89.4</v>
      </c>
      <c r="BD23" s="263">
        <v>85.6</v>
      </c>
      <c r="BE23" s="263">
        <v>115.7</v>
      </c>
      <c r="BF23" s="263">
        <v>149.5</v>
      </c>
      <c r="BG23" s="263">
        <v>157.5</v>
      </c>
      <c r="BH23" s="263">
        <v>108.5</v>
      </c>
      <c r="BI23" s="263">
        <v>123.2</v>
      </c>
      <c r="BJ23" s="263">
        <v>143.30000000000001</v>
      </c>
      <c r="BK23" s="263">
        <v>110.2</v>
      </c>
      <c r="BL23" s="263">
        <v>102.7</v>
      </c>
      <c r="BM23" s="263">
        <v>132.19999999999999</v>
      </c>
      <c r="BN23" s="263">
        <v>137.1</v>
      </c>
      <c r="BO23" s="263">
        <v>145.6</v>
      </c>
      <c r="BP23" s="263">
        <v>192.8</v>
      </c>
      <c r="BQ23" s="263">
        <v>226.2</v>
      </c>
      <c r="BR23" s="263">
        <v>251.1</v>
      </c>
      <c r="BS23" s="263">
        <v>280.89999999999998</v>
      </c>
      <c r="BT23" s="263">
        <v>198.7</v>
      </c>
      <c r="BU23" s="263">
        <v>223.5</v>
      </c>
      <c r="BV23" s="263">
        <v>131.4</v>
      </c>
      <c r="BW23" s="263">
        <v>180.2</v>
      </c>
      <c r="BX23" s="263">
        <v>314.7</v>
      </c>
      <c r="BY23" s="263">
        <v>378.6</v>
      </c>
      <c r="BZ23" s="263">
        <v>413.2</v>
      </c>
      <c r="CA23" s="263">
        <v>484.8</v>
      </c>
      <c r="CB23" s="263">
        <v>447.1</v>
      </c>
      <c r="CC23" s="263">
        <v>264.60000000000002</v>
      </c>
      <c r="CD23" s="263">
        <v>167.3</v>
      </c>
      <c r="CE23" s="263">
        <v>552.9</v>
      </c>
      <c r="CF23" s="263">
        <v>811.9</v>
      </c>
      <c r="CG23" s="263">
        <v>733.9</v>
      </c>
      <c r="CH23" s="263">
        <v>691.2</v>
      </c>
      <c r="CI23" s="263">
        <v>635.79999999999995</v>
      </c>
      <c r="CJ23" s="263">
        <v>648.9</v>
      </c>
      <c r="CK23" s="263">
        <v>570.1</v>
      </c>
      <c r="CL23" s="263">
        <v>620.6</v>
      </c>
    </row>
    <row r="24" spans="1:90">
      <c r="A24" s="263" t="s">
        <v>51</v>
      </c>
      <c r="B24" s="269" t="s">
        <v>50</v>
      </c>
      <c r="C24" s="263">
        <v>4.5999999999999996</v>
      </c>
      <c r="D24" s="263">
        <v>4.8</v>
      </c>
      <c r="E24" s="263">
        <v>4.8</v>
      </c>
      <c r="F24" s="263">
        <v>4.5</v>
      </c>
      <c r="G24" s="263">
        <v>4</v>
      </c>
      <c r="H24" s="263">
        <v>4</v>
      </c>
      <c r="I24" s="263">
        <v>4.0999999999999996</v>
      </c>
      <c r="J24" s="263">
        <v>3.8</v>
      </c>
      <c r="K24" s="263">
        <v>3.7</v>
      </c>
      <c r="L24" s="263">
        <v>3.6</v>
      </c>
      <c r="M24" s="263">
        <v>3.6</v>
      </c>
      <c r="N24" s="263">
        <v>3.3</v>
      </c>
      <c r="O24" s="263">
        <v>3.3</v>
      </c>
      <c r="P24" s="263">
        <v>3.2</v>
      </c>
      <c r="Q24" s="263">
        <v>2.9</v>
      </c>
      <c r="R24" s="263">
        <v>2.4</v>
      </c>
      <c r="S24" s="263">
        <v>2.2999999999999998</v>
      </c>
      <c r="T24" s="263">
        <v>1.9</v>
      </c>
      <c r="U24" s="263">
        <v>2.5</v>
      </c>
      <c r="V24" s="263">
        <v>2.6</v>
      </c>
      <c r="W24" s="263">
        <v>2.9</v>
      </c>
      <c r="X24" s="263">
        <v>3.2</v>
      </c>
      <c r="Y24" s="263">
        <v>3.7</v>
      </c>
      <c r="Z24" s="263">
        <v>4.0999999999999996</v>
      </c>
      <c r="AA24" s="263">
        <v>4.8</v>
      </c>
      <c r="AB24" s="263">
        <v>5.7</v>
      </c>
      <c r="AC24" s="263">
        <v>6.3</v>
      </c>
      <c r="AD24" s="263">
        <v>6.9</v>
      </c>
      <c r="AE24" s="263">
        <v>8.1</v>
      </c>
      <c r="AF24" s="263">
        <v>9.6</v>
      </c>
      <c r="AG24" s="263">
        <v>9.6999999999999993</v>
      </c>
      <c r="AH24" s="263">
        <v>10.7</v>
      </c>
      <c r="AI24" s="263">
        <v>12.6</v>
      </c>
      <c r="AJ24" s="263">
        <v>14.3</v>
      </c>
      <c r="AK24" s="263">
        <v>15.3</v>
      </c>
      <c r="AL24" s="263">
        <v>17.5</v>
      </c>
      <c r="AM24" s="263">
        <v>19.8</v>
      </c>
      <c r="AN24" s="263">
        <v>22.5</v>
      </c>
      <c r="AO24" s="263">
        <v>25.7</v>
      </c>
      <c r="AP24" s="263">
        <v>27.6</v>
      </c>
      <c r="AQ24" s="263">
        <v>33.6</v>
      </c>
      <c r="AR24" s="263">
        <v>40.5</v>
      </c>
      <c r="AS24" s="263">
        <v>45.2</v>
      </c>
      <c r="AT24" s="263">
        <v>49.3</v>
      </c>
      <c r="AU24" s="263">
        <v>57.2</v>
      </c>
      <c r="AV24" s="263">
        <v>73.5</v>
      </c>
      <c r="AW24" s="263">
        <v>85.9</v>
      </c>
      <c r="AX24" s="263">
        <v>89.9</v>
      </c>
      <c r="AY24" s="263">
        <v>105.9</v>
      </c>
      <c r="AZ24" s="263">
        <v>118.8</v>
      </c>
      <c r="BA24" s="263">
        <v>141</v>
      </c>
      <c r="BB24" s="263">
        <v>186.2</v>
      </c>
      <c r="BC24" s="263">
        <v>238.4</v>
      </c>
      <c r="BD24" s="263">
        <v>277.5</v>
      </c>
      <c r="BE24" s="263">
        <v>291.8</v>
      </c>
      <c r="BF24" s="263">
        <v>336.1</v>
      </c>
      <c r="BG24" s="263">
        <v>348</v>
      </c>
      <c r="BH24" s="263">
        <v>365.2</v>
      </c>
      <c r="BI24" s="263">
        <v>369.5</v>
      </c>
      <c r="BJ24" s="263">
        <v>394.7</v>
      </c>
      <c r="BK24" s="263">
        <v>442.7</v>
      </c>
      <c r="BL24" s="263">
        <v>450.1</v>
      </c>
      <c r="BM24" s="263">
        <v>408.5</v>
      </c>
      <c r="BN24" s="263">
        <v>383.7</v>
      </c>
      <c r="BO24" s="263">
        <v>371.4</v>
      </c>
      <c r="BP24" s="263">
        <v>365.9</v>
      </c>
      <c r="BQ24" s="263">
        <v>376.5</v>
      </c>
      <c r="BR24" s="263">
        <v>381.9</v>
      </c>
      <c r="BS24" s="263">
        <v>414.7</v>
      </c>
      <c r="BT24" s="263">
        <v>477.8</v>
      </c>
      <c r="BU24" s="263">
        <v>488</v>
      </c>
      <c r="BV24" s="263">
        <v>565</v>
      </c>
      <c r="BW24" s="263">
        <v>566.4</v>
      </c>
      <c r="BX24" s="263">
        <v>490.5</v>
      </c>
      <c r="BY24" s="263">
        <v>466.2</v>
      </c>
      <c r="BZ24" s="263">
        <v>403.5</v>
      </c>
      <c r="CA24" s="263">
        <v>496.8</v>
      </c>
      <c r="CB24" s="263">
        <v>580.9</v>
      </c>
      <c r="CC24" s="263">
        <v>663.4</v>
      </c>
      <c r="CD24" s="263">
        <v>693.4</v>
      </c>
      <c r="CE24" s="263">
        <v>563.4</v>
      </c>
      <c r="CF24" s="263">
        <v>489.4</v>
      </c>
      <c r="CG24" s="263">
        <v>488.1</v>
      </c>
      <c r="CH24" s="263">
        <v>527.70000000000005</v>
      </c>
      <c r="CI24" s="263">
        <v>504.6</v>
      </c>
      <c r="CJ24" s="263">
        <v>535</v>
      </c>
      <c r="CK24" s="263">
        <v>583.4</v>
      </c>
      <c r="CL24" s="263">
        <v>570.6</v>
      </c>
    </row>
    <row r="25" spans="1:90">
      <c r="A25" s="263" t="s">
        <v>49</v>
      </c>
      <c r="B25" s="269" t="s">
        <v>48</v>
      </c>
      <c r="C25" s="263">
        <v>6.8</v>
      </c>
      <c r="D25" s="263">
        <v>7</v>
      </c>
      <c r="E25" s="263">
        <v>6.7</v>
      </c>
      <c r="F25" s="263">
        <v>6.6</v>
      </c>
      <c r="G25" s="263">
        <v>6.9</v>
      </c>
      <c r="H25" s="263">
        <v>7.6</v>
      </c>
      <c r="I25" s="263">
        <v>8</v>
      </c>
      <c r="J25" s="263">
        <v>8.5</v>
      </c>
      <c r="K25" s="263">
        <v>8.9</v>
      </c>
      <c r="L25" s="263">
        <v>8.9</v>
      </c>
      <c r="M25" s="263">
        <v>9.1</v>
      </c>
      <c r="N25" s="263">
        <v>9.8000000000000007</v>
      </c>
      <c r="O25" s="263">
        <v>11.1</v>
      </c>
      <c r="P25" s="263">
        <v>11.5</v>
      </c>
      <c r="Q25" s="263">
        <v>12.4</v>
      </c>
      <c r="R25" s="263">
        <v>13.7</v>
      </c>
      <c r="S25" s="263">
        <v>15.1</v>
      </c>
      <c r="T25" s="263">
        <v>16.8</v>
      </c>
      <c r="U25" s="263">
        <v>18.100000000000001</v>
      </c>
      <c r="V25" s="263">
        <v>19.7</v>
      </c>
      <c r="W25" s="263">
        <v>20.9</v>
      </c>
      <c r="X25" s="263">
        <v>23</v>
      </c>
      <c r="Y25" s="263">
        <v>24.7</v>
      </c>
      <c r="Z25" s="263">
        <v>27.1</v>
      </c>
      <c r="AA25" s="263">
        <v>29.1</v>
      </c>
      <c r="AB25" s="263">
        <v>28.9</v>
      </c>
      <c r="AC25" s="263">
        <v>31.5</v>
      </c>
      <c r="AD25" s="263">
        <v>34.200000000000003</v>
      </c>
      <c r="AE25" s="263">
        <v>36.6</v>
      </c>
      <c r="AF25" s="263">
        <v>37.700000000000003</v>
      </c>
      <c r="AG25" s="263">
        <v>41.1</v>
      </c>
      <c r="AH25" s="263">
        <v>44.5</v>
      </c>
      <c r="AI25" s="263">
        <v>47</v>
      </c>
      <c r="AJ25" s="263">
        <v>50.4</v>
      </c>
      <c r="AK25" s="263">
        <v>53.4</v>
      </c>
      <c r="AL25" s="263">
        <v>57.3</v>
      </c>
      <c r="AM25" s="263">
        <v>60.7</v>
      </c>
      <c r="AN25" s="263">
        <v>63.2</v>
      </c>
      <c r="AO25" s="263">
        <v>67.900000000000006</v>
      </c>
      <c r="AP25" s="263">
        <v>76.400000000000006</v>
      </c>
      <c r="AQ25" s="263">
        <v>83.9</v>
      </c>
      <c r="AR25" s="263">
        <v>91.4</v>
      </c>
      <c r="AS25" s="263">
        <v>100.5</v>
      </c>
      <c r="AT25" s="263">
        <v>107.9</v>
      </c>
      <c r="AU25" s="263">
        <v>117.2</v>
      </c>
      <c r="AV25" s="263">
        <v>124.9</v>
      </c>
      <c r="AW25" s="263">
        <v>135.30000000000001</v>
      </c>
      <c r="AX25" s="263">
        <v>146.4</v>
      </c>
      <c r="AY25" s="263">
        <v>159.69999999999999</v>
      </c>
      <c r="AZ25" s="263">
        <v>170.9</v>
      </c>
      <c r="BA25" s="263">
        <v>180.1</v>
      </c>
      <c r="BB25" s="263">
        <v>200.3</v>
      </c>
      <c r="BC25" s="263">
        <v>235.6</v>
      </c>
      <c r="BD25" s="263">
        <v>240.9</v>
      </c>
      <c r="BE25" s="263">
        <v>263.3</v>
      </c>
      <c r="BF25" s="263">
        <v>289.8</v>
      </c>
      <c r="BG25" s="263">
        <v>308.10000000000002</v>
      </c>
      <c r="BH25" s="263">
        <v>323.39999999999998</v>
      </c>
      <c r="BI25" s="263">
        <v>347.5</v>
      </c>
      <c r="BJ25" s="263">
        <v>374.5</v>
      </c>
      <c r="BK25" s="263">
        <v>398.9</v>
      </c>
      <c r="BL25" s="263">
        <v>425</v>
      </c>
      <c r="BM25" s="263">
        <v>457.1</v>
      </c>
      <c r="BN25" s="263">
        <v>483.4</v>
      </c>
      <c r="BO25" s="263">
        <v>503.1</v>
      </c>
      <c r="BP25" s="263">
        <v>545.20000000000005</v>
      </c>
      <c r="BQ25" s="263">
        <v>557.9</v>
      </c>
      <c r="BR25" s="263">
        <v>580.79999999999995</v>
      </c>
      <c r="BS25" s="263">
        <v>611.6</v>
      </c>
      <c r="BT25" s="263">
        <v>639.5</v>
      </c>
      <c r="BU25" s="263">
        <v>673.6</v>
      </c>
      <c r="BV25" s="263">
        <v>708.6</v>
      </c>
      <c r="BW25" s="263">
        <v>727.7</v>
      </c>
      <c r="BX25" s="263">
        <v>762.6</v>
      </c>
      <c r="BY25" s="263">
        <v>808</v>
      </c>
      <c r="BZ25" s="263">
        <v>863.9</v>
      </c>
      <c r="CA25" s="263">
        <v>934.5</v>
      </c>
      <c r="CB25" s="263">
        <v>991.9</v>
      </c>
      <c r="CC25" s="263">
        <v>1034.5999999999999</v>
      </c>
      <c r="CD25" s="263">
        <v>1041.9000000000001</v>
      </c>
      <c r="CE25" s="263">
        <v>1026.0999999999999</v>
      </c>
      <c r="CF25" s="263">
        <v>1057.0999999999999</v>
      </c>
      <c r="CG25" s="263">
        <v>1102.5999999999999</v>
      </c>
      <c r="CH25" s="263">
        <v>1132.0999999999999</v>
      </c>
      <c r="CI25" s="263">
        <v>1174.9000000000001</v>
      </c>
      <c r="CJ25" s="263">
        <v>1221.5999999999999</v>
      </c>
      <c r="CK25" s="263">
        <v>1255.8</v>
      </c>
      <c r="CL25" s="263">
        <v>1288</v>
      </c>
    </row>
    <row r="26" spans="1:90">
      <c r="A26" s="263" t="s">
        <v>47</v>
      </c>
      <c r="B26" s="269" t="s">
        <v>46</v>
      </c>
      <c r="C26" s="263">
        <v>0</v>
      </c>
      <c r="D26" s="263">
        <v>0.1</v>
      </c>
      <c r="E26" s="263">
        <v>0.1</v>
      </c>
      <c r="F26" s="263">
        <v>0.1</v>
      </c>
      <c r="G26" s="263">
        <v>0.2</v>
      </c>
      <c r="H26" s="263">
        <v>0.5</v>
      </c>
      <c r="I26" s="263">
        <v>0.6</v>
      </c>
      <c r="J26" s="263">
        <v>0.3</v>
      </c>
      <c r="K26" s="263">
        <v>0.3</v>
      </c>
      <c r="L26" s="263">
        <v>0.5</v>
      </c>
      <c r="M26" s="263">
        <v>0.8</v>
      </c>
      <c r="N26" s="263">
        <v>0.8</v>
      </c>
      <c r="O26" s="263">
        <v>0.5</v>
      </c>
      <c r="P26" s="263">
        <v>0.5</v>
      </c>
      <c r="Q26" s="263">
        <v>0.6</v>
      </c>
      <c r="R26" s="263">
        <v>1</v>
      </c>
      <c r="S26" s="263">
        <v>1.1000000000000001</v>
      </c>
      <c r="T26" s="263">
        <v>1.4</v>
      </c>
      <c r="U26" s="263">
        <v>0.4</v>
      </c>
      <c r="V26" s="263">
        <v>0.5</v>
      </c>
      <c r="W26" s="263">
        <v>0.5</v>
      </c>
      <c r="X26" s="263">
        <v>0.8</v>
      </c>
      <c r="Y26" s="263">
        <v>1</v>
      </c>
      <c r="Z26" s="263">
        <v>0.8</v>
      </c>
      <c r="AA26" s="263">
        <v>0.5</v>
      </c>
      <c r="AB26" s="263">
        <v>0.3</v>
      </c>
      <c r="AC26" s="263">
        <v>0.2</v>
      </c>
      <c r="AD26" s="263">
        <v>0.7</v>
      </c>
      <c r="AE26" s="263">
        <v>1.1000000000000001</v>
      </c>
      <c r="AF26" s="263">
        <v>1.4</v>
      </c>
      <c r="AG26" s="263">
        <v>1.1000000000000001</v>
      </c>
      <c r="AH26" s="263">
        <v>1.1000000000000001</v>
      </c>
      <c r="AI26" s="263">
        <v>2</v>
      </c>
      <c r="AJ26" s="263">
        <v>2.2999999999999998</v>
      </c>
      <c r="AK26" s="263">
        <v>2.2000000000000002</v>
      </c>
      <c r="AL26" s="263">
        <v>2.7</v>
      </c>
      <c r="AM26" s="263">
        <v>3</v>
      </c>
      <c r="AN26" s="263">
        <v>3.9</v>
      </c>
      <c r="AO26" s="263">
        <v>3.8</v>
      </c>
      <c r="AP26" s="263">
        <v>4.2</v>
      </c>
      <c r="AQ26" s="263">
        <v>4.5</v>
      </c>
      <c r="AR26" s="263">
        <v>4.8</v>
      </c>
      <c r="AS26" s="263">
        <v>4.7</v>
      </c>
      <c r="AT26" s="263">
        <v>6.6</v>
      </c>
      <c r="AU26" s="263">
        <v>5.2</v>
      </c>
      <c r="AV26" s="263">
        <v>3.3</v>
      </c>
      <c r="AW26" s="263">
        <v>4.5</v>
      </c>
      <c r="AX26" s="263">
        <v>5.0999999999999996</v>
      </c>
      <c r="AY26" s="263">
        <v>7.1</v>
      </c>
      <c r="AZ26" s="263">
        <v>8.9</v>
      </c>
      <c r="BA26" s="263">
        <v>8.5</v>
      </c>
      <c r="BB26" s="263">
        <v>9.8000000000000007</v>
      </c>
      <c r="BC26" s="263">
        <v>11.5</v>
      </c>
      <c r="BD26" s="263">
        <v>15</v>
      </c>
      <c r="BE26" s="263">
        <v>21.3</v>
      </c>
      <c r="BF26" s="263">
        <v>21.1</v>
      </c>
      <c r="BG26" s="263">
        <v>21.4</v>
      </c>
      <c r="BH26" s="263">
        <v>24.9</v>
      </c>
      <c r="BI26" s="263">
        <v>30.3</v>
      </c>
      <c r="BJ26" s="263">
        <v>29.5</v>
      </c>
      <c r="BK26" s="263">
        <v>27.4</v>
      </c>
      <c r="BL26" s="263">
        <v>27</v>
      </c>
      <c r="BM26" s="263">
        <v>27.5</v>
      </c>
      <c r="BN26" s="263">
        <v>30.1</v>
      </c>
      <c r="BO26" s="263">
        <v>36.700000000000003</v>
      </c>
      <c r="BP26" s="263">
        <v>32.5</v>
      </c>
      <c r="BQ26" s="263">
        <v>34.799999999999997</v>
      </c>
      <c r="BR26" s="263">
        <v>35.200000000000003</v>
      </c>
      <c r="BS26" s="263">
        <v>33.799999999999997</v>
      </c>
      <c r="BT26" s="263">
        <v>36.4</v>
      </c>
      <c r="BU26" s="263">
        <v>45.2</v>
      </c>
      <c r="BV26" s="263">
        <v>45.8</v>
      </c>
      <c r="BW26" s="263">
        <v>58.7</v>
      </c>
      <c r="BX26" s="263">
        <v>41.4</v>
      </c>
      <c r="BY26" s="263">
        <v>49.1</v>
      </c>
      <c r="BZ26" s="263">
        <v>46.4</v>
      </c>
      <c r="CA26" s="263">
        <v>60.9</v>
      </c>
      <c r="CB26" s="263">
        <v>51.5</v>
      </c>
      <c r="CC26" s="263">
        <v>54.6</v>
      </c>
      <c r="CD26" s="263">
        <v>52.6</v>
      </c>
      <c r="CE26" s="263">
        <v>58.3</v>
      </c>
      <c r="CF26" s="263">
        <v>55.9</v>
      </c>
      <c r="CG26" s="263">
        <v>60.1</v>
      </c>
      <c r="CH26" s="263">
        <v>58</v>
      </c>
      <c r="CI26" s="263">
        <v>59.3</v>
      </c>
      <c r="CJ26" s="263">
        <v>58.1</v>
      </c>
      <c r="CK26" s="263">
        <v>57.3</v>
      </c>
      <c r="CL26" s="263">
        <v>61.8</v>
      </c>
    </row>
    <row r="27" spans="1:90">
      <c r="A27" s="263" t="s">
        <v>45</v>
      </c>
      <c r="B27" s="269" t="s">
        <v>44</v>
      </c>
      <c r="C27" s="263">
        <v>0.5</v>
      </c>
      <c r="D27" s="263">
        <v>0.5</v>
      </c>
      <c r="E27" s="263">
        <v>0.5</v>
      </c>
      <c r="F27" s="263">
        <v>0.6</v>
      </c>
      <c r="G27" s="263">
        <v>0.5</v>
      </c>
      <c r="H27" s="263">
        <v>0.5</v>
      </c>
      <c r="I27" s="263">
        <v>0.5</v>
      </c>
      <c r="J27" s="263">
        <v>0.5</v>
      </c>
      <c r="K27" s="263">
        <v>0.5</v>
      </c>
      <c r="L27" s="263">
        <v>0.4</v>
      </c>
      <c r="M27" s="263">
        <v>0.4</v>
      </c>
      <c r="N27" s="263">
        <v>0.5</v>
      </c>
      <c r="O27" s="263">
        <v>0.5</v>
      </c>
      <c r="P27" s="263">
        <v>0.5</v>
      </c>
      <c r="Q27" s="263">
        <v>0.6</v>
      </c>
      <c r="R27" s="263">
        <v>0.8</v>
      </c>
      <c r="S27" s="263">
        <v>0.9</v>
      </c>
      <c r="T27" s="263">
        <v>0.7</v>
      </c>
      <c r="U27" s="263">
        <v>0.7</v>
      </c>
      <c r="V27" s="263">
        <v>0.7</v>
      </c>
      <c r="W27" s="263">
        <v>0.7</v>
      </c>
      <c r="X27" s="263">
        <v>0.8</v>
      </c>
      <c r="Y27" s="263">
        <v>1.2</v>
      </c>
      <c r="Z27" s="263">
        <v>1.2</v>
      </c>
      <c r="AA27" s="263">
        <v>1.2</v>
      </c>
      <c r="AB27" s="263">
        <v>0.9</v>
      </c>
      <c r="AC27" s="263">
        <v>1.3</v>
      </c>
      <c r="AD27" s="263">
        <v>1.7</v>
      </c>
      <c r="AE27" s="263">
        <v>1.8</v>
      </c>
      <c r="AF27" s="263">
        <v>1.7</v>
      </c>
      <c r="AG27" s="263">
        <v>1.7</v>
      </c>
      <c r="AH27" s="263">
        <v>1.7</v>
      </c>
      <c r="AI27" s="263">
        <v>1.9</v>
      </c>
      <c r="AJ27" s="263">
        <v>2.1</v>
      </c>
      <c r="AK27" s="263">
        <v>2.5</v>
      </c>
      <c r="AL27" s="263">
        <v>3</v>
      </c>
      <c r="AM27" s="263">
        <v>3.5</v>
      </c>
      <c r="AN27" s="263">
        <v>3.4</v>
      </c>
      <c r="AO27" s="263">
        <v>3.6</v>
      </c>
      <c r="AP27" s="263">
        <v>4.2</v>
      </c>
      <c r="AQ27" s="263">
        <v>4.8</v>
      </c>
      <c r="AR27" s="263">
        <v>4.4000000000000004</v>
      </c>
      <c r="AS27" s="263">
        <v>4.2</v>
      </c>
      <c r="AT27" s="263">
        <v>4.8</v>
      </c>
      <c r="AU27" s="263">
        <v>5.7</v>
      </c>
      <c r="AV27" s="263">
        <v>6.8</v>
      </c>
      <c r="AW27" s="263">
        <v>9</v>
      </c>
      <c r="AX27" s="263">
        <v>9.1</v>
      </c>
      <c r="AY27" s="263">
        <v>8.1</v>
      </c>
      <c r="AZ27" s="263">
        <v>10.4</v>
      </c>
      <c r="BA27" s="263">
        <v>12.8</v>
      </c>
      <c r="BB27" s="263">
        <v>14</v>
      </c>
      <c r="BC27" s="263">
        <v>16.899999999999999</v>
      </c>
      <c r="BD27" s="263">
        <v>19.3</v>
      </c>
      <c r="BE27" s="263">
        <v>21.7</v>
      </c>
      <c r="BF27" s="263">
        <v>29.2</v>
      </c>
      <c r="BG27" s="263">
        <v>34.1</v>
      </c>
      <c r="BH27" s="263">
        <v>36</v>
      </c>
      <c r="BI27" s="263">
        <v>33.299999999999997</v>
      </c>
      <c r="BJ27" s="263">
        <v>32.799999999999997</v>
      </c>
      <c r="BK27" s="263">
        <v>38.299999999999997</v>
      </c>
      <c r="BL27" s="263">
        <v>39.200000000000003</v>
      </c>
      <c r="BM27" s="263">
        <v>38.9</v>
      </c>
      <c r="BN27" s="263">
        <v>39.700000000000003</v>
      </c>
      <c r="BO27" s="263">
        <v>39.4</v>
      </c>
      <c r="BP27" s="263">
        <v>40.700000000000003</v>
      </c>
      <c r="BQ27" s="263">
        <v>45</v>
      </c>
      <c r="BR27" s="263">
        <v>52.6</v>
      </c>
      <c r="BS27" s="263">
        <v>50.1</v>
      </c>
      <c r="BT27" s="263">
        <v>64.099999999999994</v>
      </c>
      <c r="BU27" s="263">
        <v>67.8</v>
      </c>
      <c r="BV27" s="263">
        <v>85.3</v>
      </c>
      <c r="BW27" s="263">
        <v>99.1</v>
      </c>
      <c r="BX27" s="263">
        <v>80.7</v>
      </c>
      <c r="BY27" s="263">
        <v>76.3</v>
      </c>
      <c r="BZ27" s="263">
        <v>81.400000000000006</v>
      </c>
      <c r="CA27" s="263">
        <v>93.9</v>
      </c>
      <c r="CB27" s="263">
        <v>82.6</v>
      </c>
      <c r="CC27" s="263">
        <v>98.6</v>
      </c>
      <c r="CD27" s="263">
        <v>114.4</v>
      </c>
      <c r="CE27" s="263">
        <v>124.9</v>
      </c>
      <c r="CF27" s="263">
        <v>128.5</v>
      </c>
      <c r="CG27" s="263">
        <v>131.5</v>
      </c>
      <c r="CH27" s="263">
        <v>104.7</v>
      </c>
      <c r="CI27" s="263">
        <v>118.4</v>
      </c>
      <c r="CJ27" s="263">
        <v>138.9</v>
      </c>
      <c r="CK27" s="263">
        <v>165</v>
      </c>
      <c r="CL27" s="263">
        <v>164</v>
      </c>
    </row>
    <row r="28" spans="1:90">
      <c r="A28" s="263" t="s">
        <v>43</v>
      </c>
      <c r="B28" s="263" t="s">
        <v>875</v>
      </c>
      <c r="C28" s="263">
        <v>0.4</v>
      </c>
      <c r="D28" s="263">
        <v>0.4</v>
      </c>
      <c r="E28" s="263">
        <v>0.4</v>
      </c>
      <c r="F28" s="263">
        <v>0.5</v>
      </c>
      <c r="G28" s="263">
        <v>0.4</v>
      </c>
      <c r="H28" s="263">
        <v>0.4</v>
      </c>
      <c r="I28" s="263">
        <v>0.4</v>
      </c>
      <c r="J28" s="263">
        <v>0.4</v>
      </c>
      <c r="K28" s="263">
        <v>0.4</v>
      </c>
      <c r="L28" s="263">
        <v>0.3</v>
      </c>
      <c r="M28" s="263">
        <v>0.3</v>
      </c>
      <c r="N28" s="263">
        <v>0.3</v>
      </c>
      <c r="O28" s="263">
        <v>0.4</v>
      </c>
      <c r="P28" s="263">
        <v>0.3</v>
      </c>
      <c r="Q28" s="263">
        <v>0.4</v>
      </c>
      <c r="R28" s="263">
        <v>0.4</v>
      </c>
      <c r="S28" s="263">
        <v>0.5</v>
      </c>
      <c r="T28" s="263">
        <v>0.4</v>
      </c>
      <c r="U28" s="263">
        <v>0.4</v>
      </c>
      <c r="V28" s="263">
        <v>0.4</v>
      </c>
      <c r="W28" s="263">
        <v>0.4</v>
      </c>
      <c r="X28" s="263">
        <v>0.6</v>
      </c>
      <c r="Y28" s="263">
        <v>0.9</v>
      </c>
      <c r="Z28" s="263">
        <v>0.9</v>
      </c>
      <c r="AA28" s="263">
        <v>0.8</v>
      </c>
      <c r="AB28" s="263">
        <v>0.6</v>
      </c>
      <c r="AC28" s="263">
        <v>0.9</v>
      </c>
      <c r="AD28" s="263">
        <v>1.2</v>
      </c>
      <c r="AE28" s="263">
        <v>1.4</v>
      </c>
      <c r="AF28" s="263">
        <v>1.2</v>
      </c>
      <c r="AG28" s="263">
        <v>1.3</v>
      </c>
      <c r="AH28" s="263">
        <v>1.3</v>
      </c>
      <c r="AI28" s="263">
        <v>1.4</v>
      </c>
      <c r="AJ28" s="263">
        <v>1.5</v>
      </c>
      <c r="AK28" s="263">
        <v>1.9</v>
      </c>
      <c r="AL28" s="263">
        <v>2.2000000000000002</v>
      </c>
      <c r="AM28" s="263">
        <v>2.2999999999999998</v>
      </c>
      <c r="AN28" s="263">
        <v>2.1</v>
      </c>
      <c r="AO28" s="263">
        <v>2.2999999999999998</v>
      </c>
      <c r="AP28" s="263">
        <v>2.8</v>
      </c>
      <c r="AQ28" s="263">
        <v>3.3</v>
      </c>
      <c r="AR28" s="263">
        <v>2.9</v>
      </c>
      <c r="AS28" s="263">
        <v>2.7</v>
      </c>
      <c r="AT28" s="263">
        <v>3.1</v>
      </c>
      <c r="AU28" s="263">
        <v>3.9</v>
      </c>
      <c r="AV28" s="263">
        <v>4.7</v>
      </c>
      <c r="AW28" s="263">
        <v>6.8</v>
      </c>
      <c r="AX28" s="263">
        <v>6.7</v>
      </c>
      <c r="AY28" s="263">
        <v>5.0999999999999996</v>
      </c>
      <c r="AZ28" s="263">
        <v>6.5</v>
      </c>
      <c r="BA28" s="263">
        <v>8.1999999999999993</v>
      </c>
      <c r="BB28" s="263">
        <v>8.6</v>
      </c>
      <c r="BC28" s="263">
        <v>11.2</v>
      </c>
      <c r="BD28" s="263">
        <v>12.4</v>
      </c>
      <c r="BE28" s="263">
        <v>13.8</v>
      </c>
      <c r="BF28" s="263">
        <v>19.7</v>
      </c>
      <c r="BG28" s="263">
        <v>22.3</v>
      </c>
      <c r="BH28" s="263">
        <v>22.9</v>
      </c>
      <c r="BI28" s="263">
        <v>20.2</v>
      </c>
      <c r="BJ28" s="263">
        <v>20.6</v>
      </c>
      <c r="BK28" s="263">
        <v>23.2</v>
      </c>
      <c r="BL28" s="263">
        <v>22.2</v>
      </c>
      <c r="BM28" s="263">
        <v>17.600000000000001</v>
      </c>
      <c r="BN28" s="263">
        <v>16.3</v>
      </c>
      <c r="BO28" s="263">
        <v>14.1</v>
      </c>
      <c r="BP28" s="263">
        <v>13.3</v>
      </c>
      <c r="BQ28" s="263">
        <v>18.7</v>
      </c>
      <c r="BR28" s="263">
        <v>22.9</v>
      </c>
      <c r="BS28" s="263">
        <v>19.399999999999999</v>
      </c>
      <c r="BT28" s="263">
        <v>26</v>
      </c>
      <c r="BU28" s="263">
        <v>34</v>
      </c>
      <c r="BV28" s="263">
        <v>42.4</v>
      </c>
      <c r="BW28" s="263">
        <v>46.8</v>
      </c>
      <c r="BX28" s="263">
        <v>34.200000000000003</v>
      </c>
      <c r="BY28" s="263">
        <v>26.3</v>
      </c>
      <c r="BZ28" s="263">
        <v>16.8</v>
      </c>
      <c r="CA28" s="263">
        <v>25.7</v>
      </c>
      <c r="CB28" s="263">
        <v>21.5</v>
      </c>
      <c r="CC28" s="263">
        <v>30.6</v>
      </c>
      <c r="CD28" s="263">
        <v>36.6</v>
      </c>
      <c r="CE28" s="263">
        <v>38.700000000000003</v>
      </c>
      <c r="CF28" s="263">
        <v>43</v>
      </c>
      <c r="CG28" s="263">
        <v>50.2</v>
      </c>
      <c r="CH28" s="263">
        <v>42.7</v>
      </c>
      <c r="CI28" s="263">
        <v>41.1</v>
      </c>
      <c r="CJ28" s="263">
        <v>45.6</v>
      </c>
      <c r="CK28" s="263">
        <v>53.1</v>
      </c>
      <c r="CL28" s="263">
        <v>57.4</v>
      </c>
    </row>
    <row r="29" spans="1:90">
      <c r="A29" s="263" t="s">
        <v>42</v>
      </c>
      <c r="B29" s="263" t="s">
        <v>876</v>
      </c>
      <c r="C29" s="263">
        <v>0.1</v>
      </c>
      <c r="D29" s="263">
        <v>0.1</v>
      </c>
      <c r="E29" s="263">
        <v>0.1</v>
      </c>
      <c r="F29" s="263">
        <v>0.1</v>
      </c>
      <c r="G29" s="263">
        <v>0.1</v>
      </c>
      <c r="H29" s="263">
        <v>0.1</v>
      </c>
      <c r="I29" s="263">
        <v>0.1</v>
      </c>
      <c r="J29" s="263">
        <v>0.1</v>
      </c>
      <c r="K29" s="263">
        <v>0.1</v>
      </c>
      <c r="L29" s="263">
        <v>0.2</v>
      </c>
      <c r="M29" s="263">
        <v>0.2</v>
      </c>
      <c r="N29" s="263">
        <v>0.2</v>
      </c>
      <c r="O29" s="263">
        <v>0.2</v>
      </c>
      <c r="P29" s="263">
        <v>0.2</v>
      </c>
      <c r="Q29" s="263">
        <v>0.3</v>
      </c>
      <c r="R29" s="263">
        <v>0.4</v>
      </c>
      <c r="S29" s="263">
        <v>0.4</v>
      </c>
      <c r="T29" s="263">
        <v>0.3</v>
      </c>
      <c r="U29" s="263">
        <v>0.3</v>
      </c>
      <c r="V29" s="263">
        <v>0.3</v>
      </c>
      <c r="W29" s="263">
        <v>0.3</v>
      </c>
      <c r="X29" s="263">
        <v>0.3</v>
      </c>
      <c r="Y29" s="263">
        <v>0.3</v>
      </c>
      <c r="Z29" s="263">
        <v>0.3</v>
      </c>
      <c r="AA29" s="263">
        <v>0.3</v>
      </c>
      <c r="AB29" s="263">
        <v>0.3</v>
      </c>
      <c r="AC29" s="263">
        <v>0.4</v>
      </c>
      <c r="AD29" s="263">
        <v>0.4</v>
      </c>
      <c r="AE29" s="263">
        <v>0.4</v>
      </c>
      <c r="AF29" s="263">
        <v>0.5</v>
      </c>
      <c r="AG29" s="263">
        <v>0.3</v>
      </c>
      <c r="AH29" s="263">
        <v>0.4</v>
      </c>
      <c r="AI29" s="263">
        <v>0.5</v>
      </c>
      <c r="AJ29" s="263">
        <v>0.6</v>
      </c>
      <c r="AK29" s="263">
        <v>0.7</v>
      </c>
      <c r="AL29" s="263">
        <v>0.8</v>
      </c>
      <c r="AM29" s="263">
        <v>1.2</v>
      </c>
      <c r="AN29" s="263">
        <v>1.3</v>
      </c>
      <c r="AO29" s="263">
        <v>1.4</v>
      </c>
      <c r="AP29" s="263">
        <v>1.4</v>
      </c>
      <c r="AQ29" s="263">
        <v>1.5</v>
      </c>
      <c r="AR29" s="263">
        <v>1.4</v>
      </c>
      <c r="AS29" s="263">
        <v>1.5</v>
      </c>
      <c r="AT29" s="263">
        <v>1.7</v>
      </c>
      <c r="AU29" s="263">
        <v>1.8</v>
      </c>
      <c r="AV29" s="263">
        <v>2.1</v>
      </c>
      <c r="AW29" s="263">
        <v>2.2000000000000002</v>
      </c>
      <c r="AX29" s="263">
        <v>2.4</v>
      </c>
      <c r="AY29" s="263">
        <v>3</v>
      </c>
      <c r="AZ29" s="263">
        <v>3.9</v>
      </c>
      <c r="BA29" s="263">
        <v>4.5</v>
      </c>
      <c r="BB29" s="263">
        <v>5.4</v>
      </c>
      <c r="BC29" s="263">
        <v>5.7</v>
      </c>
      <c r="BD29" s="263">
        <v>6.9</v>
      </c>
      <c r="BE29" s="263">
        <v>7.9</v>
      </c>
      <c r="BF29" s="263">
        <v>9.4</v>
      </c>
      <c r="BG29" s="263">
        <v>11.8</v>
      </c>
      <c r="BH29" s="263">
        <v>13</v>
      </c>
      <c r="BI29" s="263">
        <v>13.1</v>
      </c>
      <c r="BJ29" s="263">
        <v>12.2</v>
      </c>
      <c r="BK29" s="263">
        <v>15.1</v>
      </c>
      <c r="BL29" s="263">
        <v>17</v>
      </c>
      <c r="BM29" s="263">
        <v>21.3</v>
      </c>
      <c r="BN29" s="263">
        <v>23.6</v>
      </c>
      <c r="BO29" s="263">
        <v>25.6</v>
      </c>
      <c r="BP29" s="263">
        <v>27.9</v>
      </c>
      <c r="BQ29" s="263">
        <v>24.9</v>
      </c>
      <c r="BR29" s="263">
        <v>30.7</v>
      </c>
      <c r="BS29" s="263">
        <v>29.8</v>
      </c>
      <c r="BT29" s="263">
        <v>34.299999999999997</v>
      </c>
      <c r="BU29" s="263">
        <v>36.5</v>
      </c>
      <c r="BV29" s="263">
        <v>41.9</v>
      </c>
      <c r="BW29" s="263">
        <v>43.9</v>
      </c>
      <c r="BX29" s="263">
        <v>46.2</v>
      </c>
      <c r="BY29" s="263">
        <v>48.3</v>
      </c>
      <c r="BZ29" s="263">
        <v>52.4</v>
      </c>
      <c r="CA29" s="263">
        <v>53.4</v>
      </c>
      <c r="CB29" s="263">
        <v>58.3</v>
      </c>
      <c r="CC29" s="263">
        <v>62</v>
      </c>
      <c r="CD29" s="263">
        <v>70.599999999999994</v>
      </c>
      <c r="CE29" s="263">
        <v>88.5</v>
      </c>
      <c r="CF29" s="263">
        <v>87.2</v>
      </c>
      <c r="CG29" s="263">
        <v>89.2</v>
      </c>
      <c r="CH29" s="263">
        <v>72.599999999999994</v>
      </c>
      <c r="CI29" s="263">
        <v>90.8</v>
      </c>
      <c r="CJ29" s="263">
        <v>102.2</v>
      </c>
      <c r="CK29" s="263">
        <v>112.4</v>
      </c>
      <c r="CL29" s="263">
        <v>105.9</v>
      </c>
    </row>
    <row r="30" spans="1:90">
      <c r="A30" s="263" t="s">
        <v>41</v>
      </c>
      <c r="B30" s="263" t="s">
        <v>877</v>
      </c>
      <c r="C30" s="263" t="s">
        <v>33</v>
      </c>
      <c r="D30" s="263" t="s">
        <v>33</v>
      </c>
      <c r="E30" s="263" t="s">
        <v>33</v>
      </c>
      <c r="F30" s="263" t="s">
        <v>33</v>
      </c>
      <c r="G30" s="263" t="s">
        <v>33</v>
      </c>
      <c r="H30" s="263" t="s">
        <v>33</v>
      </c>
      <c r="I30" s="263" t="s">
        <v>33</v>
      </c>
      <c r="J30" s="263" t="s">
        <v>33</v>
      </c>
      <c r="K30" s="263" t="s">
        <v>33</v>
      </c>
      <c r="L30" s="263" t="s">
        <v>33</v>
      </c>
      <c r="M30" s="263" t="s">
        <v>33</v>
      </c>
      <c r="N30" s="263" t="s">
        <v>33</v>
      </c>
      <c r="O30" s="263" t="s">
        <v>33</v>
      </c>
      <c r="P30" s="263" t="s">
        <v>33</v>
      </c>
      <c r="Q30" s="263" t="s">
        <v>33</v>
      </c>
      <c r="R30" s="263" t="s">
        <v>33</v>
      </c>
      <c r="S30" s="263" t="s">
        <v>33</v>
      </c>
      <c r="T30" s="263" t="s">
        <v>33</v>
      </c>
      <c r="U30" s="263" t="s">
        <v>33</v>
      </c>
      <c r="V30" s="263" t="s">
        <v>33</v>
      </c>
      <c r="W30" s="263" t="s">
        <v>33</v>
      </c>
      <c r="X30" s="263" t="s">
        <v>33</v>
      </c>
      <c r="Y30" s="263" t="s">
        <v>33</v>
      </c>
      <c r="Z30" s="263" t="s">
        <v>33</v>
      </c>
      <c r="AA30" s="263" t="s">
        <v>33</v>
      </c>
      <c r="AB30" s="263" t="s">
        <v>33</v>
      </c>
      <c r="AC30" s="263" t="s">
        <v>33</v>
      </c>
      <c r="AD30" s="263" t="s">
        <v>33</v>
      </c>
      <c r="AE30" s="263" t="s">
        <v>33</v>
      </c>
      <c r="AF30" s="263" t="s">
        <v>33</v>
      </c>
      <c r="AG30" s="263" t="s">
        <v>33</v>
      </c>
      <c r="AH30" s="263" t="s">
        <v>33</v>
      </c>
      <c r="AI30" s="263" t="s">
        <v>33</v>
      </c>
      <c r="AJ30" s="263" t="s">
        <v>33</v>
      </c>
      <c r="AK30" s="263" t="s">
        <v>33</v>
      </c>
      <c r="AL30" s="263" t="s">
        <v>33</v>
      </c>
      <c r="AM30" s="263" t="s">
        <v>33</v>
      </c>
      <c r="AN30" s="263" t="s">
        <v>33</v>
      </c>
      <c r="AO30" s="263" t="s">
        <v>33</v>
      </c>
      <c r="AP30" s="263" t="s">
        <v>33</v>
      </c>
      <c r="AQ30" s="263" t="s">
        <v>33</v>
      </c>
      <c r="AR30" s="263" t="s">
        <v>33</v>
      </c>
      <c r="AS30" s="263" t="s">
        <v>33</v>
      </c>
      <c r="AT30" s="263" t="s">
        <v>33</v>
      </c>
      <c r="AU30" s="263" t="s">
        <v>33</v>
      </c>
      <c r="AV30" s="263" t="s">
        <v>33</v>
      </c>
      <c r="AW30" s="263" t="s">
        <v>33</v>
      </c>
      <c r="AX30" s="263" t="s">
        <v>33</v>
      </c>
      <c r="AY30" s="263" t="s">
        <v>33</v>
      </c>
      <c r="AZ30" s="263" t="s">
        <v>33</v>
      </c>
      <c r="BA30" s="263" t="s">
        <v>33</v>
      </c>
      <c r="BB30" s="263" t="s">
        <v>33</v>
      </c>
      <c r="BC30" s="263" t="s">
        <v>33</v>
      </c>
      <c r="BD30" s="263" t="s">
        <v>33</v>
      </c>
      <c r="BE30" s="263" t="s">
        <v>33</v>
      </c>
      <c r="BF30" s="263" t="s">
        <v>33</v>
      </c>
      <c r="BG30" s="263" t="s">
        <v>33</v>
      </c>
      <c r="BH30" s="263" t="s">
        <v>33</v>
      </c>
      <c r="BI30" s="263" t="s">
        <v>33</v>
      </c>
      <c r="BJ30" s="263" t="s">
        <v>33</v>
      </c>
      <c r="BK30" s="263" t="s">
        <v>33</v>
      </c>
      <c r="BL30" s="263" t="s">
        <v>33</v>
      </c>
      <c r="BM30" s="263" t="s">
        <v>33</v>
      </c>
      <c r="BN30" s="263">
        <v>-0.1</v>
      </c>
      <c r="BO30" s="263">
        <v>-0.3</v>
      </c>
      <c r="BP30" s="263">
        <v>-0.4</v>
      </c>
      <c r="BQ30" s="263">
        <v>1.4</v>
      </c>
      <c r="BR30" s="263">
        <v>-1</v>
      </c>
      <c r="BS30" s="263">
        <v>0.8</v>
      </c>
      <c r="BT30" s="263">
        <v>3.8</v>
      </c>
      <c r="BU30" s="263">
        <v>-2.6</v>
      </c>
      <c r="BV30" s="263">
        <v>1</v>
      </c>
      <c r="BW30" s="263">
        <v>8.5</v>
      </c>
      <c r="BX30" s="263">
        <v>0.2</v>
      </c>
      <c r="BY30" s="263">
        <v>1.7</v>
      </c>
      <c r="BZ30" s="263">
        <v>12.2</v>
      </c>
      <c r="CA30" s="263">
        <v>14.8</v>
      </c>
      <c r="CB30" s="263">
        <v>2.8</v>
      </c>
      <c r="CC30" s="263">
        <v>6</v>
      </c>
      <c r="CD30" s="263">
        <v>7.2</v>
      </c>
      <c r="CE30" s="263">
        <v>-2.2999999999999998</v>
      </c>
      <c r="CF30" s="263">
        <v>-1.7</v>
      </c>
      <c r="CG30" s="263">
        <v>-7.9</v>
      </c>
      <c r="CH30" s="263">
        <v>-10.6</v>
      </c>
      <c r="CI30" s="263">
        <v>-13.5</v>
      </c>
      <c r="CJ30" s="263">
        <v>-9</v>
      </c>
      <c r="CK30" s="263">
        <v>-0.6</v>
      </c>
      <c r="CL30" s="263">
        <v>0.7</v>
      </c>
    </row>
    <row r="31" spans="1:90">
      <c r="A31" s="263" t="s">
        <v>40</v>
      </c>
      <c r="B31" s="269" t="s">
        <v>39</v>
      </c>
      <c r="C31" s="263" t="s">
        <v>33</v>
      </c>
      <c r="D31" s="263" t="s">
        <v>33</v>
      </c>
      <c r="E31" s="263" t="s">
        <v>33</v>
      </c>
      <c r="F31" s="263" t="s">
        <v>33</v>
      </c>
      <c r="G31" s="263" t="s">
        <v>33</v>
      </c>
      <c r="H31" s="263" t="s">
        <v>33</v>
      </c>
      <c r="I31" s="263" t="s">
        <v>33</v>
      </c>
      <c r="J31" s="263" t="s">
        <v>33</v>
      </c>
      <c r="K31" s="263" t="s">
        <v>33</v>
      </c>
      <c r="L31" s="263" t="s">
        <v>33</v>
      </c>
      <c r="M31" s="263" t="s">
        <v>33</v>
      </c>
      <c r="N31" s="263" t="s">
        <v>33</v>
      </c>
      <c r="O31" s="263" t="s">
        <v>33</v>
      </c>
      <c r="P31" s="263" t="s">
        <v>33</v>
      </c>
      <c r="Q31" s="263" t="s">
        <v>33</v>
      </c>
      <c r="R31" s="263" t="s">
        <v>33</v>
      </c>
      <c r="S31" s="263" t="s">
        <v>33</v>
      </c>
      <c r="T31" s="263" t="s">
        <v>33</v>
      </c>
      <c r="U31" s="263" t="s">
        <v>33</v>
      </c>
      <c r="V31" s="263" t="s">
        <v>33</v>
      </c>
      <c r="W31" s="263" t="s">
        <v>33</v>
      </c>
      <c r="X31" s="263" t="s">
        <v>33</v>
      </c>
      <c r="Y31" s="263" t="s">
        <v>33</v>
      </c>
      <c r="Z31" s="263" t="s">
        <v>33</v>
      </c>
      <c r="AA31" s="263" t="s">
        <v>33</v>
      </c>
      <c r="AB31" s="263" t="s">
        <v>33</v>
      </c>
      <c r="AC31" s="263" t="s">
        <v>33</v>
      </c>
      <c r="AD31" s="263" t="s">
        <v>33</v>
      </c>
      <c r="AE31" s="263" t="s">
        <v>33</v>
      </c>
      <c r="AF31" s="263" t="s">
        <v>33</v>
      </c>
      <c r="AG31" s="263">
        <v>0.5</v>
      </c>
      <c r="AH31" s="263">
        <v>0.5</v>
      </c>
      <c r="AI31" s="263">
        <v>0.3</v>
      </c>
      <c r="AJ31" s="263">
        <v>0.4</v>
      </c>
      <c r="AK31" s="263">
        <v>0.8</v>
      </c>
      <c r="AL31" s="263">
        <v>0.8</v>
      </c>
      <c r="AM31" s="263">
        <v>0.7</v>
      </c>
      <c r="AN31" s="263">
        <v>0.3</v>
      </c>
      <c r="AO31" s="263">
        <v>0.2</v>
      </c>
      <c r="AP31" s="263">
        <v>0.3</v>
      </c>
      <c r="AQ31" s="263">
        <v>0</v>
      </c>
      <c r="AR31" s="263">
        <v>-1.2</v>
      </c>
      <c r="AS31" s="263">
        <v>-1.7</v>
      </c>
      <c r="AT31" s="263">
        <v>-1.2</v>
      </c>
      <c r="AU31" s="263">
        <v>-2.2000000000000002</v>
      </c>
      <c r="AV31" s="263">
        <v>-2.7</v>
      </c>
      <c r="AW31" s="263">
        <v>-4.4000000000000004</v>
      </c>
      <c r="AX31" s="263">
        <v>-2.7</v>
      </c>
      <c r="AY31" s="263">
        <v>-3.3</v>
      </c>
      <c r="AZ31" s="263">
        <v>-2.8</v>
      </c>
      <c r="BA31" s="263">
        <v>-3.2</v>
      </c>
      <c r="BB31" s="263">
        <v>-5.0999999999999996</v>
      </c>
      <c r="BC31" s="263">
        <v>-5.2</v>
      </c>
      <c r="BD31" s="263">
        <v>-3.8</v>
      </c>
      <c r="BE31" s="263">
        <v>-2.2999999999999998</v>
      </c>
      <c r="BF31" s="263">
        <v>-1.4</v>
      </c>
      <c r="BG31" s="263">
        <v>1.3</v>
      </c>
      <c r="BH31" s="263">
        <v>2</v>
      </c>
      <c r="BI31" s="263">
        <v>2.2000000000000002</v>
      </c>
      <c r="BJ31" s="263">
        <v>5</v>
      </c>
      <c r="BK31" s="263">
        <v>6.7</v>
      </c>
      <c r="BL31" s="263">
        <v>3.2</v>
      </c>
      <c r="BM31" s="263">
        <v>7.8</v>
      </c>
      <c r="BN31" s="263">
        <v>9.9</v>
      </c>
      <c r="BO31" s="263">
        <v>10.8</v>
      </c>
      <c r="BP31" s="263">
        <v>11.8</v>
      </c>
      <c r="BQ31" s="263">
        <v>15.6</v>
      </c>
      <c r="BR31" s="263">
        <v>16.899999999999999</v>
      </c>
      <c r="BS31" s="263">
        <v>17.5</v>
      </c>
      <c r="BT31" s="263">
        <v>16.3</v>
      </c>
      <c r="BU31" s="263">
        <v>16.2</v>
      </c>
      <c r="BV31" s="263">
        <v>10.7</v>
      </c>
      <c r="BW31" s="263">
        <v>5.2</v>
      </c>
      <c r="BX31" s="263">
        <v>7</v>
      </c>
      <c r="BY31" s="263">
        <v>3.9</v>
      </c>
      <c r="BZ31" s="263">
        <v>-1.8</v>
      </c>
      <c r="CA31" s="263">
        <v>-6.4</v>
      </c>
      <c r="CB31" s="263">
        <v>-9.3000000000000007</v>
      </c>
      <c r="CC31" s="263">
        <v>-16.399999999999999</v>
      </c>
      <c r="CD31" s="263">
        <v>-21.2</v>
      </c>
      <c r="CE31" s="263">
        <v>-20.6</v>
      </c>
      <c r="CF31" s="263">
        <v>-22.9</v>
      </c>
      <c r="CG31" s="263">
        <v>-24.5</v>
      </c>
      <c r="CH31" s="263">
        <v>-19.3</v>
      </c>
      <c r="CI31" s="263">
        <v>-20.9</v>
      </c>
      <c r="CJ31" s="263">
        <v>-17.899999999999999</v>
      </c>
      <c r="CK31" s="263">
        <v>-14.3</v>
      </c>
      <c r="CL31" s="263">
        <v>-10.1</v>
      </c>
    </row>
    <row r="32" spans="1:90">
      <c r="A32" s="263" t="s">
        <v>32</v>
      </c>
      <c r="B32" s="269" t="s">
        <v>38</v>
      </c>
      <c r="C32" s="263" t="s">
        <v>0</v>
      </c>
      <c r="D32" s="263" t="s">
        <v>0</v>
      </c>
      <c r="E32" s="263" t="s">
        <v>0</v>
      </c>
      <c r="F32" s="263" t="s">
        <v>0</v>
      </c>
      <c r="G32" s="263" t="s">
        <v>0</v>
      </c>
      <c r="H32" s="263" t="s">
        <v>0</v>
      </c>
      <c r="I32" s="263" t="s">
        <v>0</v>
      </c>
      <c r="J32" s="263" t="s">
        <v>0</v>
      </c>
      <c r="K32" s="263" t="s">
        <v>0</v>
      </c>
      <c r="L32" s="263" t="s">
        <v>0</v>
      </c>
      <c r="M32" s="263" t="s">
        <v>0</v>
      </c>
      <c r="N32" s="263" t="s">
        <v>0</v>
      </c>
      <c r="O32" s="263" t="s">
        <v>0</v>
      </c>
      <c r="P32" s="263" t="s">
        <v>0</v>
      </c>
      <c r="Q32" s="263" t="s">
        <v>0</v>
      </c>
      <c r="R32" s="263" t="s">
        <v>0</v>
      </c>
      <c r="S32" s="263" t="s">
        <v>0</v>
      </c>
      <c r="T32" s="263" t="s">
        <v>0</v>
      </c>
      <c r="U32" s="263" t="s">
        <v>0</v>
      </c>
      <c r="V32" s="263" t="s">
        <v>0</v>
      </c>
      <c r="W32" s="263" t="s">
        <v>0</v>
      </c>
      <c r="X32" s="263" t="s">
        <v>0</v>
      </c>
      <c r="Y32" s="263" t="s">
        <v>0</v>
      </c>
      <c r="Z32" s="263" t="s">
        <v>0</v>
      </c>
      <c r="AA32" s="263" t="s">
        <v>0</v>
      </c>
      <c r="AB32" s="263" t="s">
        <v>0</v>
      </c>
      <c r="AC32" s="263" t="s">
        <v>0</v>
      </c>
      <c r="AD32" s="263" t="s">
        <v>0</v>
      </c>
      <c r="AE32" s="263" t="s">
        <v>0</v>
      </c>
      <c r="AF32" s="263" t="s">
        <v>0</v>
      </c>
      <c r="AG32" s="263" t="s">
        <v>0</v>
      </c>
      <c r="AH32" s="263" t="s">
        <v>0</v>
      </c>
      <c r="AI32" s="263" t="s">
        <v>0</v>
      </c>
      <c r="AJ32" s="263" t="s">
        <v>0</v>
      </c>
      <c r="AK32" s="263" t="s">
        <v>0</v>
      </c>
      <c r="AL32" s="263" t="s">
        <v>0</v>
      </c>
      <c r="AM32" s="263" t="s">
        <v>0</v>
      </c>
      <c r="AN32" s="263" t="s">
        <v>0</v>
      </c>
      <c r="AO32" s="263" t="s">
        <v>0</v>
      </c>
      <c r="AP32" s="263" t="s">
        <v>0</v>
      </c>
      <c r="AQ32" s="263" t="s">
        <v>0</v>
      </c>
      <c r="AR32" s="263" t="s">
        <v>0</v>
      </c>
      <c r="AS32" s="263" t="s">
        <v>0</v>
      </c>
      <c r="AT32" s="263" t="s">
        <v>0</v>
      </c>
      <c r="AU32" s="263" t="s">
        <v>0</v>
      </c>
      <c r="AV32" s="263" t="s">
        <v>0</v>
      </c>
      <c r="AW32" s="263" t="s">
        <v>0</v>
      </c>
      <c r="AX32" s="263" t="s">
        <v>0</v>
      </c>
      <c r="AY32" s="263" t="s">
        <v>0</v>
      </c>
      <c r="AZ32" s="263" t="s">
        <v>0</v>
      </c>
      <c r="BA32" s="263" t="s">
        <v>0</v>
      </c>
      <c r="BB32" s="263" t="s">
        <v>0</v>
      </c>
      <c r="BC32" s="263" t="s">
        <v>0</v>
      </c>
      <c r="BD32" s="263" t="s">
        <v>0</v>
      </c>
      <c r="BE32" s="263" t="s">
        <v>0</v>
      </c>
      <c r="BF32" s="263" t="s">
        <v>0</v>
      </c>
      <c r="BG32" s="263" t="s">
        <v>0</v>
      </c>
      <c r="BH32" s="263" t="s">
        <v>0</v>
      </c>
      <c r="BI32" s="263" t="s">
        <v>0</v>
      </c>
      <c r="BJ32" s="263" t="s">
        <v>0</v>
      </c>
      <c r="BK32" s="263" t="s">
        <v>0</v>
      </c>
      <c r="BL32" s="263" t="s">
        <v>0</v>
      </c>
      <c r="BM32" s="263" t="s">
        <v>0</v>
      </c>
      <c r="BN32" s="263" t="s">
        <v>0</v>
      </c>
      <c r="BO32" s="263" t="s">
        <v>0</v>
      </c>
      <c r="BP32" s="263" t="s">
        <v>0</v>
      </c>
      <c r="BQ32" s="263" t="s">
        <v>0</v>
      </c>
      <c r="BR32" s="263" t="s">
        <v>0</v>
      </c>
      <c r="BS32" s="263" t="s">
        <v>0</v>
      </c>
      <c r="BT32" s="263" t="s">
        <v>0</v>
      </c>
      <c r="BU32" s="263" t="s">
        <v>0</v>
      </c>
      <c r="BV32" s="263" t="s">
        <v>0</v>
      </c>
      <c r="BW32" s="263" t="s">
        <v>0</v>
      </c>
      <c r="BX32" s="263" t="s">
        <v>0</v>
      </c>
      <c r="BY32" s="263" t="s">
        <v>0</v>
      </c>
      <c r="BZ32" s="263" t="s">
        <v>0</v>
      </c>
      <c r="CA32" s="263" t="s">
        <v>0</v>
      </c>
      <c r="CB32" s="263" t="s">
        <v>0</v>
      </c>
      <c r="CC32" s="263" t="s">
        <v>0</v>
      </c>
      <c r="CD32" s="263" t="s">
        <v>0</v>
      </c>
      <c r="CE32" s="263" t="s">
        <v>0</v>
      </c>
      <c r="CF32" s="263" t="s">
        <v>0</v>
      </c>
      <c r="CG32" s="263" t="s">
        <v>0</v>
      </c>
      <c r="CH32" s="263" t="s">
        <v>0</v>
      </c>
      <c r="CI32" s="263" t="s">
        <v>0</v>
      </c>
      <c r="CJ32" s="263" t="s">
        <v>0</v>
      </c>
      <c r="CK32" s="263" t="s">
        <v>0</v>
      </c>
      <c r="CL32" s="263" t="s">
        <v>0</v>
      </c>
    </row>
    <row r="33" spans="1:90">
      <c r="A33" s="263" t="s">
        <v>37</v>
      </c>
      <c r="B33" s="263" t="s">
        <v>878</v>
      </c>
      <c r="C33" s="263">
        <v>8.9</v>
      </c>
      <c r="D33" s="263">
        <v>6.3</v>
      </c>
      <c r="E33" s="263">
        <v>3.1</v>
      </c>
      <c r="F33" s="263">
        <v>1.1000000000000001</v>
      </c>
      <c r="G33" s="263">
        <v>1.3</v>
      </c>
      <c r="H33" s="263">
        <v>3.3</v>
      </c>
      <c r="I33" s="263">
        <v>4.4000000000000004</v>
      </c>
      <c r="J33" s="263">
        <v>4.5</v>
      </c>
      <c r="K33" s="263">
        <v>5.6</v>
      </c>
      <c r="L33" s="263">
        <v>5.6</v>
      </c>
      <c r="M33" s="263">
        <v>6.2</v>
      </c>
      <c r="N33" s="263">
        <v>8.1</v>
      </c>
      <c r="O33" s="263">
        <v>9.1999999999999993</v>
      </c>
      <c r="P33" s="263">
        <v>11.5</v>
      </c>
      <c r="Q33" s="263">
        <v>12.9</v>
      </c>
      <c r="R33" s="263">
        <v>14.2</v>
      </c>
      <c r="S33" s="263">
        <v>12.1</v>
      </c>
      <c r="T33" s="263">
        <v>11.6</v>
      </c>
      <c r="U33" s="263">
        <v>16.399999999999999</v>
      </c>
      <c r="V33" s="263">
        <v>23.4</v>
      </c>
      <c r="W33" s="263">
        <v>24</v>
      </c>
      <c r="X33" s="263">
        <v>22.6</v>
      </c>
      <c r="Y33" s="263">
        <v>25.2</v>
      </c>
      <c r="Z33" s="263">
        <v>27.8</v>
      </c>
      <c r="AA33" s="263">
        <v>28.4</v>
      </c>
      <c r="AB33" s="263">
        <v>30.9</v>
      </c>
      <c r="AC33" s="263">
        <v>37.200000000000003</v>
      </c>
      <c r="AD33" s="263">
        <v>38.5</v>
      </c>
      <c r="AE33" s="263">
        <v>40.6</v>
      </c>
      <c r="AF33" s="263">
        <v>39.799999999999997</v>
      </c>
      <c r="AG33" s="263">
        <v>46.9</v>
      </c>
      <c r="AH33" s="263">
        <v>47.1</v>
      </c>
      <c r="AI33" s="263">
        <v>48.8</v>
      </c>
      <c r="AJ33" s="263">
        <v>55.9</v>
      </c>
      <c r="AK33" s="263">
        <v>60.4</v>
      </c>
      <c r="AL33" s="263">
        <v>65.900000000000006</v>
      </c>
      <c r="AM33" s="263">
        <v>75.2</v>
      </c>
      <c r="AN33" s="263">
        <v>82.5</v>
      </c>
      <c r="AO33" s="263">
        <v>84.6</v>
      </c>
      <c r="AP33" s="263">
        <v>88.7</v>
      </c>
      <c r="AQ33" s="263">
        <v>90</v>
      </c>
      <c r="AR33" s="263">
        <v>89.1</v>
      </c>
      <c r="AS33" s="263">
        <v>105.2</v>
      </c>
      <c r="AT33" s="263">
        <v>121.7</v>
      </c>
      <c r="AU33" s="263">
        <v>135.6</v>
      </c>
      <c r="AV33" s="263">
        <v>136</v>
      </c>
      <c r="AW33" s="263">
        <v>168</v>
      </c>
      <c r="AX33" s="263">
        <v>195.3</v>
      </c>
      <c r="AY33" s="263">
        <v>227.2</v>
      </c>
      <c r="AZ33" s="263">
        <v>262.39999999999998</v>
      </c>
      <c r="BA33" s="263">
        <v>285</v>
      </c>
      <c r="BB33" s="263">
        <v>284.7</v>
      </c>
      <c r="BC33" s="263">
        <v>334.5</v>
      </c>
      <c r="BD33" s="263">
        <v>358.4</v>
      </c>
      <c r="BE33" s="263">
        <v>401.6</v>
      </c>
      <c r="BF33" s="263">
        <v>452.7</v>
      </c>
      <c r="BG33" s="263">
        <v>484.4</v>
      </c>
      <c r="BH33" s="263">
        <v>458.4</v>
      </c>
      <c r="BI33" s="263">
        <v>494.5</v>
      </c>
      <c r="BJ33" s="263">
        <v>542.79999999999995</v>
      </c>
      <c r="BK33" s="263">
        <v>535.4</v>
      </c>
      <c r="BL33" s="263">
        <v>557.9</v>
      </c>
      <c r="BM33" s="263">
        <v>611.79999999999995</v>
      </c>
      <c r="BN33" s="263">
        <v>622.9</v>
      </c>
      <c r="BO33" s="263">
        <v>664</v>
      </c>
      <c r="BP33" s="263">
        <v>734.3</v>
      </c>
      <c r="BQ33" s="263">
        <v>818.4</v>
      </c>
      <c r="BR33" s="263">
        <v>880.8</v>
      </c>
      <c r="BS33" s="263">
        <v>954.9</v>
      </c>
      <c r="BT33" s="263">
        <v>918</v>
      </c>
      <c r="BU33" s="263">
        <v>997.3</v>
      </c>
      <c r="BV33" s="263">
        <v>975.9</v>
      </c>
      <c r="BW33" s="263">
        <v>1079.8</v>
      </c>
      <c r="BX33" s="263">
        <v>1235.2</v>
      </c>
      <c r="BY33" s="263">
        <v>1320.2</v>
      </c>
      <c r="BZ33" s="263">
        <v>1386.4</v>
      </c>
      <c r="CA33" s="263">
        <v>1524.2</v>
      </c>
      <c r="CB33" s="263">
        <v>1575.7</v>
      </c>
      <c r="CC33" s="263">
        <v>1462.1</v>
      </c>
      <c r="CD33" s="263">
        <v>1490.7</v>
      </c>
      <c r="CE33" s="263">
        <v>1897.1</v>
      </c>
      <c r="CF33" s="263">
        <v>2094.9</v>
      </c>
      <c r="CG33" s="263">
        <v>2071.5</v>
      </c>
      <c r="CH33" s="263">
        <v>2049.6</v>
      </c>
      <c r="CI33" s="263">
        <v>2042</v>
      </c>
      <c r="CJ33" s="263">
        <v>2111.3000000000002</v>
      </c>
      <c r="CK33" s="263">
        <v>2098.4</v>
      </c>
      <c r="CL33" s="263">
        <v>2179.3000000000002</v>
      </c>
    </row>
    <row r="34" spans="1:90">
      <c r="A34" s="263" t="s">
        <v>36</v>
      </c>
      <c r="B34" s="263" t="s">
        <v>534</v>
      </c>
      <c r="C34" s="263">
        <v>3.7</v>
      </c>
      <c r="D34" s="263">
        <v>1.2</v>
      </c>
      <c r="E34" s="263">
        <v>-1.6</v>
      </c>
      <c r="F34" s="263">
        <v>-3.1</v>
      </c>
      <c r="G34" s="263">
        <v>-2.7</v>
      </c>
      <c r="H34" s="263">
        <v>-0.8</v>
      </c>
      <c r="I34" s="263">
        <v>0.2</v>
      </c>
      <c r="J34" s="263">
        <v>0.3</v>
      </c>
      <c r="K34" s="263">
        <v>0.9</v>
      </c>
      <c r="L34" s="263">
        <v>0.8</v>
      </c>
      <c r="M34" s="263">
        <v>1.4</v>
      </c>
      <c r="N34" s="263">
        <v>3</v>
      </c>
      <c r="O34" s="263">
        <v>3.7</v>
      </c>
      <c r="P34" s="263">
        <v>5.0999999999999996</v>
      </c>
      <c r="Q34" s="263">
        <v>6.4</v>
      </c>
      <c r="R34" s="263">
        <v>7.4</v>
      </c>
      <c r="S34" s="263">
        <v>5.2</v>
      </c>
      <c r="T34" s="263">
        <v>3.6</v>
      </c>
      <c r="U34" s="263">
        <v>6.6</v>
      </c>
      <c r="V34" s="263">
        <v>11.9</v>
      </c>
      <c r="W34" s="263">
        <v>11.6</v>
      </c>
      <c r="X34" s="263">
        <v>9.3000000000000007</v>
      </c>
      <c r="Y34" s="263">
        <v>10.1</v>
      </c>
      <c r="Z34" s="263">
        <v>11.7</v>
      </c>
      <c r="AA34" s="263">
        <v>11.1</v>
      </c>
      <c r="AB34" s="263">
        <v>12.6</v>
      </c>
      <c r="AC34" s="263">
        <v>17.600000000000001</v>
      </c>
      <c r="AD34" s="263">
        <v>16.399999999999999</v>
      </c>
      <c r="AE34" s="263">
        <v>16</v>
      </c>
      <c r="AF34" s="263">
        <v>13.3</v>
      </c>
      <c r="AG34" s="263">
        <v>19.2</v>
      </c>
      <c r="AH34" s="263">
        <v>18.5</v>
      </c>
      <c r="AI34" s="263">
        <v>19.2</v>
      </c>
      <c r="AJ34" s="263">
        <v>24.9</v>
      </c>
      <c r="AK34" s="263">
        <v>27.9</v>
      </c>
      <c r="AL34" s="263">
        <v>31.4</v>
      </c>
      <c r="AM34" s="263">
        <v>38</v>
      </c>
      <c r="AN34" s="263">
        <v>41.6</v>
      </c>
      <c r="AO34" s="263">
        <v>39.5</v>
      </c>
      <c r="AP34" s="263">
        <v>38.6</v>
      </c>
      <c r="AQ34" s="263">
        <v>34.200000000000003</v>
      </c>
      <c r="AR34" s="263">
        <v>27.2</v>
      </c>
      <c r="AS34" s="263">
        <v>37.5</v>
      </c>
      <c r="AT34" s="263">
        <v>48</v>
      </c>
      <c r="AU34" s="263">
        <v>53.5</v>
      </c>
      <c r="AV34" s="263">
        <v>39.700000000000003</v>
      </c>
      <c r="AW34" s="263">
        <v>54.3</v>
      </c>
      <c r="AX34" s="263">
        <v>70</v>
      </c>
      <c r="AY34" s="263">
        <v>86.6</v>
      </c>
      <c r="AZ34" s="263">
        <v>102.9</v>
      </c>
      <c r="BA34" s="263">
        <v>101.4</v>
      </c>
      <c r="BB34" s="263">
        <v>72.3</v>
      </c>
      <c r="BC34" s="263">
        <v>89.4</v>
      </c>
      <c r="BD34" s="263">
        <v>85.6</v>
      </c>
      <c r="BE34" s="263">
        <v>115.7</v>
      </c>
      <c r="BF34" s="263">
        <v>149.5</v>
      </c>
      <c r="BG34" s="263">
        <v>157.5</v>
      </c>
      <c r="BH34" s="263">
        <v>108.5</v>
      </c>
      <c r="BI34" s="263">
        <v>123.2</v>
      </c>
      <c r="BJ34" s="263">
        <v>143.30000000000001</v>
      </c>
      <c r="BK34" s="263">
        <v>110.2</v>
      </c>
      <c r="BL34" s="263">
        <v>102.7</v>
      </c>
      <c r="BM34" s="263">
        <v>132.19999999999999</v>
      </c>
      <c r="BN34" s="263">
        <v>137.1</v>
      </c>
      <c r="BO34" s="263">
        <v>145.6</v>
      </c>
      <c r="BP34" s="263">
        <v>192.8</v>
      </c>
      <c r="BQ34" s="263">
        <v>226.2</v>
      </c>
      <c r="BR34" s="263">
        <v>251.1</v>
      </c>
      <c r="BS34" s="263">
        <v>280.89999999999998</v>
      </c>
      <c r="BT34" s="263">
        <v>198.7</v>
      </c>
      <c r="BU34" s="263">
        <v>223.5</v>
      </c>
      <c r="BV34" s="263">
        <v>131.4</v>
      </c>
      <c r="BW34" s="263">
        <v>180.2</v>
      </c>
      <c r="BX34" s="263">
        <v>314.7</v>
      </c>
      <c r="BY34" s="263">
        <v>378.6</v>
      </c>
      <c r="BZ34" s="263">
        <v>413.2</v>
      </c>
      <c r="CA34" s="263">
        <v>484.8</v>
      </c>
      <c r="CB34" s="263">
        <v>447.1</v>
      </c>
      <c r="CC34" s="263">
        <v>264.60000000000002</v>
      </c>
      <c r="CD34" s="263">
        <v>167.3</v>
      </c>
      <c r="CE34" s="263">
        <v>552.9</v>
      </c>
      <c r="CF34" s="263">
        <v>811.9</v>
      </c>
      <c r="CG34" s="263">
        <v>733.9</v>
      </c>
      <c r="CH34" s="263">
        <v>691.2</v>
      </c>
      <c r="CI34" s="263">
        <v>635.79999999999995</v>
      </c>
      <c r="CJ34" s="263">
        <v>648.9</v>
      </c>
      <c r="CK34" s="263">
        <v>570.1</v>
      </c>
      <c r="CL34" s="263">
        <v>620.6</v>
      </c>
    </row>
    <row r="35" spans="1:90">
      <c r="A35" s="263" t="s">
        <v>35</v>
      </c>
      <c r="B35" s="263" t="s">
        <v>879</v>
      </c>
      <c r="C35" s="263">
        <v>5.2</v>
      </c>
      <c r="D35" s="263">
        <v>5.0999999999999996</v>
      </c>
      <c r="E35" s="263">
        <v>4.8</v>
      </c>
      <c r="F35" s="263">
        <v>4.2</v>
      </c>
      <c r="G35" s="263">
        <v>4</v>
      </c>
      <c r="H35" s="263">
        <v>4.0999999999999996</v>
      </c>
      <c r="I35" s="263">
        <v>4.2</v>
      </c>
      <c r="J35" s="263">
        <v>4.2</v>
      </c>
      <c r="K35" s="263">
        <v>4.7</v>
      </c>
      <c r="L35" s="263">
        <v>4.8</v>
      </c>
      <c r="M35" s="263">
        <v>4.8</v>
      </c>
      <c r="N35" s="263">
        <v>5</v>
      </c>
      <c r="O35" s="263">
        <v>5.6</v>
      </c>
      <c r="P35" s="263">
        <v>6.4</v>
      </c>
      <c r="Q35" s="263">
        <v>6.6</v>
      </c>
      <c r="R35" s="263">
        <v>6.7</v>
      </c>
      <c r="S35" s="263">
        <v>7</v>
      </c>
      <c r="T35" s="263">
        <v>8</v>
      </c>
      <c r="U35" s="263">
        <v>9.8000000000000007</v>
      </c>
      <c r="V35" s="263">
        <v>11.5</v>
      </c>
      <c r="W35" s="263">
        <v>12.4</v>
      </c>
      <c r="X35" s="263">
        <v>13.3</v>
      </c>
      <c r="Y35" s="263">
        <v>15.1</v>
      </c>
      <c r="Z35" s="263">
        <v>16.100000000000001</v>
      </c>
      <c r="AA35" s="263">
        <v>17.3</v>
      </c>
      <c r="AB35" s="263">
        <v>18.3</v>
      </c>
      <c r="AC35" s="263">
        <v>19.600000000000001</v>
      </c>
      <c r="AD35" s="263">
        <v>22.1</v>
      </c>
      <c r="AE35" s="263">
        <v>24.6</v>
      </c>
      <c r="AF35" s="263">
        <v>26.4</v>
      </c>
      <c r="AG35" s="263">
        <v>27.6</v>
      </c>
      <c r="AH35" s="263">
        <v>28.5</v>
      </c>
      <c r="AI35" s="263">
        <v>29.5</v>
      </c>
      <c r="AJ35" s="263">
        <v>30.8</v>
      </c>
      <c r="AK35" s="263">
        <v>32.4</v>
      </c>
      <c r="AL35" s="263">
        <v>34.4</v>
      </c>
      <c r="AM35" s="263">
        <v>37.1</v>
      </c>
      <c r="AN35" s="263">
        <v>40.9</v>
      </c>
      <c r="AO35" s="263">
        <v>45.1</v>
      </c>
      <c r="AP35" s="263">
        <v>50</v>
      </c>
      <c r="AQ35" s="263">
        <v>55.7</v>
      </c>
      <c r="AR35" s="263">
        <v>61.8</v>
      </c>
      <c r="AS35" s="263">
        <v>67.599999999999994</v>
      </c>
      <c r="AT35" s="263">
        <v>73.400000000000006</v>
      </c>
      <c r="AU35" s="263">
        <v>82</v>
      </c>
      <c r="AV35" s="263">
        <v>96</v>
      </c>
      <c r="AW35" s="263">
        <v>113.5</v>
      </c>
      <c r="AX35" s="263">
        <v>125</v>
      </c>
      <c r="AY35" s="263">
        <v>140.5</v>
      </c>
      <c r="AZ35" s="263">
        <v>159.30000000000001</v>
      </c>
      <c r="BA35" s="263">
        <v>183.4</v>
      </c>
      <c r="BB35" s="263">
        <v>212.1</v>
      </c>
      <c r="BC35" s="263">
        <v>244.9</v>
      </c>
      <c r="BD35" s="263">
        <v>272.5</v>
      </c>
      <c r="BE35" s="263">
        <v>285.89999999999998</v>
      </c>
      <c r="BF35" s="263">
        <v>303.2</v>
      </c>
      <c r="BG35" s="263">
        <v>326.89999999999998</v>
      </c>
      <c r="BH35" s="263">
        <v>349.9</v>
      </c>
      <c r="BI35" s="263">
        <v>371.3</v>
      </c>
      <c r="BJ35" s="263">
        <v>399.4</v>
      </c>
      <c r="BK35" s="263">
        <v>427.2</v>
      </c>
      <c r="BL35" s="263">
        <v>455.3</v>
      </c>
      <c r="BM35" s="263">
        <v>480.9</v>
      </c>
      <c r="BN35" s="263">
        <v>496.2</v>
      </c>
      <c r="BO35" s="263">
        <v>519.79999999999995</v>
      </c>
      <c r="BP35" s="263">
        <v>550.4</v>
      </c>
      <c r="BQ35" s="263">
        <v>593.6</v>
      </c>
      <c r="BR35" s="263">
        <v>629.79999999999995</v>
      </c>
      <c r="BS35" s="263">
        <v>674</v>
      </c>
      <c r="BT35" s="263">
        <v>719.3</v>
      </c>
      <c r="BU35" s="263">
        <v>774.6</v>
      </c>
      <c r="BV35" s="263">
        <v>844.5</v>
      </c>
      <c r="BW35" s="263">
        <v>894.9</v>
      </c>
      <c r="BX35" s="263">
        <v>920.5</v>
      </c>
      <c r="BY35" s="263">
        <v>941.5</v>
      </c>
      <c r="BZ35" s="263">
        <v>982.7</v>
      </c>
      <c r="CA35" s="263">
        <v>1051.5999999999999</v>
      </c>
      <c r="CB35" s="263">
        <v>1128.5999999999999</v>
      </c>
      <c r="CC35" s="263">
        <v>1197.5</v>
      </c>
      <c r="CD35" s="263">
        <v>1259.2</v>
      </c>
      <c r="CE35" s="263">
        <v>1260.5999999999999</v>
      </c>
      <c r="CF35" s="263">
        <v>1262.5</v>
      </c>
      <c r="CG35" s="263">
        <v>1298.8</v>
      </c>
      <c r="CH35" s="263">
        <v>1351</v>
      </c>
      <c r="CI35" s="263">
        <v>1400.5</v>
      </c>
      <c r="CJ35" s="263">
        <v>1465.7</v>
      </c>
      <c r="CK35" s="263">
        <v>1525.1</v>
      </c>
      <c r="CL35" s="263">
        <v>1563.2</v>
      </c>
    </row>
    <row r="36" spans="1:90">
      <c r="A36" s="263" t="s">
        <v>34</v>
      </c>
      <c r="B36" s="263" t="s">
        <v>880</v>
      </c>
      <c r="C36" s="263" t="s">
        <v>33</v>
      </c>
      <c r="D36" s="263" t="s">
        <v>33</v>
      </c>
      <c r="E36" s="263" t="s">
        <v>33</v>
      </c>
      <c r="F36" s="263" t="s">
        <v>33</v>
      </c>
      <c r="G36" s="263" t="s">
        <v>33</v>
      </c>
      <c r="H36" s="263" t="s">
        <v>33</v>
      </c>
      <c r="I36" s="263" t="s">
        <v>33</v>
      </c>
      <c r="J36" s="263" t="s">
        <v>33</v>
      </c>
      <c r="K36" s="263" t="s">
        <v>33</v>
      </c>
      <c r="L36" s="263" t="s">
        <v>33</v>
      </c>
      <c r="M36" s="263" t="s">
        <v>33</v>
      </c>
      <c r="N36" s="263" t="s">
        <v>33</v>
      </c>
      <c r="O36" s="263" t="s">
        <v>33</v>
      </c>
      <c r="P36" s="263" t="s">
        <v>33</v>
      </c>
      <c r="Q36" s="263" t="s">
        <v>33</v>
      </c>
      <c r="R36" s="263" t="s">
        <v>33</v>
      </c>
      <c r="S36" s="263" t="s">
        <v>33</v>
      </c>
      <c r="T36" s="263" t="s">
        <v>33</v>
      </c>
      <c r="U36" s="263" t="s">
        <v>33</v>
      </c>
      <c r="V36" s="263" t="s">
        <v>33</v>
      </c>
      <c r="W36" s="263" t="s">
        <v>33</v>
      </c>
      <c r="X36" s="263" t="s">
        <v>33</v>
      </c>
      <c r="Y36" s="263" t="s">
        <v>33</v>
      </c>
      <c r="Z36" s="263" t="s">
        <v>33</v>
      </c>
      <c r="AA36" s="263" t="s">
        <v>33</v>
      </c>
      <c r="AB36" s="263" t="s">
        <v>33</v>
      </c>
      <c r="AC36" s="263">
        <v>0</v>
      </c>
      <c r="AD36" s="263">
        <v>0</v>
      </c>
      <c r="AE36" s="263">
        <v>0</v>
      </c>
      <c r="AF36" s="263">
        <v>0</v>
      </c>
      <c r="AG36" s="263">
        <v>0</v>
      </c>
      <c r="AH36" s="263">
        <v>-0.1</v>
      </c>
      <c r="AI36" s="263">
        <v>-0.1</v>
      </c>
      <c r="AJ36" s="263">
        <v>-0.1</v>
      </c>
      <c r="AK36" s="263">
        <v>-0.1</v>
      </c>
      <c r="AL36" s="263">
        <v>-0.1</v>
      </c>
      <c r="AM36" s="263">
        <v>-0.1</v>
      </c>
      <c r="AN36" s="263">
        <v>-0.1</v>
      </c>
      <c r="AO36" s="263">
        <v>-0.1</v>
      </c>
      <c r="AP36" s="263">
        <v>-0.1</v>
      </c>
      <c r="AQ36" s="263">
        <v>-0.1</v>
      </c>
      <c r="AR36" s="263">
        <v>-0.1</v>
      </c>
      <c r="AS36" s="263">
        <v>-0.1</v>
      </c>
      <c r="AT36" s="263">
        <v>-0.2</v>
      </c>
      <c r="AU36" s="263">
        <v>-0.2</v>
      </c>
      <c r="AV36" s="263">
        <v>-0.2</v>
      </c>
      <c r="AW36" s="263">
        <v>-0.2</v>
      </c>
      <c r="AX36" s="263">
        <v>-0.2</v>
      </c>
      <c r="AY36" s="263">
        <v>-0.2</v>
      </c>
      <c r="AZ36" s="263">
        <v>-0.2</v>
      </c>
      <c r="BA36" s="263">
        <v>-0.2</v>
      </c>
      <c r="BB36" s="263">
        <v>-0.3</v>
      </c>
      <c r="BC36" s="263">
        <v>-0.2</v>
      </c>
      <c r="BD36" s="263">
        <v>-0.2</v>
      </c>
      <c r="BE36" s="263">
        <v>0</v>
      </c>
      <c r="BF36" s="263">
        <v>0</v>
      </c>
      <c r="BG36" s="263">
        <v>0</v>
      </c>
      <c r="BH36" s="263">
        <v>0</v>
      </c>
      <c r="BI36" s="263">
        <v>0</v>
      </c>
      <c r="BJ36" s="263">
        <v>0</v>
      </c>
      <c r="BK36" s="263">
        <v>2</v>
      </c>
      <c r="BL36" s="263">
        <v>0</v>
      </c>
      <c r="BM36" s="263">
        <v>1.3</v>
      </c>
      <c r="BN36" s="263">
        <v>10.4</v>
      </c>
      <c r="BO36" s="263">
        <v>1.4</v>
      </c>
      <c r="BP36" s="263">
        <v>8.9</v>
      </c>
      <c r="BQ36" s="263">
        <v>1.5</v>
      </c>
      <c r="BR36" s="263">
        <v>0</v>
      </c>
      <c r="BS36" s="263">
        <v>0</v>
      </c>
      <c r="BT36" s="263">
        <v>0</v>
      </c>
      <c r="BU36" s="263">
        <v>0.9</v>
      </c>
      <c r="BV36" s="263">
        <v>0</v>
      </c>
      <c r="BW36" s="263">
        <v>-4.8</v>
      </c>
      <c r="BX36" s="263">
        <v>0</v>
      </c>
      <c r="BY36" s="263">
        <v>-0.1</v>
      </c>
      <c r="BZ36" s="263">
        <v>9.5</v>
      </c>
      <c r="CA36" s="263">
        <v>12.2</v>
      </c>
      <c r="CB36" s="263">
        <v>0</v>
      </c>
      <c r="CC36" s="263">
        <v>0</v>
      </c>
      <c r="CD36" s="263">
        <v>-64.2</v>
      </c>
      <c r="CE36" s="263">
        <v>-83.6</v>
      </c>
      <c r="CF36" s="263">
        <v>-20.6</v>
      </c>
      <c r="CG36" s="263">
        <v>-38.799999999999997</v>
      </c>
      <c r="CH36" s="263">
        <v>-7.4</v>
      </c>
      <c r="CI36" s="263">
        <v>-5.7</v>
      </c>
      <c r="CJ36" s="263">
        <v>3.3</v>
      </c>
      <c r="CK36" s="263">
        <v>-3.2</v>
      </c>
      <c r="CL36" s="263">
        <v>4.4000000000000004</v>
      </c>
    </row>
    <row r="37" spans="1:90">
      <c r="A37" s="263" t="s">
        <v>32</v>
      </c>
      <c r="B37" s="269" t="s">
        <v>31</v>
      </c>
      <c r="C37" s="263" t="s">
        <v>0</v>
      </c>
      <c r="D37" s="263" t="s">
        <v>0</v>
      </c>
      <c r="E37" s="263" t="s">
        <v>0</v>
      </c>
      <c r="F37" s="263" t="s">
        <v>0</v>
      </c>
      <c r="G37" s="263" t="s">
        <v>0</v>
      </c>
      <c r="H37" s="263" t="s">
        <v>0</v>
      </c>
      <c r="I37" s="263" t="s">
        <v>0</v>
      </c>
      <c r="J37" s="263" t="s">
        <v>0</v>
      </c>
      <c r="K37" s="263" t="s">
        <v>0</v>
      </c>
      <c r="L37" s="263" t="s">
        <v>0</v>
      </c>
      <c r="M37" s="263" t="s">
        <v>0</v>
      </c>
      <c r="N37" s="263" t="s">
        <v>0</v>
      </c>
      <c r="O37" s="263" t="s">
        <v>0</v>
      </c>
      <c r="P37" s="263" t="s">
        <v>0</v>
      </c>
      <c r="Q37" s="263" t="s">
        <v>0</v>
      </c>
      <c r="R37" s="263" t="s">
        <v>0</v>
      </c>
      <c r="S37" s="263" t="s">
        <v>0</v>
      </c>
      <c r="T37" s="263" t="s">
        <v>0</v>
      </c>
      <c r="U37" s="263" t="s">
        <v>0</v>
      </c>
      <c r="V37" s="263" t="s">
        <v>0</v>
      </c>
      <c r="W37" s="263" t="s">
        <v>0</v>
      </c>
      <c r="X37" s="263" t="s">
        <v>0</v>
      </c>
      <c r="Y37" s="263" t="s">
        <v>0</v>
      </c>
      <c r="Z37" s="263" t="s">
        <v>0</v>
      </c>
      <c r="AA37" s="263" t="s">
        <v>0</v>
      </c>
      <c r="AB37" s="263" t="s">
        <v>0</v>
      </c>
      <c r="AC37" s="263" t="s">
        <v>0</v>
      </c>
      <c r="AD37" s="263" t="s">
        <v>0</v>
      </c>
      <c r="AE37" s="263" t="s">
        <v>0</v>
      </c>
      <c r="AF37" s="263" t="s">
        <v>0</v>
      </c>
      <c r="AG37" s="263" t="s">
        <v>0</v>
      </c>
      <c r="AH37" s="263" t="s">
        <v>0</v>
      </c>
      <c r="AI37" s="263" t="s">
        <v>0</v>
      </c>
      <c r="AJ37" s="263" t="s">
        <v>0</v>
      </c>
      <c r="AK37" s="263" t="s">
        <v>0</v>
      </c>
      <c r="AL37" s="263" t="s">
        <v>0</v>
      </c>
      <c r="AM37" s="263" t="s">
        <v>0</v>
      </c>
      <c r="AN37" s="263" t="s">
        <v>0</v>
      </c>
      <c r="AO37" s="263" t="s">
        <v>0</v>
      </c>
      <c r="AP37" s="263" t="s">
        <v>0</v>
      </c>
      <c r="AQ37" s="263" t="s">
        <v>0</v>
      </c>
      <c r="AR37" s="263" t="s">
        <v>0</v>
      </c>
      <c r="AS37" s="263" t="s">
        <v>0</v>
      </c>
      <c r="AT37" s="263" t="s">
        <v>0</v>
      </c>
      <c r="AU37" s="263" t="s">
        <v>0</v>
      </c>
      <c r="AV37" s="263" t="s">
        <v>0</v>
      </c>
      <c r="AW37" s="263" t="s">
        <v>0</v>
      </c>
      <c r="AX37" s="263" t="s">
        <v>0</v>
      </c>
      <c r="AY37" s="263" t="s">
        <v>0</v>
      </c>
      <c r="AZ37" s="263" t="s">
        <v>0</v>
      </c>
      <c r="BA37" s="263" t="s">
        <v>0</v>
      </c>
      <c r="BB37" s="263" t="s">
        <v>0</v>
      </c>
      <c r="BC37" s="263" t="s">
        <v>0</v>
      </c>
      <c r="BD37" s="263" t="s">
        <v>0</v>
      </c>
      <c r="BE37" s="263" t="s">
        <v>0</v>
      </c>
      <c r="BF37" s="263" t="s">
        <v>0</v>
      </c>
      <c r="BG37" s="263" t="s">
        <v>0</v>
      </c>
      <c r="BH37" s="263" t="s">
        <v>0</v>
      </c>
      <c r="BI37" s="263" t="s">
        <v>0</v>
      </c>
      <c r="BJ37" s="263" t="s">
        <v>0</v>
      </c>
      <c r="BK37" s="263" t="s">
        <v>0</v>
      </c>
      <c r="BL37" s="263" t="s">
        <v>0</v>
      </c>
      <c r="BM37" s="263" t="s">
        <v>0</v>
      </c>
      <c r="BN37" s="263" t="s">
        <v>0</v>
      </c>
      <c r="BO37" s="263" t="s">
        <v>0</v>
      </c>
      <c r="BP37" s="263" t="s">
        <v>0</v>
      </c>
      <c r="BQ37" s="263" t="s">
        <v>0</v>
      </c>
      <c r="BR37" s="263" t="s">
        <v>0</v>
      </c>
      <c r="BS37" s="263" t="s">
        <v>0</v>
      </c>
      <c r="BT37" s="263" t="s">
        <v>0</v>
      </c>
      <c r="BU37" s="263" t="s">
        <v>0</v>
      </c>
      <c r="BV37" s="263" t="s">
        <v>0</v>
      </c>
      <c r="BW37" s="263" t="s">
        <v>0</v>
      </c>
      <c r="BX37" s="263" t="s">
        <v>0</v>
      </c>
      <c r="BY37" s="263" t="s">
        <v>0</v>
      </c>
      <c r="BZ37" s="263" t="s">
        <v>0</v>
      </c>
      <c r="CA37" s="263" t="s">
        <v>0</v>
      </c>
      <c r="CB37" s="263" t="s">
        <v>0</v>
      </c>
      <c r="CC37" s="263" t="s">
        <v>0</v>
      </c>
      <c r="CD37" s="263" t="s">
        <v>0</v>
      </c>
      <c r="CE37" s="263" t="s">
        <v>0</v>
      </c>
      <c r="CF37" s="263" t="s">
        <v>0</v>
      </c>
      <c r="CG37" s="263" t="s">
        <v>0</v>
      </c>
      <c r="CH37" s="263" t="s">
        <v>0</v>
      </c>
      <c r="CI37" s="263" t="s">
        <v>0</v>
      </c>
      <c r="CJ37" s="263" t="s">
        <v>0</v>
      </c>
      <c r="CK37" s="263" t="s">
        <v>0</v>
      </c>
      <c r="CL37" s="263" t="s">
        <v>0</v>
      </c>
    </row>
    <row r="38" spans="1:90">
      <c r="A38" s="263" t="s">
        <v>30</v>
      </c>
      <c r="B38" s="263" t="s">
        <v>881</v>
      </c>
      <c r="C38" s="263">
        <v>14</v>
      </c>
      <c r="D38" s="263">
        <v>10.9</v>
      </c>
      <c r="E38" s="263">
        <v>8.3000000000000007</v>
      </c>
      <c r="F38" s="263">
        <v>5</v>
      </c>
      <c r="G38" s="263">
        <v>5.3</v>
      </c>
      <c r="H38" s="263">
        <v>7</v>
      </c>
      <c r="I38" s="263">
        <v>10.1</v>
      </c>
      <c r="J38" s="263">
        <v>10.4</v>
      </c>
      <c r="K38" s="263">
        <v>12.5</v>
      </c>
      <c r="L38" s="263">
        <v>10.6</v>
      </c>
      <c r="M38" s="263">
        <v>11.1</v>
      </c>
      <c r="N38" s="263">
        <v>12.2</v>
      </c>
      <c r="O38" s="263">
        <v>16.7</v>
      </c>
      <c r="P38" s="263">
        <v>23.3</v>
      </c>
      <c r="Q38" s="263">
        <v>28.2</v>
      </c>
      <c r="R38" s="263">
        <v>29.3</v>
      </c>
      <c r="S38" s="263">
        <v>30.8</v>
      </c>
      <c r="T38" s="263">
        <v>35.700000000000003</v>
      </c>
      <c r="U38" s="263">
        <v>34.6</v>
      </c>
      <c r="V38" s="263">
        <v>39.299999999999997</v>
      </c>
      <c r="W38" s="263">
        <v>34.700000000000003</v>
      </c>
      <c r="X38" s="263">
        <v>37.5</v>
      </c>
      <c r="Y38" s="263">
        <v>42.6</v>
      </c>
      <c r="Z38" s="263">
        <v>43</v>
      </c>
      <c r="AA38" s="263">
        <v>42</v>
      </c>
      <c r="AB38" s="263">
        <v>42.3</v>
      </c>
      <c r="AC38" s="263">
        <v>44.3</v>
      </c>
      <c r="AD38" s="263">
        <v>45.8</v>
      </c>
      <c r="AE38" s="263">
        <v>47.8</v>
      </c>
      <c r="AF38" s="263">
        <v>50.2</v>
      </c>
      <c r="AG38" s="263">
        <v>50.3</v>
      </c>
      <c r="AH38" s="263">
        <v>50.6</v>
      </c>
      <c r="AI38" s="263">
        <v>53.2</v>
      </c>
      <c r="AJ38" s="263">
        <v>55.2</v>
      </c>
      <c r="AK38" s="263">
        <v>56.4</v>
      </c>
      <c r="AL38" s="263">
        <v>59.1</v>
      </c>
      <c r="AM38" s="263">
        <v>63.7</v>
      </c>
      <c r="AN38" s="263">
        <v>67.900000000000006</v>
      </c>
      <c r="AO38" s="263">
        <v>69.5</v>
      </c>
      <c r="AP38" s="263">
        <v>73.8</v>
      </c>
      <c r="AQ38" s="263">
        <v>77</v>
      </c>
      <c r="AR38" s="263">
        <v>77.8</v>
      </c>
      <c r="AS38" s="263">
        <v>83.9</v>
      </c>
      <c r="AT38" s="263">
        <v>95.1</v>
      </c>
      <c r="AU38" s="263">
        <v>112.5</v>
      </c>
      <c r="AV38" s="263">
        <v>112.2</v>
      </c>
      <c r="AW38" s="263">
        <v>118.2</v>
      </c>
      <c r="AX38" s="263">
        <v>131</v>
      </c>
      <c r="AY38" s="263">
        <v>144.5</v>
      </c>
      <c r="AZ38" s="263">
        <v>166</v>
      </c>
      <c r="BA38" s="263">
        <v>179.4</v>
      </c>
      <c r="BB38" s="263">
        <v>171.6</v>
      </c>
      <c r="BC38" s="263">
        <v>179.7</v>
      </c>
      <c r="BD38" s="263">
        <v>171.2</v>
      </c>
      <c r="BE38" s="263">
        <v>186.3</v>
      </c>
      <c r="BF38" s="263">
        <v>228.2</v>
      </c>
      <c r="BG38" s="263">
        <v>241.1</v>
      </c>
      <c r="BH38" s="263">
        <v>256.5</v>
      </c>
      <c r="BI38" s="263">
        <v>286.5</v>
      </c>
      <c r="BJ38" s="263">
        <v>325.8</v>
      </c>
      <c r="BK38" s="263">
        <v>341.9</v>
      </c>
      <c r="BL38" s="263">
        <v>354.4</v>
      </c>
      <c r="BM38" s="263">
        <v>356</v>
      </c>
      <c r="BN38" s="263">
        <v>402.4</v>
      </c>
      <c r="BO38" s="263">
        <v>430.5</v>
      </c>
      <c r="BP38" s="263">
        <v>459.5</v>
      </c>
      <c r="BQ38" s="263">
        <v>484.5</v>
      </c>
      <c r="BR38" s="263">
        <v>547.4</v>
      </c>
      <c r="BS38" s="263">
        <v>587.9</v>
      </c>
      <c r="BT38" s="263">
        <v>644.20000000000005</v>
      </c>
      <c r="BU38" s="263">
        <v>700.4</v>
      </c>
      <c r="BV38" s="263">
        <v>757.8</v>
      </c>
      <c r="BW38" s="263">
        <v>836.8</v>
      </c>
      <c r="BX38" s="263">
        <v>871</v>
      </c>
      <c r="BY38" s="263">
        <v>900.1</v>
      </c>
      <c r="BZ38" s="263">
        <v>962.1</v>
      </c>
      <c r="CA38" s="263">
        <v>979</v>
      </c>
      <c r="CB38" s="263">
        <v>1053.7</v>
      </c>
      <c r="CC38" s="263">
        <v>979.2</v>
      </c>
      <c r="CD38" s="263">
        <v>1026.5</v>
      </c>
      <c r="CE38" s="263">
        <v>973</v>
      </c>
      <c r="CF38" s="263">
        <v>1032.7</v>
      </c>
      <c r="CG38" s="263">
        <v>1143.7</v>
      </c>
      <c r="CH38" s="263">
        <v>1241.4000000000001</v>
      </c>
      <c r="CI38" s="263">
        <v>1284.7</v>
      </c>
      <c r="CJ38" s="263">
        <v>1315.8</v>
      </c>
      <c r="CK38" s="263">
        <v>1318.8</v>
      </c>
      <c r="CL38" s="263">
        <v>1341.9</v>
      </c>
    </row>
    <row r="39" spans="1:90">
      <c r="A39" s="263" t="s">
        <v>29</v>
      </c>
      <c r="B39" s="263" t="s">
        <v>882</v>
      </c>
      <c r="C39" s="263">
        <v>5.7</v>
      </c>
      <c r="D39" s="263">
        <v>3.9</v>
      </c>
      <c r="E39" s="263">
        <v>3</v>
      </c>
      <c r="F39" s="263">
        <v>1.8</v>
      </c>
      <c r="G39" s="263">
        <v>2.2000000000000002</v>
      </c>
      <c r="H39" s="263">
        <v>2.6</v>
      </c>
      <c r="I39" s="263">
        <v>4.9000000000000004</v>
      </c>
      <c r="J39" s="263">
        <v>3.9</v>
      </c>
      <c r="K39" s="263">
        <v>5.6</v>
      </c>
      <c r="L39" s="263">
        <v>4</v>
      </c>
      <c r="M39" s="263">
        <v>4</v>
      </c>
      <c r="N39" s="263">
        <v>4.0999999999999996</v>
      </c>
      <c r="O39" s="263">
        <v>6</v>
      </c>
      <c r="P39" s="263">
        <v>9.6999999999999993</v>
      </c>
      <c r="Q39" s="263">
        <v>11.5</v>
      </c>
      <c r="R39" s="263">
        <v>11.4</v>
      </c>
      <c r="S39" s="263">
        <v>11.8</v>
      </c>
      <c r="T39" s="263">
        <v>14.2</v>
      </c>
      <c r="U39" s="263">
        <v>14.3</v>
      </c>
      <c r="V39" s="263">
        <v>16.7</v>
      </c>
      <c r="W39" s="263">
        <v>12</v>
      </c>
      <c r="X39" s="263">
        <v>12.9</v>
      </c>
      <c r="Y39" s="263">
        <v>15.3</v>
      </c>
      <c r="Z39" s="263">
        <v>14.3</v>
      </c>
      <c r="AA39" s="263">
        <v>12.2</v>
      </c>
      <c r="AB39" s="263">
        <v>11.7</v>
      </c>
      <c r="AC39" s="263">
        <v>10.7</v>
      </c>
      <c r="AD39" s="263">
        <v>10.6</v>
      </c>
      <c r="AE39" s="263">
        <v>10.6</v>
      </c>
      <c r="AF39" s="263">
        <v>12.4</v>
      </c>
      <c r="AG39" s="263">
        <v>10</v>
      </c>
      <c r="AH39" s="263">
        <v>10.6</v>
      </c>
      <c r="AI39" s="263">
        <v>11.2</v>
      </c>
      <c r="AJ39" s="263">
        <v>11.2</v>
      </c>
      <c r="AK39" s="263">
        <v>11</v>
      </c>
      <c r="AL39" s="263">
        <v>9.8000000000000007</v>
      </c>
      <c r="AM39" s="263">
        <v>12</v>
      </c>
      <c r="AN39" s="263">
        <v>13</v>
      </c>
      <c r="AO39" s="263">
        <v>11.6</v>
      </c>
      <c r="AP39" s="263">
        <v>11.7</v>
      </c>
      <c r="AQ39" s="263">
        <v>12.8</v>
      </c>
      <c r="AR39" s="263">
        <v>12.9</v>
      </c>
      <c r="AS39" s="263">
        <v>13.4</v>
      </c>
      <c r="AT39" s="263">
        <v>17</v>
      </c>
      <c r="AU39" s="263">
        <v>29.1</v>
      </c>
      <c r="AV39" s="263">
        <v>23.5</v>
      </c>
      <c r="AW39" s="263">
        <v>22</v>
      </c>
      <c r="AX39" s="263">
        <v>17.2</v>
      </c>
      <c r="AY39" s="263">
        <v>16</v>
      </c>
      <c r="AZ39" s="263">
        <v>19.899999999999999</v>
      </c>
      <c r="BA39" s="263">
        <v>22.2</v>
      </c>
      <c r="BB39" s="263">
        <v>11.7</v>
      </c>
      <c r="BC39" s="263">
        <v>19</v>
      </c>
      <c r="BD39" s="263">
        <v>13.3</v>
      </c>
      <c r="BE39" s="263">
        <v>6.2</v>
      </c>
      <c r="BF39" s="263">
        <v>20.9</v>
      </c>
      <c r="BG39" s="263">
        <v>21</v>
      </c>
      <c r="BH39" s="263">
        <v>22.8</v>
      </c>
      <c r="BI39" s="263">
        <v>28.9</v>
      </c>
      <c r="BJ39" s="263">
        <v>26.8</v>
      </c>
      <c r="BK39" s="263">
        <v>33</v>
      </c>
      <c r="BL39" s="263">
        <v>32.200000000000003</v>
      </c>
      <c r="BM39" s="263">
        <v>26.8</v>
      </c>
      <c r="BN39" s="263">
        <v>34.799999999999997</v>
      </c>
      <c r="BO39" s="263">
        <v>31.4</v>
      </c>
      <c r="BP39" s="263">
        <v>34.700000000000003</v>
      </c>
      <c r="BQ39" s="263">
        <v>22</v>
      </c>
      <c r="BR39" s="263">
        <v>37.299999999999997</v>
      </c>
      <c r="BS39" s="263">
        <v>32.4</v>
      </c>
      <c r="BT39" s="263">
        <v>28.4</v>
      </c>
      <c r="BU39" s="263">
        <v>28.1</v>
      </c>
      <c r="BV39" s="263">
        <v>31.5</v>
      </c>
      <c r="BW39" s="263">
        <v>32.1</v>
      </c>
      <c r="BX39" s="263">
        <v>19.899999999999999</v>
      </c>
      <c r="BY39" s="263">
        <v>38</v>
      </c>
      <c r="BZ39" s="263">
        <v>50.4</v>
      </c>
      <c r="CA39" s="263">
        <v>46.4</v>
      </c>
      <c r="CB39" s="263">
        <v>36</v>
      </c>
      <c r="CC39" s="263">
        <v>38.1</v>
      </c>
      <c r="CD39" s="263">
        <v>47</v>
      </c>
      <c r="CE39" s="263">
        <v>35.5</v>
      </c>
      <c r="CF39" s="263">
        <v>46</v>
      </c>
      <c r="CG39" s="263">
        <v>75.5</v>
      </c>
      <c r="CH39" s="263">
        <v>61.6</v>
      </c>
      <c r="CI39" s="263">
        <v>87.8</v>
      </c>
      <c r="CJ39" s="263">
        <v>68.099999999999994</v>
      </c>
      <c r="CK39" s="263">
        <v>53.7</v>
      </c>
      <c r="CL39" s="263">
        <v>43.2</v>
      </c>
    </row>
    <row r="40" spans="1:90">
      <c r="A40" s="263" t="s">
        <v>27</v>
      </c>
      <c r="B40" s="263" t="s">
        <v>883</v>
      </c>
      <c r="C40" s="263">
        <v>5.7</v>
      </c>
      <c r="D40" s="263">
        <v>3.9</v>
      </c>
      <c r="E40" s="263">
        <v>3</v>
      </c>
      <c r="F40" s="263">
        <v>1.7</v>
      </c>
      <c r="G40" s="263">
        <v>2.2000000000000002</v>
      </c>
      <c r="H40" s="263">
        <v>2.6</v>
      </c>
      <c r="I40" s="263">
        <v>4.9000000000000004</v>
      </c>
      <c r="J40" s="263">
        <v>4</v>
      </c>
      <c r="K40" s="263">
        <v>5.7</v>
      </c>
      <c r="L40" s="263">
        <v>4.0999999999999996</v>
      </c>
      <c r="M40" s="263">
        <v>4</v>
      </c>
      <c r="N40" s="263">
        <v>4.0999999999999996</v>
      </c>
      <c r="O40" s="263">
        <v>6.1</v>
      </c>
      <c r="P40" s="263">
        <v>9.8000000000000007</v>
      </c>
      <c r="Q40" s="263">
        <v>11.7</v>
      </c>
      <c r="R40" s="263">
        <v>11.6</v>
      </c>
      <c r="S40" s="263">
        <v>12</v>
      </c>
      <c r="T40" s="263">
        <v>14.4</v>
      </c>
      <c r="U40" s="263">
        <v>14.6</v>
      </c>
      <c r="V40" s="263">
        <v>17.100000000000001</v>
      </c>
      <c r="W40" s="263">
        <v>12.4</v>
      </c>
      <c r="X40" s="263">
        <v>13.3</v>
      </c>
      <c r="Y40" s="263">
        <v>15.8</v>
      </c>
      <c r="Z40" s="263">
        <v>14.9</v>
      </c>
      <c r="AA40" s="263">
        <v>12.7</v>
      </c>
      <c r="AB40" s="263">
        <v>12.2</v>
      </c>
      <c r="AC40" s="263">
        <v>11.2</v>
      </c>
      <c r="AD40" s="263">
        <v>11.1</v>
      </c>
      <c r="AE40" s="263">
        <v>11.1</v>
      </c>
      <c r="AF40" s="263">
        <v>13</v>
      </c>
      <c r="AG40" s="263">
        <v>10.7</v>
      </c>
      <c r="AH40" s="263">
        <v>11.2</v>
      </c>
      <c r="AI40" s="263">
        <v>11.8</v>
      </c>
      <c r="AJ40" s="263">
        <v>11.7</v>
      </c>
      <c r="AK40" s="263">
        <v>11.5</v>
      </c>
      <c r="AL40" s="263">
        <v>10.3</v>
      </c>
      <c r="AM40" s="263">
        <v>12.5</v>
      </c>
      <c r="AN40" s="263">
        <v>13.6</v>
      </c>
      <c r="AO40" s="263">
        <v>12.3</v>
      </c>
      <c r="AP40" s="263">
        <v>12.3</v>
      </c>
      <c r="AQ40" s="263">
        <v>13.6</v>
      </c>
      <c r="AR40" s="263">
        <v>13.8</v>
      </c>
      <c r="AS40" s="263">
        <v>14.5</v>
      </c>
      <c r="AT40" s="263">
        <v>18.2</v>
      </c>
      <c r="AU40" s="263">
        <v>30.3</v>
      </c>
      <c r="AV40" s="263">
        <v>25.3</v>
      </c>
      <c r="AW40" s="263">
        <v>24.6</v>
      </c>
      <c r="AX40" s="263">
        <v>20.100000000000001</v>
      </c>
      <c r="AY40" s="263">
        <v>19.3</v>
      </c>
      <c r="AZ40" s="263">
        <v>23.7</v>
      </c>
      <c r="BA40" s="263">
        <v>26.6</v>
      </c>
      <c r="BB40" s="263">
        <v>17.3</v>
      </c>
      <c r="BC40" s="263">
        <v>25.6</v>
      </c>
      <c r="BD40" s="263">
        <v>20.399999999999999</v>
      </c>
      <c r="BE40" s="263">
        <v>13.1</v>
      </c>
      <c r="BF40" s="263">
        <v>27.6</v>
      </c>
      <c r="BG40" s="263">
        <v>27.2</v>
      </c>
      <c r="BH40" s="263">
        <v>28.9</v>
      </c>
      <c r="BI40" s="263">
        <v>34.799999999999997</v>
      </c>
      <c r="BJ40" s="263">
        <v>32.5</v>
      </c>
      <c r="BK40" s="263">
        <v>38.799999999999997</v>
      </c>
      <c r="BL40" s="263">
        <v>37.799999999999997</v>
      </c>
      <c r="BM40" s="263">
        <v>32.5</v>
      </c>
      <c r="BN40" s="263">
        <v>40.4</v>
      </c>
      <c r="BO40" s="263">
        <v>36.799999999999997</v>
      </c>
      <c r="BP40" s="263">
        <v>40.1</v>
      </c>
      <c r="BQ40" s="263">
        <v>27.4</v>
      </c>
      <c r="BR40" s="263">
        <v>42.6</v>
      </c>
      <c r="BS40" s="263">
        <v>37.4</v>
      </c>
      <c r="BT40" s="263">
        <v>33.200000000000003</v>
      </c>
      <c r="BU40" s="263">
        <v>32.9</v>
      </c>
      <c r="BV40" s="263">
        <v>36.1</v>
      </c>
      <c r="BW40" s="263">
        <v>36.700000000000003</v>
      </c>
      <c r="BX40" s="263">
        <v>24.4</v>
      </c>
      <c r="BY40" s="263">
        <v>42.6</v>
      </c>
      <c r="BZ40" s="263">
        <v>55.3</v>
      </c>
      <c r="CA40" s="263">
        <v>51.8</v>
      </c>
      <c r="CB40" s="263">
        <v>41.8</v>
      </c>
      <c r="CC40" s="263">
        <v>44.2</v>
      </c>
      <c r="CD40" s="263">
        <v>53.5</v>
      </c>
      <c r="CE40" s="263">
        <v>41.8</v>
      </c>
      <c r="CF40" s="263">
        <v>51.8</v>
      </c>
      <c r="CG40" s="263">
        <v>81.400000000000006</v>
      </c>
      <c r="CH40" s="263">
        <v>67.400000000000006</v>
      </c>
      <c r="CI40" s="263">
        <v>93.6</v>
      </c>
      <c r="CJ40" s="263">
        <v>74.2</v>
      </c>
      <c r="CK40" s="263">
        <v>59.7</v>
      </c>
      <c r="CL40" s="263">
        <v>49.2</v>
      </c>
    </row>
    <row r="41" spans="1:90">
      <c r="A41" s="263" t="s">
        <v>26</v>
      </c>
      <c r="B41" s="263" t="s">
        <v>884</v>
      </c>
      <c r="C41" s="263">
        <v>-0.1</v>
      </c>
      <c r="D41" s="263">
        <v>0</v>
      </c>
      <c r="E41" s="263">
        <v>0</v>
      </c>
      <c r="F41" s="263">
        <v>0</v>
      </c>
      <c r="G41" s="263">
        <v>0</v>
      </c>
      <c r="H41" s="263">
        <v>0</v>
      </c>
      <c r="I41" s="263">
        <v>0</v>
      </c>
      <c r="J41" s="263">
        <v>0</v>
      </c>
      <c r="K41" s="263">
        <v>0</v>
      </c>
      <c r="L41" s="263">
        <v>0</v>
      </c>
      <c r="M41" s="263">
        <v>0</v>
      </c>
      <c r="N41" s="263">
        <v>0</v>
      </c>
      <c r="O41" s="263">
        <v>-0.1</v>
      </c>
      <c r="P41" s="263">
        <v>-0.1</v>
      </c>
      <c r="Q41" s="263">
        <v>-0.2</v>
      </c>
      <c r="R41" s="263">
        <v>-0.2</v>
      </c>
      <c r="S41" s="263">
        <v>-0.2</v>
      </c>
      <c r="T41" s="263">
        <v>-0.2</v>
      </c>
      <c r="U41" s="263">
        <v>-0.3</v>
      </c>
      <c r="V41" s="263">
        <v>-0.4</v>
      </c>
      <c r="W41" s="263">
        <v>-0.4</v>
      </c>
      <c r="X41" s="263">
        <v>-0.4</v>
      </c>
      <c r="Y41" s="263">
        <v>-0.5</v>
      </c>
      <c r="Z41" s="263">
        <v>-0.6</v>
      </c>
      <c r="AA41" s="263">
        <v>-0.5</v>
      </c>
      <c r="AB41" s="263">
        <v>-0.5</v>
      </c>
      <c r="AC41" s="263">
        <v>-0.4</v>
      </c>
      <c r="AD41" s="263">
        <v>-0.5</v>
      </c>
      <c r="AE41" s="263">
        <v>-0.6</v>
      </c>
      <c r="AF41" s="263">
        <v>-0.6</v>
      </c>
      <c r="AG41" s="263">
        <v>-0.6</v>
      </c>
      <c r="AH41" s="263">
        <v>-0.6</v>
      </c>
      <c r="AI41" s="263">
        <v>-0.5</v>
      </c>
      <c r="AJ41" s="263">
        <v>-0.5</v>
      </c>
      <c r="AK41" s="263">
        <v>-0.5</v>
      </c>
      <c r="AL41" s="263">
        <v>-0.5</v>
      </c>
      <c r="AM41" s="263">
        <v>-0.5</v>
      </c>
      <c r="AN41" s="263">
        <v>-0.6</v>
      </c>
      <c r="AO41" s="263">
        <v>-0.6</v>
      </c>
      <c r="AP41" s="263">
        <v>-0.7</v>
      </c>
      <c r="AQ41" s="263">
        <v>-0.8</v>
      </c>
      <c r="AR41" s="263">
        <v>-0.9</v>
      </c>
      <c r="AS41" s="263">
        <v>-1.1000000000000001</v>
      </c>
      <c r="AT41" s="263">
        <v>-1.2</v>
      </c>
      <c r="AU41" s="263">
        <v>-1.3</v>
      </c>
      <c r="AV41" s="263">
        <v>-1.8</v>
      </c>
      <c r="AW41" s="263">
        <v>-2.6</v>
      </c>
      <c r="AX41" s="263">
        <v>-2.9</v>
      </c>
      <c r="AY41" s="263">
        <v>-3.3</v>
      </c>
      <c r="AZ41" s="263">
        <v>-3.8</v>
      </c>
      <c r="BA41" s="263">
        <v>-4.5</v>
      </c>
      <c r="BB41" s="263">
        <v>-5.6</v>
      </c>
      <c r="BC41" s="263">
        <v>-6.6</v>
      </c>
      <c r="BD41" s="263">
        <v>-7.1</v>
      </c>
      <c r="BE41" s="263">
        <v>-7</v>
      </c>
      <c r="BF41" s="263">
        <v>-6.7</v>
      </c>
      <c r="BG41" s="263">
        <v>-6.2</v>
      </c>
      <c r="BH41" s="263">
        <v>-6.1</v>
      </c>
      <c r="BI41" s="263">
        <v>-5.9</v>
      </c>
      <c r="BJ41" s="263">
        <v>-5.7</v>
      </c>
      <c r="BK41" s="263">
        <v>-5.7</v>
      </c>
      <c r="BL41" s="263">
        <v>-5.7</v>
      </c>
      <c r="BM41" s="263">
        <v>-5.7</v>
      </c>
      <c r="BN41" s="263">
        <v>-5.6</v>
      </c>
      <c r="BO41" s="263">
        <v>-5.5</v>
      </c>
      <c r="BP41" s="263">
        <v>-5.4</v>
      </c>
      <c r="BQ41" s="263">
        <v>-5.4</v>
      </c>
      <c r="BR41" s="263">
        <v>-5.3</v>
      </c>
      <c r="BS41" s="263">
        <v>-5</v>
      </c>
      <c r="BT41" s="263">
        <v>-4.8</v>
      </c>
      <c r="BU41" s="263">
        <v>-4.7</v>
      </c>
      <c r="BV41" s="263">
        <v>-4.7</v>
      </c>
      <c r="BW41" s="263">
        <v>-4.5999999999999996</v>
      </c>
      <c r="BX41" s="263">
        <v>-4.5</v>
      </c>
      <c r="BY41" s="263">
        <v>-4.5</v>
      </c>
      <c r="BZ41" s="263">
        <v>-4.8</v>
      </c>
      <c r="CA41" s="263">
        <v>-5.5</v>
      </c>
      <c r="CB41" s="263">
        <v>-5.9</v>
      </c>
      <c r="CC41" s="263">
        <v>-6.1</v>
      </c>
      <c r="CD41" s="263">
        <v>-6.5</v>
      </c>
      <c r="CE41" s="263">
        <v>-6.4</v>
      </c>
      <c r="CF41" s="263">
        <v>-5.8</v>
      </c>
      <c r="CG41" s="263">
        <v>-5.9</v>
      </c>
      <c r="CH41" s="263">
        <v>-5.9</v>
      </c>
      <c r="CI41" s="263">
        <v>-5.8</v>
      </c>
      <c r="CJ41" s="263">
        <v>-6</v>
      </c>
      <c r="CK41" s="263">
        <v>-6</v>
      </c>
      <c r="CL41" s="263">
        <v>-6.1</v>
      </c>
    </row>
    <row r="42" spans="1:90">
      <c r="A42" s="263" t="s">
        <v>25</v>
      </c>
      <c r="B42" s="263" t="s">
        <v>885</v>
      </c>
      <c r="C42" s="263">
        <v>8.4</v>
      </c>
      <c r="D42" s="263">
        <v>7</v>
      </c>
      <c r="E42" s="263">
        <v>5.3</v>
      </c>
      <c r="F42" s="263">
        <v>3.3</v>
      </c>
      <c r="G42" s="263">
        <v>3</v>
      </c>
      <c r="H42" s="263">
        <v>4.4000000000000004</v>
      </c>
      <c r="I42" s="263">
        <v>5.2</v>
      </c>
      <c r="J42" s="263">
        <v>6.4</v>
      </c>
      <c r="K42" s="263">
        <v>6.9</v>
      </c>
      <c r="L42" s="263">
        <v>6.6</v>
      </c>
      <c r="M42" s="263">
        <v>7.1</v>
      </c>
      <c r="N42" s="263">
        <v>8.1999999999999993</v>
      </c>
      <c r="O42" s="263">
        <v>10.6</v>
      </c>
      <c r="P42" s="263">
        <v>13.7</v>
      </c>
      <c r="Q42" s="263">
        <v>16.7</v>
      </c>
      <c r="R42" s="263">
        <v>17.899999999999999</v>
      </c>
      <c r="S42" s="263">
        <v>19</v>
      </c>
      <c r="T42" s="263">
        <v>21.5</v>
      </c>
      <c r="U42" s="263">
        <v>20.2</v>
      </c>
      <c r="V42" s="263">
        <v>22.6</v>
      </c>
      <c r="W42" s="263">
        <v>22.7</v>
      </c>
      <c r="X42" s="263">
        <v>24.6</v>
      </c>
      <c r="Y42" s="263">
        <v>27.3</v>
      </c>
      <c r="Z42" s="263">
        <v>28.7</v>
      </c>
      <c r="AA42" s="263">
        <v>29.8</v>
      </c>
      <c r="AB42" s="263">
        <v>30.5</v>
      </c>
      <c r="AC42" s="263">
        <v>33.6</v>
      </c>
      <c r="AD42" s="263">
        <v>35.200000000000003</v>
      </c>
      <c r="AE42" s="263">
        <v>37.200000000000003</v>
      </c>
      <c r="AF42" s="263">
        <v>37.700000000000003</v>
      </c>
      <c r="AG42" s="263">
        <v>40.299999999999997</v>
      </c>
      <c r="AH42" s="263">
        <v>39.9</v>
      </c>
      <c r="AI42" s="263">
        <v>42</v>
      </c>
      <c r="AJ42" s="263">
        <v>44</v>
      </c>
      <c r="AK42" s="263">
        <v>45.4</v>
      </c>
      <c r="AL42" s="263">
        <v>49.4</v>
      </c>
      <c r="AM42" s="263">
        <v>51.6</v>
      </c>
      <c r="AN42" s="263">
        <v>54.9</v>
      </c>
      <c r="AO42" s="263">
        <v>57.8</v>
      </c>
      <c r="AP42" s="263">
        <v>62.2</v>
      </c>
      <c r="AQ42" s="263">
        <v>64.2</v>
      </c>
      <c r="AR42" s="263">
        <v>64.900000000000006</v>
      </c>
      <c r="AS42" s="263">
        <v>70.5</v>
      </c>
      <c r="AT42" s="263">
        <v>78.099999999999994</v>
      </c>
      <c r="AU42" s="263">
        <v>83.4</v>
      </c>
      <c r="AV42" s="263">
        <v>88.7</v>
      </c>
      <c r="AW42" s="263">
        <v>96.2</v>
      </c>
      <c r="AX42" s="263">
        <v>113.8</v>
      </c>
      <c r="AY42" s="263">
        <v>128.5</v>
      </c>
      <c r="AZ42" s="263">
        <v>146.1</v>
      </c>
      <c r="BA42" s="263">
        <v>157.30000000000001</v>
      </c>
      <c r="BB42" s="263">
        <v>159.9</v>
      </c>
      <c r="BC42" s="263">
        <v>160.69999999999999</v>
      </c>
      <c r="BD42" s="263">
        <v>157.9</v>
      </c>
      <c r="BE42" s="263">
        <v>180.1</v>
      </c>
      <c r="BF42" s="263">
        <v>207.3</v>
      </c>
      <c r="BG42" s="263">
        <v>220.1</v>
      </c>
      <c r="BH42" s="263">
        <v>233.7</v>
      </c>
      <c r="BI42" s="263">
        <v>257.60000000000002</v>
      </c>
      <c r="BJ42" s="263">
        <v>299.10000000000002</v>
      </c>
      <c r="BK42" s="263">
        <v>308.89999999999998</v>
      </c>
      <c r="BL42" s="263">
        <v>322.3</v>
      </c>
      <c r="BM42" s="263">
        <v>329.2</v>
      </c>
      <c r="BN42" s="263">
        <v>367.6</v>
      </c>
      <c r="BO42" s="263">
        <v>399.2</v>
      </c>
      <c r="BP42" s="263">
        <v>424.8</v>
      </c>
      <c r="BQ42" s="263">
        <v>462.4</v>
      </c>
      <c r="BR42" s="263">
        <v>510.1</v>
      </c>
      <c r="BS42" s="263">
        <v>555.5</v>
      </c>
      <c r="BT42" s="263">
        <v>615.70000000000005</v>
      </c>
      <c r="BU42" s="263">
        <v>672.3</v>
      </c>
      <c r="BV42" s="263">
        <v>726.3</v>
      </c>
      <c r="BW42" s="263">
        <v>804.7</v>
      </c>
      <c r="BX42" s="263">
        <v>851.1</v>
      </c>
      <c r="BY42" s="263">
        <v>862</v>
      </c>
      <c r="BZ42" s="263">
        <v>911.6</v>
      </c>
      <c r="CA42" s="263">
        <v>932.6</v>
      </c>
      <c r="CB42" s="263">
        <v>1017.7</v>
      </c>
      <c r="CC42" s="263">
        <v>941.1</v>
      </c>
      <c r="CD42" s="263">
        <v>979.5</v>
      </c>
      <c r="CE42" s="263">
        <v>937.5</v>
      </c>
      <c r="CF42" s="263">
        <v>986.7</v>
      </c>
      <c r="CG42" s="263">
        <v>1068.0999999999999</v>
      </c>
      <c r="CH42" s="263">
        <v>1179.8</v>
      </c>
      <c r="CI42" s="263">
        <v>1197</v>
      </c>
      <c r="CJ42" s="263">
        <v>1247.7</v>
      </c>
      <c r="CK42" s="263">
        <v>1265.0999999999999</v>
      </c>
      <c r="CL42" s="263">
        <v>1298.7</v>
      </c>
    </row>
    <row r="43" spans="1:90">
      <c r="A43" s="263" t="s">
        <v>23</v>
      </c>
      <c r="B43" s="263" t="s">
        <v>886</v>
      </c>
      <c r="C43" s="263">
        <v>9</v>
      </c>
      <c r="D43" s="263">
        <v>7</v>
      </c>
      <c r="E43" s="263">
        <v>5.3</v>
      </c>
      <c r="F43" s="263">
        <v>3.5</v>
      </c>
      <c r="G43" s="263">
        <v>4</v>
      </c>
      <c r="H43" s="263">
        <v>4.9000000000000004</v>
      </c>
      <c r="I43" s="263">
        <v>5.7</v>
      </c>
      <c r="J43" s="263">
        <v>6.9</v>
      </c>
      <c r="K43" s="263">
        <v>7.4</v>
      </c>
      <c r="L43" s="263">
        <v>6.8</v>
      </c>
      <c r="M43" s="263">
        <v>7.7</v>
      </c>
      <c r="N43" s="263">
        <v>8.6999999999999993</v>
      </c>
      <c r="O43" s="263">
        <v>11.7</v>
      </c>
      <c r="P43" s="263">
        <v>14.5</v>
      </c>
      <c r="Q43" s="263">
        <v>17.2</v>
      </c>
      <c r="R43" s="263">
        <v>18.3</v>
      </c>
      <c r="S43" s="263">
        <v>19.399999999999999</v>
      </c>
      <c r="T43" s="263">
        <v>23.5</v>
      </c>
      <c r="U43" s="263">
        <v>22</v>
      </c>
      <c r="V43" s="263">
        <v>23.3</v>
      </c>
      <c r="W43" s="263">
        <v>22.3</v>
      </c>
      <c r="X43" s="263">
        <v>25.8</v>
      </c>
      <c r="Y43" s="263">
        <v>27.8</v>
      </c>
      <c r="Z43" s="263">
        <v>28.6</v>
      </c>
      <c r="AA43" s="263">
        <v>30</v>
      </c>
      <c r="AB43" s="263">
        <v>30.5</v>
      </c>
      <c r="AC43" s="263">
        <v>33.799999999999997</v>
      </c>
      <c r="AD43" s="263">
        <v>35.6</v>
      </c>
      <c r="AE43" s="263">
        <v>37.5</v>
      </c>
      <c r="AF43" s="263">
        <v>37.9</v>
      </c>
      <c r="AG43" s="263">
        <v>40.5</v>
      </c>
      <c r="AH43" s="263">
        <v>40.1</v>
      </c>
      <c r="AI43" s="263">
        <v>42.2</v>
      </c>
      <c r="AJ43" s="263">
        <v>44.2</v>
      </c>
      <c r="AK43" s="263">
        <v>45.5</v>
      </c>
      <c r="AL43" s="263">
        <v>49.4</v>
      </c>
      <c r="AM43" s="263">
        <v>52.1</v>
      </c>
      <c r="AN43" s="263">
        <v>55.6</v>
      </c>
      <c r="AO43" s="263">
        <v>58.6</v>
      </c>
      <c r="AP43" s="263">
        <v>63</v>
      </c>
      <c r="AQ43" s="263">
        <v>65</v>
      </c>
      <c r="AR43" s="263">
        <v>65.900000000000006</v>
      </c>
      <c r="AS43" s="263">
        <v>71.8</v>
      </c>
      <c r="AT43" s="263">
        <v>79</v>
      </c>
      <c r="AU43" s="263">
        <v>85.5</v>
      </c>
      <c r="AV43" s="263">
        <v>92.8</v>
      </c>
      <c r="AW43" s="263">
        <v>98.9</v>
      </c>
      <c r="AX43" s="263">
        <v>116.2</v>
      </c>
      <c r="AY43" s="263">
        <v>130.69999999999999</v>
      </c>
      <c r="AZ43" s="263">
        <v>148.30000000000001</v>
      </c>
      <c r="BA43" s="263">
        <v>159.1</v>
      </c>
      <c r="BB43" s="263">
        <v>161.69999999999999</v>
      </c>
      <c r="BC43" s="263">
        <v>157.19999999999999</v>
      </c>
      <c r="BD43" s="263">
        <v>154.4</v>
      </c>
      <c r="BE43" s="263">
        <v>167.8</v>
      </c>
      <c r="BF43" s="263">
        <v>185.3</v>
      </c>
      <c r="BG43" s="263">
        <v>189.1</v>
      </c>
      <c r="BH43" s="263">
        <v>197.9</v>
      </c>
      <c r="BI43" s="263">
        <v>228.1</v>
      </c>
      <c r="BJ43" s="263">
        <v>270.39999999999998</v>
      </c>
      <c r="BK43" s="263">
        <v>280.2</v>
      </c>
      <c r="BL43" s="263">
        <v>303.7</v>
      </c>
      <c r="BM43" s="263">
        <v>313</v>
      </c>
      <c r="BN43" s="263">
        <v>349.7</v>
      </c>
      <c r="BO43" s="263">
        <v>381.3</v>
      </c>
      <c r="BP43" s="263">
        <v>411.7</v>
      </c>
      <c r="BQ43" s="263">
        <v>449.5</v>
      </c>
      <c r="BR43" s="263">
        <v>490.5</v>
      </c>
      <c r="BS43" s="263">
        <v>526</v>
      </c>
      <c r="BT43" s="263">
        <v>579.5</v>
      </c>
      <c r="BU43" s="263">
        <v>627.70000000000005</v>
      </c>
      <c r="BV43" s="263">
        <v>674</v>
      </c>
      <c r="BW43" s="263">
        <v>730.4</v>
      </c>
      <c r="BX43" s="263">
        <v>763</v>
      </c>
      <c r="BY43" s="263">
        <v>768.9</v>
      </c>
      <c r="BZ43" s="263">
        <v>816.1</v>
      </c>
      <c r="CA43" s="263">
        <v>871</v>
      </c>
      <c r="CB43" s="263">
        <v>947.8</v>
      </c>
      <c r="CC43" s="263">
        <v>865.5</v>
      </c>
      <c r="CD43" s="263">
        <v>838.5</v>
      </c>
      <c r="CE43" s="263">
        <v>796.8</v>
      </c>
      <c r="CF43" s="263">
        <v>842.9</v>
      </c>
      <c r="CG43" s="263">
        <v>885.7</v>
      </c>
      <c r="CH43" s="263">
        <v>1024.3</v>
      </c>
      <c r="CI43" s="263">
        <v>1011.7</v>
      </c>
      <c r="CJ43" s="263">
        <v>1048.7</v>
      </c>
      <c r="CK43" s="263">
        <v>1038.5999999999999</v>
      </c>
      <c r="CL43" s="263">
        <v>1075.7</v>
      </c>
    </row>
    <row r="44" spans="1:90">
      <c r="A44" s="263" t="s">
        <v>22</v>
      </c>
      <c r="B44" s="263" t="s">
        <v>887</v>
      </c>
      <c r="C44" s="263">
        <v>0.1</v>
      </c>
      <c r="D44" s="263">
        <v>0.8</v>
      </c>
      <c r="E44" s="263">
        <v>0.6</v>
      </c>
      <c r="F44" s="263">
        <v>0.3</v>
      </c>
      <c r="G44" s="263">
        <v>-0.5</v>
      </c>
      <c r="H44" s="263">
        <v>-0.1</v>
      </c>
      <c r="I44" s="263">
        <v>-0.1</v>
      </c>
      <c r="J44" s="263">
        <v>-0.1</v>
      </c>
      <c r="K44" s="263">
        <v>0</v>
      </c>
      <c r="L44" s="263">
        <v>0.2</v>
      </c>
      <c r="M44" s="263">
        <v>-0.2</v>
      </c>
      <c r="N44" s="263">
        <v>0</v>
      </c>
      <c r="O44" s="263">
        <v>-0.6</v>
      </c>
      <c r="P44" s="263">
        <v>-0.4</v>
      </c>
      <c r="Q44" s="263">
        <v>-0.2</v>
      </c>
      <c r="R44" s="263">
        <v>-0.1</v>
      </c>
      <c r="S44" s="263">
        <v>-0.1</v>
      </c>
      <c r="T44" s="263">
        <v>-1.7</v>
      </c>
      <c r="U44" s="263">
        <v>-1.5</v>
      </c>
      <c r="V44" s="263">
        <v>-0.4</v>
      </c>
      <c r="W44" s="263">
        <v>0.5</v>
      </c>
      <c r="X44" s="263">
        <v>-1.1000000000000001</v>
      </c>
      <c r="Y44" s="263">
        <v>-0.3</v>
      </c>
      <c r="Z44" s="263">
        <v>0.2</v>
      </c>
      <c r="AA44" s="263">
        <v>-0.2</v>
      </c>
      <c r="AB44" s="263">
        <v>0</v>
      </c>
      <c r="AC44" s="263">
        <v>-0.2</v>
      </c>
      <c r="AD44" s="263">
        <v>-0.5</v>
      </c>
      <c r="AE44" s="263">
        <v>-0.3</v>
      </c>
      <c r="AF44" s="263">
        <v>-0.1</v>
      </c>
      <c r="AG44" s="263">
        <v>0</v>
      </c>
      <c r="AH44" s="263">
        <v>0</v>
      </c>
      <c r="AI44" s="263">
        <v>0</v>
      </c>
      <c r="AJ44" s="263">
        <v>0</v>
      </c>
      <c r="AK44" s="263">
        <v>0</v>
      </c>
      <c r="AL44" s="263">
        <v>-0.1</v>
      </c>
      <c r="AM44" s="263">
        <v>-0.2</v>
      </c>
      <c r="AN44" s="263">
        <v>-0.2</v>
      </c>
      <c r="AO44" s="263">
        <v>-0.2</v>
      </c>
      <c r="AP44" s="263">
        <v>-0.4</v>
      </c>
      <c r="AQ44" s="263">
        <v>-0.5</v>
      </c>
      <c r="AR44" s="263">
        <v>-0.5</v>
      </c>
      <c r="AS44" s="263">
        <v>-0.6</v>
      </c>
      <c r="AT44" s="263">
        <v>-0.7</v>
      </c>
      <c r="AU44" s="263">
        <v>-1.9</v>
      </c>
      <c r="AV44" s="263">
        <v>-3.4</v>
      </c>
      <c r="AW44" s="263">
        <v>-1.1000000000000001</v>
      </c>
      <c r="AX44" s="263">
        <v>-1.1000000000000001</v>
      </c>
      <c r="AY44" s="263">
        <v>-1.1000000000000001</v>
      </c>
      <c r="AZ44" s="263">
        <v>-1.9</v>
      </c>
      <c r="BA44" s="263">
        <v>-2.6</v>
      </c>
      <c r="BB44" s="263">
        <v>-2.9</v>
      </c>
      <c r="BC44" s="263">
        <v>-1.3</v>
      </c>
      <c r="BD44" s="263">
        <v>-0.5</v>
      </c>
      <c r="BE44" s="263">
        <v>-0.5</v>
      </c>
      <c r="BF44" s="263">
        <v>-0.4</v>
      </c>
      <c r="BG44" s="263">
        <v>-0.2</v>
      </c>
      <c r="BH44" s="263">
        <v>0</v>
      </c>
      <c r="BI44" s="263">
        <v>-0.8</v>
      </c>
      <c r="BJ44" s="263">
        <v>-1.2</v>
      </c>
      <c r="BK44" s="263">
        <v>-1.3</v>
      </c>
      <c r="BL44" s="263">
        <v>-1.1000000000000001</v>
      </c>
      <c r="BM44" s="263">
        <v>-0.1</v>
      </c>
      <c r="BN44" s="263">
        <v>-0.5</v>
      </c>
      <c r="BO44" s="263">
        <v>-0.4</v>
      </c>
      <c r="BP44" s="263">
        <v>-0.7</v>
      </c>
      <c r="BQ44" s="263">
        <v>-1.5</v>
      </c>
      <c r="BR44" s="263">
        <v>-0.4</v>
      </c>
      <c r="BS44" s="263">
        <v>1</v>
      </c>
      <c r="BT44" s="263">
        <v>1.3</v>
      </c>
      <c r="BU44" s="263">
        <v>-0.9</v>
      </c>
      <c r="BV44" s="263">
        <v>-1.7</v>
      </c>
      <c r="BW44" s="263">
        <v>1</v>
      </c>
      <c r="BX44" s="263">
        <v>0.4</v>
      </c>
      <c r="BY44" s="263">
        <v>-1.3</v>
      </c>
      <c r="BZ44" s="263">
        <v>-4.5999999999999996</v>
      </c>
      <c r="CA44" s="263">
        <v>-4</v>
      </c>
      <c r="CB44" s="263">
        <v>-3.6</v>
      </c>
      <c r="CC44" s="263">
        <v>-6.5</v>
      </c>
      <c r="CD44" s="263">
        <v>-4.5999999999999996</v>
      </c>
      <c r="CE44" s="263">
        <v>1.4</v>
      </c>
      <c r="CF44" s="263">
        <v>-6.3</v>
      </c>
      <c r="CG44" s="263">
        <v>-10</v>
      </c>
      <c r="CH44" s="263">
        <v>-1.8</v>
      </c>
      <c r="CI44" s="263">
        <v>0.4</v>
      </c>
      <c r="CJ44" s="263">
        <v>0.9</v>
      </c>
      <c r="CK44" s="263">
        <v>9.1999999999999993</v>
      </c>
      <c r="CL44" s="263">
        <v>-0.3</v>
      </c>
    </row>
    <row r="45" spans="1:90">
      <c r="A45" s="263" t="s">
        <v>21</v>
      </c>
      <c r="B45" s="263" t="s">
        <v>884</v>
      </c>
      <c r="C45" s="263">
        <v>-0.8</v>
      </c>
      <c r="D45" s="263">
        <v>-0.8</v>
      </c>
      <c r="E45" s="263">
        <v>-0.7</v>
      </c>
      <c r="F45" s="263">
        <v>-0.5</v>
      </c>
      <c r="G45" s="263">
        <v>-0.4</v>
      </c>
      <c r="H45" s="263">
        <v>-0.4</v>
      </c>
      <c r="I45" s="263">
        <v>-0.4</v>
      </c>
      <c r="J45" s="263">
        <v>-0.4</v>
      </c>
      <c r="K45" s="263">
        <v>-0.5</v>
      </c>
      <c r="L45" s="263">
        <v>-0.5</v>
      </c>
      <c r="M45" s="263">
        <v>-0.4</v>
      </c>
      <c r="N45" s="263">
        <v>-0.4</v>
      </c>
      <c r="O45" s="263">
        <v>-0.5</v>
      </c>
      <c r="P45" s="263">
        <v>-0.5</v>
      </c>
      <c r="Q45" s="263">
        <v>-0.4</v>
      </c>
      <c r="R45" s="263">
        <v>-0.4</v>
      </c>
      <c r="S45" s="263">
        <v>-0.3</v>
      </c>
      <c r="T45" s="263">
        <v>-0.3</v>
      </c>
      <c r="U45" s="263">
        <v>-0.3</v>
      </c>
      <c r="V45" s="263">
        <v>-0.3</v>
      </c>
      <c r="W45" s="263">
        <v>-0.1</v>
      </c>
      <c r="X45" s="263">
        <v>-0.1</v>
      </c>
      <c r="Y45" s="263">
        <v>-0.2</v>
      </c>
      <c r="Z45" s="263">
        <v>-0.1</v>
      </c>
      <c r="AA45" s="263">
        <v>0</v>
      </c>
      <c r="AB45" s="263">
        <v>0</v>
      </c>
      <c r="AC45" s="263">
        <v>0</v>
      </c>
      <c r="AD45" s="263">
        <v>0.1</v>
      </c>
      <c r="AE45" s="263">
        <v>0</v>
      </c>
      <c r="AF45" s="263">
        <v>-0.1</v>
      </c>
      <c r="AG45" s="263">
        <v>-0.2</v>
      </c>
      <c r="AH45" s="263">
        <v>-0.2</v>
      </c>
      <c r="AI45" s="263">
        <v>-0.3</v>
      </c>
      <c r="AJ45" s="263">
        <v>-0.1</v>
      </c>
      <c r="AK45" s="263">
        <v>0</v>
      </c>
      <c r="AL45" s="263">
        <v>0</v>
      </c>
      <c r="AM45" s="263">
        <v>-0.3</v>
      </c>
      <c r="AN45" s="263">
        <v>-0.5</v>
      </c>
      <c r="AO45" s="263">
        <v>-0.5</v>
      </c>
      <c r="AP45" s="263">
        <v>-0.4</v>
      </c>
      <c r="AQ45" s="263">
        <v>-0.4</v>
      </c>
      <c r="AR45" s="263">
        <v>-0.5</v>
      </c>
      <c r="AS45" s="263">
        <v>-0.8</v>
      </c>
      <c r="AT45" s="263">
        <v>-0.2</v>
      </c>
      <c r="AU45" s="263">
        <v>-0.2</v>
      </c>
      <c r="AV45" s="263">
        <v>-0.7</v>
      </c>
      <c r="AW45" s="263">
        <v>-1.5</v>
      </c>
      <c r="AX45" s="263">
        <v>-1.4</v>
      </c>
      <c r="AY45" s="263">
        <v>-1</v>
      </c>
      <c r="AZ45" s="263">
        <v>-0.4</v>
      </c>
      <c r="BA45" s="263">
        <v>0.8</v>
      </c>
      <c r="BB45" s="263">
        <v>1.1000000000000001</v>
      </c>
      <c r="BC45" s="263">
        <v>4.7</v>
      </c>
      <c r="BD45" s="263">
        <v>4</v>
      </c>
      <c r="BE45" s="263">
        <v>12.8</v>
      </c>
      <c r="BF45" s="263">
        <v>22.4</v>
      </c>
      <c r="BG45" s="263">
        <v>31.2</v>
      </c>
      <c r="BH45" s="263">
        <v>35.799999999999997</v>
      </c>
      <c r="BI45" s="263">
        <v>30.3</v>
      </c>
      <c r="BJ45" s="263">
        <v>29.8</v>
      </c>
      <c r="BK45" s="263">
        <v>30</v>
      </c>
      <c r="BL45" s="263">
        <v>19.7</v>
      </c>
      <c r="BM45" s="263">
        <v>16.3</v>
      </c>
      <c r="BN45" s="263">
        <v>18.399999999999999</v>
      </c>
      <c r="BO45" s="263">
        <v>18.3</v>
      </c>
      <c r="BP45" s="263">
        <v>13.9</v>
      </c>
      <c r="BQ45" s="263">
        <v>14.4</v>
      </c>
      <c r="BR45" s="263">
        <v>20</v>
      </c>
      <c r="BS45" s="263">
        <v>28.5</v>
      </c>
      <c r="BT45" s="263">
        <v>35</v>
      </c>
      <c r="BU45" s="263">
        <v>45.5</v>
      </c>
      <c r="BV45" s="263">
        <v>54</v>
      </c>
      <c r="BW45" s="263">
        <v>73.400000000000006</v>
      </c>
      <c r="BX45" s="263">
        <v>87.7</v>
      </c>
      <c r="BY45" s="263">
        <v>94.5</v>
      </c>
      <c r="BZ45" s="263">
        <v>100.1</v>
      </c>
      <c r="CA45" s="263">
        <v>65.599999999999994</v>
      </c>
      <c r="CB45" s="263">
        <v>73.5</v>
      </c>
      <c r="CC45" s="263">
        <v>82</v>
      </c>
      <c r="CD45" s="263">
        <v>145.6</v>
      </c>
      <c r="CE45" s="263">
        <v>139.30000000000001</v>
      </c>
      <c r="CF45" s="263">
        <v>150.1</v>
      </c>
      <c r="CG45" s="263">
        <v>192.4</v>
      </c>
      <c r="CH45" s="263">
        <v>157.30000000000001</v>
      </c>
      <c r="CI45" s="263">
        <v>184.9</v>
      </c>
      <c r="CJ45" s="263">
        <v>198</v>
      </c>
      <c r="CK45" s="263">
        <v>217.3</v>
      </c>
      <c r="CL45" s="263">
        <v>223.4</v>
      </c>
    </row>
    <row r="46" spans="1:90">
      <c r="A46" s="263" t="s">
        <v>20</v>
      </c>
      <c r="B46" s="263" t="s">
        <v>888</v>
      </c>
      <c r="C46" s="263">
        <v>6.1</v>
      </c>
      <c r="D46" s="263">
        <v>5.4</v>
      </c>
      <c r="E46" s="263">
        <v>4.4000000000000004</v>
      </c>
      <c r="F46" s="263">
        <v>3.6</v>
      </c>
      <c r="G46" s="263">
        <v>2.9</v>
      </c>
      <c r="H46" s="263">
        <v>2.5</v>
      </c>
      <c r="I46" s="263">
        <v>2.6</v>
      </c>
      <c r="J46" s="263">
        <v>2.7</v>
      </c>
      <c r="K46" s="263">
        <v>3</v>
      </c>
      <c r="L46" s="263">
        <v>3.5</v>
      </c>
      <c r="M46" s="263">
        <v>3.7</v>
      </c>
      <c r="N46" s="263">
        <v>3.8</v>
      </c>
      <c r="O46" s="263">
        <v>4.4000000000000004</v>
      </c>
      <c r="P46" s="263">
        <v>5.5</v>
      </c>
      <c r="Q46" s="263">
        <v>6</v>
      </c>
      <c r="R46" s="263">
        <v>6.3</v>
      </c>
      <c r="S46" s="263">
        <v>6.6</v>
      </c>
      <c r="T46" s="263">
        <v>6.9</v>
      </c>
      <c r="U46" s="263">
        <v>6.9</v>
      </c>
      <c r="V46" s="263">
        <v>7.5</v>
      </c>
      <c r="W46" s="263">
        <v>7.8</v>
      </c>
      <c r="X46" s="263">
        <v>8.8000000000000007</v>
      </c>
      <c r="Y46" s="263">
        <v>9.6999999999999993</v>
      </c>
      <c r="Z46" s="263">
        <v>10.8</v>
      </c>
      <c r="AA46" s="263">
        <v>12</v>
      </c>
      <c r="AB46" s="263">
        <v>13.1</v>
      </c>
      <c r="AC46" s="263">
        <v>13.4</v>
      </c>
      <c r="AD46" s="263">
        <v>13.7</v>
      </c>
      <c r="AE46" s="263">
        <v>14.1</v>
      </c>
      <c r="AF46" s="263">
        <v>14.8</v>
      </c>
      <c r="AG46" s="263">
        <v>15.6</v>
      </c>
      <c r="AH46" s="263">
        <v>16.5</v>
      </c>
      <c r="AI46" s="263">
        <v>17.2</v>
      </c>
      <c r="AJ46" s="263">
        <v>18</v>
      </c>
      <c r="AK46" s="263">
        <v>18.7</v>
      </c>
      <c r="AL46" s="263">
        <v>18.8</v>
      </c>
      <c r="AM46" s="263">
        <v>19.3</v>
      </c>
      <c r="AN46" s="263">
        <v>19.899999999999999</v>
      </c>
      <c r="AO46" s="263">
        <v>20.3</v>
      </c>
      <c r="AP46" s="263">
        <v>20.100000000000001</v>
      </c>
      <c r="AQ46" s="263">
        <v>20.399999999999999</v>
      </c>
      <c r="AR46" s="263">
        <v>20.7</v>
      </c>
      <c r="AS46" s="263">
        <v>21.9</v>
      </c>
      <c r="AT46" s="263">
        <v>22.8</v>
      </c>
      <c r="AU46" s="263">
        <v>23.3</v>
      </c>
      <c r="AV46" s="263">
        <v>23.3</v>
      </c>
      <c r="AW46" s="263">
        <v>22.5</v>
      </c>
      <c r="AX46" s="263">
        <v>20.6</v>
      </c>
      <c r="AY46" s="263">
        <v>16.2</v>
      </c>
      <c r="AZ46" s="263">
        <v>16.899999999999999</v>
      </c>
      <c r="BA46" s="263">
        <v>16.600000000000001</v>
      </c>
      <c r="BB46" s="263">
        <v>19.7</v>
      </c>
      <c r="BC46" s="263">
        <v>25.4</v>
      </c>
      <c r="BD46" s="263">
        <v>26.1</v>
      </c>
      <c r="BE46" s="263">
        <v>27.5</v>
      </c>
      <c r="BF46" s="263">
        <v>27.9</v>
      </c>
      <c r="BG46" s="263">
        <v>29.5</v>
      </c>
      <c r="BH46" s="263">
        <v>21.9</v>
      </c>
      <c r="BI46" s="263">
        <v>20.2</v>
      </c>
      <c r="BJ46" s="263">
        <v>25.1</v>
      </c>
      <c r="BK46" s="263">
        <v>24.4</v>
      </c>
      <c r="BL46" s="263">
        <v>31.4</v>
      </c>
      <c r="BM46" s="263">
        <v>42</v>
      </c>
      <c r="BN46" s="263">
        <v>64.3</v>
      </c>
      <c r="BO46" s="263">
        <v>93.6</v>
      </c>
      <c r="BP46" s="263">
        <v>117.5</v>
      </c>
      <c r="BQ46" s="263">
        <v>129.19999999999999</v>
      </c>
      <c r="BR46" s="263">
        <v>147</v>
      </c>
      <c r="BS46" s="263">
        <v>152</v>
      </c>
      <c r="BT46" s="263">
        <v>169.9</v>
      </c>
      <c r="BU46" s="263">
        <v>183.1</v>
      </c>
      <c r="BV46" s="263">
        <v>187.7</v>
      </c>
      <c r="BW46" s="263">
        <v>207.5</v>
      </c>
      <c r="BX46" s="263">
        <v>217.3</v>
      </c>
      <c r="BY46" s="263">
        <v>238</v>
      </c>
      <c r="BZ46" s="263">
        <v>255.4</v>
      </c>
      <c r="CA46" s="263">
        <v>238.4</v>
      </c>
      <c r="CB46" s="263">
        <v>207.5</v>
      </c>
      <c r="CC46" s="263">
        <v>189.4</v>
      </c>
      <c r="CD46" s="263">
        <v>262.10000000000002</v>
      </c>
      <c r="CE46" s="263">
        <v>333.7</v>
      </c>
      <c r="CF46" s="263">
        <v>402.8</v>
      </c>
      <c r="CG46" s="263">
        <v>485.3</v>
      </c>
      <c r="CH46" s="263">
        <v>525.29999999999995</v>
      </c>
      <c r="CI46" s="263">
        <v>567.1</v>
      </c>
      <c r="CJ46" s="263">
        <v>611.70000000000005</v>
      </c>
      <c r="CK46" s="263">
        <v>662.5</v>
      </c>
      <c r="CL46" s="263">
        <v>707.3</v>
      </c>
    </row>
    <row r="47" spans="1:90">
      <c r="A47" s="263" t="s">
        <v>19</v>
      </c>
      <c r="B47" s="263" t="s">
        <v>889</v>
      </c>
      <c r="C47" s="263">
        <v>6.2</v>
      </c>
      <c r="D47" s="263">
        <v>5.5</v>
      </c>
      <c r="E47" s="263">
        <v>4.5</v>
      </c>
      <c r="F47" s="263">
        <v>3.6</v>
      </c>
      <c r="G47" s="263">
        <v>2.9</v>
      </c>
      <c r="H47" s="263">
        <v>2.6</v>
      </c>
      <c r="I47" s="263">
        <v>2.6</v>
      </c>
      <c r="J47" s="263">
        <v>2.7</v>
      </c>
      <c r="K47" s="263">
        <v>3.1</v>
      </c>
      <c r="L47" s="263">
        <v>3.6</v>
      </c>
      <c r="M47" s="263">
        <v>3.8</v>
      </c>
      <c r="N47" s="263">
        <v>4</v>
      </c>
      <c r="O47" s="263">
        <v>4.5999999999999996</v>
      </c>
      <c r="P47" s="263">
        <v>5.6</v>
      </c>
      <c r="Q47" s="263">
        <v>6.3</v>
      </c>
      <c r="R47" s="263">
        <v>6.6</v>
      </c>
      <c r="S47" s="263">
        <v>6.9</v>
      </c>
      <c r="T47" s="263">
        <v>7.3</v>
      </c>
      <c r="U47" s="263">
        <v>7.4</v>
      </c>
      <c r="V47" s="263">
        <v>8</v>
      </c>
      <c r="W47" s="263">
        <v>8.3000000000000007</v>
      </c>
      <c r="X47" s="263">
        <v>9.3000000000000007</v>
      </c>
      <c r="Y47" s="263">
        <v>10.3</v>
      </c>
      <c r="Z47" s="263">
        <v>11.4</v>
      </c>
      <c r="AA47" s="263">
        <v>12.6</v>
      </c>
      <c r="AB47" s="263">
        <v>13.7</v>
      </c>
      <c r="AC47" s="263">
        <v>14</v>
      </c>
      <c r="AD47" s="263">
        <v>14.3</v>
      </c>
      <c r="AE47" s="263">
        <v>14.7</v>
      </c>
      <c r="AF47" s="263">
        <v>15.4</v>
      </c>
      <c r="AG47" s="263">
        <v>16.2</v>
      </c>
      <c r="AH47" s="263">
        <v>17</v>
      </c>
      <c r="AI47" s="263">
        <v>17.7</v>
      </c>
      <c r="AJ47" s="263">
        <v>18.600000000000001</v>
      </c>
      <c r="AK47" s="263">
        <v>19.2</v>
      </c>
      <c r="AL47" s="263">
        <v>19.3</v>
      </c>
      <c r="AM47" s="263">
        <v>19.899999999999999</v>
      </c>
      <c r="AN47" s="263">
        <v>20.5</v>
      </c>
      <c r="AO47" s="263">
        <v>21</v>
      </c>
      <c r="AP47" s="263">
        <v>20.9</v>
      </c>
      <c r="AQ47" s="263">
        <v>21.4</v>
      </c>
      <c r="AR47" s="263">
        <v>21.8</v>
      </c>
      <c r="AS47" s="263">
        <v>23.1</v>
      </c>
      <c r="AT47" s="263">
        <v>24.2</v>
      </c>
      <c r="AU47" s="263">
        <v>24.9</v>
      </c>
      <c r="AV47" s="263">
        <v>25.4</v>
      </c>
      <c r="AW47" s="263">
        <v>25</v>
      </c>
      <c r="AX47" s="263">
        <v>23.3</v>
      </c>
      <c r="AY47" s="263">
        <v>19.399999999999999</v>
      </c>
      <c r="AZ47" s="263">
        <v>20.8</v>
      </c>
      <c r="BA47" s="263">
        <v>21.1</v>
      </c>
      <c r="BB47" s="263">
        <v>25.1</v>
      </c>
      <c r="BC47" s="263">
        <v>31.3</v>
      </c>
      <c r="BD47" s="263">
        <v>32.4</v>
      </c>
      <c r="BE47" s="263">
        <v>33.799999999999997</v>
      </c>
      <c r="BF47" s="263">
        <v>34.4</v>
      </c>
      <c r="BG47" s="263">
        <v>36.1</v>
      </c>
      <c r="BH47" s="263">
        <v>28.8</v>
      </c>
      <c r="BI47" s="263">
        <v>27.5</v>
      </c>
      <c r="BJ47" s="263">
        <v>32.6</v>
      </c>
      <c r="BK47" s="263">
        <v>32.200000000000003</v>
      </c>
      <c r="BL47" s="263">
        <v>39.200000000000003</v>
      </c>
      <c r="BM47" s="263">
        <v>49.8</v>
      </c>
      <c r="BN47" s="263">
        <v>72.099999999999994</v>
      </c>
      <c r="BO47" s="263">
        <v>101.8</v>
      </c>
      <c r="BP47" s="263">
        <v>126</v>
      </c>
      <c r="BQ47" s="263">
        <v>138</v>
      </c>
      <c r="BR47" s="263">
        <v>155.9</v>
      </c>
      <c r="BS47" s="263">
        <v>161.19999999999999</v>
      </c>
      <c r="BT47" s="263">
        <v>179.4</v>
      </c>
      <c r="BU47" s="263">
        <v>193.1</v>
      </c>
      <c r="BV47" s="263">
        <v>198.4</v>
      </c>
      <c r="BW47" s="263">
        <v>219</v>
      </c>
      <c r="BX47" s="263">
        <v>229.1</v>
      </c>
      <c r="BY47" s="263">
        <v>250.6</v>
      </c>
      <c r="BZ47" s="263">
        <v>269.39999999999998</v>
      </c>
      <c r="CA47" s="263">
        <v>254.2</v>
      </c>
      <c r="CB47" s="263">
        <v>224.7</v>
      </c>
      <c r="CC47" s="263">
        <v>206.6</v>
      </c>
      <c r="CD47" s="263">
        <v>278.39999999999998</v>
      </c>
      <c r="CE47" s="263">
        <v>348.3</v>
      </c>
      <c r="CF47" s="263">
        <v>416.8</v>
      </c>
      <c r="CG47" s="263">
        <v>499.3</v>
      </c>
      <c r="CH47" s="263">
        <v>539.5</v>
      </c>
      <c r="CI47" s="263">
        <v>582.6</v>
      </c>
      <c r="CJ47" s="263">
        <v>629</v>
      </c>
      <c r="CK47" s="263">
        <v>680.4</v>
      </c>
      <c r="CL47" s="263">
        <v>726.1</v>
      </c>
    </row>
    <row r="48" spans="1:90">
      <c r="A48" s="263" t="s">
        <v>18</v>
      </c>
      <c r="B48" s="263" t="s">
        <v>890</v>
      </c>
      <c r="C48" s="263">
        <v>-0.1</v>
      </c>
      <c r="D48" s="263">
        <v>-0.1</v>
      </c>
      <c r="E48" s="263">
        <v>-0.1</v>
      </c>
      <c r="F48" s="263">
        <v>0</v>
      </c>
      <c r="G48" s="263">
        <v>0</v>
      </c>
      <c r="H48" s="263">
        <v>0</v>
      </c>
      <c r="I48" s="263">
        <v>0</v>
      </c>
      <c r="J48" s="263">
        <v>-0.1</v>
      </c>
      <c r="K48" s="263">
        <v>-0.1</v>
      </c>
      <c r="L48" s="263">
        <v>-0.1</v>
      </c>
      <c r="M48" s="263">
        <v>-0.1</v>
      </c>
      <c r="N48" s="263">
        <v>-0.1</v>
      </c>
      <c r="O48" s="263">
        <v>-0.2</v>
      </c>
      <c r="P48" s="263">
        <v>-0.2</v>
      </c>
      <c r="Q48" s="263">
        <v>-0.2</v>
      </c>
      <c r="R48" s="263">
        <v>-0.3</v>
      </c>
      <c r="S48" s="263">
        <v>-0.3</v>
      </c>
      <c r="T48" s="263">
        <v>-0.4</v>
      </c>
      <c r="U48" s="263">
        <v>-0.5</v>
      </c>
      <c r="V48" s="263">
        <v>-0.6</v>
      </c>
      <c r="W48" s="263">
        <v>-0.5</v>
      </c>
      <c r="X48" s="263">
        <v>-0.6</v>
      </c>
      <c r="Y48" s="263">
        <v>-0.6</v>
      </c>
      <c r="Z48" s="263">
        <v>-0.6</v>
      </c>
      <c r="AA48" s="263">
        <v>-0.6</v>
      </c>
      <c r="AB48" s="263">
        <v>-0.6</v>
      </c>
      <c r="AC48" s="263">
        <v>-0.6</v>
      </c>
      <c r="AD48" s="263">
        <v>-0.6</v>
      </c>
      <c r="AE48" s="263">
        <v>-0.6</v>
      </c>
      <c r="AF48" s="263">
        <v>-0.6</v>
      </c>
      <c r="AG48" s="263">
        <v>-0.6</v>
      </c>
      <c r="AH48" s="263">
        <v>-0.6</v>
      </c>
      <c r="AI48" s="263">
        <v>-0.5</v>
      </c>
      <c r="AJ48" s="263">
        <v>-0.5</v>
      </c>
      <c r="AK48" s="263">
        <v>-0.5</v>
      </c>
      <c r="AL48" s="263">
        <v>-0.5</v>
      </c>
      <c r="AM48" s="263">
        <v>-0.5</v>
      </c>
      <c r="AN48" s="263">
        <v>-0.6</v>
      </c>
      <c r="AO48" s="263">
        <v>-0.7</v>
      </c>
      <c r="AP48" s="263">
        <v>-0.8</v>
      </c>
      <c r="AQ48" s="263">
        <v>-1</v>
      </c>
      <c r="AR48" s="263">
        <v>-1</v>
      </c>
      <c r="AS48" s="263">
        <v>-1.2</v>
      </c>
      <c r="AT48" s="263">
        <v>-1.4</v>
      </c>
      <c r="AU48" s="263">
        <v>-1.7</v>
      </c>
      <c r="AV48" s="263">
        <v>-2.1</v>
      </c>
      <c r="AW48" s="263">
        <v>-2.4</v>
      </c>
      <c r="AX48" s="263">
        <v>-2.7</v>
      </c>
      <c r="AY48" s="263">
        <v>-3.2</v>
      </c>
      <c r="AZ48" s="263">
        <v>-3.9</v>
      </c>
      <c r="BA48" s="263">
        <v>-4.5999999999999996</v>
      </c>
      <c r="BB48" s="263">
        <v>-5.3</v>
      </c>
      <c r="BC48" s="263">
        <v>-5.9</v>
      </c>
      <c r="BD48" s="263">
        <v>-6.3</v>
      </c>
      <c r="BE48" s="263">
        <v>-6.3</v>
      </c>
      <c r="BF48" s="263">
        <v>-6.5</v>
      </c>
      <c r="BG48" s="263">
        <v>-6.6</v>
      </c>
      <c r="BH48" s="263">
        <v>-6.9</v>
      </c>
      <c r="BI48" s="263">
        <v>-7.3</v>
      </c>
      <c r="BJ48" s="263">
        <v>-7.5</v>
      </c>
      <c r="BK48" s="263">
        <v>-7.8</v>
      </c>
      <c r="BL48" s="263">
        <v>-7.9</v>
      </c>
      <c r="BM48" s="263">
        <v>-7.8</v>
      </c>
      <c r="BN48" s="263">
        <v>-7.8</v>
      </c>
      <c r="BO48" s="263">
        <v>-8.1999999999999993</v>
      </c>
      <c r="BP48" s="263">
        <v>-8.5</v>
      </c>
      <c r="BQ48" s="263">
        <v>-8.8000000000000007</v>
      </c>
      <c r="BR48" s="263">
        <v>-9</v>
      </c>
      <c r="BS48" s="263">
        <v>-9.1999999999999993</v>
      </c>
      <c r="BT48" s="263">
        <v>-9.5</v>
      </c>
      <c r="BU48" s="263">
        <v>-10</v>
      </c>
      <c r="BV48" s="263">
        <v>-10.7</v>
      </c>
      <c r="BW48" s="263">
        <v>-11.5</v>
      </c>
      <c r="BX48" s="263">
        <v>-11.8</v>
      </c>
      <c r="BY48" s="263">
        <v>-12.6</v>
      </c>
      <c r="BZ48" s="263">
        <v>-14</v>
      </c>
      <c r="CA48" s="263">
        <v>-15.7</v>
      </c>
      <c r="CB48" s="263">
        <v>-17.2</v>
      </c>
      <c r="CC48" s="263">
        <v>-17.2</v>
      </c>
      <c r="CD48" s="263">
        <v>-16.3</v>
      </c>
      <c r="CE48" s="263">
        <v>-14.6</v>
      </c>
      <c r="CF48" s="263">
        <v>-14.1</v>
      </c>
      <c r="CG48" s="263">
        <v>-14</v>
      </c>
      <c r="CH48" s="263">
        <v>-14.2</v>
      </c>
      <c r="CI48" s="263">
        <v>-15.5</v>
      </c>
      <c r="CJ48" s="263">
        <v>-17.3</v>
      </c>
      <c r="CK48" s="263">
        <v>-17.899999999999999</v>
      </c>
      <c r="CL48" s="263">
        <v>-18.8</v>
      </c>
    </row>
    <row r="49" spans="1:90">
      <c r="A49" s="263" t="s">
        <v>17</v>
      </c>
      <c r="B49" s="263" t="s">
        <v>536</v>
      </c>
      <c r="C49" s="263">
        <v>10.8</v>
      </c>
      <c r="D49" s="263">
        <v>7.5</v>
      </c>
      <c r="E49" s="263">
        <v>3</v>
      </c>
      <c r="F49" s="263">
        <v>-0.2</v>
      </c>
      <c r="G49" s="263">
        <v>-0.2</v>
      </c>
      <c r="H49" s="263">
        <v>2.5</v>
      </c>
      <c r="I49" s="263">
        <v>4</v>
      </c>
      <c r="J49" s="263">
        <v>6.2</v>
      </c>
      <c r="K49" s="263">
        <v>7.1</v>
      </c>
      <c r="L49" s="263">
        <v>5</v>
      </c>
      <c r="M49" s="263">
        <v>6.6</v>
      </c>
      <c r="N49" s="263">
        <v>9.9</v>
      </c>
      <c r="O49" s="263">
        <v>15.7</v>
      </c>
      <c r="P49" s="263">
        <v>20.8</v>
      </c>
      <c r="Q49" s="263">
        <v>24.9</v>
      </c>
      <c r="R49" s="263">
        <v>25</v>
      </c>
      <c r="S49" s="263">
        <v>20.5</v>
      </c>
      <c r="T49" s="263">
        <v>18.2</v>
      </c>
      <c r="U49" s="263">
        <v>24.2</v>
      </c>
      <c r="V49" s="263">
        <v>31.4</v>
      </c>
      <c r="W49" s="263">
        <v>29.1</v>
      </c>
      <c r="X49" s="263">
        <v>36.1</v>
      </c>
      <c r="Y49" s="263">
        <v>41.2</v>
      </c>
      <c r="Z49" s="263">
        <v>39.700000000000003</v>
      </c>
      <c r="AA49" s="263">
        <v>40.299999999999997</v>
      </c>
      <c r="AB49" s="263">
        <v>39.5</v>
      </c>
      <c r="AC49" s="263">
        <v>50.2</v>
      </c>
      <c r="AD49" s="263">
        <v>49.6</v>
      </c>
      <c r="AE49" s="263">
        <v>49.1</v>
      </c>
      <c r="AF49" s="263">
        <v>43.9</v>
      </c>
      <c r="AG49" s="263">
        <v>55.5</v>
      </c>
      <c r="AH49" s="263">
        <v>54.7</v>
      </c>
      <c r="AI49" s="263">
        <v>55.9</v>
      </c>
      <c r="AJ49" s="263">
        <v>64</v>
      </c>
      <c r="AK49" s="263">
        <v>70.5</v>
      </c>
      <c r="AL49" s="263">
        <v>77.7</v>
      </c>
      <c r="AM49" s="263">
        <v>89.3</v>
      </c>
      <c r="AN49" s="263">
        <v>96.1</v>
      </c>
      <c r="AO49" s="263">
        <v>93.9</v>
      </c>
      <c r="AP49" s="263">
        <v>101.7</v>
      </c>
      <c r="AQ49" s="263">
        <v>98.4</v>
      </c>
      <c r="AR49" s="263">
        <v>86.2</v>
      </c>
      <c r="AS49" s="263">
        <v>100.6</v>
      </c>
      <c r="AT49" s="263">
        <v>117.2</v>
      </c>
      <c r="AU49" s="263">
        <v>133.4</v>
      </c>
      <c r="AV49" s="263">
        <v>125.7</v>
      </c>
      <c r="AW49" s="263">
        <v>138.9</v>
      </c>
      <c r="AX49" s="263">
        <v>174.3</v>
      </c>
      <c r="AY49" s="263">
        <v>205.8</v>
      </c>
      <c r="AZ49" s="263">
        <v>238.6</v>
      </c>
      <c r="BA49" s="263">
        <v>249</v>
      </c>
      <c r="BB49" s="263">
        <v>223.6</v>
      </c>
      <c r="BC49" s="263">
        <v>247.5</v>
      </c>
      <c r="BD49" s="263">
        <v>229.9</v>
      </c>
      <c r="BE49" s="263">
        <v>279.8</v>
      </c>
      <c r="BF49" s="263">
        <v>337.9</v>
      </c>
      <c r="BG49" s="263">
        <v>354.5</v>
      </c>
      <c r="BH49" s="263">
        <v>324.39999999999998</v>
      </c>
      <c r="BI49" s="263">
        <v>366</v>
      </c>
      <c r="BJ49" s="263">
        <v>414.9</v>
      </c>
      <c r="BK49" s="263">
        <v>414.2</v>
      </c>
      <c r="BL49" s="263">
        <v>417.2</v>
      </c>
      <c r="BM49" s="263">
        <v>451.3</v>
      </c>
      <c r="BN49" s="263">
        <v>475.3</v>
      </c>
      <c r="BO49" s="263">
        <v>522</v>
      </c>
      <c r="BP49" s="263">
        <v>621.9</v>
      </c>
      <c r="BQ49" s="263">
        <v>703</v>
      </c>
      <c r="BR49" s="263">
        <v>786.1</v>
      </c>
      <c r="BS49" s="263">
        <v>865.8</v>
      </c>
      <c r="BT49" s="263">
        <v>804.1</v>
      </c>
      <c r="BU49" s="263">
        <v>830.2</v>
      </c>
      <c r="BV49" s="263">
        <v>781.2</v>
      </c>
      <c r="BW49" s="263">
        <v>754</v>
      </c>
      <c r="BX49" s="263">
        <v>907.2</v>
      </c>
      <c r="BY49" s="263">
        <v>1056.4000000000001</v>
      </c>
      <c r="BZ49" s="263">
        <v>1283.3</v>
      </c>
      <c r="CA49" s="263">
        <v>1477.7</v>
      </c>
      <c r="CB49" s="263">
        <v>1646.5</v>
      </c>
      <c r="CC49" s="263">
        <v>1529</v>
      </c>
      <c r="CD49" s="263">
        <v>1285.0999999999999</v>
      </c>
      <c r="CE49" s="263">
        <v>1397</v>
      </c>
      <c r="CF49" s="263">
        <v>1746.4</v>
      </c>
      <c r="CG49" s="263">
        <v>1816.6</v>
      </c>
      <c r="CH49" s="263">
        <v>1998.2</v>
      </c>
      <c r="CI49" s="263">
        <v>2032.9</v>
      </c>
      <c r="CJ49" s="263">
        <v>2140.6</v>
      </c>
      <c r="CK49" s="263">
        <v>2117.5</v>
      </c>
      <c r="CL49" s="263">
        <v>2073.5</v>
      </c>
    </row>
    <row r="50" spans="1:90">
      <c r="A50" s="263" t="s">
        <v>16</v>
      </c>
      <c r="B50" s="263" t="s">
        <v>891</v>
      </c>
      <c r="C50" s="263">
        <v>11.4</v>
      </c>
      <c r="D50" s="263">
        <v>7.8</v>
      </c>
      <c r="E50" s="263">
        <v>3</v>
      </c>
      <c r="F50" s="263">
        <v>-0.3</v>
      </c>
      <c r="G50" s="263">
        <v>-0.3</v>
      </c>
      <c r="H50" s="263">
        <v>2.6</v>
      </c>
      <c r="I50" s="263">
        <v>4.0999999999999996</v>
      </c>
      <c r="J50" s="263">
        <v>6.4</v>
      </c>
      <c r="K50" s="263">
        <v>7.6</v>
      </c>
      <c r="L50" s="263">
        <v>5.6</v>
      </c>
      <c r="M50" s="263">
        <v>7.1</v>
      </c>
      <c r="N50" s="263">
        <v>10.4</v>
      </c>
      <c r="O50" s="263">
        <v>16.3</v>
      </c>
      <c r="P50" s="263">
        <v>21.3</v>
      </c>
      <c r="Q50" s="263">
        <v>25.1</v>
      </c>
      <c r="R50" s="263">
        <v>24.5</v>
      </c>
      <c r="S50" s="263">
        <v>19.8</v>
      </c>
      <c r="T50" s="263">
        <v>20.3</v>
      </c>
      <c r="U50" s="263">
        <v>26.7</v>
      </c>
      <c r="V50" s="263">
        <v>34.4</v>
      </c>
      <c r="W50" s="263">
        <v>31.9</v>
      </c>
      <c r="X50" s="263">
        <v>38.799999999999997</v>
      </c>
      <c r="Y50" s="263">
        <v>44.2</v>
      </c>
      <c r="Z50" s="263">
        <v>42.3</v>
      </c>
      <c r="AA50" s="263">
        <v>42.2</v>
      </c>
      <c r="AB50" s="263">
        <v>40.5</v>
      </c>
      <c r="AC50" s="263">
        <v>49.7</v>
      </c>
      <c r="AD50" s="263">
        <v>49.9</v>
      </c>
      <c r="AE50" s="263">
        <v>49.7</v>
      </c>
      <c r="AF50" s="263">
        <v>44.8</v>
      </c>
      <c r="AG50" s="263">
        <v>55.7</v>
      </c>
      <c r="AH50" s="263">
        <v>53.7</v>
      </c>
      <c r="AI50" s="263">
        <v>54.2</v>
      </c>
      <c r="AJ50" s="263">
        <v>59.2</v>
      </c>
      <c r="AK50" s="263">
        <v>64.5</v>
      </c>
      <c r="AL50" s="263">
        <v>71</v>
      </c>
      <c r="AM50" s="263">
        <v>81.900000000000006</v>
      </c>
      <c r="AN50" s="263">
        <v>88.3</v>
      </c>
      <c r="AO50" s="263">
        <v>86.1</v>
      </c>
      <c r="AP50" s="263">
        <v>94.3</v>
      </c>
      <c r="AQ50" s="263">
        <v>90.8</v>
      </c>
      <c r="AR50" s="263">
        <v>79.7</v>
      </c>
      <c r="AS50" s="263">
        <v>94.7</v>
      </c>
      <c r="AT50" s="263">
        <v>109.3</v>
      </c>
      <c r="AU50" s="263">
        <v>126.6</v>
      </c>
      <c r="AV50" s="263">
        <v>123.3</v>
      </c>
      <c r="AW50" s="263">
        <v>144.19999999999999</v>
      </c>
      <c r="AX50" s="263">
        <v>182.1</v>
      </c>
      <c r="AY50" s="263">
        <v>212.8</v>
      </c>
      <c r="AZ50" s="263">
        <v>246.7</v>
      </c>
      <c r="BA50" s="263">
        <v>261</v>
      </c>
      <c r="BB50" s="263">
        <v>240.6</v>
      </c>
      <c r="BC50" s="263">
        <v>252</v>
      </c>
      <c r="BD50" s="263">
        <v>224.8</v>
      </c>
      <c r="BE50" s="263">
        <v>256.39999999999998</v>
      </c>
      <c r="BF50" s="263">
        <v>294.3</v>
      </c>
      <c r="BG50" s="263">
        <v>289.7</v>
      </c>
      <c r="BH50" s="263">
        <v>273.3</v>
      </c>
      <c r="BI50" s="263">
        <v>314.60000000000002</v>
      </c>
      <c r="BJ50" s="263">
        <v>366.2</v>
      </c>
      <c r="BK50" s="263">
        <v>373.1</v>
      </c>
      <c r="BL50" s="263">
        <v>391.2</v>
      </c>
      <c r="BM50" s="263">
        <v>434.2</v>
      </c>
      <c r="BN50" s="263">
        <v>459.7</v>
      </c>
      <c r="BO50" s="263">
        <v>501.9</v>
      </c>
      <c r="BP50" s="263">
        <v>589.29999999999995</v>
      </c>
      <c r="BQ50" s="263">
        <v>667</v>
      </c>
      <c r="BR50" s="263">
        <v>741.8</v>
      </c>
      <c r="BS50" s="263">
        <v>811</v>
      </c>
      <c r="BT50" s="263">
        <v>743.8</v>
      </c>
      <c r="BU50" s="263">
        <v>762.2</v>
      </c>
      <c r="BV50" s="263">
        <v>730.3</v>
      </c>
      <c r="BW50" s="263">
        <v>698.7</v>
      </c>
      <c r="BX50" s="263">
        <v>795.1</v>
      </c>
      <c r="BY50" s="263">
        <v>959.9</v>
      </c>
      <c r="BZ50" s="263">
        <v>1215.2</v>
      </c>
      <c r="CA50" s="263">
        <v>1621.2</v>
      </c>
      <c r="CB50" s="263">
        <v>1815.7</v>
      </c>
      <c r="CC50" s="263">
        <v>1708.9</v>
      </c>
      <c r="CD50" s="263">
        <v>1345.5</v>
      </c>
      <c r="CE50" s="263">
        <v>1479.2</v>
      </c>
      <c r="CF50" s="263">
        <v>1799.7</v>
      </c>
      <c r="CG50" s="263">
        <v>1738.5</v>
      </c>
      <c r="CH50" s="263">
        <v>2116.6</v>
      </c>
      <c r="CI50" s="263">
        <v>2159.4</v>
      </c>
      <c r="CJ50" s="263">
        <v>2253.1999999999998</v>
      </c>
      <c r="CK50" s="263">
        <v>2210.9</v>
      </c>
      <c r="CL50" s="263">
        <v>2161.6</v>
      </c>
    </row>
    <row r="51" spans="1:90">
      <c r="A51" s="263" t="s">
        <v>15</v>
      </c>
      <c r="B51" s="263" t="s">
        <v>892</v>
      </c>
      <c r="C51" s="263">
        <v>10.9</v>
      </c>
      <c r="D51" s="263">
        <v>4.5999999999999996</v>
      </c>
      <c r="E51" s="263">
        <v>0.6</v>
      </c>
      <c r="F51" s="263">
        <v>-1.3</v>
      </c>
      <c r="G51" s="263">
        <v>1.8</v>
      </c>
      <c r="H51" s="263">
        <v>3.2</v>
      </c>
      <c r="I51" s="263">
        <v>4.4000000000000004</v>
      </c>
      <c r="J51" s="263">
        <v>7.1</v>
      </c>
      <c r="K51" s="263">
        <v>7.6</v>
      </c>
      <c r="L51" s="263">
        <v>4.5999999999999996</v>
      </c>
      <c r="M51" s="263">
        <v>7.8</v>
      </c>
      <c r="N51" s="263">
        <v>10.6</v>
      </c>
      <c r="O51" s="263">
        <v>18.8</v>
      </c>
      <c r="P51" s="263">
        <v>22.5</v>
      </c>
      <c r="Q51" s="263">
        <v>25.8</v>
      </c>
      <c r="R51" s="263">
        <v>24.8</v>
      </c>
      <c r="S51" s="263">
        <v>20.399999999999999</v>
      </c>
      <c r="T51" s="263">
        <v>25.6</v>
      </c>
      <c r="U51" s="263">
        <v>32.6</v>
      </c>
      <c r="V51" s="263">
        <v>36.5</v>
      </c>
      <c r="W51" s="263">
        <v>30</v>
      </c>
      <c r="X51" s="263">
        <v>43.8</v>
      </c>
      <c r="Y51" s="263">
        <v>45.4</v>
      </c>
      <c r="Z51" s="263">
        <v>41.3</v>
      </c>
      <c r="AA51" s="263">
        <v>43.1</v>
      </c>
      <c r="AB51" s="263">
        <v>40.799999999999997</v>
      </c>
      <c r="AC51" s="263">
        <v>51.4</v>
      </c>
      <c r="AD51" s="263">
        <v>52.6</v>
      </c>
      <c r="AE51" s="263">
        <v>51.2</v>
      </c>
      <c r="AF51" s="263">
        <v>45</v>
      </c>
      <c r="AG51" s="263">
        <v>56</v>
      </c>
      <c r="AH51" s="263">
        <v>53.9</v>
      </c>
      <c r="AI51" s="263">
        <v>53.9</v>
      </c>
      <c r="AJ51" s="263">
        <v>59.2</v>
      </c>
      <c r="AK51" s="263">
        <v>64.400000000000006</v>
      </c>
      <c r="AL51" s="263">
        <v>71.400000000000006</v>
      </c>
      <c r="AM51" s="263">
        <v>83.1</v>
      </c>
      <c r="AN51" s="263">
        <v>90.4</v>
      </c>
      <c r="AO51" s="263">
        <v>87.6</v>
      </c>
      <c r="AP51" s="263">
        <v>97.9</v>
      </c>
      <c r="AQ51" s="263">
        <v>96.7</v>
      </c>
      <c r="AR51" s="263">
        <v>86.3</v>
      </c>
      <c r="AS51" s="263">
        <v>99.3</v>
      </c>
      <c r="AT51" s="263">
        <v>115.9</v>
      </c>
      <c r="AU51" s="263">
        <v>146.1</v>
      </c>
      <c r="AV51" s="263">
        <v>161.5</v>
      </c>
      <c r="AW51" s="263">
        <v>154.80000000000001</v>
      </c>
      <c r="AX51" s="263">
        <v>196.2</v>
      </c>
      <c r="AY51" s="263">
        <v>228.5</v>
      </c>
      <c r="AZ51" s="263">
        <v>270.39999999999998</v>
      </c>
      <c r="BA51" s="263">
        <v>301.10000000000002</v>
      </c>
      <c r="BB51" s="263">
        <v>282.8</v>
      </c>
      <c r="BC51" s="263">
        <v>276.60000000000002</v>
      </c>
      <c r="BD51" s="263">
        <v>232.3</v>
      </c>
      <c r="BE51" s="263">
        <v>263.89999999999998</v>
      </c>
      <c r="BF51" s="263">
        <v>298.2</v>
      </c>
      <c r="BG51" s="263">
        <v>289.60000000000002</v>
      </c>
      <c r="BH51" s="263">
        <v>266.2</v>
      </c>
      <c r="BI51" s="263">
        <v>330.8</v>
      </c>
      <c r="BJ51" s="263">
        <v>388.4</v>
      </c>
      <c r="BK51" s="263">
        <v>389.4</v>
      </c>
      <c r="BL51" s="263">
        <v>404.1</v>
      </c>
      <c r="BM51" s="263">
        <v>429.3</v>
      </c>
      <c r="BN51" s="263">
        <v>462.6</v>
      </c>
      <c r="BO51" s="263">
        <v>505.9</v>
      </c>
      <c r="BP51" s="263">
        <v>601.70000000000005</v>
      </c>
      <c r="BQ51" s="263">
        <v>685.3</v>
      </c>
      <c r="BR51" s="263">
        <v>738.7</v>
      </c>
      <c r="BS51" s="263">
        <v>796.9</v>
      </c>
      <c r="BT51" s="263">
        <v>728.1</v>
      </c>
      <c r="BU51" s="263">
        <v>766.1</v>
      </c>
      <c r="BV51" s="263">
        <v>747.1</v>
      </c>
      <c r="BW51" s="263">
        <v>690.6</v>
      </c>
      <c r="BX51" s="263">
        <v>788.9</v>
      </c>
      <c r="BY51" s="263">
        <v>969.4</v>
      </c>
      <c r="BZ51" s="263">
        <v>1254.5999999999999</v>
      </c>
      <c r="CA51" s="263">
        <v>1653.3</v>
      </c>
      <c r="CB51" s="263">
        <v>1851.4</v>
      </c>
      <c r="CC51" s="263">
        <v>1748.4</v>
      </c>
      <c r="CD51" s="263">
        <v>1382.4</v>
      </c>
      <c r="CE51" s="263">
        <v>1472.6</v>
      </c>
      <c r="CF51" s="263">
        <v>1840.7</v>
      </c>
      <c r="CG51" s="263">
        <v>1806.8</v>
      </c>
      <c r="CH51" s="263">
        <v>2130.8000000000002</v>
      </c>
      <c r="CI51" s="263">
        <v>2156.1</v>
      </c>
      <c r="CJ51" s="263">
        <v>2249.1</v>
      </c>
      <c r="CK51" s="263">
        <v>2158.5</v>
      </c>
      <c r="CL51" s="263">
        <v>2158.9</v>
      </c>
    </row>
    <row r="52" spans="1:90">
      <c r="A52" s="263" t="s">
        <v>14</v>
      </c>
      <c r="B52" s="263" t="s">
        <v>893</v>
      </c>
      <c r="C52" s="263">
        <v>1.4</v>
      </c>
      <c r="D52" s="263">
        <v>0.8</v>
      </c>
      <c r="E52" s="263">
        <v>0.5</v>
      </c>
      <c r="F52" s="263">
        <v>0.4</v>
      </c>
      <c r="G52" s="263">
        <v>0.5</v>
      </c>
      <c r="H52" s="263">
        <v>0.7</v>
      </c>
      <c r="I52" s="263">
        <v>1</v>
      </c>
      <c r="J52" s="263">
        <v>1.4</v>
      </c>
      <c r="K52" s="263">
        <v>1.5</v>
      </c>
      <c r="L52" s="263">
        <v>1</v>
      </c>
      <c r="M52" s="263">
        <v>1.4</v>
      </c>
      <c r="N52" s="263">
        <v>2.8</v>
      </c>
      <c r="O52" s="263">
        <v>7.6</v>
      </c>
      <c r="P52" s="263">
        <v>11.4</v>
      </c>
      <c r="Q52" s="263">
        <v>14.1</v>
      </c>
      <c r="R52" s="263">
        <v>12.9</v>
      </c>
      <c r="S52" s="263">
        <v>10.7</v>
      </c>
      <c r="T52" s="263">
        <v>9.1</v>
      </c>
      <c r="U52" s="263">
        <v>11.3</v>
      </c>
      <c r="V52" s="263">
        <v>12.4</v>
      </c>
      <c r="W52" s="263">
        <v>10.199999999999999</v>
      </c>
      <c r="X52" s="263">
        <v>17.899999999999999</v>
      </c>
      <c r="Y52" s="263">
        <v>22.6</v>
      </c>
      <c r="Z52" s="263">
        <v>19.399999999999999</v>
      </c>
      <c r="AA52" s="263">
        <v>20.3</v>
      </c>
      <c r="AB52" s="263">
        <v>17.600000000000001</v>
      </c>
      <c r="AC52" s="263">
        <v>22</v>
      </c>
      <c r="AD52" s="263">
        <v>22</v>
      </c>
      <c r="AE52" s="263">
        <v>21.4</v>
      </c>
      <c r="AF52" s="263">
        <v>19</v>
      </c>
      <c r="AG52" s="263">
        <v>23.7</v>
      </c>
      <c r="AH52" s="263">
        <v>22.8</v>
      </c>
      <c r="AI52" s="263">
        <v>22.9</v>
      </c>
      <c r="AJ52" s="263">
        <v>24.1</v>
      </c>
      <c r="AK52" s="263">
        <v>26.4</v>
      </c>
      <c r="AL52" s="263">
        <v>28.2</v>
      </c>
      <c r="AM52" s="263">
        <v>31.1</v>
      </c>
      <c r="AN52" s="263">
        <v>33.9</v>
      </c>
      <c r="AO52" s="263">
        <v>32.9</v>
      </c>
      <c r="AP52" s="263">
        <v>39.6</v>
      </c>
      <c r="AQ52" s="263">
        <v>40</v>
      </c>
      <c r="AR52" s="263">
        <v>34.799999999999997</v>
      </c>
      <c r="AS52" s="263">
        <v>38.200000000000003</v>
      </c>
      <c r="AT52" s="263">
        <v>42.3</v>
      </c>
      <c r="AU52" s="263">
        <v>50</v>
      </c>
      <c r="AV52" s="263">
        <v>52.8</v>
      </c>
      <c r="AW52" s="263">
        <v>51.6</v>
      </c>
      <c r="AX52" s="263">
        <v>65.3</v>
      </c>
      <c r="AY52" s="263">
        <v>74.400000000000006</v>
      </c>
      <c r="AZ52" s="263">
        <v>84.9</v>
      </c>
      <c r="BA52" s="263">
        <v>90</v>
      </c>
      <c r="BB52" s="263">
        <v>87.2</v>
      </c>
      <c r="BC52" s="263">
        <v>84.3</v>
      </c>
      <c r="BD52" s="263">
        <v>66.5</v>
      </c>
      <c r="BE52" s="263">
        <v>80.599999999999994</v>
      </c>
      <c r="BF52" s="263">
        <v>97.5</v>
      </c>
      <c r="BG52" s="263">
        <v>99.4</v>
      </c>
      <c r="BH52" s="263">
        <v>109.7</v>
      </c>
      <c r="BI52" s="263">
        <v>130.4</v>
      </c>
      <c r="BJ52" s="263">
        <v>141.6</v>
      </c>
      <c r="BK52" s="263">
        <v>146.1</v>
      </c>
      <c r="BL52" s="263">
        <v>145.4</v>
      </c>
      <c r="BM52" s="263">
        <v>138.6</v>
      </c>
      <c r="BN52" s="263">
        <v>148.69999999999999</v>
      </c>
      <c r="BO52" s="263">
        <v>171</v>
      </c>
      <c r="BP52" s="263">
        <v>193.1</v>
      </c>
      <c r="BQ52" s="263">
        <v>217.8</v>
      </c>
      <c r="BR52" s="263">
        <v>231.5</v>
      </c>
      <c r="BS52" s="263">
        <v>245.4</v>
      </c>
      <c r="BT52" s="263">
        <v>248.4</v>
      </c>
      <c r="BU52" s="263">
        <v>258.8</v>
      </c>
      <c r="BV52" s="263">
        <v>265.10000000000002</v>
      </c>
      <c r="BW52" s="263">
        <v>203.3</v>
      </c>
      <c r="BX52" s="263">
        <v>192.3</v>
      </c>
      <c r="BY52" s="263">
        <v>243.8</v>
      </c>
      <c r="BZ52" s="263">
        <v>306.10000000000002</v>
      </c>
      <c r="CA52" s="263">
        <v>412.4</v>
      </c>
      <c r="CB52" s="263">
        <v>473.4</v>
      </c>
      <c r="CC52" s="263">
        <v>445.5</v>
      </c>
      <c r="CD52" s="263">
        <v>309.10000000000002</v>
      </c>
      <c r="CE52" s="263">
        <v>269.39999999999998</v>
      </c>
      <c r="CF52" s="263">
        <v>370.6</v>
      </c>
      <c r="CG52" s="263">
        <v>379.1</v>
      </c>
      <c r="CH52" s="263">
        <v>447.6</v>
      </c>
      <c r="CI52" s="263">
        <v>467.7</v>
      </c>
      <c r="CJ52" s="263">
        <v>505.3</v>
      </c>
      <c r="CK52" s="263">
        <v>507.4</v>
      </c>
      <c r="CL52" s="263">
        <v>471</v>
      </c>
    </row>
    <row r="53" spans="1:90">
      <c r="A53" s="263" t="s">
        <v>13</v>
      </c>
      <c r="B53" s="263" t="s">
        <v>894</v>
      </c>
      <c r="C53" s="263">
        <v>9.5</v>
      </c>
      <c r="D53" s="263">
        <v>3.7</v>
      </c>
      <c r="E53" s="263">
        <v>0.1</v>
      </c>
      <c r="F53" s="263">
        <v>-1.7</v>
      </c>
      <c r="G53" s="263">
        <v>1.3</v>
      </c>
      <c r="H53" s="263">
        <v>2.5</v>
      </c>
      <c r="I53" s="263">
        <v>3.4</v>
      </c>
      <c r="J53" s="263">
        <v>5.7</v>
      </c>
      <c r="K53" s="263">
        <v>6.1</v>
      </c>
      <c r="L53" s="263">
        <v>3.6</v>
      </c>
      <c r="M53" s="263">
        <v>6.3</v>
      </c>
      <c r="N53" s="263">
        <v>7.8</v>
      </c>
      <c r="O53" s="263">
        <v>11.2</v>
      </c>
      <c r="P53" s="263">
        <v>11.1</v>
      </c>
      <c r="Q53" s="263">
        <v>11.8</v>
      </c>
      <c r="R53" s="263">
        <v>11.8</v>
      </c>
      <c r="S53" s="263">
        <v>9.6999999999999993</v>
      </c>
      <c r="T53" s="263">
        <v>16.5</v>
      </c>
      <c r="U53" s="263">
        <v>21.4</v>
      </c>
      <c r="V53" s="263">
        <v>24.1</v>
      </c>
      <c r="W53" s="263">
        <v>19.8</v>
      </c>
      <c r="X53" s="263">
        <v>25.9</v>
      </c>
      <c r="Y53" s="263">
        <v>22.8</v>
      </c>
      <c r="Z53" s="263">
        <v>21.9</v>
      </c>
      <c r="AA53" s="263">
        <v>22.9</v>
      </c>
      <c r="AB53" s="263">
        <v>23.2</v>
      </c>
      <c r="AC53" s="263">
        <v>29.4</v>
      </c>
      <c r="AD53" s="263">
        <v>30.6</v>
      </c>
      <c r="AE53" s="263">
        <v>29.8</v>
      </c>
      <c r="AF53" s="263">
        <v>26.1</v>
      </c>
      <c r="AG53" s="263">
        <v>32.200000000000003</v>
      </c>
      <c r="AH53" s="263">
        <v>31.1</v>
      </c>
      <c r="AI53" s="263">
        <v>31</v>
      </c>
      <c r="AJ53" s="263">
        <v>35.1</v>
      </c>
      <c r="AK53" s="263">
        <v>38</v>
      </c>
      <c r="AL53" s="263">
        <v>43.3</v>
      </c>
      <c r="AM53" s="263">
        <v>52</v>
      </c>
      <c r="AN53" s="263">
        <v>56.5</v>
      </c>
      <c r="AO53" s="263">
        <v>54.7</v>
      </c>
      <c r="AP53" s="263">
        <v>58.3</v>
      </c>
      <c r="AQ53" s="263">
        <v>56.7</v>
      </c>
      <c r="AR53" s="263">
        <v>51.5</v>
      </c>
      <c r="AS53" s="263">
        <v>61.1</v>
      </c>
      <c r="AT53" s="263">
        <v>73.5</v>
      </c>
      <c r="AU53" s="263">
        <v>96.2</v>
      </c>
      <c r="AV53" s="263">
        <v>108.7</v>
      </c>
      <c r="AW53" s="263">
        <v>103.1</v>
      </c>
      <c r="AX53" s="263">
        <v>130.9</v>
      </c>
      <c r="AY53" s="263">
        <v>154.1</v>
      </c>
      <c r="AZ53" s="263">
        <v>185.6</v>
      </c>
      <c r="BA53" s="263">
        <v>211.1</v>
      </c>
      <c r="BB53" s="263">
        <v>195.6</v>
      </c>
      <c r="BC53" s="263">
        <v>192.3</v>
      </c>
      <c r="BD53" s="263">
        <v>165.8</v>
      </c>
      <c r="BE53" s="263">
        <v>183.2</v>
      </c>
      <c r="BF53" s="263">
        <v>200.7</v>
      </c>
      <c r="BG53" s="263">
        <v>190.2</v>
      </c>
      <c r="BH53" s="263">
        <v>156.5</v>
      </c>
      <c r="BI53" s="263">
        <v>200.4</v>
      </c>
      <c r="BJ53" s="263">
        <v>246.7</v>
      </c>
      <c r="BK53" s="263">
        <v>243.3</v>
      </c>
      <c r="BL53" s="263">
        <v>258.60000000000002</v>
      </c>
      <c r="BM53" s="263">
        <v>290.7</v>
      </c>
      <c r="BN53" s="263">
        <v>313.89999999999998</v>
      </c>
      <c r="BO53" s="263">
        <v>334.9</v>
      </c>
      <c r="BP53" s="263">
        <v>408.6</v>
      </c>
      <c r="BQ53" s="263">
        <v>467.4</v>
      </c>
      <c r="BR53" s="263">
        <v>507.3</v>
      </c>
      <c r="BS53" s="263">
        <v>551.5</v>
      </c>
      <c r="BT53" s="263">
        <v>479.7</v>
      </c>
      <c r="BU53" s="263">
        <v>507.4</v>
      </c>
      <c r="BV53" s="263">
        <v>482</v>
      </c>
      <c r="BW53" s="263">
        <v>487.3</v>
      </c>
      <c r="BX53" s="263">
        <v>596.6</v>
      </c>
      <c r="BY53" s="263">
        <v>725.7</v>
      </c>
      <c r="BZ53" s="263">
        <v>948.5</v>
      </c>
      <c r="CA53" s="263">
        <v>1240.9000000000001</v>
      </c>
      <c r="CB53" s="263">
        <v>1378.1</v>
      </c>
      <c r="CC53" s="263">
        <v>1302.9000000000001</v>
      </c>
      <c r="CD53" s="263">
        <v>1073.3</v>
      </c>
      <c r="CE53" s="263">
        <v>1203.0999999999999</v>
      </c>
      <c r="CF53" s="263">
        <v>1470.1</v>
      </c>
      <c r="CG53" s="263">
        <v>1427.7</v>
      </c>
      <c r="CH53" s="263">
        <v>1683.2</v>
      </c>
      <c r="CI53" s="263">
        <v>1688.4</v>
      </c>
      <c r="CJ53" s="263">
        <v>1743.8</v>
      </c>
      <c r="CK53" s="263">
        <v>1651.1</v>
      </c>
      <c r="CL53" s="263">
        <v>1687.9</v>
      </c>
    </row>
    <row r="54" spans="1:90">
      <c r="A54" s="263" t="s">
        <v>11</v>
      </c>
      <c r="B54" s="263" t="s">
        <v>895</v>
      </c>
      <c r="C54" s="263">
        <v>5.8</v>
      </c>
      <c r="D54" s="263">
        <v>5.5</v>
      </c>
      <c r="E54" s="263">
        <v>4.0999999999999996</v>
      </c>
      <c r="F54" s="263">
        <v>2.5</v>
      </c>
      <c r="G54" s="263">
        <v>2</v>
      </c>
      <c r="H54" s="263">
        <v>2.6</v>
      </c>
      <c r="I54" s="263">
        <v>2.8</v>
      </c>
      <c r="J54" s="263">
        <v>4.5</v>
      </c>
      <c r="K54" s="263">
        <v>4.7</v>
      </c>
      <c r="L54" s="263">
        <v>3.2</v>
      </c>
      <c r="M54" s="263">
        <v>3.8</v>
      </c>
      <c r="N54" s="263">
        <v>4</v>
      </c>
      <c r="O54" s="263">
        <v>4.4000000000000004</v>
      </c>
      <c r="P54" s="263">
        <v>4.3</v>
      </c>
      <c r="Q54" s="263">
        <v>4.4000000000000004</v>
      </c>
      <c r="R54" s="263">
        <v>4.5999999999999996</v>
      </c>
      <c r="S54" s="263">
        <v>4.5999999999999996</v>
      </c>
      <c r="T54" s="263">
        <v>5.6</v>
      </c>
      <c r="U54" s="263">
        <v>6.3</v>
      </c>
      <c r="V54" s="263">
        <v>7</v>
      </c>
      <c r="W54" s="263">
        <v>7.2</v>
      </c>
      <c r="X54" s="263">
        <v>8.8000000000000007</v>
      </c>
      <c r="Y54" s="263">
        <v>8.6</v>
      </c>
      <c r="Z54" s="263">
        <v>8.6</v>
      </c>
      <c r="AA54" s="263">
        <v>8.9</v>
      </c>
      <c r="AB54" s="263">
        <v>9.3000000000000007</v>
      </c>
      <c r="AC54" s="263">
        <v>10.5</v>
      </c>
      <c r="AD54" s="263">
        <v>11.3</v>
      </c>
      <c r="AE54" s="263">
        <v>11.7</v>
      </c>
      <c r="AF54" s="263">
        <v>11.6</v>
      </c>
      <c r="AG54" s="263">
        <v>12.6</v>
      </c>
      <c r="AH54" s="263">
        <v>13.4</v>
      </c>
      <c r="AI54" s="263">
        <v>13.9</v>
      </c>
      <c r="AJ54" s="263">
        <v>15</v>
      </c>
      <c r="AK54" s="263">
        <v>16.2</v>
      </c>
      <c r="AL54" s="263">
        <v>18.2</v>
      </c>
      <c r="AM54" s="263">
        <v>20.2</v>
      </c>
      <c r="AN54" s="263">
        <v>20.7</v>
      </c>
      <c r="AO54" s="263">
        <v>21.5</v>
      </c>
      <c r="AP54" s="263">
        <v>23.5</v>
      </c>
      <c r="AQ54" s="263">
        <v>24.2</v>
      </c>
      <c r="AR54" s="263">
        <v>24.3</v>
      </c>
      <c r="AS54" s="263">
        <v>25</v>
      </c>
      <c r="AT54" s="263">
        <v>26.8</v>
      </c>
      <c r="AU54" s="263">
        <v>29.9</v>
      </c>
      <c r="AV54" s="263">
        <v>33.200000000000003</v>
      </c>
      <c r="AW54" s="263">
        <v>33</v>
      </c>
      <c r="AX54" s="263">
        <v>39</v>
      </c>
      <c r="AY54" s="263">
        <v>44.8</v>
      </c>
      <c r="AZ54" s="263">
        <v>50.8</v>
      </c>
      <c r="BA54" s="263">
        <v>57.5</v>
      </c>
      <c r="BB54" s="263">
        <v>64.099999999999994</v>
      </c>
      <c r="BC54" s="263">
        <v>73.8</v>
      </c>
      <c r="BD54" s="263">
        <v>77.7</v>
      </c>
      <c r="BE54" s="263">
        <v>83.5</v>
      </c>
      <c r="BF54" s="263">
        <v>90.8</v>
      </c>
      <c r="BG54" s="263">
        <v>97.5</v>
      </c>
      <c r="BH54" s="263">
        <v>106.2</v>
      </c>
      <c r="BI54" s="263">
        <v>112.3</v>
      </c>
      <c r="BJ54" s="263">
        <v>129.9</v>
      </c>
      <c r="BK54" s="263">
        <v>158</v>
      </c>
      <c r="BL54" s="263">
        <v>169.1</v>
      </c>
      <c r="BM54" s="263">
        <v>180.5</v>
      </c>
      <c r="BN54" s="263">
        <v>189.5</v>
      </c>
      <c r="BO54" s="263">
        <v>205.3</v>
      </c>
      <c r="BP54" s="263">
        <v>236</v>
      </c>
      <c r="BQ54" s="263">
        <v>259</v>
      </c>
      <c r="BR54" s="263">
        <v>303.5</v>
      </c>
      <c r="BS54" s="263">
        <v>339.5</v>
      </c>
      <c r="BT54" s="263">
        <v>357.1</v>
      </c>
      <c r="BU54" s="263">
        <v>347.9</v>
      </c>
      <c r="BV54" s="263">
        <v>384.7</v>
      </c>
      <c r="BW54" s="263">
        <v>370.6</v>
      </c>
      <c r="BX54" s="263">
        <v>400.2</v>
      </c>
      <c r="BY54" s="263">
        <v>434</v>
      </c>
      <c r="BZ54" s="263">
        <v>564.1</v>
      </c>
      <c r="CA54" s="263">
        <v>580.5</v>
      </c>
      <c r="CB54" s="263">
        <v>726</v>
      </c>
      <c r="CC54" s="263">
        <v>818.9</v>
      </c>
      <c r="CD54" s="263">
        <v>808.6</v>
      </c>
      <c r="CE54" s="263">
        <v>574.6</v>
      </c>
      <c r="CF54" s="263">
        <v>564</v>
      </c>
      <c r="CG54" s="263">
        <v>703.7</v>
      </c>
      <c r="CH54" s="263">
        <v>859.4</v>
      </c>
      <c r="CI54" s="263">
        <v>929.4</v>
      </c>
      <c r="CJ54" s="263">
        <v>986.4</v>
      </c>
      <c r="CK54" s="263">
        <v>1039.9000000000001</v>
      </c>
      <c r="CL54" s="263">
        <v>981.9</v>
      </c>
    </row>
    <row r="55" spans="1:90">
      <c r="A55" s="263" t="s">
        <v>10</v>
      </c>
      <c r="B55" s="263" t="s">
        <v>896</v>
      </c>
      <c r="C55" s="263">
        <v>3.7</v>
      </c>
      <c r="D55" s="263">
        <v>-1.8</v>
      </c>
      <c r="E55" s="263">
        <v>-4</v>
      </c>
      <c r="F55" s="263">
        <v>-4.3</v>
      </c>
      <c r="G55" s="263">
        <v>-0.7</v>
      </c>
      <c r="H55" s="263">
        <v>-0.1</v>
      </c>
      <c r="I55" s="263">
        <v>0.6</v>
      </c>
      <c r="J55" s="263">
        <v>1.2</v>
      </c>
      <c r="K55" s="263">
        <v>1.5</v>
      </c>
      <c r="L55" s="263">
        <v>0.4</v>
      </c>
      <c r="M55" s="263">
        <v>2.6</v>
      </c>
      <c r="N55" s="263">
        <v>3.8</v>
      </c>
      <c r="O55" s="263">
        <v>6.7</v>
      </c>
      <c r="P55" s="263">
        <v>6.8</v>
      </c>
      <c r="Q55" s="263">
        <v>7.3</v>
      </c>
      <c r="R55" s="263">
        <v>7.2</v>
      </c>
      <c r="S55" s="263">
        <v>5.0999999999999996</v>
      </c>
      <c r="T55" s="263">
        <v>10.9</v>
      </c>
      <c r="U55" s="263">
        <v>15</v>
      </c>
      <c r="V55" s="263">
        <v>17</v>
      </c>
      <c r="W55" s="263">
        <v>12.6</v>
      </c>
      <c r="X55" s="263">
        <v>17</v>
      </c>
      <c r="Y55" s="263">
        <v>14.3</v>
      </c>
      <c r="Z55" s="263">
        <v>13.3</v>
      </c>
      <c r="AA55" s="263">
        <v>14</v>
      </c>
      <c r="AB55" s="263">
        <v>13.9</v>
      </c>
      <c r="AC55" s="263">
        <v>18.899999999999999</v>
      </c>
      <c r="AD55" s="263">
        <v>19.399999999999999</v>
      </c>
      <c r="AE55" s="263">
        <v>18</v>
      </c>
      <c r="AF55" s="263">
        <v>14.5</v>
      </c>
      <c r="AG55" s="263">
        <v>19.7</v>
      </c>
      <c r="AH55" s="263">
        <v>17.7</v>
      </c>
      <c r="AI55" s="263">
        <v>17.100000000000001</v>
      </c>
      <c r="AJ55" s="263">
        <v>20.100000000000001</v>
      </c>
      <c r="AK55" s="263">
        <v>21.8</v>
      </c>
      <c r="AL55" s="263">
        <v>25.1</v>
      </c>
      <c r="AM55" s="263">
        <v>31.8</v>
      </c>
      <c r="AN55" s="263">
        <v>35.799999999999997</v>
      </c>
      <c r="AO55" s="263">
        <v>33.200000000000003</v>
      </c>
      <c r="AP55" s="263">
        <v>34.700000000000003</v>
      </c>
      <c r="AQ55" s="263">
        <v>32.4</v>
      </c>
      <c r="AR55" s="263">
        <v>27.2</v>
      </c>
      <c r="AS55" s="263">
        <v>36.1</v>
      </c>
      <c r="AT55" s="263">
        <v>46.7</v>
      </c>
      <c r="AU55" s="263">
        <v>66.3</v>
      </c>
      <c r="AV55" s="263">
        <v>75.5</v>
      </c>
      <c r="AW55" s="263">
        <v>70.2</v>
      </c>
      <c r="AX55" s="263">
        <v>91.9</v>
      </c>
      <c r="AY55" s="263">
        <v>109.3</v>
      </c>
      <c r="AZ55" s="263">
        <v>134.80000000000001</v>
      </c>
      <c r="BA55" s="263">
        <v>153.6</v>
      </c>
      <c r="BB55" s="263">
        <v>131.5</v>
      </c>
      <c r="BC55" s="263">
        <v>118.5</v>
      </c>
      <c r="BD55" s="263">
        <v>88.1</v>
      </c>
      <c r="BE55" s="263">
        <v>99.8</v>
      </c>
      <c r="BF55" s="263">
        <v>109.9</v>
      </c>
      <c r="BG55" s="263">
        <v>92.7</v>
      </c>
      <c r="BH55" s="263">
        <v>50.3</v>
      </c>
      <c r="BI55" s="263">
        <v>88</v>
      </c>
      <c r="BJ55" s="263">
        <v>116.8</v>
      </c>
      <c r="BK55" s="263">
        <v>85.4</v>
      </c>
      <c r="BL55" s="263">
        <v>89.6</v>
      </c>
      <c r="BM55" s="263">
        <v>110.2</v>
      </c>
      <c r="BN55" s="263">
        <v>124.4</v>
      </c>
      <c r="BO55" s="263">
        <v>129.6</v>
      </c>
      <c r="BP55" s="263">
        <v>172.6</v>
      </c>
      <c r="BQ55" s="263">
        <v>208.5</v>
      </c>
      <c r="BR55" s="263">
        <v>203.7</v>
      </c>
      <c r="BS55" s="263">
        <v>212</v>
      </c>
      <c r="BT55" s="263">
        <v>122.6</v>
      </c>
      <c r="BU55" s="263">
        <v>159.5</v>
      </c>
      <c r="BV55" s="263">
        <v>97.3</v>
      </c>
      <c r="BW55" s="263">
        <v>116.8</v>
      </c>
      <c r="BX55" s="263">
        <v>196.4</v>
      </c>
      <c r="BY55" s="263">
        <v>291.7</v>
      </c>
      <c r="BZ55" s="263">
        <v>384.4</v>
      </c>
      <c r="CA55" s="263">
        <v>660.4</v>
      </c>
      <c r="CB55" s="263">
        <v>652.1</v>
      </c>
      <c r="CC55" s="263">
        <v>484</v>
      </c>
      <c r="CD55" s="263">
        <v>264.7</v>
      </c>
      <c r="CE55" s="263">
        <v>628.5</v>
      </c>
      <c r="CF55" s="263">
        <v>906.2</v>
      </c>
      <c r="CG55" s="263">
        <v>724</v>
      </c>
      <c r="CH55" s="263">
        <v>823.8</v>
      </c>
      <c r="CI55" s="263">
        <v>759</v>
      </c>
      <c r="CJ55" s="263">
        <v>757.4</v>
      </c>
      <c r="CK55" s="263">
        <v>611.20000000000005</v>
      </c>
      <c r="CL55" s="263">
        <v>706</v>
      </c>
    </row>
    <row r="56" spans="1:90">
      <c r="A56" s="263" t="s">
        <v>9</v>
      </c>
      <c r="B56" s="263" t="s">
        <v>887</v>
      </c>
      <c r="C56" s="263">
        <v>0.5</v>
      </c>
      <c r="D56" s="263">
        <v>3.3</v>
      </c>
      <c r="E56" s="263">
        <v>2.4</v>
      </c>
      <c r="F56" s="263">
        <v>1</v>
      </c>
      <c r="G56" s="263">
        <v>-2.1</v>
      </c>
      <c r="H56" s="263">
        <v>-0.6</v>
      </c>
      <c r="I56" s="263">
        <v>-0.2</v>
      </c>
      <c r="J56" s="263">
        <v>-0.7</v>
      </c>
      <c r="K56" s="263">
        <v>0</v>
      </c>
      <c r="L56" s="263">
        <v>1</v>
      </c>
      <c r="M56" s="263">
        <v>-0.7</v>
      </c>
      <c r="N56" s="263">
        <v>-0.2</v>
      </c>
      <c r="O56" s="263">
        <v>-2.5</v>
      </c>
      <c r="P56" s="263">
        <v>-1.2</v>
      </c>
      <c r="Q56" s="263">
        <v>-0.8</v>
      </c>
      <c r="R56" s="263">
        <v>-0.3</v>
      </c>
      <c r="S56" s="263">
        <v>-0.6</v>
      </c>
      <c r="T56" s="263">
        <v>-5.3</v>
      </c>
      <c r="U56" s="263">
        <v>-5.9</v>
      </c>
      <c r="V56" s="263">
        <v>-2.2000000000000002</v>
      </c>
      <c r="W56" s="263">
        <v>1.9</v>
      </c>
      <c r="X56" s="263">
        <v>-5</v>
      </c>
      <c r="Y56" s="263">
        <v>-1.2</v>
      </c>
      <c r="Z56" s="263">
        <v>1</v>
      </c>
      <c r="AA56" s="263">
        <v>-1</v>
      </c>
      <c r="AB56" s="263">
        <v>-0.3</v>
      </c>
      <c r="AC56" s="263">
        <v>-1.7</v>
      </c>
      <c r="AD56" s="263">
        <v>-2.7</v>
      </c>
      <c r="AE56" s="263">
        <v>-1.5</v>
      </c>
      <c r="AF56" s="263">
        <v>-0.3</v>
      </c>
      <c r="AG56" s="263">
        <v>-0.3</v>
      </c>
      <c r="AH56" s="263">
        <v>-0.2</v>
      </c>
      <c r="AI56" s="263">
        <v>0.3</v>
      </c>
      <c r="AJ56" s="263">
        <v>0</v>
      </c>
      <c r="AK56" s="263">
        <v>0.1</v>
      </c>
      <c r="AL56" s="263">
        <v>-0.5</v>
      </c>
      <c r="AM56" s="263">
        <v>-1.2</v>
      </c>
      <c r="AN56" s="263">
        <v>-2.1</v>
      </c>
      <c r="AO56" s="263">
        <v>-1.6</v>
      </c>
      <c r="AP56" s="263">
        <v>-3.7</v>
      </c>
      <c r="AQ56" s="263">
        <v>-5.9</v>
      </c>
      <c r="AR56" s="263">
        <v>-6.6</v>
      </c>
      <c r="AS56" s="263">
        <v>-4.5999999999999996</v>
      </c>
      <c r="AT56" s="263">
        <v>-6.6</v>
      </c>
      <c r="AU56" s="263">
        <v>-19.600000000000001</v>
      </c>
      <c r="AV56" s="263">
        <v>-38.200000000000003</v>
      </c>
      <c r="AW56" s="263">
        <v>-10.5</v>
      </c>
      <c r="AX56" s="263">
        <v>-14.1</v>
      </c>
      <c r="AY56" s="263">
        <v>-15.7</v>
      </c>
      <c r="AZ56" s="263">
        <v>-23.7</v>
      </c>
      <c r="BA56" s="263">
        <v>-40.1</v>
      </c>
      <c r="BB56" s="263">
        <v>-42.1</v>
      </c>
      <c r="BC56" s="263">
        <v>-24.6</v>
      </c>
      <c r="BD56" s="263">
        <v>-7.5</v>
      </c>
      <c r="BE56" s="263">
        <v>-7.4</v>
      </c>
      <c r="BF56" s="263">
        <v>-4</v>
      </c>
      <c r="BG56" s="263">
        <v>0</v>
      </c>
      <c r="BH56" s="263">
        <v>7.1</v>
      </c>
      <c r="BI56" s="263">
        <v>-16.2</v>
      </c>
      <c r="BJ56" s="263">
        <v>-22.2</v>
      </c>
      <c r="BK56" s="263">
        <v>-16.3</v>
      </c>
      <c r="BL56" s="263">
        <v>-12.9</v>
      </c>
      <c r="BM56" s="263">
        <v>4.9000000000000004</v>
      </c>
      <c r="BN56" s="263">
        <v>-2.8</v>
      </c>
      <c r="BO56" s="263">
        <v>-4</v>
      </c>
      <c r="BP56" s="263">
        <v>-12.4</v>
      </c>
      <c r="BQ56" s="263">
        <v>-18.3</v>
      </c>
      <c r="BR56" s="263">
        <v>3.1</v>
      </c>
      <c r="BS56" s="263">
        <v>14.1</v>
      </c>
      <c r="BT56" s="263">
        <v>15.7</v>
      </c>
      <c r="BU56" s="263">
        <v>-4</v>
      </c>
      <c r="BV56" s="263">
        <v>-16.8</v>
      </c>
      <c r="BW56" s="263">
        <v>8</v>
      </c>
      <c r="BX56" s="263">
        <v>6.1</v>
      </c>
      <c r="BY56" s="263">
        <v>-9.6</v>
      </c>
      <c r="BZ56" s="263">
        <v>-39.5</v>
      </c>
      <c r="CA56" s="263">
        <v>-32.1</v>
      </c>
      <c r="CB56" s="263">
        <v>-35.700000000000003</v>
      </c>
      <c r="CC56" s="263">
        <v>-39.5</v>
      </c>
      <c r="CD56" s="263">
        <v>-37</v>
      </c>
      <c r="CE56" s="263">
        <v>6.7</v>
      </c>
      <c r="CF56" s="263">
        <v>-41</v>
      </c>
      <c r="CG56" s="263">
        <v>-68.3</v>
      </c>
      <c r="CH56" s="263">
        <v>-14.2</v>
      </c>
      <c r="CI56" s="263">
        <v>3.3</v>
      </c>
      <c r="CJ56" s="263">
        <v>4.0999999999999996</v>
      </c>
      <c r="CK56" s="263">
        <v>52.4</v>
      </c>
      <c r="CL56" s="263">
        <v>2.7</v>
      </c>
    </row>
    <row r="57" spans="1:90">
      <c r="A57" s="263" t="s">
        <v>8</v>
      </c>
      <c r="B57" s="263" t="s">
        <v>890</v>
      </c>
      <c r="C57" s="263">
        <v>-0.6</v>
      </c>
      <c r="D57" s="263">
        <v>-0.3</v>
      </c>
      <c r="E57" s="263">
        <v>0</v>
      </c>
      <c r="F57" s="263">
        <v>0.1</v>
      </c>
      <c r="G57" s="263">
        <v>0.1</v>
      </c>
      <c r="H57" s="263">
        <v>-0.1</v>
      </c>
      <c r="I57" s="263">
        <v>-0.1</v>
      </c>
      <c r="J57" s="263">
        <v>-0.1</v>
      </c>
      <c r="K57" s="263">
        <v>-0.5</v>
      </c>
      <c r="L57" s="263">
        <v>-0.6</v>
      </c>
      <c r="M57" s="263">
        <v>-0.5</v>
      </c>
      <c r="N57" s="263">
        <v>-0.6</v>
      </c>
      <c r="O57" s="263">
        <v>-0.6</v>
      </c>
      <c r="P57" s="263">
        <v>-0.5</v>
      </c>
      <c r="Q57" s="263">
        <v>-0.2</v>
      </c>
      <c r="R57" s="263">
        <v>0.5</v>
      </c>
      <c r="S57" s="263">
        <v>0.6</v>
      </c>
      <c r="T57" s="263">
        <v>-2.1</v>
      </c>
      <c r="U57" s="263">
        <v>-2.6</v>
      </c>
      <c r="V57" s="263">
        <v>-3</v>
      </c>
      <c r="W57" s="263">
        <v>-2.8</v>
      </c>
      <c r="X57" s="263">
        <v>-2.8</v>
      </c>
      <c r="Y57" s="263">
        <v>-3</v>
      </c>
      <c r="Z57" s="263">
        <v>-2.6</v>
      </c>
      <c r="AA57" s="263">
        <v>-1.9</v>
      </c>
      <c r="AB57" s="263">
        <v>-1</v>
      </c>
      <c r="AC57" s="263">
        <v>0.5</v>
      </c>
      <c r="AD57" s="263">
        <v>-0.3</v>
      </c>
      <c r="AE57" s="263">
        <v>-0.5</v>
      </c>
      <c r="AF57" s="263">
        <v>-0.9</v>
      </c>
      <c r="AG57" s="263">
        <v>-0.2</v>
      </c>
      <c r="AH57" s="263">
        <v>1</v>
      </c>
      <c r="AI57" s="263">
        <v>1.8</v>
      </c>
      <c r="AJ57" s="263">
        <v>4.8</v>
      </c>
      <c r="AK57" s="263">
        <v>6</v>
      </c>
      <c r="AL57" s="263">
        <v>6.8</v>
      </c>
      <c r="AM57" s="263">
        <v>7.4</v>
      </c>
      <c r="AN57" s="263">
        <v>7.8</v>
      </c>
      <c r="AO57" s="263">
        <v>7.8</v>
      </c>
      <c r="AP57" s="263">
        <v>7.5</v>
      </c>
      <c r="AQ57" s="263">
        <v>7.6</v>
      </c>
      <c r="AR57" s="263">
        <v>6.5</v>
      </c>
      <c r="AS57" s="263">
        <v>6</v>
      </c>
      <c r="AT57" s="263">
        <v>7.9</v>
      </c>
      <c r="AU57" s="263">
        <v>6.8</v>
      </c>
      <c r="AV57" s="263">
        <v>2.4</v>
      </c>
      <c r="AW57" s="263">
        <v>-5.4</v>
      </c>
      <c r="AX57" s="263">
        <v>-7.8</v>
      </c>
      <c r="AY57" s="263">
        <v>-7</v>
      </c>
      <c r="AZ57" s="263">
        <v>-8.1</v>
      </c>
      <c r="BA57" s="263">
        <v>-12</v>
      </c>
      <c r="BB57" s="263">
        <v>-17.100000000000001</v>
      </c>
      <c r="BC57" s="263">
        <v>-4.5</v>
      </c>
      <c r="BD57" s="263">
        <v>5</v>
      </c>
      <c r="BE57" s="263">
        <v>23.3</v>
      </c>
      <c r="BF57" s="263">
        <v>43.6</v>
      </c>
      <c r="BG57" s="263">
        <v>64.8</v>
      </c>
      <c r="BH57" s="263">
        <v>51.1</v>
      </c>
      <c r="BI57" s="263">
        <v>51.4</v>
      </c>
      <c r="BJ57" s="263">
        <v>48.7</v>
      </c>
      <c r="BK57" s="263">
        <v>41.2</v>
      </c>
      <c r="BL57" s="263">
        <v>26</v>
      </c>
      <c r="BM57" s="263">
        <v>17.100000000000001</v>
      </c>
      <c r="BN57" s="263">
        <v>15.5</v>
      </c>
      <c r="BO57" s="263">
        <v>20.100000000000001</v>
      </c>
      <c r="BP57" s="263">
        <v>32.6</v>
      </c>
      <c r="BQ57" s="263">
        <v>36</v>
      </c>
      <c r="BR57" s="263">
        <v>44.2</v>
      </c>
      <c r="BS57" s="263">
        <v>54.8</v>
      </c>
      <c r="BT57" s="263">
        <v>60.3</v>
      </c>
      <c r="BU57" s="263">
        <v>68</v>
      </c>
      <c r="BV57" s="263">
        <v>50.9</v>
      </c>
      <c r="BW57" s="263">
        <v>55.4</v>
      </c>
      <c r="BX57" s="263">
        <v>112.1</v>
      </c>
      <c r="BY57" s="263">
        <v>96.5</v>
      </c>
      <c r="BZ57" s="263">
        <v>68.2</v>
      </c>
      <c r="CA57" s="263">
        <v>-143.5</v>
      </c>
      <c r="CB57" s="263">
        <v>-169.2</v>
      </c>
      <c r="CC57" s="263">
        <v>-179.9</v>
      </c>
      <c r="CD57" s="263">
        <v>-60.4</v>
      </c>
      <c r="CE57" s="263">
        <v>-82.2</v>
      </c>
      <c r="CF57" s="263">
        <v>-53.3</v>
      </c>
      <c r="CG57" s="263">
        <v>78.099999999999994</v>
      </c>
      <c r="CH57" s="263">
        <v>-118.5</v>
      </c>
      <c r="CI57" s="263">
        <v>-126.6</v>
      </c>
      <c r="CJ57" s="263">
        <v>-112.6</v>
      </c>
      <c r="CK57" s="263">
        <v>-93.5</v>
      </c>
      <c r="CL57" s="263">
        <v>-88.2</v>
      </c>
    </row>
    <row r="58" spans="1:90" ht="15" customHeight="1">
      <c r="A58" s="1942" t="s">
        <v>7</v>
      </c>
      <c r="B58" s="1939"/>
      <c r="C58" s="1939"/>
      <c r="D58" s="1939"/>
      <c r="E58" s="1939"/>
      <c r="F58" s="1939"/>
      <c r="G58" s="1939"/>
      <c r="H58" s="1939"/>
      <c r="I58" s="1939"/>
      <c r="J58" s="1939"/>
      <c r="K58" s="1939"/>
      <c r="L58" s="1939"/>
      <c r="M58" s="1939"/>
      <c r="N58" s="1939"/>
      <c r="O58" s="1939"/>
      <c r="P58" s="1939"/>
      <c r="Q58" s="1939"/>
      <c r="R58" s="1939"/>
      <c r="S58" s="1939"/>
      <c r="T58" s="1939"/>
      <c r="U58" s="1939"/>
      <c r="V58" s="1939"/>
      <c r="W58" s="1939"/>
      <c r="X58" s="1939"/>
      <c r="Y58" s="1939"/>
      <c r="Z58" s="1939"/>
      <c r="AA58" s="1939"/>
      <c r="AB58" s="1939"/>
      <c r="AC58" s="1939"/>
      <c r="AD58" s="1939"/>
      <c r="AE58" s="1939"/>
      <c r="AF58" s="1939"/>
      <c r="AG58" s="1939"/>
      <c r="AH58" s="1939"/>
      <c r="AI58" s="1939"/>
      <c r="AJ58" s="1939"/>
      <c r="AK58" s="1939"/>
      <c r="AL58" s="1939"/>
      <c r="AM58" s="1939"/>
      <c r="AN58" s="1939"/>
      <c r="AO58" s="1939"/>
      <c r="AP58" s="1939"/>
      <c r="AQ58" s="1939"/>
      <c r="AR58" s="1939"/>
      <c r="AS58" s="1939"/>
      <c r="AT58" s="1939"/>
      <c r="AU58" s="1939"/>
      <c r="AV58" s="1939"/>
      <c r="AW58" s="1939"/>
      <c r="AX58" s="1939"/>
      <c r="AY58" s="1939"/>
      <c r="AZ58" s="1939"/>
      <c r="BA58" s="1939"/>
      <c r="BB58" s="1939"/>
      <c r="BC58" s="1939"/>
      <c r="BD58" s="1939"/>
      <c r="BE58" s="1939"/>
      <c r="BF58" s="1939"/>
      <c r="BG58" s="1939"/>
      <c r="BH58" s="1939"/>
      <c r="BI58" s="1939"/>
      <c r="BJ58" s="1939"/>
      <c r="BK58" s="1939"/>
      <c r="BL58" s="1939"/>
      <c r="BM58" s="1939"/>
      <c r="BN58" s="1939"/>
      <c r="BO58" s="1939"/>
      <c r="BP58" s="1939"/>
      <c r="BQ58" s="1939"/>
      <c r="BR58" s="1939"/>
      <c r="BS58" s="1939"/>
      <c r="BT58" s="1939"/>
      <c r="BU58" s="1939"/>
      <c r="BV58" s="1939"/>
      <c r="BW58" s="1939"/>
      <c r="BX58" s="1939"/>
      <c r="BY58" s="1939"/>
      <c r="BZ58" s="1939"/>
      <c r="CA58" s="1939"/>
      <c r="CB58" s="1939"/>
      <c r="CC58" s="1939"/>
      <c r="CD58" s="1939"/>
      <c r="CE58" s="1939"/>
      <c r="CF58" s="1939"/>
      <c r="CG58" s="1939"/>
      <c r="CH58" s="1939"/>
      <c r="CI58" s="1939"/>
      <c r="CJ58" s="1939"/>
      <c r="CK58" s="1939"/>
      <c r="CL58" s="1939"/>
    </row>
    <row r="59" spans="1:90" ht="15" customHeight="1">
      <c r="A59" s="1938" t="s">
        <v>6</v>
      </c>
      <c r="B59" s="1939"/>
      <c r="C59" s="1939"/>
      <c r="D59" s="1939"/>
      <c r="E59" s="1939"/>
      <c r="F59" s="1939"/>
      <c r="G59" s="1939"/>
      <c r="H59" s="1939"/>
      <c r="I59" s="1939"/>
      <c r="J59" s="1939"/>
      <c r="K59" s="1939"/>
      <c r="L59" s="1939"/>
      <c r="M59" s="1939"/>
      <c r="N59" s="1939"/>
      <c r="O59" s="1939"/>
      <c r="P59" s="1939"/>
      <c r="Q59" s="1939"/>
      <c r="R59" s="1939"/>
      <c r="S59" s="1939"/>
      <c r="T59" s="1939"/>
      <c r="U59" s="1939"/>
      <c r="V59" s="1939"/>
      <c r="W59" s="1939"/>
      <c r="X59" s="1939"/>
      <c r="Y59" s="1939"/>
      <c r="Z59" s="1939"/>
      <c r="AA59" s="1939"/>
      <c r="AB59" s="1939"/>
      <c r="AC59" s="1939"/>
      <c r="AD59" s="1939"/>
      <c r="AE59" s="1939"/>
      <c r="AF59" s="1939"/>
      <c r="AG59" s="1939"/>
      <c r="AH59" s="1939"/>
      <c r="AI59" s="1939"/>
      <c r="AJ59" s="1939"/>
      <c r="AK59" s="1939"/>
      <c r="AL59" s="1939"/>
      <c r="AM59" s="1939"/>
      <c r="AN59" s="1939"/>
      <c r="AO59" s="1939"/>
      <c r="AP59" s="1939"/>
      <c r="AQ59" s="1939"/>
      <c r="AR59" s="1939"/>
      <c r="AS59" s="1939"/>
      <c r="AT59" s="1939"/>
      <c r="AU59" s="1939"/>
      <c r="AV59" s="1939"/>
      <c r="AW59" s="1939"/>
      <c r="AX59" s="1939"/>
      <c r="AY59" s="1939"/>
      <c r="AZ59" s="1939"/>
      <c r="BA59" s="1939"/>
      <c r="BB59" s="1939"/>
      <c r="BC59" s="1939"/>
      <c r="BD59" s="1939"/>
      <c r="BE59" s="1939"/>
      <c r="BF59" s="1939"/>
      <c r="BG59" s="1939"/>
      <c r="BH59" s="1939"/>
      <c r="BI59" s="1939"/>
      <c r="BJ59" s="1939"/>
      <c r="BK59" s="1939"/>
      <c r="BL59" s="1939"/>
      <c r="BM59" s="1939"/>
      <c r="BN59" s="1939"/>
      <c r="BO59" s="1939"/>
      <c r="BP59" s="1939"/>
      <c r="BQ59" s="1939"/>
      <c r="BR59" s="1939"/>
      <c r="BS59" s="1939"/>
      <c r="BT59" s="1939"/>
      <c r="BU59" s="1939"/>
      <c r="BV59" s="1939"/>
      <c r="BW59" s="1939"/>
      <c r="BX59" s="1939"/>
      <c r="BY59" s="1939"/>
      <c r="BZ59" s="1939"/>
      <c r="CA59" s="1939"/>
      <c r="CB59" s="1939"/>
      <c r="CC59" s="1939"/>
      <c r="CD59" s="1939"/>
      <c r="CE59" s="1939"/>
      <c r="CF59" s="1939"/>
      <c r="CG59" s="1939"/>
      <c r="CH59" s="1939"/>
      <c r="CI59" s="1939"/>
      <c r="CJ59" s="1939"/>
      <c r="CK59" s="1939"/>
      <c r="CL59" s="1939"/>
    </row>
    <row r="60" spans="1:90" ht="15" customHeight="1">
      <c r="A60" s="1938" t="s">
        <v>5</v>
      </c>
      <c r="B60" s="1939"/>
      <c r="C60" s="1939"/>
      <c r="D60" s="1939"/>
      <c r="E60" s="1939"/>
      <c r="F60" s="1939"/>
      <c r="G60" s="1939"/>
      <c r="H60" s="1939"/>
      <c r="I60" s="1939"/>
      <c r="J60" s="1939"/>
      <c r="K60" s="1939"/>
      <c r="L60" s="1939"/>
      <c r="M60" s="1939"/>
      <c r="N60" s="1939"/>
      <c r="O60" s="1939"/>
      <c r="P60" s="1939"/>
      <c r="Q60" s="1939"/>
      <c r="R60" s="1939"/>
      <c r="S60" s="1939"/>
      <c r="T60" s="1939"/>
      <c r="U60" s="1939"/>
      <c r="V60" s="1939"/>
      <c r="W60" s="1939"/>
      <c r="X60" s="1939"/>
      <c r="Y60" s="1939"/>
      <c r="Z60" s="1939"/>
      <c r="AA60" s="1939"/>
      <c r="AB60" s="1939"/>
      <c r="AC60" s="1939"/>
      <c r="AD60" s="1939"/>
      <c r="AE60" s="1939"/>
      <c r="AF60" s="1939"/>
      <c r="AG60" s="1939"/>
      <c r="AH60" s="1939"/>
      <c r="AI60" s="1939"/>
      <c r="AJ60" s="1939"/>
      <c r="AK60" s="1939"/>
      <c r="AL60" s="1939"/>
      <c r="AM60" s="1939"/>
      <c r="AN60" s="1939"/>
      <c r="AO60" s="1939"/>
      <c r="AP60" s="1939"/>
      <c r="AQ60" s="1939"/>
      <c r="AR60" s="1939"/>
      <c r="AS60" s="1939"/>
      <c r="AT60" s="1939"/>
      <c r="AU60" s="1939"/>
      <c r="AV60" s="1939"/>
      <c r="AW60" s="1939"/>
      <c r="AX60" s="1939"/>
      <c r="AY60" s="1939"/>
      <c r="AZ60" s="1939"/>
      <c r="BA60" s="1939"/>
      <c r="BB60" s="1939"/>
      <c r="BC60" s="1939"/>
      <c r="BD60" s="1939"/>
      <c r="BE60" s="1939"/>
      <c r="BF60" s="1939"/>
      <c r="BG60" s="1939"/>
      <c r="BH60" s="1939"/>
      <c r="BI60" s="1939"/>
      <c r="BJ60" s="1939"/>
      <c r="BK60" s="1939"/>
      <c r="BL60" s="1939"/>
      <c r="BM60" s="1939"/>
      <c r="BN60" s="1939"/>
      <c r="BO60" s="1939"/>
      <c r="BP60" s="1939"/>
      <c r="BQ60" s="1939"/>
      <c r="BR60" s="1939"/>
      <c r="BS60" s="1939"/>
      <c r="BT60" s="1939"/>
      <c r="BU60" s="1939"/>
      <c r="BV60" s="1939"/>
      <c r="BW60" s="1939"/>
      <c r="BX60" s="1939"/>
      <c r="BY60" s="1939"/>
      <c r="BZ60" s="1939"/>
      <c r="CA60" s="1939"/>
      <c r="CB60" s="1939"/>
      <c r="CC60" s="1939"/>
      <c r="CD60" s="1939"/>
      <c r="CE60" s="1939"/>
      <c r="CF60" s="1939"/>
      <c r="CG60" s="1939"/>
      <c r="CH60" s="1939"/>
      <c r="CI60" s="1939"/>
      <c r="CJ60" s="1939"/>
      <c r="CK60" s="1939"/>
      <c r="CL60" s="1939"/>
    </row>
    <row r="61" spans="1:90" ht="15" customHeight="1">
      <c r="A61" s="1938" t="s">
        <v>4</v>
      </c>
      <c r="B61" s="1939"/>
      <c r="C61" s="1939"/>
      <c r="D61" s="1939"/>
      <c r="E61" s="1939"/>
      <c r="F61" s="1939"/>
      <c r="G61" s="1939"/>
      <c r="H61" s="1939"/>
      <c r="I61" s="1939"/>
      <c r="J61" s="1939"/>
      <c r="K61" s="1939"/>
      <c r="L61" s="1939"/>
      <c r="M61" s="1939"/>
      <c r="N61" s="1939"/>
      <c r="O61" s="1939"/>
      <c r="P61" s="1939"/>
      <c r="Q61" s="1939"/>
      <c r="R61" s="1939"/>
      <c r="S61" s="1939"/>
      <c r="T61" s="1939"/>
      <c r="U61" s="1939"/>
      <c r="V61" s="1939"/>
      <c r="W61" s="1939"/>
      <c r="X61" s="1939"/>
      <c r="Y61" s="1939"/>
      <c r="Z61" s="1939"/>
      <c r="AA61" s="1939"/>
      <c r="AB61" s="1939"/>
      <c r="AC61" s="1939"/>
      <c r="AD61" s="1939"/>
      <c r="AE61" s="1939"/>
      <c r="AF61" s="1939"/>
      <c r="AG61" s="1939"/>
      <c r="AH61" s="1939"/>
      <c r="AI61" s="1939"/>
      <c r="AJ61" s="1939"/>
      <c r="AK61" s="1939"/>
      <c r="AL61" s="1939"/>
      <c r="AM61" s="1939"/>
      <c r="AN61" s="1939"/>
      <c r="AO61" s="1939"/>
      <c r="AP61" s="1939"/>
      <c r="AQ61" s="1939"/>
      <c r="AR61" s="1939"/>
      <c r="AS61" s="1939"/>
      <c r="AT61" s="1939"/>
      <c r="AU61" s="1939"/>
      <c r="AV61" s="1939"/>
      <c r="AW61" s="1939"/>
      <c r="AX61" s="1939"/>
      <c r="AY61" s="1939"/>
      <c r="AZ61" s="1939"/>
      <c r="BA61" s="1939"/>
      <c r="BB61" s="1939"/>
      <c r="BC61" s="1939"/>
      <c r="BD61" s="1939"/>
      <c r="BE61" s="1939"/>
      <c r="BF61" s="1939"/>
      <c r="BG61" s="1939"/>
      <c r="BH61" s="1939"/>
      <c r="BI61" s="1939"/>
      <c r="BJ61" s="1939"/>
      <c r="BK61" s="1939"/>
      <c r="BL61" s="1939"/>
      <c r="BM61" s="1939"/>
      <c r="BN61" s="1939"/>
      <c r="BO61" s="1939"/>
      <c r="BP61" s="1939"/>
      <c r="BQ61" s="1939"/>
      <c r="BR61" s="1939"/>
      <c r="BS61" s="1939"/>
      <c r="BT61" s="1939"/>
      <c r="BU61" s="1939"/>
      <c r="BV61" s="1939"/>
      <c r="BW61" s="1939"/>
      <c r="BX61" s="1939"/>
      <c r="BY61" s="1939"/>
      <c r="BZ61" s="1939"/>
      <c r="CA61" s="1939"/>
      <c r="CB61" s="1939"/>
      <c r="CC61" s="1939"/>
      <c r="CD61" s="1939"/>
      <c r="CE61" s="1939"/>
      <c r="CF61" s="1939"/>
      <c r="CG61" s="1939"/>
      <c r="CH61" s="1939"/>
      <c r="CI61" s="1939"/>
      <c r="CJ61" s="1939"/>
      <c r="CK61" s="1939"/>
      <c r="CL61" s="1939"/>
    </row>
    <row r="62" spans="1:90" ht="15" customHeight="1">
      <c r="A62" s="1938" t="s">
        <v>3</v>
      </c>
      <c r="B62" s="1939"/>
      <c r="C62" s="1939"/>
      <c r="D62" s="1939"/>
      <c r="E62" s="1939"/>
      <c r="F62" s="1939"/>
      <c r="G62" s="1939"/>
      <c r="H62" s="1939"/>
      <c r="I62" s="1939"/>
      <c r="J62" s="1939"/>
      <c r="K62" s="1939"/>
      <c r="L62" s="1939"/>
      <c r="M62" s="1939"/>
      <c r="N62" s="1939"/>
      <c r="O62" s="1939"/>
      <c r="P62" s="1939"/>
      <c r="Q62" s="1939"/>
      <c r="R62" s="1939"/>
      <c r="S62" s="1939"/>
      <c r="T62" s="1939"/>
      <c r="U62" s="1939"/>
      <c r="V62" s="1939"/>
      <c r="W62" s="1939"/>
      <c r="X62" s="1939"/>
      <c r="Y62" s="1939"/>
      <c r="Z62" s="1939"/>
      <c r="AA62" s="1939"/>
      <c r="AB62" s="1939"/>
      <c r="AC62" s="1939"/>
      <c r="AD62" s="1939"/>
      <c r="AE62" s="1939"/>
      <c r="AF62" s="1939"/>
      <c r="AG62" s="1939"/>
      <c r="AH62" s="1939"/>
      <c r="AI62" s="1939"/>
      <c r="AJ62" s="1939"/>
      <c r="AK62" s="1939"/>
      <c r="AL62" s="1939"/>
      <c r="AM62" s="1939"/>
      <c r="AN62" s="1939"/>
      <c r="AO62" s="1939"/>
      <c r="AP62" s="1939"/>
      <c r="AQ62" s="1939"/>
      <c r="AR62" s="1939"/>
      <c r="AS62" s="1939"/>
      <c r="AT62" s="1939"/>
      <c r="AU62" s="1939"/>
      <c r="AV62" s="1939"/>
      <c r="AW62" s="1939"/>
      <c r="AX62" s="1939"/>
      <c r="AY62" s="1939"/>
      <c r="AZ62" s="1939"/>
      <c r="BA62" s="1939"/>
      <c r="BB62" s="1939"/>
      <c r="BC62" s="1939"/>
      <c r="BD62" s="1939"/>
      <c r="BE62" s="1939"/>
      <c r="BF62" s="1939"/>
      <c r="BG62" s="1939"/>
      <c r="BH62" s="1939"/>
      <c r="BI62" s="1939"/>
      <c r="BJ62" s="1939"/>
      <c r="BK62" s="1939"/>
      <c r="BL62" s="1939"/>
      <c r="BM62" s="1939"/>
      <c r="BN62" s="1939"/>
      <c r="BO62" s="1939"/>
      <c r="BP62" s="1939"/>
      <c r="BQ62" s="1939"/>
      <c r="BR62" s="1939"/>
      <c r="BS62" s="1939"/>
      <c r="BT62" s="1939"/>
      <c r="BU62" s="1939"/>
      <c r="BV62" s="1939"/>
      <c r="BW62" s="1939"/>
      <c r="BX62" s="1939"/>
      <c r="BY62" s="1939"/>
      <c r="BZ62" s="1939"/>
      <c r="CA62" s="1939"/>
      <c r="CB62" s="1939"/>
      <c r="CC62" s="1939"/>
      <c r="CD62" s="1939"/>
      <c r="CE62" s="1939"/>
      <c r="CF62" s="1939"/>
      <c r="CG62" s="1939"/>
      <c r="CH62" s="1939"/>
      <c r="CI62" s="1939"/>
      <c r="CJ62" s="1939"/>
      <c r="CK62" s="1939"/>
      <c r="CL62" s="1939"/>
    </row>
  </sheetData>
  <mergeCells count="9">
    <mergeCell ref="A59:CL59"/>
    <mergeCell ref="A60:CL60"/>
    <mergeCell ref="A61:CL61"/>
    <mergeCell ref="A62:CL62"/>
    <mergeCell ref="A1:CL1"/>
    <mergeCell ref="A2:CL2"/>
    <mergeCell ref="A3:CL3"/>
    <mergeCell ref="A4:CL4"/>
    <mergeCell ref="A58:CL58"/>
  </mergeCell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T68"/>
  <sheetViews>
    <sheetView workbookViewId="0">
      <pane xSplit="1" ySplit="9" topLeftCell="B51" activePane="bottomRight" state="frozen"/>
      <selection activeCell="X67" sqref="X67"/>
      <selection pane="topRight" activeCell="X67" sqref="X67"/>
      <selection pane="bottomLeft" activeCell="X67" sqref="X67"/>
      <selection pane="bottomRight" activeCell="A3" sqref="A3:M3"/>
    </sheetView>
  </sheetViews>
  <sheetFormatPr baseColWidth="10" defaultColWidth="9.28515625" defaultRowHeight="15" x14ac:dyDescent="0"/>
  <cols>
    <col min="1" max="1" width="16.28515625" style="805" customWidth="1"/>
    <col min="2" max="8" width="9.7109375" style="805" customWidth="1"/>
    <col min="9" max="16384" width="9.28515625" style="805"/>
  </cols>
  <sheetData>
    <row r="2" spans="1:18" ht="16" thickBot="1"/>
    <row r="3" spans="1:18" ht="32" customHeight="1" thickTop="1">
      <c r="A3" s="1793" t="s">
        <v>2469</v>
      </c>
      <c r="B3" s="1794"/>
      <c r="C3" s="1794"/>
      <c r="D3" s="1794"/>
      <c r="E3" s="1794"/>
      <c r="F3" s="1794"/>
      <c r="G3" s="1794"/>
      <c r="H3" s="1794"/>
      <c r="I3" s="1794"/>
      <c r="J3" s="1794"/>
      <c r="K3" s="1794"/>
      <c r="L3" s="1794"/>
      <c r="M3" s="1795"/>
    </row>
    <row r="4" spans="1:18" ht="12" customHeight="1">
      <c r="A4" s="806"/>
      <c r="B4" s="807"/>
      <c r="C4" s="807"/>
      <c r="D4" s="807"/>
      <c r="E4" s="807"/>
      <c r="F4" s="807"/>
      <c r="G4" s="807"/>
      <c r="H4" s="887"/>
      <c r="I4" s="887"/>
      <c r="J4" s="887"/>
      <c r="K4" s="887"/>
      <c r="L4" s="887"/>
      <c r="M4" s="888"/>
    </row>
    <row r="5" spans="1:18">
      <c r="A5" s="809"/>
      <c r="B5" s="839" t="s">
        <v>2411</v>
      </c>
      <c r="C5" s="839" t="s">
        <v>2412</v>
      </c>
      <c r="D5" s="839" t="s">
        <v>2413</v>
      </c>
      <c r="E5" s="839" t="s">
        <v>2414</v>
      </c>
      <c r="F5" s="839" t="s">
        <v>2415</v>
      </c>
      <c r="G5" s="839" t="s">
        <v>2416</v>
      </c>
      <c r="H5" s="839" t="s">
        <v>2417</v>
      </c>
      <c r="I5" s="839" t="s">
        <v>2429</v>
      </c>
      <c r="J5" s="839" t="s">
        <v>2430</v>
      </c>
      <c r="K5" s="839" t="s">
        <v>2431</v>
      </c>
      <c r="L5" s="810" t="s">
        <v>2432</v>
      </c>
      <c r="M5" s="811" t="s">
        <v>2433</v>
      </c>
    </row>
    <row r="6" spans="1:18" ht="21" customHeight="1" thickBot="1">
      <c r="A6" s="809"/>
      <c r="B6" s="1782" t="s">
        <v>2493</v>
      </c>
      <c r="C6" s="1783"/>
      <c r="D6" s="1783"/>
      <c r="E6" s="1783"/>
      <c r="F6" s="1783"/>
      <c r="G6" s="1784"/>
      <c r="H6" s="1782" t="s">
        <v>2470</v>
      </c>
      <c r="I6" s="1783"/>
      <c r="J6" s="1783"/>
      <c r="K6" s="1784"/>
      <c r="L6" s="1775" t="s">
        <v>2473</v>
      </c>
      <c r="M6" s="1777" t="s">
        <v>2474</v>
      </c>
    </row>
    <row r="7" spans="1:18" ht="21" customHeight="1">
      <c r="A7" s="809"/>
      <c r="B7" s="1780" t="s">
        <v>2460</v>
      </c>
      <c r="C7" s="1781"/>
      <c r="D7" s="1781"/>
      <c r="E7" s="1785" t="s">
        <v>2490</v>
      </c>
      <c r="F7" s="1798" t="s">
        <v>2492</v>
      </c>
      <c r="G7" s="1788" t="s">
        <v>2491</v>
      </c>
      <c r="H7" s="1780" t="s">
        <v>2460</v>
      </c>
      <c r="I7" s="1781"/>
      <c r="J7" s="1781"/>
      <c r="K7" s="1790" t="s">
        <v>2471</v>
      </c>
      <c r="L7" s="1759"/>
      <c r="M7" s="1778"/>
    </row>
    <row r="8" spans="1:18" ht="85" customHeight="1">
      <c r="A8" s="809"/>
      <c r="B8" s="1762" t="s">
        <v>2423</v>
      </c>
      <c r="C8" s="1750" t="s">
        <v>780</v>
      </c>
      <c r="D8" s="1758" t="s">
        <v>2271</v>
      </c>
      <c r="E8" s="1786"/>
      <c r="F8" s="1759"/>
      <c r="G8" s="1761"/>
      <c r="H8" s="1762" t="s">
        <v>2423</v>
      </c>
      <c r="I8" s="1750" t="s">
        <v>780</v>
      </c>
      <c r="J8" s="1758" t="s">
        <v>2271</v>
      </c>
      <c r="K8" s="1791"/>
      <c r="L8" s="1759"/>
      <c r="M8" s="1778"/>
      <c r="R8" s="1193" t="s">
        <v>2596</v>
      </c>
    </row>
    <row r="9" spans="1:18" ht="33" customHeight="1">
      <c r="A9" s="809"/>
      <c r="B9" s="1796"/>
      <c r="C9" s="1797"/>
      <c r="D9" s="1776"/>
      <c r="E9" s="1787"/>
      <c r="F9" s="1776"/>
      <c r="G9" s="1789"/>
      <c r="H9" s="1796"/>
      <c r="I9" s="1797"/>
      <c r="J9" s="1776"/>
      <c r="K9" s="1792"/>
      <c r="L9" s="1776"/>
      <c r="M9" s="1779"/>
    </row>
    <row r="10" spans="1:18" ht="14" customHeight="1">
      <c r="A10" s="921">
        <v>1966</v>
      </c>
      <c r="B10" s="922">
        <f>('Assets(MOFA)'!CP11-'Assets(MOFA)'!CQ11)/1000</f>
        <v>0.19714104423424958</v>
      </c>
      <c r="C10" s="923">
        <f>('Assets(MOFA)'!GG11-'Assets(MOFA)'!GH11)/1000</f>
        <v>7.0444759045761654E-2</v>
      </c>
      <c r="D10" s="961">
        <f t="shared" ref="D10:D41" si="0">B10+C10</f>
        <v>0.26758580328001125</v>
      </c>
      <c r="E10" s="950">
        <f t="shared" ref="E10:E41" si="1">C10/D10</f>
        <v>0.26326045022667277</v>
      </c>
      <c r="F10" s="946">
        <f>B10/T.A2!E10</f>
        <v>6.1279308020236754E-2</v>
      </c>
      <c r="G10" s="928">
        <f>D10/T.A2!G10</f>
        <v>4.5102230538826338E-2</v>
      </c>
      <c r="H10" s="922">
        <f>T.A2!E10-B10</f>
        <v>3.0199488773612444</v>
      </c>
      <c r="I10" s="923">
        <f>T.A2!F10-C10</f>
        <v>2.6453382634065896</v>
      </c>
      <c r="J10" s="961">
        <f t="shared" ref="J10:J41" si="2">H10+I10</f>
        <v>5.665287140767834</v>
      </c>
      <c r="K10" s="955">
        <f t="shared" ref="K10:K44" si="3">I10/J10</f>
        <v>0.46693807351273259</v>
      </c>
      <c r="L10" s="928">
        <f>B10/T.A1!E10</f>
        <v>4.4211619096786337E-2</v>
      </c>
      <c r="M10" s="965">
        <f>D10/T.A1!K10</f>
        <v>2.8397648670176821E-2</v>
      </c>
      <c r="R10" s="969">
        <f t="shared" ref="R10:R41" si="4">K10-E10</f>
        <v>0.20367762328605982</v>
      </c>
    </row>
    <row r="11" spans="1:18" ht="14" customHeight="1">
      <c r="A11" s="826">
        <v>1967</v>
      </c>
      <c r="B11" s="814">
        <f>('Assets(MOFA)'!CP12-'Assets(MOFA)'!CQ12)/1000</f>
        <v>0.2310191492421621</v>
      </c>
      <c r="C11" s="828">
        <f>('Assets(MOFA)'!GG12-'Assets(MOFA)'!GH12)/1000</f>
        <v>8.486207729349568E-2</v>
      </c>
      <c r="D11" s="962">
        <f t="shared" si="0"/>
        <v>0.31588122653565776</v>
      </c>
      <c r="E11" s="951">
        <f t="shared" si="1"/>
        <v>0.26865185444604495</v>
      </c>
      <c r="F11" s="947">
        <f>B11/T.A2!E11</f>
        <v>6.9031443060236633E-2</v>
      </c>
      <c r="G11" s="915">
        <f>D11/T.A2!G11</f>
        <v>5.1906423243455249E-2</v>
      </c>
      <c r="H11" s="814">
        <f>T.A2!E11-B11</f>
        <v>3.1155594387293433</v>
      </c>
      <c r="I11" s="828">
        <f>T.A2!F11-C11</f>
        <v>2.6541496489450309</v>
      </c>
      <c r="J11" s="962">
        <f t="shared" si="2"/>
        <v>5.7697090876743742</v>
      </c>
      <c r="K11" s="956">
        <f t="shared" si="3"/>
        <v>0.46001446669382295</v>
      </c>
      <c r="L11" s="915">
        <f>B11/T.A1!E11</f>
        <v>4.7663981725181707E-2</v>
      </c>
      <c r="M11" s="966">
        <f>D11/T.A1!K11</f>
        <v>3.0832750139111739E-2</v>
      </c>
      <c r="R11" s="969">
        <f t="shared" si="4"/>
        <v>0.19136261224777801</v>
      </c>
    </row>
    <row r="12" spans="1:18" ht="14" customHeight="1">
      <c r="A12" s="826">
        <v>1968</v>
      </c>
      <c r="B12" s="814">
        <f>('Assets(MOFA)'!CP13-'Assets(MOFA)'!CQ13)/1000</f>
        <v>0.26433800910176258</v>
      </c>
      <c r="C12" s="828">
        <f>('Assets(MOFA)'!GG13-'Assets(MOFA)'!GH13)/1000</f>
        <v>9.2698778003232923E-2</v>
      </c>
      <c r="D12" s="962">
        <f t="shared" si="0"/>
        <v>0.35703678710499553</v>
      </c>
      <c r="E12" s="951">
        <f t="shared" si="1"/>
        <v>0.25963368860355712</v>
      </c>
      <c r="F12" s="947">
        <f>B12/T.A2!E12</f>
        <v>6.763571170175163E-2</v>
      </c>
      <c r="G12" s="915">
        <f>D12/T.A2!G12</f>
        <v>5.2443242076966642E-2</v>
      </c>
      <c r="H12" s="814">
        <f>T.A2!E12-B12</f>
        <v>3.6439229147633556</v>
      </c>
      <c r="I12" s="828">
        <f>T.A2!F12-C12</f>
        <v>2.807101221996767</v>
      </c>
      <c r="J12" s="962">
        <f t="shared" si="2"/>
        <v>6.4510241367601227</v>
      </c>
      <c r="K12" s="956">
        <f t="shared" si="3"/>
        <v>0.43514039980116531</v>
      </c>
      <c r="L12" s="915">
        <f>B12/T.A1!E12</f>
        <v>4.6432429914220412E-2</v>
      </c>
      <c r="M12" s="966">
        <f>D12/T.A1!K12</f>
        <v>3.0560732463711868E-2</v>
      </c>
      <c r="R12" s="969">
        <f t="shared" si="4"/>
        <v>0.17550671119760819</v>
      </c>
    </row>
    <row r="13" spans="1:18" ht="14" customHeight="1">
      <c r="A13" s="856">
        <v>1969</v>
      </c>
      <c r="B13" s="857">
        <f>('Assets(MOFA)'!CP14-'Assets(MOFA)'!CQ14)/1000</f>
        <v>0.31694740108727443</v>
      </c>
      <c r="C13" s="858">
        <f>('Assets(MOFA)'!GG14-'Assets(MOFA)'!GH14)/1000</f>
        <v>0.11126512527160423</v>
      </c>
      <c r="D13" s="963">
        <f t="shared" si="0"/>
        <v>0.42821252635887863</v>
      </c>
      <c r="E13" s="952">
        <f t="shared" si="1"/>
        <v>0.25983622248909777</v>
      </c>
      <c r="F13" s="948">
        <f>B13/T.A2!E13</f>
        <v>6.6776183514050638E-2</v>
      </c>
      <c r="G13" s="916">
        <f>D13/T.A2!G13</f>
        <v>5.315934217466594E-2</v>
      </c>
      <c r="H13" s="857">
        <f>T.A2!E13-B13</f>
        <v>4.4294664310327398</v>
      </c>
      <c r="I13" s="858">
        <f>T.A2!F13-C13</f>
        <v>3.1975848747283955</v>
      </c>
      <c r="J13" s="963">
        <f t="shared" si="2"/>
        <v>7.6270513057611353</v>
      </c>
      <c r="K13" s="957">
        <f t="shared" si="3"/>
        <v>0.41924260720694012</v>
      </c>
      <c r="L13" s="916">
        <f>B13/T.A1!E13</f>
        <v>4.8242980575447847E-2</v>
      </c>
      <c r="M13" s="967">
        <f>D13/T.A1!K13</f>
        <v>3.187489237961031E-2</v>
      </c>
      <c r="R13" s="969">
        <f t="shared" si="4"/>
        <v>0.15940638471784235</v>
      </c>
    </row>
    <row r="14" spans="1:18" ht="14" customHeight="1">
      <c r="A14" s="863">
        <v>1970</v>
      </c>
      <c r="B14" s="864">
        <f>('Assets(MOFA)'!CP15-'Assets(MOFA)'!CQ15)/1000</f>
        <v>0.42003313614834231</v>
      </c>
      <c r="C14" s="865">
        <f>('Assets(MOFA)'!GG15-'Assets(MOFA)'!GH15)/1000</f>
        <v>0.16177903186821363</v>
      </c>
      <c r="D14" s="964">
        <f t="shared" si="0"/>
        <v>0.581812168016556</v>
      </c>
      <c r="E14" s="953">
        <f t="shared" si="1"/>
        <v>0.27806058511930271</v>
      </c>
      <c r="F14" s="949">
        <f>B14/T.A2!E14</f>
        <v>8.6828562892564173E-2</v>
      </c>
      <c r="G14" s="917">
        <f>D14/T.A2!G14</f>
        <v>6.6823687006532184E-2</v>
      </c>
      <c r="H14" s="864">
        <f>T.A2!E14-B14</f>
        <v>4.4174664395162129</v>
      </c>
      <c r="I14" s="865">
        <f>T.A2!F14-C14</f>
        <v>3.7073970351877898</v>
      </c>
      <c r="J14" s="964">
        <f t="shared" si="2"/>
        <v>8.1248634747040036</v>
      </c>
      <c r="K14" s="958">
        <f t="shared" si="3"/>
        <v>0.45630268702119375</v>
      </c>
      <c r="L14" s="917">
        <f>B14/T.A1!E14</f>
        <v>5.9646573818655395E-2</v>
      </c>
      <c r="M14" s="968">
        <f>D14/T.A1!K14</f>
        <v>4.0102273733599356E-2</v>
      </c>
      <c r="R14" s="969">
        <f t="shared" si="4"/>
        <v>0.17824210190189105</v>
      </c>
    </row>
    <row r="15" spans="1:18" ht="14" customHeight="1">
      <c r="A15" s="826">
        <v>1971</v>
      </c>
      <c r="B15" s="814">
        <f>('Assets(MOFA)'!CP16-'Assets(MOFA)'!CQ16)/1000</f>
        <v>0.54643798836721436</v>
      </c>
      <c r="C15" s="828">
        <f>('Assets(MOFA)'!GG16-'Assets(MOFA)'!GH16)/1000</f>
        <v>0.20268384416010563</v>
      </c>
      <c r="D15" s="962">
        <f t="shared" si="0"/>
        <v>0.74912183252732001</v>
      </c>
      <c r="E15" s="951">
        <f t="shared" si="1"/>
        <v>0.27056192378789584</v>
      </c>
      <c r="F15" s="947">
        <f>B15/T.A2!E15</f>
        <v>8.845704191178129E-2</v>
      </c>
      <c r="G15" s="915">
        <f>D15/T.A2!G15</f>
        <v>7.0368375076473005E-2</v>
      </c>
      <c r="H15" s="814">
        <f>T.A2!E15-B15</f>
        <v>5.6310011002265465</v>
      </c>
      <c r="I15" s="828">
        <f>T.A2!F15-C15</f>
        <v>4.2655944326565169</v>
      </c>
      <c r="J15" s="962">
        <f t="shared" si="2"/>
        <v>9.8965955328830635</v>
      </c>
      <c r="K15" s="956">
        <f t="shared" si="3"/>
        <v>0.43101634481103923</v>
      </c>
      <c r="L15" s="915">
        <f>B15/T.A1!E15</f>
        <v>6.131802631788065E-2</v>
      </c>
      <c r="M15" s="966">
        <f>D15/T.A1!K15</f>
        <v>4.0300788545860319E-2</v>
      </c>
      <c r="R15" s="969">
        <f t="shared" si="4"/>
        <v>0.16045442102314339</v>
      </c>
    </row>
    <row r="16" spans="1:18" ht="14" customHeight="1">
      <c r="A16" s="826">
        <v>1972</v>
      </c>
      <c r="B16" s="814">
        <f>('Assets(MOFA)'!CP17-'Assets(MOFA)'!CQ17)/1000</f>
        <v>0.6301240867837955</v>
      </c>
      <c r="C16" s="828">
        <f>('Assets(MOFA)'!GG17-'Assets(MOFA)'!GH17)/1000</f>
        <v>0.22526080373510138</v>
      </c>
      <c r="D16" s="962">
        <f t="shared" si="0"/>
        <v>0.85538489051889688</v>
      </c>
      <c r="E16" s="951">
        <f t="shared" si="1"/>
        <v>0.26334438009356559</v>
      </c>
      <c r="F16" s="947">
        <f>B16/T.A2!E16</f>
        <v>8.2949580773018061E-2</v>
      </c>
      <c r="G16" s="915">
        <f>D16/T.A2!G16</f>
        <v>7.0324656613759182E-2</v>
      </c>
      <c r="H16" s="814">
        <f>T.A2!E16-B16</f>
        <v>6.9663469370789679</v>
      </c>
      <c r="I16" s="828">
        <f>T.A2!F16-C16</f>
        <v>4.3416391962648948</v>
      </c>
      <c r="J16" s="962">
        <f t="shared" si="2"/>
        <v>11.307986133343864</v>
      </c>
      <c r="K16" s="956">
        <f t="shared" si="3"/>
        <v>0.38394451010712699</v>
      </c>
      <c r="L16" s="915">
        <f>B16/T.A1!E16</f>
        <v>5.8937080349130054E-2</v>
      </c>
      <c r="M16" s="966">
        <f>D16/T.A1!K16</f>
        <v>3.8361729225336358E-2</v>
      </c>
      <c r="R16" s="969">
        <f t="shared" si="4"/>
        <v>0.1206001300135614</v>
      </c>
    </row>
    <row r="17" spans="1:20" ht="14" customHeight="1">
      <c r="A17" s="826">
        <v>1973</v>
      </c>
      <c r="B17" s="814">
        <f>('Assets(MOFA)'!CP18-'Assets(MOFA)'!CQ18)/1000</f>
        <v>0.78903011127211531</v>
      </c>
      <c r="C17" s="828">
        <f>('Assets(MOFA)'!GG18-'Assets(MOFA)'!GH18)/1000</f>
        <v>0.28985485071736061</v>
      </c>
      <c r="D17" s="962">
        <f t="shared" si="0"/>
        <v>1.078884961989476</v>
      </c>
      <c r="E17" s="951">
        <f t="shared" si="1"/>
        <v>0.26866149861136723</v>
      </c>
      <c r="F17" s="947">
        <f>B17/T.A2!E17</f>
        <v>8.098586492628379E-2</v>
      </c>
      <c r="G17" s="915">
        <f>D17/T.A2!G17</f>
        <v>7.0124089806530843E-2</v>
      </c>
      <c r="H17" s="814">
        <f>T.A2!E17-B17</f>
        <v>8.9537825633880672</v>
      </c>
      <c r="I17" s="828">
        <f>T.A2!F17-C17</f>
        <v>5.3527009687600691</v>
      </c>
      <c r="J17" s="962">
        <f t="shared" si="2"/>
        <v>14.306483532148135</v>
      </c>
      <c r="K17" s="956">
        <f t="shared" si="3"/>
        <v>0.37414511796221628</v>
      </c>
      <c r="L17" s="915">
        <f>B17/T.A1!E17</f>
        <v>4.8355247536259555E-2</v>
      </c>
      <c r="M17" s="966">
        <f>D17/T.A1!K17</f>
        <v>3.1768073771535801E-2</v>
      </c>
      <c r="R17" s="969">
        <f t="shared" si="4"/>
        <v>0.10548361935084904</v>
      </c>
    </row>
    <row r="18" spans="1:20" ht="14" customHeight="1">
      <c r="A18" s="826">
        <v>1974</v>
      </c>
      <c r="B18" s="814">
        <f>('Assets(MOFA)'!CP19-'Assets(MOFA)'!CQ19)/1000</f>
        <v>1.1025226608976322</v>
      </c>
      <c r="C18" s="828">
        <f>('Assets(MOFA)'!GG19-'Assets(MOFA)'!GH19)/1000</f>
        <v>0.33131606550589948</v>
      </c>
      <c r="D18" s="962">
        <f t="shared" si="0"/>
        <v>1.4338387264035317</v>
      </c>
      <c r="E18" s="951">
        <f t="shared" si="1"/>
        <v>0.2310692683945933</v>
      </c>
      <c r="F18" s="947">
        <f>B18/T.A2!E18</f>
        <v>0.1105918667416475</v>
      </c>
      <c r="G18" s="915">
        <f>D18/T.A2!G18</f>
        <v>8.5812345946255877E-2</v>
      </c>
      <c r="H18" s="814">
        <f>T.A2!E18-B18</f>
        <v>8.8667697778783925</v>
      </c>
      <c r="I18" s="828">
        <f>T.A2!F18-C18</f>
        <v>6.4083942690665934</v>
      </c>
      <c r="J18" s="962">
        <f t="shared" si="2"/>
        <v>15.275164046944987</v>
      </c>
      <c r="K18" s="956">
        <f t="shared" si="3"/>
        <v>0.41953030745671527</v>
      </c>
      <c r="L18" s="915">
        <f>B18/T.A1!E18</f>
        <v>5.8181713162121562E-2</v>
      </c>
      <c r="M18" s="966">
        <f>D18/T.A1!K18</f>
        <v>2.3371081510331737E-2</v>
      </c>
      <c r="R18" s="969">
        <f t="shared" si="4"/>
        <v>0.18846103906212197</v>
      </c>
    </row>
    <row r="19" spans="1:20" ht="14" customHeight="1">
      <c r="A19" s="826">
        <v>1975</v>
      </c>
      <c r="B19" s="814">
        <f>('Assets(MOFA)'!CP20-'Assets(MOFA)'!CQ20)/1000</f>
        <v>1.3122555317205868</v>
      </c>
      <c r="C19" s="828">
        <f>('Assets(MOFA)'!GG20-'Assets(MOFA)'!GH20)/1000</f>
        <v>0.40938054769597476</v>
      </c>
      <c r="D19" s="962">
        <f t="shared" si="0"/>
        <v>1.7216360794165615</v>
      </c>
      <c r="E19" s="951">
        <f t="shared" si="1"/>
        <v>0.23778576238638546</v>
      </c>
      <c r="F19" s="947">
        <f>B19/T.A2!E19</f>
        <v>0.11701620460283536</v>
      </c>
      <c r="G19" s="915">
        <f>D19/T.A2!G19</f>
        <v>9.5891417392840933E-2</v>
      </c>
      <c r="H19" s="814">
        <f>T.A2!E19-B19</f>
        <v>9.9020505225093611</v>
      </c>
      <c r="I19" s="828">
        <f>T.A2!F19-C19</f>
        <v>6.3303297868765185</v>
      </c>
      <c r="J19" s="962">
        <f t="shared" si="2"/>
        <v>16.232380309385881</v>
      </c>
      <c r="K19" s="956">
        <f t="shared" si="3"/>
        <v>0.3899816087487919</v>
      </c>
      <c r="L19" s="915">
        <f>B19/T.A1!E19</f>
        <v>8.0758877767486137E-2</v>
      </c>
      <c r="M19" s="966">
        <f>D19/T.A1!K19</f>
        <v>2.9354212450239642E-2</v>
      </c>
      <c r="R19" s="969">
        <f t="shared" si="4"/>
        <v>0.15219584636240643</v>
      </c>
    </row>
    <row r="20" spans="1:20" ht="14" customHeight="1">
      <c r="A20" s="826">
        <v>1976</v>
      </c>
      <c r="B20" s="814">
        <f>('Assets(MOFA)'!CP21-'Assets(MOFA)'!CQ21)/1000</f>
        <v>1.9302229086200047</v>
      </c>
      <c r="C20" s="828">
        <f>('Assets(MOFA)'!GG21-'Assets(MOFA)'!GH21)/1000</f>
        <v>0.49391123959946615</v>
      </c>
      <c r="D20" s="962">
        <f t="shared" si="0"/>
        <v>2.4241341482194709</v>
      </c>
      <c r="E20" s="951">
        <f t="shared" si="1"/>
        <v>0.20374748648388311</v>
      </c>
      <c r="F20" s="947">
        <f>B20/T.A2!E20</f>
        <v>0.14342954576466649</v>
      </c>
      <c r="G20" s="915">
        <f>D20/T.A2!G20</f>
        <v>0.10905060955982825</v>
      </c>
      <c r="H20" s="814">
        <f>T.A2!E20-B20</f>
        <v>11.527415113793019</v>
      </c>
      <c r="I20" s="828">
        <f>T.A2!F20-C20</f>
        <v>8.2778922606368859</v>
      </c>
      <c r="J20" s="962">
        <f t="shared" si="2"/>
        <v>19.805307374429905</v>
      </c>
      <c r="K20" s="956">
        <f t="shared" si="3"/>
        <v>0.41796333195637486</v>
      </c>
      <c r="L20" s="915">
        <f>B20/T.A1!E20</f>
        <v>0.10247091522839889</v>
      </c>
      <c r="M20" s="966">
        <f>D20/T.A1!K20</f>
        <v>3.1792470284956319E-2</v>
      </c>
      <c r="R20" s="969">
        <f t="shared" si="4"/>
        <v>0.21421584547249176</v>
      </c>
    </row>
    <row r="21" spans="1:20" ht="14" customHeight="1">
      <c r="A21" s="826">
        <v>1977</v>
      </c>
      <c r="B21" s="814">
        <f>('Assets(MOFA)'!CP22-'Assets(MOFA)'!CQ22)/1000</f>
        <v>2.3508235294117648</v>
      </c>
      <c r="C21" s="828">
        <f>('Assets(MOFA)'!GG22-'Assets(MOFA)'!GH22)/1000</f>
        <v>0.6529107086113759</v>
      </c>
      <c r="D21" s="962">
        <f t="shared" si="0"/>
        <v>3.0037342380231404</v>
      </c>
      <c r="E21" s="951">
        <f t="shared" si="1"/>
        <v>0.21736633699027869</v>
      </c>
      <c r="F21" s="947">
        <f>B21/T.A2!E21</f>
        <v>0.18022259501776794</v>
      </c>
      <c r="G21" s="915">
        <f>D21/T.A2!G21</f>
        <v>0.13125914341999395</v>
      </c>
      <c r="H21" s="814">
        <f>T.A2!E21-B21</f>
        <v>10.693176470588234</v>
      </c>
      <c r="I21" s="828">
        <f>T.A2!F21-C21</f>
        <v>9.1870892913886202</v>
      </c>
      <c r="J21" s="962">
        <f t="shared" si="2"/>
        <v>19.880265761976855</v>
      </c>
      <c r="K21" s="956">
        <f t="shared" si="3"/>
        <v>0.46212105016020039</v>
      </c>
      <c r="L21" s="915">
        <f>B21/T.A1!E21</f>
        <v>0.12616452151622201</v>
      </c>
      <c r="M21" s="966">
        <f>D21/T.A1!K21</f>
        <v>4.372375088100295E-2</v>
      </c>
      <c r="R21" s="969">
        <f t="shared" si="4"/>
        <v>0.2447547131699217</v>
      </c>
    </row>
    <row r="22" spans="1:20" ht="14" customHeight="1">
      <c r="A22" s="826">
        <v>1978</v>
      </c>
      <c r="B22" s="814">
        <f>('Assets(MOFA)'!CP23-'Assets(MOFA)'!CQ23)/1000</f>
        <v>3.2760274757754031</v>
      </c>
      <c r="C22" s="828">
        <f>('Assets(MOFA)'!GG23-'Assets(MOFA)'!GH23)/1000</f>
        <v>0.83569722412973446</v>
      </c>
      <c r="D22" s="962">
        <f t="shared" si="0"/>
        <v>4.1117246999051371</v>
      </c>
      <c r="E22" s="951">
        <f t="shared" si="1"/>
        <v>0.20324736822701556</v>
      </c>
      <c r="F22" s="947">
        <f>B22/T.A2!E22</f>
        <v>0.18402912001273028</v>
      </c>
      <c r="G22" s="915">
        <f>D22/T.A2!G22</f>
        <v>0.14078124862616717</v>
      </c>
      <c r="H22" s="814">
        <f>T.A2!E22-B22</f>
        <v>14.525652364614981</v>
      </c>
      <c r="I22" s="828">
        <f>T.A2!F22-C22</f>
        <v>10.56910277587026</v>
      </c>
      <c r="J22" s="962">
        <f t="shared" si="2"/>
        <v>25.09475514048524</v>
      </c>
      <c r="K22" s="956">
        <f t="shared" si="3"/>
        <v>0.42116779847830355</v>
      </c>
      <c r="L22" s="915">
        <f>B22/T.A1!E22</f>
        <v>0.13586608500189268</v>
      </c>
      <c r="M22" s="966">
        <f>D22/T.A1!K22</f>
        <v>5.6406453112263624E-2</v>
      </c>
      <c r="R22" s="969">
        <f t="shared" si="4"/>
        <v>0.21792043025128799</v>
      </c>
    </row>
    <row r="23" spans="1:20" ht="14" customHeight="1">
      <c r="A23" s="856">
        <v>1979</v>
      </c>
      <c r="B23" s="857">
        <f>('Assets(MOFA)'!CP24-'Assets(MOFA)'!CQ24)/1000</f>
        <v>4.7320095681725096</v>
      </c>
      <c r="C23" s="858">
        <f>('Assets(MOFA)'!GG24-'Assets(MOFA)'!GH24)/1000</f>
        <v>0.96368064813026144</v>
      </c>
      <c r="D23" s="963">
        <f t="shared" si="0"/>
        <v>5.6956902163027712</v>
      </c>
      <c r="E23" s="952">
        <f t="shared" si="1"/>
        <v>0.16919470889970786</v>
      </c>
      <c r="F23" s="948">
        <f>B23/T.A2!E23</f>
        <v>0.21307793939187997</v>
      </c>
      <c r="G23" s="916">
        <f>D23/T.A2!G23</f>
        <v>0.15637069630084349</v>
      </c>
      <c r="H23" s="857">
        <f>T.A2!E23-B23</f>
        <v>17.47587164974037</v>
      </c>
      <c r="I23" s="858">
        <f>T.A2!F23-C23</f>
        <v>13.252719351869732</v>
      </c>
      <c r="J23" s="963">
        <f t="shared" si="2"/>
        <v>30.728591001610102</v>
      </c>
      <c r="K23" s="957">
        <f t="shared" si="3"/>
        <v>0.43128301428384147</v>
      </c>
      <c r="L23" s="916">
        <f>B23/T.A1!E23</f>
        <v>0.13084688093987271</v>
      </c>
      <c r="M23" s="967">
        <f>D23/T.A1!K23</f>
        <v>5.5152915799026064E-2</v>
      </c>
      <c r="R23" s="969">
        <f t="shared" si="4"/>
        <v>0.26208830538413364</v>
      </c>
    </row>
    <row r="24" spans="1:20" ht="14" customHeight="1">
      <c r="A24" s="863">
        <v>1980</v>
      </c>
      <c r="B24" s="864">
        <f>('Assets(MOFA)'!CP25-'Assets(MOFA)'!CQ25)/1000</f>
        <v>5.0863915548949779</v>
      </c>
      <c r="C24" s="865">
        <f>('Assets(MOFA)'!GG25-'Assets(MOFA)'!GH25)/1000</f>
        <v>1.0768518498956756</v>
      </c>
      <c r="D24" s="964">
        <f t="shared" si="0"/>
        <v>6.1632434047906539</v>
      </c>
      <c r="E24" s="953">
        <f t="shared" si="1"/>
        <v>0.17472161639091599</v>
      </c>
      <c r="F24" s="949">
        <f>B24/T.A2!E24</f>
        <v>0.22446216459429474</v>
      </c>
      <c r="G24" s="917">
        <f>D24/T.A2!G24</f>
        <v>0.16881735675530221</v>
      </c>
      <c r="H24" s="864">
        <f>T.A2!E24-B24</f>
        <v>17.57395997512079</v>
      </c>
      <c r="I24" s="865">
        <f>T.A2!F24-C24</f>
        <v>12.77114815010432</v>
      </c>
      <c r="J24" s="964">
        <f t="shared" si="2"/>
        <v>30.34510812522511</v>
      </c>
      <c r="K24" s="958">
        <f t="shared" si="3"/>
        <v>0.42086349132129119</v>
      </c>
      <c r="L24" s="917">
        <f>B24/T.A1!E24</f>
        <v>0.14457245074076594</v>
      </c>
      <c r="M24" s="968">
        <f>D24/T.A1!K24</f>
        <v>8.658830903499469E-2</v>
      </c>
      <c r="O24" s="824"/>
      <c r="R24" s="969">
        <f t="shared" si="4"/>
        <v>0.2461418749303752</v>
      </c>
    </row>
    <row r="25" spans="1:20" ht="14" customHeight="1">
      <c r="A25" s="826">
        <v>1981</v>
      </c>
      <c r="B25" s="814">
        <f>('Assets(MOFA)'!CP26-'Assets(MOFA)'!CQ26)/1000</f>
        <v>4.9246892979418</v>
      </c>
      <c r="C25" s="828">
        <f>('Assets(MOFA)'!GG26-'Assets(MOFA)'!GH26)/1000</f>
        <v>1.0245891692168485</v>
      </c>
      <c r="D25" s="962">
        <f t="shared" si="0"/>
        <v>5.9492784671586483</v>
      </c>
      <c r="E25" s="951">
        <f t="shared" si="1"/>
        <v>0.1722207448975217</v>
      </c>
      <c r="F25" s="947">
        <f>B25/T.A2!E25</f>
        <v>0.26151589985069346</v>
      </c>
      <c r="G25" s="915">
        <f>D25/T.A2!G25</f>
        <v>0.1909217627827863</v>
      </c>
      <c r="H25" s="814">
        <f>T.A2!E25-B25</f>
        <v>13.906629565475068</v>
      </c>
      <c r="I25" s="828">
        <f>T.A2!F25-C25</f>
        <v>11.304910830783154</v>
      </c>
      <c r="J25" s="962">
        <f t="shared" si="2"/>
        <v>25.211540396258222</v>
      </c>
      <c r="K25" s="956">
        <f t="shared" si="3"/>
        <v>0.44840222584975314</v>
      </c>
      <c r="L25" s="915">
        <f>B25/T.A1!E25</f>
        <v>0.15974563257115507</v>
      </c>
      <c r="M25" s="966">
        <f>D25/T.A1!K25</f>
        <v>9.309636584345532E-2</v>
      </c>
      <c r="R25" s="969">
        <f t="shared" si="4"/>
        <v>0.27618148095223144</v>
      </c>
    </row>
    <row r="26" spans="1:20" ht="14" customHeight="1">
      <c r="A26" s="826">
        <v>1982</v>
      </c>
      <c r="B26" s="814">
        <f>('Assets(MOFA)'!CP27-'Assets(MOFA)'!CQ27)/1000</f>
        <v>5.5860000000000003</v>
      </c>
      <c r="C26" s="828">
        <f>('Assets(MOFA)'!GG27-'Assets(MOFA)'!GH27)/1000</f>
        <v>0.94299999999999995</v>
      </c>
      <c r="D26" s="962">
        <f t="shared" si="0"/>
        <v>6.5289999999999999</v>
      </c>
      <c r="E26" s="951">
        <f t="shared" si="1"/>
        <v>0.14443253178128349</v>
      </c>
      <c r="F26" s="947">
        <f>B26/T.A2!E26</f>
        <v>0.36405109489051096</v>
      </c>
      <c r="G26" s="915">
        <f>D26/T.A2!G26</f>
        <v>0.24962722232842668</v>
      </c>
      <c r="H26" s="814">
        <f>T.A2!E26-B26</f>
        <v>9.7580000000000009</v>
      </c>
      <c r="I26" s="828">
        <f>T.A2!F26-C26</f>
        <v>9.8680000000000003</v>
      </c>
      <c r="J26" s="962">
        <f t="shared" si="2"/>
        <v>19.626000000000001</v>
      </c>
      <c r="K26" s="956">
        <f t="shared" si="3"/>
        <v>0.502802404972995</v>
      </c>
      <c r="L26" s="915">
        <f>B26/T.A1!E26</f>
        <v>0.2385242751611939</v>
      </c>
      <c r="M26" s="966">
        <f>D26/T.A1!K26</f>
        <v>0.12186654223051796</v>
      </c>
      <c r="R26" s="969">
        <f t="shared" si="4"/>
        <v>0.35836987319171154</v>
      </c>
      <c r="T26" s="829"/>
    </row>
    <row r="27" spans="1:20" ht="14" customHeight="1">
      <c r="A27" s="826">
        <v>1983</v>
      </c>
      <c r="B27" s="814">
        <f>('Assets(MOFA)'!CP28-'Assets(MOFA)'!CQ28)/1000</f>
        <v>6.027958612142255</v>
      </c>
      <c r="C27" s="828">
        <f>('Assets(MOFA)'!GG28-'Assets(MOFA)'!GH28)/1000</f>
        <v>0.88852961215737991</v>
      </c>
      <c r="D27" s="962">
        <f t="shared" si="0"/>
        <v>6.9164882242996351</v>
      </c>
      <c r="E27" s="951">
        <f t="shared" si="1"/>
        <v>0.12846542686731063</v>
      </c>
      <c r="F27" s="947">
        <f>B27/T.A2!E27</f>
        <v>0.32610000606666245</v>
      </c>
      <c r="G27" s="915">
        <f>D27/T.A2!G27</f>
        <v>0.23644496869614506</v>
      </c>
      <c r="H27" s="814">
        <f>T.A2!E27-B27</f>
        <v>12.457041387857744</v>
      </c>
      <c r="I27" s="828">
        <f>T.A2!F27-C27</f>
        <v>9.8784703878426203</v>
      </c>
      <c r="J27" s="962">
        <f t="shared" si="2"/>
        <v>22.335511775700365</v>
      </c>
      <c r="K27" s="956">
        <f t="shared" si="3"/>
        <v>0.44227642899097463</v>
      </c>
      <c r="L27" s="915">
        <f>B27/T.A1!E27</f>
        <v>0.21596297693258296</v>
      </c>
      <c r="M27" s="966">
        <f>D27/T.A1!K27</f>
        <v>0.11917993287210317</v>
      </c>
      <c r="R27" s="969">
        <f t="shared" si="4"/>
        <v>0.31381100212366397</v>
      </c>
    </row>
    <row r="28" spans="1:20" ht="14" customHeight="1">
      <c r="A28" s="826">
        <v>1984</v>
      </c>
      <c r="B28" s="814">
        <f>('Assets(MOFA)'!CP29-'Assets(MOFA)'!CQ29)/1000</f>
        <v>6.3717887352800355</v>
      </c>
      <c r="C28" s="828">
        <f>('Assets(MOFA)'!GG29-'Assets(MOFA)'!GH29)/1000</f>
        <v>0.97653296723761607</v>
      </c>
      <c r="D28" s="962">
        <f t="shared" si="0"/>
        <v>7.3483217025176515</v>
      </c>
      <c r="E28" s="951">
        <f t="shared" si="1"/>
        <v>0.13289197272120523</v>
      </c>
      <c r="F28" s="947">
        <f>B28/T.A2!E28</f>
        <v>0.29566093152429285</v>
      </c>
      <c r="G28" s="915">
        <f>D28/T.A2!G28</f>
        <v>0.21958886273361375</v>
      </c>
      <c r="H28" s="814">
        <f>T.A2!E28-B28</f>
        <v>15.179211264719967</v>
      </c>
      <c r="I28" s="828">
        <f>T.A2!F28-C28</f>
        <v>10.936467032762387</v>
      </c>
      <c r="J28" s="962">
        <f t="shared" si="2"/>
        <v>26.115678297482354</v>
      </c>
      <c r="K28" s="956">
        <f t="shared" si="3"/>
        <v>0.41877016971129949</v>
      </c>
      <c r="L28" s="915">
        <f>B28/T.A1!E28</f>
        <v>0.20638709342402861</v>
      </c>
      <c r="M28" s="966">
        <f>D28/T.A1!K28</f>
        <v>0.11399816479239297</v>
      </c>
      <c r="R28" s="969">
        <f t="shared" si="4"/>
        <v>0.28587819699009426</v>
      </c>
    </row>
    <row r="29" spans="1:20" ht="14" customHeight="1">
      <c r="A29" s="826">
        <v>1985</v>
      </c>
      <c r="B29" s="814">
        <f>('Assets(MOFA)'!CP30-'Assets(MOFA)'!CQ30)/1000</f>
        <v>6.5481599152252059</v>
      </c>
      <c r="C29" s="828">
        <f>('Assets(MOFA)'!GG30-'Assets(MOFA)'!GH30)/1000</f>
        <v>1.0529673745649524</v>
      </c>
      <c r="D29" s="962">
        <f t="shared" si="0"/>
        <v>7.6011272897901581</v>
      </c>
      <c r="E29" s="951">
        <f t="shared" si="1"/>
        <v>0.13852779126318529</v>
      </c>
      <c r="F29" s="947">
        <f>B29/T.A2!E29</f>
        <v>0.30842446965405329</v>
      </c>
      <c r="G29" s="915">
        <f>D29/T.A2!G29</f>
        <v>0.22476572505145659</v>
      </c>
      <c r="H29" s="814">
        <f>T.A2!E29-B29</f>
        <v>14.682840084774796</v>
      </c>
      <c r="I29" s="828">
        <f>T.A2!F29-C29</f>
        <v>11.534032625435044</v>
      </c>
      <c r="J29" s="962">
        <f t="shared" si="2"/>
        <v>26.216872710209842</v>
      </c>
      <c r="K29" s="956">
        <f t="shared" si="3"/>
        <v>0.43994692856494877</v>
      </c>
      <c r="L29" s="915">
        <f>B29/T.A1!E29</f>
        <v>0.22140113318992447</v>
      </c>
      <c r="M29" s="966">
        <f>D29/T.A1!K29</f>
        <v>0.12126684784528259</v>
      </c>
      <c r="R29" s="969">
        <f t="shared" si="4"/>
        <v>0.30141913730176351</v>
      </c>
    </row>
    <row r="30" spans="1:20" ht="14" customHeight="1">
      <c r="A30" s="826">
        <v>1986</v>
      </c>
      <c r="B30" s="814">
        <f>('Assets(MOFA)'!CP31-'Assets(MOFA)'!CQ31)/1000</f>
        <v>6.4936382649198814</v>
      </c>
      <c r="C30" s="828">
        <f>('Assets(MOFA)'!GG31-'Assets(MOFA)'!GH31)/1000</f>
        <v>0.98821931251229111</v>
      </c>
      <c r="D30" s="962">
        <f t="shared" si="0"/>
        <v>7.4818575774321729</v>
      </c>
      <c r="E30" s="951">
        <f t="shared" si="1"/>
        <v>0.13208208018996467</v>
      </c>
      <c r="F30" s="947">
        <f>B30/T.A2!E30</f>
        <v>0.24849373430735811</v>
      </c>
      <c r="G30" s="915">
        <f>D30/T.A2!G30</f>
        <v>0.18194293996965549</v>
      </c>
      <c r="H30" s="814">
        <f>T.A2!E30-B30</f>
        <v>19.638361735080117</v>
      </c>
      <c r="I30" s="828">
        <f>T.A2!F30-C30</f>
        <v>14.00178068748771</v>
      </c>
      <c r="J30" s="962">
        <f t="shared" si="2"/>
        <v>33.640142422567827</v>
      </c>
      <c r="K30" s="956">
        <f t="shared" si="3"/>
        <v>0.41622239619575674</v>
      </c>
      <c r="L30" s="915">
        <f>B30/T.A1!E30</f>
        <v>0.20352404766877333</v>
      </c>
      <c r="M30" s="966">
        <f>D30/T.A1!K30</f>
        <v>0.13275119903179866</v>
      </c>
      <c r="R30" s="969">
        <f t="shared" si="4"/>
        <v>0.28414031600579204</v>
      </c>
    </row>
    <row r="31" spans="1:20" ht="14" customHeight="1">
      <c r="A31" s="826">
        <v>1987</v>
      </c>
      <c r="B31" s="814">
        <f>('Assets(MOFA)'!CP32-'Assets(MOFA)'!CQ32)/1000</f>
        <v>9.7985976199694438</v>
      </c>
      <c r="C31" s="828">
        <f>('Assets(MOFA)'!GG32-'Assets(MOFA)'!GH32)/1000</f>
        <v>1.3600554609693201</v>
      </c>
      <c r="D31" s="962">
        <f t="shared" si="0"/>
        <v>11.158653080938764</v>
      </c>
      <c r="E31" s="951">
        <f t="shared" si="1"/>
        <v>0.12188347922497651</v>
      </c>
      <c r="F31" s="947">
        <f>B31/T.A2!E31</f>
        <v>0.26613606442417959</v>
      </c>
      <c r="G31" s="915">
        <f>D31/T.A2!G31</f>
        <v>0.20110029341368879</v>
      </c>
      <c r="H31" s="814">
        <f>T.A2!E31-B31</f>
        <v>27.019402380030556</v>
      </c>
      <c r="I31" s="828">
        <f>T.A2!F31-C31</f>
        <v>17.309944539030681</v>
      </c>
      <c r="J31" s="962">
        <f t="shared" si="2"/>
        <v>44.329346919061237</v>
      </c>
      <c r="K31" s="956">
        <f t="shared" si="3"/>
        <v>0.39048498888639288</v>
      </c>
      <c r="L31" s="915">
        <f>B31/T.A1!E31</f>
        <v>0.2294861028612451</v>
      </c>
      <c r="M31" s="966">
        <f>D31/T.A1!K31</f>
        <v>0.15799639057767342</v>
      </c>
      <c r="R31" s="969">
        <f t="shared" si="4"/>
        <v>0.26860150966141638</v>
      </c>
    </row>
    <row r="32" spans="1:20" ht="14" customHeight="1">
      <c r="A32" s="826">
        <v>1988</v>
      </c>
      <c r="B32" s="814">
        <f>('Assets(MOFA)'!CP33-'Assets(MOFA)'!CQ33)/1000</f>
        <v>8.4327738017464551</v>
      </c>
      <c r="C32" s="828">
        <f>('Assets(MOFA)'!GG33-'Assets(MOFA)'!GH33)/1000</f>
        <v>1.8072068942529795</v>
      </c>
      <c r="D32" s="962">
        <f t="shared" si="0"/>
        <v>10.239980695999435</v>
      </c>
      <c r="E32" s="951">
        <f t="shared" si="1"/>
        <v>0.17648538096942123</v>
      </c>
      <c r="F32" s="947">
        <f>B32/T.A2!E32</f>
        <v>0.19070476043660997</v>
      </c>
      <c r="G32" s="915">
        <f>D32/T.A2!G32</f>
        <v>0.15145883974026292</v>
      </c>
      <c r="H32" s="814">
        <f>T.A2!E32-B32</f>
        <v>35.786226198253537</v>
      </c>
      <c r="I32" s="828">
        <f>T.A2!F32-C32</f>
        <v>21.582793105747022</v>
      </c>
      <c r="J32" s="962">
        <f t="shared" si="2"/>
        <v>57.36901930400056</v>
      </c>
      <c r="K32" s="956">
        <f t="shared" si="3"/>
        <v>0.37620990157386169</v>
      </c>
      <c r="L32" s="915">
        <f>B32/T.A1!E32</f>
        <v>0.17061757818404563</v>
      </c>
      <c r="M32" s="966">
        <f>D32/T.A1!K32</f>
        <v>0.1275739805399409</v>
      </c>
      <c r="R32" s="969">
        <f t="shared" si="4"/>
        <v>0.19972452060444046</v>
      </c>
    </row>
    <row r="33" spans="1:18" ht="14" customHeight="1">
      <c r="A33" s="856">
        <v>1989</v>
      </c>
      <c r="B33" s="857">
        <f>('Assets(MOFA)'!CP34-'Assets(MOFA)'!CQ34)/1000</f>
        <v>11.68225452669005</v>
      </c>
      <c r="C33" s="858">
        <f>('Assets(MOFA)'!GG34-'Assets(MOFA)'!GH34)/1000</f>
        <v>1.8</v>
      </c>
      <c r="D33" s="963">
        <f t="shared" si="0"/>
        <v>13.482254526690051</v>
      </c>
      <c r="E33" s="952">
        <f t="shared" si="1"/>
        <v>0.13350882795133726</v>
      </c>
      <c r="F33" s="948">
        <f>B33/T.A2!E33</f>
        <v>0.24872795364269398</v>
      </c>
      <c r="G33" s="916">
        <f>D33/T.A2!G33</f>
        <v>0.1868098616714477</v>
      </c>
      <c r="H33" s="857">
        <f>T.A2!E33-B33</f>
        <v>35.285745473309944</v>
      </c>
      <c r="I33" s="858">
        <f>T.A2!F33-C33</f>
        <v>23.402999999999995</v>
      </c>
      <c r="J33" s="963">
        <f t="shared" si="2"/>
        <v>58.688745473309936</v>
      </c>
      <c r="K33" s="957">
        <f t="shared" si="3"/>
        <v>0.39876470030600758</v>
      </c>
      <c r="L33" s="916">
        <f>B33/T.A1!E33</f>
        <v>0.22335725535227521</v>
      </c>
      <c r="M33" s="967">
        <f>D33/T.A1!K33</f>
        <v>0.15751401414456681</v>
      </c>
      <c r="R33" s="969">
        <f t="shared" si="4"/>
        <v>0.2652558723546703</v>
      </c>
    </row>
    <row r="34" spans="1:18" ht="14" customHeight="1">
      <c r="A34" s="863">
        <v>1990</v>
      </c>
      <c r="B34" s="864">
        <f>('Assets(MOFA)'!CP35-'Assets(MOFA)'!CQ35)/1000</f>
        <v>13.149371772377778</v>
      </c>
      <c r="C34" s="865">
        <f>('Assets(MOFA)'!GG35-'Assets(MOFA)'!GH35)/1000</f>
        <v>2.3122192311208498</v>
      </c>
      <c r="D34" s="964">
        <f t="shared" si="0"/>
        <v>15.461591003498627</v>
      </c>
      <c r="E34" s="953">
        <f t="shared" si="1"/>
        <v>0.14954600924301026</v>
      </c>
      <c r="F34" s="949">
        <f>B34/T.A2!E34</f>
        <v>0.30226356279745714</v>
      </c>
      <c r="G34" s="917">
        <f>D34/T.A2!G34</f>
        <v>0.22932900733448969</v>
      </c>
      <c r="H34" s="864">
        <f>T.A2!E34-B34</f>
        <v>30.353628227622224</v>
      </c>
      <c r="I34" s="865">
        <f>T.A2!F34-C34</f>
        <v>21.60578076887915</v>
      </c>
      <c r="J34" s="964">
        <f t="shared" si="2"/>
        <v>51.959408996501374</v>
      </c>
      <c r="K34" s="958">
        <f t="shared" si="3"/>
        <v>0.41582037182782333</v>
      </c>
      <c r="L34" s="917">
        <f>B34/T.A1!E34</f>
        <v>0.24865496335951323</v>
      </c>
      <c r="M34" s="968">
        <f>D34/T.A1!K34</f>
        <v>0.18281514636120161</v>
      </c>
      <c r="R34" s="969">
        <f t="shared" si="4"/>
        <v>0.26627436258481307</v>
      </c>
    </row>
    <row r="35" spans="1:18" ht="14" customHeight="1">
      <c r="A35" s="826">
        <v>1991</v>
      </c>
      <c r="B35" s="814">
        <f>('Assets(MOFA)'!CP36-'Assets(MOFA)'!CQ36)/1000</f>
        <v>11.626212240570414</v>
      </c>
      <c r="C35" s="828">
        <f>('Assets(MOFA)'!GG36-'Assets(MOFA)'!GH36)/1000</f>
        <v>2.5443343998403085</v>
      </c>
      <c r="D35" s="962">
        <f t="shared" si="0"/>
        <v>14.170546640410723</v>
      </c>
      <c r="E35" s="951">
        <f t="shared" si="1"/>
        <v>0.17955089979270997</v>
      </c>
      <c r="F35" s="947">
        <f>B35/T.A2!E35</f>
        <v>0.31207956838380885</v>
      </c>
      <c r="G35" s="915">
        <f>D35/T.A2!G35</f>
        <v>0.24284594599003845</v>
      </c>
      <c r="H35" s="814">
        <f>T.A2!E35-B35</f>
        <v>25.627787759429584</v>
      </c>
      <c r="I35" s="828">
        <f>T.A2!F35-C35</f>
        <v>18.55366560015969</v>
      </c>
      <c r="J35" s="962">
        <f t="shared" si="2"/>
        <v>44.18145335958927</v>
      </c>
      <c r="K35" s="956">
        <f t="shared" si="3"/>
        <v>0.41994240092449897</v>
      </c>
      <c r="L35" s="915">
        <f>B35/T.A1!E35</f>
        <v>0.25043538343465477</v>
      </c>
      <c r="M35" s="966">
        <f>D35/T.A1!K35</f>
        <v>0.19331996344402835</v>
      </c>
      <c r="R35" s="969">
        <f t="shared" si="4"/>
        <v>0.240391501131789</v>
      </c>
    </row>
    <row r="36" spans="1:18" ht="14" customHeight="1">
      <c r="A36" s="826">
        <v>1992</v>
      </c>
      <c r="B36" s="814">
        <f>('Assets(MOFA)'!CP37-'Assets(MOFA)'!CQ37)/1000</f>
        <v>10.781462266961984</v>
      </c>
      <c r="C36" s="828">
        <f>('Assets(MOFA)'!GG37-'Assets(MOFA)'!GH37)/1000</f>
        <v>2.0098241433129878</v>
      </c>
      <c r="D36" s="962">
        <f t="shared" si="0"/>
        <v>12.791286410274973</v>
      </c>
      <c r="E36" s="951">
        <f t="shared" si="1"/>
        <v>0.15712447355557124</v>
      </c>
      <c r="F36" s="947">
        <f>B36/T.A2!E36</f>
        <v>0.29573903519206668</v>
      </c>
      <c r="G36" s="915">
        <f>D36/T.A2!G36</f>
        <v>0.230818817515834</v>
      </c>
      <c r="H36" s="814">
        <f>T.A2!E36-B36</f>
        <v>25.674537733038019</v>
      </c>
      <c r="I36" s="828">
        <f>T.A2!F36-C36</f>
        <v>16.951175856687012</v>
      </c>
      <c r="J36" s="962">
        <f t="shared" si="2"/>
        <v>42.625713589725031</v>
      </c>
      <c r="K36" s="956">
        <f t="shared" si="3"/>
        <v>0.39767488750670699</v>
      </c>
      <c r="L36" s="915">
        <f>B36/T.A1!E36</f>
        <v>0.25213307141933033</v>
      </c>
      <c r="M36" s="966">
        <f>D36/T.A1!K36</f>
        <v>0.18418774619889947</v>
      </c>
      <c r="R36" s="969">
        <f t="shared" si="4"/>
        <v>0.24055041395113574</v>
      </c>
    </row>
    <row r="37" spans="1:18" ht="14" customHeight="1">
      <c r="A37" s="826">
        <v>1993</v>
      </c>
      <c r="B37" s="814">
        <f>('Assets(MOFA)'!CP38-'Assets(MOFA)'!CQ38)/1000</f>
        <v>11.635839589020273</v>
      </c>
      <c r="C37" s="828">
        <f>('Assets(MOFA)'!GG38-'Assets(MOFA)'!GH38)/1000</f>
        <v>1.8492767553304734</v>
      </c>
      <c r="D37" s="962">
        <f t="shared" si="0"/>
        <v>13.485116344350747</v>
      </c>
      <c r="E37" s="951">
        <f t="shared" si="1"/>
        <v>0.13713465335470998</v>
      </c>
      <c r="F37" s="947">
        <f>B37/T.A2!E37</f>
        <v>0.28596312580536432</v>
      </c>
      <c r="G37" s="915">
        <f>D37/T.A2!G37</f>
        <v>0.23427522705218373</v>
      </c>
      <c r="H37" s="814">
        <f>T.A2!E37-B37</f>
        <v>29.054160410979726</v>
      </c>
      <c r="I37" s="828">
        <f>T.A2!F37-C37</f>
        <v>15.021723244669525</v>
      </c>
      <c r="J37" s="962">
        <f t="shared" si="2"/>
        <v>44.07588365564925</v>
      </c>
      <c r="K37" s="956">
        <f t="shared" si="3"/>
        <v>0.34081502170278499</v>
      </c>
      <c r="L37" s="915">
        <f>B37/T.A1!E37</f>
        <v>0.23520526346789583</v>
      </c>
      <c r="M37" s="966">
        <f>D37/T.A1!K37</f>
        <v>0.1827573467460494</v>
      </c>
      <c r="R37" s="969">
        <f t="shared" si="4"/>
        <v>0.20368036834807501</v>
      </c>
    </row>
    <row r="38" spans="1:18" ht="14" customHeight="1">
      <c r="A38" s="826">
        <v>1994</v>
      </c>
      <c r="B38" s="814">
        <f>('Assets(MOFA)'!CP39-'Assets(MOFA)'!CQ39)/1000</f>
        <v>12.99</v>
      </c>
      <c r="C38" s="828">
        <f>('Assets(MOFA)'!GG39-'Assets(MOFA)'!GH39)/1000</f>
        <v>2.3719999999999999</v>
      </c>
      <c r="D38" s="962">
        <f t="shared" si="0"/>
        <v>15.362</v>
      </c>
      <c r="E38" s="951">
        <f t="shared" si="1"/>
        <v>0.15440697825803931</v>
      </c>
      <c r="F38" s="947">
        <f>B38/T.A2!E38</f>
        <v>0.27057426732487661</v>
      </c>
      <c r="G38" s="915">
        <f>D38/T.A2!G38</f>
        <v>0.21765989401796593</v>
      </c>
      <c r="H38" s="814">
        <f>T.A2!E38-B38</f>
        <v>35.018999999999998</v>
      </c>
      <c r="I38" s="828">
        <f>T.A2!F38-C38</f>
        <v>20.197000000000003</v>
      </c>
      <c r="J38" s="962">
        <f t="shared" si="2"/>
        <v>55.216000000000001</v>
      </c>
      <c r="K38" s="956">
        <f t="shared" si="3"/>
        <v>0.3657816574905825</v>
      </c>
      <c r="L38" s="915">
        <f>B38/T.A1!E38</f>
        <v>0.23353648670513996</v>
      </c>
      <c r="M38" s="966">
        <f>D38/T.A1!K38</f>
        <v>0.18094228504122495</v>
      </c>
      <c r="R38" s="969">
        <f t="shared" si="4"/>
        <v>0.21137467923254319</v>
      </c>
    </row>
    <row r="39" spans="1:18">
      <c r="A39" s="826">
        <v>1995</v>
      </c>
      <c r="B39" s="814">
        <f>('Assets(MOFA)'!CP40-'Assets(MOFA)'!CQ40)/1000</f>
        <v>19.487019539175719</v>
      </c>
      <c r="C39" s="828">
        <f>('Assets(MOFA)'!GG40-'Assets(MOFA)'!GH40)/1000</f>
        <v>3.6858828264758499</v>
      </c>
      <c r="D39" s="962">
        <f t="shared" si="0"/>
        <v>23.17290236565157</v>
      </c>
      <c r="E39" s="951">
        <f t="shared" si="1"/>
        <v>0.15906004212658803</v>
      </c>
      <c r="F39" s="947">
        <f>B39/T.A2!E39</f>
        <v>0.28991638209913889</v>
      </c>
      <c r="G39" s="915">
        <f>D39/T.A2!G39</f>
        <v>0.23710902749026994</v>
      </c>
      <c r="H39" s="814">
        <f>T.A2!E39-B39</f>
        <v>47.728980460824275</v>
      </c>
      <c r="I39" s="828">
        <f>T.A2!F39-C39</f>
        <v>26.82911717352415</v>
      </c>
      <c r="J39" s="962">
        <f t="shared" si="2"/>
        <v>74.558097634348428</v>
      </c>
      <c r="K39" s="956">
        <f t="shared" si="3"/>
        <v>0.35984176132149798</v>
      </c>
      <c r="L39" s="915">
        <f>B39/T.A1!E39</f>
        <v>0.25614189906775486</v>
      </c>
      <c r="M39" s="966">
        <f>D39/T.A1!K39</f>
        <v>0.2017139829879141</v>
      </c>
      <c r="R39" s="969">
        <f t="shared" si="4"/>
        <v>0.20078171919490995</v>
      </c>
    </row>
    <row r="40" spans="1:18">
      <c r="A40" s="826">
        <v>1996</v>
      </c>
      <c r="B40" s="814">
        <f>('Assets(MOFA)'!CP41-'Assets(MOFA)'!CQ41)/1000</f>
        <v>20.527865475216334</v>
      </c>
      <c r="C40" s="828">
        <f>('Assets(MOFA)'!GG41-'Assets(MOFA)'!GH41)/1000</f>
        <v>3.9346945438282646</v>
      </c>
      <c r="D40" s="962">
        <f t="shared" si="0"/>
        <v>24.462560019044599</v>
      </c>
      <c r="E40" s="951">
        <f t="shared" si="1"/>
        <v>0.1608455754739089</v>
      </c>
      <c r="F40" s="947">
        <f>B40/T.A2!E40</f>
        <v>0.2822902608013908</v>
      </c>
      <c r="G40" s="915">
        <f>D40/T.A2!G40</f>
        <v>0.23130694622671191</v>
      </c>
      <c r="H40" s="814">
        <f>T.A2!E40-B40</f>
        <v>52.191134524783664</v>
      </c>
      <c r="I40" s="828">
        <f>T.A2!F40-C40</f>
        <v>29.104305456171737</v>
      </c>
      <c r="J40" s="962">
        <f t="shared" si="2"/>
        <v>81.295439980955393</v>
      </c>
      <c r="K40" s="956">
        <f t="shared" si="3"/>
        <v>0.35800661713608822</v>
      </c>
      <c r="L40" s="915">
        <f>B40/T.A1!E40</f>
        <v>0.24123468447284016</v>
      </c>
      <c r="M40" s="966">
        <f>D40/T.A1!K40</f>
        <v>0.18775902445404835</v>
      </c>
      <c r="R40" s="969">
        <f t="shared" si="4"/>
        <v>0.19716104166217932</v>
      </c>
    </row>
    <row r="41" spans="1:18">
      <c r="A41" s="826">
        <v>1997</v>
      </c>
      <c r="B41" s="814">
        <f>('Assets(MOFA)'!CP42-'Assets(MOFA)'!CQ42)/1000</f>
        <v>27.071290794384463</v>
      </c>
      <c r="C41" s="828">
        <f>('Assets(MOFA)'!GG42-'Assets(MOFA)'!GH42)/1000</f>
        <v>4.1424628801431123</v>
      </c>
      <c r="D41" s="962">
        <f t="shared" si="0"/>
        <v>31.213753674527574</v>
      </c>
      <c r="E41" s="951">
        <f t="shared" si="1"/>
        <v>0.13271274334184383</v>
      </c>
      <c r="F41" s="947">
        <f>B41/T.A2!E41</f>
        <v>0.32722459560479222</v>
      </c>
      <c r="G41" s="915">
        <f>D41/T.A2!G41</f>
        <v>0.26125761602450365</v>
      </c>
      <c r="H41" s="814">
        <f>T.A2!E41-B41</f>
        <v>55.658709205615537</v>
      </c>
      <c r="I41" s="828">
        <f>T.A2!F41-C41</f>
        <v>32.602537119856883</v>
      </c>
      <c r="J41" s="962">
        <f t="shared" si="2"/>
        <v>88.261246325472428</v>
      </c>
      <c r="K41" s="956">
        <f t="shared" si="3"/>
        <v>0.36938677479843957</v>
      </c>
      <c r="L41" s="915">
        <f>B41/T.A1!E41</f>
        <v>0.27995998629103758</v>
      </c>
      <c r="M41" s="966">
        <f>D41/T.A1!K41</f>
        <v>0.21634601270145329</v>
      </c>
      <c r="R41" s="969">
        <f t="shared" si="4"/>
        <v>0.23667403145659574</v>
      </c>
    </row>
    <row r="42" spans="1:18">
      <c r="A42" s="826">
        <v>1998</v>
      </c>
      <c r="B42" s="814">
        <f>('Assets(MOFA)'!CP43-'Assets(MOFA)'!CQ43)/1000</f>
        <v>26.957226114354302</v>
      </c>
      <c r="C42" s="828">
        <f>('Assets(MOFA)'!GG43-'Assets(MOFA)'!GH43)/1000</f>
        <v>4.8725693202146694</v>
      </c>
      <c r="D42" s="962">
        <f t="shared" ref="D42:D59" si="5">B42+C42</f>
        <v>31.829795434568972</v>
      </c>
      <c r="E42" s="951">
        <f t="shared" ref="E42:E59" si="6">C42/D42</f>
        <v>0.15308201808054289</v>
      </c>
      <c r="F42" s="947">
        <f>B42/T.A2!E42</f>
        <v>0.35597435709848807</v>
      </c>
      <c r="G42" s="915">
        <f>D42/T.A2!G42</f>
        <v>0.28554328421355302</v>
      </c>
      <c r="H42" s="814">
        <f>T.A2!E42-B42</f>
        <v>48.770773885645696</v>
      </c>
      <c r="I42" s="828">
        <f>T.A2!F42-C42</f>
        <v>30.870430679785333</v>
      </c>
      <c r="J42" s="962">
        <f t="shared" ref="J42:J59" si="7">H42+I42</f>
        <v>79.641204565431025</v>
      </c>
      <c r="K42" s="956">
        <f t="shared" si="3"/>
        <v>0.38761883183751994</v>
      </c>
      <c r="L42" s="915">
        <f>B42/T.A1!E42</f>
        <v>0.32230064699132355</v>
      </c>
      <c r="M42" s="966">
        <f>D42/T.A1!K42</f>
        <v>0.25632807816783415</v>
      </c>
      <c r="R42" s="969">
        <f t="shared" ref="R42:R60" si="8">K42-E42</f>
        <v>0.23453681375697705</v>
      </c>
    </row>
    <row r="43" spans="1:18">
      <c r="A43" s="856">
        <v>1999</v>
      </c>
      <c r="B43" s="857">
        <f>('Assets(MOFA)'!CP44-'Assets(MOFA)'!CQ44)/1000</f>
        <v>28.354342866044163</v>
      </c>
      <c r="C43" s="858">
        <f>('Assets(MOFA)'!GG44-'Assets(MOFA)'!GH44)/1000</f>
        <v>4.5754326267490759</v>
      </c>
      <c r="D43" s="963">
        <f t="shared" si="5"/>
        <v>32.92977549279324</v>
      </c>
      <c r="E43" s="952">
        <f t="shared" si="6"/>
        <v>0.13894515095465562</v>
      </c>
      <c r="F43" s="948">
        <f>B43/T.A2!E43</f>
        <v>0.3326061638968687</v>
      </c>
      <c r="G43" s="916">
        <f>D43/T.A2!G43</f>
        <v>0.26720905817125873</v>
      </c>
      <c r="H43" s="857">
        <f>T.A2!E43-B43</f>
        <v>56.894657133955846</v>
      </c>
      <c r="I43" s="858">
        <f>T.A2!F43-C43</f>
        <v>33.411567373250918</v>
      </c>
      <c r="J43" s="963">
        <f t="shared" si="7"/>
        <v>90.306224507206764</v>
      </c>
      <c r="K43" s="957">
        <f t="shared" si="3"/>
        <v>0.36998077990276912</v>
      </c>
      <c r="L43" s="916">
        <f>B43/T.A1!E43</f>
        <v>0.29265071903686896</v>
      </c>
      <c r="M43" s="967">
        <f>D43/T.A1!K43</f>
        <v>0.23197170597081657</v>
      </c>
      <c r="R43" s="969">
        <f t="shared" si="8"/>
        <v>0.2310356289481135</v>
      </c>
    </row>
    <row r="44" spans="1:18">
      <c r="A44" s="863">
        <v>2000</v>
      </c>
      <c r="B44" s="864">
        <f>('Assets(MOFA)'!CP45-'Assets(MOFA)'!CQ45)/1000</f>
        <v>34.334481823824078</v>
      </c>
      <c r="C44" s="865">
        <f>('Assets(MOFA)'!GG45-'Assets(MOFA)'!GH45)/1000</f>
        <v>5.2166557482130669</v>
      </c>
      <c r="D44" s="964">
        <f t="shared" si="5"/>
        <v>39.551137572037142</v>
      </c>
      <c r="E44" s="953">
        <f t="shared" si="6"/>
        <v>0.13189647803964227</v>
      </c>
      <c r="F44" s="949">
        <f>B44/T.A2!E44</f>
        <v>0.38620161101227274</v>
      </c>
      <c r="G44" s="917">
        <f>D44/T.A2!G44</f>
        <v>0.30144535324139438</v>
      </c>
      <c r="H44" s="864">
        <f>T.A2!E44-B44</f>
        <v>54.568518176175914</v>
      </c>
      <c r="I44" s="865">
        <f>T.A2!F44-C44</f>
        <v>37.085344251786942</v>
      </c>
      <c r="J44" s="964">
        <f t="shared" si="7"/>
        <v>91.653862427962849</v>
      </c>
      <c r="K44" s="958">
        <f t="shared" si="3"/>
        <v>0.40462391075918808</v>
      </c>
      <c r="L44" s="917">
        <f>B44/T.A1!E44</f>
        <v>0.30559198447606739</v>
      </c>
      <c r="M44" s="968">
        <f>D44/T.A1!K44</f>
        <v>0.22974143981898371</v>
      </c>
      <c r="R44" s="969">
        <f t="shared" si="8"/>
        <v>0.2727274327195458</v>
      </c>
    </row>
    <row r="45" spans="1:18">
      <c r="A45" s="826">
        <v>2001</v>
      </c>
      <c r="B45" s="814">
        <f>('Assets(MOFA)'!CP46-'Assets(MOFA)'!CQ46)/1000</f>
        <v>30.416257049667269</v>
      </c>
      <c r="C45" s="828">
        <f>('Assets(MOFA)'!GG46-'Assets(MOFA)'!GH46)/1000</f>
        <v>5.8657208534701715</v>
      </c>
      <c r="D45" s="962">
        <f t="shared" si="5"/>
        <v>36.281977903137438</v>
      </c>
      <c r="E45" s="951">
        <f t="shared" si="6"/>
        <v>0.16167037169610704</v>
      </c>
      <c r="F45" s="947">
        <f>B45/T.A2!E45</f>
        <v>0.45950866480847324</v>
      </c>
      <c r="G45" s="915">
        <f>D45/T.A2!G45</f>
        <v>0.34088390006236141</v>
      </c>
      <c r="H45" s="814">
        <f>T.A2!E45-B45</f>
        <v>35.776742950332732</v>
      </c>
      <c r="I45" s="828">
        <f>T.A2!F45-C45</f>
        <v>34.376279146529825</v>
      </c>
      <c r="J45" s="962">
        <f t="shared" si="7"/>
        <v>70.153022096862557</v>
      </c>
      <c r="K45" s="959">
        <f>(K44+K46)/2</f>
        <v>0.38759796735686058</v>
      </c>
      <c r="L45" s="915">
        <f>B45/T.A1!E45</f>
        <v>0.35374322024640947</v>
      </c>
      <c r="M45" s="966">
        <f>D45/T.A1!K45</f>
        <v>0.25695815736155925</v>
      </c>
      <c r="R45" s="969">
        <f t="shared" si="8"/>
        <v>0.22592759566075354</v>
      </c>
    </row>
    <row r="46" spans="1:18">
      <c r="A46" s="826">
        <v>2002</v>
      </c>
      <c r="B46" s="814">
        <f>('Assets(MOFA)'!CP47-'Assets(MOFA)'!CQ47)/1000</f>
        <v>33.620093601673872</v>
      </c>
      <c r="C46" s="828">
        <f>('Assets(MOFA)'!GG47-'Assets(MOFA)'!GH47)/1000</f>
        <v>6.5833905377728881</v>
      </c>
      <c r="D46" s="962">
        <f t="shared" si="5"/>
        <v>40.203484139446758</v>
      </c>
      <c r="E46" s="951">
        <f t="shared" si="6"/>
        <v>0.16375174138983176</v>
      </c>
      <c r="F46" s="947">
        <f>B46/T.A2!E46</f>
        <v>0.39560963488784662</v>
      </c>
      <c r="G46" s="915">
        <f>D46/T.A2!G46</f>
        <v>0.33006160730544276</v>
      </c>
      <c r="H46" s="814">
        <f>T.A2!E46-B46</f>
        <v>51.362906398326132</v>
      </c>
      <c r="I46" s="828">
        <f>T.A2!F46-C46</f>
        <v>30.239609462227104</v>
      </c>
      <c r="J46" s="962">
        <f t="shared" si="7"/>
        <v>81.60251586055324</v>
      </c>
      <c r="K46" s="956">
        <f t="shared" ref="K46:K59" si="9">I46/J46</f>
        <v>0.37057202395453315</v>
      </c>
      <c r="L46" s="915">
        <f>B46/T.A1!E46</f>
        <v>0.32975424061275926</v>
      </c>
      <c r="M46" s="966">
        <f>D46/T.A1!K46</f>
        <v>0.26298960652737774</v>
      </c>
      <c r="R46" s="969">
        <f t="shared" si="8"/>
        <v>0.20682028256470139</v>
      </c>
    </row>
    <row r="47" spans="1:18">
      <c r="A47" s="826">
        <v>2003</v>
      </c>
      <c r="B47" s="814">
        <f>('Assets(MOFA)'!CP48-'Assets(MOFA)'!CQ48)/1000</f>
        <v>44.855595054179801</v>
      </c>
      <c r="C47" s="828">
        <f>('Assets(MOFA)'!GG48-'Assets(MOFA)'!GH48)/1000</f>
        <v>6.3209839362107374</v>
      </c>
      <c r="D47" s="962">
        <f t="shared" si="5"/>
        <v>51.176578990390539</v>
      </c>
      <c r="E47" s="951">
        <f t="shared" si="6"/>
        <v>0.12351321758724108</v>
      </c>
      <c r="F47" s="947">
        <f>B47/T.A2!E47</f>
        <v>0.36582171212712694</v>
      </c>
      <c r="G47" s="915">
        <f>D47/T.A2!G47</f>
        <v>0.31371846201711856</v>
      </c>
      <c r="H47" s="814">
        <f>T.A2!E47-B47</f>
        <v>77.760404945820213</v>
      </c>
      <c r="I47" s="828">
        <f>T.A2!F47-C47</f>
        <v>34.192016063789268</v>
      </c>
      <c r="J47" s="962">
        <f t="shared" si="7"/>
        <v>111.95242100960948</v>
      </c>
      <c r="K47" s="956">
        <f t="shared" si="9"/>
        <v>0.30541560205164642</v>
      </c>
      <c r="L47" s="915">
        <f>B47/T.A1!E47</f>
        <v>0.30339198667663059</v>
      </c>
      <c r="M47" s="966">
        <f>D47/T.A1!K47</f>
        <v>0.24714030660577344</v>
      </c>
      <c r="R47" s="969">
        <f t="shared" si="8"/>
        <v>0.18190238446440532</v>
      </c>
    </row>
    <row r="48" spans="1:18">
      <c r="A48" s="826">
        <v>2004</v>
      </c>
      <c r="B48" s="814">
        <f>('Assets(MOFA)'!CP49-'Assets(MOFA)'!CQ49)/1000</f>
        <v>61.320884731309555</v>
      </c>
      <c r="C48" s="828">
        <f>('Assets(MOFA)'!GG49-'Assets(MOFA)'!GH49)/1000</f>
        <v>7.03546671964554</v>
      </c>
      <c r="D48" s="962">
        <f t="shared" si="5"/>
        <v>68.356351450955088</v>
      </c>
      <c r="E48" s="951">
        <f t="shared" si="6"/>
        <v>0.10292337976366993</v>
      </c>
      <c r="F48" s="947">
        <f>B48/T.A2!E48</f>
        <v>0.42042648628977991</v>
      </c>
      <c r="G48" s="915">
        <f>D48/T.A2!G48</f>
        <v>0.35069286290109225</v>
      </c>
      <c r="H48" s="814">
        <f>T.A2!E48-B48</f>
        <v>84.533115268690437</v>
      </c>
      <c r="I48" s="828">
        <f>T.A2!F48-C48</f>
        <v>42.028533280354452</v>
      </c>
      <c r="J48" s="962">
        <f t="shared" si="7"/>
        <v>126.56164854904489</v>
      </c>
      <c r="K48" s="956">
        <f t="shared" si="9"/>
        <v>0.33207953406254542</v>
      </c>
      <c r="L48" s="915">
        <f>B48/T.A1!E48</f>
        <v>0.33201161228679477</v>
      </c>
      <c r="M48" s="966">
        <f>D48/T.A1!K48</f>
        <v>0.26416586394096181</v>
      </c>
      <c r="R48" s="969">
        <f t="shared" si="8"/>
        <v>0.22915615429887548</v>
      </c>
    </row>
    <row r="49" spans="1:18">
      <c r="A49" s="826">
        <v>2005</v>
      </c>
      <c r="B49" s="814">
        <f>('Assets(MOFA)'!CP50-'Assets(MOFA)'!CQ50)/1000</f>
        <v>63.548650269427135</v>
      </c>
      <c r="C49" s="828">
        <f>('Assets(MOFA)'!GG50-'Assets(MOFA)'!GH50)/1000</f>
        <v>9.865478199901812</v>
      </c>
      <c r="D49" s="962">
        <f t="shared" si="5"/>
        <v>73.414128469328944</v>
      </c>
      <c r="E49" s="951">
        <f t="shared" si="6"/>
        <v>0.13438119345138619</v>
      </c>
      <c r="F49" s="947">
        <f>B49/T.A2!E49</f>
        <v>0.36699098497401955</v>
      </c>
      <c r="G49" s="915">
        <f>D49/T.A2!G49</f>
        <v>0.30698572890410031</v>
      </c>
      <c r="H49" s="814">
        <f>T.A2!E49-B49</f>
        <v>109.61268848641708</v>
      </c>
      <c r="I49" s="828">
        <f>T.A2!F49-C49</f>
        <v>56.118268815530584</v>
      </c>
      <c r="J49" s="962">
        <f t="shared" si="7"/>
        <v>165.73095730194768</v>
      </c>
      <c r="K49" s="956">
        <f t="shared" si="9"/>
        <v>0.33861065988587685</v>
      </c>
      <c r="L49" s="915">
        <f>B49/T.A1!E49</f>
        <v>0.28279162095518018</v>
      </c>
      <c r="M49" s="966">
        <f>D49/T.A1!K49</f>
        <v>0.22598558301472302</v>
      </c>
      <c r="R49" s="969">
        <f t="shared" si="8"/>
        <v>0.20422946643449066</v>
      </c>
    </row>
    <row r="50" spans="1:18">
      <c r="A50" s="826">
        <v>2006</v>
      </c>
      <c r="B50" s="814">
        <f>('Assets(MOFA)'!CP51-'Assets(MOFA)'!CQ51)/1000</f>
        <v>78.482036486417854</v>
      </c>
      <c r="C50" s="828">
        <f>('Assets(MOFA)'!GG51-'Assets(MOFA)'!GH51)/1000</f>
        <v>10.866430259919317</v>
      </c>
      <c r="D50" s="962">
        <f t="shared" si="5"/>
        <v>89.348466746337166</v>
      </c>
      <c r="E50" s="951">
        <f t="shared" si="6"/>
        <v>0.12161854204806247</v>
      </c>
      <c r="F50" s="947">
        <f>B50/T.A2!E50</f>
        <v>0.40744828686901396</v>
      </c>
      <c r="G50" s="915">
        <f>D50/T.A2!G50</f>
        <v>0.33571715393960344</v>
      </c>
      <c r="H50" s="814">
        <f>T.A2!E50-B50</f>
        <v>114.13636200901666</v>
      </c>
      <c r="I50" s="828">
        <f>T.A2!F50-C50</f>
        <v>62.65726645140834</v>
      </c>
      <c r="J50" s="962">
        <f t="shared" si="7"/>
        <v>176.793628460425</v>
      </c>
      <c r="K50" s="956">
        <f t="shared" si="9"/>
        <v>0.35440907569490876</v>
      </c>
      <c r="L50" s="915">
        <f>B50/T.A1!E50</f>
        <v>0.31246082988851492</v>
      </c>
      <c r="M50" s="966">
        <f>D50/T.A1!K50</f>
        <v>0.24465559170521756</v>
      </c>
      <c r="R50" s="969">
        <f t="shared" si="8"/>
        <v>0.23279053364684629</v>
      </c>
    </row>
    <row r="51" spans="1:18">
      <c r="A51" s="826">
        <v>2007</v>
      </c>
      <c r="B51" s="814">
        <f>('Assets(MOFA)'!CP52-'Assets(MOFA)'!CQ52)/1000</f>
        <v>94.500190300537696</v>
      </c>
      <c r="C51" s="828">
        <f>('Assets(MOFA)'!GG52-'Assets(MOFA)'!GH52)/1000</f>
        <v>10.062246312750492</v>
      </c>
      <c r="D51" s="962">
        <f t="shared" si="5"/>
        <v>104.56243661328818</v>
      </c>
      <c r="E51" s="951">
        <f t="shared" si="6"/>
        <v>9.6231941781966326E-2</v>
      </c>
      <c r="F51" s="947">
        <f>B51/T.A2!E51</f>
        <v>0.40759753878331245</v>
      </c>
      <c r="G51" s="915">
        <f>D51/T.A2!G51</f>
        <v>0.34041483098540887</v>
      </c>
      <c r="H51" s="814">
        <f>T.A2!E51-B51</f>
        <v>137.34662256938989</v>
      </c>
      <c r="I51" s="828">
        <f>T.A2!F51-C51</f>
        <v>65.252753687249509</v>
      </c>
      <c r="J51" s="962">
        <f t="shared" si="7"/>
        <v>202.5993762566394</v>
      </c>
      <c r="K51" s="956">
        <f t="shared" si="9"/>
        <v>0.32207776199958121</v>
      </c>
      <c r="L51" s="915">
        <f>B51/T.A1!E51</f>
        <v>0.32102629794760212</v>
      </c>
      <c r="M51" s="966">
        <f>D51/T.A1!K51</f>
        <v>0.24922520942268664</v>
      </c>
      <c r="R51" s="969">
        <f t="shared" si="8"/>
        <v>0.2258458202176149</v>
      </c>
    </row>
    <row r="52" spans="1:18">
      <c r="A52" s="826">
        <v>2008</v>
      </c>
      <c r="B52" s="814">
        <f>('Assets(MOFA)'!CP53-'Assets(MOFA)'!CQ53)/1000</f>
        <v>87.776565062313011</v>
      </c>
      <c r="C52" s="830">
        <f>('Assets(MOFA)'!GG53-'Assets(MOFA)'!GH53)/1000</f>
        <v>10.753134702563537</v>
      </c>
      <c r="D52" s="962">
        <f t="shared" si="5"/>
        <v>98.529699764876554</v>
      </c>
      <c r="E52" s="951">
        <f t="shared" si="6"/>
        <v>0.10913597350061924</v>
      </c>
      <c r="F52" s="947">
        <f>B52/T.A2!E52</f>
        <v>0.38307219312383889</v>
      </c>
      <c r="G52" s="915">
        <f>D52/T.A2!G52</f>
        <v>0.33635783806585251</v>
      </c>
      <c r="H52" s="814">
        <f>T.A2!E52-B52</f>
        <v>141.36187577966365</v>
      </c>
      <c r="I52" s="830">
        <f>T.A2!F52-C52</f>
        <v>53.039608492819177</v>
      </c>
      <c r="J52" s="962">
        <f t="shared" si="7"/>
        <v>194.40148427248283</v>
      </c>
      <c r="K52" s="956">
        <f t="shared" si="9"/>
        <v>0.27283540910868875</v>
      </c>
      <c r="L52" s="915">
        <f>B52/T.A1!E52</f>
        <v>0.28451404170414635</v>
      </c>
      <c r="M52" s="966">
        <f>D52/T.A1!K52</f>
        <v>0.21936534530137847</v>
      </c>
      <c r="R52" s="969">
        <f t="shared" si="8"/>
        <v>0.16369943560806952</v>
      </c>
    </row>
    <row r="53" spans="1:18">
      <c r="A53" s="856">
        <v>2009</v>
      </c>
      <c r="B53" s="857">
        <f>('Assets(MOFA)'!CP54-'Assets(MOFA)'!CQ54)/1000</f>
        <v>107.0574124632781</v>
      </c>
      <c r="C53" s="884">
        <f>('Assets(MOFA)'!GG54-'Assets(MOFA)'!GH54)/1000</f>
        <v>9.4957831063853924</v>
      </c>
      <c r="D53" s="963">
        <f t="shared" si="5"/>
        <v>116.55319556966349</v>
      </c>
      <c r="E53" s="952">
        <f t="shared" si="6"/>
        <v>8.147166673529592E-2</v>
      </c>
      <c r="F53" s="948">
        <f>B53/T.A2!E53</f>
        <v>0.43825966055830851</v>
      </c>
      <c r="G53" s="916">
        <f>D53/T.A2!G53</f>
        <v>0.37207248932069015</v>
      </c>
      <c r="H53" s="857">
        <f>T.A2!E53-B53</f>
        <v>137.22108747188668</v>
      </c>
      <c r="I53" s="884">
        <f>T.A2!F53-C53</f>
        <v>59.479716958449856</v>
      </c>
      <c r="J53" s="963">
        <f t="shared" si="7"/>
        <v>196.70080443033652</v>
      </c>
      <c r="K53" s="957">
        <f t="shared" si="9"/>
        <v>0.30238674992056358</v>
      </c>
      <c r="L53" s="916">
        <f>B53/T.A1!E53</f>
        <v>0.37011430213229884</v>
      </c>
      <c r="M53" s="967">
        <f>D53/T.A1!K53</f>
        <v>0.29234846974549322</v>
      </c>
      <c r="R53" s="969">
        <f t="shared" si="8"/>
        <v>0.22091508318526765</v>
      </c>
    </row>
    <row r="54" spans="1:18">
      <c r="A54" s="826">
        <v>2010</v>
      </c>
      <c r="B54" s="814">
        <f>('Assets(MOFA)'!CP55-'Assets(MOFA)'!CQ55)/1000</f>
        <v>103.48253741601711</v>
      </c>
      <c r="C54" s="830">
        <f>('Assets(MOFA)'!GG55-'Assets(MOFA)'!GH55)/1000</f>
        <v>13.477336570268806</v>
      </c>
      <c r="D54" s="962">
        <f t="shared" si="5"/>
        <v>116.95987398628591</v>
      </c>
      <c r="E54" s="951">
        <f t="shared" si="6"/>
        <v>0.11523042998361203</v>
      </c>
      <c r="F54" s="947">
        <f>B54/T.A2!E54</f>
        <v>0.38298964204972563</v>
      </c>
      <c r="G54" s="915">
        <f>D54/T.A2!G54</f>
        <v>0.33428759163561556</v>
      </c>
      <c r="H54" s="814">
        <f>T.A2!E54-B54</f>
        <v>166.7141625839829</v>
      </c>
      <c r="I54" s="830">
        <f>T.A2!F54-C54</f>
        <v>66.203963429731189</v>
      </c>
      <c r="J54" s="962">
        <f t="shared" si="7"/>
        <v>232.91812601371407</v>
      </c>
      <c r="K54" s="956">
        <f t="shared" si="9"/>
        <v>0.28423706030432833</v>
      </c>
      <c r="L54" s="915">
        <f>B54/T.A1!E54</f>
        <v>0.31341913910591451</v>
      </c>
      <c r="M54" s="966">
        <f>D54/T.A1!K54</f>
        <v>0.25416500747824389</v>
      </c>
      <c r="R54" s="969">
        <f t="shared" si="8"/>
        <v>0.16900663032071628</v>
      </c>
    </row>
    <row r="55" spans="1:18">
      <c r="A55" s="826">
        <v>2011</v>
      </c>
      <c r="B55" s="814">
        <f>('Assets(MOFA)'!CP56-'Assets(MOFA)'!CQ56)/1000</f>
        <v>134.19781732144276</v>
      </c>
      <c r="C55" s="830">
        <f>('Assets(MOFA)'!GG56-'Assets(MOFA)'!GH56)/1000</f>
        <v>13.84372632638593</v>
      </c>
      <c r="D55" s="962">
        <f t="shared" si="5"/>
        <v>148.04154364782869</v>
      </c>
      <c r="E55" s="951">
        <f t="shared" si="6"/>
        <v>9.3512442421691641E-2</v>
      </c>
      <c r="F55" s="947">
        <f>B55/T.A2!E55</f>
        <v>0.41547955021422239</v>
      </c>
      <c r="G55" s="915">
        <f>D55/T.A2!G55</f>
        <v>0.35554688094642278</v>
      </c>
      <c r="H55" s="814">
        <f>T.A2!E55-B55</f>
        <v>188.79718267855725</v>
      </c>
      <c r="I55" s="830">
        <f>T.A2!F55-C55</f>
        <v>79.538273673614057</v>
      </c>
      <c r="J55" s="962">
        <f t="shared" si="7"/>
        <v>268.33545635217132</v>
      </c>
      <c r="K55" s="956">
        <f t="shared" si="9"/>
        <v>0.29641358154781339</v>
      </c>
      <c r="L55" s="915">
        <f>B55/T.A1!E55</f>
        <v>0.33785105440810342</v>
      </c>
      <c r="M55" s="966">
        <f>D55/T.A1!K55</f>
        <v>0.26384728179506367</v>
      </c>
      <c r="R55" s="969">
        <f t="shared" si="8"/>
        <v>0.20290113912612173</v>
      </c>
    </row>
    <row r="56" spans="1:18">
      <c r="A56" s="826">
        <v>2012</v>
      </c>
      <c r="B56" s="814">
        <f>('Assets(MOFA)'!CP57-'Assets(MOFA)'!CQ57)/1000</f>
        <v>145.09576868605035</v>
      </c>
      <c r="C56" s="830">
        <f>('Assets(MOFA)'!GG57-'Assets(MOFA)'!GH57)/1000</f>
        <v>12.662272832214487</v>
      </c>
      <c r="D56" s="962">
        <f t="shared" si="5"/>
        <v>157.75804151826483</v>
      </c>
      <c r="E56" s="951">
        <f t="shared" si="6"/>
        <v>8.0263882020546518E-2</v>
      </c>
      <c r="F56" s="947">
        <f>B56/T.A2!E56</f>
        <v>0.44395010693101916</v>
      </c>
      <c r="G56" s="915">
        <f>D56/T.A2!G56</f>
        <v>0.38339176027574812</v>
      </c>
      <c r="H56" s="814">
        <f>T.A2!E56-B56</f>
        <v>181.73322948467268</v>
      </c>
      <c r="I56" s="830">
        <f>T.A2!F56-C56</f>
        <v>71.988728997062523</v>
      </c>
      <c r="J56" s="962">
        <f t="shared" si="7"/>
        <v>253.72195848173521</v>
      </c>
      <c r="K56" s="956">
        <f t="shared" si="9"/>
        <v>0.28373077926656792</v>
      </c>
      <c r="L56" s="915">
        <f>B56/T.A1!E56</f>
        <v>0.37136150751587571</v>
      </c>
      <c r="M56" s="966">
        <f>D56/T.A1!K56</f>
        <v>0.29032728756719944</v>
      </c>
      <c r="R56" s="969">
        <f t="shared" si="8"/>
        <v>0.20346689724602141</v>
      </c>
    </row>
    <row r="57" spans="1:18">
      <c r="A57" s="826">
        <v>2013</v>
      </c>
      <c r="B57" s="814">
        <f>('Assets(MOFA)'!CP58-'Assets(MOFA)'!CQ58)/1000</f>
        <v>134.45726663319488</v>
      </c>
      <c r="C57" s="830">
        <f>('Assets(MOFA)'!GG58-'Assets(MOFA)'!GH58)/1000</f>
        <v>12.972512098267847</v>
      </c>
      <c r="D57" s="962">
        <f t="shared" si="5"/>
        <v>147.42977873146273</v>
      </c>
      <c r="E57" s="951">
        <f t="shared" si="6"/>
        <v>8.7991125062303346E-2</v>
      </c>
      <c r="F57" s="947">
        <f>B57/T.A2!E57</f>
        <v>0.43553979614469845</v>
      </c>
      <c r="G57" s="915">
        <f>D57/T.A2!G57</f>
        <v>0.37759229480944334</v>
      </c>
      <c r="H57" s="814">
        <f>T.A2!E57-B57</f>
        <v>174.25681144504443</v>
      </c>
      <c r="I57" s="830">
        <f>T.A2!F57-C57</f>
        <v>68.760409823492878</v>
      </c>
      <c r="J57" s="962">
        <f t="shared" si="7"/>
        <v>243.0172212685373</v>
      </c>
      <c r="K57" s="956">
        <f t="shared" si="9"/>
        <v>0.2829445973604961</v>
      </c>
      <c r="L57" s="915">
        <f>B57/T.A1!E57</f>
        <v>0.36036027817718974</v>
      </c>
      <c r="M57" s="966">
        <f>D57/T.A1!K57</f>
        <v>0.28810296668815488</v>
      </c>
      <c r="R57" s="969">
        <f t="shared" si="8"/>
        <v>0.19495347229819276</v>
      </c>
    </row>
    <row r="58" spans="1:18">
      <c r="A58" s="826">
        <v>2014</v>
      </c>
      <c r="B58" s="814">
        <f>('Assets(MOFA)'!CP59-'Assets(MOFA)'!CQ59)/1000</f>
        <v>168.10732139544578</v>
      </c>
      <c r="C58" s="830">
        <f>('Assets(MOFA)'!GG59-'Assets(MOFA)'!GH59)/1000</f>
        <v>14.308801127293206</v>
      </c>
      <c r="D58" s="962">
        <f t="shared" si="5"/>
        <v>182.41612252273899</v>
      </c>
      <c r="E58" s="951">
        <f t="shared" si="6"/>
        <v>7.8440441170486722E-2</v>
      </c>
      <c r="F58" s="947">
        <f>B58/T.A2!E58</f>
        <v>0.45725696231247642</v>
      </c>
      <c r="G58" s="915">
        <f>D58/T.A2!G58</f>
        <v>0.3972087285060022</v>
      </c>
      <c r="H58" s="814">
        <f>T.A2!E58-B58</f>
        <v>199.53567860455425</v>
      </c>
      <c r="I58" s="830">
        <f>T.A2!F58-C58</f>
        <v>77.293198872706782</v>
      </c>
      <c r="J58" s="962">
        <f t="shared" si="7"/>
        <v>276.82887747726102</v>
      </c>
      <c r="K58" s="956">
        <f t="shared" si="9"/>
        <v>0.2792093064028543</v>
      </c>
      <c r="L58" s="915">
        <f>B58/T.A1!E58</f>
        <v>0.39924600509057045</v>
      </c>
      <c r="M58" s="966">
        <f>D58/T.A1!K58</f>
        <v>0.32913671051653837</v>
      </c>
      <c r="R58" s="969">
        <f t="shared" si="8"/>
        <v>0.20076886523236759</v>
      </c>
    </row>
    <row r="59" spans="1:18">
      <c r="A59" s="826">
        <v>2015</v>
      </c>
      <c r="B59" s="814">
        <f>('Assets(MOFA)'!CP60-'Assets(MOFA)'!CQ60)/1000</f>
        <v>189.24248552986549</v>
      </c>
      <c r="C59" s="830">
        <f>('Assets(MOFA)'!GG60-'Assets(MOFA)'!GH60)/1000</f>
        <v>14.106007822768543</v>
      </c>
      <c r="D59" s="962">
        <f t="shared" si="5"/>
        <v>203.34849335263402</v>
      </c>
      <c r="E59" s="951">
        <f t="shared" si="6"/>
        <v>6.9368637014225631E-2</v>
      </c>
      <c r="F59" s="947">
        <f>B59/T.A2!E59</f>
        <v>0.51397493041675169</v>
      </c>
      <c r="G59" s="915">
        <f>D59/T.A2!G59</f>
        <v>0.45425777583521504</v>
      </c>
      <c r="H59" s="814">
        <f>T.A2!E59-B59</f>
        <v>178.95151447013453</v>
      </c>
      <c r="I59" s="830">
        <f>T.A2!F59-C59</f>
        <v>65.349992177231456</v>
      </c>
      <c r="J59" s="962">
        <f t="shared" si="7"/>
        <v>244.30150664736598</v>
      </c>
      <c r="K59" s="956">
        <f t="shared" si="9"/>
        <v>0.26749729493711272</v>
      </c>
      <c r="L59" s="915">
        <f>B59/T.A1!E59</f>
        <v>0.48929452312216037</v>
      </c>
      <c r="M59" s="966">
        <f>D59/T.A1!K59</f>
        <v>0.42524800570619509</v>
      </c>
      <c r="R59" s="969">
        <f t="shared" si="8"/>
        <v>0.19812865792288709</v>
      </c>
    </row>
    <row r="60" spans="1:18">
      <c r="A60" s="826">
        <v>2016</v>
      </c>
      <c r="B60" s="814">
        <f>('Assets(MOFA)'!CP61-'Assets(MOFA)'!CQ61)/1000</f>
        <v>189.94035631640341</v>
      </c>
      <c r="C60" s="830">
        <f>('Assets(MOFA)'!GG61-'Assets(MOFA)'!GH61)/1000</f>
        <v>17.661541530257047</v>
      </c>
      <c r="D60" s="962">
        <f t="shared" ref="D60" si="10">B60+C60</f>
        <v>207.60189784666045</v>
      </c>
      <c r="E60" s="951">
        <f t="shared" ref="E60" si="11">C60/D60</f>
        <v>8.5074085128558255E-2</v>
      </c>
      <c r="F60" s="947">
        <f>B60/T.A2!E60</f>
        <v>0.55756413653574499</v>
      </c>
      <c r="G60" s="915">
        <f>D60/T.A2!G60</f>
        <v>0.49537297676030095</v>
      </c>
      <c r="H60" s="814">
        <f>T.A2!E60-B60</f>
        <v>150.72064368359659</v>
      </c>
      <c r="I60" s="830">
        <f>T.A2!F60-C60</f>
        <v>60.75945846974296</v>
      </c>
      <c r="J60" s="962">
        <f t="shared" ref="J60" si="12">H60+I60</f>
        <v>211.48010215333954</v>
      </c>
      <c r="K60" s="956">
        <f t="shared" ref="K60" si="13">I60/J60</f>
        <v>0.28730579307970838</v>
      </c>
      <c r="L60" s="915">
        <f>B60/T.A1!E60</f>
        <v>0.54611634296641021</v>
      </c>
      <c r="M60" s="966">
        <f>D60/T.A1!K60</f>
        <v>0.47756741402061725</v>
      </c>
      <c r="R60" s="969">
        <f t="shared" si="8"/>
        <v>0.20223170795115014</v>
      </c>
    </row>
    <row r="61" spans="1:18" ht="16" thickBot="1">
      <c r="A61" s="819"/>
      <c r="B61" s="820"/>
      <c r="C61" s="821"/>
      <c r="D61" s="821"/>
      <c r="E61" s="954"/>
      <c r="F61" s="821"/>
      <c r="G61" s="821"/>
      <c r="H61" s="820"/>
      <c r="I61" s="821"/>
      <c r="J61" s="821"/>
      <c r="K61" s="960"/>
      <c r="L61" s="821"/>
      <c r="M61" s="823"/>
    </row>
    <row r="62" spans="1:18" ht="17" thickTop="1" thickBot="1">
      <c r="H62" s="829"/>
    </row>
    <row r="63" spans="1:18" s="825" customFormat="1" ht="28" customHeight="1" thickBot="1">
      <c r="A63" s="1753" t="s">
        <v>2494</v>
      </c>
      <c r="B63" s="1754"/>
      <c r="C63" s="1754"/>
      <c r="D63" s="1754"/>
      <c r="E63" s="1754"/>
      <c r="F63" s="1754"/>
      <c r="G63" s="1754"/>
      <c r="H63" s="1754"/>
      <c r="I63" s="1754"/>
      <c r="J63" s="1754"/>
      <c r="K63" s="1754"/>
      <c r="L63" s="1754"/>
      <c r="M63" s="1755"/>
    </row>
    <row r="64" spans="1:18" s="825" customFormat="1">
      <c r="B64" s="805"/>
      <c r="C64" s="805"/>
      <c r="D64" s="805"/>
      <c r="E64" s="805"/>
      <c r="F64" s="805"/>
      <c r="G64" s="805"/>
      <c r="H64" s="805"/>
    </row>
    <row r="65" spans="1:8" s="825" customFormat="1">
      <c r="A65" s="805"/>
      <c r="B65" s="805"/>
      <c r="C65" s="805"/>
      <c r="D65" s="805"/>
      <c r="E65" s="805"/>
      <c r="F65" s="805"/>
      <c r="G65" s="805"/>
      <c r="H65" s="805"/>
    </row>
    <row r="66" spans="1:8" s="825" customFormat="1">
      <c r="A66" s="805"/>
      <c r="B66" s="805"/>
      <c r="C66" s="805"/>
      <c r="D66" s="805"/>
      <c r="E66" s="805"/>
      <c r="F66" s="805"/>
      <c r="G66" s="805"/>
      <c r="H66" s="805"/>
    </row>
    <row r="68" spans="1:8" s="825" customFormat="1">
      <c r="A68" s="805"/>
      <c r="B68" s="805"/>
      <c r="C68" s="805"/>
      <c r="D68" s="805"/>
      <c r="E68" s="805"/>
      <c r="F68" s="805"/>
      <c r="G68" s="805"/>
      <c r="H68" s="805"/>
    </row>
  </sheetData>
  <mergeCells count="18">
    <mergeCell ref="A3:M3"/>
    <mergeCell ref="B8:B9"/>
    <mergeCell ref="C8:C9"/>
    <mergeCell ref="D8:D9"/>
    <mergeCell ref="H8:H9"/>
    <mergeCell ref="F7:F9"/>
    <mergeCell ref="H6:K6"/>
    <mergeCell ref="H7:J7"/>
    <mergeCell ref="I8:I9"/>
    <mergeCell ref="J8:J9"/>
    <mergeCell ref="A63:M63"/>
    <mergeCell ref="L6:L9"/>
    <mergeCell ref="M6:M9"/>
    <mergeCell ref="B7:D7"/>
    <mergeCell ref="B6:G6"/>
    <mergeCell ref="E7:E9"/>
    <mergeCell ref="G7:G9"/>
    <mergeCell ref="K7:K9"/>
  </mergeCells>
  <phoneticPr fontId="104" type="noConversion"/>
  <pageMargins left="0.75" right="0.75" top="1" bottom="1" header="0.5" footer="0.5"/>
  <pageSetup scale="48" orientation="portrait" horizontalDpi="4294967292" verticalDpi="4294967292"/>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89"/>
  <sheetViews>
    <sheetView zoomScale="150" zoomScaleNormal="150" zoomScalePageLayoutView="150" workbookViewId="0">
      <pane xSplit="2" ySplit="6" topLeftCell="CH7"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7.5703125" style="260"/>
    <col min="2" max="2" width="41.140625" style="260" bestFit="1" customWidth="1"/>
    <col min="3" max="16384" width="7.5703125" style="260"/>
  </cols>
  <sheetData>
    <row r="1" spans="1:90" ht="17">
      <c r="A1" s="1940" t="s">
        <v>542</v>
      </c>
      <c r="B1" s="1939"/>
      <c r="C1" s="1939"/>
      <c r="D1" s="1939"/>
      <c r="E1" s="1939"/>
      <c r="F1" s="1939"/>
      <c r="G1" s="1939"/>
      <c r="H1" s="1939"/>
      <c r="I1" s="1939"/>
      <c r="J1" s="1939"/>
      <c r="K1" s="1939"/>
      <c r="L1" s="1939"/>
      <c r="M1" s="1939"/>
      <c r="N1" s="1939"/>
      <c r="O1" s="1939"/>
      <c r="P1" s="1939"/>
      <c r="Q1" s="1939"/>
      <c r="R1" s="1939"/>
      <c r="S1" s="1939"/>
      <c r="T1" s="1939"/>
      <c r="U1" s="1939"/>
      <c r="V1" s="1939"/>
      <c r="W1" s="1939"/>
      <c r="X1" s="1939"/>
      <c r="Y1" s="1939"/>
      <c r="Z1" s="1939"/>
      <c r="AA1" s="1939"/>
      <c r="AB1" s="1939"/>
      <c r="AC1" s="1939"/>
      <c r="AD1" s="1939"/>
      <c r="AE1" s="1939"/>
      <c r="AF1" s="1939"/>
      <c r="AG1" s="1939"/>
      <c r="AH1" s="1939"/>
      <c r="AI1" s="1939"/>
      <c r="AJ1" s="1939"/>
      <c r="AK1" s="1939"/>
      <c r="AL1" s="1939"/>
      <c r="AM1" s="1939"/>
      <c r="AN1" s="1939"/>
      <c r="AO1" s="1939"/>
      <c r="AP1" s="1939"/>
      <c r="AQ1" s="1939"/>
      <c r="AR1" s="1939"/>
      <c r="AS1" s="1939"/>
      <c r="AT1" s="1939"/>
      <c r="AU1" s="1939"/>
      <c r="AV1" s="1939"/>
      <c r="AW1" s="1939"/>
      <c r="AX1" s="1939"/>
      <c r="AY1" s="1939"/>
      <c r="AZ1" s="1939"/>
      <c r="BA1" s="1939"/>
      <c r="BB1" s="1939"/>
      <c r="BC1" s="1939"/>
      <c r="BD1" s="1939"/>
      <c r="BE1" s="1939"/>
      <c r="BF1" s="1939"/>
      <c r="BG1" s="1939"/>
      <c r="BH1" s="1939"/>
      <c r="BI1" s="1939"/>
      <c r="BJ1" s="1939"/>
      <c r="BK1" s="1939"/>
      <c r="BL1" s="1939"/>
      <c r="BM1" s="1939"/>
      <c r="BN1" s="1939"/>
      <c r="BO1" s="1939"/>
      <c r="BP1" s="1939"/>
      <c r="BQ1" s="1939"/>
      <c r="BR1" s="1939"/>
      <c r="BS1" s="1939"/>
      <c r="BT1" s="1939"/>
      <c r="BU1" s="1939"/>
      <c r="BV1" s="1939"/>
      <c r="BW1" s="1939"/>
      <c r="BX1" s="1939"/>
      <c r="BY1" s="1939"/>
      <c r="BZ1" s="1939"/>
      <c r="CA1" s="1939"/>
      <c r="CB1" s="1939"/>
      <c r="CC1" s="1939"/>
      <c r="CD1" s="1939"/>
      <c r="CE1" s="1939"/>
      <c r="CF1" s="1939"/>
      <c r="CG1" s="1939"/>
      <c r="CH1" s="1939"/>
      <c r="CI1" s="1939"/>
      <c r="CJ1" s="1939"/>
      <c r="CK1" s="1939"/>
      <c r="CL1" s="1939"/>
    </row>
    <row r="2" spans="1:90" ht="16">
      <c r="A2" s="1941" t="s">
        <v>161</v>
      </c>
      <c r="B2" s="1939"/>
      <c r="C2" s="1939"/>
      <c r="D2" s="1939"/>
      <c r="E2" s="1939"/>
      <c r="F2" s="1939"/>
      <c r="G2" s="1939"/>
      <c r="H2" s="1939"/>
      <c r="I2" s="1939"/>
      <c r="J2" s="1939"/>
      <c r="K2" s="1939"/>
      <c r="L2" s="1939"/>
      <c r="M2" s="1939"/>
      <c r="N2" s="1939"/>
      <c r="O2" s="1939"/>
      <c r="P2" s="1939"/>
      <c r="Q2" s="1939"/>
      <c r="R2" s="1939"/>
      <c r="S2" s="1939"/>
      <c r="T2" s="1939"/>
      <c r="U2" s="1939"/>
      <c r="V2" s="1939"/>
      <c r="W2" s="1939"/>
      <c r="X2" s="1939"/>
      <c r="Y2" s="1939"/>
      <c r="Z2" s="1939"/>
      <c r="AA2" s="1939"/>
      <c r="AB2" s="1939"/>
      <c r="AC2" s="1939"/>
      <c r="AD2" s="1939"/>
      <c r="AE2" s="1939"/>
      <c r="AF2" s="1939"/>
      <c r="AG2" s="1939"/>
      <c r="AH2" s="1939"/>
      <c r="AI2" s="1939"/>
      <c r="AJ2" s="1939"/>
      <c r="AK2" s="1939"/>
      <c r="AL2" s="1939"/>
      <c r="AM2" s="1939"/>
      <c r="AN2" s="1939"/>
      <c r="AO2" s="1939"/>
      <c r="AP2" s="1939"/>
      <c r="AQ2" s="1939"/>
      <c r="AR2" s="1939"/>
      <c r="AS2" s="1939"/>
      <c r="AT2" s="1939"/>
      <c r="AU2" s="1939"/>
      <c r="AV2" s="1939"/>
      <c r="AW2" s="1939"/>
      <c r="AX2" s="1939"/>
      <c r="AY2" s="1939"/>
      <c r="AZ2" s="1939"/>
      <c r="BA2" s="1939"/>
      <c r="BB2" s="1939"/>
      <c r="BC2" s="1939"/>
      <c r="BD2" s="1939"/>
      <c r="BE2" s="1939"/>
      <c r="BF2" s="1939"/>
      <c r="BG2" s="1939"/>
      <c r="BH2" s="1939"/>
      <c r="BI2" s="1939"/>
      <c r="BJ2" s="1939"/>
      <c r="BK2" s="1939"/>
      <c r="BL2" s="1939"/>
      <c r="BM2" s="1939"/>
      <c r="BN2" s="1939"/>
      <c r="BO2" s="1939"/>
      <c r="BP2" s="1939"/>
      <c r="BQ2" s="1939"/>
      <c r="BR2" s="1939"/>
      <c r="BS2" s="1939"/>
      <c r="BT2" s="1939"/>
      <c r="BU2" s="1939"/>
      <c r="BV2" s="1939"/>
      <c r="BW2" s="1939"/>
      <c r="BX2" s="1939"/>
      <c r="BY2" s="1939"/>
      <c r="BZ2" s="1939"/>
      <c r="CA2" s="1939"/>
      <c r="CB2" s="1939"/>
      <c r="CC2" s="1939"/>
      <c r="CD2" s="1939"/>
      <c r="CE2" s="1939"/>
      <c r="CF2" s="1939"/>
      <c r="CG2" s="1939"/>
      <c r="CH2" s="1939"/>
      <c r="CI2" s="1939"/>
      <c r="CJ2" s="1939"/>
      <c r="CK2" s="1939"/>
      <c r="CL2" s="1939"/>
    </row>
    <row r="3" spans="1:90" ht="15">
      <c r="A3" s="1939" t="s">
        <v>160</v>
      </c>
      <c r="B3" s="1939"/>
      <c r="C3" s="1939"/>
      <c r="D3" s="1939"/>
      <c r="E3" s="1939"/>
      <c r="F3" s="1939"/>
      <c r="G3" s="1939"/>
      <c r="H3" s="1939"/>
      <c r="I3" s="1939"/>
      <c r="J3" s="1939"/>
      <c r="K3" s="1939"/>
      <c r="L3" s="1939"/>
      <c r="M3" s="1939"/>
      <c r="N3" s="1939"/>
      <c r="O3" s="1939"/>
      <c r="P3" s="1939"/>
      <c r="Q3" s="1939"/>
      <c r="R3" s="1939"/>
      <c r="S3" s="1939"/>
      <c r="T3" s="1939"/>
      <c r="U3" s="1939"/>
      <c r="V3" s="1939"/>
      <c r="W3" s="1939"/>
      <c r="X3" s="1939"/>
      <c r="Y3" s="1939"/>
      <c r="Z3" s="1939"/>
      <c r="AA3" s="1939"/>
      <c r="AB3" s="1939"/>
      <c r="AC3" s="1939"/>
      <c r="AD3" s="1939"/>
      <c r="AE3" s="1939"/>
      <c r="AF3" s="1939"/>
      <c r="AG3" s="1939"/>
      <c r="AH3" s="1939"/>
      <c r="AI3" s="1939"/>
      <c r="AJ3" s="1939"/>
      <c r="AK3" s="1939"/>
      <c r="AL3" s="1939"/>
      <c r="AM3" s="1939"/>
      <c r="AN3" s="1939"/>
      <c r="AO3" s="1939"/>
      <c r="AP3" s="1939"/>
      <c r="AQ3" s="1939"/>
      <c r="AR3" s="1939"/>
      <c r="AS3" s="1939"/>
      <c r="AT3" s="1939"/>
      <c r="AU3" s="1939"/>
      <c r="AV3" s="1939"/>
      <c r="AW3" s="1939"/>
      <c r="AX3" s="1939"/>
      <c r="AY3" s="1939"/>
      <c r="AZ3" s="1939"/>
      <c r="BA3" s="1939"/>
      <c r="BB3" s="1939"/>
      <c r="BC3" s="1939"/>
      <c r="BD3" s="1939"/>
      <c r="BE3" s="1939"/>
      <c r="BF3" s="1939"/>
      <c r="BG3" s="1939"/>
      <c r="BH3" s="1939"/>
      <c r="BI3" s="1939"/>
      <c r="BJ3" s="1939"/>
      <c r="BK3" s="1939"/>
      <c r="BL3" s="1939"/>
      <c r="BM3" s="1939"/>
      <c r="BN3" s="1939"/>
      <c r="BO3" s="1939"/>
      <c r="BP3" s="1939"/>
      <c r="BQ3" s="1939"/>
      <c r="BR3" s="1939"/>
      <c r="BS3" s="1939"/>
      <c r="BT3" s="1939"/>
      <c r="BU3" s="1939"/>
      <c r="BV3" s="1939"/>
      <c r="BW3" s="1939"/>
      <c r="BX3" s="1939"/>
      <c r="BY3" s="1939"/>
      <c r="BZ3" s="1939"/>
      <c r="CA3" s="1939"/>
      <c r="CB3" s="1939"/>
      <c r="CC3" s="1939"/>
      <c r="CD3" s="1939"/>
      <c r="CE3" s="1939"/>
      <c r="CF3" s="1939"/>
      <c r="CG3" s="1939"/>
      <c r="CH3" s="1939"/>
      <c r="CI3" s="1939"/>
      <c r="CJ3" s="1939"/>
      <c r="CK3" s="1939"/>
      <c r="CL3" s="1939"/>
    </row>
    <row r="4" spans="1:90" ht="15">
      <c r="A4" s="1939" t="s">
        <v>867</v>
      </c>
      <c r="B4" s="1939"/>
      <c r="C4" s="1939"/>
      <c r="D4" s="1939"/>
      <c r="E4" s="1939"/>
      <c r="F4" s="1939"/>
      <c r="G4" s="1939"/>
      <c r="H4" s="1939"/>
      <c r="I4" s="1939"/>
      <c r="J4" s="1939"/>
      <c r="K4" s="1939"/>
      <c r="L4" s="1939"/>
      <c r="M4" s="1939"/>
      <c r="N4" s="1939"/>
      <c r="O4" s="1939"/>
      <c r="P4" s="1939"/>
      <c r="Q4" s="1939"/>
      <c r="R4" s="1939"/>
      <c r="S4" s="1939"/>
      <c r="T4" s="1939"/>
      <c r="U4" s="1939"/>
      <c r="V4" s="1939"/>
      <c r="W4" s="1939"/>
      <c r="X4" s="1939"/>
      <c r="Y4" s="1939"/>
      <c r="Z4" s="1939"/>
      <c r="AA4" s="1939"/>
      <c r="AB4" s="1939"/>
      <c r="AC4" s="1939"/>
      <c r="AD4" s="1939"/>
      <c r="AE4" s="1939"/>
      <c r="AF4" s="1939"/>
      <c r="AG4" s="1939"/>
      <c r="AH4" s="1939"/>
      <c r="AI4" s="1939"/>
      <c r="AJ4" s="1939"/>
      <c r="AK4" s="1939"/>
      <c r="AL4" s="1939"/>
      <c r="AM4" s="1939"/>
      <c r="AN4" s="1939"/>
      <c r="AO4" s="1939"/>
      <c r="AP4" s="1939"/>
      <c r="AQ4" s="1939"/>
      <c r="AR4" s="1939"/>
      <c r="AS4" s="1939"/>
      <c r="AT4" s="1939"/>
      <c r="AU4" s="1939"/>
      <c r="AV4" s="1939"/>
      <c r="AW4" s="1939"/>
      <c r="AX4" s="1939"/>
      <c r="AY4" s="1939"/>
      <c r="AZ4" s="1939"/>
      <c r="BA4" s="1939"/>
      <c r="BB4" s="1939"/>
      <c r="BC4" s="1939"/>
      <c r="BD4" s="1939"/>
      <c r="BE4" s="1939"/>
      <c r="BF4" s="1939"/>
      <c r="BG4" s="1939"/>
      <c r="BH4" s="1939"/>
      <c r="BI4" s="1939"/>
      <c r="BJ4" s="1939"/>
      <c r="BK4" s="1939"/>
      <c r="BL4" s="1939"/>
      <c r="BM4" s="1939"/>
      <c r="BN4" s="1939"/>
      <c r="BO4" s="1939"/>
      <c r="BP4" s="1939"/>
      <c r="BQ4" s="1939"/>
      <c r="BR4" s="1939"/>
      <c r="BS4" s="1939"/>
      <c r="BT4" s="1939"/>
      <c r="BU4" s="1939"/>
      <c r="BV4" s="1939"/>
      <c r="BW4" s="1939"/>
      <c r="BX4" s="1939"/>
      <c r="BY4" s="1939"/>
      <c r="BZ4" s="1939"/>
      <c r="CA4" s="1939"/>
      <c r="CB4" s="1939"/>
      <c r="CC4" s="1939"/>
      <c r="CD4" s="1939"/>
      <c r="CE4" s="1939"/>
      <c r="CF4" s="1939"/>
      <c r="CG4" s="1939"/>
      <c r="CH4" s="1939"/>
      <c r="CI4" s="1939"/>
      <c r="CJ4" s="1939"/>
      <c r="CK4" s="1939"/>
      <c r="CL4" s="1939"/>
    </row>
    <row r="5" spans="1:90" ht="1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row>
    <row r="6" spans="1:90">
      <c r="A6" s="264" t="s">
        <v>159</v>
      </c>
      <c r="B6" s="264" t="s">
        <v>32</v>
      </c>
      <c r="C6" s="264" t="s">
        <v>158</v>
      </c>
      <c r="D6" s="264" t="s">
        <v>157</v>
      </c>
      <c r="E6" s="264" t="s">
        <v>156</v>
      </c>
      <c r="F6" s="264" t="s">
        <v>155</v>
      </c>
      <c r="G6" s="264" t="s">
        <v>154</v>
      </c>
      <c r="H6" s="264" t="s">
        <v>153</v>
      </c>
      <c r="I6" s="264" t="s">
        <v>152</v>
      </c>
      <c r="J6" s="264" t="s">
        <v>151</v>
      </c>
      <c r="K6" s="264" t="s">
        <v>150</v>
      </c>
      <c r="L6" s="264" t="s">
        <v>149</v>
      </c>
      <c r="M6" s="264" t="s">
        <v>148</v>
      </c>
      <c r="N6" s="264" t="s">
        <v>147</v>
      </c>
      <c r="O6" s="264" t="s">
        <v>146</v>
      </c>
      <c r="P6" s="264" t="s">
        <v>145</v>
      </c>
      <c r="Q6" s="264" t="s">
        <v>144</v>
      </c>
      <c r="R6" s="264" t="s">
        <v>143</v>
      </c>
      <c r="S6" s="264" t="s">
        <v>142</v>
      </c>
      <c r="T6" s="264" t="s">
        <v>141</v>
      </c>
      <c r="U6" s="264" t="s">
        <v>140</v>
      </c>
      <c r="V6" s="264" t="s">
        <v>139</v>
      </c>
      <c r="W6" s="264" t="s">
        <v>138</v>
      </c>
      <c r="X6" s="264" t="s">
        <v>137</v>
      </c>
      <c r="Y6" s="264" t="s">
        <v>136</v>
      </c>
      <c r="Z6" s="264" t="s">
        <v>135</v>
      </c>
      <c r="AA6" s="264" t="s">
        <v>134</v>
      </c>
      <c r="AB6" s="264" t="s">
        <v>133</v>
      </c>
      <c r="AC6" s="264" t="s">
        <v>132</v>
      </c>
      <c r="AD6" s="264" t="s">
        <v>131</v>
      </c>
      <c r="AE6" s="264" t="s">
        <v>130</v>
      </c>
      <c r="AF6" s="264" t="s">
        <v>129</v>
      </c>
      <c r="AG6" s="264" t="s">
        <v>128</v>
      </c>
      <c r="AH6" s="264" t="s">
        <v>127</v>
      </c>
      <c r="AI6" s="264" t="s">
        <v>126</v>
      </c>
      <c r="AJ6" s="264" t="s">
        <v>125</v>
      </c>
      <c r="AK6" s="264" t="s">
        <v>124</v>
      </c>
      <c r="AL6" s="264" t="s">
        <v>123</v>
      </c>
      <c r="AM6" s="264" t="s">
        <v>122</v>
      </c>
      <c r="AN6" s="264" t="s">
        <v>121</v>
      </c>
      <c r="AO6" s="264" t="s">
        <v>120</v>
      </c>
      <c r="AP6" s="264" t="s">
        <v>119</v>
      </c>
      <c r="AQ6" s="264" t="s">
        <v>118</v>
      </c>
      <c r="AR6" s="264" t="s">
        <v>117</v>
      </c>
      <c r="AS6" s="264" t="s">
        <v>116</v>
      </c>
      <c r="AT6" s="264" t="s">
        <v>115</v>
      </c>
      <c r="AU6" s="264" t="s">
        <v>114</v>
      </c>
      <c r="AV6" s="264" t="s">
        <v>113</v>
      </c>
      <c r="AW6" s="264" t="s">
        <v>112</v>
      </c>
      <c r="AX6" s="264" t="s">
        <v>111</v>
      </c>
      <c r="AY6" s="264" t="s">
        <v>110</v>
      </c>
      <c r="AZ6" s="264" t="s">
        <v>109</v>
      </c>
      <c r="BA6" s="264" t="s">
        <v>108</v>
      </c>
      <c r="BB6" s="264" t="s">
        <v>107</v>
      </c>
      <c r="BC6" s="264" t="s">
        <v>106</v>
      </c>
      <c r="BD6" s="264" t="s">
        <v>105</v>
      </c>
      <c r="BE6" s="264" t="s">
        <v>104</v>
      </c>
      <c r="BF6" s="264" t="s">
        <v>103</v>
      </c>
      <c r="BG6" s="264" t="s">
        <v>102</v>
      </c>
      <c r="BH6" s="264" t="s">
        <v>101</v>
      </c>
      <c r="BI6" s="264" t="s">
        <v>100</v>
      </c>
      <c r="BJ6" s="264" t="s">
        <v>99</v>
      </c>
      <c r="BK6" s="264" t="s">
        <v>98</v>
      </c>
      <c r="BL6" s="264" t="s">
        <v>97</v>
      </c>
      <c r="BM6" s="264" t="s">
        <v>96</v>
      </c>
      <c r="BN6" s="264" t="s">
        <v>95</v>
      </c>
      <c r="BO6" s="264" t="s">
        <v>94</v>
      </c>
      <c r="BP6" s="264" t="s">
        <v>93</v>
      </c>
      <c r="BQ6" s="264" t="s">
        <v>92</v>
      </c>
      <c r="BR6" s="264" t="s">
        <v>91</v>
      </c>
      <c r="BS6" s="264" t="s">
        <v>90</v>
      </c>
      <c r="BT6" s="264" t="s">
        <v>89</v>
      </c>
      <c r="BU6" s="264" t="s">
        <v>88</v>
      </c>
      <c r="BV6" s="264" t="s">
        <v>87</v>
      </c>
      <c r="BW6" s="264" t="s">
        <v>86</v>
      </c>
      <c r="BX6" s="264" t="s">
        <v>85</v>
      </c>
      <c r="BY6" s="264" t="s">
        <v>84</v>
      </c>
      <c r="BZ6" s="264" t="s">
        <v>83</v>
      </c>
      <c r="CA6" s="264" t="s">
        <v>82</v>
      </c>
      <c r="CB6" s="264" t="s">
        <v>81</v>
      </c>
      <c r="CC6" s="264" t="s">
        <v>80</v>
      </c>
      <c r="CD6" s="264" t="s">
        <v>79</v>
      </c>
      <c r="CE6" s="264" t="s">
        <v>78</v>
      </c>
      <c r="CF6" s="264" t="s">
        <v>77</v>
      </c>
      <c r="CG6" s="264" t="s">
        <v>76</v>
      </c>
      <c r="CH6" s="264" t="s">
        <v>75</v>
      </c>
      <c r="CI6" s="264" t="s">
        <v>74</v>
      </c>
      <c r="CJ6" s="264" t="s">
        <v>866</v>
      </c>
      <c r="CK6" s="264" t="s">
        <v>865</v>
      </c>
      <c r="CL6" s="264" t="s">
        <v>864</v>
      </c>
    </row>
    <row r="7" spans="1:90" ht="15">
      <c r="A7" s="263" t="s">
        <v>73</v>
      </c>
      <c r="B7" s="269" t="s">
        <v>955</v>
      </c>
      <c r="C7" s="263">
        <v>54.8</v>
      </c>
      <c r="D7" s="263">
        <v>48.2</v>
      </c>
      <c r="E7" s="263">
        <v>37.799999999999997</v>
      </c>
      <c r="F7" s="263">
        <v>27.9</v>
      </c>
      <c r="G7" s="263">
        <v>26.9</v>
      </c>
      <c r="H7" s="263">
        <v>33.5</v>
      </c>
      <c r="I7" s="263">
        <v>37.1</v>
      </c>
      <c r="J7" s="263">
        <v>42.7</v>
      </c>
      <c r="K7" s="263">
        <v>48.3</v>
      </c>
      <c r="L7" s="263">
        <v>43</v>
      </c>
      <c r="M7" s="263">
        <v>47.3</v>
      </c>
      <c r="N7" s="263">
        <v>54.1</v>
      </c>
      <c r="O7" s="263">
        <v>70</v>
      </c>
      <c r="P7" s="263">
        <v>87.5</v>
      </c>
      <c r="Q7" s="263">
        <v>103.5</v>
      </c>
      <c r="R7" s="263">
        <v>107.3</v>
      </c>
      <c r="S7" s="263">
        <v>100.8</v>
      </c>
      <c r="T7" s="263">
        <v>105.8</v>
      </c>
      <c r="U7" s="263">
        <v>127.5</v>
      </c>
      <c r="V7" s="263">
        <v>146.1</v>
      </c>
      <c r="W7" s="263">
        <v>143.1</v>
      </c>
      <c r="X7" s="263">
        <v>162.19999999999999</v>
      </c>
      <c r="Y7" s="263">
        <v>185.8</v>
      </c>
      <c r="Z7" s="263">
        <v>195.1</v>
      </c>
      <c r="AA7" s="263">
        <v>209.3</v>
      </c>
      <c r="AB7" s="263">
        <v>206.9</v>
      </c>
      <c r="AC7" s="263">
        <v>233.1</v>
      </c>
      <c r="AD7" s="263">
        <v>250.2</v>
      </c>
      <c r="AE7" s="263">
        <v>261.8</v>
      </c>
      <c r="AF7" s="263">
        <v>256.89999999999998</v>
      </c>
      <c r="AG7" s="263">
        <v>287.5</v>
      </c>
      <c r="AH7" s="263">
        <v>300</v>
      </c>
      <c r="AI7" s="263">
        <v>308.8</v>
      </c>
      <c r="AJ7" s="263">
        <v>336</v>
      </c>
      <c r="AK7" s="263">
        <v>357.5</v>
      </c>
      <c r="AL7" s="263">
        <v>386.1</v>
      </c>
      <c r="AM7" s="263">
        <v>423.9</v>
      </c>
      <c r="AN7" s="263">
        <v>465.2</v>
      </c>
      <c r="AO7" s="263">
        <v>491.3</v>
      </c>
      <c r="AP7" s="263">
        <v>542.20000000000005</v>
      </c>
      <c r="AQ7" s="263">
        <v>590.79999999999995</v>
      </c>
      <c r="AR7" s="263">
        <v>612.29999999999995</v>
      </c>
      <c r="AS7" s="263">
        <v>661.1</v>
      </c>
      <c r="AT7" s="263">
        <v>733.2</v>
      </c>
      <c r="AU7" s="263">
        <v>820.5</v>
      </c>
      <c r="AV7" s="263">
        <v>889.9</v>
      </c>
      <c r="AW7" s="263">
        <v>966</v>
      </c>
      <c r="AX7" s="263">
        <v>1087.8</v>
      </c>
      <c r="AY7" s="263">
        <v>1233</v>
      </c>
      <c r="AZ7" s="263">
        <v>1407.5</v>
      </c>
      <c r="BA7" s="263">
        <v>1565</v>
      </c>
      <c r="BB7" s="263">
        <v>1702.7</v>
      </c>
      <c r="BC7" s="263">
        <v>1935.2</v>
      </c>
      <c r="BD7" s="263">
        <v>2018.8</v>
      </c>
      <c r="BE7" s="263">
        <v>2172.9</v>
      </c>
      <c r="BF7" s="263">
        <v>2435.3000000000002</v>
      </c>
      <c r="BG7" s="263">
        <v>2605.8000000000002</v>
      </c>
      <c r="BH7" s="263">
        <v>2712.5</v>
      </c>
      <c r="BI7" s="263">
        <v>2902.9</v>
      </c>
      <c r="BJ7" s="263">
        <v>3151.3</v>
      </c>
      <c r="BK7" s="263">
        <v>3329</v>
      </c>
      <c r="BL7" s="263">
        <v>3477.3</v>
      </c>
      <c r="BM7" s="263">
        <v>3564.1</v>
      </c>
      <c r="BN7" s="263">
        <v>3750.6</v>
      </c>
      <c r="BO7" s="263">
        <v>3926.9</v>
      </c>
      <c r="BP7" s="263">
        <v>4219.3</v>
      </c>
      <c r="BQ7" s="263">
        <v>4483.8999999999996</v>
      </c>
      <c r="BR7" s="263">
        <v>4780.2</v>
      </c>
      <c r="BS7" s="263">
        <v>5153.6000000000004</v>
      </c>
      <c r="BT7" s="263">
        <v>5485.8</v>
      </c>
      <c r="BU7" s="263">
        <v>5815.5</v>
      </c>
      <c r="BV7" s="263">
        <v>6227.3</v>
      </c>
      <c r="BW7" s="263">
        <v>6226</v>
      </c>
      <c r="BX7" s="263">
        <v>6318.8</v>
      </c>
      <c r="BY7" s="263">
        <v>6544.3</v>
      </c>
      <c r="BZ7" s="263">
        <v>6967.7</v>
      </c>
      <c r="CA7" s="263">
        <v>7484</v>
      </c>
      <c r="CB7" s="263">
        <v>8026.3</v>
      </c>
      <c r="CC7" s="263">
        <v>8189.1</v>
      </c>
      <c r="CD7" s="263">
        <v>8092.4</v>
      </c>
      <c r="CE7" s="263">
        <v>7823.9</v>
      </c>
      <c r="CF7" s="263">
        <v>8235.5</v>
      </c>
      <c r="CG7" s="263">
        <v>8611.7999999999993</v>
      </c>
      <c r="CH7" s="263">
        <v>9148.7999999999993</v>
      </c>
      <c r="CI7" s="263">
        <v>9442.1</v>
      </c>
      <c r="CJ7" s="263">
        <v>10000.200000000001</v>
      </c>
      <c r="CK7" s="263">
        <v>10458.6</v>
      </c>
      <c r="CL7" s="263">
        <v>10611.1</v>
      </c>
    </row>
    <row r="8" spans="1:90" ht="15">
      <c r="A8" s="263" t="s">
        <v>72</v>
      </c>
      <c r="B8" s="263" t="s">
        <v>541</v>
      </c>
      <c r="C8" s="263">
        <v>5.2</v>
      </c>
      <c r="D8" s="263">
        <v>5.0999999999999996</v>
      </c>
      <c r="E8" s="263">
        <v>4.8</v>
      </c>
      <c r="F8" s="263">
        <v>4.2</v>
      </c>
      <c r="G8" s="263">
        <v>4</v>
      </c>
      <c r="H8" s="263">
        <v>4.0999999999999996</v>
      </c>
      <c r="I8" s="263">
        <v>4.2</v>
      </c>
      <c r="J8" s="263">
        <v>4.2</v>
      </c>
      <c r="K8" s="263">
        <v>4.7</v>
      </c>
      <c r="L8" s="263">
        <v>4.8</v>
      </c>
      <c r="M8" s="263">
        <v>4.8</v>
      </c>
      <c r="N8" s="263">
        <v>5</v>
      </c>
      <c r="O8" s="263">
        <v>5.6</v>
      </c>
      <c r="P8" s="263">
        <v>6.4</v>
      </c>
      <c r="Q8" s="263">
        <v>6.6</v>
      </c>
      <c r="R8" s="263">
        <v>6.7</v>
      </c>
      <c r="S8" s="263">
        <v>7</v>
      </c>
      <c r="T8" s="263">
        <v>8</v>
      </c>
      <c r="U8" s="263">
        <v>9.8000000000000007</v>
      </c>
      <c r="V8" s="263">
        <v>11.5</v>
      </c>
      <c r="W8" s="263">
        <v>12.4</v>
      </c>
      <c r="X8" s="263">
        <v>13.3</v>
      </c>
      <c r="Y8" s="263">
        <v>15.1</v>
      </c>
      <c r="Z8" s="263">
        <v>16.100000000000001</v>
      </c>
      <c r="AA8" s="263">
        <v>17.3</v>
      </c>
      <c r="AB8" s="263">
        <v>18.3</v>
      </c>
      <c r="AC8" s="263">
        <v>19.600000000000001</v>
      </c>
      <c r="AD8" s="263">
        <v>22.1</v>
      </c>
      <c r="AE8" s="263">
        <v>24.6</v>
      </c>
      <c r="AF8" s="263">
        <v>26.4</v>
      </c>
      <c r="AG8" s="263">
        <v>27.6</v>
      </c>
      <c r="AH8" s="263">
        <v>28.5</v>
      </c>
      <c r="AI8" s="263">
        <v>29.5</v>
      </c>
      <c r="AJ8" s="263">
        <v>30.8</v>
      </c>
      <c r="AK8" s="263">
        <v>32.4</v>
      </c>
      <c r="AL8" s="263">
        <v>34.4</v>
      </c>
      <c r="AM8" s="263">
        <v>37.1</v>
      </c>
      <c r="AN8" s="263">
        <v>40.9</v>
      </c>
      <c r="AO8" s="263">
        <v>45.1</v>
      </c>
      <c r="AP8" s="263">
        <v>50</v>
      </c>
      <c r="AQ8" s="263">
        <v>55.7</v>
      </c>
      <c r="AR8" s="263">
        <v>61.8</v>
      </c>
      <c r="AS8" s="263">
        <v>67.599999999999994</v>
      </c>
      <c r="AT8" s="263">
        <v>73.400000000000006</v>
      </c>
      <c r="AU8" s="263">
        <v>82</v>
      </c>
      <c r="AV8" s="263">
        <v>96</v>
      </c>
      <c r="AW8" s="263">
        <v>113.5</v>
      </c>
      <c r="AX8" s="263">
        <v>125</v>
      </c>
      <c r="AY8" s="263">
        <v>140.5</v>
      </c>
      <c r="AZ8" s="263">
        <v>159.30000000000001</v>
      </c>
      <c r="BA8" s="263">
        <v>183.4</v>
      </c>
      <c r="BB8" s="263">
        <v>212.1</v>
      </c>
      <c r="BC8" s="263">
        <v>244.9</v>
      </c>
      <c r="BD8" s="263">
        <v>272.5</v>
      </c>
      <c r="BE8" s="263">
        <v>285.89999999999998</v>
      </c>
      <c r="BF8" s="263">
        <v>303.2</v>
      </c>
      <c r="BG8" s="263">
        <v>326.89999999999998</v>
      </c>
      <c r="BH8" s="263">
        <v>349.9</v>
      </c>
      <c r="BI8" s="263">
        <v>371.3</v>
      </c>
      <c r="BJ8" s="263">
        <v>399.4</v>
      </c>
      <c r="BK8" s="263">
        <v>427.2</v>
      </c>
      <c r="BL8" s="263">
        <v>455.3</v>
      </c>
      <c r="BM8" s="263">
        <v>480.9</v>
      </c>
      <c r="BN8" s="263">
        <v>496.2</v>
      </c>
      <c r="BO8" s="263">
        <v>519.79999999999995</v>
      </c>
      <c r="BP8" s="263">
        <v>550.4</v>
      </c>
      <c r="BQ8" s="263">
        <v>593.6</v>
      </c>
      <c r="BR8" s="263">
        <v>629.79999999999995</v>
      </c>
      <c r="BS8" s="263">
        <v>674</v>
      </c>
      <c r="BT8" s="263">
        <v>719.3</v>
      </c>
      <c r="BU8" s="263">
        <v>774.6</v>
      </c>
      <c r="BV8" s="263">
        <v>844.5</v>
      </c>
      <c r="BW8" s="263">
        <v>894.9</v>
      </c>
      <c r="BX8" s="263">
        <v>920.5</v>
      </c>
      <c r="BY8" s="263">
        <v>941.5</v>
      </c>
      <c r="BZ8" s="263">
        <v>982.7</v>
      </c>
      <c r="CA8" s="263">
        <v>1051.5999999999999</v>
      </c>
      <c r="CB8" s="263">
        <v>1128.5999999999999</v>
      </c>
      <c r="CC8" s="263">
        <v>1197.5</v>
      </c>
      <c r="CD8" s="263">
        <v>1259.2</v>
      </c>
      <c r="CE8" s="263">
        <v>1260.5999999999999</v>
      </c>
      <c r="CF8" s="263">
        <v>1262.5</v>
      </c>
      <c r="CG8" s="263">
        <v>1298.8</v>
      </c>
      <c r="CH8" s="263">
        <v>1351</v>
      </c>
      <c r="CI8" s="263">
        <v>1400.5</v>
      </c>
      <c r="CJ8" s="263">
        <v>1465.7</v>
      </c>
      <c r="CK8" s="263">
        <v>1525.1</v>
      </c>
      <c r="CL8" s="263">
        <v>1563.2</v>
      </c>
    </row>
    <row r="9" spans="1:90" ht="15">
      <c r="A9" s="263" t="s">
        <v>70</v>
      </c>
      <c r="B9" s="263" t="s">
        <v>540</v>
      </c>
      <c r="C9" s="263">
        <v>49.6</v>
      </c>
      <c r="D9" s="263">
        <v>43.1</v>
      </c>
      <c r="E9" s="263">
        <v>33.1</v>
      </c>
      <c r="F9" s="263">
        <v>23.6</v>
      </c>
      <c r="G9" s="263">
        <v>22.9</v>
      </c>
      <c r="H9" s="263">
        <v>29.4</v>
      </c>
      <c r="I9" s="263">
        <v>33</v>
      </c>
      <c r="J9" s="263">
        <v>38.5</v>
      </c>
      <c r="K9" s="263">
        <v>43.6</v>
      </c>
      <c r="L9" s="263">
        <v>38.200000000000003</v>
      </c>
      <c r="M9" s="263">
        <v>42.5</v>
      </c>
      <c r="N9" s="263">
        <v>49.1</v>
      </c>
      <c r="O9" s="263">
        <v>64.400000000000006</v>
      </c>
      <c r="P9" s="263">
        <v>81.099999999999994</v>
      </c>
      <c r="Q9" s="263">
        <v>96.9</v>
      </c>
      <c r="R9" s="263">
        <v>100.5</v>
      </c>
      <c r="S9" s="263">
        <v>93.9</v>
      </c>
      <c r="T9" s="263">
        <v>97.8</v>
      </c>
      <c r="U9" s="263">
        <v>117.7</v>
      </c>
      <c r="V9" s="263">
        <v>134.6</v>
      </c>
      <c r="W9" s="263">
        <v>130.69999999999999</v>
      </c>
      <c r="X9" s="263">
        <v>148.9</v>
      </c>
      <c r="Y9" s="263">
        <v>170.7</v>
      </c>
      <c r="Z9" s="263">
        <v>179</v>
      </c>
      <c r="AA9" s="263">
        <v>192</v>
      </c>
      <c r="AB9" s="263">
        <v>188.6</v>
      </c>
      <c r="AC9" s="263">
        <v>213.6</v>
      </c>
      <c r="AD9" s="263">
        <v>228.1</v>
      </c>
      <c r="AE9" s="263">
        <v>237.2</v>
      </c>
      <c r="AF9" s="263">
        <v>230.5</v>
      </c>
      <c r="AG9" s="263">
        <v>259.89999999999998</v>
      </c>
      <c r="AH9" s="263">
        <v>271.5</v>
      </c>
      <c r="AI9" s="263">
        <v>279.3</v>
      </c>
      <c r="AJ9" s="263">
        <v>305.2</v>
      </c>
      <c r="AK9" s="263">
        <v>325</v>
      </c>
      <c r="AL9" s="263">
        <v>351.7</v>
      </c>
      <c r="AM9" s="263">
        <v>386.7</v>
      </c>
      <c r="AN9" s="263">
        <v>424.3</v>
      </c>
      <c r="AO9" s="263">
        <v>446.2</v>
      </c>
      <c r="AP9" s="263">
        <v>492.2</v>
      </c>
      <c r="AQ9" s="263">
        <v>535.1</v>
      </c>
      <c r="AR9" s="263">
        <v>550.5</v>
      </c>
      <c r="AS9" s="263">
        <v>593.5</v>
      </c>
      <c r="AT9" s="263">
        <v>659.7</v>
      </c>
      <c r="AU9" s="263">
        <v>738.5</v>
      </c>
      <c r="AV9" s="263">
        <v>793.9</v>
      </c>
      <c r="AW9" s="263">
        <v>852.4</v>
      </c>
      <c r="AX9" s="263">
        <v>962.7</v>
      </c>
      <c r="AY9" s="263">
        <v>1092.5</v>
      </c>
      <c r="AZ9" s="263">
        <v>1248.3</v>
      </c>
      <c r="BA9" s="263">
        <v>1381.7</v>
      </c>
      <c r="BB9" s="263">
        <v>1490.7</v>
      </c>
      <c r="BC9" s="263">
        <v>1690.3</v>
      </c>
      <c r="BD9" s="263">
        <v>1746.2</v>
      </c>
      <c r="BE9" s="263">
        <v>1887.1</v>
      </c>
      <c r="BF9" s="263">
        <v>2132.1</v>
      </c>
      <c r="BG9" s="263">
        <v>2279</v>
      </c>
      <c r="BH9" s="263">
        <v>2362.6</v>
      </c>
      <c r="BI9" s="263">
        <v>2531.6</v>
      </c>
      <c r="BJ9" s="263">
        <v>2751.9</v>
      </c>
      <c r="BK9" s="263">
        <v>2901.8</v>
      </c>
      <c r="BL9" s="263">
        <v>3022</v>
      </c>
      <c r="BM9" s="263">
        <v>3083.2</v>
      </c>
      <c r="BN9" s="263">
        <v>3254.3</v>
      </c>
      <c r="BO9" s="263">
        <v>3407.1</v>
      </c>
      <c r="BP9" s="263">
        <v>3668.9</v>
      </c>
      <c r="BQ9" s="263">
        <v>3890.3</v>
      </c>
      <c r="BR9" s="263">
        <v>4150.3999999999996</v>
      </c>
      <c r="BS9" s="263">
        <v>4479.6000000000004</v>
      </c>
      <c r="BT9" s="263">
        <v>4766.5</v>
      </c>
      <c r="BU9" s="263">
        <v>5040.8999999999996</v>
      </c>
      <c r="BV9" s="263">
        <v>5382.8</v>
      </c>
      <c r="BW9" s="263">
        <v>5331.1</v>
      </c>
      <c r="BX9" s="263">
        <v>5398.3</v>
      </c>
      <c r="BY9" s="263">
        <v>5602.8</v>
      </c>
      <c r="BZ9" s="263">
        <v>5985</v>
      </c>
      <c r="CA9" s="263">
        <v>6432.4</v>
      </c>
      <c r="CB9" s="263">
        <v>6897.7</v>
      </c>
      <c r="CC9" s="263">
        <v>6991.6</v>
      </c>
      <c r="CD9" s="263">
        <v>6833.2</v>
      </c>
      <c r="CE9" s="263">
        <v>6563.3</v>
      </c>
      <c r="CF9" s="263">
        <v>6973</v>
      </c>
      <c r="CG9" s="263">
        <v>7313</v>
      </c>
      <c r="CH9" s="263">
        <v>7797.8</v>
      </c>
      <c r="CI9" s="263">
        <v>8041.6</v>
      </c>
      <c r="CJ9" s="263">
        <v>8534.5</v>
      </c>
      <c r="CK9" s="263">
        <v>8933.5</v>
      </c>
      <c r="CL9" s="263">
        <v>9047.9</v>
      </c>
    </row>
    <row r="10" spans="1:90" ht="15">
      <c r="A10" s="263" t="s">
        <v>69</v>
      </c>
      <c r="B10" s="263" t="s">
        <v>634</v>
      </c>
      <c r="C10" s="263">
        <v>34.200000000000003</v>
      </c>
      <c r="D10" s="263">
        <v>30.8</v>
      </c>
      <c r="E10" s="263">
        <v>25.4</v>
      </c>
      <c r="F10" s="263">
        <v>19</v>
      </c>
      <c r="G10" s="263">
        <v>18</v>
      </c>
      <c r="H10" s="263">
        <v>21</v>
      </c>
      <c r="I10" s="263">
        <v>23.1</v>
      </c>
      <c r="J10" s="263">
        <v>26.3</v>
      </c>
      <c r="K10" s="263">
        <v>30.5</v>
      </c>
      <c r="L10" s="263">
        <v>27.3</v>
      </c>
      <c r="M10" s="263">
        <v>29.8</v>
      </c>
      <c r="N10" s="263">
        <v>32.9</v>
      </c>
      <c r="O10" s="263">
        <v>41.6</v>
      </c>
      <c r="P10" s="263">
        <v>52.8</v>
      </c>
      <c r="Q10" s="263">
        <v>64.099999999999994</v>
      </c>
      <c r="R10" s="263">
        <v>67.099999999999994</v>
      </c>
      <c r="S10" s="263">
        <v>64.099999999999994</v>
      </c>
      <c r="T10" s="263">
        <v>69.900000000000006</v>
      </c>
      <c r="U10" s="263">
        <v>82.1</v>
      </c>
      <c r="V10" s="263">
        <v>91.1</v>
      </c>
      <c r="W10" s="263">
        <v>88.8</v>
      </c>
      <c r="X10" s="263">
        <v>98.7</v>
      </c>
      <c r="Y10" s="263">
        <v>114.6</v>
      </c>
      <c r="Z10" s="263">
        <v>123</v>
      </c>
      <c r="AA10" s="263">
        <v>134</v>
      </c>
      <c r="AB10" s="263">
        <v>132.19999999999999</v>
      </c>
      <c r="AC10" s="263">
        <v>144.6</v>
      </c>
      <c r="AD10" s="263">
        <v>158.19999999999999</v>
      </c>
      <c r="AE10" s="263">
        <v>166.5</v>
      </c>
      <c r="AF10" s="263">
        <v>164</v>
      </c>
      <c r="AG10" s="263">
        <v>180.3</v>
      </c>
      <c r="AH10" s="263">
        <v>190.7</v>
      </c>
      <c r="AI10" s="263">
        <v>195.6</v>
      </c>
      <c r="AJ10" s="263">
        <v>211</v>
      </c>
      <c r="AK10" s="263">
        <v>222.7</v>
      </c>
      <c r="AL10" s="263">
        <v>239.2</v>
      </c>
      <c r="AM10" s="263">
        <v>259.89999999999998</v>
      </c>
      <c r="AN10" s="263">
        <v>288.5</v>
      </c>
      <c r="AO10" s="263">
        <v>308.39999999999998</v>
      </c>
      <c r="AP10" s="263">
        <v>340.2</v>
      </c>
      <c r="AQ10" s="263">
        <v>377.5</v>
      </c>
      <c r="AR10" s="263">
        <v>398</v>
      </c>
      <c r="AS10" s="263">
        <v>421.7</v>
      </c>
      <c r="AT10" s="263">
        <v>468.2</v>
      </c>
      <c r="AU10" s="263">
        <v>526.1</v>
      </c>
      <c r="AV10" s="263">
        <v>577.29999999999995</v>
      </c>
      <c r="AW10" s="263">
        <v>607.79999999999995</v>
      </c>
      <c r="AX10" s="263">
        <v>682.8</v>
      </c>
      <c r="AY10" s="263">
        <v>771.7</v>
      </c>
      <c r="AZ10" s="263">
        <v>884.7</v>
      </c>
      <c r="BA10" s="263">
        <v>1004.4</v>
      </c>
      <c r="BB10" s="263">
        <v>1102</v>
      </c>
      <c r="BC10" s="263">
        <v>1220.5999999999999</v>
      </c>
      <c r="BD10" s="263">
        <v>1275.0999999999999</v>
      </c>
      <c r="BE10" s="263">
        <v>1353</v>
      </c>
      <c r="BF10" s="263">
        <v>1501.1</v>
      </c>
      <c r="BG10" s="263">
        <v>1615.9</v>
      </c>
      <c r="BH10" s="263">
        <v>1723.4</v>
      </c>
      <c r="BI10" s="263">
        <v>1847.6</v>
      </c>
      <c r="BJ10" s="263">
        <v>2002.3</v>
      </c>
      <c r="BK10" s="263">
        <v>2119.3000000000002</v>
      </c>
      <c r="BL10" s="263">
        <v>2234.9</v>
      </c>
      <c r="BM10" s="263">
        <v>2277.8000000000002</v>
      </c>
      <c r="BN10" s="263">
        <v>2420.5</v>
      </c>
      <c r="BO10" s="263">
        <v>2515.6999999999998</v>
      </c>
      <c r="BP10" s="263">
        <v>2649</v>
      </c>
      <c r="BQ10" s="263">
        <v>2787.9</v>
      </c>
      <c r="BR10" s="263">
        <v>2953.7</v>
      </c>
      <c r="BS10" s="263">
        <v>3176.6</v>
      </c>
      <c r="BT10" s="263">
        <v>3447.5</v>
      </c>
      <c r="BU10" s="263">
        <v>3684.3</v>
      </c>
      <c r="BV10" s="263">
        <v>4008.9</v>
      </c>
      <c r="BW10" s="263">
        <v>4015.6</v>
      </c>
      <c r="BX10" s="263">
        <v>3973.9</v>
      </c>
      <c r="BY10" s="263">
        <v>4042</v>
      </c>
      <c r="BZ10" s="263">
        <v>4241.5</v>
      </c>
      <c r="CA10" s="263">
        <v>4444.5</v>
      </c>
      <c r="CB10" s="263">
        <v>4683.2</v>
      </c>
      <c r="CC10" s="263">
        <v>4893</v>
      </c>
      <c r="CD10" s="263">
        <v>4939.7</v>
      </c>
      <c r="CE10" s="263">
        <v>4610</v>
      </c>
      <c r="CF10" s="263">
        <v>4706.8999999999996</v>
      </c>
      <c r="CG10" s="263">
        <v>4937.8999999999996</v>
      </c>
      <c r="CH10" s="263">
        <v>5191.8</v>
      </c>
      <c r="CI10" s="263">
        <v>5357.7</v>
      </c>
      <c r="CJ10" s="263">
        <v>5648.7</v>
      </c>
      <c r="CK10" s="263">
        <v>5945.3</v>
      </c>
      <c r="CL10" s="263">
        <v>6101.1</v>
      </c>
    </row>
    <row r="11" spans="1:90" ht="15">
      <c r="A11" s="263" t="s">
        <v>68</v>
      </c>
      <c r="B11" s="263" t="s">
        <v>956</v>
      </c>
      <c r="C11" s="263">
        <v>33.799999999999997</v>
      </c>
      <c r="D11" s="263">
        <v>30.4</v>
      </c>
      <c r="E11" s="263">
        <v>25</v>
      </c>
      <c r="F11" s="263">
        <v>18.7</v>
      </c>
      <c r="G11" s="263">
        <v>17.7</v>
      </c>
      <c r="H11" s="263">
        <v>20.7</v>
      </c>
      <c r="I11" s="263">
        <v>22.7</v>
      </c>
      <c r="J11" s="263">
        <v>25.6</v>
      </c>
      <c r="K11" s="263">
        <v>29.3</v>
      </c>
      <c r="L11" s="263">
        <v>25.8</v>
      </c>
      <c r="M11" s="263">
        <v>28.3</v>
      </c>
      <c r="N11" s="263">
        <v>31.2</v>
      </c>
      <c r="O11" s="263">
        <v>39.6</v>
      </c>
      <c r="P11" s="263">
        <v>50.5</v>
      </c>
      <c r="Q11" s="263">
        <v>61.3</v>
      </c>
      <c r="R11" s="263">
        <v>63.9</v>
      </c>
      <c r="S11" s="263">
        <v>60.9</v>
      </c>
      <c r="T11" s="263">
        <v>66.5</v>
      </c>
      <c r="U11" s="263">
        <v>78</v>
      </c>
      <c r="V11" s="263">
        <v>86.9</v>
      </c>
      <c r="W11" s="263">
        <v>84.4</v>
      </c>
      <c r="X11" s="263">
        <v>93</v>
      </c>
      <c r="Y11" s="263">
        <v>107.5</v>
      </c>
      <c r="Z11" s="263">
        <v>115.5</v>
      </c>
      <c r="AA11" s="263">
        <v>125.8</v>
      </c>
      <c r="AB11" s="263">
        <v>123.6</v>
      </c>
      <c r="AC11" s="263">
        <v>134.80000000000001</v>
      </c>
      <c r="AD11" s="263">
        <v>147</v>
      </c>
      <c r="AE11" s="263">
        <v>154</v>
      </c>
      <c r="AF11" s="263">
        <v>151.4</v>
      </c>
      <c r="AG11" s="263">
        <v>165.6</v>
      </c>
      <c r="AH11" s="263">
        <v>174.5</v>
      </c>
      <c r="AI11" s="263">
        <v>178.7</v>
      </c>
      <c r="AJ11" s="263">
        <v>191.8</v>
      </c>
      <c r="AK11" s="263">
        <v>201.9</v>
      </c>
      <c r="AL11" s="263">
        <v>216.8</v>
      </c>
      <c r="AM11" s="263">
        <v>235.2</v>
      </c>
      <c r="AN11" s="263">
        <v>259.2</v>
      </c>
      <c r="AO11" s="263">
        <v>277.10000000000002</v>
      </c>
      <c r="AP11" s="263">
        <v>305.39999999999998</v>
      </c>
      <c r="AQ11" s="263">
        <v>338</v>
      </c>
      <c r="AR11" s="263">
        <v>356</v>
      </c>
      <c r="AS11" s="263">
        <v>376.2</v>
      </c>
      <c r="AT11" s="263">
        <v>414.8</v>
      </c>
      <c r="AU11" s="263">
        <v>464.6</v>
      </c>
      <c r="AV11" s="263">
        <v>508.9</v>
      </c>
      <c r="AW11" s="263">
        <v>528.4</v>
      </c>
      <c r="AX11" s="263">
        <v>591.20000000000005</v>
      </c>
      <c r="AY11" s="263">
        <v>662.7</v>
      </c>
      <c r="AZ11" s="263">
        <v>756.2</v>
      </c>
      <c r="BA11" s="263">
        <v>855.6</v>
      </c>
      <c r="BB11" s="263">
        <v>935.6</v>
      </c>
      <c r="BC11" s="263">
        <v>1033.4000000000001</v>
      </c>
      <c r="BD11" s="263">
        <v>1073.0999999999999</v>
      </c>
      <c r="BE11" s="263">
        <v>1132.5999999999999</v>
      </c>
      <c r="BF11" s="263">
        <v>1256.8</v>
      </c>
      <c r="BG11" s="263">
        <v>1351.4</v>
      </c>
      <c r="BH11" s="263">
        <v>1432.3</v>
      </c>
      <c r="BI11" s="263">
        <v>1536.6</v>
      </c>
      <c r="BJ11" s="263">
        <v>1666.1</v>
      </c>
      <c r="BK11" s="263">
        <v>1756.5</v>
      </c>
      <c r="BL11" s="263">
        <v>1849.3</v>
      </c>
      <c r="BM11" s="263">
        <v>1875.3</v>
      </c>
      <c r="BN11" s="263">
        <v>1977.8</v>
      </c>
      <c r="BO11" s="263">
        <v>2049.1</v>
      </c>
      <c r="BP11" s="263">
        <v>2160.3000000000002</v>
      </c>
      <c r="BQ11" s="263">
        <v>2296.1</v>
      </c>
      <c r="BR11" s="263">
        <v>2448.1999999999998</v>
      </c>
      <c r="BS11" s="263">
        <v>2650.8</v>
      </c>
      <c r="BT11" s="263">
        <v>2883.2</v>
      </c>
      <c r="BU11" s="263">
        <v>3092.4</v>
      </c>
      <c r="BV11" s="263">
        <v>3363.8</v>
      </c>
      <c r="BW11" s="263">
        <v>3354.2</v>
      </c>
      <c r="BX11" s="263">
        <v>3296.7</v>
      </c>
      <c r="BY11" s="263">
        <v>3337</v>
      </c>
      <c r="BZ11" s="263">
        <v>3503.6</v>
      </c>
      <c r="CA11" s="263">
        <v>3665.6</v>
      </c>
      <c r="CB11" s="263">
        <v>3886.1</v>
      </c>
      <c r="CC11" s="263">
        <v>4068.8</v>
      </c>
      <c r="CD11" s="263">
        <v>4106.3999999999996</v>
      </c>
      <c r="CE11" s="263">
        <v>3816.7</v>
      </c>
      <c r="CF11" s="263">
        <v>3903.3</v>
      </c>
      <c r="CG11" s="263">
        <v>4105.2</v>
      </c>
      <c r="CH11" s="263">
        <v>4332.1000000000004</v>
      </c>
      <c r="CI11" s="263">
        <v>4468.7</v>
      </c>
      <c r="CJ11" s="263">
        <v>4728.8999999999996</v>
      </c>
      <c r="CK11" s="263">
        <v>4986.2</v>
      </c>
      <c r="CL11" s="263">
        <v>5126.5</v>
      </c>
    </row>
    <row r="12" spans="1:90" ht="15">
      <c r="A12" s="263" t="s">
        <v>66</v>
      </c>
      <c r="B12" s="263" t="s">
        <v>957</v>
      </c>
      <c r="C12" s="263">
        <v>0.4</v>
      </c>
      <c r="D12" s="263">
        <v>0.4</v>
      </c>
      <c r="E12" s="263">
        <v>0.4</v>
      </c>
      <c r="F12" s="263">
        <v>0.3</v>
      </c>
      <c r="G12" s="263">
        <v>0.3</v>
      </c>
      <c r="H12" s="263">
        <v>0.3</v>
      </c>
      <c r="I12" s="263">
        <v>0.4</v>
      </c>
      <c r="J12" s="263">
        <v>0.6</v>
      </c>
      <c r="K12" s="263">
        <v>1.3</v>
      </c>
      <c r="L12" s="263">
        <v>1.4</v>
      </c>
      <c r="M12" s="263">
        <v>1.5</v>
      </c>
      <c r="N12" s="263">
        <v>1.6</v>
      </c>
      <c r="O12" s="263">
        <v>2</v>
      </c>
      <c r="P12" s="263">
        <v>2.2999999999999998</v>
      </c>
      <c r="Q12" s="263">
        <v>2.8</v>
      </c>
      <c r="R12" s="263">
        <v>3.2</v>
      </c>
      <c r="S12" s="263">
        <v>3.2</v>
      </c>
      <c r="T12" s="263">
        <v>3.4</v>
      </c>
      <c r="U12" s="263">
        <v>4.0999999999999996</v>
      </c>
      <c r="V12" s="263">
        <v>4.2</v>
      </c>
      <c r="W12" s="263">
        <v>4.4000000000000004</v>
      </c>
      <c r="X12" s="263">
        <v>5.7</v>
      </c>
      <c r="Y12" s="263">
        <v>7</v>
      </c>
      <c r="Z12" s="263">
        <v>7.5</v>
      </c>
      <c r="AA12" s="263">
        <v>8.1999999999999993</v>
      </c>
      <c r="AB12" s="263">
        <v>8.6</v>
      </c>
      <c r="AC12" s="263">
        <v>9.8000000000000007</v>
      </c>
      <c r="AD12" s="263">
        <v>11.2</v>
      </c>
      <c r="AE12" s="263">
        <v>12.5</v>
      </c>
      <c r="AF12" s="263">
        <v>12.6</v>
      </c>
      <c r="AG12" s="263">
        <v>14.6</v>
      </c>
      <c r="AH12" s="263">
        <v>16.2</v>
      </c>
      <c r="AI12" s="263">
        <v>16.899999999999999</v>
      </c>
      <c r="AJ12" s="263">
        <v>19.2</v>
      </c>
      <c r="AK12" s="263">
        <v>20.8</v>
      </c>
      <c r="AL12" s="263">
        <v>22.4</v>
      </c>
      <c r="AM12" s="263">
        <v>24.7</v>
      </c>
      <c r="AN12" s="263">
        <v>29.3</v>
      </c>
      <c r="AO12" s="263">
        <v>31.4</v>
      </c>
      <c r="AP12" s="263">
        <v>34.799999999999997</v>
      </c>
      <c r="AQ12" s="263">
        <v>39.4</v>
      </c>
      <c r="AR12" s="263">
        <v>42</v>
      </c>
      <c r="AS12" s="263">
        <v>45.5</v>
      </c>
      <c r="AT12" s="263">
        <v>53.4</v>
      </c>
      <c r="AU12" s="263">
        <v>61.5</v>
      </c>
      <c r="AV12" s="263">
        <v>68.400000000000006</v>
      </c>
      <c r="AW12" s="263">
        <v>79.400000000000006</v>
      </c>
      <c r="AX12" s="263">
        <v>91.6</v>
      </c>
      <c r="AY12" s="263">
        <v>109</v>
      </c>
      <c r="AZ12" s="263">
        <v>128.5</v>
      </c>
      <c r="BA12" s="263">
        <v>148.80000000000001</v>
      </c>
      <c r="BB12" s="263">
        <v>166.4</v>
      </c>
      <c r="BC12" s="263">
        <v>187.1</v>
      </c>
      <c r="BD12" s="263">
        <v>202</v>
      </c>
      <c r="BE12" s="263">
        <v>220.3</v>
      </c>
      <c r="BF12" s="263">
        <v>244.3</v>
      </c>
      <c r="BG12" s="263">
        <v>264.5</v>
      </c>
      <c r="BH12" s="263">
        <v>291.10000000000002</v>
      </c>
      <c r="BI12" s="263">
        <v>311.10000000000002</v>
      </c>
      <c r="BJ12" s="263">
        <v>336.3</v>
      </c>
      <c r="BK12" s="263">
        <v>362.8</v>
      </c>
      <c r="BL12" s="263">
        <v>385.7</v>
      </c>
      <c r="BM12" s="263">
        <v>402.5</v>
      </c>
      <c r="BN12" s="263">
        <v>442.7</v>
      </c>
      <c r="BO12" s="263">
        <v>466.7</v>
      </c>
      <c r="BP12" s="263">
        <v>488.7</v>
      </c>
      <c r="BQ12" s="263">
        <v>491.8</v>
      </c>
      <c r="BR12" s="263">
        <v>505.5</v>
      </c>
      <c r="BS12" s="263">
        <v>525.70000000000005</v>
      </c>
      <c r="BT12" s="263">
        <v>564.29999999999995</v>
      </c>
      <c r="BU12" s="263">
        <v>591.9</v>
      </c>
      <c r="BV12" s="263">
        <v>645.1</v>
      </c>
      <c r="BW12" s="263">
        <v>661.4</v>
      </c>
      <c r="BX12" s="263">
        <v>677.2</v>
      </c>
      <c r="BY12" s="263">
        <v>705</v>
      </c>
      <c r="BZ12" s="263">
        <v>737.9</v>
      </c>
      <c r="CA12" s="263">
        <v>779</v>
      </c>
      <c r="CB12" s="263">
        <v>797.1</v>
      </c>
      <c r="CC12" s="263">
        <v>824.2</v>
      </c>
      <c r="CD12" s="263">
        <v>833.3</v>
      </c>
      <c r="CE12" s="263">
        <v>793.2</v>
      </c>
      <c r="CF12" s="263">
        <v>803.6</v>
      </c>
      <c r="CG12" s="263">
        <v>832.6</v>
      </c>
      <c r="CH12" s="263">
        <v>859.7</v>
      </c>
      <c r="CI12" s="263">
        <v>889</v>
      </c>
      <c r="CJ12" s="263">
        <v>919.8</v>
      </c>
      <c r="CK12" s="263">
        <v>959</v>
      </c>
      <c r="CL12" s="263">
        <v>974.6</v>
      </c>
    </row>
    <row r="13" spans="1:90" ht="15">
      <c r="A13" s="263" t="s">
        <v>65</v>
      </c>
      <c r="B13" s="263" t="s">
        <v>958</v>
      </c>
      <c r="C13" s="263">
        <v>3</v>
      </c>
      <c r="D13" s="263">
        <v>3</v>
      </c>
      <c r="E13" s="263">
        <v>2.8</v>
      </c>
      <c r="F13" s="263">
        <v>2.9</v>
      </c>
      <c r="G13" s="263">
        <v>3.5</v>
      </c>
      <c r="H13" s="263">
        <v>4.0999999999999996</v>
      </c>
      <c r="I13" s="263">
        <v>4.2</v>
      </c>
      <c r="J13" s="263">
        <v>4.4000000000000004</v>
      </c>
      <c r="K13" s="263">
        <v>4.5999999999999996</v>
      </c>
      <c r="L13" s="263">
        <v>4.5999999999999996</v>
      </c>
      <c r="M13" s="263">
        <v>4.8</v>
      </c>
      <c r="N13" s="263">
        <v>5.0999999999999996</v>
      </c>
      <c r="O13" s="263">
        <v>6.1</v>
      </c>
      <c r="P13" s="263">
        <v>6.4</v>
      </c>
      <c r="Q13" s="263">
        <v>6.8</v>
      </c>
      <c r="R13" s="263">
        <v>7.5</v>
      </c>
      <c r="S13" s="263">
        <v>8.3000000000000007</v>
      </c>
      <c r="T13" s="263">
        <v>9.8000000000000007</v>
      </c>
      <c r="U13" s="263">
        <v>11.5</v>
      </c>
      <c r="V13" s="263">
        <v>12.7</v>
      </c>
      <c r="W13" s="263">
        <v>13.4</v>
      </c>
      <c r="X13" s="263">
        <v>14.8</v>
      </c>
      <c r="Y13" s="263">
        <v>15.9</v>
      </c>
      <c r="Z13" s="263">
        <v>17.3</v>
      </c>
      <c r="AA13" s="263">
        <v>18.5</v>
      </c>
      <c r="AB13" s="263">
        <v>17.899999999999999</v>
      </c>
      <c r="AC13" s="263">
        <v>19.8</v>
      </c>
      <c r="AD13" s="263">
        <v>21.5</v>
      </c>
      <c r="AE13" s="263">
        <v>22.8</v>
      </c>
      <c r="AF13" s="263">
        <v>23.1</v>
      </c>
      <c r="AG13" s="263">
        <v>25.6</v>
      </c>
      <c r="AH13" s="263">
        <v>27.8</v>
      </c>
      <c r="AI13" s="263">
        <v>28.9</v>
      </c>
      <c r="AJ13" s="263">
        <v>31.2</v>
      </c>
      <c r="AK13" s="263">
        <v>33.200000000000003</v>
      </c>
      <c r="AL13" s="263">
        <v>35.6</v>
      </c>
      <c r="AM13" s="263">
        <v>37.799999999999997</v>
      </c>
      <c r="AN13" s="263">
        <v>38.9</v>
      </c>
      <c r="AO13" s="263">
        <v>41.4</v>
      </c>
      <c r="AP13" s="263">
        <v>47.8</v>
      </c>
      <c r="AQ13" s="263">
        <v>52.9</v>
      </c>
      <c r="AR13" s="263">
        <v>57</v>
      </c>
      <c r="AS13" s="263">
        <v>62.8</v>
      </c>
      <c r="AT13" s="263">
        <v>67.3</v>
      </c>
      <c r="AU13" s="263">
        <v>74.099999999999994</v>
      </c>
      <c r="AV13" s="263">
        <v>78.599999999999994</v>
      </c>
      <c r="AW13" s="263">
        <v>84.5</v>
      </c>
      <c r="AX13" s="263">
        <v>91.4</v>
      </c>
      <c r="AY13" s="263">
        <v>100</v>
      </c>
      <c r="AZ13" s="263">
        <v>108.7</v>
      </c>
      <c r="BA13" s="263">
        <v>115</v>
      </c>
      <c r="BB13" s="263">
        <v>128.6</v>
      </c>
      <c r="BC13" s="263">
        <v>154.4</v>
      </c>
      <c r="BD13" s="263">
        <v>161.30000000000001</v>
      </c>
      <c r="BE13" s="263">
        <v>177.4</v>
      </c>
      <c r="BF13" s="263">
        <v>195.6</v>
      </c>
      <c r="BG13" s="263">
        <v>209</v>
      </c>
      <c r="BH13" s="263">
        <v>219.6</v>
      </c>
      <c r="BI13" s="263">
        <v>233.4</v>
      </c>
      <c r="BJ13" s="263">
        <v>252</v>
      </c>
      <c r="BK13" s="263">
        <v>267.5</v>
      </c>
      <c r="BL13" s="263">
        <v>284.5</v>
      </c>
      <c r="BM13" s="263">
        <v>307.89999999999998</v>
      </c>
      <c r="BN13" s="263">
        <v>325.89999999999998</v>
      </c>
      <c r="BO13" s="263">
        <v>343.8</v>
      </c>
      <c r="BP13" s="263">
        <v>376.1</v>
      </c>
      <c r="BQ13" s="263">
        <v>384.8</v>
      </c>
      <c r="BR13" s="263">
        <v>398.4</v>
      </c>
      <c r="BS13" s="263">
        <v>416.9</v>
      </c>
      <c r="BT13" s="263">
        <v>430.8</v>
      </c>
      <c r="BU13" s="263">
        <v>454</v>
      </c>
      <c r="BV13" s="263">
        <v>479.8</v>
      </c>
      <c r="BW13" s="263">
        <v>476.3</v>
      </c>
      <c r="BX13" s="263">
        <v>506.3</v>
      </c>
      <c r="BY13" s="263">
        <v>532.6</v>
      </c>
      <c r="BZ13" s="263">
        <v>571.5</v>
      </c>
      <c r="CA13" s="263">
        <v>616.5</v>
      </c>
      <c r="CB13" s="263">
        <v>655.8</v>
      </c>
      <c r="CC13" s="263">
        <v>681.2</v>
      </c>
      <c r="CD13" s="263">
        <v>685</v>
      </c>
      <c r="CE13" s="263">
        <v>659.3</v>
      </c>
      <c r="CF13" s="263">
        <v>685.9</v>
      </c>
      <c r="CG13" s="263">
        <v>721.9</v>
      </c>
      <c r="CH13" s="263">
        <v>742</v>
      </c>
      <c r="CI13" s="263">
        <v>775.3</v>
      </c>
      <c r="CJ13" s="263">
        <v>811.3</v>
      </c>
      <c r="CK13" s="263">
        <v>835.5</v>
      </c>
      <c r="CL13" s="263">
        <v>857.5</v>
      </c>
    </row>
    <row r="14" spans="1:90" ht="15">
      <c r="A14" s="263" t="s">
        <v>64</v>
      </c>
      <c r="B14" s="263" t="s">
        <v>959</v>
      </c>
      <c r="C14" s="263">
        <v>12.3</v>
      </c>
      <c r="D14" s="263">
        <v>9.3000000000000007</v>
      </c>
      <c r="E14" s="263">
        <v>4.9000000000000004</v>
      </c>
      <c r="F14" s="263">
        <v>1.7</v>
      </c>
      <c r="G14" s="263">
        <v>1.4</v>
      </c>
      <c r="H14" s="263">
        <v>4.3</v>
      </c>
      <c r="I14" s="263">
        <v>5.8</v>
      </c>
      <c r="J14" s="263">
        <v>7.8</v>
      </c>
      <c r="K14" s="263">
        <v>8.4</v>
      </c>
      <c r="L14" s="263">
        <v>6.3</v>
      </c>
      <c r="M14" s="263">
        <v>7.9</v>
      </c>
      <c r="N14" s="263">
        <v>11.1</v>
      </c>
      <c r="O14" s="263">
        <v>16.7</v>
      </c>
      <c r="P14" s="263">
        <v>21.8</v>
      </c>
      <c r="Q14" s="263">
        <v>26</v>
      </c>
      <c r="R14" s="263">
        <v>25.9</v>
      </c>
      <c r="S14" s="263">
        <v>21.5</v>
      </c>
      <c r="T14" s="263">
        <v>18.2</v>
      </c>
      <c r="U14" s="263">
        <v>24.1</v>
      </c>
      <c r="V14" s="263">
        <v>30.8</v>
      </c>
      <c r="W14" s="263">
        <v>28.5</v>
      </c>
      <c r="X14" s="263">
        <v>35.4</v>
      </c>
      <c r="Y14" s="263">
        <v>40.299999999999997</v>
      </c>
      <c r="Z14" s="263">
        <v>38.6</v>
      </c>
      <c r="AA14" s="263">
        <v>39.5</v>
      </c>
      <c r="AB14" s="263">
        <v>38.5</v>
      </c>
      <c r="AC14" s="263">
        <v>49.1</v>
      </c>
      <c r="AD14" s="263">
        <v>48.4</v>
      </c>
      <c r="AE14" s="263">
        <v>47.9</v>
      </c>
      <c r="AF14" s="263">
        <v>43.4</v>
      </c>
      <c r="AG14" s="263">
        <v>54.1</v>
      </c>
      <c r="AH14" s="263">
        <v>52.9</v>
      </c>
      <c r="AI14" s="263">
        <v>54.8</v>
      </c>
      <c r="AJ14" s="263">
        <v>63</v>
      </c>
      <c r="AK14" s="263">
        <v>69.2</v>
      </c>
      <c r="AL14" s="263">
        <v>76.900000000000006</v>
      </c>
      <c r="AM14" s="263">
        <v>89.1</v>
      </c>
      <c r="AN14" s="263">
        <v>96.9</v>
      </c>
      <c r="AO14" s="263">
        <v>96.4</v>
      </c>
      <c r="AP14" s="263">
        <v>104.2</v>
      </c>
      <c r="AQ14" s="263">
        <v>104.7</v>
      </c>
      <c r="AR14" s="263">
        <v>95.5</v>
      </c>
      <c r="AS14" s="263">
        <v>109</v>
      </c>
      <c r="AT14" s="263">
        <v>124.3</v>
      </c>
      <c r="AU14" s="263">
        <v>138.4</v>
      </c>
      <c r="AV14" s="263">
        <v>138</v>
      </c>
      <c r="AW14" s="263">
        <v>160.1</v>
      </c>
      <c r="AX14" s="263">
        <v>188.5</v>
      </c>
      <c r="AY14" s="263">
        <v>220.8</v>
      </c>
      <c r="AZ14" s="263">
        <v>254.9</v>
      </c>
      <c r="BA14" s="263">
        <v>262.2</v>
      </c>
      <c r="BB14" s="263">
        <v>260.10000000000002</v>
      </c>
      <c r="BC14" s="263">
        <v>315.3</v>
      </c>
      <c r="BD14" s="263">
        <v>309.8</v>
      </c>
      <c r="BE14" s="263">
        <v>356.6</v>
      </c>
      <c r="BF14" s="263">
        <v>435.4</v>
      </c>
      <c r="BG14" s="263">
        <v>454</v>
      </c>
      <c r="BH14" s="263">
        <v>419.6</v>
      </c>
      <c r="BI14" s="263">
        <v>450.6</v>
      </c>
      <c r="BJ14" s="263">
        <v>497.6</v>
      </c>
      <c r="BK14" s="263">
        <v>514.9</v>
      </c>
      <c r="BL14" s="263">
        <v>502.6</v>
      </c>
      <c r="BM14" s="263">
        <v>497.5</v>
      </c>
      <c r="BN14" s="263">
        <v>507.9</v>
      </c>
      <c r="BO14" s="263">
        <v>547.6</v>
      </c>
      <c r="BP14" s="263">
        <v>643.79999999999995</v>
      </c>
      <c r="BQ14" s="263">
        <v>717.6</v>
      </c>
      <c r="BR14" s="263">
        <v>798.3</v>
      </c>
      <c r="BS14" s="263">
        <v>886.1</v>
      </c>
      <c r="BT14" s="263">
        <v>888.3</v>
      </c>
      <c r="BU14" s="263">
        <v>902.6</v>
      </c>
      <c r="BV14" s="263">
        <v>894.1</v>
      </c>
      <c r="BW14" s="263">
        <v>839.2</v>
      </c>
      <c r="BX14" s="263">
        <v>918.1</v>
      </c>
      <c r="BY14" s="263">
        <v>1028.0999999999999</v>
      </c>
      <c r="BZ14" s="263">
        <v>1172</v>
      </c>
      <c r="CA14" s="263">
        <v>1371.4</v>
      </c>
      <c r="CB14" s="263">
        <v>1558.7</v>
      </c>
      <c r="CC14" s="263">
        <v>1417.4</v>
      </c>
      <c r="CD14" s="263">
        <v>1208.5</v>
      </c>
      <c r="CE14" s="263">
        <v>1294.0999999999999</v>
      </c>
      <c r="CF14" s="263">
        <v>1580.2</v>
      </c>
      <c r="CG14" s="263">
        <v>1653.2</v>
      </c>
      <c r="CH14" s="263">
        <v>1863.9</v>
      </c>
      <c r="CI14" s="263">
        <v>1908.6</v>
      </c>
      <c r="CJ14" s="263">
        <v>2074.5</v>
      </c>
      <c r="CK14" s="263">
        <v>2152.8000000000002</v>
      </c>
      <c r="CL14" s="263">
        <v>2089.4</v>
      </c>
    </row>
    <row r="15" spans="1:90" ht="15">
      <c r="A15" s="263" t="s">
        <v>63</v>
      </c>
      <c r="B15" s="263" t="s">
        <v>960</v>
      </c>
      <c r="C15" s="263">
        <v>1.4</v>
      </c>
      <c r="D15" s="263">
        <v>1.5</v>
      </c>
      <c r="E15" s="263">
        <v>1.5</v>
      </c>
      <c r="F15" s="263">
        <v>1.4</v>
      </c>
      <c r="G15" s="263">
        <v>1.2</v>
      </c>
      <c r="H15" s="263">
        <v>1.4</v>
      </c>
      <c r="I15" s="263">
        <v>1.5</v>
      </c>
      <c r="J15" s="263">
        <v>1.4</v>
      </c>
      <c r="K15" s="263">
        <v>1.3</v>
      </c>
      <c r="L15" s="263">
        <v>1.3</v>
      </c>
      <c r="M15" s="263">
        <v>1.3</v>
      </c>
      <c r="N15" s="263">
        <v>1.1000000000000001</v>
      </c>
      <c r="O15" s="263">
        <v>1</v>
      </c>
      <c r="P15" s="263">
        <v>1</v>
      </c>
      <c r="Q15" s="263">
        <v>0.9</v>
      </c>
      <c r="R15" s="263">
        <v>0.7</v>
      </c>
      <c r="S15" s="263">
        <v>0.6</v>
      </c>
      <c r="T15" s="263">
        <v>0.1</v>
      </c>
      <c r="U15" s="263">
        <v>0.3</v>
      </c>
      <c r="V15" s="263">
        <v>0.1</v>
      </c>
      <c r="W15" s="263">
        <v>0</v>
      </c>
      <c r="X15" s="263">
        <v>-0.1</v>
      </c>
      <c r="Y15" s="263">
        <v>-0.2</v>
      </c>
      <c r="Z15" s="263">
        <v>-0.2</v>
      </c>
      <c r="AA15" s="263">
        <v>0</v>
      </c>
      <c r="AB15" s="263">
        <v>0.2</v>
      </c>
      <c r="AC15" s="263">
        <v>0.2</v>
      </c>
      <c r="AD15" s="263">
        <v>0.1</v>
      </c>
      <c r="AE15" s="263">
        <v>0.3</v>
      </c>
      <c r="AF15" s="263">
        <v>0.7</v>
      </c>
      <c r="AG15" s="263">
        <v>-0.1</v>
      </c>
      <c r="AH15" s="263">
        <v>-0.1</v>
      </c>
      <c r="AI15" s="263">
        <v>0.5</v>
      </c>
      <c r="AJ15" s="263">
        <v>0.9</v>
      </c>
      <c r="AK15" s="263">
        <v>0.5</v>
      </c>
      <c r="AL15" s="263">
        <v>0.9</v>
      </c>
      <c r="AM15" s="263">
        <v>1.3</v>
      </c>
      <c r="AN15" s="263">
        <v>2.4</v>
      </c>
      <c r="AO15" s="263">
        <v>4.2</v>
      </c>
      <c r="AP15" s="263">
        <v>4.4000000000000004</v>
      </c>
      <c r="AQ15" s="263">
        <v>8.6</v>
      </c>
      <c r="AR15" s="263">
        <v>12.6</v>
      </c>
      <c r="AS15" s="263">
        <v>12.8</v>
      </c>
      <c r="AT15" s="263">
        <v>12.7</v>
      </c>
      <c r="AU15" s="263">
        <v>15.1</v>
      </c>
      <c r="AV15" s="263">
        <v>23.4</v>
      </c>
      <c r="AW15" s="263">
        <v>27.7</v>
      </c>
      <c r="AX15" s="263">
        <v>23.2</v>
      </c>
      <c r="AY15" s="263">
        <v>28.1</v>
      </c>
      <c r="AZ15" s="263">
        <v>31.3</v>
      </c>
      <c r="BA15" s="263">
        <v>37</v>
      </c>
      <c r="BB15" s="263">
        <v>59.9</v>
      </c>
      <c r="BC15" s="263">
        <v>83.3</v>
      </c>
      <c r="BD15" s="263">
        <v>95.9</v>
      </c>
      <c r="BE15" s="263">
        <v>92.4</v>
      </c>
      <c r="BF15" s="263">
        <v>107.2</v>
      </c>
      <c r="BG15" s="263">
        <v>106.7</v>
      </c>
      <c r="BH15" s="263">
        <v>105.4</v>
      </c>
      <c r="BI15" s="263">
        <v>107.7</v>
      </c>
      <c r="BJ15" s="263">
        <v>113.3</v>
      </c>
      <c r="BK15" s="263">
        <v>134.19999999999999</v>
      </c>
      <c r="BL15" s="263">
        <v>127.6</v>
      </c>
      <c r="BM15" s="263">
        <v>89</v>
      </c>
      <c r="BN15" s="263">
        <v>71.8</v>
      </c>
      <c r="BO15" s="263">
        <v>70.8</v>
      </c>
      <c r="BP15" s="263">
        <v>67.599999999999994</v>
      </c>
      <c r="BQ15" s="263">
        <v>70.7</v>
      </c>
      <c r="BR15" s="263">
        <v>70.400000000000006</v>
      </c>
      <c r="BS15" s="263">
        <v>93.5</v>
      </c>
      <c r="BT15" s="263">
        <v>134.1</v>
      </c>
      <c r="BU15" s="263">
        <v>140.5</v>
      </c>
      <c r="BV15" s="263">
        <v>186.6</v>
      </c>
      <c r="BW15" s="263">
        <v>170.4</v>
      </c>
      <c r="BX15" s="263">
        <v>107.7</v>
      </c>
      <c r="BY15" s="263">
        <v>87.3</v>
      </c>
      <c r="BZ15" s="263">
        <v>39.200000000000003</v>
      </c>
      <c r="CA15" s="263">
        <v>72.900000000000006</v>
      </c>
      <c r="CB15" s="263">
        <v>120.1</v>
      </c>
      <c r="CC15" s="263">
        <v>172.9</v>
      </c>
      <c r="CD15" s="263">
        <v>234.5</v>
      </c>
      <c r="CE15" s="263">
        <v>157.5</v>
      </c>
      <c r="CF15" s="263">
        <v>129.1</v>
      </c>
      <c r="CG15" s="263">
        <v>149.1</v>
      </c>
      <c r="CH15" s="263">
        <v>209.3</v>
      </c>
      <c r="CI15" s="263">
        <v>212.9</v>
      </c>
      <c r="CJ15" s="263">
        <v>231</v>
      </c>
      <c r="CK15" s="263">
        <v>287.39999999999998</v>
      </c>
      <c r="CL15" s="263">
        <v>274.39999999999998</v>
      </c>
    </row>
    <row r="16" spans="1:90" ht="15">
      <c r="A16" s="263" t="s">
        <v>61</v>
      </c>
      <c r="B16" s="263" t="s">
        <v>961</v>
      </c>
      <c r="C16" s="263">
        <v>0.4</v>
      </c>
      <c r="D16" s="263">
        <v>0.4</v>
      </c>
      <c r="E16" s="263">
        <v>0.4</v>
      </c>
      <c r="F16" s="263">
        <v>0.4</v>
      </c>
      <c r="G16" s="263">
        <v>0.4</v>
      </c>
      <c r="H16" s="263">
        <v>0.4</v>
      </c>
      <c r="I16" s="263">
        <v>0.4</v>
      </c>
      <c r="J16" s="263">
        <v>0.4</v>
      </c>
      <c r="K16" s="263">
        <v>0.3</v>
      </c>
      <c r="L16" s="263">
        <v>0.3</v>
      </c>
      <c r="M16" s="263">
        <v>0.3</v>
      </c>
      <c r="N16" s="263">
        <v>0.3</v>
      </c>
      <c r="O16" s="263">
        <v>0.4</v>
      </c>
      <c r="P16" s="263">
        <v>0.4</v>
      </c>
      <c r="Q16" s="263">
        <v>0.5</v>
      </c>
      <c r="R16" s="263">
        <v>0.7</v>
      </c>
      <c r="S16" s="263">
        <v>0.7</v>
      </c>
      <c r="T16" s="263">
        <v>0.6</v>
      </c>
      <c r="U16" s="263">
        <v>0.6</v>
      </c>
      <c r="V16" s="263">
        <v>0.6</v>
      </c>
      <c r="W16" s="263">
        <v>0.6</v>
      </c>
      <c r="X16" s="263">
        <v>0.7</v>
      </c>
      <c r="Y16" s="263">
        <v>1</v>
      </c>
      <c r="Z16" s="263">
        <v>1</v>
      </c>
      <c r="AA16" s="263">
        <v>1</v>
      </c>
      <c r="AB16" s="263">
        <v>0.7</v>
      </c>
      <c r="AC16" s="263">
        <v>1.1000000000000001</v>
      </c>
      <c r="AD16" s="263">
        <v>1.4</v>
      </c>
      <c r="AE16" s="263">
        <v>1.6</v>
      </c>
      <c r="AF16" s="263">
        <v>1.4</v>
      </c>
      <c r="AG16" s="263">
        <v>1.4</v>
      </c>
      <c r="AH16" s="263">
        <v>1.5</v>
      </c>
      <c r="AI16" s="263">
        <v>1.7</v>
      </c>
      <c r="AJ16" s="263">
        <v>1.9</v>
      </c>
      <c r="AK16" s="263">
        <v>2.2999999999999998</v>
      </c>
      <c r="AL16" s="263">
        <v>2.7</v>
      </c>
      <c r="AM16" s="263">
        <v>3.1</v>
      </c>
      <c r="AN16" s="263">
        <v>2.9</v>
      </c>
      <c r="AO16" s="263">
        <v>3.1</v>
      </c>
      <c r="AP16" s="263">
        <v>3.7</v>
      </c>
      <c r="AQ16" s="263">
        <v>4.3</v>
      </c>
      <c r="AR16" s="263">
        <v>3.7</v>
      </c>
      <c r="AS16" s="263">
        <v>3.4</v>
      </c>
      <c r="AT16" s="263">
        <v>3.9</v>
      </c>
      <c r="AU16" s="263">
        <v>4.8</v>
      </c>
      <c r="AV16" s="263">
        <v>6.3</v>
      </c>
      <c r="AW16" s="263">
        <v>8.1999999999999993</v>
      </c>
      <c r="AX16" s="263">
        <v>7.6</v>
      </c>
      <c r="AY16" s="263">
        <v>6</v>
      </c>
      <c r="AZ16" s="263">
        <v>7.9</v>
      </c>
      <c r="BA16" s="263">
        <v>10.8</v>
      </c>
      <c r="BB16" s="263">
        <v>12</v>
      </c>
      <c r="BC16" s="263">
        <v>14.3</v>
      </c>
      <c r="BD16" s="263">
        <v>16.600000000000001</v>
      </c>
      <c r="BE16" s="263">
        <v>19.5</v>
      </c>
      <c r="BF16" s="263">
        <v>26.9</v>
      </c>
      <c r="BG16" s="263">
        <v>30.9</v>
      </c>
      <c r="BH16" s="263">
        <v>29.3</v>
      </c>
      <c r="BI16" s="263">
        <v>24.9</v>
      </c>
      <c r="BJ16" s="263">
        <v>26.4</v>
      </c>
      <c r="BK16" s="263">
        <v>33.6</v>
      </c>
      <c r="BL16" s="263">
        <v>34</v>
      </c>
      <c r="BM16" s="263">
        <v>33.700000000000003</v>
      </c>
      <c r="BN16" s="263">
        <v>34</v>
      </c>
      <c r="BO16" s="263">
        <v>31.8</v>
      </c>
      <c r="BP16" s="263">
        <v>32.200000000000003</v>
      </c>
      <c r="BQ16" s="263">
        <v>36.9</v>
      </c>
      <c r="BR16" s="263">
        <v>43.7</v>
      </c>
      <c r="BS16" s="263">
        <v>34.4</v>
      </c>
      <c r="BT16" s="263">
        <v>52.8</v>
      </c>
      <c r="BU16" s="263">
        <v>53.9</v>
      </c>
      <c r="BV16" s="263">
        <v>72.400000000000006</v>
      </c>
      <c r="BW16" s="263">
        <v>85.1</v>
      </c>
      <c r="BX16" s="263">
        <v>61.9</v>
      </c>
      <c r="BY16" s="263">
        <v>51</v>
      </c>
      <c r="BZ16" s="263">
        <v>54.5</v>
      </c>
      <c r="CA16" s="263">
        <v>59.8</v>
      </c>
      <c r="CB16" s="263">
        <v>48.2</v>
      </c>
      <c r="CC16" s="263">
        <v>68.900000000000006</v>
      </c>
      <c r="CD16" s="263">
        <v>95.7</v>
      </c>
      <c r="CE16" s="263">
        <v>96.7</v>
      </c>
      <c r="CF16" s="263">
        <v>99.8</v>
      </c>
      <c r="CG16" s="263">
        <v>109.3</v>
      </c>
      <c r="CH16" s="263">
        <v>66.8</v>
      </c>
      <c r="CI16" s="263">
        <v>74.7</v>
      </c>
      <c r="CJ16" s="263">
        <v>100.4</v>
      </c>
      <c r="CK16" s="263">
        <v>132.9</v>
      </c>
      <c r="CL16" s="263">
        <v>136.30000000000001</v>
      </c>
    </row>
    <row r="17" spans="1:90" ht="15">
      <c r="A17" s="263" t="s">
        <v>60</v>
      </c>
      <c r="B17" s="263" t="s">
        <v>962</v>
      </c>
      <c r="C17" s="263">
        <v>10.6</v>
      </c>
      <c r="D17" s="263">
        <v>7.4</v>
      </c>
      <c r="E17" s="263">
        <v>3</v>
      </c>
      <c r="F17" s="263">
        <v>-0.2</v>
      </c>
      <c r="G17" s="263">
        <v>-0.2</v>
      </c>
      <c r="H17" s="263">
        <v>2.5</v>
      </c>
      <c r="I17" s="263">
        <v>3.9</v>
      </c>
      <c r="J17" s="263">
        <v>6.1</v>
      </c>
      <c r="K17" s="263">
        <v>6.8</v>
      </c>
      <c r="L17" s="263">
        <v>4.7</v>
      </c>
      <c r="M17" s="263">
        <v>6.3</v>
      </c>
      <c r="N17" s="263">
        <v>9.6</v>
      </c>
      <c r="O17" s="263">
        <v>15.3</v>
      </c>
      <c r="P17" s="263">
        <v>20.399999999999999</v>
      </c>
      <c r="Q17" s="263">
        <v>24.5</v>
      </c>
      <c r="R17" s="263">
        <v>24.5</v>
      </c>
      <c r="S17" s="263">
        <v>20.100000000000001</v>
      </c>
      <c r="T17" s="263">
        <v>17.600000000000001</v>
      </c>
      <c r="U17" s="263">
        <v>23.2</v>
      </c>
      <c r="V17" s="263">
        <v>30.1</v>
      </c>
      <c r="W17" s="263">
        <v>27.9</v>
      </c>
      <c r="X17" s="263">
        <v>34.799999999999997</v>
      </c>
      <c r="Y17" s="263">
        <v>39.5</v>
      </c>
      <c r="Z17" s="263">
        <v>37.799999999999997</v>
      </c>
      <c r="AA17" s="263">
        <v>38.5</v>
      </c>
      <c r="AB17" s="263">
        <v>37.5</v>
      </c>
      <c r="AC17" s="263">
        <v>47.8</v>
      </c>
      <c r="AD17" s="263">
        <v>46.8</v>
      </c>
      <c r="AE17" s="263">
        <v>46</v>
      </c>
      <c r="AF17" s="263">
        <v>41.3</v>
      </c>
      <c r="AG17" s="263">
        <v>52.8</v>
      </c>
      <c r="AH17" s="263">
        <v>51.5</v>
      </c>
      <c r="AI17" s="263">
        <v>52.6</v>
      </c>
      <c r="AJ17" s="263">
        <v>60.3</v>
      </c>
      <c r="AK17" s="263">
        <v>66.400000000000006</v>
      </c>
      <c r="AL17" s="263">
        <v>73.2</v>
      </c>
      <c r="AM17" s="263">
        <v>84.6</v>
      </c>
      <c r="AN17" s="263">
        <v>91.6</v>
      </c>
      <c r="AO17" s="263">
        <v>89.1</v>
      </c>
      <c r="AP17" s="263">
        <v>96.1</v>
      </c>
      <c r="AQ17" s="263">
        <v>91.8</v>
      </c>
      <c r="AR17" s="263">
        <v>79.099999999999994</v>
      </c>
      <c r="AS17" s="263">
        <v>92.8</v>
      </c>
      <c r="AT17" s="263">
        <v>107.7</v>
      </c>
      <c r="AU17" s="263">
        <v>118.5</v>
      </c>
      <c r="AV17" s="263">
        <v>108.2</v>
      </c>
      <c r="AW17" s="263">
        <v>124.2</v>
      </c>
      <c r="AX17" s="263">
        <v>157.80000000000001</v>
      </c>
      <c r="AY17" s="263">
        <v>186.7</v>
      </c>
      <c r="AZ17" s="263">
        <v>215.7</v>
      </c>
      <c r="BA17" s="263">
        <v>214.4</v>
      </c>
      <c r="BB17" s="263">
        <v>188.1</v>
      </c>
      <c r="BC17" s="263">
        <v>217.8</v>
      </c>
      <c r="BD17" s="263">
        <v>197.3</v>
      </c>
      <c r="BE17" s="263">
        <v>244.7</v>
      </c>
      <c r="BF17" s="263">
        <v>301.3</v>
      </c>
      <c r="BG17" s="263">
        <v>316.39999999999998</v>
      </c>
      <c r="BH17" s="263">
        <v>284.89999999999998</v>
      </c>
      <c r="BI17" s="263">
        <v>318</v>
      </c>
      <c r="BJ17" s="263">
        <v>357.9</v>
      </c>
      <c r="BK17" s="263">
        <v>347.1</v>
      </c>
      <c r="BL17" s="263">
        <v>341.1</v>
      </c>
      <c r="BM17" s="263">
        <v>374.9</v>
      </c>
      <c r="BN17" s="263">
        <v>402.2</v>
      </c>
      <c r="BO17" s="263">
        <v>445.1</v>
      </c>
      <c r="BP17" s="263">
        <v>543.9</v>
      </c>
      <c r="BQ17" s="263">
        <v>610.1</v>
      </c>
      <c r="BR17" s="263">
        <v>684.1</v>
      </c>
      <c r="BS17" s="263">
        <v>758.2</v>
      </c>
      <c r="BT17" s="263">
        <v>701.3</v>
      </c>
      <c r="BU17" s="263">
        <v>708.2</v>
      </c>
      <c r="BV17" s="263">
        <v>635</v>
      </c>
      <c r="BW17" s="263">
        <v>583.6</v>
      </c>
      <c r="BX17" s="263">
        <v>748.4</v>
      </c>
      <c r="BY17" s="263">
        <v>889.7</v>
      </c>
      <c r="BZ17" s="263">
        <v>1078.3</v>
      </c>
      <c r="CA17" s="263">
        <v>1238.7</v>
      </c>
      <c r="CB17" s="263">
        <v>1390.3</v>
      </c>
      <c r="CC17" s="263">
        <v>1175.5999999999999</v>
      </c>
      <c r="CD17" s="263">
        <v>878.4</v>
      </c>
      <c r="CE17" s="263">
        <v>1039.8</v>
      </c>
      <c r="CF17" s="263">
        <v>1351.2</v>
      </c>
      <c r="CG17" s="263">
        <v>1394.7</v>
      </c>
      <c r="CH17" s="263">
        <v>1587.8</v>
      </c>
      <c r="CI17" s="263">
        <v>1621</v>
      </c>
      <c r="CJ17" s="263">
        <v>1743</v>
      </c>
      <c r="CK17" s="263">
        <v>1732.5</v>
      </c>
      <c r="CL17" s="263">
        <v>1678.7</v>
      </c>
    </row>
    <row r="18" spans="1:90" ht="15">
      <c r="A18" s="263" t="s">
        <v>59</v>
      </c>
      <c r="B18" s="263" t="s">
        <v>963</v>
      </c>
      <c r="C18" s="263">
        <v>1.4</v>
      </c>
      <c r="D18" s="263">
        <v>0.8</v>
      </c>
      <c r="E18" s="263">
        <v>0.5</v>
      </c>
      <c r="F18" s="263">
        <v>0.4</v>
      </c>
      <c r="G18" s="263">
        <v>0.5</v>
      </c>
      <c r="H18" s="263">
        <v>0.7</v>
      </c>
      <c r="I18" s="263">
        <v>1</v>
      </c>
      <c r="J18" s="263">
        <v>1.4</v>
      </c>
      <c r="K18" s="263">
        <v>1.5</v>
      </c>
      <c r="L18" s="263">
        <v>1</v>
      </c>
      <c r="M18" s="263">
        <v>1.4</v>
      </c>
      <c r="N18" s="263">
        <v>2.8</v>
      </c>
      <c r="O18" s="263">
        <v>7.6</v>
      </c>
      <c r="P18" s="263">
        <v>11.4</v>
      </c>
      <c r="Q18" s="263">
        <v>14.1</v>
      </c>
      <c r="R18" s="263">
        <v>12.9</v>
      </c>
      <c r="S18" s="263">
        <v>10.7</v>
      </c>
      <c r="T18" s="263">
        <v>9.1</v>
      </c>
      <c r="U18" s="263">
        <v>11.3</v>
      </c>
      <c r="V18" s="263">
        <v>12.4</v>
      </c>
      <c r="W18" s="263">
        <v>10.199999999999999</v>
      </c>
      <c r="X18" s="263">
        <v>17.899999999999999</v>
      </c>
      <c r="Y18" s="263">
        <v>22.6</v>
      </c>
      <c r="Z18" s="263">
        <v>19.399999999999999</v>
      </c>
      <c r="AA18" s="263">
        <v>20.3</v>
      </c>
      <c r="AB18" s="263">
        <v>17.600000000000001</v>
      </c>
      <c r="AC18" s="263">
        <v>22</v>
      </c>
      <c r="AD18" s="263">
        <v>22</v>
      </c>
      <c r="AE18" s="263">
        <v>21.4</v>
      </c>
      <c r="AF18" s="263">
        <v>19</v>
      </c>
      <c r="AG18" s="263">
        <v>23.7</v>
      </c>
      <c r="AH18" s="263">
        <v>22.8</v>
      </c>
      <c r="AI18" s="263">
        <v>22.9</v>
      </c>
      <c r="AJ18" s="263">
        <v>24.1</v>
      </c>
      <c r="AK18" s="263">
        <v>26.4</v>
      </c>
      <c r="AL18" s="263">
        <v>28.2</v>
      </c>
      <c r="AM18" s="263">
        <v>31.1</v>
      </c>
      <c r="AN18" s="263">
        <v>33.9</v>
      </c>
      <c r="AO18" s="263">
        <v>32.9</v>
      </c>
      <c r="AP18" s="263">
        <v>39.6</v>
      </c>
      <c r="AQ18" s="263">
        <v>40</v>
      </c>
      <c r="AR18" s="263">
        <v>34.799999999999997</v>
      </c>
      <c r="AS18" s="263">
        <v>38.200000000000003</v>
      </c>
      <c r="AT18" s="263">
        <v>42.3</v>
      </c>
      <c r="AU18" s="263">
        <v>50</v>
      </c>
      <c r="AV18" s="263">
        <v>52.8</v>
      </c>
      <c r="AW18" s="263">
        <v>51.6</v>
      </c>
      <c r="AX18" s="263">
        <v>65.3</v>
      </c>
      <c r="AY18" s="263">
        <v>74.400000000000006</v>
      </c>
      <c r="AZ18" s="263">
        <v>84.9</v>
      </c>
      <c r="BA18" s="263">
        <v>90</v>
      </c>
      <c r="BB18" s="263">
        <v>87.2</v>
      </c>
      <c r="BC18" s="263">
        <v>84.3</v>
      </c>
      <c r="BD18" s="263">
        <v>66.5</v>
      </c>
      <c r="BE18" s="263">
        <v>80.599999999999994</v>
      </c>
      <c r="BF18" s="263">
        <v>97.5</v>
      </c>
      <c r="BG18" s="263">
        <v>99.4</v>
      </c>
      <c r="BH18" s="263">
        <v>109.7</v>
      </c>
      <c r="BI18" s="263">
        <v>130.4</v>
      </c>
      <c r="BJ18" s="263">
        <v>141.6</v>
      </c>
      <c r="BK18" s="263">
        <v>146.1</v>
      </c>
      <c r="BL18" s="263">
        <v>145.4</v>
      </c>
      <c r="BM18" s="263">
        <v>138.6</v>
      </c>
      <c r="BN18" s="263">
        <v>148.69999999999999</v>
      </c>
      <c r="BO18" s="263">
        <v>171</v>
      </c>
      <c r="BP18" s="263">
        <v>193.1</v>
      </c>
      <c r="BQ18" s="263">
        <v>217.8</v>
      </c>
      <c r="BR18" s="263">
        <v>231.5</v>
      </c>
      <c r="BS18" s="263">
        <v>245.4</v>
      </c>
      <c r="BT18" s="263">
        <v>248.4</v>
      </c>
      <c r="BU18" s="263">
        <v>258.8</v>
      </c>
      <c r="BV18" s="263">
        <v>265.10000000000002</v>
      </c>
      <c r="BW18" s="263">
        <v>203.3</v>
      </c>
      <c r="BX18" s="263">
        <v>192.3</v>
      </c>
      <c r="BY18" s="263">
        <v>243.8</v>
      </c>
      <c r="BZ18" s="263">
        <v>306.10000000000002</v>
      </c>
      <c r="CA18" s="263">
        <v>412.4</v>
      </c>
      <c r="CB18" s="263">
        <v>473.4</v>
      </c>
      <c r="CC18" s="263">
        <v>445.5</v>
      </c>
      <c r="CD18" s="263">
        <v>309.10000000000002</v>
      </c>
      <c r="CE18" s="263">
        <v>269.39999999999998</v>
      </c>
      <c r="CF18" s="263">
        <v>370.6</v>
      </c>
      <c r="CG18" s="263">
        <v>379.1</v>
      </c>
      <c r="CH18" s="263">
        <v>447.6</v>
      </c>
      <c r="CI18" s="263">
        <v>467.7</v>
      </c>
      <c r="CJ18" s="263">
        <v>505.3</v>
      </c>
      <c r="CK18" s="263">
        <v>507.4</v>
      </c>
      <c r="CL18" s="263">
        <v>471</v>
      </c>
    </row>
    <row r="19" spans="1:90" ht="15">
      <c r="A19" s="263" t="s">
        <v>57</v>
      </c>
      <c r="B19" s="263" t="s">
        <v>964</v>
      </c>
      <c r="C19" s="263">
        <v>9.1999999999999993</v>
      </c>
      <c r="D19" s="263">
        <v>6.5</v>
      </c>
      <c r="E19" s="263">
        <v>2.5</v>
      </c>
      <c r="F19" s="263">
        <v>-0.5</v>
      </c>
      <c r="G19" s="263">
        <v>-0.7</v>
      </c>
      <c r="H19" s="263">
        <v>1.7</v>
      </c>
      <c r="I19" s="263">
        <v>2.9</v>
      </c>
      <c r="J19" s="263">
        <v>4.7</v>
      </c>
      <c r="K19" s="263">
        <v>5.3</v>
      </c>
      <c r="L19" s="263">
        <v>3.7</v>
      </c>
      <c r="M19" s="263">
        <v>4.8</v>
      </c>
      <c r="N19" s="263">
        <v>6.8</v>
      </c>
      <c r="O19" s="263">
        <v>7.7</v>
      </c>
      <c r="P19" s="263">
        <v>9</v>
      </c>
      <c r="Q19" s="263">
        <v>10.5</v>
      </c>
      <c r="R19" s="263">
        <v>11.6</v>
      </c>
      <c r="S19" s="263">
        <v>9.4</v>
      </c>
      <c r="T19" s="263">
        <v>8.4</v>
      </c>
      <c r="U19" s="263">
        <v>11.9</v>
      </c>
      <c r="V19" s="263">
        <v>17.7</v>
      </c>
      <c r="W19" s="263">
        <v>17.7</v>
      </c>
      <c r="X19" s="263">
        <v>16.899999999999999</v>
      </c>
      <c r="Y19" s="263">
        <v>16.899999999999999</v>
      </c>
      <c r="Z19" s="263">
        <v>18.399999999999999</v>
      </c>
      <c r="AA19" s="263">
        <v>18.2</v>
      </c>
      <c r="AB19" s="263">
        <v>19.899999999999999</v>
      </c>
      <c r="AC19" s="263">
        <v>25.8</v>
      </c>
      <c r="AD19" s="263">
        <v>24.8</v>
      </c>
      <c r="AE19" s="263">
        <v>24.6</v>
      </c>
      <c r="AF19" s="263">
        <v>22.4</v>
      </c>
      <c r="AG19" s="263">
        <v>29.1</v>
      </c>
      <c r="AH19" s="263">
        <v>28.8</v>
      </c>
      <c r="AI19" s="263">
        <v>29.7</v>
      </c>
      <c r="AJ19" s="263">
        <v>36.200000000000003</v>
      </c>
      <c r="AK19" s="263">
        <v>40.1</v>
      </c>
      <c r="AL19" s="263">
        <v>45.1</v>
      </c>
      <c r="AM19" s="263">
        <v>53.5</v>
      </c>
      <c r="AN19" s="263">
        <v>57.7</v>
      </c>
      <c r="AO19" s="263">
        <v>56.2</v>
      </c>
      <c r="AP19" s="263">
        <v>56.5</v>
      </c>
      <c r="AQ19" s="263">
        <v>51.8</v>
      </c>
      <c r="AR19" s="263">
        <v>44.4</v>
      </c>
      <c r="AS19" s="263">
        <v>54.6</v>
      </c>
      <c r="AT19" s="263">
        <v>65.3</v>
      </c>
      <c r="AU19" s="263">
        <v>68.5</v>
      </c>
      <c r="AV19" s="263">
        <v>55.5</v>
      </c>
      <c r="AW19" s="263">
        <v>72.599999999999994</v>
      </c>
      <c r="AX19" s="263">
        <v>92.5</v>
      </c>
      <c r="AY19" s="263">
        <v>112.2</v>
      </c>
      <c r="AZ19" s="263">
        <v>130.80000000000001</v>
      </c>
      <c r="BA19" s="263">
        <v>124.4</v>
      </c>
      <c r="BB19" s="263">
        <v>100.9</v>
      </c>
      <c r="BC19" s="263">
        <v>133.5</v>
      </c>
      <c r="BD19" s="263">
        <v>130.80000000000001</v>
      </c>
      <c r="BE19" s="263">
        <v>164.1</v>
      </c>
      <c r="BF19" s="263">
        <v>203.8</v>
      </c>
      <c r="BG19" s="263">
        <v>217</v>
      </c>
      <c r="BH19" s="263">
        <v>175.2</v>
      </c>
      <c r="BI19" s="263">
        <v>187.5</v>
      </c>
      <c r="BJ19" s="263">
        <v>216.3</v>
      </c>
      <c r="BK19" s="263">
        <v>201</v>
      </c>
      <c r="BL19" s="263">
        <v>195.6</v>
      </c>
      <c r="BM19" s="263">
        <v>236.3</v>
      </c>
      <c r="BN19" s="263">
        <v>253.5</v>
      </c>
      <c r="BO19" s="263">
        <v>274</v>
      </c>
      <c r="BP19" s="263">
        <v>350.8</v>
      </c>
      <c r="BQ19" s="263">
        <v>392.2</v>
      </c>
      <c r="BR19" s="263">
        <v>452.6</v>
      </c>
      <c r="BS19" s="263">
        <v>512.79999999999995</v>
      </c>
      <c r="BT19" s="263">
        <v>453</v>
      </c>
      <c r="BU19" s="263">
        <v>449.4</v>
      </c>
      <c r="BV19" s="263">
        <v>369.9</v>
      </c>
      <c r="BW19" s="263">
        <v>380.3</v>
      </c>
      <c r="BX19" s="263">
        <v>556.1</v>
      </c>
      <c r="BY19" s="263">
        <v>646</v>
      </c>
      <c r="BZ19" s="263">
        <v>772.2</v>
      </c>
      <c r="CA19" s="263">
        <v>826.3</v>
      </c>
      <c r="CB19" s="263">
        <v>917</v>
      </c>
      <c r="CC19" s="263">
        <v>730.1</v>
      </c>
      <c r="CD19" s="263">
        <v>569.29999999999995</v>
      </c>
      <c r="CE19" s="263">
        <v>770.3</v>
      </c>
      <c r="CF19" s="263">
        <v>980.7</v>
      </c>
      <c r="CG19" s="263">
        <v>1015.6</v>
      </c>
      <c r="CH19" s="263">
        <v>1140.2</v>
      </c>
      <c r="CI19" s="263">
        <v>1153.3</v>
      </c>
      <c r="CJ19" s="263">
        <v>1237.7</v>
      </c>
      <c r="CK19" s="263">
        <v>1225.0999999999999</v>
      </c>
      <c r="CL19" s="263">
        <v>1207.7</v>
      </c>
    </row>
    <row r="20" spans="1:90" ht="15">
      <c r="A20" s="263" t="s">
        <v>55</v>
      </c>
      <c r="B20" s="263" t="s">
        <v>965</v>
      </c>
      <c r="C20" s="263">
        <v>5.6</v>
      </c>
      <c r="D20" s="263">
        <v>5.3</v>
      </c>
      <c r="E20" s="263">
        <v>4.0999999999999996</v>
      </c>
      <c r="F20" s="263">
        <v>2.6</v>
      </c>
      <c r="G20" s="263">
        <v>2</v>
      </c>
      <c r="H20" s="263">
        <v>2.5</v>
      </c>
      <c r="I20" s="263">
        <v>2.7</v>
      </c>
      <c r="J20" s="263">
        <v>4.4000000000000004</v>
      </c>
      <c r="K20" s="263">
        <v>4.5</v>
      </c>
      <c r="L20" s="263">
        <v>2.9</v>
      </c>
      <c r="M20" s="263">
        <v>3.6</v>
      </c>
      <c r="N20" s="263">
        <v>3.8</v>
      </c>
      <c r="O20" s="263">
        <v>4.2</v>
      </c>
      <c r="P20" s="263">
        <v>4</v>
      </c>
      <c r="Q20" s="263">
        <v>4.2</v>
      </c>
      <c r="R20" s="263">
        <v>4.3</v>
      </c>
      <c r="S20" s="263">
        <v>4.4000000000000004</v>
      </c>
      <c r="T20" s="263">
        <v>5.0999999999999996</v>
      </c>
      <c r="U20" s="263">
        <v>5.6</v>
      </c>
      <c r="V20" s="263">
        <v>6.2</v>
      </c>
      <c r="W20" s="263">
        <v>6.4</v>
      </c>
      <c r="X20" s="263">
        <v>7.9</v>
      </c>
      <c r="Y20" s="263">
        <v>7.4</v>
      </c>
      <c r="Z20" s="263">
        <v>7.5</v>
      </c>
      <c r="AA20" s="263">
        <v>7.8</v>
      </c>
      <c r="AB20" s="263">
        <v>7.9</v>
      </c>
      <c r="AC20" s="263">
        <v>8.9</v>
      </c>
      <c r="AD20" s="263">
        <v>9.5</v>
      </c>
      <c r="AE20" s="263">
        <v>9.9</v>
      </c>
      <c r="AF20" s="263">
        <v>9.8000000000000007</v>
      </c>
      <c r="AG20" s="263">
        <v>10.7</v>
      </c>
      <c r="AH20" s="263">
        <v>11.4</v>
      </c>
      <c r="AI20" s="263">
        <v>11.5</v>
      </c>
      <c r="AJ20" s="263">
        <v>12.4</v>
      </c>
      <c r="AK20" s="263">
        <v>13.6</v>
      </c>
      <c r="AL20" s="263">
        <v>15</v>
      </c>
      <c r="AM20" s="263">
        <v>16.899999999999999</v>
      </c>
      <c r="AN20" s="263">
        <v>17.8</v>
      </c>
      <c r="AO20" s="263">
        <v>18.3</v>
      </c>
      <c r="AP20" s="263">
        <v>20.2</v>
      </c>
      <c r="AQ20" s="263">
        <v>20.399999999999999</v>
      </c>
      <c r="AR20" s="263">
        <v>20.399999999999999</v>
      </c>
      <c r="AS20" s="263">
        <v>20.3</v>
      </c>
      <c r="AT20" s="263">
        <v>21.9</v>
      </c>
      <c r="AU20" s="263">
        <v>23.1</v>
      </c>
      <c r="AV20" s="263">
        <v>23.5</v>
      </c>
      <c r="AW20" s="263">
        <v>26.4</v>
      </c>
      <c r="AX20" s="263">
        <v>30.1</v>
      </c>
      <c r="AY20" s="263">
        <v>33.700000000000003</v>
      </c>
      <c r="AZ20" s="263">
        <v>39.6</v>
      </c>
      <c r="BA20" s="263">
        <v>41.5</v>
      </c>
      <c r="BB20" s="263">
        <v>47.3</v>
      </c>
      <c r="BC20" s="263">
        <v>58.3</v>
      </c>
      <c r="BD20" s="263">
        <v>61.3</v>
      </c>
      <c r="BE20" s="263">
        <v>71.3</v>
      </c>
      <c r="BF20" s="263">
        <v>78.5</v>
      </c>
      <c r="BG20" s="263">
        <v>85.7</v>
      </c>
      <c r="BH20" s="263">
        <v>88.3</v>
      </c>
      <c r="BI20" s="263">
        <v>95.6</v>
      </c>
      <c r="BJ20" s="263">
        <v>98</v>
      </c>
      <c r="BK20" s="263">
        <v>126.4</v>
      </c>
      <c r="BL20" s="263">
        <v>144.1</v>
      </c>
      <c r="BM20" s="263">
        <v>156.19999999999999</v>
      </c>
      <c r="BN20" s="263">
        <v>161.5</v>
      </c>
      <c r="BO20" s="263">
        <v>184.7</v>
      </c>
      <c r="BP20" s="263">
        <v>197.8</v>
      </c>
      <c r="BQ20" s="263">
        <v>226.2</v>
      </c>
      <c r="BR20" s="263">
        <v>263.10000000000002</v>
      </c>
      <c r="BS20" s="263">
        <v>292.2</v>
      </c>
      <c r="BT20" s="263">
        <v>314.8</v>
      </c>
      <c r="BU20" s="263">
        <v>306.39999999999998</v>
      </c>
      <c r="BV20" s="263">
        <v>355.4</v>
      </c>
      <c r="BW20" s="263">
        <v>329.9</v>
      </c>
      <c r="BX20" s="263">
        <v>352.3</v>
      </c>
      <c r="BY20" s="263">
        <v>401.9</v>
      </c>
      <c r="BZ20" s="263">
        <v>501.8</v>
      </c>
      <c r="CA20" s="263">
        <v>319.7</v>
      </c>
      <c r="CB20" s="263">
        <v>648.1</v>
      </c>
      <c r="CC20" s="263">
        <v>678.5</v>
      </c>
      <c r="CD20" s="263">
        <v>628.1</v>
      </c>
      <c r="CE20" s="263">
        <v>456.5</v>
      </c>
      <c r="CF20" s="263">
        <v>442.5</v>
      </c>
      <c r="CG20" s="263">
        <v>548.79999999999995</v>
      </c>
      <c r="CH20" s="263">
        <v>680.1</v>
      </c>
      <c r="CI20" s="263">
        <v>790.9</v>
      </c>
      <c r="CJ20" s="263">
        <v>838.5</v>
      </c>
      <c r="CK20" s="263">
        <v>898.6</v>
      </c>
      <c r="CL20" s="263">
        <v>822.2</v>
      </c>
    </row>
    <row r="21" spans="1:90" ht="15">
      <c r="A21" s="263" t="s">
        <v>54</v>
      </c>
      <c r="B21" s="263" t="s">
        <v>966</v>
      </c>
      <c r="C21" s="263">
        <v>3.7</v>
      </c>
      <c r="D21" s="263">
        <v>1.2</v>
      </c>
      <c r="E21" s="263">
        <v>-1.6</v>
      </c>
      <c r="F21" s="263">
        <v>-3.1</v>
      </c>
      <c r="G21" s="263">
        <v>-2.7</v>
      </c>
      <c r="H21" s="263">
        <v>-0.8</v>
      </c>
      <c r="I21" s="263">
        <v>0.2</v>
      </c>
      <c r="J21" s="263">
        <v>0.3</v>
      </c>
      <c r="K21" s="263">
        <v>0.7</v>
      </c>
      <c r="L21" s="263">
        <v>0.8</v>
      </c>
      <c r="M21" s="263">
        <v>1.2</v>
      </c>
      <c r="N21" s="263">
        <v>3</v>
      </c>
      <c r="O21" s="263">
        <v>3.5</v>
      </c>
      <c r="P21" s="263">
        <v>5</v>
      </c>
      <c r="Q21" s="263">
        <v>6.2</v>
      </c>
      <c r="R21" s="263">
        <v>7.3</v>
      </c>
      <c r="S21" s="263">
        <v>5</v>
      </c>
      <c r="T21" s="263">
        <v>3.3</v>
      </c>
      <c r="U21" s="263">
        <v>6.3</v>
      </c>
      <c r="V21" s="263">
        <v>11.5</v>
      </c>
      <c r="W21" s="263">
        <v>11.3</v>
      </c>
      <c r="X21" s="263">
        <v>9</v>
      </c>
      <c r="Y21" s="263">
        <v>9.5</v>
      </c>
      <c r="Z21" s="263">
        <v>10.9</v>
      </c>
      <c r="AA21" s="263">
        <v>10.5</v>
      </c>
      <c r="AB21" s="263">
        <v>12</v>
      </c>
      <c r="AC21" s="263">
        <v>16.899999999999999</v>
      </c>
      <c r="AD21" s="263">
        <v>15.4</v>
      </c>
      <c r="AE21" s="263">
        <v>14.8</v>
      </c>
      <c r="AF21" s="263">
        <v>12.5</v>
      </c>
      <c r="AG21" s="263">
        <v>18.399999999999999</v>
      </c>
      <c r="AH21" s="263">
        <v>17.399999999999999</v>
      </c>
      <c r="AI21" s="263">
        <v>18.2</v>
      </c>
      <c r="AJ21" s="263">
        <v>23.8</v>
      </c>
      <c r="AK21" s="263">
        <v>26.5</v>
      </c>
      <c r="AL21" s="263">
        <v>30.1</v>
      </c>
      <c r="AM21" s="263">
        <v>36.6</v>
      </c>
      <c r="AN21" s="263">
        <v>39.9</v>
      </c>
      <c r="AO21" s="263">
        <v>37.9</v>
      </c>
      <c r="AP21" s="263">
        <v>36.299999999999997</v>
      </c>
      <c r="AQ21" s="263">
        <v>31.4</v>
      </c>
      <c r="AR21" s="263">
        <v>24</v>
      </c>
      <c r="AS21" s="263">
        <v>34.299999999999997</v>
      </c>
      <c r="AT21" s="263">
        <v>43.4</v>
      </c>
      <c r="AU21" s="263">
        <v>45.4</v>
      </c>
      <c r="AV21" s="263">
        <v>32</v>
      </c>
      <c r="AW21" s="263">
        <v>46.2</v>
      </c>
      <c r="AX21" s="263">
        <v>62.4</v>
      </c>
      <c r="AY21" s="263">
        <v>78.5</v>
      </c>
      <c r="AZ21" s="263">
        <v>91.2</v>
      </c>
      <c r="BA21" s="263">
        <v>82.9</v>
      </c>
      <c r="BB21" s="263">
        <v>53.6</v>
      </c>
      <c r="BC21" s="263">
        <v>75.2</v>
      </c>
      <c r="BD21" s="263">
        <v>69.400000000000006</v>
      </c>
      <c r="BE21" s="263">
        <v>92.7</v>
      </c>
      <c r="BF21" s="263">
        <v>125.3</v>
      </c>
      <c r="BG21" s="263">
        <v>131.30000000000001</v>
      </c>
      <c r="BH21" s="263">
        <v>86.9</v>
      </c>
      <c r="BI21" s="263">
        <v>91.9</v>
      </c>
      <c r="BJ21" s="263">
        <v>118.2</v>
      </c>
      <c r="BK21" s="263">
        <v>74.7</v>
      </c>
      <c r="BL21" s="263">
        <v>51.6</v>
      </c>
      <c r="BM21" s="263">
        <v>80.099999999999994</v>
      </c>
      <c r="BN21" s="263">
        <v>92</v>
      </c>
      <c r="BO21" s="263">
        <v>89.3</v>
      </c>
      <c r="BP21" s="263">
        <v>153</v>
      </c>
      <c r="BQ21" s="263">
        <v>166.1</v>
      </c>
      <c r="BR21" s="263">
        <v>189.5</v>
      </c>
      <c r="BS21" s="263">
        <v>220.6</v>
      </c>
      <c r="BT21" s="263">
        <v>138.19999999999999</v>
      </c>
      <c r="BU21" s="263">
        <v>143.1</v>
      </c>
      <c r="BV21" s="263">
        <v>14.5</v>
      </c>
      <c r="BW21" s="263">
        <v>50.4</v>
      </c>
      <c r="BX21" s="263">
        <v>203.8</v>
      </c>
      <c r="BY21" s="263">
        <v>244.1</v>
      </c>
      <c r="BZ21" s="263">
        <v>270.39999999999998</v>
      </c>
      <c r="CA21" s="263">
        <v>506.6</v>
      </c>
      <c r="CB21" s="263">
        <v>268.89999999999998</v>
      </c>
      <c r="CC21" s="263">
        <v>51.6</v>
      </c>
      <c r="CD21" s="263">
        <v>-58.8</v>
      </c>
      <c r="CE21" s="263">
        <v>313.8</v>
      </c>
      <c r="CF21" s="263">
        <v>538.1</v>
      </c>
      <c r="CG21" s="263">
        <v>466.9</v>
      </c>
      <c r="CH21" s="263">
        <v>460.1</v>
      </c>
      <c r="CI21" s="263">
        <v>362.4</v>
      </c>
      <c r="CJ21" s="263">
        <v>399.2</v>
      </c>
      <c r="CK21" s="263">
        <v>326.39999999999998</v>
      </c>
      <c r="CL21" s="263">
        <v>385.5</v>
      </c>
    </row>
    <row r="22" spans="1:90" ht="15">
      <c r="A22" s="263" t="s">
        <v>53</v>
      </c>
      <c r="B22" s="269" t="s">
        <v>967</v>
      </c>
      <c r="C22" s="263">
        <v>4</v>
      </c>
      <c r="D22" s="263">
        <v>2.9</v>
      </c>
      <c r="E22" s="263">
        <v>2.4</v>
      </c>
      <c r="F22" s="263">
        <v>2.1</v>
      </c>
      <c r="G22" s="263">
        <v>1.9</v>
      </c>
      <c r="H22" s="263">
        <v>2</v>
      </c>
      <c r="I22" s="263">
        <v>2.2000000000000002</v>
      </c>
      <c r="J22" s="263">
        <v>2.5</v>
      </c>
      <c r="K22" s="263">
        <v>2.6</v>
      </c>
      <c r="L22" s="263">
        <v>2.8</v>
      </c>
      <c r="M22" s="263">
        <v>2.9</v>
      </c>
      <c r="N22" s="263">
        <v>3</v>
      </c>
      <c r="O22" s="263">
        <v>3.3</v>
      </c>
      <c r="P22" s="263">
        <v>3.4</v>
      </c>
      <c r="Q22" s="263">
        <v>3.8</v>
      </c>
      <c r="R22" s="263">
        <v>4</v>
      </c>
      <c r="S22" s="263">
        <v>4.2</v>
      </c>
      <c r="T22" s="263">
        <v>5.0999999999999996</v>
      </c>
      <c r="U22" s="263">
        <v>5.3</v>
      </c>
      <c r="V22" s="263">
        <v>6.1</v>
      </c>
      <c r="W22" s="263">
        <v>6.8</v>
      </c>
      <c r="X22" s="263">
        <v>7.3</v>
      </c>
      <c r="Y22" s="263">
        <v>8.1999999999999993</v>
      </c>
      <c r="Z22" s="263">
        <v>9.1999999999999993</v>
      </c>
      <c r="AA22" s="263">
        <v>10.199999999999999</v>
      </c>
      <c r="AB22" s="263">
        <v>10.8</v>
      </c>
      <c r="AC22" s="263">
        <v>11.8</v>
      </c>
      <c r="AD22" s="263">
        <v>12.9</v>
      </c>
      <c r="AE22" s="263">
        <v>13.8</v>
      </c>
      <c r="AF22" s="263">
        <v>14.7</v>
      </c>
      <c r="AG22" s="263">
        <v>15.9</v>
      </c>
      <c r="AH22" s="263">
        <v>17.5</v>
      </c>
      <c r="AI22" s="263">
        <v>18.399999999999999</v>
      </c>
      <c r="AJ22" s="263">
        <v>19.3</v>
      </c>
      <c r="AK22" s="263">
        <v>19.600000000000001</v>
      </c>
      <c r="AL22" s="263">
        <v>21.6</v>
      </c>
      <c r="AM22" s="263">
        <v>23.2</v>
      </c>
      <c r="AN22" s="263">
        <v>25.1</v>
      </c>
      <c r="AO22" s="263">
        <v>28.1</v>
      </c>
      <c r="AP22" s="263">
        <v>31.3</v>
      </c>
      <c r="AQ22" s="263">
        <v>36.200000000000003</v>
      </c>
      <c r="AR22" s="263">
        <v>39.4</v>
      </c>
      <c r="AS22" s="263">
        <v>43.1</v>
      </c>
      <c r="AT22" s="263">
        <v>47.2</v>
      </c>
      <c r="AU22" s="263">
        <v>51.7</v>
      </c>
      <c r="AV22" s="263">
        <v>59.9</v>
      </c>
      <c r="AW22" s="263">
        <v>67.599999999999994</v>
      </c>
      <c r="AX22" s="263">
        <v>73</v>
      </c>
      <c r="AY22" s="263">
        <v>85.5</v>
      </c>
      <c r="AZ22" s="263">
        <v>103.4</v>
      </c>
      <c r="BA22" s="263">
        <v>114.6</v>
      </c>
      <c r="BB22" s="263">
        <v>128.5</v>
      </c>
      <c r="BC22" s="263">
        <v>146.80000000000001</v>
      </c>
      <c r="BD22" s="263">
        <v>164.5</v>
      </c>
      <c r="BE22" s="263">
        <v>187.4</v>
      </c>
      <c r="BF22" s="263">
        <v>209.7</v>
      </c>
      <c r="BG22" s="263">
        <v>236.3</v>
      </c>
      <c r="BH22" s="263">
        <v>247.1</v>
      </c>
      <c r="BI22" s="263">
        <v>260.39999999999998</v>
      </c>
      <c r="BJ22" s="263">
        <v>276.8</v>
      </c>
      <c r="BK22" s="263">
        <v>308.2</v>
      </c>
      <c r="BL22" s="263">
        <v>316</v>
      </c>
      <c r="BM22" s="263">
        <v>332.3</v>
      </c>
      <c r="BN22" s="263">
        <v>373.4</v>
      </c>
      <c r="BO22" s="263">
        <v>391.6</v>
      </c>
      <c r="BP22" s="263">
        <v>402.8</v>
      </c>
      <c r="BQ22" s="263">
        <v>442.5</v>
      </c>
      <c r="BR22" s="263">
        <v>484</v>
      </c>
      <c r="BS22" s="263">
        <v>545.20000000000005</v>
      </c>
      <c r="BT22" s="263">
        <v>612.1</v>
      </c>
      <c r="BU22" s="263">
        <v>645.6</v>
      </c>
      <c r="BV22" s="263">
        <v>714.3</v>
      </c>
      <c r="BW22" s="263">
        <v>754.8</v>
      </c>
      <c r="BX22" s="263">
        <v>779.9</v>
      </c>
      <c r="BY22" s="263">
        <v>819.8</v>
      </c>
      <c r="BZ22" s="263">
        <v>859.8</v>
      </c>
      <c r="CA22" s="263">
        <v>951.9</v>
      </c>
      <c r="CB22" s="263">
        <v>1038.3</v>
      </c>
      <c r="CC22" s="263">
        <v>985.2</v>
      </c>
      <c r="CD22" s="263">
        <v>835.7</v>
      </c>
      <c r="CE22" s="263">
        <v>964.1</v>
      </c>
      <c r="CF22" s="263">
        <v>996.7</v>
      </c>
      <c r="CG22" s="263">
        <v>1019.5</v>
      </c>
      <c r="CH22" s="263">
        <v>1136.9000000000001</v>
      </c>
      <c r="CI22" s="263">
        <v>1136.9000000000001</v>
      </c>
      <c r="CJ22" s="263">
        <v>1283.3</v>
      </c>
      <c r="CK22" s="263">
        <v>1399.2</v>
      </c>
      <c r="CL22" s="263">
        <v>1445.7</v>
      </c>
    </row>
    <row r="23" spans="1:90" ht="15">
      <c r="A23" s="263" t="s">
        <v>52</v>
      </c>
      <c r="B23" s="269" t="s">
        <v>968</v>
      </c>
      <c r="C23" s="263">
        <v>50.8</v>
      </c>
      <c r="D23" s="263">
        <v>45.3</v>
      </c>
      <c r="E23" s="263">
        <v>35.4</v>
      </c>
      <c r="F23" s="263">
        <v>25.7</v>
      </c>
      <c r="G23" s="263">
        <v>25</v>
      </c>
      <c r="H23" s="263">
        <v>31.5</v>
      </c>
      <c r="I23" s="263">
        <v>34.9</v>
      </c>
      <c r="J23" s="263">
        <v>40.200000000000003</v>
      </c>
      <c r="K23" s="263">
        <v>45.8</v>
      </c>
      <c r="L23" s="263">
        <v>40.200000000000003</v>
      </c>
      <c r="M23" s="263">
        <v>44.4</v>
      </c>
      <c r="N23" s="263">
        <v>51.1</v>
      </c>
      <c r="O23" s="263">
        <v>66.7</v>
      </c>
      <c r="P23" s="263">
        <v>84</v>
      </c>
      <c r="Q23" s="263">
        <v>99.7</v>
      </c>
      <c r="R23" s="263">
        <v>103.2</v>
      </c>
      <c r="S23" s="263">
        <v>96.6</v>
      </c>
      <c r="T23" s="263">
        <v>100.8</v>
      </c>
      <c r="U23" s="263">
        <v>122.2</v>
      </c>
      <c r="V23" s="263">
        <v>140</v>
      </c>
      <c r="W23" s="263">
        <v>136.30000000000001</v>
      </c>
      <c r="X23" s="263">
        <v>154.9</v>
      </c>
      <c r="Y23" s="263">
        <v>177.6</v>
      </c>
      <c r="Z23" s="263">
        <v>185.9</v>
      </c>
      <c r="AA23" s="263">
        <v>199</v>
      </c>
      <c r="AB23" s="263">
        <v>196.2</v>
      </c>
      <c r="AC23" s="263">
        <v>221.4</v>
      </c>
      <c r="AD23" s="263">
        <v>237.2</v>
      </c>
      <c r="AE23" s="263">
        <v>247.9</v>
      </c>
      <c r="AF23" s="263">
        <v>242.2</v>
      </c>
      <c r="AG23" s="263">
        <v>271.60000000000002</v>
      </c>
      <c r="AH23" s="263">
        <v>282.5</v>
      </c>
      <c r="AI23" s="263">
        <v>290.39999999999998</v>
      </c>
      <c r="AJ23" s="263">
        <v>316.8</v>
      </c>
      <c r="AK23" s="263">
        <v>337.8</v>
      </c>
      <c r="AL23" s="263">
        <v>364.5</v>
      </c>
      <c r="AM23" s="263">
        <v>400.7</v>
      </c>
      <c r="AN23" s="263">
        <v>440.1</v>
      </c>
      <c r="AO23" s="263">
        <v>463.2</v>
      </c>
      <c r="AP23" s="263">
        <v>510.9</v>
      </c>
      <c r="AQ23" s="263">
        <v>554.6</v>
      </c>
      <c r="AR23" s="263">
        <v>572.79999999999995</v>
      </c>
      <c r="AS23" s="263">
        <v>618</v>
      </c>
      <c r="AT23" s="263">
        <v>685.9</v>
      </c>
      <c r="AU23" s="263">
        <v>768.8</v>
      </c>
      <c r="AV23" s="263">
        <v>830.1</v>
      </c>
      <c r="AW23" s="263">
        <v>898.3</v>
      </c>
      <c r="AX23" s="263">
        <v>1014.8</v>
      </c>
      <c r="AY23" s="263">
        <v>1147.5</v>
      </c>
      <c r="AZ23" s="263">
        <v>1304.0999999999999</v>
      </c>
      <c r="BA23" s="263">
        <v>1450.4</v>
      </c>
      <c r="BB23" s="263">
        <v>1574.2</v>
      </c>
      <c r="BC23" s="263">
        <v>1788.4</v>
      </c>
      <c r="BD23" s="263">
        <v>1854.3</v>
      </c>
      <c r="BE23" s="263">
        <v>1985.5</v>
      </c>
      <c r="BF23" s="263">
        <v>2225.5</v>
      </c>
      <c r="BG23" s="263">
        <v>2369.5</v>
      </c>
      <c r="BH23" s="263">
        <v>2465.3000000000002</v>
      </c>
      <c r="BI23" s="263">
        <v>2642.5</v>
      </c>
      <c r="BJ23" s="263">
        <v>2874.5</v>
      </c>
      <c r="BK23" s="263">
        <v>3020.8</v>
      </c>
      <c r="BL23" s="263">
        <v>3161.2</v>
      </c>
      <c r="BM23" s="263">
        <v>3231.8</v>
      </c>
      <c r="BN23" s="263">
        <v>3377.1</v>
      </c>
      <c r="BO23" s="263">
        <v>3535.3</v>
      </c>
      <c r="BP23" s="263">
        <v>3816.5</v>
      </c>
      <c r="BQ23" s="263">
        <v>4041.4</v>
      </c>
      <c r="BR23" s="263">
        <v>4296.1000000000004</v>
      </c>
      <c r="BS23" s="263">
        <v>4608.3999999999996</v>
      </c>
      <c r="BT23" s="263">
        <v>4873.7</v>
      </c>
      <c r="BU23" s="263">
        <v>5169.8999999999996</v>
      </c>
      <c r="BV23" s="263">
        <v>5513</v>
      </c>
      <c r="BW23" s="263">
        <v>5471.2</v>
      </c>
      <c r="BX23" s="263">
        <v>5538.9</v>
      </c>
      <c r="BY23" s="263">
        <v>5724.4</v>
      </c>
      <c r="BZ23" s="263">
        <v>6107.9</v>
      </c>
      <c r="CA23" s="263">
        <v>6532.1</v>
      </c>
      <c r="CB23" s="263">
        <v>6988</v>
      </c>
      <c r="CC23" s="263">
        <v>7203.9</v>
      </c>
      <c r="CD23" s="263">
        <v>7256.8</v>
      </c>
      <c r="CE23" s="263">
        <v>6859.8</v>
      </c>
      <c r="CF23" s="263">
        <v>7238.7</v>
      </c>
      <c r="CG23" s="263">
        <v>7592.3</v>
      </c>
      <c r="CH23" s="263">
        <v>8011.9</v>
      </c>
      <c r="CI23" s="263">
        <v>8305.2000000000007</v>
      </c>
      <c r="CJ23" s="263">
        <v>8716.9</v>
      </c>
      <c r="CK23" s="263">
        <v>9059.2999999999993</v>
      </c>
      <c r="CL23" s="263">
        <v>9165.4</v>
      </c>
    </row>
    <row r="24" spans="1:90" ht="15">
      <c r="A24" s="263" t="s">
        <v>51</v>
      </c>
      <c r="B24" s="263" t="s">
        <v>541</v>
      </c>
      <c r="C24" s="263">
        <v>5</v>
      </c>
      <c r="D24" s="263">
        <v>4.9000000000000004</v>
      </c>
      <c r="E24" s="263">
        <v>4.5999999999999996</v>
      </c>
      <c r="F24" s="263">
        <v>4.0999999999999996</v>
      </c>
      <c r="G24" s="263">
        <v>3.9</v>
      </c>
      <c r="H24" s="263">
        <v>3.9</v>
      </c>
      <c r="I24" s="263">
        <v>4</v>
      </c>
      <c r="J24" s="263">
        <v>4.0999999999999996</v>
      </c>
      <c r="K24" s="263">
        <v>4.5999999999999996</v>
      </c>
      <c r="L24" s="263">
        <v>4.5999999999999996</v>
      </c>
      <c r="M24" s="263">
        <v>4.5999999999999996</v>
      </c>
      <c r="N24" s="263">
        <v>4.8</v>
      </c>
      <c r="O24" s="263">
        <v>5.4</v>
      </c>
      <c r="P24" s="263">
        <v>6.1</v>
      </c>
      <c r="Q24" s="263">
        <v>6.3</v>
      </c>
      <c r="R24" s="263">
        <v>6.5</v>
      </c>
      <c r="S24" s="263">
        <v>6.7</v>
      </c>
      <c r="T24" s="263">
        <v>7.8</v>
      </c>
      <c r="U24" s="263">
        <v>9.5</v>
      </c>
      <c r="V24" s="263">
        <v>11.1</v>
      </c>
      <c r="W24" s="263">
        <v>12</v>
      </c>
      <c r="X24" s="263">
        <v>12.8</v>
      </c>
      <c r="Y24" s="263">
        <v>14.6</v>
      </c>
      <c r="Z24" s="263">
        <v>15.6</v>
      </c>
      <c r="AA24" s="263">
        <v>16.7</v>
      </c>
      <c r="AB24" s="263">
        <v>17.7</v>
      </c>
      <c r="AC24" s="263">
        <v>18.899999999999999</v>
      </c>
      <c r="AD24" s="263">
        <v>21.4</v>
      </c>
      <c r="AE24" s="263">
        <v>23.8</v>
      </c>
      <c r="AF24" s="263">
        <v>25.5</v>
      </c>
      <c r="AG24" s="263">
        <v>26.7</v>
      </c>
      <c r="AH24" s="263">
        <v>27.6</v>
      </c>
      <c r="AI24" s="263">
        <v>28.6</v>
      </c>
      <c r="AJ24" s="263">
        <v>29.8</v>
      </c>
      <c r="AK24" s="263">
        <v>31.3</v>
      </c>
      <c r="AL24" s="263">
        <v>33.299999999999997</v>
      </c>
      <c r="AM24" s="263">
        <v>35.799999999999997</v>
      </c>
      <c r="AN24" s="263">
        <v>39.4</v>
      </c>
      <c r="AO24" s="263">
        <v>43.5</v>
      </c>
      <c r="AP24" s="263">
        <v>48.1</v>
      </c>
      <c r="AQ24" s="263">
        <v>53.5</v>
      </c>
      <c r="AR24" s="263">
        <v>59.3</v>
      </c>
      <c r="AS24" s="263">
        <v>64.7</v>
      </c>
      <c r="AT24" s="263">
        <v>70.2</v>
      </c>
      <c r="AU24" s="263">
        <v>78.2</v>
      </c>
      <c r="AV24" s="263">
        <v>91.4</v>
      </c>
      <c r="AW24" s="263">
        <v>107.7</v>
      </c>
      <c r="AX24" s="263">
        <v>118.3</v>
      </c>
      <c r="AY24" s="263">
        <v>132.6</v>
      </c>
      <c r="AZ24" s="263">
        <v>150.19999999999999</v>
      </c>
      <c r="BA24" s="263">
        <v>172.4</v>
      </c>
      <c r="BB24" s="263">
        <v>198.9</v>
      </c>
      <c r="BC24" s="263">
        <v>229.1</v>
      </c>
      <c r="BD24" s="263">
        <v>253.9</v>
      </c>
      <c r="BE24" s="263">
        <v>264.60000000000002</v>
      </c>
      <c r="BF24" s="263">
        <v>279</v>
      </c>
      <c r="BG24" s="263">
        <v>299</v>
      </c>
      <c r="BH24" s="263">
        <v>317.89999999999998</v>
      </c>
      <c r="BI24" s="263">
        <v>334.7</v>
      </c>
      <c r="BJ24" s="263">
        <v>357.7</v>
      </c>
      <c r="BK24" s="263">
        <v>380.1</v>
      </c>
      <c r="BL24" s="263">
        <v>403</v>
      </c>
      <c r="BM24" s="263">
        <v>424.5</v>
      </c>
      <c r="BN24" s="263">
        <v>437.8</v>
      </c>
      <c r="BO24" s="263">
        <v>457.9</v>
      </c>
      <c r="BP24" s="263">
        <v>484.8</v>
      </c>
      <c r="BQ24" s="263">
        <v>523.70000000000005</v>
      </c>
      <c r="BR24" s="263">
        <v>557.4</v>
      </c>
      <c r="BS24" s="263">
        <v>598.4</v>
      </c>
      <c r="BT24" s="263">
        <v>638.20000000000005</v>
      </c>
      <c r="BU24" s="263">
        <v>683.4</v>
      </c>
      <c r="BV24" s="263">
        <v>741.9</v>
      </c>
      <c r="BW24" s="263">
        <v>785.3</v>
      </c>
      <c r="BX24" s="263">
        <v>804.7</v>
      </c>
      <c r="BY24" s="263">
        <v>818</v>
      </c>
      <c r="BZ24" s="263">
        <v>850.2</v>
      </c>
      <c r="CA24" s="263">
        <v>909.9</v>
      </c>
      <c r="CB24" s="263">
        <v>979.4</v>
      </c>
      <c r="CC24" s="263">
        <v>1040.3</v>
      </c>
      <c r="CD24" s="263">
        <v>1093.9000000000001</v>
      </c>
      <c r="CE24" s="263">
        <v>1092</v>
      </c>
      <c r="CF24" s="263">
        <v>1094.5999999999999</v>
      </c>
      <c r="CG24" s="263">
        <v>1139.2</v>
      </c>
      <c r="CH24" s="263">
        <v>1186.2</v>
      </c>
      <c r="CI24" s="263">
        <v>1228.2</v>
      </c>
      <c r="CJ24" s="263">
        <v>1285.7</v>
      </c>
      <c r="CK24" s="263">
        <v>1336.1</v>
      </c>
      <c r="CL24" s="263">
        <v>1364.9</v>
      </c>
    </row>
    <row r="25" spans="1:90" ht="15">
      <c r="A25" s="263" t="s">
        <v>49</v>
      </c>
      <c r="B25" s="263" t="s">
        <v>540</v>
      </c>
      <c r="C25" s="263">
        <v>45.8</v>
      </c>
      <c r="D25" s="263">
        <v>40.4</v>
      </c>
      <c r="E25" s="263">
        <v>30.9</v>
      </c>
      <c r="F25" s="263">
        <v>21.6</v>
      </c>
      <c r="G25" s="263">
        <v>21.1</v>
      </c>
      <c r="H25" s="263">
        <v>27.5</v>
      </c>
      <c r="I25" s="263">
        <v>30.9</v>
      </c>
      <c r="J25" s="263">
        <v>36.1</v>
      </c>
      <c r="K25" s="263">
        <v>41.2</v>
      </c>
      <c r="L25" s="263">
        <v>35.6</v>
      </c>
      <c r="M25" s="263">
        <v>39.799999999999997</v>
      </c>
      <c r="N25" s="263">
        <v>46.2</v>
      </c>
      <c r="O25" s="263">
        <v>61.3</v>
      </c>
      <c r="P25" s="263">
        <v>77.900000000000006</v>
      </c>
      <c r="Q25" s="263">
        <v>93.4</v>
      </c>
      <c r="R25" s="263">
        <v>96.7</v>
      </c>
      <c r="S25" s="263">
        <v>89.8</v>
      </c>
      <c r="T25" s="263">
        <v>93</v>
      </c>
      <c r="U25" s="263">
        <v>112.7</v>
      </c>
      <c r="V25" s="263">
        <v>128.9</v>
      </c>
      <c r="W25" s="263">
        <v>124.3</v>
      </c>
      <c r="X25" s="263">
        <v>142</v>
      </c>
      <c r="Y25" s="263">
        <v>163</v>
      </c>
      <c r="Z25" s="263">
        <v>170.3</v>
      </c>
      <c r="AA25" s="263">
        <v>182.3</v>
      </c>
      <c r="AB25" s="263">
        <v>178.4</v>
      </c>
      <c r="AC25" s="263">
        <v>202.5</v>
      </c>
      <c r="AD25" s="263">
        <v>215.9</v>
      </c>
      <c r="AE25" s="263">
        <v>224.2</v>
      </c>
      <c r="AF25" s="263">
        <v>216.8</v>
      </c>
      <c r="AG25" s="263">
        <v>245</v>
      </c>
      <c r="AH25" s="263">
        <v>254.9</v>
      </c>
      <c r="AI25" s="263">
        <v>261.89999999999998</v>
      </c>
      <c r="AJ25" s="263">
        <v>287</v>
      </c>
      <c r="AK25" s="263">
        <v>306.5</v>
      </c>
      <c r="AL25" s="263">
        <v>331.3</v>
      </c>
      <c r="AM25" s="263">
        <v>364.9</v>
      </c>
      <c r="AN25" s="263">
        <v>400.7</v>
      </c>
      <c r="AO25" s="263">
        <v>419.7</v>
      </c>
      <c r="AP25" s="263">
        <v>462.8</v>
      </c>
      <c r="AQ25" s="263">
        <v>501.1</v>
      </c>
      <c r="AR25" s="263">
        <v>513.6</v>
      </c>
      <c r="AS25" s="263">
        <v>553.29999999999995</v>
      </c>
      <c r="AT25" s="263">
        <v>615.79999999999995</v>
      </c>
      <c r="AU25" s="263">
        <v>690.7</v>
      </c>
      <c r="AV25" s="263">
        <v>738.7</v>
      </c>
      <c r="AW25" s="263">
        <v>790.6</v>
      </c>
      <c r="AX25" s="263">
        <v>896.5</v>
      </c>
      <c r="AY25" s="263">
        <v>1015</v>
      </c>
      <c r="AZ25" s="263">
        <v>1154</v>
      </c>
      <c r="BA25" s="263">
        <v>1278</v>
      </c>
      <c r="BB25" s="263">
        <v>1375.4</v>
      </c>
      <c r="BC25" s="263">
        <v>1559.3</v>
      </c>
      <c r="BD25" s="263">
        <v>1600.4</v>
      </c>
      <c r="BE25" s="263">
        <v>1720.9</v>
      </c>
      <c r="BF25" s="263">
        <v>1946.6</v>
      </c>
      <c r="BG25" s="263">
        <v>2070.6</v>
      </c>
      <c r="BH25" s="263">
        <v>2147.5</v>
      </c>
      <c r="BI25" s="263">
        <v>2307.8000000000002</v>
      </c>
      <c r="BJ25" s="263">
        <v>2516.8000000000002</v>
      </c>
      <c r="BK25" s="263">
        <v>2640.7</v>
      </c>
      <c r="BL25" s="263">
        <v>2758.3</v>
      </c>
      <c r="BM25" s="263">
        <v>2807.3</v>
      </c>
      <c r="BN25" s="263">
        <v>2939.4</v>
      </c>
      <c r="BO25" s="263">
        <v>3077.3</v>
      </c>
      <c r="BP25" s="263">
        <v>3331.8</v>
      </c>
      <c r="BQ25" s="263">
        <v>3517.7</v>
      </c>
      <c r="BR25" s="263">
        <v>3738.8</v>
      </c>
      <c r="BS25" s="263">
        <v>4010</v>
      </c>
      <c r="BT25" s="263">
        <v>4235.5</v>
      </c>
      <c r="BU25" s="263">
        <v>4486.5</v>
      </c>
      <c r="BV25" s="263">
        <v>4771.1000000000004</v>
      </c>
      <c r="BW25" s="263">
        <v>4685.8999999999996</v>
      </c>
      <c r="BX25" s="263">
        <v>4734.2</v>
      </c>
      <c r="BY25" s="263">
        <v>4906.5</v>
      </c>
      <c r="BZ25" s="263">
        <v>5257.7</v>
      </c>
      <c r="CA25" s="263">
        <v>5622.2</v>
      </c>
      <c r="CB25" s="263">
        <v>6008.7</v>
      </c>
      <c r="CC25" s="263">
        <v>6163.6</v>
      </c>
      <c r="CD25" s="263">
        <v>6162.8</v>
      </c>
      <c r="CE25" s="263">
        <v>5767.8</v>
      </c>
      <c r="CF25" s="263">
        <v>6144.2</v>
      </c>
      <c r="CG25" s="263">
        <v>6453.1</v>
      </c>
      <c r="CH25" s="263">
        <v>6825.7</v>
      </c>
      <c r="CI25" s="263">
        <v>7077</v>
      </c>
      <c r="CJ25" s="263">
        <v>7431.2</v>
      </c>
      <c r="CK25" s="263">
        <v>7723.3</v>
      </c>
      <c r="CL25" s="263">
        <v>7800.5</v>
      </c>
    </row>
    <row r="26" spans="1:90" ht="15">
      <c r="A26" s="263" t="s">
        <v>47</v>
      </c>
      <c r="B26" s="263" t="s">
        <v>634</v>
      </c>
      <c r="C26" s="263">
        <v>32.1</v>
      </c>
      <c r="D26" s="263">
        <v>28.8</v>
      </c>
      <c r="E26" s="263">
        <v>23.5</v>
      </c>
      <c r="F26" s="263">
        <v>17.399999999999999</v>
      </c>
      <c r="G26" s="263">
        <v>16.600000000000001</v>
      </c>
      <c r="H26" s="263">
        <v>19.600000000000001</v>
      </c>
      <c r="I26" s="263">
        <v>21.5</v>
      </c>
      <c r="J26" s="263">
        <v>24.6</v>
      </c>
      <c r="K26" s="263">
        <v>28.8</v>
      </c>
      <c r="L26" s="263">
        <v>25.5</v>
      </c>
      <c r="M26" s="263">
        <v>28</v>
      </c>
      <c r="N26" s="263">
        <v>31</v>
      </c>
      <c r="O26" s="263">
        <v>39.6</v>
      </c>
      <c r="P26" s="263">
        <v>50.8</v>
      </c>
      <c r="Q26" s="263">
        <v>62</v>
      </c>
      <c r="R26" s="263">
        <v>64.8</v>
      </c>
      <c r="S26" s="263">
        <v>61.7</v>
      </c>
      <c r="T26" s="263">
        <v>66.900000000000006</v>
      </c>
      <c r="U26" s="263">
        <v>78.8</v>
      </c>
      <c r="V26" s="263">
        <v>87.5</v>
      </c>
      <c r="W26" s="263">
        <v>84.9</v>
      </c>
      <c r="X26" s="263">
        <v>94.4</v>
      </c>
      <c r="Y26" s="263">
        <v>109.8</v>
      </c>
      <c r="Z26" s="263">
        <v>117.8</v>
      </c>
      <c r="AA26" s="263">
        <v>128.19999999999999</v>
      </c>
      <c r="AB26" s="263">
        <v>125.9</v>
      </c>
      <c r="AC26" s="263">
        <v>137.9</v>
      </c>
      <c r="AD26" s="263">
        <v>150.80000000000001</v>
      </c>
      <c r="AE26" s="263">
        <v>158.4</v>
      </c>
      <c r="AF26" s="263">
        <v>155.19999999999999</v>
      </c>
      <c r="AG26" s="263">
        <v>170.8</v>
      </c>
      <c r="AH26" s="263">
        <v>180.4</v>
      </c>
      <c r="AI26" s="263">
        <v>184.5</v>
      </c>
      <c r="AJ26" s="263">
        <v>199.3</v>
      </c>
      <c r="AK26" s="263">
        <v>210.1</v>
      </c>
      <c r="AL26" s="263">
        <v>225.7</v>
      </c>
      <c r="AM26" s="263">
        <v>245.4</v>
      </c>
      <c r="AN26" s="263">
        <v>272.89999999999998</v>
      </c>
      <c r="AO26" s="263">
        <v>291.10000000000002</v>
      </c>
      <c r="AP26" s="263">
        <v>320.89999999999998</v>
      </c>
      <c r="AQ26" s="263">
        <v>356.1</v>
      </c>
      <c r="AR26" s="263">
        <v>374.5</v>
      </c>
      <c r="AS26" s="263">
        <v>396.2</v>
      </c>
      <c r="AT26" s="263">
        <v>439.9</v>
      </c>
      <c r="AU26" s="263">
        <v>495.1</v>
      </c>
      <c r="AV26" s="263">
        <v>542.9</v>
      </c>
      <c r="AW26" s="263">
        <v>569</v>
      </c>
      <c r="AX26" s="263">
        <v>640</v>
      </c>
      <c r="AY26" s="263">
        <v>723.3</v>
      </c>
      <c r="AZ26" s="263">
        <v>829.5</v>
      </c>
      <c r="BA26" s="263">
        <v>942.4</v>
      </c>
      <c r="BB26" s="263">
        <v>1030.7</v>
      </c>
      <c r="BC26" s="263">
        <v>1139.9000000000001</v>
      </c>
      <c r="BD26" s="263">
        <v>1183.3</v>
      </c>
      <c r="BE26" s="263">
        <v>1250.0999999999999</v>
      </c>
      <c r="BF26" s="263">
        <v>1388.2</v>
      </c>
      <c r="BG26" s="263">
        <v>1490.1</v>
      </c>
      <c r="BH26" s="263">
        <v>1578.2</v>
      </c>
      <c r="BI26" s="263">
        <v>1685.5</v>
      </c>
      <c r="BJ26" s="263">
        <v>1825.3</v>
      </c>
      <c r="BK26" s="263">
        <v>1934.8</v>
      </c>
      <c r="BL26" s="263">
        <v>2037.5</v>
      </c>
      <c r="BM26" s="263">
        <v>2071.1</v>
      </c>
      <c r="BN26" s="263">
        <v>2188.6999999999998</v>
      </c>
      <c r="BO26" s="263">
        <v>2271</v>
      </c>
      <c r="BP26" s="263">
        <v>2398.6999999999998</v>
      </c>
      <c r="BQ26" s="263">
        <v>2524.6</v>
      </c>
      <c r="BR26" s="263">
        <v>2667.7</v>
      </c>
      <c r="BS26" s="263">
        <v>2862.6</v>
      </c>
      <c r="BT26" s="263">
        <v>3093.8</v>
      </c>
      <c r="BU26" s="263">
        <v>3310</v>
      </c>
      <c r="BV26" s="263">
        <v>3597.3</v>
      </c>
      <c r="BW26" s="263">
        <v>3584.6</v>
      </c>
      <c r="BX26" s="263">
        <v>3542</v>
      </c>
      <c r="BY26" s="263">
        <v>3595.7</v>
      </c>
      <c r="BZ26" s="263">
        <v>3762.8</v>
      </c>
      <c r="CA26" s="263">
        <v>3930.3</v>
      </c>
      <c r="CB26" s="263">
        <v>4129.3</v>
      </c>
      <c r="CC26" s="263">
        <v>4305.3</v>
      </c>
      <c r="CD26" s="263">
        <v>4358</v>
      </c>
      <c r="CE26" s="263">
        <v>4088.4</v>
      </c>
      <c r="CF26" s="263">
        <v>4158.7</v>
      </c>
      <c r="CG26" s="263">
        <v>4363.3999999999996</v>
      </c>
      <c r="CH26" s="263">
        <v>4593.3</v>
      </c>
      <c r="CI26" s="263">
        <v>4749.7</v>
      </c>
      <c r="CJ26" s="263">
        <v>5004.2</v>
      </c>
      <c r="CK26" s="263">
        <v>5269.3</v>
      </c>
      <c r="CL26" s="263">
        <v>5406.9</v>
      </c>
    </row>
    <row r="27" spans="1:90" ht="15">
      <c r="A27" s="263" t="s">
        <v>45</v>
      </c>
      <c r="B27" s="263" t="s">
        <v>956</v>
      </c>
      <c r="C27" s="263">
        <v>31.8</v>
      </c>
      <c r="D27" s="263">
        <v>28.4</v>
      </c>
      <c r="E27" s="263">
        <v>23.2</v>
      </c>
      <c r="F27" s="263">
        <v>17.100000000000001</v>
      </c>
      <c r="G27" s="263">
        <v>16.3</v>
      </c>
      <c r="H27" s="263">
        <v>19.3</v>
      </c>
      <c r="I27" s="263">
        <v>21.2</v>
      </c>
      <c r="J27" s="263">
        <v>24.1</v>
      </c>
      <c r="K27" s="263">
        <v>27.6</v>
      </c>
      <c r="L27" s="263">
        <v>24.2</v>
      </c>
      <c r="M27" s="263">
        <v>26.6</v>
      </c>
      <c r="N27" s="263">
        <v>29.5</v>
      </c>
      <c r="O27" s="263">
        <v>37.799999999999997</v>
      </c>
      <c r="P27" s="263">
        <v>48.6</v>
      </c>
      <c r="Q27" s="263">
        <v>59.3</v>
      </c>
      <c r="R27" s="263">
        <v>61.8</v>
      </c>
      <c r="S27" s="263">
        <v>58.6</v>
      </c>
      <c r="T27" s="263">
        <v>63.6</v>
      </c>
      <c r="U27" s="263">
        <v>74.8</v>
      </c>
      <c r="V27" s="263">
        <v>83.4</v>
      </c>
      <c r="W27" s="263">
        <v>80.7</v>
      </c>
      <c r="X27" s="263">
        <v>88.9</v>
      </c>
      <c r="Y27" s="263">
        <v>103.1</v>
      </c>
      <c r="Z27" s="263">
        <v>110.5</v>
      </c>
      <c r="AA27" s="263">
        <v>120.4</v>
      </c>
      <c r="AB27" s="263">
        <v>117.7</v>
      </c>
      <c r="AC27" s="263">
        <v>128.5</v>
      </c>
      <c r="AD27" s="263">
        <v>140.1</v>
      </c>
      <c r="AE27" s="263">
        <v>146.5</v>
      </c>
      <c r="AF27" s="263">
        <v>143.30000000000001</v>
      </c>
      <c r="AG27" s="263">
        <v>156.9</v>
      </c>
      <c r="AH27" s="263">
        <v>165.1</v>
      </c>
      <c r="AI27" s="263">
        <v>168.6</v>
      </c>
      <c r="AJ27" s="263">
        <v>181.2</v>
      </c>
      <c r="AK27" s="263">
        <v>190.6</v>
      </c>
      <c r="AL27" s="263">
        <v>204.5</v>
      </c>
      <c r="AM27" s="263">
        <v>222.2</v>
      </c>
      <c r="AN27" s="263">
        <v>245.2</v>
      </c>
      <c r="AO27" s="263">
        <v>261.60000000000002</v>
      </c>
      <c r="AP27" s="263">
        <v>288.10000000000002</v>
      </c>
      <c r="AQ27" s="263">
        <v>318.8</v>
      </c>
      <c r="AR27" s="263">
        <v>334.9</v>
      </c>
      <c r="AS27" s="263">
        <v>353.5</v>
      </c>
      <c r="AT27" s="263">
        <v>389.9</v>
      </c>
      <c r="AU27" s="263">
        <v>437.3</v>
      </c>
      <c r="AV27" s="263">
        <v>478.5</v>
      </c>
      <c r="AW27" s="263">
        <v>495.1</v>
      </c>
      <c r="AX27" s="263">
        <v>554.6</v>
      </c>
      <c r="AY27" s="263">
        <v>621.6</v>
      </c>
      <c r="AZ27" s="263">
        <v>709</v>
      </c>
      <c r="BA27" s="263">
        <v>802.5</v>
      </c>
      <c r="BB27" s="263">
        <v>874.7</v>
      </c>
      <c r="BC27" s="263">
        <v>964.3</v>
      </c>
      <c r="BD27" s="263">
        <v>995</v>
      </c>
      <c r="BE27" s="263">
        <v>1044.7</v>
      </c>
      <c r="BF27" s="263">
        <v>1160.0999999999999</v>
      </c>
      <c r="BG27" s="263">
        <v>1243</v>
      </c>
      <c r="BH27" s="263">
        <v>1307.3</v>
      </c>
      <c r="BI27" s="263">
        <v>1397</v>
      </c>
      <c r="BJ27" s="263">
        <v>1514.9</v>
      </c>
      <c r="BK27" s="263">
        <v>1600.1</v>
      </c>
      <c r="BL27" s="263">
        <v>1682.9</v>
      </c>
      <c r="BM27" s="263">
        <v>1701.7</v>
      </c>
      <c r="BN27" s="263">
        <v>1783.9</v>
      </c>
      <c r="BO27" s="263">
        <v>1845.5</v>
      </c>
      <c r="BP27" s="263">
        <v>1952.8</v>
      </c>
      <c r="BQ27" s="263">
        <v>2076.9</v>
      </c>
      <c r="BR27" s="263">
        <v>2206.9</v>
      </c>
      <c r="BS27" s="263">
        <v>2384.1999999999998</v>
      </c>
      <c r="BT27" s="263">
        <v>2582.6</v>
      </c>
      <c r="BU27" s="263">
        <v>2771.1</v>
      </c>
      <c r="BV27" s="263">
        <v>3008.4</v>
      </c>
      <c r="BW27" s="263">
        <v>2993.8</v>
      </c>
      <c r="BX27" s="263">
        <v>2939</v>
      </c>
      <c r="BY27" s="263">
        <v>2962.2</v>
      </c>
      <c r="BZ27" s="263">
        <v>3099.9</v>
      </c>
      <c r="CA27" s="263">
        <v>3238</v>
      </c>
      <c r="CB27" s="263">
        <v>3420.9</v>
      </c>
      <c r="CC27" s="263">
        <v>3572.1</v>
      </c>
      <c r="CD27" s="263">
        <v>3619.5</v>
      </c>
      <c r="CE27" s="263">
        <v>3377.5</v>
      </c>
      <c r="CF27" s="263">
        <v>3446.1</v>
      </c>
      <c r="CG27" s="263">
        <v>3622.9</v>
      </c>
      <c r="CH27" s="263">
        <v>3826.4</v>
      </c>
      <c r="CI27" s="263">
        <v>3955.2</v>
      </c>
      <c r="CJ27" s="263">
        <v>4182.1000000000004</v>
      </c>
      <c r="CK27" s="263">
        <v>4412.3</v>
      </c>
      <c r="CL27" s="263">
        <v>4539.1000000000004</v>
      </c>
    </row>
    <row r="28" spans="1:90" ht="15">
      <c r="A28" s="263" t="s">
        <v>43</v>
      </c>
      <c r="B28" s="263" t="s">
        <v>957</v>
      </c>
      <c r="C28" s="263">
        <v>0.4</v>
      </c>
      <c r="D28" s="263">
        <v>0.4</v>
      </c>
      <c r="E28" s="263">
        <v>0.3</v>
      </c>
      <c r="F28" s="263">
        <v>0.3</v>
      </c>
      <c r="G28" s="263">
        <v>0.3</v>
      </c>
      <c r="H28" s="263">
        <v>0.3</v>
      </c>
      <c r="I28" s="263">
        <v>0.3</v>
      </c>
      <c r="J28" s="263">
        <v>0.6</v>
      </c>
      <c r="K28" s="263">
        <v>1.2</v>
      </c>
      <c r="L28" s="263">
        <v>1.3</v>
      </c>
      <c r="M28" s="263">
        <v>1.4</v>
      </c>
      <c r="N28" s="263">
        <v>1.5</v>
      </c>
      <c r="O28" s="263">
        <v>1.9</v>
      </c>
      <c r="P28" s="263">
        <v>2.2000000000000002</v>
      </c>
      <c r="Q28" s="263">
        <v>2.7</v>
      </c>
      <c r="R28" s="263">
        <v>3.1</v>
      </c>
      <c r="S28" s="263">
        <v>3</v>
      </c>
      <c r="T28" s="263">
        <v>3.2</v>
      </c>
      <c r="U28" s="263">
        <v>4</v>
      </c>
      <c r="V28" s="263">
        <v>4</v>
      </c>
      <c r="W28" s="263">
        <v>4.2</v>
      </c>
      <c r="X28" s="263">
        <v>5.4</v>
      </c>
      <c r="Y28" s="263">
        <v>6.8</v>
      </c>
      <c r="Z28" s="263">
        <v>7.2</v>
      </c>
      <c r="AA28" s="263">
        <v>7.8</v>
      </c>
      <c r="AB28" s="263">
        <v>8.1999999999999993</v>
      </c>
      <c r="AC28" s="263">
        <v>9.4</v>
      </c>
      <c r="AD28" s="263">
        <v>10.7</v>
      </c>
      <c r="AE28" s="263">
        <v>11.9</v>
      </c>
      <c r="AF28" s="263">
        <v>11.9</v>
      </c>
      <c r="AG28" s="263">
        <v>13.9</v>
      </c>
      <c r="AH28" s="263">
        <v>15.4</v>
      </c>
      <c r="AI28" s="263">
        <v>15.9</v>
      </c>
      <c r="AJ28" s="263">
        <v>18.100000000000001</v>
      </c>
      <c r="AK28" s="263">
        <v>19.5</v>
      </c>
      <c r="AL28" s="263">
        <v>21.1</v>
      </c>
      <c r="AM28" s="263">
        <v>23.2</v>
      </c>
      <c r="AN28" s="263">
        <v>27.6</v>
      </c>
      <c r="AO28" s="263">
        <v>29.4</v>
      </c>
      <c r="AP28" s="263">
        <v>32.700000000000003</v>
      </c>
      <c r="AQ28" s="263">
        <v>37.200000000000003</v>
      </c>
      <c r="AR28" s="263">
        <v>39.5</v>
      </c>
      <c r="AS28" s="263">
        <v>42.7</v>
      </c>
      <c r="AT28" s="263">
        <v>50</v>
      </c>
      <c r="AU28" s="263">
        <v>57.8</v>
      </c>
      <c r="AV28" s="263">
        <v>64.400000000000006</v>
      </c>
      <c r="AW28" s="263">
        <v>74</v>
      </c>
      <c r="AX28" s="263">
        <v>85.4</v>
      </c>
      <c r="AY28" s="263">
        <v>101.8</v>
      </c>
      <c r="AZ28" s="263">
        <v>120.5</v>
      </c>
      <c r="BA28" s="263">
        <v>139.9</v>
      </c>
      <c r="BB28" s="263">
        <v>156</v>
      </c>
      <c r="BC28" s="263">
        <v>175.6</v>
      </c>
      <c r="BD28" s="263">
        <v>188.3</v>
      </c>
      <c r="BE28" s="263">
        <v>205.4</v>
      </c>
      <c r="BF28" s="263">
        <v>228.1</v>
      </c>
      <c r="BG28" s="263">
        <v>247.1</v>
      </c>
      <c r="BH28" s="263">
        <v>270.89999999999998</v>
      </c>
      <c r="BI28" s="263">
        <v>288.39999999999998</v>
      </c>
      <c r="BJ28" s="263">
        <v>310.39999999999998</v>
      </c>
      <c r="BK28" s="263">
        <v>334.7</v>
      </c>
      <c r="BL28" s="263">
        <v>354.6</v>
      </c>
      <c r="BM28" s="263">
        <v>369.4</v>
      </c>
      <c r="BN28" s="263">
        <v>404.8</v>
      </c>
      <c r="BO28" s="263">
        <v>425.6</v>
      </c>
      <c r="BP28" s="263">
        <v>445.9</v>
      </c>
      <c r="BQ28" s="263">
        <v>447.7</v>
      </c>
      <c r="BR28" s="263">
        <v>460.8</v>
      </c>
      <c r="BS28" s="263">
        <v>478.3</v>
      </c>
      <c r="BT28" s="263">
        <v>511.2</v>
      </c>
      <c r="BU28" s="263">
        <v>538.9</v>
      </c>
      <c r="BV28" s="263">
        <v>588.9</v>
      </c>
      <c r="BW28" s="263">
        <v>590.79999999999995</v>
      </c>
      <c r="BX28" s="263">
        <v>603</v>
      </c>
      <c r="BY28" s="263">
        <v>633.4</v>
      </c>
      <c r="BZ28" s="263">
        <v>662.9</v>
      </c>
      <c r="CA28" s="263">
        <v>692.3</v>
      </c>
      <c r="CB28" s="263">
        <v>708.5</v>
      </c>
      <c r="CC28" s="263">
        <v>733.3</v>
      </c>
      <c r="CD28" s="263">
        <v>738.5</v>
      </c>
      <c r="CE28" s="263">
        <v>710.9</v>
      </c>
      <c r="CF28" s="263">
        <v>712.6</v>
      </c>
      <c r="CG28" s="263">
        <v>740.4</v>
      </c>
      <c r="CH28" s="263">
        <v>766.9</v>
      </c>
      <c r="CI28" s="263">
        <v>794.4</v>
      </c>
      <c r="CJ28" s="263">
        <v>822.1</v>
      </c>
      <c r="CK28" s="263">
        <v>857</v>
      </c>
      <c r="CL28" s="263">
        <v>867.8</v>
      </c>
    </row>
    <row r="29" spans="1:90" ht="15">
      <c r="A29" s="263" t="s">
        <v>42</v>
      </c>
      <c r="B29" s="263" t="s">
        <v>958</v>
      </c>
      <c r="C29" s="263">
        <v>3</v>
      </c>
      <c r="D29" s="263">
        <v>3</v>
      </c>
      <c r="E29" s="263">
        <v>2.8</v>
      </c>
      <c r="F29" s="263">
        <v>2.9</v>
      </c>
      <c r="G29" s="263">
        <v>3.4</v>
      </c>
      <c r="H29" s="263">
        <v>4</v>
      </c>
      <c r="I29" s="263">
        <v>4.0999999999999996</v>
      </c>
      <c r="J29" s="263">
        <v>4.3</v>
      </c>
      <c r="K29" s="263">
        <v>4.5</v>
      </c>
      <c r="L29" s="263">
        <v>4.5</v>
      </c>
      <c r="M29" s="263">
        <v>4.7</v>
      </c>
      <c r="N29" s="263">
        <v>5</v>
      </c>
      <c r="O29" s="263">
        <v>5.9</v>
      </c>
      <c r="P29" s="263">
        <v>6.3</v>
      </c>
      <c r="Q29" s="263">
        <v>6.6</v>
      </c>
      <c r="R29" s="263">
        <v>7.3</v>
      </c>
      <c r="S29" s="263">
        <v>8.1</v>
      </c>
      <c r="T29" s="263">
        <v>9.5</v>
      </c>
      <c r="U29" s="263">
        <v>11.2</v>
      </c>
      <c r="V29" s="263">
        <v>12.4</v>
      </c>
      <c r="W29" s="263">
        <v>13</v>
      </c>
      <c r="X29" s="263">
        <v>14.4</v>
      </c>
      <c r="Y29" s="263">
        <v>15.4</v>
      </c>
      <c r="Z29" s="263">
        <v>16.8</v>
      </c>
      <c r="AA29" s="263">
        <v>17.899999999999999</v>
      </c>
      <c r="AB29" s="263">
        <v>17.3</v>
      </c>
      <c r="AC29" s="263">
        <v>19.2</v>
      </c>
      <c r="AD29" s="263">
        <v>20.8</v>
      </c>
      <c r="AE29" s="263">
        <v>22</v>
      </c>
      <c r="AF29" s="263">
        <v>22.3</v>
      </c>
      <c r="AG29" s="263">
        <v>24.4</v>
      </c>
      <c r="AH29" s="263">
        <v>26.6</v>
      </c>
      <c r="AI29" s="263">
        <v>27.6</v>
      </c>
      <c r="AJ29" s="263">
        <v>29.9</v>
      </c>
      <c r="AK29" s="263">
        <v>31.7</v>
      </c>
      <c r="AL29" s="263">
        <v>33.9</v>
      </c>
      <c r="AM29" s="263">
        <v>36</v>
      </c>
      <c r="AN29" s="263">
        <v>37</v>
      </c>
      <c r="AO29" s="263">
        <v>39.299999999999997</v>
      </c>
      <c r="AP29" s="263">
        <v>45.5</v>
      </c>
      <c r="AQ29" s="263">
        <v>50.2</v>
      </c>
      <c r="AR29" s="263">
        <v>54.2</v>
      </c>
      <c r="AS29" s="263">
        <v>59.5</v>
      </c>
      <c r="AT29" s="263">
        <v>63.7</v>
      </c>
      <c r="AU29" s="263">
        <v>70.099999999999994</v>
      </c>
      <c r="AV29" s="263">
        <v>74.400000000000006</v>
      </c>
      <c r="AW29" s="263">
        <v>80.2</v>
      </c>
      <c r="AX29" s="263">
        <v>86.7</v>
      </c>
      <c r="AY29" s="263">
        <v>94.6</v>
      </c>
      <c r="AZ29" s="263">
        <v>102.7</v>
      </c>
      <c r="BA29" s="263">
        <v>108.8</v>
      </c>
      <c r="BB29" s="263">
        <v>121.5</v>
      </c>
      <c r="BC29" s="263">
        <v>146.69999999999999</v>
      </c>
      <c r="BD29" s="263">
        <v>152.9</v>
      </c>
      <c r="BE29" s="263">
        <v>168</v>
      </c>
      <c r="BF29" s="263">
        <v>185</v>
      </c>
      <c r="BG29" s="263">
        <v>196.6</v>
      </c>
      <c r="BH29" s="263">
        <v>204.6</v>
      </c>
      <c r="BI29" s="263">
        <v>216.8</v>
      </c>
      <c r="BJ29" s="263">
        <v>233.8</v>
      </c>
      <c r="BK29" s="263">
        <v>248.2</v>
      </c>
      <c r="BL29" s="263">
        <v>263.5</v>
      </c>
      <c r="BM29" s="263">
        <v>285.7</v>
      </c>
      <c r="BN29" s="263">
        <v>302.5</v>
      </c>
      <c r="BO29" s="263">
        <v>319.3</v>
      </c>
      <c r="BP29" s="263">
        <v>350.7</v>
      </c>
      <c r="BQ29" s="263">
        <v>358.7</v>
      </c>
      <c r="BR29" s="263">
        <v>371.7</v>
      </c>
      <c r="BS29" s="263">
        <v>388.9</v>
      </c>
      <c r="BT29" s="263">
        <v>402.9</v>
      </c>
      <c r="BU29" s="263">
        <v>424.6</v>
      </c>
      <c r="BV29" s="263">
        <v>449.9</v>
      </c>
      <c r="BW29" s="263">
        <v>445</v>
      </c>
      <c r="BX29" s="263">
        <v>472.9</v>
      </c>
      <c r="BY29" s="263">
        <v>495.8</v>
      </c>
      <c r="BZ29" s="263">
        <v>530.9</v>
      </c>
      <c r="CA29" s="263">
        <v>573.20000000000005</v>
      </c>
      <c r="CB29" s="263">
        <v>610.1</v>
      </c>
      <c r="CC29" s="263">
        <v>632.5</v>
      </c>
      <c r="CD29" s="263">
        <v>632.70000000000005</v>
      </c>
      <c r="CE29" s="263">
        <v>605.9</v>
      </c>
      <c r="CF29" s="263">
        <v>633</v>
      </c>
      <c r="CG29" s="263">
        <v>670.6</v>
      </c>
      <c r="CH29" s="263">
        <v>690.4</v>
      </c>
      <c r="CI29" s="263">
        <v>721.5</v>
      </c>
      <c r="CJ29" s="263">
        <v>746.6</v>
      </c>
      <c r="CK29" s="263">
        <v>764.6</v>
      </c>
      <c r="CL29" s="263">
        <v>783</v>
      </c>
    </row>
    <row r="30" spans="1:90" ht="15">
      <c r="A30" s="263" t="s">
        <v>41</v>
      </c>
      <c r="B30" s="263" t="s">
        <v>959</v>
      </c>
      <c r="C30" s="263">
        <v>10.7</v>
      </c>
      <c r="D30" s="263">
        <v>8.6</v>
      </c>
      <c r="E30" s="263">
        <v>4.5999999999999996</v>
      </c>
      <c r="F30" s="263">
        <v>1.3</v>
      </c>
      <c r="G30" s="263">
        <v>1.1000000000000001</v>
      </c>
      <c r="H30" s="263">
        <v>3.9</v>
      </c>
      <c r="I30" s="263">
        <v>5.3</v>
      </c>
      <c r="J30" s="263">
        <v>7.2</v>
      </c>
      <c r="K30" s="263">
        <v>7.9</v>
      </c>
      <c r="L30" s="263">
        <v>5.6</v>
      </c>
      <c r="M30" s="263">
        <v>7.1</v>
      </c>
      <c r="N30" s="263">
        <v>10.199999999999999</v>
      </c>
      <c r="O30" s="263">
        <v>15.8</v>
      </c>
      <c r="P30" s="263">
        <v>20.8</v>
      </c>
      <c r="Q30" s="263">
        <v>24.7</v>
      </c>
      <c r="R30" s="263">
        <v>24.6</v>
      </c>
      <c r="S30" s="263">
        <v>20.100000000000001</v>
      </c>
      <c r="T30" s="263">
        <v>16.600000000000001</v>
      </c>
      <c r="U30" s="263">
        <v>22.8</v>
      </c>
      <c r="V30" s="263">
        <v>29.1</v>
      </c>
      <c r="W30" s="263">
        <v>26.4</v>
      </c>
      <c r="X30" s="263">
        <v>33.299999999999997</v>
      </c>
      <c r="Y30" s="263">
        <v>37.799999999999997</v>
      </c>
      <c r="Z30" s="263">
        <v>35.700000000000003</v>
      </c>
      <c r="AA30" s="263">
        <v>36.200000000000003</v>
      </c>
      <c r="AB30" s="263">
        <v>35.200000000000003</v>
      </c>
      <c r="AC30" s="263">
        <v>45.4</v>
      </c>
      <c r="AD30" s="263">
        <v>44.3</v>
      </c>
      <c r="AE30" s="263">
        <v>43.7</v>
      </c>
      <c r="AF30" s="263">
        <v>39.200000000000003</v>
      </c>
      <c r="AG30" s="263">
        <v>49.8</v>
      </c>
      <c r="AH30" s="263">
        <v>47.9</v>
      </c>
      <c r="AI30" s="263">
        <v>49.7</v>
      </c>
      <c r="AJ30" s="263">
        <v>57.8</v>
      </c>
      <c r="AK30" s="263">
        <v>64.7</v>
      </c>
      <c r="AL30" s="263">
        <v>71.7</v>
      </c>
      <c r="AM30" s="263">
        <v>83.5</v>
      </c>
      <c r="AN30" s="263">
        <v>90.9</v>
      </c>
      <c r="AO30" s="263">
        <v>89.3</v>
      </c>
      <c r="AP30" s="263">
        <v>96.4</v>
      </c>
      <c r="AQ30" s="263">
        <v>94.9</v>
      </c>
      <c r="AR30" s="263">
        <v>84.8</v>
      </c>
      <c r="AS30" s="263">
        <v>97.6</v>
      </c>
      <c r="AT30" s="263">
        <v>112.2</v>
      </c>
      <c r="AU30" s="263">
        <v>125.5</v>
      </c>
      <c r="AV30" s="263">
        <v>121.3</v>
      </c>
      <c r="AW30" s="263">
        <v>141.4</v>
      </c>
      <c r="AX30" s="263">
        <v>169.8</v>
      </c>
      <c r="AY30" s="263">
        <v>197</v>
      </c>
      <c r="AZ30" s="263">
        <v>221.7</v>
      </c>
      <c r="BA30" s="263">
        <v>226.8</v>
      </c>
      <c r="BB30" s="263">
        <v>223.1</v>
      </c>
      <c r="BC30" s="263">
        <v>272.8</v>
      </c>
      <c r="BD30" s="263">
        <v>264.2</v>
      </c>
      <c r="BE30" s="263">
        <v>302.8</v>
      </c>
      <c r="BF30" s="263">
        <v>373.4</v>
      </c>
      <c r="BG30" s="263">
        <v>383.9</v>
      </c>
      <c r="BH30" s="263">
        <v>364.7</v>
      </c>
      <c r="BI30" s="263">
        <v>405.5</v>
      </c>
      <c r="BJ30" s="263">
        <v>457.7</v>
      </c>
      <c r="BK30" s="263">
        <v>457.8</v>
      </c>
      <c r="BL30" s="263">
        <v>457.2</v>
      </c>
      <c r="BM30" s="263">
        <v>450.5</v>
      </c>
      <c r="BN30" s="263">
        <v>448.2</v>
      </c>
      <c r="BO30" s="263">
        <v>487</v>
      </c>
      <c r="BP30" s="263">
        <v>582.29999999999995</v>
      </c>
      <c r="BQ30" s="263">
        <v>634.4</v>
      </c>
      <c r="BR30" s="263">
        <v>699.4</v>
      </c>
      <c r="BS30" s="263">
        <v>758.6</v>
      </c>
      <c r="BT30" s="263">
        <v>738.7</v>
      </c>
      <c r="BU30" s="263">
        <v>751.9</v>
      </c>
      <c r="BV30" s="263">
        <v>723.9</v>
      </c>
      <c r="BW30" s="263">
        <v>656.3</v>
      </c>
      <c r="BX30" s="263">
        <v>719.3</v>
      </c>
      <c r="BY30" s="263">
        <v>815</v>
      </c>
      <c r="BZ30" s="263">
        <v>964.1</v>
      </c>
      <c r="CA30" s="263">
        <v>1118.7</v>
      </c>
      <c r="CB30" s="263">
        <v>1269.3</v>
      </c>
      <c r="CC30" s="263">
        <v>1225.8</v>
      </c>
      <c r="CD30" s="263">
        <v>1172.2</v>
      </c>
      <c r="CE30" s="263">
        <v>1073.5</v>
      </c>
      <c r="CF30" s="263">
        <v>1352.5</v>
      </c>
      <c r="CG30" s="263">
        <v>1419.1</v>
      </c>
      <c r="CH30" s="263">
        <v>1542</v>
      </c>
      <c r="CI30" s="263">
        <v>1605.8</v>
      </c>
      <c r="CJ30" s="263">
        <v>1680.4</v>
      </c>
      <c r="CK30" s="263">
        <v>1689.4</v>
      </c>
      <c r="CL30" s="263">
        <v>1610.6</v>
      </c>
    </row>
    <row r="31" spans="1:90" ht="15">
      <c r="A31" s="263" t="s">
        <v>40</v>
      </c>
      <c r="B31" s="263" t="s">
        <v>960</v>
      </c>
      <c r="C31" s="263">
        <v>1.4</v>
      </c>
      <c r="D31" s="263">
        <v>1.6</v>
      </c>
      <c r="E31" s="263">
        <v>1.8</v>
      </c>
      <c r="F31" s="263">
        <v>1.8</v>
      </c>
      <c r="G31" s="263">
        <v>1.7</v>
      </c>
      <c r="H31" s="263">
        <v>1.7</v>
      </c>
      <c r="I31" s="263">
        <v>1.7</v>
      </c>
      <c r="J31" s="263">
        <v>1.6</v>
      </c>
      <c r="K31" s="263">
        <v>1.6</v>
      </c>
      <c r="L31" s="263">
        <v>1.5</v>
      </c>
      <c r="M31" s="263">
        <v>1.5</v>
      </c>
      <c r="N31" s="263">
        <v>1.3</v>
      </c>
      <c r="O31" s="263">
        <v>1.2</v>
      </c>
      <c r="P31" s="263">
        <v>1.2</v>
      </c>
      <c r="Q31" s="263">
        <v>1.1000000000000001</v>
      </c>
      <c r="R31" s="263">
        <v>1</v>
      </c>
      <c r="S31" s="263">
        <v>0.9</v>
      </c>
      <c r="T31" s="263">
        <v>0.7</v>
      </c>
      <c r="U31" s="263">
        <v>0.8</v>
      </c>
      <c r="V31" s="263">
        <v>0.9</v>
      </c>
      <c r="W31" s="263">
        <v>1</v>
      </c>
      <c r="X31" s="263">
        <v>0.9</v>
      </c>
      <c r="Y31" s="263">
        <v>1.1000000000000001</v>
      </c>
      <c r="Z31" s="263">
        <v>1.2</v>
      </c>
      <c r="AA31" s="263">
        <v>1.3</v>
      </c>
      <c r="AB31" s="263">
        <v>1.6</v>
      </c>
      <c r="AC31" s="263">
        <v>1.7</v>
      </c>
      <c r="AD31" s="263">
        <v>1.8</v>
      </c>
      <c r="AE31" s="263">
        <v>2.2999999999999998</v>
      </c>
      <c r="AF31" s="263">
        <v>2.8</v>
      </c>
      <c r="AG31" s="263">
        <v>3</v>
      </c>
      <c r="AH31" s="263">
        <v>3.3</v>
      </c>
      <c r="AI31" s="263">
        <v>3.8</v>
      </c>
      <c r="AJ31" s="263">
        <v>4.5</v>
      </c>
      <c r="AK31" s="263">
        <v>4.8</v>
      </c>
      <c r="AL31" s="263">
        <v>5.3</v>
      </c>
      <c r="AM31" s="263">
        <v>6</v>
      </c>
      <c r="AN31" s="263">
        <v>7.2</v>
      </c>
      <c r="AO31" s="263">
        <v>8.6</v>
      </c>
      <c r="AP31" s="263">
        <v>10.1</v>
      </c>
      <c r="AQ31" s="263">
        <v>13.5</v>
      </c>
      <c r="AR31" s="263">
        <v>17.8</v>
      </c>
      <c r="AS31" s="263">
        <v>18.8</v>
      </c>
      <c r="AT31" s="263">
        <v>20</v>
      </c>
      <c r="AU31" s="263">
        <v>23.7</v>
      </c>
      <c r="AV31" s="263">
        <v>30.2</v>
      </c>
      <c r="AW31" s="263">
        <v>32.4</v>
      </c>
      <c r="AX31" s="263">
        <v>30.1</v>
      </c>
      <c r="AY31" s="263">
        <v>33.200000000000003</v>
      </c>
      <c r="AZ31" s="263">
        <v>36.799999999999997</v>
      </c>
      <c r="BA31" s="263">
        <v>43.8</v>
      </c>
      <c r="BB31" s="263">
        <v>57.8</v>
      </c>
      <c r="BC31" s="263">
        <v>72.2</v>
      </c>
      <c r="BD31" s="263">
        <v>82.8</v>
      </c>
      <c r="BE31" s="263">
        <v>82.3</v>
      </c>
      <c r="BF31" s="263">
        <v>93.5</v>
      </c>
      <c r="BG31" s="263">
        <v>97.5</v>
      </c>
      <c r="BH31" s="263">
        <v>107.6</v>
      </c>
      <c r="BI31" s="263">
        <v>116.5</v>
      </c>
      <c r="BJ31" s="263">
        <v>136.19999999999999</v>
      </c>
      <c r="BK31" s="263">
        <v>160.1</v>
      </c>
      <c r="BL31" s="263">
        <v>170.2</v>
      </c>
      <c r="BM31" s="263">
        <v>157.19999999999999</v>
      </c>
      <c r="BN31" s="263">
        <v>132</v>
      </c>
      <c r="BO31" s="263">
        <v>117.9</v>
      </c>
      <c r="BP31" s="263">
        <v>116.9</v>
      </c>
      <c r="BQ31" s="263">
        <v>126.3</v>
      </c>
      <c r="BR31" s="263">
        <v>119.7</v>
      </c>
      <c r="BS31" s="263">
        <v>127</v>
      </c>
      <c r="BT31" s="263">
        <v>146.80000000000001</v>
      </c>
      <c r="BU31" s="263">
        <v>159.9</v>
      </c>
      <c r="BV31" s="263">
        <v>198.4</v>
      </c>
      <c r="BW31" s="263">
        <v>219.1</v>
      </c>
      <c r="BX31" s="263">
        <v>198.6</v>
      </c>
      <c r="BY31" s="263">
        <v>169.8</v>
      </c>
      <c r="BZ31" s="263">
        <v>159.9</v>
      </c>
      <c r="CA31" s="263">
        <v>173.6</v>
      </c>
      <c r="CB31" s="263">
        <v>183.9</v>
      </c>
      <c r="CC31" s="263">
        <v>249</v>
      </c>
      <c r="CD31" s="263">
        <v>307.5</v>
      </c>
      <c r="CE31" s="263">
        <v>283.7</v>
      </c>
      <c r="CF31" s="263">
        <v>286.2</v>
      </c>
      <c r="CG31" s="263">
        <v>289.7</v>
      </c>
      <c r="CH31" s="263">
        <v>298.5</v>
      </c>
      <c r="CI31" s="263">
        <v>281.60000000000002</v>
      </c>
      <c r="CJ31" s="263">
        <v>291.60000000000002</v>
      </c>
      <c r="CK31" s="263">
        <v>308.89999999999998</v>
      </c>
      <c r="CL31" s="263">
        <v>300.89999999999998</v>
      </c>
    </row>
    <row r="32" spans="1:90" ht="15">
      <c r="A32" s="263" t="s">
        <v>37</v>
      </c>
      <c r="B32" s="263" t="s">
        <v>961</v>
      </c>
      <c r="C32" s="263">
        <v>0.3</v>
      </c>
      <c r="D32" s="263">
        <v>0.3</v>
      </c>
      <c r="E32" s="263">
        <v>0.3</v>
      </c>
      <c r="F32" s="263">
        <v>0.4</v>
      </c>
      <c r="G32" s="263">
        <v>0.3</v>
      </c>
      <c r="H32" s="263">
        <v>0.3</v>
      </c>
      <c r="I32" s="263">
        <v>0.3</v>
      </c>
      <c r="J32" s="263">
        <v>0.3</v>
      </c>
      <c r="K32" s="263">
        <v>0.3</v>
      </c>
      <c r="L32" s="263">
        <v>0.3</v>
      </c>
      <c r="M32" s="263">
        <v>0.3</v>
      </c>
      <c r="N32" s="263">
        <v>0.3</v>
      </c>
      <c r="O32" s="263">
        <v>0.4</v>
      </c>
      <c r="P32" s="263">
        <v>0.4</v>
      </c>
      <c r="Q32" s="263">
        <v>0.5</v>
      </c>
      <c r="R32" s="263">
        <v>0.6</v>
      </c>
      <c r="S32" s="263">
        <v>0.7</v>
      </c>
      <c r="T32" s="263">
        <v>0.5</v>
      </c>
      <c r="U32" s="263">
        <v>0.6</v>
      </c>
      <c r="V32" s="263">
        <v>0.6</v>
      </c>
      <c r="W32" s="263">
        <v>0.6</v>
      </c>
      <c r="X32" s="263">
        <v>0.6</v>
      </c>
      <c r="Y32" s="263">
        <v>0.7</v>
      </c>
      <c r="Z32" s="263">
        <v>0.8</v>
      </c>
      <c r="AA32" s="263">
        <v>1</v>
      </c>
      <c r="AB32" s="263">
        <v>0.9</v>
      </c>
      <c r="AC32" s="263">
        <v>1</v>
      </c>
      <c r="AD32" s="263">
        <v>1</v>
      </c>
      <c r="AE32" s="263">
        <v>1.1000000000000001</v>
      </c>
      <c r="AF32" s="263">
        <v>1.2</v>
      </c>
      <c r="AG32" s="263">
        <v>1.3</v>
      </c>
      <c r="AH32" s="263">
        <v>1.3</v>
      </c>
      <c r="AI32" s="263">
        <v>1.4</v>
      </c>
      <c r="AJ32" s="263">
        <v>1.6</v>
      </c>
      <c r="AK32" s="263">
        <v>1.6</v>
      </c>
      <c r="AL32" s="263">
        <v>1.9</v>
      </c>
      <c r="AM32" s="263">
        <v>2.1</v>
      </c>
      <c r="AN32" s="263">
        <v>2.6</v>
      </c>
      <c r="AO32" s="263">
        <v>2.7</v>
      </c>
      <c r="AP32" s="263">
        <v>2.9</v>
      </c>
      <c r="AQ32" s="263">
        <v>3</v>
      </c>
      <c r="AR32" s="263">
        <v>3.2</v>
      </c>
      <c r="AS32" s="263">
        <v>3.6</v>
      </c>
      <c r="AT32" s="263">
        <v>3.9</v>
      </c>
      <c r="AU32" s="263">
        <v>4.5</v>
      </c>
      <c r="AV32" s="263">
        <v>3.7</v>
      </c>
      <c r="AW32" s="263">
        <v>4.7</v>
      </c>
      <c r="AX32" s="263">
        <v>6.7</v>
      </c>
      <c r="AY32" s="263">
        <v>8.6999999999999993</v>
      </c>
      <c r="AZ32" s="263">
        <v>9.1999999999999993</v>
      </c>
      <c r="BA32" s="263">
        <v>9</v>
      </c>
      <c r="BB32" s="263">
        <v>9.6</v>
      </c>
      <c r="BC32" s="263">
        <v>10.7</v>
      </c>
      <c r="BD32" s="263">
        <v>8.1</v>
      </c>
      <c r="BE32" s="263">
        <v>10</v>
      </c>
      <c r="BF32" s="263">
        <v>10.9</v>
      </c>
      <c r="BG32" s="263">
        <v>15.4</v>
      </c>
      <c r="BH32" s="263">
        <v>26.9</v>
      </c>
      <c r="BI32" s="263">
        <v>29.7</v>
      </c>
      <c r="BJ32" s="263">
        <v>27</v>
      </c>
      <c r="BK32" s="263">
        <v>23.5</v>
      </c>
      <c r="BL32" s="263">
        <v>24.9</v>
      </c>
      <c r="BM32" s="263">
        <v>26.1</v>
      </c>
      <c r="BN32" s="263">
        <v>30.7</v>
      </c>
      <c r="BO32" s="263">
        <v>29.5</v>
      </c>
      <c r="BP32" s="263">
        <v>34.700000000000003</v>
      </c>
      <c r="BQ32" s="263">
        <v>30.2</v>
      </c>
      <c r="BR32" s="263">
        <v>37.299999999999997</v>
      </c>
      <c r="BS32" s="263">
        <v>38.5</v>
      </c>
      <c r="BT32" s="263">
        <v>34.1</v>
      </c>
      <c r="BU32" s="263">
        <v>45.6</v>
      </c>
      <c r="BV32" s="263">
        <v>45.5</v>
      </c>
      <c r="BW32" s="263">
        <v>55.3</v>
      </c>
      <c r="BX32" s="263">
        <v>52.3</v>
      </c>
      <c r="BY32" s="263">
        <v>61.8</v>
      </c>
      <c r="BZ32" s="263">
        <v>62</v>
      </c>
      <c r="CA32" s="263">
        <v>74.2</v>
      </c>
      <c r="CB32" s="263">
        <v>70.400000000000006</v>
      </c>
      <c r="CC32" s="263">
        <v>62.2</v>
      </c>
      <c r="CD32" s="263">
        <v>50.3</v>
      </c>
      <c r="CE32" s="263">
        <v>71.8</v>
      </c>
      <c r="CF32" s="263">
        <v>83.3</v>
      </c>
      <c r="CG32" s="263">
        <v>90.4</v>
      </c>
      <c r="CH32" s="263">
        <v>93.9</v>
      </c>
      <c r="CI32" s="263">
        <v>94.7</v>
      </c>
      <c r="CJ32" s="263">
        <v>92.1</v>
      </c>
      <c r="CK32" s="263">
        <v>104.6</v>
      </c>
      <c r="CL32" s="263">
        <v>85.6</v>
      </c>
    </row>
    <row r="33" spans="1:90" ht="15">
      <c r="A33" s="263" t="s">
        <v>36</v>
      </c>
      <c r="B33" s="263" t="s">
        <v>962</v>
      </c>
      <c r="C33" s="263">
        <v>9</v>
      </c>
      <c r="D33" s="263">
        <v>6.7</v>
      </c>
      <c r="E33" s="263">
        <v>2.4</v>
      </c>
      <c r="F33" s="263">
        <v>-0.8</v>
      </c>
      <c r="G33" s="263">
        <v>-1</v>
      </c>
      <c r="H33" s="263">
        <v>1.9</v>
      </c>
      <c r="I33" s="263">
        <v>3.3</v>
      </c>
      <c r="J33" s="263">
        <v>5.3</v>
      </c>
      <c r="K33" s="263">
        <v>6</v>
      </c>
      <c r="L33" s="263">
        <v>3.8</v>
      </c>
      <c r="M33" s="263">
        <v>5.4</v>
      </c>
      <c r="N33" s="263">
        <v>8.5</v>
      </c>
      <c r="O33" s="263">
        <v>14.2</v>
      </c>
      <c r="P33" s="263">
        <v>19.2</v>
      </c>
      <c r="Q33" s="263">
        <v>23.2</v>
      </c>
      <c r="R33" s="263">
        <v>23</v>
      </c>
      <c r="S33" s="263">
        <v>18.5</v>
      </c>
      <c r="T33" s="263">
        <v>15.5</v>
      </c>
      <c r="U33" s="263">
        <v>21.4</v>
      </c>
      <c r="V33" s="263">
        <v>27.6</v>
      </c>
      <c r="W33" s="263">
        <v>24.8</v>
      </c>
      <c r="X33" s="263">
        <v>31.7</v>
      </c>
      <c r="Y33" s="263">
        <v>36</v>
      </c>
      <c r="Z33" s="263">
        <v>33.700000000000003</v>
      </c>
      <c r="AA33" s="263">
        <v>33.9</v>
      </c>
      <c r="AB33" s="263">
        <v>32.700000000000003</v>
      </c>
      <c r="AC33" s="263">
        <v>42.7</v>
      </c>
      <c r="AD33" s="263">
        <v>41.4</v>
      </c>
      <c r="AE33" s="263">
        <v>40.299999999999997</v>
      </c>
      <c r="AF33" s="263">
        <v>35.200000000000003</v>
      </c>
      <c r="AG33" s="263">
        <v>45.5</v>
      </c>
      <c r="AH33" s="263">
        <v>43.3</v>
      </c>
      <c r="AI33" s="263">
        <v>44.5</v>
      </c>
      <c r="AJ33" s="263">
        <v>51.8</v>
      </c>
      <c r="AK33" s="263">
        <v>58.3</v>
      </c>
      <c r="AL33" s="263">
        <v>64.599999999999994</v>
      </c>
      <c r="AM33" s="263">
        <v>75.400000000000006</v>
      </c>
      <c r="AN33" s="263">
        <v>81.099999999999994</v>
      </c>
      <c r="AO33" s="263">
        <v>78.099999999999994</v>
      </c>
      <c r="AP33" s="263">
        <v>83.4</v>
      </c>
      <c r="AQ33" s="263">
        <v>78.3</v>
      </c>
      <c r="AR33" s="263">
        <v>63.9</v>
      </c>
      <c r="AS33" s="263">
        <v>75.2</v>
      </c>
      <c r="AT33" s="263">
        <v>88.3</v>
      </c>
      <c r="AU33" s="263">
        <v>97.2</v>
      </c>
      <c r="AV33" s="263">
        <v>87.4</v>
      </c>
      <c r="AW33" s="263">
        <v>104.3</v>
      </c>
      <c r="AX33" s="263">
        <v>133</v>
      </c>
      <c r="AY33" s="263">
        <v>155.1</v>
      </c>
      <c r="AZ33" s="263">
        <v>175.8</v>
      </c>
      <c r="BA33" s="263">
        <v>174</v>
      </c>
      <c r="BB33" s="263">
        <v>155.69999999999999</v>
      </c>
      <c r="BC33" s="263">
        <v>189.9</v>
      </c>
      <c r="BD33" s="263">
        <v>173.3</v>
      </c>
      <c r="BE33" s="263">
        <v>210.5</v>
      </c>
      <c r="BF33" s="263">
        <v>268.89999999999998</v>
      </c>
      <c r="BG33" s="263">
        <v>271.10000000000002</v>
      </c>
      <c r="BH33" s="263">
        <v>230.2</v>
      </c>
      <c r="BI33" s="263">
        <v>259.39999999999998</v>
      </c>
      <c r="BJ33" s="263">
        <v>294.5</v>
      </c>
      <c r="BK33" s="263">
        <v>274.10000000000002</v>
      </c>
      <c r="BL33" s="263">
        <v>262.10000000000002</v>
      </c>
      <c r="BM33" s="263">
        <v>267.2</v>
      </c>
      <c r="BN33" s="263">
        <v>285.60000000000002</v>
      </c>
      <c r="BO33" s="263">
        <v>339.6</v>
      </c>
      <c r="BP33" s="263">
        <v>430.8</v>
      </c>
      <c r="BQ33" s="263">
        <v>477.9</v>
      </c>
      <c r="BR33" s="263">
        <v>542.29999999999995</v>
      </c>
      <c r="BS33" s="263">
        <v>593.1</v>
      </c>
      <c r="BT33" s="263">
        <v>557.79999999999995</v>
      </c>
      <c r="BU33" s="263">
        <v>546.4</v>
      </c>
      <c r="BV33" s="263">
        <v>480.1</v>
      </c>
      <c r="BW33" s="263">
        <v>382</v>
      </c>
      <c r="BX33" s="263">
        <v>468.4</v>
      </c>
      <c r="BY33" s="263">
        <v>583.4</v>
      </c>
      <c r="BZ33" s="263">
        <v>742.2</v>
      </c>
      <c r="CA33" s="263">
        <v>870.9</v>
      </c>
      <c r="CB33" s="263">
        <v>1015</v>
      </c>
      <c r="CC33" s="263">
        <v>914.6</v>
      </c>
      <c r="CD33" s="263">
        <v>814.3</v>
      </c>
      <c r="CE33" s="263">
        <v>718.1</v>
      </c>
      <c r="CF33" s="263">
        <v>983</v>
      </c>
      <c r="CG33" s="263">
        <v>1039</v>
      </c>
      <c r="CH33" s="263">
        <v>1149.7</v>
      </c>
      <c r="CI33" s="263">
        <v>1229.5999999999999</v>
      </c>
      <c r="CJ33" s="263">
        <v>1296.7</v>
      </c>
      <c r="CK33" s="263">
        <v>1275.8</v>
      </c>
      <c r="CL33" s="263">
        <v>1224.0999999999999</v>
      </c>
    </row>
    <row r="34" spans="1:90" ht="15">
      <c r="A34" s="263" t="s">
        <v>35</v>
      </c>
      <c r="B34" s="263" t="s">
        <v>963</v>
      </c>
      <c r="C34" s="263">
        <v>1.1000000000000001</v>
      </c>
      <c r="D34" s="263">
        <v>0.7</v>
      </c>
      <c r="E34" s="263">
        <v>0.5</v>
      </c>
      <c r="F34" s="263">
        <v>0.3</v>
      </c>
      <c r="G34" s="263">
        <v>0.5</v>
      </c>
      <c r="H34" s="263">
        <v>0.7</v>
      </c>
      <c r="I34" s="263">
        <v>0.9</v>
      </c>
      <c r="J34" s="263">
        <v>1.3</v>
      </c>
      <c r="K34" s="263">
        <v>1.4</v>
      </c>
      <c r="L34" s="263">
        <v>0.9</v>
      </c>
      <c r="M34" s="263">
        <v>1.3</v>
      </c>
      <c r="N34" s="263">
        <v>2.7</v>
      </c>
      <c r="O34" s="263">
        <v>7.4</v>
      </c>
      <c r="P34" s="263">
        <v>11.1</v>
      </c>
      <c r="Q34" s="263">
        <v>13.7</v>
      </c>
      <c r="R34" s="263">
        <v>12.6</v>
      </c>
      <c r="S34" s="263">
        <v>10.199999999999999</v>
      </c>
      <c r="T34" s="263">
        <v>8.6</v>
      </c>
      <c r="U34" s="263">
        <v>10.8</v>
      </c>
      <c r="V34" s="263">
        <v>11.7</v>
      </c>
      <c r="W34" s="263">
        <v>9.3000000000000007</v>
      </c>
      <c r="X34" s="263">
        <v>16.8</v>
      </c>
      <c r="Y34" s="263">
        <v>21.1</v>
      </c>
      <c r="Z34" s="263">
        <v>17.7</v>
      </c>
      <c r="AA34" s="263">
        <v>18.399999999999999</v>
      </c>
      <c r="AB34" s="263">
        <v>15.5</v>
      </c>
      <c r="AC34" s="263">
        <v>20.100000000000001</v>
      </c>
      <c r="AD34" s="263">
        <v>19.899999999999999</v>
      </c>
      <c r="AE34" s="263">
        <v>19</v>
      </c>
      <c r="AF34" s="263">
        <v>16.100000000000001</v>
      </c>
      <c r="AG34" s="263">
        <v>20.7</v>
      </c>
      <c r="AH34" s="263">
        <v>19.100000000000001</v>
      </c>
      <c r="AI34" s="263">
        <v>19.399999999999999</v>
      </c>
      <c r="AJ34" s="263">
        <v>20.6</v>
      </c>
      <c r="AK34" s="263">
        <v>22.8</v>
      </c>
      <c r="AL34" s="263">
        <v>23.9</v>
      </c>
      <c r="AM34" s="263">
        <v>27.1</v>
      </c>
      <c r="AN34" s="263">
        <v>29.5</v>
      </c>
      <c r="AO34" s="263">
        <v>27.8</v>
      </c>
      <c r="AP34" s="263">
        <v>33.5</v>
      </c>
      <c r="AQ34" s="263">
        <v>33.299999999999997</v>
      </c>
      <c r="AR34" s="263">
        <v>27.3</v>
      </c>
      <c r="AS34" s="263">
        <v>30</v>
      </c>
      <c r="AT34" s="263">
        <v>33.799999999999997</v>
      </c>
      <c r="AU34" s="263">
        <v>40.4</v>
      </c>
      <c r="AV34" s="263">
        <v>42.8</v>
      </c>
      <c r="AW34" s="263">
        <v>41.9</v>
      </c>
      <c r="AX34" s="263">
        <v>53.5</v>
      </c>
      <c r="AY34" s="263">
        <v>60.6</v>
      </c>
      <c r="AZ34" s="263">
        <v>67.599999999999994</v>
      </c>
      <c r="BA34" s="263">
        <v>70.599999999999994</v>
      </c>
      <c r="BB34" s="263">
        <v>68.2</v>
      </c>
      <c r="BC34" s="263">
        <v>66</v>
      </c>
      <c r="BD34" s="263">
        <v>48.8</v>
      </c>
      <c r="BE34" s="263">
        <v>61.7</v>
      </c>
      <c r="BF34" s="263">
        <v>75.900000000000006</v>
      </c>
      <c r="BG34" s="263">
        <v>71.099999999999994</v>
      </c>
      <c r="BH34" s="263">
        <v>76.2</v>
      </c>
      <c r="BI34" s="263">
        <v>94.2</v>
      </c>
      <c r="BJ34" s="263">
        <v>104</v>
      </c>
      <c r="BK34" s="263">
        <v>101.2</v>
      </c>
      <c r="BL34" s="263">
        <v>98.5</v>
      </c>
      <c r="BM34" s="263">
        <v>88.6</v>
      </c>
      <c r="BN34" s="263">
        <v>94.4</v>
      </c>
      <c r="BO34" s="263">
        <v>108</v>
      </c>
      <c r="BP34" s="263">
        <v>132.4</v>
      </c>
      <c r="BQ34" s="263">
        <v>140.30000000000001</v>
      </c>
      <c r="BR34" s="263">
        <v>152.9</v>
      </c>
      <c r="BS34" s="263">
        <v>161.4</v>
      </c>
      <c r="BT34" s="263">
        <v>158.69999999999999</v>
      </c>
      <c r="BU34" s="263">
        <v>171.4</v>
      </c>
      <c r="BV34" s="263">
        <v>170.2</v>
      </c>
      <c r="BW34" s="263">
        <v>111.2</v>
      </c>
      <c r="BX34" s="263">
        <v>97.1</v>
      </c>
      <c r="BY34" s="263">
        <v>132.9</v>
      </c>
      <c r="BZ34" s="263">
        <v>187</v>
      </c>
      <c r="CA34" s="263">
        <v>271.89999999999998</v>
      </c>
      <c r="CB34" s="263">
        <v>307.7</v>
      </c>
      <c r="CC34" s="263">
        <v>293.8</v>
      </c>
      <c r="CD34" s="263">
        <v>227.4</v>
      </c>
      <c r="CE34" s="263">
        <v>177.8</v>
      </c>
      <c r="CF34" s="263">
        <v>220.6</v>
      </c>
      <c r="CG34" s="263">
        <v>228.8</v>
      </c>
      <c r="CH34" s="263">
        <v>266.7</v>
      </c>
      <c r="CI34" s="263">
        <v>283.60000000000002</v>
      </c>
      <c r="CJ34" s="263">
        <v>291.8</v>
      </c>
      <c r="CK34" s="263">
        <v>281.10000000000002</v>
      </c>
      <c r="CL34" s="263">
        <v>274.10000000000002</v>
      </c>
    </row>
    <row r="35" spans="1:90" ht="15">
      <c r="A35" s="263" t="s">
        <v>34</v>
      </c>
      <c r="B35" s="263" t="s">
        <v>964</v>
      </c>
      <c r="C35" s="263">
        <v>7.9</v>
      </c>
      <c r="D35" s="263">
        <v>6</v>
      </c>
      <c r="E35" s="263">
        <v>2</v>
      </c>
      <c r="F35" s="263">
        <v>-1.1000000000000001</v>
      </c>
      <c r="G35" s="263">
        <v>-1.4</v>
      </c>
      <c r="H35" s="263">
        <v>1.3</v>
      </c>
      <c r="I35" s="263">
        <v>2.5</v>
      </c>
      <c r="J35" s="263">
        <v>4</v>
      </c>
      <c r="K35" s="263">
        <v>4.5999999999999996</v>
      </c>
      <c r="L35" s="263">
        <v>2.9</v>
      </c>
      <c r="M35" s="263">
        <v>4</v>
      </c>
      <c r="N35" s="263">
        <v>5.9</v>
      </c>
      <c r="O35" s="263">
        <v>6.8</v>
      </c>
      <c r="P35" s="263">
        <v>8.1</v>
      </c>
      <c r="Q35" s="263">
        <v>9.5</v>
      </c>
      <c r="R35" s="263">
        <v>10.4</v>
      </c>
      <c r="S35" s="263">
        <v>8.3000000000000007</v>
      </c>
      <c r="T35" s="263">
        <v>6.9</v>
      </c>
      <c r="U35" s="263">
        <v>10.7</v>
      </c>
      <c r="V35" s="263">
        <v>15.9</v>
      </c>
      <c r="W35" s="263">
        <v>15.6</v>
      </c>
      <c r="X35" s="263">
        <v>15</v>
      </c>
      <c r="Y35" s="263">
        <v>14.9</v>
      </c>
      <c r="Z35" s="263">
        <v>16</v>
      </c>
      <c r="AA35" s="263">
        <v>15.6</v>
      </c>
      <c r="AB35" s="263">
        <v>17.100000000000001</v>
      </c>
      <c r="AC35" s="263">
        <v>22.6</v>
      </c>
      <c r="AD35" s="263">
        <v>21.5</v>
      </c>
      <c r="AE35" s="263">
        <v>21.4</v>
      </c>
      <c r="AF35" s="263">
        <v>19.2</v>
      </c>
      <c r="AG35" s="263">
        <v>24.8</v>
      </c>
      <c r="AH35" s="263">
        <v>24.2</v>
      </c>
      <c r="AI35" s="263">
        <v>25.1</v>
      </c>
      <c r="AJ35" s="263">
        <v>31.2</v>
      </c>
      <c r="AK35" s="263">
        <v>35.5</v>
      </c>
      <c r="AL35" s="263">
        <v>40.700000000000003</v>
      </c>
      <c r="AM35" s="263">
        <v>48.3</v>
      </c>
      <c r="AN35" s="263">
        <v>51.6</v>
      </c>
      <c r="AO35" s="263">
        <v>50.2</v>
      </c>
      <c r="AP35" s="263">
        <v>49.8</v>
      </c>
      <c r="AQ35" s="263">
        <v>45</v>
      </c>
      <c r="AR35" s="263">
        <v>36.6</v>
      </c>
      <c r="AS35" s="263">
        <v>45.2</v>
      </c>
      <c r="AT35" s="263">
        <v>54.5</v>
      </c>
      <c r="AU35" s="263">
        <v>56.8</v>
      </c>
      <c r="AV35" s="263">
        <v>44.6</v>
      </c>
      <c r="AW35" s="263">
        <v>62.4</v>
      </c>
      <c r="AX35" s="263">
        <v>79.599999999999994</v>
      </c>
      <c r="AY35" s="263">
        <v>94.6</v>
      </c>
      <c r="AZ35" s="263">
        <v>108.2</v>
      </c>
      <c r="BA35" s="263">
        <v>103.4</v>
      </c>
      <c r="BB35" s="263">
        <v>87.5</v>
      </c>
      <c r="BC35" s="263">
        <v>123.9</v>
      </c>
      <c r="BD35" s="263">
        <v>124.5</v>
      </c>
      <c r="BE35" s="263">
        <v>148.80000000000001</v>
      </c>
      <c r="BF35" s="263">
        <v>193</v>
      </c>
      <c r="BG35" s="263">
        <v>200</v>
      </c>
      <c r="BH35" s="263">
        <v>154</v>
      </c>
      <c r="BI35" s="263">
        <v>165.1</v>
      </c>
      <c r="BJ35" s="263">
        <v>190.5</v>
      </c>
      <c r="BK35" s="263">
        <v>172.9</v>
      </c>
      <c r="BL35" s="263">
        <v>163.69999999999999</v>
      </c>
      <c r="BM35" s="263">
        <v>178.6</v>
      </c>
      <c r="BN35" s="263">
        <v>191.1</v>
      </c>
      <c r="BO35" s="263">
        <v>231.6</v>
      </c>
      <c r="BP35" s="263">
        <v>298.39999999999998</v>
      </c>
      <c r="BQ35" s="263">
        <v>337.6</v>
      </c>
      <c r="BR35" s="263">
        <v>389.4</v>
      </c>
      <c r="BS35" s="263">
        <v>431.7</v>
      </c>
      <c r="BT35" s="263">
        <v>399.2</v>
      </c>
      <c r="BU35" s="263">
        <v>375</v>
      </c>
      <c r="BV35" s="263">
        <v>309.89999999999998</v>
      </c>
      <c r="BW35" s="263">
        <v>270.7</v>
      </c>
      <c r="BX35" s="263">
        <v>371.3</v>
      </c>
      <c r="BY35" s="263">
        <v>450.5</v>
      </c>
      <c r="BZ35" s="263">
        <v>555.20000000000005</v>
      </c>
      <c r="CA35" s="263">
        <v>599.1</v>
      </c>
      <c r="CB35" s="263">
        <v>707.3</v>
      </c>
      <c r="CC35" s="263">
        <v>620.79999999999995</v>
      </c>
      <c r="CD35" s="263">
        <v>586.9</v>
      </c>
      <c r="CE35" s="263">
        <v>540.20000000000005</v>
      </c>
      <c r="CF35" s="263">
        <v>762.4</v>
      </c>
      <c r="CG35" s="263">
        <v>810.2</v>
      </c>
      <c r="CH35" s="263">
        <v>883</v>
      </c>
      <c r="CI35" s="263">
        <v>946</v>
      </c>
      <c r="CJ35" s="263">
        <v>1005</v>
      </c>
      <c r="CK35" s="263">
        <v>994.7</v>
      </c>
      <c r="CL35" s="263">
        <v>950</v>
      </c>
    </row>
    <row r="36" spans="1:90" ht="15">
      <c r="A36" s="263" t="s">
        <v>30</v>
      </c>
      <c r="B36" s="263" t="s">
        <v>965</v>
      </c>
      <c r="C36" s="263">
        <v>5.0999999999999996</v>
      </c>
      <c r="D36" s="263">
        <v>5</v>
      </c>
      <c r="E36" s="263">
        <v>3.8</v>
      </c>
      <c r="F36" s="263">
        <v>2.4</v>
      </c>
      <c r="G36" s="263">
        <v>2</v>
      </c>
      <c r="H36" s="263">
        <v>2.7</v>
      </c>
      <c r="I36" s="263">
        <v>3.2</v>
      </c>
      <c r="J36" s="263">
        <v>4.3</v>
      </c>
      <c r="K36" s="263">
        <v>4.4000000000000004</v>
      </c>
      <c r="L36" s="263">
        <v>2.7</v>
      </c>
      <c r="M36" s="263">
        <v>3.4</v>
      </c>
      <c r="N36" s="263">
        <v>3.7</v>
      </c>
      <c r="O36" s="263">
        <v>4.0999999999999996</v>
      </c>
      <c r="P36" s="263">
        <v>3.8</v>
      </c>
      <c r="Q36" s="263">
        <v>3.9</v>
      </c>
      <c r="R36" s="263">
        <v>4.0999999999999996</v>
      </c>
      <c r="S36" s="263">
        <v>4.0999999999999996</v>
      </c>
      <c r="T36" s="263">
        <v>4.9000000000000004</v>
      </c>
      <c r="U36" s="263">
        <v>5.4</v>
      </c>
      <c r="V36" s="263">
        <v>5.9</v>
      </c>
      <c r="W36" s="263">
        <v>6</v>
      </c>
      <c r="X36" s="263">
        <v>7.4</v>
      </c>
      <c r="Y36" s="263">
        <v>7</v>
      </c>
      <c r="Z36" s="263">
        <v>7.1</v>
      </c>
      <c r="AA36" s="263">
        <v>7.2</v>
      </c>
      <c r="AB36" s="263">
        <v>7.4</v>
      </c>
      <c r="AC36" s="263">
        <v>8.4</v>
      </c>
      <c r="AD36" s="263">
        <v>9</v>
      </c>
      <c r="AE36" s="263">
        <v>9.1999999999999993</v>
      </c>
      <c r="AF36" s="263">
        <v>9.1</v>
      </c>
      <c r="AG36" s="263">
        <v>9.8000000000000007</v>
      </c>
      <c r="AH36" s="263">
        <v>10.5</v>
      </c>
      <c r="AI36" s="263">
        <v>10.6</v>
      </c>
      <c r="AJ36" s="263">
        <v>11.6</v>
      </c>
      <c r="AK36" s="263">
        <v>12.4</v>
      </c>
      <c r="AL36" s="263">
        <v>14</v>
      </c>
      <c r="AM36" s="263">
        <v>16.2</v>
      </c>
      <c r="AN36" s="263">
        <v>16.8</v>
      </c>
      <c r="AO36" s="263">
        <v>17.3</v>
      </c>
      <c r="AP36" s="263">
        <v>19</v>
      </c>
      <c r="AQ36" s="263">
        <v>19</v>
      </c>
      <c r="AR36" s="263">
        <v>18.3</v>
      </c>
      <c r="AS36" s="263">
        <v>18.100000000000001</v>
      </c>
      <c r="AT36" s="263">
        <v>19.7</v>
      </c>
      <c r="AU36" s="263">
        <v>20.8</v>
      </c>
      <c r="AV36" s="263">
        <v>21.5</v>
      </c>
      <c r="AW36" s="263">
        <v>24.6</v>
      </c>
      <c r="AX36" s="263">
        <v>27.8</v>
      </c>
      <c r="AY36" s="263">
        <v>30.9</v>
      </c>
      <c r="AZ36" s="263">
        <v>35.9</v>
      </c>
      <c r="BA36" s="263">
        <v>37.6</v>
      </c>
      <c r="BB36" s="263">
        <v>44.7</v>
      </c>
      <c r="BC36" s="263">
        <v>52.5</v>
      </c>
      <c r="BD36" s="263">
        <v>54.1</v>
      </c>
      <c r="BE36" s="263">
        <v>63.2</v>
      </c>
      <c r="BF36" s="263">
        <v>67.2</v>
      </c>
      <c r="BG36" s="263">
        <v>72</v>
      </c>
      <c r="BH36" s="263">
        <v>72.900000000000006</v>
      </c>
      <c r="BI36" s="263">
        <v>76.3</v>
      </c>
      <c r="BJ36" s="263">
        <v>82.2</v>
      </c>
      <c r="BK36" s="263">
        <v>105.4</v>
      </c>
      <c r="BL36" s="263">
        <v>118.3</v>
      </c>
      <c r="BM36" s="263">
        <v>125.5</v>
      </c>
      <c r="BN36" s="263">
        <v>134.30000000000001</v>
      </c>
      <c r="BO36" s="263">
        <v>149.19999999999999</v>
      </c>
      <c r="BP36" s="263">
        <v>158</v>
      </c>
      <c r="BQ36" s="263">
        <v>178</v>
      </c>
      <c r="BR36" s="263">
        <v>197.6</v>
      </c>
      <c r="BS36" s="263">
        <v>215.9</v>
      </c>
      <c r="BT36" s="263">
        <v>241</v>
      </c>
      <c r="BU36" s="263">
        <v>224.7</v>
      </c>
      <c r="BV36" s="263">
        <v>251.3</v>
      </c>
      <c r="BW36" s="263">
        <v>245.4</v>
      </c>
      <c r="BX36" s="263">
        <v>254.8</v>
      </c>
      <c r="BY36" s="263">
        <v>293.39999999999998</v>
      </c>
      <c r="BZ36" s="263">
        <v>364.5</v>
      </c>
      <c r="CA36" s="263">
        <v>170.8</v>
      </c>
      <c r="CB36" s="263">
        <v>471.1</v>
      </c>
      <c r="CC36" s="263">
        <v>484.6</v>
      </c>
      <c r="CD36" s="263">
        <v>474.2</v>
      </c>
      <c r="CE36" s="263">
        <v>351.4</v>
      </c>
      <c r="CF36" s="263">
        <v>375.5</v>
      </c>
      <c r="CG36" s="263">
        <v>441</v>
      </c>
      <c r="CH36" s="263">
        <v>517.9</v>
      </c>
      <c r="CI36" s="263">
        <v>531.9</v>
      </c>
      <c r="CJ36" s="263">
        <v>598.29999999999995</v>
      </c>
      <c r="CK36" s="263">
        <v>651.79999999999995</v>
      </c>
      <c r="CL36" s="263">
        <v>685.2</v>
      </c>
    </row>
    <row r="37" spans="1:90" ht="15">
      <c r="A37" s="263" t="s">
        <v>29</v>
      </c>
      <c r="B37" s="263" t="s">
        <v>966</v>
      </c>
      <c r="C37" s="263">
        <v>2.8</v>
      </c>
      <c r="D37" s="263">
        <v>1</v>
      </c>
      <c r="E37" s="263">
        <v>-1.8</v>
      </c>
      <c r="F37" s="263">
        <v>-3.5</v>
      </c>
      <c r="G37" s="263">
        <v>-3.4</v>
      </c>
      <c r="H37" s="263">
        <v>-1.4</v>
      </c>
      <c r="I37" s="263">
        <v>-0.7</v>
      </c>
      <c r="J37" s="263">
        <v>-0.3</v>
      </c>
      <c r="K37" s="263">
        <v>0.2</v>
      </c>
      <c r="L37" s="263">
        <v>0.1</v>
      </c>
      <c r="M37" s="263">
        <v>0.6</v>
      </c>
      <c r="N37" s="263">
        <v>2.2000000000000002</v>
      </c>
      <c r="O37" s="263">
        <v>2.7</v>
      </c>
      <c r="P37" s="263">
        <v>4.3</v>
      </c>
      <c r="Q37" s="263">
        <v>5.5</v>
      </c>
      <c r="R37" s="263">
        <v>6.3</v>
      </c>
      <c r="S37" s="263">
        <v>4.2</v>
      </c>
      <c r="T37" s="263">
        <v>2.1</v>
      </c>
      <c r="U37" s="263">
        <v>5.3</v>
      </c>
      <c r="V37" s="263">
        <v>10.1</v>
      </c>
      <c r="W37" s="263">
        <v>9.5</v>
      </c>
      <c r="X37" s="263">
        <v>7.6</v>
      </c>
      <c r="Y37" s="263">
        <v>7.9</v>
      </c>
      <c r="Z37" s="263">
        <v>8.9</v>
      </c>
      <c r="AA37" s="263">
        <v>8.3000000000000007</v>
      </c>
      <c r="AB37" s="263">
        <v>9.8000000000000007</v>
      </c>
      <c r="AC37" s="263">
        <v>14.2</v>
      </c>
      <c r="AD37" s="263">
        <v>12.5</v>
      </c>
      <c r="AE37" s="263">
        <v>12.1</v>
      </c>
      <c r="AF37" s="263">
        <v>10</v>
      </c>
      <c r="AG37" s="263">
        <v>15</v>
      </c>
      <c r="AH37" s="263">
        <v>13.7</v>
      </c>
      <c r="AI37" s="263">
        <v>14.5</v>
      </c>
      <c r="AJ37" s="263">
        <v>19.600000000000001</v>
      </c>
      <c r="AK37" s="263">
        <v>23.1</v>
      </c>
      <c r="AL37" s="263">
        <v>26.7</v>
      </c>
      <c r="AM37" s="263">
        <v>32.1</v>
      </c>
      <c r="AN37" s="263">
        <v>34.799999999999997</v>
      </c>
      <c r="AO37" s="263">
        <v>33</v>
      </c>
      <c r="AP37" s="263">
        <v>30.8</v>
      </c>
      <c r="AQ37" s="263">
        <v>25.9</v>
      </c>
      <c r="AR37" s="263">
        <v>18.3</v>
      </c>
      <c r="AS37" s="263">
        <v>27</v>
      </c>
      <c r="AT37" s="263">
        <v>34.799999999999997</v>
      </c>
      <c r="AU37" s="263">
        <v>36.1</v>
      </c>
      <c r="AV37" s="263">
        <v>23</v>
      </c>
      <c r="AW37" s="263">
        <v>37.799999999999997</v>
      </c>
      <c r="AX37" s="263">
        <v>51.8</v>
      </c>
      <c r="AY37" s="263">
        <v>63.6</v>
      </c>
      <c r="AZ37" s="263">
        <v>72.3</v>
      </c>
      <c r="BA37" s="263">
        <v>65.8</v>
      </c>
      <c r="BB37" s="263">
        <v>42.8</v>
      </c>
      <c r="BC37" s="263">
        <v>71.400000000000006</v>
      </c>
      <c r="BD37" s="263">
        <v>70.5</v>
      </c>
      <c r="BE37" s="263">
        <v>85.6</v>
      </c>
      <c r="BF37" s="263">
        <v>125.8</v>
      </c>
      <c r="BG37" s="263">
        <v>128</v>
      </c>
      <c r="BH37" s="263">
        <v>81.099999999999994</v>
      </c>
      <c r="BI37" s="263">
        <v>88.9</v>
      </c>
      <c r="BJ37" s="263">
        <v>108.4</v>
      </c>
      <c r="BK37" s="263">
        <v>67.599999999999994</v>
      </c>
      <c r="BL37" s="263">
        <v>45.4</v>
      </c>
      <c r="BM37" s="263">
        <v>53.1</v>
      </c>
      <c r="BN37" s="263">
        <v>56.9</v>
      </c>
      <c r="BO37" s="263">
        <v>82.4</v>
      </c>
      <c r="BP37" s="263">
        <v>140.4</v>
      </c>
      <c r="BQ37" s="263">
        <v>159.6</v>
      </c>
      <c r="BR37" s="263">
        <v>191.8</v>
      </c>
      <c r="BS37" s="263">
        <v>215.8</v>
      </c>
      <c r="BT37" s="263">
        <v>158.1</v>
      </c>
      <c r="BU37" s="263">
        <v>150.4</v>
      </c>
      <c r="BV37" s="263">
        <v>58.6</v>
      </c>
      <c r="BW37" s="263">
        <v>25.3</v>
      </c>
      <c r="BX37" s="263">
        <v>116.5</v>
      </c>
      <c r="BY37" s="263">
        <v>157.19999999999999</v>
      </c>
      <c r="BZ37" s="263">
        <v>190.7</v>
      </c>
      <c r="CA37" s="263">
        <v>428.3</v>
      </c>
      <c r="CB37" s="263">
        <v>236.2</v>
      </c>
      <c r="CC37" s="263">
        <v>136.19999999999999</v>
      </c>
      <c r="CD37" s="263">
        <v>112.7</v>
      </c>
      <c r="CE37" s="263">
        <v>188.9</v>
      </c>
      <c r="CF37" s="263">
        <v>387</v>
      </c>
      <c r="CG37" s="263">
        <v>369.2</v>
      </c>
      <c r="CH37" s="263">
        <v>365</v>
      </c>
      <c r="CI37" s="263">
        <v>414.1</v>
      </c>
      <c r="CJ37" s="263">
        <v>406.6</v>
      </c>
      <c r="CK37" s="263">
        <v>343</v>
      </c>
      <c r="CL37" s="263">
        <v>264.8</v>
      </c>
    </row>
    <row r="38" spans="1:90" ht="15">
      <c r="A38" s="263" t="s">
        <v>32</v>
      </c>
      <c r="B38" s="269" t="s">
        <v>31</v>
      </c>
      <c r="C38" s="263" t="s">
        <v>0</v>
      </c>
      <c r="D38" s="263" t="s">
        <v>0</v>
      </c>
      <c r="E38" s="263" t="s">
        <v>0</v>
      </c>
      <c r="F38" s="263" t="s">
        <v>0</v>
      </c>
      <c r="G38" s="263" t="s">
        <v>0</v>
      </c>
      <c r="H38" s="263" t="s">
        <v>0</v>
      </c>
      <c r="I38" s="263" t="s">
        <v>0</v>
      </c>
      <c r="J38" s="263" t="s">
        <v>0</v>
      </c>
      <c r="K38" s="263" t="s">
        <v>0</v>
      </c>
      <c r="L38" s="263" t="s">
        <v>0</v>
      </c>
      <c r="M38" s="263" t="s">
        <v>0</v>
      </c>
      <c r="N38" s="263" t="s">
        <v>0</v>
      </c>
      <c r="O38" s="263" t="s">
        <v>0</v>
      </c>
      <c r="P38" s="263" t="s">
        <v>0</v>
      </c>
      <c r="Q38" s="263" t="s">
        <v>0</v>
      </c>
      <c r="R38" s="263" t="s">
        <v>0</v>
      </c>
      <c r="S38" s="263" t="s">
        <v>0</v>
      </c>
      <c r="T38" s="263" t="s">
        <v>0</v>
      </c>
      <c r="U38" s="263" t="s">
        <v>0</v>
      </c>
      <c r="V38" s="263" t="s">
        <v>0</v>
      </c>
      <c r="W38" s="263" t="s">
        <v>0</v>
      </c>
      <c r="X38" s="263" t="s">
        <v>0</v>
      </c>
      <c r="Y38" s="263" t="s">
        <v>0</v>
      </c>
      <c r="Z38" s="263" t="s">
        <v>0</v>
      </c>
      <c r="AA38" s="263" t="s">
        <v>0</v>
      </c>
      <c r="AB38" s="263" t="s">
        <v>0</v>
      </c>
      <c r="AC38" s="263" t="s">
        <v>0</v>
      </c>
      <c r="AD38" s="263" t="s">
        <v>0</v>
      </c>
      <c r="AE38" s="263" t="s">
        <v>0</v>
      </c>
      <c r="AF38" s="263" t="s">
        <v>0</v>
      </c>
      <c r="AG38" s="263" t="s">
        <v>0</v>
      </c>
      <c r="AH38" s="263" t="s">
        <v>0</v>
      </c>
      <c r="AI38" s="263" t="s">
        <v>0</v>
      </c>
      <c r="AJ38" s="263" t="s">
        <v>0</v>
      </c>
      <c r="AK38" s="263" t="s">
        <v>0</v>
      </c>
      <c r="AL38" s="263" t="s">
        <v>0</v>
      </c>
      <c r="AM38" s="263" t="s">
        <v>0</v>
      </c>
      <c r="AN38" s="263" t="s">
        <v>0</v>
      </c>
      <c r="AO38" s="263" t="s">
        <v>0</v>
      </c>
      <c r="AP38" s="263" t="s">
        <v>0</v>
      </c>
      <c r="AQ38" s="263" t="s">
        <v>0</v>
      </c>
      <c r="AR38" s="263" t="s">
        <v>0</v>
      </c>
      <c r="AS38" s="263" t="s">
        <v>0</v>
      </c>
      <c r="AT38" s="263" t="s">
        <v>0</v>
      </c>
      <c r="AU38" s="263" t="s">
        <v>0</v>
      </c>
      <c r="AV38" s="263" t="s">
        <v>0</v>
      </c>
      <c r="AW38" s="263" t="s">
        <v>0</v>
      </c>
      <c r="AX38" s="263" t="s">
        <v>0</v>
      </c>
      <c r="AY38" s="263" t="s">
        <v>0</v>
      </c>
      <c r="AZ38" s="263" t="s">
        <v>0</v>
      </c>
      <c r="BA38" s="263" t="s">
        <v>0</v>
      </c>
      <c r="BB38" s="263" t="s">
        <v>0</v>
      </c>
      <c r="BC38" s="263" t="s">
        <v>0</v>
      </c>
      <c r="BD38" s="263" t="s">
        <v>0</v>
      </c>
      <c r="BE38" s="263" t="s">
        <v>0</v>
      </c>
      <c r="BF38" s="263" t="s">
        <v>0</v>
      </c>
      <c r="BG38" s="263" t="s">
        <v>0</v>
      </c>
      <c r="BH38" s="263" t="s">
        <v>0</v>
      </c>
      <c r="BI38" s="263" t="s">
        <v>0</v>
      </c>
      <c r="BJ38" s="263" t="s">
        <v>0</v>
      </c>
      <c r="BK38" s="263" t="s">
        <v>0</v>
      </c>
      <c r="BL38" s="263" t="s">
        <v>0</v>
      </c>
      <c r="BM38" s="263" t="s">
        <v>0</v>
      </c>
      <c r="BN38" s="263" t="s">
        <v>0</v>
      </c>
      <c r="BO38" s="263" t="s">
        <v>0</v>
      </c>
      <c r="BP38" s="263" t="s">
        <v>0</v>
      </c>
      <c r="BQ38" s="263" t="s">
        <v>0</v>
      </c>
      <c r="BR38" s="263" t="s">
        <v>0</v>
      </c>
      <c r="BS38" s="263" t="s">
        <v>0</v>
      </c>
      <c r="BT38" s="263" t="s">
        <v>0</v>
      </c>
      <c r="BU38" s="263" t="s">
        <v>0</v>
      </c>
      <c r="BV38" s="263" t="s">
        <v>0</v>
      </c>
      <c r="BW38" s="263" t="s">
        <v>0</v>
      </c>
      <c r="BX38" s="263" t="s">
        <v>0</v>
      </c>
      <c r="BY38" s="263" t="s">
        <v>0</v>
      </c>
      <c r="BZ38" s="263" t="s">
        <v>0</v>
      </c>
      <c r="CA38" s="263" t="s">
        <v>0</v>
      </c>
      <c r="CB38" s="263" t="s">
        <v>0</v>
      </c>
      <c r="CC38" s="263" t="s">
        <v>0</v>
      </c>
      <c r="CD38" s="263" t="s">
        <v>0</v>
      </c>
      <c r="CE38" s="263" t="s">
        <v>0</v>
      </c>
      <c r="CF38" s="263" t="s">
        <v>0</v>
      </c>
      <c r="CG38" s="263" t="s">
        <v>0</v>
      </c>
      <c r="CH38" s="263" t="s">
        <v>0</v>
      </c>
      <c r="CI38" s="263" t="s">
        <v>0</v>
      </c>
      <c r="CJ38" s="263" t="s">
        <v>0</v>
      </c>
      <c r="CK38" s="263" t="s">
        <v>0</v>
      </c>
      <c r="CL38" s="263" t="s">
        <v>0</v>
      </c>
    </row>
    <row r="39" spans="1:90" ht="15">
      <c r="A39" s="263" t="s">
        <v>32</v>
      </c>
      <c r="B39" s="269" t="s">
        <v>969</v>
      </c>
      <c r="C39" s="263" t="s">
        <v>0</v>
      </c>
      <c r="D39" s="263" t="s">
        <v>0</v>
      </c>
      <c r="E39" s="263" t="s">
        <v>0</v>
      </c>
      <c r="F39" s="263" t="s">
        <v>0</v>
      </c>
      <c r="G39" s="263" t="s">
        <v>0</v>
      </c>
      <c r="H39" s="263" t="s">
        <v>0</v>
      </c>
      <c r="I39" s="263" t="s">
        <v>0</v>
      </c>
      <c r="J39" s="263" t="s">
        <v>0</v>
      </c>
      <c r="K39" s="263" t="s">
        <v>0</v>
      </c>
      <c r="L39" s="263" t="s">
        <v>0</v>
      </c>
      <c r="M39" s="263" t="s">
        <v>0</v>
      </c>
      <c r="N39" s="263" t="s">
        <v>0</v>
      </c>
      <c r="O39" s="263" t="s">
        <v>0</v>
      </c>
      <c r="P39" s="263" t="s">
        <v>0</v>
      </c>
      <c r="Q39" s="263" t="s">
        <v>0</v>
      </c>
      <c r="R39" s="263" t="s">
        <v>0</v>
      </c>
      <c r="S39" s="263" t="s">
        <v>0</v>
      </c>
      <c r="T39" s="263" t="s">
        <v>0</v>
      </c>
      <c r="U39" s="263" t="s">
        <v>0</v>
      </c>
      <c r="V39" s="263" t="s">
        <v>0</v>
      </c>
      <c r="W39" s="263" t="s">
        <v>0</v>
      </c>
      <c r="X39" s="263" t="s">
        <v>0</v>
      </c>
      <c r="Y39" s="263" t="s">
        <v>0</v>
      </c>
      <c r="Z39" s="263" t="s">
        <v>0</v>
      </c>
      <c r="AA39" s="263" t="s">
        <v>0</v>
      </c>
      <c r="AB39" s="263" t="s">
        <v>0</v>
      </c>
      <c r="AC39" s="263" t="s">
        <v>0</v>
      </c>
      <c r="AD39" s="263" t="s">
        <v>0</v>
      </c>
      <c r="AE39" s="263" t="s">
        <v>0</v>
      </c>
      <c r="AF39" s="263" t="s">
        <v>0</v>
      </c>
      <c r="AG39" s="263" t="s">
        <v>0</v>
      </c>
      <c r="AH39" s="263" t="s">
        <v>0</v>
      </c>
      <c r="AI39" s="263" t="s">
        <v>0</v>
      </c>
      <c r="AJ39" s="263" t="s">
        <v>0</v>
      </c>
      <c r="AK39" s="263" t="s">
        <v>0</v>
      </c>
      <c r="AL39" s="263" t="s">
        <v>0</v>
      </c>
      <c r="AM39" s="263" t="s">
        <v>0</v>
      </c>
      <c r="AN39" s="263" t="s">
        <v>0</v>
      </c>
      <c r="AO39" s="263" t="s">
        <v>0</v>
      </c>
      <c r="AP39" s="263" t="s">
        <v>0</v>
      </c>
      <c r="AQ39" s="263" t="s">
        <v>0</v>
      </c>
      <c r="AR39" s="263" t="s">
        <v>0</v>
      </c>
      <c r="AS39" s="263" t="s">
        <v>0</v>
      </c>
      <c r="AT39" s="263" t="s">
        <v>0</v>
      </c>
      <c r="AU39" s="263" t="s">
        <v>0</v>
      </c>
      <c r="AV39" s="263" t="s">
        <v>0</v>
      </c>
      <c r="AW39" s="263" t="s">
        <v>0</v>
      </c>
      <c r="AX39" s="263" t="s">
        <v>0</v>
      </c>
      <c r="AY39" s="263" t="s">
        <v>0</v>
      </c>
      <c r="AZ39" s="263" t="s">
        <v>0</v>
      </c>
      <c r="BA39" s="263" t="s">
        <v>0</v>
      </c>
      <c r="BB39" s="263" t="s">
        <v>0</v>
      </c>
      <c r="BC39" s="263" t="s">
        <v>0</v>
      </c>
      <c r="BD39" s="263" t="s">
        <v>0</v>
      </c>
      <c r="BE39" s="263" t="s">
        <v>0</v>
      </c>
      <c r="BF39" s="263" t="s">
        <v>0</v>
      </c>
      <c r="BG39" s="263" t="s">
        <v>0</v>
      </c>
      <c r="BH39" s="263" t="s">
        <v>0</v>
      </c>
      <c r="BI39" s="263" t="s">
        <v>0</v>
      </c>
      <c r="BJ39" s="263" t="s">
        <v>0</v>
      </c>
      <c r="BK39" s="263" t="s">
        <v>0</v>
      </c>
      <c r="BL39" s="263" t="s">
        <v>0</v>
      </c>
      <c r="BM39" s="263" t="s">
        <v>0</v>
      </c>
      <c r="BN39" s="263" t="s">
        <v>0</v>
      </c>
      <c r="BO39" s="263" t="s">
        <v>0</v>
      </c>
      <c r="BP39" s="263" t="s">
        <v>0</v>
      </c>
      <c r="BQ39" s="263" t="s">
        <v>0</v>
      </c>
      <c r="BR39" s="263" t="s">
        <v>0</v>
      </c>
      <c r="BS39" s="263" t="s">
        <v>0</v>
      </c>
      <c r="BT39" s="263" t="s">
        <v>0</v>
      </c>
      <c r="BU39" s="263" t="s">
        <v>0</v>
      </c>
      <c r="BV39" s="263" t="s">
        <v>0</v>
      </c>
      <c r="BW39" s="263" t="s">
        <v>0</v>
      </c>
      <c r="BX39" s="263" t="s">
        <v>0</v>
      </c>
      <c r="BY39" s="263" t="s">
        <v>0</v>
      </c>
      <c r="BZ39" s="263" t="s">
        <v>0</v>
      </c>
      <c r="CA39" s="263" t="s">
        <v>0</v>
      </c>
      <c r="CB39" s="263" t="s">
        <v>0</v>
      </c>
      <c r="CC39" s="263" t="s">
        <v>0</v>
      </c>
      <c r="CD39" s="263" t="s">
        <v>0</v>
      </c>
      <c r="CE39" s="263" t="s">
        <v>0</v>
      </c>
      <c r="CF39" s="263" t="s">
        <v>0</v>
      </c>
      <c r="CG39" s="263" t="s">
        <v>0</v>
      </c>
      <c r="CH39" s="263" t="s">
        <v>0</v>
      </c>
      <c r="CI39" s="263" t="s">
        <v>0</v>
      </c>
      <c r="CJ39" s="263" t="s">
        <v>0</v>
      </c>
      <c r="CK39" s="263" t="s">
        <v>0</v>
      </c>
      <c r="CL39" s="263" t="s">
        <v>0</v>
      </c>
    </row>
    <row r="40" spans="1:90" ht="15">
      <c r="A40" s="263" t="s">
        <v>27</v>
      </c>
      <c r="B40" s="263" t="s">
        <v>970</v>
      </c>
      <c r="C40" s="263">
        <v>10.7</v>
      </c>
      <c r="D40" s="263">
        <v>4.4000000000000004</v>
      </c>
      <c r="E40" s="263">
        <v>0.6</v>
      </c>
      <c r="F40" s="263">
        <v>-1.3</v>
      </c>
      <c r="G40" s="263">
        <v>1.8</v>
      </c>
      <c r="H40" s="263">
        <v>3.2</v>
      </c>
      <c r="I40" s="263">
        <v>4.2</v>
      </c>
      <c r="J40" s="263">
        <v>7</v>
      </c>
      <c r="K40" s="263">
        <v>7.4</v>
      </c>
      <c r="L40" s="263">
        <v>4.3</v>
      </c>
      <c r="M40" s="263">
        <v>7.5</v>
      </c>
      <c r="N40" s="263">
        <v>10.4</v>
      </c>
      <c r="O40" s="263">
        <v>18.399999999999999</v>
      </c>
      <c r="P40" s="263">
        <v>22.1</v>
      </c>
      <c r="Q40" s="263">
        <v>25.5</v>
      </c>
      <c r="R40" s="263">
        <v>24.4</v>
      </c>
      <c r="S40" s="263">
        <v>20.100000000000001</v>
      </c>
      <c r="T40" s="263">
        <v>24.9</v>
      </c>
      <c r="U40" s="263">
        <v>31.7</v>
      </c>
      <c r="V40" s="263">
        <v>35.200000000000003</v>
      </c>
      <c r="W40" s="263">
        <v>28.9</v>
      </c>
      <c r="X40" s="263">
        <v>42.5</v>
      </c>
      <c r="Y40" s="263">
        <v>43.6</v>
      </c>
      <c r="Z40" s="263">
        <v>39.4</v>
      </c>
      <c r="AA40" s="263">
        <v>41.4</v>
      </c>
      <c r="AB40" s="263">
        <v>38.799999999999997</v>
      </c>
      <c r="AC40" s="263">
        <v>49.1</v>
      </c>
      <c r="AD40" s="263">
        <v>49.8</v>
      </c>
      <c r="AE40" s="263">
        <v>48.1</v>
      </c>
      <c r="AF40" s="263">
        <v>42.5</v>
      </c>
      <c r="AG40" s="263">
        <v>53.2</v>
      </c>
      <c r="AH40" s="263">
        <v>50.7</v>
      </c>
      <c r="AI40" s="263">
        <v>50.6</v>
      </c>
      <c r="AJ40" s="263">
        <v>55.4</v>
      </c>
      <c r="AK40" s="263">
        <v>60.3</v>
      </c>
      <c r="AL40" s="263">
        <v>67</v>
      </c>
      <c r="AM40" s="263">
        <v>78.400000000000006</v>
      </c>
      <c r="AN40" s="263">
        <v>85.9</v>
      </c>
      <c r="AO40" s="263">
        <v>82.8</v>
      </c>
      <c r="AP40" s="263">
        <v>92.3</v>
      </c>
      <c r="AQ40" s="263">
        <v>90.1</v>
      </c>
      <c r="AR40" s="263">
        <v>79.2</v>
      </c>
      <c r="AS40" s="263">
        <v>91.4</v>
      </c>
      <c r="AT40" s="263">
        <v>106.4</v>
      </c>
      <c r="AU40" s="263">
        <v>131.19999999999999</v>
      </c>
      <c r="AV40" s="263">
        <v>144.1</v>
      </c>
      <c r="AW40" s="263">
        <v>140.1</v>
      </c>
      <c r="AX40" s="263">
        <v>179.7</v>
      </c>
      <c r="AY40" s="263">
        <v>209.4</v>
      </c>
      <c r="AZ40" s="263">
        <v>247.5</v>
      </c>
      <c r="BA40" s="263">
        <v>266.5</v>
      </c>
      <c r="BB40" s="263">
        <v>247.3</v>
      </c>
      <c r="BC40" s="263">
        <v>246.9</v>
      </c>
      <c r="BD40" s="263">
        <v>199.7</v>
      </c>
      <c r="BE40" s="263">
        <v>228.8</v>
      </c>
      <c r="BF40" s="263">
        <v>261.7</v>
      </c>
      <c r="BG40" s="263">
        <v>251.6</v>
      </c>
      <c r="BH40" s="263">
        <v>226.7</v>
      </c>
      <c r="BI40" s="263">
        <v>282.8</v>
      </c>
      <c r="BJ40" s="263">
        <v>331.4</v>
      </c>
      <c r="BK40" s="263">
        <v>322.3</v>
      </c>
      <c r="BL40" s="263">
        <v>328</v>
      </c>
      <c r="BM40" s="263">
        <v>352.8</v>
      </c>
      <c r="BN40" s="263">
        <v>389.5</v>
      </c>
      <c r="BO40" s="263">
        <v>429</v>
      </c>
      <c r="BP40" s="263">
        <v>523.70000000000005</v>
      </c>
      <c r="BQ40" s="263">
        <v>592.29999999999995</v>
      </c>
      <c r="BR40" s="263">
        <v>636.79999999999995</v>
      </c>
      <c r="BS40" s="263">
        <v>689.3</v>
      </c>
      <c r="BT40" s="263">
        <v>625.29999999999995</v>
      </c>
      <c r="BU40" s="263">
        <v>644.1</v>
      </c>
      <c r="BV40" s="263">
        <v>600.9</v>
      </c>
      <c r="BW40" s="263">
        <v>520.20000000000005</v>
      </c>
      <c r="BX40" s="263">
        <v>630.20000000000005</v>
      </c>
      <c r="BY40" s="263">
        <v>802.8</v>
      </c>
      <c r="BZ40" s="263">
        <v>1049.5999999999999</v>
      </c>
      <c r="CA40" s="263">
        <v>1414.2</v>
      </c>
      <c r="CB40" s="263">
        <v>1595.3</v>
      </c>
      <c r="CC40" s="263">
        <v>1395</v>
      </c>
      <c r="CD40" s="263">
        <v>975.7</v>
      </c>
      <c r="CE40" s="263">
        <v>1115.4000000000001</v>
      </c>
      <c r="CF40" s="263">
        <v>1445.5</v>
      </c>
      <c r="CG40" s="263">
        <v>1384.9</v>
      </c>
      <c r="CH40" s="263">
        <v>1720.5</v>
      </c>
      <c r="CI40" s="263">
        <v>1744.3</v>
      </c>
      <c r="CJ40" s="263">
        <v>1851.5</v>
      </c>
      <c r="CK40" s="263">
        <v>1773.6</v>
      </c>
      <c r="CL40" s="263">
        <v>1764.2</v>
      </c>
    </row>
    <row r="41" spans="1:90" ht="15">
      <c r="A41" s="263" t="s">
        <v>26</v>
      </c>
      <c r="B41" s="263" t="s">
        <v>12</v>
      </c>
      <c r="C41" s="263">
        <v>9.3000000000000007</v>
      </c>
      <c r="D41" s="263">
        <v>3.6</v>
      </c>
      <c r="E41" s="263">
        <v>0.1</v>
      </c>
      <c r="F41" s="263">
        <v>-1.7</v>
      </c>
      <c r="G41" s="263">
        <v>1.3</v>
      </c>
      <c r="H41" s="263">
        <v>2.4</v>
      </c>
      <c r="I41" s="263">
        <v>3.3</v>
      </c>
      <c r="J41" s="263">
        <v>5.6</v>
      </c>
      <c r="K41" s="263">
        <v>5.9</v>
      </c>
      <c r="L41" s="263">
        <v>3.3</v>
      </c>
      <c r="M41" s="263">
        <v>6</v>
      </c>
      <c r="N41" s="263">
        <v>7.5</v>
      </c>
      <c r="O41" s="263">
        <v>10.8</v>
      </c>
      <c r="P41" s="263">
        <v>10.7</v>
      </c>
      <c r="Q41" s="263">
        <v>11.4</v>
      </c>
      <c r="R41" s="263">
        <v>11.4</v>
      </c>
      <c r="S41" s="263">
        <v>9.4</v>
      </c>
      <c r="T41" s="263">
        <v>15.8</v>
      </c>
      <c r="U41" s="263">
        <v>20.399999999999999</v>
      </c>
      <c r="V41" s="263">
        <v>22.8</v>
      </c>
      <c r="W41" s="263">
        <v>18.7</v>
      </c>
      <c r="X41" s="263">
        <v>24.6</v>
      </c>
      <c r="Y41" s="263">
        <v>21.1</v>
      </c>
      <c r="Z41" s="263">
        <v>20</v>
      </c>
      <c r="AA41" s="263">
        <v>21.1</v>
      </c>
      <c r="AB41" s="263">
        <v>21.2</v>
      </c>
      <c r="AC41" s="263">
        <v>27</v>
      </c>
      <c r="AD41" s="263">
        <v>27.8</v>
      </c>
      <c r="AE41" s="263">
        <v>26.7</v>
      </c>
      <c r="AF41" s="263">
        <v>23.5</v>
      </c>
      <c r="AG41" s="263">
        <v>29.5</v>
      </c>
      <c r="AH41" s="263">
        <v>27.9</v>
      </c>
      <c r="AI41" s="263">
        <v>27.7</v>
      </c>
      <c r="AJ41" s="263">
        <v>31.3</v>
      </c>
      <c r="AK41" s="263">
        <v>34</v>
      </c>
      <c r="AL41" s="263">
        <v>38.799999999999997</v>
      </c>
      <c r="AM41" s="263">
        <v>47.3</v>
      </c>
      <c r="AN41" s="263">
        <v>52</v>
      </c>
      <c r="AO41" s="263">
        <v>49.9</v>
      </c>
      <c r="AP41" s="263">
        <v>52.6</v>
      </c>
      <c r="AQ41" s="263">
        <v>50.1</v>
      </c>
      <c r="AR41" s="263">
        <v>44.4</v>
      </c>
      <c r="AS41" s="263">
        <v>53.3</v>
      </c>
      <c r="AT41" s="263">
        <v>64</v>
      </c>
      <c r="AU41" s="263">
        <v>81.3</v>
      </c>
      <c r="AV41" s="263">
        <v>91.3</v>
      </c>
      <c r="AW41" s="263">
        <v>88.5</v>
      </c>
      <c r="AX41" s="263">
        <v>114.4</v>
      </c>
      <c r="AY41" s="263">
        <v>134.9</v>
      </c>
      <c r="AZ41" s="263">
        <v>162.69999999999999</v>
      </c>
      <c r="BA41" s="263">
        <v>176.5</v>
      </c>
      <c r="BB41" s="263">
        <v>160.1</v>
      </c>
      <c r="BC41" s="263">
        <v>162.6</v>
      </c>
      <c r="BD41" s="263">
        <v>133.19999999999999</v>
      </c>
      <c r="BE41" s="263">
        <v>148.19999999999999</v>
      </c>
      <c r="BF41" s="263">
        <v>164.1</v>
      </c>
      <c r="BG41" s="263">
        <v>152.1</v>
      </c>
      <c r="BH41" s="263">
        <v>117</v>
      </c>
      <c r="BI41" s="263">
        <v>152.30000000000001</v>
      </c>
      <c r="BJ41" s="263">
        <v>189.7</v>
      </c>
      <c r="BK41" s="263">
        <v>176.2</v>
      </c>
      <c r="BL41" s="263">
        <v>182.5</v>
      </c>
      <c r="BM41" s="263">
        <v>214.3</v>
      </c>
      <c r="BN41" s="263">
        <v>240.8</v>
      </c>
      <c r="BO41" s="263">
        <v>258</v>
      </c>
      <c r="BP41" s="263">
        <v>330.6</v>
      </c>
      <c r="BQ41" s="263">
        <v>374.5</v>
      </c>
      <c r="BR41" s="263">
        <v>405.3</v>
      </c>
      <c r="BS41" s="263">
        <v>443.9</v>
      </c>
      <c r="BT41" s="263">
        <v>377</v>
      </c>
      <c r="BU41" s="263">
        <v>385.4</v>
      </c>
      <c r="BV41" s="263">
        <v>335.8</v>
      </c>
      <c r="BW41" s="263">
        <v>316.89999999999998</v>
      </c>
      <c r="BX41" s="263">
        <v>437.8</v>
      </c>
      <c r="BY41" s="263">
        <v>559</v>
      </c>
      <c r="BZ41" s="263">
        <v>743.5</v>
      </c>
      <c r="CA41" s="263">
        <v>1001.9</v>
      </c>
      <c r="CB41" s="263">
        <v>1121.9000000000001</v>
      </c>
      <c r="CC41" s="263">
        <v>949.5</v>
      </c>
      <c r="CD41" s="263">
        <v>666.6</v>
      </c>
      <c r="CE41" s="263">
        <v>845.9</v>
      </c>
      <c r="CF41" s="263">
        <v>1074.9000000000001</v>
      </c>
      <c r="CG41" s="263">
        <v>1005.8</v>
      </c>
      <c r="CH41" s="263">
        <v>1272.9000000000001</v>
      </c>
      <c r="CI41" s="263">
        <v>1276.5999999999999</v>
      </c>
      <c r="CJ41" s="263">
        <v>1346.2</v>
      </c>
      <c r="CK41" s="263">
        <v>1266.2</v>
      </c>
      <c r="CL41" s="263">
        <v>1293.2</v>
      </c>
    </row>
    <row r="42" spans="1:90" ht="15">
      <c r="A42" s="263" t="s">
        <v>25</v>
      </c>
      <c r="B42" s="263" t="s">
        <v>971</v>
      </c>
      <c r="C42" s="263">
        <v>3.7</v>
      </c>
      <c r="D42" s="263">
        <v>-1.8</v>
      </c>
      <c r="E42" s="263">
        <v>-4</v>
      </c>
      <c r="F42" s="263">
        <v>-4.3</v>
      </c>
      <c r="G42" s="263">
        <v>-0.7</v>
      </c>
      <c r="H42" s="263">
        <v>-0.1</v>
      </c>
      <c r="I42" s="263">
        <v>0.6</v>
      </c>
      <c r="J42" s="263">
        <v>1.2</v>
      </c>
      <c r="K42" s="263">
        <v>1.3</v>
      </c>
      <c r="L42" s="263">
        <v>0.4</v>
      </c>
      <c r="M42" s="263">
        <v>2.4</v>
      </c>
      <c r="N42" s="263">
        <v>3.8</v>
      </c>
      <c r="O42" s="263">
        <v>6.6</v>
      </c>
      <c r="P42" s="263">
        <v>6.7</v>
      </c>
      <c r="Q42" s="263">
        <v>7.2</v>
      </c>
      <c r="R42" s="263">
        <v>7.1</v>
      </c>
      <c r="S42" s="263">
        <v>5</v>
      </c>
      <c r="T42" s="263">
        <v>10.6</v>
      </c>
      <c r="U42" s="263">
        <v>14.8</v>
      </c>
      <c r="V42" s="263">
        <v>16.600000000000001</v>
      </c>
      <c r="W42" s="263">
        <v>12.3</v>
      </c>
      <c r="X42" s="263">
        <v>16.7</v>
      </c>
      <c r="Y42" s="263">
        <v>13.7</v>
      </c>
      <c r="Z42" s="263">
        <v>12.5</v>
      </c>
      <c r="AA42" s="263">
        <v>13.3</v>
      </c>
      <c r="AB42" s="263">
        <v>13.3</v>
      </c>
      <c r="AC42" s="263">
        <v>18.100000000000001</v>
      </c>
      <c r="AD42" s="263">
        <v>18.3</v>
      </c>
      <c r="AE42" s="263">
        <v>16.8</v>
      </c>
      <c r="AF42" s="263">
        <v>13.7</v>
      </c>
      <c r="AG42" s="263">
        <v>18.8</v>
      </c>
      <c r="AH42" s="263">
        <v>16.5</v>
      </c>
      <c r="AI42" s="263">
        <v>16.2</v>
      </c>
      <c r="AJ42" s="263">
        <v>19</v>
      </c>
      <c r="AK42" s="263">
        <v>20.399999999999999</v>
      </c>
      <c r="AL42" s="263">
        <v>23.8</v>
      </c>
      <c r="AM42" s="263">
        <v>30.5</v>
      </c>
      <c r="AN42" s="263">
        <v>34.1</v>
      </c>
      <c r="AO42" s="263">
        <v>31.6</v>
      </c>
      <c r="AP42" s="263">
        <v>32.5</v>
      </c>
      <c r="AQ42" s="263">
        <v>29.7</v>
      </c>
      <c r="AR42" s="263">
        <v>24</v>
      </c>
      <c r="AS42" s="263">
        <v>32.9</v>
      </c>
      <c r="AT42" s="263">
        <v>42.1</v>
      </c>
      <c r="AU42" s="263">
        <v>58.2</v>
      </c>
      <c r="AV42" s="263">
        <v>67.8</v>
      </c>
      <c r="AW42" s="263">
        <v>62.1</v>
      </c>
      <c r="AX42" s="263">
        <v>84.3</v>
      </c>
      <c r="AY42" s="263">
        <v>101.2</v>
      </c>
      <c r="AZ42" s="263">
        <v>123.1</v>
      </c>
      <c r="BA42" s="263">
        <v>135</v>
      </c>
      <c r="BB42" s="263">
        <v>112.8</v>
      </c>
      <c r="BC42" s="263">
        <v>104.3</v>
      </c>
      <c r="BD42" s="263">
        <v>71.900000000000006</v>
      </c>
      <c r="BE42" s="263">
        <v>76.900000000000006</v>
      </c>
      <c r="BF42" s="263">
        <v>85.6</v>
      </c>
      <c r="BG42" s="263">
        <v>66.400000000000006</v>
      </c>
      <c r="BH42" s="263">
        <v>28.7</v>
      </c>
      <c r="BI42" s="263">
        <v>56.7</v>
      </c>
      <c r="BJ42" s="263">
        <v>91.7</v>
      </c>
      <c r="BK42" s="263">
        <v>49.8</v>
      </c>
      <c r="BL42" s="263">
        <v>38.5</v>
      </c>
      <c r="BM42" s="263">
        <v>58.1</v>
      </c>
      <c r="BN42" s="263">
        <v>79.3</v>
      </c>
      <c r="BO42" s="263">
        <v>73.2</v>
      </c>
      <c r="BP42" s="263">
        <v>132.80000000000001</v>
      </c>
      <c r="BQ42" s="263">
        <v>148.30000000000001</v>
      </c>
      <c r="BR42" s="263">
        <v>142.19999999999999</v>
      </c>
      <c r="BS42" s="263">
        <v>151.69999999999999</v>
      </c>
      <c r="BT42" s="263">
        <v>62.1</v>
      </c>
      <c r="BU42" s="263">
        <v>79</v>
      </c>
      <c r="BV42" s="263">
        <v>-19.600000000000001</v>
      </c>
      <c r="BW42" s="263">
        <v>-13</v>
      </c>
      <c r="BX42" s="263">
        <v>85.6</v>
      </c>
      <c r="BY42" s="263">
        <v>157.19999999999999</v>
      </c>
      <c r="BZ42" s="263">
        <v>241.7</v>
      </c>
      <c r="CA42" s="263">
        <v>682.2</v>
      </c>
      <c r="CB42" s="263">
        <v>473.8</v>
      </c>
      <c r="CC42" s="263">
        <v>271</v>
      </c>
      <c r="CD42" s="263">
        <v>38.5</v>
      </c>
      <c r="CE42" s="263">
        <v>389.4</v>
      </c>
      <c r="CF42" s="263">
        <v>632.4</v>
      </c>
      <c r="CG42" s="263">
        <v>457</v>
      </c>
      <c r="CH42" s="263">
        <v>592.79999999999995</v>
      </c>
      <c r="CI42" s="263">
        <v>485.6</v>
      </c>
      <c r="CJ42" s="263">
        <v>507.7</v>
      </c>
      <c r="CK42" s="263">
        <v>367.5</v>
      </c>
      <c r="CL42" s="263">
        <v>470.9</v>
      </c>
    </row>
    <row r="43" spans="1:90" ht="15">
      <c r="A43" s="263" t="s">
        <v>23</v>
      </c>
      <c r="B43" s="263" t="s">
        <v>972</v>
      </c>
      <c r="C43" s="263">
        <v>0.5</v>
      </c>
      <c r="D43" s="263">
        <v>3.3</v>
      </c>
      <c r="E43" s="263">
        <v>2.4</v>
      </c>
      <c r="F43" s="263">
        <v>1</v>
      </c>
      <c r="G43" s="263">
        <v>-2.1</v>
      </c>
      <c r="H43" s="263">
        <v>-0.6</v>
      </c>
      <c r="I43" s="263">
        <v>-0.2</v>
      </c>
      <c r="J43" s="263">
        <v>-0.7</v>
      </c>
      <c r="K43" s="263">
        <v>0</v>
      </c>
      <c r="L43" s="263">
        <v>1</v>
      </c>
      <c r="M43" s="263">
        <v>-0.7</v>
      </c>
      <c r="N43" s="263">
        <v>-0.2</v>
      </c>
      <c r="O43" s="263">
        <v>-2.5</v>
      </c>
      <c r="P43" s="263">
        <v>-1.2</v>
      </c>
      <c r="Q43" s="263">
        <v>-0.8</v>
      </c>
      <c r="R43" s="263">
        <v>-0.3</v>
      </c>
      <c r="S43" s="263">
        <v>-0.6</v>
      </c>
      <c r="T43" s="263">
        <v>-5.3</v>
      </c>
      <c r="U43" s="263">
        <v>-5.9</v>
      </c>
      <c r="V43" s="263">
        <v>-2.2000000000000002</v>
      </c>
      <c r="W43" s="263">
        <v>1.9</v>
      </c>
      <c r="X43" s="263">
        <v>-5</v>
      </c>
      <c r="Y43" s="263">
        <v>-1.2</v>
      </c>
      <c r="Z43" s="263">
        <v>1</v>
      </c>
      <c r="AA43" s="263">
        <v>-1</v>
      </c>
      <c r="AB43" s="263">
        <v>-0.3</v>
      </c>
      <c r="AC43" s="263">
        <v>-1.7</v>
      </c>
      <c r="AD43" s="263">
        <v>-2.7</v>
      </c>
      <c r="AE43" s="263">
        <v>-1.5</v>
      </c>
      <c r="AF43" s="263">
        <v>-0.3</v>
      </c>
      <c r="AG43" s="263">
        <v>-0.3</v>
      </c>
      <c r="AH43" s="263">
        <v>-0.2</v>
      </c>
      <c r="AI43" s="263">
        <v>0.3</v>
      </c>
      <c r="AJ43" s="263">
        <v>0</v>
      </c>
      <c r="AK43" s="263">
        <v>0.1</v>
      </c>
      <c r="AL43" s="263">
        <v>-0.5</v>
      </c>
      <c r="AM43" s="263">
        <v>-1.2</v>
      </c>
      <c r="AN43" s="263">
        <v>-2.1</v>
      </c>
      <c r="AO43" s="263">
        <v>-1.6</v>
      </c>
      <c r="AP43" s="263">
        <v>-3.7</v>
      </c>
      <c r="AQ43" s="263">
        <v>-5.9</v>
      </c>
      <c r="AR43" s="263">
        <v>-6.6</v>
      </c>
      <c r="AS43" s="263">
        <v>-4.5999999999999996</v>
      </c>
      <c r="AT43" s="263">
        <v>-6.6</v>
      </c>
      <c r="AU43" s="263">
        <v>-19.600000000000001</v>
      </c>
      <c r="AV43" s="263">
        <v>-38.200000000000003</v>
      </c>
      <c r="AW43" s="263">
        <v>-10.5</v>
      </c>
      <c r="AX43" s="263">
        <v>-14.1</v>
      </c>
      <c r="AY43" s="263">
        <v>-15.7</v>
      </c>
      <c r="AZ43" s="263">
        <v>-23.7</v>
      </c>
      <c r="BA43" s="263">
        <v>-40.1</v>
      </c>
      <c r="BB43" s="263">
        <v>-42.1</v>
      </c>
      <c r="BC43" s="263">
        <v>-24.6</v>
      </c>
      <c r="BD43" s="263">
        <v>-7.5</v>
      </c>
      <c r="BE43" s="263">
        <v>-7.4</v>
      </c>
      <c r="BF43" s="263">
        <v>-4</v>
      </c>
      <c r="BG43" s="263">
        <v>0</v>
      </c>
      <c r="BH43" s="263">
        <v>7.1</v>
      </c>
      <c r="BI43" s="263">
        <v>-16.2</v>
      </c>
      <c r="BJ43" s="263">
        <v>-22.2</v>
      </c>
      <c r="BK43" s="263">
        <v>-16.3</v>
      </c>
      <c r="BL43" s="263">
        <v>-12.9</v>
      </c>
      <c r="BM43" s="263">
        <v>4.9000000000000004</v>
      </c>
      <c r="BN43" s="263">
        <v>-2.8</v>
      </c>
      <c r="BO43" s="263">
        <v>-4</v>
      </c>
      <c r="BP43" s="263">
        <v>-12.4</v>
      </c>
      <c r="BQ43" s="263">
        <v>-18.3</v>
      </c>
      <c r="BR43" s="263">
        <v>3.1</v>
      </c>
      <c r="BS43" s="263">
        <v>14.1</v>
      </c>
      <c r="BT43" s="263">
        <v>15.7</v>
      </c>
      <c r="BU43" s="263">
        <v>-4</v>
      </c>
      <c r="BV43" s="263">
        <v>-16.8</v>
      </c>
      <c r="BW43" s="263">
        <v>8</v>
      </c>
      <c r="BX43" s="263">
        <v>6.1</v>
      </c>
      <c r="BY43" s="263">
        <v>-9.6</v>
      </c>
      <c r="BZ43" s="263">
        <v>-39.5</v>
      </c>
      <c r="CA43" s="263">
        <v>-32.1</v>
      </c>
      <c r="CB43" s="263">
        <v>-35.700000000000003</v>
      </c>
      <c r="CC43" s="263">
        <v>-39.5</v>
      </c>
      <c r="CD43" s="263">
        <v>-37</v>
      </c>
      <c r="CE43" s="263">
        <v>6.7</v>
      </c>
      <c r="CF43" s="263">
        <v>-41</v>
      </c>
      <c r="CG43" s="263">
        <v>-68.3</v>
      </c>
      <c r="CH43" s="263">
        <v>-14.2</v>
      </c>
      <c r="CI43" s="263">
        <v>3.3</v>
      </c>
      <c r="CJ43" s="263">
        <v>4.0999999999999996</v>
      </c>
      <c r="CK43" s="263">
        <v>52.4</v>
      </c>
      <c r="CL43" s="263">
        <v>2.7</v>
      </c>
    </row>
    <row r="44" spans="1:90" ht="15">
      <c r="A44" s="263" t="s">
        <v>22</v>
      </c>
      <c r="B44" s="263" t="s">
        <v>890</v>
      </c>
      <c r="C44" s="263">
        <v>-0.6</v>
      </c>
      <c r="D44" s="263">
        <v>-0.3</v>
      </c>
      <c r="E44" s="263">
        <v>0</v>
      </c>
      <c r="F44" s="263">
        <v>0.1</v>
      </c>
      <c r="G44" s="263">
        <v>0.1</v>
      </c>
      <c r="H44" s="263">
        <v>-0.1</v>
      </c>
      <c r="I44" s="263">
        <v>-0.1</v>
      </c>
      <c r="J44" s="263">
        <v>-0.1</v>
      </c>
      <c r="K44" s="263">
        <v>-0.5</v>
      </c>
      <c r="L44" s="263">
        <v>-0.6</v>
      </c>
      <c r="M44" s="263">
        <v>-0.5</v>
      </c>
      <c r="N44" s="263">
        <v>-0.6</v>
      </c>
      <c r="O44" s="263">
        <v>-0.6</v>
      </c>
      <c r="P44" s="263">
        <v>-0.5</v>
      </c>
      <c r="Q44" s="263">
        <v>-0.2</v>
      </c>
      <c r="R44" s="263">
        <v>0.5</v>
      </c>
      <c r="S44" s="263">
        <v>0.6</v>
      </c>
      <c r="T44" s="263">
        <v>-2.1</v>
      </c>
      <c r="U44" s="263">
        <v>-2.6</v>
      </c>
      <c r="V44" s="263">
        <v>-3</v>
      </c>
      <c r="W44" s="263">
        <v>-2.8</v>
      </c>
      <c r="X44" s="263">
        <v>-2.8</v>
      </c>
      <c r="Y44" s="263">
        <v>-3</v>
      </c>
      <c r="Z44" s="263">
        <v>-2.6</v>
      </c>
      <c r="AA44" s="263">
        <v>-1.9</v>
      </c>
      <c r="AB44" s="263">
        <v>-1</v>
      </c>
      <c r="AC44" s="263">
        <v>0.5</v>
      </c>
      <c r="AD44" s="263">
        <v>-0.3</v>
      </c>
      <c r="AE44" s="263">
        <v>-0.5</v>
      </c>
      <c r="AF44" s="263">
        <v>-0.9</v>
      </c>
      <c r="AG44" s="263">
        <v>-0.2</v>
      </c>
      <c r="AH44" s="263">
        <v>1</v>
      </c>
      <c r="AI44" s="263">
        <v>1.8</v>
      </c>
      <c r="AJ44" s="263">
        <v>4.8</v>
      </c>
      <c r="AK44" s="263">
        <v>6</v>
      </c>
      <c r="AL44" s="263">
        <v>6.8</v>
      </c>
      <c r="AM44" s="263">
        <v>7.4</v>
      </c>
      <c r="AN44" s="263">
        <v>7.8</v>
      </c>
      <c r="AO44" s="263">
        <v>7.8</v>
      </c>
      <c r="AP44" s="263">
        <v>7.5</v>
      </c>
      <c r="AQ44" s="263">
        <v>7.6</v>
      </c>
      <c r="AR44" s="263">
        <v>6.5</v>
      </c>
      <c r="AS44" s="263">
        <v>6</v>
      </c>
      <c r="AT44" s="263">
        <v>7.9</v>
      </c>
      <c r="AU44" s="263">
        <v>6.8</v>
      </c>
      <c r="AV44" s="263">
        <v>2.4</v>
      </c>
      <c r="AW44" s="263">
        <v>-5.4</v>
      </c>
      <c r="AX44" s="263">
        <v>-7.8</v>
      </c>
      <c r="AY44" s="263">
        <v>-7</v>
      </c>
      <c r="AZ44" s="263">
        <v>-8.1</v>
      </c>
      <c r="BA44" s="263">
        <v>-12</v>
      </c>
      <c r="BB44" s="263">
        <v>-17.100000000000001</v>
      </c>
      <c r="BC44" s="263">
        <v>-4.5</v>
      </c>
      <c r="BD44" s="263">
        <v>5</v>
      </c>
      <c r="BE44" s="263">
        <v>23.3</v>
      </c>
      <c r="BF44" s="263">
        <v>43.6</v>
      </c>
      <c r="BG44" s="263">
        <v>64.8</v>
      </c>
      <c r="BH44" s="263">
        <v>51.1</v>
      </c>
      <c r="BI44" s="263">
        <v>51.4</v>
      </c>
      <c r="BJ44" s="263">
        <v>48.7</v>
      </c>
      <c r="BK44" s="263">
        <v>41.2</v>
      </c>
      <c r="BL44" s="263">
        <v>26</v>
      </c>
      <c r="BM44" s="263">
        <v>17.100000000000001</v>
      </c>
      <c r="BN44" s="263">
        <v>15.5</v>
      </c>
      <c r="BO44" s="263">
        <v>20.100000000000001</v>
      </c>
      <c r="BP44" s="263">
        <v>32.6</v>
      </c>
      <c r="BQ44" s="263">
        <v>36</v>
      </c>
      <c r="BR44" s="263">
        <v>44.2</v>
      </c>
      <c r="BS44" s="263">
        <v>54.8</v>
      </c>
      <c r="BT44" s="263">
        <v>60.3</v>
      </c>
      <c r="BU44" s="263">
        <v>68</v>
      </c>
      <c r="BV44" s="263">
        <v>50.9</v>
      </c>
      <c r="BW44" s="263">
        <v>55.4</v>
      </c>
      <c r="BX44" s="263">
        <v>112.1</v>
      </c>
      <c r="BY44" s="263">
        <v>96.5</v>
      </c>
      <c r="BZ44" s="263">
        <v>68.2</v>
      </c>
      <c r="CA44" s="263">
        <v>-143.5</v>
      </c>
      <c r="CB44" s="263">
        <v>-169.2</v>
      </c>
      <c r="CC44" s="263">
        <v>-179.9</v>
      </c>
      <c r="CD44" s="263">
        <v>-60.4</v>
      </c>
      <c r="CE44" s="263">
        <v>-82.2</v>
      </c>
      <c r="CF44" s="263">
        <v>-53.3</v>
      </c>
      <c r="CG44" s="263">
        <v>78.099999999999994</v>
      </c>
      <c r="CH44" s="263">
        <v>-118.5</v>
      </c>
      <c r="CI44" s="263">
        <v>-126.6</v>
      </c>
      <c r="CJ44" s="263">
        <v>-112.6</v>
      </c>
      <c r="CK44" s="263">
        <v>-93.5</v>
      </c>
      <c r="CL44" s="263">
        <v>-88.2</v>
      </c>
    </row>
    <row r="45" spans="1:90" ht="15">
      <c r="A45" s="263" t="s">
        <v>32</v>
      </c>
      <c r="B45" s="269" t="s">
        <v>973</v>
      </c>
      <c r="C45" s="263" t="s">
        <v>0</v>
      </c>
      <c r="D45" s="263" t="s">
        <v>0</v>
      </c>
      <c r="E45" s="263" t="s">
        <v>0</v>
      </c>
      <c r="F45" s="263" t="s">
        <v>0</v>
      </c>
      <c r="G45" s="263" t="s">
        <v>0</v>
      </c>
      <c r="H45" s="263" t="s">
        <v>0</v>
      </c>
      <c r="I45" s="263" t="s">
        <v>0</v>
      </c>
      <c r="J45" s="263" t="s">
        <v>0</v>
      </c>
      <c r="K45" s="263" t="s">
        <v>0</v>
      </c>
      <c r="L45" s="263" t="s">
        <v>0</v>
      </c>
      <c r="M45" s="263" t="s">
        <v>0</v>
      </c>
      <c r="N45" s="263" t="s">
        <v>0</v>
      </c>
      <c r="O45" s="263" t="s">
        <v>0</v>
      </c>
      <c r="P45" s="263" t="s">
        <v>0</v>
      </c>
      <c r="Q45" s="263" t="s">
        <v>0</v>
      </c>
      <c r="R45" s="263" t="s">
        <v>0</v>
      </c>
      <c r="S45" s="263" t="s">
        <v>0</v>
      </c>
      <c r="T45" s="263" t="s">
        <v>0</v>
      </c>
      <c r="U45" s="263" t="s">
        <v>0</v>
      </c>
      <c r="V45" s="263" t="s">
        <v>0</v>
      </c>
      <c r="W45" s="263" t="s">
        <v>0</v>
      </c>
      <c r="X45" s="263" t="s">
        <v>0</v>
      </c>
      <c r="Y45" s="263" t="s">
        <v>0</v>
      </c>
      <c r="Z45" s="263" t="s">
        <v>0</v>
      </c>
      <c r="AA45" s="263" t="s">
        <v>0</v>
      </c>
      <c r="AB45" s="263" t="s">
        <v>0</v>
      </c>
      <c r="AC45" s="263" t="s">
        <v>0</v>
      </c>
      <c r="AD45" s="263" t="s">
        <v>0</v>
      </c>
      <c r="AE45" s="263" t="s">
        <v>0</v>
      </c>
      <c r="AF45" s="263" t="s">
        <v>0</v>
      </c>
      <c r="AG45" s="263" t="s">
        <v>0</v>
      </c>
      <c r="AH45" s="263" t="s">
        <v>0</v>
      </c>
      <c r="AI45" s="263" t="s">
        <v>0</v>
      </c>
      <c r="AJ45" s="263" t="s">
        <v>0</v>
      </c>
      <c r="AK45" s="263" t="s">
        <v>0</v>
      </c>
      <c r="AL45" s="263" t="s">
        <v>0</v>
      </c>
      <c r="AM45" s="263" t="s">
        <v>0</v>
      </c>
      <c r="AN45" s="263" t="s">
        <v>0</v>
      </c>
      <c r="AO45" s="263" t="s">
        <v>0</v>
      </c>
      <c r="AP45" s="263" t="s">
        <v>0</v>
      </c>
      <c r="AQ45" s="263" t="s">
        <v>0</v>
      </c>
      <c r="AR45" s="263" t="s">
        <v>0</v>
      </c>
      <c r="AS45" s="263" t="s">
        <v>0</v>
      </c>
      <c r="AT45" s="263" t="s">
        <v>0</v>
      </c>
      <c r="AU45" s="263" t="s">
        <v>0</v>
      </c>
      <c r="AV45" s="263" t="s">
        <v>0</v>
      </c>
      <c r="AW45" s="263" t="s">
        <v>0</v>
      </c>
      <c r="AX45" s="263" t="s">
        <v>0</v>
      </c>
      <c r="AY45" s="263" t="s">
        <v>0</v>
      </c>
      <c r="AZ45" s="263" t="s">
        <v>0</v>
      </c>
      <c r="BA45" s="263" t="s">
        <v>0</v>
      </c>
      <c r="BB45" s="263" t="s">
        <v>0</v>
      </c>
      <c r="BC45" s="263" t="s">
        <v>0</v>
      </c>
      <c r="BD45" s="263" t="s">
        <v>0</v>
      </c>
      <c r="BE45" s="263" t="s">
        <v>0</v>
      </c>
      <c r="BF45" s="263" t="s">
        <v>0</v>
      </c>
      <c r="BG45" s="263" t="s">
        <v>0</v>
      </c>
      <c r="BH45" s="263" t="s">
        <v>0</v>
      </c>
      <c r="BI45" s="263" t="s">
        <v>0</v>
      </c>
      <c r="BJ45" s="263" t="s">
        <v>0</v>
      </c>
      <c r="BK45" s="263" t="s">
        <v>0</v>
      </c>
      <c r="BL45" s="263" t="s">
        <v>0</v>
      </c>
      <c r="BM45" s="263" t="s">
        <v>0</v>
      </c>
      <c r="BN45" s="263" t="s">
        <v>0</v>
      </c>
      <c r="BO45" s="263" t="s">
        <v>0</v>
      </c>
      <c r="BP45" s="263" t="s">
        <v>0</v>
      </c>
      <c r="BQ45" s="263" t="s">
        <v>0</v>
      </c>
      <c r="BR45" s="263" t="s">
        <v>0</v>
      </c>
      <c r="BS45" s="263" t="s">
        <v>0</v>
      </c>
      <c r="BT45" s="263" t="s">
        <v>0</v>
      </c>
      <c r="BU45" s="263" t="s">
        <v>0</v>
      </c>
      <c r="BV45" s="263" t="s">
        <v>0</v>
      </c>
      <c r="BW45" s="263" t="s">
        <v>0</v>
      </c>
      <c r="BX45" s="263" t="s">
        <v>0</v>
      </c>
      <c r="BY45" s="263" t="s">
        <v>0</v>
      </c>
      <c r="BZ45" s="263" t="s">
        <v>0</v>
      </c>
      <c r="CA45" s="263" t="s">
        <v>0</v>
      </c>
      <c r="CB45" s="263" t="s">
        <v>0</v>
      </c>
      <c r="CC45" s="263" t="s">
        <v>0</v>
      </c>
      <c r="CD45" s="263" t="s">
        <v>0</v>
      </c>
      <c r="CE45" s="263" t="s">
        <v>0</v>
      </c>
      <c r="CF45" s="263" t="s">
        <v>0</v>
      </c>
      <c r="CG45" s="263" t="s">
        <v>0</v>
      </c>
      <c r="CH45" s="263" t="s">
        <v>0</v>
      </c>
      <c r="CI45" s="263" t="s">
        <v>0</v>
      </c>
      <c r="CJ45" s="263" t="s">
        <v>0</v>
      </c>
      <c r="CK45" s="263" t="s">
        <v>0</v>
      </c>
      <c r="CL45" s="263" t="s">
        <v>0</v>
      </c>
    </row>
    <row r="46" spans="1:90" ht="15">
      <c r="A46" s="263" t="s">
        <v>21</v>
      </c>
      <c r="B46" s="263" t="s">
        <v>970</v>
      </c>
      <c r="C46" s="263">
        <v>9</v>
      </c>
      <c r="D46" s="263">
        <v>3.7</v>
      </c>
      <c r="E46" s="263">
        <v>0</v>
      </c>
      <c r="F46" s="263">
        <v>-2</v>
      </c>
      <c r="G46" s="263">
        <v>1</v>
      </c>
      <c r="H46" s="263">
        <v>2.6</v>
      </c>
      <c r="I46" s="263">
        <v>3.6</v>
      </c>
      <c r="J46" s="263">
        <v>6.1</v>
      </c>
      <c r="K46" s="263">
        <v>6.5</v>
      </c>
      <c r="L46" s="263">
        <v>3.3</v>
      </c>
      <c r="M46" s="263">
        <v>6.5</v>
      </c>
      <c r="N46" s="263">
        <v>9.3000000000000007</v>
      </c>
      <c r="O46" s="263">
        <v>17.100000000000001</v>
      </c>
      <c r="P46" s="263">
        <v>20.7</v>
      </c>
      <c r="Q46" s="263">
        <v>24</v>
      </c>
      <c r="R46" s="263">
        <v>22.6</v>
      </c>
      <c r="S46" s="263">
        <v>18.3</v>
      </c>
      <c r="T46" s="263">
        <v>22.7</v>
      </c>
      <c r="U46" s="263">
        <v>29.7</v>
      </c>
      <c r="V46" s="263">
        <v>32.5</v>
      </c>
      <c r="W46" s="263">
        <v>25.6</v>
      </c>
      <c r="X46" s="263">
        <v>39.200000000000003</v>
      </c>
      <c r="Y46" s="263">
        <v>39.9</v>
      </c>
      <c r="Z46" s="263">
        <v>35</v>
      </c>
      <c r="AA46" s="263">
        <v>36.5</v>
      </c>
      <c r="AB46" s="263">
        <v>33.700000000000003</v>
      </c>
      <c r="AC46" s="263">
        <v>43.8</v>
      </c>
      <c r="AD46" s="263">
        <v>44.1</v>
      </c>
      <c r="AE46" s="263">
        <v>42.1</v>
      </c>
      <c r="AF46" s="263">
        <v>36.1</v>
      </c>
      <c r="AG46" s="263">
        <v>45.6</v>
      </c>
      <c r="AH46" s="263">
        <v>42.3</v>
      </c>
      <c r="AI46" s="263">
        <v>42.3</v>
      </c>
      <c r="AJ46" s="263">
        <v>46.8</v>
      </c>
      <c r="AK46" s="263">
        <v>52</v>
      </c>
      <c r="AL46" s="263">
        <v>58.2</v>
      </c>
      <c r="AM46" s="263">
        <v>69.099999999999994</v>
      </c>
      <c r="AN46" s="263">
        <v>75.099999999999994</v>
      </c>
      <c r="AO46" s="263">
        <v>71.599999999999994</v>
      </c>
      <c r="AP46" s="263">
        <v>79.400000000000006</v>
      </c>
      <c r="AQ46" s="263">
        <v>76.400000000000006</v>
      </c>
      <c r="AR46" s="263">
        <v>63.7</v>
      </c>
      <c r="AS46" s="263">
        <v>73.5</v>
      </c>
      <c r="AT46" s="263">
        <v>86.9</v>
      </c>
      <c r="AU46" s="263">
        <v>110.1</v>
      </c>
      <c r="AV46" s="263">
        <v>123.3</v>
      </c>
      <c r="AW46" s="263">
        <v>119.7</v>
      </c>
      <c r="AX46" s="263">
        <v>154.1</v>
      </c>
      <c r="AY46" s="263">
        <v>176.8</v>
      </c>
      <c r="AZ46" s="263">
        <v>206.8</v>
      </c>
      <c r="BA46" s="263">
        <v>224.8</v>
      </c>
      <c r="BB46" s="263">
        <v>212</v>
      </c>
      <c r="BC46" s="263">
        <v>216.6</v>
      </c>
      <c r="BD46" s="263">
        <v>172.5</v>
      </c>
      <c r="BE46" s="263">
        <v>192.6</v>
      </c>
      <c r="BF46" s="263">
        <v>227</v>
      </c>
      <c r="BG46" s="263">
        <v>205</v>
      </c>
      <c r="BH46" s="263">
        <v>170.4</v>
      </c>
      <c r="BI46" s="263">
        <v>222.5</v>
      </c>
      <c r="BJ46" s="263">
        <v>264.5</v>
      </c>
      <c r="BK46" s="263">
        <v>244</v>
      </c>
      <c r="BL46" s="263">
        <v>238.3</v>
      </c>
      <c r="BM46" s="263">
        <v>232.4</v>
      </c>
      <c r="BN46" s="263">
        <v>257.10000000000002</v>
      </c>
      <c r="BO46" s="263">
        <v>309.10000000000002</v>
      </c>
      <c r="BP46" s="263">
        <v>397.9</v>
      </c>
      <c r="BQ46" s="263">
        <v>452</v>
      </c>
      <c r="BR46" s="263">
        <v>488.9</v>
      </c>
      <c r="BS46" s="263">
        <v>527.1</v>
      </c>
      <c r="BT46" s="263">
        <v>486.4</v>
      </c>
      <c r="BU46" s="263">
        <v>489.6</v>
      </c>
      <c r="BV46" s="263">
        <v>451.2</v>
      </c>
      <c r="BW46" s="263">
        <v>325.3</v>
      </c>
      <c r="BX46" s="263">
        <v>359.5</v>
      </c>
      <c r="BY46" s="263">
        <v>496.3</v>
      </c>
      <c r="BZ46" s="263">
        <v>700.2</v>
      </c>
      <c r="CA46" s="263">
        <v>1004.6</v>
      </c>
      <c r="CB46" s="263">
        <v>1180.0999999999999</v>
      </c>
      <c r="CC46" s="263">
        <v>1093.5</v>
      </c>
      <c r="CD46" s="263">
        <v>880.3</v>
      </c>
      <c r="CE46" s="263">
        <v>752.5</v>
      </c>
      <c r="CF46" s="263">
        <v>1039.2</v>
      </c>
      <c r="CG46" s="263">
        <v>1009</v>
      </c>
      <c r="CH46" s="263">
        <v>1241.4000000000001</v>
      </c>
      <c r="CI46" s="263">
        <v>1314.8</v>
      </c>
      <c r="CJ46" s="263">
        <v>1367.6</v>
      </c>
      <c r="CK46" s="263">
        <v>1275.7</v>
      </c>
      <c r="CL46" s="263">
        <v>1262.4000000000001</v>
      </c>
    </row>
    <row r="47" spans="1:90" ht="15">
      <c r="A47" s="263" t="s">
        <v>20</v>
      </c>
      <c r="B47" s="263" t="s">
        <v>12</v>
      </c>
      <c r="C47" s="263">
        <v>7.9</v>
      </c>
      <c r="D47" s="263">
        <v>2.9</v>
      </c>
      <c r="E47" s="263">
        <v>-0.5</v>
      </c>
      <c r="F47" s="263">
        <v>-2.2999999999999998</v>
      </c>
      <c r="G47" s="263">
        <v>0.5</v>
      </c>
      <c r="H47" s="263">
        <v>1.9</v>
      </c>
      <c r="I47" s="263">
        <v>2.8</v>
      </c>
      <c r="J47" s="263">
        <v>4.9000000000000004</v>
      </c>
      <c r="K47" s="263">
        <v>5.0999999999999996</v>
      </c>
      <c r="L47" s="263">
        <v>2.4</v>
      </c>
      <c r="M47" s="263">
        <v>5.0999999999999996</v>
      </c>
      <c r="N47" s="263">
        <v>6.6</v>
      </c>
      <c r="O47" s="263">
        <v>9.8000000000000007</v>
      </c>
      <c r="P47" s="263">
        <v>9.6</v>
      </c>
      <c r="Q47" s="263">
        <v>10.3</v>
      </c>
      <c r="R47" s="263">
        <v>10.1</v>
      </c>
      <c r="S47" s="263">
        <v>8.1</v>
      </c>
      <c r="T47" s="263">
        <v>14.1</v>
      </c>
      <c r="U47" s="263">
        <v>18.899999999999999</v>
      </c>
      <c r="V47" s="263">
        <v>20.8</v>
      </c>
      <c r="W47" s="263">
        <v>16.399999999999999</v>
      </c>
      <c r="X47" s="263">
        <v>22.4</v>
      </c>
      <c r="Y47" s="263">
        <v>18.8</v>
      </c>
      <c r="Z47" s="263">
        <v>17.3</v>
      </c>
      <c r="AA47" s="263">
        <v>18.100000000000001</v>
      </c>
      <c r="AB47" s="263">
        <v>18.2</v>
      </c>
      <c r="AC47" s="263">
        <v>23.6</v>
      </c>
      <c r="AD47" s="263">
        <v>24.2</v>
      </c>
      <c r="AE47" s="263">
        <v>23.1</v>
      </c>
      <c r="AF47" s="263">
        <v>20</v>
      </c>
      <c r="AG47" s="263">
        <v>24.9</v>
      </c>
      <c r="AH47" s="263">
        <v>23.1</v>
      </c>
      <c r="AI47" s="263">
        <v>22.8</v>
      </c>
      <c r="AJ47" s="263">
        <v>26.2</v>
      </c>
      <c r="AK47" s="263">
        <v>29.3</v>
      </c>
      <c r="AL47" s="263">
        <v>34.299999999999997</v>
      </c>
      <c r="AM47" s="263">
        <v>42</v>
      </c>
      <c r="AN47" s="263">
        <v>45.6</v>
      </c>
      <c r="AO47" s="263">
        <v>43.8</v>
      </c>
      <c r="AP47" s="263">
        <v>45.8</v>
      </c>
      <c r="AQ47" s="263">
        <v>43.1</v>
      </c>
      <c r="AR47" s="263">
        <v>36.4</v>
      </c>
      <c r="AS47" s="263">
        <v>43.5</v>
      </c>
      <c r="AT47" s="263">
        <v>53.1</v>
      </c>
      <c r="AU47" s="263">
        <v>69.7</v>
      </c>
      <c r="AV47" s="263">
        <v>80.400000000000006</v>
      </c>
      <c r="AW47" s="263">
        <v>77.8</v>
      </c>
      <c r="AX47" s="263">
        <v>100.6</v>
      </c>
      <c r="AY47" s="263">
        <v>116.2</v>
      </c>
      <c r="AZ47" s="263">
        <v>139.19999999999999</v>
      </c>
      <c r="BA47" s="263">
        <v>154.1</v>
      </c>
      <c r="BB47" s="263">
        <v>143.80000000000001</v>
      </c>
      <c r="BC47" s="263">
        <v>150.69999999999999</v>
      </c>
      <c r="BD47" s="263">
        <v>123.8</v>
      </c>
      <c r="BE47" s="263">
        <v>130.9</v>
      </c>
      <c r="BF47" s="263">
        <v>151</v>
      </c>
      <c r="BG47" s="263">
        <v>134</v>
      </c>
      <c r="BH47" s="263">
        <v>94.1</v>
      </c>
      <c r="BI47" s="263">
        <v>128.19999999999999</v>
      </c>
      <c r="BJ47" s="263">
        <v>160.5</v>
      </c>
      <c r="BK47" s="263">
        <v>142.80000000000001</v>
      </c>
      <c r="BL47" s="263">
        <v>139.9</v>
      </c>
      <c r="BM47" s="263">
        <v>143.80000000000001</v>
      </c>
      <c r="BN47" s="263">
        <v>162.6</v>
      </c>
      <c r="BO47" s="263">
        <v>201.1</v>
      </c>
      <c r="BP47" s="263">
        <v>265.5</v>
      </c>
      <c r="BQ47" s="263">
        <v>311.7</v>
      </c>
      <c r="BR47" s="263">
        <v>336</v>
      </c>
      <c r="BS47" s="263">
        <v>365.7</v>
      </c>
      <c r="BT47" s="263">
        <v>327.7</v>
      </c>
      <c r="BU47" s="263">
        <v>318.2</v>
      </c>
      <c r="BV47" s="263">
        <v>281</v>
      </c>
      <c r="BW47" s="263">
        <v>214</v>
      </c>
      <c r="BX47" s="263">
        <v>262.39999999999998</v>
      </c>
      <c r="BY47" s="263">
        <v>363.4</v>
      </c>
      <c r="BZ47" s="263">
        <v>513.20000000000005</v>
      </c>
      <c r="CA47" s="263">
        <v>732.7</v>
      </c>
      <c r="CB47" s="263">
        <v>872.4</v>
      </c>
      <c r="CC47" s="263">
        <v>799.7</v>
      </c>
      <c r="CD47" s="263">
        <v>652.9</v>
      </c>
      <c r="CE47" s="263">
        <v>574.70000000000005</v>
      </c>
      <c r="CF47" s="263">
        <v>818.6</v>
      </c>
      <c r="CG47" s="263">
        <v>780.2</v>
      </c>
      <c r="CH47" s="263">
        <v>974.7</v>
      </c>
      <c r="CI47" s="263">
        <v>1031.2</v>
      </c>
      <c r="CJ47" s="263">
        <v>1075.9000000000001</v>
      </c>
      <c r="CK47" s="263">
        <v>994.6</v>
      </c>
      <c r="CL47" s="263">
        <v>988.2</v>
      </c>
    </row>
    <row r="48" spans="1:90" ht="15">
      <c r="A48" s="263" t="s">
        <v>19</v>
      </c>
      <c r="B48" s="263" t="s">
        <v>972</v>
      </c>
      <c r="C48" s="263">
        <v>0.5</v>
      </c>
      <c r="D48" s="263">
        <v>3.3</v>
      </c>
      <c r="E48" s="263">
        <v>2.4</v>
      </c>
      <c r="F48" s="263">
        <v>1</v>
      </c>
      <c r="G48" s="263">
        <v>-2.1</v>
      </c>
      <c r="H48" s="263">
        <v>-0.6</v>
      </c>
      <c r="I48" s="263">
        <v>-0.2</v>
      </c>
      <c r="J48" s="263">
        <v>-0.7</v>
      </c>
      <c r="K48" s="263">
        <v>0</v>
      </c>
      <c r="L48" s="263">
        <v>1</v>
      </c>
      <c r="M48" s="263">
        <v>-0.7</v>
      </c>
      <c r="N48" s="263">
        <v>-0.2</v>
      </c>
      <c r="O48" s="263">
        <v>-2.5</v>
      </c>
      <c r="P48" s="263">
        <v>-1.2</v>
      </c>
      <c r="Q48" s="263">
        <v>-0.8</v>
      </c>
      <c r="R48" s="263">
        <v>-0.3</v>
      </c>
      <c r="S48" s="263">
        <v>-0.6</v>
      </c>
      <c r="T48" s="263">
        <v>-5.3</v>
      </c>
      <c r="U48" s="263">
        <v>-5.9</v>
      </c>
      <c r="V48" s="263">
        <v>-2.2000000000000002</v>
      </c>
      <c r="W48" s="263">
        <v>1.9</v>
      </c>
      <c r="X48" s="263">
        <v>-5</v>
      </c>
      <c r="Y48" s="263">
        <v>-1.2</v>
      </c>
      <c r="Z48" s="263">
        <v>1</v>
      </c>
      <c r="AA48" s="263">
        <v>-1</v>
      </c>
      <c r="AB48" s="263">
        <v>-0.3</v>
      </c>
      <c r="AC48" s="263">
        <v>-1.7</v>
      </c>
      <c r="AD48" s="263">
        <v>-2.7</v>
      </c>
      <c r="AE48" s="263">
        <v>-1.5</v>
      </c>
      <c r="AF48" s="263">
        <v>-0.3</v>
      </c>
      <c r="AG48" s="263">
        <v>-0.3</v>
      </c>
      <c r="AH48" s="263">
        <v>-0.2</v>
      </c>
      <c r="AI48" s="263">
        <v>0.3</v>
      </c>
      <c r="AJ48" s="263">
        <v>0</v>
      </c>
      <c r="AK48" s="263">
        <v>0.1</v>
      </c>
      <c r="AL48" s="263">
        <v>-0.5</v>
      </c>
      <c r="AM48" s="263">
        <v>-1.2</v>
      </c>
      <c r="AN48" s="263">
        <v>-2.1</v>
      </c>
      <c r="AO48" s="263">
        <v>-1.6</v>
      </c>
      <c r="AP48" s="263">
        <v>-3.7</v>
      </c>
      <c r="AQ48" s="263">
        <v>-5.9</v>
      </c>
      <c r="AR48" s="263">
        <v>-6.6</v>
      </c>
      <c r="AS48" s="263">
        <v>-4.5999999999999996</v>
      </c>
      <c r="AT48" s="263">
        <v>-6.6</v>
      </c>
      <c r="AU48" s="263">
        <v>-19.600000000000001</v>
      </c>
      <c r="AV48" s="263">
        <v>-38.200000000000003</v>
      </c>
      <c r="AW48" s="263">
        <v>-10.5</v>
      </c>
      <c r="AX48" s="263">
        <v>-14.1</v>
      </c>
      <c r="AY48" s="263">
        <v>-15.7</v>
      </c>
      <c r="AZ48" s="263">
        <v>-23.7</v>
      </c>
      <c r="BA48" s="263">
        <v>-40.1</v>
      </c>
      <c r="BB48" s="263">
        <v>-42.1</v>
      </c>
      <c r="BC48" s="263">
        <v>-24.6</v>
      </c>
      <c r="BD48" s="263">
        <v>-7.5</v>
      </c>
      <c r="BE48" s="263">
        <v>-7.4</v>
      </c>
      <c r="BF48" s="263">
        <v>-4</v>
      </c>
      <c r="BG48" s="263">
        <v>0</v>
      </c>
      <c r="BH48" s="263">
        <v>7.1</v>
      </c>
      <c r="BI48" s="263">
        <v>-16.2</v>
      </c>
      <c r="BJ48" s="263">
        <v>-22.2</v>
      </c>
      <c r="BK48" s="263">
        <v>-16.3</v>
      </c>
      <c r="BL48" s="263">
        <v>-12.9</v>
      </c>
      <c r="BM48" s="263">
        <v>4.9000000000000004</v>
      </c>
      <c r="BN48" s="263">
        <v>-2.8</v>
      </c>
      <c r="BO48" s="263">
        <v>-4</v>
      </c>
      <c r="BP48" s="263">
        <v>-12.4</v>
      </c>
      <c r="BQ48" s="263">
        <v>-18.3</v>
      </c>
      <c r="BR48" s="263">
        <v>3.1</v>
      </c>
      <c r="BS48" s="263">
        <v>14.1</v>
      </c>
      <c r="BT48" s="263">
        <v>15.7</v>
      </c>
      <c r="BU48" s="263">
        <v>-4</v>
      </c>
      <c r="BV48" s="263">
        <v>-16.8</v>
      </c>
      <c r="BW48" s="263">
        <v>8</v>
      </c>
      <c r="BX48" s="263">
        <v>6.1</v>
      </c>
      <c r="BY48" s="263">
        <v>-9.6</v>
      </c>
      <c r="BZ48" s="263">
        <v>-39.5</v>
      </c>
      <c r="CA48" s="263">
        <v>-32.1</v>
      </c>
      <c r="CB48" s="263">
        <v>-35.700000000000003</v>
      </c>
      <c r="CC48" s="263">
        <v>-39.5</v>
      </c>
      <c r="CD48" s="263">
        <v>-37</v>
      </c>
      <c r="CE48" s="263">
        <v>6.7</v>
      </c>
      <c r="CF48" s="263">
        <v>-41</v>
      </c>
      <c r="CG48" s="263">
        <v>-68.3</v>
      </c>
      <c r="CH48" s="263">
        <v>-14.2</v>
      </c>
      <c r="CI48" s="263">
        <v>3.3</v>
      </c>
      <c r="CJ48" s="263">
        <v>4.0999999999999996</v>
      </c>
      <c r="CK48" s="263">
        <v>52.4</v>
      </c>
      <c r="CL48" s="263">
        <v>2.7</v>
      </c>
    </row>
    <row r="49" spans="1:90" ht="15">
      <c r="A49" s="263" t="s">
        <v>18</v>
      </c>
      <c r="B49" s="263" t="s">
        <v>890</v>
      </c>
      <c r="C49" s="263">
        <v>-0.5</v>
      </c>
      <c r="D49" s="263">
        <v>-0.2</v>
      </c>
      <c r="E49" s="263">
        <v>0</v>
      </c>
      <c r="F49" s="263">
        <v>0.2</v>
      </c>
      <c r="G49" s="263">
        <v>0.2</v>
      </c>
      <c r="H49" s="263">
        <v>0</v>
      </c>
      <c r="I49" s="263">
        <v>-0.1</v>
      </c>
      <c r="J49" s="263">
        <v>-0.1</v>
      </c>
      <c r="K49" s="263">
        <v>-0.5</v>
      </c>
      <c r="L49" s="263">
        <v>-0.5</v>
      </c>
      <c r="M49" s="263">
        <v>-0.4</v>
      </c>
      <c r="N49" s="263">
        <v>-0.5</v>
      </c>
      <c r="O49" s="263">
        <v>-0.5</v>
      </c>
      <c r="P49" s="263">
        <v>-0.3</v>
      </c>
      <c r="Q49" s="263">
        <v>0</v>
      </c>
      <c r="R49" s="263">
        <v>0.6</v>
      </c>
      <c r="S49" s="263">
        <v>0.8</v>
      </c>
      <c r="T49" s="263">
        <v>-1.9</v>
      </c>
      <c r="U49" s="263">
        <v>-2.4</v>
      </c>
      <c r="V49" s="263">
        <v>-2.7</v>
      </c>
      <c r="W49" s="263">
        <v>-2.6</v>
      </c>
      <c r="X49" s="263">
        <v>-2.5</v>
      </c>
      <c r="Y49" s="263">
        <v>-2.7</v>
      </c>
      <c r="Z49" s="263">
        <v>-2.2999999999999998</v>
      </c>
      <c r="AA49" s="263">
        <v>-1.6</v>
      </c>
      <c r="AB49" s="263">
        <v>-0.7</v>
      </c>
      <c r="AC49" s="263">
        <v>0.7</v>
      </c>
      <c r="AD49" s="263">
        <v>0</v>
      </c>
      <c r="AE49" s="263">
        <v>-0.2</v>
      </c>
      <c r="AF49" s="263">
        <v>-0.6</v>
      </c>
      <c r="AG49" s="263">
        <v>0.2</v>
      </c>
      <c r="AH49" s="263">
        <v>1.2</v>
      </c>
      <c r="AI49" s="263">
        <v>2</v>
      </c>
      <c r="AJ49" s="263">
        <v>4.9000000000000004</v>
      </c>
      <c r="AK49" s="263">
        <v>6.2</v>
      </c>
      <c r="AL49" s="263">
        <v>6.8</v>
      </c>
      <c r="AM49" s="263">
        <v>7.6</v>
      </c>
      <c r="AN49" s="263">
        <v>8.1</v>
      </c>
      <c r="AO49" s="263">
        <v>8</v>
      </c>
      <c r="AP49" s="263">
        <v>7.6</v>
      </c>
      <c r="AQ49" s="263">
        <v>7.8</v>
      </c>
      <c r="AR49" s="263">
        <v>6.7</v>
      </c>
      <c r="AS49" s="263">
        <v>6.2</v>
      </c>
      <c r="AT49" s="263">
        <v>8</v>
      </c>
      <c r="AU49" s="263">
        <v>6.7</v>
      </c>
      <c r="AV49" s="263">
        <v>2.4</v>
      </c>
      <c r="AW49" s="263">
        <v>-4.9000000000000004</v>
      </c>
      <c r="AX49" s="263">
        <v>-6.9</v>
      </c>
      <c r="AY49" s="263">
        <v>-5.9</v>
      </c>
      <c r="AZ49" s="263">
        <v>-7.3</v>
      </c>
      <c r="BA49" s="263">
        <v>-10.6</v>
      </c>
      <c r="BB49" s="263">
        <v>-14.2</v>
      </c>
      <c r="BC49" s="263">
        <v>-2.1</v>
      </c>
      <c r="BD49" s="263">
        <v>8.1999999999999993</v>
      </c>
      <c r="BE49" s="263">
        <v>25.4</v>
      </c>
      <c r="BF49" s="263">
        <v>45.9</v>
      </c>
      <c r="BG49" s="263">
        <v>66</v>
      </c>
      <c r="BH49" s="263">
        <v>52.8</v>
      </c>
      <c r="BI49" s="263">
        <v>53.1</v>
      </c>
      <c r="BJ49" s="263">
        <v>52.2</v>
      </c>
      <c r="BK49" s="263">
        <v>46.5</v>
      </c>
      <c r="BL49" s="263">
        <v>36.700000000000003</v>
      </c>
      <c r="BM49" s="263">
        <v>29.8</v>
      </c>
      <c r="BN49" s="263">
        <v>31.3</v>
      </c>
      <c r="BO49" s="263">
        <v>34.5</v>
      </c>
      <c r="BP49" s="263">
        <v>45.3</v>
      </c>
      <c r="BQ49" s="263">
        <v>44.2</v>
      </c>
      <c r="BR49" s="263">
        <v>50.3</v>
      </c>
      <c r="BS49" s="263">
        <v>51.9</v>
      </c>
      <c r="BT49" s="263">
        <v>55.7</v>
      </c>
      <c r="BU49" s="263">
        <v>60.8</v>
      </c>
      <c r="BV49" s="263">
        <v>45.7</v>
      </c>
      <c r="BW49" s="263">
        <v>48.7</v>
      </c>
      <c r="BX49" s="263">
        <v>102.8</v>
      </c>
      <c r="BY49" s="263">
        <v>96.7</v>
      </c>
      <c r="BZ49" s="263">
        <v>81.5</v>
      </c>
      <c r="CA49" s="263">
        <v>-101.5</v>
      </c>
      <c r="CB49" s="263">
        <v>-129.4</v>
      </c>
      <c r="CC49" s="263">
        <v>-139.4</v>
      </c>
      <c r="CD49" s="263">
        <v>-29.1</v>
      </c>
      <c r="CE49" s="263">
        <v>-41.1</v>
      </c>
      <c r="CF49" s="263">
        <v>-15.2</v>
      </c>
      <c r="CG49" s="263">
        <v>98.3</v>
      </c>
      <c r="CH49" s="263">
        <v>-77.599999999999994</v>
      </c>
      <c r="CI49" s="263">
        <v>-88.6</v>
      </c>
      <c r="CJ49" s="263">
        <v>-75</v>
      </c>
      <c r="CK49" s="263">
        <v>-52.3</v>
      </c>
      <c r="CL49" s="263">
        <v>-41</v>
      </c>
    </row>
    <row r="50" spans="1:90" ht="15">
      <c r="A50" s="263" t="s">
        <v>32</v>
      </c>
      <c r="B50" s="269" t="s">
        <v>974</v>
      </c>
      <c r="C50" s="263" t="s">
        <v>0</v>
      </c>
      <c r="D50" s="263" t="s">
        <v>0</v>
      </c>
      <c r="E50" s="263" t="s">
        <v>0</v>
      </c>
      <c r="F50" s="263" t="s">
        <v>0</v>
      </c>
      <c r="G50" s="263" t="s">
        <v>0</v>
      </c>
      <c r="H50" s="263" t="s">
        <v>0</v>
      </c>
      <c r="I50" s="263" t="s">
        <v>0</v>
      </c>
      <c r="J50" s="263" t="s">
        <v>0</v>
      </c>
      <c r="K50" s="263" t="s">
        <v>0</v>
      </c>
      <c r="L50" s="263" t="s">
        <v>0</v>
      </c>
      <c r="M50" s="263" t="s">
        <v>0</v>
      </c>
      <c r="N50" s="263" t="s">
        <v>0</v>
      </c>
      <c r="O50" s="263" t="s">
        <v>0</v>
      </c>
      <c r="P50" s="263" t="s">
        <v>0</v>
      </c>
      <c r="Q50" s="263" t="s">
        <v>0</v>
      </c>
      <c r="R50" s="263" t="s">
        <v>0</v>
      </c>
      <c r="S50" s="263" t="s">
        <v>0</v>
      </c>
      <c r="T50" s="263" t="s">
        <v>0</v>
      </c>
      <c r="U50" s="263" t="s">
        <v>0</v>
      </c>
      <c r="V50" s="263" t="s">
        <v>0</v>
      </c>
      <c r="W50" s="263" t="s">
        <v>0</v>
      </c>
      <c r="X50" s="263" t="s">
        <v>0</v>
      </c>
      <c r="Y50" s="263" t="s">
        <v>0</v>
      </c>
      <c r="Z50" s="263" t="s">
        <v>0</v>
      </c>
      <c r="AA50" s="263" t="s">
        <v>0</v>
      </c>
      <c r="AB50" s="263" t="s">
        <v>0</v>
      </c>
      <c r="AC50" s="263" t="s">
        <v>0</v>
      </c>
      <c r="AD50" s="263" t="s">
        <v>0</v>
      </c>
      <c r="AE50" s="263" t="s">
        <v>0</v>
      </c>
      <c r="AF50" s="263" t="s">
        <v>0</v>
      </c>
      <c r="AG50" s="263" t="s">
        <v>0</v>
      </c>
      <c r="AH50" s="263" t="s">
        <v>0</v>
      </c>
      <c r="AI50" s="263" t="s">
        <v>0</v>
      </c>
      <c r="AJ50" s="263" t="s">
        <v>0</v>
      </c>
      <c r="AK50" s="263" t="s">
        <v>0</v>
      </c>
      <c r="AL50" s="263" t="s">
        <v>0</v>
      </c>
      <c r="AM50" s="263" t="s">
        <v>0</v>
      </c>
      <c r="AN50" s="263" t="s">
        <v>0</v>
      </c>
      <c r="AO50" s="263" t="s">
        <v>0</v>
      </c>
      <c r="AP50" s="263" t="s">
        <v>0</v>
      </c>
      <c r="AQ50" s="263" t="s">
        <v>0</v>
      </c>
      <c r="AR50" s="263" t="s">
        <v>0</v>
      </c>
      <c r="AS50" s="263" t="s">
        <v>0</v>
      </c>
      <c r="AT50" s="263" t="s">
        <v>0</v>
      </c>
      <c r="AU50" s="263" t="s">
        <v>0</v>
      </c>
      <c r="AV50" s="263" t="s">
        <v>0</v>
      </c>
      <c r="AW50" s="263" t="s">
        <v>0</v>
      </c>
      <c r="AX50" s="263" t="s">
        <v>0</v>
      </c>
      <c r="AY50" s="263" t="s">
        <v>0</v>
      </c>
      <c r="AZ50" s="263" t="s">
        <v>0</v>
      </c>
      <c r="BA50" s="263" t="s">
        <v>0</v>
      </c>
      <c r="BB50" s="263" t="s">
        <v>0</v>
      </c>
      <c r="BC50" s="263" t="s">
        <v>0</v>
      </c>
      <c r="BD50" s="263" t="s">
        <v>0</v>
      </c>
      <c r="BE50" s="263" t="s">
        <v>0</v>
      </c>
      <c r="BF50" s="263" t="s">
        <v>0</v>
      </c>
      <c r="BG50" s="263" t="s">
        <v>0</v>
      </c>
      <c r="BH50" s="263" t="s">
        <v>0</v>
      </c>
      <c r="BI50" s="263" t="s">
        <v>0</v>
      </c>
      <c r="BJ50" s="263" t="s">
        <v>0</v>
      </c>
      <c r="BK50" s="263" t="s">
        <v>0</v>
      </c>
      <c r="BL50" s="263" t="s">
        <v>0</v>
      </c>
      <c r="BM50" s="263" t="s">
        <v>0</v>
      </c>
      <c r="BN50" s="263" t="s">
        <v>0</v>
      </c>
      <c r="BO50" s="263" t="s">
        <v>0</v>
      </c>
      <c r="BP50" s="263" t="s">
        <v>0</v>
      </c>
      <c r="BQ50" s="263" t="s">
        <v>0</v>
      </c>
      <c r="BR50" s="263" t="s">
        <v>0</v>
      </c>
      <c r="BS50" s="263" t="s">
        <v>0</v>
      </c>
      <c r="BT50" s="263" t="s">
        <v>0</v>
      </c>
      <c r="BU50" s="263" t="s">
        <v>0</v>
      </c>
      <c r="BV50" s="263" t="s">
        <v>0</v>
      </c>
      <c r="BW50" s="263" t="s">
        <v>0</v>
      </c>
      <c r="BX50" s="263" t="s">
        <v>0</v>
      </c>
      <c r="BY50" s="263" t="s">
        <v>0</v>
      </c>
      <c r="BZ50" s="263" t="s">
        <v>0</v>
      </c>
      <c r="CA50" s="263" t="s">
        <v>0</v>
      </c>
      <c r="CB50" s="263" t="s">
        <v>0</v>
      </c>
      <c r="CC50" s="263" t="s">
        <v>0</v>
      </c>
      <c r="CD50" s="263" t="s">
        <v>0</v>
      </c>
      <c r="CE50" s="263" t="s">
        <v>0</v>
      </c>
      <c r="CF50" s="263" t="s">
        <v>0</v>
      </c>
      <c r="CG50" s="263" t="s">
        <v>0</v>
      </c>
      <c r="CH50" s="263" t="s">
        <v>0</v>
      </c>
      <c r="CI50" s="263" t="s">
        <v>0</v>
      </c>
      <c r="CJ50" s="263" t="s">
        <v>0</v>
      </c>
      <c r="CK50" s="263" t="s">
        <v>0</v>
      </c>
      <c r="CL50" s="263" t="s">
        <v>0</v>
      </c>
    </row>
    <row r="51" spans="1:90" ht="15">
      <c r="A51" s="263" t="s">
        <v>17</v>
      </c>
      <c r="B51" s="269" t="s">
        <v>975</v>
      </c>
      <c r="C51" s="263">
        <v>360.2</v>
      </c>
      <c r="D51" s="263">
        <v>335.3</v>
      </c>
      <c r="E51" s="263">
        <v>303.2</v>
      </c>
      <c r="F51" s="263">
        <v>257.39999999999998</v>
      </c>
      <c r="G51" s="263">
        <v>251</v>
      </c>
      <c r="H51" s="263">
        <v>286.10000000000002</v>
      </c>
      <c r="I51" s="263">
        <v>311.2</v>
      </c>
      <c r="J51" s="263">
        <v>355.6</v>
      </c>
      <c r="K51" s="263">
        <v>385.2</v>
      </c>
      <c r="L51" s="263">
        <v>357.2</v>
      </c>
      <c r="M51" s="263">
        <v>398.7</v>
      </c>
      <c r="N51" s="263">
        <v>449.9</v>
      </c>
      <c r="O51" s="263">
        <v>541.5</v>
      </c>
      <c r="P51" s="263">
        <v>614.79999999999995</v>
      </c>
      <c r="Q51" s="263">
        <v>683.9</v>
      </c>
      <c r="R51" s="263">
        <v>696</v>
      </c>
      <c r="S51" s="263">
        <v>645.1</v>
      </c>
      <c r="T51" s="263">
        <v>625</v>
      </c>
      <c r="U51" s="263">
        <v>668.1</v>
      </c>
      <c r="V51" s="263">
        <v>719.9</v>
      </c>
      <c r="W51" s="263">
        <v>713.2</v>
      </c>
      <c r="X51" s="263">
        <v>805.6</v>
      </c>
      <c r="Y51" s="263">
        <v>850.5</v>
      </c>
      <c r="Z51" s="263">
        <v>882.8</v>
      </c>
      <c r="AA51" s="263">
        <v>948.2</v>
      </c>
      <c r="AB51" s="263">
        <v>938.8</v>
      </c>
      <c r="AC51" s="263">
        <v>1051.2</v>
      </c>
      <c r="AD51" s="263">
        <v>1087.5999999999999</v>
      </c>
      <c r="AE51" s="263">
        <v>1102.2</v>
      </c>
      <c r="AF51" s="263">
        <v>1060.5</v>
      </c>
      <c r="AG51" s="263">
        <v>1179.7</v>
      </c>
      <c r="AH51" s="263">
        <v>1219.5999999999999</v>
      </c>
      <c r="AI51" s="263">
        <v>1248.5999999999999</v>
      </c>
      <c r="AJ51" s="263">
        <v>1354.4</v>
      </c>
      <c r="AK51" s="263">
        <v>1437.9</v>
      </c>
      <c r="AL51" s="263">
        <v>1538.8</v>
      </c>
      <c r="AM51" s="263">
        <v>1668.2</v>
      </c>
      <c r="AN51" s="263">
        <v>1791.5</v>
      </c>
      <c r="AO51" s="263">
        <v>1842.9</v>
      </c>
      <c r="AP51" s="263">
        <v>1962.4</v>
      </c>
      <c r="AQ51" s="263">
        <v>2040.9</v>
      </c>
      <c r="AR51" s="263">
        <v>2023.2</v>
      </c>
      <c r="AS51" s="263">
        <v>2102.9</v>
      </c>
      <c r="AT51" s="263">
        <v>2262.3000000000002</v>
      </c>
      <c r="AU51" s="263">
        <v>2400</v>
      </c>
      <c r="AV51" s="263">
        <v>2364</v>
      </c>
      <c r="AW51" s="263">
        <v>2330.9</v>
      </c>
      <c r="AX51" s="263">
        <v>2521.3000000000002</v>
      </c>
      <c r="AY51" s="263">
        <v>2706.9</v>
      </c>
      <c r="AZ51" s="263">
        <v>2882.7</v>
      </c>
      <c r="BA51" s="263">
        <v>2975.2</v>
      </c>
      <c r="BB51" s="263">
        <v>2946</v>
      </c>
      <c r="BC51" s="263">
        <v>3065.6</v>
      </c>
      <c r="BD51" s="263">
        <v>2998.7</v>
      </c>
      <c r="BE51" s="263">
        <v>3145.4</v>
      </c>
      <c r="BF51" s="263">
        <v>3425.6</v>
      </c>
      <c r="BG51" s="263">
        <v>3584.4</v>
      </c>
      <c r="BH51" s="263">
        <v>3677.9</v>
      </c>
      <c r="BI51" s="263">
        <v>3872.9</v>
      </c>
      <c r="BJ51" s="263">
        <v>4110.8999999999996</v>
      </c>
      <c r="BK51" s="263">
        <v>4189</v>
      </c>
      <c r="BL51" s="263">
        <v>4249.6000000000004</v>
      </c>
      <c r="BM51" s="263">
        <v>4227.7</v>
      </c>
      <c r="BN51" s="263">
        <v>4356.5</v>
      </c>
      <c r="BO51" s="263">
        <v>4463.8999999999996</v>
      </c>
      <c r="BP51" s="263">
        <v>4738.6000000000004</v>
      </c>
      <c r="BQ51" s="263">
        <v>4967.3999999999996</v>
      </c>
      <c r="BR51" s="263">
        <v>5258.5</v>
      </c>
      <c r="BS51" s="263">
        <v>5609.5</v>
      </c>
      <c r="BT51" s="263">
        <v>5914.8</v>
      </c>
      <c r="BU51" s="263">
        <v>6216.6</v>
      </c>
      <c r="BV51" s="263">
        <v>6515.9</v>
      </c>
      <c r="BW51" s="263">
        <v>6358.4</v>
      </c>
      <c r="BX51" s="263">
        <v>6417.1</v>
      </c>
      <c r="BY51" s="263">
        <v>6558</v>
      </c>
      <c r="BZ51" s="263">
        <v>6864.7</v>
      </c>
      <c r="CA51" s="263">
        <v>7101.3</v>
      </c>
      <c r="CB51" s="263">
        <v>7389.2</v>
      </c>
      <c r="CC51" s="263">
        <v>7454.8</v>
      </c>
      <c r="CD51" s="263">
        <v>7358.5</v>
      </c>
      <c r="CE51" s="263">
        <v>6859.8</v>
      </c>
      <c r="CF51" s="263">
        <v>7156.3</v>
      </c>
      <c r="CG51" s="263">
        <v>7333.4</v>
      </c>
      <c r="CH51" s="263">
        <v>7580.6</v>
      </c>
      <c r="CI51" s="263">
        <v>7752.5</v>
      </c>
      <c r="CJ51" s="263">
        <v>8064.8</v>
      </c>
      <c r="CK51" s="263">
        <v>8358.1</v>
      </c>
      <c r="CL51" s="263">
        <v>8471.7000000000007</v>
      </c>
    </row>
    <row r="52" spans="1:90" ht="15">
      <c r="A52" s="263" t="s">
        <v>16</v>
      </c>
      <c r="B52" s="263" t="s">
        <v>976</v>
      </c>
      <c r="C52" s="263">
        <v>49.4</v>
      </c>
      <c r="D52" s="263">
        <v>50.5</v>
      </c>
      <c r="E52" s="263">
        <v>50.2</v>
      </c>
      <c r="F52" s="263">
        <v>48.7</v>
      </c>
      <c r="G52" s="263">
        <v>47.3</v>
      </c>
      <c r="H52" s="263">
        <v>46.3</v>
      </c>
      <c r="I52" s="263">
        <v>46.3</v>
      </c>
      <c r="J52" s="263">
        <v>46.8</v>
      </c>
      <c r="K52" s="263">
        <v>48.1</v>
      </c>
      <c r="L52" s="263">
        <v>48.7</v>
      </c>
      <c r="M52" s="263">
        <v>49</v>
      </c>
      <c r="N52" s="263">
        <v>50</v>
      </c>
      <c r="O52" s="263">
        <v>51.9</v>
      </c>
      <c r="P52" s="263">
        <v>52.7</v>
      </c>
      <c r="Q52" s="263">
        <v>51.8</v>
      </c>
      <c r="R52" s="263">
        <v>51.3</v>
      </c>
      <c r="S52" s="263">
        <v>52.2</v>
      </c>
      <c r="T52" s="263">
        <v>55.3</v>
      </c>
      <c r="U52" s="263">
        <v>60.1</v>
      </c>
      <c r="V52" s="263">
        <v>64.8</v>
      </c>
      <c r="W52" s="263">
        <v>68.2</v>
      </c>
      <c r="X52" s="263">
        <v>71.099999999999994</v>
      </c>
      <c r="Y52" s="263">
        <v>74.2</v>
      </c>
      <c r="Z52" s="263">
        <v>77.2</v>
      </c>
      <c r="AA52" s="263">
        <v>81.3</v>
      </c>
      <c r="AB52" s="263">
        <v>85.4</v>
      </c>
      <c r="AC52" s="263">
        <v>89.7</v>
      </c>
      <c r="AD52" s="263">
        <v>94.6</v>
      </c>
      <c r="AE52" s="263">
        <v>99.9</v>
      </c>
      <c r="AF52" s="263">
        <v>105.4</v>
      </c>
      <c r="AG52" s="263">
        <v>108.3</v>
      </c>
      <c r="AH52" s="263">
        <v>110.9</v>
      </c>
      <c r="AI52" s="263">
        <v>115.2</v>
      </c>
      <c r="AJ52" s="263">
        <v>120</v>
      </c>
      <c r="AK52" s="263">
        <v>126</v>
      </c>
      <c r="AL52" s="263">
        <v>132.5</v>
      </c>
      <c r="AM52" s="263">
        <v>141.4</v>
      </c>
      <c r="AN52" s="263">
        <v>152.69999999999999</v>
      </c>
      <c r="AO52" s="263">
        <v>164</v>
      </c>
      <c r="AP52" s="263">
        <v>175.1</v>
      </c>
      <c r="AQ52" s="263">
        <v>187</v>
      </c>
      <c r="AR52" s="263">
        <v>197.7</v>
      </c>
      <c r="AS52" s="263">
        <v>206.5</v>
      </c>
      <c r="AT52" s="263">
        <v>216.7</v>
      </c>
      <c r="AU52" s="263">
        <v>231.9</v>
      </c>
      <c r="AV52" s="263">
        <v>244.7</v>
      </c>
      <c r="AW52" s="263">
        <v>253.9</v>
      </c>
      <c r="AX52" s="263">
        <v>262.10000000000002</v>
      </c>
      <c r="AY52" s="263">
        <v>274</v>
      </c>
      <c r="AZ52" s="263">
        <v>288.5</v>
      </c>
      <c r="BA52" s="263">
        <v>305.3</v>
      </c>
      <c r="BB52" s="263">
        <v>321.3</v>
      </c>
      <c r="BC52" s="263">
        <v>336</v>
      </c>
      <c r="BD52" s="263">
        <v>351.7</v>
      </c>
      <c r="BE52" s="263">
        <v>364.2</v>
      </c>
      <c r="BF52" s="263">
        <v>380.1</v>
      </c>
      <c r="BG52" s="263">
        <v>402.3</v>
      </c>
      <c r="BH52" s="263">
        <v>421.3</v>
      </c>
      <c r="BI52" s="263">
        <v>438.7</v>
      </c>
      <c r="BJ52" s="263">
        <v>454.3</v>
      </c>
      <c r="BK52" s="263">
        <v>470.6</v>
      </c>
      <c r="BL52" s="263">
        <v>488</v>
      </c>
      <c r="BM52" s="263">
        <v>503.5</v>
      </c>
      <c r="BN52" s="263">
        <v>518.5</v>
      </c>
      <c r="BO52" s="263">
        <v>538.29999999999995</v>
      </c>
      <c r="BP52" s="263">
        <v>563.4</v>
      </c>
      <c r="BQ52" s="263">
        <v>596.20000000000005</v>
      </c>
      <c r="BR52" s="263">
        <v>634</v>
      </c>
      <c r="BS52" s="263">
        <v>679.6</v>
      </c>
      <c r="BT52" s="263">
        <v>730.1</v>
      </c>
      <c r="BU52" s="263">
        <v>783.9</v>
      </c>
      <c r="BV52" s="263">
        <v>841.5</v>
      </c>
      <c r="BW52" s="263">
        <v>888.6</v>
      </c>
      <c r="BX52" s="263">
        <v>912.8</v>
      </c>
      <c r="BY52" s="263">
        <v>927.7</v>
      </c>
      <c r="BZ52" s="263">
        <v>948.3</v>
      </c>
      <c r="CA52" s="263">
        <v>977.5</v>
      </c>
      <c r="CB52" s="263">
        <v>1015.1</v>
      </c>
      <c r="CC52" s="263">
        <v>1053.5999999999999</v>
      </c>
      <c r="CD52" s="263">
        <v>1083.4000000000001</v>
      </c>
      <c r="CE52" s="263">
        <v>1092</v>
      </c>
      <c r="CF52" s="263">
        <v>1093.5</v>
      </c>
      <c r="CG52" s="263">
        <v>1117.0999999999999</v>
      </c>
      <c r="CH52" s="263">
        <v>1144.7</v>
      </c>
      <c r="CI52" s="263">
        <v>1177.0999999999999</v>
      </c>
      <c r="CJ52" s="263">
        <v>1215</v>
      </c>
      <c r="CK52" s="263">
        <v>1255.8</v>
      </c>
      <c r="CL52" s="263">
        <v>1292.5</v>
      </c>
    </row>
    <row r="53" spans="1:90" ht="15">
      <c r="A53" s="263" t="s">
        <v>15</v>
      </c>
      <c r="B53" s="263" t="s">
        <v>977</v>
      </c>
      <c r="C53" s="263">
        <v>310.8</v>
      </c>
      <c r="D53" s="263">
        <v>284.89999999999998</v>
      </c>
      <c r="E53" s="263">
        <v>252.9</v>
      </c>
      <c r="F53" s="263">
        <v>208.7</v>
      </c>
      <c r="G53" s="263">
        <v>203.7</v>
      </c>
      <c r="H53" s="263">
        <v>239.7</v>
      </c>
      <c r="I53" s="263">
        <v>264.89999999999998</v>
      </c>
      <c r="J53" s="263">
        <v>308.8</v>
      </c>
      <c r="K53" s="263">
        <v>337</v>
      </c>
      <c r="L53" s="263">
        <v>308.39999999999998</v>
      </c>
      <c r="M53" s="263">
        <v>349.7</v>
      </c>
      <c r="N53" s="263">
        <v>399.9</v>
      </c>
      <c r="O53" s="263">
        <v>489.6</v>
      </c>
      <c r="P53" s="263">
        <v>562.1</v>
      </c>
      <c r="Q53" s="263">
        <v>632.1</v>
      </c>
      <c r="R53" s="263">
        <v>644.6</v>
      </c>
      <c r="S53" s="263">
        <v>592.9</v>
      </c>
      <c r="T53" s="263">
        <v>569.70000000000005</v>
      </c>
      <c r="U53" s="263">
        <v>608</v>
      </c>
      <c r="V53" s="263">
        <v>655.20000000000005</v>
      </c>
      <c r="W53" s="263">
        <v>645</v>
      </c>
      <c r="X53" s="263">
        <v>734.5</v>
      </c>
      <c r="Y53" s="263">
        <v>776.4</v>
      </c>
      <c r="Z53" s="263">
        <v>805.6</v>
      </c>
      <c r="AA53" s="263">
        <v>866.9</v>
      </c>
      <c r="AB53" s="263">
        <v>853.4</v>
      </c>
      <c r="AC53" s="263">
        <v>961.5</v>
      </c>
      <c r="AD53" s="263">
        <v>992.9</v>
      </c>
      <c r="AE53" s="263">
        <v>1002.3</v>
      </c>
      <c r="AF53" s="263">
        <v>955</v>
      </c>
      <c r="AG53" s="263">
        <v>1071.4000000000001</v>
      </c>
      <c r="AH53" s="263">
        <v>1108.5999999999999</v>
      </c>
      <c r="AI53" s="263">
        <v>1133.4000000000001</v>
      </c>
      <c r="AJ53" s="263">
        <v>1234.3</v>
      </c>
      <c r="AK53" s="263">
        <v>1311.9</v>
      </c>
      <c r="AL53" s="263">
        <v>1406.3</v>
      </c>
      <c r="AM53" s="263">
        <v>1526.8</v>
      </c>
      <c r="AN53" s="263">
        <v>1638.9</v>
      </c>
      <c r="AO53" s="263">
        <v>1678.8</v>
      </c>
      <c r="AP53" s="263">
        <v>1787.4</v>
      </c>
      <c r="AQ53" s="263">
        <v>1853.9</v>
      </c>
      <c r="AR53" s="263">
        <v>1825.5</v>
      </c>
      <c r="AS53" s="263">
        <v>1896.4</v>
      </c>
      <c r="AT53" s="263">
        <v>2045.7</v>
      </c>
      <c r="AU53" s="263">
        <v>2168.1</v>
      </c>
      <c r="AV53" s="263">
        <v>2119.3000000000002</v>
      </c>
      <c r="AW53" s="263">
        <v>2077</v>
      </c>
      <c r="AX53" s="263">
        <v>2259.1</v>
      </c>
      <c r="AY53" s="263">
        <v>2432.9</v>
      </c>
      <c r="AZ53" s="263">
        <v>2594.1999999999998</v>
      </c>
      <c r="BA53" s="263">
        <v>2669.8</v>
      </c>
      <c r="BB53" s="263">
        <v>2624.7</v>
      </c>
      <c r="BC53" s="263">
        <v>2729.6</v>
      </c>
      <c r="BD53" s="263">
        <v>2647.1</v>
      </c>
      <c r="BE53" s="263">
        <v>2781.2</v>
      </c>
      <c r="BF53" s="263">
        <v>3045.5</v>
      </c>
      <c r="BG53" s="263">
        <v>3182.1</v>
      </c>
      <c r="BH53" s="263">
        <v>3256.5</v>
      </c>
      <c r="BI53" s="263">
        <v>3434.2</v>
      </c>
      <c r="BJ53" s="263">
        <v>3656.6</v>
      </c>
      <c r="BK53" s="263">
        <v>3718.4</v>
      </c>
      <c r="BL53" s="263">
        <v>3761.6</v>
      </c>
      <c r="BM53" s="263">
        <v>3724.1</v>
      </c>
      <c r="BN53" s="263">
        <v>3838.1</v>
      </c>
      <c r="BO53" s="263">
        <v>3925.7</v>
      </c>
      <c r="BP53" s="263">
        <v>4175.2</v>
      </c>
      <c r="BQ53" s="263">
        <v>4371.2</v>
      </c>
      <c r="BR53" s="263">
        <v>4624.5</v>
      </c>
      <c r="BS53" s="263">
        <v>4929.8999999999996</v>
      </c>
      <c r="BT53" s="263">
        <v>5184.6000000000004</v>
      </c>
      <c r="BU53" s="263">
        <v>5432.8</v>
      </c>
      <c r="BV53" s="263">
        <v>5674.4</v>
      </c>
      <c r="BW53" s="263">
        <v>5469.8</v>
      </c>
      <c r="BX53" s="263">
        <v>5504.4</v>
      </c>
      <c r="BY53" s="263">
        <v>5630.3</v>
      </c>
      <c r="BZ53" s="263">
        <v>5916.4</v>
      </c>
      <c r="CA53" s="263">
        <v>6123.8</v>
      </c>
      <c r="CB53" s="263">
        <v>6374.1</v>
      </c>
      <c r="CC53" s="263">
        <v>6401.2</v>
      </c>
      <c r="CD53" s="263">
        <v>6275.1</v>
      </c>
      <c r="CE53" s="263">
        <v>5767.8</v>
      </c>
      <c r="CF53" s="263">
        <v>6062.8</v>
      </c>
      <c r="CG53" s="263">
        <v>6216.3</v>
      </c>
      <c r="CH53" s="263">
        <v>6435.9</v>
      </c>
      <c r="CI53" s="263">
        <v>6575.3</v>
      </c>
      <c r="CJ53" s="263">
        <v>6849.9</v>
      </c>
      <c r="CK53" s="263">
        <v>7102.3</v>
      </c>
      <c r="CL53" s="263">
        <v>7179.3</v>
      </c>
    </row>
    <row r="54" spans="1:90" ht="15" customHeight="1">
      <c r="A54" s="1942" t="s">
        <v>7</v>
      </c>
      <c r="B54" s="1939"/>
      <c r="C54" s="1939"/>
      <c r="D54" s="1939"/>
      <c r="E54" s="1939"/>
      <c r="F54" s="1939"/>
      <c r="G54" s="1939"/>
      <c r="H54" s="1939"/>
      <c r="I54" s="1939"/>
      <c r="J54" s="1939"/>
      <c r="K54" s="1939"/>
      <c r="L54" s="1939"/>
      <c r="M54" s="1939"/>
      <c r="N54" s="1939"/>
      <c r="O54" s="1939"/>
      <c r="P54" s="1939"/>
      <c r="Q54" s="1939"/>
      <c r="R54" s="1939"/>
      <c r="S54" s="1939"/>
      <c r="T54" s="1939"/>
      <c r="U54" s="1939"/>
      <c r="V54" s="1939"/>
      <c r="W54" s="1939"/>
      <c r="X54" s="1939"/>
      <c r="Y54" s="1939"/>
      <c r="Z54" s="1939"/>
      <c r="AA54" s="1939"/>
      <c r="AB54" s="1939"/>
      <c r="AC54" s="1939"/>
      <c r="AD54" s="1939"/>
      <c r="AE54" s="1939"/>
      <c r="AF54" s="1939"/>
      <c r="AG54" s="1939"/>
      <c r="AH54" s="1939"/>
      <c r="AI54" s="1939"/>
      <c r="AJ54" s="1939"/>
      <c r="AK54" s="1939"/>
      <c r="AL54" s="1939"/>
      <c r="AM54" s="1939"/>
      <c r="AN54" s="1939"/>
      <c r="AO54" s="1939"/>
      <c r="AP54" s="1939"/>
      <c r="AQ54" s="1939"/>
      <c r="AR54" s="1939"/>
      <c r="AS54" s="1939"/>
      <c r="AT54" s="1939"/>
      <c r="AU54" s="1939"/>
      <c r="AV54" s="1939"/>
      <c r="AW54" s="1939"/>
      <c r="AX54" s="1939"/>
      <c r="AY54" s="1939"/>
      <c r="AZ54" s="1939"/>
      <c r="BA54" s="1939"/>
      <c r="BB54" s="1939"/>
      <c r="BC54" s="1939"/>
      <c r="BD54" s="1939"/>
      <c r="BE54" s="1939"/>
      <c r="BF54" s="1939"/>
      <c r="BG54" s="1939"/>
      <c r="BH54" s="1939"/>
      <c r="BI54" s="1939"/>
      <c r="BJ54" s="1939"/>
      <c r="BK54" s="1939"/>
      <c r="BL54" s="1939"/>
      <c r="BM54" s="1939"/>
      <c r="BN54" s="1939"/>
      <c r="BO54" s="1939"/>
      <c r="BP54" s="1939"/>
      <c r="BQ54" s="1939"/>
      <c r="BR54" s="1939"/>
      <c r="BS54" s="1939"/>
      <c r="BT54" s="1939"/>
      <c r="BU54" s="1939"/>
      <c r="BV54" s="1939"/>
      <c r="BW54" s="1939"/>
      <c r="BX54" s="1939"/>
      <c r="BY54" s="1939"/>
      <c r="BZ54" s="1939"/>
      <c r="CA54" s="1939"/>
      <c r="CB54" s="1939"/>
      <c r="CC54" s="1939"/>
      <c r="CD54" s="1939"/>
      <c r="CE54" s="1939"/>
      <c r="CF54" s="1939"/>
      <c r="CG54" s="1939"/>
      <c r="CH54" s="1939"/>
      <c r="CI54" s="1939"/>
      <c r="CJ54" s="1939"/>
      <c r="CK54" s="1939"/>
      <c r="CL54" s="1939"/>
    </row>
    <row r="55" spans="1:90" ht="12" customHeight="1">
      <c r="A55" s="1938" t="s">
        <v>533</v>
      </c>
      <c r="B55" s="1939"/>
      <c r="C55" s="1939"/>
      <c r="D55" s="1939"/>
      <c r="E55" s="1939"/>
      <c r="F55" s="1939"/>
      <c r="G55" s="1939"/>
      <c r="H55" s="1939"/>
      <c r="I55" s="1939"/>
      <c r="J55" s="1939"/>
      <c r="K55" s="1939"/>
      <c r="L55" s="1939"/>
      <c r="M55" s="1939"/>
      <c r="N55" s="1939"/>
      <c r="O55" s="1939"/>
      <c r="P55" s="1939"/>
      <c r="Q55" s="1939"/>
      <c r="R55" s="1939"/>
      <c r="S55" s="1939"/>
      <c r="T55" s="1939"/>
      <c r="U55" s="1939"/>
      <c r="V55" s="1939"/>
      <c r="W55" s="1939"/>
      <c r="X55" s="1939"/>
      <c r="Y55" s="1939"/>
      <c r="Z55" s="1939"/>
      <c r="AA55" s="1939"/>
      <c r="AB55" s="1939"/>
      <c r="AC55" s="1939"/>
      <c r="AD55" s="1939"/>
      <c r="AE55" s="1939"/>
      <c r="AF55" s="1939"/>
      <c r="AG55" s="1939"/>
      <c r="AH55" s="1939"/>
      <c r="AI55" s="1939"/>
      <c r="AJ55" s="1939"/>
      <c r="AK55" s="1939"/>
      <c r="AL55" s="1939"/>
      <c r="AM55" s="1939"/>
      <c r="AN55" s="1939"/>
      <c r="AO55" s="1939"/>
      <c r="AP55" s="1939"/>
      <c r="AQ55" s="1939"/>
      <c r="AR55" s="1939"/>
      <c r="AS55" s="1939"/>
      <c r="AT55" s="1939"/>
      <c r="AU55" s="1939"/>
      <c r="AV55" s="1939"/>
      <c r="AW55" s="1939"/>
      <c r="AX55" s="1939"/>
      <c r="AY55" s="1939"/>
      <c r="AZ55" s="1939"/>
      <c r="BA55" s="1939"/>
      <c r="BB55" s="1939"/>
      <c r="BC55" s="1939"/>
      <c r="BD55" s="1939"/>
      <c r="BE55" s="1939"/>
      <c r="BF55" s="1939"/>
      <c r="BG55" s="1939"/>
      <c r="BH55" s="1939"/>
      <c r="BI55" s="1939"/>
      <c r="BJ55" s="1939"/>
      <c r="BK55" s="1939"/>
      <c r="BL55" s="1939"/>
      <c r="BM55" s="1939"/>
      <c r="BN55" s="1939"/>
      <c r="BO55" s="1939"/>
      <c r="BP55" s="1939"/>
      <c r="BQ55" s="1939"/>
      <c r="BR55" s="1939"/>
      <c r="BS55" s="1939"/>
      <c r="BT55" s="1939"/>
      <c r="BU55" s="1939"/>
      <c r="BV55" s="1939"/>
      <c r="BW55" s="1939"/>
      <c r="BX55" s="1939"/>
      <c r="BY55" s="1939"/>
      <c r="BZ55" s="1939"/>
      <c r="CA55" s="1939"/>
      <c r="CB55" s="1939"/>
      <c r="CC55" s="1939"/>
      <c r="CD55" s="1939"/>
      <c r="CE55" s="1939"/>
      <c r="CF55" s="1939"/>
      <c r="CG55" s="1939"/>
      <c r="CH55" s="1939"/>
      <c r="CI55" s="1939"/>
      <c r="CJ55" s="1939"/>
      <c r="CK55" s="1939"/>
      <c r="CL55" s="1939"/>
    </row>
    <row r="56" spans="1:90" ht="12" customHeight="1">
      <c r="A56" s="1938" t="s">
        <v>978</v>
      </c>
      <c r="B56" s="1939"/>
      <c r="C56" s="1939"/>
      <c r="D56" s="1939"/>
      <c r="E56" s="1939"/>
      <c r="F56" s="1939"/>
      <c r="G56" s="1939"/>
      <c r="H56" s="1939"/>
      <c r="I56" s="1939"/>
      <c r="J56" s="1939"/>
      <c r="K56" s="1939"/>
      <c r="L56" s="1939"/>
      <c r="M56" s="1939"/>
      <c r="N56" s="1939"/>
      <c r="O56" s="1939"/>
      <c r="P56" s="1939"/>
      <c r="Q56" s="1939"/>
      <c r="R56" s="1939"/>
      <c r="S56" s="1939"/>
      <c r="T56" s="1939"/>
      <c r="U56" s="1939"/>
      <c r="V56" s="1939"/>
      <c r="W56" s="1939"/>
      <c r="X56" s="1939"/>
      <c r="Y56" s="1939"/>
      <c r="Z56" s="1939"/>
      <c r="AA56" s="1939"/>
      <c r="AB56" s="1939"/>
      <c r="AC56" s="1939"/>
      <c r="AD56" s="1939"/>
      <c r="AE56" s="1939"/>
      <c r="AF56" s="1939"/>
      <c r="AG56" s="1939"/>
      <c r="AH56" s="1939"/>
      <c r="AI56" s="1939"/>
      <c r="AJ56" s="1939"/>
      <c r="AK56" s="1939"/>
      <c r="AL56" s="1939"/>
      <c r="AM56" s="1939"/>
      <c r="AN56" s="1939"/>
      <c r="AO56" s="1939"/>
      <c r="AP56" s="1939"/>
      <c r="AQ56" s="1939"/>
      <c r="AR56" s="1939"/>
      <c r="AS56" s="1939"/>
      <c r="AT56" s="1939"/>
      <c r="AU56" s="1939"/>
      <c r="AV56" s="1939"/>
      <c r="AW56" s="1939"/>
      <c r="AX56" s="1939"/>
      <c r="AY56" s="1939"/>
      <c r="AZ56" s="1939"/>
      <c r="BA56" s="1939"/>
      <c r="BB56" s="1939"/>
      <c r="BC56" s="1939"/>
      <c r="BD56" s="1939"/>
      <c r="BE56" s="1939"/>
      <c r="BF56" s="1939"/>
      <c r="BG56" s="1939"/>
      <c r="BH56" s="1939"/>
      <c r="BI56" s="1939"/>
      <c r="BJ56" s="1939"/>
      <c r="BK56" s="1939"/>
      <c r="BL56" s="1939"/>
      <c r="BM56" s="1939"/>
      <c r="BN56" s="1939"/>
      <c r="BO56" s="1939"/>
      <c r="BP56" s="1939"/>
      <c r="BQ56" s="1939"/>
      <c r="BR56" s="1939"/>
      <c r="BS56" s="1939"/>
      <c r="BT56" s="1939"/>
      <c r="BU56" s="1939"/>
      <c r="BV56" s="1939"/>
      <c r="BW56" s="1939"/>
      <c r="BX56" s="1939"/>
      <c r="BY56" s="1939"/>
      <c r="BZ56" s="1939"/>
      <c r="CA56" s="1939"/>
      <c r="CB56" s="1939"/>
      <c r="CC56" s="1939"/>
      <c r="CD56" s="1939"/>
      <c r="CE56" s="1939"/>
      <c r="CF56" s="1939"/>
      <c r="CG56" s="1939"/>
      <c r="CH56" s="1939"/>
      <c r="CI56" s="1939"/>
      <c r="CJ56" s="1939"/>
      <c r="CK56" s="1939"/>
      <c r="CL56" s="1939"/>
    </row>
    <row r="57" spans="1:90" ht="12" customHeight="1">
      <c r="A57" s="1938" t="s">
        <v>532</v>
      </c>
      <c r="B57" s="1939"/>
      <c r="C57" s="1939"/>
      <c r="D57" s="1939"/>
      <c r="E57" s="1939"/>
      <c r="F57" s="1939"/>
      <c r="G57" s="1939"/>
      <c r="H57" s="1939"/>
      <c r="I57" s="1939"/>
      <c r="J57" s="1939"/>
      <c r="K57" s="1939"/>
      <c r="L57" s="1939"/>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c r="AM57" s="1939"/>
      <c r="AN57" s="1939"/>
      <c r="AO57" s="1939"/>
      <c r="AP57" s="1939"/>
      <c r="AQ57" s="1939"/>
      <c r="AR57" s="1939"/>
      <c r="AS57" s="1939"/>
      <c r="AT57" s="1939"/>
      <c r="AU57" s="1939"/>
      <c r="AV57" s="1939"/>
      <c r="AW57" s="1939"/>
      <c r="AX57" s="1939"/>
      <c r="AY57" s="1939"/>
      <c r="AZ57" s="1939"/>
      <c r="BA57" s="1939"/>
      <c r="BB57" s="1939"/>
      <c r="BC57" s="1939"/>
      <c r="BD57" s="1939"/>
      <c r="BE57" s="1939"/>
      <c r="BF57" s="1939"/>
      <c r="BG57" s="1939"/>
      <c r="BH57" s="1939"/>
      <c r="BI57" s="1939"/>
      <c r="BJ57" s="1939"/>
      <c r="BK57" s="1939"/>
      <c r="BL57" s="1939"/>
      <c r="BM57" s="1939"/>
      <c r="BN57" s="1939"/>
      <c r="BO57" s="1939"/>
      <c r="BP57" s="1939"/>
      <c r="BQ57" s="1939"/>
      <c r="BR57" s="1939"/>
      <c r="BS57" s="1939"/>
      <c r="BT57" s="1939"/>
      <c r="BU57" s="1939"/>
      <c r="BV57" s="1939"/>
      <c r="BW57" s="1939"/>
      <c r="BX57" s="1939"/>
      <c r="BY57" s="1939"/>
      <c r="BZ57" s="1939"/>
      <c r="CA57" s="1939"/>
      <c r="CB57" s="1939"/>
      <c r="CC57" s="1939"/>
      <c r="CD57" s="1939"/>
      <c r="CE57" s="1939"/>
      <c r="CF57" s="1939"/>
      <c r="CG57" s="1939"/>
      <c r="CH57" s="1939"/>
      <c r="CI57" s="1939"/>
      <c r="CJ57" s="1939"/>
      <c r="CK57" s="1939"/>
      <c r="CL57" s="1939"/>
    </row>
    <row r="58" spans="1:90" ht="12" customHeight="1">
      <c r="A58" s="1938" t="s">
        <v>531</v>
      </c>
      <c r="B58" s="1939"/>
      <c r="C58" s="1939"/>
      <c r="D58" s="1939"/>
      <c r="E58" s="1939"/>
      <c r="F58" s="1939"/>
      <c r="G58" s="1939"/>
      <c r="H58" s="1939"/>
      <c r="I58" s="1939"/>
      <c r="J58" s="1939"/>
      <c r="K58" s="1939"/>
      <c r="L58" s="1939"/>
      <c r="M58" s="1939"/>
      <c r="N58" s="1939"/>
      <c r="O58" s="1939"/>
      <c r="P58" s="1939"/>
      <c r="Q58" s="1939"/>
      <c r="R58" s="1939"/>
      <c r="S58" s="1939"/>
      <c r="T58" s="1939"/>
      <c r="U58" s="1939"/>
      <c r="V58" s="1939"/>
      <c r="W58" s="1939"/>
      <c r="X58" s="1939"/>
      <c r="Y58" s="1939"/>
      <c r="Z58" s="1939"/>
      <c r="AA58" s="1939"/>
      <c r="AB58" s="1939"/>
      <c r="AC58" s="1939"/>
      <c r="AD58" s="1939"/>
      <c r="AE58" s="1939"/>
      <c r="AF58" s="1939"/>
      <c r="AG58" s="1939"/>
      <c r="AH58" s="1939"/>
      <c r="AI58" s="1939"/>
      <c r="AJ58" s="1939"/>
      <c r="AK58" s="1939"/>
      <c r="AL58" s="1939"/>
      <c r="AM58" s="1939"/>
      <c r="AN58" s="1939"/>
      <c r="AO58" s="1939"/>
      <c r="AP58" s="1939"/>
      <c r="AQ58" s="1939"/>
      <c r="AR58" s="1939"/>
      <c r="AS58" s="1939"/>
      <c r="AT58" s="1939"/>
      <c r="AU58" s="1939"/>
      <c r="AV58" s="1939"/>
      <c r="AW58" s="1939"/>
      <c r="AX58" s="1939"/>
      <c r="AY58" s="1939"/>
      <c r="AZ58" s="1939"/>
      <c r="BA58" s="1939"/>
      <c r="BB58" s="1939"/>
      <c r="BC58" s="1939"/>
      <c r="BD58" s="1939"/>
      <c r="BE58" s="1939"/>
      <c r="BF58" s="1939"/>
      <c r="BG58" s="1939"/>
      <c r="BH58" s="1939"/>
      <c r="BI58" s="1939"/>
      <c r="BJ58" s="1939"/>
      <c r="BK58" s="1939"/>
      <c r="BL58" s="1939"/>
      <c r="BM58" s="1939"/>
      <c r="BN58" s="1939"/>
      <c r="BO58" s="1939"/>
      <c r="BP58" s="1939"/>
      <c r="BQ58" s="1939"/>
      <c r="BR58" s="1939"/>
      <c r="BS58" s="1939"/>
      <c r="BT58" s="1939"/>
      <c r="BU58" s="1939"/>
      <c r="BV58" s="1939"/>
      <c r="BW58" s="1939"/>
      <c r="BX58" s="1939"/>
      <c r="BY58" s="1939"/>
      <c r="BZ58" s="1939"/>
      <c r="CA58" s="1939"/>
      <c r="CB58" s="1939"/>
      <c r="CC58" s="1939"/>
      <c r="CD58" s="1939"/>
      <c r="CE58" s="1939"/>
      <c r="CF58" s="1939"/>
      <c r="CG58" s="1939"/>
      <c r="CH58" s="1939"/>
      <c r="CI58" s="1939"/>
      <c r="CJ58" s="1939"/>
      <c r="CK58" s="1939"/>
      <c r="CL58" s="1939"/>
    </row>
    <row r="59" spans="1:90" ht="12" customHeight="1">
      <c r="A59" s="1938" t="s">
        <v>6</v>
      </c>
      <c r="B59" s="1939"/>
      <c r="C59" s="1939"/>
      <c r="D59" s="1939"/>
      <c r="E59" s="1939"/>
      <c r="F59" s="1939"/>
      <c r="G59" s="1939"/>
      <c r="H59" s="1939"/>
      <c r="I59" s="1939"/>
      <c r="J59" s="1939"/>
      <c r="K59" s="1939"/>
      <c r="L59" s="1939"/>
      <c r="M59" s="1939"/>
      <c r="N59" s="1939"/>
      <c r="O59" s="1939"/>
      <c r="P59" s="1939"/>
      <c r="Q59" s="1939"/>
      <c r="R59" s="1939"/>
      <c r="S59" s="1939"/>
      <c r="T59" s="1939"/>
      <c r="U59" s="1939"/>
      <c r="V59" s="1939"/>
      <c r="W59" s="1939"/>
      <c r="X59" s="1939"/>
      <c r="Y59" s="1939"/>
      <c r="Z59" s="1939"/>
      <c r="AA59" s="1939"/>
      <c r="AB59" s="1939"/>
      <c r="AC59" s="1939"/>
      <c r="AD59" s="1939"/>
      <c r="AE59" s="1939"/>
      <c r="AF59" s="1939"/>
      <c r="AG59" s="1939"/>
      <c r="AH59" s="1939"/>
      <c r="AI59" s="1939"/>
      <c r="AJ59" s="1939"/>
      <c r="AK59" s="1939"/>
      <c r="AL59" s="1939"/>
      <c r="AM59" s="1939"/>
      <c r="AN59" s="1939"/>
      <c r="AO59" s="1939"/>
      <c r="AP59" s="1939"/>
      <c r="AQ59" s="1939"/>
      <c r="AR59" s="1939"/>
      <c r="AS59" s="1939"/>
      <c r="AT59" s="1939"/>
      <c r="AU59" s="1939"/>
      <c r="AV59" s="1939"/>
      <c r="AW59" s="1939"/>
      <c r="AX59" s="1939"/>
      <c r="AY59" s="1939"/>
      <c r="AZ59" s="1939"/>
      <c r="BA59" s="1939"/>
      <c r="BB59" s="1939"/>
      <c r="BC59" s="1939"/>
      <c r="BD59" s="1939"/>
      <c r="BE59" s="1939"/>
      <c r="BF59" s="1939"/>
      <c r="BG59" s="1939"/>
      <c r="BH59" s="1939"/>
      <c r="BI59" s="1939"/>
      <c r="BJ59" s="1939"/>
      <c r="BK59" s="1939"/>
      <c r="BL59" s="1939"/>
      <c r="BM59" s="1939"/>
      <c r="BN59" s="1939"/>
      <c r="BO59" s="1939"/>
      <c r="BP59" s="1939"/>
      <c r="BQ59" s="1939"/>
      <c r="BR59" s="1939"/>
      <c r="BS59" s="1939"/>
      <c r="BT59" s="1939"/>
      <c r="BU59" s="1939"/>
      <c r="BV59" s="1939"/>
      <c r="BW59" s="1939"/>
      <c r="BX59" s="1939"/>
      <c r="BY59" s="1939"/>
      <c r="BZ59" s="1939"/>
      <c r="CA59" s="1939"/>
      <c r="CB59" s="1939"/>
      <c r="CC59" s="1939"/>
      <c r="CD59" s="1939"/>
      <c r="CE59" s="1939"/>
      <c r="CF59" s="1939"/>
      <c r="CG59" s="1939"/>
      <c r="CH59" s="1939"/>
      <c r="CI59" s="1939"/>
      <c r="CJ59" s="1939"/>
      <c r="CK59" s="1939"/>
      <c r="CL59" s="1939"/>
    </row>
    <row r="60" spans="1:90" ht="12" customHeight="1">
      <c r="A60" s="1938" t="s">
        <v>5</v>
      </c>
      <c r="B60" s="1939"/>
      <c r="C60" s="1939"/>
      <c r="D60" s="1939"/>
      <c r="E60" s="1939"/>
      <c r="F60" s="1939"/>
      <c r="G60" s="1939"/>
      <c r="H60" s="1939"/>
      <c r="I60" s="1939"/>
      <c r="J60" s="1939"/>
      <c r="K60" s="1939"/>
      <c r="L60" s="1939"/>
      <c r="M60" s="1939"/>
      <c r="N60" s="1939"/>
      <c r="O60" s="1939"/>
      <c r="P60" s="1939"/>
      <c r="Q60" s="1939"/>
      <c r="R60" s="1939"/>
      <c r="S60" s="1939"/>
      <c r="T60" s="1939"/>
      <c r="U60" s="1939"/>
      <c r="V60" s="1939"/>
      <c r="W60" s="1939"/>
      <c r="X60" s="1939"/>
      <c r="Y60" s="1939"/>
      <c r="Z60" s="1939"/>
      <c r="AA60" s="1939"/>
      <c r="AB60" s="1939"/>
      <c r="AC60" s="1939"/>
      <c r="AD60" s="1939"/>
      <c r="AE60" s="1939"/>
      <c r="AF60" s="1939"/>
      <c r="AG60" s="1939"/>
      <c r="AH60" s="1939"/>
      <c r="AI60" s="1939"/>
      <c r="AJ60" s="1939"/>
      <c r="AK60" s="1939"/>
      <c r="AL60" s="1939"/>
      <c r="AM60" s="1939"/>
      <c r="AN60" s="1939"/>
      <c r="AO60" s="1939"/>
      <c r="AP60" s="1939"/>
      <c r="AQ60" s="1939"/>
      <c r="AR60" s="1939"/>
      <c r="AS60" s="1939"/>
      <c r="AT60" s="1939"/>
      <c r="AU60" s="1939"/>
      <c r="AV60" s="1939"/>
      <c r="AW60" s="1939"/>
      <c r="AX60" s="1939"/>
      <c r="AY60" s="1939"/>
      <c r="AZ60" s="1939"/>
      <c r="BA60" s="1939"/>
      <c r="BB60" s="1939"/>
      <c r="BC60" s="1939"/>
      <c r="BD60" s="1939"/>
      <c r="BE60" s="1939"/>
      <c r="BF60" s="1939"/>
      <c r="BG60" s="1939"/>
      <c r="BH60" s="1939"/>
      <c r="BI60" s="1939"/>
      <c r="BJ60" s="1939"/>
      <c r="BK60" s="1939"/>
      <c r="BL60" s="1939"/>
      <c r="BM60" s="1939"/>
      <c r="BN60" s="1939"/>
      <c r="BO60" s="1939"/>
      <c r="BP60" s="1939"/>
      <c r="BQ60" s="1939"/>
      <c r="BR60" s="1939"/>
      <c r="BS60" s="1939"/>
      <c r="BT60" s="1939"/>
      <c r="BU60" s="1939"/>
      <c r="BV60" s="1939"/>
      <c r="BW60" s="1939"/>
      <c r="BX60" s="1939"/>
      <c r="BY60" s="1939"/>
      <c r="BZ60" s="1939"/>
      <c r="CA60" s="1939"/>
      <c r="CB60" s="1939"/>
      <c r="CC60" s="1939"/>
      <c r="CD60" s="1939"/>
      <c r="CE60" s="1939"/>
      <c r="CF60" s="1939"/>
      <c r="CG60" s="1939"/>
      <c r="CH60" s="1939"/>
      <c r="CI60" s="1939"/>
      <c r="CJ60" s="1939"/>
      <c r="CK60" s="1939"/>
      <c r="CL60" s="1939"/>
    </row>
    <row r="61" spans="1:90" ht="15">
      <c r="A61" s="263"/>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263"/>
      <c r="AL61" s="263"/>
      <c r="AM61" s="263"/>
      <c r="AN61" s="263"/>
      <c r="AO61" s="263"/>
      <c r="AP61" s="263"/>
      <c r="AQ61" s="263"/>
      <c r="AR61" s="263"/>
      <c r="AS61" s="263"/>
      <c r="AT61" s="263"/>
      <c r="AU61" s="263"/>
      <c r="AV61" s="263"/>
      <c r="AW61" s="263"/>
      <c r="AX61" s="263"/>
      <c r="AY61" s="263"/>
      <c r="AZ61" s="263"/>
      <c r="BA61" s="263"/>
      <c r="BB61" s="263"/>
      <c r="BC61" s="263"/>
      <c r="BD61" s="263"/>
      <c r="BE61" s="263"/>
      <c r="BF61" s="263"/>
      <c r="BG61" s="263"/>
      <c r="BH61" s="263"/>
      <c r="BI61" s="263"/>
      <c r="BJ61" s="263"/>
      <c r="BK61" s="263"/>
      <c r="BL61" s="263"/>
      <c r="BM61" s="263"/>
      <c r="BN61" s="263"/>
      <c r="BO61" s="263"/>
      <c r="BP61" s="263"/>
      <c r="BQ61" s="263"/>
      <c r="BR61" s="263"/>
      <c r="BS61" s="263"/>
      <c r="BT61" s="263"/>
      <c r="BU61" s="263"/>
      <c r="BV61" s="263"/>
      <c r="BW61" s="263"/>
      <c r="BX61" s="263"/>
      <c r="BY61" s="263"/>
      <c r="BZ61" s="263"/>
      <c r="CA61" s="263"/>
      <c r="CB61" s="263"/>
      <c r="CC61" s="263"/>
      <c r="CD61" s="263"/>
      <c r="CE61" s="263"/>
      <c r="CF61" s="263"/>
      <c r="CG61" s="263"/>
      <c r="CH61" s="263"/>
      <c r="CI61" s="263"/>
      <c r="CJ61" s="263"/>
      <c r="CK61" s="263"/>
      <c r="CL61" s="263"/>
    </row>
    <row r="62" spans="1:90" ht="15">
      <c r="A62" s="263"/>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263"/>
      <c r="AL62" s="263"/>
      <c r="AM62" s="263"/>
      <c r="AN62" s="263"/>
      <c r="AO62" s="263"/>
      <c r="AP62" s="263"/>
      <c r="AQ62" s="263"/>
      <c r="AR62" s="263"/>
      <c r="AS62" s="263"/>
      <c r="AT62" s="263"/>
      <c r="AU62" s="263"/>
      <c r="AV62" s="263"/>
      <c r="AW62" s="263"/>
      <c r="AX62" s="263"/>
      <c r="AY62" s="263"/>
      <c r="AZ62" s="263"/>
      <c r="BA62" s="263"/>
      <c r="BB62" s="263"/>
      <c r="BC62" s="263"/>
      <c r="BD62" s="263"/>
      <c r="BE62" s="263"/>
      <c r="BF62" s="263"/>
      <c r="BG62" s="263"/>
      <c r="BH62" s="263"/>
      <c r="BI62" s="263"/>
      <c r="BJ62" s="263"/>
      <c r="BK62" s="263"/>
      <c r="BL62" s="263"/>
      <c r="BM62" s="263"/>
      <c r="BN62" s="263"/>
      <c r="BO62" s="263"/>
      <c r="BP62" s="263"/>
      <c r="BQ62" s="263"/>
      <c r="BR62" s="263"/>
      <c r="BS62" s="263"/>
      <c r="BT62" s="263"/>
      <c r="BU62" s="263"/>
      <c r="BV62" s="263"/>
      <c r="BW62" s="263"/>
      <c r="BX62" s="263"/>
      <c r="BY62" s="263"/>
      <c r="BZ62" s="263"/>
      <c r="CA62" s="263"/>
      <c r="CB62" s="263"/>
      <c r="CC62" s="263"/>
      <c r="CD62" s="263"/>
      <c r="CE62" s="263"/>
      <c r="CF62" s="263"/>
      <c r="CG62" s="263"/>
      <c r="CH62" s="263"/>
      <c r="CI62" s="263"/>
      <c r="CJ62" s="263"/>
      <c r="CK62" s="263"/>
      <c r="CL62" s="263"/>
    </row>
    <row r="63" spans="1:90" ht="15">
      <c r="A63" s="263"/>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263"/>
      <c r="AV63" s="263"/>
      <c r="AW63" s="263"/>
      <c r="AX63" s="263"/>
      <c r="AY63" s="263"/>
      <c r="AZ63" s="263"/>
      <c r="BA63" s="263"/>
      <c r="BB63" s="263"/>
      <c r="BC63" s="263"/>
      <c r="BD63" s="263"/>
      <c r="BE63" s="263"/>
      <c r="BF63" s="263"/>
      <c r="BG63" s="263"/>
      <c r="BH63" s="263"/>
      <c r="BI63" s="263"/>
      <c r="BJ63" s="263"/>
      <c r="BK63" s="263"/>
      <c r="BL63" s="263"/>
      <c r="BM63" s="263"/>
      <c r="BN63" s="263"/>
      <c r="BO63" s="263"/>
      <c r="BP63" s="263"/>
      <c r="BQ63" s="263"/>
      <c r="BR63" s="263"/>
      <c r="BS63" s="263"/>
      <c r="BT63" s="263"/>
      <c r="BU63" s="263"/>
      <c r="BV63" s="263"/>
      <c r="BW63" s="263"/>
      <c r="BX63" s="263"/>
      <c r="BY63" s="263"/>
      <c r="BZ63" s="263"/>
      <c r="CA63" s="263"/>
      <c r="CB63" s="263"/>
      <c r="CC63" s="263"/>
      <c r="CD63" s="263"/>
      <c r="CE63" s="263"/>
      <c r="CF63" s="263"/>
      <c r="CG63" s="263"/>
      <c r="CH63" s="263"/>
      <c r="CI63" s="263"/>
      <c r="CJ63" s="263"/>
      <c r="CK63" s="263"/>
      <c r="CL63" s="263"/>
    </row>
    <row r="64" spans="1:90" ht="15">
      <c r="A64" s="263"/>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263"/>
      <c r="AV64" s="263"/>
      <c r="AW64" s="263"/>
      <c r="AX64" s="263"/>
      <c r="AY64" s="263"/>
      <c r="AZ64" s="263"/>
      <c r="BA64" s="263"/>
      <c r="BB64" s="263"/>
      <c r="BC64" s="263"/>
      <c r="BD64" s="263"/>
      <c r="BE64" s="263"/>
      <c r="BF64" s="263"/>
      <c r="BG64" s="263"/>
      <c r="BH64" s="263"/>
      <c r="BI64" s="263"/>
      <c r="BJ64" s="263"/>
      <c r="BK64" s="263"/>
      <c r="BL64" s="263"/>
      <c r="BM64" s="263"/>
      <c r="BN64" s="263"/>
      <c r="BO64" s="263"/>
      <c r="BP64" s="263"/>
      <c r="BQ64" s="263"/>
      <c r="BR64" s="263"/>
      <c r="BS64" s="263"/>
      <c r="BT64" s="263"/>
      <c r="BU64" s="263"/>
      <c r="BV64" s="263"/>
      <c r="BW64" s="263"/>
      <c r="BX64" s="263"/>
      <c r="BY64" s="263"/>
      <c r="BZ64" s="263"/>
      <c r="CA64" s="263"/>
      <c r="CB64" s="263"/>
      <c r="CC64" s="263"/>
      <c r="CD64" s="263"/>
      <c r="CE64" s="263"/>
      <c r="CF64" s="263"/>
      <c r="CG64" s="263"/>
      <c r="CH64" s="263"/>
      <c r="CI64" s="263"/>
      <c r="CJ64" s="263"/>
      <c r="CK64" s="263"/>
      <c r="CL64" s="263"/>
    </row>
    <row r="65" spans="1:90" ht="15">
      <c r="A65" s="263"/>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c r="AS65" s="263"/>
      <c r="AT65" s="263"/>
      <c r="AU65" s="263"/>
      <c r="AV65" s="263"/>
      <c r="AW65" s="263"/>
      <c r="AX65" s="263"/>
      <c r="AY65" s="263"/>
      <c r="AZ65" s="263"/>
      <c r="BA65" s="263"/>
      <c r="BB65" s="263"/>
      <c r="BC65" s="263"/>
      <c r="BD65" s="263"/>
      <c r="BE65" s="263"/>
      <c r="BF65" s="263"/>
      <c r="BG65" s="263"/>
      <c r="BH65" s="263"/>
      <c r="BI65" s="263"/>
      <c r="BJ65" s="263"/>
      <c r="BK65" s="263"/>
      <c r="BL65" s="263"/>
      <c r="BM65" s="263"/>
      <c r="BN65" s="263"/>
      <c r="BO65" s="263"/>
      <c r="BP65" s="263"/>
      <c r="BQ65" s="263"/>
      <c r="BR65" s="263"/>
      <c r="BS65" s="263"/>
      <c r="BT65" s="263"/>
      <c r="BU65" s="263"/>
      <c r="BV65" s="263"/>
      <c r="BW65" s="263"/>
      <c r="BX65" s="263"/>
      <c r="BY65" s="263"/>
      <c r="BZ65" s="263"/>
      <c r="CA65" s="263"/>
      <c r="CB65" s="263"/>
      <c r="CC65" s="263"/>
      <c r="CD65" s="263"/>
      <c r="CE65" s="263"/>
      <c r="CF65" s="263"/>
      <c r="CG65" s="263"/>
      <c r="CH65" s="263"/>
      <c r="CI65" s="263"/>
      <c r="CJ65" s="263"/>
      <c r="CK65" s="263"/>
      <c r="CL65" s="263"/>
    </row>
    <row r="66" spans="1:90" ht="15">
      <c r="A66" s="263"/>
      <c r="B66" s="263"/>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263"/>
      <c r="AE66" s="263"/>
      <c r="AF66" s="263"/>
      <c r="AG66" s="263"/>
      <c r="AH66" s="263"/>
      <c r="AI66" s="263"/>
      <c r="AJ66" s="263"/>
      <c r="AK66" s="263"/>
      <c r="AL66" s="263"/>
      <c r="AM66" s="263"/>
      <c r="AN66" s="263"/>
      <c r="AO66" s="263"/>
      <c r="AP66" s="263"/>
      <c r="AQ66" s="263"/>
      <c r="AR66" s="263"/>
      <c r="AS66" s="263"/>
      <c r="AT66" s="263"/>
      <c r="AU66" s="263"/>
      <c r="AV66" s="263"/>
      <c r="AW66" s="263"/>
      <c r="AX66" s="263"/>
      <c r="AY66" s="263"/>
      <c r="AZ66" s="263"/>
      <c r="BA66" s="263"/>
      <c r="BB66" s="263"/>
      <c r="BC66" s="263"/>
      <c r="BD66" s="263"/>
      <c r="BE66" s="263"/>
      <c r="BF66" s="263"/>
      <c r="BG66" s="263"/>
      <c r="BH66" s="263"/>
      <c r="BI66" s="263"/>
      <c r="BJ66" s="263"/>
      <c r="BK66" s="263"/>
      <c r="BL66" s="263"/>
      <c r="BM66" s="263"/>
      <c r="BN66" s="263"/>
      <c r="BO66" s="263"/>
      <c r="BP66" s="263"/>
      <c r="BQ66" s="263"/>
      <c r="BR66" s="263"/>
      <c r="BS66" s="263"/>
      <c r="BT66" s="263"/>
      <c r="BU66" s="263"/>
      <c r="BV66" s="263"/>
      <c r="BW66" s="263"/>
      <c r="BX66" s="263"/>
      <c r="BY66" s="263"/>
      <c r="BZ66" s="263"/>
      <c r="CA66" s="263"/>
      <c r="CB66" s="263"/>
      <c r="CC66" s="263"/>
      <c r="CD66" s="263"/>
      <c r="CE66" s="263"/>
      <c r="CF66" s="263"/>
      <c r="CG66" s="263"/>
      <c r="CH66" s="263"/>
      <c r="CI66" s="263"/>
      <c r="CJ66" s="263"/>
      <c r="CK66" s="263"/>
      <c r="CL66" s="263"/>
    </row>
    <row r="67" spans="1:90" ht="15">
      <c r="A67" s="263"/>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263"/>
      <c r="AE67" s="263"/>
      <c r="AF67" s="263"/>
      <c r="AG67" s="263"/>
      <c r="AH67" s="263"/>
      <c r="AI67" s="263"/>
      <c r="AJ67" s="263"/>
      <c r="AK67" s="263"/>
      <c r="AL67" s="263"/>
      <c r="AM67" s="263"/>
      <c r="AN67" s="263"/>
      <c r="AO67" s="263"/>
      <c r="AP67" s="263"/>
      <c r="AQ67" s="263"/>
      <c r="AR67" s="263"/>
      <c r="AS67" s="263"/>
      <c r="AT67" s="263"/>
      <c r="AU67" s="263"/>
      <c r="AV67" s="263"/>
      <c r="AW67" s="263"/>
      <c r="AX67" s="263"/>
      <c r="AY67" s="263"/>
      <c r="AZ67" s="263"/>
      <c r="BA67" s="263"/>
      <c r="BB67" s="263"/>
      <c r="BC67" s="263"/>
      <c r="BD67" s="263"/>
      <c r="BE67" s="263"/>
      <c r="BF67" s="263"/>
      <c r="BG67" s="263"/>
      <c r="BH67" s="263"/>
      <c r="BI67" s="263"/>
      <c r="BJ67" s="263"/>
      <c r="BK67" s="263"/>
      <c r="BL67" s="263"/>
      <c r="BM67" s="263"/>
      <c r="BN67" s="263"/>
      <c r="BO67" s="263"/>
      <c r="BP67" s="263"/>
      <c r="BQ67" s="263"/>
      <c r="BR67" s="263"/>
      <c r="BS67" s="263"/>
      <c r="BT67" s="263"/>
      <c r="BU67" s="263"/>
      <c r="BV67" s="263"/>
      <c r="BW67" s="263"/>
      <c r="BX67" s="263"/>
      <c r="BY67" s="263"/>
      <c r="BZ67" s="263"/>
      <c r="CA67" s="263"/>
      <c r="CB67" s="263"/>
      <c r="CC67" s="263"/>
      <c r="CD67" s="263"/>
      <c r="CE67" s="263"/>
      <c r="CF67" s="263"/>
      <c r="CG67" s="263"/>
      <c r="CH67" s="263"/>
      <c r="CI67" s="263"/>
      <c r="CJ67" s="263"/>
      <c r="CK67" s="263"/>
      <c r="CL67" s="263"/>
    </row>
    <row r="68" spans="1:90" ht="15">
      <c r="A68" s="263"/>
      <c r="B68" s="263"/>
      <c r="C68" s="263"/>
      <c r="D68" s="263"/>
      <c r="E68" s="263"/>
      <c r="F68" s="263"/>
      <c r="G68" s="263"/>
      <c r="H68" s="263"/>
      <c r="I68" s="263"/>
      <c r="J68" s="263"/>
      <c r="K68" s="263"/>
      <c r="L68" s="263"/>
      <c r="M68" s="263"/>
      <c r="N68" s="263"/>
      <c r="O68" s="263"/>
      <c r="P68" s="263"/>
      <c r="Q68" s="263"/>
      <c r="R68" s="263"/>
      <c r="S68" s="263"/>
      <c r="T68" s="263"/>
      <c r="U68" s="263"/>
      <c r="V68" s="263"/>
      <c r="W68" s="263"/>
      <c r="X68" s="263"/>
      <c r="Y68" s="263"/>
      <c r="Z68" s="263"/>
      <c r="AA68" s="263"/>
      <c r="AB68" s="263"/>
      <c r="AC68" s="263"/>
      <c r="AD68" s="263"/>
      <c r="AE68" s="263"/>
      <c r="AF68" s="263"/>
      <c r="AG68" s="263"/>
      <c r="AH68" s="263"/>
      <c r="AI68" s="263"/>
      <c r="AJ68" s="263"/>
      <c r="AK68" s="263"/>
      <c r="AL68" s="263"/>
      <c r="AM68" s="263"/>
      <c r="AN68" s="263"/>
      <c r="AO68" s="263"/>
      <c r="AP68" s="263"/>
      <c r="AQ68" s="263"/>
      <c r="AR68" s="263"/>
      <c r="AS68" s="263"/>
      <c r="AT68" s="263"/>
      <c r="AU68" s="263"/>
      <c r="AV68" s="263"/>
      <c r="AW68" s="263"/>
      <c r="AX68" s="263"/>
      <c r="AY68" s="263"/>
      <c r="AZ68" s="263"/>
      <c r="BA68" s="263"/>
      <c r="BB68" s="263"/>
      <c r="BC68" s="263"/>
      <c r="BD68" s="263"/>
      <c r="BE68" s="263"/>
      <c r="BF68" s="263"/>
      <c r="BG68" s="263"/>
      <c r="BH68" s="263"/>
      <c r="BI68" s="263"/>
      <c r="BJ68" s="263"/>
      <c r="BK68" s="263"/>
      <c r="BL68" s="263"/>
      <c r="BM68" s="263"/>
      <c r="BN68" s="263"/>
      <c r="BO68" s="263"/>
      <c r="BP68" s="263"/>
      <c r="BQ68" s="263"/>
      <c r="BR68" s="263"/>
      <c r="BS68" s="263"/>
      <c r="BT68" s="263"/>
      <c r="BU68" s="263"/>
      <c r="BV68" s="263"/>
      <c r="BW68" s="263"/>
      <c r="BX68" s="263"/>
      <c r="BY68" s="263"/>
      <c r="BZ68" s="263"/>
      <c r="CA68" s="263"/>
      <c r="CB68" s="263"/>
      <c r="CC68" s="263"/>
      <c r="CD68" s="263"/>
      <c r="CE68" s="263"/>
      <c r="CF68" s="263"/>
      <c r="CG68" s="263"/>
      <c r="CH68" s="263"/>
      <c r="CI68" s="263"/>
      <c r="CJ68" s="263"/>
      <c r="CK68" s="263"/>
      <c r="CL68" s="263"/>
    </row>
    <row r="69" spans="1:90" ht="15">
      <c r="A69" s="263"/>
      <c r="B69" s="263"/>
      <c r="C69" s="263"/>
      <c r="D69" s="263"/>
      <c r="E69" s="263"/>
      <c r="F69" s="263"/>
      <c r="G69" s="263"/>
      <c r="H69" s="263"/>
      <c r="I69" s="263"/>
      <c r="J69" s="263"/>
      <c r="K69" s="263"/>
      <c r="L69" s="263"/>
      <c r="M69" s="263"/>
      <c r="N69" s="263"/>
      <c r="O69" s="263"/>
      <c r="P69" s="263"/>
      <c r="Q69" s="263"/>
      <c r="R69" s="263"/>
      <c r="S69" s="263"/>
      <c r="T69" s="263"/>
      <c r="U69" s="263"/>
      <c r="V69" s="263"/>
      <c r="W69" s="263"/>
      <c r="X69" s="263"/>
      <c r="Y69" s="263"/>
      <c r="Z69" s="263"/>
      <c r="AA69" s="263"/>
      <c r="AB69" s="263"/>
      <c r="AC69" s="263"/>
      <c r="AD69" s="263"/>
      <c r="AE69" s="263"/>
      <c r="AF69" s="263"/>
      <c r="AG69" s="263"/>
      <c r="AH69" s="263"/>
      <c r="AI69" s="263"/>
      <c r="AJ69" s="263"/>
      <c r="AK69" s="263"/>
      <c r="AL69" s="263"/>
      <c r="AM69" s="263"/>
      <c r="AN69" s="263"/>
      <c r="AO69" s="263"/>
      <c r="AP69" s="263"/>
      <c r="AQ69" s="263"/>
      <c r="AR69" s="263"/>
      <c r="AS69" s="263"/>
      <c r="AT69" s="263"/>
      <c r="AU69" s="263"/>
      <c r="AV69" s="263"/>
      <c r="AW69" s="263"/>
      <c r="AX69" s="263"/>
      <c r="AY69" s="263"/>
      <c r="AZ69" s="263"/>
      <c r="BA69" s="263"/>
      <c r="BB69" s="263"/>
      <c r="BC69" s="263"/>
      <c r="BD69" s="263"/>
      <c r="BE69" s="263"/>
      <c r="BF69" s="263"/>
      <c r="BG69" s="263"/>
      <c r="BH69" s="263"/>
      <c r="BI69" s="263"/>
      <c r="BJ69" s="263"/>
      <c r="BK69" s="263"/>
      <c r="BL69" s="263"/>
      <c r="BM69" s="263"/>
      <c r="BN69" s="263"/>
      <c r="BO69" s="263"/>
      <c r="BP69" s="263"/>
      <c r="BQ69" s="263"/>
      <c r="BR69" s="263"/>
      <c r="BS69" s="263"/>
      <c r="BT69" s="263"/>
      <c r="BU69" s="263"/>
      <c r="BV69" s="263"/>
      <c r="BW69" s="263"/>
      <c r="BX69" s="263"/>
      <c r="BY69" s="263"/>
      <c r="BZ69" s="263"/>
      <c r="CA69" s="263"/>
      <c r="CB69" s="263"/>
      <c r="CC69" s="263"/>
      <c r="CD69" s="263"/>
      <c r="CE69" s="263"/>
      <c r="CF69" s="263"/>
      <c r="CG69" s="263"/>
      <c r="CH69" s="263"/>
      <c r="CI69" s="263"/>
      <c r="CJ69" s="263"/>
      <c r="CK69" s="263"/>
      <c r="CL69" s="263"/>
    </row>
    <row r="70" spans="1:90" ht="15">
      <c r="A70" s="263"/>
      <c r="B70" s="263"/>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c r="AA70" s="263"/>
      <c r="AB70" s="263"/>
      <c r="AC70" s="263"/>
      <c r="AD70" s="263"/>
      <c r="AE70" s="263"/>
      <c r="AF70" s="263"/>
      <c r="AG70" s="263"/>
      <c r="AH70" s="263"/>
      <c r="AI70" s="263"/>
      <c r="AJ70" s="263"/>
      <c r="AK70" s="263"/>
      <c r="AL70" s="263"/>
      <c r="AM70" s="263"/>
      <c r="AN70" s="263"/>
      <c r="AO70" s="263"/>
      <c r="AP70" s="263"/>
      <c r="AQ70" s="263"/>
      <c r="AR70" s="263"/>
      <c r="AS70" s="263"/>
      <c r="AT70" s="263"/>
      <c r="AU70" s="263"/>
      <c r="AV70" s="263"/>
      <c r="AW70" s="263"/>
      <c r="AX70" s="263"/>
      <c r="AY70" s="263"/>
      <c r="AZ70" s="263"/>
      <c r="BA70" s="263"/>
      <c r="BB70" s="263"/>
      <c r="BC70" s="263"/>
      <c r="BD70" s="263"/>
      <c r="BE70" s="263"/>
      <c r="BF70" s="263"/>
      <c r="BG70" s="263"/>
      <c r="BH70" s="263"/>
      <c r="BI70" s="263"/>
      <c r="BJ70" s="263"/>
      <c r="BK70" s="263"/>
      <c r="BL70" s="263"/>
      <c r="BM70" s="263"/>
      <c r="BN70" s="263"/>
      <c r="BO70" s="263"/>
      <c r="BP70" s="263"/>
      <c r="BQ70" s="263"/>
      <c r="BR70" s="263"/>
      <c r="BS70" s="263"/>
      <c r="BT70" s="263"/>
      <c r="BU70" s="263"/>
      <c r="BV70" s="263"/>
      <c r="BW70" s="263"/>
      <c r="BX70" s="263"/>
      <c r="BY70" s="263"/>
      <c r="BZ70" s="263"/>
      <c r="CA70" s="263"/>
      <c r="CB70" s="263"/>
      <c r="CC70" s="263"/>
      <c r="CD70" s="263"/>
      <c r="CE70" s="263"/>
      <c r="CF70" s="263"/>
      <c r="CG70" s="263"/>
      <c r="CH70" s="263"/>
      <c r="CI70" s="263"/>
      <c r="CJ70" s="263"/>
      <c r="CK70" s="263"/>
      <c r="CL70" s="263"/>
    </row>
    <row r="71" spans="1:90" ht="15">
      <c r="A71" s="263"/>
      <c r="B71" s="263"/>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c r="AA71" s="263"/>
      <c r="AB71" s="263"/>
      <c r="AC71" s="263"/>
      <c r="AD71" s="263"/>
      <c r="AE71" s="263"/>
      <c r="AF71" s="263"/>
      <c r="AG71" s="263"/>
      <c r="AH71" s="263"/>
      <c r="AI71" s="263"/>
      <c r="AJ71" s="263"/>
      <c r="AK71" s="263"/>
      <c r="AL71" s="263"/>
      <c r="AM71" s="263"/>
      <c r="AN71" s="263"/>
      <c r="AO71" s="263"/>
      <c r="AP71" s="263"/>
      <c r="AQ71" s="263"/>
      <c r="AR71" s="263"/>
      <c r="AS71" s="263"/>
      <c r="AT71" s="263"/>
      <c r="AU71" s="263"/>
      <c r="AV71" s="263"/>
      <c r="AW71" s="263"/>
      <c r="AX71" s="263"/>
      <c r="AY71" s="263"/>
      <c r="AZ71" s="263"/>
      <c r="BA71" s="263"/>
      <c r="BB71" s="263"/>
      <c r="BC71" s="263"/>
      <c r="BD71" s="263"/>
      <c r="BE71" s="263"/>
      <c r="BF71" s="263"/>
      <c r="BG71" s="263"/>
      <c r="BH71" s="263"/>
      <c r="BI71" s="263"/>
      <c r="BJ71" s="263"/>
      <c r="BK71" s="263"/>
      <c r="BL71" s="263"/>
      <c r="BM71" s="263"/>
      <c r="BN71" s="263"/>
      <c r="BO71" s="263"/>
      <c r="BP71" s="263"/>
      <c r="BQ71" s="263"/>
      <c r="BR71" s="263"/>
      <c r="BS71" s="263"/>
      <c r="BT71" s="263"/>
      <c r="BU71" s="263"/>
      <c r="BV71" s="263"/>
      <c r="BW71" s="263"/>
      <c r="BX71" s="263"/>
      <c r="BY71" s="263"/>
      <c r="BZ71" s="263"/>
      <c r="CA71" s="263"/>
      <c r="CB71" s="263"/>
      <c r="CC71" s="263"/>
      <c r="CD71" s="263"/>
      <c r="CE71" s="263"/>
      <c r="CF71" s="263"/>
      <c r="CG71" s="263"/>
      <c r="CH71" s="263"/>
      <c r="CI71" s="263"/>
      <c r="CJ71" s="263"/>
      <c r="CK71" s="263"/>
      <c r="CL71" s="263"/>
    </row>
    <row r="72" spans="1:90" ht="15">
      <c r="A72" s="263"/>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263"/>
      <c r="AF72" s="263"/>
      <c r="AG72" s="263"/>
      <c r="AH72" s="263"/>
      <c r="AI72" s="263"/>
      <c r="AJ72" s="263"/>
      <c r="AK72" s="263"/>
      <c r="AL72" s="263"/>
      <c r="AM72" s="263"/>
      <c r="AN72" s="263"/>
      <c r="AO72" s="263"/>
      <c r="AP72" s="263"/>
      <c r="AQ72" s="263"/>
      <c r="AR72" s="263"/>
      <c r="AS72" s="263"/>
      <c r="AT72" s="263"/>
      <c r="AU72" s="263"/>
      <c r="AV72" s="263"/>
      <c r="AW72" s="263"/>
      <c r="AX72" s="263"/>
      <c r="AY72" s="263"/>
      <c r="AZ72" s="263"/>
      <c r="BA72" s="263"/>
      <c r="BB72" s="263"/>
      <c r="BC72" s="263"/>
      <c r="BD72" s="263"/>
      <c r="BE72" s="263"/>
      <c r="BF72" s="263"/>
      <c r="BG72" s="263"/>
      <c r="BH72" s="263"/>
      <c r="BI72" s="263"/>
      <c r="BJ72" s="263"/>
      <c r="BK72" s="263"/>
      <c r="BL72" s="263"/>
      <c r="BM72" s="263"/>
      <c r="BN72" s="263"/>
      <c r="BO72" s="263"/>
      <c r="BP72" s="263"/>
      <c r="BQ72" s="263"/>
      <c r="BR72" s="263"/>
      <c r="BS72" s="263"/>
      <c r="BT72" s="263"/>
      <c r="BU72" s="263"/>
      <c r="BV72" s="263"/>
      <c r="BW72" s="263"/>
      <c r="BX72" s="263"/>
      <c r="BY72" s="263"/>
      <c r="BZ72" s="263"/>
      <c r="CA72" s="263"/>
      <c r="CB72" s="263"/>
      <c r="CC72" s="263"/>
      <c r="CD72" s="263"/>
      <c r="CE72" s="263"/>
      <c r="CF72" s="263"/>
      <c r="CG72" s="263"/>
      <c r="CH72" s="263"/>
      <c r="CI72" s="263"/>
      <c r="CJ72" s="263"/>
      <c r="CK72" s="263"/>
      <c r="CL72" s="263"/>
    </row>
    <row r="73" spans="1:90" ht="15">
      <c r="A73" s="263"/>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263"/>
      <c r="AF73" s="263"/>
      <c r="AG73" s="263"/>
      <c r="AH73" s="263"/>
      <c r="AI73" s="263"/>
      <c r="AJ73" s="263"/>
      <c r="AK73" s="263"/>
      <c r="AL73" s="263"/>
      <c r="AM73" s="263"/>
      <c r="AN73" s="263"/>
      <c r="AO73" s="263"/>
      <c r="AP73" s="263"/>
      <c r="AQ73" s="263"/>
      <c r="AR73" s="263"/>
      <c r="AS73" s="263"/>
      <c r="AT73" s="263"/>
      <c r="AU73" s="263"/>
      <c r="AV73" s="263"/>
      <c r="AW73" s="263"/>
      <c r="AX73" s="263"/>
      <c r="AY73" s="263"/>
      <c r="AZ73" s="263"/>
      <c r="BA73" s="263"/>
      <c r="BB73" s="263"/>
      <c r="BC73" s="263"/>
      <c r="BD73" s="263"/>
      <c r="BE73" s="263"/>
      <c r="BF73" s="263"/>
      <c r="BG73" s="263"/>
      <c r="BH73" s="263"/>
      <c r="BI73" s="263"/>
      <c r="BJ73" s="263"/>
      <c r="BK73" s="263"/>
      <c r="BL73" s="263"/>
      <c r="BM73" s="263"/>
      <c r="BN73" s="263"/>
      <c r="BO73" s="263"/>
      <c r="BP73" s="263"/>
      <c r="BQ73" s="263"/>
      <c r="BR73" s="263"/>
      <c r="BS73" s="263"/>
      <c r="BT73" s="263"/>
      <c r="BU73" s="263"/>
      <c r="BV73" s="263"/>
      <c r="BW73" s="263"/>
      <c r="BX73" s="263"/>
      <c r="BY73" s="263"/>
      <c r="BZ73" s="263"/>
      <c r="CA73" s="263"/>
      <c r="CB73" s="263"/>
      <c r="CC73" s="263"/>
      <c r="CD73" s="263"/>
      <c r="CE73" s="263"/>
      <c r="CF73" s="263"/>
      <c r="CG73" s="263"/>
      <c r="CH73" s="263"/>
      <c r="CI73" s="263"/>
      <c r="CJ73" s="263"/>
      <c r="CK73" s="263"/>
      <c r="CL73" s="263"/>
    </row>
    <row r="74" spans="1:90" ht="15">
      <c r="A74" s="263"/>
      <c r="B74" s="263"/>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c r="CK74" s="263"/>
      <c r="CL74" s="263"/>
    </row>
    <row r="75" spans="1:90" ht="15">
      <c r="A75" s="263"/>
      <c r="B75" s="263"/>
      <c r="C75" s="263"/>
      <c r="D75" s="263"/>
      <c r="E75" s="263"/>
      <c r="F75" s="263"/>
      <c r="G75" s="263"/>
      <c r="H75" s="263"/>
      <c r="I75" s="263"/>
      <c r="J75" s="263"/>
      <c r="K75" s="263"/>
      <c r="L75" s="263"/>
      <c r="M75" s="263"/>
      <c r="N75" s="263"/>
      <c r="O75" s="263"/>
      <c r="P75" s="263"/>
      <c r="Q75" s="263"/>
      <c r="R75" s="263"/>
      <c r="S75" s="263"/>
      <c r="T75" s="263"/>
      <c r="U75" s="263"/>
      <c r="V75" s="263"/>
      <c r="W75" s="263"/>
      <c r="X75" s="263"/>
      <c r="Y75" s="263"/>
      <c r="Z75" s="263"/>
      <c r="AA75" s="263"/>
      <c r="AB75" s="263"/>
      <c r="AC75" s="263"/>
      <c r="AD75" s="263"/>
      <c r="AE75" s="263"/>
      <c r="AF75" s="263"/>
      <c r="AG75" s="263"/>
      <c r="AH75" s="263"/>
      <c r="AI75" s="263"/>
      <c r="AJ75" s="263"/>
      <c r="AK75" s="263"/>
      <c r="AL75" s="263"/>
      <c r="AM75" s="263"/>
      <c r="AN75" s="263"/>
      <c r="AO75" s="263"/>
      <c r="AP75" s="263"/>
      <c r="AQ75" s="263"/>
      <c r="AR75" s="263"/>
      <c r="AS75" s="263"/>
      <c r="AT75" s="263"/>
      <c r="AU75" s="263"/>
      <c r="AV75" s="263"/>
      <c r="AW75" s="263"/>
      <c r="AX75" s="263"/>
      <c r="AY75" s="263"/>
      <c r="AZ75" s="263"/>
      <c r="BA75" s="263"/>
      <c r="BB75" s="263"/>
      <c r="BC75" s="263"/>
      <c r="BD75" s="263"/>
      <c r="BE75" s="263"/>
      <c r="BF75" s="263"/>
      <c r="BG75" s="263"/>
      <c r="BH75" s="263"/>
      <c r="BI75" s="263"/>
      <c r="BJ75" s="263"/>
      <c r="BK75" s="263"/>
      <c r="BL75" s="263"/>
      <c r="BM75" s="263"/>
      <c r="BN75" s="263"/>
      <c r="BO75" s="263"/>
      <c r="BP75" s="263"/>
      <c r="BQ75" s="263"/>
      <c r="BR75" s="263"/>
      <c r="BS75" s="263"/>
      <c r="BT75" s="263"/>
      <c r="BU75" s="263"/>
      <c r="BV75" s="263"/>
      <c r="BW75" s="263"/>
      <c r="BX75" s="263"/>
      <c r="BY75" s="263"/>
      <c r="BZ75" s="263"/>
      <c r="CA75" s="263"/>
      <c r="CB75" s="263"/>
      <c r="CC75" s="263"/>
      <c r="CD75" s="263"/>
      <c r="CE75" s="263"/>
      <c r="CF75" s="263"/>
      <c r="CG75" s="263"/>
      <c r="CH75" s="263"/>
      <c r="CI75" s="263"/>
      <c r="CJ75" s="263"/>
      <c r="CK75" s="263"/>
      <c r="CL75" s="263"/>
    </row>
    <row r="76" spans="1:90" ht="15">
      <c r="A76" s="263"/>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c r="AA76" s="263"/>
      <c r="AB76" s="263"/>
      <c r="AC76" s="263"/>
      <c r="AD76" s="263"/>
      <c r="AE76" s="263"/>
      <c r="AF76" s="263"/>
      <c r="AG76" s="263"/>
      <c r="AH76" s="263"/>
      <c r="AI76" s="263"/>
      <c r="AJ76" s="263"/>
      <c r="AK76" s="263"/>
      <c r="AL76" s="263"/>
      <c r="AM76" s="263"/>
      <c r="AN76" s="263"/>
      <c r="AO76" s="263"/>
      <c r="AP76" s="263"/>
      <c r="AQ76" s="263"/>
      <c r="AR76" s="263"/>
      <c r="AS76" s="263"/>
      <c r="AT76" s="263"/>
      <c r="AU76" s="263"/>
      <c r="AV76" s="263"/>
      <c r="AW76" s="263"/>
      <c r="AX76" s="263"/>
      <c r="AY76" s="263"/>
      <c r="AZ76" s="263"/>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c r="BW76" s="263"/>
      <c r="BX76" s="263"/>
      <c r="BY76" s="263"/>
      <c r="BZ76" s="263"/>
      <c r="CA76" s="263"/>
      <c r="CB76" s="263"/>
      <c r="CC76" s="263"/>
      <c r="CD76" s="263"/>
      <c r="CE76" s="263"/>
      <c r="CF76" s="263"/>
      <c r="CG76" s="263"/>
      <c r="CH76" s="263"/>
      <c r="CI76" s="263"/>
      <c r="CJ76" s="263"/>
      <c r="CK76" s="263"/>
      <c r="CL76" s="263"/>
    </row>
    <row r="77" spans="1:90" ht="15">
      <c r="A77" s="263"/>
      <c r="B77" s="263"/>
      <c r="C77" s="263"/>
      <c r="D77" s="263"/>
      <c r="E77" s="263"/>
      <c r="F77" s="263"/>
      <c r="G77" s="263"/>
      <c r="H77" s="263"/>
      <c r="I77" s="263"/>
      <c r="J77" s="263"/>
      <c r="K77" s="263"/>
      <c r="L77" s="263"/>
      <c r="M77" s="263"/>
      <c r="N77" s="263"/>
      <c r="O77" s="263"/>
      <c r="P77" s="263"/>
      <c r="Q77" s="263"/>
      <c r="R77" s="263"/>
      <c r="S77" s="263"/>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263"/>
      <c r="AS77" s="263"/>
      <c r="AT77" s="263"/>
      <c r="AU77" s="263"/>
      <c r="AV77" s="263"/>
      <c r="AW77" s="263"/>
      <c r="AX77" s="263"/>
      <c r="AY77" s="263"/>
      <c r="AZ77" s="263"/>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c r="BW77" s="263"/>
      <c r="BX77" s="263"/>
      <c r="BY77" s="263"/>
      <c r="BZ77" s="263"/>
      <c r="CA77" s="263"/>
      <c r="CB77" s="263"/>
      <c r="CC77" s="263"/>
      <c r="CD77" s="263"/>
      <c r="CE77" s="263"/>
      <c r="CF77" s="263"/>
      <c r="CG77" s="263"/>
      <c r="CH77" s="263"/>
      <c r="CI77" s="263"/>
      <c r="CJ77" s="263"/>
      <c r="CK77" s="263"/>
      <c r="CL77" s="263"/>
    </row>
    <row r="78" spans="1:90" ht="15">
      <c r="A78" s="263"/>
      <c r="B78" s="263"/>
      <c r="C78" s="263"/>
      <c r="D78" s="263"/>
      <c r="E78" s="263"/>
      <c r="F78" s="263"/>
      <c r="G78" s="263"/>
      <c r="H78" s="263"/>
      <c r="I78" s="263"/>
      <c r="J78" s="263"/>
      <c r="K78" s="263"/>
      <c r="L78" s="263"/>
      <c r="M78" s="263"/>
      <c r="N78" s="263"/>
      <c r="O78" s="263"/>
      <c r="P78" s="263"/>
      <c r="Q78" s="263"/>
      <c r="R78" s="263"/>
      <c r="S78" s="263"/>
      <c r="T78" s="263"/>
      <c r="U78" s="263"/>
      <c r="V78" s="263"/>
      <c r="W78" s="263"/>
      <c r="X78" s="263"/>
      <c r="Y78" s="263"/>
      <c r="Z78" s="263"/>
      <c r="AA78" s="263"/>
      <c r="AB78" s="263"/>
      <c r="AC78" s="263"/>
      <c r="AD78" s="263"/>
      <c r="AE78" s="263"/>
      <c r="AF78" s="263"/>
      <c r="AG78" s="263"/>
      <c r="AH78" s="263"/>
      <c r="AI78" s="263"/>
      <c r="AJ78" s="263"/>
      <c r="AK78" s="263"/>
      <c r="AL78" s="263"/>
      <c r="AM78" s="263"/>
      <c r="AN78" s="263"/>
      <c r="AO78" s="263"/>
      <c r="AP78" s="263"/>
      <c r="AQ78" s="263"/>
      <c r="AR78" s="263"/>
      <c r="AS78" s="263"/>
      <c r="AT78" s="263"/>
      <c r="AU78" s="263"/>
      <c r="AV78" s="263"/>
      <c r="AW78" s="263"/>
      <c r="AX78" s="263"/>
      <c r="AY78" s="263"/>
      <c r="AZ78" s="263"/>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c r="BW78" s="263"/>
      <c r="BX78" s="263"/>
      <c r="BY78" s="263"/>
      <c r="BZ78" s="263"/>
      <c r="CA78" s="263"/>
      <c r="CB78" s="263"/>
      <c r="CC78" s="263"/>
      <c r="CD78" s="263"/>
      <c r="CE78" s="263"/>
      <c r="CF78" s="263"/>
      <c r="CG78" s="263"/>
      <c r="CH78" s="263"/>
      <c r="CI78" s="263"/>
      <c r="CJ78" s="263"/>
      <c r="CK78" s="263"/>
      <c r="CL78" s="263"/>
    </row>
    <row r="79" spans="1:90" ht="15">
      <c r="A79" s="263"/>
      <c r="B79" s="263"/>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c r="AA79" s="263"/>
      <c r="AB79" s="263"/>
      <c r="AC79" s="263"/>
      <c r="AD79" s="263"/>
      <c r="AE79" s="263"/>
      <c r="AF79" s="263"/>
      <c r="AG79" s="263"/>
      <c r="AH79" s="263"/>
      <c r="AI79" s="263"/>
      <c r="AJ79" s="263"/>
      <c r="AK79" s="263"/>
      <c r="AL79" s="263"/>
      <c r="AM79" s="263"/>
      <c r="AN79" s="263"/>
      <c r="AO79" s="263"/>
      <c r="AP79" s="263"/>
      <c r="AQ79" s="263"/>
      <c r="AR79" s="263"/>
      <c r="AS79" s="263"/>
      <c r="AT79" s="263"/>
      <c r="AU79" s="263"/>
      <c r="AV79" s="263"/>
      <c r="AW79" s="263"/>
      <c r="AX79" s="263"/>
      <c r="AY79" s="263"/>
      <c r="AZ79" s="263"/>
      <c r="BA79" s="263"/>
      <c r="BB79" s="263"/>
      <c r="BC79" s="263"/>
      <c r="BD79" s="263"/>
      <c r="BE79" s="263"/>
      <c r="BF79" s="263"/>
      <c r="BG79" s="263"/>
      <c r="BH79" s="263"/>
      <c r="BI79" s="263"/>
      <c r="BJ79" s="263"/>
      <c r="BK79" s="263"/>
      <c r="BL79" s="263"/>
      <c r="BM79" s="263"/>
      <c r="BN79" s="263"/>
      <c r="BO79" s="263"/>
      <c r="BP79" s="263"/>
      <c r="BQ79" s="263"/>
      <c r="BR79" s="263"/>
      <c r="BS79" s="263"/>
      <c r="BT79" s="263"/>
      <c r="BU79" s="263"/>
      <c r="BV79" s="263"/>
      <c r="BW79" s="263"/>
      <c r="BX79" s="263"/>
      <c r="BY79" s="263"/>
      <c r="BZ79" s="263"/>
      <c r="CA79" s="263"/>
      <c r="CB79" s="263"/>
      <c r="CC79" s="263"/>
      <c r="CD79" s="263"/>
      <c r="CE79" s="263"/>
      <c r="CF79" s="263"/>
      <c r="CG79" s="263"/>
      <c r="CH79" s="263"/>
      <c r="CI79" s="263"/>
      <c r="CJ79" s="263"/>
      <c r="CK79" s="263"/>
      <c r="CL79" s="263"/>
    </row>
    <row r="80" spans="1:90" ht="15">
      <c r="A80" s="263"/>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F80" s="263"/>
      <c r="AG80" s="263"/>
      <c r="AH80" s="263"/>
      <c r="AI80" s="263"/>
      <c r="AJ80" s="263"/>
      <c r="AK80" s="263"/>
      <c r="AL80" s="263"/>
      <c r="AM80" s="263"/>
      <c r="AN80" s="263"/>
      <c r="AO80" s="263"/>
      <c r="AP80" s="263"/>
      <c r="AQ80" s="263"/>
      <c r="AR80" s="263"/>
      <c r="AS80" s="263"/>
      <c r="AT80" s="263"/>
      <c r="AU80" s="263"/>
      <c r="AV80" s="263"/>
      <c r="AW80" s="263"/>
      <c r="AX80" s="263"/>
      <c r="AY80" s="263"/>
      <c r="AZ80" s="263"/>
      <c r="BA80" s="263"/>
      <c r="BB80" s="263"/>
      <c r="BC80" s="263"/>
      <c r="BD80" s="263"/>
      <c r="BE80" s="263"/>
      <c r="BF80" s="263"/>
      <c r="BG80" s="263"/>
      <c r="BH80" s="263"/>
      <c r="BI80" s="263"/>
      <c r="BJ80" s="263"/>
      <c r="BK80" s="263"/>
      <c r="BL80" s="263"/>
      <c r="BM80" s="263"/>
      <c r="BN80" s="263"/>
      <c r="BO80" s="263"/>
      <c r="BP80" s="263"/>
      <c r="BQ80" s="263"/>
      <c r="BR80" s="263"/>
      <c r="BS80" s="263"/>
      <c r="BT80" s="263"/>
      <c r="BU80" s="263"/>
      <c r="BV80" s="263"/>
      <c r="BW80" s="263"/>
      <c r="BX80" s="263"/>
      <c r="BY80" s="263"/>
      <c r="BZ80" s="263"/>
      <c r="CA80" s="263"/>
      <c r="CB80" s="263"/>
      <c r="CC80" s="263"/>
      <c r="CD80" s="263"/>
      <c r="CE80" s="263"/>
      <c r="CF80" s="263"/>
      <c r="CG80" s="263"/>
      <c r="CH80" s="263"/>
      <c r="CI80" s="263"/>
      <c r="CJ80" s="263"/>
      <c r="CK80" s="263"/>
      <c r="CL80" s="263"/>
    </row>
    <row r="81" spans="1:90" ht="15">
      <c r="A81" s="263"/>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3"/>
      <c r="AC81" s="263"/>
      <c r="AD81" s="263"/>
      <c r="AE81" s="263"/>
      <c r="AF81" s="263"/>
      <c r="AG81" s="263"/>
      <c r="AH81" s="263"/>
      <c r="AI81" s="263"/>
      <c r="AJ81" s="263"/>
      <c r="AK81" s="263"/>
      <c r="AL81" s="263"/>
      <c r="AM81" s="263"/>
      <c r="AN81" s="263"/>
      <c r="AO81" s="263"/>
      <c r="AP81" s="263"/>
      <c r="AQ81" s="263"/>
      <c r="AR81" s="263"/>
      <c r="AS81" s="263"/>
      <c r="AT81" s="263"/>
      <c r="AU81" s="263"/>
      <c r="AV81" s="263"/>
      <c r="AW81" s="263"/>
      <c r="AX81" s="263"/>
      <c r="AY81" s="263"/>
      <c r="AZ81" s="263"/>
      <c r="BA81" s="263"/>
      <c r="BB81" s="263"/>
      <c r="BC81" s="263"/>
      <c r="BD81" s="263"/>
      <c r="BE81" s="263"/>
      <c r="BF81" s="263"/>
      <c r="BG81" s="263"/>
      <c r="BH81" s="263"/>
      <c r="BI81" s="263"/>
      <c r="BJ81" s="263"/>
      <c r="BK81" s="263"/>
      <c r="BL81" s="263"/>
      <c r="BM81" s="263"/>
      <c r="BN81" s="263"/>
      <c r="BO81" s="263"/>
      <c r="BP81" s="263"/>
      <c r="BQ81" s="263"/>
      <c r="BR81" s="263"/>
      <c r="BS81" s="263"/>
      <c r="BT81" s="263"/>
      <c r="BU81" s="263"/>
      <c r="BV81" s="263"/>
      <c r="BW81" s="263"/>
      <c r="BX81" s="263"/>
      <c r="BY81" s="263"/>
      <c r="BZ81" s="263"/>
      <c r="CA81" s="263"/>
      <c r="CB81" s="263"/>
      <c r="CC81" s="263"/>
      <c r="CD81" s="263"/>
      <c r="CE81" s="263"/>
      <c r="CF81" s="263"/>
      <c r="CG81" s="263"/>
      <c r="CH81" s="263"/>
      <c r="CI81" s="263"/>
      <c r="CJ81" s="263"/>
      <c r="CK81" s="263"/>
      <c r="CL81" s="263"/>
    </row>
    <row r="82" spans="1:90" ht="15">
      <c r="A82" s="263"/>
      <c r="B82" s="263"/>
      <c r="C82" s="263"/>
      <c r="D82" s="263"/>
      <c r="E82" s="263"/>
      <c r="F82" s="263"/>
      <c r="G82" s="263"/>
      <c r="H82" s="263"/>
      <c r="I82" s="263"/>
      <c r="J82" s="263"/>
      <c r="K82" s="263"/>
      <c r="L82" s="263"/>
      <c r="M82" s="263"/>
      <c r="N82" s="263"/>
      <c r="O82" s="263"/>
      <c r="P82" s="263"/>
      <c r="Q82" s="263"/>
      <c r="R82" s="263"/>
      <c r="S82" s="263"/>
      <c r="T82" s="263"/>
      <c r="U82" s="263"/>
      <c r="V82" s="263"/>
      <c r="W82" s="263"/>
      <c r="X82" s="263"/>
      <c r="Y82" s="263"/>
      <c r="Z82" s="263"/>
      <c r="AA82" s="263"/>
      <c r="AB82" s="263"/>
      <c r="AC82" s="263"/>
      <c r="AD82" s="263"/>
      <c r="AE82" s="263"/>
      <c r="AF82" s="263"/>
      <c r="AG82" s="263"/>
      <c r="AH82" s="263"/>
      <c r="AI82" s="263"/>
      <c r="AJ82" s="263"/>
      <c r="AK82" s="263"/>
      <c r="AL82" s="263"/>
      <c r="AM82" s="263"/>
      <c r="AN82" s="263"/>
      <c r="AO82" s="263"/>
      <c r="AP82" s="263"/>
      <c r="AQ82" s="263"/>
      <c r="AR82" s="263"/>
      <c r="AS82" s="263"/>
      <c r="AT82" s="263"/>
      <c r="AU82" s="263"/>
      <c r="AV82" s="263"/>
      <c r="AW82" s="263"/>
      <c r="AX82" s="263"/>
      <c r="AY82" s="263"/>
      <c r="AZ82" s="263"/>
      <c r="BA82" s="263"/>
      <c r="BB82" s="263"/>
      <c r="BC82" s="263"/>
      <c r="BD82" s="263"/>
      <c r="BE82" s="263"/>
      <c r="BF82" s="263"/>
      <c r="BG82" s="263"/>
      <c r="BH82" s="263"/>
      <c r="BI82" s="263"/>
      <c r="BJ82" s="263"/>
      <c r="BK82" s="263"/>
      <c r="BL82" s="263"/>
      <c r="BM82" s="263"/>
      <c r="BN82" s="263"/>
      <c r="BO82" s="263"/>
      <c r="BP82" s="263"/>
      <c r="BQ82" s="263"/>
      <c r="BR82" s="263"/>
      <c r="BS82" s="263"/>
      <c r="BT82" s="263"/>
      <c r="BU82" s="263"/>
      <c r="BV82" s="263"/>
      <c r="BW82" s="263"/>
      <c r="BX82" s="263"/>
      <c r="BY82" s="263"/>
      <c r="BZ82" s="263"/>
      <c r="CA82" s="263"/>
      <c r="CB82" s="263"/>
      <c r="CC82" s="263"/>
      <c r="CD82" s="263"/>
      <c r="CE82" s="263"/>
      <c r="CF82" s="263"/>
      <c r="CG82" s="263"/>
      <c r="CH82" s="263"/>
      <c r="CI82" s="263"/>
      <c r="CJ82" s="263"/>
      <c r="CK82" s="263"/>
      <c r="CL82" s="263"/>
    </row>
    <row r="83" spans="1:90" ht="15">
      <c r="A83" s="263"/>
      <c r="B83" s="263"/>
      <c r="C83" s="263"/>
      <c r="D83" s="263"/>
      <c r="E83" s="263"/>
      <c r="F83" s="263"/>
      <c r="G83" s="263"/>
      <c r="H83" s="263"/>
      <c r="I83" s="263"/>
      <c r="J83" s="263"/>
      <c r="K83" s="263"/>
      <c r="L83" s="263"/>
      <c r="M83" s="263"/>
      <c r="N83" s="263"/>
      <c r="O83" s="263"/>
      <c r="P83" s="263"/>
      <c r="Q83" s="263"/>
      <c r="R83" s="263"/>
      <c r="S83" s="263"/>
      <c r="T83" s="263"/>
      <c r="U83" s="263"/>
      <c r="V83" s="263"/>
      <c r="W83" s="263"/>
      <c r="X83" s="263"/>
      <c r="Y83" s="263"/>
      <c r="Z83" s="263"/>
      <c r="AA83" s="263"/>
      <c r="AB83" s="263"/>
      <c r="AC83" s="263"/>
      <c r="AD83" s="263"/>
      <c r="AE83" s="263"/>
      <c r="AF83" s="263"/>
      <c r="AG83" s="263"/>
      <c r="AH83" s="263"/>
      <c r="AI83" s="263"/>
      <c r="AJ83" s="263"/>
      <c r="AK83" s="263"/>
      <c r="AL83" s="263"/>
      <c r="AM83" s="263"/>
      <c r="AN83" s="263"/>
      <c r="AO83" s="263"/>
      <c r="AP83" s="263"/>
      <c r="AQ83" s="263"/>
      <c r="AR83" s="263"/>
      <c r="AS83" s="263"/>
      <c r="AT83" s="263"/>
      <c r="AU83" s="263"/>
      <c r="AV83" s="263"/>
      <c r="AW83" s="263"/>
      <c r="AX83" s="263"/>
      <c r="AY83" s="263"/>
      <c r="AZ83" s="263"/>
      <c r="BA83" s="263"/>
      <c r="BB83" s="263"/>
      <c r="BC83" s="263"/>
      <c r="BD83" s="263"/>
      <c r="BE83" s="263"/>
      <c r="BF83" s="263"/>
      <c r="BG83" s="263"/>
      <c r="BH83" s="263"/>
      <c r="BI83" s="263"/>
      <c r="BJ83" s="263"/>
      <c r="BK83" s="263"/>
      <c r="BL83" s="263"/>
      <c r="BM83" s="263"/>
      <c r="BN83" s="263"/>
      <c r="BO83" s="263"/>
      <c r="BP83" s="263"/>
      <c r="BQ83" s="263"/>
      <c r="BR83" s="263"/>
      <c r="BS83" s="263"/>
      <c r="BT83" s="263"/>
      <c r="BU83" s="263"/>
      <c r="BV83" s="263"/>
      <c r="BW83" s="263"/>
      <c r="BX83" s="263"/>
      <c r="BY83" s="263"/>
      <c r="BZ83" s="263"/>
      <c r="CA83" s="263"/>
      <c r="CB83" s="263"/>
      <c r="CC83" s="263"/>
      <c r="CD83" s="263"/>
      <c r="CE83" s="263"/>
      <c r="CF83" s="263"/>
      <c r="CG83" s="263"/>
      <c r="CH83" s="263"/>
      <c r="CI83" s="263"/>
      <c r="CJ83" s="263"/>
      <c r="CK83" s="263"/>
      <c r="CL83" s="263"/>
    </row>
    <row r="84" spans="1:90" ht="15">
      <c r="A84" s="263"/>
      <c r="B84" s="263"/>
      <c r="C84" s="263"/>
      <c r="D84" s="263"/>
      <c r="E84" s="263"/>
      <c r="F84" s="263"/>
      <c r="G84" s="263"/>
      <c r="H84" s="263"/>
      <c r="I84" s="263"/>
      <c r="J84" s="263"/>
      <c r="K84" s="263"/>
      <c r="L84" s="263"/>
      <c r="M84" s="263"/>
      <c r="N84" s="263"/>
      <c r="O84" s="263"/>
      <c r="P84" s="263"/>
      <c r="Q84" s="263"/>
      <c r="R84" s="263"/>
      <c r="S84" s="263"/>
      <c r="T84" s="263"/>
      <c r="U84" s="263"/>
      <c r="V84" s="263"/>
      <c r="W84" s="263"/>
      <c r="X84" s="263"/>
      <c r="Y84" s="263"/>
      <c r="Z84" s="263"/>
      <c r="AA84" s="263"/>
      <c r="AB84" s="263"/>
      <c r="AC84" s="263"/>
      <c r="AD84" s="263"/>
      <c r="AE84" s="263"/>
      <c r="AF84" s="263"/>
      <c r="AG84" s="263"/>
      <c r="AH84" s="263"/>
      <c r="AI84" s="263"/>
      <c r="AJ84" s="263"/>
      <c r="AK84" s="263"/>
      <c r="AL84" s="263"/>
      <c r="AM84" s="263"/>
      <c r="AN84" s="263"/>
      <c r="AO84" s="263"/>
      <c r="AP84" s="263"/>
      <c r="AQ84" s="263"/>
      <c r="AR84" s="263"/>
      <c r="AS84" s="263"/>
      <c r="AT84" s="263"/>
      <c r="AU84" s="263"/>
      <c r="AV84" s="263"/>
      <c r="AW84" s="263"/>
      <c r="AX84" s="263"/>
      <c r="AY84" s="263"/>
      <c r="AZ84" s="263"/>
      <c r="BA84" s="263"/>
      <c r="BB84" s="263"/>
      <c r="BC84" s="263"/>
      <c r="BD84" s="263"/>
      <c r="BE84" s="263"/>
      <c r="BF84" s="263"/>
      <c r="BG84" s="263"/>
      <c r="BH84" s="263"/>
      <c r="BI84" s="263"/>
      <c r="BJ84" s="263"/>
      <c r="BK84" s="263"/>
      <c r="BL84" s="263"/>
      <c r="BM84" s="263"/>
      <c r="BN84" s="263"/>
      <c r="BO84" s="263"/>
      <c r="BP84" s="263"/>
      <c r="BQ84" s="263"/>
      <c r="BR84" s="263"/>
      <c r="BS84" s="263"/>
      <c r="BT84" s="263"/>
      <c r="BU84" s="263"/>
      <c r="BV84" s="263"/>
      <c r="BW84" s="263"/>
      <c r="BX84" s="263"/>
      <c r="BY84" s="263"/>
      <c r="BZ84" s="263"/>
      <c r="CA84" s="263"/>
      <c r="CB84" s="263"/>
      <c r="CC84" s="263"/>
      <c r="CD84" s="263"/>
      <c r="CE84" s="263"/>
      <c r="CF84" s="263"/>
      <c r="CG84" s="263"/>
      <c r="CH84" s="263"/>
      <c r="CI84" s="263"/>
      <c r="CJ84" s="263"/>
      <c r="CK84" s="263"/>
      <c r="CL84" s="263"/>
    </row>
    <row r="85" spans="1:90" ht="15">
      <c r="A85" s="263"/>
      <c r="B85" s="263"/>
      <c r="C85" s="263"/>
      <c r="D85" s="263"/>
      <c r="E85" s="263"/>
      <c r="F85" s="263"/>
      <c r="G85" s="263"/>
      <c r="H85" s="263"/>
      <c r="I85" s="263"/>
      <c r="J85" s="263"/>
      <c r="K85" s="263"/>
      <c r="L85" s="263"/>
      <c r="M85" s="263"/>
      <c r="N85" s="263"/>
      <c r="O85" s="263"/>
      <c r="P85" s="263"/>
      <c r="Q85" s="263"/>
      <c r="R85" s="263"/>
      <c r="S85" s="263"/>
      <c r="T85" s="263"/>
      <c r="U85" s="263"/>
      <c r="V85" s="263"/>
      <c r="W85" s="263"/>
      <c r="X85" s="263"/>
      <c r="Y85" s="263"/>
      <c r="Z85" s="263"/>
      <c r="AA85" s="263"/>
      <c r="AB85" s="263"/>
      <c r="AC85" s="263"/>
      <c r="AD85" s="263"/>
      <c r="AE85" s="263"/>
      <c r="AF85" s="263"/>
      <c r="AG85" s="263"/>
      <c r="AH85" s="263"/>
      <c r="AI85" s="263"/>
      <c r="AJ85" s="263"/>
      <c r="AK85" s="263"/>
      <c r="AL85" s="263"/>
      <c r="AM85" s="263"/>
      <c r="AN85" s="263"/>
      <c r="AO85" s="263"/>
      <c r="AP85" s="263"/>
      <c r="AQ85" s="263"/>
      <c r="AR85" s="263"/>
      <c r="AS85" s="263"/>
      <c r="AT85" s="263"/>
      <c r="AU85" s="263"/>
      <c r="AV85" s="263"/>
      <c r="AW85" s="263"/>
      <c r="AX85" s="263"/>
      <c r="AY85" s="263"/>
      <c r="AZ85" s="263"/>
      <c r="BA85" s="263"/>
      <c r="BB85" s="263"/>
      <c r="BC85" s="263"/>
      <c r="BD85" s="263"/>
      <c r="BE85" s="263"/>
      <c r="BF85" s="263"/>
      <c r="BG85" s="263"/>
      <c r="BH85" s="263"/>
      <c r="BI85" s="263"/>
      <c r="BJ85" s="263"/>
      <c r="BK85" s="263"/>
      <c r="BL85" s="263"/>
      <c r="BM85" s="263"/>
      <c r="BN85" s="263"/>
      <c r="BO85" s="263"/>
      <c r="BP85" s="263"/>
      <c r="BQ85" s="263"/>
      <c r="BR85" s="263"/>
      <c r="BS85" s="263"/>
      <c r="BT85" s="263"/>
      <c r="BU85" s="263"/>
      <c r="BV85" s="263"/>
      <c r="BW85" s="263"/>
      <c r="BX85" s="263"/>
      <c r="BY85" s="263"/>
      <c r="BZ85" s="263"/>
      <c r="CA85" s="263"/>
      <c r="CB85" s="263"/>
      <c r="CC85" s="263"/>
      <c r="CD85" s="263"/>
      <c r="CE85" s="263"/>
      <c r="CF85" s="263"/>
      <c r="CG85" s="263"/>
      <c r="CH85" s="263"/>
      <c r="CI85" s="263"/>
      <c r="CJ85" s="263"/>
      <c r="CK85" s="263"/>
      <c r="CL85" s="263"/>
    </row>
    <row r="86" spans="1:90" ht="15">
      <c r="A86" s="263"/>
      <c r="B86" s="263"/>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c r="AA86" s="263"/>
      <c r="AB86" s="263"/>
      <c r="AC86" s="263"/>
      <c r="AD86" s="263"/>
      <c r="AE86" s="263"/>
      <c r="AF86" s="263"/>
      <c r="AG86" s="263"/>
      <c r="AH86" s="263"/>
      <c r="AI86" s="263"/>
      <c r="AJ86" s="263"/>
      <c r="AK86" s="263"/>
      <c r="AL86" s="263"/>
      <c r="AM86" s="263"/>
      <c r="AN86" s="263"/>
      <c r="AO86" s="263"/>
      <c r="AP86" s="263"/>
      <c r="AQ86" s="263"/>
      <c r="AR86" s="263"/>
      <c r="AS86" s="263"/>
      <c r="AT86" s="263"/>
      <c r="AU86" s="263"/>
      <c r="AV86" s="263"/>
      <c r="AW86" s="263"/>
      <c r="AX86" s="263"/>
      <c r="AY86" s="263"/>
      <c r="AZ86" s="263"/>
      <c r="BA86" s="263"/>
      <c r="BB86" s="263"/>
      <c r="BC86" s="263"/>
      <c r="BD86" s="263"/>
      <c r="BE86" s="263"/>
      <c r="BF86" s="263"/>
      <c r="BG86" s="263"/>
      <c r="BH86" s="263"/>
      <c r="BI86" s="263"/>
      <c r="BJ86" s="263"/>
      <c r="BK86" s="263"/>
      <c r="BL86" s="263"/>
      <c r="BM86" s="263"/>
      <c r="BN86" s="263"/>
      <c r="BO86" s="263"/>
      <c r="BP86" s="263"/>
      <c r="BQ86" s="263"/>
      <c r="BR86" s="263"/>
      <c r="BS86" s="263"/>
      <c r="BT86" s="263"/>
      <c r="BU86" s="263"/>
      <c r="BV86" s="263"/>
      <c r="BW86" s="263"/>
      <c r="BX86" s="263"/>
      <c r="BY86" s="263"/>
      <c r="BZ86" s="263"/>
      <c r="CA86" s="263"/>
      <c r="CB86" s="263"/>
      <c r="CC86" s="263"/>
      <c r="CD86" s="263"/>
      <c r="CE86" s="263"/>
      <c r="CF86" s="263"/>
      <c r="CG86" s="263"/>
      <c r="CH86" s="263"/>
      <c r="CI86" s="263"/>
      <c r="CJ86" s="263"/>
      <c r="CK86" s="263"/>
      <c r="CL86" s="263"/>
    </row>
    <row r="87" spans="1:90" ht="15">
      <c r="A87" s="263"/>
      <c r="B87" s="263"/>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c r="AA87" s="263"/>
      <c r="AB87" s="263"/>
      <c r="AC87" s="263"/>
      <c r="AD87" s="263"/>
      <c r="AE87" s="263"/>
      <c r="AF87" s="263"/>
      <c r="AG87" s="263"/>
      <c r="AH87" s="263"/>
      <c r="AI87" s="263"/>
      <c r="AJ87" s="263"/>
      <c r="AK87" s="263"/>
      <c r="AL87" s="263"/>
      <c r="AM87" s="263"/>
      <c r="AN87" s="263"/>
      <c r="AO87" s="263"/>
      <c r="AP87" s="263"/>
      <c r="AQ87" s="263"/>
      <c r="AR87" s="263"/>
      <c r="AS87" s="263"/>
      <c r="AT87" s="263"/>
      <c r="AU87" s="263"/>
      <c r="AV87" s="263"/>
      <c r="AW87" s="263"/>
      <c r="AX87" s="263"/>
      <c r="AY87" s="263"/>
      <c r="AZ87" s="263"/>
      <c r="BA87" s="263"/>
      <c r="BB87" s="263"/>
      <c r="BC87" s="263"/>
      <c r="BD87" s="263"/>
      <c r="BE87" s="263"/>
      <c r="BF87" s="263"/>
      <c r="BG87" s="263"/>
      <c r="BH87" s="263"/>
      <c r="BI87" s="263"/>
      <c r="BJ87" s="263"/>
      <c r="BK87" s="263"/>
      <c r="BL87" s="263"/>
      <c r="BM87" s="263"/>
      <c r="BN87" s="263"/>
      <c r="BO87" s="263"/>
      <c r="BP87" s="263"/>
      <c r="BQ87" s="263"/>
      <c r="BR87" s="263"/>
      <c r="BS87" s="263"/>
      <c r="BT87" s="263"/>
      <c r="BU87" s="263"/>
      <c r="BV87" s="263"/>
      <c r="BW87" s="263"/>
      <c r="BX87" s="263"/>
      <c r="BY87" s="263"/>
      <c r="BZ87" s="263"/>
      <c r="CA87" s="263"/>
      <c r="CB87" s="263"/>
      <c r="CC87" s="263"/>
      <c r="CD87" s="263"/>
      <c r="CE87" s="263"/>
      <c r="CF87" s="263"/>
      <c r="CG87" s="263"/>
      <c r="CH87" s="263"/>
      <c r="CI87" s="263"/>
      <c r="CJ87" s="263"/>
      <c r="CK87" s="263"/>
      <c r="CL87" s="263"/>
    </row>
    <row r="88" spans="1:90" ht="15">
      <c r="A88" s="263"/>
      <c r="B88" s="263"/>
      <c r="C88" s="263"/>
      <c r="D88" s="263"/>
      <c r="E88" s="263"/>
      <c r="F88" s="263"/>
      <c r="G88" s="263"/>
      <c r="H88" s="263"/>
      <c r="I88" s="263"/>
      <c r="J88" s="263"/>
      <c r="K88" s="263"/>
      <c r="L88" s="263"/>
      <c r="M88" s="263"/>
      <c r="N88" s="263"/>
      <c r="O88" s="263"/>
      <c r="P88" s="263"/>
      <c r="Q88" s="263"/>
      <c r="R88" s="263"/>
      <c r="S88" s="263"/>
      <c r="T88" s="263"/>
      <c r="U88" s="263"/>
      <c r="V88" s="263"/>
      <c r="W88" s="263"/>
      <c r="X88" s="263"/>
      <c r="Y88" s="263"/>
      <c r="Z88" s="263"/>
      <c r="AA88" s="263"/>
      <c r="AB88" s="263"/>
      <c r="AC88" s="263"/>
      <c r="AD88" s="263"/>
      <c r="AE88" s="263"/>
      <c r="AF88" s="263"/>
      <c r="AG88" s="263"/>
      <c r="AH88" s="263"/>
      <c r="AI88" s="263"/>
      <c r="AJ88" s="263"/>
      <c r="AK88" s="263"/>
      <c r="AL88" s="263"/>
      <c r="AM88" s="263"/>
      <c r="AN88" s="263"/>
      <c r="AO88" s="263"/>
      <c r="AP88" s="263"/>
      <c r="AQ88" s="263"/>
      <c r="AR88" s="263"/>
      <c r="AS88" s="263"/>
      <c r="AT88" s="263"/>
      <c r="AU88" s="263"/>
      <c r="AV88" s="263"/>
      <c r="AW88" s="263"/>
      <c r="AX88" s="263"/>
      <c r="AY88" s="263"/>
      <c r="AZ88" s="263"/>
      <c r="BA88" s="263"/>
      <c r="BB88" s="263"/>
      <c r="BC88" s="263"/>
      <c r="BD88" s="263"/>
      <c r="BE88" s="263"/>
      <c r="BF88" s="263"/>
      <c r="BG88" s="263"/>
      <c r="BH88" s="263"/>
      <c r="BI88" s="263"/>
      <c r="BJ88" s="263"/>
      <c r="BK88" s="263"/>
      <c r="BL88" s="263"/>
      <c r="BM88" s="263"/>
      <c r="BN88" s="263"/>
      <c r="BO88" s="263"/>
      <c r="BP88" s="263"/>
      <c r="BQ88" s="263"/>
      <c r="BR88" s="263"/>
      <c r="BS88" s="263"/>
      <c r="BT88" s="263"/>
      <c r="BU88" s="263"/>
      <c r="BV88" s="263"/>
      <c r="BW88" s="263"/>
      <c r="BX88" s="263"/>
      <c r="BY88" s="263"/>
      <c r="BZ88" s="263"/>
      <c r="CA88" s="263"/>
      <c r="CB88" s="263"/>
      <c r="CC88" s="263"/>
      <c r="CD88" s="263"/>
      <c r="CE88" s="263"/>
      <c r="CF88" s="263"/>
      <c r="CG88" s="263"/>
      <c r="CH88" s="263"/>
      <c r="CI88" s="263"/>
      <c r="CJ88" s="263"/>
      <c r="CK88" s="263"/>
      <c r="CL88" s="263"/>
    </row>
    <row r="89" spans="1:90" ht="15">
      <c r="A89" s="263"/>
      <c r="B89" s="263"/>
      <c r="C89" s="263"/>
      <c r="D89" s="263"/>
      <c r="E89" s="263"/>
      <c r="F89" s="263"/>
      <c r="G89" s="263"/>
      <c r="H89" s="263"/>
      <c r="I89" s="263"/>
      <c r="J89" s="263"/>
      <c r="K89" s="263"/>
      <c r="L89" s="263"/>
      <c r="M89" s="263"/>
      <c r="N89" s="263"/>
      <c r="O89" s="263"/>
      <c r="P89" s="263"/>
      <c r="Q89" s="263"/>
      <c r="R89" s="263"/>
      <c r="S89" s="263"/>
      <c r="T89" s="263"/>
      <c r="U89" s="263"/>
      <c r="V89" s="263"/>
      <c r="W89" s="263"/>
      <c r="X89" s="263"/>
      <c r="Y89" s="263"/>
      <c r="Z89" s="263"/>
      <c r="AA89" s="263"/>
      <c r="AB89" s="263"/>
      <c r="AC89" s="263"/>
      <c r="AD89" s="263"/>
      <c r="AE89" s="263"/>
      <c r="AF89" s="263"/>
      <c r="AG89" s="263"/>
      <c r="AH89" s="263"/>
      <c r="AI89" s="263"/>
      <c r="AJ89" s="263"/>
      <c r="AK89" s="263"/>
      <c r="AL89" s="263"/>
      <c r="AM89" s="263"/>
      <c r="AN89" s="263"/>
      <c r="AO89" s="263"/>
      <c r="AP89" s="263"/>
      <c r="AQ89" s="263"/>
      <c r="AR89" s="263"/>
      <c r="AS89" s="263"/>
      <c r="AT89" s="263"/>
      <c r="AU89" s="263"/>
      <c r="AV89" s="263"/>
      <c r="AW89" s="263"/>
      <c r="AX89" s="263"/>
      <c r="AY89" s="263"/>
      <c r="AZ89" s="263"/>
      <c r="BA89" s="263"/>
      <c r="BB89" s="263"/>
      <c r="BC89" s="263"/>
      <c r="BD89" s="263"/>
      <c r="BE89" s="263"/>
      <c r="BF89" s="263"/>
      <c r="BG89" s="263"/>
      <c r="BH89" s="263"/>
      <c r="BI89" s="263"/>
      <c r="BJ89" s="263"/>
      <c r="BK89" s="263"/>
      <c r="BL89" s="263"/>
      <c r="BM89" s="263"/>
      <c r="BN89" s="263"/>
      <c r="BO89" s="263"/>
      <c r="BP89" s="263"/>
      <c r="BQ89" s="263"/>
      <c r="BR89" s="263"/>
      <c r="BS89" s="263"/>
      <c r="BT89" s="263"/>
      <c r="BU89" s="263"/>
      <c r="BV89" s="263"/>
      <c r="BW89" s="263"/>
      <c r="BX89" s="263"/>
      <c r="BY89" s="263"/>
      <c r="BZ89" s="263"/>
      <c r="CA89" s="263"/>
      <c r="CB89" s="263"/>
      <c r="CC89" s="263"/>
      <c r="CD89" s="263"/>
      <c r="CE89" s="263"/>
      <c r="CF89" s="263"/>
      <c r="CG89" s="263"/>
      <c r="CH89" s="263"/>
      <c r="CI89" s="263"/>
      <c r="CJ89" s="263"/>
      <c r="CK89" s="263"/>
      <c r="CL89" s="263"/>
    </row>
  </sheetData>
  <mergeCells count="11">
    <mergeCell ref="A60:CL60"/>
    <mergeCell ref="A55:CL55"/>
    <mergeCell ref="A56:CL56"/>
    <mergeCell ref="A57:CL57"/>
    <mergeCell ref="A58:CL58"/>
    <mergeCell ref="A59:CL59"/>
    <mergeCell ref="A1:CL1"/>
    <mergeCell ref="A2:CL2"/>
    <mergeCell ref="A3:CL3"/>
    <mergeCell ref="A4:CL4"/>
    <mergeCell ref="A54:CL54"/>
  </mergeCell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72"/>
  <sheetViews>
    <sheetView zoomScale="110" zoomScaleNormal="110" zoomScalePageLayoutView="110" workbookViewId="0">
      <pane xSplit="2" ySplit="6" topLeftCell="CB7"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21" style="260" customWidth="1"/>
    <col min="2" max="2" width="81.42578125" style="260" bestFit="1" customWidth="1"/>
    <col min="3" max="85" width="7.5703125" style="260"/>
    <col min="86" max="86" width="8" style="260" bestFit="1" customWidth="1"/>
    <col min="87" max="88" width="7.5703125" style="260"/>
    <col min="89" max="89" width="7.85546875" style="260" bestFit="1" customWidth="1"/>
    <col min="90" max="16384" width="7.5703125" style="260"/>
  </cols>
  <sheetData>
    <row r="1" spans="1:92" ht="17">
      <c r="A1" s="266" t="s">
        <v>184</v>
      </c>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row>
    <row r="2" spans="1:92" ht="16">
      <c r="A2" s="267" t="s">
        <v>161</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row>
    <row r="3" spans="1:92" ht="15">
      <c r="A3" s="263" t="s">
        <v>160</v>
      </c>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row>
    <row r="4" spans="1:92" ht="15">
      <c r="A4" s="263" t="s">
        <v>897</v>
      </c>
      <c r="B4" s="263"/>
      <c r="C4" s="263"/>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18"/>
    </row>
    <row r="5" spans="1:92" ht="1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row>
    <row r="6" spans="1:92">
      <c r="A6" s="264" t="s">
        <v>159</v>
      </c>
      <c r="B6" s="264" t="s">
        <v>32</v>
      </c>
      <c r="C6" s="264" t="s">
        <v>158</v>
      </c>
      <c r="D6" s="264" t="s">
        <v>157</v>
      </c>
      <c r="E6" s="264" t="s">
        <v>156</v>
      </c>
      <c r="F6" s="264" t="s">
        <v>155</v>
      </c>
      <c r="G6" s="264" t="s">
        <v>154</v>
      </c>
      <c r="H6" s="264" t="s">
        <v>153</v>
      </c>
      <c r="I6" s="264" t="s">
        <v>152</v>
      </c>
      <c r="J6" s="264" t="s">
        <v>151</v>
      </c>
      <c r="K6" s="264" t="s">
        <v>150</v>
      </c>
      <c r="L6" s="264" t="s">
        <v>149</v>
      </c>
      <c r="M6" s="264" t="s">
        <v>148</v>
      </c>
      <c r="N6" s="264" t="s">
        <v>147</v>
      </c>
      <c r="O6" s="264" t="s">
        <v>146</v>
      </c>
      <c r="P6" s="264" t="s">
        <v>145</v>
      </c>
      <c r="Q6" s="264" t="s">
        <v>144</v>
      </c>
      <c r="R6" s="264" t="s">
        <v>143</v>
      </c>
      <c r="S6" s="264" t="s">
        <v>142</v>
      </c>
      <c r="T6" s="264" t="s">
        <v>141</v>
      </c>
      <c r="U6" s="264" t="s">
        <v>140</v>
      </c>
      <c r="V6" s="264" t="s">
        <v>139</v>
      </c>
      <c r="W6" s="264" t="s">
        <v>138</v>
      </c>
      <c r="X6" s="264" t="s">
        <v>137</v>
      </c>
      <c r="Y6" s="264" t="s">
        <v>136</v>
      </c>
      <c r="Z6" s="264" t="s">
        <v>135</v>
      </c>
      <c r="AA6" s="264" t="s">
        <v>134</v>
      </c>
      <c r="AB6" s="264" t="s">
        <v>133</v>
      </c>
      <c r="AC6" s="264" t="s">
        <v>132</v>
      </c>
      <c r="AD6" s="264" t="s">
        <v>131</v>
      </c>
      <c r="AE6" s="264" t="s">
        <v>130</v>
      </c>
      <c r="AF6" s="264" t="s">
        <v>129</v>
      </c>
      <c r="AG6" s="264" t="s">
        <v>128</v>
      </c>
      <c r="AH6" s="264" t="s">
        <v>127</v>
      </c>
      <c r="AI6" s="264" t="s">
        <v>126</v>
      </c>
      <c r="AJ6" s="264" t="s">
        <v>125</v>
      </c>
      <c r="AK6" s="264" t="s">
        <v>124</v>
      </c>
      <c r="AL6" s="264" t="s">
        <v>123</v>
      </c>
      <c r="AM6" s="264" t="s">
        <v>122</v>
      </c>
      <c r="AN6" s="264" t="s">
        <v>121</v>
      </c>
      <c r="AO6" s="264" t="s">
        <v>120</v>
      </c>
      <c r="AP6" s="264" t="s">
        <v>119</v>
      </c>
      <c r="AQ6" s="264" t="s">
        <v>118</v>
      </c>
      <c r="AR6" s="264" t="s">
        <v>117</v>
      </c>
      <c r="AS6" s="264" t="s">
        <v>116</v>
      </c>
      <c r="AT6" s="264" t="s">
        <v>115</v>
      </c>
      <c r="AU6" s="264" t="s">
        <v>114</v>
      </c>
      <c r="AV6" s="264" t="s">
        <v>113</v>
      </c>
      <c r="AW6" s="264" t="s">
        <v>112</v>
      </c>
      <c r="AX6" s="264" t="s">
        <v>111</v>
      </c>
      <c r="AY6" s="264" t="s">
        <v>110</v>
      </c>
      <c r="AZ6" s="264" t="s">
        <v>109</v>
      </c>
      <c r="BA6" s="264" t="s">
        <v>108</v>
      </c>
      <c r="BB6" s="264" t="s">
        <v>107</v>
      </c>
      <c r="BC6" s="264" t="s">
        <v>106</v>
      </c>
      <c r="BD6" s="264" t="s">
        <v>105</v>
      </c>
      <c r="BE6" s="264" t="s">
        <v>104</v>
      </c>
      <c r="BF6" s="264" t="s">
        <v>103</v>
      </c>
      <c r="BG6" s="264" t="s">
        <v>102</v>
      </c>
      <c r="BH6" s="264" t="s">
        <v>101</v>
      </c>
      <c r="BI6" s="264" t="s">
        <v>100</v>
      </c>
      <c r="BJ6" s="264" t="s">
        <v>99</v>
      </c>
      <c r="BK6" s="264" t="s">
        <v>98</v>
      </c>
      <c r="BL6" s="264" t="s">
        <v>97</v>
      </c>
      <c r="BM6" s="264" t="s">
        <v>96</v>
      </c>
      <c r="BN6" s="264" t="s">
        <v>95</v>
      </c>
      <c r="BO6" s="264" t="s">
        <v>94</v>
      </c>
      <c r="BP6" s="264" t="s">
        <v>93</v>
      </c>
      <c r="BQ6" s="264" t="s">
        <v>92</v>
      </c>
      <c r="BR6" s="264" t="s">
        <v>91</v>
      </c>
      <c r="BS6" s="264" t="s">
        <v>90</v>
      </c>
      <c r="BT6" s="264" t="s">
        <v>89</v>
      </c>
      <c r="BU6" s="264" t="s">
        <v>88</v>
      </c>
      <c r="BV6" s="264" t="s">
        <v>87</v>
      </c>
      <c r="BW6" s="264" t="s">
        <v>86</v>
      </c>
      <c r="BX6" s="264" t="s">
        <v>85</v>
      </c>
      <c r="BY6" s="264" t="s">
        <v>84</v>
      </c>
      <c r="BZ6" s="264" t="s">
        <v>83</v>
      </c>
      <c r="CA6" s="264" t="s">
        <v>82</v>
      </c>
      <c r="CB6" s="264" t="s">
        <v>81</v>
      </c>
      <c r="CC6" s="264" t="s">
        <v>80</v>
      </c>
      <c r="CD6" s="264" t="s">
        <v>79</v>
      </c>
      <c r="CE6" s="264" t="s">
        <v>78</v>
      </c>
      <c r="CF6" s="264" t="s">
        <v>77</v>
      </c>
      <c r="CG6" s="264" t="s">
        <v>76</v>
      </c>
      <c r="CH6" s="264" t="s">
        <v>75</v>
      </c>
      <c r="CI6" s="264" t="s">
        <v>74</v>
      </c>
      <c r="CJ6" s="264" t="s">
        <v>866</v>
      </c>
      <c r="CK6" s="264" t="s">
        <v>865</v>
      </c>
      <c r="CL6" s="264" t="s">
        <v>864</v>
      </c>
      <c r="CM6" s="21"/>
      <c r="CN6" s="260" t="s">
        <v>525</v>
      </c>
    </row>
    <row r="7" spans="1:92" ht="15">
      <c r="A7" s="263" t="s">
        <v>73</v>
      </c>
      <c r="B7" s="269" t="s">
        <v>183</v>
      </c>
      <c r="C7" s="263">
        <v>11.9</v>
      </c>
      <c r="D7" s="263">
        <v>4.5999999999999996</v>
      </c>
      <c r="E7" s="263">
        <v>-0.8</v>
      </c>
      <c r="F7" s="263">
        <v>-3.8</v>
      </c>
      <c r="G7" s="263">
        <v>-0.9</v>
      </c>
      <c r="H7" s="263">
        <v>3</v>
      </c>
      <c r="I7" s="263">
        <v>5.4</v>
      </c>
      <c r="J7" s="263">
        <v>7.8</v>
      </c>
      <c r="K7" s="263">
        <v>7.8</v>
      </c>
      <c r="L7" s="263">
        <v>4.0999999999999996</v>
      </c>
      <c r="M7" s="263">
        <v>7.2</v>
      </c>
      <c r="N7" s="263">
        <v>9.3000000000000007</v>
      </c>
      <c r="O7" s="263">
        <v>16.7</v>
      </c>
      <c r="P7" s="263">
        <v>23.4</v>
      </c>
      <c r="Q7" s="263">
        <v>28.1</v>
      </c>
      <c r="R7" s="263">
        <v>26.5</v>
      </c>
      <c r="S7" s="263">
        <v>21.3</v>
      </c>
      <c r="T7" s="263">
        <v>25.4</v>
      </c>
      <c r="U7" s="263">
        <v>31.6</v>
      </c>
      <c r="V7" s="263">
        <v>34.6</v>
      </c>
      <c r="W7" s="263">
        <v>28.4</v>
      </c>
      <c r="X7" s="263">
        <v>42.8</v>
      </c>
      <c r="Y7" s="263">
        <v>43.8</v>
      </c>
      <c r="Z7" s="263">
        <v>38.700000000000003</v>
      </c>
      <c r="AA7" s="263">
        <v>39.799999999999997</v>
      </c>
      <c r="AB7" s="263">
        <v>36.700000000000003</v>
      </c>
      <c r="AC7" s="263">
        <v>47.9</v>
      </c>
      <c r="AD7" s="263">
        <v>47.4</v>
      </c>
      <c r="AE7" s="263">
        <v>45.1</v>
      </c>
      <c r="AF7" s="263">
        <v>39.200000000000003</v>
      </c>
      <c r="AG7" s="263">
        <v>47.7</v>
      </c>
      <c r="AH7" s="263">
        <v>44.5</v>
      </c>
      <c r="AI7" s="263">
        <v>47</v>
      </c>
      <c r="AJ7" s="263">
        <v>50.8</v>
      </c>
      <c r="AK7" s="263">
        <v>55.7</v>
      </c>
      <c r="AL7" s="263">
        <v>63.1</v>
      </c>
      <c r="AM7" s="263">
        <v>74.7</v>
      </c>
      <c r="AN7" s="263">
        <v>81.3</v>
      </c>
      <c r="AO7" s="263">
        <v>79.3</v>
      </c>
      <c r="AP7" s="263">
        <v>87.5</v>
      </c>
      <c r="AQ7" s="263">
        <v>82.1</v>
      </c>
      <c r="AR7" s="263">
        <v>68</v>
      </c>
      <c r="AS7" s="263">
        <v>81.900000000000006</v>
      </c>
      <c r="AT7" s="263">
        <v>99.5</v>
      </c>
      <c r="AU7" s="263">
        <v>122.6</v>
      </c>
      <c r="AV7" s="263">
        <v>148.19999999999999</v>
      </c>
      <c r="AW7" s="263">
        <v>146</v>
      </c>
      <c r="AX7" s="263">
        <v>186.6</v>
      </c>
      <c r="AY7" s="263">
        <v>219.5</v>
      </c>
      <c r="AZ7" s="263">
        <v>247.4</v>
      </c>
      <c r="BA7" s="263">
        <v>283</v>
      </c>
      <c r="BB7" s="263">
        <v>235.9</v>
      </c>
      <c r="BC7" s="263">
        <v>212.5</v>
      </c>
      <c r="BD7" s="263">
        <v>154.80000000000001</v>
      </c>
      <c r="BE7" s="263">
        <v>190</v>
      </c>
      <c r="BF7" s="263">
        <v>232.5</v>
      </c>
      <c r="BG7" s="263">
        <v>240.1</v>
      </c>
      <c r="BH7" s="263">
        <v>274.39999999999998</v>
      </c>
      <c r="BI7" s="263">
        <v>336.8</v>
      </c>
      <c r="BJ7" s="263">
        <v>412.1</v>
      </c>
      <c r="BK7" s="263">
        <v>391.6</v>
      </c>
      <c r="BL7" s="263">
        <v>378.8</v>
      </c>
      <c r="BM7" s="263">
        <v>352.1</v>
      </c>
      <c r="BN7" s="263">
        <v>415</v>
      </c>
      <c r="BO7" s="263">
        <v>507.9</v>
      </c>
      <c r="BP7" s="263">
        <v>585.1</v>
      </c>
      <c r="BQ7" s="263">
        <v>717.8</v>
      </c>
      <c r="BR7" s="263">
        <v>797.6</v>
      </c>
      <c r="BS7" s="263">
        <v>905.5</v>
      </c>
      <c r="BT7" s="263">
        <v>834.5</v>
      </c>
      <c r="BU7" s="263">
        <v>925.4</v>
      </c>
      <c r="BV7" s="263">
        <v>914.2</v>
      </c>
      <c r="BW7" s="263">
        <v>590</v>
      </c>
      <c r="BX7" s="263">
        <v>550.5</v>
      </c>
      <c r="BY7" s="263">
        <v>749</v>
      </c>
      <c r="BZ7" s="263">
        <v>1075.7</v>
      </c>
      <c r="CA7" s="263">
        <v>1892</v>
      </c>
      <c r="CB7" s="263">
        <v>1900.3</v>
      </c>
      <c r="CC7" s="263">
        <v>1788.7</v>
      </c>
      <c r="CD7" s="263">
        <v>903</v>
      </c>
      <c r="CE7" s="263">
        <v>828.8</v>
      </c>
      <c r="CF7" s="263">
        <v>1254.2</v>
      </c>
      <c r="CG7" s="263">
        <v>1242.9000000000001</v>
      </c>
      <c r="CH7" s="263">
        <v>1690.9</v>
      </c>
      <c r="CI7" s="263">
        <v>1835.1</v>
      </c>
      <c r="CJ7" s="263">
        <v>2040.4</v>
      </c>
      <c r="CK7" s="263" t="s">
        <v>33</v>
      </c>
      <c r="CL7" s="263" t="s">
        <v>33</v>
      </c>
    </row>
    <row r="8" spans="1:92" ht="15">
      <c r="A8" s="263" t="s">
        <v>32</v>
      </c>
      <c r="B8" s="263" t="s">
        <v>176</v>
      </c>
      <c r="C8" s="263" t="s">
        <v>0</v>
      </c>
      <c r="D8" s="263" t="s">
        <v>0</v>
      </c>
      <c r="E8" s="263" t="s">
        <v>0</v>
      </c>
      <c r="F8" s="263" t="s">
        <v>0</v>
      </c>
      <c r="G8" s="263" t="s">
        <v>0</v>
      </c>
      <c r="H8" s="263" t="s">
        <v>0</v>
      </c>
      <c r="I8" s="263" t="s">
        <v>0</v>
      </c>
      <c r="J8" s="263" t="s">
        <v>0</v>
      </c>
      <c r="K8" s="263" t="s">
        <v>0</v>
      </c>
      <c r="L8" s="263" t="s">
        <v>0</v>
      </c>
      <c r="M8" s="263" t="s">
        <v>0</v>
      </c>
      <c r="N8" s="263" t="s">
        <v>0</v>
      </c>
      <c r="O8" s="263" t="s">
        <v>0</v>
      </c>
      <c r="P8" s="263" t="s">
        <v>0</v>
      </c>
      <c r="Q8" s="263" t="s">
        <v>0</v>
      </c>
      <c r="R8" s="263" t="s">
        <v>0</v>
      </c>
      <c r="S8" s="263" t="s">
        <v>0</v>
      </c>
      <c r="T8" s="263" t="s">
        <v>0</v>
      </c>
      <c r="U8" s="263" t="s">
        <v>0</v>
      </c>
      <c r="V8" s="263" t="s">
        <v>0</v>
      </c>
      <c r="W8" s="263" t="s">
        <v>0</v>
      </c>
      <c r="X8" s="263" t="s">
        <v>0</v>
      </c>
      <c r="Y8" s="263" t="s">
        <v>0</v>
      </c>
      <c r="Z8" s="263" t="s">
        <v>0</v>
      </c>
      <c r="AA8" s="263" t="s">
        <v>0</v>
      </c>
      <c r="AB8" s="263" t="s">
        <v>0</v>
      </c>
      <c r="AC8" s="263" t="s">
        <v>0</v>
      </c>
      <c r="AD8" s="263" t="s">
        <v>0</v>
      </c>
      <c r="AE8" s="263" t="s">
        <v>0</v>
      </c>
      <c r="AF8" s="263" t="s">
        <v>0</v>
      </c>
      <c r="AG8" s="263" t="s">
        <v>0</v>
      </c>
      <c r="AH8" s="263" t="s">
        <v>0</v>
      </c>
      <c r="AI8" s="263" t="s">
        <v>0</v>
      </c>
      <c r="AJ8" s="263" t="s">
        <v>0</v>
      </c>
      <c r="AK8" s="263" t="s">
        <v>0</v>
      </c>
      <c r="AL8" s="263" t="s">
        <v>0</v>
      </c>
      <c r="AM8" s="263" t="s">
        <v>0</v>
      </c>
      <c r="AN8" s="263" t="s">
        <v>0</v>
      </c>
      <c r="AO8" s="263" t="s">
        <v>0</v>
      </c>
      <c r="AP8" s="263" t="s">
        <v>0</v>
      </c>
      <c r="AQ8" s="263" t="s">
        <v>0</v>
      </c>
      <c r="AR8" s="263" t="s">
        <v>0</v>
      </c>
      <c r="AS8" s="263" t="s">
        <v>0</v>
      </c>
      <c r="AT8" s="263" t="s">
        <v>0</v>
      </c>
      <c r="AU8" s="263" t="s">
        <v>0</v>
      </c>
      <c r="AV8" s="263" t="s">
        <v>0</v>
      </c>
      <c r="AW8" s="263" t="s">
        <v>0</v>
      </c>
      <c r="AX8" s="263" t="s">
        <v>0</v>
      </c>
      <c r="AY8" s="263" t="s">
        <v>0</v>
      </c>
      <c r="AZ8" s="263" t="s">
        <v>0</v>
      </c>
      <c r="BA8" s="263" t="s">
        <v>0</v>
      </c>
      <c r="BB8" s="263" t="s">
        <v>0</v>
      </c>
      <c r="BC8" s="263" t="s">
        <v>0</v>
      </c>
      <c r="BD8" s="263" t="s">
        <v>0</v>
      </c>
      <c r="BE8" s="263" t="s">
        <v>0</v>
      </c>
      <c r="BF8" s="263" t="s">
        <v>0</v>
      </c>
      <c r="BG8" s="263" t="s">
        <v>0</v>
      </c>
      <c r="BH8" s="263" t="s">
        <v>0</v>
      </c>
      <c r="BI8" s="263" t="s">
        <v>0</v>
      </c>
      <c r="BJ8" s="263" t="s">
        <v>0</v>
      </c>
      <c r="BK8" s="263" t="s">
        <v>0</v>
      </c>
      <c r="BL8" s="263" t="s">
        <v>0</v>
      </c>
      <c r="BM8" s="263" t="s">
        <v>0</v>
      </c>
      <c r="BN8" s="263" t="s">
        <v>0</v>
      </c>
      <c r="BO8" s="263" t="s">
        <v>0</v>
      </c>
      <c r="BP8" s="263" t="s">
        <v>0</v>
      </c>
      <c r="BQ8" s="263" t="s">
        <v>0</v>
      </c>
      <c r="BR8" s="263" t="s">
        <v>0</v>
      </c>
      <c r="BS8" s="263" t="s">
        <v>0</v>
      </c>
      <c r="BT8" s="263" t="s">
        <v>0</v>
      </c>
      <c r="BU8" s="263" t="s">
        <v>0</v>
      </c>
      <c r="BV8" s="263" t="s">
        <v>0</v>
      </c>
      <c r="BW8" s="263" t="s">
        <v>0</v>
      </c>
      <c r="BX8" s="263" t="s">
        <v>0</v>
      </c>
      <c r="BY8" s="263" t="s">
        <v>0</v>
      </c>
      <c r="BZ8" s="263" t="s">
        <v>0</v>
      </c>
      <c r="CA8" s="263" t="s">
        <v>0</v>
      </c>
      <c r="CB8" s="263" t="s">
        <v>0</v>
      </c>
      <c r="CC8" s="263" t="s">
        <v>0</v>
      </c>
      <c r="CD8" s="263" t="s">
        <v>0</v>
      </c>
      <c r="CE8" s="263" t="s">
        <v>0</v>
      </c>
      <c r="CF8" s="263" t="s">
        <v>0</v>
      </c>
      <c r="CG8" s="263" t="s">
        <v>0</v>
      </c>
      <c r="CH8" s="263" t="s">
        <v>0</v>
      </c>
      <c r="CI8" s="263" t="s">
        <v>0</v>
      </c>
      <c r="CJ8" s="263" t="s">
        <v>0</v>
      </c>
      <c r="CK8" s="263" t="s">
        <v>0</v>
      </c>
      <c r="CL8" s="263" t="s">
        <v>0</v>
      </c>
    </row>
    <row r="9" spans="1:92" ht="15">
      <c r="A9" s="263" t="s">
        <v>72</v>
      </c>
      <c r="B9" s="263" t="s">
        <v>898</v>
      </c>
      <c r="C9" s="263">
        <v>0.7</v>
      </c>
      <c r="D9" s="263">
        <v>0.6</v>
      </c>
      <c r="E9" s="263">
        <v>0.4</v>
      </c>
      <c r="F9" s="263">
        <v>0.3</v>
      </c>
      <c r="G9" s="263">
        <v>0.4</v>
      </c>
      <c r="H9" s="263">
        <v>0.6</v>
      </c>
      <c r="I9" s="263">
        <v>0.5</v>
      </c>
      <c r="J9" s="263">
        <v>0.6</v>
      </c>
      <c r="K9" s="263">
        <v>0.7</v>
      </c>
      <c r="L9" s="263">
        <v>0.5</v>
      </c>
      <c r="M9" s="263">
        <v>0.6</v>
      </c>
      <c r="N9" s="263">
        <v>0.6</v>
      </c>
      <c r="O9" s="263">
        <v>0.7</v>
      </c>
      <c r="P9" s="263">
        <v>0.7</v>
      </c>
      <c r="Q9" s="263">
        <v>0.8</v>
      </c>
      <c r="R9" s="263">
        <v>0.5</v>
      </c>
      <c r="S9" s="263">
        <v>0.4</v>
      </c>
      <c r="T9" s="263">
        <v>1.1000000000000001</v>
      </c>
      <c r="U9" s="263">
        <v>1.1000000000000001</v>
      </c>
      <c r="V9" s="263">
        <v>1.2</v>
      </c>
      <c r="W9" s="263">
        <v>1.3</v>
      </c>
      <c r="X9" s="263">
        <v>1.2</v>
      </c>
      <c r="Y9" s="263">
        <v>1.3</v>
      </c>
      <c r="Z9" s="263">
        <v>1.4</v>
      </c>
      <c r="AA9" s="263">
        <v>1.5</v>
      </c>
      <c r="AB9" s="263">
        <v>1.7</v>
      </c>
      <c r="AC9" s="263">
        <v>2</v>
      </c>
      <c r="AD9" s="263">
        <v>2.2999999999999998</v>
      </c>
      <c r="AE9" s="263">
        <v>2.9</v>
      </c>
      <c r="AF9" s="263">
        <v>3</v>
      </c>
      <c r="AG9" s="263">
        <v>2.9</v>
      </c>
      <c r="AH9" s="263">
        <v>3</v>
      </c>
      <c r="AI9" s="263">
        <v>3.1</v>
      </c>
      <c r="AJ9" s="263">
        <v>3.6</v>
      </c>
      <c r="AK9" s="263">
        <v>4.2</v>
      </c>
      <c r="AL9" s="263">
        <v>3.8</v>
      </c>
      <c r="AM9" s="263">
        <v>3.9</v>
      </c>
      <c r="AN9" s="263">
        <v>4.3</v>
      </c>
      <c r="AO9" s="263">
        <v>5</v>
      </c>
      <c r="AP9" s="263">
        <v>5.4</v>
      </c>
      <c r="AQ9" s="263">
        <v>6.5</v>
      </c>
      <c r="AR9" s="263">
        <v>7.6</v>
      </c>
      <c r="AS9" s="263">
        <v>7.3</v>
      </c>
      <c r="AT9" s="263">
        <v>7.2</v>
      </c>
      <c r="AU9" s="263">
        <v>9.6</v>
      </c>
      <c r="AV9" s="263">
        <v>10.4</v>
      </c>
      <c r="AW9" s="263">
        <v>10</v>
      </c>
      <c r="AX9" s="263">
        <v>11.6</v>
      </c>
      <c r="AY9" s="263">
        <v>12.2</v>
      </c>
      <c r="AZ9" s="263">
        <v>14.8</v>
      </c>
      <c r="BA9" s="263">
        <v>16.5</v>
      </c>
      <c r="BB9" s="263">
        <v>20.100000000000001</v>
      </c>
      <c r="BC9" s="263">
        <v>26.3</v>
      </c>
      <c r="BD9" s="263">
        <v>29.8</v>
      </c>
      <c r="BE9" s="263">
        <v>41.4</v>
      </c>
      <c r="BF9" s="263">
        <v>41.2</v>
      </c>
      <c r="BG9" s="263">
        <v>48.8</v>
      </c>
      <c r="BH9" s="263">
        <v>53.8</v>
      </c>
      <c r="BI9" s="263">
        <v>56.6</v>
      </c>
      <c r="BJ9" s="263">
        <v>60.9</v>
      </c>
      <c r="BK9" s="263">
        <v>66.7</v>
      </c>
      <c r="BL9" s="263">
        <v>65.2</v>
      </c>
      <c r="BM9" s="263">
        <v>67.599999999999994</v>
      </c>
      <c r="BN9" s="263">
        <v>70.7</v>
      </c>
      <c r="BO9" s="263">
        <v>72.5</v>
      </c>
      <c r="BP9" s="263">
        <v>78.099999999999994</v>
      </c>
      <c r="BQ9" s="263">
        <v>85.7</v>
      </c>
      <c r="BR9" s="263">
        <v>94.1</v>
      </c>
      <c r="BS9" s="263">
        <v>107.7</v>
      </c>
      <c r="BT9" s="263">
        <v>119.5</v>
      </c>
      <c r="BU9" s="263">
        <v>136.1</v>
      </c>
      <c r="BV9" s="263">
        <v>146.80000000000001</v>
      </c>
      <c r="BW9" s="263">
        <v>168.2</v>
      </c>
      <c r="BX9" s="263">
        <v>186.5</v>
      </c>
      <c r="BY9" s="263">
        <v>187.1</v>
      </c>
      <c r="BZ9" s="263">
        <v>217.1</v>
      </c>
      <c r="CA9" s="263">
        <v>264.89999999999998</v>
      </c>
      <c r="CB9" s="263">
        <v>300</v>
      </c>
      <c r="CC9" s="263">
        <v>287.5</v>
      </c>
      <c r="CD9" s="263">
        <v>286.8</v>
      </c>
      <c r="CE9" s="263">
        <v>313.5</v>
      </c>
      <c r="CF9" s="263">
        <v>401.5</v>
      </c>
      <c r="CG9" s="263">
        <v>366.5</v>
      </c>
      <c r="CH9" s="263">
        <v>371.6</v>
      </c>
      <c r="CI9" s="263">
        <v>386.2</v>
      </c>
      <c r="CJ9" s="263">
        <v>388.9</v>
      </c>
      <c r="CK9" s="263" t="s">
        <v>33</v>
      </c>
      <c r="CL9" s="263" t="s">
        <v>33</v>
      </c>
    </row>
    <row r="10" spans="1:92" ht="15">
      <c r="A10" s="263" t="s">
        <v>70</v>
      </c>
      <c r="B10" s="263" t="s">
        <v>899</v>
      </c>
      <c r="C10" s="263">
        <v>0.1</v>
      </c>
      <c r="D10" s="263">
        <v>0.1</v>
      </c>
      <c r="E10" s="263">
        <v>0.1</v>
      </c>
      <c r="F10" s="263">
        <v>0.2</v>
      </c>
      <c r="G10" s="263">
        <v>0.5</v>
      </c>
      <c r="H10" s="263">
        <v>0.2</v>
      </c>
      <c r="I10" s="263">
        <v>0.2</v>
      </c>
      <c r="J10" s="263">
        <v>0.4</v>
      </c>
      <c r="K10" s="263">
        <v>0.3</v>
      </c>
      <c r="L10" s="263">
        <v>0.4</v>
      </c>
      <c r="M10" s="263">
        <v>0.4</v>
      </c>
      <c r="N10" s="263">
        <v>0.5</v>
      </c>
      <c r="O10" s="263">
        <v>0.5</v>
      </c>
      <c r="P10" s="263">
        <v>-2.6</v>
      </c>
      <c r="Q10" s="263">
        <v>-4</v>
      </c>
      <c r="R10" s="263">
        <v>-2.9</v>
      </c>
      <c r="S10" s="263">
        <v>-1.4</v>
      </c>
      <c r="T10" s="263">
        <v>-0.5</v>
      </c>
      <c r="U10" s="263">
        <v>-1</v>
      </c>
      <c r="V10" s="263">
        <v>-0.8</v>
      </c>
      <c r="W10" s="263">
        <v>-0.8</v>
      </c>
      <c r="X10" s="263">
        <v>-1</v>
      </c>
      <c r="Y10" s="263">
        <v>-1.1000000000000001</v>
      </c>
      <c r="Z10" s="263">
        <v>-1.3</v>
      </c>
      <c r="AA10" s="263">
        <v>-1.4</v>
      </c>
      <c r="AB10" s="263">
        <v>-0.5</v>
      </c>
      <c r="AC10" s="263">
        <v>-1.9</v>
      </c>
      <c r="AD10" s="263">
        <v>-2.2000000000000002</v>
      </c>
      <c r="AE10" s="263">
        <v>-2.1</v>
      </c>
      <c r="AF10" s="263">
        <v>-0.2</v>
      </c>
      <c r="AG10" s="263">
        <v>0.6</v>
      </c>
      <c r="AH10" s="263">
        <v>1.3</v>
      </c>
      <c r="AI10" s="263">
        <v>0.6</v>
      </c>
      <c r="AJ10" s="263">
        <v>0.2</v>
      </c>
      <c r="AK10" s="263">
        <v>0.2</v>
      </c>
      <c r="AL10" s="263">
        <v>0.2</v>
      </c>
      <c r="AM10" s="263">
        <v>0.4</v>
      </c>
      <c r="AN10" s="263">
        <v>0.1</v>
      </c>
      <c r="AO10" s="263">
        <v>0.1</v>
      </c>
      <c r="AP10" s="263">
        <v>0.3</v>
      </c>
      <c r="AQ10" s="263">
        <v>0.5</v>
      </c>
      <c r="AR10" s="263">
        <v>0.3</v>
      </c>
      <c r="AS10" s="263">
        <v>1.2</v>
      </c>
      <c r="AT10" s="263">
        <v>0.9</v>
      </c>
      <c r="AU10" s="263">
        <v>0.6</v>
      </c>
      <c r="AV10" s="263">
        <v>1.4</v>
      </c>
      <c r="AW10" s="263">
        <v>1.4</v>
      </c>
      <c r="AX10" s="263">
        <v>1</v>
      </c>
      <c r="AY10" s="263">
        <v>-0.6</v>
      </c>
      <c r="AZ10" s="263">
        <v>-2.2999999999999998</v>
      </c>
      <c r="BA10" s="263">
        <v>-0.6</v>
      </c>
      <c r="BB10" s="263">
        <v>2.1</v>
      </c>
      <c r="BC10" s="263">
        <v>4.5999999999999996</v>
      </c>
      <c r="BD10" s="263">
        <v>14.2</v>
      </c>
      <c r="BE10" s="263">
        <v>11.8</v>
      </c>
      <c r="BF10" s="263">
        <v>3.3</v>
      </c>
      <c r="BG10" s="263">
        <v>-1</v>
      </c>
      <c r="BH10" s="263">
        <v>1.2</v>
      </c>
      <c r="BI10" s="263">
        <v>-19</v>
      </c>
      <c r="BJ10" s="263">
        <v>-20.8</v>
      </c>
      <c r="BK10" s="263">
        <v>-20.399999999999999</v>
      </c>
      <c r="BL10" s="263">
        <v>-20.6</v>
      </c>
      <c r="BM10" s="263">
        <v>-7.8</v>
      </c>
      <c r="BN10" s="263">
        <v>-1.6</v>
      </c>
      <c r="BO10" s="263">
        <v>1.9</v>
      </c>
      <c r="BP10" s="263">
        <v>-5.5</v>
      </c>
      <c r="BQ10" s="263">
        <v>1.6</v>
      </c>
      <c r="BR10" s="263">
        <v>1</v>
      </c>
      <c r="BS10" s="263">
        <v>6</v>
      </c>
      <c r="BT10" s="263">
        <v>11.7</v>
      </c>
      <c r="BU10" s="263">
        <v>16.7</v>
      </c>
      <c r="BV10" s="263">
        <v>30.5</v>
      </c>
      <c r="BW10" s="263">
        <v>42.4</v>
      </c>
      <c r="BX10" s="263">
        <v>38.299999999999997</v>
      </c>
      <c r="BY10" s="263">
        <v>29.9</v>
      </c>
      <c r="BZ10" s="263">
        <v>30.2</v>
      </c>
      <c r="CA10" s="263">
        <v>2.8</v>
      </c>
      <c r="CB10" s="263">
        <v>11.6</v>
      </c>
      <c r="CC10" s="263">
        <v>68</v>
      </c>
      <c r="CD10" s="263">
        <v>71.7</v>
      </c>
      <c r="CE10" s="263">
        <v>80</v>
      </c>
      <c r="CF10" s="263">
        <v>78.599999999999994</v>
      </c>
      <c r="CG10" s="263">
        <v>94.5</v>
      </c>
      <c r="CH10" s="263">
        <v>91.5</v>
      </c>
      <c r="CI10" s="263">
        <v>88.5</v>
      </c>
      <c r="CJ10" s="263">
        <v>78.400000000000006</v>
      </c>
      <c r="CK10" s="263" t="s">
        <v>33</v>
      </c>
      <c r="CL10" s="263" t="s">
        <v>33</v>
      </c>
    </row>
    <row r="11" spans="1:92" ht="15">
      <c r="A11" s="263" t="s">
        <v>69</v>
      </c>
      <c r="B11" s="263" t="s">
        <v>900</v>
      </c>
      <c r="C11" s="263">
        <v>0.1</v>
      </c>
      <c r="D11" s="263">
        <v>0</v>
      </c>
      <c r="E11" s="263">
        <v>0</v>
      </c>
      <c r="F11" s="263">
        <v>0.1</v>
      </c>
      <c r="G11" s="263">
        <v>0.1</v>
      </c>
      <c r="H11" s="263">
        <v>0.1</v>
      </c>
      <c r="I11" s="263">
        <v>0.1</v>
      </c>
      <c r="J11" s="263">
        <v>0.1</v>
      </c>
      <c r="K11" s="263">
        <v>0.1</v>
      </c>
      <c r="L11" s="263">
        <v>0.1</v>
      </c>
      <c r="M11" s="263">
        <v>0.1</v>
      </c>
      <c r="N11" s="263">
        <v>0.1</v>
      </c>
      <c r="O11" s="263">
        <v>0.1</v>
      </c>
      <c r="P11" s="263">
        <v>0.1</v>
      </c>
      <c r="Q11" s="263">
        <v>0.1</v>
      </c>
      <c r="R11" s="263">
        <v>0.1</v>
      </c>
      <c r="S11" s="263">
        <v>0.2</v>
      </c>
      <c r="T11" s="263">
        <v>0.2</v>
      </c>
      <c r="U11" s="263">
        <v>0.2</v>
      </c>
      <c r="V11" s="263">
        <v>0.4</v>
      </c>
      <c r="W11" s="263">
        <v>0.4</v>
      </c>
      <c r="X11" s="263">
        <v>0.4</v>
      </c>
      <c r="Y11" s="263">
        <v>0.6</v>
      </c>
      <c r="Z11" s="263">
        <v>0.5</v>
      </c>
      <c r="AA11" s="263">
        <v>0.5</v>
      </c>
      <c r="AB11" s="263">
        <v>0.5</v>
      </c>
      <c r="AC11" s="263">
        <v>0.5</v>
      </c>
      <c r="AD11" s="263">
        <v>0.7</v>
      </c>
      <c r="AE11" s="263">
        <v>0.9</v>
      </c>
      <c r="AF11" s="263">
        <v>0.8</v>
      </c>
      <c r="AG11" s="263">
        <v>1</v>
      </c>
      <c r="AH11" s="263">
        <v>1.2</v>
      </c>
      <c r="AI11" s="263">
        <v>1</v>
      </c>
      <c r="AJ11" s="263">
        <v>1.1000000000000001</v>
      </c>
      <c r="AK11" s="263">
        <v>1.1000000000000001</v>
      </c>
      <c r="AL11" s="263">
        <v>1.3</v>
      </c>
      <c r="AM11" s="263">
        <v>1.6</v>
      </c>
      <c r="AN11" s="263">
        <v>2</v>
      </c>
      <c r="AO11" s="263">
        <v>2.2000000000000002</v>
      </c>
      <c r="AP11" s="263">
        <v>2.8</v>
      </c>
      <c r="AQ11" s="263">
        <v>3.4</v>
      </c>
      <c r="AR11" s="263">
        <v>3.8</v>
      </c>
      <c r="AS11" s="263">
        <v>3.6</v>
      </c>
      <c r="AT11" s="263">
        <v>3.7</v>
      </c>
      <c r="AU11" s="263">
        <v>5</v>
      </c>
      <c r="AV11" s="263">
        <v>6.4</v>
      </c>
      <c r="AW11" s="263">
        <v>6.2</v>
      </c>
      <c r="AX11" s="263">
        <v>6.6</v>
      </c>
      <c r="AY11" s="263">
        <v>7</v>
      </c>
      <c r="AZ11" s="263">
        <v>8.8000000000000007</v>
      </c>
      <c r="BA11" s="263">
        <v>10.6</v>
      </c>
      <c r="BB11" s="263">
        <v>12.8</v>
      </c>
      <c r="BC11" s="263">
        <v>16</v>
      </c>
      <c r="BD11" s="263">
        <v>17.399999999999999</v>
      </c>
      <c r="BE11" s="263">
        <v>16.5</v>
      </c>
      <c r="BF11" s="263">
        <v>19</v>
      </c>
      <c r="BG11" s="263">
        <v>18.2</v>
      </c>
      <c r="BH11" s="263">
        <v>15.9</v>
      </c>
      <c r="BI11" s="263">
        <v>17.600000000000001</v>
      </c>
      <c r="BJ11" s="263">
        <v>20.3</v>
      </c>
      <c r="BK11" s="263">
        <v>23.4</v>
      </c>
      <c r="BL11" s="263">
        <v>25</v>
      </c>
      <c r="BM11" s="263">
        <v>24.6</v>
      </c>
      <c r="BN11" s="263">
        <v>24.5</v>
      </c>
      <c r="BO11" s="263">
        <v>23.4</v>
      </c>
      <c r="BP11" s="263">
        <v>24.5</v>
      </c>
      <c r="BQ11" s="263">
        <v>28.8</v>
      </c>
      <c r="BR11" s="263">
        <v>29.6</v>
      </c>
      <c r="BS11" s="263">
        <v>30.5</v>
      </c>
      <c r="BT11" s="263">
        <v>33.4</v>
      </c>
      <c r="BU11" s="263">
        <v>34.700000000000003</v>
      </c>
      <c r="BV11" s="263">
        <v>40.200000000000003</v>
      </c>
      <c r="BW11" s="263">
        <v>37.799999999999997</v>
      </c>
      <c r="BX11" s="263">
        <v>33.5</v>
      </c>
      <c r="BY11" s="263">
        <v>27.6</v>
      </c>
      <c r="BZ11" s="263">
        <v>33.700000000000003</v>
      </c>
      <c r="CA11" s="263">
        <v>37.4</v>
      </c>
      <c r="CB11" s="263">
        <v>46</v>
      </c>
      <c r="CC11" s="263">
        <v>47.9</v>
      </c>
      <c r="CD11" s="263">
        <v>46</v>
      </c>
      <c r="CE11" s="263">
        <v>59.5</v>
      </c>
      <c r="CF11" s="263">
        <v>84.9</v>
      </c>
      <c r="CG11" s="263">
        <v>90.3</v>
      </c>
      <c r="CH11" s="263">
        <v>88.9</v>
      </c>
      <c r="CI11" s="263">
        <v>96.5</v>
      </c>
      <c r="CJ11" s="263">
        <v>120.6</v>
      </c>
      <c r="CK11" s="263" t="s">
        <v>33</v>
      </c>
      <c r="CL11" s="263" t="s">
        <v>33</v>
      </c>
    </row>
    <row r="12" spans="1:92" ht="15">
      <c r="A12" s="263" t="s">
        <v>68</v>
      </c>
      <c r="B12" s="263" t="s">
        <v>901</v>
      </c>
      <c r="C12" s="263">
        <v>0</v>
      </c>
      <c r="D12" s="263">
        <v>0</v>
      </c>
      <c r="E12" s="263">
        <v>0</v>
      </c>
      <c r="F12" s="263">
        <v>0</v>
      </c>
      <c r="G12" s="263">
        <v>0</v>
      </c>
      <c r="H12" s="263">
        <v>0</v>
      </c>
      <c r="I12" s="263">
        <v>0</v>
      </c>
      <c r="J12" s="263">
        <v>0</v>
      </c>
      <c r="K12" s="263">
        <v>0</v>
      </c>
      <c r="L12" s="263">
        <v>0</v>
      </c>
      <c r="M12" s="263">
        <v>0</v>
      </c>
      <c r="N12" s="263">
        <v>0</v>
      </c>
      <c r="O12" s="263">
        <v>0</v>
      </c>
      <c r="P12" s="263">
        <v>0</v>
      </c>
      <c r="Q12" s="263">
        <v>0</v>
      </c>
      <c r="R12" s="263">
        <v>0.1</v>
      </c>
      <c r="S12" s="263">
        <v>0.1</v>
      </c>
      <c r="T12" s="263">
        <v>0.1</v>
      </c>
      <c r="U12" s="263">
        <v>0.1</v>
      </c>
      <c r="V12" s="263">
        <v>0.2</v>
      </c>
      <c r="W12" s="263">
        <v>0.2</v>
      </c>
      <c r="X12" s="263">
        <v>0.2</v>
      </c>
      <c r="Y12" s="263">
        <v>0.3</v>
      </c>
      <c r="Z12" s="263">
        <v>0.3</v>
      </c>
      <c r="AA12" s="263">
        <v>0.4</v>
      </c>
      <c r="AB12" s="263">
        <v>0.3</v>
      </c>
      <c r="AC12" s="263">
        <v>0.3</v>
      </c>
      <c r="AD12" s="263">
        <v>0.5</v>
      </c>
      <c r="AE12" s="263">
        <v>0.6</v>
      </c>
      <c r="AF12" s="263">
        <v>0.6</v>
      </c>
      <c r="AG12" s="263">
        <v>0.7</v>
      </c>
      <c r="AH12" s="263">
        <v>0.9</v>
      </c>
      <c r="AI12" s="263">
        <v>0.8</v>
      </c>
      <c r="AJ12" s="263">
        <v>0.9</v>
      </c>
      <c r="AK12" s="263">
        <v>1</v>
      </c>
      <c r="AL12" s="263">
        <v>1.1000000000000001</v>
      </c>
      <c r="AM12" s="263">
        <v>1.3</v>
      </c>
      <c r="AN12" s="263">
        <v>1.7</v>
      </c>
      <c r="AO12" s="263">
        <v>2</v>
      </c>
      <c r="AP12" s="263">
        <v>2.5</v>
      </c>
      <c r="AQ12" s="263">
        <v>3.1</v>
      </c>
      <c r="AR12" s="263">
        <v>3.5</v>
      </c>
      <c r="AS12" s="263">
        <v>3.3</v>
      </c>
      <c r="AT12" s="263">
        <v>3.3</v>
      </c>
      <c r="AU12" s="263">
        <v>4.5</v>
      </c>
      <c r="AV12" s="263">
        <v>5.7</v>
      </c>
      <c r="AW12" s="263">
        <v>5.6</v>
      </c>
      <c r="AX12" s="263">
        <v>5.9</v>
      </c>
      <c r="AY12" s="263">
        <v>6.1</v>
      </c>
      <c r="AZ12" s="263">
        <v>7.6</v>
      </c>
      <c r="BA12" s="263">
        <v>9.4</v>
      </c>
      <c r="BB12" s="263">
        <v>11.8</v>
      </c>
      <c r="BC12" s="263">
        <v>14.4</v>
      </c>
      <c r="BD12" s="263">
        <v>15.2</v>
      </c>
      <c r="BE12" s="263">
        <v>14.6</v>
      </c>
      <c r="BF12" s="263">
        <v>16.399999999999999</v>
      </c>
      <c r="BG12" s="263">
        <v>16.3</v>
      </c>
      <c r="BH12" s="263">
        <v>15.5</v>
      </c>
      <c r="BI12" s="263">
        <v>16.2</v>
      </c>
      <c r="BJ12" s="263">
        <v>18.100000000000001</v>
      </c>
      <c r="BK12" s="263">
        <v>20.7</v>
      </c>
      <c r="BL12" s="263">
        <v>21.9</v>
      </c>
      <c r="BM12" s="263">
        <v>20.8</v>
      </c>
      <c r="BN12" s="263">
        <v>18.399999999999999</v>
      </c>
      <c r="BO12" s="263">
        <v>16.8</v>
      </c>
      <c r="BP12" s="263">
        <v>18.600000000000001</v>
      </c>
      <c r="BQ12" s="263">
        <v>23.1</v>
      </c>
      <c r="BR12" s="263">
        <v>22.7</v>
      </c>
      <c r="BS12" s="263">
        <v>24.4</v>
      </c>
      <c r="BT12" s="263">
        <v>25.8</v>
      </c>
      <c r="BU12" s="263">
        <v>26.8</v>
      </c>
      <c r="BV12" s="263">
        <v>31.4</v>
      </c>
      <c r="BW12" s="263">
        <v>29.2</v>
      </c>
      <c r="BX12" s="263">
        <v>23.9</v>
      </c>
      <c r="BY12" s="263">
        <v>20.5</v>
      </c>
      <c r="BZ12" s="263">
        <v>20.5</v>
      </c>
      <c r="CA12" s="263">
        <v>27.1</v>
      </c>
      <c r="CB12" s="263">
        <v>34.4</v>
      </c>
      <c r="CC12" s="263">
        <v>36.5</v>
      </c>
      <c r="CD12" s="263">
        <v>35.4</v>
      </c>
      <c r="CE12" s="263">
        <v>47.6</v>
      </c>
      <c r="CF12" s="263">
        <v>72</v>
      </c>
      <c r="CG12" s="263">
        <v>76.5</v>
      </c>
      <c r="CH12" s="263">
        <v>72.2</v>
      </c>
      <c r="CI12" s="263">
        <v>80.2</v>
      </c>
      <c r="CJ12" s="263">
        <v>104</v>
      </c>
      <c r="CK12" s="263" t="s">
        <v>33</v>
      </c>
      <c r="CL12" s="263" t="s">
        <v>33</v>
      </c>
      <c r="CM12" s="17"/>
    </row>
    <row r="13" spans="1:92" ht="15">
      <c r="A13" s="263" t="s">
        <v>66</v>
      </c>
      <c r="B13" s="263" t="s">
        <v>902</v>
      </c>
      <c r="C13" s="263" t="s">
        <v>33</v>
      </c>
      <c r="D13" s="263" t="s">
        <v>33</v>
      </c>
      <c r="E13" s="263" t="s">
        <v>33</v>
      </c>
      <c r="F13" s="263" t="s">
        <v>33</v>
      </c>
      <c r="G13" s="263" t="s">
        <v>33</v>
      </c>
      <c r="H13" s="263" t="s">
        <v>33</v>
      </c>
      <c r="I13" s="263" t="s">
        <v>33</v>
      </c>
      <c r="J13" s="263" t="s">
        <v>33</v>
      </c>
      <c r="K13" s="263" t="s">
        <v>33</v>
      </c>
      <c r="L13" s="263" t="s">
        <v>33</v>
      </c>
      <c r="M13" s="263" t="s">
        <v>33</v>
      </c>
      <c r="N13" s="263" t="s">
        <v>33</v>
      </c>
      <c r="O13" s="263" t="s">
        <v>33</v>
      </c>
      <c r="P13" s="263" t="s">
        <v>33</v>
      </c>
      <c r="Q13" s="263" t="s">
        <v>33</v>
      </c>
      <c r="R13" s="263" t="s">
        <v>33</v>
      </c>
      <c r="S13" s="263" t="s">
        <v>33</v>
      </c>
      <c r="T13" s="263" t="s">
        <v>33</v>
      </c>
      <c r="U13" s="263">
        <v>0</v>
      </c>
      <c r="V13" s="263">
        <v>0</v>
      </c>
      <c r="W13" s="263">
        <v>0</v>
      </c>
      <c r="X13" s="263">
        <v>0</v>
      </c>
      <c r="Y13" s="263">
        <v>0</v>
      </c>
      <c r="Z13" s="263">
        <v>0</v>
      </c>
      <c r="AA13" s="263">
        <v>0</v>
      </c>
      <c r="AB13" s="263">
        <v>0</v>
      </c>
      <c r="AC13" s="263">
        <v>0</v>
      </c>
      <c r="AD13" s="263">
        <v>0</v>
      </c>
      <c r="AE13" s="263">
        <v>0</v>
      </c>
      <c r="AF13" s="263">
        <v>0</v>
      </c>
      <c r="AG13" s="263">
        <v>0</v>
      </c>
      <c r="AH13" s="263">
        <v>0</v>
      </c>
      <c r="AI13" s="263">
        <v>0.1</v>
      </c>
      <c r="AJ13" s="263">
        <v>0.1</v>
      </c>
      <c r="AK13" s="263">
        <v>0.1</v>
      </c>
      <c r="AL13" s="263">
        <v>0.1</v>
      </c>
      <c r="AM13" s="263">
        <v>0.1</v>
      </c>
      <c r="AN13" s="263">
        <v>0.1</v>
      </c>
      <c r="AO13" s="263">
        <v>0.1</v>
      </c>
      <c r="AP13" s="263">
        <v>0.1</v>
      </c>
      <c r="AQ13" s="263">
        <v>0.1</v>
      </c>
      <c r="AR13" s="263">
        <v>0.1</v>
      </c>
      <c r="AS13" s="263">
        <v>0.1</v>
      </c>
      <c r="AT13" s="263">
        <v>0.1</v>
      </c>
      <c r="AU13" s="263">
        <v>0.2</v>
      </c>
      <c r="AV13" s="263">
        <v>0.4</v>
      </c>
      <c r="AW13" s="263">
        <v>0.3</v>
      </c>
      <c r="AX13" s="263">
        <v>0.3</v>
      </c>
      <c r="AY13" s="263">
        <v>0.4</v>
      </c>
      <c r="AZ13" s="263">
        <v>0.6</v>
      </c>
      <c r="BA13" s="263">
        <v>0.8</v>
      </c>
      <c r="BB13" s="263">
        <v>0.8</v>
      </c>
      <c r="BC13" s="263">
        <v>1</v>
      </c>
      <c r="BD13" s="263">
        <v>1.6</v>
      </c>
      <c r="BE13" s="263">
        <v>1.2</v>
      </c>
      <c r="BF13" s="263">
        <v>1.4</v>
      </c>
      <c r="BG13" s="263">
        <v>0.7</v>
      </c>
      <c r="BH13" s="263">
        <v>0</v>
      </c>
      <c r="BI13" s="263">
        <v>0.6</v>
      </c>
      <c r="BJ13" s="263">
        <v>1.5</v>
      </c>
      <c r="BK13" s="263">
        <v>2.2000000000000002</v>
      </c>
      <c r="BL13" s="263">
        <v>2</v>
      </c>
      <c r="BM13" s="263">
        <v>2</v>
      </c>
      <c r="BN13" s="263">
        <v>1.9</v>
      </c>
      <c r="BO13" s="263">
        <v>2.1</v>
      </c>
      <c r="BP13" s="263">
        <v>2.1</v>
      </c>
      <c r="BQ13" s="263">
        <v>2.6</v>
      </c>
      <c r="BR13" s="263">
        <v>2.7</v>
      </c>
      <c r="BS13" s="263">
        <v>3.1</v>
      </c>
      <c r="BT13" s="263">
        <v>3.4</v>
      </c>
      <c r="BU13" s="263">
        <v>3.7</v>
      </c>
      <c r="BV13" s="263">
        <v>3.9</v>
      </c>
      <c r="BW13" s="263">
        <v>3.9</v>
      </c>
      <c r="BX13" s="263">
        <v>3.5</v>
      </c>
      <c r="BY13" s="263">
        <v>3.9</v>
      </c>
      <c r="BZ13" s="263">
        <v>4</v>
      </c>
      <c r="CA13" s="263">
        <v>4.7</v>
      </c>
      <c r="CB13" s="263">
        <v>5.0999999999999996</v>
      </c>
      <c r="CC13" s="263">
        <v>5.8</v>
      </c>
      <c r="CD13" s="263">
        <v>6.7</v>
      </c>
      <c r="CE13" s="263">
        <v>8.3000000000000007</v>
      </c>
      <c r="CF13" s="263">
        <v>7.5</v>
      </c>
      <c r="CG13" s="263">
        <v>7.1</v>
      </c>
      <c r="CH13" s="263">
        <v>7.4</v>
      </c>
      <c r="CI13" s="263">
        <v>7.4</v>
      </c>
      <c r="CJ13" s="263">
        <v>7.3</v>
      </c>
      <c r="CK13" s="263" t="s">
        <v>33</v>
      </c>
      <c r="CL13" s="263" t="s">
        <v>33</v>
      </c>
    </row>
    <row r="14" spans="1:92" ht="15">
      <c r="A14" s="263" t="s">
        <v>65</v>
      </c>
      <c r="B14" s="263" t="s">
        <v>903</v>
      </c>
      <c r="C14" s="263">
        <v>0</v>
      </c>
      <c r="D14" s="263">
        <v>0</v>
      </c>
      <c r="E14" s="263">
        <v>0</v>
      </c>
      <c r="F14" s="263">
        <v>0.1</v>
      </c>
      <c r="G14" s="263">
        <v>0.1</v>
      </c>
      <c r="H14" s="263">
        <v>0.1</v>
      </c>
      <c r="I14" s="263">
        <v>0</v>
      </c>
      <c r="J14" s="263">
        <v>0</v>
      </c>
      <c r="K14" s="263">
        <v>0.1</v>
      </c>
      <c r="L14" s="263">
        <v>0.1</v>
      </c>
      <c r="M14" s="263">
        <v>0</v>
      </c>
      <c r="N14" s="263">
        <v>0.1</v>
      </c>
      <c r="O14" s="263">
        <v>0.1</v>
      </c>
      <c r="P14" s="263">
        <v>0.1</v>
      </c>
      <c r="Q14" s="263">
        <v>0.1</v>
      </c>
      <c r="R14" s="263">
        <v>0.1</v>
      </c>
      <c r="S14" s="263">
        <v>0.1</v>
      </c>
      <c r="T14" s="263">
        <v>0.2</v>
      </c>
      <c r="U14" s="263">
        <v>0.2</v>
      </c>
      <c r="V14" s="263">
        <v>0.2</v>
      </c>
      <c r="W14" s="263">
        <v>0.2</v>
      </c>
      <c r="X14" s="263">
        <v>0.2</v>
      </c>
      <c r="Y14" s="263">
        <v>0.3</v>
      </c>
      <c r="Z14" s="263">
        <v>0.1</v>
      </c>
      <c r="AA14" s="263">
        <v>0.1</v>
      </c>
      <c r="AB14" s="263">
        <v>0.1</v>
      </c>
      <c r="AC14" s="263">
        <v>0.1</v>
      </c>
      <c r="AD14" s="263">
        <v>0.2</v>
      </c>
      <c r="AE14" s="263">
        <v>0.2</v>
      </c>
      <c r="AF14" s="263">
        <v>0.2</v>
      </c>
      <c r="AG14" s="263">
        <v>0.2</v>
      </c>
      <c r="AH14" s="263">
        <v>0.2</v>
      </c>
      <c r="AI14" s="263">
        <v>0.2</v>
      </c>
      <c r="AJ14" s="263">
        <v>0.2</v>
      </c>
      <c r="AK14" s="263">
        <v>0.1</v>
      </c>
      <c r="AL14" s="263">
        <v>0.1</v>
      </c>
      <c r="AM14" s="263">
        <v>0.1</v>
      </c>
      <c r="AN14" s="263">
        <v>0.2</v>
      </c>
      <c r="AO14" s="263">
        <v>0.2</v>
      </c>
      <c r="AP14" s="263">
        <v>0.2</v>
      </c>
      <c r="AQ14" s="263">
        <v>0.2</v>
      </c>
      <c r="AR14" s="263">
        <v>0.2</v>
      </c>
      <c r="AS14" s="263">
        <v>0.2</v>
      </c>
      <c r="AT14" s="263">
        <v>0.3</v>
      </c>
      <c r="AU14" s="263">
        <v>0.3</v>
      </c>
      <c r="AV14" s="263">
        <v>0.4</v>
      </c>
      <c r="AW14" s="263">
        <v>0.3</v>
      </c>
      <c r="AX14" s="263">
        <v>0.4</v>
      </c>
      <c r="AY14" s="263">
        <v>0.5</v>
      </c>
      <c r="AZ14" s="263">
        <v>0.6</v>
      </c>
      <c r="BA14" s="263">
        <v>0.4</v>
      </c>
      <c r="BB14" s="263">
        <v>0.2</v>
      </c>
      <c r="BC14" s="263">
        <v>0.6</v>
      </c>
      <c r="BD14" s="263">
        <v>0.5</v>
      </c>
      <c r="BE14" s="263">
        <v>0.7</v>
      </c>
      <c r="BF14" s="263">
        <v>1.2</v>
      </c>
      <c r="BG14" s="263">
        <v>1.1000000000000001</v>
      </c>
      <c r="BH14" s="263">
        <v>0.4</v>
      </c>
      <c r="BI14" s="263">
        <v>0.7</v>
      </c>
      <c r="BJ14" s="263">
        <v>0.7</v>
      </c>
      <c r="BK14" s="263">
        <v>0.5</v>
      </c>
      <c r="BL14" s="263">
        <v>1.1000000000000001</v>
      </c>
      <c r="BM14" s="263">
        <v>1.8</v>
      </c>
      <c r="BN14" s="263">
        <v>4.2</v>
      </c>
      <c r="BO14" s="263">
        <v>4.5</v>
      </c>
      <c r="BP14" s="263">
        <v>3.8</v>
      </c>
      <c r="BQ14" s="263">
        <v>3.2</v>
      </c>
      <c r="BR14" s="263">
        <v>4.2</v>
      </c>
      <c r="BS14" s="263">
        <v>3</v>
      </c>
      <c r="BT14" s="263">
        <v>4.3</v>
      </c>
      <c r="BU14" s="263">
        <v>4.2</v>
      </c>
      <c r="BV14" s="263">
        <v>5</v>
      </c>
      <c r="BW14" s="263">
        <v>4.7</v>
      </c>
      <c r="BX14" s="263">
        <v>6.1</v>
      </c>
      <c r="BY14" s="263">
        <v>3.1</v>
      </c>
      <c r="BZ14" s="263">
        <v>9.1</v>
      </c>
      <c r="CA14" s="263">
        <v>5.5</v>
      </c>
      <c r="CB14" s="263">
        <v>6.5</v>
      </c>
      <c r="CC14" s="263">
        <v>5.6</v>
      </c>
      <c r="CD14" s="263">
        <v>3.9</v>
      </c>
      <c r="CE14" s="263">
        <v>3.6</v>
      </c>
      <c r="CF14" s="263">
        <v>5.4</v>
      </c>
      <c r="CG14" s="263">
        <v>6.7</v>
      </c>
      <c r="CH14" s="263">
        <v>9.4</v>
      </c>
      <c r="CI14" s="263">
        <v>9</v>
      </c>
      <c r="CJ14" s="263">
        <v>9.4</v>
      </c>
      <c r="CK14" s="263" t="s">
        <v>33</v>
      </c>
      <c r="CL14" s="263" t="s">
        <v>33</v>
      </c>
    </row>
    <row r="15" spans="1:92" ht="15">
      <c r="A15" s="263" t="s">
        <v>64</v>
      </c>
      <c r="B15" s="263" t="s">
        <v>904</v>
      </c>
      <c r="C15" s="263">
        <v>0.6</v>
      </c>
      <c r="D15" s="263">
        <v>0.5</v>
      </c>
      <c r="E15" s="263">
        <v>0.3</v>
      </c>
      <c r="F15" s="263">
        <v>0.2</v>
      </c>
      <c r="G15" s="263">
        <v>0.2</v>
      </c>
      <c r="H15" s="263">
        <v>0.3</v>
      </c>
      <c r="I15" s="263">
        <v>0.3</v>
      </c>
      <c r="J15" s="263">
        <v>0.4</v>
      </c>
      <c r="K15" s="263">
        <v>0.5</v>
      </c>
      <c r="L15" s="263">
        <v>0.4</v>
      </c>
      <c r="M15" s="263">
        <v>0.4</v>
      </c>
      <c r="N15" s="263">
        <v>0.5</v>
      </c>
      <c r="O15" s="263">
        <v>0.5</v>
      </c>
      <c r="P15" s="263">
        <v>0.6</v>
      </c>
      <c r="Q15" s="263">
        <v>0.6</v>
      </c>
      <c r="R15" s="263">
        <v>0.7</v>
      </c>
      <c r="S15" s="263">
        <v>0.7</v>
      </c>
      <c r="T15" s="263">
        <v>0.6</v>
      </c>
      <c r="U15" s="263">
        <v>0.9</v>
      </c>
      <c r="V15" s="263">
        <v>1.5</v>
      </c>
      <c r="W15" s="263">
        <v>1.2</v>
      </c>
      <c r="X15" s="263">
        <v>1.4</v>
      </c>
      <c r="Y15" s="263">
        <v>1.6</v>
      </c>
      <c r="Z15" s="263">
        <v>1.6</v>
      </c>
      <c r="AA15" s="263">
        <v>1.7</v>
      </c>
      <c r="AB15" s="263">
        <v>1.8</v>
      </c>
      <c r="AC15" s="263">
        <v>2.1</v>
      </c>
      <c r="AD15" s="263">
        <v>2.4</v>
      </c>
      <c r="AE15" s="263">
        <v>2.6</v>
      </c>
      <c r="AF15" s="263">
        <v>2.4</v>
      </c>
      <c r="AG15" s="263">
        <v>2.5</v>
      </c>
      <c r="AH15" s="263">
        <v>2.7</v>
      </c>
      <c r="AI15" s="263">
        <v>2.7</v>
      </c>
      <c r="AJ15" s="263">
        <v>2.8</v>
      </c>
      <c r="AK15" s="263">
        <v>2.9</v>
      </c>
      <c r="AL15" s="263">
        <v>3.3</v>
      </c>
      <c r="AM15" s="263">
        <v>3.4</v>
      </c>
      <c r="AN15" s="263">
        <v>3.6</v>
      </c>
      <c r="AO15" s="263">
        <v>3.9</v>
      </c>
      <c r="AP15" s="263">
        <v>4.3</v>
      </c>
      <c r="AQ15" s="263">
        <v>4.2</v>
      </c>
      <c r="AR15" s="263">
        <v>4</v>
      </c>
      <c r="AS15" s="263">
        <v>4.2</v>
      </c>
      <c r="AT15" s="263">
        <v>4.5</v>
      </c>
      <c r="AU15" s="263">
        <v>5.8</v>
      </c>
      <c r="AV15" s="263">
        <v>9.3000000000000007</v>
      </c>
      <c r="AW15" s="263">
        <v>4.5</v>
      </c>
      <c r="AX15" s="263">
        <v>4.8</v>
      </c>
      <c r="AY15" s="263">
        <v>5</v>
      </c>
      <c r="AZ15" s="263">
        <v>5.7</v>
      </c>
      <c r="BA15" s="263">
        <v>6.8</v>
      </c>
      <c r="BB15" s="263">
        <v>7.6</v>
      </c>
      <c r="BC15" s="263">
        <v>6.7</v>
      </c>
      <c r="BD15" s="263">
        <v>5.8</v>
      </c>
      <c r="BE15" s="263">
        <v>6.2</v>
      </c>
      <c r="BF15" s="263">
        <v>6.5</v>
      </c>
      <c r="BG15" s="263">
        <v>6.4</v>
      </c>
      <c r="BH15" s="263">
        <v>7.6</v>
      </c>
      <c r="BI15" s="263">
        <v>6.9</v>
      </c>
      <c r="BJ15" s="263">
        <v>6.9</v>
      </c>
      <c r="BK15" s="263">
        <v>7.3</v>
      </c>
      <c r="BL15" s="263">
        <v>7.6</v>
      </c>
      <c r="BM15" s="263">
        <v>6.8</v>
      </c>
      <c r="BN15" s="263">
        <v>7.3</v>
      </c>
      <c r="BO15" s="263">
        <v>6.9</v>
      </c>
      <c r="BP15" s="263">
        <v>7.6</v>
      </c>
      <c r="BQ15" s="263">
        <v>8.1</v>
      </c>
      <c r="BR15" s="263">
        <v>8.1999999999999993</v>
      </c>
      <c r="BS15" s="263">
        <v>8.4</v>
      </c>
      <c r="BT15" s="263">
        <v>8</v>
      </c>
      <c r="BU15" s="263">
        <v>8</v>
      </c>
      <c r="BV15" s="263">
        <v>8.4</v>
      </c>
      <c r="BW15" s="263">
        <v>7.9</v>
      </c>
      <c r="BX15" s="263">
        <v>7.5</v>
      </c>
      <c r="BY15" s="263">
        <v>7.9</v>
      </c>
      <c r="BZ15" s="263">
        <v>9.1999999999999993</v>
      </c>
      <c r="CA15" s="263">
        <v>12.3</v>
      </c>
      <c r="CB15" s="263">
        <v>11.6</v>
      </c>
      <c r="CC15" s="263">
        <v>14.4</v>
      </c>
      <c r="CD15" s="263">
        <v>16.3</v>
      </c>
      <c r="CE15" s="263">
        <v>16.100000000000001</v>
      </c>
      <c r="CF15" s="263">
        <v>17.7</v>
      </c>
      <c r="CG15" s="263">
        <v>20.2</v>
      </c>
      <c r="CH15" s="263">
        <v>20.8</v>
      </c>
      <c r="CI15" s="263">
        <v>20.3</v>
      </c>
      <c r="CJ15" s="263">
        <v>20.6</v>
      </c>
      <c r="CK15" s="263" t="s">
        <v>33</v>
      </c>
      <c r="CL15" s="263" t="s">
        <v>33</v>
      </c>
    </row>
    <row r="16" spans="1:92" ht="15">
      <c r="A16" s="263" t="s">
        <v>63</v>
      </c>
      <c r="B16" s="263" t="s">
        <v>905</v>
      </c>
      <c r="C16" s="263">
        <v>0.1</v>
      </c>
      <c r="D16" s="263">
        <v>0</v>
      </c>
      <c r="E16" s="263">
        <v>0</v>
      </c>
      <c r="F16" s="263">
        <v>0</v>
      </c>
      <c r="G16" s="263">
        <v>-0.1</v>
      </c>
      <c r="H16" s="263">
        <v>0</v>
      </c>
      <c r="I16" s="263">
        <v>0</v>
      </c>
      <c r="J16" s="263">
        <v>0.1</v>
      </c>
      <c r="K16" s="263">
        <v>0.1</v>
      </c>
      <c r="L16" s="263">
        <v>0.1</v>
      </c>
      <c r="M16" s="263">
        <v>0.1</v>
      </c>
      <c r="N16" s="263">
        <v>0.1</v>
      </c>
      <c r="O16" s="263">
        <v>0.1</v>
      </c>
      <c r="P16" s="263">
        <v>0</v>
      </c>
      <c r="Q16" s="263">
        <v>0.1</v>
      </c>
      <c r="R16" s="263">
        <v>0.2</v>
      </c>
      <c r="S16" s="263">
        <v>0.3</v>
      </c>
      <c r="T16" s="263">
        <v>0.3</v>
      </c>
      <c r="U16" s="263">
        <v>0.3</v>
      </c>
      <c r="V16" s="263">
        <v>0.6</v>
      </c>
      <c r="W16" s="263">
        <v>0.6</v>
      </c>
      <c r="X16" s="263">
        <v>0.7</v>
      </c>
      <c r="Y16" s="263">
        <v>0.9</v>
      </c>
      <c r="Z16" s="263">
        <v>1</v>
      </c>
      <c r="AA16" s="263">
        <v>1.1000000000000001</v>
      </c>
      <c r="AB16" s="263">
        <v>1.1000000000000001</v>
      </c>
      <c r="AC16" s="263">
        <v>1.2</v>
      </c>
      <c r="AD16" s="263">
        <v>1.2</v>
      </c>
      <c r="AE16" s="263">
        <v>1.1000000000000001</v>
      </c>
      <c r="AF16" s="263">
        <v>0.8</v>
      </c>
      <c r="AG16" s="263">
        <v>0.8</v>
      </c>
      <c r="AH16" s="263">
        <v>0.6</v>
      </c>
      <c r="AI16" s="263">
        <v>0.5</v>
      </c>
      <c r="AJ16" s="263">
        <v>0.6</v>
      </c>
      <c r="AK16" s="263">
        <v>0.4</v>
      </c>
      <c r="AL16" s="263">
        <v>0.4</v>
      </c>
      <c r="AM16" s="263">
        <v>0.4</v>
      </c>
      <c r="AN16" s="263">
        <v>0.3</v>
      </c>
      <c r="AO16" s="263">
        <v>0.3</v>
      </c>
      <c r="AP16" s="263">
        <v>0.2</v>
      </c>
      <c r="AQ16" s="263">
        <v>0.3</v>
      </c>
      <c r="AR16" s="263">
        <v>0.2</v>
      </c>
      <c r="AS16" s="263">
        <v>0</v>
      </c>
      <c r="AT16" s="263">
        <v>0.3</v>
      </c>
      <c r="AU16" s="263">
        <v>0.6</v>
      </c>
      <c r="AV16" s="263">
        <v>1.7</v>
      </c>
      <c r="AW16" s="263">
        <v>2.7</v>
      </c>
      <c r="AX16" s="263">
        <v>3.5</v>
      </c>
      <c r="AY16" s="263">
        <v>4.3</v>
      </c>
      <c r="AZ16" s="263">
        <v>6.8</v>
      </c>
      <c r="BA16" s="263">
        <v>9.8000000000000007</v>
      </c>
      <c r="BB16" s="263">
        <v>13.4</v>
      </c>
      <c r="BC16" s="263">
        <v>19.600000000000001</v>
      </c>
      <c r="BD16" s="263">
        <v>19.899999999999999</v>
      </c>
      <c r="BE16" s="263">
        <v>10.199999999999999</v>
      </c>
      <c r="BF16" s="263">
        <v>11.2</v>
      </c>
      <c r="BG16" s="263">
        <v>7.5</v>
      </c>
      <c r="BH16" s="263">
        <v>-3.9</v>
      </c>
      <c r="BI16" s="263">
        <v>-7.2</v>
      </c>
      <c r="BJ16" s="263">
        <v>-5.0999999999999996</v>
      </c>
      <c r="BK16" s="263">
        <v>-7.7</v>
      </c>
      <c r="BL16" s="263">
        <v>-4.9000000000000004</v>
      </c>
      <c r="BM16" s="263">
        <v>-8.1</v>
      </c>
      <c r="BN16" s="263">
        <v>-7.4</v>
      </c>
      <c r="BO16" s="263">
        <v>-6.3</v>
      </c>
      <c r="BP16" s="263">
        <v>-3.8</v>
      </c>
      <c r="BQ16" s="263">
        <v>-2.1</v>
      </c>
      <c r="BR16" s="263">
        <v>0.6</v>
      </c>
      <c r="BS16" s="263">
        <v>6.4</v>
      </c>
      <c r="BT16" s="263">
        <v>3.7</v>
      </c>
      <c r="BU16" s="263">
        <v>0.5</v>
      </c>
      <c r="BV16" s="263">
        <v>5.0999999999999996</v>
      </c>
      <c r="BW16" s="263">
        <v>10.7</v>
      </c>
      <c r="BX16" s="263">
        <v>3.4</v>
      </c>
      <c r="BY16" s="263">
        <v>6.6</v>
      </c>
      <c r="BZ16" s="263">
        <v>11.5</v>
      </c>
      <c r="CA16" s="263">
        <v>16.2</v>
      </c>
      <c r="CB16" s="263">
        <v>33.9</v>
      </c>
      <c r="CC16" s="263">
        <v>44.3</v>
      </c>
      <c r="CD16" s="263">
        <v>51.4</v>
      </c>
      <c r="CE16" s="263">
        <v>25.1</v>
      </c>
      <c r="CF16" s="263">
        <v>25.1</v>
      </c>
      <c r="CG16" s="263">
        <v>40.4</v>
      </c>
      <c r="CH16" s="263">
        <v>42.7</v>
      </c>
      <c r="CI16" s="263">
        <v>43.6</v>
      </c>
      <c r="CJ16" s="263">
        <v>53.4</v>
      </c>
      <c r="CK16" s="263" t="s">
        <v>33</v>
      </c>
      <c r="CL16" s="263" t="s">
        <v>33</v>
      </c>
    </row>
    <row r="17" spans="1:92" ht="15">
      <c r="A17" s="263" t="s">
        <v>61</v>
      </c>
      <c r="B17" s="263" t="s">
        <v>906</v>
      </c>
      <c r="C17" s="263">
        <v>0.1</v>
      </c>
      <c r="D17" s="263">
        <v>0.1</v>
      </c>
      <c r="E17" s="263">
        <v>0.1</v>
      </c>
      <c r="F17" s="263">
        <v>0.1</v>
      </c>
      <c r="G17" s="263">
        <v>0.1</v>
      </c>
      <c r="H17" s="263">
        <v>0.1</v>
      </c>
      <c r="I17" s="263">
        <v>0.1</v>
      </c>
      <c r="J17" s="263">
        <v>0.2</v>
      </c>
      <c r="K17" s="263">
        <v>0.2</v>
      </c>
      <c r="L17" s="263">
        <v>0.1</v>
      </c>
      <c r="M17" s="263">
        <v>0.2</v>
      </c>
      <c r="N17" s="263">
        <v>0.2</v>
      </c>
      <c r="O17" s="263">
        <v>0.3</v>
      </c>
      <c r="P17" s="263">
        <v>0.4</v>
      </c>
      <c r="Q17" s="263">
        <v>0.5</v>
      </c>
      <c r="R17" s="263">
        <v>0.5</v>
      </c>
      <c r="S17" s="263">
        <v>0.5</v>
      </c>
      <c r="T17" s="263">
        <v>0.5</v>
      </c>
      <c r="U17" s="263">
        <v>0.6</v>
      </c>
      <c r="V17" s="263">
        <v>0.7</v>
      </c>
      <c r="W17" s="263">
        <v>0.6</v>
      </c>
      <c r="X17" s="263">
        <v>0.8</v>
      </c>
      <c r="Y17" s="263">
        <v>0.9</v>
      </c>
      <c r="Z17" s="263">
        <v>0.8</v>
      </c>
      <c r="AA17" s="263">
        <v>0.8</v>
      </c>
      <c r="AB17" s="263">
        <v>0.8</v>
      </c>
      <c r="AC17" s="263">
        <v>1</v>
      </c>
      <c r="AD17" s="263">
        <v>1</v>
      </c>
      <c r="AE17" s="263">
        <v>1</v>
      </c>
      <c r="AF17" s="263">
        <v>1</v>
      </c>
      <c r="AG17" s="263">
        <v>1.2</v>
      </c>
      <c r="AH17" s="263">
        <v>1.2</v>
      </c>
      <c r="AI17" s="263">
        <v>1.3</v>
      </c>
      <c r="AJ17" s="263">
        <v>1.5</v>
      </c>
      <c r="AK17" s="263">
        <v>1.7</v>
      </c>
      <c r="AL17" s="263">
        <v>1.8</v>
      </c>
      <c r="AM17" s="263">
        <v>2</v>
      </c>
      <c r="AN17" s="263">
        <v>2.2000000000000002</v>
      </c>
      <c r="AO17" s="263">
        <v>2.6</v>
      </c>
      <c r="AP17" s="263">
        <v>3.3</v>
      </c>
      <c r="AQ17" s="263">
        <v>3.6</v>
      </c>
      <c r="AR17" s="263">
        <v>3.7</v>
      </c>
      <c r="AS17" s="263">
        <v>4.3</v>
      </c>
      <c r="AT17" s="263">
        <v>5.3</v>
      </c>
      <c r="AU17" s="263">
        <v>6</v>
      </c>
      <c r="AV17" s="263">
        <v>6.7</v>
      </c>
      <c r="AW17" s="263">
        <v>7.3</v>
      </c>
      <c r="AX17" s="263">
        <v>9.6</v>
      </c>
      <c r="AY17" s="263">
        <v>11.4</v>
      </c>
      <c r="AZ17" s="263">
        <v>12.1</v>
      </c>
      <c r="BA17" s="263">
        <v>13.6</v>
      </c>
      <c r="BB17" s="263">
        <v>14.5</v>
      </c>
      <c r="BC17" s="263">
        <v>15.4</v>
      </c>
      <c r="BD17" s="263">
        <v>14</v>
      </c>
      <c r="BE17" s="263">
        <v>15.9</v>
      </c>
      <c r="BF17" s="263">
        <v>18.8</v>
      </c>
      <c r="BG17" s="263">
        <v>20.2</v>
      </c>
      <c r="BH17" s="263">
        <v>22.7</v>
      </c>
      <c r="BI17" s="263">
        <v>23.9</v>
      </c>
      <c r="BJ17" s="263">
        <v>26</v>
      </c>
      <c r="BK17" s="263">
        <v>24.2</v>
      </c>
      <c r="BL17" s="263">
        <v>22.5</v>
      </c>
      <c r="BM17" s="263">
        <v>23.6</v>
      </c>
      <c r="BN17" s="263">
        <v>24.4</v>
      </c>
      <c r="BO17" s="263">
        <v>26.9</v>
      </c>
      <c r="BP17" s="263">
        <v>30</v>
      </c>
      <c r="BQ17" s="263">
        <v>31.7</v>
      </c>
      <c r="BR17" s="263">
        <v>33</v>
      </c>
      <c r="BS17" s="263">
        <v>34.1</v>
      </c>
      <c r="BT17" s="263">
        <v>34.9</v>
      </c>
      <c r="BU17" s="263">
        <v>35.799999999999997</v>
      </c>
      <c r="BV17" s="263">
        <v>35.200000000000003</v>
      </c>
      <c r="BW17" s="263">
        <v>28.9</v>
      </c>
      <c r="BX17" s="263">
        <v>30.9</v>
      </c>
      <c r="BY17" s="263">
        <v>34</v>
      </c>
      <c r="BZ17" s="263">
        <v>41.7</v>
      </c>
      <c r="CA17" s="263">
        <v>54.9</v>
      </c>
      <c r="CB17" s="263">
        <v>59.2</v>
      </c>
      <c r="CC17" s="263">
        <v>57.9</v>
      </c>
      <c r="CD17" s="263">
        <v>47.4</v>
      </c>
      <c r="CE17" s="263">
        <v>45.6</v>
      </c>
      <c r="CF17" s="263">
        <v>47.7</v>
      </c>
      <c r="CG17" s="263">
        <v>50.2</v>
      </c>
      <c r="CH17" s="263">
        <v>52.5</v>
      </c>
      <c r="CI17" s="263">
        <v>55.5</v>
      </c>
      <c r="CJ17" s="263">
        <v>57.8</v>
      </c>
      <c r="CK17" s="263" t="s">
        <v>33</v>
      </c>
      <c r="CL17" s="263" t="s">
        <v>33</v>
      </c>
    </row>
    <row r="18" spans="1:92" ht="15">
      <c r="A18" s="263" t="s">
        <v>60</v>
      </c>
      <c r="B18" s="263" t="s">
        <v>907</v>
      </c>
      <c r="C18" s="263" t="s">
        <v>33</v>
      </c>
      <c r="D18" s="263" t="s">
        <v>33</v>
      </c>
      <c r="E18" s="263" t="s">
        <v>33</v>
      </c>
      <c r="F18" s="263" t="s">
        <v>33</v>
      </c>
      <c r="G18" s="263" t="s">
        <v>33</v>
      </c>
      <c r="H18" s="263" t="s">
        <v>33</v>
      </c>
      <c r="I18" s="263" t="s">
        <v>33</v>
      </c>
      <c r="J18" s="263" t="s">
        <v>33</v>
      </c>
      <c r="K18" s="263" t="s">
        <v>33</v>
      </c>
      <c r="L18" s="263" t="s">
        <v>33</v>
      </c>
      <c r="M18" s="263" t="s">
        <v>33</v>
      </c>
      <c r="N18" s="263" t="s">
        <v>33</v>
      </c>
      <c r="O18" s="263" t="s">
        <v>33</v>
      </c>
      <c r="P18" s="263" t="s">
        <v>33</v>
      </c>
      <c r="Q18" s="263" t="s">
        <v>33</v>
      </c>
      <c r="R18" s="263" t="s">
        <v>33</v>
      </c>
      <c r="S18" s="263" t="s">
        <v>33</v>
      </c>
      <c r="T18" s="263" t="s">
        <v>33</v>
      </c>
      <c r="U18" s="263" t="s">
        <v>33</v>
      </c>
      <c r="V18" s="263" t="s">
        <v>33</v>
      </c>
      <c r="W18" s="263" t="s">
        <v>33</v>
      </c>
      <c r="X18" s="263" t="s">
        <v>33</v>
      </c>
      <c r="Y18" s="263" t="s">
        <v>33</v>
      </c>
      <c r="Z18" s="263" t="s">
        <v>33</v>
      </c>
      <c r="AA18" s="263" t="s">
        <v>33</v>
      </c>
      <c r="AB18" s="263" t="s">
        <v>33</v>
      </c>
      <c r="AC18" s="263" t="s">
        <v>33</v>
      </c>
      <c r="AD18" s="263" t="s">
        <v>33</v>
      </c>
      <c r="AE18" s="263" t="s">
        <v>33</v>
      </c>
      <c r="AF18" s="263" t="s">
        <v>33</v>
      </c>
      <c r="AG18" s="263" t="s">
        <v>33</v>
      </c>
      <c r="AH18" s="263" t="s">
        <v>33</v>
      </c>
      <c r="AI18" s="263" t="s">
        <v>33</v>
      </c>
      <c r="AJ18" s="263" t="s">
        <v>33</v>
      </c>
      <c r="AK18" s="263" t="s">
        <v>33</v>
      </c>
      <c r="AL18" s="263" t="s">
        <v>33</v>
      </c>
      <c r="AM18" s="263" t="s">
        <v>33</v>
      </c>
      <c r="AN18" s="263" t="s">
        <v>33</v>
      </c>
      <c r="AO18" s="263" t="s">
        <v>33</v>
      </c>
      <c r="AP18" s="263">
        <v>-0.1</v>
      </c>
      <c r="AQ18" s="263">
        <v>-0.2</v>
      </c>
      <c r="AR18" s="263">
        <v>-0.4</v>
      </c>
      <c r="AS18" s="263">
        <v>-0.3</v>
      </c>
      <c r="AT18" s="263">
        <v>-0.4</v>
      </c>
      <c r="AU18" s="263">
        <v>-0.8</v>
      </c>
      <c r="AV18" s="263">
        <v>-1.1000000000000001</v>
      </c>
      <c r="AW18" s="263">
        <v>-1</v>
      </c>
      <c r="AX18" s="263">
        <v>-1</v>
      </c>
      <c r="AY18" s="263">
        <v>-1.5</v>
      </c>
      <c r="AZ18" s="263">
        <v>-1.8</v>
      </c>
      <c r="BA18" s="263">
        <v>-4.4000000000000004</v>
      </c>
      <c r="BB18" s="263">
        <v>-8.6999999999999993</v>
      </c>
      <c r="BC18" s="263">
        <v>-18.3</v>
      </c>
      <c r="BD18" s="263">
        <v>-23.2</v>
      </c>
      <c r="BE18" s="263">
        <v>-17.5</v>
      </c>
      <c r="BF18" s="263">
        <v>-21.7</v>
      </c>
      <c r="BG18" s="263">
        <v>-24.4</v>
      </c>
      <c r="BH18" s="263">
        <v>-28.5</v>
      </c>
      <c r="BI18" s="263">
        <v>-45.1</v>
      </c>
      <c r="BJ18" s="263">
        <v>-53.5</v>
      </c>
      <c r="BK18" s="263">
        <v>-67.5</v>
      </c>
      <c r="BL18" s="263">
        <v>-68</v>
      </c>
      <c r="BM18" s="263">
        <v>-60.3</v>
      </c>
      <c r="BN18" s="263">
        <v>-64.7</v>
      </c>
      <c r="BO18" s="263">
        <v>-70.5</v>
      </c>
      <c r="BP18" s="263">
        <v>-78</v>
      </c>
      <c r="BQ18" s="263">
        <v>-97.9</v>
      </c>
      <c r="BR18" s="263">
        <v>-105.4</v>
      </c>
      <c r="BS18" s="263">
        <v>-121.4</v>
      </c>
      <c r="BT18" s="263">
        <v>-138.19999999999999</v>
      </c>
      <c r="BU18" s="263">
        <v>-154.1</v>
      </c>
      <c r="BV18" s="263">
        <v>-187.9</v>
      </c>
      <c r="BW18" s="263">
        <v>-151.80000000000001</v>
      </c>
      <c r="BX18" s="263">
        <v>-98.6</v>
      </c>
      <c r="BY18" s="263">
        <v>-82.5</v>
      </c>
      <c r="BZ18" s="263">
        <v>-91.3</v>
      </c>
      <c r="CA18" s="263">
        <v>-142.80000000000001</v>
      </c>
      <c r="CB18" s="263">
        <v>-202.8</v>
      </c>
      <c r="CC18" s="263">
        <v>-248.6</v>
      </c>
      <c r="CD18" s="263">
        <v>-201.8</v>
      </c>
      <c r="CE18" s="263">
        <v>-134.4</v>
      </c>
      <c r="CF18" s="263">
        <v>-129.69999999999999</v>
      </c>
      <c r="CG18" s="263">
        <v>-130.5</v>
      </c>
      <c r="CH18" s="263">
        <v>-140.69999999999999</v>
      </c>
      <c r="CI18" s="263">
        <v>-144</v>
      </c>
      <c r="CJ18" s="263">
        <v>-150.80000000000001</v>
      </c>
      <c r="CK18" s="263" t="s">
        <v>33</v>
      </c>
      <c r="CL18" s="263" t="s">
        <v>33</v>
      </c>
    </row>
    <row r="19" spans="1:92" ht="15">
      <c r="A19" s="263" t="s">
        <v>59</v>
      </c>
      <c r="B19" s="263" t="s">
        <v>908</v>
      </c>
      <c r="C19" s="263">
        <v>0.9</v>
      </c>
      <c r="D19" s="263">
        <v>1</v>
      </c>
      <c r="E19" s="263">
        <v>1.2</v>
      </c>
      <c r="F19" s="263">
        <v>1.3</v>
      </c>
      <c r="G19" s="263">
        <v>1.2</v>
      </c>
      <c r="H19" s="263">
        <v>1.2</v>
      </c>
      <c r="I19" s="263">
        <v>1</v>
      </c>
      <c r="J19" s="263">
        <v>0.9</v>
      </c>
      <c r="K19" s="263">
        <v>0.8</v>
      </c>
      <c r="L19" s="263">
        <v>0.7</v>
      </c>
      <c r="M19" s="263">
        <v>0.7</v>
      </c>
      <c r="N19" s="263">
        <v>0.6</v>
      </c>
      <c r="O19" s="263">
        <v>0.7</v>
      </c>
      <c r="P19" s="263">
        <v>0.5</v>
      </c>
      <c r="Q19" s="263">
        <v>0.4</v>
      </c>
      <c r="R19" s="263">
        <v>0.3</v>
      </c>
      <c r="S19" s="263">
        <v>0.3</v>
      </c>
      <c r="T19" s="263">
        <v>0.3</v>
      </c>
      <c r="U19" s="263">
        <v>0.7</v>
      </c>
      <c r="V19" s="263">
        <v>0.7</v>
      </c>
      <c r="W19" s="263">
        <v>0.8</v>
      </c>
      <c r="X19" s="263">
        <v>0.8</v>
      </c>
      <c r="Y19" s="263">
        <v>0.8</v>
      </c>
      <c r="Z19" s="263">
        <v>0.9</v>
      </c>
      <c r="AA19" s="263">
        <v>1.1000000000000001</v>
      </c>
      <c r="AB19" s="263">
        <v>1.4</v>
      </c>
      <c r="AC19" s="263">
        <v>1.7</v>
      </c>
      <c r="AD19" s="263">
        <v>1.9</v>
      </c>
      <c r="AE19" s="263">
        <v>1.9</v>
      </c>
      <c r="AF19" s="263">
        <v>2.1</v>
      </c>
      <c r="AG19" s="263">
        <v>2.2999999999999998</v>
      </c>
      <c r="AH19" s="263">
        <v>2.8</v>
      </c>
      <c r="AI19" s="263">
        <v>3.1</v>
      </c>
      <c r="AJ19" s="263">
        <v>3.5</v>
      </c>
      <c r="AK19" s="263">
        <v>3.5</v>
      </c>
      <c r="AL19" s="263">
        <v>3.9</v>
      </c>
      <c r="AM19" s="263">
        <v>4.2</v>
      </c>
      <c r="AN19" s="263">
        <v>4.3</v>
      </c>
      <c r="AO19" s="263">
        <v>4.4000000000000004</v>
      </c>
      <c r="AP19" s="263">
        <v>4.9000000000000004</v>
      </c>
      <c r="AQ19" s="263">
        <v>5.9</v>
      </c>
      <c r="AR19" s="263">
        <v>6.5</v>
      </c>
      <c r="AS19" s="263">
        <v>7.8</v>
      </c>
      <c r="AT19" s="263">
        <v>8.3000000000000007</v>
      </c>
      <c r="AU19" s="263">
        <v>10.5</v>
      </c>
      <c r="AV19" s="263">
        <v>12.8</v>
      </c>
      <c r="AW19" s="263">
        <v>13.8</v>
      </c>
      <c r="AX19" s="263">
        <v>13.8</v>
      </c>
      <c r="AY19" s="263">
        <v>14.2</v>
      </c>
      <c r="AZ19" s="263">
        <v>15.7</v>
      </c>
      <c r="BA19" s="263">
        <v>17.399999999999999</v>
      </c>
      <c r="BB19" s="263">
        <v>18.8</v>
      </c>
      <c r="BC19" s="263">
        <v>22.3</v>
      </c>
      <c r="BD19" s="263">
        <v>26.7</v>
      </c>
      <c r="BE19" s="263">
        <v>30.5</v>
      </c>
      <c r="BF19" s="263">
        <v>33.799999999999997</v>
      </c>
      <c r="BG19" s="263">
        <v>43.3</v>
      </c>
      <c r="BH19" s="263">
        <v>53.4</v>
      </c>
      <c r="BI19" s="263">
        <v>54.6</v>
      </c>
      <c r="BJ19" s="263">
        <v>58.6</v>
      </c>
      <c r="BK19" s="263">
        <v>68.8</v>
      </c>
      <c r="BL19" s="263">
        <v>83.7</v>
      </c>
      <c r="BM19" s="263">
        <v>100.9</v>
      </c>
      <c r="BN19" s="263">
        <v>89.6</v>
      </c>
      <c r="BO19" s="263">
        <v>80.7</v>
      </c>
      <c r="BP19" s="263">
        <v>67.900000000000006</v>
      </c>
      <c r="BQ19" s="263">
        <v>67.8</v>
      </c>
      <c r="BR19" s="263">
        <v>74.7</v>
      </c>
      <c r="BS19" s="263">
        <v>83.6</v>
      </c>
      <c r="BT19" s="263">
        <v>86.4</v>
      </c>
      <c r="BU19" s="263">
        <v>100.2</v>
      </c>
      <c r="BV19" s="263">
        <v>107.7</v>
      </c>
      <c r="BW19" s="263">
        <v>142.19999999999999</v>
      </c>
      <c r="BX19" s="263">
        <v>168</v>
      </c>
      <c r="BY19" s="263">
        <v>151.1</v>
      </c>
      <c r="BZ19" s="263">
        <v>139.69999999999999</v>
      </c>
      <c r="CA19" s="263">
        <v>119</v>
      </c>
      <c r="CB19" s="263">
        <v>105.9</v>
      </c>
      <c r="CC19" s="263">
        <v>130</v>
      </c>
      <c r="CD19" s="263">
        <v>253.9</v>
      </c>
      <c r="CE19" s="263">
        <v>379.4</v>
      </c>
      <c r="CF19" s="263">
        <v>316.3</v>
      </c>
      <c r="CG19" s="263">
        <v>252.2</v>
      </c>
      <c r="CH19" s="263">
        <v>193.8</v>
      </c>
      <c r="CI19" s="263">
        <v>145.30000000000001</v>
      </c>
      <c r="CJ19" s="263">
        <v>117.3</v>
      </c>
      <c r="CK19" s="263" t="s">
        <v>33</v>
      </c>
      <c r="CL19" s="263" t="s">
        <v>33</v>
      </c>
    </row>
    <row r="20" spans="1:92" ht="15">
      <c r="A20" s="263" t="s">
        <v>57</v>
      </c>
      <c r="B20" s="263" t="s">
        <v>909</v>
      </c>
      <c r="C20" s="263">
        <v>0.3</v>
      </c>
      <c r="D20" s="263">
        <v>0.3</v>
      </c>
      <c r="E20" s="263">
        <v>0.2</v>
      </c>
      <c r="F20" s="263">
        <v>0.1</v>
      </c>
      <c r="G20" s="263">
        <v>0.1</v>
      </c>
      <c r="H20" s="263">
        <v>0.1</v>
      </c>
      <c r="I20" s="263">
        <v>0.2</v>
      </c>
      <c r="J20" s="263">
        <v>0.2</v>
      </c>
      <c r="K20" s="263">
        <v>0.2</v>
      </c>
      <c r="L20" s="263">
        <v>0.2</v>
      </c>
      <c r="M20" s="263">
        <v>0.2</v>
      </c>
      <c r="N20" s="263">
        <v>0.2</v>
      </c>
      <c r="O20" s="263">
        <v>0.4</v>
      </c>
      <c r="P20" s="263">
        <v>0.4</v>
      </c>
      <c r="Q20" s="263">
        <v>0.3</v>
      </c>
      <c r="R20" s="263">
        <v>0.3</v>
      </c>
      <c r="S20" s="263">
        <v>0.4</v>
      </c>
      <c r="T20" s="263">
        <v>0.6</v>
      </c>
      <c r="U20" s="263">
        <v>0.7</v>
      </c>
      <c r="V20" s="263">
        <v>0.6</v>
      </c>
      <c r="W20" s="263">
        <v>0.4</v>
      </c>
      <c r="X20" s="263">
        <v>0.6</v>
      </c>
      <c r="Y20" s="263">
        <v>0.6</v>
      </c>
      <c r="Z20" s="263">
        <v>1.1000000000000001</v>
      </c>
      <c r="AA20" s="263">
        <v>1.5</v>
      </c>
      <c r="AB20" s="263">
        <v>1.5</v>
      </c>
      <c r="AC20" s="263">
        <v>1.6</v>
      </c>
      <c r="AD20" s="263">
        <v>2.2000000000000002</v>
      </c>
      <c r="AE20" s="263">
        <v>2.1</v>
      </c>
      <c r="AF20" s="263">
        <v>2.1</v>
      </c>
      <c r="AG20" s="263">
        <v>2.2000000000000002</v>
      </c>
      <c r="AH20" s="263">
        <v>2.2999999999999998</v>
      </c>
      <c r="AI20" s="263">
        <v>2.5</v>
      </c>
      <c r="AJ20" s="263">
        <v>2.2999999999999998</v>
      </c>
      <c r="AK20" s="263">
        <v>2.6</v>
      </c>
      <c r="AL20" s="263">
        <v>2.6</v>
      </c>
      <c r="AM20" s="263">
        <v>3.2</v>
      </c>
      <c r="AN20" s="263">
        <v>4.0999999999999996</v>
      </c>
      <c r="AO20" s="263">
        <v>4.5</v>
      </c>
      <c r="AP20" s="263">
        <v>5</v>
      </c>
      <c r="AQ20" s="263">
        <v>5.4</v>
      </c>
      <c r="AR20" s="263">
        <v>4.9000000000000004</v>
      </c>
      <c r="AS20" s="263">
        <v>4.5999999999999996</v>
      </c>
      <c r="AT20" s="263">
        <v>5.4</v>
      </c>
      <c r="AU20" s="263">
        <v>6.1</v>
      </c>
      <c r="AV20" s="263">
        <v>7.3</v>
      </c>
      <c r="AW20" s="263">
        <v>7.6</v>
      </c>
      <c r="AX20" s="263">
        <v>9.4</v>
      </c>
      <c r="AY20" s="263">
        <v>10.5</v>
      </c>
      <c r="AZ20" s="263">
        <v>11.8</v>
      </c>
      <c r="BA20" s="263">
        <v>15.3</v>
      </c>
      <c r="BB20" s="263">
        <v>17.5</v>
      </c>
      <c r="BC20" s="263">
        <v>21.9</v>
      </c>
      <c r="BD20" s="263">
        <v>23.9</v>
      </c>
      <c r="BE20" s="263">
        <v>25.5</v>
      </c>
      <c r="BF20" s="263">
        <v>30.3</v>
      </c>
      <c r="BG20" s="263">
        <v>31.7</v>
      </c>
      <c r="BH20" s="263">
        <v>30.1</v>
      </c>
      <c r="BI20" s="263">
        <v>28</v>
      </c>
      <c r="BJ20" s="263">
        <v>30.3</v>
      </c>
      <c r="BK20" s="263">
        <v>35.799999999999997</v>
      </c>
      <c r="BL20" s="263">
        <v>38.700000000000003</v>
      </c>
      <c r="BM20" s="263">
        <v>39.799999999999997</v>
      </c>
      <c r="BN20" s="263">
        <v>36.4</v>
      </c>
      <c r="BO20" s="263">
        <v>32.4</v>
      </c>
      <c r="BP20" s="263">
        <v>29.5</v>
      </c>
      <c r="BQ20" s="263">
        <v>36.5</v>
      </c>
      <c r="BR20" s="263">
        <v>46.1</v>
      </c>
      <c r="BS20" s="263">
        <v>60.8</v>
      </c>
      <c r="BT20" s="263">
        <v>64.099999999999994</v>
      </c>
      <c r="BU20" s="263">
        <v>80.400000000000006</v>
      </c>
      <c r="BV20" s="263">
        <v>89.2</v>
      </c>
      <c r="BW20" s="263">
        <v>66.5</v>
      </c>
      <c r="BX20" s="263">
        <v>41.1</v>
      </c>
      <c r="BY20" s="263">
        <v>34.9</v>
      </c>
      <c r="BZ20" s="263">
        <v>37.4</v>
      </c>
      <c r="CA20" s="263">
        <v>49.4</v>
      </c>
      <c r="CB20" s="263">
        <v>60.4</v>
      </c>
      <c r="CC20" s="263">
        <v>73</v>
      </c>
      <c r="CD20" s="263">
        <v>83.7</v>
      </c>
      <c r="CE20" s="263">
        <v>55</v>
      </c>
      <c r="CF20" s="263">
        <v>55.3</v>
      </c>
      <c r="CG20" s="263">
        <v>57.3</v>
      </c>
      <c r="CH20" s="263">
        <v>66</v>
      </c>
      <c r="CI20" s="263">
        <v>68.599999999999994</v>
      </c>
      <c r="CJ20" s="263">
        <v>79.599999999999994</v>
      </c>
      <c r="CK20" s="263" t="s">
        <v>33</v>
      </c>
      <c r="CL20" s="263" t="s">
        <v>33</v>
      </c>
    </row>
    <row r="21" spans="1:92" ht="15">
      <c r="A21" s="263" t="s">
        <v>55</v>
      </c>
      <c r="B21" s="263" t="s">
        <v>910</v>
      </c>
      <c r="C21" s="263" t="s">
        <v>33</v>
      </c>
      <c r="D21" s="263" t="s">
        <v>33</v>
      </c>
      <c r="E21" s="263" t="s">
        <v>33</v>
      </c>
      <c r="F21" s="263" t="s">
        <v>33</v>
      </c>
      <c r="G21" s="263" t="s">
        <v>33</v>
      </c>
      <c r="H21" s="263" t="s">
        <v>33</v>
      </c>
      <c r="I21" s="263" t="s">
        <v>33</v>
      </c>
      <c r="J21" s="263" t="s">
        <v>33</v>
      </c>
      <c r="K21" s="263" t="s">
        <v>33</v>
      </c>
      <c r="L21" s="263" t="s">
        <v>33</v>
      </c>
      <c r="M21" s="263" t="s">
        <v>33</v>
      </c>
      <c r="N21" s="263" t="s">
        <v>33</v>
      </c>
      <c r="O21" s="263" t="s">
        <v>33</v>
      </c>
      <c r="P21" s="263" t="s">
        <v>33</v>
      </c>
      <c r="Q21" s="263" t="s">
        <v>33</v>
      </c>
      <c r="R21" s="263" t="s">
        <v>33</v>
      </c>
      <c r="S21" s="263" t="s">
        <v>33</v>
      </c>
      <c r="T21" s="263" t="s">
        <v>33</v>
      </c>
      <c r="U21" s="263" t="s">
        <v>33</v>
      </c>
      <c r="V21" s="263" t="s">
        <v>33</v>
      </c>
      <c r="W21" s="263" t="s">
        <v>33</v>
      </c>
      <c r="X21" s="263" t="s">
        <v>33</v>
      </c>
      <c r="Y21" s="263" t="s">
        <v>33</v>
      </c>
      <c r="Z21" s="263" t="s">
        <v>33</v>
      </c>
      <c r="AA21" s="263" t="s">
        <v>33</v>
      </c>
      <c r="AB21" s="263" t="s">
        <v>33</v>
      </c>
      <c r="AC21" s="263" t="s">
        <v>33</v>
      </c>
      <c r="AD21" s="263" t="s">
        <v>33</v>
      </c>
      <c r="AE21" s="263" t="s">
        <v>33</v>
      </c>
      <c r="AF21" s="263" t="s">
        <v>33</v>
      </c>
      <c r="AG21" s="263" t="s">
        <v>33</v>
      </c>
      <c r="AH21" s="263" t="s">
        <v>33</v>
      </c>
      <c r="AI21" s="263" t="s">
        <v>33</v>
      </c>
      <c r="AJ21" s="263" t="s">
        <v>33</v>
      </c>
      <c r="AK21" s="263" t="s">
        <v>33</v>
      </c>
      <c r="AL21" s="263" t="s">
        <v>33</v>
      </c>
      <c r="AM21" s="263" t="s">
        <v>33</v>
      </c>
      <c r="AN21" s="263" t="s">
        <v>33</v>
      </c>
      <c r="AO21" s="263" t="s">
        <v>33</v>
      </c>
      <c r="AP21" s="263" t="s">
        <v>33</v>
      </c>
      <c r="AQ21" s="263" t="s">
        <v>33</v>
      </c>
      <c r="AR21" s="263" t="s">
        <v>33</v>
      </c>
      <c r="AS21" s="263">
        <v>0</v>
      </c>
      <c r="AT21" s="263">
        <v>0.4</v>
      </c>
      <c r="AU21" s="263">
        <v>0.1</v>
      </c>
      <c r="AV21" s="263">
        <v>0</v>
      </c>
      <c r="AW21" s="263">
        <v>0</v>
      </c>
      <c r="AX21" s="263">
        <v>0</v>
      </c>
      <c r="AY21" s="263">
        <v>0.1</v>
      </c>
      <c r="AZ21" s="263">
        <v>0</v>
      </c>
      <c r="BA21" s="263">
        <v>0.2</v>
      </c>
      <c r="BB21" s="263">
        <v>0</v>
      </c>
      <c r="BC21" s="263">
        <v>0</v>
      </c>
      <c r="BD21" s="263">
        <v>0.1</v>
      </c>
      <c r="BE21" s="263">
        <v>0.1</v>
      </c>
      <c r="BF21" s="263">
        <v>0</v>
      </c>
      <c r="BG21" s="263">
        <v>0</v>
      </c>
      <c r="BH21" s="263">
        <v>0</v>
      </c>
      <c r="BI21" s="263">
        <v>0</v>
      </c>
      <c r="BJ21" s="263">
        <v>0</v>
      </c>
      <c r="BK21" s="263">
        <v>3.9</v>
      </c>
      <c r="BL21" s="263">
        <v>0</v>
      </c>
      <c r="BM21" s="263">
        <v>1.3</v>
      </c>
      <c r="BN21" s="263">
        <v>13.2</v>
      </c>
      <c r="BO21" s="263">
        <v>2.6</v>
      </c>
      <c r="BP21" s="263">
        <v>12.7</v>
      </c>
      <c r="BQ21" s="263">
        <v>2</v>
      </c>
      <c r="BR21" s="263">
        <v>0</v>
      </c>
      <c r="BS21" s="263">
        <v>0</v>
      </c>
      <c r="BT21" s="263">
        <v>0</v>
      </c>
      <c r="BU21" s="263">
        <v>1.8</v>
      </c>
      <c r="BV21" s="263">
        <v>0</v>
      </c>
      <c r="BW21" s="263">
        <v>7.4</v>
      </c>
      <c r="BX21" s="263">
        <v>0</v>
      </c>
      <c r="BY21" s="263">
        <v>0</v>
      </c>
      <c r="BZ21" s="263">
        <v>18</v>
      </c>
      <c r="CA21" s="263">
        <v>28.7</v>
      </c>
      <c r="CB21" s="263">
        <v>0</v>
      </c>
      <c r="CC21" s="263">
        <v>0</v>
      </c>
      <c r="CD21" s="263">
        <v>7.3</v>
      </c>
      <c r="CE21" s="263">
        <v>0</v>
      </c>
      <c r="CF21" s="263">
        <v>0</v>
      </c>
      <c r="CG21" s="263">
        <v>0</v>
      </c>
      <c r="CH21" s="263">
        <v>11.3</v>
      </c>
      <c r="CI21" s="263">
        <v>0</v>
      </c>
      <c r="CJ21" s="263">
        <v>0</v>
      </c>
      <c r="CK21" s="263" t="s">
        <v>33</v>
      </c>
      <c r="CL21" s="263" t="s">
        <v>33</v>
      </c>
    </row>
    <row r="22" spans="1:92" ht="15">
      <c r="A22" s="263" t="s">
        <v>32</v>
      </c>
      <c r="B22" s="263" t="s">
        <v>175</v>
      </c>
      <c r="C22" s="263" t="s">
        <v>0</v>
      </c>
      <c r="D22" s="263" t="s">
        <v>0</v>
      </c>
      <c r="E22" s="263" t="s">
        <v>0</v>
      </c>
      <c r="F22" s="263" t="s">
        <v>0</v>
      </c>
      <c r="G22" s="263" t="s">
        <v>0</v>
      </c>
      <c r="H22" s="263" t="s">
        <v>0</v>
      </c>
      <c r="I22" s="263" t="s">
        <v>0</v>
      </c>
      <c r="J22" s="263" t="s">
        <v>0</v>
      </c>
      <c r="K22" s="263" t="s">
        <v>0</v>
      </c>
      <c r="L22" s="263" t="s">
        <v>0</v>
      </c>
      <c r="M22" s="263" t="s">
        <v>0</v>
      </c>
      <c r="N22" s="263" t="s">
        <v>0</v>
      </c>
      <c r="O22" s="263" t="s">
        <v>0</v>
      </c>
      <c r="P22" s="263" t="s">
        <v>0</v>
      </c>
      <c r="Q22" s="263" t="s">
        <v>0</v>
      </c>
      <c r="R22" s="263" t="s">
        <v>0</v>
      </c>
      <c r="S22" s="263" t="s">
        <v>0</v>
      </c>
      <c r="T22" s="263" t="s">
        <v>0</v>
      </c>
      <c r="U22" s="263" t="s">
        <v>0</v>
      </c>
      <c r="V22" s="263" t="s">
        <v>0</v>
      </c>
      <c r="W22" s="263" t="s">
        <v>0</v>
      </c>
      <c r="X22" s="263" t="s">
        <v>0</v>
      </c>
      <c r="Y22" s="263" t="s">
        <v>0</v>
      </c>
      <c r="Z22" s="263" t="s">
        <v>0</v>
      </c>
      <c r="AA22" s="263" t="s">
        <v>0</v>
      </c>
      <c r="AB22" s="263" t="s">
        <v>0</v>
      </c>
      <c r="AC22" s="263" t="s">
        <v>0</v>
      </c>
      <c r="AD22" s="263" t="s">
        <v>0</v>
      </c>
      <c r="AE22" s="263" t="s">
        <v>0</v>
      </c>
      <c r="AF22" s="263" t="s">
        <v>0</v>
      </c>
      <c r="AG22" s="263" t="s">
        <v>0</v>
      </c>
      <c r="AH22" s="263" t="s">
        <v>0</v>
      </c>
      <c r="AI22" s="263" t="s">
        <v>0</v>
      </c>
      <c r="AJ22" s="263" t="s">
        <v>0</v>
      </c>
      <c r="AK22" s="263" t="s">
        <v>0</v>
      </c>
      <c r="AL22" s="263" t="s">
        <v>0</v>
      </c>
      <c r="AM22" s="263" t="s">
        <v>0</v>
      </c>
      <c r="AN22" s="263" t="s">
        <v>0</v>
      </c>
      <c r="AO22" s="263" t="s">
        <v>0</v>
      </c>
      <c r="AP22" s="263" t="s">
        <v>0</v>
      </c>
      <c r="AQ22" s="263" t="s">
        <v>0</v>
      </c>
      <c r="AR22" s="263" t="s">
        <v>0</v>
      </c>
      <c r="AS22" s="263" t="s">
        <v>0</v>
      </c>
      <c r="AT22" s="263" t="s">
        <v>0</v>
      </c>
      <c r="AU22" s="263" t="s">
        <v>0</v>
      </c>
      <c r="AV22" s="263" t="s">
        <v>0</v>
      </c>
      <c r="AW22" s="263" t="s">
        <v>0</v>
      </c>
      <c r="AX22" s="263" t="s">
        <v>0</v>
      </c>
      <c r="AY22" s="263" t="s">
        <v>0</v>
      </c>
      <c r="AZ22" s="263" t="s">
        <v>0</v>
      </c>
      <c r="BA22" s="263" t="s">
        <v>0</v>
      </c>
      <c r="BB22" s="263" t="s">
        <v>0</v>
      </c>
      <c r="BC22" s="263" t="s">
        <v>0</v>
      </c>
      <c r="BD22" s="263" t="s">
        <v>0</v>
      </c>
      <c r="BE22" s="263" t="s">
        <v>0</v>
      </c>
      <c r="BF22" s="263" t="s">
        <v>0</v>
      </c>
      <c r="BG22" s="263" t="s">
        <v>0</v>
      </c>
      <c r="BH22" s="263" t="s">
        <v>0</v>
      </c>
      <c r="BI22" s="263" t="s">
        <v>0</v>
      </c>
      <c r="BJ22" s="263" t="s">
        <v>0</v>
      </c>
      <c r="BK22" s="263" t="s">
        <v>0</v>
      </c>
      <c r="BL22" s="263" t="s">
        <v>0</v>
      </c>
      <c r="BM22" s="263" t="s">
        <v>0</v>
      </c>
      <c r="BN22" s="263" t="s">
        <v>0</v>
      </c>
      <c r="BO22" s="263" t="s">
        <v>0</v>
      </c>
      <c r="BP22" s="263" t="s">
        <v>0</v>
      </c>
      <c r="BQ22" s="263" t="s">
        <v>0</v>
      </c>
      <c r="BR22" s="263" t="s">
        <v>0</v>
      </c>
      <c r="BS22" s="263" t="s">
        <v>0</v>
      </c>
      <c r="BT22" s="263" t="s">
        <v>0</v>
      </c>
      <c r="BU22" s="263" t="s">
        <v>0</v>
      </c>
      <c r="BV22" s="263" t="s">
        <v>0</v>
      </c>
      <c r="BW22" s="263" t="s">
        <v>0</v>
      </c>
      <c r="BX22" s="263" t="s">
        <v>0</v>
      </c>
      <c r="BY22" s="263" t="s">
        <v>0</v>
      </c>
      <c r="BZ22" s="263" t="s">
        <v>0</v>
      </c>
      <c r="CA22" s="263" t="s">
        <v>0</v>
      </c>
      <c r="CB22" s="263" t="s">
        <v>0</v>
      </c>
      <c r="CC22" s="263" t="s">
        <v>0</v>
      </c>
      <c r="CD22" s="263" t="s">
        <v>0</v>
      </c>
      <c r="CE22" s="263" t="s">
        <v>0</v>
      </c>
      <c r="CF22" s="263" t="s">
        <v>0</v>
      </c>
      <c r="CG22" s="263" t="s">
        <v>0</v>
      </c>
      <c r="CH22" s="263" t="s">
        <v>0</v>
      </c>
      <c r="CI22" s="263" t="s">
        <v>0</v>
      </c>
      <c r="CJ22" s="263" t="s">
        <v>0</v>
      </c>
      <c r="CK22" s="263" t="s">
        <v>0</v>
      </c>
      <c r="CL22" s="263" t="s">
        <v>0</v>
      </c>
    </row>
    <row r="23" spans="1:92" ht="15">
      <c r="A23" s="263" t="s">
        <v>32</v>
      </c>
      <c r="B23" s="263" t="s">
        <v>911</v>
      </c>
      <c r="C23" s="263" t="s">
        <v>0</v>
      </c>
      <c r="D23" s="263" t="s">
        <v>0</v>
      </c>
      <c r="E23" s="263" t="s">
        <v>0</v>
      </c>
      <c r="F23" s="263" t="s">
        <v>0</v>
      </c>
      <c r="G23" s="263" t="s">
        <v>0</v>
      </c>
      <c r="H23" s="263" t="s">
        <v>0</v>
      </c>
      <c r="I23" s="263" t="s">
        <v>0</v>
      </c>
      <c r="J23" s="263" t="s">
        <v>0</v>
      </c>
      <c r="K23" s="263" t="s">
        <v>0</v>
      </c>
      <c r="L23" s="263" t="s">
        <v>0</v>
      </c>
      <c r="M23" s="263" t="s">
        <v>0</v>
      </c>
      <c r="N23" s="263" t="s">
        <v>0</v>
      </c>
      <c r="O23" s="263" t="s">
        <v>0</v>
      </c>
      <c r="P23" s="263" t="s">
        <v>0</v>
      </c>
      <c r="Q23" s="263" t="s">
        <v>0</v>
      </c>
      <c r="R23" s="263" t="s">
        <v>0</v>
      </c>
      <c r="S23" s="263" t="s">
        <v>0</v>
      </c>
      <c r="T23" s="263" t="s">
        <v>0</v>
      </c>
      <c r="U23" s="263" t="s">
        <v>0</v>
      </c>
      <c r="V23" s="263" t="s">
        <v>0</v>
      </c>
      <c r="W23" s="263" t="s">
        <v>0</v>
      </c>
      <c r="X23" s="263" t="s">
        <v>0</v>
      </c>
      <c r="Y23" s="263" t="s">
        <v>0</v>
      </c>
      <c r="Z23" s="263" t="s">
        <v>0</v>
      </c>
      <c r="AA23" s="263" t="s">
        <v>0</v>
      </c>
      <c r="AB23" s="263" t="s">
        <v>0</v>
      </c>
      <c r="AC23" s="263" t="s">
        <v>0</v>
      </c>
      <c r="AD23" s="263" t="s">
        <v>0</v>
      </c>
      <c r="AE23" s="263" t="s">
        <v>0</v>
      </c>
      <c r="AF23" s="263" t="s">
        <v>0</v>
      </c>
      <c r="AG23" s="263" t="s">
        <v>0</v>
      </c>
      <c r="AH23" s="263" t="s">
        <v>0</v>
      </c>
      <c r="AI23" s="263" t="s">
        <v>0</v>
      </c>
      <c r="AJ23" s="263" t="s">
        <v>0</v>
      </c>
      <c r="AK23" s="263" t="s">
        <v>0</v>
      </c>
      <c r="AL23" s="263" t="s">
        <v>0</v>
      </c>
      <c r="AM23" s="263" t="s">
        <v>0</v>
      </c>
      <c r="AN23" s="263" t="s">
        <v>0</v>
      </c>
      <c r="AO23" s="263" t="s">
        <v>0</v>
      </c>
      <c r="AP23" s="263" t="s">
        <v>0</v>
      </c>
      <c r="AQ23" s="263" t="s">
        <v>0</v>
      </c>
      <c r="AR23" s="263" t="s">
        <v>0</v>
      </c>
      <c r="AS23" s="263" t="s">
        <v>0</v>
      </c>
      <c r="AT23" s="263" t="s">
        <v>0</v>
      </c>
      <c r="AU23" s="263" t="s">
        <v>0</v>
      </c>
      <c r="AV23" s="263" t="s">
        <v>0</v>
      </c>
      <c r="AW23" s="263" t="s">
        <v>0</v>
      </c>
      <c r="AX23" s="263" t="s">
        <v>0</v>
      </c>
      <c r="AY23" s="263" t="s">
        <v>0</v>
      </c>
      <c r="AZ23" s="263" t="s">
        <v>0</v>
      </c>
      <c r="BA23" s="263" t="s">
        <v>0</v>
      </c>
      <c r="BB23" s="263" t="s">
        <v>0</v>
      </c>
      <c r="BC23" s="263" t="s">
        <v>0</v>
      </c>
      <c r="BD23" s="263" t="s">
        <v>0</v>
      </c>
      <c r="BE23" s="263" t="s">
        <v>0</v>
      </c>
      <c r="BF23" s="263" t="s">
        <v>0</v>
      </c>
      <c r="BG23" s="263" t="s">
        <v>0</v>
      </c>
      <c r="BH23" s="263" t="s">
        <v>0</v>
      </c>
      <c r="BI23" s="263" t="s">
        <v>0</v>
      </c>
      <c r="BJ23" s="263" t="s">
        <v>0</v>
      </c>
      <c r="BK23" s="263" t="s">
        <v>0</v>
      </c>
      <c r="BL23" s="263" t="s">
        <v>0</v>
      </c>
      <c r="BM23" s="263" t="s">
        <v>0</v>
      </c>
      <c r="BN23" s="263" t="s">
        <v>0</v>
      </c>
      <c r="BO23" s="263" t="s">
        <v>0</v>
      </c>
      <c r="BP23" s="263" t="s">
        <v>0</v>
      </c>
      <c r="BQ23" s="263" t="s">
        <v>0</v>
      </c>
      <c r="BR23" s="263" t="s">
        <v>0</v>
      </c>
      <c r="BS23" s="263" t="s">
        <v>0</v>
      </c>
      <c r="BT23" s="263" t="s">
        <v>0</v>
      </c>
      <c r="BU23" s="263" t="s">
        <v>0</v>
      </c>
      <c r="BV23" s="263" t="s">
        <v>0</v>
      </c>
      <c r="BW23" s="263" t="s">
        <v>0</v>
      </c>
      <c r="BX23" s="263" t="s">
        <v>0</v>
      </c>
      <c r="BY23" s="263" t="s">
        <v>0</v>
      </c>
      <c r="BZ23" s="263" t="s">
        <v>0</v>
      </c>
      <c r="CA23" s="263" t="s">
        <v>0</v>
      </c>
      <c r="CB23" s="263" t="s">
        <v>0</v>
      </c>
      <c r="CC23" s="263" t="s">
        <v>0</v>
      </c>
      <c r="CD23" s="263" t="s">
        <v>0</v>
      </c>
      <c r="CE23" s="263" t="s">
        <v>0</v>
      </c>
      <c r="CF23" s="263" t="s">
        <v>0</v>
      </c>
      <c r="CG23" s="263" t="s">
        <v>0</v>
      </c>
      <c r="CH23" s="263" t="s">
        <v>0</v>
      </c>
      <c r="CI23" s="263" t="s">
        <v>0</v>
      </c>
      <c r="CJ23" s="263" t="s">
        <v>0</v>
      </c>
      <c r="CK23" s="263" t="s">
        <v>0</v>
      </c>
      <c r="CL23" s="263" t="s">
        <v>0</v>
      </c>
    </row>
    <row r="24" spans="1:92" ht="15">
      <c r="A24" s="263" t="s">
        <v>54</v>
      </c>
      <c r="B24" s="263" t="s">
        <v>912</v>
      </c>
      <c r="C24" s="263">
        <v>0.7</v>
      </c>
      <c r="D24" s="263">
        <v>-0.2</v>
      </c>
      <c r="E24" s="263">
        <v>-1.3</v>
      </c>
      <c r="F24" s="263">
        <v>-1.6</v>
      </c>
      <c r="G24" s="263">
        <v>-1.4</v>
      </c>
      <c r="H24" s="263">
        <v>-0.1</v>
      </c>
      <c r="I24" s="263">
        <v>0.2</v>
      </c>
      <c r="J24" s="263">
        <v>0.4</v>
      </c>
      <c r="K24" s="263">
        <v>0.1</v>
      </c>
      <c r="L24" s="263">
        <v>0</v>
      </c>
      <c r="M24" s="263">
        <v>0</v>
      </c>
      <c r="N24" s="263">
        <v>-0.7</v>
      </c>
      <c r="O24" s="263">
        <v>-1</v>
      </c>
      <c r="P24" s="263">
        <v>-0.2</v>
      </c>
      <c r="Q24" s="263">
        <v>-0.2</v>
      </c>
      <c r="R24" s="263">
        <v>0</v>
      </c>
      <c r="S24" s="263">
        <v>0.6</v>
      </c>
      <c r="T24" s="263">
        <v>1.1000000000000001</v>
      </c>
      <c r="U24" s="263">
        <v>0.7</v>
      </c>
      <c r="V24" s="263">
        <v>0.7</v>
      </c>
      <c r="W24" s="263">
        <v>0.6</v>
      </c>
      <c r="X24" s="263">
        <v>1</v>
      </c>
      <c r="Y24" s="263">
        <v>1.1000000000000001</v>
      </c>
      <c r="Z24" s="263">
        <v>1.1000000000000001</v>
      </c>
      <c r="AA24" s="263">
        <v>0.8</v>
      </c>
      <c r="AB24" s="263">
        <v>1.8</v>
      </c>
      <c r="AC24" s="263">
        <v>1.7</v>
      </c>
      <c r="AD24" s="263">
        <v>1.7</v>
      </c>
      <c r="AE24" s="263">
        <v>1.6</v>
      </c>
      <c r="AF24" s="263">
        <v>2.8</v>
      </c>
      <c r="AG24" s="263">
        <v>1.8</v>
      </c>
      <c r="AH24" s="263">
        <v>2.6</v>
      </c>
      <c r="AI24" s="263">
        <v>4</v>
      </c>
      <c r="AJ24" s="263">
        <v>3.4</v>
      </c>
      <c r="AK24" s="263">
        <v>3.6</v>
      </c>
      <c r="AL24" s="263">
        <v>3.9</v>
      </c>
      <c r="AM24" s="263">
        <v>5.2</v>
      </c>
      <c r="AN24" s="263">
        <v>5.4</v>
      </c>
      <c r="AO24" s="263">
        <v>7.5</v>
      </c>
      <c r="AP24" s="263">
        <v>8.9</v>
      </c>
      <c r="AQ24" s="263">
        <v>7.8</v>
      </c>
      <c r="AR24" s="263">
        <v>5.2</v>
      </c>
      <c r="AS24" s="263">
        <v>7.4</v>
      </c>
      <c r="AT24" s="263">
        <v>10.1</v>
      </c>
      <c r="AU24" s="263">
        <v>9.5</v>
      </c>
      <c r="AV24" s="263">
        <v>7.7</v>
      </c>
      <c r="AW24" s="263">
        <v>8.9</v>
      </c>
      <c r="AX24" s="263">
        <v>10.6</v>
      </c>
      <c r="AY24" s="263">
        <v>14</v>
      </c>
      <c r="AZ24" s="263">
        <v>16.7</v>
      </c>
      <c r="BA24" s="263">
        <v>21</v>
      </c>
      <c r="BB24" s="263">
        <v>27.1</v>
      </c>
      <c r="BC24" s="263">
        <v>28.8</v>
      </c>
      <c r="BD24" s="263">
        <v>29.1</v>
      </c>
      <c r="BE24" s="263">
        <v>42</v>
      </c>
      <c r="BF24" s="263">
        <v>46.7</v>
      </c>
      <c r="BG24" s="263">
        <v>75.2</v>
      </c>
      <c r="BH24" s="263">
        <v>124</v>
      </c>
      <c r="BI24" s="263">
        <v>82.9</v>
      </c>
      <c r="BJ24" s="263">
        <v>80.099999999999994</v>
      </c>
      <c r="BK24" s="263">
        <v>82.9</v>
      </c>
      <c r="BL24" s="263">
        <v>62.8</v>
      </c>
      <c r="BM24" s="263">
        <v>62.2</v>
      </c>
      <c r="BN24" s="263">
        <v>70.900000000000006</v>
      </c>
      <c r="BO24" s="263">
        <v>90.8</v>
      </c>
      <c r="BP24" s="263">
        <v>71</v>
      </c>
      <c r="BQ24" s="263">
        <v>115.5</v>
      </c>
      <c r="BR24" s="263">
        <v>132.80000000000001</v>
      </c>
      <c r="BS24" s="263">
        <v>200.8</v>
      </c>
      <c r="BT24" s="263">
        <v>201</v>
      </c>
      <c r="BU24" s="263">
        <v>269.39999999999998</v>
      </c>
      <c r="BV24" s="263">
        <v>286.3</v>
      </c>
      <c r="BW24" s="263">
        <v>156.6</v>
      </c>
      <c r="BX24" s="263">
        <v>96.4</v>
      </c>
      <c r="BY24" s="263">
        <v>123.3</v>
      </c>
      <c r="BZ24" s="263">
        <v>170.8</v>
      </c>
      <c r="CA24" s="263">
        <v>246.1</v>
      </c>
      <c r="CB24" s="263">
        <v>281.5</v>
      </c>
      <c r="CC24" s="263">
        <v>324.5</v>
      </c>
      <c r="CD24" s="263">
        <v>69.400000000000006</v>
      </c>
      <c r="CE24" s="263">
        <v>59.3</v>
      </c>
      <c r="CF24" s="263">
        <v>152.30000000000001</v>
      </c>
      <c r="CG24" s="263">
        <v>175.2</v>
      </c>
      <c r="CH24" s="263">
        <v>223.8</v>
      </c>
      <c r="CI24" s="263">
        <v>259</v>
      </c>
      <c r="CJ24" s="263">
        <v>320.2</v>
      </c>
      <c r="CK24" s="263" t="s">
        <v>33</v>
      </c>
      <c r="CL24" s="263" t="s">
        <v>33</v>
      </c>
    </row>
    <row r="25" spans="1:92" ht="15">
      <c r="A25" s="263" t="s">
        <v>53</v>
      </c>
      <c r="B25" s="263" t="s">
        <v>913</v>
      </c>
      <c r="C25" s="263">
        <v>2.6</v>
      </c>
      <c r="D25" s="263">
        <v>2.6</v>
      </c>
      <c r="E25" s="263">
        <v>2</v>
      </c>
      <c r="F25" s="263">
        <v>1.3</v>
      </c>
      <c r="G25" s="263">
        <v>1</v>
      </c>
      <c r="H25" s="263">
        <v>2.2000000000000002</v>
      </c>
      <c r="I25" s="263">
        <v>3</v>
      </c>
      <c r="J25" s="263">
        <v>2.7</v>
      </c>
      <c r="K25" s="263">
        <v>2.7</v>
      </c>
      <c r="L25" s="263">
        <v>1.8</v>
      </c>
      <c r="M25" s="263">
        <v>1.9</v>
      </c>
      <c r="N25" s="263">
        <v>2</v>
      </c>
      <c r="O25" s="263">
        <v>2.2000000000000002</v>
      </c>
      <c r="P25" s="263">
        <v>1.3</v>
      </c>
      <c r="Q25" s="263">
        <v>1.3</v>
      </c>
      <c r="R25" s="263">
        <v>1.4</v>
      </c>
      <c r="S25" s="263">
        <v>1.4</v>
      </c>
      <c r="T25" s="263">
        <v>1.7</v>
      </c>
      <c r="U25" s="263">
        <v>1.9</v>
      </c>
      <c r="V25" s="263">
        <v>2.2000000000000002</v>
      </c>
      <c r="W25" s="263">
        <v>2.2000000000000002</v>
      </c>
      <c r="X25" s="263">
        <v>2.5</v>
      </c>
      <c r="Y25" s="263">
        <v>2.4</v>
      </c>
      <c r="Z25" s="263">
        <v>2.4</v>
      </c>
      <c r="AA25" s="263">
        <v>2.4</v>
      </c>
      <c r="AB25" s="263">
        <v>2.2999999999999998</v>
      </c>
      <c r="AC25" s="263">
        <v>2.6</v>
      </c>
      <c r="AD25" s="263">
        <v>2.7</v>
      </c>
      <c r="AE25" s="263">
        <v>2.7</v>
      </c>
      <c r="AF25" s="263">
        <v>2.8</v>
      </c>
      <c r="AG25" s="263">
        <v>2.9</v>
      </c>
      <c r="AH25" s="263">
        <v>3.1</v>
      </c>
      <c r="AI25" s="263">
        <v>3.3</v>
      </c>
      <c r="AJ25" s="263">
        <v>3.6</v>
      </c>
      <c r="AK25" s="263">
        <v>3.6</v>
      </c>
      <c r="AL25" s="263">
        <v>4</v>
      </c>
      <c r="AM25" s="263">
        <v>4.5</v>
      </c>
      <c r="AN25" s="263">
        <v>4.4000000000000004</v>
      </c>
      <c r="AO25" s="263">
        <v>4.4000000000000004</v>
      </c>
      <c r="AP25" s="263">
        <v>4.9000000000000004</v>
      </c>
      <c r="AQ25" s="263">
        <v>5</v>
      </c>
      <c r="AR25" s="263">
        <v>5.2</v>
      </c>
      <c r="AS25" s="263">
        <v>5.5</v>
      </c>
      <c r="AT25" s="263">
        <v>6.5</v>
      </c>
      <c r="AU25" s="263">
        <v>9.4</v>
      </c>
      <c r="AV25" s="263">
        <v>13.8</v>
      </c>
      <c r="AW25" s="263">
        <v>8.8000000000000007</v>
      </c>
      <c r="AX25" s="263">
        <v>12</v>
      </c>
      <c r="AY25" s="263">
        <v>13</v>
      </c>
      <c r="AZ25" s="263">
        <v>13.3</v>
      </c>
      <c r="BA25" s="263">
        <v>16.8</v>
      </c>
      <c r="BB25" s="263">
        <v>18.7</v>
      </c>
      <c r="BC25" s="263">
        <v>17.399999999999999</v>
      </c>
      <c r="BD25" s="263">
        <v>18.2</v>
      </c>
      <c r="BE25" s="263">
        <v>19.7</v>
      </c>
      <c r="BF25" s="263">
        <v>21.2</v>
      </c>
      <c r="BG25" s="263">
        <v>17</v>
      </c>
      <c r="BH25" s="263">
        <v>15.2</v>
      </c>
      <c r="BI25" s="263">
        <v>13.9</v>
      </c>
      <c r="BJ25" s="263">
        <v>22.3</v>
      </c>
      <c r="BK25" s="263">
        <v>24.8</v>
      </c>
      <c r="BL25" s="263">
        <v>23.4</v>
      </c>
      <c r="BM25" s="263">
        <v>23.5</v>
      </c>
      <c r="BN25" s="263">
        <v>25.3</v>
      </c>
      <c r="BO25" s="263">
        <v>28.8</v>
      </c>
      <c r="BP25" s="263">
        <v>33</v>
      </c>
      <c r="BQ25" s="263">
        <v>38.700000000000003</v>
      </c>
      <c r="BR25" s="263">
        <v>47.2</v>
      </c>
      <c r="BS25" s="263">
        <v>57.7</v>
      </c>
      <c r="BT25" s="263">
        <v>64.2</v>
      </c>
      <c r="BU25" s="263">
        <v>67.3</v>
      </c>
      <c r="BV25" s="263">
        <v>69.599999999999994</v>
      </c>
      <c r="BW25" s="263">
        <v>67.599999999999994</v>
      </c>
      <c r="BX25" s="263">
        <v>68.099999999999994</v>
      </c>
      <c r="BY25" s="263">
        <v>76.099999999999994</v>
      </c>
      <c r="BZ25" s="263">
        <v>98.7</v>
      </c>
      <c r="CA25" s="263">
        <v>122.3</v>
      </c>
      <c r="CB25" s="263">
        <v>156.19999999999999</v>
      </c>
      <c r="CC25" s="263">
        <v>197</v>
      </c>
      <c r="CD25" s="263">
        <v>206.7</v>
      </c>
      <c r="CE25" s="263">
        <v>155.4</v>
      </c>
      <c r="CF25" s="263">
        <v>176.1</v>
      </c>
      <c r="CG25" s="263">
        <v>192.8</v>
      </c>
      <c r="CH25" s="263">
        <v>217.5</v>
      </c>
      <c r="CI25" s="263">
        <v>243</v>
      </c>
      <c r="CJ25" s="263">
        <v>284.7</v>
      </c>
      <c r="CK25" s="263" t="s">
        <v>33</v>
      </c>
      <c r="CL25" s="263" t="s">
        <v>33</v>
      </c>
    </row>
    <row r="26" spans="1:92" ht="16">
      <c r="A26" s="263" t="s">
        <v>52</v>
      </c>
      <c r="B26" s="263" t="s">
        <v>914</v>
      </c>
      <c r="C26" s="263">
        <v>0.4</v>
      </c>
      <c r="D26" s="263">
        <v>0.3</v>
      </c>
      <c r="E26" s="263">
        <v>0.2</v>
      </c>
      <c r="F26" s="263">
        <v>0.1</v>
      </c>
      <c r="G26" s="263">
        <v>0.1</v>
      </c>
      <c r="H26" s="263">
        <v>0.2</v>
      </c>
      <c r="I26" s="263">
        <v>0.3</v>
      </c>
      <c r="J26" s="263">
        <v>0.3</v>
      </c>
      <c r="K26" s="263">
        <v>0.4</v>
      </c>
      <c r="L26" s="263">
        <v>0.4</v>
      </c>
      <c r="M26" s="263">
        <v>0.3</v>
      </c>
      <c r="N26" s="263">
        <v>0.4</v>
      </c>
      <c r="O26" s="263">
        <v>0.3</v>
      </c>
      <c r="P26" s="263">
        <v>0.3</v>
      </c>
      <c r="Q26" s="263">
        <v>0.3</v>
      </c>
      <c r="R26" s="263">
        <v>0.4</v>
      </c>
      <c r="S26" s="263">
        <v>0.4</v>
      </c>
      <c r="T26" s="263">
        <v>0.6</v>
      </c>
      <c r="U26" s="263">
        <v>1</v>
      </c>
      <c r="V26" s="263">
        <v>1.1000000000000001</v>
      </c>
      <c r="W26" s="263">
        <v>1.2</v>
      </c>
      <c r="X26" s="263">
        <v>1.5</v>
      </c>
      <c r="Y26" s="263">
        <v>1.9</v>
      </c>
      <c r="Z26" s="263">
        <v>1.8</v>
      </c>
      <c r="AA26" s="263">
        <v>1.9</v>
      </c>
      <c r="AB26" s="263">
        <v>1.8</v>
      </c>
      <c r="AC26" s="263">
        <v>2.4</v>
      </c>
      <c r="AD26" s="263">
        <v>2.5</v>
      </c>
      <c r="AE26" s="263">
        <v>2.7</v>
      </c>
      <c r="AF26" s="263">
        <v>2.7</v>
      </c>
      <c r="AG26" s="263">
        <v>2.8</v>
      </c>
      <c r="AH26" s="263">
        <v>2.9</v>
      </c>
      <c r="AI26" s="263">
        <v>3.5</v>
      </c>
      <c r="AJ26" s="263">
        <v>3.6</v>
      </c>
      <c r="AK26" s="263">
        <v>4.3</v>
      </c>
      <c r="AL26" s="263">
        <v>5.2</v>
      </c>
      <c r="AM26" s="263">
        <v>5.2</v>
      </c>
      <c r="AN26" s="263">
        <v>5.7</v>
      </c>
      <c r="AO26" s="263">
        <v>6.5</v>
      </c>
      <c r="AP26" s="263">
        <v>7.1</v>
      </c>
      <c r="AQ26" s="263">
        <v>7.8</v>
      </c>
      <c r="AR26" s="263">
        <v>8.5</v>
      </c>
      <c r="AS26" s="263">
        <v>10.7</v>
      </c>
      <c r="AT26" s="263">
        <v>13.3</v>
      </c>
      <c r="AU26" s="263">
        <v>20.6</v>
      </c>
      <c r="AV26" s="263">
        <v>43.6</v>
      </c>
      <c r="AW26" s="263">
        <v>41.9</v>
      </c>
      <c r="AX26" s="263">
        <v>49.8</v>
      </c>
      <c r="AY26" s="263">
        <v>52.3</v>
      </c>
      <c r="AZ26" s="263">
        <v>53.6</v>
      </c>
      <c r="BA26" s="263">
        <v>77.8</v>
      </c>
      <c r="BB26" s="263">
        <v>52.2</v>
      </c>
      <c r="BC26" s="263">
        <v>44.1</v>
      </c>
      <c r="BD26" s="263">
        <v>44.8</v>
      </c>
      <c r="BE26" s="263">
        <v>41.6</v>
      </c>
      <c r="BF26" s="263">
        <v>44.8</v>
      </c>
      <c r="BG26" s="263">
        <v>45.7</v>
      </c>
      <c r="BH26" s="263">
        <v>41.7</v>
      </c>
      <c r="BI26" s="263">
        <v>48.4</v>
      </c>
      <c r="BJ26" s="263">
        <v>64.900000000000006</v>
      </c>
      <c r="BK26" s="263">
        <v>55</v>
      </c>
      <c r="BL26" s="263">
        <v>61.9</v>
      </c>
      <c r="BM26" s="263">
        <v>54.2</v>
      </c>
      <c r="BN26" s="263">
        <v>67.2</v>
      </c>
      <c r="BO26" s="263">
        <v>77.099999999999994</v>
      </c>
      <c r="BP26" s="263">
        <v>79.2</v>
      </c>
      <c r="BQ26" s="263">
        <v>92.3</v>
      </c>
      <c r="BR26" s="263">
        <v>107.1</v>
      </c>
      <c r="BS26" s="263">
        <v>113.8</v>
      </c>
      <c r="BT26" s="263">
        <v>107.3</v>
      </c>
      <c r="BU26" s="263">
        <v>123.5</v>
      </c>
      <c r="BV26" s="263">
        <v>131.5</v>
      </c>
      <c r="BW26" s="263">
        <v>115.7</v>
      </c>
      <c r="BX26" s="263">
        <v>108.2</v>
      </c>
      <c r="BY26" s="263">
        <v>132.30000000000001</v>
      </c>
      <c r="BZ26" s="263">
        <v>167.9</v>
      </c>
      <c r="CA26" s="263">
        <v>514</v>
      </c>
      <c r="CB26" s="263">
        <v>250.2</v>
      </c>
      <c r="CC26" s="263">
        <v>286.3</v>
      </c>
      <c r="CD26" s="263">
        <v>288</v>
      </c>
      <c r="CE26" s="263">
        <v>282.89999999999998</v>
      </c>
      <c r="CF26" s="263">
        <v>336.1</v>
      </c>
      <c r="CG26" s="263">
        <v>304.39999999999998</v>
      </c>
      <c r="CH26" s="263">
        <v>301.5</v>
      </c>
      <c r="CI26" s="263">
        <v>316.60000000000002</v>
      </c>
      <c r="CJ26" s="263">
        <v>301.39999999999998</v>
      </c>
      <c r="CK26" s="263" t="s">
        <v>33</v>
      </c>
      <c r="CL26" s="263" t="s">
        <v>33</v>
      </c>
      <c r="CN26" s="260" t="s">
        <v>526</v>
      </c>
    </row>
    <row r="27" spans="1:92" ht="15">
      <c r="A27" s="263" t="s">
        <v>51</v>
      </c>
      <c r="B27" s="263" t="s">
        <v>915</v>
      </c>
      <c r="C27" s="263">
        <v>0.3</v>
      </c>
      <c r="D27" s="263">
        <v>0.2</v>
      </c>
      <c r="E27" s="263">
        <v>0.1</v>
      </c>
      <c r="F27" s="263">
        <v>0</v>
      </c>
      <c r="G27" s="263">
        <v>0</v>
      </c>
      <c r="H27" s="263">
        <v>0</v>
      </c>
      <c r="I27" s="263">
        <v>0.1</v>
      </c>
      <c r="J27" s="263">
        <v>0.2</v>
      </c>
      <c r="K27" s="263">
        <v>0.1</v>
      </c>
      <c r="L27" s="263">
        <v>0.1</v>
      </c>
      <c r="M27" s="263">
        <v>0.1</v>
      </c>
      <c r="N27" s="263">
        <v>0.1</v>
      </c>
      <c r="O27" s="263">
        <v>0.1</v>
      </c>
      <c r="P27" s="263">
        <v>0</v>
      </c>
      <c r="Q27" s="263">
        <v>0</v>
      </c>
      <c r="R27" s="263">
        <v>0.1</v>
      </c>
      <c r="S27" s="263">
        <v>0.1</v>
      </c>
      <c r="T27" s="263">
        <v>0.2</v>
      </c>
      <c r="U27" s="263">
        <v>0.1</v>
      </c>
      <c r="V27" s="263">
        <v>0.2</v>
      </c>
      <c r="W27" s="263">
        <v>0.1</v>
      </c>
      <c r="X27" s="263">
        <v>0.2</v>
      </c>
      <c r="Y27" s="263">
        <v>0.2</v>
      </c>
      <c r="Z27" s="263">
        <v>0.2</v>
      </c>
      <c r="AA27" s="263">
        <v>0.2</v>
      </c>
      <c r="AB27" s="263">
        <v>0.2</v>
      </c>
      <c r="AC27" s="263">
        <v>0.3</v>
      </c>
      <c r="AD27" s="263">
        <v>0.3</v>
      </c>
      <c r="AE27" s="263">
        <v>0.3</v>
      </c>
      <c r="AF27" s="263">
        <v>0.3</v>
      </c>
      <c r="AG27" s="263">
        <v>0.4</v>
      </c>
      <c r="AH27" s="263">
        <v>0.4</v>
      </c>
      <c r="AI27" s="263">
        <v>0.5</v>
      </c>
      <c r="AJ27" s="263">
        <v>0.4</v>
      </c>
      <c r="AK27" s="263">
        <v>0.4</v>
      </c>
      <c r="AL27" s="263">
        <v>0.5</v>
      </c>
      <c r="AM27" s="263">
        <v>0.6</v>
      </c>
      <c r="AN27" s="263">
        <v>0.7</v>
      </c>
      <c r="AO27" s="263">
        <v>1</v>
      </c>
      <c r="AP27" s="263">
        <v>1.3</v>
      </c>
      <c r="AQ27" s="263">
        <v>1.4</v>
      </c>
      <c r="AR27" s="263">
        <v>1.7</v>
      </c>
      <c r="AS27" s="263">
        <v>2.1</v>
      </c>
      <c r="AT27" s="263">
        <v>2</v>
      </c>
      <c r="AU27" s="263">
        <v>1.5</v>
      </c>
      <c r="AV27" s="263">
        <v>1.7</v>
      </c>
      <c r="AW27" s="263">
        <v>2</v>
      </c>
      <c r="AX27" s="263">
        <v>2.5</v>
      </c>
      <c r="AY27" s="263">
        <v>2.1</v>
      </c>
      <c r="AZ27" s="263">
        <v>1.5</v>
      </c>
      <c r="BA27" s="263">
        <v>1.8</v>
      </c>
      <c r="BB27" s="263">
        <v>3.2</v>
      </c>
      <c r="BC27" s="263">
        <v>3.8</v>
      </c>
      <c r="BD27" s="263">
        <v>5.3</v>
      </c>
      <c r="BE27" s="263">
        <v>7</v>
      </c>
      <c r="BF27" s="263">
        <v>5.6</v>
      </c>
      <c r="BG27" s="263">
        <v>8</v>
      </c>
      <c r="BH27" s="263">
        <v>12.9</v>
      </c>
      <c r="BI27" s="263">
        <v>8.3000000000000007</v>
      </c>
      <c r="BJ27" s="263">
        <v>11.1</v>
      </c>
      <c r="BK27" s="263">
        <v>12.3</v>
      </c>
      <c r="BL27" s="263">
        <v>14.3</v>
      </c>
      <c r="BM27" s="263">
        <v>21.8</v>
      </c>
      <c r="BN27" s="263">
        <v>22.2</v>
      </c>
      <c r="BO27" s="263">
        <v>27.2</v>
      </c>
      <c r="BP27" s="263">
        <v>21.2</v>
      </c>
      <c r="BQ27" s="263">
        <v>30.5</v>
      </c>
      <c r="BR27" s="263">
        <v>35.299999999999997</v>
      </c>
      <c r="BS27" s="263">
        <v>37.5</v>
      </c>
      <c r="BT27" s="263">
        <v>39.9</v>
      </c>
      <c r="BU27" s="263">
        <v>57.3</v>
      </c>
      <c r="BV27" s="263">
        <v>70.2</v>
      </c>
      <c r="BW27" s="263">
        <v>51.8</v>
      </c>
      <c r="BX27" s="263">
        <v>40.799999999999997</v>
      </c>
      <c r="BY27" s="263">
        <v>43.8</v>
      </c>
      <c r="BZ27" s="263">
        <v>41.8</v>
      </c>
      <c r="CA27" s="263">
        <v>44</v>
      </c>
      <c r="CB27" s="263">
        <v>52.2</v>
      </c>
      <c r="CC27" s="263">
        <v>40.799999999999997</v>
      </c>
      <c r="CD27" s="263">
        <v>-0.1</v>
      </c>
      <c r="CE27" s="263">
        <v>52.1</v>
      </c>
      <c r="CF27" s="263">
        <v>62.3</v>
      </c>
      <c r="CG27" s="263">
        <v>54.1</v>
      </c>
      <c r="CH27" s="263">
        <v>54.5</v>
      </c>
      <c r="CI27" s="263">
        <v>57.9</v>
      </c>
      <c r="CJ27" s="263">
        <v>58.4</v>
      </c>
      <c r="CK27" s="263" t="s">
        <v>33</v>
      </c>
      <c r="CL27" s="263" t="s">
        <v>33</v>
      </c>
    </row>
    <row r="28" spans="1:92" ht="15">
      <c r="A28" s="263" t="s">
        <v>49</v>
      </c>
      <c r="B28" s="263" t="s">
        <v>916</v>
      </c>
      <c r="C28" s="263" t="s">
        <v>33</v>
      </c>
      <c r="D28" s="263" t="s">
        <v>33</v>
      </c>
      <c r="E28" s="263" t="s">
        <v>33</v>
      </c>
      <c r="F28" s="263" t="s">
        <v>33</v>
      </c>
      <c r="G28" s="263" t="s">
        <v>33</v>
      </c>
      <c r="H28" s="263" t="s">
        <v>33</v>
      </c>
      <c r="I28" s="263" t="s">
        <v>33</v>
      </c>
      <c r="J28" s="263" t="s">
        <v>33</v>
      </c>
      <c r="K28" s="263" t="s">
        <v>33</v>
      </c>
      <c r="L28" s="263" t="s">
        <v>33</v>
      </c>
      <c r="M28" s="263" t="s">
        <v>33</v>
      </c>
      <c r="N28" s="263" t="s">
        <v>33</v>
      </c>
      <c r="O28" s="263" t="s">
        <v>33</v>
      </c>
      <c r="P28" s="263" t="s">
        <v>33</v>
      </c>
      <c r="Q28" s="263" t="s">
        <v>33</v>
      </c>
      <c r="R28" s="263" t="s">
        <v>33</v>
      </c>
      <c r="S28" s="263" t="s">
        <v>33</v>
      </c>
      <c r="T28" s="263" t="s">
        <v>33</v>
      </c>
      <c r="U28" s="263" t="s">
        <v>33</v>
      </c>
      <c r="V28" s="263" t="s">
        <v>33</v>
      </c>
      <c r="W28" s="263" t="s">
        <v>33</v>
      </c>
      <c r="X28" s="263" t="s">
        <v>33</v>
      </c>
      <c r="Y28" s="263" t="s">
        <v>33</v>
      </c>
      <c r="Z28" s="263" t="s">
        <v>33</v>
      </c>
      <c r="AA28" s="263" t="s">
        <v>33</v>
      </c>
      <c r="AB28" s="263" t="s">
        <v>33</v>
      </c>
      <c r="AC28" s="263" t="s">
        <v>33</v>
      </c>
      <c r="AD28" s="263" t="s">
        <v>33</v>
      </c>
      <c r="AE28" s="263" t="s">
        <v>33</v>
      </c>
      <c r="AF28" s="263" t="s">
        <v>33</v>
      </c>
      <c r="AG28" s="263" t="s">
        <v>33</v>
      </c>
      <c r="AH28" s="263" t="s">
        <v>33</v>
      </c>
      <c r="AI28" s="263" t="s">
        <v>33</v>
      </c>
      <c r="AJ28" s="263" t="s">
        <v>33</v>
      </c>
      <c r="AK28" s="263" t="s">
        <v>33</v>
      </c>
      <c r="AL28" s="263" t="s">
        <v>33</v>
      </c>
      <c r="AM28" s="263" t="s">
        <v>33</v>
      </c>
      <c r="AN28" s="263" t="s">
        <v>33</v>
      </c>
      <c r="AO28" s="263" t="s">
        <v>33</v>
      </c>
      <c r="AP28" s="263">
        <v>-0.8</v>
      </c>
      <c r="AQ28" s="263">
        <v>-0.4</v>
      </c>
      <c r="AR28" s="263">
        <v>-1</v>
      </c>
      <c r="AS28" s="263">
        <v>-2.4</v>
      </c>
      <c r="AT28" s="263">
        <v>-3.2</v>
      </c>
      <c r="AU28" s="263">
        <v>-6</v>
      </c>
      <c r="AV28" s="263">
        <v>-7.8</v>
      </c>
      <c r="AW28" s="263">
        <v>-3.2</v>
      </c>
      <c r="AX28" s="263">
        <v>-8.5</v>
      </c>
      <c r="AY28" s="263">
        <v>-8.6999999999999993</v>
      </c>
      <c r="AZ28" s="263">
        <v>-13.9</v>
      </c>
      <c r="BA28" s="263">
        <v>-15.9</v>
      </c>
      <c r="BB28" s="263">
        <v>-14.4</v>
      </c>
      <c r="BC28" s="263">
        <v>-14.3</v>
      </c>
      <c r="BD28" s="263">
        <v>-13.6</v>
      </c>
      <c r="BE28" s="263">
        <v>-8.5</v>
      </c>
      <c r="BF28" s="263">
        <v>-4.9000000000000004</v>
      </c>
      <c r="BG28" s="263">
        <v>-6.6</v>
      </c>
      <c r="BH28" s="263">
        <v>6.2</v>
      </c>
      <c r="BI28" s="263">
        <v>16.899999999999999</v>
      </c>
      <c r="BJ28" s="263">
        <v>26.1</v>
      </c>
      <c r="BK28" s="263">
        <v>29</v>
      </c>
      <c r="BL28" s="263">
        <v>37.5</v>
      </c>
      <c r="BM28" s="263">
        <v>26.1</v>
      </c>
      <c r="BN28" s="263">
        <v>32.299999999999997</v>
      </c>
      <c r="BO28" s="263">
        <v>25.7</v>
      </c>
      <c r="BP28" s="263">
        <v>19.899999999999999</v>
      </c>
      <c r="BQ28" s="263">
        <v>10.6</v>
      </c>
      <c r="BR28" s="263">
        <v>20.3</v>
      </c>
      <c r="BS28" s="263">
        <v>22.5</v>
      </c>
      <c r="BT28" s="263">
        <v>20.399999999999999</v>
      </c>
      <c r="BU28" s="263">
        <v>23.8</v>
      </c>
      <c r="BV28" s="263">
        <v>30.8</v>
      </c>
      <c r="BW28" s="263">
        <v>38.200000000000003</v>
      </c>
      <c r="BX28" s="263">
        <v>17.5</v>
      </c>
      <c r="BY28" s="263">
        <v>-32.6</v>
      </c>
      <c r="BZ28" s="263">
        <v>-5.9</v>
      </c>
      <c r="CA28" s="263">
        <v>-5.8</v>
      </c>
      <c r="CB28" s="263">
        <v>-9.1999999999999993</v>
      </c>
      <c r="CC28" s="263">
        <v>19.600000000000001</v>
      </c>
      <c r="CD28" s="263">
        <v>26.2</v>
      </c>
      <c r="CE28" s="263">
        <v>3.5</v>
      </c>
      <c r="CF28" s="263">
        <v>-20.7</v>
      </c>
      <c r="CG28" s="263">
        <v>-27.2</v>
      </c>
      <c r="CH28" s="263">
        <v>-28.4</v>
      </c>
      <c r="CI28" s="263">
        <v>-25.1</v>
      </c>
      <c r="CJ28" s="263">
        <v>-10.1</v>
      </c>
      <c r="CK28" s="263" t="s">
        <v>33</v>
      </c>
      <c r="CL28" s="263" t="s">
        <v>33</v>
      </c>
    </row>
    <row r="29" spans="1:92" ht="15">
      <c r="A29" s="263" t="s">
        <v>47</v>
      </c>
      <c r="B29" s="263" t="s">
        <v>182</v>
      </c>
      <c r="C29" s="263">
        <v>0.2</v>
      </c>
      <c r="D29" s="263">
        <v>0.1</v>
      </c>
      <c r="E29" s="263">
        <v>0</v>
      </c>
      <c r="F29" s="263">
        <v>0</v>
      </c>
      <c r="G29" s="263">
        <v>0</v>
      </c>
      <c r="H29" s="263">
        <v>0.1</v>
      </c>
      <c r="I29" s="263">
        <v>0.2</v>
      </c>
      <c r="J29" s="263">
        <v>0.1</v>
      </c>
      <c r="K29" s="263">
        <v>0.3</v>
      </c>
      <c r="L29" s="263">
        <v>0.3</v>
      </c>
      <c r="M29" s="263">
        <v>0.3</v>
      </c>
      <c r="N29" s="263">
        <v>0.3</v>
      </c>
      <c r="O29" s="263">
        <v>0.4</v>
      </c>
      <c r="P29" s="263">
        <v>0.4</v>
      </c>
      <c r="Q29" s="263">
        <v>0.4</v>
      </c>
      <c r="R29" s="263">
        <v>0.4</v>
      </c>
      <c r="S29" s="263">
        <v>0.3</v>
      </c>
      <c r="T29" s="263">
        <v>0.7</v>
      </c>
      <c r="U29" s="263">
        <v>1</v>
      </c>
      <c r="V29" s="263">
        <v>1.3</v>
      </c>
      <c r="W29" s="263">
        <v>1.1000000000000001</v>
      </c>
      <c r="X29" s="263">
        <v>1.3</v>
      </c>
      <c r="Y29" s="263">
        <v>1.7</v>
      </c>
      <c r="Z29" s="263">
        <v>1.9</v>
      </c>
      <c r="AA29" s="263">
        <v>1.8</v>
      </c>
      <c r="AB29" s="263">
        <v>2</v>
      </c>
      <c r="AC29" s="263">
        <v>2.4</v>
      </c>
      <c r="AD29" s="263">
        <v>2.8</v>
      </c>
      <c r="AE29" s="263">
        <v>3.1</v>
      </c>
      <c r="AF29" s="263">
        <v>2.5</v>
      </c>
      <c r="AG29" s="263">
        <v>2.7</v>
      </c>
      <c r="AH29" s="263">
        <v>3.1</v>
      </c>
      <c r="AI29" s="263">
        <v>3.3</v>
      </c>
      <c r="AJ29" s="263">
        <v>3.8</v>
      </c>
      <c r="AK29" s="263">
        <v>4.0999999999999996</v>
      </c>
      <c r="AL29" s="263">
        <v>4.5</v>
      </c>
      <c r="AM29" s="263">
        <v>4.7</v>
      </c>
      <c r="AN29" s="263">
        <v>4.5</v>
      </c>
      <c r="AO29" s="263">
        <v>4.8</v>
      </c>
      <c r="AP29" s="263">
        <v>5.6</v>
      </c>
      <c r="AQ29" s="263">
        <v>6.6</v>
      </c>
      <c r="AR29" s="263">
        <v>7.1</v>
      </c>
      <c r="AS29" s="263">
        <v>7.9</v>
      </c>
      <c r="AT29" s="263">
        <v>9.5</v>
      </c>
      <c r="AU29" s="263">
        <v>14.9</v>
      </c>
      <c r="AV29" s="263">
        <v>17.5</v>
      </c>
      <c r="AW29" s="263">
        <v>14.6</v>
      </c>
      <c r="AX29" s="263">
        <v>16.5</v>
      </c>
      <c r="AY29" s="263">
        <v>19.100000000000001</v>
      </c>
      <c r="AZ29" s="263">
        <v>22.9</v>
      </c>
      <c r="BA29" s="263">
        <v>34.6</v>
      </c>
      <c r="BB29" s="263">
        <v>35.5</v>
      </c>
      <c r="BC29" s="263">
        <v>29.7</v>
      </c>
      <c r="BD29" s="263">
        <v>32.6</v>
      </c>
      <c r="BE29" s="263">
        <v>35.1</v>
      </c>
      <c r="BF29" s="263">
        <v>36.6</v>
      </c>
      <c r="BG29" s="263">
        <v>38.1</v>
      </c>
      <c r="BH29" s="263">
        <v>39.5</v>
      </c>
      <c r="BI29" s="263">
        <v>48</v>
      </c>
      <c r="BJ29" s="263">
        <v>57</v>
      </c>
      <c r="BK29" s="263">
        <v>67.099999999999994</v>
      </c>
      <c r="BL29" s="263">
        <v>76.099999999999994</v>
      </c>
      <c r="BM29" s="263">
        <v>76.5</v>
      </c>
      <c r="BN29" s="263">
        <v>73.099999999999994</v>
      </c>
      <c r="BO29" s="263">
        <v>76.900000000000006</v>
      </c>
      <c r="BP29" s="263">
        <v>78</v>
      </c>
      <c r="BQ29" s="263">
        <v>92.9</v>
      </c>
      <c r="BR29" s="263">
        <v>102</v>
      </c>
      <c r="BS29" s="263">
        <v>107.6</v>
      </c>
      <c r="BT29" s="263">
        <v>102.8</v>
      </c>
      <c r="BU29" s="263">
        <v>122</v>
      </c>
      <c r="BV29" s="263">
        <v>146.19999999999999</v>
      </c>
      <c r="BW29" s="263">
        <v>170.4</v>
      </c>
      <c r="BX29" s="263">
        <v>158.80000000000001</v>
      </c>
      <c r="BY29" s="263">
        <v>166.6</v>
      </c>
      <c r="BZ29" s="263">
        <v>205</v>
      </c>
      <c r="CA29" s="263">
        <v>239.1</v>
      </c>
      <c r="CB29" s="263">
        <v>256.2</v>
      </c>
      <c r="CC29" s="263">
        <v>353.4</v>
      </c>
      <c r="CD29" s="263">
        <v>406.7</v>
      </c>
      <c r="CE29" s="263">
        <v>357.2</v>
      </c>
      <c r="CF29" s="263">
        <v>395.2</v>
      </c>
      <c r="CG29" s="263">
        <v>421.9</v>
      </c>
      <c r="CH29" s="263">
        <v>410.3</v>
      </c>
      <c r="CI29" s="263">
        <v>411.8</v>
      </c>
      <c r="CJ29" s="263">
        <v>397.5</v>
      </c>
      <c r="CK29" s="261">
        <f>AVERAGE(CH29:CJ29)</f>
        <v>406.5333333333333</v>
      </c>
      <c r="CL29" s="261">
        <f>AVERAGE(CH29:CJ29)</f>
        <v>406.5333333333333</v>
      </c>
      <c r="CM29" s="16"/>
      <c r="CN29" s="260" t="s">
        <v>529</v>
      </c>
    </row>
    <row r="30" spans="1:92" ht="15">
      <c r="A30" s="263" t="s">
        <v>45</v>
      </c>
      <c r="B30" s="269" t="s">
        <v>181</v>
      </c>
      <c r="C30" s="263">
        <v>10.9</v>
      </c>
      <c r="D30" s="263">
        <v>4.5999999999999996</v>
      </c>
      <c r="E30" s="263">
        <v>0.6</v>
      </c>
      <c r="F30" s="263">
        <v>-1.3</v>
      </c>
      <c r="G30" s="263">
        <v>1.8</v>
      </c>
      <c r="H30" s="263">
        <v>3.2</v>
      </c>
      <c r="I30" s="263">
        <v>4.4000000000000004</v>
      </c>
      <c r="J30" s="263">
        <v>7.1</v>
      </c>
      <c r="K30" s="263">
        <v>7.6</v>
      </c>
      <c r="L30" s="263">
        <v>4.5999999999999996</v>
      </c>
      <c r="M30" s="263">
        <v>7.8</v>
      </c>
      <c r="N30" s="263">
        <v>10.6</v>
      </c>
      <c r="O30" s="263">
        <v>18.8</v>
      </c>
      <c r="P30" s="263">
        <v>22.5</v>
      </c>
      <c r="Q30" s="263">
        <v>25.8</v>
      </c>
      <c r="R30" s="263">
        <v>24.8</v>
      </c>
      <c r="S30" s="263">
        <v>20.399999999999999</v>
      </c>
      <c r="T30" s="263">
        <v>25.6</v>
      </c>
      <c r="U30" s="263">
        <v>32.6</v>
      </c>
      <c r="V30" s="263">
        <v>36.5</v>
      </c>
      <c r="W30" s="263">
        <v>30</v>
      </c>
      <c r="X30" s="263">
        <v>43.8</v>
      </c>
      <c r="Y30" s="263">
        <v>45.4</v>
      </c>
      <c r="Z30" s="263">
        <v>41.3</v>
      </c>
      <c r="AA30" s="263">
        <v>43.1</v>
      </c>
      <c r="AB30" s="263">
        <v>40.799999999999997</v>
      </c>
      <c r="AC30" s="263">
        <v>51.4</v>
      </c>
      <c r="AD30" s="263">
        <v>52.6</v>
      </c>
      <c r="AE30" s="263">
        <v>51.2</v>
      </c>
      <c r="AF30" s="263">
        <v>45</v>
      </c>
      <c r="AG30" s="263">
        <v>56</v>
      </c>
      <c r="AH30" s="263">
        <v>53.9</v>
      </c>
      <c r="AI30" s="263">
        <v>53.9</v>
      </c>
      <c r="AJ30" s="263">
        <v>59.2</v>
      </c>
      <c r="AK30" s="263">
        <v>64.400000000000006</v>
      </c>
      <c r="AL30" s="263">
        <v>71.400000000000006</v>
      </c>
      <c r="AM30" s="263">
        <v>83.1</v>
      </c>
      <c r="AN30" s="263">
        <v>90.4</v>
      </c>
      <c r="AO30" s="263">
        <v>87.6</v>
      </c>
      <c r="AP30" s="263">
        <v>97.9</v>
      </c>
      <c r="AQ30" s="263">
        <v>96.7</v>
      </c>
      <c r="AR30" s="263">
        <v>86.3</v>
      </c>
      <c r="AS30" s="263">
        <v>99.3</v>
      </c>
      <c r="AT30" s="263">
        <v>115.9</v>
      </c>
      <c r="AU30" s="263">
        <v>146.1</v>
      </c>
      <c r="AV30" s="263">
        <v>161.5</v>
      </c>
      <c r="AW30" s="263">
        <v>154.80000000000001</v>
      </c>
      <c r="AX30" s="263">
        <v>196.2</v>
      </c>
      <c r="AY30" s="263">
        <v>228.5</v>
      </c>
      <c r="AZ30" s="263">
        <v>270.39999999999998</v>
      </c>
      <c r="BA30" s="263">
        <v>301.10000000000002</v>
      </c>
      <c r="BB30" s="263">
        <v>282.8</v>
      </c>
      <c r="BC30" s="263">
        <v>276.60000000000002</v>
      </c>
      <c r="BD30" s="263">
        <v>232.3</v>
      </c>
      <c r="BE30" s="263">
        <v>263.89999999999998</v>
      </c>
      <c r="BF30" s="263">
        <v>298.2</v>
      </c>
      <c r="BG30" s="263">
        <v>289.60000000000002</v>
      </c>
      <c r="BH30" s="263">
        <v>266.2</v>
      </c>
      <c r="BI30" s="263">
        <v>330.8</v>
      </c>
      <c r="BJ30" s="263">
        <v>388.4</v>
      </c>
      <c r="BK30" s="263">
        <v>389.4</v>
      </c>
      <c r="BL30" s="263">
        <v>404.1</v>
      </c>
      <c r="BM30" s="263">
        <v>429.3</v>
      </c>
      <c r="BN30" s="263">
        <v>462.6</v>
      </c>
      <c r="BO30" s="263">
        <v>505.9</v>
      </c>
      <c r="BP30" s="263">
        <v>601.70000000000005</v>
      </c>
      <c r="BQ30" s="263">
        <v>685.3</v>
      </c>
      <c r="BR30" s="263">
        <v>738.7</v>
      </c>
      <c r="BS30" s="263">
        <v>796.9</v>
      </c>
      <c r="BT30" s="263">
        <v>728.1</v>
      </c>
      <c r="BU30" s="263">
        <v>766.1</v>
      </c>
      <c r="BV30" s="263">
        <v>747.1</v>
      </c>
      <c r="BW30" s="263">
        <v>690.6</v>
      </c>
      <c r="BX30" s="263">
        <v>788.9</v>
      </c>
      <c r="BY30" s="263">
        <v>969.4</v>
      </c>
      <c r="BZ30" s="263">
        <v>1254.5999999999999</v>
      </c>
      <c r="CA30" s="263">
        <v>1653.3</v>
      </c>
      <c r="CB30" s="263">
        <v>1851.4</v>
      </c>
      <c r="CC30" s="263">
        <v>1748.4</v>
      </c>
      <c r="CD30" s="263">
        <v>1382.4</v>
      </c>
      <c r="CE30" s="263">
        <v>1472.6</v>
      </c>
      <c r="CF30" s="263">
        <v>1840.7</v>
      </c>
      <c r="CG30" s="263">
        <v>1806.8</v>
      </c>
      <c r="CH30" s="263">
        <v>2130.8000000000002</v>
      </c>
      <c r="CI30" s="263">
        <v>2156.1</v>
      </c>
      <c r="CJ30" s="263">
        <v>2249.1</v>
      </c>
      <c r="CK30" s="263">
        <v>2158.5</v>
      </c>
      <c r="CL30" s="263">
        <v>2158.9</v>
      </c>
    </row>
    <row r="31" spans="1:92" ht="15">
      <c r="A31" s="263" t="s">
        <v>43</v>
      </c>
      <c r="B31" s="269" t="s">
        <v>180</v>
      </c>
      <c r="C31" s="263">
        <v>1.2</v>
      </c>
      <c r="D31" s="263">
        <v>0.7</v>
      </c>
      <c r="E31" s="263">
        <v>0.4</v>
      </c>
      <c r="F31" s="263">
        <v>0.3</v>
      </c>
      <c r="G31" s="263">
        <v>0.4</v>
      </c>
      <c r="H31" s="263">
        <v>0.6</v>
      </c>
      <c r="I31" s="263">
        <v>0.8</v>
      </c>
      <c r="J31" s="263">
        <v>1.2</v>
      </c>
      <c r="K31" s="263">
        <v>1.3</v>
      </c>
      <c r="L31" s="263">
        <v>0.9</v>
      </c>
      <c r="M31" s="263">
        <v>1.2</v>
      </c>
      <c r="N31" s="263">
        <v>2.5</v>
      </c>
      <c r="O31" s="263">
        <v>7.2</v>
      </c>
      <c r="P31" s="263">
        <v>12.3</v>
      </c>
      <c r="Q31" s="263">
        <v>15.9</v>
      </c>
      <c r="R31" s="263">
        <v>14.9</v>
      </c>
      <c r="S31" s="263">
        <v>10.8</v>
      </c>
      <c r="T31" s="263">
        <v>8.9</v>
      </c>
      <c r="U31" s="263">
        <v>11</v>
      </c>
      <c r="V31" s="263">
        <v>11.9</v>
      </c>
      <c r="W31" s="263">
        <v>9.8000000000000007</v>
      </c>
      <c r="X31" s="263">
        <v>17.3</v>
      </c>
      <c r="Y31" s="263">
        <v>22.1</v>
      </c>
      <c r="Z31" s="263">
        <v>19.100000000000001</v>
      </c>
      <c r="AA31" s="263">
        <v>19.899999999999999</v>
      </c>
      <c r="AB31" s="263">
        <v>16.899999999999999</v>
      </c>
      <c r="AC31" s="263">
        <v>21.7</v>
      </c>
      <c r="AD31" s="263">
        <v>21.4</v>
      </c>
      <c r="AE31" s="263">
        <v>20.6</v>
      </c>
      <c r="AF31" s="263">
        <v>18.8</v>
      </c>
      <c r="AG31" s="263">
        <v>22.5</v>
      </c>
      <c r="AH31" s="263">
        <v>21.9</v>
      </c>
      <c r="AI31" s="263">
        <v>22.2</v>
      </c>
      <c r="AJ31" s="263">
        <v>23.9</v>
      </c>
      <c r="AK31" s="263">
        <v>26.3</v>
      </c>
      <c r="AL31" s="263">
        <v>27.9</v>
      </c>
      <c r="AM31" s="263">
        <v>31.7</v>
      </c>
      <c r="AN31" s="263">
        <v>34.4</v>
      </c>
      <c r="AO31" s="263">
        <v>33.299999999999997</v>
      </c>
      <c r="AP31" s="263">
        <v>39.700000000000003</v>
      </c>
      <c r="AQ31" s="263">
        <v>39.4</v>
      </c>
      <c r="AR31" s="263">
        <v>33.299999999999997</v>
      </c>
      <c r="AS31" s="263">
        <v>37.5</v>
      </c>
      <c r="AT31" s="263">
        <v>42.9</v>
      </c>
      <c r="AU31" s="263">
        <v>52.4</v>
      </c>
      <c r="AV31" s="263">
        <v>66.099999999999994</v>
      </c>
      <c r="AW31" s="263">
        <v>66.099999999999994</v>
      </c>
      <c r="AX31" s="263">
        <v>83</v>
      </c>
      <c r="AY31" s="263">
        <v>96.3</v>
      </c>
      <c r="AZ31" s="263">
        <v>107.9</v>
      </c>
      <c r="BA31" s="263">
        <v>120</v>
      </c>
      <c r="BB31" s="263">
        <v>105.1</v>
      </c>
      <c r="BC31" s="263">
        <v>102.3</v>
      </c>
      <c r="BD31" s="263">
        <v>86.8</v>
      </c>
      <c r="BE31" s="263">
        <v>92.2</v>
      </c>
      <c r="BF31" s="263">
        <v>108</v>
      </c>
      <c r="BG31" s="263">
        <v>111.3</v>
      </c>
      <c r="BH31" s="263">
        <v>111.1</v>
      </c>
      <c r="BI31" s="263">
        <v>118.5</v>
      </c>
      <c r="BJ31" s="263">
        <v>131.5</v>
      </c>
      <c r="BK31" s="263">
        <v>127.9</v>
      </c>
      <c r="BL31" s="263">
        <v>128.30000000000001</v>
      </c>
      <c r="BM31" s="263">
        <v>121.3</v>
      </c>
      <c r="BN31" s="263">
        <v>131.4</v>
      </c>
      <c r="BO31" s="263">
        <v>154.6</v>
      </c>
      <c r="BP31" s="263">
        <v>172.8</v>
      </c>
      <c r="BQ31" s="263">
        <v>198.8</v>
      </c>
      <c r="BR31" s="263">
        <v>223.7</v>
      </c>
      <c r="BS31" s="263">
        <v>239.4</v>
      </c>
      <c r="BT31" s="263">
        <v>231.4</v>
      </c>
      <c r="BU31" s="263">
        <v>242</v>
      </c>
      <c r="BV31" s="263">
        <v>266.3</v>
      </c>
      <c r="BW31" s="263">
        <v>220.9</v>
      </c>
      <c r="BX31" s="263">
        <v>209.7</v>
      </c>
      <c r="BY31" s="263">
        <v>243.8</v>
      </c>
      <c r="BZ31" s="263">
        <v>299.60000000000002</v>
      </c>
      <c r="CA31" s="263">
        <v>419.2</v>
      </c>
      <c r="CB31" s="263">
        <v>453.1</v>
      </c>
      <c r="CC31" s="263">
        <v>437.1</v>
      </c>
      <c r="CD31" s="263">
        <v>342.4</v>
      </c>
      <c r="CE31" s="263">
        <v>313.5</v>
      </c>
      <c r="CF31" s="263">
        <v>358.4</v>
      </c>
      <c r="CG31" s="263">
        <v>349.3</v>
      </c>
      <c r="CH31" s="263">
        <v>403</v>
      </c>
      <c r="CI31" s="263">
        <v>441.8</v>
      </c>
      <c r="CJ31" s="263">
        <v>491.1</v>
      </c>
      <c r="CK31" s="263" t="s">
        <v>33</v>
      </c>
      <c r="CL31" s="263" t="s">
        <v>33</v>
      </c>
    </row>
    <row r="32" spans="1:92" ht="15">
      <c r="A32" s="263" t="s">
        <v>32</v>
      </c>
      <c r="B32" s="263" t="s">
        <v>176</v>
      </c>
      <c r="C32" s="263" t="s">
        <v>0</v>
      </c>
      <c r="D32" s="263" t="s">
        <v>0</v>
      </c>
      <c r="E32" s="263" t="s">
        <v>0</v>
      </c>
      <c r="F32" s="263" t="s">
        <v>0</v>
      </c>
      <c r="G32" s="263" t="s">
        <v>0</v>
      </c>
      <c r="H32" s="263" t="s">
        <v>0</v>
      </c>
      <c r="I32" s="263" t="s">
        <v>0</v>
      </c>
      <c r="J32" s="263" t="s">
        <v>0</v>
      </c>
      <c r="K32" s="263" t="s">
        <v>0</v>
      </c>
      <c r="L32" s="263" t="s">
        <v>0</v>
      </c>
      <c r="M32" s="263" t="s">
        <v>0</v>
      </c>
      <c r="N32" s="263" t="s">
        <v>0</v>
      </c>
      <c r="O32" s="263" t="s">
        <v>0</v>
      </c>
      <c r="P32" s="263" t="s">
        <v>0</v>
      </c>
      <c r="Q32" s="263" t="s">
        <v>0</v>
      </c>
      <c r="R32" s="263" t="s">
        <v>0</v>
      </c>
      <c r="S32" s="263" t="s">
        <v>0</v>
      </c>
      <c r="T32" s="263" t="s">
        <v>0</v>
      </c>
      <c r="U32" s="263" t="s">
        <v>0</v>
      </c>
      <c r="V32" s="263" t="s">
        <v>0</v>
      </c>
      <c r="W32" s="263" t="s">
        <v>0</v>
      </c>
      <c r="X32" s="263" t="s">
        <v>0</v>
      </c>
      <c r="Y32" s="263" t="s">
        <v>0</v>
      </c>
      <c r="Z32" s="263" t="s">
        <v>0</v>
      </c>
      <c r="AA32" s="263" t="s">
        <v>0</v>
      </c>
      <c r="AB32" s="263" t="s">
        <v>0</v>
      </c>
      <c r="AC32" s="263" t="s">
        <v>0</v>
      </c>
      <c r="AD32" s="263" t="s">
        <v>0</v>
      </c>
      <c r="AE32" s="263" t="s">
        <v>0</v>
      </c>
      <c r="AF32" s="263" t="s">
        <v>0</v>
      </c>
      <c r="AG32" s="263" t="s">
        <v>0</v>
      </c>
      <c r="AH32" s="263" t="s">
        <v>0</v>
      </c>
      <c r="AI32" s="263" t="s">
        <v>0</v>
      </c>
      <c r="AJ32" s="263" t="s">
        <v>0</v>
      </c>
      <c r="AK32" s="263" t="s">
        <v>0</v>
      </c>
      <c r="AL32" s="263" t="s">
        <v>0</v>
      </c>
      <c r="AM32" s="263" t="s">
        <v>0</v>
      </c>
      <c r="AN32" s="263" t="s">
        <v>0</v>
      </c>
      <c r="AO32" s="263" t="s">
        <v>0</v>
      </c>
      <c r="AP32" s="263" t="s">
        <v>0</v>
      </c>
      <c r="AQ32" s="263" t="s">
        <v>0</v>
      </c>
      <c r="AR32" s="263" t="s">
        <v>0</v>
      </c>
      <c r="AS32" s="263" t="s">
        <v>0</v>
      </c>
      <c r="AT32" s="263" t="s">
        <v>0</v>
      </c>
      <c r="AU32" s="263" t="s">
        <v>0</v>
      </c>
      <c r="AV32" s="263" t="s">
        <v>0</v>
      </c>
      <c r="AW32" s="263" t="s">
        <v>0</v>
      </c>
      <c r="AX32" s="263" t="s">
        <v>0</v>
      </c>
      <c r="AY32" s="263" t="s">
        <v>0</v>
      </c>
      <c r="AZ32" s="263" t="s">
        <v>0</v>
      </c>
      <c r="BA32" s="263" t="s">
        <v>0</v>
      </c>
      <c r="BB32" s="263" t="s">
        <v>0</v>
      </c>
      <c r="BC32" s="263" t="s">
        <v>0</v>
      </c>
      <c r="BD32" s="263" t="s">
        <v>0</v>
      </c>
      <c r="BE32" s="263" t="s">
        <v>0</v>
      </c>
      <c r="BF32" s="263" t="s">
        <v>0</v>
      </c>
      <c r="BG32" s="263" t="s">
        <v>0</v>
      </c>
      <c r="BH32" s="263" t="s">
        <v>0</v>
      </c>
      <c r="BI32" s="263" t="s">
        <v>0</v>
      </c>
      <c r="BJ32" s="263" t="s">
        <v>0</v>
      </c>
      <c r="BK32" s="263" t="s">
        <v>0</v>
      </c>
      <c r="BL32" s="263" t="s">
        <v>0</v>
      </c>
      <c r="BM32" s="263" t="s">
        <v>0</v>
      </c>
      <c r="BN32" s="263" t="s">
        <v>0</v>
      </c>
      <c r="BO32" s="263" t="s">
        <v>0</v>
      </c>
      <c r="BP32" s="263" t="s">
        <v>0</v>
      </c>
      <c r="BQ32" s="263" t="s">
        <v>0</v>
      </c>
      <c r="BR32" s="263" t="s">
        <v>0</v>
      </c>
      <c r="BS32" s="263" t="s">
        <v>0</v>
      </c>
      <c r="BT32" s="263" t="s">
        <v>0</v>
      </c>
      <c r="BU32" s="263" t="s">
        <v>0</v>
      </c>
      <c r="BV32" s="263" t="s">
        <v>0</v>
      </c>
      <c r="BW32" s="263" t="s">
        <v>0</v>
      </c>
      <c r="BX32" s="263" t="s">
        <v>0</v>
      </c>
      <c r="BY32" s="263" t="s">
        <v>0</v>
      </c>
      <c r="BZ32" s="263" t="s">
        <v>0</v>
      </c>
      <c r="CA32" s="263" t="s">
        <v>0</v>
      </c>
      <c r="CB32" s="263" t="s">
        <v>0</v>
      </c>
      <c r="CC32" s="263" t="s">
        <v>0</v>
      </c>
      <c r="CD32" s="263" t="s">
        <v>0</v>
      </c>
      <c r="CE32" s="263" t="s">
        <v>0</v>
      </c>
      <c r="CF32" s="263" t="s">
        <v>0</v>
      </c>
      <c r="CG32" s="263" t="s">
        <v>0</v>
      </c>
      <c r="CH32" s="263" t="s">
        <v>0</v>
      </c>
      <c r="CI32" s="263" t="s">
        <v>0</v>
      </c>
      <c r="CJ32" s="263" t="s">
        <v>0</v>
      </c>
      <c r="CK32" s="263" t="s">
        <v>0</v>
      </c>
      <c r="CL32" s="263" t="s">
        <v>0</v>
      </c>
    </row>
    <row r="33" spans="1:92" ht="15">
      <c r="A33" s="263" t="s">
        <v>42</v>
      </c>
      <c r="B33" s="263" t="s">
        <v>917</v>
      </c>
      <c r="C33" s="263">
        <v>0.1</v>
      </c>
      <c r="D33" s="263">
        <v>0.1</v>
      </c>
      <c r="E33" s="263">
        <v>0</v>
      </c>
      <c r="F33" s="263">
        <v>0</v>
      </c>
      <c r="G33" s="263">
        <v>0.1</v>
      </c>
      <c r="H33" s="263">
        <v>0.1</v>
      </c>
      <c r="I33" s="263">
        <v>0.1</v>
      </c>
      <c r="J33" s="263">
        <v>0.1</v>
      </c>
      <c r="K33" s="263">
        <v>0.1</v>
      </c>
      <c r="L33" s="263">
        <v>0.1</v>
      </c>
      <c r="M33" s="263">
        <v>0.1</v>
      </c>
      <c r="N33" s="263">
        <v>0.1</v>
      </c>
      <c r="O33" s="263">
        <v>0.2</v>
      </c>
      <c r="P33" s="263">
        <v>-1.1000000000000001</v>
      </c>
      <c r="Q33" s="263">
        <v>-2.2000000000000002</v>
      </c>
      <c r="R33" s="263">
        <v>-2.2999999999999998</v>
      </c>
      <c r="S33" s="263">
        <v>-0.5</v>
      </c>
      <c r="T33" s="263">
        <v>-0.1</v>
      </c>
      <c r="U33" s="263">
        <v>-0.2</v>
      </c>
      <c r="V33" s="263">
        <v>-0.1</v>
      </c>
      <c r="W33" s="263">
        <v>-0.1</v>
      </c>
      <c r="X33" s="263">
        <v>0.1</v>
      </c>
      <c r="Y33" s="263">
        <v>0</v>
      </c>
      <c r="Z33" s="263">
        <v>-0.3</v>
      </c>
      <c r="AA33" s="263">
        <v>-0.1</v>
      </c>
      <c r="AB33" s="263">
        <v>0.4</v>
      </c>
      <c r="AC33" s="263">
        <v>0</v>
      </c>
      <c r="AD33" s="263">
        <v>0.2</v>
      </c>
      <c r="AE33" s="263">
        <v>0.3</v>
      </c>
      <c r="AF33" s="263">
        <v>-0.3</v>
      </c>
      <c r="AG33" s="263">
        <v>0.2</v>
      </c>
      <c r="AH33" s="263">
        <v>-0.1</v>
      </c>
      <c r="AI33" s="263">
        <v>0.1</v>
      </c>
      <c r="AJ33" s="263">
        <v>0.1</v>
      </c>
      <c r="AK33" s="263">
        <v>0.4</v>
      </c>
      <c r="AL33" s="263">
        <v>0.3</v>
      </c>
      <c r="AM33" s="263">
        <v>0.3</v>
      </c>
      <c r="AN33" s="263">
        <v>0.2</v>
      </c>
      <c r="AO33" s="263">
        <v>0.1</v>
      </c>
      <c r="AP33" s="263">
        <v>-0.1</v>
      </c>
      <c r="AQ33" s="263">
        <v>-0.4</v>
      </c>
      <c r="AR33" s="263">
        <v>-0.8</v>
      </c>
      <c r="AS33" s="263">
        <v>-0.1</v>
      </c>
      <c r="AT33" s="263">
        <v>-0.2</v>
      </c>
      <c r="AU33" s="263">
        <v>-0.1</v>
      </c>
      <c r="AV33" s="263">
        <v>-1.6</v>
      </c>
      <c r="AW33" s="263">
        <v>-1.5</v>
      </c>
      <c r="AX33" s="263">
        <v>-1</v>
      </c>
      <c r="AY33" s="263">
        <v>-1.1000000000000001</v>
      </c>
      <c r="AZ33" s="263">
        <v>0</v>
      </c>
      <c r="BA33" s="263">
        <v>-0.7</v>
      </c>
      <c r="BB33" s="263">
        <v>-4.4000000000000004</v>
      </c>
      <c r="BC33" s="263">
        <v>-6.8</v>
      </c>
      <c r="BD33" s="263">
        <v>-13.2</v>
      </c>
      <c r="BE33" s="263">
        <v>-4.7</v>
      </c>
      <c r="BF33" s="263">
        <v>-4.8</v>
      </c>
      <c r="BG33" s="263">
        <v>-4.9000000000000004</v>
      </c>
      <c r="BH33" s="263">
        <v>-7.9</v>
      </c>
      <c r="BI33" s="263">
        <v>-1.5</v>
      </c>
      <c r="BJ33" s="263">
        <v>-2.2999999999999998</v>
      </c>
      <c r="BK33" s="263">
        <v>-0.7</v>
      </c>
      <c r="BL33" s="263">
        <v>-2</v>
      </c>
      <c r="BM33" s="263">
        <v>-3.6</v>
      </c>
      <c r="BN33" s="263">
        <v>0.3</v>
      </c>
      <c r="BO33" s="263">
        <v>2.4</v>
      </c>
      <c r="BP33" s="263">
        <v>0.7</v>
      </c>
      <c r="BQ33" s="263">
        <v>-0.5</v>
      </c>
      <c r="BR33" s="263">
        <v>-0.1</v>
      </c>
      <c r="BS33" s="263">
        <v>-1.8</v>
      </c>
      <c r="BT33" s="263">
        <v>-3.9</v>
      </c>
      <c r="BU33" s="263">
        <v>-5.5</v>
      </c>
      <c r="BV33" s="263">
        <v>-9.9</v>
      </c>
      <c r="BW33" s="263">
        <v>-29.1</v>
      </c>
      <c r="BX33" s="263">
        <v>-27.7</v>
      </c>
      <c r="BY33" s="263">
        <v>-1.7</v>
      </c>
      <c r="BZ33" s="263">
        <v>7.8</v>
      </c>
      <c r="CA33" s="263">
        <v>7.4</v>
      </c>
      <c r="CB33" s="263">
        <v>12.9</v>
      </c>
      <c r="CC33" s="263">
        <v>-3.1</v>
      </c>
      <c r="CD33" s="263">
        <v>-26.7</v>
      </c>
      <c r="CE33" s="263">
        <v>-52.1</v>
      </c>
      <c r="CF33" s="263">
        <v>-3.6</v>
      </c>
      <c r="CG33" s="263">
        <v>3.1</v>
      </c>
      <c r="CH33" s="263">
        <v>6.9</v>
      </c>
      <c r="CI33" s="263">
        <v>5.0999999999999996</v>
      </c>
      <c r="CJ33" s="263">
        <v>3.3</v>
      </c>
      <c r="CK33" s="263" t="s">
        <v>33</v>
      </c>
      <c r="CL33" s="263" t="s">
        <v>33</v>
      </c>
    </row>
    <row r="34" spans="1:92" ht="15">
      <c r="A34" s="263" t="s">
        <v>41</v>
      </c>
      <c r="B34" s="263" t="s">
        <v>918</v>
      </c>
      <c r="C34" s="263">
        <v>0</v>
      </c>
      <c r="D34" s="263">
        <v>0</v>
      </c>
      <c r="E34" s="263">
        <v>0</v>
      </c>
      <c r="F34" s="263">
        <v>0</v>
      </c>
      <c r="G34" s="263">
        <v>0</v>
      </c>
      <c r="H34" s="263">
        <v>0</v>
      </c>
      <c r="I34" s="263">
        <v>0</v>
      </c>
      <c r="J34" s="263">
        <v>0</v>
      </c>
      <c r="K34" s="263">
        <v>0</v>
      </c>
      <c r="L34" s="263">
        <v>0</v>
      </c>
      <c r="M34" s="263">
        <v>0</v>
      </c>
      <c r="N34" s="263">
        <v>0</v>
      </c>
      <c r="O34" s="263">
        <v>0</v>
      </c>
      <c r="P34" s="263">
        <v>0</v>
      </c>
      <c r="Q34" s="263">
        <v>0</v>
      </c>
      <c r="R34" s="263">
        <v>0</v>
      </c>
      <c r="S34" s="263">
        <v>0</v>
      </c>
      <c r="T34" s="263">
        <v>0</v>
      </c>
      <c r="U34" s="263">
        <v>0.1</v>
      </c>
      <c r="V34" s="263">
        <v>0.2</v>
      </c>
      <c r="W34" s="263">
        <v>0.2</v>
      </c>
      <c r="X34" s="263">
        <v>0.2</v>
      </c>
      <c r="Y34" s="263">
        <v>0.3</v>
      </c>
      <c r="Z34" s="263">
        <v>0.3</v>
      </c>
      <c r="AA34" s="263">
        <v>0.3</v>
      </c>
      <c r="AB34" s="263">
        <v>0.3</v>
      </c>
      <c r="AC34" s="263">
        <v>0.3</v>
      </c>
      <c r="AD34" s="263">
        <v>0.4</v>
      </c>
      <c r="AE34" s="263">
        <v>0.5</v>
      </c>
      <c r="AF34" s="263">
        <v>0.5</v>
      </c>
      <c r="AG34" s="263">
        <v>0.9</v>
      </c>
      <c r="AH34" s="263">
        <v>0.9</v>
      </c>
      <c r="AI34" s="263">
        <v>0.7</v>
      </c>
      <c r="AJ34" s="263">
        <v>0.8</v>
      </c>
      <c r="AK34" s="263">
        <v>0.9</v>
      </c>
      <c r="AL34" s="263">
        <v>1.6</v>
      </c>
      <c r="AM34" s="263">
        <v>1.3</v>
      </c>
      <c r="AN34" s="263">
        <v>1.6</v>
      </c>
      <c r="AO34" s="263">
        <v>1.9</v>
      </c>
      <c r="AP34" s="263">
        <v>2.5</v>
      </c>
      <c r="AQ34" s="263">
        <v>3</v>
      </c>
      <c r="AR34" s="263">
        <v>3.5</v>
      </c>
      <c r="AS34" s="263">
        <v>3.4</v>
      </c>
      <c r="AT34" s="263">
        <v>3.2</v>
      </c>
      <c r="AU34" s="263">
        <v>4.3</v>
      </c>
      <c r="AV34" s="263">
        <v>5.6</v>
      </c>
      <c r="AW34" s="263">
        <v>5.4</v>
      </c>
      <c r="AX34" s="263">
        <v>5.9</v>
      </c>
      <c r="AY34" s="263">
        <v>5.9</v>
      </c>
      <c r="AZ34" s="263">
        <v>7</v>
      </c>
      <c r="BA34" s="263">
        <v>9.3000000000000007</v>
      </c>
      <c r="BB34" s="263">
        <v>11.7</v>
      </c>
      <c r="BC34" s="263">
        <v>14</v>
      </c>
      <c r="BD34" s="263">
        <v>15.2</v>
      </c>
      <c r="BE34" s="263">
        <v>14.2</v>
      </c>
      <c r="BF34" s="263">
        <v>16.100000000000001</v>
      </c>
      <c r="BG34" s="263">
        <v>17.8</v>
      </c>
      <c r="BH34" s="263">
        <v>17.8</v>
      </c>
      <c r="BI34" s="263">
        <v>17.7</v>
      </c>
      <c r="BJ34" s="263">
        <v>17.399999999999999</v>
      </c>
      <c r="BK34" s="263">
        <v>21.6</v>
      </c>
      <c r="BL34" s="263">
        <v>23.6</v>
      </c>
      <c r="BM34" s="263">
        <v>20.8</v>
      </c>
      <c r="BN34" s="263">
        <v>16.8</v>
      </c>
      <c r="BO34" s="263">
        <v>16</v>
      </c>
      <c r="BP34" s="263">
        <v>20.5</v>
      </c>
      <c r="BQ34" s="263">
        <v>23.4</v>
      </c>
      <c r="BR34" s="263">
        <v>20.100000000000001</v>
      </c>
      <c r="BS34" s="263">
        <v>20.7</v>
      </c>
      <c r="BT34" s="263">
        <v>26.6</v>
      </c>
      <c r="BU34" s="263">
        <v>25.4</v>
      </c>
      <c r="BV34" s="263">
        <v>25.3</v>
      </c>
      <c r="BW34" s="263">
        <v>27.1</v>
      </c>
      <c r="BX34" s="263">
        <v>24.5</v>
      </c>
      <c r="BY34" s="263">
        <v>22</v>
      </c>
      <c r="BZ34" s="263">
        <v>18.100000000000001</v>
      </c>
      <c r="CA34" s="263">
        <v>21.5</v>
      </c>
      <c r="CB34" s="263">
        <v>29.1</v>
      </c>
      <c r="CC34" s="263">
        <v>34.6</v>
      </c>
      <c r="CD34" s="263">
        <v>31.7</v>
      </c>
      <c r="CE34" s="263">
        <v>47.4</v>
      </c>
      <c r="CF34" s="263">
        <v>79.3</v>
      </c>
      <c r="CG34" s="263">
        <v>75.400000000000006</v>
      </c>
      <c r="CH34" s="263">
        <v>88.4</v>
      </c>
      <c r="CI34" s="263">
        <v>79.599999999999994</v>
      </c>
      <c r="CJ34" s="263">
        <v>96.9</v>
      </c>
      <c r="CK34" s="263" t="s">
        <v>33</v>
      </c>
      <c r="CL34" s="263" t="s">
        <v>33</v>
      </c>
      <c r="CN34" s="260" t="s">
        <v>524</v>
      </c>
    </row>
    <row r="35" spans="1:92" ht="15">
      <c r="A35" s="263" t="s">
        <v>40</v>
      </c>
      <c r="B35" s="263" t="s">
        <v>906</v>
      </c>
      <c r="C35" s="263">
        <v>0.1</v>
      </c>
      <c r="D35" s="263">
        <v>0.1</v>
      </c>
      <c r="E35" s="263">
        <v>0.1</v>
      </c>
      <c r="F35" s="263">
        <v>0.1</v>
      </c>
      <c r="G35" s="263">
        <v>0.1</v>
      </c>
      <c r="H35" s="263">
        <v>0.1</v>
      </c>
      <c r="I35" s="263">
        <v>0.1</v>
      </c>
      <c r="J35" s="263">
        <v>0.2</v>
      </c>
      <c r="K35" s="263">
        <v>0.2</v>
      </c>
      <c r="L35" s="263">
        <v>0.1</v>
      </c>
      <c r="M35" s="263">
        <v>0.2</v>
      </c>
      <c r="N35" s="263">
        <v>0.2</v>
      </c>
      <c r="O35" s="263">
        <v>0.3</v>
      </c>
      <c r="P35" s="263">
        <v>0.4</v>
      </c>
      <c r="Q35" s="263">
        <v>0.5</v>
      </c>
      <c r="R35" s="263">
        <v>0.5</v>
      </c>
      <c r="S35" s="263">
        <v>0.5</v>
      </c>
      <c r="T35" s="263">
        <v>0.5</v>
      </c>
      <c r="U35" s="263">
        <v>0.6</v>
      </c>
      <c r="V35" s="263">
        <v>0.7</v>
      </c>
      <c r="W35" s="263">
        <v>0.6</v>
      </c>
      <c r="X35" s="263">
        <v>0.8</v>
      </c>
      <c r="Y35" s="263">
        <v>0.9</v>
      </c>
      <c r="Z35" s="263">
        <v>0.8</v>
      </c>
      <c r="AA35" s="263">
        <v>0.8</v>
      </c>
      <c r="AB35" s="263">
        <v>0.8</v>
      </c>
      <c r="AC35" s="263">
        <v>1</v>
      </c>
      <c r="AD35" s="263">
        <v>1</v>
      </c>
      <c r="AE35" s="263">
        <v>1</v>
      </c>
      <c r="AF35" s="263">
        <v>1</v>
      </c>
      <c r="AG35" s="263">
        <v>1.2</v>
      </c>
      <c r="AH35" s="263">
        <v>1.2</v>
      </c>
      <c r="AI35" s="263">
        <v>1.3</v>
      </c>
      <c r="AJ35" s="263">
        <v>1.5</v>
      </c>
      <c r="AK35" s="263">
        <v>1.7</v>
      </c>
      <c r="AL35" s="263">
        <v>1.8</v>
      </c>
      <c r="AM35" s="263">
        <v>2</v>
      </c>
      <c r="AN35" s="263">
        <v>2.2000000000000002</v>
      </c>
      <c r="AO35" s="263">
        <v>2.6</v>
      </c>
      <c r="AP35" s="263">
        <v>3.3</v>
      </c>
      <c r="AQ35" s="263">
        <v>3.6</v>
      </c>
      <c r="AR35" s="263">
        <v>3.7</v>
      </c>
      <c r="AS35" s="263">
        <v>4.3</v>
      </c>
      <c r="AT35" s="263">
        <v>5.3</v>
      </c>
      <c r="AU35" s="263">
        <v>6</v>
      </c>
      <c r="AV35" s="263">
        <v>6.7</v>
      </c>
      <c r="AW35" s="263">
        <v>7.3</v>
      </c>
      <c r="AX35" s="263">
        <v>9.6</v>
      </c>
      <c r="AY35" s="263">
        <v>11.4</v>
      </c>
      <c r="AZ35" s="263">
        <v>12.1</v>
      </c>
      <c r="BA35" s="263">
        <v>13.6</v>
      </c>
      <c r="BB35" s="263">
        <v>14.5</v>
      </c>
      <c r="BC35" s="263">
        <v>15.4</v>
      </c>
      <c r="BD35" s="263">
        <v>14</v>
      </c>
      <c r="BE35" s="263">
        <v>15.9</v>
      </c>
      <c r="BF35" s="263">
        <v>18.8</v>
      </c>
      <c r="BG35" s="263">
        <v>20.2</v>
      </c>
      <c r="BH35" s="263">
        <v>22.7</v>
      </c>
      <c r="BI35" s="263">
        <v>23.9</v>
      </c>
      <c r="BJ35" s="263">
        <v>26</v>
      </c>
      <c r="BK35" s="263">
        <v>24.2</v>
      </c>
      <c r="BL35" s="263">
        <v>22.5</v>
      </c>
      <c r="BM35" s="263">
        <v>23.6</v>
      </c>
      <c r="BN35" s="263">
        <v>24.4</v>
      </c>
      <c r="BO35" s="263">
        <v>26.9</v>
      </c>
      <c r="BP35" s="263">
        <v>30</v>
      </c>
      <c r="BQ35" s="263">
        <v>31.7</v>
      </c>
      <c r="BR35" s="263">
        <v>33</v>
      </c>
      <c r="BS35" s="263">
        <v>34.1</v>
      </c>
      <c r="BT35" s="263">
        <v>34.9</v>
      </c>
      <c r="BU35" s="263">
        <v>35.799999999999997</v>
      </c>
      <c r="BV35" s="263">
        <v>35.200000000000003</v>
      </c>
      <c r="BW35" s="263">
        <v>28.9</v>
      </c>
      <c r="BX35" s="263">
        <v>30.9</v>
      </c>
      <c r="BY35" s="263">
        <v>34</v>
      </c>
      <c r="BZ35" s="263">
        <v>41.7</v>
      </c>
      <c r="CA35" s="263">
        <v>54.9</v>
      </c>
      <c r="CB35" s="263">
        <v>59.2</v>
      </c>
      <c r="CC35" s="263">
        <v>57.9</v>
      </c>
      <c r="CD35" s="263">
        <v>47.4</v>
      </c>
      <c r="CE35" s="263">
        <v>45.6</v>
      </c>
      <c r="CF35" s="263">
        <v>47.7</v>
      </c>
      <c r="CG35" s="263">
        <v>50.2</v>
      </c>
      <c r="CH35" s="263">
        <v>52.5</v>
      </c>
      <c r="CI35" s="263">
        <v>55.5</v>
      </c>
      <c r="CJ35" s="263">
        <v>57.8</v>
      </c>
      <c r="CK35" s="263" t="s">
        <v>33</v>
      </c>
      <c r="CL35" s="263" t="s">
        <v>33</v>
      </c>
    </row>
    <row r="36" spans="1:92" ht="15">
      <c r="A36" s="263" t="s">
        <v>37</v>
      </c>
      <c r="B36" s="263" t="s">
        <v>919</v>
      </c>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v>0.1</v>
      </c>
      <c r="AH36" s="263">
        <v>0.1</v>
      </c>
      <c r="AI36" s="263">
        <v>0.1</v>
      </c>
      <c r="AJ36" s="263">
        <v>0.1</v>
      </c>
      <c r="AK36" s="263">
        <v>0.1</v>
      </c>
      <c r="AL36" s="263">
        <v>0.2</v>
      </c>
      <c r="AM36" s="263">
        <v>0.2</v>
      </c>
      <c r="AN36" s="263">
        <v>0.2</v>
      </c>
      <c r="AO36" s="263">
        <v>0.2</v>
      </c>
      <c r="AP36" s="263">
        <v>0.3</v>
      </c>
      <c r="AQ36" s="263">
        <v>0.3</v>
      </c>
      <c r="AR36" s="263">
        <v>0.4</v>
      </c>
      <c r="AS36" s="263">
        <v>0.4</v>
      </c>
      <c r="AT36" s="263">
        <v>0.5</v>
      </c>
      <c r="AU36" s="263">
        <v>0.7</v>
      </c>
      <c r="AV36" s="263">
        <v>1</v>
      </c>
      <c r="AW36" s="263">
        <v>0.7</v>
      </c>
      <c r="AX36" s="263">
        <v>1.1000000000000001</v>
      </c>
      <c r="AY36" s="263">
        <v>1.4</v>
      </c>
      <c r="AZ36" s="263">
        <v>1.4</v>
      </c>
      <c r="BA36" s="263">
        <v>2</v>
      </c>
      <c r="BB36" s="263">
        <v>2.4</v>
      </c>
      <c r="BC36" s="263">
        <v>3.2</v>
      </c>
      <c r="BD36" s="263">
        <v>3.4</v>
      </c>
      <c r="BE36" s="263">
        <v>3.4</v>
      </c>
      <c r="BF36" s="263">
        <v>3.5</v>
      </c>
      <c r="BG36" s="263">
        <v>2.9</v>
      </c>
      <c r="BH36" s="263">
        <v>3.2</v>
      </c>
      <c r="BI36" s="263">
        <v>3.4</v>
      </c>
      <c r="BJ36" s="263">
        <v>4.5</v>
      </c>
      <c r="BK36" s="263">
        <v>4.5999999999999996</v>
      </c>
      <c r="BL36" s="263">
        <v>4.8</v>
      </c>
      <c r="BM36" s="263">
        <v>5</v>
      </c>
      <c r="BN36" s="263">
        <v>5.5</v>
      </c>
      <c r="BO36" s="263">
        <v>5.7</v>
      </c>
      <c r="BP36" s="263">
        <v>6.4</v>
      </c>
      <c r="BQ36" s="263">
        <v>6.9</v>
      </c>
      <c r="BR36" s="263">
        <v>7.8</v>
      </c>
      <c r="BS36" s="263">
        <v>8.3000000000000007</v>
      </c>
      <c r="BT36" s="263">
        <v>9.1999999999999993</v>
      </c>
      <c r="BU36" s="263">
        <v>10</v>
      </c>
      <c r="BV36" s="263">
        <v>10.4</v>
      </c>
      <c r="BW36" s="263">
        <v>9.8000000000000007</v>
      </c>
      <c r="BX36" s="263">
        <v>11</v>
      </c>
      <c r="BY36" s="263">
        <v>12</v>
      </c>
      <c r="BZ36" s="263">
        <v>14.1</v>
      </c>
      <c r="CA36" s="263">
        <v>16.5</v>
      </c>
      <c r="CB36" s="263">
        <v>19.100000000000001</v>
      </c>
      <c r="CC36" s="263">
        <v>24.8</v>
      </c>
      <c r="CD36" s="263">
        <v>28</v>
      </c>
      <c r="CE36" s="263">
        <v>23.5</v>
      </c>
      <c r="CF36" s="263">
        <v>24.3</v>
      </c>
      <c r="CG36" s="263">
        <v>29.5</v>
      </c>
      <c r="CH36" s="263">
        <v>32</v>
      </c>
      <c r="CI36" s="263">
        <v>34.200000000000003</v>
      </c>
      <c r="CJ36" s="263">
        <v>10.9</v>
      </c>
      <c r="CK36" s="263" t="s">
        <v>33</v>
      </c>
      <c r="CL36" s="263" t="s">
        <v>33</v>
      </c>
    </row>
    <row r="37" spans="1:92" ht="15">
      <c r="A37" s="263" t="s">
        <v>32</v>
      </c>
      <c r="B37" s="263" t="s">
        <v>175</v>
      </c>
      <c r="C37" s="263" t="s">
        <v>0</v>
      </c>
      <c r="D37" s="263" t="s">
        <v>0</v>
      </c>
      <c r="E37" s="263" t="s">
        <v>0</v>
      </c>
      <c r="F37" s="263" t="s">
        <v>0</v>
      </c>
      <c r="G37" s="263" t="s">
        <v>0</v>
      </c>
      <c r="H37" s="263" t="s">
        <v>0</v>
      </c>
      <c r="I37" s="263" t="s">
        <v>0</v>
      </c>
      <c r="J37" s="263" t="s">
        <v>0</v>
      </c>
      <c r="K37" s="263" t="s">
        <v>0</v>
      </c>
      <c r="L37" s="263" t="s">
        <v>0</v>
      </c>
      <c r="M37" s="263" t="s">
        <v>0</v>
      </c>
      <c r="N37" s="263" t="s">
        <v>0</v>
      </c>
      <c r="O37" s="263" t="s">
        <v>0</v>
      </c>
      <c r="P37" s="263" t="s">
        <v>0</v>
      </c>
      <c r="Q37" s="263" t="s">
        <v>0</v>
      </c>
      <c r="R37" s="263" t="s">
        <v>0</v>
      </c>
      <c r="S37" s="263" t="s">
        <v>0</v>
      </c>
      <c r="T37" s="263" t="s">
        <v>0</v>
      </c>
      <c r="U37" s="263" t="s">
        <v>0</v>
      </c>
      <c r="V37" s="263" t="s">
        <v>0</v>
      </c>
      <c r="W37" s="263" t="s">
        <v>0</v>
      </c>
      <c r="X37" s="263" t="s">
        <v>0</v>
      </c>
      <c r="Y37" s="263" t="s">
        <v>0</v>
      </c>
      <c r="Z37" s="263" t="s">
        <v>0</v>
      </c>
      <c r="AA37" s="263" t="s">
        <v>0</v>
      </c>
      <c r="AB37" s="263" t="s">
        <v>0</v>
      </c>
      <c r="AC37" s="263" t="s">
        <v>0</v>
      </c>
      <c r="AD37" s="263" t="s">
        <v>0</v>
      </c>
      <c r="AE37" s="263" t="s">
        <v>0</v>
      </c>
      <c r="AF37" s="263" t="s">
        <v>0</v>
      </c>
      <c r="AG37" s="263" t="s">
        <v>0</v>
      </c>
      <c r="AH37" s="263" t="s">
        <v>0</v>
      </c>
      <c r="AI37" s="263" t="s">
        <v>0</v>
      </c>
      <c r="AJ37" s="263" t="s">
        <v>0</v>
      </c>
      <c r="AK37" s="263" t="s">
        <v>0</v>
      </c>
      <c r="AL37" s="263" t="s">
        <v>0</v>
      </c>
      <c r="AM37" s="263" t="s">
        <v>0</v>
      </c>
      <c r="AN37" s="263" t="s">
        <v>0</v>
      </c>
      <c r="AO37" s="263" t="s">
        <v>0</v>
      </c>
      <c r="AP37" s="263" t="s">
        <v>0</v>
      </c>
      <c r="AQ37" s="263" t="s">
        <v>0</v>
      </c>
      <c r="AR37" s="263" t="s">
        <v>0</v>
      </c>
      <c r="AS37" s="263" t="s">
        <v>0</v>
      </c>
      <c r="AT37" s="263" t="s">
        <v>0</v>
      </c>
      <c r="AU37" s="263" t="s">
        <v>0</v>
      </c>
      <c r="AV37" s="263" t="s">
        <v>0</v>
      </c>
      <c r="AW37" s="263" t="s">
        <v>0</v>
      </c>
      <c r="AX37" s="263" t="s">
        <v>0</v>
      </c>
      <c r="AY37" s="263" t="s">
        <v>0</v>
      </c>
      <c r="AZ37" s="263" t="s">
        <v>0</v>
      </c>
      <c r="BA37" s="263" t="s">
        <v>0</v>
      </c>
      <c r="BB37" s="263" t="s">
        <v>0</v>
      </c>
      <c r="BC37" s="263" t="s">
        <v>0</v>
      </c>
      <c r="BD37" s="263" t="s">
        <v>0</v>
      </c>
      <c r="BE37" s="263" t="s">
        <v>0</v>
      </c>
      <c r="BF37" s="263" t="s">
        <v>0</v>
      </c>
      <c r="BG37" s="263" t="s">
        <v>0</v>
      </c>
      <c r="BH37" s="263" t="s">
        <v>0</v>
      </c>
      <c r="BI37" s="263" t="s">
        <v>0</v>
      </c>
      <c r="BJ37" s="263" t="s">
        <v>0</v>
      </c>
      <c r="BK37" s="263" t="s">
        <v>0</v>
      </c>
      <c r="BL37" s="263" t="s">
        <v>0</v>
      </c>
      <c r="BM37" s="263" t="s">
        <v>0</v>
      </c>
      <c r="BN37" s="263" t="s">
        <v>0</v>
      </c>
      <c r="BO37" s="263" t="s">
        <v>0</v>
      </c>
      <c r="BP37" s="263" t="s">
        <v>0</v>
      </c>
      <c r="BQ37" s="263" t="s">
        <v>0</v>
      </c>
      <c r="BR37" s="263" t="s">
        <v>0</v>
      </c>
      <c r="BS37" s="263" t="s">
        <v>0</v>
      </c>
      <c r="BT37" s="263" t="s">
        <v>0</v>
      </c>
      <c r="BU37" s="263" t="s">
        <v>0</v>
      </c>
      <c r="BV37" s="263" t="s">
        <v>0</v>
      </c>
      <c r="BW37" s="263" t="s">
        <v>0</v>
      </c>
      <c r="BX37" s="263" t="s">
        <v>0</v>
      </c>
      <c r="BY37" s="263" t="s">
        <v>0</v>
      </c>
      <c r="BZ37" s="263" t="s">
        <v>0</v>
      </c>
      <c r="CA37" s="263" t="s">
        <v>0</v>
      </c>
      <c r="CB37" s="263" t="s">
        <v>0</v>
      </c>
      <c r="CC37" s="263" t="s">
        <v>0</v>
      </c>
      <c r="CD37" s="263" t="s">
        <v>0</v>
      </c>
      <c r="CE37" s="263" t="s">
        <v>0</v>
      </c>
      <c r="CF37" s="263" t="s">
        <v>0</v>
      </c>
      <c r="CG37" s="263" t="s">
        <v>0</v>
      </c>
      <c r="CH37" s="263" t="s">
        <v>0</v>
      </c>
      <c r="CI37" s="263" t="s">
        <v>0</v>
      </c>
      <c r="CJ37" s="263" t="s">
        <v>0</v>
      </c>
      <c r="CK37" s="263" t="s">
        <v>0</v>
      </c>
      <c r="CL37" s="263" t="s">
        <v>0</v>
      </c>
    </row>
    <row r="38" spans="1:92" ht="12" customHeight="1">
      <c r="A38" s="263" t="s">
        <v>36</v>
      </c>
      <c r="B38" s="263" t="s">
        <v>920</v>
      </c>
      <c r="C38" s="263">
        <v>0</v>
      </c>
      <c r="D38" s="263">
        <v>0</v>
      </c>
      <c r="E38" s="263">
        <v>0</v>
      </c>
      <c r="F38" s="263">
        <v>0</v>
      </c>
      <c r="G38" s="263">
        <v>0</v>
      </c>
      <c r="H38" s="263">
        <v>0</v>
      </c>
      <c r="I38" s="263">
        <v>0</v>
      </c>
      <c r="J38" s="263">
        <v>0</v>
      </c>
      <c r="K38" s="263">
        <v>0</v>
      </c>
      <c r="L38" s="263">
        <v>0</v>
      </c>
      <c r="M38" s="263">
        <v>0</v>
      </c>
      <c r="N38" s="263">
        <v>0.1</v>
      </c>
      <c r="O38" s="263">
        <v>0.1</v>
      </c>
      <c r="P38" s="263">
        <v>0.1</v>
      </c>
      <c r="Q38" s="263">
        <v>0.1</v>
      </c>
      <c r="R38" s="263">
        <v>0.1</v>
      </c>
      <c r="S38" s="263">
        <v>0.1</v>
      </c>
      <c r="T38" s="263">
        <v>0.2</v>
      </c>
      <c r="U38" s="263">
        <v>0.2</v>
      </c>
      <c r="V38" s="263">
        <v>0.3</v>
      </c>
      <c r="W38" s="263">
        <v>0.3</v>
      </c>
      <c r="X38" s="263">
        <v>0.5</v>
      </c>
      <c r="Y38" s="263">
        <v>0.6</v>
      </c>
      <c r="Z38" s="263">
        <v>0.6</v>
      </c>
      <c r="AA38" s="263">
        <v>0.6</v>
      </c>
      <c r="AB38" s="263">
        <v>0.7</v>
      </c>
      <c r="AC38" s="263">
        <v>1</v>
      </c>
      <c r="AD38" s="263">
        <v>1</v>
      </c>
      <c r="AE38" s="263">
        <v>1.1000000000000001</v>
      </c>
      <c r="AF38" s="263">
        <v>1.1000000000000001</v>
      </c>
      <c r="AG38" s="263">
        <v>1.2</v>
      </c>
      <c r="AH38" s="263">
        <v>1.2</v>
      </c>
      <c r="AI38" s="263">
        <v>1.5</v>
      </c>
      <c r="AJ38" s="263">
        <v>1.6</v>
      </c>
      <c r="AK38" s="263">
        <v>1.9</v>
      </c>
      <c r="AL38" s="263">
        <v>2.2999999999999998</v>
      </c>
      <c r="AM38" s="263">
        <v>2.6</v>
      </c>
      <c r="AN38" s="263">
        <v>2.9</v>
      </c>
      <c r="AO38" s="263">
        <v>3.2</v>
      </c>
      <c r="AP38" s="263">
        <v>3.7</v>
      </c>
      <c r="AQ38" s="263">
        <v>4</v>
      </c>
      <c r="AR38" s="263">
        <v>4.5</v>
      </c>
      <c r="AS38" s="263">
        <v>5.7</v>
      </c>
      <c r="AT38" s="263">
        <v>6.3</v>
      </c>
      <c r="AU38" s="263">
        <v>9.6</v>
      </c>
      <c r="AV38" s="263">
        <v>20.8</v>
      </c>
      <c r="AW38" s="263">
        <v>20</v>
      </c>
      <c r="AX38" s="263">
        <v>24.3</v>
      </c>
      <c r="AY38" s="263">
        <v>26.8</v>
      </c>
      <c r="AZ38" s="263">
        <v>27.5</v>
      </c>
      <c r="BA38" s="263">
        <v>38.200000000000003</v>
      </c>
      <c r="BB38" s="263">
        <v>26.4</v>
      </c>
      <c r="BC38" s="263">
        <v>23.8</v>
      </c>
      <c r="BD38" s="263">
        <v>21.2</v>
      </c>
      <c r="BE38" s="263">
        <v>21.5</v>
      </c>
      <c r="BF38" s="263">
        <v>23.1</v>
      </c>
      <c r="BG38" s="263">
        <v>26.7</v>
      </c>
      <c r="BH38" s="263">
        <v>24.4</v>
      </c>
      <c r="BI38" s="263">
        <v>23.5</v>
      </c>
      <c r="BJ38" s="263">
        <v>29.4</v>
      </c>
      <c r="BK38" s="263">
        <v>26.8</v>
      </c>
      <c r="BL38" s="263">
        <v>28.2</v>
      </c>
      <c r="BM38" s="263">
        <v>24.6</v>
      </c>
      <c r="BN38" s="263">
        <v>25.3</v>
      </c>
      <c r="BO38" s="263">
        <v>27.6</v>
      </c>
      <c r="BP38" s="263">
        <v>29.2</v>
      </c>
      <c r="BQ38" s="263">
        <v>33.5</v>
      </c>
      <c r="BR38" s="263">
        <v>43.3</v>
      </c>
      <c r="BS38" s="263">
        <v>44.9</v>
      </c>
      <c r="BT38" s="263">
        <v>39.799999999999997</v>
      </c>
      <c r="BU38" s="263">
        <v>39.9</v>
      </c>
      <c r="BV38" s="263">
        <v>49.9</v>
      </c>
      <c r="BW38" s="263">
        <v>42.3</v>
      </c>
      <c r="BX38" s="263">
        <v>43.2</v>
      </c>
      <c r="BY38" s="263">
        <v>51.1</v>
      </c>
      <c r="BZ38" s="263">
        <v>57.8</v>
      </c>
      <c r="CA38" s="263">
        <v>82.9</v>
      </c>
      <c r="CB38" s="263">
        <v>78.8</v>
      </c>
      <c r="CC38" s="263">
        <v>86.6</v>
      </c>
      <c r="CD38" s="263">
        <v>100.4</v>
      </c>
      <c r="CE38" s="263">
        <v>93.6</v>
      </c>
      <c r="CF38" s="263">
        <v>118.1</v>
      </c>
      <c r="CG38" s="263">
        <v>107.1</v>
      </c>
      <c r="CH38" s="263">
        <v>109.6</v>
      </c>
      <c r="CI38" s="263">
        <v>118.3</v>
      </c>
      <c r="CJ38" s="263">
        <v>117.6</v>
      </c>
      <c r="CK38" s="263" t="s">
        <v>33</v>
      </c>
      <c r="CL38" s="263" t="s">
        <v>33</v>
      </c>
    </row>
    <row r="39" spans="1:92" ht="12" customHeight="1">
      <c r="A39" s="263" t="s">
        <v>35</v>
      </c>
      <c r="B39" s="263" t="s">
        <v>921</v>
      </c>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v>0.8</v>
      </c>
      <c r="AK39" s="263">
        <v>1.1000000000000001</v>
      </c>
      <c r="AL39" s="263">
        <v>1.3</v>
      </c>
      <c r="AM39" s="263">
        <v>1.7</v>
      </c>
      <c r="AN39" s="263">
        <v>2</v>
      </c>
      <c r="AO39" s="263">
        <v>2.1</v>
      </c>
      <c r="AP39" s="263">
        <v>2.4</v>
      </c>
      <c r="AQ39" s="263">
        <v>1.9</v>
      </c>
      <c r="AR39" s="263">
        <v>0.9</v>
      </c>
      <c r="AS39" s="263">
        <v>1.6</v>
      </c>
      <c r="AT39" s="263">
        <v>3</v>
      </c>
      <c r="AU39" s="263">
        <v>3.8</v>
      </c>
      <c r="AV39" s="263">
        <v>4.2</v>
      </c>
      <c r="AW39" s="263">
        <v>6.5</v>
      </c>
      <c r="AX39" s="263">
        <v>9.1</v>
      </c>
      <c r="AY39" s="263">
        <v>11</v>
      </c>
      <c r="AZ39" s="263">
        <v>12.9</v>
      </c>
      <c r="BA39" s="263">
        <v>14.6</v>
      </c>
      <c r="BB39" s="263">
        <v>15.1</v>
      </c>
      <c r="BC39" s="263">
        <v>18.899999999999999</v>
      </c>
      <c r="BD39" s="263">
        <v>17.3</v>
      </c>
      <c r="BE39" s="263">
        <v>16.100000000000001</v>
      </c>
      <c r="BF39" s="263"/>
      <c r="BG39" s="263"/>
      <c r="BH39" s="263"/>
      <c r="BI39" s="263"/>
      <c r="BJ39" s="263"/>
      <c r="BK39" s="263"/>
      <c r="BL39" s="263"/>
      <c r="BM39" s="263"/>
      <c r="BN39" s="263"/>
      <c r="BO39" s="263"/>
      <c r="BP39" s="263"/>
      <c r="BQ39" s="263"/>
      <c r="BR39" s="263"/>
      <c r="BS39" s="263"/>
      <c r="BT39" s="263"/>
      <c r="BU39" s="263"/>
      <c r="BV39" s="263"/>
      <c r="BW39" s="263"/>
      <c r="BX39" s="263"/>
      <c r="BY39" s="263"/>
      <c r="BZ39" s="263"/>
      <c r="CA39" s="263"/>
      <c r="CB39" s="263"/>
      <c r="CC39" s="263"/>
      <c r="CD39" s="263"/>
      <c r="CE39" s="263"/>
      <c r="CF39" s="263"/>
      <c r="CG39" s="263"/>
      <c r="CH39" s="263"/>
      <c r="CI39" s="263"/>
      <c r="CJ39" s="263"/>
      <c r="CK39" s="263"/>
      <c r="CL39" s="263"/>
    </row>
    <row r="40" spans="1:92" ht="12" customHeight="1">
      <c r="A40" s="263" t="s">
        <v>34</v>
      </c>
      <c r="B40" s="263" t="s">
        <v>922</v>
      </c>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v>0</v>
      </c>
      <c r="AU40" s="263">
        <v>0</v>
      </c>
      <c r="AV40" s="263">
        <v>0</v>
      </c>
      <c r="AW40" s="263">
        <v>0</v>
      </c>
      <c r="AX40" s="263">
        <v>0</v>
      </c>
      <c r="AY40" s="263">
        <v>1.7</v>
      </c>
      <c r="AZ40" s="263">
        <v>3.1</v>
      </c>
      <c r="BA40" s="263">
        <v>1.3</v>
      </c>
      <c r="BB40" s="263">
        <v>0.6</v>
      </c>
      <c r="BC40" s="263">
        <v>1.2</v>
      </c>
      <c r="BD40" s="263">
        <v>1.2</v>
      </c>
      <c r="BE40" s="263">
        <v>2.7</v>
      </c>
      <c r="BF40" s="263">
        <v>20.9</v>
      </c>
      <c r="BG40" s="263">
        <v>21.3</v>
      </c>
      <c r="BH40" s="263">
        <v>12.9</v>
      </c>
      <c r="BI40" s="263">
        <v>8</v>
      </c>
      <c r="BJ40" s="263">
        <v>6.1</v>
      </c>
      <c r="BK40" s="263">
        <v>4.8</v>
      </c>
      <c r="BL40" s="263">
        <v>3.6</v>
      </c>
      <c r="BM40" s="263">
        <v>4</v>
      </c>
      <c r="BN40" s="263">
        <v>4.5</v>
      </c>
      <c r="BO40" s="263">
        <v>6.9</v>
      </c>
      <c r="BP40" s="263">
        <v>8.1</v>
      </c>
      <c r="BQ40" s="263">
        <v>8.9</v>
      </c>
      <c r="BR40" s="263">
        <v>9.8000000000000007</v>
      </c>
      <c r="BS40" s="263">
        <v>10.3</v>
      </c>
      <c r="BT40" s="263">
        <v>10.1</v>
      </c>
      <c r="BU40" s="263">
        <v>9.1</v>
      </c>
      <c r="BV40" s="263">
        <v>12.3</v>
      </c>
      <c r="BW40" s="263">
        <v>11.8</v>
      </c>
      <c r="BX40" s="263">
        <v>12.9</v>
      </c>
      <c r="BY40" s="263">
        <v>15.2</v>
      </c>
      <c r="BZ40" s="263">
        <v>17.3</v>
      </c>
      <c r="CA40" s="263">
        <v>24.2</v>
      </c>
      <c r="CB40" s="263">
        <v>21.2</v>
      </c>
      <c r="CC40" s="263">
        <v>19.100000000000001</v>
      </c>
      <c r="CD40" s="263">
        <v>13.2</v>
      </c>
      <c r="CE40" s="263">
        <v>14.9</v>
      </c>
      <c r="CF40" s="263">
        <v>17.399999999999999</v>
      </c>
      <c r="CG40" s="263">
        <v>21.4</v>
      </c>
      <c r="CH40" s="263">
        <v>25.5</v>
      </c>
      <c r="CI40" s="263">
        <v>30.2</v>
      </c>
      <c r="CJ40" s="263">
        <v>37.200000000000003</v>
      </c>
      <c r="CK40" s="263" t="s">
        <v>33</v>
      </c>
      <c r="CL40" s="263" t="s">
        <v>33</v>
      </c>
    </row>
    <row r="41" spans="1:92" ht="12" customHeight="1">
      <c r="A41" s="263" t="s">
        <v>30</v>
      </c>
      <c r="B41" s="269" t="s">
        <v>179</v>
      </c>
      <c r="C41" s="263">
        <v>1.4</v>
      </c>
      <c r="D41" s="263">
        <v>0.8</v>
      </c>
      <c r="E41" s="263">
        <v>0.5</v>
      </c>
      <c r="F41" s="263">
        <v>0.4</v>
      </c>
      <c r="G41" s="263">
        <v>0.5</v>
      </c>
      <c r="H41" s="263">
        <v>0.7</v>
      </c>
      <c r="I41" s="263">
        <v>1</v>
      </c>
      <c r="J41" s="263">
        <v>1.4</v>
      </c>
      <c r="K41" s="263">
        <v>1.5</v>
      </c>
      <c r="L41" s="263">
        <v>1</v>
      </c>
      <c r="M41" s="263">
        <v>1.4</v>
      </c>
      <c r="N41" s="263">
        <v>2.8</v>
      </c>
      <c r="O41" s="263">
        <v>7.6</v>
      </c>
      <c r="P41" s="263">
        <v>11.4</v>
      </c>
      <c r="Q41" s="263">
        <v>14.1</v>
      </c>
      <c r="R41" s="263">
        <v>12.9</v>
      </c>
      <c r="S41" s="263">
        <v>10.7</v>
      </c>
      <c r="T41" s="263">
        <v>9.1</v>
      </c>
      <c r="U41" s="263">
        <v>11.3</v>
      </c>
      <c r="V41" s="263">
        <v>12.4</v>
      </c>
      <c r="W41" s="263">
        <v>10.199999999999999</v>
      </c>
      <c r="X41" s="263">
        <v>17.899999999999999</v>
      </c>
      <c r="Y41" s="263">
        <v>22.6</v>
      </c>
      <c r="Z41" s="263">
        <v>19.399999999999999</v>
      </c>
      <c r="AA41" s="263">
        <v>20.3</v>
      </c>
      <c r="AB41" s="263">
        <v>17.600000000000001</v>
      </c>
      <c r="AC41" s="263">
        <v>22</v>
      </c>
      <c r="AD41" s="263">
        <v>22</v>
      </c>
      <c r="AE41" s="263">
        <v>21.4</v>
      </c>
      <c r="AF41" s="263">
        <v>19</v>
      </c>
      <c r="AG41" s="263">
        <v>23.7</v>
      </c>
      <c r="AH41" s="263">
        <v>22.8</v>
      </c>
      <c r="AI41" s="263">
        <v>22.9</v>
      </c>
      <c r="AJ41" s="263">
        <v>24.1</v>
      </c>
      <c r="AK41" s="263">
        <v>26.4</v>
      </c>
      <c r="AL41" s="263">
        <v>28.2</v>
      </c>
      <c r="AM41" s="263">
        <v>31.1</v>
      </c>
      <c r="AN41" s="263">
        <v>33.9</v>
      </c>
      <c r="AO41" s="263">
        <v>32.9</v>
      </c>
      <c r="AP41" s="263">
        <v>39.6</v>
      </c>
      <c r="AQ41" s="263">
        <v>40</v>
      </c>
      <c r="AR41" s="263">
        <v>34.799999999999997</v>
      </c>
      <c r="AS41" s="263">
        <v>38.200000000000003</v>
      </c>
      <c r="AT41" s="263">
        <v>42.3</v>
      </c>
      <c r="AU41" s="263">
        <v>50</v>
      </c>
      <c r="AV41" s="263">
        <v>52.8</v>
      </c>
      <c r="AW41" s="263">
        <v>51.6</v>
      </c>
      <c r="AX41" s="263">
        <v>65.3</v>
      </c>
      <c r="AY41" s="263">
        <v>74.400000000000006</v>
      </c>
      <c r="AZ41" s="263">
        <v>84.9</v>
      </c>
      <c r="BA41" s="263">
        <v>90</v>
      </c>
      <c r="BB41" s="263">
        <v>87.2</v>
      </c>
      <c r="BC41" s="263">
        <v>84.3</v>
      </c>
      <c r="BD41" s="263">
        <v>66.5</v>
      </c>
      <c r="BE41" s="263">
        <v>80.599999999999994</v>
      </c>
      <c r="BF41" s="263">
        <v>97.5</v>
      </c>
      <c r="BG41" s="263">
        <v>99.4</v>
      </c>
      <c r="BH41" s="263">
        <v>109.7</v>
      </c>
      <c r="BI41" s="263">
        <v>130.4</v>
      </c>
      <c r="BJ41" s="263">
        <v>141.6</v>
      </c>
      <c r="BK41" s="263">
        <v>146.1</v>
      </c>
      <c r="BL41" s="263">
        <v>145.4</v>
      </c>
      <c r="BM41" s="263">
        <v>138.6</v>
      </c>
      <c r="BN41" s="263">
        <v>148.69999999999999</v>
      </c>
      <c r="BO41" s="263">
        <v>171</v>
      </c>
      <c r="BP41" s="263">
        <v>193.1</v>
      </c>
      <c r="BQ41" s="263">
        <v>217.8</v>
      </c>
      <c r="BR41" s="263">
        <v>231.5</v>
      </c>
      <c r="BS41" s="263">
        <v>245.4</v>
      </c>
      <c r="BT41" s="263">
        <v>248.4</v>
      </c>
      <c r="BU41" s="263">
        <v>258.8</v>
      </c>
      <c r="BV41" s="263">
        <v>265.10000000000002</v>
      </c>
      <c r="BW41" s="263">
        <v>203.3</v>
      </c>
      <c r="BX41" s="263">
        <v>192.3</v>
      </c>
      <c r="BY41" s="263">
        <v>243.8</v>
      </c>
      <c r="BZ41" s="263">
        <v>306.10000000000002</v>
      </c>
      <c r="CA41" s="263">
        <v>412.4</v>
      </c>
      <c r="CB41" s="263">
        <v>473.4</v>
      </c>
      <c r="CC41" s="263">
        <v>445.5</v>
      </c>
      <c r="CD41" s="263">
        <v>309.10000000000002</v>
      </c>
      <c r="CE41" s="263">
        <v>269.39999999999998</v>
      </c>
      <c r="CF41" s="263">
        <v>370.6</v>
      </c>
      <c r="CG41" s="263">
        <v>379.1</v>
      </c>
      <c r="CH41" s="263">
        <v>447.6</v>
      </c>
      <c r="CI41" s="263">
        <v>467.7</v>
      </c>
      <c r="CJ41" s="263">
        <v>505.3</v>
      </c>
      <c r="CK41" s="263">
        <v>507.4</v>
      </c>
      <c r="CL41" s="263">
        <v>471</v>
      </c>
    </row>
    <row r="42" spans="1:92" ht="12" customHeight="1">
      <c r="A42" s="263" t="s">
        <v>29</v>
      </c>
      <c r="B42" s="269" t="s">
        <v>178</v>
      </c>
      <c r="C42" s="263">
        <v>9.5</v>
      </c>
      <c r="D42" s="263">
        <v>3.7</v>
      </c>
      <c r="E42" s="263">
        <v>0.1</v>
      </c>
      <c r="F42" s="263">
        <v>-1.7</v>
      </c>
      <c r="G42" s="263">
        <v>1.3</v>
      </c>
      <c r="H42" s="263">
        <v>2.5</v>
      </c>
      <c r="I42" s="263">
        <v>3.4</v>
      </c>
      <c r="J42" s="263">
        <v>5.7</v>
      </c>
      <c r="K42" s="263">
        <v>6.1</v>
      </c>
      <c r="L42" s="263">
        <v>3.6</v>
      </c>
      <c r="M42" s="263">
        <v>6.3</v>
      </c>
      <c r="N42" s="263">
        <v>7.8</v>
      </c>
      <c r="O42" s="263">
        <v>11.2</v>
      </c>
      <c r="P42" s="263">
        <v>11.1</v>
      </c>
      <c r="Q42" s="263">
        <v>11.8</v>
      </c>
      <c r="R42" s="263">
        <v>11.8</v>
      </c>
      <c r="S42" s="263">
        <v>9.6999999999999993</v>
      </c>
      <c r="T42" s="263">
        <v>16.5</v>
      </c>
      <c r="U42" s="263">
        <v>21.4</v>
      </c>
      <c r="V42" s="263">
        <v>24.1</v>
      </c>
      <c r="W42" s="263">
        <v>19.8</v>
      </c>
      <c r="X42" s="263">
        <v>25.9</v>
      </c>
      <c r="Y42" s="263">
        <v>22.8</v>
      </c>
      <c r="Z42" s="263">
        <v>21.9</v>
      </c>
      <c r="AA42" s="263">
        <v>22.9</v>
      </c>
      <c r="AB42" s="263">
        <v>23.2</v>
      </c>
      <c r="AC42" s="263">
        <v>29.4</v>
      </c>
      <c r="AD42" s="263">
        <v>30.6</v>
      </c>
      <c r="AE42" s="263">
        <v>29.8</v>
      </c>
      <c r="AF42" s="263">
        <v>26.1</v>
      </c>
      <c r="AG42" s="263">
        <v>32.200000000000003</v>
      </c>
      <c r="AH42" s="263">
        <v>31.1</v>
      </c>
      <c r="AI42" s="263">
        <v>31</v>
      </c>
      <c r="AJ42" s="263">
        <v>35.1</v>
      </c>
      <c r="AK42" s="263">
        <v>38</v>
      </c>
      <c r="AL42" s="263">
        <v>43.3</v>
      </c>
      <c r="AM42" s="263">
        <v>52</v>
      </c>
      <c r="AN42" s="263">
        <v>56.5</v>
      </c>
      <c r="AO42" s="263">
        <v>54.7</v>
      </c>
      <c r="AP42" s="263">
        <v>58.3</v>
      </c>
      <c r="AQ42" s="263">
        <v>56.7</v>
      </c>
      <c r="AR42" s="263">
        <v>51.5</v>
      </c>
      <c r="AS42" s="263">
        <v>61.1</v>
      </c>
      <c r="AT42" s="263">
        <v>73.5</v>
      </c>
      <c r="AU42" s="263">
        <v>96.2</v>
      </c>
      <c r="AV42" s="263">
        <v>108.7</v>
      </c>
      <c r="AW42" s="263">
        <v>103.1</v>
      </c>
      <c r="AX42" s="263">
        <v>130.9</v>
      </c>
      <c r="AY42" s="263">
        <v>154.1</v>
      </c>
      <c r="AZ42" s="263">
        <v>185.6</v>
      </c>
      <c r="BA42" s="263">
        <v>211.1</v>
      </c>
      <c r="BB42" s="263">
        <v>195.6</v>
      </c>
      <c r="BC42" s="263">
        <v>192.3</v>
      </c>
      <c r="BD42" s="263">
        <v>165.8</v>
      </c>
      <c r="BE42" s="263">
        <v>183.2</v>
      </c>
      <c r="BF42" s="263">
        <v>200.7</v>
      </c>
      <c r="BG42" s="263">
        <v>190.2</v>
      </c>
      <c r="BH42" s="263">
        <v>156.5</v>
      </c>
      <c r="BI42" s="263">
        <v>200.4</v>
      </c>
      <c r="BJ42" s="263">
        <v>246.7</v>
      </c>
      <c r="BK42" s="263">
        <v>243.3</v>
      </c>
      <c r="BL42" s="263">
        <v>258.60000000000002</v>
      </c>
      <c r="BM42" s="263">
        <v>290.7</v>
      </c>
      <c r="BN42" s="263">
        <v>313.89999999999998</v>
      </c>
      <c r="BO42" s="263">
        <v>334.9</v>
      </c>
      <c r="BP42" s="263">
        <v>408.6</v>
      </c>
      <c r="BQ42" s="263">
        <v>467.4</v>
      </c>
      <c r="BR42" s="263">
        <v>507.3</v>
      </c>
      <c r="BS42" s="263">
        <v>551.5</v>
      </c>
      <c r="BT42" s="263">
        <v>479.7</v>
      </c>
      <c r="BU42" s="263">
        <v>507.4</v>
      </c>
      <c r="BV42" s="263">
        <v>482</v>
      </c>
      <c r="BW42" s="263">
        <v>487.3</v>
      </c>
      <c r="BX42" s="263">
        <v>596.6</v>
      </c>
      <c r="BY42" s="263">
        <v>725.7</v>
      </c>
      <c r="BZ42" s="263">
        <v>948.5</v>
      </c>
      <c r="CA42" s="263">
        <v>1240.9000000000001</v>
      </c>
      <c r="CB42" s="263">
        <v>1378.1</v>
      </c>
      <c r="CC42" s="263">
        <v>1302.9000000000001</v>
      </c>
      <c r="CD42" s="263">
        <v>1073.3</v>
      </c>
      <c r="CE42" s="263">
        <v>1203.0999999999999</v>
      </c>
      <c r="CF42" s="263">
        <v>1470.1</v>
      </c>
      <c r="CG42" s="263">
        <v>1427.7</v>
      </c>
      <c r="CH42" s="263">
        <v>1683.2</v>
      </c>
      <c r="CI42" s="263">
        <v>1688.4</v>
      </c>
      <c r="CJ42" s="263">
        <v>1743.8</v>
      </c>
      <c r="CK42" s="263">
        <v>1651.1</v>
      </c>
      <c r="CL42" s="263">
        <v>1687.9</v>
      </c>
    </row>
    <row r="43" spans="1:92" ht="12" customHeight="1">
      <c r="A43" s="263" t="s">
        <v>27</v>
      </c>
      <c r="B43" s="269" t="s">
        <v>177</v>
      </c>
      <c r="C43" s="263">
        <v>8.5</v>
      </c>
      <c r="D43" s="263">
        <v>8.1999999999999993</v>
      </c>
      <c r="E43" s="263">
        <v>6.2</v>
      </c>
      <c r="F43" s="263">
        <v>3.9</v>
      </c>
      <c r="G43" s="263">
        <v>3.1</v>
      </c>
      <c r="H43" s="263">
        <v>4.9000000000000004</v>
      </c>
      <c r="I43" s="263">
        <v>5.9</v>
      </c>
      <c r="J43" s="263">
        <v>7.4</v>
      </c>
      <c r="K43" s="263">
        <v>7.5</v>
      </c>
      <c r="L43" s="263">
        <v>5</v>
      </c>
      <c r="M43" s="263">
        <v>5.7</v>
      </c>
      <c r="N43" s="263">
        <v>6.1</v>
      </c>
      <c r="O43" s="263">
        <v>6.7</v>
      </c>
      <c r="P43" s="263">
        <v>5.6</v>
      </c>
      <c r="Q43" s="263">
        <v>5.7</v>
      </c>
      <c r="R43" s="263">
        <v>6.1</v>
      </c>
      <c r="S43" s="263">
        <v>6.1</v>
      </c>
      <c r="T43" s="263">
        <v>7.5</v>
      </c>
      <c r="U43" s="263">
        <v>8.4</v>
      </c>
      <c r="V43" s="263">
        <v>9.4</v>
      </c>
      <c r="W43" s="263">
        <v>9.6</v>
      </c>
      <c r="X43" s="263">
        <v>11.6</v>
      </c>
      <c r="Y43" s="263">
        <v>11.3</v>
      </c>
      <c r="Z43" s="263">
        <v>11.3</v>
      </c>
      <c r="AA43" s="263">
        <v>11.6</v>
      </c>
      <c r="AB43" s="263">
        <v>11.9</v>
      </c>
      <c r="AC43" s="263">
        <v>13.6</v>
      </c>
      <c r="AD43" s="263">
        <v>14.5</v>
      </c>
      <c r="AE43" s="263">
        <v>14.9</v>
      </c>
      <c r="AF43" s="263">
        <v>15</v>
      </c>
      <c r="AG43" s="263">
        <v>16.2</v>
      </c>
      <c r="AH43" s="263">
        <v>17.2</v>
      </c>
      <c r="AI43" s="263">
        <v>18</v>
      </c>
      <c r="AJ43" s="263">
        <v>19.600000000000001</v>
      </c>
      <c r="AK43" s="263">
        <v>21.1</v>
      </c>
      <c r="AL43" s="263">
        <v>23.3</v>
      </c>
      <c r="AM43" s="263">
        <v>26</v>
      </c>
      <c r="AN43" s="263">
        <v>27</v>
      </c>
      <c r="AO43" s="263">
        <v>28.2</v>
      </c>
      <c r="AP43" s="263">
        <v>31.6</v>
      </c>
      <c r="AQ43" s="263">
        <v>33</v>
      </c>
      <c r="AR43" s="263">
        <v>32</v>
      </c>
      <c r="AS43" s="263">
        <v>32.6</v>
      </c>
      <c r="AT43" s="263">
        <v>36</v>
      </c>
      <c r="AU43" s="263">
        <v>41.8</v>
      </c>
      <c r="AV43" s="263">
        <v>49.3</v>
      </c>
      <c r="AW43" s="263">
        <v>44.6</v>
      </c>
      <c r="AX43" s="263">
        <v>53.4</v>
      </c>
      <c r="AY43" s="263">
        <v>61.5</v>
      </c>
      <c r="AZ43" s="263">
        <v>68.599999999999994</v>
      </c>
      <c r="BA43" s="263">
        <v>82.6</v>
      </c>
      <c r="BB43" s="263">
        <v>97.4</v>
      </c>
      <c r="BC43" s="263">
        <v>120.3</v>
      </c>
      <c r="BD43" s="263">
        <v>131.19999999999999</v>
      </c>
      <c r="BE43" s="263">
        <v>128.30000000000001</v>
      </c>
      <c r="BF43" s="263">
        <v>144.9</v>
      </c>
      <c r="BG43" s="263">
        <v>161.5</v>
      </c>
      <c r="BH43" s="263">
        <v>190.7</v>
      </c>
      <c r="BI43" s="263">
        <v>197.5</v>
      </c>
      <c r="BJ43" s="263">
        <v>224</v>
      </c>
      <c r="BK43" s="263">
        <v>263.2</v>
      </c>
      <c r="BL43" s="263">
        <v>283.2</v>
      </c>
      <c r="BM43" s="263">
        <v>290.7</v>
      </c>
      <c r="BN43" s="263">
        <v>304.10000000000002</v>
      </c>
      <c r="BO43" s="263">
        <v>341.7</v>
      </c>
      <c r="BP43" s="263">
        <v>380.9</v>
      </c>
      <c r="BQ43" s="263">
        <v>445.1</v>
      </c>
      <c r="BR43" s="263">
        <v>530.79999999999995</v>
      </c>
      <c r="BS43" s="263">
        <v>655.1</v>
      </c>
      <c r="BT43" s="263">
        <v>718.3</v>
      </c>
      <c r="BU43" s="263">
        <v>769.8</v>
      </c>
      <c r="BV43" s="263">
        <v>910.3</v>
      </c>
      <c r="BW43" s="263">
        <v>724.9</v>
      </c>
      <c r="BX43" s="263">
        <v>581.5</v>
      </c>
      <c r="BY43" s="263">
        <v>614.5</v>
      </c>
      <c r="BZ43" s="263">
        <v>785</v>
      </c>
      <c r="CA43" s="263">
        <v>976</v>
      </c>
      <c r="CB43" s="263">
        <v>1275.0999999999999</v>
      </c>
      <c r="CC43" s="263">
        <v>1529.6</v>
      </c>
      <c r="CD43" s="263">
        <v>1420.9</v>
      </c>
      <c r="CE43" s="263">
        <v>854.1</v>
      </c>
      <c r="CF43" s="263">
        <v>878.7</v>
      </c>
      <c r="CG43" s="263">
        <v>992.4</v>
      </c>
      <c r="CH43" s="263">
        <v>1202.2</v>
      </c>
      <c r="CI43" s="263">
        <v>1427</v>
      </c>
      <c r="CJ43" s="263">
        <v>1679.9</v>
      </c>
      <c r="CK43" s="263" t="s">
        <v>33</v>
      </c>
      <c r="CL43" s="263" t="s">
        <v>33</v>
      </c>
    </row>
    <row r="44" spans="1:92" ht="12" customHeight="1">
      <c r="A44" s="263" t="s">
        <v>32</v>
      </c>
      <c r="B44" s="263" t="s">
        <v>176</v>
      </c>
      <c r="C44" s="263" t="s">
        <v>0</v>
      </c>
      <c r="D44" s="263" t="s">
        <v>0</v>
      </c>
      <c r="E44" s="263" t="s">
        <v>0</v>
      </c>
      <c r="F44" s="263" t="s">
        <v>0</v>
      </c>
      <c r="G44" s="263" t="s">
        <v>0</v>
      </c>
      <c r="H44" s="263" t="s">
        <v>0</v>
      </c>
      <c r="I44" s="263" t="s">
        <v>0</v>
      </c>
      <c r="J44" s="263" t="s">
        <v>0</v>
      </c>
      <c r="K44" s="263" t="s">
        <v>0</v>
      </c>
      <c r="L44" s="263" t="s">
        <v>0</v>
      </c>
      <c r="M44" s="263" t="s">
        <v>0</v>
      </c>
      <c r="N44" s="263" t="s">
        <v>0</v>
      </c>
      <c r="O44" s="263" t="s">
        <v>0</v>
      </c>
      <c r="P44" s="263" t="s">
        <v>0</v>
      </c>
      <c r="Q44" s="263" t="s">
        <v>0</v>
      </c>
      <c r="R44" s="263" t="s">
        <v>0</v>
      </c>
      <c r="S44" s="263" t="s">
        <v>0</v>
      </c>
      <c r="T44" s="263" t="s">
        <v>0</v>
      </c>
      <c r="U44" s="263" t="s">
        <v>0</v>
      </c>
      <c r="V44" s="263" t="s">
        <v>0</v>
      </c>
      <c r="W44" s="263" t="s">
        <v>0</v>
      </c>
      <c r="X44" s="263" t="s">
        <v>0</v>
      </c>
      <c r="Y44" s="263" t="s">
        <v>0</v>
      </c>
      <c r="Z44" s="263" t="s">
        <v>0</v>
      </c>
      <c r="AA44" s="263" t="s">
        <v>0</v>
      </c>
      <c r="AB44" s="263" t="s">
        <v>0</v>
      </c>
      <c r="AC44" s="263" t="s">
        <v>0</v>
      </c>
      <c r="AD44" s="263" t="s">
        <v>0</v>
      </c>
      <c r="AE44" s="263" t="s">
        <v>0</v>
      </c>
      <c r="AF44" s="263" t="s">
        <v>0</v>
      </c>
      <c r="AG44" s="263" t="s">
        <v>0</v>
      </c>
      <c r="AH44" s="263" t="s">
        <v>0</v>
      </c>
      <c r="AI44" s="263" t="s">
        <v>0</v>
      </c>
      <c r="AJ44" s="263" t="s">
        <v>0</v>
      </c>
      <c r="AK44" s="263" t="s">
        <v>0</v>
      </c>
      <c r="AL44" s="263" t="s">
        <v>0</v>
      </c>
      <c r="AM44" s="263" t="s">
        <v>0</v>
      </c>
      <c r="AN44" s="263" t="s">
        <v>0</v>
      </c>
      <c r="AO44" s="263" t="s">
        <v>0</v>
      </c>
      <c r="AP44" s="263" t="s">
        <v>0</v>
      </c>
      <c r="AQ44" s="263" t="s">
        <v>0</v>
      </c>
      <c r="AR44" s="263" t="s">
        <v>0</v>
      </c>
      <c r="AS44" s="263" t="s">
        <v>0</v>
      </c>
      <c r="AT44" s="263" t="s">
        <v>0</v>
      </c>
      <c r="AU44" s="263" t="s">
        <v>0</v>
      </c>
      <c r="AV44" s="263" t="s">
        <v>0</v>
      </c>
      <c r="AW44" s="263" t="s">
        <v>0</v>
      </c>
      <c r="AX44" s="263" t="s">
        <v>0</v>
      </c>
      <c r="AY44" s="263" t="s">
        <v>0</v>
      </c>
      <c r="AZ44" s="263" t="s">
        <v>0</v>
      </c>
      <c r="BA44" s="263" t="s">
        <v>0</v>
      </c>
      <c r="BB44" s="263" t="s">
        <v>0</v>
      </c>
      <c r="BC44" s="263" t="s">
        <v>0</v>
      </c>
      <c r="BD44" s="263" t="s">
        <v>0</v>
      </c>
      <c r="BE44" s="263" t="s">
        <v>0</v>
      </c>
      <c r="BF44" s="263" t="s">
        <v>0</v>
      </c>
      <c r="BG44" s="263" t="s">
        <v>0</v>
      </c>
      <c r="BH44" s="263" t="s">
        <v>0</v>
      </c>
      <c r="BI44" s="263" t="s">
        <v>0</v>
      </c>
      <c r="BJ44" s="263" t="s">
        <v>0</v>
      </c>
      <c r="BK44" s="263" t="s">
        <v>0</v>
      </c>
      <c r="BL44" s="263" t="s">
        <v>0</v>
      </c>
      <c r="BM44" s="263" t="s">
        <v>0</v>
      </c>
      <c r="BN44" s="263" t="s">
        <v>0</v>
      </c>
      <c r="BO44" s="263" t="s">
        <v>0</v>
      </c>
      <c r="BP44" s="263" t="s">
        <v>0</v>
      </c>
      <c r="BQ44" s="263" t="s">
        <v>0</v>
      </c>
      <c r="BR44" s="263" t="s">
        <v>0</v>
      </c>
      <c r="BS44" s="263" t="s">
        <v>0</v>
      </c>
      <c r="BT44" s="263" t="s">
        <v>0</v>
      </c>
      <c r="BU44" s="263" t="s">
        <v>0</v>
      </c>
      <c r="BV44" s="263" t="s">
        <v>0</v>
      </c>
      <c r="BW44" s="263" t="s">
        <v>0</v>
      </c>
      <c r="BX44" s="263" t="s">
        <v>0</v>
      </c>
      <c r="BY44" s="263" t="s">
        <v>0</v>
      </c>
      <c r="BZ44" s="263" t="s">
        <v>0</v>
      </c>
      <c r="CA44" s="263" t="s">
        <v>0</v>
      </c>
      <c r="CB44" s="263" t="s">
        <v>0</v>
      </c>
      <c r="CC44" s="263" t="s">
        <v>0</v>
      </c>
      <c r="CD44" s="263" t="s">
        <v>0</v>
      </c>
      <c r="CE44" s="263" t="s">
        <v>0</v>
      </c>
      <c r="CF44" s="263" t="s">
        <v>0</v>
      </c>
      <c r="CG44" s="263" t="s">
        <v>0</v>
      </c>
      <c r="CH44" s="263" t="s">
        <v>0</v>
      </c>
      <c r="CI44" s="263" t="s">
        <v>0</v>
      </c>
      <c r="CJ44" s="263" t="s">
        <v>0</v>
      </c>
      <c r="CK44" s="263" t="s">
        <v>0</v>
      </c>
      <c r="CL44" s="263" t="s">
        <v>0</v>
      </c>
    </row>
    <row r="45" spans="1:92" ht="12" customHeight="1">
      <c r="A45" s="263" t="s">
        <v>26</v>
      </c>
      <c r="B45" s="263" t="s">
        <v>923</v>
      </c>
      <c r="C45" s="263">
        <v>0</v>
      </c>
      <c r="D45" s="263">
        <v>0</v>
      </c>
      <c r="E45" s="263">
        <v>0</v>
      </c>
      <c r="F45" s="263">
        <v>0</v>
      </c>
      <c r="G45" s="263">
        <v>0</v>
      </c>
      <c r="H45" s="263">
        <v>0</v>
      </c>
      <c r="I45" s="263">
        <v>0</v>
      </c>
      <c r="J45" s="263">
        <v>0</v>
      </c>
      <c r="K45" s="263">
        <v>0</v>
      </c>
      <c r="L45" s="263">
        <v>0</v>
      </c>
      <c r="M45" s="263">
        <v>0</v>
      </c>
      <c r="N45" s="263">
        <v>0</v>
      </c>
      <c r="O45" s="263">
        <v>0</v>
      </c>
      <c r="P45" s="263">
        <v>0</v>
      </c>
      <c r="Q45" s="263">
        <v>0</v>
      </c>
      <c r="R45" s="263">
        <v>0</v>
      </c>
      <c r="S45" s="263">
        <v>0</v>
      </c>
      <c r="T45" s="263">
        <v>-0.1</v>
      </c>
      <c r="U45" s="263">
        <v>0</v>
      </c>
      <c r="V45" s="263">
        <v>0</v>
      </c>
      <c r="W45" s="263">
        <v>0</v>
      </c>
      <c r="X45" s="263">
        <v>-0.1</v>
      </c>
      <c r="Y45" s="263">
        <v>-0.1</v>
      </c>
      <c r="Z45" s="263">
        <v>-0.1</v>
      </c>
      <c r="AA45" s="263">
        <v>-0.1</v>
      </c>
      <c r="AB45" s="263">
        <v>-0.2</v>
      </c>
      <c r="AC45" s="263">
        <v>-0.3</v>
      </c>
      <c r="AD45" s="263">
        <v>-0.4</v>
      </c>
      <c r="AE45" s="263">
        <v>-0.4</v>
      </c>
      <c r="AF45" s="263">
        <v>-0.3</v>
      </c>
      <c r="AG45" s="263">
        <v>-0.6</v>
      </c>
      <c r="AH45" s="263">
        <v>-0.6</v>
      </c>
      <c r="AI45" s="263">
        <v>-0.5</v>
      </c>
      <c r="AJ45" s="263">
        <v>-0.7</v>
      </c>
      <c r="AK45" s="263">
        <v>-0.5</v>
      </c>
      <c r="AL45" s="263">
        <v>-0.1</v>
      </c>
      <c r="AM45" s="263">
        <v>-0.7</v>
      </c>
      <c r="AN45" s="263">
        <v>-1.6</v>
      </c>
      <c r="AO45" s="263">
        <v>-1.8</v>
      </c>
      <c r="AP45" s="263">
        <v>-2.7</v>
      </c>
      <c r="AQ45" s="263">
        <v>-2.7</v>
      </c>
      <c r="AR45" s="263">
        <v>-1.1000000000000001</v>
      </c>
      <c r="AS45" s="263">
        <v>-0.5</v>
      </c>
      <c r="AT45" s="263">
        <v>-0.7</v>
      </c>
      <c r="AU45" s="263">
        <v>0</v>
      </c>
      <c r="AV45" s="263">
        <v>0.8</v>
      </c>
      <c r="AW45" s="263">
        <v>0.3</v>
      </c>
      <c r="AX45" s="263">
        <v>1.1000000000000001</v>
      </c>
      <c r="AY45" s="263">
        <v>-0.1</v>
      </c>
      <c r="AZ45" s="263">
        <v>0.6</v>
      </c>
      <c r="BA45" s="263">
        <v>1</v>
      </c>
      <c r="BB45" s="263">
        <v>-0.7</v>
      </c>
      <c r="BC45" s="263">
        <v>-4.5</v>
      </c>
      <c r="BD45" s="263">
        <v>-6.4</v>
      </c>
      <c r="BE45" s="263">
        <v>-1.7</v>
      </c>
      <c r="BF45" s="263">
        <v>-5.0999999999999996</v>
      </c>
      <c r="BG45" s="263">
        <v>-9.5</v>
      </c>
      <c r="BH45" s="263">
        <v>-31</v>
      </c>
      <c r="BI45" s="263">
        <v>-14</v>
      </c>
      <c r="BJ45" s="263">
        <v>-3.1</v>
      </c>
      <c r="BK45" s="263">
        <v>-10.3</v>
      </c>
      <c r="BL45" s="263">
        <v>-14</v>
      </c>
      <c r="BM45" s="263">
        <v>-21.2</v>
      </c>
      <c r="BN45" s="263">
        <v>-17</v>
      </c>
      <c r="BO45" s="263">
        <v>-27.9</v>
      </c>
      <c r="BP45" s="263">
        <v>-39.1</v>
      </c>
      <c r="BQ45" s="263">
        <v>-44.9</v>
      </c>
      <c r="BR45" s="263">
        <v>-67</v>
      </c>
      <c r="BS45" s="263">
        <v>-130.9</v>
      </c>
      <c r="BT45" s="263">
        <v>-151.69999999999999</v>
      </c>
      <c r="BU45" s="263">
        <v>-189.1</v>
      </c>
      <c r="BV45" s="263">
        <v>-239.8</v>
      </c>
      <c r="BW45" s="263">
        <v>-128.6</v>
      </c>
      <c r="BX45" s="263">
        <v>-19.899999999999999</v>
      </c>
      <c r="BY45" s="263">
        <v>-2.9</v>
      </c>
      <c r="BZ45" s="263">
        <v>-29.8</v>
      </c>
      <c r="CA45" s="263">
        <v>-28.2</v>
      </c>
      <c r="CB45" s="263">
        <v>-197.7</v>
      </c>
      <c r="CC45" s="263">
        <v>-319.10000000000002</v>
      </c>
      <c r="CD45" s="263">
        <v>-290.8</v>
      </c>
      <c r="CE45" s="263">
        <v>22.7</v>
      </c>
      <c r="CF45" s="263">
        <v>11</v>
      </c>
      <c r="CG45" s="263">
        <v>-31</v>
      </c>
      <c r="CH45" s="263">
        <v>-61.2</v>
      </c>
      <c r="CI45" s="263">
        <v>-134.9</v>
      </c>
      <c r="CJ45" s="263">
        <v>-310.3</v>
      </c>
      <c r="CK45" s="263" t="s">
        <v>33</v>
      </c>
      <c r="CL45" s="263" t="s">
        <v>33</v>
      </c>
    </row>
    <row r="46" spans="1:92" ht="12" customHeight="1">
      <c r="A46" s="263" t="s">
        <v>25</v>
      </c>
      <c r="B46" s="263" t="s">
        <v>924</v>
      </c>
      <c r="C46" s="263">
        <v>0</v>
      </c>
      <c r="D46" s="263">
        <v>0</v>
      </c>
      <c r="E46" s="263">
        <v>0</v>
      </c>
      <c r="F46" s="263">
        <v>0</v>
      </c>
      <c r="G46" s="263">
        <v>0</v>
      </c>
      <c r="H46" s="263">
        <v>0</v>
      </c>
      <c r="I46" s="263">
        <v>0</v>
      </c>
      <c r="J46" s="263">
        <v>0</v>
      </c>
      <c r="K46" s="263">
        <v>0</v>
      </c>
      <c r="L46" s="263">
        <v>0</v>
      </c>
      <c r="M46" s="263">
        <v>0</v>
      </c>
      <c r="N46" s="263">
        <v>0</v>
      </c>
      <c r="O46" s="263">
        <v>0</v>
      </c>
      <c r="P46" s="263">
        <v>0</v>
      </c>
      <c r="Q46" s="263">
        <v>0</v>
      </c>
      <c r="R46" s="263">
        <v>0</v>
      </c>
      <c r="S46" s="263">
        <v>0</v>
      </c>
      <c r="T46" s="263">
        <v>0</v>
      </c>
      <c r="U46" s="263">
        <v>0</v>
      </c>
      <c r="V46" s="263">
        <v>0</v>
      </c>
      <c r="W46" s="263">
        <v>0</v>
      </c>
      <c r="X46" s="263">
        <v>0</v>
      </c>
      <c r="Y46" s="263">
        <v>0</v>
      </c>
      <c r="Z46" s="263">
        <v>0</v>
      </c>
      <c r="AA46" s="263">
        <v>0</v>
      </c>
      <c r="AB46" s="263">
        <v>0</v>
      </c>
      <c r="AC46" s="263">
        <v>0</v>
      </c>
      <c r="AD46" s="263">
        <v>0</v>
      </c>
      <c r="AE46" s="263">
        <v>0</v>
      </c>
      <c r="AF46" s="263">
        <v>0</v>
      </c>
      <c r="AG46" s="263">
        <v>0</v>
      </c>
      <c r="AH46" s="263">
        <v>0</v>
      </c>
      <c r="AI46" s="263">
        <v>0</v>
      </c>
      <c r="AJ46" s="263">
        <v>0.1</v>
      </c>
      <c r="AK46" s="263">
        <v>0.1</v>
      </c>
      <c r="AL46" s="263">
        <v>0.1</v>
      </c>
      <c r="AM46" s="263">
        <v>0.1</v>
      </c>
      <c r="AN46" s="263">
        <v>0.1</v>
      </c>
      <c r="AO46" s="263">
        <v>0.1</v>
      </c>
      <c r="AP46" s="263">
        <v>0.1</v>
      </c>
      <c r="AQ46" s="263">
        <v>0.1</v>
      </c>
      <c r="AR46" s="263">
        <v>0.1</v>
      </c>
      <c r="AS46" s="263">
        <v>0.1</v>
      </c>
      <c r="AT46" s="263">
        <v>0.1</v>
      </c>
      <c r="AU46" s="263">
        <v>0.2</v>
      </c>
      <c r="AV46" s="263">
        <v>0.2</v>
      </c>
      <c r="AW46" s="263">
        <v>0.2</v>
      </c>
      <c r="AX46" s="263">
        <v>0.2</v>
      </c>
      <c r="AY46" s="263">
        <v>0.2</v>
      </c>
      <c r="AZ46" s="263">
        <v>0.3</v>
      </c>
      <c r="BA46" s="263">
        <v>0.3</v>
      </c>
      <c r="BB46" s="263">
        <v>0.4</v>
      </c>
      <c r="BC46" s="263">
        <v>0.3</v>
      </c>
      <c r="BD46" s="263">
        <v>0.7</v>
      </c>
      <c r="BE46" s="263">
        <v>0.6</v>
      </c>
      <c r="BF46" s="263">
        <v>0.7</v>
      </c>
      <c r="BG46" s="263">
        <v>0.9</v>
      </c>
      <c r="BH46" s="263">
        <v>0.7</v>
      </c>
      <c r="BI46" s="263">
        <v>0.5</v>
      </c>
      <c r="BJ46" s="263">
        <v>0.6</v>
      </c>
      <c r="BK46" s="263">
        <v>0.7</v>
      </c>
      <c r="BL46" s="263">
        <v>0.6</v>
      </c>
      <c r="BM46" s="263">
        <v>0.5</v>
      </c>
      <c r="BN46" s="263">
        <v>0.8</v>
      </c>
      <c r="BO46" s="263">
        <v>1</v>
      </c>
      <c r="BP46" s="263">
        <v>1.1000000000000001</v>
      </c>
      <c r="BQ46" s="263">
        <v>1.3</v>
      </c>
      <c r="BR46" s="263">
        <v>1.4</v>
      </c>
      <c r="BS46" s="263">
        <v>1.6</v>
      </c>
      <c r="BT46" s="263">
        <v>1.9</v>
      </c>
      <c r="BU46" s="263">
        <v>1.5</v>
      </c>
      <c r="BV46" s="263">
        <v>1.8</v>
      </c>
      <c r="BW46" s="263">
        <v>1.8</v>
      </c>
      <c r="BX46" s="263">
        <v>1.6</v>
      </c>
      <c r="BY46" s="263">
        <v>1.5</v>
      </c>
      <c r="BZ46" s="263">
        <v>1.2</v>
      </c>
      <c r="CA46" s="263">
        <v>1.9</v>
      </c>
      <c r="CB46" s="263">
        <v>2.5</v>
      </c>
      <c r="CC46" s="263">
        <v>3</v>
      </c>
      <c r="CD46" s="263">
        <v>3.1</v>
      </c>
      <c r="CE46" s="263">
        <v>2.7</v>
      </c>
      <c r="CF46" s="263">
        <v>2.7</v>
      </c>
      <c r="CG46" s="263">
        <v>2.9</v>
      </c>
      <c r="CH46" s="263">
        <v>3.2</v>
      </c>
      <c r="CI46" s="263">
        <v>3.4</v>
      </c>
      <c r="CJ46" s="263">
        <v>3.9</v>
      </c>
      <c r="CK46" s="263" t="s">
        <v>33</v>
      </c>
      <c r="CL46" s="263" t="s">
        <v>33</v>
      </c>
    </row>
    <row r="47" spans="1:92" ht="12" customHeight="1">
      <c r="A47" s="263" t="s">
        <v>23</v>
      </c>
      <c r="B47" s="263" t="s">
        <v>925</v>
      </c>
      <c r="C47" s="263">
        <v>0.2</v>
      </c>
      <c r="D47" s="263">
        <v>0.1</v>
      </c>
      <c r="E47" s="263">
        <v>0</v>
      </c>
      <c r="F47" s="263">
        <v>0</v>
      </c>
      <c r="G47" s="263">
        <v>0</v>
      </c>
      <c r="H47" s="263">
        <v>0.1</v>
      </c>
      <c r="I47" s="263">
        <v>0.2</v>
      </c>
      <c r="J47" s="263">
        <v>0.1</v>
      </c>
      <c r="K47" s="263">
        <v>0.1</v>
      </c>
      <c r="L47" s="263">
        <v>0.2</v>
      </c>
      <c r="M47" s="263">
        <v>0.2</v>
      </c>
      <c r="N47" s="263">
        <v>0.2</v>
      </c>
      <c r="O47" s="263">
        <v>0.2</v>
      </c>
      <c r="P47" s="263">
        <v>0.2</v>
      </c>
      <c r="Q47" s="263">
        <v>0.2</v>
      </c>
      <c r="R47" s="263">
        <v>0.3</v>
      </c>
      <c r="S47" s="263">
        <v>0.2</v>
      </c>
      <c r="T47" s="263">
        <v>0.4</v>
      </c>
      <c r="U47" s="263">
        <v>0.7</v>
      </c>
      <c r="V47" s="263">
        <v>0.8</v>
      </c>
      <c r="W47" s="263">
        <v>0.8</v>
      </c>
      <c r="X47" s="263">
        <v>1</v>
      </c>
      <c r="Y47" s="263">
        <v>1.2</v>
      </c>
      <c r="Z47" s="263">
        <v>1.1000000000000001</v>
      </c>
      <c r="AA47" s="263">
        <v>1.1000000000000001</v>
      </c>
      <c r="AB47" s="263">
        <v>1.4</v>
      </c>
      <c r="AC47" s="263">
        <v>1.6</v>
      </c>
      <c r="AD47" s="263">
        <v>1.8</v>
      </c>
      <c r="AE47" s="263">
        <v>1.9</v>
      </c>
      <c r="AF47" s="263">
        <v>1.7</v>
      </c>
      <c r="AG47" s="263">
        <v>1.9</v>
      </c>
      <c r="AH47" s="263">
        <v>2</v>
      </c>
      <c r="AI47" s="263">
        <v>2.4</v>
      </c>
      <c r="AJ47" s="263">
        <v>2.7</v>
      </c>
      <c r="AK47" s="263">
        <v>2.7</v>
      </c>
      <c r="AL47" s="263">
        <v>3.2</v>
      </c>
      <c r="AM47" s="263">
        <v>3.3</v>
      </c>
      <c r="AN47" s="263">
        <v>2.8</v>
      </c>
      <c r="AO47" s="263">
        <v>3.2</v>
      </c>
      <c r="AP47" s="263">
        <v>3.4</v>
      </c>
      <c r="AQ47" s="263">
        <v>3.8</v>
      </c>
      <c r="AR47" s="263">
        <v>3.9</v>
      </c>
      <c r="AS47" s="263">
        <v>4.7</v>
      </c>
      <c r="AT47" s="263">
        <v>4.9000000000000004</v>
      </c>
      <c r="AU47" s="263">
        <v>6.8</v>
      </c>
      <c r="AV47" s="263">
        <v>9.8000000000000007</v>
      </c>
      <c r="AW47" s="263">
        <v>6.6</v>
      </c>
      <c r="AX47" s="263">
        <v>9</v>
      </c>
      <c r="AY47" s="263">
        <v>11.1</v>
      </c>
      <c r="AZ47" s="263">
        <v>11.2</v>
      </c>
      <c r="BA47" s="263">
        <v>16</v>
      </c>
      <c r="BB47" s="263">
        <v>16.7</v>
      </c>
      <c r="BC47" s="263">
        <v>15.4</v>
      </c>
      <c r="BD47" s="263">
        <v>16.399999999999999</v>
      </c>
      <c r="BE47" s="263">
        <v>12.1</v>
      </c>
      <c r="BF47" s="263">
        <v>12.3</v>
      </c>
      <c r="BG47" s="263">
        <v>11.8</v>
      </c>
      <c r="BH47" s="263">
        <v>17.899999999999999</v>
      </c>
      <c r="BI47" s="263">
        <v>16.7</v>
      </c>
      <c r="BJ47" s="263">
        <v>31.9</v>
      </c>
      <c r="BK47" s="263">
        <v>31.6</v>
      </c>
      <c r="BL47" s="263">
        <v>25</v>
      </c>
      <c r="BM47" s="263">
        <v>24.3</v>
      </c>
      <c r="BN47" s="263">
        <v>28</v>
      </c>
      <c r="BO47" s="263">
        <v>20.6</v>
      </c>
      <c r="BP47" s="263">
        <v>38.200000000000003</v>
      </c>
      <c r="BQ47" s="263">
        <v>32.799999999999997</v>
      </c>
      <c r="BR47" s="263">
        <v>40.4</v>
      </c>
      <c r="BS47" s="263">
        <v>47.2</v>
      </c>
      <c r="BT47" s="263">
        <v>42.3</v>
      </c>
      <c r="BU47" s="263">
        <v>41.5</v>
      </c>
      <c r="BV47" s="263">
        <v>29.2</v>
      </c>
      <c r="BW47" s="263">
        <v>40.700000000000003</v>
      </c>
      <c r="BX47" s="263">
        <v>47.9</v>
      </c>
      <c r="BY47" s="263">
        <v>32.1</v>
      </c>
      <c r="BZ47" s="263">
        <v>62.3</v>
      </c>
      <c r="CA47" s="263">
        <v>260.89999999999998</v>
      </c>
      <c r="CB47" s="263">
        <v>77.900000000000006</v>
      </c>
      <c r="CC47" s="263">
        <v>140.4</v>
      </c>
      <c r="CD47" s="263">
        <v>180.5</v>
      </c>
      <c r="CE47" s="263">
        <v>118.1</v>
      </c>
      <c r="CF47" s="263">
        <v>121.4</v>
      </c>
      <c r="CG47" s="263">
        <v>154.9</v>
      </c>
      <c r="CH47" s="263">
        <v>179.3</v>
      </c>
      <c r="CI47" s="263">
        <v>138.4</v>
      </c>
      <c r="CJ47" s="263">
        <v>147.9</v>
      </c>
      <c r="CK47" s="263" t="s">
        <v>33</v>
      </c>
      <c r="CL47" s="263" t="s">
        <v>33</v>
      </c>
    </row>
    <row r="48" spans="1:92" ht="12" customHeight="1">
      <c r="A48" s="263" t="s">
        <v>22</v>
      </c>
      <c r="B48" s="263" t="s">
        <v>926</v>
      </c>
      <c r="C48" s="263">
        <v>0</v>
      </c>
      <c r="D48" s="263">
        <v>0</v>
      </c>
      <c r="E48" s="263">
        <v>0</v>
      </c>
      <c r="F48" s="263">
        <v>0</v>
      </c>
      <c r="G48" s="263">
        <v>0</v>
      </c>
      <c r="H48" s="263">
        <v>0</v>
      </c>
      <c r="I48" s="263">
        <v>0</v>
      </c>
      <c r="J48" s="263">
        <v>0</v>
      </c>
      <c r="K48" s="263">
        <v>0</v>
      </c>
      <c r="L48" s="263">
        <v>0</v>
      </c>
      <c r="M48" s="263">
        <v>0</v>
      </c>
      <c r="N48" s="263">
        <v>0</v>
      </c>
      <c r="O48" s="263">
        <v>0</v>
      </c>
      <c r="P48" s="263">
        <v>0</v>
      </c>
      <c r="Q48" s="263">
        <v>0</v>
      </c>
      <c r="R48" s="263">
        <v>0</v>
      </c>
      <c r="S48" s="263">
        <v>0</v>
      </c>
      <c r="T48" s="263">
        <v>0</v>
      </c>
      <c r="U48" s="263">
        <v>0</v>
      </c>
      <c r="V48" s="263">
        <v>0</v>
      </c>
      <c r="W48" s="263">
        <v>0.1</v>
      </c>
      <c r="X48" s="263">
        <v>0.1</v>
      </c>
      <c r="Y48" s="263">
        <v>0.1</v>
      </c>
      <c r="Z48" s="263">
        <v>0.1</v>
      </c>
      <c r="AA48" s="263">
        <v>0.1</v>
      </c>
      <c r="AB48" s="263">
        <v>0.1</v>
      </c>
      <c r="AC48" s="263">
        <v>0.1</v>
      </c>
      <c r="AD48" s="263">
        <v>0.1</v>
      </c>
      <c r="AE48" s="263">
        <v>0.1</v>
      </c>
      <c r="AF48" s="263">
        <v>0.1</v>
      </c>
      <c r="AG48" s="263">
        <v>0.1</v>
      </c>
      <c r="AH48" s="263">
        <v>0.1</v>
      </c>
      <c r="AI48" s="263">
        <v>0.1</v>
      </c>
      <c r="AJ48" s="263">
        <v>0.1</v>
      </c>
      <c r="AK48" s="263">
        <v>0.1</v>
      </c>
      <c r="AL48" s="263">
        <v>0</v>
      </c>
      <c r="AM48" s="263">
        <v>0.1</v>
      </c>
      <c r="AN48" s="263">
        <v>0.1</v>
      </c>
      <c r="AO48" s="263">
        <v>0.1</v>
      </c>
      <c r="AP48" s="263">
        <v>0.1</v>
      </c>
      <c r="AQ48" s="263">
        <v>0.1</v>
      </c>
      <c r="AR48" s="263">
        <v>0.1</v>
      </c>
      <c r="AS48" s="263">
        <v>0.2</v>
      </c>
      <c r="AT48" s="263">
        <v>0.3</v>
      </c>
      <c r="AU48" s="263">
        <v>0.3</v>
      </c>
      <c r="AV48" s="263">
        <v>0.1</v>
      </c>
      <c r="AW48" s="263">
        <v>0.2</v>
      </c>
      <c r="AX48" s="263">
        <v>0.7</v>
      </c>
      <c r="AY48" s="263">
        <v>0.3</v>
      </c>
      <c r="AZ48" s="263">
        <v>0.5</v>
      </c>
      <c r="BA48" s="263">
        <v>0.8</v>
      </c>
      <c r="BB48" s="263">
        <v>1</v>
      </c>
      <c r="BC48" s="263">
        <v>1</v>
      </c>
      <c r="BD48" s="263">
        <v>1</v>
      </c>
      <c r="BE48" s="263">
        <v>1.2</v>
      </c>
      <c r="BF48" s="263">
        <v>1</v>
      </c>
      <c r="BG48" s="263">
        <v>1.1000000000000001</v>
      </c>
      <c r="BH48" s="263">
        <v>1.4</v>
      </c>
      <c r="BI48" s="263">
        <v>1.5</v>
      </c>
      <c r="BJ48" s="263">
        <v>1.3</v>
      </c>
      <c r="BK48" s="263">
        <v>1.7</v>
      </c>
      <c r="BL48" s="263">
        <v>1.4</v>
      </c>
      <c r="BM48" s="263">
        <v>1.8</v>
      </c>
      <c r="BN48" s="263">
        <v>1.9</v>
      </c>
      <c r="BO48" s="263">
        <v>2.7</v>
      </c>
      <c r="BP48" s="263">
        <v>2.8</v>
      </c>
      <c r="BQ48" s="263">
        <v>2.8</v>
      </c>
      <c r="BR48" s="263">
        <v>3.7</v>
      </c>
      <c r="BS48" s="263">
        <v>3.5</v>
      </c>
      <c r="BT48" s="263">
        <v>3.5</v>
      </c>
      <c r="BU48" s="263">
        <v>5.3</v>
      </c>
      <c r="BV48" s="263">
        <v>4.0999999999999996</v>
      </c>
      <c r="BW48" s="263">
        <v>3.9</v>
      </c>
      <c r="BX48" s="263">
        <v>6.4</v>
      </c>
      <c r="BY48" s="263">
        <v>3.3</v>
      </c>
      <c r="BZ48" s="263">
        <v>3.9</v>
      </c>
      <c r="CA48" s="263">
        <v>4.2</v>
      </c>
      <c r="CB48" s="263">
        <v>4.7</v>
      </c>
      <c r="CC48" s="263">
        <v>4.5999999999999996</v>
      </c>
      <c r="CD48" s="263">
        <v>11.3</v>
      </c>
      <c r="CE48" s="263">
        <v>6.2</v>
      </c>
      <c r="CF48" s="263">
        <v>5.5</v>
      </c>
      <c r="CG48" s="263">
        <v>10.8</v>
      </c>
      <c r="CH48" s="263">
        <v>11.7</v>
      </c>
      <c r="CI48" s="263">
        <v>9.8000000000000007</v>
      </c>
      <c r="CJ48" s="263">
        <v>12</v>
      </c>
      <c r="CK48" s="263" t="s">
        <v>33</v>
      </c>
      <c r="CL48" s="263" t="s">
        <v>33</v>
      </c>
    </row>
    <row r="49" spans="1:90" ht="12" customHeight="1">
      <c r="A49" s="263" t="s">
        <v>21</v>
      </c>
      <c r="B49" s="263" t="s">
        <v>907</v>
      </c>
      <c r="C49" s="263" t="s">
        <v>33</v>
      </c>
      <c r="D49" s="263" t="s">
        <v>33</v>
      </c>
      <c r="E49" s="263" t="s">
        <v>33</v>
      </c>
      <c r="F49" s="263" t="s">
        <v>33</v>
      </c>
      <c r="G49" s="263" t="s">
        <v>33</v>
      </c>
      <c r="H49" s="263" t="s">
        <v>33</v>
      </c>
      <c r="I49" s="263" t="s">
        <v>33</v>
      </c>
      <c r="J49" s="263" t="s">
        <v>33</v>
      </c>
      <c r="K49" s="263" t="s">
        <v>33</v>
      </c>
      <c r="L49" s="263" t="s">
        <v>33</v>
      </c>
      <c r="M49" s="263" t="s">
        <v>33</v>
      </c>
      <c r="N49" s="263" t="s">
        <v>33</v>
      </c>
      <c r="O49" s="263" t="s">
        <v>33</v>
      </c>
      <c r="P49" s="263" t="s">
        <v>33</v>
      </c>
      <c r="Q49" s="263" t="s">
        <v>33</v>
      </c>
      <c r="R49" s="263" t="s">
        <v>33</v>
      </c>
      <c r="S49" s="263" t="s">
        <v>33</v>
      </c>
      <c r="T49" s="263" t="s">
        <v>33</v>
      </c>
      <c r="U49" s="263" t="s">
        <v>33</v>
      </c>
      <c r="V49" s="263" t="s">
        <v>33</v>
      </c>
      <c r="W49" s="263" t="s">
        <v>33</v>
      </c>
      <c r="X49" s="263" t="s">
        <v>33</v>
      </c>
      <c r="Y49" s="263" t="s">
        <v>33</v>
      </c>
      <c r="Z49" s="263" t="s">
        <v>33</v>
      </c>
      <c r="AA49" s="263" t="s">
        <v>33</v>
      </c>
      <c r="AB49" s="263" t="s">
        <v>33</v>
      </c>
      <c r="AC49" s="263" t="s">
        <v>33</v>
      </c>
      <c r="AD49" s="263" t="s">
        <v>33</v>
      </c>
      <c r="AE49" s="263" t="s">
        <v>33</v>
      </c>
      <c r="AF49" s="263" t="s">
        <v>33</v>
      </c>
      <c r="AG49" s="263" t="s">
        <v>33</v>
      </c>
      <c r="AH49" s="263" t="s">
        <v>33</v>
      </c>
      <c r="AI49" s="263" t="s">
        <v>33</v>
      </c>
      <c r="AJ49" s="263" t="s">
        <v>33</v>
      </c>
      <c r="AK49" s="263" t="s">
        <v>33</v>
      </c>
      <c r="AL49" s="263" t="s">
        <v>33</v>
      </c>
      <c r="AM49" s="263" t="s">
        <v>33</v>
      </c>
      <c r="AN49" s="263" t="s">
        <v>33</v>
      </c>
      <c r="AO49" s="263" t="s">
        <v>33</v>
      </c>
      <c r="AP49" s="263">
        <v>-0.1</v>
      </c>
      <c r="AQ49" s="263">
        <v>-0.2</v>
      </c>
      <c r="AR49" s="263">
        <v>-0.4</v>
      </c>
      <c r="AS49" s="263">
        <v>-0.3</v>
      </c>
      <c r="AT49" s="263">
        <v>-0.4</v>
      </c>
      <c r="AU49" s="263">
        <v>-0.8</v>
      </c>
      <c r="AV49" s="263">
        <v>-1.1000000000000001</v>
      </c>
      <c r="AW49" s="263">
        <v>-1</v>
      </c>
      <c r="AX49" s="263">
        <v>-1</v>
      </c>
      <c r="AY49" s="263">
        <v>-1.5</v>
      </c>
      <c r="AZ49" s="263">
        <v>-1.8</v>
      </c>
      <c r="BA49" s="263">
        <v>-4.4000000000000004</v>
      </c>
      <c r="BB49" s="263">
        <v>-8.6999999999999993</v>
      </c>
      <c r="BC49" s="263">
        <v>-18.3</v>
      </c>
      <c r="BD49" s="263">
        <v>-23.2</v>
      </c>
      <c r="BE49" s="263">
        <v>-17.5</v>
      </c>
      <c r="BF49" s="263">
        <v>-21.7</v>
      </c>
      <c r="BG49" s="263">
        <v>-24.4</v>
      </c>
      <c r="BH49" s="263">
        <v>-28.5</v>
      </c>
      <c r="BI49" s="263">
        <v>-45.1</v>
      </c>
      <c r="BJ49" s="263">
        <v>-53.5</v>
      </c>
      <c r="BK49" s="263">
        <v>-67.5</v>
      </c>
      <c r="BL49" s="263">
        <v>-68</v>
      </c>
      <c r="BM49" s="263">
        <v>-60.3</v>
      </c>
      <c r="BN49" s="263">
        <v>-64.7</v>
      </c>
      <c r="BO49" s="263">
        <v>-70.5</v>
      </c>
      <c r="BP49" s="263">
        <v>-78</v>
      </c>
      <c r="BQ49" s="263">
        <v>-97.9</v>
      </c>
      <c r="BR49" s="263">
        <v>-105.4</v>
      </c>
      <c r="BS49" s="263">
        <v>-121.4</v>
      </c>
      <c r="BT49" s="263">
        <v>-138.19999999999999</v>
      </c>
      <c r="BU49" s="263">
        <v>-154.1</v>
      </c>
      <c r="BV49" s="263">
        <v>-187.9</v>
      </c>
      <c r="BW49" s="263">
        <v>-151.80000000000001</v>
      </c>
      <c r="BX49" s="263">
        <v>-98.6</v>
      </c>
      <c r="BY49" s="263">
        <v>-82.5</v>
      </c>
      <c r="BZ49" s="263">
        <v>-91.3</v>
      </c>
      <c r="CA49" s="263">
        <v>-142.80000000000001</v>
      </c>
      <c r="CB49" s="263">
        <v>-202.8</v>
      </c>
      <c r="CC49" s="263">
        <v>-248.6</v>
      </c>
      <c r="CD49" s="263">
        <v>-201.8</v>
      </c>
      <c r="CE49" s="263">
        <v>-134.4</v>
      </c>
      <c r="CF49" s="263">
        <v>-129.69999999999999</v>
      </c>
      <c r="CG49" s="263">
        <v>-130.5</v>
      </c>
      <c r="CH49" s="263">
        <v>-140.69999999999999</v>
      </c>
      <c r="CI49" s="263">
        <v>-144</v>
      </c>
      <c r="CJ49" s="263">
        <v>-150.80000000000001</v>
      </c>
      <c r="CK49" s="263" t="s">
        <v>33</v>
      </c>
      <c r="CL49" s="263" t="s">
        <v>33</v>
      </c>
    </row>
    <row r="50" spans="1:90" ht="12" customHeight="1">
      <c r="A50" s="263" t="s">
        <v>32</v>
      </c>
      <c r="B50" s="263" t="s">
        <v>175</v>
      </c>
      <c r="C50" s="263" t="s">
        <v>0</v>
      </c>
      <c r="D50" s="263" t="s">
        <v>0</v>
      </c>
      <c r="E50" s="263" t="s">
        <v>0</v>
      </c>
      <c r="F50" s="263" t="s">
        <v>0</v>
      </c>
      <c r="G50" s="263" t="s">
        <v>0</v>
      </c>
      <c r="H50" s="263" t="s">
        <v>0</v>
      </c>
      <c r="I50" s="263" t="s">
        <v>0</v>
      </c>
      <c r="J50" s="263" t="s">
        <v>0</v>
      </c>
      <c r="K50" s="263" t="s">
        <v>0</v>
      </c>
      <c r="L50" s="263" t="s">
        <v>0</v>
      </c>
      <c r="M50" s="263" t="s">
        <v>0</v>
      </c>
      <c r="N50" s="263" t="s">
        <v>0</v>
      </c>
      <c r="O50" s="263" t="s">
        <v>0</v>
      </c>
      <c r="P50" s="263" t="s">
        <v>0</v>
      </c>
      <c r="Q50" s="263" t="s">
        <v>0</v>
      </c>
      <c r="R50" s="263" t="s">
        <v>0</v>
      </c>
      <c r="S50" s="263" t="s">
        <v>0</v>
      </c>
      <c r="T50" s="263" t="s">
        <v>0</v>
      </c>
      <c r="U50" s="263" t="s">
        <v>0</v>
      </c>
      <c r="V50" s="263" t="s">
        <v>0</v>
      </c>
      <c r="W50" s="263" t="s">
        <v>0</v>
      </c>
      <c r="X50" s="263" t="s">
        <v>0</v>
      </c>
      <c r="Y50" s="263" t="s">
        <v>0</v>
      </c>
      <c r="Z50" s="263" t="s">
        <v>0</v>
      </c>
      <c r="AA50" s="263" t="s">
        <v>0</v>
      </c>
      <c r="AB50" s="263" t="s">
        <v>0</v>
      </c>
      <c r="AC50" s="263" t="s">
        <v>0</v>
      </c>
      <c r="AD50" s="263" t="s">
        <v>0</v>
      </c>
      <c r="AE50" s="263" t="s">
        <v>0</v>
      </c>
      <c r="AF50" s="263" t="s">
        <v>0</v>
      </c>
      <c r="AG50" s="263" t="s">
        <v>0</v>
      </c>
      <c r="AH50" s="263" t="s">
        <v>0</v>
      </c>
      <c r="AI50" s="263" t="s">
        <v>0</v>
      </c>
      <c r="AJ50" s="263" t="s">
        <v>0</v>
      </c>
      <c r="AK50" s="263" t="s">
        <v>0</v>
      </c>
      <c r="AL50" s="263" t="s">
        <v>0</v>
      </c>
      <c r="AM50" s="263" t="s">
        <v>0</v>
      </c>
      <c r="AN50" s="263" t="s">
        <v>0</v>
      </c>
      <c r="AO50" s="263" t="s">
        <v>0</v>
      </c>
      <c r="AP50" s="263" t="s">
        <v>0</v>
      </c>
      <c r="AQ50" s="263" t="s">
        <v>0</v>
      </c>
      <c r="AR50" s="263" t="s">
        <v>0</v>
      </c>
      <c r="AS50" s="263" t="s">
        <v>0</v>
      </c>
      <c r="AT50" s="263" t="s">
        <v>0</v>
      </c>
      <c r="AU50" s="263" t="s">
        <v>0</v>
      </c>
      <c r="AV50" s="263" t="s">
        <v>0</v>
      </c>
      <c r="AW50" s="263" t="s">
        <v>0</v>
      </c>
      <c r="AX50" s="263" t="s">
        <v>0</v>
      </c>
      <c r="AY50" s="263" t="s">
        <v>0</v>
      </c>
      <c r="AZ50" s="263" t="s">
        <v>0</v>
      </c>
      <c r="BA50" s="263" t="s">
        <v>0</v>
      </c>
      <c r="BB50" s="263" t="s">
        <v>0</v>
      </c>
      <c r="BC50" s="263" t="s">
        <v>0</v>
      </c>
      <c r="BD50" s="263" t="s">
        <v>0</v>
      </c>
      <c r="BE50" s="263" t="s">
        <v>0</v>
      </c>
      <c r="BF50" s="263" t="s">
        <v>0</v>
      </c>
      <c r="BG50" s="263" t="s">
        <v>0</v>
      </c>
      <c r="BH50" s="263" t="s">
        <v>0</v>
      </c>
      <c r="BI50" s="263" t="s">
        <v>0</v>
      </c>
      <c r="BJ50" s="263" t="s">
        <v>0</v>
      </c>
      <c r="BK50" s="263" t="s">
        <v>0</v>
      </c>
      <c r="BL50" s="263" t="s">
        <v>0</v>
      </c>
      <c r="BM50" s="263" t="s">
        <v>0</v>
      </c>
      <c r="BN50" s="263" t="s">
        <v>0</v>
      </c>
      <c r="BO50" s="263" t="s">
        <v>0</v>
      </c>
      <c r="BP50" s="263" t="s">
        <v>0</v>
      </c>
      <c r="BQ50" s="263" t="s">
        <v>0</v>
      </c>
      <c r="BR50" s="263" t="s">
        <v>0</v>
      </c>
      <c r="BS50" s="263" t="s">
        <v>0</v>
      </c>
      <c r="BT50" s="263" t="s">
        <v>0</v>
      </c>
      <c r="BU50" s="263" t="s">
        <v>0</v>
      </c>
      <c r="BV50" s="263" t="s">
        <v>0</v>
      </c>
      <c r="BW50" s="263" t="s">
        <v>0</v>
      </c>
      <c r="BX50" s="263" t="s">
        <v>0</v>
      </c>
      <c r="BY50" s="263" t="s">
        <v>0</v>
      </c>
      <c r="BZ50" s="263" t="s">
        <v>0</v>
      </c>
      <c r="CA50" s="263" t="s">
        <v>0</v>
      </c>
      <c r="CB50" s="263" t="s">
        <v>0</v>
      </c>
      <c r="CC50" s="263" t="s">
        <v>0</v>
      </c>
      <c r="CD50" s="263" t="s">
        <v>0</v>
      </c>
      <c r="CE50" s="263" t="s">
        <v>0</v>
      </c>
      <c r="CF50" s="263" t="s">
        <v>0</v>
      </c>
      <c r="CG50" s="263" t="s">
        <v>0</v>
      </c>
      <c r="CH50" s="263" t="s">
        <v>0</v>
      </c>
      <c r="CI50" s="263" t="s">
        <v>0</v>
      </c>
      <c r="CJ50" s="263" t="s">
        <v>0</v>
      </c>
      <c r="CK50" s="263" t="s">
        <v>0</v>
      </c>
      <c r="CL50" s="263" t="s">
        <v>0</v>
      </c>
    </row>
    <row r="51" spans="1:90" ht="12" customHeight="1">
      <c r="A51" s="263" t="s">
        <v>20</v>
      </c>
      <c r="B51" s="263" t="s">
        <v>927</v>
      </c>
      <c r="C51" s="263">
        <v>2.8</v>
      </c>
      <c r="D51" s="263">
        <v>2.8</v>
      </c>
      <c r="E51" s="263">
        <v>2.1</v>
      </c>
      <c r="F51" s="263">
        <v>1.3</v>
      </c>
      <c r="G51" s="263">
        <v>1.1000000000000001</v>
      </c>
      <c r="H51" s="263">
        <v>2.2999999999999998</v>
      </c>
      <c r="I51" s="263">
        <v>3.2</v>
      </c>
      <c r="J51" s="263">
        <v>2.9</v>
      </c>
      <c r="K51" s="263">
        <v>2.9</v>
      </c>
      <c r="L51" s="263">
        <v>2.1</v>
      </c>
      <c r="M51" s="263">
        <v>2.2000000000000002</v>
      </c>
      <c r="N51" s="263">
        <v>2.2999999999999998</v>
      </c>
      <c r="O51" s="263">
        <v>2.4</v>
      </c>
      <c r="P51" s="263">
        <v>1.5</v>
      </c>
      <c r="Q51" s="263">
        <v>1.5</v>
      </c>
      <c r="R51" s="263">
        <v>1.6</v>
      </c>
      <c r="S51" s="263">
        <v>1.6</v>
      </c>
      <c r="T51" s="263">
        <v>2</v>
      </c>
      <c r="U51" s="263">
        <v>2.2000000000000002</v>
      </c>
      <c r="V51" s="263">
        <v>2.6</v>
      </c>
      <c r="W51" s="263">
        <v>2.6</v>
      </c>
      <c r="X51" s="263">
        <v>3.1</v>
      </c>
      <c r="Y51" s="263">
        <v>3</v>
      </c>
      <c r="Z51" s="263">
        <v>2.9</v>
      </c>
      <c r="AA51" s="263">
        <v>3</v>
      </c>
      <c r="AB51" s="263">
        <v>2.9</v>
      </c>
      <c r="AC51" s="263">
        <v>3.3</v>
      </c>
      <c r="AD51" s="263">
        <v>3.4</v>
      </c>
      <c r="AE51" s="263">
        <v>3.5</v>
      </c>
      <c r="AF51" s="263">
        <v>3.8</v>
      </c>
      <c r="AG51" s="263">
        <v>4</v>
      </c>
      <c r="AH51" s="263">
        <v>4.2</v>
      </c>
      <c r="AI51" s="263">
        <v>4.8</v>
      </c>
      <c r="AJ51" s="263">
        <v>5.0999999999999996</v>
      </c>
      <c r="AK51" s="263">
        <v>5.5</v>
      </c>
      <c r="AL51" s="263">
        <v>6.5</v>
      </c>
      <c r="AM51" s="263">
        <v>6.7</v>
      </c>
      <c r="AN51" s="263">
        <v>6.3</v>
      </c>
      <c r="AO51" s="263">
        <v>6.6</v>
      </c>
      <c r="AP51" s="263">
        <v>6.9</v>
      </c>
      <c r="AQ51" s="263">
        <v>7.9</v>
      </c>
      <c r="AR51" s="263">
        <v>8.6999999999999993</v>
      </c>
      <c r="AS51" s="263">
        <v>9.6999999999999993</v>
      </c>
      <c r="AT51" s="263">
        <v>11.1</v>
      </c>
      <c r="AU51" s="263">
        <v>14.9</v>
      </c>
      <c r="AV51" s="263">
        <v>21.2</v>
      </c>
      <c r="AW51" s="263">
        <v>14.3</v>
      </c>
      <c r="AX51" s="263">
        <v>19.5</v>
      </c>
      <c r="AY51" s="263">
        <v>21.3</v>
      </c>
      <c r="AZ51" s="263">
        <v>22.6</v>
      </c>
      <c r="BA51" s="263">
        <v>29.5</v>
      </c>
      <c r="BB51" s="263">
        <v>33.200000000000003</v>
      </c>
      <c r="BC51" s="263">
        <v>31.2</v>
      </c>
      <c r="BD51" s="263">
        <v>32.1</v>
      </c>
      <c r="BE51" s="263">
        <v>33.6</v>
      </c>
      <c r="BF51" s="263">
        <v>36.6</v>
      </c>
      <c r="BG51" s="263">
        <v>37.700000000000003</v>
      </c>
      <c r="BH51" s="263">
        <v>37.9</v>
      </c>
      <c r="BI51" s="263">
        <v>39</v>
      </c>
      <c r="BJ51" s="263">
        <v>64.599999999999994</v>
      </c>
      <c r="BK51" s="263">
        <v>58.3</v>
      </c>
      <c r="BL51" s="263">
        <v>56.6</v>
      </c>
      <c r="BM51" s="263">
        <v>52.3</v>
      </c>
      <c r="BN51" s="263">
        <v>54.1</v>
      </c>
      <c r="BO51" s="263">
        <v>54.7</v>
      </c>
      <c r="BP51" s="263">
        <v>63.3</v>
      </c>
      <c r="BQ51" s="263">
        <v>74.099999999999994</v>
      </c>
      <c r="BR51" s="263">
        <v>93.5</v>
      </c>
      <c r="BS51" s="263">
        <v>108.7</v>
      </c>
      <c r="BT51" s="263">
        <v>113.4</v>
      </c>
      <c r="BU51" s="263">
        <v>118.8</v>
      </c>
      <c r="BV51" s="263">
        <v>129.9</v>
      </c>
      <c r="BW51" s="263">
        <v>117.6</v>
      </c>
      <c r="BX51" s="263">
        <v>113.7</v>
      </c>
      <c r="BY51" s="263">
        <v>121</v>
      </c>
      <c r="BZ51" s="263">
        <v>157.1</v>
      </c>
      <c r="CA51" s="263">
        <v>485.2</v>
      </c>
      <c r="CB51" s="263">
        <v>228.6</v>
      </c>
      <c r="CC51" s="263">
        <v>285.3</v>
      </c>
      <c r="CD51" s="263">
        <v>311.2</v>
      </c>
      <c r="CE51" s="263">
        <v>292.60000000000002</v>
      </c>
      <c r="CF51" s="263">
        <v>320.7</v>
      </c>
      <c r="CG51" s="263">
        <v>287.7</v>
      </c>
      <c r="CH51" s="263">
        <v>328.3</v>
      </c>
      <c r="CI51" s="263">
        <v>365.7</v>
      </c>
      <c r="CJ51" s="263">
        <v>393.2</v>
      </c>
      <c r="CK51" s="263" t="s">
        <v>33</v>
      </c>
      <c r="CL51" s="263" t="s">
        <v>33</v>
      </c>
    </row>
    <row r="52" spans="1:90" ht="12" customHeight="1">
      <c r="A52" s="263" t="s">
        <v>19</v>
      </c>
      <c r="B52" s="263" t="s">
        <v>928</v>
      </c>
      <c r="C52" s="263">
        <v>0.2</v>
      </c>
      <c r="D52" s="263">
        <v>0.1</v>
      </c>
      <c r="E52" s="263">
        <v>0.1</v>
      </c>
      <c r="F52" s="263">
        <v>0</v>
      </c>
      <c r="G52" s="263">
        <v>0</v>
      </c>
      <c r="H52" s="263">
        <v>0.1</v>
      </c>
      <c r="I52" s="263">
        <v>0.1</v>
      </c>
      <c r="J52" s="263">
        <v>0.1</v>
      </c>
      <c r="K52" s="263">
        <v>0.1</v>
      </c>
      <c r="L52" s="263">
        <v>0.1</v>
      </c>
      <c r="M52" s="263">
        <v>0.1</v>
      </c>
      <c r="N52" s="263">
        <v>0.1</v>
      </c>
      <c r="O52" s="263">
        <v>0.1</v>
      </c>
      <c r="P52" s="263">
        <v>0.1</v>
      </c>
      <c r="Q52" s="263">
        <v>0.1</v>
      </c>
      <c r="R52" s="263">
        <v>0.2</v>
      </c>
      <c r="S52" s="263">
        <v>0.2</v>
      </c>
      <c r="T52" s="263">
        <v>0.3</v>
      </c>
      <c r="U52" s="263">
        <v>0.5</v>
      </c>
      <c r="V52" s="263">
        <v>0.6</v>
      </c>
      <c r="W52" s="263">
        <v>0.6</v>
      </c>
      <c r="X52" s="263">
        <v>0.6</v>
      </c>
      <c r="Y52" s="263">
        <v>0.8</v>
      </c>
      <c r="Z52" s="263">
        <v>0.9</v>
      </c>
      <c r="AA52" s="263">
        <v>0.9</v>
      </c>
      <c r="AB52" s="263">
        <v>1</v>
      </c>
      <c r="AC52" s="263">
        <v>1.1000000000000001</v>
      </c>
      <c r="AD52" s="263">
        <v>1.3</v>
      </c>
      <c r="AE52" s="263">
        <v>1.3</v>
      </c>
      <c r="AF52" s="263">
        <v>1.1000000000000001</v>
      </c>
      <c r="AG52" s="263">
        <v>1.1000000000000001</v>
      </c>
      <c r="AH52" s="263">
        <v>1.1000000000000001</v>
      </c>
      <c r="AI52" s="263">
        <v>1.3</v>
      </c>
      <c r="AJ52" s="263">
        <v>1.6</v>
      </c>
      <c r="AK52" s="263">
        <v>1.7</v>
      </c>
      <c r="AL52" s="263">
        <v>1.8</v>
      </c>
      <c r="AM52" s="263">
        <v>1.8</v>
      </c>
      <c r="AN52" s="263">
        <v>1.5</v>
      </c>
      <c r="AO52" s="263">
        <v>1.7</v>
      </c>
      <c r="AP52" s="263">
        <v>1.9</v>
      </c>
      <c r="AQ52" s="263">
        <v>1.9</v>
      </c>
      <c r="AR52" s="263">
        <v>1.7</v>
      </c>
      <c r="AS52" s="263">
        <v>2.1</v>
      </c>
      <c r="AT52" s="263">
        <v>2.2000000000000002</v>
      </c>
      <c r="AU52" s="263">
        <v>3.5</v>
      </c>
      <c r="AV52" s="263">
        <v>4.5999999999999996</v>
      </c>
      <c r="AW52" s="263">
        <v>3.5</v>
      </c>
      <c r="AX52" s="263">
        <v>4.9000000000000004</v>
      </c>
      <c r="AY52" s="263">
        <v>5.5</v>
      </c>
      <c r="AZ52" s="263">
        <v>6</v>
      </c>
      <c r="BA52" s="263">
        <v>9.3000000000000007</v>
      </c>
      <c r="BB52" s="263">
        <v>8.8000000000000007</v>
      </c>
      <c r="BC52" s="263">
        <v>9.3000000000000007</v>
      </c>
      <c r="BD52" s="263">
        <v>9.6999999999999993</v>
      </c>
      <c r="BE52" s="263">
        <v>5.9</v>
      </c>
      <c r="BF52" s="263">
        <v>4.8</v>
      </c>
      <c r="BG52" s="263">
        <v>6</v>
      </c>
      <c r="BH52" s="263">
        <v>7.2</v>
      </c>
      <c r="BI52" s="263">
        <v>5.7</v>
      </c>
      <c r="BJ52" s="263">
        <v>6.6</v>
      </c>
      <c r="BK52" s="263">
        <v>3.1</v>
      </c>
      <c r="BL52" s="263">
        <v>2.5</v>
      </c>
      <c r="BM52" s="263">
        <v>3.1</v>
      </c>
      <c r="BN52" s="263">
        <v>9.6</v>
      </c>
      <c r="BO52" s="263">
        <v>7.6</v>
      </c>
      <c r="BP52" s="263">
        <v>6.5</v>
      </c>
      <c r="BQ52" s="263">
        <v>6</v>
      </c>
      <c r="BR52" s="263">
        <v>7</v>
      </c>
      <c r="BS52" s="263">
        <v>6.9</v>
      </c>
      <c r="BT52" s="263">
        <v>5.6</v>
      </c>
      <c r="BU52" s="263">
        <v>8.1999999999999993</v>
      </c>
      <c r="BV52" s="263">
        <v>3.2</v>
      </c>
      <c r="BW52" s="263">
        <v>2.8</v>
      </c>
      <c r="BX52" s="263">
        <v>5</v>
      </c>
      <c r="BY52" s="263">
        <v>11.1</v>
      </c>
      <c r="BZ52" s="263">
        <v>10.199999999999999</v>
      </c>
      <c r="CA52" s="263">
        <v>6.3</v>
      </c>
      <c r="CB52" s="263">
        <v>5.0999999999999996</v>
      </c>
      <c r="CC52" s="263">
        <v>5.7</v>
      </c>
      <c r="CD52" s="263">
        <v>3.5</v>
      </c>
      <c r="CE52" s="263">
        <v>2.1</v>
      </c>
      <c r="CF52" s="263">
        <v>5</v>
      </c>
      <c r="CG52" s="263">
        <v>8</v>
      </c>
      <c r="CH52" s="263">
        <v>6.8</v>
      </c>
      <c r="CI52" s="263">
        <v>4.5999999999999996</v>
      </c>
      <c r="CJ52" s="263">
        <v>3</v>
      </c>
      <c r="CK52" s="263" t="s">
        <v>33</v>
      </c>
      <c r="CL52" s="263" t="s">
        <v>33</v>
      </c>
    </row>
    <row r="53" spans="1:90" ht="12" customHeight="1">
      <c r="A53" s="263" t="s">
        <v>18</v>
      </c>
      <c r="B53" s="269" t="s">
        <v>174</v>
      </c>
      <c r="C53" s="263">
        <v>5.8</v>
      </c>
      <c r="D53" s="263">
        <v>5.5</v>
      </c>
      <c r="E53" s="263">
        <v>4.0999999999999996</v>
      </c>
      <c r="F53" s="263">
        <v>2.5</v>
      </c>
      <c r="G53" s="263">
        <v>2</v>
      </c>
      <c r="H53" s="263">
        <v>2.6</v>
      </c>
      <c r="I53" s="263">
        <v>2.8</v>
      </c>
      <c r="J53" s="263">
        <v>4.5</v>
      </c>
      <c r="K53" s="263">
        <v>4.7</v>
      </c>
      <c r="L53" s="263">
        <v>3.2</v>
      </c>
      <c r="M53" s="263">
        <v>3.8</v>
      </c>
      <c r="N53" s="263">
        <v>4</v>
      </c>
      <c r="O53" s="263">
        <v>4.4000000000000004</v>
      </c>
      <c r="P53" s="263">
        <v>4.3</v>
      </c>
      <c r="Q53" s="263">
        <v>4.4000000000000004</v>
      </c>
      <c r="R53" s="263">
        <v>4.5999999999999996</v>
      </c>
      <c r="S53" s="263">
        <v>4.5999999999999996</v>
      </c>
      <c r="T53" s="263">
        <v>5.6</v>
      </c>
      <c r="U53" s="263">
        <v>6.3</v>
      </c>
      <c r="V53" s="263">
        <v>7</v>
      </c>
      <c r="W53" s="263">
        <v>7.2</v>
      </c>
      <c r="X53" s="263">
        <v>8.8000000000000007</v>
      </c>
      <c r="Y53" s="263">
        <v>8.6</v>
      </c>
      <c r="Z53" s="263">
        <v>8.6</v>
      </c>
      <c r="AA53" s="263">
        <v>8.9</v>
      </c>
      <c r="AB53" s="263">
        <v>9.3000000000000007</v>
      </c>
      <c r="AC53" s="263">
        <v>10.5</v>
      </c>
      <c r="AD53" s="263">
        <v>11.3</v>
      </c>
      <c r="AE53" s="263">
        <v>11.7</v>
      </c>
      <c r="AF53" s="263">
        <v>11.6</v>
      </c>
      <c r="AG53" s="263">
        <v>12.6</v>
      </c>
      <c r="AH53" s="263">
        <v>13.4</v>
      </c>
      <c r="AI53" s="263">
        <v>13.9</v>
      </c>
      <c r="AJ53" s="263">
        <v>15</v>
      </c>
      <c r="AK53" s="263">
        <v>16.2</v>
      </c>
      <c r="AL53" s="263">
        <v>18.2</v>
      </c>
      <c r="AM53" s="263">
        <v>20.2</v>
      </c>
      <c r="AN53" s="263">
        <v>20.7</v>
      </c>
      <c r="AO53" s="263">
        <v>21.5</v>
      </c>
      <c r="AP53" s="263">
        <v>23.5</v>
      </c>
      <c r="AQ53" s="263">
        <v>24.2</v>
      </c>
      <c r="AR53" s="263">
        <v>24.3</v>
      </c>
      <c r="AS53" s="263">
        <v>25</v>
      </c>
      <c r="AT53" s="263">
        <v>26.8</v>
      </c>
      <c r="AU53" s="263">
        <v>29.9</v>
      </c>
      <c r="AV53" s="263">
        <v>33.200000000000003</v>
      </c>
      <c r="AW53" s="263">
        <v>33</v>
      </c>
      <c r="AX53" s="263">
        <v>39</v>
      </c>
      <c r="AY53" s="263">
        <v>44.8</v>
      </c>
      <c r="AZ53" s="263">
        <v>50.8</v>
      </c>
      <c r="BA53" s="263">
        <v>57.5</v>
      </c>
      <c r="BB53" s="263">
        <v>64.099999999999994</v>
      </c>
      <c r="BC53" s="263">
        <v>73.8</v>
      </c>
      <c r="BD53" s="263">
        <v>77.7</v>
      </c>
      <c r="BE53" s="263">
        <v>83.5</v>
      </c>
      <c r="BF53" s="263">
        <v>90.8</v>
      </c>
      <c r="BG53" s="263">
        <v>97.5</v>
      </c>
      <c r="BH53" s="263">
        <v>106.2</v>
      </c>
      <c r="BI53" s="263">
        <v>112.3</v>
      </c>
      <c r="BJ53" s="263">
        <v>129.9</v>
      </c>
      <c r="BK53" s="263">
        <v>158</v>
      </c>
      <c r="BL53" s="263">
        <v>169.1</v>
      </c>
      <c r="BM53" s="263">
        <v>180.5</v>
      </c>
      <c r="BN53" s="263">
        <v>189.5</v>
      </c>
      <c r="BO53" s="263">
        <v>205.3</v>
      </c>
      <c r="BP53" s="263">
        <v>236</v>
      </c>
      <c r="BQ53" s="263">
        <v>259</v>
      </c>
      <c r="BR53" s="263">
        <v>303.5</v>
      </c>
      <c r="BS53" s="263">
        <v>339.5</v>
      </c>
      <c r="BT53" s="263">
        <v>357.1</v>
      </c>
      <c r="BU53" s="263">
        <v>347.9</v>
      </c>
      <c r="BV53" s="263">
        <v>384.7</v>
      </c>
      <c r="BW53" s="263">
        <v>370.6</v>
      </c>
      <c r="BX53" s="263">
        <v>400.2</v>
      </c>
      <c r="BY53" s="263">
        <v>434</v>
      </c>
      <c r="BZ53" s="263">
        <v>564.1</v>
      </c>
      <c r="CA53" s="263">
        <v>580.5</v>
      </c>
      <c r="CB53" s="263">
        <v>726</v>
      </c>
      <c r="CC53" s="263">
        <v>818.9</v>
      </c>
      <c r="CD53" s="263">
        <v>808.6</v>
      </c>
      <c r="CE53" s="263">
        <v>574.6</v>
      </c>
      <c r="CF53" s="263">
        <v>564</v>
      </c>
      <c r="CG53" s="263">
        <v>703.7</v>
      </c>
      <c r="CH53" s="263">
        <v>859.4</v>
      </c>
      <c r="CI53" s="263">
        <v>929.4</v>
      </c>
      <c r="CJ53" s="263">
        <v>986.4</v>
      </c>
      <c r="CK53" s="263">
        <v>1039.9000000000001</v>
      </c>
      <c r="CL53" s="263">
        <v>981.9</v>
      </c>
    </row>
    <row r="54" spans="1:90" ht="15" customHeight="1">
      <c r="A54" s="265" t="s">
        <v>7</v>
      </c>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c r="AU54" s="263"/>
      <c r="AV54" s="263"/>
      <c r="AW54" s="263"/>
      <c r="AX54" s="263"/>
      <c r="AY54" s="263"/>
      <c r="AZ54" s="263"/>
      <c r="BA54" s="263"/>
      <c r="BB54" s="263"/>
      <c r="BC54" s="263"/>
      <c r="BD54" s="263"/>
      <c r="BE54" s="263"/>
      <c r="BF54" s="263"/>
      <c r="BG54" s="263"/>
      <c r="BH54" s="263"/>
      <c r="BI54" s="263"/>
      <c r="BJ54" s="263"/>
      <c r="BK54" s="263"/>
      <c r="BL54" s="263"/>
      <c r="BM54" s="263"/>
      <c r="BN54" s="263"/>
      <c r="BO54" s="263"/>
      <c r="BP54" s="263"/>
      <c r="BQ54" s="263"/>
      <c r="BR54" s="263"/>
      <c r="BS54" s="263"/>
      <c r="BT54" s="263"/>
      <c r="BU54" s="263"/>
      <c r="BV54" s="263"/>
      <c r="BW54" s="263"/>
      <c r="BX54" s="263"/>
      <c r="BY54" s="263"/>
      <c r="BZ54" s="263"/>
      <c r="CA54" s="263"/>
      <c r="CB54" s="263"/>
      <c r="CC54" s="263"/>
      <c r="CD54" s="263"/>
      <c r="CE54" s="263"/>
      <c r="CF54" s="263"/>
      <c r="CG54" s="263"/>
      <c r="CH54" s="263"/>
      <c r="CI54" s="263"/>
      <c r="CJ54" s="263"/>
      <c r="CK54" s="263"/>
      <c r="CL54" s="263"/>
    </row>
    <row r="55" spans="1:90" ht="12" customHeight="1">
      <c r="A55" s="262" t="s">
        <v>173</v>
      </c>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263"/>
      <c r="AL55" s="263"/>
      <c r="AM55" s="263"/>
      <c r="AN55" s="263"/>
      <c r="AO55" s="263"/>
      <c r="AP55" s="263"/>
      <c r="AQ55" s="263"/>
      <c r="AR55" s="263"/>
      <c r="AS55" s="263"/>
      <c r="AT55" s="263"/>
      <c r="AU55" s="263"/>
      <c r="AV55" s="263"/>
      <c r="AW55" s="263"/>
      <c r="AX55" s="263"/>
      <c r="AY55" s="263"/>
      <c r="AZ55" s="263"/>
      <c r="BA55" s="263"/>
      <c r="BB55" s="263"/>
      <c r="BC55" s="263"/>
      <c r="BD55" s="263"/>
      <c r="BE55" s="263"/>
      <c r="BF55" s="263"/>
      <c r="BG55" s="263"/>
      <c r="BH55" s="263"/>
      <c r="BI55" s="263"/>
      <c r="BJ55" s="263"/>
      <c r="BK55" s="263"/>
      <c r="BL55" s="263"/>
      <c r="BM55" s="263"/>
      <c r="BN55" s="263"/>
      <c r="BO55" s="263"/>
      <c r="BP55" s="263"/>
      <c r="BQ55" s="263"/>
      <c r="BR55" s="263"/>
      <c r="BS55" s="263"/>
      <c r="BT55" s="263"/>
      <c r="BU55" s="263"/>
      <c r="BV55" s="263"/>
      <c r="BW55" s="263"/>
      <c r="BX55" s="263"/>
      <c r="BY55" s="263"/>
      <c r="BZ55" s="263"/>
      <c r="CA55" s="263"/>
      <c r="CB55" s="263"/>
      <c r="CC55" s="263"/>
      <c r="CD55" s="263"/>
      <c r="CE55" s="263"/>
      <c r="CF55" s="263"/>
      <c r="CG55" s="263"/>
      <c r="CH55" s="263"/>
      <c r="CI55" s="263"/>
      <c r="CJ55" s="263"/>
      <c r="CK55" s="263"/>
      <c r="CL55" s="263"/>
    </row>
    <row r="56" spans="1:90" ht="12" customHeight="1">
      <c r="A56" s="262" t="s">
        <v>172</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263"/>
      <c r="AL56" s="263"/>
      <c r="AM56" s="263"/>
      <c r="AN56" s="263"/>
      <c r="AO56" s="263"/>
      <c r="AP56" s="263"/>
      <c r="AQ56" s="263"/>
      <c r="AR56" s="263"/>
      <c r="AS56" s="263"/>
      <c r="AT56" s="263"/>
      <c r="AU56" s="263"/>
      <c r="AV56" s="263"/>
      <c r="AW56" s="263"/>
      <c r="AX56" s="263"/>
      <c r="AY56" s="263"/>
      <c r="AZ56" s="263"/>
      <c r="BA56" s="263"/>
      <c r="BB56" s="263"/>
      <c r="BC56" s="263"/>
      <c r="BD56" s="263"/>
      <c r="BE56" s="263"/>
      <c r="BF56" s="263"/>
      <c r="BG56" s="263"/>
      <c r="BH56" s="263"/>
      <c r="BI56" s="263"/>
      <c r="BJ56" s="263"/>
      <c r="BK56" s="263"/>
      <c r="BL56" s="263"/>
      <c r="BM56" s="263"/>
      <c r="BN56" s="263"/>
      <c r="BO56" s="263"/>
      <c r="BP56" s="263"/>
      <c r="BQ56" s="263"/>
      <c r="BR56" s="263"/>
      <c r="BS56" s="263"/>
      <c r="BT56" s="263"/>
      <c r="BU56" s="263"/>
      <c r="BV56" s="263"/>
      <c r="BW56" s="263"/>
      <c r="BX56" s="263"/>
      <c r="BY56" s="263"/>
      <c r="BZ56" s="263"/>
      <c r="CA56" s="263"/>
      <c r="CB56" s="263"/>
      <c r="CC56" s="263"/>
      <c r="CD56" s="263"/>
      <c r="CE56" s="263"/>
      <c r="CF56" s="263"/>
      <c r="CG56" s="263"/>
      <c r="CH56" s="263"/>
      <c r="CI56" s="263"/>
      <c r="CJ56" s="263"/>
      <c r="CK56" s="263"/>
      <c r="CL56" s="263"/>
    </row>
    <row r="57" spans="1:90" ht="12" customHeight="1">
      <c r="A57" s="262" t="s">
        <v>171</v>
      </c>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263"/>
      <c r="AL57" s="263"/>
      <c r="AM57" s="263"/>
      <c r="AN57" s="263"/>
      <c r="AO57" s="263"/>
      <c r="AP57" s="263"/>
      <c r="AQ57" s="263"/>
      <c r="AR57" s="263"/>
      <c r="AS57" s="263"/>
      <c r="AT57" s="263"/>
      <c r="AU57" s="263"/>
      <c r="AV57" s="263"/>
      <c r="AW57" s="263"/>
      <c r="AX57" s="263"/>
      <c r="AY57" s="263"/>
      <c r="AZ57" s="263"/>
      <c r="BA57" s="263"/>
      <c r="BB57" s="263"/>
      <c r="BC57" s="263"/>
      <c r="BD57" s="263"/>
      <c r="BE57" s="263"/>
      <c r="BF57" s="263"/>
      <c r="BG57" s="263"/>
      <c r="BH57" s="263"/>
      <c r="BI57" s="263"/>
      <c r="BJ57" s="263"/>
      <c r="BK57" s="263"/>
      <c r="BL57" s="263"/>
      <c r="BM57" s="263"/>
      <c r="BN57" s="263"/>
      <c r="BO57" s="263"/>
      <c r="BP57" s="263"/>
      <c r="BQ57" s="263"/>
      <c r="BR57" s="263"/>
      <c r="BS57" s="263"/>
      <c r="BT57" s="263"/>
      <c r="BU57" s="263"/>
      <c r="BV57" s="263"/>
      <c r="BW57" s="263"/>
      <c r="BX57" s="263"/>
      <c r="BY57" s="263"/>
      <c r="BZ57" s="263"/>
      <c r="CA57" s="263"/>
      <c r="CB57" s="263"/>
      <c r="CC57" s="263"/>
      <c r="CD57" s="263"/>
      <c r="CE57" s="263"/>
      <c r="CF57" s="263"/>
      <c r="CG57" s="263"/>
      <c r="CH57" s="263"/>
      <c r="CI57" s="263"/>
      <c r="CJ57" s="263"/>
      <c r="CK57" s="263"/>
      <c r="CL57" s="263"/>
    </row>
    <row r="58" spans="1:90" ht="12" customHeight="1">
      <c r="A58" s="262" t="s">
        <v>170</v>
      </c>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263"/>
      <c r="AL58" s="263"/>
      <c r="AM58" s="263"/>
      <c r="AN58" s="263"/>
      <c r="AO58" s="263"/>
      <c r="AP58" s="263"/>
      <c r="AQ58" s="263"/>
      <c r="AR58" s="263"/>
      <c r="AS58" s="263"/>
      <c r="AT58" s="263"/>
      <c r="AU58" s="263"/>
      <c r="AV58" s="263"/>
      <c r="AW58" s="263"/>
      <c r="AX58" s="263"/>
      <c r="AY58" s="263"/>
      <c r="AZ58" s="263"/>
      <c r="BA58" s="263"/>
      <c r="BB58" s="263"/>
      <c r="BC58" s="263"/>
      <c r="BD58" s="263"/>
      <c r="BE58" s="263"/>
      <c r="BF58" s="263"/>
      <c r="BG58" s="263"/>
      <c r="BH58" s="263"/>
      <c r="BI58" s="263"/>
      <c r="BJ58" s="263"/>
      <c r="BK58" s="263"/>
      <c r="BL58" s="263"/>
      <c r="BM58" s="263"/>
      <c r="BN58" s="263"/>
      <c r="BO58" s="263"/>
      <c r="BP58" s="263"/>
      <c r="BQ58" s="263"/>
      <c r="BR58" s="263"/>
      <c r="BS58" s="263"/>
      <c r="BT58" s="263"/>
      <c r="BU58" s="263"/>
      <c r="BV58" s="263"/>
      <c r="BW58" s="263"/>
      <c r="BX58" s="263"/>
      <c r="BY58" s="263"/>
      <c r="BZ58" s="263"/>
      <c r="CA58" s="263"/>
      <c r="CB58" s="263"/>
      <c r="CC58" s="263"/>
      <c r="CD58" s="263"/>
      <c r="CE58" s="263"/>
      <c r="CF58" s="263"/>
      <c r="CG58" s="263"/>
      <c r="CH58" s="263"/>
      <c r="CI58" s="263"/>
      <c r="CJ58" s="263"/>
      <c r="CK58" s="263"/>
      <c r="CL58" s="263"/>
    </row>
    <row r="59" spans="1:90" ht="12" customHeight="1">
      <c r="A59" s="262" t="s">
        <v>169</v>
      </c>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263"/>
      <c r="AL59" s="263"/>
      <c r="AM59" s="263"/>
      <c r="AN59" s="263"/>
      <c r="AO59" s="263"/>
      <c r="AP59" s="263"/>
      <c r="AQ59" s="263"/>
      <c r="AR59" s="263"/>
      <c r="AS59" s="263"/>
      <c r="AT59" s="263"/>
      <c r="AU59" s="263"/>
      <c r="AV59" s="263"/>
      <c r="AW59" s="263"/>
      <c r="AX59" s="263"/>
      <c r="AY59" s="263"/>
      <c r="AZ59" s="263"/>
      <c r="BA59" s="263"/>
      <c r="BB59" s="263"/>
      <c r="BC59" s="263"/>
      <c r="BD59" s="263"/>
      <c r="BE59" s="263"/>
      <c r="BF59" s="263"/>
      <c r="BG59" s="263"/>
      <c r="BH59" s="263"/>
      <c r="BI59" s="263"/>
      <c r="BJ59" s="263"/>
      <c r="BK59" s="263"/>
      <c r="BL59" s="263"/>
      <c r="BM59" s="263"/>
      <c r="BN59" s="263"/>
      <c r="BO59" s="263"/>
      <c r="BP59" s="263"/>
      <c r="BQ59" s="263"/>
      <c r="BR59" s="263"/>
      <c r="BS59" s="263"/>
      <c r="BT59" s="263"/>
      <c r="BU59" s="263"/>
      <c r="BV59" s="263"/>
      <c r="BW59" s="263"/>
      <c r="BX59" s="263"/>
      <c r="BY59" s="263"/>
      <c r="BZ59" s="263"/>
      <c r="CA59" s="263"/>
      <c r="CB59" s="263"/>
      <c r="CC59" s="263"/>
      <c r="CD59" s="263"/>
      <c r="CE59" s="263"/>
      <c r="CF59" s="263"/>
      <c r="CG59" s="263"/>
      <c r="CH59" s="263"/>
      <c r="CI59" s="263"/>
      <c r="CJ59" s="263"/>
      <c r="CK59" s="263"/>
      <c r="CL59" s="263"/>
    </row>
    <row r="60" spans="1:90" ht="12" customHeight="1">
      <c r="A60" s="262" t="s">
        <v>168</v>
      </c>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263"/>
      <c r="AL60" s="263"/>
      <c r="AM60" s="263"/>
      <c r="AN60" s="263"/>
      <c r="AO60" s="263"/>
      <c r="AP60" s="263"/>
      <c r="AQ60" s="263"/>
      <c r="AR60" s="263"/>
      <c r="AS60" s="263"/>
      <c r="AT60" s="263"/>
      <c r="AU60" s="263"/>
      <c r="AV60" s="263"/>
      <c r="AW60" s="263"/>
      <c r="AX60" s="263"/>
      <c r="AY60" s="263"/>
      <c r="AZ60" s="263"/>
      <c r="BA60" s="263"/>
      <c r="BB60" s="263"/>
      <c r="BC60" s="263"/>
      <c r="BD60" s="263"/>
      <c r="BE60" s="263"/>
      <c r="BF60" s="263"/>
      <c r="BG60" s="263"/>
      <c r="BH60" s="263"/>
      <c r="BI60" s="263"/>
      <c r="BJ60" s="263"/>
      <c r="BK60" s="263"/>
      <c r="BL60" s="263"/>
      <c r="BM60" s="263"/>
      <c r="BN60" s="263"/>
      <c r="BO60" s="263"/>
      <c r="BP60" s="263"/>
      <c r="BQ60" s="263"/>
      <c r="BR60" s="263"/>
      <c r="BS60" s="263"/>
      <c r="BT60" s="263"/>
      <c r="BU60" s="263"/>
      <c r="BV60" s="263"/>
      <c r="BW60" s="263"/>
      <c r="BX60" s="263"/>
      <c r="BY60" s="263"/>
      <c r="BZ60" s="263"/>
      <c r="CA60" s="263"/>
      <c r="CB60" s="263"/>
      <c r="CC60" s="263"/>
      <c r="CD60" s="263"/>
      <c r="CE60" s="263"/>
      <c r="CF60" s="263"/>
      <c r="CG60" s="263"/>
      <c r="CH60" s="263"/>
      <c r="CI60" s="263"/>
      <c r="CJ60" s="263"/>
      <c r="CK60" s="263"/>
      <c r="CL60" s="263"/>
    </row>
    <row r="61" spans="1:90" ht="12" customHeight="1">
      <c r="A61" s="262" t="s">
        <v>167</v>
      </c>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263"/>
      <c r="AL61" s="263"/>
      <c r="AM61" s="263"/>
      <c r="AN61" s="263"/>
      <c r="AO61" s="263"/>
      <c r="AP61" s="263"/>
      <c r="AQ61" s="263"/>
      <c r="AR61" s="263"/>
      <c r="AS61" s="263"/>
      <c r="AT61" s="263"/>
      <c r="AU61" s="263"/>
      <c r="AV61" s="263"/>
      <c r="AW61" s="263"/>
      <c r="AX61" s="263"/>
      <c r="AY61" s="263"/>
      <c r="AZ61" s="263"/>
      <c r="BA61" s="263"/>
      <c r="BB61" s="263"/>
      <c r="BC61" s="263"/>
      <c r="BD61" s="263"/>
      <c r="BE61" s="263"/>
      <c r="BF61" s="263"/>
      <c r="BG61" s="263"/>
      <c r="BH61" s="263"/>
      <c r="BI61" s="263"/>
      <c r="BJ61" s="263"/>
      <c r="BK61" s="263"/>
      <c r="BL61" s="263"/>
      <c r="BM61" s="263"/>
      <c r="BN61" s="263"/>
      <c r="BO61" s="263"/>
      <c r="BP61" s="263"/>
      <c r="BQ61" s="263"/>
      <c r="BR61" s="263"/>
      <c r="BS61" s="263"/>
      <c r="BT61" s="263"/>
      <c r="BU61" s="263"/>
      <c r="BV61" s="263"/>
      <c r="BW61" s="263"/>
      <c r="BX61" s="263"/>
      <c r="BY61" s="263"/>
      <c r="BZ61" s="263"/>
      <c r="CA61" s="263"/>
      <c r="CB61" s="263"/>
      <c r="CC61" s="263"/>
      <c r="CD61" s="263"/>
      <c r="CE61" s="263"/>
      <c r="CF61" s="263"/>
      <c r="CG61" s="263"/>
      <c r="CH61" s="263"/>
      <c r="CI61" s="263"/>
      <c r="CJ61" s="263"/>
      <c r="CK61" s="263"/>
      <c r="CL61" s="263"/>
    </row>
    <row r="62" spans="1:90" ht="12" customHeight="1">
      <c r="A62" s="262" t="s">
        <v>166</v>
      </c>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263"/>
      <c r="AL62" s="263"/>
      <c r="AM62" s="263"/>
      <c r="AN62" s="263"/>
      <c r="AO62" s="263"/>
      <c r="AP62" s="263"/>
      <c r="AQ62" s="263"/>
      <c r="AR62" s="263"/>
      <c r="AS62" s="263"/>
      <c r="AT62" s="263"/>
      <c r="AU62" s="263"/>
      <c r="AV62" s="263"/>
      <c r="AW62" s="263"/>
      <c r="AX62" s="263"/>
      <c r="AY62" s="263"/>
      <c r="AZ62" s="263"/>
      <c r="BA62" s="263"/>
      <c r="BB62" s="263"/>
      <c r="BC62" s="263"/>
      <c r="BD62" s="263"/>
      <c r="BE62" s="263"/>
      <c r="BF62" s="263"/>
      <c r="BG62" s="263"/>
      <c r="BH62" s="263"/>
      <c r="BI62" s="263"/>
      <c r="BJ62" s="263"/>
      <c r="BK62" s="263"/>
      <c r="BL62" s="263"/>
      <c r="BM62" s="263"/>
      <c r="BN62" s="263"/>
      <c r="BO62" s="263"/>
      <c r="BP62" s="263"/>
      <c r="BQ62" s="263"/>
      <c r="BR62" s="263"/>
      <c r="BS62" s="263"/>
      <c r="BT62" s="263"/>
      <c r="BU62" s="263"/>
      <c r="BV62" s="263"/>
      <c r="BW62" s="263"/>
      <c r="BX62" s="263"/>
      <c r="BY62" s="263"/>
      <c r="BZ62" s="263"/>
      <c r="CA62" s="263"/>
      <c r="CB62" s="263"/>
      <c r="CC62" s="263"/>
      <c r="CD62" s="263"/>
      <c r="CE62" s="263"/>
      <c r="CF62" s="263"/>
      <c r="CG62" s="263"/>
      <c r="CH62" s="263"/>
      <c r="CI62" s="263"/>
      <c r="CJ62" s="263"/>
      <c r="CK62" s="263"/>
      <c r="CL62" s="263"/>
    </row>
    <row r="63" spans="1:90" ht="12" customHeight="1">
      <c r="A63" s="262" t="s">
        <v>165</v>
      </c>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263"/>
      <c r="AV63" s="263"/>
      <c r="AW63" s="263"/>
      <c r="AX63" s="263"/>
      <c r="AY63" s="263"/>
      <c r="AZ63" s="263"/>
      <c r="BA63" s="263"/>
      <c r="BB63" s="263"/>
      <c r="BC63" s="263"/>
      <c r="BD63" s="263"/>
      <c r="BE63" s="263"/>
      <c r="BF63" s="263"/>
      <c r="BG63" s="263"/>
      <c r="BH63" s="263"/>
      <c r="BI63" s="263"/>
      <c r="BJ63" s="263"/>
      <c r="BK63" s="263"/>
      <c r="BL63" s="263"/>
      <c r="BM63" s="263"/>
      <c r="BN63" s="263"/>
      <c r="BO63" s="263"/>
      <c r="BP63" s="263"/>
      <c r="BQ63" s="263"/>
      <c r="BR63" s="263"/>
      <c r="BS63" s="263"/>
      <c r="BT63" s="263"/>
      <c r="BU63" s="263"/>
      <c r="BV63" s="263"/>
      <c r="BW63" s="263"/>
      <c r="BX63" s="263"/>
      <c r="BY63" s="263"/>
      <c r="BZ63" s="263"/>
      <c r="CA63" s="263"/>
      <c r="CB63" s="263"/>
      <c r="CC63" s="263"/>
      <c r="CD63" s="263"/>
      <c r="CE63" s="263"/>
      <c r="CF63" s="263"/>
      <c r="CG63" s="263"/>
      <c r="CH63" s="263"/>
      <c r="CI63" s="263"/>
      <c r="CJ63" s="263"/>
      <c r="CK63" s="263"/>
      <c r="CL63" s="263"/>
    </row>
    <row r="64" spans="1:90" ht="12" customHeight="1">
      <c r="A64" s="262" t="s">
        <v>164</v>
      </c>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263"/>
      <c r="AV64" s="263"/>
      <c r="AW64" s="263"/>
      <c r="AX64" s="263"/>
      <c r="AY64" s="263"/>
      <c r="AZ64" s="263"/>
      <c r="BA64" s="263"/>
      <c r="BB64" s="263"/>
      <c r="BC64" s="263"/>
      <c r="BD64" s="263"/>
      <c r="BE64" s="263"/>
      <c r="BF64" s="263"/>
      <c r="BG64" s="263"/>
      <c r="BH64" s="263"/>
      <c r="BI64" s="263"/>
      <c r="BJ64" s="263"/>
      <c r="BK64" s="263"/>
      <c r="BL64" s="263"/>
      <c r="BM64" s="263"/>
      <c r="BN64" s="263"/>
      <c r="BO64" s="263"/>
      <c r="BP64" s="263"/>
      <c r="BQ64" s="263"/>
      <c r="BR64" s="263"/>
      <c r="BS64" s="263"/>
      <c r="BT64" s="263"/>
      <c r="BU64" s="263"/>
      <c r="BV64" s="263"/>
      <c r="BW64" s="263"/>
      <c r="BX64" s="263"/>
      <c r="BY64" s="263"/>
      <c r="BZ64" s="263"/>
      <c r="CA64" s="263"/>
      <c r="CB64" s="263"/>
      <c r="CC64" s="263"/>
      <c r="CD64" s="263"/>
      <c r="CE64" s="263"/>
      <c r="CF64" s="263"/>
      <c r="CG64" s="263"/>
      <c r="CH64" s="263"/>
      <c r="CI64" s="263"/>
      <c r="CJ64" s="263"/>
      <c r="CK64" s="263"/>
      <c r="CL64" s="263"/>
    </row>
    <row r="65" spans="1:90" ht="12" customHeight="1">
      <c r="A65" s="262" t="s">
        <v>163</v>
      </c>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c r="AS65" s="263"/>
      <c r="AT65" s="263"/>
      <c r="AU65" s="263"/>
      <c r="AV65" s="263"/>
      <c r="AW65" s="263"/>
      <c r="AX65" s="263"/>
      <c r="AY65" s="263"/>
      <c r="AZ65" s="263"/>
      <c r="BA65" s="263"/>
      <c r="BB65" s="263"/>
      <c r="BC65" s="263"/>
      <c r="BD65" s="263"/>
      <c r="BE65" s="263"/>
      <c r="BF65" s="263"/>
      <c r="BG65" s="263"/>
      <c r="BH65" s="263"/>
      <c r="BI65" s="263"/>
      <c r="BJ65" s="263"/>
      <c r="BK65" s="263"/>
      <c r="BL65" s="263"/>
      <c r="BM65" s="263"/>
      <c r="BN65" s="263"/>
      <c r="BO65" s="263"/>
      <c r="BP65" s="263"/>
      <c r="BQ65" s="263"/>
      <c r="BR65" s="263"/>
      <c r="BS65" s="263"/>
      <c r="BT65" s="263"/>
      <c r="BU65" s="263"/>
      <c r="BV65" s="263"/>
      <c r="BW65" s="263"/>
      <c r="BX65" s="263"/>
      <c r="BY65" s="263"/>
      <c r="BZ65" s="263"/>
      <c r="CA65" s="263"/>
      <c r="CB65" s="263"/>
      <c r="CC65" s="263"/>
      <c r="CD65" s="263"/>
      <c r="CE65" s="263"/>
      <c r="CF65" s="263"/>
      <c r="CG65" s="263"/>
      <c r="CH65" s="263"/>
      <c r="CI65" s="263"/>
      <c r="CJ65" s="263"/>
      <c r="CK65" s="263"/>
      <c r="CL65" s="263"/>
    </row>
    <row r="66" spans="1:90" ht="15">
      <c r="A66" s="263"/>
      <c r="B66" s="263"/>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263"/>
      <c r="AE66" s="263"/>
      <c r="AF66" s="263"/>
      <c r="AG66" s="263"/>
      <c r="AH66" s="263"/>
      <c r="AI66" s="263"/>
      <c r="AJ66" s="263"/>
      <c r="AK66" s="263"/>
      <c r="AL66" s="263"/>
      <c r="AM66" s="263"/>
      <c r="AN66" s="263"/>
      <c r="AO66" s="263"/>
      <c r="AP66" s="263"/>
      <c r="AQ66" s="263"/>
      <c r="AR66" s="263"/>
      <c r="AS66" s="263"/>
      <c r="AT66" s="263"/>
      <c r="AU66" s="263"/>
      <c r="AV66" s="263"/>
      <c r="AW66" s="263"/>
      <c r="AX66" s="263"/>
      <c r="AY66" s="263"/>
      <c r="AZ66" s="263"/>
      <c r="BA66" s="263"/>
      <c r="BB66" s="263"/>
      <c r="BC66" s="263"/>
      <c r="BD66" s="263"/>
      <c r="BE66" s="263"/>
      <c r="BF66" s="263"/>
      <c r="BG66" s="263"/>
      <c r="BH66" s="263"/>
      <c r="BI66" s="263"/>
      <c r="BJ66" s="263"/>
      <c r="BK66" s="263"/>
      <c r="BL66" s="263"/>
      <c r="BM66" s="263"/>
      <c r="BN66" s="263"/>
      <c r="BO66" s="263"/>
      <c r="BP66" s="263"/>
      <c r="BQ66" s="263"/>
      <c r="BR66" s="263"/>
      <c r="BS66" s="263"/>
      <c r="BT66" s="263"/>
      <c r="BU66" s="263"/>
      <c r="BV66" s="263"/>
      <c r="BW66" s="263"/>
      <c r="BX66" s="263"/>
      <c r="BY66" s="263"/>
      <c r="BZ66" s="263"/>
      <c r="CA66" s="263"/>
      <c r="CB66" s="263"/>
      <c r="CC66" s="263"/>
      <c r="CD66" s="263"/>
      <c r="CE66" s="263"/>
      <c r="CF66" s="263"/>
      <c r="CG66" s="263"/>
      <c r="CH66" s="263"/>
      <c r="CI66" s="263"/>
      <c r="CJ66" s="263"/>
      <c r="CK66" s="263"/>
      <c r="CL66" s="263"/>
    </row>
    <row r="67" spans="1:90" ht="15">
      <c r="A67" s="263"/>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263"/>
      <c r="AE67" s="263"/>
      <c r="AF67" s="263"/>
      <c r="AG67" s="263"/>
      <c r="AH67" s="263"/>
      <c r="AI67" s="263"/>
      <c r="AJ67" s="263"/>
      <c r="AK67" s="263"/>
      <c r="AL67" s="263"/>
      <c r="AM67" s="263"/>
      <c r="AN67" s="263"/>
      <c r="AO67" s="263"/>
      <c r="AP67" s="263"/>
      <c r="AQ67" s="263"/>
      <c r="AR67" s="263"/>
      <c r="AS67" s="263"/>
      <c r="AT67" s="263"/>
      <c r="AU67" s="263"/>
      <c r="AV67" s="263"/>
      <c r="AW67" s="263"/>
      <c r="AX67" s="263"/>
      <c r="AY67" s="263"/>
      <c r="AZ67" s="263"/>
      <c r="BA67" s="263"/>
      <c r="BB67" s="263"/>
      <c r="BC67" s="263"/>
      <c r="BD67" s="263"/>
      <c r="BE67" s="263"/>
      <c r="BF67" s="263"/>
      <c r="BG67" s="263"/>
      <c r="BH67" s="263"/>
      <c r="BI67" s="263"/>
      <c r="BJ67" s="263"/>
      <c r="BK67" s="263"/>
      <c r="BL67" s="263"/>
      <c r="BM67" s="263"/>
      <c r="BN67" s="263"/>
      <c r="BO67" s="263"/>
      <c r="BP67" s="263"/>
      <c r="BQ67" s="263"/>
      <c r="BR67" s="263"/>
      <c r="BS67" s="263"/>
      <c r="BT67" s="263"/>
      <c r="BU67" s="263"/>
      <c r="BV67" s="263"/>
      <c r="BW67" s="263"/>
      <c r="BX67" s="263"/>
      <c r="BY67" s="263"/>
      <c r="BZ67" s="263"/>
      <c r="CA67" s="263"/>
      <c r="CB67" s="263"/>
      <c r="CC67" s="263"/>
      <c r="CD67" s="263"/>
      <c r="CE67" s="263"/>
      <c r="CF67" s="263"/>
      <c r="CG67" s="263"/>
      <c r="CH67" s="263"/>
      <c r="CI67" s="263"/>
      <c r="CJ67" s="263"/>
      <c r="CK67" s="263"/>
      <c r="CL67" s="263"/>
    </row>
    <row r="68" spans="1:90" ht="15">
      <c r="A68" s="263"/>
      <c r="B68" s="263"/>
      <c r="C68" s="263"/>
      <c r="D68" s="263"/>
      <c r="E68" s="263"/>
      <c r="F68" s="263"/>
      <c r="G68" s="263"/>
      <c r="H68" s="263"/>
      <c r="I68" s="263"/>
      <c r="J68" s="263"/>
      <c r="K68" s="263"/>
      <c r="L68" s="263"/>
      <c r="M68" s="263"/>
      <c r="N68" s="263"/>
      <c r="O68" s="263"/>
      <c r="P68" s="263"/>
      <c r="Q68" s="263"/>
      <c r="R68" s="263"/>
      <c r="S68" s="263"/>
      <c r="T68" s="263"/>
      <c r="U68" s="263"/>
      <c r="V68" s="263"/>
      <c r="W68" s="263"/>
      <c r="X68" s="263"/>
      <c r="Y68" s="263"/>
      <c r="Z68" s="263"/>
      <c r="AA68" s="263"/>
      <c r="AB68" s="263"/>
      <c r="AC68" s="263"/>
      <c r="AD68" s="263"/>
      <c r="AE68" s="263"/>
      <c r="AF68" s="263"/>
      <c r="AG68" s="263"/>
      <c r="AH68" s="263"/>
      <c r="AI68" s="263"/>
      <c r="AJ68" s="263"/>
      <c r="AK68" s="263"/>
      <c r="AL68" s="263"/>
      <c r="AM68" s="263"/>
      <c r="AN68" s="263"/>
      <c r="AO68" s="263"/>
      <c r="AP68" s="263"/>
      <c r="AQ68" s="263"/>
      <c r="AR68" s="263"/>
      <c r="AS68" s="263"/>
      <c r="AT68" s="263"/>
      <c r="AU68" s="263"/>
      <c r="AV68" s="263"/>
      <c r="AW68" s="263"/>
      <c r="AX68" s="263"/>
      <c r="AY68" s="263"/>
      <c r="AZ68" s="263"/>
      <c r="BA68" s="263"/>
      <c r="BB68" s="263"/>
      <c r="BC68" s="263"/>
      <c r="BD68" s="263"/>
      <c r="BE68" s="263"/>
      <c r="BF68" s="263"/>
      <c r="BG68" s="263"/>
      <c r="BH68" s="263"/>
      <c r="BI68" s="263"/>
      <c r="BJ68" s="263"/>
      <c r="BK68" s="263"/>
      <c r="BL68" s="263"/>
      <c r="BM68" s="263"/>
      <c r="BN68" s="263"/>
      <c r="BO68" s="263"/>
      <c r="BP68" s="263"/>
      <c r="BQ68" s="263"/>
      <c r="BR68" s="263"/>
      <c r="BS68" s="263"/>
      <c r="BT68" s="263"/>
      <c r="BU68" s="263"/>
      <c r="BV68" s="263"/>
      <c r="BW68" s="263"/>
      <c r="BX68" s="263"/>
      <c r="BY68" s="263"/>
      <c r="BZ68" s="263"/>
      <c r="CA68" s="263"/>
      <c r="CB68" s="263"/>
      <c r="CC68" s="263"/>
      <c r="CD68" s="263"/>
      <c r="CE68" s="263"/>
      <c r="CF68" s="263"/>
      <c r="CG68" s="263"/>
      <c r="CH68" s="263"/>
      <c r="CI68" s="263"/>
      <c r="CJ68" s="263"/>
      <c r="CK68" s="263"/>
      <c r="CL68" s="263"/>
    </row>
    <row r="69" spans="1:90" ht="15">
      <c r="A69" s="263"/>
      <c r="B69" s="263"/>
      <c r="C69" s="263"/>
      <c r="D69" s="263"/>
      <c r="E69" s="263"/>
      <c r="F69" s="263"/>
      <c r="G69" s="263"/>
      <c r="H69" s="263"/>
      <c r="I69" s="263"/>
      <c r="J69" s="263"/>
      <c r="K69" s="263"/>
      <c r="L69" s="263"/>
      <c r="M69" s="263"/>
      <c r="N69" s="263"/>
      <c r="O69" s="263"/>
      <c r="P69" s="263"/>
      <c r="Q69" s="263"/>
      <c r="R69" s="263"/>
      <c r="S69" s="263"/>
      <c r="T69" s="263"/>
      <c r="U69" s="263"/>
      <c r="V69" s="263"/>
      <c r="W69" s="263"/>
      <c r="X69" s="263"/>
      <c r="Y69" s="263"/>
      <c r="Z69" s="263"/>
      <c r="AA69" s="263"/>
      <c r="AB69" s="263"/>
      <c r="AC69" s="263"/>
      <c r="AD69" s="263"/>
      <c r="AE69" s="263"/>
      <c r="AF69" s="263"/>
      <c r="AG69" s="263"/>
      <c r="AH69" s="263"/>
      <c r="AI69" s="263"/>
      <c r="AJ69" s="263"/>
      <c r="AK69" s="263"/>
      <c r="AL69" s="263"/>
      <c r="AM69" s="263"/>
      <c r="AN69" s="263"/>
      <c r="AO69" s="263"/>
      <c r="AP69" s="263"/>
      <c r="AQ69" s="263"/>
      <c r="AR69" s="263"/>
      <c r="AS69" s="263"/>
      <c r="AT69" s="263"/>
      <c r="AU69" s="263"/>
      <c r="AV69" s="263"/>
      <c r="AW69" s="263"/>
      <c r="AX69" s="263"/>
      <c r="AY69" s="263"/>
      <c r="AZ69" s="263"/>
      <c r="BA69" s="263"/>
      <c r="BB69" s="263"/>
      <c r="BC69" s="263"/>
      <c r="BD69" s="263"/>
      <c r="BE69" s="263"/>
      <c r="BF69" s="263"/>
      <c r="BG69" s="263"/>
      <c r="BH69" s="263"/>
      <c r="BI69" s="263"/>
      <c r="BJ69" s="263"/>
      <c r="BK69" s="263"/>
      <c r="BL69" s="263"/>
      <c r="BM69" s="263"/>
      <c r="BN69" s="263"/>
      <c r="BO69" s="263"/>
      <c r="BP69" s="263"/>
      <c r="BQ69" s="263"/>
      <c r="BR69" s="263"/>
      <c r="BS69" s="263"/>
      <c r="BT69" s="263"/>
      <c r="BU69" s="263"/>
      <c r="BV69" s="263"/>
      <c r="BW69" s="263"/>
      <c r="BX69" s="263"/>
      <c r="BY69" s="263"/>
      <c r="BZ69" s="263"/>
      <c r="CA69" s="263"/>
      <c r="CB69" s="263"/>
      <c r="CC69" s="263"/>
      <c r="CD69" s="263"/>
      <c r="CE69" s="263"/>
      <c r="CF69" s="263"/>
      <c r="CG69" s="263"/>
      <c r="CH69" s="263"/>
      <c r="CI69" s="263"/>
      <c r="CJ69" s="263"/>
      <c r="CK69" s="263"/>
      <c r="CL69" s="263"/>
    </row>
    <row r="70" spans="1:90" ht="15">
      <c r="A70" s="263"/>
      <c r="B70" s="263"/>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c r="AA70" s="263"/>
      <c r="AB70" s="263"/>
      <c r="AC70" s="263"/>
      <c r="AD70" s="263"/>
      <c r="AE70" s="263"/>
      <c r="AF70" s="263"/>
      <c r="AG70" s="263"/>
      <c r="AH70" s="263"/>
      <c r="AI70" s="263"/>
      <c r="AJ70" s="263"/>
      <c r="AK70" s="263"/>
      <c r="AL70" s="263"/>
      <c r="AM70" s="263"/>
      <c r="AN70" s="263"/>
      <c r="AO70" s="263"/>
      <c r="AP70" s="263"/>
      <c r="AQ70" s="263"/>
      <c r="AR70" s="263"/>
      <c r="AS70" s="263"/>
      <c r="AT70" s="263"/>
      <c r="AU70" s="263"/>
      <c r="AV70" s="263"/>
      <c r="AW70" s="263"/>
      <c r="AX70" s="263"/>
      <c r="AY70" s="263"/>
      <c r="AZ70" s="263"/>
      <c r="BA70" s="263"/>
      <c r="BB70" s="263"/>
      <c r="BC70" s="263"/>
      <c r="BD70" s="263"/>
      <c r="BE70" s="263"/>
      <c r="BF70" s="263"/>
      <c r="BG70" s="263"/>
      <c r="BH70" s="263"/>
      <c r="BI70" s="263"/>
      <c r="BJ70" s="263"/>
      <c r="BK70" s="263"/>
      <c r="BL70" s="263"/>
      <c r="BM70" s="263"/>
      <c r="BN70" s="263"/>
      <c r="BO70" s="263"/>
      <c r="BP70" s="263"/>
      <c r="BQ70" s="263"/>
      <c r="BR70" s="263"/>
      <c r="BS70" s="263"/>
      <c r="BT70" s="263"/>
      <c r="BU70" s="263"/>
      <c r="BV70" s="263"/>
      <c r="BW70" s="263"/>
      <c r="BX70" s="263"/>
      <c r="BY70" s="263"/>
      <c r="BZ70" s="263"/>
      <c r="CA70" s="263"/>
      <c r="CB70" s="263"/>
      <c r="CC70" s="263"/>
      <c r="CD70" s="263"/>
      <c r="CE70" s="263"/>
      <c r="CF70" s="263"/>
      <c r="CG70" s="263"/>
      <c r="CH70" s="263"/>
      <c r="CI70" s="263"/>
      <c r="CJ70" s="263"/>
      <c r="CK70" s="263"/>
      <c r="CL70" s="263"/>
    </row>
    <row r="71" spans="1:90" ht="15">
      <c r="A71" s="263"/>
      <c r="B71" s="263"/>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c r="AA71" s="263"/>
      <c r="AB71" s="263"/>
      <c r="AC71" s="263"/>
      <c r="AD71" s="263"/>
      <c r="AE71" s="263"/>
      <c r="AF71" s="263"/>
      <c r="AG71" s="263"/>
      <c r="AH71" s="263"/>
      <c r="AI71" s="263"/>
      <c r="AJ71" s="263"/>
      <c r="AK71" s="263"/>
      <c r="AL71" s="263"/>
      <c r="AM71" s="263"/>
      <c r="AN71" s="263"/>
      <c r="AO71" s="263"/>
      <c r="AP71" s="263"/>
      <c r="AQ71" s="263"/>
      <c r="AR71" s="263"/>
      <c r="AS71" s="263"/>
      <c r="AT71" s="263"/>
      <c r="AU71" s="263"/>
      <c r="AV71" s="263"/>
      <c r="AW71" s="263"/>
      <c r="AX71" s="263"/>
      <c r="AY71" s="263"/>
      <c r="AZ71" s="263"/>
      <c r="BA71" s="263"/>
      <c r="BB71" s="263"/>
      <c r="BC71" s="263"/>
      <c r="BD71" s="263"/>
      <c r="BE71" s="263"/>
      <c r="BF71" s="263"/>
      <c r="BG71" s="263"/>
      <c r="BH71" s="263"/>
      <c r="BI71" s="263"/>
      <c r="BJ71" s="263"/>
      <c r="BK71" s="263"/>
      <c r="BL71" s="263"/>
      <c r="BM71" s="263"/>
      <c r="BN71" s="263"/>
      <c r="BO71" s="263"/>
      <c r="BP71" s="263"/>
      <c r="BQ71" s="263"/>
      <c r="BR71" s="263"/>
      <c r="BS71" s="263"/>
      <c r="BT71" s="263"/>
      <c r="BU71" s="263"/>
      <c r="BV71" s="263"/>
      <c r="BW71" s="263"/>
      <c r="BX71" s="263"/>
      <c r="BY71" s="263"/>
      <c r="BZ71" s="263"/>
      <c r="CA71" s="263"/>
      <c r="CB71" s="263"/>
      <c r="CC71" s="263"/>
      <c r="CD71" s="263"/>
      <c r="CE71" s="263"/>
      <c r="CF71" s="263"/>
      <c r="CG71" s="263"/>
      <c r="CH71" s="263"/>
      <c r="CI71" s="263"/>
      <c r="CJ71" s="263"/>
      <c r="CK71" s="263"/>
      <c r="CL71" s="263"/>
    </row>
    <row r="72" spans="1:90" ht="15">
      <c r="A72" s="263"/>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263"/>
      <c r="AF72" s="263"/>
      <c r="AG72" s="263"/>
      <c r="AH72" s="263"/>
      <c r="AI72" s="263"/>
      <c r="AJ72" s="263"/>
      <c r="AK72" s="263"/>
      <c r="AL72" s="263"/>
      <c r="AM72" s="263"/>
      <c r="AN72" s="263"/>
      <c r="AO72" s="263"/>
      <c r="AP72" s="263"/>
      <c r="AQ72" s="263"/>
      <c r="AR72" s="263"/>
      <c r="AS72" s="263"/>
      <c r="AT72" s="263"/>
      <c r="AU72" s="263"/>
      <c r="AV72" s="263"/>
      <c r="AW72" s="263"/>
      <c r="AX72" s="263"/>
      <c r="AY72" s="263"/>
      <c r="AZ72" s="263"/>
      <c r="BA72" s="263"/>
      <c r="BB72" s="263"/>
      <c r="BC72" s="263"/>
      <c r="BD72" s="263"/>
      <c r="BE72" s="263"/>
      <c r="BF72" s="263"/>
      <c r="BG72" s="263"/>
      <c r="BH72" s="263"/>
      <c r="BI72" s="263"/>
      <c r="BJ72" s="263"/>
      <c r="BK72" s="263"/>
      <c r="BL72" s="263"/>
      <c r="BM72" s="263"/>
      <c r="BN72" s="263"/>
      <c r="BO72" s="263"/>
      <c r="BP72" s="263"/>
      <c r="BQ72" s="263"/>
      <c r="BR72" s="263"/>
      <c r="BS72" s="263"/>
      <c r="BT72" s="263"/>
      <c r="BU72" s="263"/>
      <c r="BV72" s="263"/>
      <c r="BW72" s="263"/>
      <c r="BX72" s="263"/>
      <c r="BY72" s="263"/>
      <c r="BZ72" s="263"/>
      <c r="CA72" s="263"/>
      <c r="CB72" s="263"/>
      <c r="CC72" s="263"/>
      <c r="CD72" s="263"/>
      <c r="CE72" s="263"/>
      <c r="CF72" s="263"/>
      <c r="CG72" s="263"/>
      <c r="CH72" s="263"/>
      <c r="CI72" s="263"/>
      <c r="CJ72" s="263"/>
      <c r="CK72" s="263"/>
      <c r="CL72" s="263"/>
    </row>
  </sheetData>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51"/>
  <sheetViews>
    <sheetView workbookViewId="0">
      <pane xSplit="2" ySplit="6" topLeftCell="BP7"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7.5703125" style="9"/>
    <col min="2" max="2" width="46.85546875" style="9" bestFit="1" customWidth="1"/>
    <col min="3" max="16384" width="7.5703125" style="9"/>
  </cols>
  <sheetData>
    <row r="1" spans="1:90" s="263" customFormat="1" ht="17">
      <c r="A1" s="266" t="s">
        <v>196</v>
      </c>
    </row>
    <row r="2" spans="1:90" s="263" customFormat="1" ht="16">
      <c r="A2" s="267" t="s">
        <v>161</v>
      </c>
    </row>
    <row r="3" spans="1:90" s="263" customFormat="1" ht="15">
      <c r="A3" s="263" t="s">
        <v>160</v>
      </c>
    </row>
    <row r="4" spans="1:90" s="263" customFormat="1" ht="15">
      <c r="A4" s="263" t="s">
        <v>867</v>
      </c>
    </row>
    <row r="6" spans="1:90">
      <c r="A6" s="264" t="s">
        <v>159</v>
      </c>
      <c r="B6" s="264" t="s">
        <v>32</v>
      </c>
      <c r="C6" s="264" t="s">
        <v>158</v>
      </c>
      <c r="D6" s="264" t="s">
        <v>157</v>
      </c>
      <c r="E6" s="264" t="s">
        <v>156</v>
      </c>
      <c r="F6" s="264" t="s">
        <v>155</v>
      </c>
      <c r="G6" s="264" t="s">
        <v>154</v>
      </c>
      <c r="H6" s="264" t="s">
        <v>153</v>
      </c>
      <c r="I6" s="264" t="s">
        <v>152</v>
      </c>
      <c r="J6" s="264" t="s">
        <v>151</v>
      </c>
      <c r="K6" s="264" t="s">
        <v>150</v>
      </c>
      <c r="L6" s="264" t="s">
        <v>149</v>
      </c>
      <c r="M6" s="264" t="s">
        <v>148</v>
      </c>
      <c r="N6" s="264" t="s">
        <v>147</v>
      </c>
      <c r="O6" s="264" t="s">
        <v>146</v>
      </c>
      <c r="P6" s="264" t="s">
        <v>145</v>
      </c>
      <c r="Q6" s="264" t="s">
        <v>144</v>
      </c>
      <c r="R6" s="264" t="s">
        <v>143</v>
      </c>
      <c r="S6" s="264" t="s">
        <v>142</v>
      </c>
      <c r="T6" s="264" t="s">
        <v>141</v>
      </c>
      <c r="U6" s="264" t="s">
        <v>140</v>
      </c>
      <c r="V6" s="264" t="s">
        <v>139</v>
      </c>
      <c r="W6" s="264" t="s">
        <v>138</v>
      </c>
      <c r="X6" s="264" t="s">
        <v>137</v>
      </c>
      <c r="Y6" s="264" t="s">
        <v>136</v>
      </c>
      <c r="Z6" s="264" t="s">
        <v>135</v>
      </c>
      <c r="AA6" s="264" t="s">
        <v>134</v>
      </c>
      <c r="AB6" s="264" t="s">
        <v>133</v>
      </c>
      <c r="AC6" s="264" t="s">
        <v>132</v>
      </c>
      <c r="AD6" s="264" t="s">
        <v>131</v>
      </c>
      <c r="AE6" s="264" t="s">
        <v>130</v>
      </c>
      <c r="AF6" s="264" t="s">
        <v>129</v>
      </c>
      <c r="AG6" s="264" t="s">
        <v>128</v>
      </c>
      <c r="AH6" s="264" t="s">
        <v>127</v>
      </c>
      <c r="AI6" s="264" t="s">
        <v>126</v>
      </c>
      <c r="AJ6" s="264" t="s">
        <v>125</v>
      </c>
      <c r="AK6" s="264" t="s">
        <v>124</v>
      </c>
      <c r="AL6" s="264" t="s">
        <v>123</v>
      </c>
      <c r="AM6" s="264" t="s">
        <v>122</v>
      </c>
      <c r="AN6" s="264" t="s">
        <v>121</v>
      </c>
      <c r="AO6" s="264" t="s">
        <v>120</v>
      </c>
      <c r="AP6" s="264" t="s">
        <v>119</v>
      </c>
      <c r="AQ6" s="264" t="s">
        <v>118</v>
      </c>
      <c r="AR6" s="264" t="s">
        <v>117</v>
      </c>
      <c r="AS6" s="264" t="s">
        <v>116</v>
      </c>
      <c r="AT6" s="264" t="s">
        <v>115</v>
      </c>
      <c r="AU6" s="264" t="s">
        <v>114</v>
      </c>
      <c r="AV6" s="264" t="s">
        <v>113</v>
      </c>
      <c r="AW6" s="264" t="s">
        <v>112</v>
      </c>
      <c r="AX6" s="264" t="s">
        <v>111</v>
      </c>
      <c r="AY6" s="264" t="s">
        <v>110</v>
      </c>
      <c r="AZ6" s="264" t="s">
        <v>109</v>
      </c>
      <c r="BA6" s="264" t="s">
        <v>108</v>
      </c>
      <c r="BB6" s="264" t="s">
        <v>107</v>
      </c>
      <c r="BC6" s="264" t="s">
        <v>106</v>
      </c>
      <c r="BD6" s="264" t="s">
        <v>105</v>
      </c>
      <c r="BE6" s="264" t="s">
        <v>104</v>
      </c>
      <c r="BF6" s="264" t="s">
        <v>103</v>
      </c>
      <c r="BG6" s="264" t="s">
        <v>102</v>
      </c>
      <c r="BH6" s="264" t="s">
        <v>101</v>
      </c>
      <c r="BI6" s="264" t="s">
        <v>100</v>
      </c>
      <c r="BJ6" s="264" t="s">
        <v>99</v>
      </c>
      <c r="BK6" s="264" t="s">
        <v>98</v>
      </c>
      <c r="BL6" s="264" t="s">
        <v>97</v>
      </c>
      <c r="BM6" s="264" t="s">
        <v>96</v>
      </c>
      <c r="BN6" s="264" t="s">
        <v>95</v>
      </c>
      <c r="BO6" s="264" t="s">
        <v>94</v>
      </c>
      <c r="BP6" s="264" t="s">
        <v>93</v>
      </c>
      <c r="BQ6" s="264" t="s">
        <v>92</v>
      </c>
      <c r="BR6" s="264" t="s">
        <v>91</v>
      </c>
      <c r="BS6" s="264" t="s">
        <v>90</v>
      </c>
      <c r="BT6" s="264" t="s">
        <v>89</v>
      </c>
      <c r="BU6" s="264" t="s">
        <v>88</v>
      </c>
      <c r="BV6" s="264" t="s">
        <v>87</v>
      </c>
      <c r="BW6" s="264" t="s">
        <v>86</v>
      </c>
      <c r="BX6" s="264" t="s">
        <v>85</v>
      </c>
      <c r="BY6" s="264" t="s">
        <v>84</v>
      </c>
      <c r="BZ6" s="264" t="s">
        <v>83</v>
      </c>
      <c r="CA6" s="264" t="s">
        <v>82</v>
      </c>
      <c r="CB6" s="264" t="s">
        <v>81</v>
      </c>
      <c r="CC6" s="264" t="s">
        <v>80</v>
      </c>
      <c r="CD6" s="264" t="s">
        <v>79</v>
      </c>
      <c r="CE6" s="264" t="s">
        <v>78</v>
      </c>
      <c r="CF6" s="264" t="s">
        <v>77</v>
      </c>
      <c r="CG6" s="264" t="s">
        <v>76</v>
      </c>
      <c r="CH6" s="264" t="s">
        <v>75</v>
      </c>
      <c r="CI6" s="264" t="s">
        <v>74</v>
      </c>
      <c r="CJ6" s="264" t="s">
        <v>866</v>
      </c>
      <c r="CK6" s="264" t="s">
        <v>865</v>
      </c>
      <c r="CL6" s="264" t="s">
        <v>864</v>
      </c>
    </row>
    <row r="7" spans="1:90" ht="15">
      <c r="A7" s="263" t="s">
        <v>73</v>
      </c>
      <c r="B7" s="269" t="s">
        <v>929</v>
      </c>
      <c r="C7" s="263">
        <v>7.1</v>
      </c>
      <c r="D7" s="263">
        <v>5.5</v>
      </c>
      <c r="E7" s="263">
        <v>3.7</v>
      </c>
      <c r="F7" s="263">
        <v>2.5</v>
      </c>
      <c r="G7" s="263">
        <v>2.4</v>
      </c>
      <c r="H7" s="263">
        <v>3</v>
      </c>
      <c r="I7" s="263">
        <v>3.3</v>
      </c>
      <c r="J7" s="263">
        <v>3.6</v>
      </c>
      <c r="K7" s="263">
        <v>4.8</v>
      </c>
      <c r="L7" s="263">
        <v>4.5</v>
      </c>
      <c r="M7" s="263">
        <v>4.7</v>
      </c>
      <c r="N7" s="263">
        <v>5.5</v>
      </c>
      <c r="O7" s="263">
        <v>6.2</v>
      </c>
      <c r="P7" s="263">
        <v>5.0999999999999996</v>
      </c>
      <c r="Q7" s="263">
        <v>4.7</v>
      </c>
      <c r="R7" s="263">
        <v>5.6</v>
      </c>
      <c r="S7" s="263">
        <v>7.5</v>
      </c>
      <c r="T7" s="263">
        <v>15.2</v>
      </c>
      <c r="U7" s="263">
        <v>20.3</v>
      </c>
      <c r="V7" s="263">
        <v>17.600000000000001</v>
      </c>
      <c r="W7" s="263">
        <v>16.399999999999999</v>
      </c>
      <c r="X7" s="263">
        <v>14.5</v>
      </c>
      <c r="Y7" s="263">
        <v>19.899999999999999</v>
      </c>
      <c r="Z7" s="263">
        <v>19.3</v>
      </c>
      <c r="AA7" s="263">
        <v>18.2</v>
      </c>
      <c r="AB7" s="263">
        <v>18.899999999999999</v>
      </c>
      <c r="AC7" s="263">
        <v>21.2</v>
      </c>
      <c r="AD7" s="263">
        <v>25.2</v>
      </c>
      <c r="AE7" s="263">
        <v>28.3</v>
      </c>
      <c r="AF7" s="263">
        <v>24.4</v>
      </c>
      <c r="AG7" s="263">
        <v>27</v>
      </c>
      <c r="AH7" s="263">
        <v>31.9</v>
      </c>
      <c r="AI7" s="263">
        <v>32.9</v>
      </c>
      <c r="AJ7" s="263">
        <v>35</v>
      </c>
      <c r="AK7" s="263">
        <v>37.6</v>
      </c>
      <c r="AL7" s="263">
        <v>42.3</v>
      </c>
      <c r="AM7" s="263">
        <v>45</v>
      </c>
      <c r="AN7" s="263">
        <v>49</v>
      </c>
      <c r="AO7" s="263">
        <v>52.1</v>
      </c>
      <c r="AP7" s="263">
        <v>58</v>
      </c>
      <c r="AQ7" s="263">
        <v>63.7</v>
      </c>
      <c r="AR7" s="263">
        <v>72.5</v>
      </c>
      <c r="AS7" s="263">
        <v>77</v>
      </c>
      <c r="AT7" s="263">
        <v>87.1</v>
      </c>
      <c r="AU7" s="263">
        <v>118.8</v>
      </c>
      <c r="AV7" s="263">
        <v>156.5</v>
      </c>
      <c r="AW7" s="263">
        <v>166.7</v>
      </c>
      <c r="AX7" s="263">
        <v>181.9</v>
      </c>
      <c r="AY7" s="263">
        <v>196.6</v>
      </c>
      <c r="AZ7" s="263">
        <v>233.1</v>
      </c>
      <c r="BA7" s="263">
        <v>298.5</v>
      </c>
      <c r="BB7" s="263">
        <v>359.9</v>
      </c>
      <c r="BC7" s="263">
        <v>397.3</v>
      </c>
      <c r="BD7" s="263">
        <v>384.2</v>
      </c>
      <c r="BE7" s="263">
        <v>378.9</v>
      </c>
      <c r="BF7" s="263">
        <v>424.2</v>
      </c>
      <c r="BG7" s="263">
        <v>415.9</v>
      </c>
      <c r="BH7" s="263">
        <v>432.3</v>
      </c>
      <c r="BI7" s="263">
        <v>487.2</v>
      </c>
      <c r="BJ7" s="263">
        <v>596.70000000000005</v>
      </c>
      <c r="BK7" s="263">
        <v>682</v>
      </c>
      <c r="BL7" s="263">
        <v>740.7</v>
      </c>
      <c r="BM7" s="263">
        <v>763.3</v>
      </c>
      <c r="BN7" s="263">
        <v>785.1</v>
      </c>
      <c r="BO7" s="263">
        <v>810.4</v>
      </c>
      <c r="BP7" s="263">
        <v>905.5</v>
      </c>
      <c r="BQ7" s="263">
        <v>1042.5999999999999</v>
      </c>
      <c r="BR7" s="263">
        <v>1114</v>
      </c>
      <c r="BS7" s="263">
        <v>1233.9000000000001</v>
      </c>
      <c r="BT7" s="263">
        <v>1239.8</v>
      </c>
      <c r="BU7" s="263">
        <v>1350</v>
      </c>
      <c r="BV7" s="263">
        <v>1520.4</v>
      </c>
      <c r="BW7" s="263">
        <v>1396.8</v>
      </c>
      <c r="BX7" s="263">
        <v>1374.6</v>
      </c>
      <c r="BY7" s="263">
        <v>1462.2</v>
      </c>
      <c r="BZ7" s="263">
        <v>1697.2</v>
      </c>
      <c r="CA7" s="263">
        <v>1954.3</v>
      </c>
      <c r="CB7" s="263">
        <v>2276.3000000000002</v>
      </c>
      <c r="CC7" s="263">
        <v>2616.3000000000002</v>
      </c>
      <c r="CD7" s="263">
        <v>2790.3</v>
      </c>
      <c r="CE7" s="263">
        <v>2330.1</v>
      </c>
      <c r="CF7" s="263">
        <v>2669.6</v>
      </c>
      <c r="CG7" s="263">
        <v>3004.2</v>
      </c>
      <c r="CH7" s="263">
        <v>3113.9</v>
      </c>
      <c r="CI7" s="263">
        <v>3234</v>
      </c>
      <c r="CJ7" s="263">
        <v>3366.1</v>
      </c>
      <c r="CK7" s="263">
        <v>3209.1</v>
      </c>
      <c r="CL7" s="263">
        <v>3199.1</v>
      </c>
    </row>
    <row r="8" spans="1:90" ht="15">
      <c r="A8" s="263" t="s">
        <v>72</v>
      </c>
      <c r="B8" s="269" t="s">
        <v>195</v>
      </c>
      <c r="C8" s="263">
        <v>5.9</v>
      </c>
      <c r="D8" s="263">
        <v>4.4000000000000004</v>
      </c>
      <c r="E8" s="263">
        <v>2.9</v>
      </c>
      <c r="F8" s="263">
        <v>2</v>
      </c>
      <c r="G8" s="263">
        <v>2</v>
      </c>
      <c r="H8" s="263">
        <v>2.6</v>
      </c>
      <c r="I8" s="263">
        <v>2.8</v>
      </c>
      <c r="J8" s="263">
        <v>3</v>
      </c>
      <c r="K8" s="263">
        <v>4</v>
      </c>
      <c r="L8" s="263">
        <v>3.8</v>
      </c>
      <c r="M8" s="263">
        <v>4</v>
      </c>
      <c r="N8" s="263">
        <v>4.9000000000000004</v>
      </c>
      <c r="O8" s="263">
        <v>5.5</v>
      </c>
      <c r="P8" s="263">
        <v>4.4000000000000004</v>
      </c>
      <c r="Q8" s="263">
        <v>4</v>
      </c>
      <c r="R8" s="263">
        <v>4.9000000000000004</v>
      </c>
      <c r="S8" s="263">
        <v>6.8</v>
      </c>
      <c r="T8" s="263">
        <v>14.2</v>
      </c>
      <c r="U8" s="263">
        <v>18.7</v>
      </c>
      <c r="V8" s="263">
        <v>15.5</v>
      </c>
      <c r="W8" s="263">
        <v>14.5</v>
      </c>
      <c r="X8" s="263">
        <v>12.4</v>
      </c>
      <c r="Y8" s="263">
        <v>17.100000000000001</v>
      </c>
      <c r="Z8" s="263">
        <v>16.5</v>
      </c>
      <c r="AA8" s="263">
        <v>15.3</v>
      </c>
      <c r="AB8" s="263">
        <v>15.8</v>
      </c>
      <c r="AC8" s="263">
        <v>17.7</v>
      </c>
      <c r="AD8" s="263">
        <v>21.3</v>
      </c>
      <c r="AE8" s="263">
        <v>24</v>
      </c>
      <c r="AF8" s="263">
        <v>20.6</v>
      </c>
      <c r="AG8" s="263">
        <v>22.7</v>
      </c>
      <c r="AH8" s="263">
        <v>27</v>
      </c>
      <c r="AI8" s="263">
        <v>27.6</v>
      </c>
      <c r="AJ8" s="263">
        <v>29.1</v>
      </c>
      <c r="AK8" s="263">
        <v>31.1</v>
      </c>
      <c r="AL8" s="263">
        <v>35</v>
      </c>
      <c r="AM8" s="263">
        <v>37.1</v>
      </c>
      <c r="AN8" s="263">
        <v>40.9</v>
      </c>
      <c r="AO8" s="263">
        <v>43.5</v>
      </c>
      <c r="AP8" s="263">
        <v>47.9</v>
      </c>
      <c r="AQ8" s="263">
        <v>51.9</v>
      </c>
      <c r="AR8" s="263">
        <v>59.7</v>
      </c>
      <c r="AS8" s="263">
        <v>63</v>
      </c>
      <c r="AT8" s="263">
        <v>70.8</v>
      </c>
      <c r="AU8" s="263">
        <v>95.3</v>
      </c>
      <c r="AV8" s="263">
        <v>126.7</v>
      </c>
      <c r="AW8" s="263">
        <v>138.69999999999999</v>
      </c>
      <c r="AX8" s="263">
        <v>149.5</v>
      </c>
      <c r="AY8" s="263">
        <v>159.4</v>
      </c>
      <c r="AZ8" s="263">
        <v>186.9</v>
      </c>
      <c r="BA8" s="263">
        <v>230.1</v>
      </c>
      <c r="BB8" s="263">
        <v>280.8</v>
      </c>
      <c r="BC8" s="263">
        <v>305.2</v>
      </c>
      <c r="BD8" s="263">
        <v>283.2</v>
      </c>
      <c r="BE8" s="263">
        <v>277</v>
      </c>
      <c r="BF8" s="263">
        <v>302.39999999999998</v>
      </c>
      <c r="BG8" s="263">
        <v>303.2</v>
      </c>
      <c r="BH8" s="263">
        <v>321</v>
      </c>
      <c r="BI8" s="263">
        <v>363.9</v>
      </c>
      <c r="BJ8" s="263">
        <v>444.6</v>
      </c>
      <c r="BK8" s="263">
        <v>504.3</v>
      </c>
      <c r="BL8" s="263">
        <v>551.9</v>
      </c>
      <c r="BM8" s="263">
        <v>594.9</v>
      </c>
      <c r="BN8" s="263">
        <v>633.1</v>
      </c>
      <c r="BO8" s="263">
        <v>654.79999999999995</v>
      </c>
      <c r="BP8" s="263">
        <v>720.9</v>
      </c>
      <c r="BQ8" s="263">
        <v>812.8</v>
      </c>
      <c r="BR8" s="263">
        <v>867.6</v>
      </c>
      <c r="BS8" s="263">
        <v>953.8</v>
      </c>
      <c r="BT8" s="263">
        <v>953</v>
      </c>
      <c r="BU8" s="263">
        <v>992</v>
      </c>
      <c r="BV8" s="263">
        <v>1096.8</v>
      </c>
      <c r="BW8" s="263">
        <v>1026.7</v>
      </c>
      <c r="BX8" s="263">
        <v>1002.5</v>
      </c>
      <c r="BY8" s="263">
        <v>1040.3</v>
      </c>
      <c r="BZ8" s="263">
        <v>1181.5</v>
      </c>
      <c r="CA8" s="263">
        <v>1308.9000000000001</v>
      </c>
      <c r="CB8" s="263">
        <v>1476.3</v>
      </c>
      <c r="CC8" s="263">
        <v>1664.6</v>
      </c>
      <c r="CD8" s="263">
        <v>1841.9</v>
      </c>
      <c r="CE8" s="263">
        <v>1587.7</v>
      </c>
      <c r="CF8" s="263">
        <v>1852.3</v>
      </c>
      <c r="CG8" s="263">
        <v>2106.4</v>
      </c>
      <c r="CH8" s="263">
        <v>2198.1999999999998</v>
      </c>
      <c r="CI8" s="263">
        <v>2276.6</v>
      </c>
      <c r="CJ8" s="263">
        <v>2373.6</v>
      </c>
      <c r="CK8" s="263">
        <v>2264.9</v>
      </c>
      <c r="CL8" s="263">
        <v>2214.6</v>
      </c>
    </row>
    <row r="9" spans="1:90" ht="15">
      <c r="A9" s="263" t="s">
        <v>70</v>
      </c>
      <c r="B9" s="263" t="s">
        <v>930</v>
      </c>
      <c r="C9" s="263">
        <v>5.3</v>
      </c>
      <c r="D9" s="263">
        <v>3.9</v>
      </c>
      <c r="E9" s="263">
        <v>2.5</v>
      </c>
      <c r="F9" s="263">
        <v>1.7</v>
      </c>
      <c r="G9" s="263">
        <v>1.7</v>
      </c>
      <c r="H9" s="263">
        <v>2.2000000000000002</v>
      </c>
      <c r="I9" s="263">
        <v>2.4</v>
      </c>
      <c r="J9" s="263">
        <v>2.6</v>
      </c>
      <c r="K9" s="263">
        <v>3.5</v>
      </c>
      <c r="L9" s="263">
        <v>3.2</v>
      </c>
      <c r="M9" s="263">
        <v>3.3</v>
      </c>
      <c r="N9" s="263">
        <v>4.0999999999999996</v>
      </c>
      <c r="O9" s="263">
        <v>4.5</v>
      </c>
      <c r="P9" s="263">
        <v>3.4</v>
      </c>
      <c r="Q9" s="263">
        <v>2.9</v>
      </c>
      <c r="R9" s="263">
        <v>3.6</v>
      </c>
      <c r="S9" s="263">
        <v>5.4</v>
      </c>
      <c r="T9" s="263">
        <v>11.8</v>
      </c>
      <c r="U9" s="263">
        <v>16.100000000000001</v>
      </c>
      <c r="V9" s="263">
        <v>13.3</v>
      </c>
      <c r="W9" s="263">
        <v>12.2</v>
      </c>
      <c r="X9" s="263">
        <v>10.199999999999999</v>
      </c>
      <c r="Y9" s="263">
        <v>14.2</v>
      </c>
      <c r="Z9" s="263">
        <v>13.4</v>
      </c>
      <c r="AA9" s="263">
        <v>12.4</v>
      </c>
      <c r="AB9" s="263">
        <v>12.9</v>
      </c>
      <c r="AC9" s="263">
        <v>14.4</v>
      </c>
      <c r="AD9" s="263">
        <v>17.600000000000001</v>
      </c>
      <c r="AE9" s="263">
        <v>19.600000000000001</v>
      </c>
      <c r="AF9" s="263">
        <v>16.399999999999999</v>
      </c>
      <c r="AG9" s="263">
        <v>16.5</v>
      </c>
      <c r="AH9" s="263">
        <v>20.5</v>
      </c>
      <c r="AI9" s="263">
        <v>20.9</v>
      </c>
      <c r="AJ9" s="263">
        <v>21.7</v>
      </c>
      <c r="AK9" s="263">
        <v>23.3</v>
      </c>
      <c r="AL9" s="263">
        <v>26.8</v>
      </c>
      <c r="AM9" s="263">
        <v>28</v>
      </c>
      <c r="AN9" s="263">
        <v>31.1</v>
      </c>
      <c r="AO9" s="263">
        <v>32.5</v>
      </c>
      <c r="AP9" s="263">
        <v>35.700000000000003</v>
      </c>
      <c r="AQ9" s="263">
        <v>38.700000000000003</v>
      </c>
      <c r="AR9" s="263">
        <v>45</v>
      </c>
      <c r="AS9" s="263">
        <v>46.2</v>
      </c>
      <c r="AT9" s="263">
        <v>52.6</v>
      </c>
      <c r="AU9" s="263">
        <v>75.8</v>
      </c>
      <c r="AV9" s="263">
        <v>103.5</v>
      </c>
      <c r="AW9" s="263">
        <v>112.5</v>
      </c>
      <c r="AX9" s="263">
        <v>121.5</v>
      </c>
      <c r="AY9" s="263">
        <v>128.4</v>
      </c>
      <c r="AZ9" s="263">
        <v>149.9</v>
      </c>
      <c r="BA9" s="263">
        <v>187.3</v>
      </c>
      <c r="BB9" s="263">
        <v>230.4</v>
      </c>
      <c r="BC9" s="263">
        <v>245.2</v>
      </c>
      <c r="BD9" s="263">
        <v>222.6</v>
      </c>
      <c r="BE9" s="263">
        <v>214</v>
      </c>
      <c r="BF9" s="263">
        <v>231.3</v>
      </c>
      <c r="BG9" s="263">
        <v>227.5</v>
      </c>
      <c r="BH9" s="263">
        <v>231.4</v>
      </c>
      <c r="BI9" s="263">
        <v>265.60000000000002</v>
      </c>
      <c r="BJ9" s="263">
        <v>332.1</v>
      </c>
      <c r="BK9" s="263">
        <v>374.8</v>
      </c>
      <c r="BL9" s="263">
        <v>403.3</v>
      </c>
      <c r="BM9" s="263">
        <v>430.1</v>
      </c>
      <c r="BN9" s="263">
        <v>455.3</v>
      </c>
      <c r="BO9" s="263">
        <v>467.7</v>
      </c>
      <c r="BP9" s="263">
        <v>518.4</v>
      </c>
      <c r="BQ9" s="263">
        <v>592.4</v>
      </c>
      <c r="BR9" s="263">
        <v>628.79999999999995</v>
      </c>
      <c r="BS9" s="263">
        <v>699.9</v>
      </c>
      <c r="BT9" s="263">
        <v>692.6</v>
      </c>
      <c r="BU9" s="263">
        <v>711.7</v>
      </c>
      <c r="BV9" s="263">
        <v>797.3</v>
      </c>
      <c r="BW9" s="263">
        <v>743.8</v>
      </c>
      <c r="BX9" s="263">
        <v>713.2</v>
      </c>
      <c r="BY9" s="263">
        <v>741.4</v>
      </c>
      <c r="BZ9" s="263">
        <v>834.4</v>
      </c>
      <c r="CA9" s="263">
        <v>926.6</v>
      </c>
      <c r="CB9" s="263">
        <v>1049.5999999999999</v>
      </c>
      <c r="CC9" s="263">
        <v>1166.4000000000001</v>
      </c>
      <c r="CD9" s="263">
        <v>1298.8</v>
      </c>
      <c r="CE9" s="263">
        <v>1065.0999999999999</v>
      </c>
      <c r="CF9" s="263">
        <v>1279.5999999999999</v>
      </c>
      <c r="CG9" s="263">
        <v>1466.9</v>
      </c>
      <c r="CH9" s="263">
        <v>1526</v>
      </c>
      <c r="CI9" s="263">
        <v>1562.7</v>
      </c>
      <c r="CJ9" s="263">
        <v>1617.9</v>
      </c>
      <c r="CK9" s="263">
        <v>1497.2</v>
      </c>
      <c r="CL9" s="263">
        <v>1446</v>
      </c>
    </row>
    <row r="10" spans="1:90" ht="15">
      <c r="A10" s="263" t="s">
        <v>69</v>
      </c>
      <c r="B10" s="263" t="s">
        <v>931</v>
      </c>
      <c r="C10" s="263">
        <v>2.2000000000000002</v>
      </c>
      <c r="D10" s="263">
        <v>1.5</v>
      </c>
      <c r="E10" s="263">
        <v>0.9</v>
      </c>
      <c r="F10" s="263">
        <v>0.5</v>
      </c>
      <c r="G10" s="263">
        <v>0.5</v>
      </c>
      <c r="H10" s="263">
        <v>0.8</v>
      </c>
      <c r="I10" s="263">
        <v>1</v>
      </c>
      <c r="J10" s="263">
        <v>1.1000000000000001</v>
      </c>
      <c r="K10" s="263">
        <v>1.7</v>
      </c>
      <c r="L10" s="263">
        <v>1.5</v>
      </c>
      <c r="M10" s="263">
        <v>1.7</v>
      </c>
      <c r="N10" s="263">
        <v>2.6</v>
      </c>
      <c r="O10" s="263">
        <v>2.9</v>
      </c>
      <c r="P10" s="263">
        <v>2.2999999999999998</v>
      </c>
      <c r="Q10" s="263">
        <v>2</v>
      </c>
      <c r="R10" s="263">
        <v>2.4</v>
      </c>
      <c r="S10" s="263">
        <v>2.8</v>
      </c>
      <c r="T10" s="263">
        <v>5</v>
      </c>
      <c r="U10" s="263">
        <v>8.5</v>
      </c>
      <c r="V10" s="263">
        <v>6.6</v>
      </c>
      <c r="W10" s="263">
        <v>6.1</v>
      </c>
      <c r="X10" s="263">
        <v>5.0999999999999996</v>
      </c>
      <c r="Y10" s="263">
        <v>6.6</v>
      </c>
      <c r="Z10" s="263">
        <v>6.9</v>
      </c>
      <c r="AA10" s="263">
        <v>6.9</v>
      </c>
      <c r="AB10" s="263">
        <v>7.1</v>
      </c>
      <c r="AC10" s="263">
        <v>8.1999999999999993</v>
      </c>
      <c r="AD10" s="263">
        <v>9.8000000000000007</v>
      </c>
      <c r="AE10" s="263">
        <v>10.9</v>
      </c>
      <c r="AF10" s="263">
        <v>9</v>
      </c>
      <c r="AG10" s="263">
        <v>8.9</v>
      </c>
      <c r="AH10" s="263">
        <v>11.3</v>
      </c>
      <c r="AI10" s="263">
        <v>11.5</v>
      </c>
      <c r="AJ10" s="263">
        <v>12</v>
      </c>
      <c r="AK10" s="263">
        <v>12.7</v>
      </c>
      <c r="AL10" s="263">
        <v>14.7</v>
      </c>
      <c r="AM10" s="263">
        <v>15.8</v>
      </c>
      <c r="AN10" s="263">
        <v>17.7</v>
      </c>
      <c r="AO10" s="263">
        <v>18.600000000000001</v>
      </c>
      <c r="AP10" s="263">
        <v>21.2</v>
      </c>
      <c r="AQ10" s="263">
        <v>23.9</v>
      </c>
      <c r="AR10" s="263">
        <v>27.4</v>
      </c>
      <c r="AS10" s="263">
        <v>27.9</v>
      </c>
      <c r="AT10" s="263">
        <v>31.4</v>
      </c>
      <c r="AU10" s="263">
        <v>42.3</v>
      </c>
      <c r="AV10" s="263">
        <v>57.7</v>
      </c>
      <c r="AW10" s="263">
        <v>65.2</v>
      </c>
      <c r="AX10" s="263">
        <v>70.900000000000006</v>
      </c>
      <c r="AY10" s="263">
        <v>74.400000000000006</v>
      </c>
      <c r="AZ10" s="263">
        <v>87.5</v>
      </c>
      <c r="BA10" s="263">
        <v>109.6</v>
      </c>
      <c r="BB10" s="263">
        <v>135.69999999999999</v>
      </c>
      <c r="BC10" s="263">
        <v>143.19999999999999</v>
      </c>
      <c r="BD10" s="263">
        <v>128.5</v>
      </c>
      <c r="BE10" s="263">
        <v>123.8</v>
      </c>
      <c r="BF10" s="263">
        <v>135.19999999999999</v>
      </c>
      <c r="BG10" s="263">
        <v>139.9</v>
      </c>
      <c r="BH10" s="263">
        <v>145.30000000000001</v>
      </c>
      <c r="BI10" s="263">
        <v>166.9</v>
      </c>
      <c r="BJ10" s="263">
        <v>211.9</v>
      </c>
      <c r="BK10" s="263">
        <v>242.5</v>
      </c>
      <c r="BL10" s="263">
        <v>265.3</v>
      </c>
      <c r="BM10" s="263">
        <v>285.60000000000002</v>
      </c>
      <c r="BN10" s="263">
        <v>304.2</v>
      </c>
      <c r="BO10" s="263">
        <v>317.89999999999998</v>
      </c>
      <c r="BP10" s="263">
        <v>353.8</v>
      </c>
      <c r="BQ10" s="263">
        <v>398.6</v>
      </c>
      <c r="BR10" s="263">
        <v>426.4</v>
      </c>
      <c r="BS10" s="263">
        <v>488.4</v>
      </c>
      <c r="BT10" s="263">
        <v>492.4</v>
      </c>
      <c r="BU10" s="263">
        <v>508.7</v>
      </c>
      <c r="BV10" s="263">
        <v>573.4</v>
      </c>
      <c r="BW10" s="263">
        <v>525.29999999999995</v>
      </c>
      <c r="BX10" s="263">
        <v>492.8</v>
      </c>
      <c r="BY10" s="263">
        <v>501.8</v>
      </c>
      <c r="BZ10" s="263">
        <v>565.70000000000005</v>
      </c>
      <c r="CA10" s="263">
        <v>629.79999999999995</v>
      </c>
      <c r="CB10" s="263">
        <v>715</v>
      </c>
      <c r="CC10" s="263">
        <v>782.9</v>
      </c>
      <c r="CD10" s="263">
        <v>829.2</v>
      </c>
      <c r="CE10" s="263">
        <v>671.6</v>
      </c>
      <c r="CF10" s="263">
        <v>801.4</v>
      </c>
      <c r="CG10" s="263">
        <v>894</v>
      </c>
      <c r="CH10" s="263">
        <v>939.9</v>
      </c>
      <c r="CI10" s="263">
        <v>957.1</v>
      </c>
      <c r="CJ10" s="263">
        <v>994.5</v>
      </c>
      <c r="CK10" s="263">
        <v>955.3</v>
      </c>
      <c r="CL10" s="263">
        <v>926.3</v>
      </c>
    </row>
    <row r="11" spans="1:90" ht="15">
      <c r="A11" s="263" t="s">
        <v>68</v>
      </c>
      <c r="B11" s="263" t="s">
        <v>932</v>
      </c>
      <c r="C11" s="263">
        <v>3.1</v>
      </c>
      <c r="D11" s="263">
        <v>2.4</v>
      </c>
      <c r="E11" s="263">
        <v>1.6</v>
      </c>
      <c r="F11" s="263">
        <v>1.2</v>
      </c>
      <c r="G11" s="263">
        <v>1.2</v>
      </c>
      <c r="H11" s="263">
        <v>1.4</v>
      </c>
      <c r="I11" s="263">
        <v>1.5</v>
      </c>
      <c r="J11" s="263">
        <v>1.5</v>
      </c>
      <c r="K11" s="263">
        <v>1.7</v>
      </c>
      <c r="L11" s="263">
        <v>1.7</v>
      </c>
      <c r="M11" s="263">
        <v>1.7</v>
      </c>
      <c r="N11" s="263">
        <v>1.6</v>
      </c>
      <c r="O11" s="263">
        <v>1.7</v>
      </c>
      <c r="P11" s="263">
        <v>1.1000000000000001</v>
      </c>
      <c r="Q11" s="263">
        <v>0.9</v>
      </c>
      <c r="R11" s="263">
        <v>1.2</v>
      </c>
      <c r="S11" s="263">
        <v>2.5</v>
      </c>
      <c r="T11" s="263">
        <v>6.7</v>
      </c>
      <c r="U11" s="263">
        <v>7.6</v>
      </c>
      <c r="V11" s="263">
        <v>6.6</v>
      </c>
      <c r="W11" s="263">
        <v>6.1</v>
      </c>
      <c r="X11" s="263">
        <v>5.0999999999999996</v>
      </c>
      <c r="Y11" s="263">
        <v>7.6</v>
      </c>
      <c r="Z11" s="263">
        <v>6.5</v>
      </c>
      <c r="AA11" s="263">
        <v>5.5</v>
      </c>
      <c r="AB11" s="263">
        <v>5.8</v>
      </c>
      <c r="AC11" s="263">
        <v>6.2</v>
      </c>
      <c r="AD11" s="263">
        <v>7.8</v>
      </c>
      <c r="AE11" s="263">
        <v>8.6</v>
      </c>
      <c r="AF11" s="263">
        <v>7.4</v>
      </c>
      <c r="AG11" s="263">
        <v>7.5</v>
      </c>
      <c r="AH11" s="263">
        <v>9.1999999999999993</v>
      </c>
      <c r="AI11" s="263">
        <v>9.4</v>
      </c>
      <c r="AJ11" s="263">
        <v>9.6999999999999993</v>
      </c>
      <c r="AK11" s="263">
        <v>10.7</v>
      </c>
      <c r="AL11" s="263">
        <v>12.1</v>
      </c>
      <c r="AM11" s="263">
        <v>12.1</v>
      </c>
      <c r="AN11" s="263">
        <v>13.4</v>
      </c>
      <c r="AO11" s="263">
        <v>13.9</v>
      </c>
      <c r="AP11" s="263">
        <v>14.5</v>
      </c>
      <c r="AQ11" s="263">
        <v>14.8</v>
      </c>
      <c r="AR11" s="263">
        <v>17.7</v>
      </c>
      <c r="AS11" s="263">
        <v>18.3</v>
      </c>
      <c r="AT11" s="263">
        <v>21.2</v>
      </c>
      <c r="AU11" s="263">
        <v>33.5</v>
      </c>
      <c r="AV11" s="263">
        <v>45.8</v>
      </c>
      <c r="AW11" s="263">
        <v>47.3</v>
      </c>
      <c r="AX11" s="263">
        <v>50.6</v>
      </c>
      <c r="AY11" s="263">
        <v>54</v>
      </c>
      <c r="AZ11" s="263">
        <v>62.4</v>
      </c>
      <c r="BA11" s="263">
        <v>77.599999999999994</v>
      </c>
      <c r="BB11" s="263">
        <v>94.8</v>
      </c>
      <c r="BC11" s="263">
        <v>102</v>
      </c>
      <c r="BD11" s="263">
        <v>94.1</v>
      </c>
      <c r="BE11" s="263">
        <v>90.3</v>
      </c>
      <c r="BF11" s="263">
        <v>96.1</v>
      </c>
      <c r="BG11" s="263">
        <v>87.6</v>
      </c>
      <c r="BH11" s="263">
        <v>86.1</v>
      </c>
      <c r="BI11" s="263">
        <v>98.6</v>
      </c>
      <c r="BJ11" s="263">
        <v>120.1</v>
      </c>
      <c r="BK11" s="263">
        <v>132.19999999999999</v>
      </c>
      <c r="BL11" s="263">
        <v>138</v>
      </c>
      <c r="BM11" s="263">
        <v>144.6</v>
      </c>
      <c r="BN11" s="263">
        <v>151.1</v>
      </c>
      <c r="BO11" s="263">
        <v>149.9</v>
      </c>
      <c r="BP11" s="263">
        <v>164.6</v>
      </c>
      <c r="BQ11" s="263">
        <v>193.8</v>
      </c>
      <c r="BR11" s="263">
        <v>202.4</v>
      </c>
      <c r="BS11" s="263">
        <v>211.5</v>
      </c>
      <c r="BT11" s="263">
        <v>200.2</v>
      </c>
      <c r="BU11" s="263">
        <v>203</v>
      </c>
      <c r="BV11" s="263">
        <v>223.9</v>
      </c>
      <c r="BW11" s="263">
        <v>218.6</v>
      </c>
      <c r="BX11" s="263">
        <v>220.4</v>
      </c>
      <c r="BY11" s="263">
        <v>239.6</v>
      </c>
      <c r="BZ11" s="263">
        <v>268.7</v>
      </c>
      <c r="CA11" s="263">
        <v>296.8</v>
      </c>
      <c r="CB11" s="263">
        <v>334.6</v>
      </c>
      <c r="CC11" s="263">
        <v>383.5</v>
      </c>
      <c r="CD11" s="263">
        <v>469.6</v>
      </c>
      <c r="CE11" s="263">
        <v>393.5</v>
      </c>
      <c r="CF11" s="263">
        <v>478.2</v>
      </c>
      <c r="CG11" s="263">
        <v>572.9</v>
      </c>
      <c r="CH11" s="263">
        <v>586.1</v>
      </c>
      <c r="CI11" s="263">
        <v>605.5</v>
      </c>
      <c r="CJ11" s="263">
        <v>623.4</v>
      </c>
      <c r="CK11" s="263">
        <v>541.9</v>
      </c>
      <c r="CL11" s="263">
        <v>519.79999999999995</v>
      </c>
    </row>
    <row r="12" spans="1:90" ht="15">
      <c r="A12" s="263" t="s">
        <v>66</v>
      </c>
      <c r="B12" s="263" t="s">
        <v>933</v>
      </c>
      <c r="C12" s="263">
        <v>0.6</v>
      </c>
      <c r="D12" s="263">
        <v>0.5</v>
      </c>
      <c r="E12" s="263">
        <v>0.4</v>
      </c>
      <c r="F12" s="263">
        <v>0.3</v>
      </c>
      <c r="G12" s="263">
        <v>0.3</v>
      </c>
      <c r="H12" s="263">
        <v>0.3</v>
      </c>
      <c r="I12" s="263">
        <v>0.4</v>
      </c>
      <c r="J12" s="263">
        <v>0.4</v>
      </c>
      <c r="K12" s="263">
        <v>0.6</v>
      </c>
      <c r="L12" s="263">
        <v>0.6</v>
      </c>
      <c r="M12" s="263">
        <v>0.6</v>
      </c>
      <c r="N12" s="263">
        <v>0.8</v>
      </c>
      <c r="O12" s="263">
        <v>0.9</v>
      </c>
      <c r="P12" s="263">
        <v>1</v>
      </c>
      <c r="Q12" s="263">
        <v>1.1000000000000001</v>
      </c>
      <c r="R12" s="263">
        <v>1.3</v>
      </c>
      <c r="S12" s="263">
        <v>1.4</v>
      </c>
      <c r="T12" s="263">
        <v>2.4</v>
      </c>
      <c r="U12" s="263">
        <v>2.6</v>
      </c>
      <c r="V12" s="263">
        <v>2.2999999999999998</v>
      </c>
      <c r="W12" s="263">
        <v>2.2999999999999998</v>
      </c>
      <c r="X12" s="263">
        <v>2.1</v>
      </c>
      <c r="Y12" s="263">
        <v>2.9</v>
      </c>
      <c r="Z12" s="263">
        <v>3</v>
      </c>
      <c r="AA12" s="263">
        <v>2.9</v>
      </c>
      <c r="AB12" s="263">
        <v>2.9</v>
      </c>
      <c r="AC12" s="263">
        <v>3.3</v>
      </c>
      <c r="AD12" s="263">
        <v>3.7</v>
      </c>
      <c r="AE12" s="263">
        <v>4.5</v>
      </c>
      <c r="AF12" s="263">
        <v>4.0999999999999996</v>
      </c>
      <c r="AG12" s="263">
        <v>6.3</v>
      </c>
      <c r="AH12" s="263">
        <v>6.6</v>
      </c>
      <c r="AI12" s="263">
        <v>6.7</v>
      </c>
      <c r="AJ12" s="263">
        <v>7.4</v>
      </c>
      <c r="AK12" s="263">
        <v>7.7</v>
      </c>
      <c r="AL12" s="263">
        <v>8.3000000000000007</v>
      </c>
      <c r="AM12" s="263">
        <v>9.1999999999999993</v>
      </c>
      <c r="AN12" s="263">
        <v>9.8000000000000007</v>
      </c>
      <c r="AO12" s="263">
        <v>10.9</v>
      </c>
      <c r="AP12" s="263">
        <v>12.2</v>
      </c>
      <c r="AQ12" s="263">
        <v>13.2</v>
      </c>
      <c r="AR12" s="263">
        <v>14.7</v>
      </c>
      <c r="AS12" s="263">
        <v>16.8</v>
      </c>
      <c r="AT12" s="263">
        <v>18.3</v>
      </c>
      <c r="AU12" s="263">
        <v>19.5</v>
      </c>
      <c r="AV12" s="263">
        <v>23.2</v>
      </c>
      <c r="AW12" s="263">
        <v>26.2</v>
      </c>
      <c r="AX12" s="263">
        <v>28</v>
      </c>
      <c r="AY12" s="263">
        <v>30.9</v>
      </c>
      <c r="AZ12" s="263">
        <v>37</v>
      </c>
      <c r="BA12" s="263">
        <v>42.9</v>
      </c>
      <c r="BB12" s="263">
        <v>50.3</v>
      </c>
      <c r="BC12" s="263">
        <v>60</v>
      </c>
      <c r="BD12" s="263">
        <v>60.7</v>
      </c>
      <c r="BE12" s="263">
        <v>62.9</v>
      </c>
      <c r="BF12" s="263">
        <v>71.099999999999994</v>
      </c>
      <c r="BG12" s="263">
        <v>75.7</v>
      </c>
      <c r="BH12" s="263">
        <v>89.6</v>
      </c>
      <c r="BI12" s="263">
        <v>98.4</v>
      </c>
      <c r="BJ12" s="263">
        <v>112.5</v>
      </c>
      <c r="BK12" s="263">
        <v>129.5</v>
      </c>
      <c r="BL12" s="263">
        <v>148.6</v>
      </c>
      <c r="BM12" s="263">
        <v>164.8</v>
      </c>
      <c r="BN12" s="263">
        <v>177.7</v>
      </c>
      <c r="BO12" s="263">
        <v>187.1</v>
      </c>
      <c r="BP12" s="263">
        <v>202.6</v>
      </c>
      <c r="BQ12" s="263">
        <v>220.4</v>
      </c>
      <c r="BR12" s="263">
        <v>238.8</v>
      </c>
      <c r="BS12" s="263">
        <v>253.9</v>
      </c>
      <c r="BT12" s="263">
        <v>260.39999999999998</v>
      </c>
      <c r="BU12" s="263">
        <v>280.3</v>
      </c>
      <c r="BV12" s="263">
        <v>299.60000000000002</v>
      </c>
      <c r="BW12" s="263">
        <v>282.89999999999998</v>
      </c>
      <c r="BX12" s="263">
        <v>289.3</v>
      </c>
      <c r="BY12" s="263">
        <v>298.89999999999998</v>
      </c>
      <c r="BZ12" s="263">
        <v>347.1</v>
      </c>
      <c r="CA12" s="263">
        <v>382.3</v>
      </c>
      <c r="CB12" s="263">
        <v>426.7</v>
      </c>
      <c r="CC12" s="263">
        <v>498.2</v>
      </c>
      <c r="CD12" s="263">
        <v>543.1</v>
      </c>
      <c r="CE12" s="263">
        <v>522.6</v>
      </c>
      <c r="CF12" s="263">
        <v>572.70000000000005</v>
      </c>
      <c r="CG12" s="263">
        <v>639.5</v>
      </c>
      <c r="CH12" s="263">
        <v>672.2</v>
      </c>
      <c r="CI12" s="263">
        <v>713.9</v>
      </c>
      <c r="CJ12" s="263">
        <v>755.7</v>
      </c>
      <c r="CK12" s="263">
        <v>767.7</v>
      </c>
      <c r="CL12" s="263">
        <v>768.5</v>
      </c>
    </row>
    <row r="13" spans="1:90" ht="15">
      <c r="A13" s="263" t="s">
        <v>65</v>
      </c>
      <c r="B13" s="269" t="s">
        <v>194</v>
      </c>
      <c r="C13" s="263">
        <v>1.1000000000000001</v>
      </c>
      <c r="D13" s="263">
        <v>1</v>
      </c>
      <c r="E13" s="263">
        <v>0.8</v>
      </c>
      <c r="F13" s="263">
        <v>0.5</v>
      </c>
      <c r="G13" s="263">
        <v>0.4</v>
      </c>
      <c r="H13" s="263">
        <v>0.4</v>
      </c>
      <c r="I13" s="263">
        <v>0.5</v>
      </c>
      <c r="J13" s="263">
        <v>0.6</v>
      </c>
      <c r="K13" s="263">
        <v>0.7</v>
      </c>
      <c r="L13" s="263">
        <v>0.6</v>
      </c>
      <c r="M13" s="263">
        <v>0.7</v>
      </c>
      <c r="N13" s="263">
        <v>0.6</v>
      </c>
      <c r="O13" s="263">
        <v>0.7</v>
      </c>
      <c r="P13" s="263">
        <v>0.7</v>
      </c>
      <c r="Q13" s="263">
        <v>0.7</v>
      </c>
      <c r="R13" s="263">
        <v>0.8</v>
      </c>
      <c r="S13" s="263">
        <v>0.8</v>
      </c>
      <c r="T13" s="263">
        <v>1.1000000000000001</v>
      </c>
      <c r="U13" s="263">
        <v>1.6</v>
      </c>
      <c r="V13" s="263">
        <v>2</v>
      </c>
      <c r="W13" s="263">
        <v>1.9</v>
      </c>
      <c r="X13" s="263">
        <v>2.2000000000000002</v>
      </c>
      <c r="Y13" s="263">
        <v>2.8</v>
      </c>
      <c r="Z13" s="263">
        <v>2.9</v>
      </c>
      <c r="AA13" s="263">
        <v>2.8</v>
      </c>
      <c r="AB13" s="263">
        <v>3</v>
      </c>
      <c r="AC13" s="263">
        <v>3.5</v>
      </c>
      <c r="AD13" s="263">
        <v>3.9</v>
      </c>
      <c r="AE13" s="263">
        <v>4.3</v>
      </c>
      <c r="AF13" s="263">
        <v>3.9</v>
      </c>
      <c r="AG13" s="263">
        <v>4.3</v>
      </c>
      <c r="AH13" s="263">
        <v>4.9000000000000004</v>
      </c>
      <c r="AI13" s="263">
        <v>5.3</v>
      </c>
      <c r="AJ13" s="263">
        <v>5.9</v>
      </c>
      <c r="AK13" s="263">
        <v>6.5</v>
      </c>
      <c r="AL13" s="263">
        <v>7.2</v>
      </c>
      <c r="AM13" s="263">
        <v>7.9</v>
      </c>
      <c r="AN13" s="263">
        <v>8.1</v>
      </c>
      <c r="AO13" s="263">
        <v>8.6999999999999993</v>
      </c>
      <c r="AP13" s="263">
        <v>10.1</v>
      </c>
      <c r="AQ13" s="263">
        <v>11.8</v>
      </c>
      <c r="AR13" s="263">
        <v>12.8</v>
      </c>
      <c r="AS13" s="263">
        <v>14</v>
      </c>
      <c r="AT13" s="263">
        <v>16.3</v>
      </c>
      <c r="AU13" s="263">
        <v>23.5</v>
      </c>
      <c r="AV13" s="263">
        <v>29.8</v>
      </c>
      <c r="AW13" s="263">
        <v>28</v>
      </c>
      <c r="AX13" s="263">
        <v>32.4</v>
      </c>
      <c r="AY13" s="263">
        <v>37.200000000000003</v>
      </c>
      <c r="AZ13" s="263">
        <v>46.3</v>
      </c>
      <c r="BA13" s="263">
        <v>68.3</v>
      </c>
      <c r="BB13" s="263">
        <v>79.099999999999994</v>
      </c>
      <c r="BC13" s="263">
        <v>92</v>
      </c>
      <c r="BD13" s="263">
        <v>101</v>
      </c>
      <c r="BE13" s="263">
        <v>101.9</v>
      </c>
      <c r="BF13" s="263">
        <v>121.9</v>
      </c>
      <c r="BG13" s="263">
        <v>112.7</v>
      </c>
      <c r="BH13" s="263">
        <v>111.3</v>
      </c>
      <c r="BI13" s="263">
        <v>123.3</v>
      </c>
      <c r="BJ13" s="263">
        <v>152.1</v>
      </c>
      <c r="BK13" s="263">
        <v>177.7</v>
      </c>
      <c r="BL13" s="263">
        <v>188.8</v>
      </c>
      <c r="BM13" s="263">
        <v>168.4</v>
      </c>
      <c r="BN13" s="263">
        <v>152.1</v>
      </c>
      <c r="BO13" s="263">
        <v>155.6</v>
      </c>
      <c r="BP13" s="263">
        <v>184.5</v>
      </c>
      <c r="BQ13" s="263">
        <v>229.8</v>
      </c>
      <c r="BR13" s="263">
        <v>246.4</v>
      </c>
      <c r="BS13" s="263">
        <v>280.10000000000002</v>
      </c>
      <c r="BT13" s="263">
        <v>286.8</v>
      </c>
      <c r="BU13" s="263">
        <v>321.39999999999998</v>
      </c>
      <c r="BV13" s="263">
        <v>382.7</v>
      </c>
      <c r="BW13" s="263">
        <v>325.3</v>
      </c>
      <c r="BX13" s="263">
        <v>315.8</v>
      </c>
      <c r="BY13" s="263">
        <v>356.1</v>
      </c>
      <c r="BZ13" s="263">
        <v>451.4</v>
      </c>
      <c r="CA13" s="263">
        <v>575.79999999999995</v>
      </c>
      <c r="CB13" s="263">
        <v>724.2</v>
      </c>
      <c r="CC13" s="263">
        <v>875.7</v>
      </c>
      <c r="CD13" s="263">
        <v>856.9</v>
      </c>
      <c r="CE13" s="263">
        <v>648.9</v>
      </c>
      <c r="CF13" s="263">
        <v>720</v>
      </c>
      <c r="CG13" s="263">
        <v>792.6</v>
      </c>
      <c r="CH13" s="263">
        <v>801.5</v>
      </c>
      <c r="CI13" s="263">
        <v>825.5</v>
      </c>
      <c r="CJ13" s="263">
        <v>847.2</v>
      </c>
      <c r="CK13" s="263">
        <v>812.9</v>
      </c>
      <c r="CL13" s="263">
        <v>844.3</v>
      </c>
    </row>
    <row r="14" spans="1:90" ht="15">
      <c r="A14" s="263" t="s">
        <v>64</v>
      </c>
      <c r="B14" s="263" t="s">
        <v>934</v>
      </c>
      <c r="C14" s="263" t="s">
        <v>33</v>
      </c>
      <c r="D14" s="263" t="s">
        <v>33</v>
      </c>
      <c r="E14" s="263" t="s">
        <v>33</v>
      </c>
      <c r="F14" s="263" t="s">
        <v>33</v>
      </c>
      <c r="G14" s="263" t="s">
        <v>33</v>
      </c>
      <c r="H14" s="263" t="s">
        <v>33</v>
      </c>
      <c r="I14" s="263" t="s">
        <v>33</v>
      </c>
      <c r="J14" s="263" t="s">
        <v>33</v>
      </c>
      <c r="K14" s="263" t="s">
        <v>33</v>
      </c>
      <c r="L14" s="263" t="s">
        <v>33</v>
      </c>
      <c r="M14" s="263" t="s">
        <v>33</v>
      </c>
      <c r="N14" s="263" t="s">
        <v>33</v>
      </c>
      <c r="O14" s="263" t="s">
        <v>33</v>
      </c>
      <c r="P14" s="263" t="s">
        <v>33</v>
      </c>
      <c r="Q14" s="263" t="s">
        <v>33</v>
      </c>
      <c r="R14" s="263" t="s">
        <v>33</v>
      </c>
      <c r="S14" s="263" t="s">
        <v>33</v>
      </c>
      <c r="T14" s="263" t="s">
        <v>33</v>
      </c>
      <c r="U14" s="263" t="s">
        <v>33</v>
      </c>
      <c r="V14" s="263">
        <v>0.1</v>
      </c>
      <c r="W14" s="263">
        <v>0.1</v>
      </c>
      <c r="X14" s="263">
        <v>0.1</v>
      </c>
      <c r="Y14" s="263">
        <v>0.1</v>
      </c>
      <c r="Z14" s="263">
        <v>0.1</v>
      </c>
      <c r="AA14" s="263">
        <v>0.1</v>
      </c>
      <c r="AB14" s="263">
        <v>0.1</v>
      </c>
      <c r="AC14" s="263">
        <v>0.1</v>
      </c>
      <c r="AD14" s="263">
        <v>0.1</v>
      </c>
      <c r="AE14" s="263">
        <v>0.1</v>
      </c>
      <c r="AF14" s="263">
        <v>0.1</v>
      </c>
      <c r="AG14" s="263">
        <v>0.2</v>
      </c>
      <c r="AH14" s="263">
        <v>0.2</v>
      </c>
      <c r="AI14" s="263">
        <v>0.2</v>
      </c>
      <c r="AJ14" s="263">
        <v>0.2</v>
      </c>
      <c r="AK14" s="263">
        <v>0.2</v>
      </c>
      <c r="AL14" s="263">
        <v>0.2</v>
      </c>
      <c r="AM14" s="263">
        <v>0.2</v>
      </c>
      <c r="AN14" s="263">
        <v>0.2</v>
      </c>
      <c r="AO14" s="263">
        <v>0.2</v>
      </c>
      <c r="AP14" s="263">
        <v>0.2</v>
      </c>
      <c r="AQ14" s="263">
        <v>0.2</v>
      </c>
      <c r="AR14" s="263">
        <v>0.3</v>
      </c>
      <c r="AS14" s="263">
        <v>0.3</v>
      </c>
      <c r="AT14" s="263">
        <v>0.3</v>
      </c>
      <c r="AU14" s="263">
        <v>0.3</v>
      </c>
      <c r="AV14" s="263">
        <v>0.3</v>
      </c>
      <c r="AW14" s="263">
        <v>0.4</v>
      </c>
      <c r="AX14" s="263">
        <v>0.4</v>
      </c>
      <c r="AY14" s="263">
        <v>0.4</v>
      </c>
      <c r="AZ14" s="263">
        <v>0.4</v>
      </c>
      <c r="BA14" s="263">
        <v>0.4</v>
      </c>
      <c r="BB14" s="263">
        <v>0.5</v>
      </c>
      <c r="BC14" s="263">
        <v>0.5</v>
      </c>
      <c r="BD14" s="263">
        <v>0.5</v>
      </c>
      <c r="BE14" s="263">
        <v>0.6</v>
      </c>
      <c r="BF14" s="263">
        <v>0.6</v>
      </c>
      <c r="BG14" s="263">
        <v>0.6</v>
      </c>
      <c r="BH14" s="263">
        <v>0.9</v>
      </c>
      <c r="BI14" s="263">
        <v>1</v>
      </c>
      <c r="BJ14" s="263">
        <v>1</v>
      </c>
      <c r="BK14" s="263">
        <v>1</v>
      </c>
      <c r="BL14" s="263">
        <v>1.2</v>
      </c>
      <c r="BM14" s="263">
        <v>1.3</v>
      </c>
      <c r="BN14" s="263">
        <v>1.8</v>
      </c>
      <c r="BO14" s="263">
        <v>1.8</v>
      </c>
      <c r="BP14" s="263">
        <v>1.9</v>
      </c>
      <c r="BQ14" s="263">
        <v>2.2000000000000002</v>
      </c>
      <c r="BR14" s="263">
        <v>2.2000000000000002</v>
      </c>
      <c r="BS14" s="263">
        <v>2.2999999999999998</v>
      </c>
      <c r="BT14" s="263">
        <v>2.4</v>
      </c>
      <c r="BU14" s="263">
        <v>4.2</v>
      </c>
      <c r="BV14" s="263">
        <v>4.4000000000000004</v>
      </c>
      <c r="BW14" s="263">
        <v>4.5</v>
      </c>
      <c r="BX14" s="263">
        <v>4.5999999999999996</v>
      </c>
      <c r="BY14" s="263">
        <v>4.7</v>
      </c>
      <c r="BZ14" s="263">
        <v>4.7</v>
      </c>
      <c r="CA14" s="263">
        <v>4.8</v>
      </c>
      <c r="CB14" s="263">
        <v>5.0999999999999996</v>
      </c>
      <c r="CC14" s="263">
        <v>5.2</v>
      </c>
      <c r="CD14" s="263">
        <v>5.4</v>
      </c>
      <c r="CE14" s="263">
        <v>5.7</v>
      </c>
      <c r="CF14" s="263">
        <v>5.9</v>
      </c>
      <c r="CG14" s="263">
        <v>6.1</v>
      </c>
      <c r="CH14" s="263">
        <v>6.3</v>
      </c>
      <c r="CI14" s="263">
        <v>6.6</v>
      </c>
      <c r="CJ14" s="263">
        <v>6.5</v>
      </c>
      <c r="CK14" s="263">
        <v>6.6</v>
      </c>
      <c r="CL14" s="263">
        <v>6.5</v>
      </c>
    </row>
    <row r="15" spans="1:90" ht="15">
      <c r="A15" s="263" t="s">
        <v>63</v>
      </c>
      <c r="B15" s="263" t="s">
        <v>935</v>
      </c>
      <c r="C15" s="263" t="s">
        <v>33</v>
      </c>
      <c r="D15" s="263" t="s">
        <v>33</v>
      </c>
      <c r="E15" s="263" t="s">
        <v>33</v>
      </c>
      <c r="F15" s="263" t="s">
        <v>33</v>
      </c>
      <c r="G15" s="263" t="s">
        <v>33</v>
      </c>
      <c r="H15" s="263" t="s">
        <v>33</v>
      </c>
      <c r="I15" s="263" t="s">
        <v>33</v>
      </c>
      <c r="J15" s="263" t="s">
        <v>33</v>
      </c>
      <c r="K15" s="263" t="s">
        <v>33</v>
      </c>
      <c r="L15" s="263" t="s">
        <v>33</v>
      </c>
      <c r="M15" s="263" t="s">
        <v>33</v>
      </c>
      <c r="N15" s="263" t="s">
        <v>33</v>
      </c>
      <c r="O15" s="263" t="s">
        <v>33</v>
      </c>
      <c r="P15" s="263" t="s">
        <v>33</v>
      </c>
      <c r="Q15" s="263" t="s">
        <v>33</v>
      </c>
      <c r="R15" s="263" t="s">
        <v>33</v>
      </c>
      <c r="S15" s="263" t="s">
        <v>33</v>
      </c>
      <c r="T15" s="263" t="s">
        <v>33</v>
      </c>
      <c r="U15" s="263" t="s">
        <v>33</v>
      </c>
      <c r="V15" s="263">
        <v>1.9</v>
      </c>
      <c r="W15" s="263">
        <v>1.8</v>
      </c>
      <c r="X15" s="263">
        <v>2.1</v>
      </c>
      <c r="Y15" s="263">
        <v>2.6</v>
      </c>
      <c r="Z15" s="263">
        <v>2.7</v>
      </c>
      <c r="AA15" s="263">
        <v>2.7</v>
      </c>
      <c r="AB15" s="263">
        <v>2.9</v>
      </c>
      <c r="AC15" s="263">
        <v>3.4</v>
      </c>
      <c r="AD15" s="263">
        <v>3.8</v>
      </c>
      <c r="AE15" s="263">
        <v>4.0999999999999996</v>
      </c>
      <c r="AF15" s="263">
        <v>3.7</v>
      </c>
      <c r="AG15" s="263">
        <v>4.0999999999999996</v>
      </c>
      <c r="AH15" s="263">
        <v>4.7</v>
      </c>
      <c r="AI15" s="263">
        <v>5.0999999999999996</v>
      </c>
      <c r="AJ15" s="263">
        <v>5.8</v>
      </c>
      <c r="AK15" s="263">
        <v>6.4</v>
      </c>
      <c r="AL15" s="263">
        <v>7.1</v>
      </c>
      <c r="AM15" s="263">
        <v>7.7</v>
      </c>
      <c r="AN15" s="263">
        <v>7.9</v>
      </c>
      <c r="AO15" s="263">
        <v>8.5</v>
      </c>
      <c r="AP15" s="263">
        <v>9.9</v>
      </c>
      <c r="AQ15" s="263">
        <v>11.5</v>
      </c>
      <c r="AR15" s="263">
        <v>12.6</v>
      </c>
      <c r="AS15" s="263">
        <v>13.7</v>
      </c>
      <c r="AT15" s="263">
        <v>16</v>
      </c>
      <c r="AU15" s="263">
        <v>23.2</v>
      </c>
      <c r="AV15" s="263">
        <v>29.5</v>
      </c>
      <c r="AW15" s="263">
        <v>27.7</v>
      </c>
      <c r="AX15" s="263">
        <v>32</v>
      </c>
      <c r="AY15" s="263">
        <v>36.799999999999997</v>
      </c>
      <c r="AZ15" s="263">
        <v>45.8</v>
      </c>
      <c r="BA15" s="263">
        <v>67.900000000000006</v>
      </c>
      <c r="BB15" s="263">
        <v>78.599999999999994</v>
      </c>
      <c r="BC15" s="263">
        <v>91.5</v>
      </c>
      <c r="BD15" s="263">
        <v>100.5</v>
      </c>
      <c r="BE15" s="263">
        <v>101.3</v>
      </c>
      <c r="BF15" s="263">
        <v>121.2</v>
      </c>
      <c r="BG15" s="263">
        <v>112</v>
      </c>
      <c r="BH15" s="263">
        <v>110.4</v>
      </c>
      <c r="BI15" s="263">
        <v>122.3</v>
      </c>
      <c r="BJ15" s="263">
        <v>151.1</v>
      </c>
      <c r="BK15" s="263">
        <v>176.7</v>
      </c>
      <c r="BL15" s="263">
        <v>187.7</v>
      </c>
      <c r="BM15" s="263">
        <v>167.1</v>
      </c>
      <c r="BN15" s="263">
        <v>150.30000000000001</v>
      </c>
      <c r="BO15" s="263">
        <v>153.80000000000001</v>
      </c>
      <c r="BP15" s="263">
        <v>182.6</v>
      </c>
      <c r="BQ15" s="263">
        <v>227.7</v>
      </c>
      <c r="BR15" s="263">
        <v>244.2</v>
      </c>
      <c r="BS15" s="263">
        <v>277.8</v>
      </c>
      <c r="BT15" s="263">
        <v>284.3</v>
      </c>
      <c r="BU15" s="263">
        <v>317.2</v>
      </c>
      <c r="BV15" s="263">
        <v>378.3</v>
      </c>
      <c r="BW15" s="263">
        <v>320.8</v>
      </c>
      <c r="BX15" s="263">
        <v>311.2</v>
      </c>
      <c r="BY15" s="263">
        <v>351.4</v>
      </c>
      <c r="BZ15" s="263">
        <v>446.7</v>
      </c>
      <c r="CA15" s="263">
        <v>571</v>
      </c>
      <c r="CB15" s="263">
        <v>719.2</v>
      </c>
      <c r="CC15" s="263">
        <v>870.4</v>
      </c>
      <c r="CD15" s="263">
        <v>851.6</v>
      </c>
      <c r="CE15" s="263">
        <v>643.20000000000005</v>
      </c>
      <c r="CF15" s="263">
        <v>714.1</v>
      </c>
      <c r="CG15" s="263">
        <v>786.5</v>
      </c>
      <c r="CH15" s="263">
        <v>795.2</v>
      </c>
      <c r="CI15" s="263">
        <v>818.9</v>
      </c>
      <c r="CJ15" s="263">
        <v>840.7</v>
      </c>
      <c r="CK15" s="263">
        <v>806.3</v>
      </c>
      <c r="CL15" s="263">
        <v>837.7</v>
      </c>
    </row>
    <row r="16" spans="1:90" ht="15">
      <c r="A16" s="263" t="s">
        <v>61</v>
      </c>
      <c r="B16" s="263" t="s">
        <v>936</v>
      </c>
      <c r="C16" s="263" t="s">
        <v>33</v>
      </c>
      <c r="D16" s="263" t="s">
        <v>33</v>
      </c>
      <c r="E16" s="263" t="s">
        <v>33</v>
      </c>
      <c r="F16" s="263" t="s">
        <v>33</v>
      </c>
      <c r="G16" s="263" t="s">
        <v>33</v>
      </c>
      <c r="H16" s="263" t="s">
        <v>33</v>
      </c>
      <c r="I16" s="263" t="s">
        <v>33</v>
      </c>
      <c r="J16" s="263" t="s">
        <v>33</v>
      </c>
      <c r="K16" s="263" t="s">
        <v>33</v>
      </c>
      <c r="L16" s="263" t="s">
        <v>33</v>
      </c>
      <c r="M16" s="263" t="s">
        <v>33</v>
      </c>
      <c r="N16" s="263" t="s">
        <v>33</v>
      </c>
      <c r="O16" s="263" t="s">
        <v>33</v>
      </c>
      <c r="P16" s="263" t="s">
        <v>33</v>
      </c>
      <c r="Q16" s="263" t="s">
        <v>33</v>
      </c>
      <c r="R16" s="263" t="s">
        <v>33</v>
      </c>
      <c r="S16" s="263" t="s">
        <v>33</v>
      </c>
      <c r="T16" s="263" t="s">
        <v>33</v>
      </c>
      <c r="U16" s="263" t="s">
        <v>33</v>
      </c>
      <c r="V16" s="263">
        <v>0.3</v>
      </c>
      <c r="W16" s="263">
        <v>0.3</v>
      </c>
      <c r="X16" s="263">
        <v>0.3</v>
      </c>
      <c r="Y16" s="263">
        <v>0.4</v>
      </c>
      <c r="Z16" s="263">
        <v>0.4</v>
      </c>
      <c r="AA16" s="263">
        <v>0.4</v>
      </c>
      <c r="AB16" s="263">
        <v>0.5</v>
      </c>
      <c r="AC16" s="263">
        <v>0.5</v>
      </c>
      <c r="AD16" s="263">
        <v>0.4</v>
      </c>
      <c r="AE16" s="263">
        <v>0.5</v>
      </c>
      <c r="AF16" s="263">
        <v>0.6</v>
      </c>
      <c r="AG16" s="263">
        <v>0.7</v>
      </c>
      <c r="AH16" s="263">
        <v>0.9</v>
      </c>
      <c r="AI16" s="263">
        <v>1.1000000000000001</v>
      </c>
      <c r="AJ16" s="263">
        <v>1.3</v>
      </c>
      <c r="AK16" s="263">
        <v>1.5</v>
      </c>
      <c r="AL16" s="263">
        <v>1.7</v>
      </c>
      <c r="AM16" s="263">
        <v>1.9</v>
      </c>
      <c r="AN16" s="263">
        <v>2.2000000000000002</v>
      </c>
      <c r="AO16" s="263">
        <v>2.5</v>
      </c>
      <c r="AP16" s="263">
        <v>2.9</v>
      </c>
      <c r="AQ16" s="263">
        <v>3.5</v>
      </c>
      <c r="AR16" s="263">
        <v>3.9</v>
      </c>
      <c r="AS16" s="263">
        <v>4</v>
      </c>
      <c r="AT16" s="263">
        <v>4.2</v>
      </c>
      <c r="AU16" s="263">
        <v>5.7</v>
      </c>
      <c r="AV16" s="263">
        <v>9.1</v>
      </c>
      <c r="AW16" s="263">
        <v>9.8000000000000007</v>
      </c>
      <c r="AX16" s="263">
        <v>11</v>
      </c>
      <c r="AY16" s="263">
        <v>13</v>
      </c>
      <c r="AZ16" s="263">
        <v>16.8</v>
      </c>
      <c r="BA16" s="263">
        <v>25.3</v>
      </c>
      <c r="BB16" s="263">
        <v>34.799999999999997</v>
      </c>
      <c r="BC16" s="263">
        <v>53.4</v>
      </c>
      <c r="BD16" s="263">
        <v>63.8</v>
      </c>
      <c r="BE16" s="263">
        <v>60.2</v>
      </c>
      <c r="BF16" s="263">
        <v>75.099999999999994</v>
      </c>
      <c r="BG16" s="263">
        <v>65.2</v>
      </c>
      <c r="BH16" s="263">
        <v>61.7</v>
      </c>
      <c r="BI16" s="263">
        <v>63.4</v>
      </c>
      <c r="BJ16" s="263">
        <v>79.5</v>
      </c>
      <c r="BK16" s="263">
        <v>101.2</v>
      </c>
      <c r="BL16" s="263">
        <v>106.8</v>
      </c>
      <c r="BM16" s="263">
        <v>91.6</v>
      </c>
      <c r="BN16" s="263">
        <v>71.900000000000006</v>
      </c>
      <c r="BO16" s="263">
        <v>64.8</v>
      </c>
      <c r="BP16" s="263">
        <v>78.099999999999994</v>
      </c>
      <c r="BQ16" s="263">
        <v>100.3</v>
      </c>
      <c r="BR16" s="263">
        <v>104.9</v>
      </c>
      <c r="BS16" s="263">
        <v>122.3</v>
      </c>
      <c r="BT16" s="263">
        <v>137.6</v>
      </c>
      <c r="BU16" s="263">
        <v>139.9</v>
      </c>
      <c r="BV16" s="263">
        <v>175.3</v>
      </c>
      <c r="BW16" s="263">
        <v>137.5</v>
      </c>
      <c r="BX16" s="263">
        <v>106</v>
      </c>
      <c r="BY16" s="263">
        <v>101.4</v>
      </c>
      <c r="BZ16" s="263">
        <v>118.5</v>
      </c>
      <c r="CA16" s="263">
        <v>187.3</v>
      </c>
      <c r="CB16" s="263">
        <v>285.39999999999998</v>
      </c>
      <c r="CC16" s="263">
        <v>360</v>
      </c>
      <c r="CD16" s="263">
        <v>269.60000000000002</v>
      </c>
      <c r="CE16" s="263">
        <v>145.1</v>
      </c>
      <c r="CF16" s="263">
        <v>129.5</v>
      </c>
      <c r="CG16" s="263">
        <v>142.19999999999999</v>
      </c>
      <c r="CH16" s="263">
        <v>144.9</v>
      </c>
      <c r="CI16" s="263">
        <v>150.9</v>
      </c>
      <c r="CJ16" s="263">
        <v>154.30000000000001</v>
      </c>
      <c r="CK16" s="263">
        <v>153.30000000000001</v>
      </c>
      <c r="CL16" s="263">
        <v>166.3</v>
      </c>
    </row>
    <row r="17" spans="1:90" ht="15">
      <c r="A17" s="263" t="s">
        <v>60</v>
      </c>
      <c r="B17" s="263" t="s">
        <v>937</v>
      </c>
      <c r="C17" s="263" t="s">
        <v>33</v>
      </c>
      <c r="D17" s="263" t="s">
        <v>33</v>
      </c>
      <c r="E17" s="263" t="s">
        <v>33</v>
      </c>
      <c r="F17" s="263" t="s">
        <v>33</v>
      </c>
      <c r="G17" s="263" t="s">
        <v>33</v>
      </c>
      <c r="H17" s="263" t="s">
        <v>33</v>
      </c>
      <c r="I17" s="263" t="s">
        <v>33</v>
      </c>
      <c r="J17" s="263" t="s">
        <v>33</v>
      </c>
      <c r="K17" s="263" t="s">
        <v>33</v>
      </c>
      <c r="L17" s="263" t="s">
        <v>33</v>
      </c>
      <c r="M17" s="263" t="s">
        <v>33</v>
      </c>
      <c r="N17" s="263" t="s">
        <v>33</v>
      </c>
      <c r="O17" s="263" t="s">
        <v>33</v>
      </c>
      <c r="P17" s="263" t="s">
        <v>33</v>
      </c>
      <c r="Q17" s="263" t="s">
        <v>33</v>
      </c>
      <c r="R17" s="263" t="s">
        <v>33</v>
      </c>
      <c r="S17" s="263" t="s">
        <v>33</v>
      </c>
      <c r="T17" s="263" t="s">
        <v>33</v>
      </c>
      <c r="U17" s="263" t="s">
        <v>33</v>
      </c>
      <c r="V17" s="263">
        <v>1.1000000000000001</v>
      </c>
      <c r="W17" s="263">
        <v>1.1000000000000001</v>
      </c>
      <c r="X17" s="263">
        <v>1.3</v>
      </c>
      <c r="Y17" s="263">
        <v>1.5</v>
      </c>
      <c r="Z17" s="263">
        <v>1.4</v>
      </c>
      <c r="AA17" s="263">
        <v>1.5</v>
      </c>
      <c r="AB17" s="263">
        <v>1.7</v>
      </c>
      <c r="AC17" s="263">
        <v>1.9</v>
      </c>
      <c r="AD17" s="263">
        <v>2.2000000000000002</v>
      </c>
      <c r="AE17" s="263">
        <v>2.2999999999999998</v>
      </c>
      <c r="AF17" s="263">
        <v>2.1</v>
      </c>
      <c r="AG17" s="263">
        <v>2.2999999999999998</v>
      </c>
      <c r="AH17" s="263">
        <v>2.4</v>
      </c>
      <c r="AI17" s="263">
        <v>2.9</v>
      </c>
      <c r="AJ17" s="263">
        <v>3.2</v>
      </c>
      <c r="AK17" s="263">
        <v>3.2</v>
      </c>
      <c r="AL17" s="263">
        <v>3.8</v>
      </c>
      <c r="AM17" s="263">
        <v>4</v>
      </c>
      <c r="AN17" s="263">
        <v>3.6</v>
      </c>
      <c r="AO17" s="263">
        <v>3.9</v>
      </c>
      <c r="AP17" s="263">
        <v>4.2</v>
      </c>
      <c r="AQ17" s="263">
        <v>4.8</v>
      </c>
      <c r="AR17" s="263">
        <v>5</v>
      </c>
      <c r="AS17" s="263">
        <v>6.1</v>
      </c>
      <c r="AT17" s="263">
        <v>6.5</v>
      </c>
      <c r="AU17" s="263">
        <v>8.6</v>
      </c>
      <c r="AV17" s="263">
        <v>11.6</v>
      </c>
      <c r="AW17" s="263">
        <v>8.6</v>
      </c>
      <c r="AX17" s="263">
        <v>11.7</v>
      </c>
      <c r="AY17" s="263">
        <v>14.1</v>
      </c>
      <c r="AZ17" s="263">
        <v>14.7</v>
      </c>
      <c r="BA17" s="263">
        <v>19.899999999999999</v>
      </c>
      <c r="BB17" s="263">
        <v>21.5</v>
      </c>
      <c r="BC17" s="263">
        <v>20.7</v>
      </c>
      <c r="BD17" s="263">
        <v>23.9</v>
      </c>
      <c r="BE17" s="263">
        <v>19.5</v>
      </c>
      <c r="BF17" s="263">
        <v>19.7</v>
      </c>
      <c r="BG17" s="263">
        <v>21</v>
      </c>
      <c r="BH17" s="263">
        <v>27.9</v>
      </c>
      <c r="BI17" s="263">
        <v>27.9</v>
      </c>
      <c r="BJ17" s="263">
        <v>45.1</v>
      </c>
      <c r="BK17" s="263">
        <v>47.9</v>
      </c>
      <c r="BL17" s="263">
        <v>43.7</v>
      </c>
      <c r="BM17" s="263">
        <v>41.4</v>
      </c>
      <c r="BN17" s="263">
        <v>44.7</v>
      </c>
      <c r="BO17" s="263">
        <v>39.5</v>
      </c>
      <c r="BP17" s="263">
        <v>59.7</v>
      </c>
      <c r="BQ17" s="263">
        <v>58.6</v>
      </c>
      <c r="BR17" s="263">
        <v>69.099999999999994</v>
      </c>
      <c r="BS17" s="263">
        <v>80</v>
      </c>
      <c r="BT17" s="263">
        <v>83.2</v>
      </c>
      <c r="BU17" s="263">
        <v>92.5</v>
      </c>
      <c r="BV17" s="263">
        <v>86.2</v>
      </c>
      <c r="BW17" s="263">
        <v>87.2</v>
      </c>
      <c r="BX17" s="263">
        <v>92.7</v>
      </c>
      <c r="BY17" s="263">
        <v>101</v>
      </c>
      <c r="BZ17" s="263">
        <v>135.6</v>
      </c>
      <c r="CA17" s="263">
        <v>363.3</v>
      </c>
      <c r="CB17" s="263">
        <v>186</v>
      </c>
      <c r="CC17" s="263">
        <v>249</v>
      </c>
      <c r="CD17" s="263">
        <v>316.39999999999998</v>
      </c>
      <c r="CE17" s="263">
        <v>237.2</v>
      </c>
      <c r="CF17" s="263">
        <v>248</v>
      </c>
      <c r="CG17" s="263">
        <v>298.60000000000002</v>
      </c>
      <c r="CH17" s="263">
        <v>331.6</v>
      </c>
      <c r="CI17" s="263">
        <v>318</v>
      </c>
      <c r="CJ17" s="263">
        <v>341.7</v>
      </c>
      <c r="CK17" s="263">
        <v>328.6</v>
      </c>
      <c r="CL17" s="263">
        <v>338.5</v>
      </c>
    </row>
    <row r="18" spans="1:90" ht="15">
      <c r="A18" s="263" t="s">
        <v>59</v>
      </c>
      <c r="B18" s="263" t="s">
        <v>938</v>
      </c>
      <c r="C18" s="263" t="s">
        <v>33</v>
      </c>
      <c r="D18" s="263" t="s">
        <v>33</v>
      </c>
      <c r="E18" s="263" t="s">
        <v>33</v>
      </c>
      <c r="F18" s="263" t="s">
        <v>33</v>
      </c>
      <c r="G18" s="263" t="s">
        <v>33</v>
      </c>
      <c r="H18" s="263" t="s">
        <v>33</v>
      </c>
      <c r="I18" s="263" t="s">
        <v>33</v>
      </c>
      <c r="J18" s="263" t="s">
        <v>33</v>
      </c>
      <c r="K18" s="263" t="s">
        <v>33</v>
      </c>
      <c r="L18" s="263" t="s">
        <v>33</v>
      </c>
      <c r="M18" s="263" t="s">
        <v>33</v>
      </c>
      <c r="N18" s="263" t="s">
        <v>33</v>
      </c>
      <c r="O18" s="263" t="s">
        <v>33</v>
      </c>
      <c r="P18" s="263" t="s">
        <v>33</v>
      </c>
      <c r="Q18" s="263" t="s">
        <v>33</v>
      </c>
      <c r="R18" s="263" t="s">
        <v>33</v>
      </c>
      <c r="S18" s="263" t="s">
        <v>33</v>
      </c>
      <c r="T18" s="263" t="s">
        <v>33</v>
      </c>
      <c r="U18" s="263" t="s">
        <v>33</v>
      </c>
      <c r="V18" s="263">
        <v>0.6</v>
      </c>
      <c r="W18" s="263">
        <v>0.4</v>
      </c>
      <c r="X18" s="263">
        <v>0.5</v>
      </c>
      <c r="Y18" s="263">
        <v>0.8</v>
      </c>
      <c r="Z18" s="263">
        <v>0.9</v>
      </c>
      <c r="AA18" s="263">
        <v>0.8</v>
      </c>
      <c r="AB18" s="263">
        <v>0.7</v>
      </c>
      <c r="AC18" s="263">
        <v>1</v>
      </c>
      <c r="AD18" s="263">
        <v>1.2</v>
      </c>
      <c r="AE18" s="263">
        <v>1.4</v>
      </c>
      <c r="AF18" s="263">
        <v>0.9</v>
      </c>
      <c r="AG18" s="263">
        <v>1.1000000000000001</v>
      </c>
      <c r="AH18" s="263">
        <v>1.4</v>
      </c>
      <c r="AI18" s="263">
        <v>1.2</v>
      </c>
      <c r="AJ18" s="263">
        <v>1.3</v>
      </c>
      <c r="AK18" s="263">
        <v>1.6</v>
      </c>
      <c r="AL18" s="263">
        <v>1.6</v>
      </c>
      <c r="AM18" s="263">
        <v>1.7</v>
      </c>
      <c r="AN18" s="263">
        <v>2</v>
      </c>
      <c r="AO18" s="263">
        <v>2</v>
      </c>
      <c r="AP18" s="263">
        <v>2.8</v>
      </c>
      <c r="AQ18" s="263">
        <v>3.2</v>
      </c>
      <c r="AR18" s="263">
        <v>3.6</v>
      </c>
      <c r="AS18" s="263">
        <v>3.7</v>
      </c>
      <c r="AT18" s="263">
        <v>5.2</v>
      </c>
      <c r="AU18" s="263">
        <v>9</v>
      </c>
      <c r="AV18" s="263">
        <v>8.8000000000000007</v>
      </c>
      <c r="AW18" s="263">
        <v>9.3000000000000007</v>
      </c>
      <c r="AX18" s="263">
        <v>9.3000000000000007</v>
      </c>
      <c r="AY18" s="263">
        <v>9.6</v>
      </c>
      <c r="AZ18" s="263">
        <v>14.3</v>
      </c>
      <c r="BA18" s="263">
        <v>22.7</v>
      </c>
      <c r="BB18" s="263">
        <v>22.4</v>
      </c>
      <c r="BC18" s="263">
        <v>17.3</v>
      </c>
      <c r="BD18" s="263">
        <v>12.8</v>
      </c>
      <c r="BE18" s="263">
        <v>21.6</v>
      </c>
      <c r="BF18" s="263">
        <v>26.5</v>
      </c>
      <c r="BG18" s="263">
        <v>25.8</v>
      </c>
      <c r="BH18" s="263">
        <v>20.8</v>
      </c>
      <c r="BI18" s="263">
        <v>31</v>
      </c>
      <c r="BJ18" s="263">
        <v>26.5</v>
      </c>
      <c r="BK18" s="263">
        <v>27.6</v>
      </c>
      <c r="BL18" s="263">
        <v>37.299999999999997</v>
      </c>
      <c r="BM18" s="263">
        <v>34</v>
      </c>
      <c r="BN18" s="263">
        <v>33.6</v>
      </c>
      <c r="BO18" s="263">
        <v>49.5</v>
      </c>
      <c r="BP18" s="263">
        <v>44.9</v>
      </c>
      <c r="BQ18" s="263">
        <v>68.8</v>
      </c>
      <c r="BR18" s="263">
        <v>70.3</v>
      </c>
      <c r="BS18" s="263">
        <v>75.5</v>
      </c>
      <c r="BT18" s="263">
        <v>63.5</v>
      </c>
      <c r="BU18" s="263">
        <v>84.8</v>
      </c>
      <c r="BV18" s="263">
        <v>116.9</v>
      </c>
      <c r="BW18" s="263">
        <v>96.1</v>
      </c>
      <c r="BX18" s="263">
        <v>112.6</v>
      </c>
      <c r="BY18" s="263">
        <v>149</v>
      </c>
      <c r="BZ18" s="263">
        <v>192.5</v>
      </c>
      <c r="CA18" s="263">
        <v>20.399999999999999</v>
      </c>
      <c r="CB18" s="263">
        <v>247.8</v>
      </c>
      <c r="CC18" s="263">
        <v>261.39999999999998</v>
      </c>
      <c r="CD18" s="263">
        <v>265.60000000000002</v>
      </c>
      <c r="CE18" s="263">
        <v>260.89999999999998</v>
      </c>
      <c r="CF18" s="263">
        <v>336.6</v>
      </c>
      <c r="CG18" s="263">
        <v>345.7</v>
      </c>
      <c r="CH18" s="263">
        <v>318.7</v>
      </c>
      <c r="CI18" s="263">
        <v>350.1</v>
      </c>
      <c r="CJ18" s="263">
        <v>344.6</v>
      </c>
      <c r="CK18" s="263">
        <v>324.5</v>
      </c>
      <c r="CL18" s="263">
        <v>332.9</v>
      </c>
    </row>
    <row r="19" spans="1:90" s="260" customFormat="1" ht="15">
      <c r="A19" s="263" t="s">
        <v>57</v>
      </c>
      <c r="B19" s="269" t="s">
        <v>939</v>
      </c>
      <c r="C19" s="263" t="s">
        <v>33</v>
      </c>
      <c r="D19" s="263" t="s">
        <v>33</v>
      </c>
      <c r="E19" s="263" t="s">
        <v>33</v>
      </c>
      <c r="F19" s="263" t="s">
        <v>33</v>
      </c>
      <c r="G19" s="263" t="s">
        <v>33</v>
      </c>
      <c r="H19" s="263" t="s">
        <v>33</v>
      </c>
      <c r="I19" s="263" t="s">
        <v>33</v>
      </c>
      <c r="J19" s="263" t="s">
        <v>33</v>
      </c>
      <c r="K19" s="263" t="s">
        <v>33</v>
      </c>
      <c r="L19" s="263" t="s">
        <v>33</v>
      </c>
      <c r="M19" s="263" t="s">
        <v>33</v>
      </c>
      <c r="N19" s="263" t="s">
        <v>33</v>
      </c>
      <c r="O19" s="263" t="s">
        <v>33</v>
      </c>
      <c r="P19" s="263" t="s">
        <v>33</v>
      </c>
      <c r="Q19" s="263" t="s">
        <v>33</v>
      </c>
      <c r="R19" s="263" t="s">
        <v>33</v>
      </c>
      <c r="S19" s="263" t="s">
        <v>33</v>
      </c>
      <c r="T19" s="263" t="s">
        <v>33</v>
      </c>
      <c r="U19" s="263" t="s">
        <v>33</v>
      </c>
      <c r="V19" s="263" t="s">
        <v>33</v>
      </c>
      <c r="W19" s="263" t="s">
        <v>33</v>
      </c>
      <c r="X19" s="263" t="s">
        <v>33</v>
      </c>
      <c r="Y19" s="263" t="s">
        <v>33</v>
      </c>
      <c r="Z19" s="263" t="s">
        <v>33</v>
      </c>
      <c r="AA19" s="263" t="s">
        <v>33</v>
      </c>
      <c r="AB19" s="263" t="s">
        <v>33</v>
      </c>
      <c r="AC19" s="263" t="s">
        <v>33</v>
      </c>
      <c r="AD19" s="263" t="s">
        <v>33</v>
      </c>
      <c r="AE19" s="263" t="s">
        <v>33</v>
      </c>
      <c r="AF19" s="263" t="s">
        <v>33</v>
      </c>
      <c r="AG19" s="263" t="s">
        <v>33</v>
      </c>
      <c r="AH19" s="263" t="s">
        <v>33</v>
      </c>
      <c r="AI19" s="263" t="s">
        <v>33</v>
      </c>
      <c r="AJ19" s="263" t="s">
        <v>33</v>
      </c>
      <c r="AK19" s="263" t="s">
        <v>33</v>
      </c>
      <c r="AL19" s="263" t="s">
        <v>33</v>
      </c>
      <c r="AM19" s="263" t="s">
        <v>33</v>
      </c>
      <c r="AN19" s="263" t="s">
        <v>33</v>
      </c>
      <c r="AO19" s="263" t="s">
        <v>33</v>
      </c>
      <c r="AP19" s="263" t="s">
        <v>33</v>
      </c>
      <c r="AQ19" s="263" t="s">
        <v>33</v>
      </c>
      <c r="AR19" s="263" t="s">
        <v>33</v>
      </c>
      <c r="AS19" s="263" t="s">
        <v>33</v>
      </c>
      <c r="AT19" s="263" t="s">
        <v>33</v>
      </c>
      <c r="AU19" s="263" t="s">
        <v>33</v>
      </c>
      <c r="AV19" s="263" t="s">
        <v>33</v>
      </c>
      <c r="AW19" s="263" t="s">
        <v>33</v>
      </c>
      <c r="AX19" s="263" t="s">
        <v>33</v>
      </c>
      <c r="AY19" s="263" t="s">
        <v>33</v>
      </c>
      <c r="AZ19" s="263" t="s">
        <v>33</v>
      </c>
      <c r="BA19" s="263" t="s">
        <v>33</v>
      </c>
      <c r="BB19" s="263" t="s">
        <v>33</v>
      </c>
      <c r="BC19" s="263" t="s">
        <v>33</v>
      </c>
      <c r="BD19" s="263" t="s">
        <v>33</v>
      </c>
      <c r="BE19" s="263" t="s">
        <v>33</v>
      </c>
      <c r="BF19" s="263" t="s">
        <v>33</v>
      </c>
      <c r="BG19" s="263" t="s">
        <v>33</v>
      </c>
      <c r="BH19" s="263" t="s">
        <v>33</v>
      </c>
      <c r="BI19" s="263" t="s">
        <v>33</v>
      </c>
      <c r="BJ19" s="263" t="s">
        <v>33</v>
      </c>
      <c r="BK19" s="263" t="s">
        <v>33</v>
      </c>
      <c r="BL19" s="263" t="s">
        <v>33</v>
      </c>
      <c r="BM19" s="263" t="s">
        <v>33</v>
      </c>
      <c r="BN19" s="263" t="s">
        <v>33</v>
      </c>
      <c r="BO19" s="263" t="s">
        <v>33</v>
      </c>
      <c r="BP19" s="263" t="s">
        <v>33</v>
      </c>
      <c r="BQ19" s="263" t="s">
        <v>33</v>
      </c>
      <c r="BR19" s="263" t="s">
        <v>33</v>
      </c>
      <c r="BS19" s="263" t="s">
        <v>33</v>
      </c>
      <c r="BT19" s="263" t="s">
        <v>33</v>
      </c>
      <c r="BU19" s="263">
        <v>36.6</v>
      </c>
      <c r="BV19" s="263">
        <v>40.799999999999997</v>
      </c>
      <c r="BW19" s="263">
        <v>44.8</v>
      </c>
      <c r="BX19" s="263">
        <v>56.3</v>
      </c>
      <c r="BY19" s="263">
        <v>65.8</v>
      </c>
      <c r="BZ19" s="263">
        <v>64.3</v>
      </c>
      <c r="CA19" s="263">
        <v>69.599999999999994</v>
      </c>
      <c r="CB19" s="263">
        <v>75.7</v>
      </c>
      <c r="CC19" s="263">
        <v>76</v>
      </c>
      <c r="CD19" s="263">
        <v>91.5</v>
      </c>
      <c r="CE19" s="263">
        <v>93.4</v>
      </c>
      <c r="CF19" s="263">
        <v>97.2</v>
      </c>
      <c r="CG19" s="263">
        <v>105.2</v>
      </c>
      <c r="CH19" s="263">
        <v>114.2</v>
      </c>
      <c r="CI19" s="263">
        <v>131.80000000000001</v>
      </c>
      <c r="CJ19" s="263">
        <v>145.30000000000001</v>
      </c>
      <c r="CK19" s="263">
        <v>131.30000000000001</v>
      </c>
      <c r="CL19" s="263">
        <v>140.30000000000001</v>
      </c>
    </row>
    <row r="20" spans="1:90" s="260" customFormat="1" ht="15">
      <c r="A20" s="263" t="s">
        <v>55</v>
      </c>
      <c r="B20" s="263" t="s">
        <v>940</v>
      </c>
      <c r="C20" s="263" t="s">
        <v>33</v>
      </c>
      <c r="D20" s="263" t="s">
        <v>33</v>
      </c>
      <c r="E20" s="263" t="s">
        <v>33</v>
      </c>
      <c r="F20" s="263" t="s">
        <v>33</v>
      </c>
      <c r="G20" s="263" t="s">
        <v>33</v>
      </c>
      <c r="H20" s="263" t="s">
        <v>33</v>
      </c>
      <c r="I20" s="263" t="s">
        <v>33</v>
      </c>
      <c r="J20" s="263" t="s">
        <v>33</v>
      </c>
      <c r="K20" s="263" t="s">
        <v>33</v>
      </c>
      <c r="L20" s="263" t="s">
        <v>33</v>
      </c>
      <c r="M20" s="263" t="s">
        <v>33</v>
      </c>
      <c r="N20" s="263" t="s">
        <v>33</v>
      </c>
      <c r="O20" s="263" t="s">
        <v>33</v>
      </c>
      <c r="P20" s="263" t="s">
        <v>33</v>
      </c>
      <c r="Q20" s="263" t="s">
        <v>33</v>
      </c>
      <c r="R20" s="263" t="s">
        <v>33</v>
      </c>
      <c r="S20" s="263" t="s">
        <v>33</v>
      </c>
      <c r="T20" s="263" t="s">
        <v>33</v>
      </c>
      <c r="U20" s="263" t="s">
        <v>33</v>
      </c>
      <c r="V20" s="263" t="s">
        <v>33</v>
      </c>
      <c r="W20" s="263" t="s">
        <v>33</v>
      </c>
      <c r="X20" s="263" t="s">
        <v>33</v>
      </c>
      <c r="Y20" s="263" t="s">
        <v>33</v>
      </c>
      <c r="Z20" s="263" t="s">
        <v>33</v>
      </c>
      <c r="AA20" s="263" t="s">
        <v>33</v>
      </c>
      <c r="AB20" s="263" t="s">
        <v>33</v>
      </c>
      <c r="AC20" s="263" t="s">
        <v>33</v>
      </c>
      <c r="AD20" s="263" t="s">
        <v>33</v>
      </c>
      <c r="AE20" s="263" t="s">
        <v>33</v>
      </c>
      <c r="AF20" s="263" t="s">
        <v>33</v>
      </c>
      <c r="AG20" s="263" t="s">
        <v>33</v>
      </c>
      <c r="AH20" s="263" t="s">
        <v>33</v>
      </c>
      <c r="AI20" s="263" t="s">
        <v>33</v>
      </c>
      <c r="AJ20" s="263" t="s">
        <v>33</v>
      </c>
      <c r="AK20" s="263" t="s">
        <v>33</v>
      </c>
      <c r="AL20" s="263" t="s">
        <v>33</v>
      </c>
      <c r="AM20" s="263" t="s">
        <v>33</v>
      </c>
      <c r="AN20" s="263" t="s">
        <v>33</v>
      </c>
      <c r="AO20" s="263" t="s">
        <v>33</v>
      </c>
      <c r="AP20" s="263" t="s">
        <v>33</v>
      </c>
      <c r="AQ20" s="263" t="s">
        <v>33</v>
      </c>
      <c r="AR20" s="263" t="s">
        <v>33</v>
      </c>
      <c r="AS20" s="263" t="s">
        <v>33</v>
      </c>
      <c r="AT20" s="263" t="s">
        <v>33</v>
      </c>
      <c r="AU20" s="263" t="s">
        <v>33</v>
      </c>
      <c r="AV20" s="263" t="s">
        <v>33</v>
      </c>
      <c r="AW20" s="263" t="s">
        <v>33</v>
      </c>
      <c r="AX20" s="263" t="s">
        <v>33</v>
      </c>
      <c r="AY20" s="263" t="s">
        <v>33</v>
      </c>
      <c r="AZ20" s="263" t="s">
        <v>33</v>
      </c>
      <c r="BA20" s="263" t="s">
        <v>33</v>
      </c>
      <c r="BB20" s="263" t="s">
        <v>33</v>
      </c>
      <c r="BC20" s="263" t="s">
        <v>33</v>
      </c>
      <c r="BD20" s="263" t="s">
        <v>33</v>
      </c>
      <c r="BE20" s="263" t="s">
        <v>33</v>
      </c>
      <c r="BF20" s="263" t="s">
        <v>33</v>
      </c>
      <c r="BG20" s="263" t="s">
        <v>33</v>
      </c>
      <c r="BH20" s="263" t="s">
        <v>33</v>
      </c>
      <c r="BI20" s="263" t="s">
        <v>33</v>
      </c>
      <c r="BJ20" s="263" t="s">
        <v>33</v>
      </c>
      <c r="BK20" s="263" t="s">
        <v>33</v>
      </c>
      <c r="BL20" s="263" t="s">
        <v>33</v>
      </c>
      <c r="BM20" s="263" t="s">
        <v>33</v>
      </c>
      <c r="BN20" s="263" t="s">
        <v>33</v>
      </c>
      <c r="BO20" s="263" t="s">
        <v>33</v>
      </c>
      <c r="BP20" s="263" t="s">
        <v>33</v>
      </c>
      <c r="BQ20" s="263" t="s">
        <v>33</v>
      </c>
      <c r="BR20" s="263" t="s">
        <v>33</v>
      </c>
      <c r="BS20" s="263" t="s">
        <v>33</v>
      </c>
      <c r="BT20" s="263" t="s">
        <v>33</v>
      </c>
      <c r="BU20" s="263">
        <v>28.4</v>
      </c>
      <c r="BV20" s="263">
        <v>29.6</v>
      </c>
      <c r="BW20" s="263">
        <v>35.4</v>
      </c>
      <c r="BX20" s="263">
        <v>43.7</v>
      </c>
      <c r="BY20" s="263">
        <v>51.4</v>
      </c>
      <c r="BZ20" s="263">
        <v>44.6</v>
      </c>
      <c r="CA20" s="263">
        <v>50.7</v>
      </c>
      <c r="CB20" s="263">
        <v>49.8</v>
      </c>
      <c r="CC20" s="263">
        <v>51.8</v>
      </c>
      <c r="CD20" s="263">
        <v>65.5</v>
      </c>
      <c r="CE20" s="263">
        <v>69</v>
      </c>
      <c r="CF20" s="263">
        <v>76.5</v>
      </c>
      <c r="CG20" s="263">
        <v>89.4</v>
      </c>
      <c r="CH20" s="263">
        <v>83.7</v>
      </c>
      <c r="CI20" s="263">
        <v>98</v>
      </c>
      <c r="CJ20" s="263">
        <v>100.6</v>
      </c>
      <c r="CK20" s="263">
        <v>96.3</v>
      </c>
      <c r="CL20" s="263">
        <v>107.1</v>
      </c>
    </row>
    <row r="21" spans="1:90" s="260" customFormat="1" ht="15">
      <c r="A21" s="263" t="s">
        <v>54</v>
      </c>
      <c r="B21" s="263" t="s">
        <v>941</v>
      </c>
      <c r="C21" s="263" t="s">
        <v>33</v>
      </c>
      <c r="D21" s="263" t="s">
        <v>33</v>
      </c>
      <c r="E21" s="263" t="s">
        <v>33</v>
      </c>
      <c r="F21" s="263" t="s">
        <v>33</v>
      </c>
      <c r="G21" s="263" t="s">
        <v>33</v>
      </c>
      <c r="H21" s="263" t="s">
        <v>33</v>
      </c>
      <c r="I21" s="263" t="s">
        <v>33</v>
      </c>
      <c r="J21" s="263" t="s">
        <v>33</v>
      </c>
      <c r="K21" s="263" t="s">
        <v>33</v>
      </c>
      <c r="L21" s="263" t="s">
        <v>33</v>
      </c>
      <c r="M21" s="263" t="s">
        <v>33</v>
      </c>
      <c r="N21" s="263" t="s">
        <v>33</v>
      </c>
      <c r="O21" s="263" t="s">
        <v>33</v>
      </c>
      <c r="P21" s="263" t="s">
        <v>33</v>
      </c>
      <c r="Q21" s="263" t="s">
        <v>33</v>
      </c>
      <c r="R21" s="263" t="s">
        <v>33</v>
      </c>
      <c r="S21" s="263" t="s">
        <v>33</v>
      </c>
      <c r="T21" s="263" t="s">
        <v>33</v>
      </c>
      <c r="U21" s="263" t="s">
        <v>33</v>
      </c>
      <c r="V21" s="263" t="s">
        <v>33</v>
      </c>
      <c r="W21" s="263" t="s">
        <v>33</v>
      </c>
      <c r="X21" s="263" t="s">
        <v>33</v>
      </c>
      <c r="Y21" s="263" t="s">
        <v>33</v>
      </c>
      <c r="Z21" s="263" t="s">
        <v>33</v>
      </c>
      <c r="AA21" s="263" t="s">
        <v>33</v>
      </c>
      <c r="AB21" s="263" t="s">
        <v>33</v>
      </c>
      <c r="AC21" s="263" t="s">
        <v>33</v>
      </c>
      <c r="AD21" s="263" t="s">
        <v>33</v>
      </c>
      <c r="AE21" s="263" t="s">
        <v>33</v>
      </c>
      <c r="AF21" s="263" t="s">
        <v>33</v>
      </c>
      <c r="AG21" s="263" t="s">
        <v>33</v>
      </c>
      <c r="AH21" s="263" t="s">
        <v>33</v>
      </c>
      <c r="AI21" s="263" t="s">
        <v>33</v>
      </c>
      <c r="AJ21" s="263" t="s">
        <v>33</v>
      </c>
      <c r="AK21" s="263" t="s">
        <v>33</v>
      </c>
      <c r="AL21" s="263" t="s">
        <v>33</v>
      </c>
      <c r="AM21" s="263" t="s">
        <v>33</v>
      </c>
      <c r="AN21" s="263" t="s">
        <v>33</v>
      </c>
      <c r="AO21" s="263" t="s">
        <v>33</v>
      </c>
      <c r="AP21" s="263" t="s">
        <v>33</v>
      </c>
      <c r="AQ21" s="263" t="s">
        <v>33</v>
      </c>
      <c r="AR21" s="263" t="s">
        <v>33</v>
      </c>
      <c r="AS21" s="263" t="s">
        <v>33</v>
      </c>
      <c r="AT21" s="263" t="s">
        <v>33</v>
      </c>
      <c r="AU21" s="263" t="s">
        <v>33</v>
      </c>
      <c r="AV21" s="263" t="s">
        <v>33</v>
      </c>
      <c r="AW21" s="263" t="s">
        <v>33</v>
      </c>
      <c r="AX21" s="263" t="s">
        <v>33</v>
      </c>
      <c r="AY21" s="263" t="s">
        <v>33</v>
      </c>
      <c r="AZ21" s="263" t="s">
        <v>33</v>
      </c>
      <c r="BA21" s="263" t="s">
        <v>33</v>
      </c>
      <c r="BB21" s="263" t="s">
        <v>33</v>
      </c>
      <c r="BC21" s="263" t="s">
        <v>33</v>
      </c>
      <c r="BD21" s="263" t="s">
        <v>33</v>
      </c>
      <c r="BE21" s="263" t="s">
        <v>33</v>
      </c>
      <c r="BF21" s="263" t="s">
        <v>33</v>
      </c>
      <c r="BG21" s="263" t="s">
        <v>33</v>
      </c>
      <c r="BH21" s="263" t="s">
        <v>33</v>
      </c>
      <c r="BI21" s="263" t="s">
        <v>33</v>
      </c>
      <c r="BJ21" s="263" t="s">
        <v>33</v>
      </c>
      <c r="BK21" s="263" t="s">
        <v>33</v>
      </c>
      <c r="BL21" s="263" t="s">
        <v>33</v>
      </c>
      <c r="BM21" s="263" t="s">
        <v>33</v>
      </c>
      <c r="BN21" s="263" t="s">
        <v>33</v>
      </c>
      <c r="BO21" s="263" t="s">
        <v>33</v>
      </c>
      <c r="BP21" s="263" t="s">
        <v>33</v>
      </c>
      <c r="BQ21" s="263" t="s">
        <v>33</v>
      </c>
      <c r="BR21" s="263" t="s">
        <v>33</v>
      </c>
      <c r="BS21" s="263" t="s">
        <v>33</v>
      </c>
      <c r="BT21" s="263" t="s">
        <v>33</v>
      </c>
      <c r="BU21" s="263">
        <v>-1.1000000000000001</v>
      </c>
      <c r="BV21" s="263">
        <v>-0.4</v>
      </c>
      <c r="BW21" s="263">
        <v>-2.5</v>
      </c>
      <c r="BX21" s="263">
        <v>0.7</v>
      </c>
      <c r="BY21" s="263">
        <v>0.8</v>
      </c>
      <c r="BZ21" s="263">
        <v>4.7</v>
      </c>
      <c r="CA21" s="263">
        <v>1.4</v>
      </c>
      <c r="CB21" s="263">
        <v>5.7</v>
      </c>
      <c r="CC21" s="263">
        <v>3.2</v>
      </c>
      <c r="CD21" s="263">
        <v>-0.8</v>
      </c>
      <c r="CE21" s="263">
        <v>1.5</v>
      </c>
      <c r="CF21" s="263">
        <v>-3.7</v>
      </c>
      <c r="CG21" s="263">
        <v>-7.4</v>
      </c>
      <c r="CH21" s="263">
        <v>1.2</v>
      </c>
      <c r="CI21" s="263">
        <v>1.6</v>
      </c>
      <c r="CJ21" s="263">
        <v>1.8</v>
      </c>
      <c r="CK21" s="263">
        <v>1.7</v>
      </c>
      <c r="CL21" s="263">
        <v>2.9</v>
      </c>
    </row>
    <row r="22" spans="1:90" s="260" customFormat="1" ht="15">
      <c r="A22" s="263" t="s">
        <v>53</v>
      </c>
      <c r="B22" s="263" t="s">
        <v>942</v>
      </c>
      <c r="C22" s="263" t="s">
        <v>33</v>
      </c>
      <c r="D22" s="263" t="s">
        <v>33</v>
      </c>
      <c r="E22" s="263" t="s">
        <v>33</v>
      </c>
      <c r="F22" s="263" t="s">
        <v>33</v>
      </c>
      <c r="G22" s="263" t="s">
        <v>33</v>
      </c>
      <c r="H22" s="263" t="s">
        <v>33</v>
      </c>
      <c r="I22" s="263" t="s">
        <v>33</v>
      </c>
      <c r="J22" s="263" t="s">
        <v>33</v>
      </c>
      <c r="K22" s="263" t="s">
        <v>33</v>
      </c>
      <c r="L22" s="263" t="s">
        <v>33</v>
      </c>
      <c r="M22" s="263" t="s">
        <v>33</v>
      </c>
      <c r="N22" s="263" t="s">
        <v>33</v>
      </c>
      <c r="O22" s="263" t="s">
        <v>33</v>
      </c>
      <c r="P22" s="263" t="s">
        <v>33</v>
      </c>
      <c r="Q22" s="263" t="s">
        <v>33</v>
      </c>
      <c r="R22" s="263" t="s">
        <v>33</v>
      </c>
      <c r="S22" s="263" t="s">
        <v>33</v>
      </c>
      <c r="T22" s="263" t="s">
        <v>33</v>
      </c>
      <c r="U22" s="263" t="s">
        <v>33</v>
      </c>
      <c r="V22" s="263" t="s">
        <v>33</v>
      </c>
      <c r="W22" s="263" t="s">
        <v>33</v>
      </c>
      <c r="X22" s="263" t="s">
        <v>33</v>
      </c>
      <c r="Y22" s="263" t="s">
        <v>33</v>
      </c>
      <c r="Z22" s="263" t="s">
        <v>33</v>
      </c>
      <c r="AA22" s="263" t="s">
        <v>33</v>
      </c>
      <c r="AB22" s="263" t="s">
        <v>33</v>
      </c>
      <c r="AC22" s="263" t="s">
        <v>33</v>
      </c>
      <c r="AD22" s="263" t="s">
        <v>33</v>
      </c>
      <c r="AE22" s="263" t="s">
        <v>33</v>
      </c>
      <c r="AF22" s="263" t="s">
        <v>33</v>
      </c>
      <c r="AG22" s="263" t="s">
        <v>33</v>
      </c>
      <c r="AH22" s="263" t="s">
        <v>33</v>
      </c>
      <c r="AI22" s="263" t="s">
        <v>33</v>
      </c>
      <c r="AJ22" s="263" t="s">
        <v>33</v>
      </c>
      <c r="AK22" s="263" t="s">
        <v>33</v>
      </c>
      <c r="AL22" s="263" t="s">
        <v>33</v>
      </c>
      <c r="AM22" s="263" t="s">
        <v>33</v>
      </c>
      <c r="AN22" s="263" t="s">
        <v>33</v>
      </c>
      <c r="AO22" s="263" t="s">
        <v>33</v>
      </c>
      <c r="AP22" s="263" t="s">
        <v>33</v>
      </c>
      <c r="AQ22" s="263" t="s">
        <v>33</v>
      </c>
      <c r="AR22" s="263" t="s">
        <v>33</v>
      </c>
      <c r="AS22" s="263" t="s">
        <v>33</v>
      </c>
      <c r="AT22" s="263" t="s">
        <v>33</v>
      </c>
      <c r="AU22" s="263" t="s">
        <v>33</v>
      </c>
      <c r="AV22" s="263" t="s">
        <v>33</v>
      </c>
      <c r="AW22" s="263" t="s">
        <v>33</v>
      </c>
      <c r="AX22" s="263" t="s">
        <v>33</v>
      </c>
      <c r="AY22" s="263" t="s">
        <v>33</v>
      </c>
      <c r="AZ22" s="263" t="s">
        <v>33</v>
      </c>
      <c r="BA22" s="263" t="s">
        <v>33</v>
      </c>
      <c r="BB22" s="263" t="s">
        <v>33</v>
      </c>
      <c r="BC22" s="263" t="s">
        <v>33</v>
      </c>
      <c r="BD22" s="263" t="s">
        <v>33</v>
      </c>
      <c r="BE22" s="263" t="s">
        <v>33</v>
      </c>
      <c r="BF22" s="263" t="s">
        <v>33</v>
      </c>
      <c r="BG22" s="263" t="s">
        <v>33</v>
      </c>
      <c r="BH22" s="263" t="s">
        <v>33</v>
      </c>
      <c r="BI22" s="263" t="s">
        <v>33</v>
      </c>
      <c r="BJ22" s="263" t="s">
        <v>33</v>
      </c>
      <c r="BK22" s="263" t="s">
        <v>33</v>
      </c>
      <c r="BL22" s="263" t="s">
        <v>33</v>
      </c>
      <c r="BM22" s="263" t="s">
        <v>33</v>
      </c>
      <c r="BN22" s="263" t="s">
        <v>33</v>
      </c>
      <c r="BO22" s="263" t="s">
        <v>33</v>
      </c>
      <c r="BP22" s="263" t="s">
        <v>33</v>
      </c>
      <c r="BQ22" s="263" t="s">
        <v>33</v>
      </c>
      <c r="BR22" s="263" t="s">
        <v>33</v>
      </c>
      <c r="BS22" s="263" t="s">
        <v>33</v>
      </c>
      <c r="BT22" s="263" t="s">
        <v>33</v>
      </c>
      <c r="BU22" s="263">
        <v>9.3000000000000007</v>
      </c>
      <c r="BV22" s="263">
        <v>11.6</v>
      </c>
      <c r="BW22" s="263">
        <v>11.9</v>
      </c>
      <c r="BX22" s="263">
        <v>11.8</v>
      </c>
      <c r="BY22" s="263">
        <v>13.5</v>
      </c>
      <c r="BZ22" s="263">
        <v>14.9</v>
      </c>
      <c r="CA22" s="263">
        <v>17.5</v>
      </c>
      <c r="CB22" s="263">
        <v>20.3</v>
      </c>
      <c r="CC22" s="263">
        <v>21.1</v>
      </c>
      <c r="CD22" s="263">
        <v>26.8</v>
      </c>
      <c r="CE22" s="263">
        <v>23</v>
      </c>
      <c r="CF22" s="263">
        <v>24.4</v>
      </c>
      <c r="CG22" s="263">
        <v>23.2</v>
      </c>
      <c r="CH22" s="263">
        <v>29.3</v>
      </c>
      <c r="CI22" s="263">
        <v>32.299999999999997</v>
      </c>
      <c r="CJ22" s="263">
        <v>42.9</v>
      </c>
      <c r="CK22" s="263">
        <v>33.200000000000003</v>
      </c>
      <c r="CL22" s="263">
        <v>30.3</v>
      </c>
    </row>
    <row r="23" spans="1:90" ht="15">
      <c r="A23" s="263" t="s">
        <v>52</v>
      </c>
      <c r="B23" s="269" t="s">
        <v>943</v>
      </c>
      <c r="C23" s="263">
        <v>6.3</v>
      </c>
      <c r="D23" s="263">
        <v>4.8</v>
      </c>
      <c r="E23" s="263">
        <v>3.5</v>
      </c>
      <c r="F23" s="263">
        <v>2.2999999999999998</v>
      </c>
      <c r="G23" s="263">
        <v>2.2999999999999998</v>
      </c>
      <c r="H23" s="263">
        <v>2.6</v>
      </c>
      <c r="I23" s="263">
        <v>3.3</v>
      </c>
      <c r="J23" s="263">
        <v>3.7</v>
      </c>
      <c r="K23" s="263">
        <v>4.5999999999999996</v>
      </c>
      <c r="L23" s="263">
        <v>3.3</v>
      </c>
      <c r="M23" s="263">
        <v>3.6</v>
      </c>
      <c r="N23" s="263">
        <v>4</v>
      </c>
      <c r="O23" s="263">
        <v>4.9000000000000004</v>
      </c>
      <c r="P23" s="263">
        <v>5.0999999999999996</v>
      </c>
      <c r="Q23" s="263">
        <v>6.8</v>
      </c>
      <c r="R23" s="263">
        <v>7.6</v>
      </c>
      <c r="S23" s="263">
        <v>8.9</v>
      </c>
      <c r="T23" s="263">
        <v>10.3</v>
      </c>
      <c r="U23" s="263">
        <v>11</v>
      </c>
      <c r="V23" s="263">
        <v>15.2</v>
      </c>
      <c r="W23" s="263">
        <v>15.5</v>
      </c>
      <c r="X23" s="263">
        <v>16.399999999999999</v>
      </c>
      <c r="Y23" s="263">
        <v>19</v>
      </c>
      <c r="Z23" s="263">
        <v>18.7</v>
      </c>
      <c r="AA23" s="263">
        <v>19.5</v>
      </c>
      <c r="AB23" s="263">
        <v>18.7</v>
      </c>
      <c r="AC23" s="263">
        <v>20.8</v>
      </c>
      <c r="AD23" s="263">
        <v>22.5</v>
      </c>
      <c r="AE23" s="263">
        <v>23.6</v>
      </c>
      <c r="AF23" s="263">
        <v>23.6</v>
      </c>
      <c r="AG23" s="263">
        <v>28.3</v>
      </c>
      <c r="AH23" s="263">
        <v>28.8</v>
      </c>
      <c r="AI23" s="263">
        <v>28.7</v>
      </c>
      <c r="AJ23" s="263">
        <v>31.2</v>
      </c>
      <c r="AK23" s="263">
        <v>32.700000000000003</v>
      </c>
      <c r="AL23" s="263">
        <v>34.799999999999997</v>
      </c>
      <c r="AM23" s="263">
        <v>38.9</v>
      </c>
      <c r="AN23" s="263">
        <v>45.2</v>
      </c>
      <c r="AO23" s="263">
        <v>48.7</v>
      </c>
      <c r="AP23" s="263">
        <v>56.5</v>
      </c>
      <c r="AQ23" s="263">
        <v>62.1</v>
      </c>
      <c r="AR23" s="263">
        <v>68.8</v>
      </c>
      <c r="AS23" s="263">
        <v>76.7</v>
      </c>
      <c r="AT23" s="263">
        <v>91.2</v>
      </c>
      <c r="AU23" s="263">
        <v>109.9</v>
      </c>
      <c r="AV23" s="263">
        <v>150.5</v>
      </c>
      <c r="AW23" s="263">
        <v>146.9</v>
      </c>
      <c r="AX23" s="263">
        <v>174.8</v>
      </c>
      <c r="AY23" s="263">
        <v>207.5</v>
      </c>
      <c r="AZ23" s="263">
        <v>245.8</v>
      </c>
      <c r="BA23" s="263">
        <v>299.60000000000002</v>
      </c>
      <c r="BB23" s="263">
        <v>351.4</v>
      </c>
      <c r="BC23" s="263">
        <v>393.9</v>
      </c>
      <c r="BD23" s="263">
        <v>387.5</v>
      </c>
      <c r="BE23" s="263">
        <v>413.9</v>
      </c>
      <c r="BF23" s="263">
        <v>514.29999999999995</v>
      </c>
      <c r="BG23" s="263">
        <v>530.20000000000005</v>
      </c>
      <c r="BH23" s="263">
        <v>575</v>
      </c>
      <c r="BI23" s="263">
        <v>641.29999999999995</v>
      </c>
      <c r="BJ23" s="263">
        <v>712.4</v>
      </c>
      <c r="BK23" s="263">
        <v>774.3</v>
      </c>
      <c r="BL23" s="263">
        <v>815.6</v>
      </c>
      <c r="BM23" s="263">
        <v>755.4</v>
      </c>
      <c r="BN23" s="263">
        <v>830.7</v>
      </c>
      <c r="BO23" s="263">
        <v>888.9</v>
      </c>
      <c r="BP23" s="263">
        <v>1020.2</v>
      </c>
      <c r="BQ23" s="263">
        <v>1147.7</v>
      </c>
      <c r="BR23" s="263">
        <v>1228.0999999999999</v>
      </c>
      <c r="BS23" s="263">
        <v>1363.2</v>
      </c>
      <c r="BT23" s="263">
        <v>1444.3</v>
      </c>
      <c r="BU23" s="263">
        <v>1636.6</v>
      </c>
      <c r="BV23" s="263">
        <v>1924.1</v>
      </c>
      <c r="BW23" s="263">
        <v>1785.6</v>
      </c>
      <c r="BX23" s="263">
        <v>1825.4</v>
      </c>
      <c r="BY23" s="263">
        <v>1977.9</v>
      </c>
      <c r="BZ23" s="263">
        <v>2324.1999999999998</v>
      </c>
      <c r="CA23" s="263">
        <v>2692</v>
      </c>
      <c r="CB23" s="263">
        <v>3078.5</v>
      </c>
      <c r="CC23" s="263">
        <v>3334.4</v>
      </c>
      <c r="CD23" s="263">
        <v>3482</v>
      </c>
      <c r="CE23" s="263">
        <v>2712</v>
      </c>
      <c r="CF23" s="263">
        <v>3115.5</v>
      </c>
      <c r="CG23" s="263">
        <v>3485.8</v>
      </c>
      <c r="CH23" s="263">
        <v>3582.1</v>
      </c>
      <c r="CI23" s="263">
        <v>3620.1</v>
      </c>
      <c r="CJ23" s="263">
        <v>3750.2</v>
      </c>
      <c r="CK23" s="263">
        <v>3659.7</v>
      </c>
      <c r="CL23" s="263">
        <v>3660.1</v>
      </c>
    </row>
    <row r="24" spans="1:90" ht="15">
      <c r="A24" s="263" t="s">
        <v>51</v>
      </c>
      <c r="B24" s="269" t="s">
        <v>193</v>
      </c>
      <c r="C24" s="263">
        <v>5.6</v>
      </c>
      <c r="D24" s="263">
        <v>4.0999999999999996</v>
      </c>
      <c r="E24" s="263">
        <v>2.9</v>
      </c>
      <c r="F24" s="263">
        <v>1.9</v>
      </c>
      <c r="G24" s="263">
        <v>1.9</v>
      </c>
      <c r="H24" s="263">
        <v>2.2000000000000002</v>
      </c>
      <c r="I24" s="263">
        <v>3</v>
      </c>
      <c r="J24" s="263">
        <v>3.2</v>
      </c>
      <c r="K24" s="263">
        <v>4</v>
      </c>
      <c r="L24" s="263">
        <v>2.8</v>
      </c>
      <c r="M24" s="263">
        <v>3.1</v>
      </c>
      <c r="N24" s="263">
        <v>3.4</v>
      </c>
      <c r="O24" s="263">
        <v>4.4000000000000004</v>
      </c>
      <c r="P24" s="263">
        <v>4.5999999999999996</v>
      </c>
      <c r="Q24" s="263">
        <v>6.3</v>
      </c>
      <c r="R24" s="263">
        <v>6.9</v>
      </c>
      <c r="S24" s="263">
        <v>7.5</v>
      </c>
      <c r="T24" s="263">
        <v>7</v>
      </c>
      <c r="U24" s="263">
        <v>7.9</v>
      </c>
      <c r="V24" s="263">
        <v>10.1</v>
      </c>
      <c r="W24" s="263">
        <v>9.1999999999999993</v>
      </c>
      <c r="X24" s="263">
        <v>11.6</v>
      </c>
      <c r="Y24" s="263">
        <v>14.6</v>
      </c>
      <c r="Z24" s="263">
        <v>15.3</v>
      </c>
      <c r="AA24" s="263">
        <v>16</v>
      </c>
      <c r="AB24" s="263">
        <v>15.4</v>
      </c>
      <c r="AC24" s="263">
        <v>17.2</v>
      </c>
      <c r="AD24" s="263">
        <v>18.899999999999999</v>
      </c>
      <c r="AE24" s="263">
        <v>19.899999999999999</v>
      </c>
      <c r="AF24" s="263">
        <v>20</v>
      </c>
      <c r="AG24" s="263">
        <v>22.3</v>
      </c>
      <c r="AH24" s="263">
        <v>22.8</v>
      </c>
      <c r="AI24" s="263">
        <v>22.7</v>
      </c>
      <c r="AJ24" s="263">
        <v>25</v>
      </c>
      <c r="AK24" s="263">
        <v>26.1</v>
      </c>
      <c r="AL24" s="263">
        <v>28.1</v>
      </c>
      <c r="AM24" s="263">
        <v>31.5</v>
      </c>
      <c r="AN24" s="263">
        <v>37.1</v>
      </c>
      <c r="AO24" s="263">
        <v>39.9</v>
      </c>
      <c r="AP24" s="263">
        <v>46.6</v>
      </c>
      <c r="AQ24" s="263">
        <v>50.5</v>
      </c>
      <c r="AR24" s="263">
        <v>55.8</v>
      </c>
      <c r="AS24" s="263">
        <v>62.3</v>
      </c>
      <c r="AT24" s="263">
        <v>74.2</v>
      </c>
      <c r="AU24" s="263">
        <v>91.2</v>
      </c>
      <c r="AV24" s="263">
        <v>127.5</v>
      </c>
      <c r="AW24" s="263">
        <v>122.7</v>
      </c>
      <c r="AX24" s="263">
        <v>151.1</v>
      </c>
      <c r="AY24" s="263">
        <v>182.4</v>
      </c>
      <c r="AZ24" s="263">
        <v>212.3</v>
      </c>
      <c r="BA24" s="263">
        <v>252.7</v>
      </c>
      <c r="BB24" s="263">
        <v>293.8</v>
      </c>
      <c r="BC24" s="263">
        <v>317.8</v>
      </c>
      <c r="BD24" s="263">
        <v>303.2</v>
      </c>
      <c r="BE24" s="263">
        <v>328.6</v>
      </c>
      <c r="BF24" s="263">
        <v>405.1</v>
      </c>
      <c r="BG24" s="263">
        <v>417.2</v>
      </c>
      <c r="BH24" s="263">
        <v>452.9</v>
      </c>
      <c r="BI24" s="263">
        <v>508.7</v>
      </c>
      <c r="BJ24" s="263">
        <v>554</v>
      </c>
      <c r="BK24" s="263">
        <v>591</v>
      </c>
      <c r="BL24" s="263">
        <v>629.70000000000005</v>
      </c>
      <c r="BM24" s="263">
        <v>623.5</v>
      </c>
      <c r="BN24" s="263">
        <v>667.8</v>
      </c>
      <c r="BO24" s="263">
        <v>720</v>
      </c>
      <c r="BP24" s="263">
        <v>813.4</v>
      </c>
      <c r="BQ24" s="263">
        <v>902.6</v>
      </c>
      <c r="BR24" s="263">
        <v>964</v>
      </c>
      <c r="BS24" s="263">
        <v>1055.8</v>
      </c>
      <c r="BT24" s="263">
        <v>1115.7</v>
      </c>
      <c r="BU24" s="263">
        <v>1248.5999999999999</v>
      </c>
      <c r="BV24" s="263">
        <v>1472.6</v>
      </c>
      <c r="BW24" s="263">
        <v>1395.4</v>
      </c>
      <c r="BX24" s="263">
        <v>1429</v>
      </c>
      <c r="BY24" s="263">
        <v>1543.9</v>
      </c>
      <c r="BZ24" s="263">
        <v>1800.7</v>
      </c>
      <c r="CA24" s="263">
        <v>2030.1</v>
      </c>
      <c r="CB24" s="263">
        <v>2247.3000000000002</v>
      </c>
      <c r="CC24" s="263">
        <v>2383.1999999999998</v>
      </c>
      <c r="CD24" s="263">
        <v>2565</v>
      </c>
      <c r="CE24" s="263">
        <v>1983.2</v>
      </c>
      <c r="CF24" s="263">
        <v>2365</v>
      </c>
      <c r="CG24" s="263">
        <v>2686.4</v>
      </c>
      <c r="CH24" s="263">
        <v>2763.8</v>
      </c>
      <c r="CI24" s="263">
        <v>2768.6</v>
      </c>
      <c r="CJ24" s="263">
        <v>2883.2</v>
      </c>
      <c r="CK24" s="263">
        <v>2789</v>
      </c>
      <c r="CL24" s="263">
        <v>2735.8</v>
      </c>
    </row>
    <row r="25" spans="1:90" ht="15">
      <c r="A25" s="263" t="s">
        <v>49</v>
      </c>
      <c r="B25" s="263" t="s">
        <v>930</v>
      </c>
      <c r="C25" s="263">
        <v>4.5</v>
      </c>
      <c r="D25" s="263">
        <v>3.1</v>
      </c>
      <c r="E25" s="263">
        <v>2.1</v>
      </c>
      <c r="F25" s="263">
        <v>1.3</v>
      </c>
      <c r="G25" s="263">
        <v>1.5</v>
      </c>
      <c r="H25" s="263">
        <v>1.8</v>
      </c>
      <c r="I25" s="263">
        <v>2.5</v>
      </c>
      <c r="J25" s="263">
        <v>2.5</v>
      </c>
      <c r="K25" s="263">
        <v>3.2</v>
      </c>
      <c r="L25" s="263">
        <v>2.2000000000000002</v>
      </c>
      <c r="M25" s="263">
        <v>2.4</v>
      </c>
      <c r="N25" s="263">
        <v>2.7</v>
      </c>
      <c r="O25" s="263">
        <v>3.4</v>
      </c>
      <c r="P25" s="263">
        <v>2.7</v>
      </c>
      <c r="Q25" s="263">
        <v>3.4</v>
      </c>
      <c r="R25" s="263">
        <v>3.8</v>
      </c>
      <c r="S25" s="263">
        <v>3.9</v>
      </c>
      <c r="T25" s="263">
        <v>5.0999999999999996</v>
      </c>
      <c r="U25" s="263">
        <v>6</v>
      </c>
      <c r="V25" s="263">
        <v>7.6</v>
      </c>
      <c r="W25" s="263">
        <v>6.9</v>
      </c>
      <c r="X25" s="263">
        <v>9.1</v>
      </c>
      <c r="Y25" s="263">
        <v>11.2</v>
      </c>
      <c r="Z25" s="263">
        <v>10.8</v>
      </c>
      <c r="AA25" s="263">
        <v>11</v>
      </c>
      <c r="AB25" s="263">
        <v>10.4</v>
      </c>
      <c r="AC25" s="263">
        <v>11.5</v>
      </c>
      <c r="AD25" s="263">
        <v>12.8</v>
      </c>
      <c r="AE25" s="263">
        <v>13.3</v>
      </c>
      <c r="AF25" s="263">
        <v>13</v>
      </c>
      <c r="AG25" s="263">
        <v>15.3</v>
      </c>
      <c r="AH25" s="263">
        <v>15.2</v>
      </c>
      <c r="AI25" s="263">
        <v>15.1</v>
      </c>
      <c r="AJ25" s="263">
        <v>16.899999999999999</v>
      </c>
      <c r="AK25" s="263">
        <v>17.7</v>
      </c>
      <c r="AL25" s="263">
        <v>19.399999999999999</v>
      </c>
      <c r="AM25" s="263">
        <v>22.2</v>
      </c>
      <c r="AN25" s="263">
        <v>26.3</v>
      </c>
      <c r="AO25" s="263">
        <v>27.8</v>
      </c>
      <c r="AP25" s="263">
        <v>33.9</v>
      </c>
      <c r="AQ25" s="263">
        <v>36.799999999999997</v>
      </c>
      <c r="AR25" s="263">
        <v>40.9</v>
      </c>
      <c r="AS25" s="263">
        <v>46.6</v>
      </c>
      <c r="AT25" s="263">
        <v>56.9</v>
      </c>
      <c r="AU25" s="263">
        <v>71.8</v>
      </c>
      <c r="AV25" s="263">
        <v>104.5</v>
      </c>
      <c r="AW25" s="263">
        <v>99</v>
      </c>
      <c r="AX25" s="263">
        <v>124.6</v>
      </c>
      <c r="AY25" s="263">
        <v>152.6</v>
      </c>
      <c r="AZ25" s="263">
        <v>177.4</v>
      </c>
      <c r="BA25" s="263">
        <v>212.8</v>
      </c>
      <c r="BB25" s="263">
        <v>248.6</v>
      </c>
      <c r="BC25" s="263">
        <v>267.8</v>
      </c>
      <c r="BD25" s="263">
        <v>250.5</v>
      </c>
      <c r="BE25" s="263">
        <v>272.7</v>
      </c>
      <c r="BF25" s="263">
        <v>336.3</v>
      </c>
      <c r="BG25" s="263">
        <v>343.3</v>
      </c>
      <c r="BH25" s="263">
        <v>370</v>
      </c>
      <c r="BI25" s="263">
        <v>414.8</v>
      </c>
      <c r="BJ25" s="263">
        <v>452.1</v>
      </c>
      <c r="BK25" s="263">
        <v>484.8</v>
      </c>
      <c r="BL25" s="263">
        <v>508.1</v>
      </c>
      <c r="BM25" s="263">
        <v>500.7</v>
      </c>
      <c r="BN25" s="263">
        <v>544.9</v>
      </c>
      <c r="BO25" s="263">
        <v>592.79999999999995</v>
      </c>
      <c r="BP25" s="263">
        <v>676.8</v>
      </c>
      <c r="BQ25" s="263">
        <v>757.4</v>
      </c>
      <c r="BR25" s="263">
        <v>807.4</v>
      </c>
      <c r="BS25" s="263">
        <v>885.7</v>
      </c>
      <c r="BT25" s="263">
        <v>930.8</v>
      </c>
      <c r="BU25" s="263">
        <v>1051.2</v>
      </c>
      <c r="BV25" s="263">
        <v>1251.5</v>
      </c>
      <c r="BW25" s="263">
        <v>1176.7</v>
      </c>
      <c r="BX25" s="263">
        <v>1199.3</v>
      </c>
      <c r="BY25" s="263">
        <v>1296.2</v>
      </c>
      <c r="BZ25" s="263">
        <v>1511.6</v>
      </c>
      <c r="CA25" s="263">
        <v>1719.4</v>
      </c>
      <c r="CB25" s="263">
        <v>1899.7</v>
      </c>
      <c r="CC25" s="263">
        <v>2003.8</v>
      </c>
      <c r="CD25" s="263">
        <v>2149.4</v>
      </c>
      <c r="CE25" s="263">
        <v>1590.3</v>
      </c>
      <c r="CF25" s="263">
        <v>1949.8</v>
      </c>
      <c r="CG25" s="263">
        <v>2244.6999999999998</v>
      </c>
      <c r="CH25" s="263">
        <v>2305.8000000000002</v>
      </c>
      <c r="CI25" s="263">
        <v>2301.5</v>
      </c>
      <c r="CJ25" s="263">
        <v>2396.1</v>
      </c>
      <c r="CK25" s="263">
        <v>2290.5</v>
      </c>
      <c r="CL25" s="263">
        <v>2224.1999999999998</v>
      </c>
    </row>
    <row r="26" spans="1:90" ht="15">
      <c r="A26" s="263" t="s">
        <v>47</v>
      </c>
      <c r="B26" s="263" t="s">
        <v>931</v>
      </c>
      <c r="C26" s="263">
        <v>1.3</v>
      </c>
      <c r="D26" s="263">
        <v>0.8</v>
      </c>
      <c r="E26" s="263">
        <v>0.5</v>
      </c>
      <c r="F26" s="263">
        <v>0.2</v>
      </c>
      <c r="G26" s="263">
        <v>0.3</v>
      </c>
      <c r="H26" s="263">
        <v>0.4</v>
      </c>
      <c r="I26" s="263">
        <v>0.7</v>
      </c>
      <c r="J26" s="263">
        <v>0.7</v>
      </c>
      <c r="K26" s="263">
        <v>1</v>
      </c>
      <c r="L26" s="263">
        <v>0.6</v>
      </c>
      <c r="M26" s="263">
        <v>0.7</v>
      </c>
      <c r="N26" s="263">
        <v>1</v>
      </c>
      <c r="O26" s="263">
        <v>1.4</v>
      </c>
      <c r="P26" s="263">
        <v>1</v>
      </c>
      <c r="Q26" s="263">
        <v>1</v>
      </c>
      <c r="R26" s="263">
        <v>1.1000000000000001</v>
      </c>
      <c r="S26" s="263">
        <v>1.2</v>
      </c>
      <c r="T26" s="263">
        <v>1.5</v>
      </c>
      <c r="U26" s="263">
        <v>1.8</v>
      </c>
      <c r="V26" s="263">
        <v>2.4</v>
      </c>
      <c r="W26" s="263">
        <v>2.1</v>
      </c>
      <c r="X26" s="263">
        <v>3</v>
      </c>
      <c r="Y26" s="263">
        <v>3.8</v>
      </c>
      <c r="Z26" s="263">
        <v>4.0999999999999996</v>
      </c>
      <c r="AA26" s="263">
        <v>4.0999999999999996</v>
      </c>
      <c r="AB26" s="263">
        <v>3.6</v>
      </c>
      <c r="AC26" s="263">
        <v>4.5</v>
      </c>
      <c r="AD26" s="263">
        <v>5.2</v>
      </c>
      <c r="AE26" s="263">
        <v>5.3</v>
      </c>
      <c r="AF26" s="263">
        <v>5</v>
      </c>
      <c r="AG26" s="263">
        <v>6.6</v>
      </c>
      <c r="AH26" s="263">
        <v>6.4</v>
      </c>
      <c r="AI26" s="263">
        <v>6</v>
      </c>
      <c r="AJ26" s="263">
        <v>6.9</v>
      </c>
      <c r="AK26" s="263">
        <v>7.4</v>
      </c>
      <c r="AL26" s="263">
        <v>8.4</v>
      </c>
      <c r="AM26" s="263">
        <v>10.4</v>
      </c>
      <c r="AN26" s="263">
        <v>13.3</v>
      </c>
      <c r="AO26" s="263">
        <v>14.5</v>
      </c>
      <c r="AP26" s="263">
        <v>18.8</v>
      </c>
      <c r="AQ26" s="263">
        <v>20.8</v>
      </c>
      <c r="AR26" s="263">
        <v>22.8</v>
      </c>
      <c r="AS26" s="263">
        <v>26.6</v>
      </c>
      <c r="AT26" s="263">
        <v>33.299999999999997</v>
      </c>
      <c r="AU26" s="263">
        <v>40.799999999999997</v>
      </c>
      <c r="AV26" s="263">
        <v>50.3</v>
      </c>
      <c r="AW26" s="263">
        <v>45.6</v>
      </c>
      <c r="AX26" s="263">
        <v>56.8</v>
      </c>
      <c r="AY26" s="263">
        <v>69.2</v>
      </c>
      <c r="AZ26" s="263">
        <v>89</v>
      </c>
      <c r="BA26" s="263">
        <v>100.4</v>
      </c>
      <c r="BB26" s="263">
        <v>111.9</v>
      </c>
      <c r="BC26" s="263">
        <v>126</v>
      </c>
      <c r="BD26" s="263">
        <v>125.1</v>
      </c>
      <c r="BE26" s="263">
        <v>147.30000000000001</v>
      </c>
      <c r="BF26" s="263">
        <v>192.4</v>
      </c>
      <c r="BG26" s="263">
        <v>204.2</v>
      </c>
      <c r="BH26" s="263">
        <v>238.8</v>
      </c>
      <c r="BI26" s="263">
        <v>264.2</v>
      </c>
      <c r="BJ26" s="263">
        <v>294.8</v>
      </c>
      <c r="BK26" s="263">
        <v>310.3</v>
      </c>
      <c r="BL26" s="263">
        <v>314.5</v>
      </c>
      <c r="BM26" s="263">
        <v>315.5</v>
      </c>
      <c r="BN26" s="263">
        <v>346.7</v>
      </c>
      <c r="BO26" s="263">
        <v>386.4</v>
      </c>
      <c r="BP26" s="263">
        <v>454</v>
      </c>
      <c r="BQ26" s="263">
        <v>510.8</v>
      </c>
      <c r="BR26" s="263">
        <v>533.4</v>
      </c>
      <c r="BS26" s="263">
        <v>588.5</v>
      </c>
      <c r="BT26" s="263">
        <v>637.70000000000005</v>
      </c>
      <c r="BU26" s="263">
        <v>715.8</v>
      </c>
      <c r="BV26" s="263">
        <v>822.9</v>
      </c>
      <c r="BW26" s="263">
        <v>757.7</v>
      </c>
      <c r="BX26" s="263">
        <v>774.2</v>
      </c>
      <c r="BY26" s="263">
        <v>806.3</v>
      </c>
      <c r="BZ26" s="263">
        <v>936.5</v>
      </c>
      <c r="CA26" s="263">
        <v>1025.7</v>
      </c>
      <c r="CB26" s="263">
        <v>1131.2</v>
      </c>
      <c r="CC26" s="263">
        <v>1176.2</v>
      </c>
      <c r="CD26" s="263">
        <v>1163</v>
      </c>
      <c r="CE26" s="263">
        <v>893.8</v>
      </c>
      <c r="CF26" s="263">
        <v>1106.9000000000001</v>
      </c>
      <c r="CG26" s="263">
        <v>1238.7</v>
      </c>
      <c r="CH26" s="263">
        <v>1328.5</v>
      </c>
      <c r="CI26" s="263">
        <v>1360.2</v>
      </c>
      <c r="CJ26" s="263">
        <v>1452.5</v>
      </c>
      <c r="CK26" s="263">
        <v>1489.6</v>
      </c>
      <c r="CL26" s="263">
        <v>1466.4</v>
      </c>
    </row>
    <row r="27" spans="1:90" ht="15">
      <c r="A27" s="263" t="s">
        <v>45</v>
      </c>
      <c r="B27" s="263" t="s">
        <v>932</v>
      </c>
      <c r="C27" s="263">
        <v>3.2</v>
      </c>
      <c r="D27" s="263">
        <v>2.2999999999999998</v>
      </c>
      <c r="E27" s="263">
        <v>1.7</v>
      </c>
      <c r="F27" s="263">
        <v>1.1000000000000001</v>
      </c>
      <c r="G27" s="263">
        <v>1.2</v>
      </c>
      <c r="H27" s="263">
        <v>1.3</v>
      </c>
      <c r="I27" s="263">
        <v>1.8</v>
      </c>
      <c r="J27" s="263">
        <v>1.8</v>
      </c>
      <c r="K27" s="263">
        <v>2.2000000000000002</v>
      </c>
      <c r="L27" s="263">
        <v>1.6</v>
      </c>
      <c r="M27" s="263">
        <v>1.7</v>
      </c>
      <c r="N27" s="263">
        <v>1.7</v>
      </c>
      <c r="O27" s="263">
        <v>2.1</v>
      </c>
      <c r="P27" s="263">
        <v>1.8</v>
      </c>
      <c r="Q27" s="263">
        <v>2.5</v>
      </c>
      <c r="R27" s="263">
        <v>2.7</v>
      </c>
      <c r="S27" s="263">
        <v>2.7</v>
      </c>
      <c r="T27" s="263">
        <v>3.6</v>
      </c>
      <c r="U27" s="263">
        <v>4.2</v>
      </c>
      <c r="V27" s="263">
        <v>5.2</v>
      </c>
      <c r="W27" s="263">
        <v>4.8</v>
      </c>
      <c r="X27" s="263">
        <v>6.1</v>
      </c>
      <c r="Y27" s="263">
        <v>7.4</v>
      </c>
      <c r="Z27" s="263">
        <v>6.7</v>
      </c>
      <c r="AA27" s="263">
        <v>6.9</v>
      </c>
      <c r="AB27" s="263">
        <v>6.7</v>
      </c>
      <c r="AC27" s="263">
        <v>7.1</v>
      </c>
      <c r="AD27" s="263">
        <v>7.6</v>
      </c>
      <c r="AE27" s="263">
        <v>8</v>
      </c>
      <c r="AF27" s="263">
        <v>8</v>
      </c>
      <c r="AG27" s="263">
        <v>8.6999999999999993</v>
      </c>
      <c r="AH27" s="263">
        <v>8.9</v>
      </c>
      <c r="AI27" s="263">
        <v>9</v>
      </c>
      <c r="AJ27" s="263">
        <v>9.9</v>
      </c>
      <c r="AK27" s="263">
        <v>10.3</v>
      </c>
      <c r="AL27" s="263">
        <v>11</v>
      </c>
      <c r="AM27" s="263">
        <v>11.8</v>
      </c>
      <c r="AN27" s="263">
        <v>13.1</v>
      </c>
      <c r="AO27" s="263">
        <v>13.2</v>
      </c>
      <c r="AP27" s="263">
        <v>15.1</v>
      </c>
      <c r="AQ27" s="263">
        <v>16.100000000000001</v>
      </c>
      <c r="AR27" s="263">
        <v>18.100000000000001</v>
      </c>
      <c r="AS27" s="263">
        <v>19.899999999999999</v>
      </c>
      <c r="AT27" s="263">
        <v>23.6</v>
      </c>
      <c r="AU27" s="263">
        <v>31</v>
      </c>
      <c r="AV27" s="263">
        <v>54.2</v>
      </c>
      <c r="AW27" s="263">
        <v>53.4</v>
      </c>
      <c r="AX27" s="263">
        <v>67.8</v>
      </c>
      <c r="AY27" s="263">
        <v>83.4</v>
      </c>
      <c r="AZ27" s="263">
        <v>88.4</v>
      </c>
      <c r="BA27" s="263">
        <v>112.3</v>
      </c>
      <c r="BB27" s="263">
        <v>136.6</v>
      </c>
      <c r="BC27" s="263">
        <v>141.80000000000001</v>
      </c>
      <c r="BD27" s="263">
        <v>125.4</v>
      </c>
      <c r="BE27" s="263">
        <v>125.4</v>
      </c>
      <c r="BF27" s="263">
        <v>143.9</v>
      </c>
      <c r="BG27" s="263">
        <v>139.1</v>
      </c>
      <c r="BH27" s="263">
        <v>131.19999999999999</v>
      </c>
      <c r="BI27" s="263">
        <v>150.6</v>
      </c>
      <c r="BJ27" s="263">
        <v>157.30000000000001</v>
      </c>
      <c r="BK27" s="263">
        <v>174.5</v>
      </c>
      <c r="BL27" s="263">
        <v>193.5</v>
      </c>
      <c r="BM27" s="263">
        <v>185.2</v>
      </c>
      <c r="BN27" s="263">
        <v>198.2</v>
      </c>
      <c r="BO27" s="263">
        <v>206.4</v>
      </c>
      <c r="BP27" s="263">
        <v>222.8</v>
      </c>
      <c r="BQ27" s="263">
        <v>246.7</v>
      </c>
      <c r="BR27" s="263">
        <v>274.10000000000002</v>
      </c>
      <c r="BS27" s="263">
        <v>297.10000000000002</v>
      </c>
      <c r="BT27" s="263">
        <v>293</v>
      </c>
      <c r="BU27" s="263">
        <v>335.4</v>
      </c>
      <c r="BV27" s="263">
        <v>428.6</v>
      </c>
      <c r="BW27" s="263">
        <v>419</v>
      </c>
      <c r="BX27" s="263">
        <v>425.1</v>
      </c>
      <c r="BY27" s="263">
        <v>489.9</v>
      </c>
      <c r="BZ27" s="263">
        <v>575</v>
      </c>
      <c r="CA27" s="263">
        <v>693.7</v>
      </c>
      <c r="CB27" s="263">
        <v>768.5</v>
      </c>
      <c r="CC27" s="263">
        <v>827.5</v>
      </c>
      <c r="CD27" s="263">
        <v>986.4</v>
      </c>
      <c r="CE27" s="263">
        <v>696.5</v>
      </c>
      <c r="CF27" s="263">
        <v>842.9</v>
      </c>
      <c r="CG27" s="263">
        <v>1006</v>
      </c>
      <c r="CH27" s="263">
        <v>977.3</v>
      </c>
      <c r="CI27" s="263">
        <v>941.3</v>
      </c>
      <c r="CJ27" s="263">
        <v>943.5</v>
      </c>
      <c r="CK27" s="263">
        <v>800.9</v>
      </c>
      <c r="CL27" s="263">
        <v>757.9</v>
      </c>
    </row>
    <row r="28" spans="1:90" ht="15">
      <c r="A28" s="263" t="s">
        <v>43</v>
      </c>
      <c r="B28" s="263" t="s">
        <v>933</v>
      </c>
      <c r="C28" s="263">
        <v>1.1000000000000001</v>
      </c>
      <c r="D28" s="263">
        <v>1</v>
      </c>
      <c r="E28" s="263">
        <v>0.8</v>
      </c>
      <c r="F28" s="263">
        <v>0.6</v>
      </c>
      <c r="G28" s="263">
        <v>0.4</v>
      </c>
      <c r="H28" s="263">
        <v>0.5</v>
      </c>
      <c r="I28" s="263">
        <v>0.5</v>
      </c>
      <c r="J28" s="263">
        <v>0.6</v>
      </c>
      <c r="K28" s="263">
        <v>0.8</v>
      </c>
      <c r="L28" s="263">
        <v>0.7</v>
      </c>
      <c r="M28" s="263">
        <v>0.7</v>
      </c>
      <c r="N28" s="263">
        <v>0.7</v>
      </c>
      <c r="O28" s="263">
        <v>1</v>
      </c>
      <c r="P28" s="263">
        <v>1.9</v>
      </c>
      <c r="Q28" s="263">
        <v>2.8</v>
      </c>
      <c r="R28" s="263">
        <v>3.1</v>
      </c>
      <c r="S28" s="263">
        <v>3.7</v>
      </c>
      <c r="T28" s="263">
        <v>1.9</v>
      </c>
      <c r="U28" s="263">
        <v>2</v>
      </c>
      <c r="V28" s="263">
        <v>2.5</v>
      </c>
      <c r="W28" s="263">
        <v>2.4</v>
      </c>
      <c r="X28" s="263">
        <v>2.5</v>
      </c>
      <c r="Y28" s="263">
        <v>3.4</v>
      </c>
      <c r="Z28" s="263">
        <v>4.5</v>
      </c>
      <c r="AA28" s="263">
        <v>5</v>
      </c>
      <c r="AB28" s="263">
        <v>5.0999999999999996</v>
      </c>
      <c r="AC28" s="263">
        <v>5.7</v>
      </c>
      <c r="AD28" s="263">
        <v>6.1</v>
      </c>
      <c r="AE28" s="263">
        <v>6.7</v>
      </c>
      <c r="AF28" s="263">
        <v>7.1</v>
      </c>
      <c r="AG28" s="263">
        <v>7</v>
      </c>
      <c r="AH28" s="263">
        <v>7.6</v>
      </c>
      <c r="AI28" s="263">
        <v>7.6</v>
      </c>
      <c r="AJ28" s="263">
        <v>8.1</v>
      </c>
      <c r="AK28" s="263">
        <v>8.4</v>
      </c>
      <c r="AL28" s="263">
        <v>8.6999999999999993</v>
      </c>
      <c r="AM28" s="263">
        <v>9.3000000000000007</v>
      </c>
      <c r="AN28" s="263">
        <v>10.7</v>
      </c>
      <c r="AO28" s="263">
        <v>12.2</v>
      </c>
      <c r="AP28" s="263">
        <v>12.6</v>
      </c>
      <c r="AQ28" s="263">
        <v>13.7</v>
      </c>
      <c r="AR28" s="263">
        <v>14.9</v>
      </c>
      <c r="AS28" s="263">
        <v>15.8</v>
      </c>
      <c r="AT28" s="263">
        <v>17.3</v>
      </c>
      <c r="AU28" s="263">
        <v>19.3</v>
      </c>
      <c r="AV28" s="263">
        <v>22.9</v>
      </c>
      <c r="AW28" s="263">
        <v>23.7</v>
      </c>
      <c r="AX28" s="263">
        <v>26.5</v>
      </c>
      <c r="AY28" s="263">
        <v>29.8</v>
      </c>
      <c r="AZ28" s="263">
        <v>34.799999999999997</v>
      </c>
      <c r="BA28" s="263">
        <v>39.9</v>
      </c>
      <c r="BB28" s="263">
        <v>45.3</v>
      </c>
      <c r="BC28" s="263">
        <v>49.9</v>
      </c>
      <c r="BD28" s="263">
        <v>52.6</v>
      </c>
      <c r="BE28" s="263">
        <v>56</v>
      </c>
      <c r="BF28" s="263">
        <v>68.8</v>
      </c>
      <c r="BG28" s="263">
        <v>73.900000000000006</v>
      </c>
      <c r="BH28" s="263">
        <v>82.9</v>
      </c>
      <c r="BI28" s="263">
        <v>93.9</v>
      </c>
      <c r="BJ28" s="263">
        <v>101.9</v>
      </c>
      <c r="BK28" s="263">
        <v>106.2</v>
      </c>
      <c r="BL28" s="263">
        <v>121.7</v>
      </c>
      <c r="BM28" s="263">
        <v>122.8</v>
      </c>
      <c r="BN28" s="263">
        <v>122.9</v>
      </c>
      <c r="BO28" s="263">
        <v>127.2</v>
      </c>
      <c r="BP28" s="263">
        <v>136.6</v>
      </c>
      <c r="BQ28" s="263">
        <v>145.1</v>
      </c>
      <c r="BR28" s="263">
        <v>156.5</v>
      </c>
      <c r="BS28" s="263">
        <v>170.1</v>
      </c>
      <c r="BT28" s="263">
        <v>184.9</v>
      </c>
      <c r="BU28" s="263">
        <v>197.4</v>
      </c>
      <c r="BV28" s="263">
        <v>221.2</v>
      </c>
      <c r="BW28" s="263">
        <v>218.7</v>
      </c>
      <c r="BX28" s="263">
        <v>229.6</v>
      </c>
      <c r="BY28" s="263">
        <v>247.7</v>
      </c>
      <c r="BZ28" s="263">
        <v>289.10000000000002</v>
      </c>
      <c r="CA28" s="263">
        <v>310.7</v>
      </c>
      <c r="CB28" s="263">
        <v>347.6</v>
      </c>
      <c r="CC28" s="263">
        <v>379.4</v>
      </c>
      <c r="CD28" s="263">
        <v>415.6</v>
      </c>
      <c r="CE28" s="263">
        <v>392.9</v>
      </c>
      <c r="CF28" s="263">
        <v>415.2</v>
      </c>
      <c r="CG28" s="263">
        <v>441.6</v>
      </c>
      <c r="CH28" s="263">
        <v>458</v>
      </c>
      <c r="CI28" s="263">
        <v>467.1</v>
      </c>
      <c r="CJ28" s="263">
        <v>487.1</v>
      </c>
      <c r="CK28" s="263">
        <v>498.5</v>
      </c>
      <c r="CL28" s="263">
        <v>511.6</v>
      </c>
    </row>
    <row r="29" spans="1:90" ht="15">
      <c r="A29" s="263" t="s">
        <v>42</v>
      </c>
      <c r="B29" s="269" t="s">
        <v>192</v>
      </c>
      <c r="C29" s="263">
        <v>0.4</v>
      </c>
      <c r="D29" s="263">
        <v>0.3</v>
      </c>
      <c r="E29" s="263">
        <v>0.3</v>
      </c>
      <c r="F29" s="263">
        <v>0.2</v>
      </c>
      <c r="G29" s="263">
        <v>0.1</v>
      </c>
      <c r="H29" s="263">
        <v>0.2</v>
      </c>
      <c r="I29" s="263">
        <v>0.2</v>
      </c>
      <c r="J29" s="263">
        <v>0.3</v>
      </c>
      <c r="K29" s="263">
        <v>0.4</v>
      </c>
      <c r="L29" s="263">
        <v>0.3</v>
      </c>
      <c r="M29" s="263">
        <v>0.3</v>
      </c>
      <c r="N29" s="263">
        <v>0.3</v>
      </c>
      <c r="O29" s="263">
        <v>0.3</v>
      </c>
      <c r="P29" s="263">
        <v>0.3</v>
      </c>
      <c r="Q29" s="263">
        <v>0.4</v>
      </c>
      <c r="R29" s="263">
        <v>0.4</v>
      </c>
      <c r="S29" s="263">
        <v>0.5</v>
      </c>
      <c r="T29" s="263">
        <v>0.4</v>
      </c>
      <c r="U29" s="263">
        <v>0.5</v>
      </c>
      <c r="V29" s="263">
        <v>0.6</v>
      </c>
      <c r="W29" s="263">
        <v>0.7</v>
      </c>
      <c r="X29" s="263">
        <v>0.7</v>
      </c>
      <c r="Y29" s="263">
        <v>0.9</v>
      </c>
      <c r="Z29" s="263">
        <v>0.9</v>
      </c>
      <c r="AA29" s="263">
        <v>0.9</v>
      </c>
      <c r="AB29" s="263">
        <v>0.9</v>
      </c>
      <c r="AC29" s="263">
        <v>1.1000000000000001</v>
      </c>
      <c r="AD29" s="263">
        <v>1.1000000000000001</v>
      </c>
      <c r="AE29" s="263">
        <v>1.2</v>
      </c>
      <c r="AF29" s="263">
        <v>1.2</v>
      </c>
      <c r="AG29" s="263">
        <v>1.5</v>
      </c>
      <c r="AH29" s="263">
        <v>1.8</v>
      </c>
      <c r="AI29" s="263">
        <v>1.8</v>
      </c>
      <c r="AJ29" s="263">
        <v>1.8</v>
      </c>
      <c r="AK29" s="263">
        <v>2.1</v>
      </c>
      <c r="AL29" s="263">
        <v>2.2999999999999998</v>
      </c>
      <c r="AM29" s="263">
        <v>2.6</v>
      </c>
      <c r="AN29" s="263">
        <v>3</v>
      </c>
      <c r="AO29" s="263">
        <v>3.3</v>
      </c>
      <c r="AP29" s="263">
        <v>4</v>
      </c>
      <c r="AQ29" s="263">
        <v>5.7</v>
      </c>
      <c r="AR29" s="263">
        <v>6.4</v>
      </c>
      <c r="AS29" s="263">
        <v>6.4</v>
      </c>
      <c r="AT29" s="263">
        <v>7.7</v>
      </c>
      <c r="AU29" s="263">
        <v>10.9</v>
      </c>
      <c r="AV29" s="263">
        <v>14.3</v>
      </c>
      <c r="AW29" s="263">
        <v>15</v>
      </c>
      <c r="AX29" s="263">
        <v>15.5</v>
      </c>
      <c r="AY29" s="263">
        <v>16.899999999999999</v>
      </c>
      <c r="AZ29" s="263">
        <v>24.7</v>
      </c>
      <c r="BA29" s="263">
        <v>36.4</v>
      </c>
      <c r="BB29" s="263">
        <v>44.9</v>
      </c>
      <c r="BC29" s="263">
        <v>59.1</v>
      </c>
      <c r="BD29" s="263">
        <v>64.5</v>
      </c>
      <c r="BE29" s="263">
        <v>64.8</v>
      </c>
      <c r="BF29" s="263">
        <v>85.6</v>
      </c>
      <c r="BG29" s="263">
        <v>87.3</v>
      </c>
      <c r="BH29" s="263">
        <v>94.4</v>
      </c>
      <c r="BI29" s="263">
        <v>105.8</v>
      </c>
      <c r="BJ29" s="263">
        <v>129.5</v>
      </c>
      <c r="BK29" s="263">
        <v>152.9</v>
      </c>
      <c r="BL29" s="263">
        <v>154.19999999999999</v>
      </c>
      <c r="BM29" s="263">
        <v>136.80000000000001</v>
      </c>
      <c r="BN29" s="263">
        <v>121</v>
      </c>
      <c r="BO29" s="263">
        <v>123.6</v>
      </c>
      <c r="BP29" s="263">
        <v>160.69999999999999</v>
      </c>
      <c r="BQ29" s="263">
        <v>201.1</v>
      </c>
      <c r="BR29" s="263">
        <v>214.6</v>
      </c>
      <c r="BS29" s="263">
        <v>256</v>
      </c>
      <c r="BT29" s="263">
        <v>268.5</v>
      </c>
      <c r="BU29" s="263">
        <v>294.3</v>
      </c>
      <c r="BV29" s="263">
        <v>345.7</v>
      </c>
      <c r="BW29" s="263">
        <v>273.5</v>
      </c>
      <c r="BX29" s="263">
        <v>267.2</v>
      </c>
      <c r="BY29" s="263">
        <v>289</v>
      </c>
      <c r="BZ29" s="263">
        <v>362.3</v>
      </c>
      <c r="CA29" s="263">
        <v>483.2</v>
      </c>
      <c r="CB29" s="263">
        <v>656.6</v>
      </c>
      <c r="CC29" s="263">
        <v>750.1</v>
      </c>
      <c r="CD29" s="263">
        <v>684.9</v>
      </c>
      <c r="CE29" s="263">
        <v>497.8</v>
      </c>
      <c r="CF29" s="263">
        <v>514.1</v>
      </c>
      <c r="CG29" s="263">
        <v>546</v>
      </c>
      <c r="CH29" s="263">
        <v>563.9</v>
      </c>
      <c r="CI29" s="263">
        <v>581.29999999999995</v>
      </c>
      <c r="CJ29" s="263">
        <v>612.6</v>
      </c>
      <c r="CK29" s="263">
        <v>608.4</v>
      </c>
      <c r="CL29" s="263">
        <v>647.20000000000005</v>
      </c>
    </row>
    <row r="30" spans="1:90" ht="15">
      <c r="A30" s="263" t="s">
        <v>41</v>
      </c>
      <c r="B30" s="263" t="s">
        <v>944</v>
      </c>
      <c r="C30" s="263" t="s">
        <v>33</v>
      </c>
      <c r="D30" s="263" t="s">
        <v>33</v>
      </c>
      <c r="E30" s="263" t="s">
        <v>33</v>
      </c>
      <c r="F30" s="263" t="s">
        <v>33</v>
      </c>
      <c r="G30" s="263" t="s">
        <v>33</v>
      </c>
      <c r="H30" s="263" t="s">
        <v>33</v>
      </c>
      <c r="I30" s="263" t="s">
        <v>33</v>
      </c>
      <c r="J30" s="263" t="s">
        <v>33</v>
      </c>
      <c r="K30" s="263" t="s">
        <v>33</v>
      </c>
      <c r="L30" s="263" t="s">
        <v>33</v>
      </c>
      <c r="M30" s="263" t="s">
        <v>33</v>
      </c>
      <c r="N30" s="263" t="s">
        <v>33</v>
      </c>
      <c r="O30" s="263" t="s">
        <v>33</v>
      </c>
      <c r="P30" s="263" t="s">
        <v>33</v>
      </c>
      <c r="Q30" s="263" t="s">
        <v>33</v>
      </c>
      <c r="R30" s="263" t="s">
        <v>33</v>
      </c>
      <c r="S30" s="263" t="s">
        <v>33</v>
      </c>
      <c r="T30" s="263" t="s">
        <v>33</v>
      </c>
      <c r="U30" s="263" t="s">
        <v>33</v>
      </c>
      <c r="V30" s="263">
        <v>0</v>
      </c>
      <c r="W30" s="263">
        <v>0.1</v>
      </c>
      <c r="X30" s="263">
        <v>0</v>
      </c>
      <c r="Y30" s="263">
        <v>0.1</v>
      </c>
      <c r="Z30" s="263">
        <v>0.1</v>
      </c>
      <c r="AA30" s="263">
        <v>0.1</v>
      </c>
      <c r="AB30" s="263">
        <v>0.2</v>
      </c>
      <c r="AC30" s="263">
        <v>0.2</v>
      </c>
      <c r="AD30" s="263">
        <v>0.2</v>
      </c>
      <c r="AE30" s="263">
        <v>0.2</v>
      </c>
      <c r="AF30" s="263">
        <v>0.2</v>
      </c>
      <c r="AG30" s="263">
        <v>0.2</v>
      </c>
      <c r="AH30" s="263">
        <v>0.3</v>
      </c>
      <c r="AI30" s="263">
        <v>0.3</v>
      </c>
      <c r="AJ30" s="263">
        <v>0.3</v>
      </c>
      <c r="AK30" s="263">
        <v>0.2</v>
      </c>
      <c r="AL30" s="263">
        <v>0.2</v>
      </c>
      <c r="AM30" s="263">
        <v>0.2</v>
      </c>
      <c r="AN30" s="263">
        <v>0.2</v>
      </c>
      <c r="AO30" s="263">
        <v>0.2</v>
      </c>
      <c r="AP30" s="263">
        <v>0.2</v>
      </c>
      <c r="AQ30" s="263">
        <v>0.2</v>
      </c>
      <c r="AR30" s="263">
        <v>0.2</v>
      </c>
      <c r="AS30" s="263">
        <v>0.2</v>
      </c>
      <c r="AT30" s="263">
        <v>0.3</v>
      </c>
      <c r="AU30" s="263">
        <v>0.3</v>
      </c>
      <c r="AV30" s="263">
        <v>0.4</v>
      </c>
      <c r="AW30" s="263">
        <v>0.4</v>
      </c>
      <c r="AX30" s="263">
        <v>0.4</v>
      </c>
      <c r="AY30" s="263">
        <v>0.5</v>
      </c>
      <c r="AZ30" s="263">
        <v>0.5</v>
      </c>
      <c r="BA30" s="263">
        <v>0.5</v>
      </c>
      <c r="BB30" s="263">
        <v>0.6</v>
      </c>
      <c r="BC30" s="263">
        <v>0.7</v>
      </c>
      <c r="BD30" s="263">
        <v>0.7</v>
      </c>
      <c r="BE30" s="263">
        <v>0.7</v>
      </c>
      <c r="BF30" s="263">
        <v>0.8</v>
      </c>
      <c r="BG30" s="263">
        <v>0.9</v>
      </c>
      <c r="BH30" s="263">
        <v>2.7</v>
      </c>
      <c r="BI30" s="263">
        <v>2.4</v>
      </c>
      <c r="BJ30" s="263">
        <v>1.9</v>
      </c>
      <c r="BK30" s="263">
        <v>2.2999999999999998</v>
      </c>
      <c r="BL30" s="263">
        <v>3.5</v>
      </c>
      <c r="BM30" s="263">
        <v>4</v>
      </c>
      <c r="BN30" s="263">
        <v>4.8</v>
      </c>
      <c r="BO30" s="263">
        <v>5.0999999999999996</v>
      </c>
      <c r="BP30" s="263">
        <v>6</v>
      </c>
      <c r="BQ30" s="263">
        <v>6.3</v>
      </c>
      <c r="BR30" s="263">
        <v>6.3</v>
      </c>
      <c r="BS30" s="263">
        <v>6.7</v>
      </c>
      <c r="BT30" s="263">
        <v>7</v>
      </c>
      <c r="BU30" s="263">
        <v>11.4</v>
      </c>
      <c r="BV30" s="263">
        <v>11</v>
      </c>
      <c r="BW30" s="263">
        <v>11.7</v>
      </c>
      <c r="BX30" s="263">
        <v>12.4</v>
      </c>
      <c r="BY30" s="263">
        <v>12.9</v>
      </c>
      <c r="BZ30" s="263">
        <v>14</v>
      </c>
      <c r="CA30" s="263">
        <v>15.9</v>
      </c>
      <c r="CB30" s="263">
        <v>16.399999999999999</v>
      </c>
      <c r="CC30" s="263">
        <v>15.7</v>
      </c>
      <c r="CD30" s="263">
        <v>17.100000000000001</v>
      </c>
      <c r="CE30" s="263">
        <v>14.4</v>
      </c>
      <c r="CF30" s="263">
        <v>14</v>
      </c>
      <c r="CG30" s="263">
        <v>14.2</v>
      </c>
      <c r="CH30" s="263">
        <v>14.9</v>
      </c>
      <c r="CI30" s="263">
        <v>16</v>
      </c>
      <c r="CJ30" s="263">
        <v>17.100000000000001</v>
      </c>
      <c r="CK30" s="263">
        <v>18.3</v>
      </c>
      <c r="CL30" s="263">
        <v>20.100000000000001</v>
      </c>
    </row>
    <row r="31" spans="1:90" ht="15">
      <c r="A31" s="263" t="s">
        <v>40</v>
      </c>
      <c r="B31" s="263" t="s">
        <v>945</v>
      </c>
      <c r="C31" s="263" t="s">
        <v>33</v>
      </c>
      <c r="D31" s="263" t="s">
        <v>33</v>
      </c>
      <c r="E31" s="263" t="s">
        <v>33</v>
      </c>
      <c r="F31" s="263" t="s">
        <v>33</v>
      </c>
      <c r="G31" s="263" t="s">
        <v>33</v>
      </c>
      <c r="H31" s="263" t="s">
        <v>33</v>
      </c>
      <c r="I31" s="263" t="s">
        <v>33</v>
      </c>
      <c r="J31" s="263" t="s">
        <v>33</v>
      </c>
      <c r="K31" s="263" t="s">
        <v>33</v>
      </c>
      <c r="L31" s="263" t="s">
        <v>33</v>
      </c>
      <c r="M31" s="263" t="s">
        <v>33</v>
      </c>
      <c r="N31" s="263" t="s">
        <v>33</v>
      </c>
      <c r="O31" s="263" t="s">
        <v>33</v>
      </c>
      <c r="P31" s="263" t="s">
        <v>33</v>
      </c>
      <c r="Q31" s="263" t="s">
        <v>33</v>
      </c>
      <c r="R31" s="263" t="s">
        <v>33</v>
      </c>
      <c r="S31" s="263" t="s">
        <v>33</v>
      </c>
      <c r="T31" s="263" t="s">
        <v>33</v>
      </c>
      <c r="U31" s="263" t="s">
        <v>33</v>
      </c>
      <c r="V31" s="263">
        <v>0.6</v>
      </c>
      <c r="W31" s="263">
        <v>0.6</v>
      </c>
      <c r="X31" s="263">
        <v>0.7</v>
      </c>
      <c r="Y31" s="263">
        <v>0.8</v>
      </c>
      <c r="Z31" s="263">
        <v>0.7</v>
      </c>
      <c r="AA31" s="263">
        <v>0.8</v>
      </c>
      <c r="AB31" s="263">
        <v>0.8</v>
      </c>
      <c r="AC31" s="263">
        <v>0.9</v>
      </c>
      <c r="AD31" s="263">
        <v>0.9</v>
      </c>
      <c r="AE31" s="263">
        <v>1</v>
      </c>
      <c r="AF31" s="263">
        <v>1</v>
      </c>
      <c r="AG31" s="263">
        <v>1.3</v>
      </c>
      <c r="AH31" s="263">
        <v>1.5</v>
      </c>
      <c r="AI31" s="263">
        <v>1.5</v>
      </c>
      <c r="AJ31" s="263">
        <v>1.6</v>
      </c>
      <c r="AK31" s="263">
        <v>1.8</v>
      </c>
      <c r="AL31" s="263">
        <v>2.1</v>
      </c>
      <c r="AM31" s="263">
        <v>2.4</v>
      </c>
      <c r="AN31" s="263">
        <v>2.8</v>
      </c>
      <c r="AO31" s="263">
        <v>3.1</v>
      </c>
      <c r="AP31" s="263">
        <v>3.8</v>
      </c>
      <c r="AQ31" s="263">
        <v>5.5</v>
      </c>
      <c r="AR31" s="263">
        <v>6.2</v>
      </c>
      <c r="AS31" s="263">
        <v>6.2</v>
      </c>
      <c r="AT31" s="263">
        <v>7.4</v>
      </c>
      <c r="AU31" s="263">
        <v>10.6</v>
      </c>
      <c r="AV31" s="263">
        <v>13.9</v>
      </c>
      <c r="AW31" s="263">
        <v>14.6</v>
      </c>
      <c r="AX31" s="263">
        <v>15.1</v>
      </c>
      <c r="AY31" s="263">
        <v>16.399999999999999</v>
      </c>
      <c r="AZ31" s="263">
        <v>24.2</v>
      </c>
      <c r="BA31" s="263">
        <v>35.9</v>
      </c>
      <c r="BB31" s="263">
        <v>44.3</v>
      </c>
      <c r="BC31" s="263">
        <v>58.4</v>
      </c>
      <c r="BD31" s="263">
        <v>63.8</v>
      </c>
      <c r="BE31" s="263">
        <v>64</v>
      </c>
      <c r="BF31" s="263">
        <v>84.7</v>
      </c>
      <c r="BG31" s="263">
        <v>86.4</v>
      </c>
      <c r="BH31" s="263">
        <v>91.7</v>
      </c>
      <c r="BI31" s="263">
        <v>103.5</v>
      </c>
      <c r="BJ31" s="263">
        <v>127.6</v>
      </c>
      <c r="BK31" s="263">
        <v>150.6</v>
      </c>
      <c r="BL31" s="263">
        <v>150.69999999999999</v>
      </c>
      <c r="BM31" s="263">
        <v>132.69999999999999</v>
      </c>
      <c r="BN31" s="263">
        <v>116.2</v>
      </c>
      <c r="BO31" s="263">
        <v>118.5</v>
      </c>
      <c r="BP31" s="263">
        <v>154.69999999999999</v>
      </c>
      <c r="BQ31" s="263">
        <v>194.8</v>
      </c>
      <c r="BR31" s="263">
        <v>208.3</v>
      </c>
      <c r="BS31" s="263">
        <v>249.3</v>
      </c>
      <c r="BT31" s="263">
        <v>261.5</v>
      </c>
      <c r="BU31" s="263">
        <v>282.89999999999998</v>
      </c>
      <c r="BV31" s="263">
        <v>334.7</v>
      </c>
      <c r="BW31" s="263">
        <v>261.8</v>
      </c>
      <c r="BX31" s="263">
        <v>254.8</v>
      </c>
      <c r="BY31" s="263">
        <v>276.10000000000002</v>
      </c>
      <c r="BZ31" s="263">
        <v>348.3</v>
      </c>
      <c r="CA31" s="263">
        <v>467.3</v>
      </c>
      <c r="CB31" s="263">
        <v>640.20000000000005</v>
      </c>
      <c r="CC31" s="263">
        <v>734.4</v>
      </c>
      <c r="CD31" s="263">
        <v>667.9</v>
      </c>
      <c r="CE31" s="263">
        <v>483.4</v>
      </c>
      <c r="CF31" s="263">
        <v>500.1</v>
      </c>
      <c r="CG31" s="263">
        <v>531.79999999999995</v>
      </c>
      <c r="CH31" s="263">
        <v>549</v>
      </c>
      <c r="CI31" s="263">
        <v>565.29999999999995</v>
      </c>
      <c r="CJ31" s="263">
        <v>595.6</v>
      </c>
      <c r="CK31" s="263">
        <v>590.1</v>
      </c>
      <c r="CL31" s="263">
        <v>627</v>
      </c>
    </row>
    <row r="32" spans="1:90" ht="15">
      <c r="A32" s="263" t="s">
        <v>37</v>
      </c>
      <c r="B32" s="263" t="s">
        <v>936</v>
      </c>
      <c r="C32" s="263" t="s">
        <v>33</v>
      </c>
      <c r="D32" s="263" t="s">
        <v>33</v>
      </c>
      <c r="E32" s="263" t="s">
        <v>33</v>
      </c>
      <c r="F32" s="263" t="s">
        <v>33</v>
      </c>
      <c r="G32" s="263" t="s">
        <v>33</v>
      </c>
      <c r="H32" s="263" t="s">
        <v>33</v>
      </c>
      <c r="I32" s="263" t="s">
        <v>33</v>
      </c>
      <c r="J32" s="263" t="s">
        <v>33</v>
      </c>
      <c r="K32" s="263" t="s">
        <v>33</v>
      </c>
      <c r="L32" s="263" t="s">
        <v>33</v>
      </c>
      <c r="M32" s="263" t="s">
        <v>33</v>
      </c>
      <c r="N32" s="263" t="s">
        <v>33</v>
      </c>
      <c r="O32" s="263" t="s">
        <v>33</v>
      </c>
      <c r="P32" s="263" t="s">
        <v>33</v>
      </c>
      <c r="Q32" s="263" t="s">
        <v>33</v>
      </c>
      <c r="R32" s="263" t="s">
        <v>33</v>
      </c>
      <c r="S32" s="263" t="s">
        <v>33</v>
      </c>
      <c r="T32" s="263" t="s">
        <v>33</v>
      </c>
      <c r="U32" s="263" t="s">
        <v>33</v>
      </c>
      <c r="V32" s="263">
        <v>0.2</v>
      </c>
      <c r="W32" s="263">
        <v>0.2</v>
      </c>
      <c r="X32" s="263">
        <v>0.2</v>
      </c>
      <c r="Y32" s="263">
        <v>0.3</v>
      </c>
      <c r="Z32" s="263">
        <v>0.3</v>
      </c>
      <c r="AA32" s="263">
        <v>0.3</v>
      </c>
      <c r="AB32" s="263">
        <v>0.3</v>
      </c>
      <c r="AC32" s="263">
        <v>0.3</v>
      </c>
      <c r="AD32" s="263">
        <v>0.4</v>
      </c>
      <c r="AE32" s="263">
        <v>0.5</v>
      </c>
      <c r="AF32" s="263">
        <v>0.5</v>
      </c>
      <c r="AG32" s="263">
        <v>0.6</v>
      </c>
      <c r="AH32" s="263">
        <v>0.8</v>
      </c>
      <c r="AI32" s="263">
        <v>0.7</v>
      </c>
      <c r="AJ32" s="263">
        <v>0.9</v>
      </c>
      <c r="AK32" s="263">
        <v>1</v>
      </c>
      <c r="AL32" s="263">
        <v>1.2</v>
      </c>
      <c r="AM32" s="263">
        <v>1.3</v>
      </c>
      <c r="AN32" s="263">
        <v>1.7</v>
      </c>
      <c r="AO32" s="263">
        <v>1.9</v>
      </c>
      <c r="AP32" s="263">
        <v>2.4</v>
      </c>
      <c r="AQ32" s="263">
        <v>4</v>
      </c>
      <c r="AR32" s="263">
        <v>4.7</v>
      </c>
      <c r="AS32" s="263">
        <v>4.2</v>
      </c>
      <c r="AT32" s="263">
        <v>5.2</v>
      </c>
      <c r="AU32" s="263">
        <v>7.9</v>
      </c>
      <c r="AV32" s="263">
        <v>11</v>
      </c>
      <c r="AW32" s="263">
        <v>11.3</v>
      </c>
      <c r="AX32" s="263">
        <v>10.7</v>
      </c>
      <c r="AY32" s="263">
        <v>11.8</v>
      </c>
      <c r="AZ32" s="263">
        <v>18</v>
      </c>
      <c r="BA32" s="263">
        <v>27.9</v>
      </c>
      <c r="BB32" s="263">
        <v>36</v>
      </c>
      <c r="BC32" s="263">
        <v>50</v>
      </c>
      <c r="BD32" s="263">
        <v>59.7</v>
      </c>
      <c r="BE32" s="263">
        <v>58</v>
      </c>
      <c r="BF32" s="263">
        <v>75.2</v>
      </c>
      <c r="BG32" s="263">
        <v>77.7</v>
      </c>
      <c r="BH32" s="263">
        <v>82.4</v>
      </c>
      <c r="BI32" s="263">
        <v>92.5</v>
      </c>
      <c r="BJ32" s="263">
        <v>113</v>
      </c>
      <c r="BK32" s="263">
        <v>142.19999999999999</v>
      </c>
      <c r="BL32" s="263">
        <v>145.80000000000001</v>
      </c>
      <c r="BM32" s="263">
        <v>133.69999999999999</v>
      </c>
      <c r="BN32" s="263">
        <v>111</v>
      </c>
      <c r="BO32" s="263">
        <v>106.4</v>
      </c>
      <c r="BP32" s="263">
        <v>128.19999999999999</v>
      </c>
      <c r="BQ32" s="263">
        <v>160.4</v>
      </c>
      <c r="BR32" s="263">
        <v>170.9</v>
      </c>
      <c r="BS32" s="263">
        <v>201.4</v>
      </c>
      <c r="BT32" s="263">
        <v>217.5</v>
      </c>
      <c r="BU32" s="263">
        <v>227.6</v>
      </c>
      <c r="BV32" s="263">
        <v>277.89999999999998</v>
      </c>
      <c r="BW32" s="263">
        <v>248.9</v>
      </c>
      <c r="BX32" s="263">
        <v>208.3</v>
      </c>
      <c r="BY32" s="263">
        <v>192.7</v>
      </c>
      <c r="BZ32" s="263">
        <v>225.2</v>
      </c>
      <c r="CA32" s="263">
        <v>322.7</v>
      </c>
      <c r="CB32" s="263">
        <v>462.6</v>
      </c>
      <c r="CC32" s="263">
        <v>577.29999999999995</v>
      </c>
      <c r="CD32" s="263">
        <v>492.6</v>
      </c>
      <c r="CE32" s="263">
        <v>342.5</v>
      </c>
      <c r="CF32" s="263">
        <v>310.7</v>
      </c>
      <c r="CG32" s="263">
        <v>309.39999999999998</v>
      </c>
      <c r="CH32" s="263">
        <v>309.10000000000002</v>
      </c>
      <c r="CI32" s="263">
        <v>309.10000000000002</v>
      </c>
      <c r="CJ32" s="263">
        <v>306.7</v>
      </c>
      <c r="CK32" s="263">
        <v>322</v>
      </c>
      <c r="CL32" s="263">
        <v>350.3</v>
      </c>
    </row>
    <row r="33" spans="1:90" ht="15">
      <c r="A33" s="263" t="s">
        <v>36</v>
      </c>
      <c r="B33" s="263" t="s">
        <v>937</v>
      </c>
      <c r="C33" s="263" t="s">
        <v>33</v>
      </c>
      <c r="D33" s="263" t="s">
        <v>33</v>
      </c>
      <c r="E33" s="263" t="s">
        <v>33</v>
      </c>
      <c r="F33" s="263" t="s">
        <v>33</v>
      </c>
      <c r="G33" s="263" t="s">
        <v>33</v>
      </c>
      <c r="H33" s="263" t="s">
        <v>33</v>
      </c>
      <c r="I33" s="263" t="s">
        <v>33</v>
      </c>
      <c r="J33" s="263" t="s">
        <v>33</v>
      </c>
      <c r="K33" s="263" t="s">
        <v>33</v>
      </c>
      <c r="L33" s="263" t="s">
        <v>33</v>
      </c>
      <c r="M33" s="263" t="s">
        <v>33</v>
      </c>
      <c r="N33" s="263" t="s">
        <v>33</v>
      </c>
      <c r="O33" s="263" t="s">
        <v>33</v>
      </c>
      <c r="P33" s="263" t="s">
        <v>33</v>
      </c>
      <c r="Q33" s="263" t="s">
        <v>33</v>
      </c>
      <c r="R33" s="263" t="s">
        <v>33</v>
      </c>
      <c r="S33" s="263" t="s">
        <v>33</v>
      </c>
      <c r="T33" s="263" t="s">
        <v>33</v>
      </c>
      <c r="U33" s="263" t="s">
        <v>33</v>
      </c>
      <c r="V33" s="263">
        <v>0.2</v>
      </c>
      <c r="W33" s="263">
        <v>0.3</v>
      </c>
      <c r="X33" s="263">
        <v>0.3</v>
      </c>
      <c r="Y33" s="263">
        <v>0.3</v>
      </c>
      <c r="Z33" s="263">
        <v>0.3</v>
      </c>
      <c r="AA33" s="263">
        <v>0.3</v>
      </c>
      <c r="AB33" s="263">
        <v>0.3</v>
      </c>
      <c r="AC33" s="263">
        <v>0.3</v>
      </c>
      <c r="AD33" s="263">
        <v>0.4</v>
      </c>
      <c r="AE33" s="263">
        <v>0.4</v>
      </c>
      <c r="AF33" s="263">
        <v>0.4</v>
      </c>
      <c r="AG33" s="263">
        <v>0.4</v>
      </c>
      <c r="AH33" s="263">
        <v>0.5</v>
      </c>
      <c r="AI33" s="263">
        <v>0.5</v>
      </c>
      <c r="AJ33" s="263">
        <v>0.5</v>
      </c>
      <c r="AK33" s="263">
        <v>0.6</v>
      </c>
      <c r="AL33" s="263">
        <v>0.6</v>
      </c>
      <c r="AM33" s="263">
        <v>0.7</v>
      </c>
      <c r="AN33" s="263">
        <v>0.8</v>
      </c>
      <c r="AO33" s="263">
        <v>0.8</v>
      </c>
      <c r="AP33" s="263">
        <v>0.9</v>
      </c>
      <c r="AQ33" s="263">
        <v>1</v>
      </c>
      <c r="AR33" s="263">
        <v>1.1000000000000001</v>
      </c>
      <c r="AS33" s="263">
        <v>1.4</v>
      </c>
      <c r="AT33" s="263">
        <v>1.6</v>
      </c>
      <c r="AU33" s="263">
        <v>1.8</v>
      </c>
      <c r="AV33" s="263">
        <v>1.9</v>
      </c>
      <c r="AW33" s="263">
        <v>2.1</v>
      </c>
      <c r="AX33" s="263">
        <v>2.7</v>
      </c>
      <c r="AY33" s="263">
        <v>3.1</v>
      </c>
      <c r="AZ33" s="263">
        <v>3.5</v>
      </c>
      <c r="BA33" s="263">
        <v>3.9</v>
      </c>
      <c r="BB33" s="263">
        <v>4.7</v>
      </c>
      <c r="BC33" s="263">
        <v>5.3</v>
      </c>
      <c r="BD33" s="263">
        <v>7.5</v>
      </c>
      <c r="BE33" s="263">
        <v>7.4</v>
      </c>
      <c r="BF33" s="263">
        <v>7.4</v>
      </c>
      <c r="BG33" s="263">
        <v>9.1999999999999993</v>
      </c>
      <c r="BH33" s="263">
        <v>10</v>
      </c>
      <c r="BI33" s="263">
        <v>11.2</v>
      </c>
      <c r="BJ33" s="263">
        <v>13.2</v>
      </c>
      <c r="BK33" s="263">
        <v>16.3</v>
      </c>
      <c r="BL33" s="263">
        <v>18.7</v>
      </c>
      <c r="BM33" s="263">
        <v>17.100000000000001</v>
      </c>
      <c r="BN33" s="263">
        <v>16.600000000000001</v>
      </c>
      <c r="BO33" s="263">
        <v>18.899999999999999</v>
      </c>
      <c r="BP33" s="263">
        <v>21.5</v>
      </c>
      <c r="BQ33" s="263">
        <v>25.8</v>
      </c>
      <c r="BR33" s="263">
        <v>28.7</v>
      </c>
      <c r="BS33" s="263">
        <v>32.799999999999997</v>
      </c>
      <c r="BT33" s="263">
        <v>41</v>
      </c>
      <c r="BU33" s="263">
        <v>51</v>
      </c>
      <c r="BV33" s="263">
        <v>56.9</v>
      </c>
      <c r="BW33" s="263">
        <v>46.5</v>
      </c>
      <c r="BX33" s="263">
        <v>44.8</v>
      </c>
      <c r="BY33" s="263">
        <v>68.900000000000006</v>
      </c>
      <c r="BZ33" s="263">
        <v>73.3</v>
      </c>
      <c r="CA33" s="263">
        <v>102.5</v>
      </c>
      <c r="CB33" s="263">
        <v>108.1</v>
      </c>
      <c r="CC33" s="263">
        <v>108.6</v>
      </c>
      <c r="CD33" s="263">
        <v>135.9</v>
      </c>
      <c r="CE33" s="263">
        <v>119</v>
      </c>
      <c r="CF33" s="263">
        <v>126.6</v>
      </c>
      <c r="CG33" s="263">
        <v>143.69999999999999</v>
      </c>
      <c r="CH33" s="263">
        <v>152.30000000000001</v>
      </c>
      <c r="CI33" s="263">
        <v>179.5</v>
      </c>
      <c r="CJ33" s="263">
        <v>193.9</v>
      </c>
      <c r="CK33" s="263">
        <v>187.3</v>
      </c>
      <c r="CL33" s="263">
        <v>178.9</v>
      </c>
    </row>
    <row r="34" spans="1:90" ht="15">
      <c r="A34" s="263" t="s">
        <v>35</v>
      </c>
      <c r="B34" s="263" t="s">
        <v>946</v>
      </c>
      <c r="C34" s="263" t="s">
        <v>33</v>
      </c>
      <c r="D34" s="263" t="s">
        <v>33</v>
      </c>
      <c r="E34" s="263" t="s">
        <v>33</v>
      </c>
      <c r="F34" s="263" t="s">
        <v>33</v>
      </c>
      <c r="G34" s="263" t="s">
        <v>33</v>
      </c>
      <c r="H34" s="263" t="s">
        <v>33</v>
      </c>
      <c r="I34" s="263" t="s">
        <v>33</v>
      </c>
      <c r="J34" s="263" t="s">
        <v>33</v>
      </c>
      <c r="K34" s="263" t="s">
        <v>33</v>
      </c>
      <c r="L34" s="263" t="s">
        <v>33</v>
      </c>
      <c r="M34" s="263" t="s">
        <v>33</v>
      </c>
      <c r="N34" s="263" t="s">
        <v>33</v>
      </c>
      <c r="O34" s="263" t="s">
        <v>33</v>
      </c>
      <c r="P34" s="263" t="s">
        <v>33</v>
      </c>
      <c r="Q34" s="263" t="s">
        <v>33</v>
      </c>
      <c r="R34" s="263" t="s">
        <v>33</v>
      </c>
      <c r="S34" s="263" t="s">
        <v>33</v>
      </c>
      <c r="T34" s="263" t="s">
        <v>33</v>
      </c>
      <c r="U34" s="263" t="s">
        <v>33</v>
      </c>
      <c r="V34" s="263">
        <v>0.2</v>
      </c>
      <c r="W34" s="263">
        <v>0.1</v>
      </c>
      <c r="X34" s="263">
        <v>0.2</v>
      </c>
      <c r="Y34" s="263">
        <v>0.2</v>
      </c>
      <c r="Z34" s="263">
        <v>0.1</v>
      </c>
      <c r="AA34" s="263">
        <v>0.2</v>
      </c>
      <c r="AB34" s="263">
        <v>0.2</v>
      </c>
      <c r="AC34" s="263">
        <v>0.2</v>
      </c>
      <c r="AD34" s="263">
        <v>0.2</v>
      </c>
      <c r="AE34" s="263">
        <v>0.2</v>
      </c>
      <c r="AF34" s="263">
        <v>0.2</v>
      </c>
      <c r="AG34" s="263">
        <v>0.2</v>
      </c>
      <c r="AH34" s="263">
        <v>0.2</v>
      </c>
      <c r="AI34" s="263">
        <v>0.2</v>
      </c>
      <c r="AJ34" s="263">
        <v>0.2</v>
      </c>
      <c r="AK34" s="263">
        <v>0.2</v>
      </c>
      <c r="AL34" s="263">
        <v>0.3</v>
      </c>
      <c r="AM34" s="263">
        <v>0.4</v>
      </c>
      <c r="AN34" s="263">
        <v>0.3</v>
      </c>
      <c r="AO34" s="263">
        <v>0.4</v>
      </c>
      <c r="AP34" s="263">
        <v>0.5</v>
      </c>
      <c r="AQ34" s="263">
        <v>0.4</v>
      </c>
      <c r="AR34" s="263">
        <v>0.4</v>
      </c>
      <c r="AS34" s="263">
        <v>0.6</v>
      </c>
      <c r="AT34" s="263">
        <v>0.6</v>
      </c>
      <c r="AU34" s="263">
        <v>0.9</v>
      </c>
      <c r="AV34" s="263">
        <v>1.1000000000000001</v>
      </c>
      <c r="AW34" s="263">
        <v>1.2</v>
      </c>
      <c r="AX34" s="263">
        <v>1.7</v>
      </c>
      <c r="AY34" s="263">
        <v>1.6</v>
      </c>
      <c r="AZ34" s="263">
        <v>2.6</v>
      </c>
      <c r="BA34" s="263">
        <v>4.0999999999999996</v>
      </c>
      <c r="BB34" s="263">
        <v>3.6</v>
      </c>
      <c r="BC34" s="263">
        <v>3.1</v>
      </c>
      <c r="BD34" s="263">
        <v>-3.4</v>
      </c>
      <c r="BE34" s="263">
        <v>-1.3</v>
      </c>
      <c r="BF34" s="263">
        <v>2.2000000000000002</v>
      </c>
      <c r="BG34" s="263">
        <v>-0.5</v>
      </c>
      <c r="BH34" s="263">
        <v>-0.7</v>
      </c>
      <c r="BI34" s="263">
        <v>-0.3</v>
      </c>
      <c r="BJ34" s="263">
        <v>1.4</v>
      </c>
      <c r="BK34" s="263">
        <v>-7.9</v>
      </c>
      <c r="BL34" s="263">
        <v>-13.9</v>
      </c>
      <c r="BM34" s="263">
        <v>-18.100000000000001</v>
      </c>
      <c r="BN34" s="263">
        <v>-11.4</v>
      </c>
      <c r="BO34" s="263">
        <v>-6.9</v>
      </c>
      <c r="BP34" s="263">
        <v>5.0999999999999996</v>
      </c>
      <c r="BQ34" s="263">
        <v>8.6</v>
      </c>
      <c r="BR34" s="263">
        <v>8.6999999999999993</v>
      </c>
      <c r="BS34" s="263">
        <v>15.2</v>
      </c>
      <c r="BT34" s="263">
        <v>3</v>
      </c>
      <c r="BU34" s="263">
        <v>4.3</v>
      </c>
      <c r="BV34" s="263">
        <v>-0.1</v>
      </c>
      <c r="BW34" s="263">
        <v>-33.700000000000003</v>
      </c>
      <c r="BX34" s="263">
        <v>1.8</v>
      </c>
      <c r="BY34" s="263">
        <v>14.5</v>
      </c>
      <c r="BZ34" s="263">
        <v>49.8</v>
      </c>
      <c r="CA34" s="263">
        <v>42.1</v>
      </c>
      <c r="CB34" s="263">
        <v>69.5</v>
      </c>
      <c r="CC34" s="263">
        <v>48.5</v>
      </c>
      <c r="CD34" s="263">
        <v>39.4</v>
      </c>
      <c r="CE34" s="263">
        <v>21.9</v>
      </c>
      <c r="CF34" s="263">
        <v>62.8</v>
      </c>
      <c r="CG34" s="263">
        <v>78.7</v>
      </c>
      <c r="CH34" s="263">
        <v>87.6</v>
      </c>
      <c r="CI34" s="263">
        <v>76.7</v>
      </c>
      <c r="CJ34" s="263">
        <v>95</v>
      </c>
      <c r="CK34" s="263">
        <v>80.900000000000006</v>
      </c>
      <c r="CL34" s="263">
        <v>97.8</v>
      </c>
    </row>
    <row r="35" spans="1:90" ht="15">
      <c r="A35" s="263" t="s">
        <v>34</v>
      </c>
      <c r="B35" s="269" t="s">
        <v>947</v>
      </c>
      <c r="C35" s="263">
        <v>0.4</v>
      </c>
      <c r="D35" s="263">
        <v>0.3</v>
      </c>
      <c r="E35" s="263">
        <v>0.3</v>
      </c>
      <c r="F35" s="263">
        <v>0.2</v>
      </c>
      <c r="G35" s="263">
        <v>0.2</v>
      </c>
      <c r="H35" s="263">
        <v>0.2</v>
      </c>
      <c r="I35" s="263">
        <v>0.2</v>
      </c>
      <c r="J35" s="263">
        <v>0.2</v>
      </c>
      <c r="K35" s="263">
        <v>0.2</v>
      </c>
      <c r="L35" s="263">
        <v>0.2</v>
      </c>
      <c r="M35" s="263">
        <v>0.2</v>
      </c>
      <c r="N35" s="263">
        <v>0.2</v>
      </c>
      <c r="O35" s="263">
        <v>0.2</v>
      </c>
      <c r="P35" s="263">
        <v>0.2</v>
      </c>
      <c r="Q35" s="263">
        <v>0.2</v>
      </c>
      <c r="R35" s="263">
        <v>0.3</v>
      </c>
      <c r="S35" s="263">
        <v>0.8</v>
      </c>
      <c r="T35" s="263">
        <v>2.9</v>
      </c>
      <c r="U35" s="263">
        <v>2.6</v>
      </c>
      <c r="V35" s="263">
        <v>4.5</v>
      </c>
      <c r="W35" s="263">
        <v>5.6</v>
      </c>
      <c r="X35" s="263">
        <v>4</v>
      </c>
      <c r="Y35" s="263">
        <v>3.5</v>
      </c>
      <c r="Z35" s="263">
        <v>2.6</v>
      </c>
      <c r="AA35" s="263">
        <v>2.5</v>
      </c>
      <c r="AB35" s="263">
        <v>2.2999999999999998</v>
      </c>
      <c r="AC35" s="263">
        <v>2.6</v>
      </c>
      <c r="AD35" s="263">
        <v>2.5</v>
      </c>
      <c r="AE35" s="263">
        <v>2.4</v>
      </c>
      <c r="AF35" s="263">
        <v>2.4</v>
      </c>
      <c r="AG35" s="263">
        <v>4.4000000000000004</v>
      </c>
      <c r="AH35" s="263">
        <v>4.0999999999999996</v>
      </c>
      <c r="AI35" s="263">
        <v>4.2</v>
      </c>
      <c r="AJ35" s="263">
        <v>4.4000000000000004</v>
      </c>
      <c r="AK35" s="263">
        <v>4.5</v>
      </c>
      <c r="AL35" s="263">
        <v>4.4000000000000004</v>
      </c>
      <c r="AM35" s="263">
        <v>4.7</v>
      </c>
      <c r="AN35" s="263">
        <v>5.0999999999999996</v>
      </c>
      <c r="AO35" s="263">
        <v>5.5</v>
      </c>
      <c r="AP35" s="263">
        <v>5.9</v>
      </c>
      <c r="AQ35" s="263">
        <v>5.9</v>
      </c>
      <c r="AR35" s="263">
        <v>6.6</v>
      </c>
      <c r="AS35" s="263">
        <v>7.9</v>
      </c>
      <c r="AT35" s="263">
        <v>9.1999999999999993</v>
      </c>
      <c r="AU35" s="263">
        <v>7.9</v>
      </c>
      <c r="AV35" s="263">
        <v>8.6999999999999993</v>
      </c>
      <c r="AW35" s="263">
        <v>9.1</v>
      </c>
      <c r="AX35" s="263">
        <v>8.1</v>
      </c>
      <c r="AY35" s="263">
        <v>8.1</v>
      </c>
      <c r="AZ35" s="263">
        <v>8.8000000000000007</v>
      </c>
      <c r="BA35" s="263">
        <v>10.6</v>
      </c>
      <c r="BB35" s="263">
        <v>12.6</v>
      </c>
      <c r="BC35" s="263">
        <v>17</v>
      </c>
      <c r="BD35" s="263">
        <v>19.8</v>
      </c>
      <c r="BE35" s="263">
        <v>20.5</v>
      </c>
      <c r="BF35" s="263">
        <v>23.6</v>
      </c>
      <c r="BG35" s="263">
        <v>25.7</v>
      </c>
      <c r="BH35" s="263">
        <v>27.8</v>
      </c>
      <c r="BI35" s="263">
        <v>26.8</v>
      </c>
      <c r="BJ35" s="263">
        <v>29</v>
      </c>
      <c r="BK35" s="263">
        <v>30.4</v>
      </c>
      <c r="BL35" s="263">
        <v>31.7</v>
      </c>
      <c r="BM35" s="263">
        <v>-4.9000000000000004</v>
      </c>
      <c r="BN35" s="263">
        <v>41.9</v>
      </c>
      <c r="BO35" s="263">
        <v>45.4</v>
      </c>
      <c r="BP35" s="263">
        <v>46.1</v>
      </c>
      <c r="BQ35" s="263">
        <v>44.1</v>
      </c>
      <c r="BR35" s="263">
        <v>49.5</v>
      </c>
      <c r="BS35" s="263">
        <v>51.4</v>
      </c>
      <c r="BT35" s="263">
        <v>60</v>
      </c>
      <c r="BU35" s="263">
        <v>93.7</v>
      </c>
      <c r="BV35" s="263">
        <v>105.8</v>
      </c>
      <c r="BW35" s="263">
        <v>116.7</v>
      </c>
      <c r="BX35" s="263">
        <v>129.19999999999999</v>
      </c>
      <c r="BY35" s="263">
        <v>144.9</v>
      </c>
      <c r="BZ35" s="263">
        <v>161.30000000000001</v>
      </c>
      <c r="CA35" s="263">
        <v>178.7</v>
      </c>
      <c r="CB35" s="263">
        <v>174.6</v>
      </c>
      <c r="CC35" s="263">
        <v>201.2</v>
      </c>
      <c r="CD35" s="263">
        <v>232</v>
      </c>
      <c r="CE35" s="263">
        <v>231</v>
      </c>
      <c r="CF35" s="263">
        <v>236.4</v>
      </c>
      <c r="CG35" s="263">
        <v>253.4</v>
      </c>
      <c r="CH35" s="263">
        <v>254.3</v>
      </c>
      <c r="CI35" s="263">
        <v>270.2</v>
      </c>
      <c r="CJ35" s="263">
        <v>254.4</v>
      </c>
      <c r="CK35" s="263">
        <v>262.3</v>
      </c>
      <c r="CL35" s="263">
        <v>277.10000000000002</v>
      </c>
    </row>
    <row r="36" spans="1:90" ht="15">
      <c r="A36" s="263" t="s">
        <v>30</v>
      </c>
      <c r="B36" s="263" t="s">
        <v>948</v>
      </c>
      <c r="C36" s="263">
        <v>0.3</v>
      </c>
      <c r="D36" s="263">
        <v>0.3</v>
      </c>
      <c r="E36" s="263">
        <v>0.3</v>
      </c>
      <c r="F36" s="263">
        <v>0.2</v>
      </c>
      <c r="G36" s="263">
        <v>0.2</v>
      </c>
      <c r="H36" s="263">
        <v>0.2</v>
      </c>
      <c r="I36" s="263">
        <v>0.2</v>
      </c>
      <c r="J36" s="263">
        <v>0.2</v>
      </c>
      <c r="K36" s="263">
        <v>0.2</v>
      </c>
      <c r="L36" s="263">
        <v>0.2</v>
      </c>
      <c r="M36" s="263">
        <v>0.2</v>
      </c>
      <c r="N36" s="263">
        <v>0.2</v>
      </c>
      <c r="O36" s="263">
        <v>0.2</v>
      </c>
      <c r="P36" s="263">
        <v>0.1</v>
      </c>
      <c r="Q36" s="263">
        <v>0.2</v>
      </c>
      <c r="R36" s="263">
        <v>0.4</v>
      </c>
      <c r="S36" s="263">
        <v>0.5</v>
      </c>
      <c r="T36" s="263">
        <v>0.7</v>
      </c>
      <c r="U36" s="263">
        <v>0.7</v>
      </c>
      <c r="V36" s="263">
        <v>0.7</v>
      </c>
      <c r="W36" s="263">
        <v>0.5</v>
      </c>
      <c r="X36" s="263">
        <v>0.4</v>
      </c>
      <c r="Y36" s="263">
        <v>0.4</v>
      </c>
      <c r="Z36" s="263">
        <v>0.4</v>
      </c>
      <c r="AA36" s="263">
        <v>0.5</v>
      </c>
      <c r="AB36" s="263">
        <v>0.5</v>
      </c>
      <c r="AC36" s="263">
        <v>0.4</v>
      </c>
      <c r="AD36" s="263">
        <v>0.5</v>
      </c>
      <c r="AE36" s="263">
        <v>0.5</v>
      </c>
      <c r="AF36" s="263">
        <v>0.4</v>
      </c>
      <c r="AG36" s="263">
        <v>0.5</v>
      </c>
      <c r="AH36" s="263">
        <v>0.5</v>
      </c>
      <c r="AI36" s="263">
        <v>0.5</v>
      </c>
      <c r="AJ36" s="263">
        <v>0.6</v>
      </c>
      <c r="AK36" s="263">
        <v>0.7</v>
      </c>
      <c r="AL36" s="263">
        <v>0.7</v>
      </c>
      <c r="AM36" s="263">
        <v>0.8</v>
      </c>
      <c r="AN36" s="263">
        <v>0.8</v>
      </c>
      <c r="AO36" s="263">
        <v>1</v>
      </c>
      <c r="AP36" s="263">
        <v>1</v>
      </c>
      <c r="AQ36" s="263">
        <v>1.1000000000000001</v>
      </c>
      <c r="AR36" s="263">
        <v>1.3</v>
      </c>
      <c r="AS36" s="263">
        <v>1.4</v>
      </c>
      <c r="AT36" s="263">
        <v>1.4</v>
      </c>
      <c r="AU36" s="263">
        <v>1.6</v>
      </c>
      <c r="AV36" s="263">
        <v>1.4</v>
      </c>
      <c r="AW36" s="263">
        <v>1.3</v>
      </c>
      <c r="AX36" s="263">
        <v>1.4</v>
      </c>
      <c r="AY36" s="263">
        <v>1.4</v>
      </c>
      <c r="AZ36" s="263">
        <v>1.6</v>
      </c>
      <c r="BA36" s="263">
        <v>1.7</v>
      </c>
      <c r="BB36" s="263">
        <v>2</v>
      </c>
      <c r="BC36" s="263">
        <v>5.6</v>
      </c>
      <c r="BD36" s="263">
        <v>6.7</v>
      </c>
      <c r="BE36" s="263">
        <v>7</v>
      </c>
      <c r="BF36" s="263">
        <v>7.9</v>
      </c>
      <c r="BG36" s="263">
        <v>8.3000000000000007</v>
      </c>
      <c r="BH36" s="263">
        <v>9.1</v>
      </c>
      <c r="BI36" s="263">
        <v>10</v>
      </c>
      <c r="BJ36" s="263">
        <v>10.8</v>
      </c>
      <c r="BK36" s="263">
        <v>11.6</v>
      </c>
      <c r="BL36" s="263">
        <v>12.2</v>
      </c>
      <c r="BM36" s="263">
        <v>14.1</v>
      </c>
      <c r="BN36" s="263">
        <v>14.5</v>
      </c>
      <c r="BO36" s="263">
        <v>17.100000000000001</v>
      </c>
      <c r="BP36" s="263">
        <v>18.899999999999999</v>
      </c>
      <c r="BQ36" s="263">
        <v>20.3</v>
      </c>
      <c r="BR36" s="263">
        <v>22.6</v>
      </c>
      <c r="BS36" s="263">
        <v>25.7</v>
      </c>
      <c r="BT36" s="263">
        <v>29.7</v>
      </c>
      <c r="BU36" s="263">
        <v>60.1</v>
      </c>
      <c r="BV36" s="263">
        <v>63.8</v>
      </c>
      <c r="BW36" s="263">
        <v>73.3</v>
      </c>
      <c r="BX36" s="263">
        <v>84.2</v>
      </c>
      <c r="BY36" s="263">
        <v>91.8</v>
      </c>
      <c r="BZ36" s="263">
        <v>88.8</v>
      </c>
      <c r="CA36" s="263">
        <v>93.9</v>
      </c>
      <c r="CB36" s="263">
        <v>99.5</v>
      </c>
      <c r="CC36" s="263">
        <v>111.6</v>
      </c>
      <c r="CD36" s="263">
        <v>137.19999999999999</v>
      </c>
      <c r="CE36" s="263">
        <v>139.6</v>
      </c>
      <c r="CF36" s="263">
        <v>147.5</v>
      </c>
      <c r="CG36" s="263">
        <v>164.5</v>
      </c>
      <c r="CH36" s="263">
        <v>158.4</v>
      </c>
      <c r="CI36" s="263">
        <v>175.3</v>
      </c>
      <c r="CJ36" s="263">
        <v>178.4</v>
      </c>
      <c r="CK36" s="263">
        <v>176.5</v>
      </c>
      <c r="CL36" s="263">
        <v>187.3</v>
      </c>
    </row>
    <row r="37" spans="1:90" ht="15">
      <c r="A37" s="263" t="s">
        <v>29</v>
      </c>
      <c r="B37" s="263" t="s">
        <v>949</v>
      </c>
      <c r="C37" s="263">
        <v>0</v>
      </c>
      <c r="D37" s="263">
        <v>0</v>
      </c>
      <c r="E37" s="263">
        <v>0</v>
      </c>
      <c r="F37" s="263">
        <v>0</v>
      </c>
      <c r="G37" s="263">
        <v>0</v>
      </c>
      <c r="H37" s="263">
        <v>0</v>
      </c>
      <c r="I37" s="263">
        <v>0</v>
      </c>
      <c r="J37" s="263">
        <v>0</v>
      </c>
      <c r="K37" s="263">
        <v>0.1</v>
      </c>
      <c r="L37" s="263">
        <v>0</v>
      </c>
      <c r="M37" s="263">
        <v>0</v>
      </c>
      <c r="N37" s="263">
        <v>0</v>
      </c>
      <c r="O37" s="263">
        <v>0</v>
      </c>
      <c r="P37" s="263">
        <v>0.1</v>
      </c>
      <c r="Q37" s="263">
        <v>-0.1</v>
      </c>
      <c r="R37" s="263">
        <v>-0.1</v>
      </c>
      <c r="S37" s="263">
        <v>0.3</v>
      </c>
      <c r="T37" s="263">
        <v>2.2999999999999998</v>
      </c>
      <c r="U37" s="263">
        <v>2</v>
      </c>
      <c r="V37" s="263">
        <v>3.8</v>
      </c>
      <c r="W37" s="263">
        <v>5.0999999999999996</v>
      </c>
      <c r="X37" s="263">
        <v>3.6</v>
      </c>
      <c r="Y37" s="263">
        <v>3.1</v>
      </c>
      <c r="Z37" s="263">
        <v>2.1</v>
      </c>
      <c r="AA37" s="263">
        <v>2</v>
      </c>
      <c r="AB37" s="263">
        <v>1.9</v>
      </c>
      <c r="AC37" s="263">
        <v>2.1</v>
      </c>
      <c r="AD37" s="263">
        <v>2</v>
      </c>
      <c r="AE37" s="263">
        <v>1.9</v>
      </c>
      <c r="AF37" s="263">
        <v>1.9</v>
      </c>
      <c r="AG37" s="263">
        <v>3.9</v>
      </c>
      <c r="AH37" s="263">
        <v>3.6</v>
      </c>
      <c r="AI37" s="263">
        <v>3.6</v>
      </c>
      <c r="AJ37" s="263">
        <v>3.7</v>
      </c>
      <c r="AK37" s="263">
        <v>3.7</v>
      </c>
      <c r="AL37" s="263">
        <v>3.5</v>
      </c>
      <c r="AM37" s="263">
        <v>3.8</v>
      </c>
      <c r="AN37" s="263">
        <v>4.0999999999999996</v>
      </c>
      <c r="AO37" s="263">
        <v>4.2</v>
      </c>
      <c r="AP37" s="263">
        <v>4.5999999999999996</v>
      </c>
      <c r="AQ37" s="263">
        <v>4.5</v>
      </c>
      <c r="AR37" s="263">
        <v>4.9000000000000004</v>
      </c>
      <c r="AS37" s="263">
        <v>6.1</v>
      </c>
      <c r="AT37" s="263">
        <v>7.4</v>
      </c>
      <c r="AU37" s="263">
        <v>5.6</v>
      </c>
      <c r="AV37" s="263">
        <v>6.4</v>
      </c>
      <c r="AW37" s="263">
        <v>7.1</v>
      </c>
      <c r="AX37" s="263">
        <v>5.7</v>
      </c>
      <c r="AY37" s="263">
        <v>5.3</v>
      </c>
      <c r="AZ37" s="263">
        <v>5.9</v>
      </c>
      <c r="BA37" s="263">
        <v>6.8</v>
      </c>
      <c r="BB37" s="263">
        <v>8.3000000000000007</v>
      </c>
      <c r="BC37" s="263">
        <v>8.3000000000000007</v>
      </c>
      <c r="BD37" s="263">
        <v>9.6999999999999993</v>
      </c>
      <c r="BE37" s="263">
        <v>10.1</v>
      </c>
      <c r="BF37" s="263">
        <v>12.2</v>
      </c>
      <c r="BG37" s="263">
        <v>14.4</v>
      </c>
      <c r="BH37" s="263">
        <v>15.4</v>
      </c>
      <c r="BI37" s="263">
        <v>13.4</v>
      </c>
      <c r="BJ37" s="263">
        <v>13.7</v>
      </c>
      <c r="BK37" s="263">
        <v>14.2</v>
      </c>
      <c r="BL37" s="263">
        <v>14.7</v>
      </c>
      <c r="BM37" s="263">
        <v>-24</v>
      </c>
      <c r="BN37" s="263">
        <v>22</v>
      </c>
      <c r="BO37" s="263">
        <v>22.9</v>
      </c>
      <c r="BP37" s="263">
        <v>21.1</v>
      </c>
      <c r="BQ37" s="263">
        <v>15.6</v>
      </c>
      <c r="BR37" s="263">
        <v>20</v>
      </c>
      <c r="BS37" s="263">
        <v>16.7</v>
      </c>
      <c r="BT37" s="263">
        <v>17.399999999999999</v>
      </c>
      <c r="BU37" s="263">
        <v>27.3</v>
      </c>
      <c r="BV37" s="263">
        <v>31</v>
      </c>
      <c r="BW37" s="263">
        <v>27.7</v>
      </c>
      <c r="BX37" s="263">
        <v>33</v>
      </c>
      <c r="BY37" s="263">
        <v>38.700000000000003</v>
      </c>
      <c r="BZ37" s="263">
        <v>41.4</v>
      </c>
      <c r="CA37" s="263">
        <v>52.1</v>
      </c>
      <c r="CB37" s="263">
        <v>47.4</v>
      </c>
      <c r="CC37" s="263">
        <v>55.6</v>
      </c>
      <c r="CD37" s="263">
        <v>60.5</v>
      </c>
      <c r="CE37" s="263">
        <v>68.7</v>
      </c>
      <c r="CF37" s="263">
        <v>70</v>
      </c>
      <c r="CG37" s="263">
        <v>74.7</v>
      </c>
      <c r="CH37" s="263">
        <v>73.3</v>
      </c>
      <c r="CI37" s="263">
        <v>72.7</v>
      </c>
      <c r="CJ37" s="263">
        <v>72.099999999999994</v>
      </c>
      <c r="CK37" s="263">
        <v>73.5</v>
      </c>
      <c r="CL37" s="263">
        <v>74.5</v>
      </c>
    </row>
    <row r="38" spans="1:90" ht="15">
      <c r="A38" s="263" t="s">
        <v>27</v>
      </c>
      <c r="B38" s="263" t="s">
        <v>950</v>
      </c>
      <c r="C38" s="263">
        <v>0</v>
      </c>
      <c r="D38" s="263">
        <v>0</v>
      </c>
      <c r="E38" s="263">
        <v>0</v>
      </c>
      <c r="F38" s="263">
        <v>0</v>
      </c>
      <c r="G38" s="263">
        <v>0</v>
      </c>
      <c r="H38" s="263">
        <v>0</v>
      </c>
      <c r="I38" s="263">
        <v>0</v>
      </c>
      <c r="J38" s="263">
        <v>0</v>
      </c>
      <c r="K38" s="263">
        <v>0</v>
      </c>
      <c r="L38" s="263">
        <v>0</v>
      </c>
      <c r="M38" s="263">
        <v>0</v>
      </c>
      <c r="N38" s="263">
        <v>0</v>
      </c>
      <c r="O38" s="263">
        <v>0</v>
      </c>
      <c r="P38" s="263">
        <v>0</v>
      </c>
      <c r="Q38" s="263">
        <v>0</v>
      </c>
      <c r="R38" s="263">
        <v>0</v>
      </c>
      <c r="S38" s="263">
        <v>0</v>
      </c>
      <c r="T38" s="263">
        <v>0</v>
      </c>
      <c r="U38" s="263">
        <v>0</v>
      </c>
      <c r="V38" s="263">
        <v>0</v>
      </c>
      <c r="W38" s="263">
        <v>0</v>
      </c>
      <c r="X38" s="263">
        <v>0</v>
      </c>
      <c r="Y38" s="263">
        <v>0</v>
      </c>
      <c r="Z38" s="263">
        <v>0</v>
      </c>
      <c r="AA38" s="263">
        <v>0</v>
      </c>
      <c r="AB38" s="263">
        <v>0</v>
      </c>
      <c r="AC38" s="263">
        <v>0</v>
      </c>
      <c r="AD38" s="263">
        <v>0</v>
      </c>
      <c r="AE38" s="263">
        <v>0</v>
      </c>
      <c r="AF38" s="263">
        <v>0</v>
      </c>
      <c r="AG38" s="263">
        <v>0.1</v>
      </c>
      <c r="AH38" s="263">
        <v>0.1</v>
      </c>
      <c r="AI38" s="263">
        <v>0.1</v>
      </c>
      <c r="AJ38" s="263">
        <v>0.1</v>
      </c>
      <c r="AK38" s="263">
        <v>0.1</v>
      </c>
      <c r="AL38" s="263">
        <v>0.2</v>
      </c>
      <c r="AM38" s="263">
        <v>0.2</v>
      </c>
      <c r="AN38" s="263">
        <v>0.2</v>
      </c>
      <c r="AO38" s="263">
        <v>0.2</v>
      </c>
      <c r="AP38" s="263">
        <v>0.3</v>
      </c>
      <c r="AQ38" s="263">
        <v>0.3</v>
      </c>
      <c r="AR38" s="263">
        <v>0.4</v>
      </c>
      <c r="AS38" s="263">
        <v>0.4</v>
      </c>
      <c r="AT38" s="263">
        <v>0.5</v>
      </c>
      <c r="AU38" s="263">
        <v>0.7</v>
      </c>
      <c r="AV38" s="263">
        <v>1</v>
      </c>
      <c r="AW38" s="263">
        <v>0.7</v>
      </c>
      <c r="AX38" s="263">
        <v>1.1000000000000001</v>
      </c>
      <c r="AY38" s="263">
        <v>1.4</v>
      </c>
      <c r="AZ38" s="263">
        <v>1.4</v>
      </c>
      <c r="BA38" s="263">
        <v>2</v>
      </c>
      <c r="BB38" s="263">
        <v>2.4</v>
      </c>
      <c r="BC38" s="263">
        <v>3.2</v>
      </c>
      <c r="BD38" s="263">
        <v>3.4</v>
      </c>
      <c r="BE38" s="263">
        <v>3.4</v>
      </c>
      <c r="BF38" s="263">
        <v>3.5</v>
      </c>
      <c r="BG38" s="263">
        <v>2.9</v>
      </c>
      <c r="BH38" s="263">
        <v>3.2</v>
      </c>
      <c r="BI38" s="263">
        <v>3.4</v>
      </c>
      <c r="BJ38" s="263">
        <v>4.5</v>
      </c>
      <c r="BK38" s="263">
        <v>4.5999999999999996</v>
      </c>
      <c r="BL38" s="263">
        <v>4.8</v>
      </c>
      <c r="BM38" s="263">
        <v>5</v>
      </c>
      <c r="BN38" s="263">
        <v>5.4</v>
      </c>
      <c r="BO38" s="263">
        <v>5.4</v>
      </c>
      <c r="BP38" s="263">
        <v>6</v>
      </c>
      <c r="BQ38" s="263">
        <v>8.1999999999999993</v>
      </c>
      <c r="BR38" s="263">
        <v>6.9</v>
      </c>
      <c r="BS38" s="263">
        <v>9.1</v>
      </c>
      <c r="BT38" s="263">
        <v>13</v>
      </c>
      <c r="BU38" s="263">
        <v>6.3</v>
      </c>
      <c r="BV38" s="263">
        <v>10.9</v>
      </c>
      <c r="BW38" s="263">
        <v>15.7</v>
      </c>
      <c r="BX38" s="263">
        <v>12</v>
      </c>
      <c r="BY38" s="263">
        <v>14.5</v>
      </c>
      <c r="BZ38" s="263">
        <v>31</v>
      </c>
      <c r="CA38" s="263">
        <v>32.700000000000003</v>
      </c>
      <c r="CB38" s="263">
        <v>27.6</v>
      </c>
      <c r="CC38" s="263">
        <v>34</v>
      </c>
      <c r="CD38" s="263">
        <v>34.299999999999997</v>
      </c>
      <c r="CE38" s="263">
        <v>22.7</v>
      </c>
      <c r="CF38" s="263">
        <v>18.899999999999999</v>
      </c>
      <c r="CG38" s="263">
        <v>14.2</v>
      </c>
      <c r="CH38" s="263">
        <v>22.6</v>
      </c>
      <c r="CI38" s="263">
        <v>22.2</v>
      </c>
      <c r="CJ38" s="263">
        <v>3.8</v>
      </c>
      <c r="CK38" s="263">
        <v>12.3</v>
      </c>
      <c r="CL38" s="263">
        <v>15.3</v>
      </c>
    </row>
    <row r="39" spans="1:90" ht="15">
      <c r="A39" s="263" t="s">
        <v>26</v>
      </c>
      <c r="B39" s="269" t="s">
        <v>951</v>
      </c>
      <c r="C39" s="263">
        <v>0.8</v>
      </c>
      <c r="D39" s="263">
        <v>0.7</v>
      </c>
      <c r="E39" s="263">
        <v>0.2</v>
      </c>
      <c r="F39" s="263">
        <v>0.2</v>
      </c>
      <c r="G39" s="263">
        <v>0.2</v>
      </c>
      <c r="H39" s="263">
        <v>0.4</v>
      </c>
      <c r="I39" s="263">
        <v>-0.1</v>
      </c>
      <c r="J39" s="263">
        <v>-0.1</v>
      </c>
      <c r="K39" s="263">
        <v>0.2</v>
      </c>
      <c r="L39" s="263">
        <v>1.2</v>
      </c>
      <c r="M39" s="263">
        <v>1</v>
      </c>
      <c r="N39" s="263">
        <v>1.5</v>
      </c>
      <c r="O39" s="263">
        <v>1.3</v>
      </c>
      <c r="P39" s="263">
        <v>-0.1</v>
      </c>
      <c r="Q39" s="263">
        <v>-2.1</v>
      </c>
      <c r="R39" s="263">
        <v>-2</v>
      </c>
      <c r="S39" s="263">
        <v>-1.3</v>
      </c>
      <c r="T39" s="263">
        <v>4.9000000000000004</v>
      </c>
      <c r="U39" s="263">
        <v>9.3000000000000007</v>
      </c>
      <c r="V39" s="263">
        <v>2.4</v>
      </c>
      <c r="W39" s="263">
        <v>0.9</v>
      </c>
      <c r="X39" s="263">
        <v>-1.8</v>
      </c>
      <c r="Y39" s="263">
        <v>0.9</v>
      </c>
      <c r="Z39" s="263">
        <v>0.6</v>
      </c>
      <c r="AA39" s="263">
        <v>-1.3</v>
      </c>
      <c r="AB39" s="263">
        <v>0.2</v>
      </c>
      <c r="AC39" s="263">
        <v>0.4</v>
      </c>
      <c r="AD39" s="263">
        <v>2.7</v>
      </c>
      <c r="AE39" s="263">
        <v>4.7</v>
      </c>
      <c r="AF39" s="263">
        <v>0.8</v>
      </c>
      <c r="AG39" s="263">
        <v>-1.3</v>
      </c>
      <c r="AH39" s="263">
        <v>3.2</v>
      </c>
      <c r="AI39" s="263">
        <v>4.2</v>
      </c>
      <c r="AJ39" s="263">
        <v>3.8</v>
      </c>
      <c r="AK39" s="263">
        <v>4.9000000000000004</v>
      </c>
      <c r="AL39" s="263">
        <v>7.5</v>
      </c>
      <c r="AM39" s="263">
        <v>6.2</v>
      </c>
      <c r="AN39" s="263">
        <v>3.8</v>
      </c>
      <c r="AO39" s="263">
        <v>3.5</v>
      </c>
      <c r="AP39" s="263">
        <v>1.5</v>
      </c>
      <c r="AQ39" s="263">
        <v>1.6</v>
      </c>
      <c r="AR39" s="263">
        <v>3.7</v>
      </c>
      <c r="AS39" s="263">
        <v>0.3</v>
      </c>
      <c r="AT39" s="263">
        <v>-4</v>
      </c>
      <c r="AU39" s="263">
        <v>8.9</v>
      </c>
      <c r="AV39" s="263">
        <v>6</v>
      </c>
      <c r="AW39" s="263">
        <v>19.8</v>
      </c>
      <c r="AX39" s="263">
        <v>7.1</v>
      </c>
      <c r="AY39" s="263">
        <v>-10.9</v>
      </c>
      <c r="AZ39" s="263">
        <v>-12.6</v>
      </c>
      <c r="BA39" s="263">
        <v>-1.2</v>
      </c>
      <c r="BB39" s="263">
        <v>8.5</v>
      </c>
      <c r="BC39" s="263">
        <v>3.4</v>
      </c>
      <c r="BD39" s="263">
        <v>-3.3</v>
      </c>
      <c r="BE39" s="263">
        <v>-35.1</v>
      </c>
      <c r="BF39" s="263">
        <v>-90.1</v>
      </c>
      <c r="BG39" s="263">
        <v>-114.3</v>
      </c>
      <c r="BH39" s="263">
        <v>-142.69999999999999</v>
      </c>
      <c r="BI39" s="263">
        <v>-154.1</v>
      </c>
      <c r="BJ39" s="263">
        <v>-115.7</v>
      </c>
      <c r="BK39" s="263">
        <v>-92.4</v>
      </c>
      <c r="BL39" s="263">
        <v>-74.900000000000006</v>
      </c>
      <c r="BM39" s="263">
        <v>7.9</v>
      </c>
      <c r="BN39" s="263">
        <v>-45.6</v>
      </c>
      <c r="BO39" s="263">
        <v>-78.5</v>
      </c>
      <c r="BP39" s="263">
        <v>-114.7</v>
      </c>
      <c r="BQ39" s="263">
        <v>-105.1</v>
      </c>
      <c r="BR39" s="263">
        <v>-114.1</v>
      </c>
      <c r="BS39" s="263">
        <v>-129.30000000000001</v>
      </c>
      <c r="BT39" s="263">
        <v>-204.5</v>
      </c>
      <c r="BU39" s="263">
        <v>-286.60000000000002</v>
      </c>
      <c r="BV39" s="263">
        <v>-403.7</v>
      </c>
      <c r="BW39" s="263">
        <v>-388.8</v>
      </c>
      <c r="BX39" s="263">
        <v>-450.8</v>
      </c>
      <c r="BY39" s="263">
        <v>-515.70000000000005</v>
      </c>
      <c r="BZ39" s="263">
        <v>-627</v>
      </c>
      <c r="CA39" s="263">
        <v>-737.7</v>
      </c>
      <c r="CB39" s="263">
        <v>-802.2</v>
      </c>
      <c r="CC39" s="263">
        <v>-718.1</v>
      </c>
      <c r="CD39" s="263">
        <v>-691.6</v>
      </c>
      <c r="CE39" s="263">
        <v>-381.9</v>
      </c>
      <c r="CF39" s="263">
        <v>-445.9</v>
      </c>
      <c r="CG39" s="263">
        <v>-481.5</v>
      </c>
      <c r="CH39" s="263">
        <v>-468.2</v>
      </c>
      <c r="CI39" s="263">
        <v>-386.1</v>
      </c>
      <c r="CJ39" s="263">
        <v>-384</v>
      </c>
      <c r="CK39" s="263">
        <v>-450.6</v>
      </c>
      <c r="CL39" s="263">
        <v>-460.9</v>
      </c>
    </row>
    <row r="40" spans="1:90" ht="15">
      <c r="A40" s="263" t="s">
        <v>32</v>
      </c>
      <c r="B40" s="269" t="s">
        <v>31</v>
      </c>
      <c r="C40" s="263" t="s">
        <v>0</v>
      </c>
      <c r="D40" s="263" t="s">
        <v>0</v>
      </c>
      <c r="E40" s="263" t="s">
        <v>0</v>
      </c>
      <c r="F40" s="263" t="s">
        <v>0</v>
      </c>
      <c r="G40" s="263" t="s">
        <v>0</v>
      </c>
      <c r="H40" s="263" t="s">
        <v>0</v>
      </c>
      <c r="I40" s="263" t="s">
        <v>0</v>
      </c>
      <c r="J40" s="263" t="s">
        <v>0</v>
      </c>
      <c r="K40" s="263" t="s">
        <v>0</v>
      </c>
      <c r="L40" s="263" t="s">
        <v>0</v>
      </c>
      <c r="M40" s="263" t="s">
        <v>0</v>
      </c>
      <c r="N40" s="263" t="s">
        <v>0</v>
      </c>
      <c r="O40" s="263" t="s">
        <v>0</v>
      </c>
      <c r="P40" s="263" t="s">
        <v>0</v>
      </c>
      <c r="Q40" s="263" t="s">
        <v>0</v>
      </c>
      <c r="R40" s="263" t="s">
        <v>0</v>
      </c>
      <c r="S40" s="263" t="s">
        <v>0</v>
      </c>
      <c r="T40" s="263" t="s">
        <v>0</v>
      </c>
      <c r="U40" s="263" t="s">
        <v>0</v>
      </c>
      <c r="V40" s="263" t="s">
        <v>0</v>
      </c>
      <c r="W40" s="263" t="s">
        <v>0</v>
      </c>
      <c r="X40" s="263" t="s">
        <v>0</v>
      </c>
      <c r="Y40" s="263" t="s">
        <v>0</v>
      </c>
      <c r="Z40" s="263" t="s">
        <v>0</v>
      </c>
      <c r="AA40" s="263" t="s">
        <v>0</v>
      </c>
      <c r="AB40" s="263" t="s">
        <v>0</v>
      </c>
      <c r="AC40" s="263" t="s">
        <v>0</v>
      </c>
      <c r="AD40" s="263" t="s">
        <v>0</v>
      </c>
      <c r="AE40" s="263" t="s">
        <v>0</v>
      </c>
      <c r="AF40" s="263" t="s">
        <v>0</v>
      </c>
      <c r="AG40" s="263" t="s">
        <v>0</v>
      </c>
      <c r="AH40" s="263" t="s">
        <v>0</v>
      </c>
      <c r="AI40" s="263" t="s">
        <v>0</v>
      </c>
      <c r="AJ40" s="263" t="s">
        <v>0</v>
      </c>
      <c r="AK40" s="263" t="s">
        <v>0</v>
      </c>
      <c r="AL40" s="263" t="s">
        <v>0</v>
      </c>
      <c r="AM40" s="263" t="s">
        <v>0</v>
      </c>
      <c r="AN40" s="263" t="s">
        <v>0</v>
      </c>
      <c r="AO40" s="263" t="s">
        <v>0</v>
      </c>
      <c r="AP40" s="263" t="s">
        <v>0</v>
      </c>
      <c r="AQ40" s="263" t="s">
        <v>0</v>
      </c>
      <c r="AR40" s="263" t="s">
        <v>0</v>
      </c>
      <c r="AS40" s="263" t="s">
        <v>0</v>
      </c>
      <c r="AT40" s="263" t="s">
        <v>0</v>
      </c>
      <c r="AU40" s="263" t="s">
        <v>0</v>
      </c>
      <c r="AV40" s="263" t="s">
        <v>0</v>
      </c>
      <c r="AW40" s="263" t="s">
        <v>0</v>
      </c>
      <c r="AX40" s="263" t="s">
        <v>0</v>
      </c>
      <c r="AY40" s="263" t="s">
        <v>0</v>
      </c>
      <c r="AZ40" s="263" t="s">
        <v>0</v>
      </c>
      <c r="BA40" s="263" t="s">
        <v>0</v>
      </c>
      <c r="BB40" s="263" t="s">
        <v>0</v>
      </c>
      <c r="BC40" s="263" t="s">
        <v>0</v>
      </c>
      <c r="BD40" s="263" t="s">
        <v>0</v>
      </c>
      <c r="BE40" s="263" t="s">
        <v>0</v>
      </c>
      <c r="BF40" s="263" t="s">
        <v>0</v>
      </c>
      <c r="BG40" s="263" t="s">
        <v>0</v>
      </c>
      <c r="BH40" s="263" t="s">
        <v>0</v>
      </c>
      <c r="BI40" s="263" t="s">
        <v>0</v>
      </c>
      <c r="BJ40" s="263" t="s">
        <v>0</v>
      </c>
      <c r="BK40" s="263" t="s">
        <v>0</v>
      </c>
      <c r="BL40" s="263" t="s">
        <v>0</v>
      </c>
      <c r="BM40" s="263" t="s">
        <v>0</v>
      </c>
      <c r="BN40" s="263" t="s">
        <v>0</v>
      </c>
      <c r="BO40" s="263" t="s">
        <v>0</v>
      </c>
      <c r="BP40" s="263" t="s">
        <v>0</v>
      </c>
      <c r="BQ40" s="263" t="s">
        <v>0</v>
      </c>
      <c r="BR40" s="263" t="s">
        <v>0</v>
      </c>
      <c r="BS40" s="263" t="s">
        <v>0</v>
      </c>
      <c r="BT40" s="263" t="s">
        <v>0</v>
      </c>
      <c r="BU40" s="263" t="s">
        <v>0</v>
      </c>
      <c r="BV40" s="263" t="s">
        <v>0</v>
      </c>
      <c r="BW40" s="263" t="s">
        <v>0</v>
      </c>
      <c r="BX40" s="263" t="s">
        <v>0</v>
      </c>
      <c r="BY40" s="263" t="s">
        <v>0</v>
      </c>
      <c r="BZ40" s="263" t="s">
        <v>0</v>
      </c>
      <c r="CA40" s="263" t="s">
        <v>0</v>
      </c>
      <c r="CB40" s="263" t="s">
        <v>0</v>
      </c>
      <c r="CC40" s="263" t="s">
        <v>0</v>
      </c>
      <c r="CD40" s="263" t="s">
        <v>0</v>
      </c>
      <c r="CE40" s="263" t="s">
        <v>0</v>
      </c>
      <c r="CF40" s="263" t="s">
        <v>0</v>
      </c>
      <c r="CG40" s="263" t="s">
        <v>0</v>
      </c>
      <c r="CH40" s="263" t="s">
        <v>0</v>
      </c>
      <c r="CI40" s="263" t="s">
        <v>0</v>
      </c>
      <c r="CJ40" s="263" t="s">
        <v>0</v>
      </c>
      <c r="CK40" s="263" t="s">
        <v>0</v>
      </c>
      <c r="CL40" s="263" t="s">
        <v>0</v>
      </c>
    </row>
    <row r="41" spans="1:90" ht="15">
      <c r="A41" s="263" t="s">
        <v>25</v>
      </c>
      <c r="B41" s="263" t="s">
        <v>952</v>
      </c>
      <c r="C41" s="263">
        <v>0.8</v>
      </c>
      <c r="D41" s="263">
        <v>0.7</v>
      </c>
      <c r="E41" s="263">
        <v>0.2</v>
      </c>
      <c r="F41" s="263">
        <v>0.2</v>
      </c>
      <c r="G41" s="263">
        <v>0.2</v>
      </c>
      <c r="H41" s="263">
        <v>0.4</v>
      </c>
      <c r="I41" s="263">
        <v>-0.1</v>
      </c>
      <c r="J41" s="263">
        <v>-0.1</v>
      </c>
      <c r="K41" s="263">
        <v>0.2</v>
      </c>
      <c r="L41" s="263">
        <v>1.2</v>
      </c>
      <c r="M41" s="263">
        <v>1</v>
      </c>
      <c r="N41" s="263">
        <v>1.5</v>
      </c>
      <c r="O41" s="263">
        <v>1.3</v>
      </c>
      <c r="P41" s="263">
        <v>-0.1</v>
      </c>
      <c r="Q41" s="263">
        <v>-2.1</v>
      </c>
      <c r="R41" s="263">
        <v>-2</v>
      </c>
      <c r="S41" s="263">
        <v>-1.3</v>
      </c>
      <c r="T41" s="263">
        <v>4.9000000000000004</v>
      </c>
      <c r="U41" s="263">
        <v>9.3000000000000007</v>
      </c>
      <c r="V41" s="263">
        <v>2.4</v>
      </c>
      <c r="W41" s="263">
        <v>0.9</v>
      </c>
      <c r="X41" s="263">
        <v>-1.8</v>
      </c>
      <c r="Y41" s="263">
        <v>0.9</v>
      </c>
      <c r="Z41" s="263">
        <v>0.6</v>
      </c>
      <c r="AA41" s="263">
        <v>-1.3</v>
      </c>
      <c r="AB41" s="263">
        <v>0.2</v>
      </c>
      <c r="AC41" s="263">
        <v>0.4</v>
      </c>
      <c r="AD41" s="263">
        <v>2.7</v>
      </c>
      <c r="AE41" s="263">
        <v>4.7</v>
      </c>
      <c r="AF41" s="263">
        <v>0.8</v>
      </c>
      <c r="AG41" s="263">
        <v>-1.3</v>
      </c>
      <c r="AH41" s="263">
        <v>3.2</v>
      </c>
      <c r="AI41" s="263">
        <v>4.2</v>
      </c>
      <c r="AJ41" s="263">
        <v>3.8</v>
      </c>
      <c r="AK41" s="263">
        <v>4.9000000000000004</v>
      </c>
      <c r="AL41" s="263">
        <v>7.5</v>
      </c>
      <c r="AM41" s="263">
        <v>6.2</v>
      </c>
      <c r="AN41" s="263">
        <v>3.8</v>
      </c>
      <c r="AO41" s="263">
        <v>3.5</v>
      </c>
      <c r="AP41" s="263">
        <v>1.5</v>
      </c>
      <c r="AQ41" s="263">
        <v>1.6</v>
      </c>
      <c r="AR41" s="263">
        <v>3.7</v>
      </c>
      <c r="AS41" s="263">
        <v>0.3</v>
      </c>
      <c r="AT41" s="263">
        <v>-4.0999999999999996</v>
      </c>
      <c r="AU41" s="263">
        <v>8.8000000000000007</v>
      </c>
      <c r="AV41" s="263">
        <v>5.9</v>
      </c>
      <c r="AW41" s="263">
        <v>19.8</v>
      </c>
      <c r="AX41" s="263">
        <v>7</v>
      </c>
      <c r="AY41" s="263">
        <v>-11</v>
      </c>
      <c r="AZ41" s="263">
        <v>-12.7</v>
      </c>
      <c r="BA41" s="263">
        <v>-1.3</v>
      </c>
      <c r="BB41" s="263">
        <v>8.4</v>
      </c>
      <c r="BC41" s="263">
        <v>3.3</v>
      </c>
      <c r="BD41" s="263">
        <v>-3.4</v>
      </c>
      <c r="BE41" s="263">
        <v>-35.200000000000003</v>
      </c>
      <c r="BF41" s="263">
        <v>-90.2</v>
      </c>
      <c r="BG41" s="263">
        <v>-114.4</v>
      </c>
      <c r="BH41" s="263">
        <v>-142.80000000000001</v>
      </c>
      <c r="BI41" s="263">
        <v>-154.19999999999999</v>
      </c>
      <c r="BJ41" s="263">
        <v>-115.9</v>
      </c>
      <c r="BK41" s="263">
        <v>-92.7</v>
      </c>
      <c r="BL41" s="263">
        <v>-82.3</v>
      </c>
      <c r="BM41" s="263">
        <v>2.6</v>
      </c>
      <c r="BN41" s="263">
        <v>-44.3</v>
      </c>
      <c r="BO41" s="263">
        <v>-79.400000000000006</v>
      </c>
      <c r="BP41" s="263">
        <v>-116</v>
      </c>
      <c r="BQ41" s="263">
        <v>-105.5</v>
      </c>
      <c r="BR41" s="263">
        <v>-114.3</v>
      </c>
      <c r="BS41" s="263">
        <v>-129.80000000000001</v>
      </c>
      <c r="BT41" s="263">
        <v>-204.7</v>
      </c>
      <c r="BU41" s="263">
        <v>-291.10000000000002</v>
      </c>
      <c r="BV41" s="263">
        <v>-404.1</v>
      </c>
      <c r="BW41" s="263">
        <v>-375.8</v>
      </c>
      <c r="BX41" s="263">
        <v>-451.3</v>
      </c>
      <c r="BY41" s="263">
        <v>-517.79999999999995</v>
      </c>
      <c r="BZ41" s="263">
        <v>-624.20000000000005</v>
      </c>
      <c r="CA41" s="263">
        <v>-724.8</v>
      </c>
      <c r="CB41" s="263">
        <v>-804.2</v>
      </c>
      <c r="CC41" s="263">
        <v>-718</v>
      </c>
      <c r="CD41" s="263">
        <v>-686.2</v>
      </c>
      <c r="CE41" s="263">
        <v>-382.5</v>
      </c>
      <c r="CF41" s="263">
        <v>-446.6</v>
      </c>
      <c r="CG41" s="263">
        <v>-483.2</v>
      </c>
      <c r="CH41" s="263">
        <v>-461.7</v>
      </c>
      <c r="CI41" s="263">
        <v>-386.9</v>
      </c>
      <c r="CJ41" s="263">
        <v>-384.4</v>
      </c>
      <c r="CK41" s="263">
        <v>-451</v>
      </c>
      <c r="CL41" s="263">
        <v>-461.4</v>
      </c>
    </row>
    <row r="42" spans="1:90" ht="15">
      <c r="A42" s="263" t="s">
        <v>23</v>
      </c>
      <c r="B42" s="263" t="s">
        <v>951</v>
      </c>
      <c r="C42" s="263">
        <v>0.8</v>
      </c>
      <c r="D42" s="263">
        <v>0.7</v>
      </c>
      <c r="E42" s="263">
        <v>0.2</v>
      </c>
      <c r="F42" s="263">
        <v>0.2</v>
      </c>
      <c r="G42" s="263">
        <v>0.2</v>
      </c>
      <c r="H42" s="263">
        <v>0.4</v>
      </c>
      <c r="I42" s="263">
        <v>-0.1</v>
      </c>
      <c r="J42" s="263">
        <v>-0.1</v>
      </c>
      <c r="K42" s="263">
        <v>0.2</v>
      </c>
      <c r="L42" s="263">
        <v>1.2</v>
      </c>
      <c r="M42" s="263">
        <v>1</v>
      </c>
      <c r="N42" s="263">
        <v>1.5</v>
      </c>
      <c r="O42" s="263">
        <v>1.3</v>
      </c>
      <c r="P42" s="263">
        <v>-0.1</v>
      </c>
      <c r="Q42" s="263">
        <v>-2.1</v>
      </c>
      <c r="R42" s="263">
        <v>-2</v>
      </c>
      <c r="S42" s="263">
        <v>-1.3</v>
      </c>
      <c r="T42" s="263">
        <v>4.9000000000000004</v>
      </c>
      <c r="U42" s="263">
        <v>9.3000000000000007</v>
      </c>
      <c r="V42" s="263">
        <v>2.4</v>
      </c>
      <c r="W42" s="263">
        <v>0.9</v>
      </c>
      <c r="X42" s="263">
        <v>-1.8</v>
      </c>
      <c r="Y42" s="263">
        <v>0.9</v>
      </c>
      <c r="Z42" s="263">
        <v>0.6</v>
      </c>
      <c r="AA42" s="263">
        <v>-1.3</v>
      </c>
      <c r="AB42" s="263">
        <v>0.2</v>
      </c>
      <c r="AC42" s="263">
        <v>0.4</v>
      </c>
      <c r="AD42" s="263">
        <v>2.7</v>
      </c>
      <c r="AE42" s="263">
        <v>4.7</v>
      </c>
      <c r="AF42" s="263">
        <v>0.8</v>
      </c>
      <c r="AG42" s="263">
        <v>-1.3</v>
      </c>
      <c r="AH42" s="263">
        <v>3.2</v>
      </c>
      <c r="AI42" s="263">
        <v>4.2</v>
      </c>
      <c r="AJ42" s="263">
        <v>3.8</v>
      </c>
      <c r="AK42" s="263">
        <v>4.9000000000000004</v>
      </c>
      <c r="AL42" s="263">
        <v>7.5</v>
      </c>
      <c r="AM42" s="263">
        <v>6.2</v>
      </c>
      <c r="AN42" s="263">
        <v>3.8</v>
      </c>
      <c r="AO42" s="263">
        <v>3.5</v>
      </c>
      <c r="AP42" s="263">
        <v>1.5</v>
      </c>
      <c r="AQ42" s="263">
        <v>1.6</v>
      </c>
      <c r="AR42" s="263">
        <v>3.7</v>
      </c>
      <c r="AS42" s="263">
        <v>0.3</v>
      </c>
      <c r="AT42" s="263">
        <v>-4</v>
      </c>
      <c r="AU42" s="263">
        <v>8.9</v>
      </c>
      <c r="AV42" s="263">
        <v>6</v>
      </c>
      <c r="AW42" s="263">
        <v>19.8</v>
      </c>
      <c r="AX42" s="263">
        <v>7.1</v>
      </c>
      <c r="AY42" s="263">
        <v>-10.9</v>
      </c>
      <c r="AZ42" s="263">
        <v>-12.6</v>
      </c>
      <c r="BA42" s="263">
        <v>-1.2</v>
      </c>
      <c r="BB42" s="263">
        <v>8.5</v>
      </c>
      <c r="BC42" s="263">
        <v>3.4</v>
      </c>
      <c r="BD42" s="263">
        <v>-3.3</v>
      </c>
      <c r="BE42" s="263">
        <v>-35.1</v>
      </c>
      <c r="BF42" s="263">
        <v>-90.1</v>
      </c>
      <c r="BG42" s="263">
        <v>-114.3</v>
      </c>
      <c r="BH42" s="263">
        <v>-142.69999999999999</v>
      </c>
      <c r="BI42" s="263">
        <v>-154.1</v>
      </c>
      <c r="BJ42" s="263">
        <v>-115.7</v>
      </c>
      <c r="BK42" s="263">
        <v>-92.4</v>
      </c>
      <c r="BL42" s="263">
        <v>-74.900000000000006</v>
      </c>
      <c r="BM42" s="263">
        <v>7.9</v>
      </c>
      <c r="BN42" s="263">
        <v>-45.6</v>
      </c>
      <c r="BO42" s="263">
        <v>-78.5</v>
      </c>
      <c r="BP42" s="263">
        <v>-114.7</v>
      </c>
      <c r="BQ42" s="263">
        <v>-105.1</v>
      </c>
      <c r="BR42" s="263">
        <v>-114.1</v>
      </c>
      <c r="BS42" s="263">
        <v>-129.30000000000001</v>
      </c>
      <c r="BT42" s="263">
        <v>-204.5</v>
      </c>
      <c r="BU42" s="263">
        <v>-286.60000000000002</v>
      </c>
      <c r="BV42" s="263">
        <v>-403.7</v>
      </c>
      <c r="BW42" s="263">
        <v>-388.8</v>
      </c>
      <c r="BX42" s="263">
        <v>-450.8</v>
      </c>
      <c r="BY42" s="263">
        <v>-515.70000000000005</v>
      </c>
      <c r="BZ42" s="263">
        <v>-627</v>
      </c>
      <c r="CA42" s="263">
        <v>-737.7</v>
      </c>
      <c r="CB42" s="263">
        <v>-802.2</v>
      </c>
      <c r="CC42" s="263">
        <v>-718.1</v>
      </c>
      <c r="CD42" s="263">
        <v>-691.6</v>
      </c>
      <c r="CE42" s="263">
        <v>-381.9</v>
      </c>
      <c r="CF42" s="263">
        <v>-445.9</v>
      </c>
      <c r="CG42" s="263">
        <v>-481.5</v>
      </c>
      <c r="CH42" s="263">
        <v>-468.2</v>
      </c>
      <c r="CI42" s="263">
        <v>-386.1</v>
      </c>
      <c r="CJ42" s="263">
        <v>-384</v>
      </c>
      <c r="CK42" s="263">
        <v>-450.6</v>
      </c>
      <c r="CL42" s="263">
        <v>-460.9</v>
      </c>
    </row>
    <row r="43" spans="1:90" ht="15">
      <c r="A43" s="263" t="s">
        <v>22</v>
      </c>
      <c r="B43" s="263" t="s">
        <v>953</v>
      </c>
      <c r="C43" s="263" t="s">
        <v>33</v>
      </c>
      <c r="D43" s="263" t="s">
        <v>33</v>
      </c>
      <c r="E43" s="263" t="s">
        <v>33</v>
      </c>
      <c r="F43" s="263" t="s">
        <v>33</v>
      </c>
      <c r="G43" s="263" t="s">
        <v>33</v>
      </c>
      <c r="H43" s="263" t="s">
        <v>33</v>
      </c>
      <c r="I43" s="263" t="s">
        <v>33</v>
      </c>
      <c r="J43" s="263" t="s">
        <v>33</v>
      </c>
      <c r="K43" s="263" t="s">
        <v>33</v>
      </c>
      <c r="L43" s="263" t="s">
        <v>33</v>
      </c>
      <c r="M43" s="263" t="s">
        <v>33</v>
      </c>
      <c r="N43" s="263" t="s">
        <v>33</v>
      </c>
      <c r="O43" s="263" t="s">
        <v>33</v>
      </c>
      <c r="P43" s="263" t="s">
        <v>33</v>
      </c>
      <c r="Q43" s="263" t="s">
        <v>33</v>
      </c>
      <c r="R43" s="263" t="s">
        <v>33</v>
      </c>
      <c r="S43" s="263" t="s">
        <v>33</v>
      </c>
      <c r="T43" s="263" t="s">
        <v>33</v>
      </c>
      <c r="U43" s="263" t="s">
        <v>33</v>
      </c>
      <c r="V43" s="263" t="s">
        <v>33</v>
      </c>
      <c r="W43" s="263" t="s">
        <v>33</v>
      </c>
      <c r="X43" s="263" t="s">
        <v>33</v>
      </c>
      <c r="Y43" s="263" t="s">
        <v>33</v>
      </c>
      <c r="Z43" s="263" t="s">
        <v>33</v>
      </c>
      <c r="AA43" s="263" t="s">
        <v>33</v>
      </c>
      <c r="AB43" s="263" t="s">
        <v>33</v>
      </c>
      <c r="AC43" s="263" t="s">
        <v>33</v>
      </c>
      <c r="AD43" s="263" t="s">
        <v>33</v>
      </c>
      <c r="AE43" s="263" t="s">
        <v>33</v>
      </c>
      <c r="AF43" s="263" t="s">
        <v>33</v>
      </c>
      <c r="AG43" s="263" t="s">
        <v>33</v>
      </c>
      <c r="AH43" s="263" t="s">
        <v>33</v>
      </c>
      <c r="AI43" s="263" t="s">
        <v>33</v>
      </c>
      <c r="AJ43" s="263" t="s">
        <v>33</v>
      </c>
      <c r="AK43" s="263" t="s">
        <v>33</v>
      </c>
      <c r="AL43" s="263" t="s">
        <v>33</v>
      </c>
      <c r="AM43" s="263" t="s">
        <v>33</v>
      </c>
      <c r="AN43" s="263" t="s">
        <v>33</v>
      </c>
      <c r="AO43" s="263" t="s">
        <v>33</v>
      </c>
      <c r="AP43" s="263" t="s">
        <v>33</v>
      </c>
      <c r="AQ43" s="263">
        <v>0</v>
      </c>
      <c r="AR43" s="263">
        <v>0</v>
      </c>
      <c r="AS43" s="263">
        <v>0</v>
      </c>
      <c r="AT43" s="263">
        <v>0</v>
      </c>
      <c r="AU43" s="263">
        <v>0</v>
      </c>
      <c r="AV43" s="263">
        <v>0</v>
      </c>
      <c r="AW43" s="263">
        <v>0.1</v>
      </c>
      <c r="AX43" s="263">
        <v>0.1</v>
      </c>
      <c r="AY43" s="263">
        <v>0.1</v>
      </c>
      <c r="AZ43" s="263">
        <v>0.1</v>
      </c>
      <c r="BA43" s="263">
        <v>0.1</v>
      </c>
      <c r="BB43" s="263">
        <v>0.1</v>
      </c>
      <c r="BC43" s="263">
        <v>0.1</v>
      </c>
      <c r="BD43" s="263">
        <v>0.1</v>
      </c>
      <c r="BE43" s="263">
        <v>0.1</v>
      </c>
      <c r="BF43" s="263">
        <v>0.1</v>
      </c>
      <c r="BG43" s="263">
        <v>0.1</v>
      </c>
      <c r="BH43" s="263">
        <v>0.1</v>
      </c>
      <c r="BI43" s="263">
        <v>0.1</v>
      </c>
      <c r="BJ43" s="263">
        <v>0.1</v>
      </c>
      <c r="BK43" s="263">
        <v>0.3</v>
      </c>
      <c r="BL43" s="263">
        <v>7.4</v>
      </c>
      <c r="BM43" s="263">
        <v>5.3</v>
      </c>
      <c r="BN43" s="263">
        <v>-1.3</v>
      </c>
      <c r="BO43" s="263">
        <v>0.9</v>
      </c>
      <c r="BP43" s="263">
        <v>1.3</v>
      </c>
      <c r="BQ43" s="263">
        <v>0.4</v>
      </c>
      <c r="BR43" s="263">
        <v>0.2</v>
      </c>
      <c r="BS43" s="263">
        <v>0.5</v>
      </c>
      <c r="BT43" s="263">
        <v>0.2</v>
      </c>
      <c r="BU43" s="263">
        <v>4.5</v>
      </c>
      <c r="BV43" s="263">
        <v>0.3</v>
      </c>
      <c r="BW43" s="263">
        <v>-12.9</v>
      </c>
      <c r="BX43" s="263">
        <v>0.5</v>
      </c>
      <c r="BY43" s="263">
        <v>2.1</v>
      </c>
      <c r="BZ43" s="263">
        <v>-2.8</v>
      </c>
      <c r="CA43" s="263">
        <v>-12.9</v>
      </c>
      <c r="CB43" s="263">
        <v>2.1</v>
      </c>
      <c r="CC43" s="263">
        <v>-0.1</v>
      </c>
      <c r="CD43" s="263">
        <v>-5.4</v>
      </c>
      <c r="CE43" s="263">
        <v>0.6</v>
      </c>
      <c r="CF43" s="263">
        <v>0.7</v>
      </c>
      <c r="CG43" s="263">
        <v>1.6</v>
      </c>
      <c r="CH43" s="263">
        <v>-6.5</v>
      </c>
      <c r="CI43" s="263">
        <v>0.8</v>
      </c>
      <c r="CJ43" s="263">
        <v>0.4</v>
      </c>
      <c r="CK43" s="263">
        <v>0.4</v>
      </c>
      <c r="CL43" s="263">
        <v>0.4</v>
      </c>
    </row>
    <row r="44" spans="1:90" ht="13" customHeight="1">
      <c r="A44" s="1944" t="s">
        <v>7</v>
      </c>
      <c r="B44" s="1944"/>
      <c r="C44" s="1944"/>
      <c r="D44" s="1944"/>
      <c r="E44" s="1944"/>
      <c r="F44" s="1944"/>
      <c r="G44" s="1944"/>
      <c r="H44" s="1944"/>
      <c r="I44" s="1944"/>
      <c r="J44" s="1944"/>
      <c r="K44" s="1944"/>
      <c r="L44" s="1944"/>
      <c r="M44" s="1944"/>
      <c r="N44" s="1944"/>
      <c r="O44" s="1944"/>
      <c r="P44" s="1944"/>
      <c r="Q44" s="1944"/>
      <c r="R44" s="1944"/>
      <c r="S44" s="1944"/>
      <c r="T44" s="1944"/>
      <c r="U44" s="1944"/>
      <c r="V44" s="1944"/>
      <c r="W44" s="1944"/>
      <c r="X44" s="1944"/>
      <c r="Y44" s="1944"/>
      <c r="Z44" s="1944"/>
      <c r="AA44" s="1944"/>
      <c r="AB44" s="1944"/>
      <c r="AC44" s="1944"/>
      <c r="AD44" s="1944"/>
      <c r="AE44" s="1944"/>
      <c r="AF44" s="1944"/>
      <c r="AG44" s="1944"/>
      <c r="AH44" s="1944"/>
      <c r="AI44" s="1944"/>
      <c r="AJ44" s="1944"/>
      <c r="AK44" s="1944"/>
      <c r="AL44" s="1944"/>
      <c r="AM44" s="1944"/>
      <c r="AN44" s="1944"/>
      <c r="AO44" s="1944"/>
      <c r="AP44" s="1944"/>
      <c r="AQ44" s="1944"/>
      <c r="AR44" s="1944"/>
      <c r="AS44" s="1944"/>
      <c r="AT44" s="1944"/>
      <c r="AU44" s="1944"/>
      <c r="AV44" s="1944"/>
      <c r="AW44" s="1944"/>
      <c r="AX44" s="1944"/>
      <c r="AY44" s="1944"/>
      <c r="AZ44" s="1944"/>
      <c r="BA44" s="1944"/>
      <c r="BB44" s="1944"/>
      <c r="BC44" s="1944"/>
      <c r="BD44" s="1944"/>
      <c r="BE44" s="1944"/>
      <c r="BF44" s="1944"/>
      <c r="BG44" s="1944"/>
      <c r="BH44" s="1944"/>
      <c r="BI44" s="1944"/>
      <c r="BJ44" s="1944"/>
      <c r="BK44" s="1944"/>
      <c r="BL44" s="1944"/>
      <c r="BM44" s="1944"/>
      <c r="BN44" s="1944"/>
      <c r="BO44" s="1944"/>
      <c r="BP44" s="1944"/>
      <c r="BQ44" s="1944"/>
      <c r="BR44" s="1944"/>
      <c r="BS44" s="1944"/>
      <c r="BT44" s="1944"/>
      <c r="BU44" s="1944"/>
      <c r="BV44" s="1944"/>
      <c r="BW44" s="1944"/>
      <c r="BX44" s="1944"/>
      <c r="BY44" s="1944"/>
      <c r="BZ44" s="1944"/>
      <c r="CA44" s="1944"/>
      <c r="CB44" s="1944"/>
      <c r="CC44" s="1944"/>
      <c r="CD44" s="1944"/>
      <c r="CE44" s="1944"/>
      <c r="CF44" s="1944"/>
      <c r="CG44" s="1944"/>
      <c r="CH44" s="1944"/>
      <c r="CI44" s="1944"/>
    </row>
    <row r="45" spans="1:90" ht="12" customHeight="1">
      <c r="A45" s="1943" t="s">
        <v>187</v>
      </c>
      <c r="B45" s="1943"/>
      <c r="C45" s="1943"/>
      <c r="D45" s="1943"/>
      <c r="E45" s="1943"/>
      <c r="F45" s="1943"/>
      <c r="G45" s="1943"/>
      <c r="H45" s="1943"/>
      <c r="I45" s="1943"/>
      <c r="J45" s="1943"/>
      <c r="K45" s="1943"/>
      <c r="L45" s="1943"/>
      <c r="M45" s="1943"/>
      <c r="N45" s="1943"/>
      <c r="O45" s="1943"/>
      <c r="P45" s="1943"/>
      <c r="Q45" s="1943"/>
      <c r="R45" s="1943"/>
      <c r="S45" s="1943"/>
      <c r="T45" s="1943"/>
      <c r="U45" s="1943"/>
      <c r="V45" s="1943"/>
      <c r="W45" s="1943"/>
      <c r="X45" s="1943"/>
      <c r="Y45" s="1943"/>
      <c r="Z45" s="1943"/>
      <c r="AA45" s="1943"/>
      <c r="AB45" s="1943"/>
      <c r="AC45" s="1943"/>
      <c r="AD45" s="1943"/>
      <c r="AE45" s="1943"/>
      <c r="AF45" s="1943"/>
      <c r="AG45" s="1943"/>
      <c r="AH45" s="1943"/>
      <c r="AI45" s="1943"/>
      <c r="AJ45" s="1943"/>
      <c r="AK45" s="1943"/>
      <c r="AL45" s="1943"/>
      <c r="AM45" s="1943"/>
      <c r="AN45" s="1943"/>
      <c r="AO45" s="1943"/>
      <c r="AP45" s="1943"/>
      <c r="AQ45" s="1943"/>
      <c r="AR45" s="1943"/>
      <c r="AS45" s="1943"/>
      <c r="AT45" s="1943"/>
      <c r="AU45" s="1943"/>
      <c r="AV45" s="1943"/>
      <c r="AW45" s="1943"/>
      <c r="AX45" s="1943"/>
      <c r="AY45" s="1943"/>
      <c r="AZ45" s="1943"/>
      <c r="BA45" s="1943"/>
      <c r="BB45" s="1943"/>
      <c r="BC45" s="1943"/>
      <c r="BD45" s="1943"/>
      <c r="BE45" s="1943"/>
      <c r="BF45" s="1943"/>
      <c r="BG45" s="1943"/>
      <c r="BH45" s="1943"/>
      <c r="BI45" s="1943"/>
      <c r="BJ45" s="1943"/>
      <c r="BK45" s="1943"/>
      <c r="BL45" s="1943"/>
      <c r="BM45" s="1943"/>
      <c r="BN45" s="1943"/>
      <c r="BO45" s="1943"/>
      <c r="BP45" s="1943"/>
      <c r="BQ45" s="1943"/>
      <c r="BR45" s="1943"/>
      <c r="BS45" s="1943"/>
      <c r="BT45" s="1943"/>
      <c r="BU45" s="1943"/>
      <c r="BV45" s="1943"/>
      <c r="BW45" s="1943"/>
      <c r="BX45" s="1943"/>
      <c r="BY45" s="1943"/>
      <c r="BZ45" s="1943"/>
      <c r="CA45" s="1943"/>
      <c r="CB45" s="1943"/>
      <c r="CC45" s="1943"/>
      <c r="CD45" s="1943"/>
      <c r="CE45" s="1943"/>
      <c r="CF45" s="1943"/>
      <c r="CG45" s="1943"/>
      <c r="CH45" s="1943"/>
      <c r="CI45" s="1943"/>
    </row>
    <row r="46" spans="1:90" ht="12" customHeight="1">
      <c r="A46" s="1943" t="s">
        <v>186</v>
      </c>
      <c r="B46" s="1943"/>
      <c r="C46" s="1943"/>
      <c r="D46" s="1943"/>
      <c r="E46" s="1943"/>
      <c r="F46" s="1943"/>
      <c r="G46" s="1943"/>
      <c r="H46" s="1943"/>
      <c r="I46" s="1943"/>
      <c r="J46" s="1943"/>
      <c r="K46" s="1943"/>
      <c r="L46" s="1943"/>
      <c r="M46" s="1943"/>
      <c r="N46" s="1943"/>
      <c r="O46" s="1943"/>
      <c r="P46" s="1943"/>
      <c r="Q46" s="1943"/>
      <c r="R46" s="1943"/>
      <c r="S46" s="1943"/>
      <c r="T46" s="1943"/>
      <c r="U46" s="1943"/>
      <c r="V46" s="1943"/>
      <c r="W46" s="1943"/>
      <c r="X46" s="1943"/>
      <c r="Y46" s="1943"/>
      <c r="Z46" s="1943"/>
      <c r="AA46" s="1943"/>
      <c r="AB46" s="1943"/>
      <c r="AC46" s="1943"/>
      <c r="AD46" s="1943"/>
      <c r="AE46" s="1943"/>
      <c r="AF46" s="1943"/>
      <c r="AG46" s="1943"/>
      <c r="AH46" s="1943"/>
      <c r="AI46" s="1943"/>
      <c r="AJ46" s="1943"/>
      <c r="AK46" s="1943"/>
      <c r="AL46" s="1943"/>
      <c r="AM46" s="1943"/>
      <c r="AN46" s="1943"/>
      <c r="AO46" s="1943"/>
      <c r="AP46" s="1943"/>
      <c r="AQ46" s="1943"/>
      <c r="AR46" s="1943"/>
      <c r="AS46" s="1943"/>
      <c r="AT46" s="1943"/>
      <c r="AU46" s="1943"/>
      <c r="AV46" s="1943"/>
      <c r="AW46" s="1943"/>
      <c r="AX46" s="1943"/>
      <c r="AY46" s="1943"/>
      <c r="AZ46" s="1943"/>
      <c r="BA46" s="1943"/>
      <c r="BB46" s="1943"/>
      <c r="BC46" s="1943"/>
      <c r="BD46" s="1943"/>
      <c r="BE46" s="1943"/>
      <c r="BF46" s="1943"/>
      <c r="BG46" s="1943"/>
      <c r="BH46" s="1943"/>
      <c r="BI46" s="1943"/>
      <c r="BJ46" s="1943"/>
      <c r="BK46" s="1943"/>
      <c r="BL46" s="1943"/>
      <c r="BM46" s="1943"/>
      <c r="BN46" s="1943"/>
      <c r="BO46" s="1943"/>
      <c r="BP46" s="1943"/>
      <c r="BQ46" s="1943"/>
      <c r="BR46" s="1943"/>
      <c r="BS46" s="1943"/>
      <c r="BT46" s="1943"/>
      <c r="BU46" s="1943"/>
      <c r="BV46" s="1943"/>
      <c r="BW46" s="1943"/>
      <c r="BX46" s="1943"/>
      <c r="BY46" s="1943"/>
      <c r="BZ46" s="1943"/>
      <c r="CA46" s="1943"/>
      <c r="CB46" s="1943"/>
      <c r="CC46" s="1943"/>
      <c r="CD46" s="1943"/>
      <c r="CE46" s="1943"/>
      <c r="CF46" s="1943"/>
      <c r="CG46" s="1943"/>
      <c r="CH46" s="1943"/>
      <c r="CI46" s="1943"/>
    </row>
    <row r="48" spans="1:90">
      <c r="A48" s="260" t="s">
        <v>40</v>
      </c>
      <c r="B48" s="268" t="s">
        <v>191</v>
      </c>
      <c r="C48" s="260">
        <v>0.4</v>
      </c>
      <c r="D48" s="260">
        <v>0.3</v>
      </c>
      <c r="E48" s="260">
        <v>0.3</v>
      </c>
      <c r="F48" s="260">
        <v>0.2</v>
      </c>
      <c r="G48" s="260">
        <v>0.2</v>
      </c>
      <c r="H48" s="260">
        <v>0.2</v>
      </c>
      <c r="I48" s="260">
        <v>0.2</v>
      </c>
      <c r="J48" s="260">
        <v>0.2</v>
      </c>
      <c r="K48" s="260">
        <v>0.2</v>
      </c>
      <c r="L48" s="260">
        <v>0.2</v>
      </c>
      <c r="M48" s="260">
        <v>0.2</v>
      </c>
      <c r="N48" s="260">
        <v>0.2</v>
      </c>
      <c r="O48" s="260">
        <v>0.2</v>
      </c>
      <c r="P48" s="260">
        <v>0.2</v>
      </c>
      <c r="Q48" s="260">
        <v>0.2</v>
      </c>
      <c r="R48" s="260">
        <v>0.3</v>
      </c>
      <c r="S48" s="260">
        <v>0.8</v>
      </c>
      <c r="T48" s="260">
        <v>2.9</v>
      </c>
      <c r="U48" s="260">
        <v>2.6</v>
      </c>
      <c r="V48" s="260">
        <v>4.5</v>
      </c>
      <c r="W48" s="260">
        <v>5.6</v>
      </c>
      <c r="X48" s="260">
        <v>4</v>
      </c>
      <c r="Y48" s="260">
        <v>3.5</v>
      </c>
      <c r="Z48" s="260">
        <v>2.6</v>
      </c>
      <c r="AA48" s="260">
        <v>2.5</v>
      </c>
      <c r="AB48" s="260">
        <v>2.2999999999999998</v>
      </c>
      <c r="AC48" s="260">
        <v>2.6</v>
      </c>
      <c r="AD48" s="260">
        <v>2.5</v>
      </c>
      <c r="AE48" s="260">
        <v>2.4</v>
      </c>
      <c r="AF48" s="260">
        <v>2.4</v>
      </c>
      <c r="AG48" s="260">
        <v>4.4000000000000004</v>
      </c>
      <c r="AH48" s="260">
        <v>4.0999999999999996</v>
      </c>
      <c r="AI48" s="260">
        <v>4.2</v>
      </c>
      <c r="AJ48" s="260">
        <v>4.4000000000000004</v>
      </c>
      <c r="AK48" s="260">
        <v>4.5</v>
      </c>
      <c r="AL48" s="260">
        <v>4.4000000000000004</v>
      </c>
      <c r="AM48" s="260">
        <v>4.7</v>
      </c>
      <c r="AN48" s="260">
        <v>5.0999999999999996</v>
      </c>
      <c r="AO48" s="260">
        <v>5.5</v>
      </c>
      <c r="AP48" s="260">
        <v>5.9</v>
      </c>
      <c r="AQ48" s="260">
        <v>5.9</v>
      </c>
      <c r="AR48" s="260">
        <v>6.6</v>
      </c>
      <c r="AS48" s="260">
        <v>7.9</v>
      </c>
      <c r="AT48" s="260">
        <v>9.1999999999999993</v>
      </c>
      <c r="AU48" s="260">
        <v>7.9</v>
      </c>
      <c r="AV48" s="260">
        <v>8.6999999999999993</v>
      </c>
      <c r="AW48" s="260">
        <v>9.1</v>
      </c>
      <c r="AX48" s="260">
        <v>8.1</v>
      </c>
      <c r="AY48" s="260">
        <v>8.1</v>
      </c>
      <c r="AZ48" s="260">
        <v>8.8000000000000007</v>
      </c>
      <c r="BA48" s="260">
        <v>10.6</v>
      </c>
      <c r="BB48" s="260">
        <v>12.6</v>
      </c>
      <c r="BC48" s="260">
        <v>17</v>
      </c>
      <c r="BD48" s="260">
        <v>19.8</v>
      </c>
      <c r="BE48" s="260">
        <v>20.5</v>
      </c>
      <c r="BF48" s="260">
        <v>23.6</v>
      </c>
      <c r="BG48" s="260">
        <v>25.7</v>
      </c>
      <c r="BH48" s="260">
        <v>27.8</v>
      </c>
      <c r="BI48" s="260">
        <v>26.8</v>
      </c>
      <c r="BJ48" s="260">
        <v>29</v>
      </c>
      <c r="BK48" s="260">
        <v>30.4</v>
      </c>
      <c r="BL48" s="260">
        <v>31.7</v>
      </c>
      <c r="BM48" s="260">
        <v>-4.9000000000000004</v>
      </c>
      <c r="BN48" s="260">
        <v>41.9</v>
      </c>
      <c r="BO48" s="260">
        <v>45.4</v>
      </c>
      <c r="BP48" s="260">
        <v>46.1</v>
      </c>
      <c r="BQ48" s="260">
        <v>44.1</v>
      </c>
      <c r="BR48" s="260">
        <v>49.5</v>
      </c>
      <c r="BS48" s="260">
        <v>51.4</v>
      </c>
      <c r="BT48" s="260">
        <v>60</v>
      </c>
      <c r="BU48" s="260">
        <v>57.5</v>
      </c>
      <c r="BV48" s="260">
        <v>65.400000000000006</v>
      </c>
      <c r="BW48" s="260">
        <v>72.099999999999994</v>
      </c>
      <c r="BX48" s="260">
        <v>73</v>
      </c>
      <c r="BY48" s="260">
        <v>80</v>
      </c>
      <c r="BZ48" s="260">
        <v>96.4</v>
      </c>
      <c r="CA48" s="260">
        <v>114.2</v>
      </c>
      <c r="CB48" s="260">
        <v>100.7</v>
      </c>
      <c r="CC48" s="260">
        <v>124.7</v>
      </c>
      <c r="CD48" s="260">
        <v>135.1</v>
      </c>
      <c r="CE48" s="260">
        <v>132.9</v>
      </c>
      <c r="CF48" s="260">
        <v>141.19999999999999</v>
      </c>
      <c r="CG48" s="260">
        <v>147.19999999999999</v>
      </c>
      <c r="CH48" s="260">
        <v>141.30000000000001</v>
      </c>
      <c r="CI48" s="260">
        <v>138.30000000000001</v>
      </c>
      <c r="CJ48" s="9">
        <f t="shared" ref="CJ48:CL51" si="0">-CJ19+CJ35</f>
        <v>109.1</v>
      </c>
      <c r="CK48" s="260">
        <f t="shared" si="0"/>
        <v>131</v>
      </c>
      <c r="CL48" s="260">
        <f t="shared" si="0"/>
        <v>136.80000000000001</v>
      </c>
    </row>
    <row r="49" spans="1:90">
      <c r="A49" s="260" t="s">
        <v>37</v>
      </c>
      <c r="B49" s="260" t="s">
        <v>190</v>
      </c>
      <c r="C49" s="260">
        <v>0.3</v>
      </c>
      <c r="D49" s="260">
        <v>0.3</v>
      </c>
      <c r="E49" s="260">
        <v>0.3</v>
      </c>
      <c r="F49" s="260">
        <v>0.2</v>
      </c>
      <c r="G49" s="260">
        <v>0.2</v>
      </c>
      <c r="H49" s="260">
        <v>0.2</v>
      </c>
      <c r="I49" s="260">
        <v>0.2</v>
      </c>
      <c r="J49" s="260">
        <v>0.2</v>
      </c>
      <c r="K49" s="260">
        <v>0.2</v>
      </c>
      <c r="L49" s="260">
        <v>0.2</v>
      </c>
      <c r="M49" s="260">
        <v>0.2</v>
      </c>
      <c r="N49" s="260">
        <v>0.2</v>
      </c>
      <c r="O49" s="260">
        <v>0.2</v>
      </c>
      <c r="P49" s="260">
        <v>0.1</v>
      </c>
      <c r="Q49" s="260">
        <v>0.2</v>
      </c>
      <c r="R49" s="260">
        <v>0.4</v>
      </c>
      <c r="S49" s="260">
        <v>0.5</v>
      </c>
      <c r="T49" s="260">
        <v>0.7</v>
      </c>
      <c r="U49" s="260">
        <v>0.7</v>
      </c>
      <c r="V49" s="260">
        <v>0.7</v>
      </c>
      <c r="W49" s="260">
        <v>0.5</v>
      </c>
      <c r="X49" s="260">
        <v>0.4</v>
      </c>
      <c r="Y49" s="260">
        <v>0.4</v>
      </c>
      <c r="Z49" s="260">
        <v>0.4</v>
      </c>
      <c r="AA49" s="260">
        <v>0.5</v>
      </c>
      <c r="AB49" s="260">
        <v>0.5</v>
      </c>
      <c r="AC49" s="260">
        <v>0.4</v>
      </c>
      <c r="AD49" s="260">
        <v>0.5</v>
      </c>
      <c r="AE49" s="260">
        <v>0.5</v>
      </c>
      <c r="AF49" s="260">
        <v>0.4</v>
      </c>
      <c r="AG49" s="260">
        <v>0.5</v>
      </c>
      <c r="AH49" s="260">
        <v>0.5</v>
      </c>
      <c r="AI49" s="260">
        <v>0.5</v>
      </c>
      <c r="AJ49" s="260">
        <v>0.6</v>
      </c>
      <c r="AK49" s="260">
        <v>0.7</v>
      </c>
      <c r="AL49" s="260">
        <v>0.7</v>
      </c>
      <c r="AM49" s="260">
        <v>0.8</v>
      </c>
      <c r="AN49" s="260">
        <v>0.8</v>
      </c>
      <c r="AO49" s="260">
        <v>1</v>
      </c>
      <c r="AP49" s="260">
        <v>1</v>
      </c>
      <c r="AQ49" s="260">
        <v>1.1000000000000001</v>
      </c>
      <c r="AR49" s="260">
        <v>1.3</v>
      </c>
      <c r="AS49" s="260">
        <v>1.4</v>
      </c>
      <c r="AT49" s="260">
        <v>1.4</v>
      </c>
      <c r="AU49" s="260">
        <v>1.6</v>
      </c>
      <c r="AV49" s="260">
        <v>1.4</v>
      </c>
      <c r="AW49" s="260">
        <v>1.3</v>
      </c>
      <c r="AX49" s="260">
        <v>1.4</v>
      </c>
      <c r="AY49" s="260">
        <v>1.4</v>
      </c>
      <c r="AZ49" s="260">
        <v>1.6</v>
      </c>
      <c r="BA49" s="260">
        <v>1.7</v>
      </c>
      <c r="BB49" s="260">
        <v>2</v>
      </c>
      <c r="BC49" s="260">
        <v>5.6</v>
      </c>
      <c r="BD49" s="260">
        <v>6.7</v>
      </c>
      <c r="BE49" s="260">
        <v>7</v>
      </c>
      <c r="BF49" s="260">
        <v>7.9</v>
      </c>
      <c r="BG49" s="260">
        <v>8.3000000000000007</v>
      </c>
      <c r="BH49" s="260">
        <v>9.1</v>
      </c>
      <c r="BI49" s="260">
        <v>10</v>
      </c>
      <c r="BJ49" s="260">
        <v>10.8</v>
      </c>
      <c r="BK49" s="260">
        <v>11.6</v>
      </c>
      <c r="BL49" s="260">
        <v>12.2</v>
      </c>
      <c r="BM49" s="260">
        <v>14.1</v>
      </c>
      <c r="BN49" s="260">
        <v>14.5</v>
      </c>
      <c r="BO49" s="260">
        <v>17.100000000000001</v>
      </c>
      <c r="BP49" s="260">
        <v>18.899999999999999</v>
      </c>
      <c r="BQ49" s="260">
        <v>20.3</v>
      </c>
      <c r="BR49" s="260">
        <v>22.6</v>
      </c>
      <c r="BS49" s="260">
        <v>25.7</v>
      </c>
      <c r="BT49" s="260">
        <v>29.7</v>
      </c>
      <c r="BU49" s="260">
        <v>32.200000000000003</v>
      </c>
      <c r="BV49" s="260">
        <v>34.6</v>
      </c>
      <c r="BW49" s="260">
        <v>38.1</v>
      </c>
      <c r="BX49" s="260">
        <v>40.6</v>
      </c>
      <c r="BY49" s="260">
        <v>41.2</v>
      </c>
      <c r="BZ49" s="260">
        <v>43.6</v>
      </c>
      <c r="CA49" s="260">
        <v>48.4</v>
      </c>
      <c r="CB49" s="260">
        <v>51.6</v>
      </c>
      <c r="CC49" s="260">
        <v>59.3</v>
      </c>
      <c r="CD49" s="260">
        <v>66.2</v>
      </c>
      <c r="CE49" s="260">
        <v>66.099999999999994</v>
      </c>
      <c r="CF49" s="260">
        <v>73</v>
      </c>
      <c r="CG49" s="260">
        <v>74.099999999999994</v>
      </c>
      <c r="CH49" s="260">
        <v>73.099999999999994</v>
      </c>
      <c r="CI49" s="260">
        <v>74.3</v>
      </c>
      <c r="CJ49" s="260">
        <f t="shared" si="0"/>
        <v>77.800000000000011</v>
      </c>
      <c r="CK49" s="260">
        <f t="shared" si="0"/>
        <v>80.2</v>
      </c>
      <c r="CL49" s="260">
        <f t="shared" si="0"/>
        <v>80.200000000000017</v>
      </c>
    </row>
    <row r="50" spans="1:90">
      <c r="A50" s="260" t="s">
        <v>36</v>
      </c>
      <c r="B50" s="260" t="s">
        <v>189</v>
      </c>
      <c r="C50" s="260">
        <v>0</v>
      </c>
      <c r="D50" s="260">
        <v>0</v>
      </c>
      <c r="E50" s="260">
        <v>0</v>
      </c>
      <c r="F50" s="260">
        <v>0</v>
      </c>
      <c r="G50" s="260">
        <v>0</v>
      </c>
      <c r="H50" s="260">
        <v>0</v>
      </c>
      <c r="I50" s="260">
        <v>0</v>
      </c>
      <c r="J50" s="260">
        <v>0</v>
      </c>
      <c r="K50" s="260">
        <v>0.1</v>
      </c>
      <c r="L50" s="260">
        <v>0</v>
      </c>
      <c r="M50" s="260">
        <v>0</v>
      </c>
      <c r="N50" s="260">
        <v>0</v>
      </c>
      <c r="O50" s="260">
        <v>0</v>
      </c>
      <c r="P50" s="260">
        <v>0.1</v>
      </c>
      <c r="Q50" s="260">
        <v>-0.1</v>
      </c>
      <c r="R50" s="260">
        <v>-0.1</v>
      </c>
      <c r="S50" s="260">
        <v>0.3</v>
      </c>
      <c r="T50" s="260">
        <v>2.2999999999999998</v>
      </c>
      <c r="U50" s="260">
        <v>2</v>
      </c>
      <c r="V50" s="260">
        <v>3.8</v>
      </c>
      <c r="W50" s="260">
        <v>5.0999999999999996</v>
      </c>
      <c r="X50" s="260">
        <v>3.6</v>
      </c>
      <c r="Y50" s="260">
        <v>3.1</v>
      </c>
      <c r="Z50" s="260">
        <v>2.1</v>
      </c>
      <c r="AA50" s="260">
        <v>2</v>
      </c>
      <c r="AB50" s="260">
        <v>1.9</v>
      </c>
      <c r="AC50" s="260">
        <v>2.1</v>
      </c>
      <c r="AD50" s="260">
        <v>2</v>
      </c>
      <c r="AE50" s="260">
        <v>1.9</v>
      </c>
      <c r="AF50" s="260">
        <v>1.9</v>
      </c>
      <c r="AG50" s="260">
        <v>3.9</v>
      </c>
      <c r="AH50" s="260">
        <v>3.6</v>
      </c>
      <c r="AI50" s="260">
        <v>3.6</v>
      </c>
      <c r="AJ50" s="260">
        <v>3.7</v>
      </c>
      <c r="AK50" s="260">
        <v>3.7</v>
      </c>
      <c r="AL50" s="260">
        <v>3.5</v>
      </c>
      <c r="AM50" s="260">
        <v>3.8</v>
      </c>
      <c r="AN50" s="260">
        <v>4.0999999999999996</v>
      </c>
      <c r="AO50" s="260">
        <v>4.2</v>
      </c>
      <c r="AP50" s="260">
        <v>4.5999999999999996</v>
      </c>
      <c r="AQ50" s="260">
        <v>4.5</v>
      </c>
      <c r="AR50" s="260">
        <v>4.9000000000000004</v>
      </c>
      <c r="AS50" s="260">
        <v>6.1</v>
      </c>
      <c r="AT50" s="260">
        <v>7.4</v>
      </c>
      <c r="AU50" s="260">
        <v>5.6</v>
      </c>
      <c r="AV50" s="260">
        <v>6.4</v>
      </c>
      <c r="AW50" s="260">
        <v>7.1</v>
      </c>
      <c r="AX50" s="260">
        <v>5.7</v>
      </c>
      <c r="AY50" s="260">
        <v>5.3</v>
      </c>
      <c r="AZ50" s="260">
        <v>5.9</v>
      </c>
      <c r="BA50" s="260">
        <v>6.8</v>
      </c>
      <c r="BB50" s="260">
        <v>8.3000000000000007</v>
      </c>
      <c r="BC50" s="260">
        <v>8.3000000000000007</v>
      </c>
      <c r="BD50" s="260">
        <v>9.6999999999999993</v>
      </c>
      <c r="BE50" s="260">
        <v>10.1</v>
      </c>
      <c r="BF50" s="260">
        <v>12.2</v>
      </c>
      <c r="BG50" s="260">
        <v>14.4</v>
      </c>
      <c r="BH50" s="260">
        <v>15.4</v>
      </c>
      <c r="BI50" s="260">
        <v>13.4</v>
      </c>
      <c r="BJ50" s="260">
        <v>13.7</v>
      </c>
      <c r="BK50" s="260">
        <v>14.2</v>
      </c>
      <c r="BL50" s="260">
        <v>14.7</v>
      </c>
      <c r="BM50" s="260">
        <v>-24</v>
      </c>
      <c r="BN50" s="260">
        <v>22</v>
      </c>
      <c r="BO50" s="260">
        <v>22.9</v>
      </c>
      <c r="BP50" s="260">
        <v>21.1</v>
      </c>
      <c r="BQ50" s="260">
        <v>15.6</v>
      </c>
      <c r="BR50" s="260">
        <v>20</v>
      </c>
      <c r="BS50" s="260">
        <v>16.7</v>
      </c>
      <c r="BT50" s="260">
        <v>17.399999999999999</v>
      </c>
      <c r="BU50" s="260">
        <v>17.899999999999999</v>
      </c>
      <c r="BV50" s="260">
        <v>19.399999999999999</v>
      </c>
      <c r="BW50" s="260">
        <v>15.8</v>
      </c>
      <c r="BX50" s="260">
        <v>21.2</v>
      </c>
      <c r="BY50" s="260">
        <v>25.2</v>
      </c>
      <c r="BZ50" s="260">
        <v>26.5</v>
      </c>
      <c r="CA50" s="260">
        <v>34.6</v>
      </c>
      <c r="CB50" s="260">
        <v>27.2</v>
      </c>
      <c r="CC50" s="260">
        <v>34.5</v>
      </c>
      <c r="CD50" s="260">
        <v>33.700000000000003</v>
      </c>
      <c r="CE50" s="260">
        <v>45.6</v>
      </c>
      <c r="CF50" s="260">
        <v>45.6</v>
      </c>
      <c r="CG50" s="260">
        <v>51.5</v>
      </c>
      <c r="CH50" s="260">
        <v>44.3</v>
      </c>
      <c r="CI50" s="260">
        <v>40.700000000000003</v>
      </c>
      <c r="CJ50" s="260">
        <f t="shared" si="0"/>
        <v>70.3</v>
      </c>
      <c r="CK50" s="260">
        <f t="shared" si="0"/>
        <v>71.8</v>
      </c>
      <c r="CL50" s="260">
        <f t="shared" si="0"/>
        <v>71.599999999999994</v>
      </c>
    </row>
    <row r="51" spans="1:90">
      <c r="A51" s="260" t="s">
        <v>35</v>
      </c>
      <c r="B51" s="260" t="s">
        <v>188</v>
      </c>
      <c r="C51" s="260">
        <v>0</v>
      </c>
      <c r="D51" s="260">
        <v>0</v>
      </c>
      <c r="E51" s="260">
        <v>0</v>
      </c>
      <c r="F51" s="260">
        <v>0</v>
      </c>
      <c r="G51" s="260">
        <v>0</v>
      </c>
      <c r="H51" s="260">
        <v>0</v>
      </c>
      <c r="I51" s="260">
        <v>0</v>
      </c>
      <c r="J51" s="260">
        <v>0</v>
      </c>
      <c r="K51" s="260">
        <v>0</v>
      </c>
      <c r="L51" s="260">
        <v>0</v>
      </c>
      <c r="M51" s="260">
        <v>0</v>
      </c>
      <c r="N51" s="260">
        <v>0</v>
      </c>
      <c r="O51" s="260">
        <v>0</v>
      </c>
      <c r="P51" s="260">
        <v>0</v>
      </c>
      <c r="Q51" s="260">
        <v>0</v>
      </c>
      <c r="R51" s="260">
        <v>0</v>
      </c>
      <c r="S51" s="260">
        <v>0</v>
      </c>
      <c r="T51" s="260">
        <v>0</v>
      </c>
      <c r="U51" s="260">
        <v>0</v>
      </c>
      <c r="V51" s="260">
        <v>0</v>
      </c>
      <c r="W51" s="260">
        <v>0</v>
      </c>
      <c r="X51" s="260">
        <v>0</v>
      </c>
      <c r="Y51" s="260">
        <v>0</v>
      </c>
      <c r="Z51" s="260">
        <v>0</v>
      </c>
      <c r="AA51" s="260">
        <v>0</v>
      </c>
      <c r="AB51" s="260">
        <v>0</v>
      </c>
      <c r="AC51" s="260">
        <v>0</v>
      </c>
      <c r="AD51" s="260">
        <v>0</v>
      </c>
      <c r="AE51" s="260">
        <v>0</v>
      </c>
      <c r="AF51" s="260">
        <v>0</v>
      </c>
      <c r="AG51" s="260">
        <v>0.1</v>
      </c>
      <c r="AH51" s="260">
        <v>0.1</v>
      </c>
      <c r="AI51" s="260">
        <v>0.1</v>
      </c>
      <c r="AJ51" s="260">
        <v>0.1</v>
      </c>
      <c r="AK51" s="260">
        <v>0.1</v>
      </c>
      <c r="AL51" s="260">
        <v>0.2</v>
      </c>
      <c r="AM51" s="260">
        <v>0.2</v>
      </c>
      <c r="AN51" s="260">
        <v>0.2</v>
      </c>
      <c r="AO51" s="260">
        <v>0.2</v>
      </c>
      <c r="AP51" s="260">
        <v>0.3</v>
      </c>
      <c r="AQ51" s="260">
        <v>0.3</v>
      </c>
      <c r="AR51" s="260">
        <v>0.4</v>
      </c>
      <c r="AS51" s="260">
        <v>0.4</v>
      </c>
      <c r="AT51" s="260">
        <v>0.5</v>
      </c>
      <c r="AU51" s="260">
        <v>0.7</v>
      </c>
      <c r="AV51" s="260">
        <v>1</v>
      </c>
      <c r="AW51" s="260">
        <v>0.7</v>
      </c>
      <c r="AX51" s="260">
        <v>1.1000000000000001</v>
      </c>
      <c r="AY51" s="260">
        <v>1.4</v>
      </c>
      <c r="AZ51" s="260">
        <v>1.4</v>
      </c>
      <c r="BA51" s="260">
        <v>2</v>
      </c>
      <c r="BB51" s="260">
        <v>2.4</v>
      </c>
      <c r="BC51" s="260">
        <v>3.2</v>
      </c>
      <c r="BD51" s="260">
        <v>3.4</v>
      </c>
      <c r="BE51" s="260">
        <v>3.4</v>
      </c>
      <c r="BF51" s="260">
        <v>3.5</v>
      </c>
      <c r="BG51" s="260">
        <v>2.9</v>
      </c>
      <c r="BH51" s="260">
        <v>3.2</v>
      </c>
      <c r="BI51" s="260">
        <v>3.4</v>
      </c>
      <c r="BJ51" s="260">
        <v>4.5</v>
      </c>
      <c r="BK51" s="260">
        <v>4.5999999999999996</v>
      </c>
      <c r="BL51" s="260">
        <v>4.8</v>
      </c>
      <c r="BM51" s="260">
        <v>5</v>
      </c>
      <c r="BN51" s="260">
        <v>5.4</v>
      </c>
      <c r="BO51" s="260">
        <v>5.4</v>
      </c>
      <c r="BP51" s="260">
        <v>6</v>
      </c>
      <c r="BQ51" s="260">
        <v>8.1999999999999993</v>
      </c>
      <c r="BR51" s="260">
        <v>6.9</v>
      </c>
      <c r="BS51" s="260">
        <v>9.1</v>
      </c>
      <c r="BT51" s="260">
        <v>13</v>
      </c>
      <c r="BU51" s="260">
        <v>7.4</v>
      </c>
      <c r="BV51" s="260">
        <v>11.4</v>
      </c>
      <c r="BW51" s="260">
        <v>18.3</v>
      </c>
      <c r="BX51" s="260">
        <v>11.3</v>
      </c>
      <c r="BY51" s="260">
        <v>13.7</v>
      </c>
      <c r="BZ51" s="260">
        <v>26.3</v>
      </c>
      <c r="CA51" s="260">
        <v>31.3</v>
      </c>
      <c r="CB51" s="260">
        <v>21.9</v>
      </c>
      <c r="CC51" s="260">
        <v>30.8</v>
      </c>
      <c r="CD51" s="260">
        <v>35.200000000000003</v>
      </c>
      <c r="CE51" s="260">
        <v>21.2</v>
      </c>
      <c r="CF51" s="260">
        <v>22.6</v>
      </c>
      <c r="CG51" s="260">
        <v>21.6</v>
      </c>
      <c r="CH51" s="260">
        <v>23.8</v>
      </c>
      <c r="CI51" s="260">
        <v>23.3</v>
      </c>
      <c r="CJ51" s="260">
        <f t="shared" si="0"/>
        <v>-39.1</v>
      </c>
      <c r="CK51" s="260">
        <f t="shared" si="0"/>
        <v>-20.900000000000002</v>
      </c>
      <c r="CL51" s="260">
        <f t="shared" si="0"/>
        <v>-15</v>
      </c>
    </row>
  </sheetData>
  <mergeCells count="3">
    <mergeCell ref="A46:CI46"/>
    <mergeCell ref="A44:CI44"/>
    <mergeCell ref="A45:CI45"/>
  </mergeCell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zoomScale="150" zoomScaleNormal="150" zoomScalePageLayoutView="150" workbookViewId="0">
      <pane xSplit="1" ySplit="3" topLeftCell="B12" activePane="bottomRight" state="frozen"/>
      <selection activeCell="X67" sqref="X67"/>
      <selection pane="topRight" activeCell="X67" sqref="X67"/>
      <selection pane="bottomLeft" activeCell="X67" sqref="X67"/>
      <selection pane="bottomRight" activeCell="X67" sqref="X67"/>
    </sheetView>
  </sheetViews>
  <sheetFormatPr baseColWidth="10" defaultColWidth="7.85546875" defaultRowHeight="12" x14ac:dyDescent="0"/>
  <cols>
    <col min="1" max="1" width="7.28515625" style="194" customWidth="1"/>
    <col min="2" max="4" width="9.140625" style="194" customWidth="1"/>
    <col min="5" max="5" width="9.85546875" style="194" customWidth="1"/>
    <col min="6" max="6" width="9.5703125" style="194" customWidth="1"/>
    <col min="7" max="7" width="10.140625" style="194" customWidth="1"/>
    <col min="8" max="8" width="8.28515625" style="194" customWidth="1"/>
    <col min="9" max="16384" width="7.85546875" style="194"/>
  </cols>
  <sheetData>
    <row r="1" spans="1:11" ht="15">
      <c r="A1" s="1945" t="s">
        <v>792</v>
      </c>
      <c r="B1" s="1946"/>
      <c r="C1" s="1946"/>
      <c r="D1" s="1946"/>
      <c r="E1" s="1946"/>
      <c r="F1" s="1946"/>
      <c r="G1" s="1946"/>
      <c r="H1" s="1946"/>
    </row>
    <row r="2" spans="1:11" ht="18" customHeight="1">
      <c r="A2" s="1953" t="s">
        <v>791</v>
      </c>
      <c r="B2" s="1955" t="s">
        <v>790</v>
      </c>
      <c r="C2" s="1955"/>
      <c r="D2" s="1956"/>
      <c r="E2" s="1955" t="s">
        <v>789</v>
      </c>
      <c r="F2" s="1955"/>
      <c r="G2" s="1956"/>
      <c r="H2" s="1949" t="s">
        <v>788</v>
      </c>
      <c r="I2" s="197"/>
      <c r="J2" s="197"/>
      <c r="K2" s="197"/>
    </row>
    <row r="3" spans="1:11" ht="28.5" customHeight="1">
      <c r="A3" s="1954"/>
      <c r="B3" s="199" t="s">
        <v>787</v>
      </c>
      <c r="C3" s="199" t="s">
        <v>785</v>
      </c>
      <c r="D3" s="198" t="s">
        <v>784</v>
      </c>
      <c r="E3" s="199" t="s">
        <v>786</v>
      </c>
      <c r="F3" s="199" t="s">
        <v>785</v>
      </c>
      <c r="G3" s="198" t="s">
        <v>784</v>
      </c>
      <c r="H3" s="1950"/>
      <c r="I3" s="197"/>
      <c r="J3" s="197"/>
      <c r="K3" s="197"/>
    </row>
    <row r="4" spans="1:11" s="196" customFormat="1" ht="20" customHeight="1">
      <c r="A4" s="693">
        <v>1991</v>
      </c>
      <c r="B4" s="694">
        <v>204061</v>
      </c>
      <c r="C4" s="695">
        <v>36687</v>
      </c>
      <c r="D4" s="695">
        <v>167374</v>
      </c>
      <c r="E4" s="696"/>
      <c r="F4" s="696"/>
      <c r="G4" s="696"/>
      <c r="H4" s="697">
        <f>C4/B4*100</f>
        <v>17.978447621054489</v>
      </c>
    </row>
    <row r="5" spans="1:11" ht="15">
      <c r="A5" s="698">
        <v>1992</v>
      </c>
      <c r="B5" s="694">
        <v>213589</v>
      </c>
      <c r="C5" s="695">
        <v>42594</v>
      </c>
      <c r="D5" s="695">
        <v>170995</v>
      </c>
      <c r="E5" s="699">
        <f>B5/B4*100-100</f>
        <v>4.6691920553167989</v>
      </c>
      <c r="F5" s="699">
        <f t="shared" ref="F5:G20" si="0">C5/C4*100-100</f>
        <v>16.101071224139346</v>
      </c>
      <c r="G5" s="699">
        <f t="shared" si="0"/>
        <v>2.1634184520893314</v>
      </c>
      <c r="H5" s="697">
        <f t="shared" ref="H5:H27" si="1">C5/B5*100</f>
        <v>19.942038213578414</v>
      </c>
    </row>
    <row r="6" spans="1:11" s="196" customFormat="1" ht="15">
      <c r="A6" s="698">
        <v>1993</v>
      </c>
      <c r="B6" s="694">
        <v>229865</v>
      </c>
      <c r="C6" s="695">
        <v>50241</v>
      </c>
      <c r="D6" s="695">
        <v>179624</v>
      </c>
      <c r="E6" s="699">
        <f t="shared" ref="E6:G21" si="2">B6/B5*100-100</f>
        <v>7.620242615490497</v>
      </c>
      <c r="F6" s="699">
        <f t="shared" si="0"/>
        <v>17.953232849697145</v>
      </c>
      <c r="G6" s="699">
        <f t="shared" si="0"/>
        <v>5.0463463843972107</v>
      </c>
      <c r="H6" s="700">
        <f t="shared" si="1"/>
        <v>21.856742000739565</v>
      </c>
    </row>
    <row r="7" spans="1:11" ht="15">
      <c r="A7" s="693">
        <v>1994</v>
      </c>
      <c r="B7" s="694">
        <v>256765</v>
      </c>
      <c r="C7" s="695">
        <v>67444</v>
      </c>
      <c r="D7" s="695">
        <v>189321</v>
      </c>
      <c r="E7" s="699">
        <f t="shared" si="2"/>
        <v>11.702521044961173</v>
      </c>
      <c r="F7" s="699">
        <f t="shared" si="0"/>
        <v>34.240958579646104</v>
      </c>
      <c r="G7" s="699">
        <f t="shared" si="0"/>
        <v>5.3984990869816869</v>
      </c>
      <c r="H7" s="700">
        <f t="shared" si="1"/>
        <v>26.266819854730976</v>
      </c>
    </row>
    <row r="8" spans="1:11" ht="15">
      <c r="A8" s="698">
        <v>1995</v>
      </c>
      <c r="B8" s="694">
        <v>293667</v>
      </c>
      <c r="C8" s="695">
        <v>80755</v>
      </c>
      <c r="D8" s="695">
        <v>212912</v>
      </c>
      <c r="E8" s="699">
        <f t="shared" si="2"/>
        <v>14.371896481218243</v>
      </c>
      <c r="F8" s="699">
        <f t="shared" si="0"/>
        <v>19.736373880552762</v>
      </c>
      <c r="G8" s="699">
        <f t="shared" si="0"/>
        <v>12.460846921366354</v>
      </c>
      <c r="H8" s="700">
        <f t="shared" si="1"/>
        <v>27.498833713015081</v>
      </c>
    </row>
    <row r="9" spans="1:11" ht="15">
      <c r="A9" s="698">
        <v>1996</v>
      </c>
      <c r="B9" s="694">
        <v>337170</v>
      </c>
      <c r="C9" s="695">
        <v>102563</v>
      </c>
      <c r="D9" s="695">
        <v>234607</v>
      </c>
      <c r="E9" s="699">
        <f t="shared" si="2"/>
        <v>14.813717578073124</v>
      </c>
      <c r="F9" s="699">
        <f t="shared" si="0"/>
        <v>27.005139000681069</v>
      </c>
      <c r="G9" s="699">
        <f t="shared" si="0"/>
        <v>10.18965582024498</v>
      </c>
      <c r="H9" s="700">
        <f t="shared" si="1"/>
        <v>30.418779843995608</v>
      </c>
    </row>
    <row r="10" spans="1:11" ht="15">
      <c r="A10" s="698">
        <v>1997</v>
      </c>
      <c r="B10" s="694">
        <v>372328</v>
      </c>
      <c r="C10" s="695">
        <v>118073</v>
      </c>
      <c r="D10" s="695">
        <v>254255</v>
      </c>
      <c r="E10" s="699">
        <f t="shared" si="2"/>
        <v>10.427380846457268</v>
      </c>
      <c r="F10" s="699">
        <f t="shared" si="0"/>
        <v>15.122412565935079</v>
      </c>
      <c r="G10" s="699">
        <f t="shared" si="0"/>
        <v>8.3748566752057627</v>
      </c>
      <c r="H10" s="700">
        <f t="shared" si="1"/>
        <v>31.712092563546118</v>
      </c>
    </row>
    <row r="11" spans="1:11" s="196" customFormat="1" ht="15">
      <c r="A11" s="698">
        <v>1998</v>
      </c>
      <c r="B11" s="694">
        <v>397319</v>
      </c>
      <c r="C11" s="695">
        <v>149954</v>
      </c>
      <c r="D11" s="695">
        <v>247365</v>
      </c>
      <c r="E11" s="699">
        <f t="shared" si="2"/>
        <v>6.7120925635461219</v>
      </c>
      <c r="F11" s="699">
        <f t="shared" si="0"/>
        <v>27.001092544442855</v>
      </c>
      <c r="G11" s="699">
        <f t="shared" si="0"/>
        <v>-2.7098778785077968</v>
      </c>
      <c r="H11" s="700">
        <f t="shared" si="1"/>
        <v>37.741462150060784</v>
      </c>
    </row>
    <row r="12" spans="1:11" ht="15">
      <c r="A12" s="698">
        <v>1999</v>
      </c>
      <c r="B12" s="694">
        <v>385597</v>
      </c>
      <c r="C12" s="695">
        <v>157319</v>
      </c>
      <c r="D12" s="695">
        <v>228278</v>
      </c>
      <c r="E12" s="699">
        <f t="shared" si="2"/>
        <v>-2.950274212912035</v>
      </c>
      <c r="F12" s="699">
        <f t="shared" si="0"/>
        <v>4.9115061952332013</v>
      </c>
      <c r="G12" s="699">
        <f t="shared" si="0"/>
        <v>-7.7161279890041072</v>
      </c>
      <c r="H12" s="700">
        <f t="shared" si="1"/>
        <v>40.798813268775433</v>
      </c>
    </row>
    <row r="13" spans="1:11" ht="15">
      <c r="A13" s="698">
        <v>2000</v>
      </c>
      <c r="B13" s="694">
        <v>438732</v>
      </c>
      <c r="C13" s="695">
        <v>179073</v>
      </c>
      <c r="D13" s="695">
        <v>259659</v>
      </c>
      <c r="E13" s="699">
        <f t="shared" si="2"/>
        <v>13.779930860457938</v>
      </c>
      <c r="F13" s="699">
        <f t="shared" si="0"/>
        <v>13.82795466536146</v>
      </c>
      <c r="G13" s="699">
        <f t="shared" si="0"/>
        <v>13.746834999430519</v>
      </c>
      <c r="H13" s="700">
        <f t="shared" si="1"/>
        <v>40.816033478296546</v>
      </c>
    </row>
    <row r="14" spans="1:11" ht="15">
      <c r="A14" s="698">
        <v>2001</v>
      </c>
      <c r="B14" s="694">
        <v>405290</v>
      </c>
      <c r="C14" s="695">
        <v>180275</v>
      </c>
      <c r="D14" s="695">
        <v>225015</v>
      </c>
      <c r="E14" s="699">
        <f t="shared" si="2"/>
        <v>-7.6224209768150075</v>
      </c>
      <c r="F14" s="699">
        <f t="shared" si="0"/>
        <v>0.67123463615396872</v>
      </c>
      <c r="G14" s="699">
        <f t="shared" si="0"/>
        <v>-13.342114080390061</v>
      </c>
      <c r="H14" s="700">
        <f t="shared" si="1"/>
        <v>44.480495447704108</v>
      </c>
    </row>
    <row r="15" spans="1:11" ht="15">
      <c r="A15" s="698">
        <v>2002</v>
      </c>
      <c r="B15" s="694">
        <v>425037</v>
      </c>
      <c r="C15" s="695">
        <v>178564</v>
      </c>
      <c r="D15" s="695">
        <v>246473</v>
      </c>
      <c r="E15" s="699">
        <f t="shared" si="2"/>
        <v>4.8723136519529362</v>
      </c>
      <c r="F15" s="699">
        <f t="shared" si="0"/>
        <v>-0.94910553321314239</v>
      </c>
      <c r="G15" s="699">
        <f t="shared" si="0"/>
        <v>9.5362531386796547</v>
      </c>
      <c r="H15" s="700">
        <f t="shared" si="1"/>
        <v>42.01140136035216</v>
      </c>
    </row>
    <row r="16" spans="1:11" ht="15">
      <c r="A16" s="698">
        <v>2003</v>
      </c>
      <c r="B16" s="694">
        <v>482763</v>
      </c>
      <c r="C16" s="695">
        <v>189862</v>
      </c>
      <c r="D16" s="695">
        <v>292901</v>
      </c>
      <c r="E16" s="699">
        <f t="shared" si="2"/>
        <v>13.581405854078582</v>
      </c>
      <c r="F16" s="699">
        <f t="shared" si="0"/>
        <v>6.3271432091574979</v>
      </c>
      <c r="G16" s="699">
        <f t="shared" si="0"/>
        <v>18.836951714792292</v>
      </c>
      <c r="H16" s="700">
        <f t="shared" si="1"/>
        <v>39.328200379896558</v>
      </c>
    </row>
    <row r="17" spans="1:8" ht="15">
      <c r="A17" s="698">
        <v>2004</v>
      </c>
      <c r="B17" s="694">
        <v>600521</v>
      </c>
      <c r="C17" s="695">
        <v>226816</v>
      </c>
      <c r="D17" s="695">
        <v>373705</v>
      </c>
      <c r="E17" s="699">
        <f t="shared" si="2"/>
        <v>24.392507296540941</v>
      </c>
      <c r="F17" s="699">
        <f t="shared" si="0"/>
        <v>19.463610411772763</v>
      </c>
      <c r="G17" s="699">
        <f t="shared" si="0"/>
        <v>27.587478362996379</v>
      </c>
      <c r="H17" s="700">
        <f t="shared" si="1"/>
        <v>37.769869829697875</v>
      </c>
    </row>
    <row r="18" spans="1:8" ht="15">
      <c r="A18" s="698">
        <v>2005</v>
      </c>
      <c r="B18" s="694">
        <v>663004</v>
      </c>
      <c r="C18" s="695">
        <v>268013</v>
      </c>
      <c r="D18" s="695">
        <v>394991</v>
      </c>
      <c r="E18" s="699">
        <f t="shared" si="2"/>
        <v>10.404798499969203</v>
      </c>
      <c r="F18" s="699">
        <f t="shared" si="0"/>
        <v>18.163180727990962</v>
      </c>
      <c r="G18" s="699">
        <f t="shared" si="0"/>
        <v>5.6959366345111846</v>
      </c>
      <c r="H18" s="700">
        <f t="shared" si="1"/>
        <v>40.424039673968785</v>
      </c>
    </row>
    <row r="19" spans="1:8" ht="15">
      <c r="A19" s="698">
        <v>2006</v>
      </c>
      <c r="B19" s="694">
        <v>761532</v>
      </c>
      <c r="C19" s="695">
        <v>315673</v>
      </c>
      <c r="D19" s="695">
        <v>445859</v>
      </c>
      <c r="E19" s="699">
        <f t="shared" si="2"/>
        <v>14.860845485095126</v>
      </c>
      <c r="F19" s="699">
        <f t="shared" si="0"/>
        <v>17.782719494949873</v>
      </c>
      <c r="G19" s="699">
        <f t="shared" si="0"/>
        <v>12.878268112437993</v>
      </c>
      <c r="H19" s="700">
        <f t="shared" si="1"/>
        <v>41.452361818019469</v>
      </c>
    </row>
    <row r="20" spans="1:8" ht="15">
      <c r="A20" s="698">
        <v>2007</v>
      </c>
      <c r="B20" s="694">
        <v>808928</v>
      </c>
      <c r="C20" s="695">
        <v>345603</v>
      </c>
      <c r="D20" s="695">
        <v>463325</v>
      </c>
      <c r="E20" s="699">
        <f t="shared" si="2"/>
        <v>6.2237699794624604</v>
      </c>
      <c r="F20" s="699">
        <f t="shared" si="0"/>
        <v>9.4813303640159319</v>
      </c>
      <c r="G20" s="699">
        <f t="shared" si="0"/>
        <v>3.9173819525903895</v>
      </c>
      <c r="H20" s="700">
        <f t="shared" si="1"/>
        <v>42.72357984888643</v>
      </c>
    </row>
    <row r="21" spans="1:8" ht="15">
      <c r="A21" s="698">
        <v>2008</v>
      </c>
      <c r="B21" s="694">
        <v>777027</v>
      </c>
      <c r="C21" s="695">
        <v>333696</v>
      </c>
      <c r="D21" s="695">
        <v>443331</v>
      </c>
      <c r="E21" s="699">
        <f t="shared" si="2"/>
        <v>-3.9436142648047792</v>
      </c>
      <c r="F21" s="699">
        <f t="shared" si="2"/>
        <v>-3.4452825930330562</v>
      </c>
      <c r="G21" s="699">
        <f t="shared" si="2"/>
        <v>-4.3153294123995067</v>
      </c>
      <c r="H21" s="700">
        <f t="shared" si="1"/>
        <v>42.94522584157307</v>
      </c>
    </row>
    <row r="22" spans="1:8" ht="15">
      <c r="A22" s="698">
        <v>2009</v>
      </c>
      <c r="B22" s="694">
        <v>616436.97900000005</v>
      </c>
      <c r="C22" s="695">
        <v>274175.66800000001</v>
      </c>
      <c r="D22" s="695">
        <v>342261.31100000005</v>
      </c>
      <c r="E22" s="699">
        <f t="shared" ref="E22:G25" si="3">B22/B21*100-100</f>
        <v>-20.667238204077847</v>
      </c>
      <c r="F22" s="699">
        <f t="shared" si="3"/>
        <v>-17.836693277713849</v>
      </c>
      <c r="G22" s="699">
        <f t="shared" si="3"/>
        <v>-22.797794198916819</v>
      </c>
      <c r="H22" s="700">
        <f t="shared" si="1"/>
        <v>44.477485507890009</v>
      </c>
    </row>
    <row r="23" spans="1:8" ht="15">
      <c r="A23" s="698">
        <v>2010</v>
      </c>
      <c r="B23" s="694">
        <v>636381</v>
      </c>
      <c r="C23" s="695">
        <v>293503</v>
      </c>
      <c r="D23" s="695">
        <v>342878</v>
      </c>
      <c r="E23" s="699">
        <f t="shared" si="3"/>
        <v>3.2353706347003452</v>
      </c>
      <c r="F23" s="699">
        <f t="shared" si="3"/>
        <v>7.0492513580745424</v>
      </c>
      <c r="G23" s="699">
        <f t="shared" si="3"/>
        <v>0.18018075084155782</v>
      </c>
      <c r="H23" s="700">
        <f t="shared" si="1"/>
        <v>46.120641565351569</v>
      </c>
    </row>
    <row r="24" spans="1:8" ht="15">
      <c r="A24" s="698">
        <v>2011</v>
      </c>
      <c r="B24" s="694">
        <v>688995</v>
      </c>
      <c r="C24" s="695">
        <v>325274</v>
      </c>
      <c r="D24" s="695">
        <v>363721</v>
      </c>
      <c r="E24" s="699">
        <f>B24/B23*100-100</f>
        <v>8.2676886959227147</v>
      </c>
      <c r="F24" s="699">
        <f t="shared" si="3"/>
        <v>10.824761586764026</v>
      </c>
      <c r="G24" s="699">
        <f t="shared" si="3"/>
        <v>6.0788385373223122</v>
      </c>
      <c r="H24" s="700">
        <f t="shared" si="1"/>
        <v>47.209921697544978</v>
      </c>
    </row>
    <row r="25" spans="1:8" ht="15">
      <c r="A25" s="698">
        <v>2012</v>
      </c>
      <c r="B25" s="694">
        <v>828505</v>
      </c>
      <c r="C25" s="695">
        <v>377695</v>
      </c>
      <c r="D25" s="695">
        <v>450810</v>
      </c>
      <c r="E25" s="699">
        <f>B25/B24*100-100</f>
        <v>20.248332716492868</v>
      </c>
      <c r="F25" s="699">
        <f t="shared" si="3"/>
        <v>16.115951474756656</v>
      </c>
      <c r="G25" s="699">
        <f t="shared" si="3"/>
        <v>23.94390205679629</v>
      </c>
      <c r="H25" s="700">
        <f t="shared" si="1"/>
        <v>45.587534172998353</v>
      </c>
    </row>
    <row r="26" spans="1:8" ht="15">
      <c r="A26" s="698">
        <v>2013</v>
      </c>
      <c r="B26" s="694">
        <v>963691</v>
      </c>
      <c r="C26" s="695">
        <v>368493</v>
      </c>
      <c r="D26" s="695">
        <v>595198</v>
      </c>
      <c r="E26" s="699">
        <f>B26/B25*100-100</f>
        <v>16.316859886180524</v>
      </c>
      <c r="F26" s="699">
        <f>C26/C25*100-100</f>
        <v>-2.4363573783078891</v>
      </c>
      <c r="G26" s="699">
        <f>D26/D25*100-100</f>
        <v>32.028570794791591</v>
      </c>
      <c r="H26" s="700">
        <f t="shared" si="1"/>
        <v>38.237671618807276</v>
      </c>
    </row>
    <row r="27" spans="1:8" ht="15">
      <c r="A27" s="698">
        <v>2014</v>
      </c>
      <c r="B27" s="694">
        <v>967988</v>
      </c>
      <c r="C27" s="695">
        <v>408957</v>
      </c>
      <c r="D27" s="695">
        <v>559031</v>
      </c>
      <c r="E27" s="699">
        <f>B27/B26*100-100</f>
        <v>0.44588981322850429</v>
      </c>
      <c r="F27" s="699">
        <f>C27/C26*100-100</f>
        <v>10.98094129332172</v>
      </c>
      <c r="G27" s="699">
        <f>D27/D26*100-100</f>
        <v>-6.0764653107033268</v>
      </c>
      <c r="H27" s="700">
        <f t="shared" si="1"/>
        <v>42.248147704310384</v>
      </c>
    </row>
    <row r="28" spans="1:8" ht="15">
      <c r="A28" s="1947" t="s">
        <v>783</v>
      </c>
      <c r="B28" s="1948"/>
      <c r="C28" s="1948"/>
      <c r="D28" s="1948"/>
      <c r="E28" s="1948"/>
      <c r="F28" s="1948"/>
      <c r="G28" s="1948"/>
      <c r="H28" s="1948"/>
    </row>
    <row r="29" spans="1:8" ht="15">
      <c r="A29" s="1951" t="s">
        <v>782</v>
      </c>
      <c r="B29" s="1952"/>
      <c r="C29" s="1952"/>
      <c r="D29" s="1952"/>
      <c r="E29" s="1952"/>
      <c r="F29" s="1952"/>
      <c r="G29" s="1952"/>
      <c r="H29" s="1952"/>
    </row>
    <row r="30" spans="1:8" ht="13.5" customHeight="1">
      <c r="A30" s="194" t="s">
        <v>781</v>
      </c>
      <c r="B30" s="195"/>
      <c r="C30" s="195"/>
      <c r="D30" s="195"/>
    </row>
    <row r="31" spans="1:8">
      <c r="B31" s="195"/>
      <c r="C31" s="195"/>
      <c r="D31" s="195"/>
    </row>
    <row r="32" spans="1:8">
      <c r="A32" s="701" t="s">
        <v>2280</v>
      </c>
      <c r="B32" s="195"/>
      <c r="C32" s="195"/>
      <c r="D32" s="195"/>
    </row>
    <row r="33" spans="1:4">
      <c r="B33" s="195"/>
      <c r="C33" s="195"/>
      <c r="D33" s="195"/>
    </row>
    <row r="34" spans="1:4">
      <c r="A34" s="194" t="s">
        <v>793</v>
      </c>
      <c r="B34" s="195"/>
      <c r="C34" s="195"/>
      <c r="D34" s="195"/>
    </row>
  </sheetData>
  <mergeCells count="7">
    <mergeCell ref="A1:H1"/>
    <mergeCell ref="A28:H28"/>
    <mergeCell ref="H2:H3"/>
    <mergeCell ref="A29:H29"/>
    <mergeCell ref="A2:A3"/>
    <mergeCell ref="B2:D2"/>
    <mergeCell ref="E2:G2"/>
  </mergeCells>
  <pageMargins left="0.75" right="0.75" top="1" bottom="1" header="0.5" footer="0.5"/>
  <pageSetup orientation="portrait"/>
  <drawing r:id="rId1"/>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0.249977111117893"/>
  </sheetPr>
  <dimension ref="A1"/>
  <sheetViews>
    <sheetView workbookViewId="0">
      <selection activeCell="X67" sqref="X67"/>
    </sheetView>
  </sheetViews>
  <sheetFormatPr baseColWidth="10" defaultRowHeight="15" x14ac:dyDescent="0"/>
  <cols>
    <col min="1" max="16384" width="10.7109375" style="676"/>
  </cols>
  <sheetData/>
  <pageMargins left="0.75" right="0.75" top="1" bottom="1" header="0.5" footer="0.5"/>
  <extLst>
    <ext xmlns:mx="http://schemas.microsoft.com/office/mac/excel/2008/main" uri="{64002731-A6B0-56B0-2670-7721B7C09600}">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6"/>
  <sheetViews>
    <sheetView workbookViewId="0">
      <pane xSplit="1" ySplit="7" topLeftCell="B48"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21.140625" style="554" customWidth="1"/>
    <col min="2" max="16384" width="7.5703125" style="554"/>
  </cols>
  <sheetData>
    <row r="1" spans="1:8" ht="17">
      <c r="A1" s="1957" t="s">
        <v>2153</v>
      </c>
      <c r="B1" s="1958"/>
      <c r="C1" s="1958"/>
      <c r="D1" s="1958"/>
      <c r="E1" s="1958"/>
      <c r="F1" s="1958"/>
      <c r="G1" s="1958"/>
      <c r="H1" s="1958"/>
    </row>
    <row r="2" spans="1:8" ht="16">
      <c r="A2" s="1959" t="s">
        <v>2145</v>
      </c>
      <c r="B2" s="1958"/>
      <c r="C2" s="1958"/>
      <c r="D2" s="1958"/>
      <c r="E2" s="1958"/>
      <c r="F2" s="1958"/>
      <c r="G2" s="1958"/>
      <c r="H2" s="1958"/>
    </row>
    <row r="3" spans="1:8">
      <c r="A3" s="1958" t="s">
        <v>160</v>
      </c>
      <c r="B3" s="1958"/>
      <c r="C3" s="1958"/>
      <c r="D3" s="1958"/>
      <c r="E3" s="1958"/>
      <c r="F3" s="1958"/>
      <c r="G3" s="1958"/>
      <c r="H3" s="1958"/>
    </row>
    <row r="4" spans="1:8">
      <c r="A4" s="1958" t="s">
        <v>2152</v>
      </c>
      <c r="B4" s="1958"/>
      <c r="C4" s="1958"/>
      <c r="D4" s="1958"/>
      <c r="E4" s="1958"/>
      <c r="F4" s="1958"/>
      <c r="G4" s="1958"/>
      <c r="H4" s="1958"/>
    </row>
    <row r="6" spans="1:8">
      <c r="A6" s="1960" t="s">
        <v>0</v>
      </c>
      <c r="B6" s="1960" t="s">
        <v>2141</v>
      </c>
      <c r="C6" s="1960"/>
      <c r="D6" s="1960"/>
      <c r="E6" s="1960"/>
      <c r="F6" s="1960"/>
      <c r="G6" s="1960"/>
      <c r="H6" s="1960"/>
    </row>
    <row r="7" spans="1:8">
      <c r="A7" s="1960"/>
      <c r="B7" s="1960" t="s">
        <v>78</v>
      </c>
      <c r="C7" s="1960" t="s">
        <v>77</v>
      </c>
      <c r="D7" s="1960" t="s">
        <v>76</v>
      </c>
      <c r="E7" s="1960" t="s">
        <v>75</v>
      </c>
      <c r="F7" s="1960" t="s">
        <v>74</v>
      </c>
      <c r="G7" s="1960" t="s">
        <v>866</v>
      </c>
      <c r="H7" s="1960" t="s">
        <v>865</v>
      </c>
    </row>
    <row r="8" spans="1:8">
      <c r="A8" s="554" t="s">
        <v>512</v>
      </c>
      <c r="B8" s="554">
        <v>778787</v>
      </c>
      <c r="C8" s="554">
        <v>1026365</v>
      </c>
      <c r="D8" s="554">
        <v>1098520</v>
      </c>
      <c r="E8" s="554">
        <v>1066376</v>
      </c>
      <c r="F8" s="554">
        <v>1044636</v>
      </c>
      <c r="G8" s="554">
        <v>1166223</v>
      </c>
      <c r="H8" s="554">
        <v>1065850</v>
      </c>
    </row>
    <row r="9" spans="1:8">
      <c r="A9" s="554" t="s">
        <v>1820</v>
      </c>
      <c r="B9" s="554">
        <v>47589</v>
      </c>
      <c r="C9" s="554">
        <v>77476</v>
      </c>
      <c r="D9" s="554">
        <v>90655</v>
      </c>
      <c r="E9" s="554">
        <v>74879</v>
      </c>
      <c r="F9" s="554">
        <v>77880</v>
      </c>
      <c r="G9" s="554">
        <v>58256</v>
      </c>
      <c r="H9" s="554">
        <v>3132</v>
      </c>
    </row>
    <row r="10" spans="1:8">
      <c r="A10" s="554" t="s">
        <v>1819</v>
      </c>
      <c r="B10" s="554">
        <v>35411</v>
      </c>
      <c r="C10" s="554">
        <v>61000</v>
      </c>
      <c r="D10" s="554">
        <v>72620</v>
      </c>
      <c r="E10" s="554">
        <v>63762</v>
      </c>
      <c r="F10" s="554">
        <v>66194</v>
      </c>
      <c r="G10" s="554">
        <v>51645</v>
      </c>
      <c r="H10" s="554">
        <v>207</v>
      </c>
    </row>
    <row r="11" spans="1:8">
      <c r="A11" s="554" t="s">
        <v>236</v>
      </c>
      <c r="B11" s="554">
        <v>12178</v>
      </c>
      <c r="C11" s="554">
        <v>16476</v>
      </c>
      <c r="D11" s="554">
        <v>18035</v>
      </c>
      <c r="E11" s="554">
        <v>11117</v>
      </c>
      <c r="F11" s="554">
        <v>11685</v>
      </c>
      <c r="G11" s="554">
        <v>6611</v>
      </c>
      <c r="H11" s="554">
        <v>2925</v>
      </c>
    </row>
    <row r="12" spans="1:8">
      <c r="A12" s="554" t="s">
        <v>1804</v>
      </c>
      <c r="B12" s="554">
        <v>105544</v>
      </c>
      <c r="C12" s="554">
        <v>162571</v>
      </c>
      <c r="D12" s="554">
        <v>195769</v>
      </c>
      <c r="E12" s="554">
        <v>179207</v>
      </c>
      <c r="F12" s="554">
        <v>165224</v>
      </c>
      <c r="G12" s="554">
        <v>176474</v>
      </c>
      <c r="H12" s="554">
        <v>221815</v>
      </c>
    </row>
    <row r="13" spans="1:8">
      <c r="A13" s="554" t="s">
        <v>1803</v>
      </c>
      <c r="B13" s="554">
        <v>8993</v>
      </c>
      <c r="C13" s="554">
        <v>9541</v>
      </c>
      <c r="D13" s="554">
        <v>9281</v>
      </c>
      <c r="E13" s="554">
        <v>9802</v>
      </c>
      <c r="F13" s="554">
        <v>9426</v>
      </c>
      <c r="G13" s="554">
        <v>8857</v>
      </c>
      <c r="H13" s="554">
        <v>7658</v>
      </c>
    </row>
    <row r="14" spans="1:8">
      <c r="A14" s="554" t="s">
        <v>1793</v>
      </c>
      <c r="B14" s="554">
        <v>11110</v>
      </c>
      <c r="C14" s="554">
        <v>14014</v>
      </c>
      <c r="D14" s="554">
        <v>16392</v>
      </c>
      <c r="E14" s="554">
        <v>16794</v>
      </c>
      <c r="F14" s="554">
        <v>16827</v>
      </c>
      <c r="G14" s="554">
        <v>14490</v>
      </c>
      <c r="H14" s="554">
        <v>13669</v>
      </c>
    </row>
    <row r="15" spans="1:8">
      <c r="A15" s="554" t="s">
        <v>1790</v>
      </c>
      <c r="B15" s="554">
        <v>111</v>
      </c>
      <c r="C15" s="554">
        <v>398</v>
      </c>
      <c r="D15" s="554">
        <v>435</v>
      </c>
      <c r="E15" s="554">
        <v>453</v>
      </c>
      <c r="F15" s="554">
        <v>476</v>
      </c>
      <c r="G15" s="554">
        <v>881</v>
      </c>
      <c r="H15" s="554">
        <v>987</v>
      </c>
    </row>
    <row r="16" spans="1:8">
      <c r="A16" s="554" t="s">
        <v>1785</v>
      </c>
      <c r="B16" s="554">
        <v>-22</v>
      </c>
      <c r="C16" s="554">
        <v>152</v>
      </c>
      <c r="D16" s="554">
        <v>308</v>
      </c>
      <c r="E16" s="554">
        <v>246</v>
      </c>
      <c r="F16" s="554">
        <v>102</v>
      </c>
      <c r="G16" s="554">
        <v>50</v>
      </c>
      <c r="H16" s="554">
        <v>30</v>
      </c>
    </row>
    <row r="17" spans="1:8">
      <c r="A17" s="554" t="s">
        <v>1784</v>
      </c>
      <c r="B17" s="554">
        <v>557</v>
      </c>
      <c r="C17" s="554">
        <v>8388</v>
      </c>
      <c r="D17" s="554">
        <v>10304</v>
      </c>
      <c r="E17" s="554">
        <v>1445</v>
      </c>
      <c r="F17" s="554">
        <v>1656</v>
      </c>
      <c r="G17" s="554">
        <v>1653</v>
      </c>
      <c r="H17" s="554">
        <v>2557</v>
      </c>
    </row>
    <row r="18" spans="1:8">
      <c r="A18" s="554" t="s">
        <v>1781</v>
      </c>
      <c r="B18" s="554">
        <v>497</v>
      </c>
      <c r="C18" s="554">
        <v>560</v>
      </c>
      <c r="D18" s="554">
        <v>657</v>
      </c>
      <c r="E18" s="554">
        <v>435</v>
      </c>
      <c r="F18" s="554">
        <v>418</v>
      </c>
      <c r="G18" s="554">
        <v>302</v>
      </c>
      <c r="H18" s="554">
        <v>368</v>
      </c>
    </row>
    <row r="19" spans="1:8">
      <c r="A19" s="554" t="s">
        <v>1780</v>
      </c>
      <c r="B19" s="554">
        <v>2697</v>
      </c>
      <c r="C19" s="554">
        <v>9121</v>
      </c>
      <c r="D19" s="554">
        <v>11221</v>
      </c>
      <c r="E19" s="554">
        <v>10827</v>
      </c>
      <c r="F19" s="554">
        <v>6268</v>
      </c>
      <c r="G19" s="554">
        <v>7307</v>
      </c>
      <c r="H19" s="554">
        <v>9457</v>
      </c>
    </row>
    <row r="20" spans="1:8">
      <c r="A20" s="554" t="s">
        <v>1776</v>
      </c>
      <c r="B20" s="554">
        <v>47947</v>
      </c>
      <c r="C20" s="554">
        <v>53104</v>
      </c>
      <c r="D20" s="554">
        <v>63694</v>
      </c>
      <c r="E20" s="554">
        <v>64672</v>
      </c>
      <c r="F20" s="554">
        <v>47851</v>
      </c>
      <c r="G20" s="554">
        <v>54301</v>
      </c>
      <c r="H20" s="554">
        <v>55993</v>
      </c>
    </row>
    <row r="21" spans="1:8">
      <c r="A21" s="554" t="s">
        <v>1775</v>
      </c>
      <c r="B21" s="554">
        <v>3511</v>
      </c>
      <c r="C21" s="554">
        <v>5335</v>
      </c>
      <c r="D21" s="554">
        <v>5941</v>
      </c>
      <c r="E21" s="554">
        <v>4497</v>
      </c>
      <c r="F21" s="554">
        <v>2455</v>
      </c>
      <c r="G21" s="554">
        <v>5821</v>
      </c>
      <c r="H21" s="554">
        <v>5980</v>
      </c>
    </row>
    <row r="22" spans="1:8">
      <c r="A22" s="554" t="s">
        <v>1774</v>
      </c>
      <c r="B22" s="554">
        <v>1382</v>
      </c>
      <c r="C22" s="554">
        <v>3110</v>
      </c>
      <c r="D22" s="554">
        <v>2253</v>
      </c>
      <c r="E22" s="554">
        <v>2038</v>
      </c>
      <c r="F22" s="554">
        <v>3671</v>
      </c>
      <c r="G22" s="554">
        <v>2821</v>
      </c>
      <c r="H22" s="554">
        <v>4356</v>
      </c>
    </row>
    <row r="23" spans="1:8">
      <c r="A23" s="554" t="s">
        <v>1773</v>
      </c>
      <c r="B23" s="554">
        <v>31465</v>
      </c>
      <c r="C23" s="554">
        <v>30537</v>
      </c>
      <c r="D23" s="554">
        <v>38398</v>
      </c>
      <c r="E23" s="554">
        <v>42513</v>
      </c>
      <c r="F23" s="554">
        <v>28278</v>
      </c>
      <c r="G23" s="554">
        <v>31719</v>
      </c>
      <c r="H23" s="554">
        <v>34386</v>
      </c>
    </row>
    <row r="24" spans="1:8">
      <c r="A24" s="554" t="s">
        <v>1772</v>
      </c>
      <c r="B24" s="554">
        <v>6623</v>
      </c>
      <c r="C24" s="554">
        <v>7558</v>
      </c>
      <c r="D24" s="554">
        <v>9367</v>
      </c>
      <c r="E24" s="554">
        <v>8564</v>
      </c>
      <c r="F24" s="554">
        <v>7505</v>
      </c>
      <c r="G24" s="554">
        <v>6806</v>
      </c>
      <c r="H24" s="554">
        <v>5268</v>
      </c>
    </row>
    <row r="25" spans="1:8">
      <c r="A25" s="554" t="s">
        <v>67</v>
      </c>
      <c r="B25" s="554">
        <v>4966</v>
      </c>
      <c r="C25" s="554">
        <v>6564</v>
      </c>
      <c r="D25" s="554">
        <v>7735</v>
      </c>
      <c r="E25" s="554">
        <v>7059</v>
      </c>
      <c r="F25" s="554">
        <v>5941</v>
      </c>
      <c r="G25" s="554">
        <v>7135</v>
      </c>
      <c r="H25" s="554">
        <v>6003</v>
      </c>
    </row>
    <row r="26" spans="1:8">
      <c r="A26" s="554" t="s">
        <v>1768</v>
      </c>
      <c r="B26" s="554">
        <v>1353</v>
      </c>
      <c r="C26" s="554">
        <v>1833</v>
      </c>
      <c r="D26" s="554">
        <v>2883</v>
      </c>
      <c r="E26" s="554">
        <v>3532</v>
      </c>
      <c r="F26" s="554">
        <v>3693</v>
      </c>
      <c r="G26" s="554">
        <v>2928</v>
      </c>
      <c r="H26" s="554">
        <v>2911</v>
      </c>
    </row>
    <row r="27" spans="1:8">
      <c r="A27" s="554" t="s">
        <v>1765</v>
      </c>
      <c r="B27" s="554">
        <v>1553</v>
      </c>
      <c r="C27" s="554">
        <v>2539</v>
      </c>
      <c r="D27" s="554">
        <v>1412</v>
      </c>
      <c r="E27" s="554">
        <v>1742</v>
      </c>
      <c r="F27" s="554">
        <v>2069</v>
      </c>
      <c r="G27" s="554">
        <v>2164</v>
      </c>
      <c r="H27" s="554">
        <v>1706</v>
      </c>
    </row>
    <row r="28" spans="1:8">
      <c r="A28" s="554" t="s">
        <v>1759</v>
      </c>
      <c r="B28" s="554">
        <v>-1282</v>
      </c>
      <c r="C28" s="554">
        <v>2145</v>
      </c>
      <c r="D28" s="554">
        <v>3349</v>
      </c>
      <c r="E28" s="554">
        <v>2132</v>
      </c>
      <c r="F28" s="554">
        <v>2110</v>
      </c>
      <c r="G28" s="554">
        <v>3326</v>
      </c>
      <c r="H28" s="554">
        <v>3714</v>
      </c>
    </row>
    <row r="29" spans="1:8">
      <c r="A29" s="554" t="s">
        <v>1758</v>
      </c>
      <c r="B29" s="554">
        <v>-2805</v>
      </c>
      <c r="C29" s="554">
        <v>217</v>
      </c>
      <c r="D29" s="554">
        <v>794</v>
      </c>
      <c r="E29" s="554">
        <v>24</v>
      </c>
      <c r="F29" s="554">
        <v>110</v>
      </c>
      <c r="G29" s="554">
        <v>779</v>
      </c>
      <c r="H29" s="554">
        <v>1051</v>
      </c>
    </row>
    <row r="30" spans="1:8">
      <c r="A30" s="554" t="s">
        <v>1752</v>
      </c>
      <c r="B30" s="554">
        <v>1523</v>
      </c>
      <c r="C30" s="554">
        <v>1928</v>
      </c>
      <c r="D30" s="554">
        <v>2556</v>
      </c>
      <c r="E30" s="554">
        <v>2108</v>
      </c>
      <c r="F30" s="554">
        <v>2000</v>
      </c>
      <c r="G30" s="554">
        <v>2547</v>
      </c>
      <c r="H30" s="554">
        <v>2662</v>
      </c>
    </row>
    <row r="31" spans="1:8">
      <c r="A31" s="554" t="s">
        <v>1742</v>
      </c>
      <c r="B31" s="554">
        <v>10608</v>
      </c>
      <c r="C31" s="554">
        <v>11681</v>
      </c>
      <c r="D31" s="554">
        <v>14480</v>
      </c>
      <c r="E31" s="554">
        <v>12935</v>
      </c>
      <c r="F31" s="554">
        <v>15575</v>
      </c>
      <c r="G31" s="554">
        <v>15882</v>
      </c>
      <c r="H31" s="554">
        <v>38510</v>
      </c>
    </row>
    <row r="32" spans="1:8">
      <c r="A32" s="554" t="s">
        <v>1741</v>
      </c>
      <c r="B32" s="554">
        <v>1855</v>
      </c>
      <c r="C32" s="554">
        <v>3221</v>
      </c>
      <c r="D32" s="554">
        <v>4146</v>
      </c>
      <c r="E32" s="554">
        <v>3524</v>
      </c>
      <c r="F32" s="554">
        <v>3446</v>
      </c>
      <c r="G32" s="554">
        <v>5550</v>
      </c>
      <c r="H32" s="554">
        <v>3987</v>
      </c>
    </row>
    <row r="33" spans="1:8">
      <c r="A33" s="554" t="s">
        <v>1740</v>
      </c>
      <c r="B33" s="554">
        <v>952</v>
      </c>
      <c r="C33" s="554">
        <v>384</v>
      </c>
      <c r="D33" s="554">
        <v>1948</v>
      </c>
      <c r="E33" s="554">
        <v>2148</v>
      </c>
      <c r="F33" s="554">
        <v>2257</v>
      </c>
      <c r="G33" s="554">
        <v>2324</v>
      </c>
      <c r="H33" s="554">
        <v>2441</v>
      </c>
    </row>
    <row r="34" spans="1:8">
      <c r="A34" s="554" t="s">
        <v>67</v>
      </c>
      <c r="B34" s="554">
        <v>7801</v>
      </c>
      <c r="C34" s="554">
        <v>8076</v>
      </c>
      <c r="D34" s="554">
        <v>8386</v>
      </c>
      <c r="E34" s="554">
        <v>7262</v>
      </c>
      <c r="F34" s="554">
        <v>9872</v>
      </c>
      <c r="G34" s="554">
        <v>8009</v>
      </c>
      <c r="H34" s="554">
        <v>32081</v>
      </c>
    </row>
    <row r="35" spans="1:8">
      <c r="A35" s="554" t="s">
        <v>1734</v>
      </c>
      <c r="B35" s="554">
        <v>14481</v>
      </c>
      <c r="C35" s="554">
        <v>27723</v>
      </c>
      <c r="D35" s="554">
        <v>34344</v>
      </c>
      <c r="E35" s="554">
        <v>36197</v>
      </c>
      <c r="F35" s="554">
        <v>35006</v>
      </c>
      <c r="G35" s="554">
        <v>40845</v>
      </c>
      <c r="H35" s="554">
        <v>42256</v>
      </c>
    </row>
    <row r="36" spans="1:8">
      <c r="A36" s="554" t="s">
        <v>1733</v>
      </c>
      <c r="B36" s="554">
        <v>8055</v>
      </c>
      <c r="C36" s="554">
        <v>15083</v>
      </c>
      <c r="D36" s="554">
        <v>19944</v>
      </c>
      <c r="E36" s="554">
        <v>20292</v>
      </c>
      <c r="F36" s="554">
        <v>18145</v>
      </c>
      <c r="G36" s="554">
        <v>22251</v>
      </c>
      <c r="H36" s="554">
        <v>22981</v>
      </c>
    </row>
    <row r="37" spans="1:8">
      <c r="A37" s="554" t="s">
        <v>1732</v>
      </c>
      <c r="B37" s="554">
        <v>1792</v>
      </c>
      <c r="C37" s="554">
        <v>1154</v>
      </c>
      <c r="D37" s="554">
        <v>1277</v>
      </c>
      <c r="E37" s="554">
        <v>1660</v>
      </c>
      <c r="F37" s="554">
        <v>1491</v>
      </c>
      <c r="G37" s="554">
        <v>993</v>
      </c>
      <c r="H37" s="554">
        <v>26</v>
      </c>
    </row>
    <row r="38" spans="1:8">
      <c r="A38" s="554" t="s">
        <v>1731</v>
      </c>
      <c r="B38" s="554">
        <v>97</v>
      </c>
      <c r="C38" s="554">
        <v>458</v>
      </c>
      <c r="D38" s="554">
        <v>53</v>
      </c>
      <c r="E38" s="554">
        <v>47</v>
      </c>
      <c r="F38" s="554" t="s">
        <v>291</v>
      </c>
      <c r="G38" s="554">
        <v>386</v>
      </c>
      <c r="H38" s="554">
        <v>406</v>
      </c>
    </row>
    <row r="39" spans="1:8">
      <c r="A39" s="554" t="s">
        <v>1730</v>
      </c>
      <c r="B39" s="554">
        <v>2247</v>
      </c>
      <c r="C39" s="554">
        <v>7973</v>
      </c>
      <c r="D39" s="554">
        <v>8515</v>
      </c>
      <c r="E39" s="554">
        <v>9350</v>
      </c>
      <c r="F39" s="554">
        <v>10474</v>
      </c>
      <c r="G39" s="554">
        <v>12564</v>
      </c>
      <c r="H39" s="554">
        <v>13459</v>
      </c>
    </row>
    <row r="40" spans="1:8">
      <c r="A40" s="554" t="s">
        <v>1729</v>
      </c>
      <c r="B40" s="554">
        <v>2152</v>
      </c>
      <c r="C40" s="554">
        <v>2962</v>
      </c>
      <c r="D40" s="554">
        <v>4494</v>
      </c>
      <c r="E40" s="554">
        <v>4752</v>
      </c>
      <c r="F40" s="554">
        <v>4693</v>
      </c>
      <c r="G40" s="554">
        <v>4693</v>
      </c>
      <c r="H40" s="554">
        <v>5252</v>
      </c>
    </row>
    <row r="41" spans="1:8">
      <c r="A41" s="554" t="s">
        <v>1728</v>
      </c>
      <c r="B41" s="554">
        <v>137</v>
      </c>
      <c r="C41" s="554">
        <v>91</v>
      </c>
      <c r="D41" s="554">
        <v>61</v>
      </c>
      <c r="E41" s="554">
        <v>96</v>
      </c>
      <c r="F41" s="554" t="s">
        <v>291</v>
      </c>
      <c r="G41" s="554">
        <v>-43</v>
      </c>
      <c r="H41" s="554">
        <v>132</v>
      </c>
    </row>
    <row r="42" spans="1:8">
      <c r="A42" s="554" t="s">
        <v>1727</v>
      </c>
      <c r="B42" s="554">
        <v>3801</v>
      </c>
      <c r="C42" s="554">
        <v>4815</v>
      </c>
      <c r="D42" s="554">
        <v>4566</v>
      </c>
      <c r="E42" s="554">
        <v>5098</v>
      </c>
      <c r="F42" s="554">
        <v>5030</v>
      </c>
      <c r="G42" s="554">
        <v>5391</v>
      </c>
      <c r="H42" s="554">
        <v>14823</v>
      </c>
    </row>
    <row r="43" spans="1:8">
      <c r="A43" s="554" t="s">
        <v>1722</v>
      </c>
      <c r="B43" s="554">
        <v>-5611</v>
      </c>
      <c r="C43" s="554">
        <v>6590</v>
      </c>
      <c r="D43" s="554">
        <v>12003</v>
      </c>
      <c r="E43" s="554">
        <v>796</v>
      </c>
      <c r="F43" s="554">
        <v>8120</v>
      </c>
      <c r="G43" s="554">
        <v>7727</v>
      </c>
      <c r="H43" s="554">
        <v>13652</v>
      </c>
    </row>
    <row r="44" spans="1:8">
      <c r="A44" s="554" t="s">
        <v>1721</v>
      </c>
      <c r="B44" s="554">
        <v>-7241</v>
      </c>
      <c r="C44" s="554">
        <v>4793</v>
      </c>
      <c r="D44" s="554">
        <v>10150</v>
      </c>
      <c r="E44" s="554">
        <v>-1197</v>
      </c>
      <c r="F44" s="554">
        <v>5919</v>
      </c>
      <c r="G44" s="554">
        <v>4861</v>
      </c>
      <c r="H44" s="554">
        <v>11711</v>
      </c>
    </row>
    <row r="45" spans="1:8">
      <c r="A45" s="554" t="s">
        <v>67</v>
      </c>
      <c r="B45" s="554">
        <v>1630</v>
      </c>
      <c r="C45" s="554">
        <v>1797</v>
      </c>
      <c r="D45" s="554">
        <v>1853</v>
      </c>
      <c r="E45" s="554">
        <v>1994</v>
      </c>
      <c r="F45" s="554">
        <v>2201</v>
      </c>
      <c r="G45" s="554">
        <v>2866</v>
      </c>
      <c r="H45" s="554">
        <v>1941</v>
      </c>
    </row>
    <row r="46" spans="1:8">
      <c r="A46" s="554" t="s">
        <v>1682</v>
      </c>
      <c r="B46" s="554">
        <v>-17</v>
      </c>
      <c r="C46" s="554">
        <v>12</v>
      </c>
      <c r="D46" s="554">
        <v>71</v>
      </c>
      <c r="E46" s="554">
        <v>8</v>
      </c>
      <c r="F46" s="554">
        <v>19</v>
      </c>
      <c r="G46" s="554">
        <v>81</v>
      </c>
      <c r="H46" s="554">
        <v>124</v>
      </c>
    </row>
    <row r="47" spans="1:8">
      <c r="A47" s="554" t="s">
        <v>1681</v>
      </c>
      <c r="B47" s="554">
        <v>8767</v>
      </c>
      <c r="C47" s="554">
        <v>9955</v>
      </c>
      <c r="D47" s="554">
        <v>10369</v>
      </c>
      <c r="E47" s="554">
        <v>12094</v>
      </c>
      <c r="F47" s="554">
        <v>10578</v>
      </c>
      <c r="G47" s="554">
        <v>10290</v>
      </c>
      <c r="H47" s="554">
        <v>13401</v>
      </c>
    </row>
    <row r="48" spans="1:8">
      <c r="A48" s="554" t="s">
        <v>1678</v>
      </c>
      <c r="B48" s="554">
        <v>53983</v>
      </c>
      <c r="C48" s="554">
        <v>59589</v>
      </c>
      <c r="D48" s="554">
        <v>69914</v>
      </c>
      <c r="E48" s="554">
        <v>69973</v>
      </c>
      <c r="F48" s="554">
        <v>74515</v>
      </c>
      <c r="G48" s="554">
        <v>71689</v>
      </c>
      <c r="H48" s="554">
        <v>66145</v>
      </c>
    </row>
    <row r="49" spans="1:8">
      <c r="A49" s="554" t="s">
        <v>1677</v>
      </c>
      <c r="B49" s="554">
        <v>12173</v>
      </c>
      <c r="C49" s="554">
        <v>10281</v>
      </c>
      <c r="D49" s="554">
        <v>11665</v>
      </c>
      <c r="E49" s="554">
        <v>10655</v>
      </c>
      <c r="F49" s="554">
        <v>19466</v>
      </c>
      <c r="G49" s="554">
        <v>19617</v>
      </c>
      <c r="H49" s="554">
        <v>16494</v>
      </c>
    </row>
    <row r="50" spans="1:8">
      <c r="A50" s="554" t="s">
        <v>1675</v>
      </c>
      <c r="B50" s="554">
        <v>2335</v>
      </c>
      <c r="C50" s="554">
        <v>2933</v>
      </c>
      <c r="D50" s="554">
        <v>5595</v>
      </c>
      <c r="E50" s="554">
        <v>6460</v>
      </c>
      <c r="F50" s="554">
        <v>4993</v>
      </c>
      <c r="G50" s="554">
        <v>4769</v>
      </c>
      <c r="H50" s="554">
        <v>4632</v>
      </c>
    </row>
    <row r="51" spans="1:8">
      <c r="A51" s="554" t="s">
        <v>1672</v>
      </c>
      <c r="B51" s="554">
        <v>18990</v>
      </c>
      <c r="C51" s="554">
        <v>17890</v>
      </c>
      <c r="D51" s="554">
        <v>15469</v>
      </c>
      <c r="E51" s="554">
        <v>15231</v>
      </c>
      <c r="F51" s="554">
        <v>15247</v>
      </c>
      <c r="G51" s="554">
        <v>9918</v>
      </c>
      <c r="H51" s="554">
        <v>12382</v>
      </c>
    </row>
    <row r="52" spans="1:8">
      <c r="A52" s="554" t="s">
        <v>236</v>
      </c>
      <c r="B52" s="554">
        <v>20485</v>
      </c>
      <c r="C52" s="554">
        <v>28485</v>
      </c>
      <c r="D52" s="554">
        <v>37184</v>
      </c>
      <c r="E52" s="554">
        <v>37627</v>
      </c>
      <c r="F52" s="554">
        <v>34809</v>
      </c>
      <c r="G52" s="554">
        <v>37385</v>
      </c>
      <c r="H52" s="554">
        <v>32638</v>
      </c>
    </row>
    <row r="53" spans="1:8">
      <c r="A53" s="554" t="s">
        <v>2151</v>
      </c>
      <c r="B53" s="554">
        <v>8741</v>
      </c>
      <c r="C53" s="554">
        <v>8779</v>
      </c>
      <c r="D53" s="554">
        <v>10673</v>
      </c>
      <c r="E53" s="554">
        <v>9257</v>
      </c>
      <c r="F53" s="554">
        <v>5552</v>
      </c>
      <c r="G53" s="554">
        <v>13654</v>
      </c>
      <c r="H53" s="554">
        <v>13435</v>
      </c>
    </row>
    <row r="54" spans="1:8">
      <c r="A54" s="554" t="s">
        <v>2150</v>
      </c>
      <c r="B54" s="554">
        <v>3028</v>
      </c>
      <c r="C54" s="554" t="s">
        <v>291</v>
      </c>
      <c r="D54" s="554">
        <v>5247</v>
      </c>
      <c r="E54" s="554">
        <v>3365</v>
      </c>
      <c r="F54" s="554">
        <v>2496</v>
      </c>
      <c r="G54" s="554">
        <v>5550</v>
      </c>
      <c r="H54" s="554">
        <v>4543</v>
      </c>
    </row>
    <row r="55" spans="1:8">
      <c r="A55" s="554" t="s">
        <v>2149</v>
      </c>
      <c r="B55" s="554">
        <v>583</v>
      </c>
      <c r="C55" s="554">
        <v>1088</v>
      </c>
      <c r="D55" s="554">
        <v>1042</v>
      </c>
      <c r="E55" s="554">
        <v>1143</v>
      </c>
      <c r="F55" s="554">
        <v>1051</v>
      </c>
      <c r="G55" s="554">
        <v>1505</v>
      </c>
      <c r="H55" s="554">
        <v>1339</v>
      </c>
    </row>
    <row r="56" spans="1:8">
      <c r="A56" s="554" t="s">
        <v>236</v>
      </c>
      <c r="B56" s="554">
        <v>5130</v>
      </c>
      <c r="C56" s="554" t="s">
        <v>291</v>
      </c>
      <c r="D56" s="554">
        <v>4384</v>
      </c>
      <c r="E56" s="554">
        <v>4749</v>
      </c>
      <c r="F56" s="554">
        <v>2005</v>
      </c>
      <c r="G56" s="554">
        <v>6600</v>
      </c>
      <c r="H56" s="554">
        <v>7554</v>
      </c>
    </row>
    <row r="57" spans="1:8">
      <c r="A57" s="554" t="s">
        <v>1655</v>
      </c>
      <c r="B57" s="554">
        <v>13260</v>
      </c>
      <c r="C57" s="554">
        <v>15362</v>
      </c>
      <c r="D57" s="554">
        <v>23357</v>
      </c>
      <c r="E57" s="554">
        <v>24817</v>
      </c>
      <c r="F57" s="554">
        <v>16541</v>
      </c>
      <c r="G57" s="554">
        <v>24801</v>
      </c>
      <c r="H57" s="554">
        <v>22484</v>
      </c>
    </row>
    <row r="58" spans="1:8">
      <c r="A58" s="554" t="s">
        <v>1654</v>
      </c>
      <c r="B58" s="554">
        <v>9610</v>
      </c>
      <c r="C58" s="554">
        <v>12188</v>
      </c>
      <c r="D58" s="554">
        <v>17441</v>
      </c>
      <c r="E58" s="554">
        <v>13700</v>
      </c>
      <c r="F58" s="554">
        <v>10708</v>
      </c>
      <c r="G58" s="554">
        <v>18820</v>
      </c>
      <c r="H58" s="554">
        <v>17337</v>
      </c>
    </row>
    <row r="59" spans="1:8">
      <c r="A59" s="554" t="s">
        <v>1651</v>
      </c>
      <c r="B59" s="554">
        <v>882</v>
      </c>
      <c r="C59" s="554">
        <v>1062</v>
      </c>
      <c r="D59" s="554">
        <v>718</v>
      </c>
      <c r="E59" s="554">
        <v>859</v>
      </c>
      <c r="F59" s="554">
        <v>856</v>
      </c>
      <c r="G59" s="554">
        <v>989</v>
      </c>
      <c r="H59" s="554" t="s">
        <v>291</v>
      </c>
    </row>
    <row r="60" spans="1:8">
      <c r="A60" s="554" t="s">
        <v>1645</v>
      </c>
      <c r="B60" s="554">
        <v>-242</v>
      </c>
      <c r="C60" s="554">
        <v>-180</v>
      </c>
      <c r="D60" s="554">
        <v>1016</v>
      </c>
      <c r="E60" s="554">
        <v>6160</v>
      </c>
      <c r="F60" s="554">
        <v>1618</v>
      </c>
      <c r="G60" s="554">
        <v>860</v>
      </c>
      <c r="H60" s="554">
        <v>674</v>
      </c>
    </row>
    <row r="61" spans="1:8">
      <c r="A61" s="554" t="s">
        <v>1644</v>
      </c>
      <c r="B61" s="554">
        <v>-111</v>
      </c>
      <c r="C61" s="554">
        <v>-46</v>
      </c>
      <c r="D61" s="554">
        <v>77</v>
      </c>
      <c r="E61" s="554">
        <v>661</v>
      </c>
      <c r="F61" s="554">
        <v>2761</v>
      </c>
      <c r="G61" s="554">
        <v>1029</v>
      </c>
      <c r="H61" s="554">
        <v>1624</v>
      </c>
    </row>
    <row r="62" spans="1:8">
      <c r="A62" s="554" t="s">
        <v>1641</v>
      </c>
      <c r="B62" s="554">
        <v>-131</v>
      </c>
      <c r="C62" s="554">
        <v>-134</v>
      </c>
      <c r="D62" s="554">
        <v>939</v>
      </c>
      <c r="E62" s="554">
        <v>5499</v>
      </c>
      <c r="F62" s="554">
        <v>-1143</v>
      </c>
      <c r="G62" s="554">
        <v>-169</v>
      </c>
      <c r="H62" s="554">
        <v>-951</v>
      </c>
    </row>
    <row r="63" spans="1:8">
      <c r="A63" s="554" t="s">
        <v>1634</v>
      </c>
      <c r="B63" s="554">
        <v>672</v>
      </c>
      <c r="C63" s="554">
        <v>469</v>
      </c>
      <c r="D63" s="554">
        <v>930</v>
      </c>
      <c r="E63" s="554">
        <v>1004</v>
      </c>
      <c r="F63" s="554">
        <v>1118</v>
      </c>
      <c r="G63" s="554">
        <v>1087</v>
      </c>
      <c r="H63" s="554">
        <v>1365</v>
      </c>
    </row>
    <row r="64" spans="1:8">
      <c r="A64" s="554" t="s">
        <v>1633</v>
      </c>
      <c r="B64" s="554">
        <v>2338</v>
      </c>
      <c r="C64" s="554">
        <v>1822</v>
      </c>
      <c r="D64" s="554">
        <v>3252</v>
      </c>
      <c r="E64" s="554">
        <v>3095</v>
      </c>
      <c r="F64" s="554">
        <v>2241</v>
      </c>
      <c r="G64" s="554">
        <v>3044</v>
      </c>
      <c r="H64" s="554" t="s">
        <v>291</v>
      </c>
    </row>
    <row r="65" spans="1:8">
      <c r="A65" s="554" t="s">
        <v>2148</v>
      </c>
      <c r="B65" s="554">
        <v>99458</v>
      </c>
      <c r="C65" s="554">
        <v>103945</v>
      </c>
      <c r="D65" s="554">
        <v>92008</v>
      </c>
      <c r="E65" s="554">
        <v>95676</v>
      </c>
      <c r="F65" s="554">
        <v>104332</v>
      </c>
      <c r="G65" s="554">
        <v>161243</v>
      </c>
      <c r="H65" s="554">
        <v>139954</v>
      </c>
    </row>
    <row r="66" spans="1:8">
      <c r="A66" s="554" t="s">
        <v>2147</v>
      </c>
      <c r="B66" s="554">
        <v>8465</v>
      </c>
      <c r="C66" s="554">
        <v>12772</v>
      </c>
      <c r="D66" s="554">
        <v>17234</v>
      </c>
      <c r="E66" s="554">
        <v>18483</v>
      </c>
      <c r="F66" s="554">
        <v>18522</v>
      </c>
      <c r="G66" s="554">
        <v>12269</v>
      </c>
      <c r="H66" s="554">
        <v>14535</v>
      </c>
    </row>
    <row r="67" spans="1:8">
      <c r="A67" s="554" t="s">
        <v>1620</v>
      </c>
      <c r="B67" s="554">
        <v>72978</v>
      </c>
      <c r="C67" s="554">
        <v>80085</v>
      </c>
      <c r="D67" s="554">
        <v>64130</v>
      </c>
      <c r="E67" s="554">
        <v>62709</v>
      </c>
      <c r="F67" s="554">
        <v>74639</v>
      </c>
      <c r="G67" s="554">
        <v>130772</v>
      </c>
      <c r="H67" s="554">
        <v>112464</v>
      </c>
    </row>
    <row r="68" spans="1:8">
      <c r="A68" s="554" t="s">
        <v>1610</v>
      </c>
      <c r="B68" s="554">
        <v>18015</v>
      </c>
      <c r="C68" s="554">
        <v>11088</v>
      </c>
      <c r="D68" s="554">
        <v>10644</v>
      </c>
      <c r="E68" s="554">
        <v>14484</v>
      </c>
      <c r="F68" s="554">
        <v>11172</v>
      </c>
      <c r="G68" s="554">
        <v>18202</v>
      </c>
      <c r="H68" s="554">
        <v>12955</v>
      </c>
    </row>
    <row r="69" spans="1:8">
      <c r="A69" s="554" t="s">
        <v>1606</v>
      </c>
      <c r="B69" s="554">
        <v>25722</v>
      </c>
      <c r="C69" s="554">
        <v>24844</v>
      </c>
      <c r="D69" s="554">
        <v>21241</v>
      </c>
      <c r="E69" s="554">
        <v>16717</v>
      </c>
      <c r="F69" s="554">
        <v>20828</v>
      </c>
      <c r="G69" s="554">
        <v>31449</v>
      </c>
      <c r="H69" s="554">
        <v>34401</v>
      </c>
    </row>
    <row r="70" spans="1:8">
      <c r="A70" s="554" t="s">
        <v>1605</v>
      </c>
      <c r="B70" s="554">
        <v>1021</v>
      </c>
      <c r="C70" s="554">
        <v>574</v>
      </c>
      <c r="D70" s="554">
        <v>961</v>
      </c>
      <c r="E70" s="554">
        <v>584</v>
      </c>
      <c r="F70" s="554">
        <v>1147</v>
      </c>
      <c r="G70" s="554">
        <v>1273</v>
      </c>
      <c r="H70" s="554">
        <v>1504</v>
      </c>
    </row>
    <row r="71" spans="1:8">
      <c r="A71" s="554" t="s">
        <v>1604</v>
      </c>
      <c r="B71" s="554">
        <v>11621</v>
      </c>
      <c r="C71" s="554">
        <v>9015</v>
      </c>
      <c r="D71" s="554">
        <v>10441</v>
      </c>
      <c r="E71" s="554">
        <v>7749</v>
      </c>
      <c r="F71" s="554">
        <v>9009</v>
      </c>
      <c r="G71" s="554">
        <v>10276</v>
      </c>
      <c r="H71" s="554">
        <v>9231</v>
      </c>
    </row>
    <row r="72" spans="1:8">
      <c r="A72" s="554" t="s">
        <v>1603</v>
      </c>
      <c r="B72" s="554">
        <v>8762</v>
      </c>
      <c r="C72" s="554" t="s">
        <v>291</v>
      </c>
      <c r="D72" s="554">
        <v>6782</v>
      </c>
      <c r="E72" s="554">
        <v>4724</v>
      </c>
      <c r="F72" s="554">
        <v>6543</v>
      </c>
      <c r="G72" s="554">
        <v>9325</v>
      </c>
      <c r="H72" s="554">
        <v>3040</v>
      </c>
    </row>
    <row r="73" spans="1:8">
      <c r="A73" s="554" t="s">
        <v>1602</v>
      </c>
      <c r="B73" s="554">
        <v>209</v>
      </c>
      <c r="C73" s="554">
        <v>500</v>
      </c>
      <c r="D73" s="554">
        <v>1303</v>
      </c>
      <c r="E73" s="554">
        <v>1461</v>
      </c>
      <c r="F73" s="554">
        <v>1546</v>
      </c>
      <c r="G73" s="554">
        <v>865</v>
      </c>
      <c r="H73" s="554">
        <v>1374</v>
      </c>
    </row>
    <row r="74" spans="1:8">
      <c r="A74" s="554" t="s">
        <v>236</v>
      </c>
      <c r="B74" s="554">
        <v>4110</v>
      </c>
      <c r="C74" s="554" t="s">
        <v>291</v>
      </c>
      <c r="D74" s="554">
        <v>1754</v>
      </c>
      <c r="E74" s="554">
        <v>2198</v>
      </c>
      <c r="F74" s="554">
        <v>2583</v>
      </c>
      <c r="G74" s="554">
        <v>9710</v>
      </c>
      <c r="H74" s="554">
        <v>19253</v>
      </c>
    </row>
    <row r="75" spans="1:8">
      <c r="A75" s="554" t="s">
        <v>1593</v>
      </c>
      <c r="B75" s="554">
        <v>424490</v>
      </c>
      <c r="C75" s="554">
        <v>573800</v>
      </c>
      <c r="D75" s="554">
        <v>594904</v>
      </c>
      <c r="E75" s="554">
        <v>595851</v>
      </c>
      <c r="F75" s="554">
        <v>579765</v>
      </c>
      <c r="G75" s="554">
        <v>628656</v>
      </c>
      <c r="H75" s="554">
        <v>564484</v>
      </c>
    </row>
    <row r="76" spans="1:8">
      <c r="A76" s="554" t="s">
        <v>1592</v>
      </c>
      <c r="B76" s="554">
        <v>89</v>
      </c>
      <c r="C76" s="554">
        <v>299</v>
      </c>
      <c r="D76" s="554">
        <v>155</v>
      </c>
      <c r="E76" s="554">
        <v>477</v>
      </c>
      <c r="F76" s="554">
        <v>312</v>
      </c>
      <c r="G76" s="554">
        <v>464</v>
      </c>
      <c r="H76" s="554">
        <v>623</v>
      </c>
    </row>
    <row r="77" spans="1:8">
      <c r="A77" s="554" t="s">
        <v>1582</v>
      </c>
      <c r="B77" s="554">
        <v>721</v>
      </c>
      <c r="C77" s="554">
        <v>681</v>
      </c>
      <c r="D77" s="554">
        <v>890</v>
      </c>
      <c r="E77" s="554">
        <v>1531</v>
      </c>
      <c r="F77" s="554">
        <v>1681</v>
      </c>
      <c r="G77" s="554">
        <v>1389</v>
      </c>
      <c r="H77" s="554">
        <v>1338</v>
      </c>
    </row>
    <row r="78" spans="1:8">
      <c r="A78" s="554" t="s">
        <v>1586</v>
      </c>
      <c r="B78" s="554">
        <v>3151</v>
      </c>
      <c r="C78" s="554">
        <v>3483</v>
      </c>
      <c r="D78" s="554">
        <v>4363</v>
      </c>
      <c r="E78" s="554">
        <v>5593</v>
      </c>
      <c r="F78" s="554">
        <v>3949</v>
      </c>
      <c r="G78" s="554">
        <v>5357</v>
      </c>
      <c r="H78" s="554">
        <v>4338</v>
      </c>
    </row>
    <row r="79" spans="1:8">
      <c r="A79" s="554" t="s">
        <v>1564</v>
      </c>
      <c r="B79" s="554">
        <v>3848</v>
      </c>
      <c r="C79" s="554">
        <v>4000</v>
      </c>
      <c r="D79" s="554">
        <v>3498</v>
      </c>
      <c r="E79" s="554">
        <v>2846</v>
      </c>
      <c r="F79" s="554">
        <v>3516</v>
      </c>
      <c r="G79" s="554">
        <v>3986</v>
      </c>
      <c r="H79" s="554">
        <v>5112</v>
      </c>
    </row>
    <row r="80" spans="1:8">
      <c r="A80" s="554" t="s">
        <v>1547</v>
      </c>
      <c r="B80" s="554">
        <v>10405</v>
      </c>
      <c r="C80" s="554">
        <v>19532</v>
      </c>
      <c r="D80" s="554">
        <v>16567</v>
      </c>
      <c r="E80" s="554">
        <v>19025</v>
      </c>
      <c r="F80" s="554">
        <v>18659</v>
      </c>
      <c r="G80" s="554">
        <v>27101</v>
      </c>
      <c r="H80" s="554">
        <v>29189</v>
      </c>
    </row>
    <row r="81" spans="1:8">
      <c r="A81" s="554" t="s">
        <v>1541</v>
      </c>
      <c r="B81" s="554">
        <v>403062</v>
      </c>
      <c r="C81" s="554">
        <v>538089</v>
      </c>
      <c r="D81" s="554">
        <v>559674</v>
      </c>
      <c r="E81" s="554">
        <v>557251</v>
      </c>
      <c r="F81" s="554">
        <v>538256</v>
      </c>
      <c r="G81" s="554">
        <v>574999</v>
      </c>
      <c r="H81" s="554">
        <v>497869</v>
      </c>
    </row>
    <row r="82" spans="1:8">
      <c r="A82" s="554" t="s">
        <v>1538</v>
      </c>
      <c r="B82" s="554">
        <v>413</v>
      </c>
      <c r="C82" s="554">
        <v>2066</v>
      </c>
      <c r="D82" s="554">
        <v>2241</v>
      </c>
      <c r="E82" s="554">
        <v>2617</v>
      </c>
      <c r="F82" s="554">
        <v>3911</v>
      </c>
      <c r="G82" s="554">
        <v>4481</v>
      </c>
      <c r="H82" s="554">
        <v>18091</v>
      </c>
    </row>
    <row r="83" spans="1:8">
      <c r="A83" s="554" t="s">
        <v>1527</v>
      </c>
      <c r="B83" s="554">
        <v>254</v>
      </c>
      <c r="C83" s="554">
        <v>236</v>
      </c>
      <c r="D83" s="554">
        <v>298</v>
      </c>
      <c r="E83" s="554">
        <v>348</v>
      </c>
      <c r="F83" s="554">
        <v>281</v>
      </c>
      <c r="G83" s="554">
        <v>321</v>
      </c>
      <c r="H83" s="554">
        <v>340</v>
      </c>
    </row>
    <row r="84" spans="1:8">
      <c r="A84" s="554" t="s">
        <v>1522</v>
      </c>
      <c r="B84" s="554">
        <v>1674</v>
      </c>
      <c r="C84" s="554">
        <v>3791</v>
      </c>
      <c r="D84" s="554">
        <v>4381</v>
      </c>
      <c r="E84" s="554">
        <v>3565</v>
      </c>
      <c r="F84" s="554">
        <v>4625</v>
      </c>
      <c r="G84" s="554">
        <v>4703</v>
      </c>
      <c r="H84" s="554">
        <v>5099</v>
      </c>
    </row>
    <row r="85" spans="1:8">
      <c r="A85" s="554" t="s">
        <v>1519</v>
      </c>
      <c r="B85" s="554">
        <v>873</v>
      </c>
      <c r="C85" s="554">
        <v>1622</v>
      </c>
      <c r="D85" s="554">
        <v>2836</v>
      </c>
      <c r="E85" s="554">
        <v>2598</v>
      </c>
      <c r="F85" s="554">
        <v>4576</v>
      </c>
      <c r="G85" s="554">
        <v>5855</v>
      </c>
      <c r="H85" s="554">
        <v>2484</v>
      </c>
    </row>
    <row r="86" spans="1:8" ht="13">
      <c r="A86" s="1961" t="s">
        <v>7</v>
      </c>
      <c r="B86" s="1958"/>
      <c r="C86" s="1958"/>
      <c r="D86" s="1958"/>
      <c r="E86" s="1958"/>
      <c r="F86" s="1958"/>
      <c r="G86" s="1958"/>
      <c r="H86" s="1958"/>
    </row>
    <row r="87" spans="1:8">
      <c r="A87" s="1962" t="s">
        <v>272</v>
      </c>
      <c r="B87" s="1958"/>
      <c r="C87" s="1958"/>
      <c r="D87" s="1958"/>
      <c r="E87" s="1958"/>
      <c r="F87" s="1958"/>
      <c r="G87" s="1958"/>
      <c r="H87" s="1958"/>
    </row>
    <row r="88" spans="1:8">
      <c r="A88" s="1962" t="s">
        <v>1031</v>
      </c>
      <c r="B88" s="1958"/>
      <c r="C88" s="1958"/>
      <c r="D88" s="1958"/>
      <c r="E88" s="1958"/>
      <c r="F88" s="1958"/>
      <c r="G88" s="1958"/>
      <c r="H88" s="1958"/>
    </row>
    <row r="89" spans="1:8">
      <c r="A89" s="1962" t="s">
        <v>1032</v>
      </c>
      <c r="B89" s="1958"/>
      <c r="C89" s="1958"/>
      <c r="D89" s="1958"/>
      <c r="E89" s="1958"/>
      <c r="F89" s="1958"/>
      <c r="G89" s="1958"/>
      <c r="H89" s="1958"/>
    </row>
    <row r="90" spans="1:8">
      <c r="A90" s="1962" t="s">
        <v>1033</v>
      </c>
      <c r="B90" s="1958"/>
      <c r="C90" s="1958"/>
      <c r="D90" s="1958"/>
      <c r="E90" s="1958"/>
      <c r="F90" s="1958"/>
      <c r="G90" s="1958"/>
      <c r="H90" s="1958"/>
    </row>
    <row r="91" spans="1:8">
      <c r="A91" s="1962" t="s">
        <v>268</v>
      </c>
      <c r="B91" s="1958"/>
      <c r="C91" s="1958"/>
      <c r="D91" s="1958"/>
      <c r="E91" s="1958"/>
      <c r="F91" s="1958"/>
      <c r="G91" s="1958"/>
      <c r="H91" s="1958"/>
    </row>
    <row r="92" spans="1:8">
      <c r="A92" s="1962" t="s">
        <v>267</v>
      </c>
      <c r="B92" s="1958"/>
      <c r="C92" s="1958"/>
      <c r="D92" s="1958"/>
      <c r="E92" s="1958"/>
      <c r="F92" s="1958"/>
      <c r="G92" s="1958"/>
      <c r="H92" s="1958"/>
    </row>
    <row r="93" spans="1:8">
      <c r="A93" s="1962" t="s">
        <v>2137</v>
      </c>
      <c r="B93" s="1958"/>
      <c r="C93" s="1958"/>
      <c r="D93" s="1958"/>
      <c r="E93" s="1958"/>
      <c r="F93" s="1958"/>
      <c r="G93" s="1958"/>
      <c r="H93" s="1958"/>
    </row>
    <row r="94" spans="1:8">
      <c r="A94" s="1962" t="s">
        <v>262</v>
      </c>
      <c r="B94" s="1958"/>
      <c r="C94" s="1958"/>
      <c r="D94" s="1958"/>
      <c r="E94" s="1958"/>
      <c r="F94" s="1958"/>
      <c r="G94" s="1958"/>
      <c r="H94" s="1958"/>
    </row>
    <row r="95" spans="1:8">
      <c r="A95" s="1962" t="s">
        <v>2144</v>
      </c>
      <c r="B95" s="1958"/>
      <c r="C95" s="1958"/>
      <c r="D95" s="1958"/>
      <c r="E95" s="1958"/>
      <c r="F95" s="1958"/>
      <c r="G95" s="1958"/>
      <c r="H95" s="1958"/>
    </row>
    <row r="96" spans="1:8">
      <c r="A96" s="1962" t="s">
        <v>263</v>
      </c>
      <c r="B96" s="1958"/>
      <c r="C96" s="1958"/>
      <c r="D96" s="1958"/>
      <c r="E96" s="1958"/>
      <c r="F96" s="1958"/>
      <c r="G96" s="1958"/>
      <c r="H96" s="1958"/>
    </row>
  </sheetData>
  <mergeCells count="24">
    <mergeCell ref="A86:H86"/>
    <mergeCell ref="A87:H87"/>
    <mergeCell ref="A88:H88"/>
    <mergeCell ref="A95:H95"/>
    <mergeCell ref="A96:H96"/>
    <mergeCell ref="A89:H89"/>
    <mergeCell ref="A90:H90"/>
    <mergeCell ref="A91:H91"/>
    <mergeCell ref="A92:H92"/>
    <mergeCell ref="A93:H93"/>
    <mergeCell ref="A94:H94"/>
    <mergeCell ref="A1:H1"/>
    <mergeCell ref="A2:H2"/>
    <mergeCell ref="A3:H3"/>
    <mergeCell ref="A4:H4"/>
    <mergeCell ref="A6:A7"/>
    <mergeCell ref="B6:H6"/>
    <mergeCell ref="B7"/>
    <mergeCell ref="C7"/>
    <mergeCell ref="D7"/>
    <mergeCell ref="E7"/>
    <mergeCell ref="F7"/>
    <mergeCell ref="G7"/>
    <mergeCell ref="H7"/>
  </mergeCell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6"/>
  <sheetViews>
    <sheetView workbookViewId="0">
      <pane ySplit="7" topLeftCell="A8" activePane="bottomLeft" state="frozen"/>
      <selection activeCell="X67" sqref="X67"/>
      <selection pane="bottomLeft" activeCell="X67" sqref="X67"/>
    </sheetView>
  </sheetViews>
  <sheetFormatPr baseColWidth="10" defaultColWidth="7.5703125" defaultRowHeight="12" x14ac:dyDescent="0"/>
  <cols>
    <col min="1" max="16384" width="7.5703125" style="554"/>
  </cols>
  <sheetData>
    <row r="1" spans="1:13" ht="17">
      <c r="A1" s="1957" t="s">
        <v>2143</v>
      </c>
      <c r="B1" s="1958"/>
      <c r="C1" s="1958"/>
      <c r="D1" s="1958"/>
      <c r="E1" s="1958"/>
      <c r="F1" s="1958"/>
      <c r="G1" s="1958"/>
      <c r="H1" s="1958"/>
      <c r="I1" s="1958"/>
      <c r="J1" s="1958"/>
      <c r="K1" s="1958"/>
      <c r="L1" s="1958"/>
      <c r="M1" s="1958"/>
    </row>
    <row r="2" spans="1:13" ht="16">
      <c r="A2" s="1959" t="s">
        <v>2142</v>
      </c>
      <c r="B2" s="1958"/>
      <c r="C2" s="1958"/>
      <c r="D2" s="1958"/>
      <c r="E2" s="1958"/>
      <c r="F2" s="1958"/>
      <c r="G2" s="1958"/>
      <c r="H2" s="1958"/>
      <c r="I2" s="1958"/>
      <c r="J2" s="1958"/>
      <c r="K2" s="1958"/>
      <c r="L2" s="1958"/>
      <c r="M2" s="1958"/>
    </row>
    <row r="3" spans="1:13">
      <c r="A3" s="1958" t="s">
        <v>160</v>
      </c>
      <c r="B3" s="1958"/>
      <c r="C3" s="1958"/>
      <c r="D3" s="1958"/>
      <c r="E3" s="1958"/>
      <c r="F3" s="1958"/>
      <c r="G3" s="1958"/>
      <c r="H3" s="1958"/>
      <c r="I3" s="1958"/>
      <c r="J3" s="1958"/>
      <c r="K3" s="1958"/>
      <c r="L3" s="1958"/>
      <c r="M3" s="1958"/>
    </row>
    <row r="4" spans="1:13">
      <c r="A4" s="1958" t="s">
        <v>513</v>
      </c>
      <c r="B4" s="1958"/>
      <c r="C4" s="1958"/>
      <c r="D4" s="1958"/>
      <c r="E4" s="1958"/>
      <c r="F4" s="1958"/>
      <c r="G4" s="1958"/>
      <c r="H4" s="1958"/>
      <c r="I4" s="1958"/>
      <c r="J4" s="1958"/>
      <c r="K4" s="1958"/>
      <c r="L4" s="1958"/>
      <c r="M4" s="1958"/>
    </row>
    <row r="6" spans="1:13">
      <c r="A6" s="1960" t="s">
        <v>0</v>
      </c>
      <c r="B6" s="1960" t="s">
        <v>2141</v>
      </c>
      <c r="C6" s="1960"/>
      <c r="D6" s="1960"/>
      <c r="E6" s="1960"/>
      <c r="F6" s="1960"/>
      <c r="G6" s="1960"/>
      <c r="H6" s="1960"/>
      <c r="I6" s="1960"/>
      <c r="J6" s="1960"/>
      <c r="K6" s="1960"/>
      <c r="L6" s="1960"/>
      <c r="M6" s="1960"/>
    </row>
    <row r="7" spans="1:13">
      <c r="A7" s="1960"/>
      <c r="B7" s="1960" t="s">
        <v>90</v>
      </c>
      <c r="C7" s="1960" t="s">
        <v>89</v>
      </c>
      <c r="D7" s="1960" t="s">
        <v>88</v>
      </c>
      <c r="E7" s="1960" t="s">
        <v>87</v>
      </c>
      <c r="F7" s="1960" t="s">
        <v>86</v>
      </c>
      <c r="G7" s="1960" t="s">
        <v>85</v>
      </c>
      <c r="H7" s="1960" t="s">
        <v>84</v>
      </c>
      <c r="I7" s="1960" t="s">
        <v>83</v>
      </c>
      <c r="J7" s="1960" t="s">
        <v>82</v>
      </c>
      <c r="K7" s="1960" t="s">
        <v>81</v>
      </c>
      <c r="L7" s="1960" t="s">
        <v>80</v>
      </c>
      <c r="M7" s="1960" t="s">
        <v>79</v>
      </c>
    </row>
    <row r="8" spans="1:13">
      <c r="A8" s="554" t="s">
        <v>511</v>
      </c>
      <c r="B8" s="554">
        <v>140512</v>
      </c>
      <c r="C8" s="554">
        <v>134531</v>
      </c>
      <c r="D8" s="554">
        <v>162759</v>
      </c>
      <c r="E8" s="554">
        <v>199864</v>
      </c>
      <c r="F8" s="554">
        <v>177317</v>
      </c>
      <c r="G8" s="554">
        <v>212564</v>
      </c>
      <c r="H8" s="554">
        <v>325684</v>
      </c>
      <c r="I8" s="554">
        <v>450760</v>
      </c>
      <c r="J8" s="554">
        <v>597261</v>
      </c>
      <c r="K8" s="554">
        <v>667349</v>
      </c>
      <c r="L8" s="554">
        <v>766006</v>
      </c>
      <c r="M8" s="554">
        <v>854673</v>
      </c>
    </row>
    <row r="9" spans="1:13">
      <c r="A9" s="554" t="s">
        <v>510</v>
      </c>
      <c r="B9" s="554">
        <v>12334</v>
      </c>
      <c r="C9" s="554">
        <v>10067</v>
      </c>
      <c r="D9" s="554">
        <v>14874</v>
      </c>
      <c r="E9" s="554">
        <v>17727</v>
      </c>
      <c r="F9" s="554">
        <v>15639</v>
      </c>
      <c r="G9" s="554">
        <v>14040</v>
      </c>
      <c r="H9" s="554">
        <v>22340</v>
      </c>
      <c r="I9" s="554">
        <v>38806</v>
      </c>
      <c r="J9" s="554">
        <v>39228</v>
      </c>
      <c r="K9" s="554">
        <v>50135</v>
      </c>
      <c r="L9" s="554">
        <v>52634</v>
      </c>
      <c r="M9" s="554">
        <v>60203</v>
      </c>
    </row>
    <row r="10" spans="1:13">
      <c r="A10" s="554" t="s">
        <v>2</v>
      </c>
      <c r="B10" s="554">
        <v>76687</v>
      </c>
      <c r="C10" s="554">
        <v>81559</v>
      </c>
      <c r="D10" s="554">
        <v>93292</v>
      </c>
      <c r="E10" s="554">
        <v>108136</v>
      </c>
      <c r="F10" s="554">
        <v>98146</v>
      </c>
      <c r="G10" s="554">
        <v>123126</v>
      </c>
      <c r="H10" s="554">
        <v>196791</v>
      </c>
      <c r="I10" s="554">
        <v>256885</v>
      </c>
      <c r="J10" s="554">
        <v>353805</v>
      </c>
      <c r="K10" s="554">
        <v>376482</v>
      </c>
      <c r="L10" s="554">
        <v>413907</v>
      </c>
      <c r="M10" s="554">
        <v>483239</v>
      </c>
    </row>
    <row r="11" spans="1:13">
      <c r="A11" s="554" t="s">
        <v>509</v>
      </c>
      <c r="B11" s="554">
        <v>547</v>
      </c>
      <c r="C11" s="554">
        <v>570</v>
      </c>
      <c r="D11" s="554">
        <v>588</v>
      </c>
      <c r="E11" s="554">
        <v>652</v>
      </c>
      <c r="F11" s="554">
        <v>482</v>
      </c>
      <c r="G11" s="554">
        <v>484</v>
      </c>
      <c r="H11" s="554">
        <v>1321</v>
      </c>
      <c r="I11" s="554">
        <v>1414</v>
      </c>
      <c r="J11" s="554">
        <v>8877</v>
      </c>
      <c r="K11" s="554">
        <v>3534</v>
      </c>
      <c r="L11" s="554">
        <v>3824</v>
      </c>
      <c r="M11" s="554">
        <v>4896</v>
      </c>
    </row>
    <row r="12" spans="1:13">
      <c r="A12" s="554" t="s">
        <v>508</v>
      </c>
      <c r="B12" s="554">
        <v>2581</v>
      </c>
      <c r="C12" s="554">
        <v>3189</v>
      </c>
      <c r="D12" s="554">
        <v>2687</v>
      </c>
      <c r="E12" s="554">
        <v>6165</v>
      </c>
      <c r="F12" s="554">
        <v>5829</v>
      </c>
      <c r="G12" s="554">
        <v>5003</v>
      </c>
      <c r="H12" s="554">
        <v>6740</v>
      </c>
      <c r="I12" s="554">
        <v>7568</v>
      </c>
      <c r="J12" s="554">
        <v>16880</v>
      </c>
      <c r="K12" s="554">
        <v>13165</v>
      </c>
      <c r="L12" s="554">
        <v>14954</v>
      </c>
      <c r="M12" s="554">
        <v>14997</v>
      </c>
    </row>
    <row r="13" spans="1:13">
      <c r="A13" s="554" t="s">
        <v>507</v>
      </c>
      <c r="B13" s="554" t="s">
        <v>273</v>
      </c>
      <c r="C13" s="554" t="s">
        <v>273</v>
      </c>
      <c r="D13" s="554">
        <v>127</v>
      </c>
      <c r="E13" s="554">
        <v>218</v>
      </c>
      <c r="F13" s="554">
        <v>345</v>
      </c>
      <c r="G13" s="554">
        <v>164</v>
      </c>
      <c r="H13" s="554">
        <v>402</v>
      </c>
      <c r="I13" s="554">
        <v>554</v>
      </c>
      <c r="J13" s="554">
        <v>971</v>
      </c>
      <c r="K13" s="554">
        <v>948</v>
      </c>
      <c r="L13" s="554">
        <v>845</v>
      </c>
      <c r="M13" s="554">
        <v>833</v>
      </c>
    </row>
    <row r="14" spans="1:13">
      <c r="A14" s="554" t="s">
        <v>506</v>
      </c>
      <c r="B14" s="554">
        <v>281</v>
      </c>
      <c r="C14" s="554">
        <v>287</v>
      </c>
      <c r="D14" s="554">
        <v>764</v>
      </c>
      <c r="E14" s="554">
        <v>4211</v>
      </c>
      <c r="F14" s="554">
        <v>4147</v>
      </c>
      <c r="G14" s="554">
        <v>2568</v>
      </c>
      <c r="H14" s="554">
        <v>3164</v>
      </c>
      <c r="I14" s="554">
        <v>2952</v>
      </c>
      <c r="J14" s="554">
        <v>3888</v>
      </c>
      <c r="K14" s="554">
        <v>4386</v>
      </c>
      <c r="L14" s="554">
        <v>4172</v>
      </c>
      <c r="M14" s="554">
        <v>5684</v>
      </c>
    </row>
    <row r="15" spans="1:13">
      <c r="A15" s="554" t="s">
        <v>505</v>
      </c>
      <c r="B15" s="554">
        <v>337</v>
      </c>
      <c r="C15" s="554">
        <v>399</v>
      </c>
      <c r="D15" s="554">
        <v>409</v>
      </c>
      <c r="E15" s="554">
        <v>441</v>
      </c>
      <c r="F15" s="554">
        <v>451</v>
      </c>
      <c r="G15" s="554">
        <v>401</v>
      </c>
      <c r="H15" s="554">
        <v>329</v>
      </c>
      <c r="I15" s="554">
        <v>530</v>
      </c>
      <c r="J15" s="554">
        <v>583</v>
      </c>
      <c r="K15" s="554">
        <v>595</v>
      </c>
      <c r="L15" s="554">
        <v>1047</v>
      </c>
      <c r="M15" s="554">
        <v>840</v>
      </c>
    </row>
    <row r="16" spans="1:13">
      <c r="A16" s="554" t="s">
        <v>504</v>
      </c>
      <c r="B16" s="554">
        <v>4569</v>
      </c>
      <c r="C16" s="554">
        <v>4361</v>
      </c>
      <c r="D16" s="554">
        <v>3481</v>
      </c>
      <c r="E16" s="554">
        <v>3387</v>
      </c>
      <c r="F16" s="554">
        <v>4186</v>
      </c>
      <c r="G16" s="554">
        <v>2773</v>
      </c>
      <c r="H16" s="554">
        <v>6627</v>
      </c>
      <c r="I16" s="554">
        <v>9789</v>
      </c>
      <c r="J16" s="554">
        <v>9501</v>
      </c>
      <c r="K16" s="554">
        <v>7662</v>
      </c>
      <c r="L16" s="554">
        <v>11189</v>
      </c>
      <c r="M16" s="554">
        <v>12254</v>
      </c>
    </row>
    <row r="17" spans="1:13">
      <c r="A17" s="554" t="s">
        <v>503</v>
      </c>
      <c r="B17" s="554">
        <v>6422</v>
      </c>
      <c r="C17" s="554">
        <v>9776</v>
      </c>
      <c r="D17" s="554">
        <v>8446</v>
      </c>
      <c r="E17" s="554">
        <v>8153</v>
      </c>
      <c r="F17" s="554">
        <v>8246</v>
      </c>
      <c r="G17" s="554">
        <v>3408</v>
      </c>
      <c r="H17" s="554">
        <v>15549</v>
      </c>
      <c r="I17" s="554">
        <v>9663</v>
      </c>
      <c r="J17" s="554">
        <v>10779</v>
      </c>
      <c r="K17" s="554">
        <v>14648</v>
      </c>
      <c r="L17" s="554">
        <v>17470</v>
      </c>
      <c r="M17" s="554">
        <v>20039</v>
      </c>
    </row>
    <row r="18" spans="1:13">
      <c r="A18" s="554" t="s">
        <v>502</v>
      </c>
      <c r="B18" s="554">
        <v>104</v>
      </c>
      <c r="C18" s="554">
        <v>148</v>
      </c>
      <c r="D18" s="554">
        <v>205</v>
      </c>
      <c r="E18" s="554">
        <v>129</v>
      </c>
      <c r="F18" s="554">
        <v>242</v>
      </c>
      <c r="G18" s="554">
        <v>201</v>
      </c>
      <c r="H18" s="554">
        <v>259</v>
      </c>
      <c r="I18" s="554">
        <v>345</v>
      </c>
      <c r="J18" s="554">
        <v>293</v>
      </c>
      <c r="K18" s="554">
        <v>363</v>
      </c>
      <c r="L18" s="554">
        <v>431</v>
      </c>
      <c r="M18" s="554">
        <v>432</v>
      </c>
    </row>
    <row r="19" spans="1:13">
      <c r="A19" s="554" t="s">
        <v>501</v>
      </c>
      <c r="B19" s="554" t="s">
        <v>273</v>
      </c>
      <c r="C19" s="554" t="s">
        <v>273</v>
      </c>
      <c r="D19" s="554">
        <v>355</v>
      </c>
      <c r="E19" s="554">
        <v>142</v>
      </c>
      <c r="F19" s="554">
        <v>84</v>
      </c>
      <c r="G19" s="554">
        <v>162</v>
      </c>
      <c r="H19" s="554">
        <v>180</v>
      </c>
      <c r="I19" s="554">
        <v>220</v>
      </c>
      <c r="J19" s="554">
        <v>810</v>
      </c>
      <c r="K19" s="554">
        <v>1205</v>
      </c>
      <c r="L19" s="554">
        <v>2131</v>
      </c>
      <c r="M19" s="554">
        <v>2590</v>
      </c>
    </row>
    <row r="20" spans="1:13">
      <c r="A20" s="554" t="s">
        <v>500</v>
      </c>
      <c r="B20" s="554">
        <v>8546</v>
      </c>
      <c r="C20" s="554">
        <v>10925</v>
      </c>
      <c r="D20" s="554">
        <v>12252</v>
      </c>
      <c r="E20" s="554">
        <v>13339</v>
      </c>
      <c r="F20" s="554">
        <v>18184</v>
      </c>
      <c r="G20" s="554">
        <v>27125</v>
      </c>
      <c r="H20" s="554">
        <v>31281</v>
      </c>
      <c r="I20" s="554">
        <v>39266</v>
      </c>
      <c r="J20" s="554">
        <v>42037</v>
      </c>
      <c r="K20" s="554">
        <v>46887</v>
      </c>
      <c r="L20" s="554">
        <v>65711</v>
      </c>
      <c r="M20" s="554">
        <v>76406</v>
      </c>
    </row>
    <row r="21" spans="1:13">
      <c r="A21" s="554" t="s">
        <v>499</v>
      </c>
      <c r="B21" s="554">
        <v>2035</v>
      </c>
      <c r="C21" s="554">
        <v>2177</v>
      </c>
      <c r="D21" s="554">
        <v>2572</v>
      </c>
      <c r="E21" s="554">
        <v>2262</v>
      </c>
      <c r="F21" s="554">
        <v>2485</v>
      </c>
      <c r="G21" s="554">
        <v>2049</v>
      </c>
      <c r="H21" s="554">
        <v>3315</v>
      </c>
      <c r="I21" s="554">
        <v>2724</v>
      </c>
      <c r="J21" s="554">
        <v>6277</v>
      </c>
      <c r="K21" s="554">
        <v>5262</v>
      </c>
      <c r="L21" s="554">
        <v>4941</v>
      </c>
      <c r="M21" s="554">
        <v>6530</v>
      </c>
    </row>
    <row r="22" spans="1:13">
      <c r="A22" s="554" t="s">
        <v>498</v>
      </c>
      <c r="B22" s="554">
        <v>2250</v>
      </c>
      <c r="C22" s="554">
        <v>3613</v>
      </c>
      <c r="D22" s="554">
        <v>3932</v>
      </c>
      <c r="E22" s="554">
        <v>3444</v>
      </c>
      <c r="F22" s="554">
        <v>9687</v>
      </c>
      <c r="G22" s="554">
        <v>17879</v>
      </c>
      <c r="H22" s="554">
        <v>22749</v>
      </c>
      <c r="I22" s="554">
        <v>42540</v>
      </c>
      <c r="J22" s="554">
        <v>62479</v>
      </c>
      <c r="K22" s="554">
        <v>56840</v>
      </c>
      <c r="L22" s="554">
        <v>60561</v>
      </c>
      <c r="M22" s="554">
        <v>86632</v>
      </c>
    </row>
    <row r="23" spans="1:13">
      <c r="A23" s="554" t="s">
        <v>497</v>
      </c>
      <c r="B23" s="554">
        <v>16020</v>
      </c>
      <c r="C23" s="554">
        <v>14131</v>
      </c>
      <c r="D23" s="554">
        <v>17536</v>
      </c>
      <c r="E23" s="554">
        <v>17251</v>
      </c>
      <c r="F23" s="554">
        <v>21327</v>
      </c>
      <c r="G23" s="554">
        <v>19568</v>
      </c>
      <c r="H23" s="554">
        <v>41742</v>
      </c>
      <c r="I23" s="554">
        <v>63548</v>
      </c>
      <c r="J23" s="554">
        <v>77726</v>
      </c>
      <c r="K23" s="554">
        <v>89680</v>
      </c>
      <c r="L23" s="554">
        <v>106681</v>
      </c>
      <c r="M23" s="554">
        <v>139288</v>
      </c>
    </row>
    <row r="24" spans="1:13">
      <c r="A24" s="554" t="s">
        <v>496</v>
      </c>
      <c r="B24" s="554">
        <v>1112</v>
      </c>
      <c r="C24" s="554">
        <v>761</v>
      </c>
      <c r="D24" s="554">
        <v>963</v>
      </c>
      <c r="E24" s="554">
        <v>1731</v>
      </c>
      <c r="F24" s="554">
        <v>1688</v>
      </c>
      <c r="G24" s="554">
        <v>1450</v>
      </c>
      <c r="H24" s="554">
        <v>1820</v>
      </c>
      <c r="I24" s="554">
        <v>2599</v>
      </c>
      <c r="J24" s="554">
        <v>5075</v>
      </c>
      <c r="K24" s="554">
        <v>4240</v>
      </c>
      <c r="L24" s="554">
        <v>4816</v>
      </c>
      <c r="M24" s="554">
        <v>13445</v>
      </c>
    </row>
    <row r="25" spans="1:13">
      <c r="A25" s="554" t="s">
        <v>495</v>
      </c>
      <c r="B25" s="554" t="s">
        <v>273</v>
      </c>
      <c r="C25" s="554" t="s">
        <v>273</v>
      </c>
      <c r="D25" s="554">
        <v>-184</v>
      </c>
      <c r="E25" s="554">
        <v>-165</v>
      </c>
      <c r="F25" s="554">
        <v>-173</v>
      </c>
      <c r="G25" s="554">
        <v>-50</v>
      </c>
      <c r="H25" s="554">
        <v>720</v>
      </c>
      <c r="I25" s="554">
        <v>1313</v>
      </c>
      <c r="J25" s="554">
        <v>1253</v>
      </c>
      <c r="K25" s="554">
        <v>1491</v>
      </c>
      <c r="L25" s="554">
        <v>1916</v>
      </c>
      <c r="M25" s="554">
        <v>1785</v>
      </c>
    </row>
    <row r="26" spans="1:13">
      <c r="A26" s="554" t="s">
        <v>494</v>
      </c>
      <c r="B26" s="554">
        <v>441</v>
      </c>
      <c r="C26" s="554">
        <v>509</v>
      </c>
      <c r="D26" s="554">
        <v>951</v>
      </c>
      <c r="E26" s="554">
        <v>724</v>
      </c>
      <c r="F26" s="554">
        <v>535</v>
      </c>
      <c r="G26" s="554">
        <v>2226</v>
      </c>
      <c r="H26" s="554">
        <v>2766</v>
      </c>
      <c r="I26" s="554">
        <v>2413</v>
      </c>
      <c r="J26" s="554">
        <v>2451</v>
      </c>
      <c r="K26" s="554">
        <v>2297</v>
      </c>
      <c r="L26" s="554">
        <v>3146</v>
      </c>
      <c r="M26" s="554">
        <v>2429</v>
      </c>
    </row>
    <row r="27" spans="1:13">
      <c r="A27" s="554" t="s">
        <v>493</v>
      </c>
      <c r="B27" s="554" t="s">
        <v>273</v>
      </c>
      <c r="C27" s="554" t="s">
        <v>273</v>
      </c>
      <c r="D27" s="554">
        <v>-699</v>
      </c>
      <c r="E27" s="554">
        <v>-346</v>
      </c>
      <c r="F27" s="554">
        <v>2</v>
      </c>
      <c r="G27" s="554">
        <v>260</v>
      </c>
      <c r="H27" s="554">
        <v>430</v>
      </c>
      <c r="I27" s="554">
        <v>710</v>
      </c>
      <c r="J27" s="554">
        <v>976</v>
      </c>
      <c r="K27" s="554">
        <v>1258</v>
      </c>
      <c r="L27" s="554">
        <v>3901</v>
      </c>
      <c r="M27" s="554">
        <v>3831</v>
      </c>
    </row>
    <row r="28" spans="1:13">
      <c r="A28" s="554" t="s">
        <v>492</v>
      </c>
      <c r="B28" s="554">
        <v>1764</v>
      </c>
      <c r="C28" s="554">
        <v>2568</v>
      </c>
      <c r="D28" s="554">
        <v>2522</v>
      </c>
      <c r="E28" s="554">
        <v>2583</v>
      </c>
      <c r="F28" s="554">
        <v>2845</v>
      </c>
      <c r="G28" s="554">
        <v>3865</v>
      </c>
      <c r="H28" s="554">
        <v>5249</v>
      </c>
      <c r="I28" s="554">
        <v>4704</v>
      </c>
      <c r="J28" s="554">
        <v>6378</v>
      </c>
      <c r="K28" s="554">
        <v>6674</v>
      </c>
      <c r="L28" s="554">
        <v>9269</v>
      </c>
      <c r="M28" s="554">
        <v>8468</v>
      </c>
    </row>
    <row r="29" spans="1:13">
      <c r="A29" s="554" t="s">
        <v>491</v>
      </c>
      <c r="B29" s="554">
        <v>1192</v>
      </c>
      <c r="C29" s="554">
        <v>1359</v>
      </c>
      <c r="D29" s="554">
        <v>1751</v>
      </c>
      <c r="E29" s="554">
        <v>2505</v>
      </c>
      <c r="F29" s="554">
        <v>1081</v>
      </c>
      <c r="G29" s="554">
        <v>2978</v>
      </c>
      <c r="H29" s="554">
        <v>3665</v>
      </c>
      <c r="I29" s="554">
        <v>5289</v>
      </c>
      <c r="J29" s="554">
        <v>2463</v>
      </c>
      <c r="K29" s="554">
        <v>2331</v>
      </c>
      <c r="L29" s="554">
        <v>6477</v>
      </c>
      <c r="M29" s="554">
        <v>5239</v>
      </c>
    </row>
    <row r="30" spans="1:13">
      <c r="A30" s="554" t="s">
        <v>490</v>
      </c>
      <c r="B30" s="554">
        <v>9041</v>
      </c>
      <c r="C30" s="554">
        <v>10913</v>
      </c>
      <c r="D30" s="554">
        <v>10982</v>
      </c>
      <c r="E30" s="554">
        <v>12142</v>
      </c>
      <c r="F30" s="554">
        <v>5643</v>
      </c>
      <c r="G30" s="554">
        <v>15294</v>
      </c>
      <c r="H30" s="554">
        <v>19466</v>
      </c>
      <c r="I30" s="554">
        <v>26041</v>
      </c>
      <c r="J30" s="554">
        <v>40000</v>
      </c>
      <c r="K30" s="554">
        <v>44460</v>
      </c>
      <c r="L30" s="554">
        <v>48856</v>
      </c>
      <c r="M30" s="554">
        <v>54500</v>
      </c>
    </row>
    <row r="31" spans="1:13">
      <c r="A31" s="554" t="s">
        <v>489</v>
      </c>
      <c r="B31" s="554">
        <v>150</v>
      </c>
      <c r="C31" s="554">
        <v>231</v>
      </c>
      <c r="D31" s="554">
        <v>107</v>
      </c>
      <c r="E31" s="554">
        <v>109</v>
      </c>
      <c r="F31" s="554">
        <v>-112</v>
      </c>
      <c r="G31" s="554">
        <v>112</v>
      </c>
      <c r="H31" s="554">
        <v>272</v>
      </c>
      <c r="I31" s="554">
        <v>237</v>
      </c>
      <c r="J31" s="554">
        <v>326</v>
      </c>
      <c r="K31" s="554">
        <v>962</v>
      </c>
      <c r="L31" s="554">
        <v>1551</v>
      </c>
      <c r="M31" s="554">
        <v>1574</v>
      </c>
    </row>
    <row r="32" spans="1:13">
      <c r="A32" s="554" t="s">
        <v>488</v>
      </c>
      <c r="B32" s="554">
        <v>18508</v>
      </c>
      <c r="C32" s="554">
        <v>15969</v>
      </c>
      <c r="D32" s="554">
        <v>22988</v>
      </c>
      <c r="E32" s="554">
        <v>27278</v>
      </c>
      <c r="F32" s="554">
        <v>9386</v>
      </c>
      <c r="G32" s="554">
        <v>13203</v>
      </c>
      <c r="H32" s="554">
        <v>25359</v>
      </c>
      <c r="I32" s="554">
        <v>27373</v>
      </c>
      <c r="J32" s="554">
        <v>45761</v>
      </c>
      <c r="K32" s="554">
        <v>55807</v>
      </c>
      <c r="L32" s="554">
        <v>24553</v>
      </c>
      <c r="M32" s="554">
        <v>844</v>
      </c>
    </row>
    <row r="33" spans="1:13">
      <c r="A33" s="554" t="s">
        <v>236</v>
      </c>
      <c r="B33" s="554">
        <v>787</v>
      </c>
      <c r="C33" s="554">
        <v>-326</v>
      </c>
      <c r="D33" s="554">
        <v>560</v>
      </c>
      <c r="E33" s="554">
        <v>1782</v>
      </c>
      <c r="F33" s="554">
        <v>1555</v>
      </c>
      <c r="G33" s="554">
        <v>2000</v>
      </c>
      <c r="H33" s="554">
        <v>3387</v>
      </c>
      <c r="I33" s="554">
        <v>5093</v>
      </c>
      <c r="J33" s="554">
        <v>8021</v>
      </c>
      <c r="K33" s="554">
        <v>11787</v>
      </c>
      <c r="L33" s="554">
        <v>15466</v>
      </c>
      <c r="M33" s="554">
        <v>19702</v>
      </c>
    </row>
    <row r="34" spans="1:13">
      <c r="A34" s="554" t="s">
        <v>487</v>
      </c>
      <c r="B34" s="554">
        <v>-19</v>
      </c>
      <c r="C34" s="554">
        <v>0</v>
      </c>
      <c r="D34" s="554" t="s">
        <v>291</v>
      </c>
      <c r="E34" s="554">
        <v>0</v>
      </c>
      <c r="F34" s="554">
        <v>0</v>
      </c>
      <c r="G34" s="554">
        <v>0</v>
      </c>
      <c r="H34" s="554">
        <v>0</v>
      </c>
      <c r="I34" s="554" t="s">
        <v>306</v>
      </c>
      <c r="J34" s="554" t="s">
        <v>306</v>
      </c>
      <c r="K34" s="554" t="s">
        <v>306</v>
      </c>
      <c r="L34" s="554" t="s">
        <v>306</v>
      </c>
      <c r="M34" s="554" t="s">
        <v>306</v>
      </c>
    </row>
    <row r="35" spans="1:13">
      <c r="A35" s="554" t="s">
        <v>486</v>
      </c>
      <c r="B35" s="554" t="s">
        <v>273</v>
      </c>
      <c r="C35" s="554" t="s">
        <v>273</v>
      </c>
      <c r="D35" s="554" t="s">
        <v>291</v>
      </c>
      <c r="E35" s="554" t="s">
        <v>306</v>
      </c>
      <c r="F35" s="554" t="s">
        <v>306</v>
      </c>
      <c r="G35" s="554" t="s">
        <v>306</v>
      </c>
      <c r="H35" s="554" t="s">
        <v>306</v>
      </c>
      <c r="I35" s="554" t="s">
        <v>306</v>
      </c>
      <c r="J35" s="554" t="s">
        <v>306</v>
      </c>
      <c r="K35" s="554" t="s">
        <v>306</v>
      </c>
      <c r="L35" s="554" t="s">
        <v>306</v>
      </c>
      <c r="M35" s="554" t="s">
        <v>306</v>
      </c>
    </row>
    <row r="36" spans="1:13">
      <c r="A36" s="554" t="s">
        <v>485</v>
      </c>
      <c r="B36" s="554" t="s">
        <v>273</v>
      </c>
      <c r="C36" s="554" t="s">
        <v>273</v>
      </c>
      <c r="D36" s="554" t="s">
        <v>291</v>
      </c>
      <c r="E36" s="554" t="s">
        <v>306</v>
      </c>
      <c r="F36" s="554" t="s">
        <v>306</v>
      </c>
      <c r="G36" s="554" t="s">
        <v>306</v>
      </c>
      <c r="H36" s="554" t="s">
        <v>306</v>
      </c>
      <c r="I36" s="554" t="s">
        <v>291</v>
      </c>
      <c r="J36" s="554" t="s">
        <v>291</v>
      </c>
      <c r="K36" s="554" t="s">
        <v>291</v>
      </c>
      <c r="L36" s="554" t="s">
        <v>291</v>
      </c>
      <c r="M36" s="554" t="s">
        <v>291</v>
      </c>
    </row>
    <row r="37" spans="1:13">
      <c r="A37" s="554" t="s">
        <v>484</v>
      </c>
      <c r="B37" s="554">
        <v>-91</v>
      </c>
      <c r="C37" s="554">
        <v>-166</v>
      </c>
      <c r="D37" s="554">
        <v>6</v>
      </c>
      <c r="E37" s="554">
        <v>141</v>
      </c>
      <c r="F37" s="554">
        <v>118</v>
      </c>
      <c r="G37" s="554">
        <v>94</v>
      </c>
      <c r="H37" s="554">
        <v>244</v>
      </c>
      <c r="I37" s="554">
        <v>258</v>
      </c>
      <c r="J37" s="554">
        <v>964</v>
      </c>
      <c r="K37" s="554">
        <v>1981</v>
      </c>
      <c r="L37" s="554">
        <v>3703</v>
      </c>
      <c r="M37" s="554">
        <v>3446</v>
      </c>
    </row>
    <row r="38" spans="1:13">
      <c r="A38" s="554" t="s">
        <v>483</v>
      </c>
      <c r="B38" s="554" t="s">
        <v>306</v>
      </c>
      <c r="C38" s="554" t="s">
        <v>291</v>
      </c>
      <c r="D38" s="554" t="s">
        <v>291</v>
      </c>
      <c r="E38" s="554" t="s">
        <v>291</v>
      </c>
      <c r="F38" s="554" t="s">
        <v>291</v>
      </c>
      <c r="G38" s="554" t="s">
        <v>306</v>
      </c>
      <c r="H38" s="554" t="s">
        <v>306</v>
      </c>
      <c r="I38" s="554" t="s">
        <v>291</v>
      </c>
      <c r="J38" s="554" t="s">
        <v>291</v>
      </c>
      <c r="K38" s="554" t="s">
        <v>291</v>
      </c>
      <c r="L38" s="554" t="s">
        <v>291</v>
      </c>
      <c r="M38" s="554" t="s">
        <v>291</v>
      </c>
    </row>
    <row r="39" spans="1:13">
      <c r="A39" s="554" t="s">
        <v>482</v>
      </c>
      <c r="B39" s="554" t="s">
        <v>291</v>
      </c>
      <c r="C39" s="554" t="s">
        <v>291</v>
      </c>
      <c r="D39" s="554" t="s">
        <v>291</v>
      </c>
      <c r="E39" s="554" t="s">
        <v>291</v>
      </c>
      <c r="F39" s="554" t="s">
        <v>291</v>
      </c>
      <c r="G39" s="554" t="s">
        <v>291</v>
      </c>
      <c r="H39" s="554" t="s">
        <v>291</v>
      </c>
      <c r="I39" s="554">
        <v>2</v>
      </c>
      <c r="J39" s="554">
        <v>2</v>
      </c>
      <c r="K39" s="554">
        <v>2</v>
      </c>
      <c r="L39" s="554" t="s">
        <v>291</v>
      </c>
      <c r="M39" s="554" t="s">
        <v>291</v>
      </c>
    </row>
    <row r="40" spans="1:13">
      <c r="A40" s="554" t="s">
        <v>481</v>
      </c>
      <c r="B40" s="554">
        <v>5</v>
      </c>
      <c r="C40" s="554">
        <v>-9</v>
      </c>
      <c r="D40" s="554">
        <v>-7</v>
      </c>
      <c r="E40" s="554">
        <v>7</v>
      </c>
      <c r="F40" s="554">
        <v>8</v>
      </c>
      <c r="G40" s="554">
        <v>17</v>
      </c>
      <c r="H40" s="554">
        <v>25</v>
      </c>
      <c r="I40" s="554">
        <v>21</v>
      </c>
      <c r="J40" s="554">
        <v>29</v>
      </c>
      <c r="K40" s="554">
        <v>13</v>
      </c>
      <c r="L40" s="554">
        <v>32</v>
      </c>
      <c r="M40" s="554">
        <v>15</v>
      </c>
    </row>
    <row r="41" spans="1:13">
      <c r="A41" s="554" t="s">
        <v>480</v>
      </c>
      <c r="B41" s="554" t="s">
        <v>273</v>
      </c>
      <c r="C41" s="554" t="s">
        <v>273</v>
      </c>
      <c r="D41" s="554">
        <v>-2</v>
      </c>
      <c r="E41" s="554">
        <v>-2</v>
      </c>
      <c r="F41" s="554">
        <v>-1</v>
      </c>
      <c r="G41" s="554">
        <v>-1</v>
      </c>
      <c r="H41" s="554">
        <v>-1</v>
      </c>
      <c r="I41" s="554">
        <v>4</v>
      </c>
      <c r="J41" s="554">
        <v>5</v>
      </c>
      <c r="K41" s="554">
        <v>11</v>
      </c>
      <c r="L41" s="554">
        <v>5</v>
      </c>
      <c r="M41" s="554">
        <v>-10</v>
      </c>
    </row>
    <row r="42" spans="1:13">
      <c r="A42" s="554" t="s">
        <v>479</v>
      </c>
      <c r="B42" s="554">
        <v>21</v>
      </c>
      <c r="C42" s="554">
        <v>24</v>
      </c>
      <c r="D42" s="554">
        <v>2</v>
      </c>
      <c r="E42" s="554">
        <v>8</v>
      </c>
      <c r="F42" s="554">
        <v>5</v>
      </c>
      <c r="G42" s="554">
        <v>32</v>
      </c>
      <c r="H42" s="554">
        <v>23</v>
      </c>
      <c r="I42" s="554">
        <v>55</v>
      </c>
      <c r="J42" s="554">
        <v>142</v>
      </c>
      <c r="K42" s="554">
        <v>355</v>
      </c>
      <c r="L42" s="554">
        <v>309</v>
      </c>
      <c r="M42" s="554">
        <v>268</v>
      </c>
    </row>
    <row r="43" spans="1:13">
      <c r="A43" s="554" t="s">
        <v>478</v>
      </c>
      <c r="B43" s="554">
        <v>90</v>
      </c>
      <c r="C43" s="554">
        <v>99</v>
      </c>
      <c r="D43" s="554" t="s">
        <v>273</v>
      </c>
      <c r="E43" s="554" t="s">
        <v>273</v>
      </c>
      <c r="F43" s="554" t="s">
        <v>273</v>
      </c>
      <c r="G43" s="554" t="s">
        <v>273</v>
      </c>
      <c r="H43" s="554" t="s">
        <v>273</v>
      </c>
      <c r="I43" s="554" t="s">
        <v>273</v>
      </c>
      <c r="J43" s="554" t="s">
        <v>273</v>
      </c>
      <c r="K43" s="554" t="s">
        <v>273</v>
      </c>
      <c r="L43" s="554" t="s">
        <v>273</v>
      </c>
      <c r="M43" s="554" t="s">
        <v>273</v>
      </c>
    </row>
    <row r="44" spans="1:13">
      <c r="A44" s="554" t="s">
        <v>476</v>
      </c>
      <c r="B44" s="554" t="s">
        <v>291</v>
      </c>
      <c r="C44" s="554" t="s">
        <v>291</v>
      </c>
      <c r="D44" s="554">
        <v>-1</v>
      </c>
      <c r="E44" s="554">
        <v>11</v>
      </c>
      <c r="F44" s="554">
        <v>11</v>
      </c>
      <c r="G44" s="554">
        <v>8</v>
      </c>
      <c r="H44" s="554">
        <v>6</v>
      </c>
      <c r="I44" s="554">
        <v>12</v>
      </c>
      <c r="J44" s="554" t="s">
        <v>291</v>
      </c>
      <c r="K44" s="554">
        <v>9</v>
      </c>
      <c r="L44" s="554">
        <v>15</v>
      </c>
      <c r="M44" s="554">
        <v>18</v>
      </c>
    </row>
    <row r="45" spans="1:13">
      <c r="A45" s="554" t="s">
        <v>475</v>
      </c>
      <c r="B45" s="554" t="s">
        <v>273</v>
      </c>
      <c r="C45" s="554" t="s">
        <v>273</v>
      </c>
      <c r="D45" s="554" t="s">
        <v>291</v>
      </c>
      <c r="E45" s="554" t="s">
        <v>291</v>
      </c>
      <c r="F45" s="554" t="s">
        <v>291</v>
      </c>
      <c r="G45" s="554" t="s">
        <v>291</v>
      </c>
      <c r="H45" s="554">
        <v>-1</v>
      </c>
      <c r="I45" s="554" t="s">
        <v>306</v>
      </c>
      <c r="J45" s="554" t="s">
        <v>306</v>
      </c>
      <c r="K45" s="554" t="s">
        <v>306</v>
      </c>
      <c r="L45" s="554" t="s">
        <v>306</v>
      </c>
      <c r="M45" s="554" t="s">
        <v>306</v>
      </c>
    </row>
    <row r="46" spans="1:13">
      <c r="A46" s="554" t="s">
        <v>474</v>
      </c>
      <c r="B46" s="554">
        <v>2</v>
      </c>
      <c r="C46" s="554">
        <v>1</v>
      </c>
      <c r="D46" s="554" t="s">
        <v>291</v>
      </c>
      <c r="E46" s="554">
        <v>1</v>
      </c>
      <c r="F46" s="554" t="s">
        <v>291</v>
      </c>
      <c r="G46" s="554">
        <v>20</v>
      </c>
      <c r="H46" s="554" t="s">
        <v>306</v>
      </c>
      <c r="I46" s="554" t="s">
        <v>291</v>
      </c>
      <c r="J46" s="554" t="s">
        <v>291</v>
      </c>
      <c r="K46" s="554" t="s">
        <v>291</v>
      </c>
      <c r="L46" s="554" t="s">
        <v>291</v>
      </c>
      <c r="M46" s="554" t="s">
        <v>291</v>
      </c>
    </row>
    <row r="47" spans="1:13">
      <c r="A47" s="554" t="s">
        <v>473</v>
      </c>
      <c r="B47" s="554" t="s">
        <v>273</v>
      </c>
      <c r="C47" s="554" t="s">
        <v>273</v>
      </c>
      <c r="D47" s="554" t="s">
        <v>291</v>
      </c>
      <c r="E47" s="554">
        <v>-1</v>
      </c>
      <c r="F47" s="554">
        <v>-1</v>
      </c>
      <c r="G47" s="554">
        <v>-1</v>
      </c>
      <c r="H47" s="554">
        <v>-1</v>
      </c>
      <c r="I47" s="554" t="s">
        <v>273</v>
      </c>
      <c r="J47" s="554" t="s">
        <v>273</v>
      </c>
      <c r="K47" s="554" t="s">
        <v>273</v>
      </c>
      <c r="L47" s="554" t="s">
        <v>273</v>
      </c>
      <c r="M47" s="554" t="s">
        <v>273</v>
      </c>
    </row>
    <row r="48" spans="1:13">
      <c r="A48" s="554" t="s">
        <v>472</v>
      </c>
      <c r="B48" s="554">
        <v>389</v>
      </c>
      <c r="C48" s="554">
        <v>777</v>
      </c>
      <c r="D48" s="554" t="s">
        <v>273</v>
      </c>
      <c r="E48" s="554" t="s">
        <v>273</v>
      </c>
      <c r="F48" s="554" t="s">
        <v>273</v>
      </c>
      <c r="G48" s="554" t="s">
        <v>273</v>
      </c>
      <c r="H48" s="554" t="s">
        <v>273</v>
      </c>
      <c r="I48" s="554" t="s">
        <v>273</v>
      </c>
      <c r="J48" s="554" t="s">
        <v>273</v>
      </c>
      <c r="K48" s="554" t="s">
        <v>273</v>
      </c>
      <c r="L48" s="554" t="s">
        <v>273</v>
      </c>
      <c r="M48" s="554" t="s">
        <v>273</v>
      </c>
    </row>
    <row r="49" spans="1:13">
      <c r="A49" s="554" t="s">
        <v>471</v>
      </c>
      <c r="B49" s="554">
        <v>1</v>
      </c>
      <c r="C49" s="554">
        <v>1</v>
      </c>
      <c r="D49" s="554" t="s">
        <v>291</v>
      </c>
      <c r="E49" s="554" t="s">
        <v>291</v>
      </c>
      <c r="F49" s="554">
        <v>-5</v>
      </c>
      <c r="G49" s="554" t="s">
        <v>291</v>
      </c>
      <c r="H49" s="554" t="s">
        <v>291</v>
      </c>
      <c r="I49" s="554">
        <v>19</v>
      </c>
      <c r="J49" s="554" t="s">
        <v>291</v>
      </c>
      <c r="K49" s="554" t="s">
        <v>291</v>
      </c>
      <c r="L49" s="554" t="s">
        <v>291</v>
      </c>
      <c r="M49" s="554" t="s">
        <v>291</v>
      </c>
    </row>
    <row r="50" spans="1:13">
      <c r="A50" s="554" t="s">
        <v>470</v>
      </c>
      <c r="B50" s="554">
        <v>378</v>
      </c>
      <c r="C50" s="554">
        <v>112</v>
      </c>
      <c r="D50" s="554">
        <v>447</v>
      </c>
      <c r="E50" s="554">
        <v>1571</v>
      </c>
      <c r="F50" s="554">
        <v>1177</v>
      </c>
      <c r="G50" s="554">
        <v>1576</v>
      </c>
      <c r="H50" s="554">
        <v>2597</v>
      </c>
      <c r="I50" s="554" t="s">
        <v>291</v>
      </c>
      <c r="J50" s="554" t="s">
        <v>291</v>
      </c>
      <c r="K50" s="554" t="s">
        <v>291</v>
      </c>
      <c r="L50" s="554" t="s">
        <v>291</v>
      </c>
      <c r="M50" s="554" t="s">
        <v>291</v>
      </c>
    </row>
    <row r="51" spans="1:13">
      <c r="A51" s="554" t="s">
        <v>469</v>
      </c>
      <c r="B51" s="554" t="s">
        <v>273</v>
      </c>
      <c r="C51" s="554" t="s">
        <v>273</v>
      </c>
      <c r="D51" s="554" t="s">
        <v>291</v>
      </c>
      <c r="E51" s="554">
        <v>-1</v>
      </c>
      <c r="F51" s="554">
        <v>-1</v>
      </c>
      <c r="G51" s="554">
        <v>-1</v>
      </c>
      <c r="H51" s="554">
        <v>-2</v>
      </c>
      <c r="I51" s="554" t="s">
        <v>273</v>
      </c>
      <c r="J51" s="554" t="s">
        <v>273</v>
      </c>
      <c r="K51" s="554" t="s">
        <v>273</v>
      </c>
      <c r="L51" s="554" t="s">
        <v>273</v>
      </c>
      <c r="M51" s="554" t="s">
        <v>273</v>
      </c>
    </row>
    <row r="52" spans="1:13">
      <c r="A52" s="554" t="s">
        <v>468</v>
      </c>
      <c r="B52" s="554">
        <v>-3</v>
      </c>
      <c r="C52" s="554" t="s">
        <v>291</v>
      </c>
      <c r="D52" s="554">
        <v>-15</v>
      </c>
      <c r="E52" s="554">
        <v>-13</v>
      </c>
      <c r="F52" s="554">
        <v>-13</v>
      </c>
      <c r="G52" s="554">
        <v>-14</v>
      </c>
      <c r="H52" s="554">
        <v>3</v>
      </c>
      <c r="I52" s="554" t="s">
        <v>291</v>
      </c>
      <c r="J52" s="554">
        <v>13</v>
      </c>
      <c r="K52" s="554" t="s">
        <v>291</v>
      </c>
      <c r="L52" s="554">
        <v>11</v>
      </c>
      <c r="M52" s="554">
        <v>-9</v>
      </c>
    </row>
    <row r="53" spans="1:13">
      <c r="A53" s="554" t="s">
        <v>467</v>
      </c>
      <c r="B53" s="554" t="s">
        <v>291</v>
      </c>
      <c r="C53" s="554" t="s">
        <v>291</v>
      </c>
      <c r="D53" s="554">
        <v>40</v>
      </c>
      <c r="E53" s="554">
        <v>22</v>
      </c>
      <c r="F53" s="554">
        <v>21</v>
      </c>
      <c r="G53" s="554">
        <v>12</v>
      </c>
      <c r="H53" s="554">
        <v>25</v>
      </c>
      <c r="I53" s="554">
        <v>2</v>
      </c>
      <c r="J53" s="554" t="s">
        <v>291</v>
      </c>
      <c r="K53" s="554" t="s">
        <v>291</v>
      </c>
      <c r="L53" s="554">
        <v>7</v>
      </c>
      <c r="M53" s="554" t="s">
        <v>291</v>
      </c>
    </row>
    <row r="54" spans="1:13">
      <c r="A54" s="554" t="s">
        <v>466</v>
      </c>
      <c r="B54" s="554">
        <v>22</v>
      </c>
      <c r="C54" s="554">
        <v>21</v>
      </c>
      <c r="D54" s="554">
        <v>16</v>
      </c>
      <c r="E54" s="554">
        <v>40</v>
      </c>
      <c r="F54" s="554">
        <v>41</v>
      </c>
      <c r="G54" s="554">
        <v>12</v>
      </c>
      <c r="H54" s="554" t="s">
        <v>291</v>
      </c>
      <c r="I54" s="554" t="s">
        <v>291</v>
      </c>
      <c r="J54" s="554" t="s">
        <v>291</v>
      </c>
      <c r="K54" s="554" t="s">
        <v>291</v>
      </c>
      <c r="L54" s="554">
        <v>25</v>
      </c>
      <c r="M54" s="554">
        <v>33</v>
      </c>
    </row>
    <row r="55" spans="1:13">
      <c r="A55" s="554" t="s">
        <v>465</v>
      </c>
      <c r="B55" s="554" t="s">
        <v>273</v>
      </c>
      <c r="C55" s="554" t="s">
        <v>273</v>
      </c>
      <c r="D55" s="554" t="s">
        <v>291</v>
      </c>
      <c r="E55" s="554" t="s">
        <v>306</v>
      </c>
      <c r="F55" s="554" t="s">
        <v>306</v>
      </c>
      <c r="G55" s="554" t="s">
        <v>306</v>
      </c>
      <c r="H55" s="554" t="s">
        <v>306</v>
      </c>
      <c r="I55" s="554">
        <v>1</v>
      </c>
      <c r="J55" s="554">
        <v>1</v>
      </c>
      <c r="K55" s="554">
        <v>1</v>
      </c>
      <c r="L55" s="554" t="s">
        <v>291</v>
      </c>
      <c r="M55" s="554" t="s">
        <v>291</v>
      </c>
    </row>
    <row r="56" spans="1:13">
      <c r="A56" s="554" t="s">
        <v>464</v>
      </c>
      <c r="B56" s="554">
        <v>-2</v>
      </c>
      <c r="C56" s="554" t="s">
        <v>291</v>
      </c>
      <c r="D56" s="554">
        <v>120</v>
      </c>
      <c r="E56" s="554">
        <v>52</v>
      </c>
      <c r="F56" s="554">
        <v>76</v>
      </c>
      <c r="G56" s="554">
        <v>57</v>
      </c>
      <c r="H56" s="554">
        <v>38</v>
      </c>
      <c r="I56" s="554">
        <v>94</v>
      </c>
      <c r="J56" s="554">
        <v>-50</v>
      </c>
      <c r="K56" s="554">
        <v>19</v>
      </c>
      <c r="L56" s="554">
        <v>196</v>
      </c>
      <c r="M56" s="554">
        <v>142</v>
      </c>
    </row>
    <row r="57" spans="1:13">
      <c r="A57" s="554" t="s">
        <v>463</v>
      </c>
      <c r="B57" s="554" t="s">
        <v>273</v>
      </c>
      <c r="C57" s="554" t="s">
        <v>273</v>
      </c>
      <c r="D57" s="554" t="s">
        <v>291</v>
      </c>
      <c r="E57" s="554" t="s">
        <v>306</v>
      </c>
      <c r="F57" s="554" t="s">
        <v>306</v>
      </c>
      <c r="G57" s="554" t="s">
        <v>306</v>
      </c>
      <c r="H57" s="554" t="s">
        <v>306</v>
      </c>
      <c r="I57" s="554">
        <v>1</v>
      </c>
      <c r="J57" s="554">
        <v>1</v>
      </c>
      <c r="K57" s="554">
        <v>1</v>
      </c>
      <c r="L57" s="554">
        <v>1</v>
      </c>
      <c r="M57" s="554">
        <v>1</v>
      </c>
    </row>
    <row r="58" spans="1:13">
      <c r="A58" s="554" t="s">
        <v>462</v>
      </c>
      <c r="B58" s="554" t="s">
        <v>273</v>
      </c>
      <c r="C58" s="554" t="s">
        <v>273</v>
      </c>
      <c r="D58" s="554" t="s">
        <v>273</v>
      </c>
      <c r="E58" s="554" t="s">
        <v>273</v>
      </c>
      <c r="F58" s="554" t="s">
        <v>273</v>
      </c>
      <c r="G58" s="554" t="s">
        <v>273</v>
      </c>
      <c r="H58" s="554" t="s">
        <v>273</v>
      </c>
      <c r="I58" s="554" t="s">
        <v>273</v>
      </c>
      <c r="J58" s="554" t="s">
        <v>273</v>
      </c>
      <c r="K58" s="554" t="s">
        <v>273</v>
      </c>
      <c r="L58" s="554" t="s">
        <v>291</v>
      </c>
      <c r="M58" s="554" t="s">
        <v>291</v>
      </c>
    </row>
    <row r="59" spans="1:13">
      <c r="A59" s="554" t="s">
        <v>461</v>
      </c>
      <c r="B59" s="554" t="s">
        <v>273</v>
      </c>
      <c r="C59" s="554" t="s">
        <v>273</v>
      </c>
      <c r="D59" s="554" t="s">
        <v>273</v>
      </c>
      <c r="E59" s="554" t="s">
        <v>273</v>
      </c>
      <c r="F59" s="554" t="s">
        <v>273</v>
      </c>
      <c r="G59" s="554" t="s">
        <v>273</v>
      </c>
      <c r="H59" s="554" t="s">
        <v>273</v>
      </c>
      <c r="I59" s="554">
        <v>1</v>
      </c>
      <c r="J59" s="554">
        <v>1</v>
      </c>
      <c r="K59" s="554">
        <v>1</v>
      </c>
      <c r="L59" s="554">
        <v>1</v>
      </c>
      <c r="M59" s="554">
        <v>1</v>
      </c>
    </row>
    <row r="60" spans="1:13">
      <c r="A60" s="554" t="s">
        <v>460</v>
      </c>
      <c r="B60" s="554">
        <v>11</v>
      </c>
      <c r="C60" s="554">
        <v>-28</v>
      </c>
      <c r="D60" s="554" t="s">
        <v>273</v>
      </c>
      <c r="E60" s="554" t="s">
        <v>273</v>
      </c>
      <c r="F60" s="554" t="s">
        <v>273</v>
      </c>
      <c r="G60" s="554" t="s">
        <v>273</v>
      </c>
      <c r="H60" s="554" t="s">
        <v>273</v>
      </c>
      <c r="I60" s="554" t="s">
        <v>273</v>
      </c>
      <c r="J60" s="554" t="s">
        <v>273</v>
      </c>
      <c r="K60" s="554" t="s">
        <v>273</v>
      </c>
      <c r="L60" s="554" t="s">
        <v>273</v>
      </c>
      <c r="M60" s="554" t="s">
        <v>273</v>
      </c>
    </row>
    <row r="61" spans="1:13">
      <c r="A61" s="554" t="s">
        <v>459</v>
      </c>
      <c r="B61" s="554">
        <v>-8</v>
      </c>
      <c r="C61" s="554">
        <v>-3</v>
      </c>
      <c r="D61" s="554">
        <v>-16</v>
      </c>
      <c r="E61" s="554">
        <v>4</v>
      </c>
      <c r="F61" s="554">
        <v>12</v>
      </c>
      <c r="G61" s="554">
        <v>22</v>
      </c>
      <c r="H61" s="554">
        <v>56</v>
      </c>
      <c r="I61" s="554">
        <v>55</v>
      </c>
      <c r="J61" s="554">
        <v>211</v>
      </c>
      <c r="K61" s="554">
        <v>180</v>
      </c>
      <c r="L61" s="554">
        <v>235</v>
      </c>
      <c r="M61" s="554">
        <v>78</v>
      </c>
    </row>
    <row r="62" spans="1:13">
      <c r="A62" s="554" t="s">
        <v>458</v>
      </c>
      <c r="B62" s="554">
        <v>-109</v>
      </c>
      <c r="C62" s="554">
        <v>-1184</v>
      </c>
      <c r="D62" s="554" t="s">
        <v>273</v>
      </c>
      <c r="E62" s="554" t="s">
        <v>273</v>
      </c>
      <c r="F62" s="554" t="s">
        <v>273</v>
      </c>
      <c r="G62" s="554" t="s">
        <v>273</v>
      </c>
      <c r="H62" s="554" t="s">
        <v>273</v>
      </c>
      <c r="I62" s="554" t="s">
        <v>273</v>
      </c>
      <c r="J62" s="554" t="s">
        <v>273</v>
      </c>
      <c r="K62" s="554" t="s">
        <v>273</v>
      </c>
      <c r="L62" s="554" t="s">
        <v>273</v>
      </c>
      <c r="M62" s="554" t="s">
        <v>273</v>
      </c>
    </row>
    <row r="63" spans="1:13">
      <c r="A63" s="554" t="s">
        <v>457</v>
      </c>
      <c r="B63" s="554" t="s">
        <v>291</v>
      </c>
      <c r="C63" s="554" t="s">
        <v>291</v>
      </c>
      <c r="D63" s="554" t="s">
        <v>291</v>
      </c>
      <c r="E63" s="554" t="s">
        <v>291</v>
      </c>
      <c r="F63" s="554" t="s">
        <v>291</v>
      </c>
      <c r="G63" s="554" t="s">
        <v>291</v>
      </c>
      <c r="H63" s="554" t="s">
        <v>291</v>
      </c>
      <c r="I63" s="554" t="s">
        <v>291</v>
      </c>
      <c r="J63" s="554" t="s">
        <v>291</v>
      </c>
      <c r="K63" s="554" t="s">
        <v>291</v>
      </c>
      <c r="L63" s="554" t="s">
        <v>291</v>
      </c>
      <c r="M63" s="554">
        <v>133</v>
      </c>
    </row>
    <row r="64" spans="1:13">
      <c r="A64" s="554" t="s">
        <v>456</v>
      </c>
      <c r="B64" s="554">
        <v>-9</v>
      </c>
      <c r="C64" s="554">
        <v>-1</v>
      </c>
      <c r="D64" s="554">
        <v>5</v>
      </c>
      <c r="E64" s="554">
        <v>-16</v>
      </c>
      <c r="F64" s="554">
        <v>182</v>
      </c>
      <c r="G64" s="554">
        <v>113</v>
      </c>
      <c r="H64" s="554">
        <v>278</v>
      </c>
      <c r="I64" s="554">
        <v>558</v>
      </c>
      <c r="J64" s="554">
        <v>514</v>
      </c>
      <c r="K64" s="554">
        <v>804</v>
      </c>
      <c r="L64" s="554">
        <v>678</v>
      </c>
      <c r="M64" s="554">
        <v>637</v>
      </c>
    </row>
    <row r="65" spans="1:13">
      <c r="A65" s="554" t="s">
        <v>455</v>
      </c>
      <c r="B65" s="554">
        <v>7</v>
      </c>
      <c r="C65" s="554">
        <v>13</v>
      </c>
      <c r="D65" s="554">
        <v>16</v>
      </c>
      <c r="E65" s="554">
        <v>24</v>
      </c>
      <c r="F65" s="554">
        <v>14</v>
      </c>
      <c r="G65" s="554">
        <v>-11</v>
      </c>
      <c r="H65" s="554">
        <v>-11</v>
      </c>
      <c r="I65" s="554">
        <v>32</v>
      </c>
      <c r="J65" s="554">
        <v>13</v>
      </c>
      <c r="K65" s="554">
        <v>66</v>
      </c>
      <c r="L65" s="554">
        <v>59</v>
      </c>
      <c r="M65" s="554">
        <v>49</v>
      </c>
    </row>
    <row r="66" spans="1:13">
      <c r="A66" s="554" t="s">
        <v>454</v>
      </c>
      <c r="B66" s="554" t="s">
        <v>273</v>
      </c>
      <c r="C66" s="554" t="s">
        <v>273</v>
      </c>
      <c r="D66" s="554" t="s">
        <v>273</v>
      </c>
      <c r="E66" s="554" t="s">
        <v>273</v>
      </c>
      <c r="F66" s="554" t="s">
        <v>273</v>
      </c>
      <c r="G66" s="554" t="s">
        <v>273</v>
      </c>
      <c r="H66" s="554" t="s">
        <v>273</v>
      </c>
      <c r="I66" s="554" t="s">
        <v>273</v>
      </c>
      <c r="J66" s="554" t="s">
        <v>273</v>
      </c>
      <c r="K66" s="554" t="s">
        <v>273</v>
      </c>
      <c r="L66" s="554" t="s">
        <v>273</v>
      </c>
      <c r="M66" s="554" t="s">
        <v>273</v>
      </c>
    </row>
    <row r="67" spans="1:13">
      <c r="A67" s="554" t="s">
        <v>453</v>
      </c>
      <c r="B67" s="554">
        <v>17</v>
      </c>
      <c r="C67" s="554" t="s">
        <v>291</v>
      </c>
      <c r="D67" s="554" t="s">
        <v>291</v>
      </c>
      <c r="E67" s="554" t="s">
        <v>291</v>
      </c>
      <c r="F67" s="554" t="s">
        <v>291</v>
      </c>
      <c r="G67" s="554" t="s">
        <v>291</v>
      </c>
      <c r="H67" s="554" t="s">
        <v>291</v>
      </c>
      <c r="I67" s="554" t="s">
        <v>291</v>
      </c>
      <c r="J67" s="554" t="s">
        <v>291</v>
      </c>
      <c r="K67" s="554" t="s">
        <v>291</v>
      </c>
      <c r="L67" s="554" t="s">
        <v>291</v>
      </c>
      <c r="M67" s="554" t="s">
        <v>291</v>
      </c>
    </row>
    <row r="68" spans="1:13">
      <c r="A68" s="554" t="s">
        <v>452</v>
      </c>
      <c r="B68" s="554">
        <v>-10</v>
      </c>
      <c r="C68" s="554">
        <v>-5</v>
      </c>
      <c r="D68" s="554">
        <v>-15</v>
      </c>
      <c r="E68" s="554">
        <v>-14</v>
      </c>
      <c r="F68" s="554">
        <v>39</v>
      </c>
      <c r="G68" s="554">
        <v>45</v>
      </c>
      <c r="H68" s="554">
        <v>91</v>
      </c>
      <c r="I68" s="554">
        <v>88</v>
      </c>
      <c r="J68" s="554">
        <v>425</v>
      </c>
      <c r="K68" s="554">
        <v>519</v>
      </c>
      <c r="L68" s="554">
        <v>630</v>
      </c>
      <c r="M68" s="554">
        <v>1435</v>
      </c>
    </row>
    <row r="69" spans="1:13">
      <c r="A69" s="554" t="s">
        <v>450</v>
      </c>
      <c r="B69" s="554" t="s">
        <v>291</v>
      </c>
      <c r="C69" s="554" t="s">
        <v>291</v>
      </c>
      <c r="D69" s="554">
        <v>20</v>
      </c>
      <c r="E69" s="554">
        <v>20</v>
      </c>
      <c r="F69" s="554">
        <v>12</v>
      </c>
      <c r="G69" s="554">
        <v>35</v>
      </c>
      <c r="H69" s="554">
        <v>31</v>
      </c>
      <c r="I69" s="554" t="s">
        <v>291</v>
      </c>
      <c r="J69" s="554" t="s">
        <v>291</v>
      </c>
      <c r="K69" s="554" t="s">
        <v>291</v>
      </c>
      <c r="L69" s="554" t="s">
        <v>291</v>
      </c>
      <c r="M69" s="554" t="s">
        <v>291</v>
      </c>
    </row>
    <row r="70" spans="1:13">
      <c r="A70" s="554" t="s">
        <v>448</v>
      </c>
      <c r="B70" s="554">
        <v>23056</v>
      </c>
      <c r="C70" s="554">
        <v>23908</v>
      </c>
      <c r="D70" s="554">
        <v>27172</v>
      </c>
      <c r="E70" s="554">
        <v>32851</v>
      </c>
      <c r="F70" s="554">
        <v>29644</v>
      </c>
      <c r="G70" s="554">
        <v>36338</v>
      </c>
      <c r="H70" s="554">
        <v>55397</v>
      </c>
      <c r="I70" s="554">
        <v>76154</v>
      </c>
      <c r="J70" s="554">
        <v>106306</v>
      </c>
      <c r="K70" s="554">
        <v>119991</v>
      </c>
      <c r="L70" s="554">
        <v>170947</v>
      </c>
      <c r="M70" s="554">
        <v>168683</v>
      </c>
    </row>
    <row r="71" spans="1:13">
      <c r="A71" s="554" t="s">
        <v>447</v>
      </c>
      <c r="B71" s="554">
        <v>7901</v>
      </c>
      <c r="C71" s="554">
        <v>4532</v>
      </c>
      <c r="D71" s="554">
        <v>3163</v>
      </c>
      <c r="E71" s="554">
        <v>5496</v>
      </c>
      <c r="F71" s="554">
        <v>188</v>
      </c>
      <c r="G71" s="554">
        <v>-4763</v>
      </c>
      <c r="H71" s="554">
        <v>4289</v>
      </c>
      <c r="I71" s="554">
        <v>9831</v>
      </c>
      <c r="J71" s="554">
        <v>13400</v>
      </c>
      <c r="K71" s="554">
        <v>17716</v>
      </c>
      <c r="L71" s="554">
        <v>26942</v>
      </c>
      <c r="M71" s="554">
        <v>26032</v>
      </c>
    </row>
    <row r="72" spans="1:13">
      <c r="A72" s="554" t="s">
        <v>446</v>
      </c>
      <c r="B72" s="554">
        <v>936</v>
      </c>
      <c r="C72" s="554">
        <v>488</v>
      </c>
      <c r="D72" s="554">
        <v>332</v>
      </c>
      <c r="E72" s="554">
        <v>-121</v>
      </c>
      <c r="F72" s="554">
        <v>-445</v>
      </c>
      <c r="G72" s="554">
        <v>-2675</v>
      </c>
      <c r="H72" s="554">
        <v>744</v>
      </c>
      <c r="I72" s="554">
        <v>1431</v>
      </c>
      <c r="J72" s="554">
        <v>2296</v>
      </c>
      <c r="K72" s="554">
        <v>2944</v>
      </c>
      <c r="L72" s="554">
        <v>2687</v>
      </c>
      <c r="M72" s="554">
        <v>2550</v>
      </c>
    </row>
    <row r="73" spans="1:13">
      <c r="A73" s="554" t="s">
        <v>445</v>
      </c>
      <c r="B73" s="554">
        <v>4126</v>
      </c>
      <c r="C73" s="554">
        <v>3276</v>
      </c>
      <c r="D73" s="554">
        <v>1084</v>
      </c>
      <c r="E73" s="554">
        <v>3565</v>
      </c>
      <c r="F73" s="554">
        <v>-1376</v>
      </c>
      <c r="G73" s="554">
        <v>-3863</v>
      </c>
      <c r="H73" s="554">
        <v>557</v>
      </c>
      <c r="I73" s="554">
        <v>2392</v>
      </c>
      <c r="J73" s="554">
        <v>3065</v>
      </c>
      <c r="K73" s="554">
        <v>5312</v>
      </c>
      <c r="L73" s="554">
        <v>10669</v>
      </c>
      <c r="M73" s="554">
        <v>12023</v>
      </c>
    </row>
    <row r="74" spans="1:13">
      <c r="A74" s="554" t="s">
        <v>444</v>
      </c>
      <c r="B74" s="554">
        <v>999</v>
      </c>
      <c r="C74" s="554">
        <v>653</v>
      </c>
      <c r="D74" s="554">
        <v>539</v>
      </c>
      <c r="E74" s="554">
        <v>435</v>
      </c>
      <c r="F74" s="554">
        <v>233</v>
      </c>
      <c r="G74" s="554">
        <v>380</v>
      </c>
      <c r="H74" s="554">
        <v>697</v>
      </c>
      <c r="I74" s="554">
        <v>1100</v>
      </c>
      <c r="J74" s="554">
        <v>1319</v>
      </c>
      <c r="K74" s="554">
        <v>1573</v>
      </c>
      <c r="L74" s="554">
        <v>8109</v>
      </c>
      <c r="M74" s="554">
        <v>4130</v>
      </c>
    </row>
    <row r="75" spans="1:13">
      <c r="A75" s="554" t="s">
        <v>443</v>
      </c>
      <c r="B75" s="554">
        <v>549</v>
      </c>
      <c r="C75" s="554">
        <v>29</v>
      </c>
      <c r="D75" s="554">
        <v>444</v>
      </c>
      <c r="E75" s="554">
        <v>560</v>
      </c>
      <c r="F75" s="554">
        <v>354</v>
      </c>
      <c r="G75" s="554">
        <v>542</v>
      </c>
      <c r="H75" s="554">
        <v>520</v>
      </c>
      <c r="I75" s="554">
        <v>825</v>
      </c>
      <c r="J75" s="554">
        <v>1023</v>
      </c>
      <c r="K75" s="554">
        <v>991</v>
      </c>
      <c r="L75" s="554">
        <v>1309</v>
      </c>
      <c r="M75" s="554">
        <v>1487</v>
      </c>
    </row>
    <row r="76" spans="1:13">
      <c r="A76" s="554" t="s">
        <v>442</v>
      </c>
      <c r="B76" s="554">
        <v>6</v>
      </c>
      <c r="C76" s="554">
        <v>65</v>
      </c>
      <c r="D76" s="554">
        <v>82</v>
      </c>
      <c r="E76" s="554">
        <v>40</v>
      </c>
      <c r="F76" s="554">
        <v>13</v>
      </c>
      <c r="G76" s="554">
        <v>65</v>
      </c>
      <c r="H76" s="554">
        <v>145</v>
      </c>
      <c r="I76" s="554">
        <v>339</v>
      </c>
      <c r="J76" s="554">
        <v>350</v>
      </c>
      <c r="K76" s="554">
        <v>177</v>
      </c>
      <c r="L76" s="554">
        <v>-114</v>
      </c>
      <c r="M76" s="554">
        <v>144</v>
      </c>
    </row>
    <row r="77" spans="1:13">
      <c r="A77" s="554" t="s">
        <v>441</v>
      </c>
      <c r="B77" s="554">
        <v>475</v>
      </c>
      <c r="C77" s="554">
        <v>-10</v>
      </c>
      <c r="D77" s="554">
        <v>-1</v>
      </c>
      <c r="E77" s="554">
        <v>162</v>
      </c>
      <c r="F77" s="554">
        <v>47</v>
      </c>
      <c r="G77" s="554">
        <v>155</v>
      </c>
      <c r="H77" s="554">
        <v>507</v>
      </c>
      <c r="I77" s="554">
        <v>1173</v>
      </c>
      <c r="J77" s="554">
        <v>1705</v>
      </c>
      <c r="K77" s="554">
        <v>2331</v>
      </c>
      <c r="L77" s="554">
        <v>2060</v>
      </c>
      <c r="M77" s="554">
        <v>1316</v>
      </c>
    </row>
    <row r="78" spans="1:13">
      <c r="A78" s="554" t="s">
        <v>440</v>
      </c>
      <c r="B78" s="554">
        <v>754</v>
      </c>
      <c r="C78" s="554">
        <v>-56</v>
      </c>
      <c r="D78" s="554">
        <v>590</v>
      </c>
      <c r="E78" s="554">
        <v>739</v>
      </c>
      <c r="F78" s="554">
        <v>1238</v>
      </c>
      <c r="G78" s="554">
        <v>533</v>
      </c>
      <c r="H78" s="554">
        <v>1008</v>
      </c>
      <c r="I78" s="554">
        <v>2313</v>
      </c>
      <c r="J78" s="554">
        <v>3482</v>
      </c>
      <c r="K78" s="554">
        <v>4218</v>
      </c>
      <c r="L78" s="554">
        <v>1962</v>
      </c>
      <c r="M78" s="554">
        <v>3796</v>
      </c>
    </row>
    <row r="79" spans="1:13">
      <c r="A79" s="554" t="s">
        <v>67</v>
      </c>
      <c r="B79" s="554">
        <v>56</v>
      </c>
      <c r="C79" s="554">
        <v>88</v>
      </c>
      <c r="D79" s="554">
        <v>92</v>
      </c>
      <c r="E79" s="554">
        <v>115</v>
      </c>
      <c r="F79" s="554">
        <v>123</v>
      </c>
      <c r="G79" s="554">
        <v>100</v>
      </c>
      <c r="H79" s="554">
        <v>110</v>
      </c>
      <c r="I79" s="554">
        <v>258</v>
      </c>
      <c r="J79" s="554">
        <v>159</v>
      </c>
      <c r="K79" s="554">
        <v>169</v>
      </c>
      <c r="L79" s="554">
        <v>260</v>
      </c>
      <c r="M79" s="554">
        <v>588</v>
      </c>
    </row>
    <row r="80" spans="1:13">
      <c r="A80" s="554" t="s">
        <v>439</v>
      </c>
      <c r="B80" s="554">
        <v>4</v>
      </c>
      <c r="C80" s="554">
        <v>-35</v>
      </c>
      <c r="D80" s="554">
        <v>13</v>
      </c>
      <c r="E80" s="554">
        <v>2</v>
      </c>
      <c r="F80" s="554">
        <v>14</v>
      </c>
      <c r="G80" s="554">
        <v>23</v>
      </c>
      <c r="H80" s="554">
        <v>13</v>
      </c>
      <c r="I80" s="554">
        <v>14</v>
      </c>
      <c r="J80" s="554">
        <v>-19</v>
      </c>
      <c r="K80" s="554">
        <v>40</v>
      </c>
      <c r="L80" s="554">
        <v>30</v>
      </c>
      <c r="M80" s="554">
        <v>54</v>
      </c>
    </row>
    <row r="81" spans="1:13">
      <c r="A81" s="554" t="s">
        <v>438</v>
      </c>
      <c r="B81" s="554" t="s">
        <v>291</v>
      </c>
      <c r="C81" s="554" t="s">
        <v>291</v>
      </c>
      <c r="D81" s="554" t="s">
        <v>291</v>
      </c>
      <c r="E81" s="554" t="s">
        <v>291</v>
      </c>
      <c r="F81" s="554" t="s">
        <v>291</v>
      </c>
      <c r="G81" s="554" t="s">
        <v>291</v>
      </c>
      <c r="H81" s="554" t="s">
        <v>306</v>
      </c>
      <c r="I81" s="554" t="s">
        <v>273</v>
      </c>
      <c r="J81" s="554" t="s">
        <v>273</v>
      </c>
      <c r="K81" s="554" t="s">
        <v>273</v>
      </c>
      <c r="L81" s="554" t="s">
        <v>273</v>
      </c>
      <c r="M81" s="554" t="s">
        <v>273</v>
      </c>
    </row>
    <row r="82" spans="1:13">
      <c r="A82" s="554" t="s">
        <v>437</v>
      </c>
      <c r="B82" s="554">
        <v>8</v>
      </c>
      <c r="C82" s="554">
        <v>7</v>
      </c>
      <c r="D82" s="554" t="s">
        <v>291</v>
      </c>
      <c r="E82" s="554">
        <v>20</v>
      </c>
      <c r="F82" s="554" t="s">
        <v>291</v>
      </c>
      <c r="G82" s="554">
        <v>22</v>
      </c>
      <c r="H82" s="554">
        <v>24</v>
      </c>
      <c r="I82" s="554">
        <v>19</v>
      </c>
      <c r="J82" s="554">
        <v>22</v>
      </c>
      <c r="K82" s="554">
        <v>22</v>
      </c>
      <c r="L82" s="554">
        <v>16</v>
      </c>
      <c r="M82" s="554" t="s">
        <v>291</v>
      </c>
    </row>
    <row r="83" spans="1:13">
      <c r="A83" s="554" t="s">
        <v>436</v>
      </c>
      <c r="B83" s="554">
        <v>11</v>
      </c>
      <c r="C83" s="554">
        <v>20</v>
      </c>
      <c r="D83" s="554">
        <v>8</v>
      </c>
      <c r="E83" s="554">
        <v>1</v>
      </c>
      <c r="F83" s="554">
        <v>7</v>
      </c>
      <c r="G83" s="554">
        <v>7</v>
      </c>
      <c r="H83" s="554">
        <v>17</v>
      </c>
      <c r="I83" s="554">
        <v>55</v>
      </c>
      <c r="J83" s="554">
        <v>37</v>
      </c>
      <c r="K83" s="554">
        <v>56</v>
      </c>
      <c r="L83" s="554">
        <v>55</v>
      </c>
      <c r="M83" s="554">
        <v>80</v>
      </c>
    </row>
    <row r="84" spans="1:13">
      <c r="A84" s="554" t="s">
        <v>435</v>
      </c>
      <c r="B84" s="554" t="s">
        <v>291</v>
      </c>
      <c r="C84" s="554" t="s">
        <v>291</v>
      </c>
      <c r="D84" s="554">
        <v>34</v>
      </c>
      <c r="E84" s="554" t="s">
        <v>291</v>
      </c>
      <c r="F84" s="554">
        <v>50</v>
      </c>
      <c r="G84" s="554" t="s">
        <v>291</v>
      </c>
      <c r="H84" s="554">
        <v>47</v>
      </c>
      <c r="I84" s="554">
        <v>63</v>
      </c>
      <c r="J84" s="554">
        <v>44</v>
      </c>
      <c r="K84" s="554">
        <v>65</v>
      </c>
      <c r="L84" s="554">
        <v>77</v>
      </c>
      <c r="M84" s="554" t="s">
        <v>291</v>
      </c>
    </row>
    <row r="85" spans="1:13">
      <c r="A85" s="554" t="s">
        <v>434</v>
      </c>
      <c r="B85" s="554">
        <v>-10</v>
      </c>
      <c r="C85" s="554">
        <v>68</v>
      </c>
      <c r="D85" s="554">
        <v>14</v>
      </c>
      <c r="E85" s="554">
        <v>28</v>
      </c>
      <c r="F85" s="554">
        <v>28</v>
      </c>
      <c r="G85" s="554">
        <v>4</v>
      </c>
      <c r="H85" s="554">
        <v>8</v>
      </c>
      <c r="I85" s="554">
        <v>107</v>
      </c>
      <c r="J85" s="554">
        <v>75</v>
      </c>
      <c r="K85" s="554">
        <v>-14</v>
      </c>
      <c r="L85" s="554">
        <v>82</v>
      </c>
      <c r="M85" s="554">
        <v>382</v>
      </c>
    </row>
    <row r="86" spans="1:13">
      <c r="A86" s="554" t="s">
        <v>433</v>
      </c>
      <c r="B86" s="554">
        <v>5133</v>
      </c>
      <c r="C86" s="554">
        <v>5182</v>
      </c>
      <c r="D86" s="554">
        <v>7112</v>
      </c>
      <c r="E86" s="554">
        <v>6002</v>
      </c>
      <c r="F86" s="554">
        <v>5068</v>
      </c>
      <c r="G86" s="554">
        <v>5081</v>
      </c>
      <c r="H86" s="554">
        <v>6363</v>
      </c>
      <c r="I86" s="554">
        <v>7319</v>
      </c>
      <c r="J86" s="554">
        <v>9491</v>
      </c>
      <c r="K86" s="554">
        <v>10071</v>
      </c>
      <c r="L86" s="554">
        <v>11529</v>
      </c>
      <c r="M86" s="554">
        <v>11316</v>
      </c>
    </row>
    <row r="87" spans="1:13">
      <c r="A87" s="554" t="s">
        <v>432</v>
      </c>
      <c r="B87" s="554">
        <v>302</v>
      </c>
      <c r="C87" s="554">
        <v>-82</v>
      </c>
      <c r="D87" s="554">
        <v>39</v>
      </c>
      <c r="E87" s="554">
        <v>108</v>
      </c>
      <c r="F87" s="554">
        <v>129</v>
      </c>
      <c r="G87" s="554">
        <v>47</v>
      </c>
      <c r="H87" s="554">
        <v>425</v>
      </c>
      <c r="I87" s="554">
        <v>406</v>
      </c>
      <c r="J87" s="554">
        <v>496</v>
      </c>
      <c r="K87" s="554">
        <v>554</v>
      </c>
      <c r="L87" s="554">
        <v>568</v>
      </c>
      <c r="M87" s="554">
        <v>678</v>
      </c>
    </row>
    <row r="88" spans="1:13">
      <c r="A88" s="554" t="s">
        <v>431</v>
      </c>
      <c r="B88" s="554">
        <v>53</v>
      </c>
      <c r="C88" s="554">
        <v>25</v>
      </c>
      <c r="D88" s="554" t="s">
        <v>273</v>
      </c>
      <c r="E88" s="554" t="s">
        <v>273</v>
      </c>
      <c r="F88" s="554" t="s">
        <v>273</v>
      </c>
      <c r="G88" s="554" t="s">
        <v>273</v>
      </c>
      <c r="H88" s="554" t="s">
        <v>273</v>
      </c>
      <c r="I88" s="554" t="s">
        <v>273</v>
      </c>
      <c r="J88" s="554" t="s">
        <v>273</v>
      </c>
      <c r="K88" s="554" t="s">
        <v>273</v>
      </c>
      <c r="L88" s="554" t="s">
        <v>273</v>
      </c>
      <c r="M88" s="554" t="s">
        <v>273</v>
      </c>
    </row>
    <row r="89" spans="1:13">
      <c r="A89" s="554" t="s">
        <v>430</v>
      </c>
      <c r="B89" s="554">
        <v>-8</v>
      </c>
      <c r="C89" s="554">
        <v>-29</v>
      </c>
      <c r="D89" s="554">
        <v>28</v>
      </c>
      <c r="E89" s="554">
        <v>83</v>
      </c>
      <c r="F89" s="554">
        <v>44</v>
      </c>
      <c r="G89" s="554">
        <v>20</v>
      </c>
      <c r="H89" s="554">
        <v>136</v>
      </c>
      <c r="I89" s="554">
        <v>87</v>
      </c>
      <c r="J89" s="554">
        <v>53</v>
      </c>
      <c r="K89" s="554">
        <v>65</v>
      </c>
      <c r="L89" s="554">
        <v>85</v>
      </c>
      <c r="M89" s="554">
        <v>13</v>
      </c>
    </row>
    <row r="90" spans="1:13">
      <c r="A90" s="554" t="s">
        <v>429</v>
      </c>
      <c r="B90" s="554">
        <v>3666</v>
      </c>
      <c r="C90" s="554">
        <v>3615</v>
      </c>
      <c r="D90" s="554">
        <v>4890</v>
      </c>
      <c r="E90" s="554">
        <v>5478</v>
      </c>
      <c r="F90" s="554">
        <v>4675</v>
      </c>
      <c r="G90" s="554">
        <v>4610</v>
      </c>
      <c r="H90" s="554">
        <v>5372</v>
      </c>
      <c r="I90" s="554">
        <v>6039</v>
      </c>
      <c r="J90" s="554">
        <v>8271</v>
      </c>
      <c r="K90" s="554">
        <v>8904</v>
      </c>
      <c r="L90" s="554">
        <v>10115</v>
      </c>
      <c r="M90" s="554">
        <v>9074</v>
      </c>
    </row>
    <row r="91" spans="1:13">
      <c r="A91" s="554" t="s">
        <v>428</v>
      </c>
      <c r="B91" s="554">
        <v>1065</v>
      </c>
      <c r="C91" s="554">
        <v>1545</v>
      </c>
      <c r="D91" s="554">
        <v>1951</v>
      </c>
      <c r="E91" s="554">
        <v>120</v>
      </c>
      <c r="F91" s="554">
        <v>13</v>
      </c>
      <c r="G91" s="554">
        <v>228</v>
      </c>
      <c r="H91" s="554">
        <v>235</v>
      </c>
      <c r="I91" s="554">
        <v>495</v>
      </c>
      <c r="J91" s="554">
        <v>381</v>
      </c>
      <c r="K91" s="554">
        <v>267</v>
      </c>
      <c r="L91" s="554">
        <v>433</v>
      </c>
      <c r="M91" s="554">
        <v>1299</v>
      </c>
    </row>
    <row r="92" spans="1:13">
      <c r="A92" s="554" t="s">
        <v>67</v>
      </c>
      <c r="B92" s="554">
        <v>55</v>
      </c>
      <c r="C92" s="554">
        <v>109</v>
      </c>
      <c r="D92" s="554">
        <v>204</v>
      </c>
      <c r="E92" s="554">
        <v>214</v>
      </c>
      <c r="F92" s="554">
        <v>206</v>
      </c>
      <c r="G92" s="554">
        <v>176</v>
      </c>
      <c r="H92" s="554">
        <v>194</v>
      </c>
      <c r="I92" s="554">
        <v>291</v>
      </c>
      <c r="J92" s="554">
        <v>289</v>
      </c>
      <c r="K92" s="554">
        <v>281</v>
      </c>
      <c r="L92" s="554">
        <v>328</v>
      </c>
      <c r="M92" s="554">
        <v>252</v>
      </c>
    </row>
    <row r="93" spans="1:13">
      <c r="A93" s="554" t="s">
        <v>427</v>
      </c>
      <c r="B93" s="554">
        <v>3</v>
      </c>
      <c r="C93" s="554">
        <v>5</v>
      </c>
      <c r="D93" s="554">
        <v>13</v>
      </c>
      <c r="E93" s="554">
        <v>21</v>
      </c>
      <c r="F93" s="554" t="s">
        <v>291</v>
      </c>
      <c r="G93" s="554" t="s">
        <v>291</v>
      </c>
      <c r="H93" s="554" t="s">
        <v>291</v>
      </c>
      <c r="I93" s="554">
        <v>5</v>
      </c>
      <c r="J93" s="554">
        <v>1</v>
      </c>
      <c r="K93" s="554">
        <v>2</v>
      </c>
      <c r="L93" s="554">
        <v>1</v>
      </c>
      <c r="M93" s="554">
        <v>3</v>
      </c>
    </row>
    <row r="94" spans="1:13">
      <c r="A94" s="554" t="s">
        <v>426</v>
      </c>
      <c r="B94" s="554">
        <v>54</v>
      </c>
      <c r="C94" s="554">
        <v>93</v>
      </c>
      <c r="D94" s="554">
        <v>102</v>
      </c>
      <c r="E94" s="554">
        <v>89</v>
      </c>
      <c r="F94" s="554">
        <v>131</v>
      </c>
      <c r="G94" s="554">
        <v>118</v>
      </c>
      <c r="H94" s="554">
        <v>96</v>
      </c>
      <c r="I94" s="554">
        <v>126</v>
      </c>
      <c r="J94" s="554">
        <v>70</v>
      </c>
      <c r="K94" s="554">
        <v>108</v>
      </c>
      <c r="L94" s="554">
        <v>157</v>
      </c>
      <c r="M94" s="554">
        <v>123</v>
      </c>
    </row>
    <row r="95" spans="1:13">
      <c r="A95" s="554" t="s">
        <v>425</v>
      </c>
      <c r="B95" s="554" t="s">
        <v>273</v>
      </c>
      <c r="C95" s="554" t="s">
        <v>273</v>
      </c>
      <c r="D95" s="554">
        <v>67</v>
      </c>
      <c r="E95" s="554">
        <v>80</v>
      </c>
      <c r="F95" s="554">
        <v>37</v>
      </c>
      <c r="G95" s="554">
        <v>23</v>
      </c>
      <c r="H95" s="554">
        <v>68</v>
      </c>
      <c r="I95" s="554">
        <v>147</v>
      </c>
      <c r="J95" s="554">
        <v>192</v>
      </c>
      <c r="K95" s="554">
        <v>151</v>
      </c>
      <c r="L95" s="554">
        <v>171</v>
      </c>
      <c r="M95" s="554">
        <v>131</v>
      </c>
    </row>
    <row r="96" spans="1:13">
      <c r="A96" s="554" t="s">
        <v>424</v>
      </c>
      <c r="B96" s="554">
        <v>-1</v>
      </c>
      <c r="C96" s="554">
        <v>11</v>
      </c>
      <c r="D96" s="554">
        <v>23</v>
      </c>
      <c r="E96" s="554">
        <v>24</v>
      </c>
      <c r="F96" s="554" t="s">
        <v>291</v>
      </c>
      <c r="G96" s="554" t="s">
        <v>291</v>
      </c>
      <c r="H96" s="554" t="s">
        <v>291</v>
      </c>
      <c r="I96" s="554">
        <v>13</v>
      </c>
      <c r="J96" s="554">
        <v>26</v>
      </c>
      <c r="K96" s="554">
        <v>21</v>
      </c>
      <c r="L96" s="554">
        <v>-1</v>
      </c>
      <c r="M96" s="554">
        <v>-5</v>
      </c>
    </row>
    <row r="97" spans="1:13">
      <c r="A97" s="554" t="s">
        <v>423</v>
      </c>
      <c r="B97" s="554">
        <v>10022</v>
      </c>
      <c r="C97" s="554">
        <v>14193</v>
      </c>
      <c r="D97" s="554">
        <v>16897</v>
      </c>
      <c r="E97" s="554">
        <v>21353</v>
      </c>
      <c r="F97" s="554">
        <v>24389</v>
      </c>
      <c r="G97" s="554">
        <v>36020</v>
      </c>
      <c r="H97" s="554">
        <v>44746</v>
      </c>
      <c r="I97" s="554">
        <v>59004</v>
      </c>
      <c r="J97" s="554">
        <v>83414</v>
      </c>
      <c r="K97" s="554">
        <v>92204</v>
      </c>
      <c r="L97" s="554">
        <v>132476</v>
      </c>
      <c r="M97" s="554">
        <v>131335</v>
      </c>
    </row>
    <row r="98" spans="1:13">
      <c r="A98" s="554" t="s">
        <v>422</v>
      </c>
      <c r="B98" s="554">
        <v>206</v>
      </c>
      <c r="C98" s="554">
        <v>212</v>
      </c>
      <c r="D98" s="554" t="s">
        <v>273</v>
      </c>
      <c r="E98" s="554" t="s">
        <v>273</v>
      </c>
      <c r="F98" s="554" t="s">
        <v>273</v>
      </c>
      <c r="G98" s="554" t="s">
        <v>273</v>
      </c>
      <c r="H98" s="554" t="s">
        <v>273</v>
      </c>
      <c r="I98" s="554" t="s">
        <v>273</v>
      </c>
      <c r="J98" s="554" t="s">
        <v>273</v>
      </c>
      <c r="K98" s="554" t="s">
        <v>273</v>
      </c>
      <c r="L98" s="554" t="s">
        <v>273</v>
      </c>
      <c r="M98" s="554" t="s">
        <v>273</v>
      </c>
    </row>
    <row r="99" spans="1:13">
      <c r="A99" s="554" t="s">
        <v>421</v>
      </c>
      <c r="B99" s="554">
        <v>853</v>
      </c>
      <c r="C99" s="554">
        <v>1147</v>
      </c>
      <c r="D99" s="554">
        <v>1406</v>
      </c>
      <c r="E99" s="554">
        <v>2181</v>
      </c>
      <c r="F99" s="554">
        <v>1534</v>
      </c>
      <c r="G99" s="554">
        <v>2036</v>
      </c>
      <c r="H99" s="554">
        <v>2005</v>
      </c>
      <c r="I99" s="554">
        <v>2221</v>
      </c>
      <c r="J99" s="554">
        <v>1233</v>
      </c>
      <c r="K99" s="554">
        <v>3419</v>
      </c>
      <c r="L99" s="554">
        <v>3506</v>
      </c>
      <c r="M99" s="554">
        <v>4447</v>
      </c>
    </row>
    <row r="100" spans="1:13">
      <c r="A100" s="554" t="s">
        <v>420</v>
      </c>
      <c r="B100" s="554">
        <v>5575</v>
      </c>
      <c r="C100" s="554">
        <v>8398</v>
      </c>
      <c r="D100" s="554">
        <v>8306</v>
      </c>
      <c r="E100" s="554">
        <v>11127</v>
      </c>
      <c r="F100" s="554">
        <v>15240</v>
      </c>
      <c r="G100" s="554">
        <v>26068</v>
      </c>
      <c r="H100" s="554">
        <v>30927</v>
      </c>
      <c r="I100" s="554">
        <v>28492</v>
      </c>
      <c r="J100" s="554">
        <v>42926</v>
      </c>
      <c r="K100" s="554">
        <v>52232</v>
      </c>
      <c r="L100" s="554">
        <v>70499</v>
      </c>
      <c r="M100" s="554">
        <v>61150</v>
      </c>
    </row>
    <row r="101" spans="1:13">
      <c r="A101" s="554" t="s">
        <v>419</v>
      </c>
      <c r="B101" s="554">
        <v>362</v>
      </c>
      <c r="C101" s="554">
        <v>397</v>
      </c>
      <c r="D101" s="554">
        <v>509</v>
      </c>
      <c r="E101" s="554">
        <v>472</v>
      </c>
      <c r="F101" s="554">
        <v>482</v>
      </c>
      <c r="G101" s="554">
        <v>506</v>
      </c>
      <c r="H101" s="554">
        <v>342</v>
      </c>
      <c r="I101" s="554">
        <v>219</v>
      </c>
      <c r="J101" s="554">
        <v>484</v>
      </c>
      <c r="K101" s="554">
        <v>568</v>
      </c>
      <c r="L101" s="554">
        <v>323</v>
      </c>
      <c r="M101" s="554">
        <v>344</v>
      </c>
    </row>
    <row r="102" spans="1:13">
      <c r="A102" s="554" t="s">
        <v>418</v>
      </c>
      <c r="B102" s="554">
        <v>157</v>
      </c>
      <c r="C102" s="554">
        <v>32</v>
      </c>
      <c r="D102" s="554" t="s">
        <v>273</v>
      </c>
      <c r="E102" s="554" t="s">
        <v>273</v>
      </c>
      <c r="F102" s="554" t="s">
        <v>273</v>
      </c>
      <c r="G102" s="554" t="s">
        <v>273</v>
      </c>
      <c r="H102" s="554" t="s">
        <v>273</v>
      </c>
      <c r="I102" s="554" t="s">
        <v>273</v>
      </c>
      <c r="J102" s="554" t="s">
        <v>273</v>
      </c>
      <c r="K102" s="554" t="s">
        <v>273</v>
      </c>
      <c r="L102" s="554" t="s">
        <v>273</v>
      </c>
      <c r="M102" s="554" t="s">
        <v>273</v>
      </c>
    </row>
    <row r="103" spans="1:13">
      <c r="A103" s="554" t="s">
        <v>417</v>
      </c>
      <c r="B103" s="554">
        <v>218</v>
      </c>
      <c r="C103" s="554">
        <v>98</v>
      </c>
      <c r="D103" s="554" t="s">
        <v>273</v>
      </c>
      <c r="E103" s="554" t="s">
        <v>273</v>
      </c>
      <c r="F103" s="554" t="s">
        <v>273</v>
      </c>
      <c r="G103" s="554" t="s">
        <v>273</v>
      </c>
      <c r="H103" s="554" t="s">
        <v>273</v>
      </c>
      <c r="I103" s="554" t="s">
        <v>273</v>
      </c>
      <c r="J103" s="554" t="s">
        <v>273</v>
      </c>
      <c r="K103" s="554" t="s">
        <v>273</v>
      </c>
      <c r="L103" s="554" t="s">
        <v>273</v>
      </c>
      <c r="M103" s="554" t="s">
        <v>273</v>
      </c>
    </row>
    <row r="104" spans="1:13">
      <c r="A104" s="554" t="s">
        <v>416</v>
      </c>
      <c r="B104" s="554">
        <v>56</v>
      </c>
      <c r="C104" s="554">
        <v>-16</v>
      </c>
      <c r="D104" s="554" t="s">
        <v>273</v>
      </c>
      <c r="E104" s="554" t="s">
        <v>273</v>
      </c>
      <c r="F104" s="554" t="s">
        <v>273</v>
      </c>
      <c r="G104" s="554" t="s">
        <v>273</v>
      </c>
      <c r="H104" s="554" t="s">
        <v>273</v>
      </c>
      <c r="I104" s="554" t="s">
        <v>273</v>
      </c>
      <c r="J104" s="554" t="s">
        <v>273</v>
      </c>
      <c r="K104" s="554" t="s">
        <v>273</v>
      </c>
      <c r="L104" s="554" t="s">
        <v>273</v>
      </c>
      <c r="M104" s="554" t="s">
        <v>273</v>
      </c>
    </row>
    <row r="105" spans="1:13">
      <c r="A105" s="554" t="s">
        <v>415</v>
      </c>
      <c r="B105" s="554">
        <v>2535</v>
      </c>
      <c r="C105" s="554">
        <v>3833</v>
      </c>
      <c r="D105" s="554">
        <v>5476</v>
      </c>
      <c r="E105" s="554">
        <v>5204</v>
      </c>
      <c r="F105" s="554">
        <v>5512</v>
      </c>
      <c r="G105" s="554">
        <v>3727</v>
      </c>
      <c r="H105" s="554">
        <v>9484</v>
      </c>
      <c r="I105" s="554">
        <v>13973</v>
      </c>
      <c r="J105" s="554">
        <v>18928</v>
      </c>
      <c r="K105" s="554">
        <v>22833</v>
      </c>
      <c r="L105" s="554">
        <v>38719</v>
      </c>
      <c r="M105" s="554">
        <v>46350</v>
      </c>
    </row>
    <row r="106" spans="1:13">
      <c r="A106" s="554" t="s">
        <v>67</v>
      </c>
      <c r="B106" s="554">
        <v>59</v>
      </c>
      <c r="C106" s="554">
        <v>91</v>
      </c>
      <c r="D106" s="554">
        <v>1200</v>
      </c>
      <c r="E106" s="554">
        <v>2369</v>
      </c>
      <c r="F106" s="554">
        <v>1622</v>
      </c>
      <c r="G106" s="554">
        <v>3683</v>
      </c>
      <c r="H106" s="554">
        <v>1987</v>
      </c>
      <c r="I106" s="554">
        <v>14100</v>
      </c>
      <c r="J106" s="554">
        <v>19843</v>
      </c>
      <c r="K106" s="554">
        <v>13153</v>
      </c>
      <c r="L106" s="554">
        <v>19429</v>
      </c>
      <c r="M106" s="554">
        <v>19042</v>
      </c>
    </row>
    <row r="107" spans="1:13">
      <c r="A107" s="554" t="s">
        <v>414</v>
      </c>
      <c r="B107" s="554" t="s">
        <v>273</v>
      </c>
      <c r="C107" s="554" t="s">
        <v>273</v>
      </c>
      <c r="D107" s="554" t="s">
        <v>291</v>
      </c>
      <c r="E107" s="554" t="s">
        <v>291</v>
      </c>
      <c r="F107" s="554" t="s">
        <v>291</v>
      </c>
      <c r="G107" s="554" t="s">
        <v>291</v>
      </c>
      <c r="H107" s="554" t="s">
        <v>291</v>
      </c>
      <c r="I107" s="554" t="s">
        <v>306</v>
      </c>
      <c r="J107" s="554" t="s">
        <v>306</v>
      </c>
      <c r="K107" s="554" t="s">
        <v>306</v>
      </c>
      <c r="L107" s="554" t="s">
        <v>306</v>
      </c>
      <c r="M107" s="554" t="s">
        <v>306</v>
      </c>
    </row>
    <row r="108" spans="1:13">
      <c r="A108" s="554" t="s">
        <v>413</v>
      </c>
      <c r="B108" s="554" t="s">
        <v>291</v>
      </c>
      <c r="C108" s="554" t="s">
        <v>291</v>
      </c>
      <c r="D108" s="554">
        <v>3</v>
      </c>
      <c r="E108" s="554">
        <v>11</v>
      </c>
      <c r="F108" s="554">
        <v>7</v>
      </c>
      <c r="G108" s="554">
        <v>11</v>
      </c>
      <c r="H108" s="554">
        <v>10</v>
      </c>
      <c r="I108" s="554">
        <v>7</v>
      </c>
      <c r="J108" s="554" t="s">
        <v>291</v>
      </c>
      <c r="K108" s="554">
        <v>6</v>
      </c>
      <c r="L108" s="554" t="s">
        <v>291</v>
      </c>
      <c r="M108" s="554" t="s">
        <v>291</v>
      </c>
    </row>
    <row r="109" spans="1:13">
      <c r="A109" s="554" t="s">
        <v>412</v>
      </c>
      <c r="B109" s="554" t="s">
        <v>291</v>
      </c>
      <c r="C109" s="554" t="s">
        <v>291</v>
      </c>
      <c r="D109" s="554" t="s">
        <v>291</v>
      </c>
      <c r="E109" s="554" t="s">
        <v>291</v>
      </c>
      <c r="F109" s="554" t="s">
        <v>291</v>
      </c>
      <c r="G109" s="554" t="s">
        <v>291</v>
      </c>
      <c r="H109" s="554" t="s">
        <v>291</v>
      </c>
      <c r="I109" s="554" t="s">
        <v>291</v>
      </c>
      <c r="J109" s="554" t="s">
        <v>291</v>
      </c>
      <c r="K109" s="554" t="s">
        <v>291</v>
      </c>
      <c r="L109" s="554" t="s">
        <v>291</v>
      </c>
      <c r="M109" s="554" t="s">
        <v>291</v>
      </c>
    </row>
    <row r="110" spans="1:13">
      <c r="A110" s="554" t="s">
        <v>411</v>
      </c>
      <c r="B110" s="554" t="s">
        <v>273</v>
      </c>
      <c r="C110" s="554" t="s">
        <v>273</v>
      </c>
      <c r="D110" s="554">
        <v>775</v>
      </c>
      <c r="E110" s="554">
        <v>1125</v>
      </c>
      <c r="F110" s="554">
        <v>955</v>
      </c>
      <c r="G110" s="554">
        <v>372</v>
      </c>
      <c r="H110" s="554">
        <v>956</v>
      </c>
      <c r="I110" s="554">
        <v>495</v>
      </c>
      <c r="J110" s="554">
        <v>4168</v>
      </c>
      <c r="K110" s="554">
        <v>1854</v>
      </c>
      <c r="L110" s="554">
        <v>1793</v>
      </c>
      <c r="M110" s="554">
        <v>1739</v>
      </c>
    </row>
    <row r="111" spans="1:13">
      <c r="A111" s="554" t="s">
        <v>410</v>
      </c>
      <c r="B111" s="554" t="s">
        <v>306</v>
      </c>
      <c r="C111" s="554">
        <v>-1</v>
      </c>
      <c r="D111" s="554" t="s">
        <v>291</v>
      </c>
      <c r="E111" s="554" t="s">
        <v>291</v>
      </c>
      <c r="F111" s="554" t="s">
        <v>291</v>
      </c>
      <c r="G111" s="554" t="s">
        <v>291</v>
      </c>
      <c r="H111" s="554" t="s">
        <v>291</v>
      </c>
      <c r="I111" s="554">
        <v>-1</v>
      </c>
      <c r="J111" s="554">
        <v>-1</v>
      </c>
      <c r="K111" s="554">
        <v>-1</v>
      </c>
      <c r="L111" s="554" t="s">
        <v>291</v>
      </c>
      <c r="M111" s="554" t="s">
        <v>291</v>
      </c>
    </row>
    <row r="112" spans="1:13">
      <c r="A112" s="554" t="s">
        <v>408</v>
      </c>
      <c r="B112" s="554">
        <v>3</v>
      </c>
      <c r="C112" s="554">
        <v>6</v>
      </c>
      <c r="D112" s="554">
        <v>5</v>
      </c>
      <c r="E112" s="554">
        <v>5</v>
      </c>
      <c r="F112" s="554">
        <v>4</v>
      </c>
      <c r="G112" s="554">
        <v>4</v>
      </c>
      <c r="H112" s="554">
        <v>5</v>
      </c>
      <c r="I112" s="554" t="s">
        <v>306</v>
      </c>
      <c r="J112" s="554" t="s">
        <v>291</v>
      </c>
      <c r="K112" s="554">
        <v>1</v>
      </c>
      <c r="L112" s="554">
        <v>1</v>
      </c>
      <c r="M112" s="554" t="s">
        <v>291</v>
      </c>
    </row>
    <row r="113" spans="1:13">
      <c r="A113" s="554" t="s">
        <v>407</v>
      </c>
      <c r="B113" s="554">
        <v>3</v>
      </c>
      <c r="C113" s="554">
        <v>4</v>
      </c>
      <c r="D113" s="554">
        <v>9</v>
      </c>
      <c r="E113" s="554">
        <v>7</v>
      </c>
      <c r="F113" s="554">
        <v>10</v>
      </c>
      <c r="G113" s="554">
        <v>3</v>
      </c>
      <c r="H113" s="554">
        <v>7</v>
      </c>
      <c r="I113" s="554">
        <v>14</v>
      </c>
      <c r="J113" s="554">
        <v>13</v>
      </c>
      <c r="K113" s="554">
        <v>10</v>
      </c>
      <c r="L113" s="554">
        <v>16</v>
      </c>
      <c r="M113" s="554">
        <v>-607</v>
      </c>
    </row>
    <row r="114" spans="1:13">
      <c r="A114" s="554" t="s">
        <v>406</v>
      </c>
      <c r="B114" s="554">
        <v>1</v>
      </c>
      <c r="C114" s="554">
        <v>1</v>
      </c>
      <c r="D114" s="554" t="s">
        <v>291</v>
      </c>
      <c r="E114" s="554" t="s">
        <v>291</v>
      </c>
      <c r="F114" s="554" t="s">
        <v>291</v>
      </c>
      <c r="G114" s="554" t="s">
        <v>291</v>
      </c>
      <c r="H114" s="554" t="s">
        <v>291</v>
      </c>
      <c r="I114" s="554" t="s">
        <v>291</v>
      </c>
      <c r="J114" s="554" t="s">
        <v>291</v>
      </c>
      <c r="K114" s="554" t="s">
        <v>291</v>
      </c>
      <c r="L114" s="554" t="s">
        <v>291</v>
      </c>
      <c r="M114" s="554" t="s">
        <v>291</v>
      </c>
    </row>
    <row r="115" spans="1:13">
      <c r="A115" s="554" t="s">
        <v>405</v>
      </c>
      <c r="B115" s="554">
        <v>10</v>
      </c>
      <c r="C115" s="554" t="s">
        <v>291</v>
      </c>
      <c r="D115" s="554">
        <v>2</v>
      </c>
      <c r="E115" s="554">
        <v>3</v>
      </c>
      <c r="F115" s="554">
        <v>9</v>
      </c>
      <c r="G115" s="554">
        <v>5</v>
      </c>
      <c r="H115" s="554">
        <v>16</v>
      </c>
      <c r="I115" s="554">
        <v>26</v>
      </c>
      <c r="J115" s="554">
        <v>31</v>
      </c>
      <c r="K115" s="554">
        <v>-2</v>
      </c>
      <c r="L115" s="554">
        <v>-8</v>
      </c>
      <c r="M115" s="554">
        <v>-9</v>
      </c>
    </row>
    <row r="116" spans="1:13">
      <c r="A116" s="554" t="s">
        <v>404</v>
      </c>
      <c r="B116" s="554" t="s">
        <v>273</v>
      </c>
      <c r="C116" s="554" t="s">
        <v>273</v>
      </c>
      <c r="D116" s="554">
        <v>29</v>
      </c>
      <c r="E116" s="554">
        <v>22</v>
      </c>
      <c r="F116" s="554">
        <v>33</v>
      </c>
      <c r="G116" s="554">
        <v>73</v>
      </c>
      <c r="H116" s="554">
        <v>7</v>
      </c>
      <c r="I116" s="554">
        <v>60</v>
      </c>
      <c r="J116" s="554">
        <v>122</v>
      </c>
      <c r="K116" s="554">
        <v>106</v>
      </c>
      <c r="L116" s="554">
        <v>39</v>
      </c>
      <c r="M116" s="554">
        <v>-64</v>
      </c>
    </row>
    <row r="117" spans="1:13">
      <c r="A117" s="554" t="s">
        <v>403</v>
      </c>
      <c r="B117" s="554" t="s">
        <v>273</v>
      </c>
      <c r="C117" s="554" t="s">
        <v>273</v>
      </c>
      <c r="D117" s="554">
        <v>189</v>
      </c>
      <c r="E117" s="554">
        <v>803</v>
      </c>
      <c r="F117" s="554">
        <v>128</v>
      </c>
      <c r="G117" s="554">
        <v>3135</v>
      </c>
      <c r="H117" s="554">
        <v>2619</v>
      </c>
      <c r="I117" s="554">
        <v>12340</v>
      </c>
      <c r="J117" s="554">
        <v>14037</v>
      </c>
      <c r="K117" s="554">
        <v>9454</v>
      </c>
      <c r="L117" s="554">
        <v>15350</v>
      </c>
      <c r="M117" s="554">
        <v>15928</v>
      </c>
    </row>
    <row r="118" spans="1:13">
      <c r="A118" s="554" t="s">
        <v>399</v>
      </c>
      <c r="B118" s="554" t="s">
        <v>306</v>
      </c>
      <c r="C118" s="554" t="s">
        <v>306</v>
      </c>
      <c r="D118" s="554" t="s">
        <v>291</v>
      </c>
      <c r="E118" s="554" t="s">
        <v>291</v>
      </c>
      <c r="F118" s="554" t="s">
        <v>291</v>
      </c>
      <c r="G118" s="554" t="s">
        <v>291</v>
      </c>
      <c r="H118" s="554" t="s">
        <v>291</v>
      </c>
      <c r="I118" s="554" t="s">
        <v>291</v>
      </c>
      <c r="J118" s="554" t="s">
        <v>291</v>
      </c>
      <c r="K118" s="554" t="s">
        <v>291</v>
      </c>
      <c r="L118" s="554" t="s">
        <v>291</v>
      </c>
      <c r="M118" s="554" t="s">
        <v>291</v>
      </c>
    </row>
    <row r="119" spans="1:13">
      <c r="A119" s="554" t="s">
        <v>398</v>
      </c>
      <c r="B119" s="554">
        <v>6</v>
      </c>
      <c r="C119" s="554">
        <v>-33</v>
      </c>
      <c r="D119" s="554">
        <v>-21</v>
      </c>
      <c r="E119" s="554">
        <v>7</v>
      </c>
      <c r="F119" s="554">
        <v>12</v>
      </c>
      <c r="G119" s="554">
        <v>14</v>
      </c>
      <c r="H119" s="554" t="s">
        <v>291</v>
      </c>
      <c r="I119" s="554">
        <v>14</v>
      </c>
      <c r="J119" s="554">
        <v>30</v>
      </c>
      <c r="K119" s="554" t="s">
        <v>291</v>
      </c>
      <c r="L119" s="554" t="s">
        <v>291</v>
      </c>
      <c r="M119" s="554" t="s">
        <v>291</v>
      </c>
    </row>
    <row r="120" spans="1:13">
      <c r="A120" s="554" t="s">
        <v>397</v>
      </c>
      <c r="B120" s="554" t="s">
        <v>306</v>
      </c>
      <c r="C120" s="554" t="s">
        <v>306</v>
      </c>
      <c r="D120" s="554" t="s">
        <v>291</v>
      </c>
      <c r="E120" s="554" t="s">
        <v>291</v>
      </c>
      <c r="F120" s="554" t="s">
        <v>291</v>
      </c>
      <c r="G120" s="554" t="s">
        <v>291</v>
      </c>
      <c r="H120" s="554" t="s">
        <v>291</v>
      </c>
      <c r="I120" s="554">
        <v>-3</v>
      </c>
      <c r="J120" s="554" t="s">
        <v>291</v>
      </c>
      <c r="K120" s="554" t="s">
        <v>291</v>
      </c>
      <c r="L120" s="554" t="s">
        <v>291</v>
      </c>
      <c r="M120" s="554" t="s">
        <v>291</v>
      </c>
    </row>
    <row r="121" spans="1:13">
      <c r="A121" s="554" t="s">
        <v>396</v>
      </c>
      <c r="B121" s="554" t="s">
        <v>273</v>
      </c>
      <c r="C121" s="554" t="s">
        <v>273</v>
      </c>
      <c r="D121" s="554">
        <v>156</v>
      </c>
      <c r="E121" s="554">
        <v>260</v>
      </c>
      <c r="F121" s="554">
        <v>325</v>
      </c>
      <c r="G121" s="554">
        <v>304</v>
      </c>
      <c r="H121" s="554">
        <v>137</v>
      </c>
      <c r="I121" s="554">
        <v>888</v>
      </c>
      <c r="J121" s="554">
        <v>793</v>
      </c>
      <c r="K121" s="554">
        <v>1270</v>
      </c>
      <c r="L121" s="554">
        <v>1648</v>
      </c>
      <c r="M121" s="554">
        <v>1989</v>
      </c>
    </row>
    <row r="122" spans="1:13">
      <c r="A122" s="554" t="s">
        <v>858</v>
      </c>
      <c r="B122" s="554" t="s">
        <v>273</v>
      </c>
      <c r="C122" s="554">
        <v>-57</v>
      </c>
      <c r="D122" s="554" t="s">
        <v>291</v>
      </c>
      <c r="E122" s="554" t="s">
        <v>291</v>
      </c>
      <c r="F122" s="554" t="s">
        <v>291</v>
      </c>
      <c r="G122" s="554" t="s">
        <v>291</v>
      </c>
      <c r="H122" s="554" t="s">
        <v>306</v>
      </c>
      <c r="I122" s="554" t="s">
        <v>306</v>
      </c>
      <c r="J122" s="554" t="s">
        <v>291</v>
      </c>
      <c r="K122" s="554" t="s">
        <v>291</v>
      </c>
      <c r="L122" s="554" t="s">
        <v>291</v>
      </c>
      <c r="M122" s="554" t="s">
        <v>291</v>
      </c>
    </row>
    <row r="123" spans="1:13">
      <c r="A123" s="554" t="s">
        <v>394</v>
      </c>
      <c r="B123" s="554">
        <v>1914</v>
      </c>
      <c r="C123" s="554">
        <v>1622</v>
      </c>
      <c r="D123" s="554">
        <v>2039</v>
      </c>
      <c r="E123" s="554">
        <v>3981</v>
      </c>
      <c r="F123" s="554">
        <v>2537</v>
      </c>
      <c r="G123" s="554">
        <v>2821</v>
      </c>
      <c r="H123" s="554">
        <v>4740</v>
      </c>
      <c r="I123" s="554">
        <v>7732</v>
      </c>
      <c r="J123" s="554">
        <v>13987</v>
      </c>
      <c r="K123" s="554">
        <v>18154</v>
      </c>
      <c r="L123" s="554">
        <v>21906</v>
      </c>
      <c r="M123" s="554">
        <v>39911</v>
      </c>
    </row>
    <row r="124" spans="1:13">
      <c r="A124" s="554" t="s">
        <v>393</v>
      </c>
      <c r="B124" s="554">
        <v>266</v>
      </c>
      <c r="C124" s="554">
        <v>34</v>
      </c>
      <c r="D124" s="554">
        <v>452</v>
      </c>
      <c r="E124" s="554">
        <v>615</v>
      </c>
      <c r="F124" s="554">
        <v>413</v>
      </c>
      <c r="G124" s="554">
        <v>576</v>
      </c>
      <c r="H124" s="554">
        <v>351</v>
      </c>
      <c r="I124" s="554">
        <v>572</v>
      </c>
      <c r="J124" s="554">
        <v>902</v>
      </c>
      <c r="K124" s="554">
        <v>1114</v>
      </c>
      <c r="L124" s="554">
        <v>1417</v>
      </c>
      <c r="M124" s="554">
        <v>1836</v>
      </c>
    </row>
    <row r="125" spans="1:13">
      <c r="A125" s="554" t="s">
        <v>392</v>
      </c>
      <c r="B125" s="554">
        <v>717</v>
      </c>
      <c r="C125" s="554">
        <v>961</v>
      </c>
      <c r="D125" s="554">
        <v>939</v>
      </c>
      <c r="E125" s="554">
        <v>1568</v>
      </c>
      <c r="F125" s="554">
        <v>963</v>
      </c>
      <c r="G125" s="554">
        <v>791</v>
      </c>
      <c r="H125" s="554">
        <v>1297</v>
      </c>
      <c r="I125" s="554">
        <v>1353</v>
      </c>
      <c r="J125" s="554">
        <v>1371</v>
      </c>
      <c r="K125" s="554">
        <v>3840</v>
      </c>
      <c r="L125" s="554">
        <v>3869</v>
      </c>
      <c r="M125" s="554">
        <v>4196</v>
      </c>
    </row>
    <row r="126" spans="1:13">
      <c r="A126" s="554" t="s">
        <v>391</v>
      </c>
      <c r="B126" s="554">
        <v>177</v>
      </c>
      <c r="C126" s="554">
        <v>100</v>
      </c>
      <c r="D126" s="554">
        <v>177</v>
      </c>
      <c r="E126" s="554">
        <v>103</v>
      </c>
      <c r="F126" s="554">
        <v>166</v>
      </c>
      <c r="G126" s="554">
        <v>144</v>
      </c>
      <c r="H126" s="554">
        <v>585</v>
      </c>
      <c r="I126" s="554">
        <v>891</v>
      </c>
      <c r="J126" s="554">
        <v>1148</v>
      </c>
      <c r="K126" s="554">
        <v>1488</v>
      </c>
      <c r="L126" s="554">
        <v>1351</v>
      </c>
      <c r="M126" s="554">
        <v>915</v>
      </c>
    </row>
    <row r="127" spans="1:13">
      <c r="A127" s="554" t="s">
        <v>236</v>
      </c>
      <c r="B127" s="554">
        <v>754</v>
      </c>
      <c r="C127" s="554">
        <v>528</v>
      </c>
      <c r="D127" s="554">
        <v>472</v>
      </c>
      <c r="E127" s="554">
        <v>1695</v>
      </c>
      <c r="F127" s="554">
        <v>996</v>
      </c>
      <c r="G127" s="554">
        <v>1311</v>
      </c>
      <c r="H127" s="554">
        <v>2506</v>
      </c>
      <c r="I127" s="554">
        <v>4916</v>
      </c>
      <c r="J127" s="554">
        <v>10566</v>
      </c>
      <c r="K127" s="554">
        <v>11711</v>
      </c>
      <c r="L127" s="554">
        <v>15270</v>
      </c>
      <c r="M127" s="554">
        <v>32963</v>
      </c>
    </row>
    <row r="128" spans="1:13">
      <c r="A128" s="554" t="s">
        <v>390</v>
      </c>
      <c r="B128" s="554">
        <v>-46</v>
      </c>
      <c r="C128" s="554">
        <v>163</v>
      </c>
      <c r="D128" s="554">
        <v>166</v>
      </c>
      <c r="E128" s="554">
        <v>177</v>
      </c>
      <c r="F128" s="554">
        <v>81</v>
      </c>
      <c r="G128" s="554">
        <v>304</v>
      </c>
      <c r="H128" s="554">
        <v>376</v>
      </c>
      <c r="I128" s="554">
        <v>551</v>
      </c>
      <c r="J128" s="554">
        <v>1007</v>
      </c>
      <c r="K128" s="554">
        <v>969</v>
      </c>
      <c r="L128" s="554">
        <v>522</v>
      </c>
      <c r="M128" s="554">
        <v>1453</v>
      </c>
    </row>
    <row r="129" spans="1:13">
      <c r="A129" s="554" t="s">
        <v>389</v>
      </c>
      <c r="B129" s="554">
        <v>336</v>
      </c>
      <c r="C129" s="554">
        <v>117</v>
      </c>
      <c r="D129" s="554" t="s">
        <v>291</v>
      </c>
      <c r="E129" s="554" t="s">
        <v>291</v>
      </c>
      <c r="F129" s="554" t="s">
        <v>291</v>
      </c>
      <c r="G129" s="554">
        <v>649</v>
      </c>
      <c r="H129" s="554">
        <v>559</v>
      </c>
      <c r="I129" s="554" t="s">
        <v>291</v>
      </c>
      <c r="J129" s="554">
        <v>4281</v>
      </c>
      <c r="K129" s="554">
        <v>5731</v>
      </c>
      <c r="L129" s="554">
        <v>6646</v>
      </c>
      <c r="M129" s="554">
        <v>20643</v>
      </c>
    </row>
    <row r="130" spans="1:13">
      <c r="A130" s="554" t="s">
        <v>388</v>
      </c>
      <c r="B130" s="554" t="s">
        <v>273</v>
      </c>
      <c r="C130" s="554" t="s">
        <v>273</v>
      </c>
      <c r="D130" s="554" t="s">
        <v>273</v>
      </c>
      <c r="E130" s="554" t="s">
        <v>273</v>
      </c>
      <c r="F130" s="554" t="s">
        <v>273</v>
      </c>
      <c r="G130" s="554" t="s">
        <v>273</v>
      </c>
      <c r="H130" s="554" t="s">
        <v>291</v>
      </c>
      <c r="I130" s="554" t="s">
        <v>291</v>
      </c>
      <c r="J130" s="554" t="s">
        <v>291</v>
      </c>
      <c r="K130" s="554" t="s">
        <v>291</v>
      </c>
      <c r="L130" s="554" t="s">
        <v>291</v>
      </c>
      <c r="M130" s="554" t="s">
        <v>291</v>
      </c>
    </row>
    <row r="131" spans="1:13">
      <c r="A131" s="554" t="s">
        <v>387</v>
      </c>
      <c r="B131" s="554">
        <v>-12</v>
      </c>
      <c r="C131" s="554">
        <v>-8</v>
      </c>
      <c r="D131" s="554">
        <v>5</v>
      </c>
      <c r="E131" s="554">
        <v>5</v>
      </c>
      <c r="F131" s="554">
        <v>3</v>
      </c>
      <c r="G131" s="554">
        <v>4</v>
      </c>
      <c r="H131" s="554" t="s">
        <v>291</v>
      </c>
      <c r="I131" s="554" t="s">
        <v>291</v>
      </c>
      <c r="J131" s="554" t="s">
        <v>291</v>
      </c>
      <c r="K131" s="554" t="s">
        <v>291</v>
      </c>
      <c r="L131" s="554" t="s">
        <v>291</v>
      </c>
      <c r="M131" s="554" t="s">
        <v>291</v>
      </c>
    </row>
    <row r="132" spans="1:13">
      <c r="A132" s="554" t="s">
        <v>386</v>
      </c>
      <c r="B132" s="554" t="s">
        <v>306</v>
      </c>
      <c r="C132" s="554" t="s">
        <v>306</v>
      </c>
      <c r="D132" s="554" t="s">
        <v>291</v>
      </c>
      <c r="E132" s="554" t="s">
        <v>291</v>
      </c>
      <c r="F132" s="554" t="s">
        <v>291</v>
      </c>
      <c r="G132" s="554" t="s">
        <v>291</v>
      </c>
      <c r="H132" s="554" t="s">
        <v>291</v>
      </c>
      <c r="I132" s="554" t="s">
        <v>306</v>
      </c>
      <c r="J132" s="554" t="s">
        <v>273</v>
      </c>
      <c r="K132" s="554" t="s">
        <v>273</v>
      </c>
      <c r="L132" s="554" t="s">
        <v>273</v>
      </c>
      <c r="M132" s="554" t="s">
        <v>273</v>
      </c>
    </row>
    <row r="133" spans="1:13">
      <c r="A133" s="554" t="s">
        <v>385</v>
      </c>
      <c r="B133" s="554" t="s">
        <v>273</v>
      </c>
      <c r="C133" s="554" t="s">
        <v>273</v>
      </c>
      <c r="D133" s="554" t="s">
        <v>273</v>
      </c>
      <c r="E133" s="554" t="s">
        <v>273</v>
      </c>
      <c r="F133" s="554" t="s">
        <v>273</v>
      </c>
      <c r="G133" s="554" t="s">
        <v>273</v>
      </c>
      <c r="H133" s="554" t="s">
        <v>273</v>
      </c>
      <c r="I133" s="554" t="s">
        <v>306</v>
      </c>
      <c r="J133" s="554" t="s">
        <v>306</v>
      </c>
      <c r="K133" s="554" t="s">
        <v>306</v>
      </c>
      <c r="L133" s="554" t="s">
        <v>306</v>
      </c>
      <c r="M133" s="554" t="s">
        <v>306</v>
      </c>
    </row>
    <row r="134" spans="1:13">
      <c r="A134" s="554" t="s">
        <v>384</v>
      </c>
      <c r="B134" s="554">
        <v>101</v>
      </c>
      <c r="C134" s="554">
        <v>43</v>
      </c>
      <c r="D134" s="554">
        <v>32</v>
      </c>
      <c r="E134" s="554">
        <v>72</v>
      </c>
      <c r="F134" s="554">
        <v>41</v>
      </c>
      <c r="G134" s="554">
        <v>13</v>
      </c>
      <c r="H134" s="554">
        <v>81</v>
      </c>
      <c r="I134" s="554">
        <v>239</v>
      </c>
      <c r="J134" s="554">
        <v>528</v>
      </c>
      <c r="K134" s="554">
        <v>461</v>
      </c>
      <c r="L134" s="554">
        <v>385</v>
      </c>
      <c r="M134" s="554">
        <v>352</v>
      </c>
    </row>
    <row r="135" spans="1:13">
      <c r="A135" s="554" t="s">
        <v>383</v>
      </c>
      <c r="B135" s="554" t="s">
        <v>273</v>
      </c>
      <c r="C135" s="554" t="s">
        <v>273</v>
      </c>
      <c r="D135" s="554" t="s">
        <v>291</v>
      </c>
      <c r="E135" s="554" t="s">
        <v>306</v>
      </c>
      <c r="F135" s="554" t="s">
        <v>306</v>
      </c>
      <c r="G135" s="554" t="s">
        <v>306</v>
      </c>
      <c r="H135" s="554" t="s">
        <v>306</v>
      </c>
      <c r="I135" s="554" t="s">
        <v>273</v>
      </c>
      <c r="J135" s="554" t="s">
        <v>273</v>
      </c>
      <c r="K135" s="554" t="s">
        <v>273</v>
      </c>
      <c r="L135" s="554" t="s">
        <v>273</v>
      </c>
      <c r="M135" s="554" t="s">
        <v>273</v>
      </c>
    </row>
    <row r="136" spans="1:13">
      <c r="A136" s="554" t="s">
        <v>382</v>
      </c>
      <c r="B136" s="554">
        <v>-12</v>
      </c>
      <c r="C136" s="554">
        <v>-11</v>
      </c>
      <c r="D136" s="554" t="s">
        <v>291</v>
      </c>
      <c r="E136" s="554">
        <v>103</v>
      </c>
      <c r="F136" s="554">
        <v>-14</v>
      </c>
      <c r="G136" s="554">
        <v>-43</v>
      </c>
      <c r="H136" s="554">
        <v>6</v>
      </c>
      <c r="I136" s="554">
        <v>433</v>
      </c>
      <c r="J136" s="554">
        <v>797</v>
      </c>
      <c r="K136" s="554">
        <v>503</v>
      </c>
      <c r="L136" s="554">
        <v>660</v>
      </c>
      <c r="M136" s="554" t="s">
        <v>291</v>
      </c>
    </row>
    <row r="137" spans="1:13">
      <c r="A137" s="554" t="s">
        <v>381</v>
      </c>
      <c r="B137" s="554" t="s">
        <v>273</v>
      </c>
      <c r="C137" s="554" t="s">
        <v>273</v>
      </c>
      <c r="D137" s="554" t="s">
        <v>273</v>
      </c>
      <c r="E137" s="554" t="s">
        <v>273</v>
      </c>
      <c r="F137" s="554" t="s">
        <v>273</v>
      </c>
      <c r="G137" s="554" t="s">
        <v>273</v>
      </c>
      <c r="H137" s="554" t="s">
        <v>273</v>
      </c>
      <c r="I137" s="554" t="s">
        <v>306</v>
      </c>
      <c r="J137" s="554" t="s">
        <v>306</v>
      </c>
      <c r="K137" s="554" t="s">
        <v>306</v>
      </c>
      <c r="L137" s="554" t="s">
        <v>306</v>
      </c>
      <c r="M137" s="554" t="s">
        <v>306</v>
      </c>
    </row>
    <row r="138" spans="1:13">
      <c r="A138" s="554" t="s">
        <v>380</v>
      </c>
      <c r="B138" s="554" t="s">
        <v>291</v>
      </c>
      <c r="C138" s="554">
        <v>-68</v>
      </c>
      <c r="D138" s="554">
        <v>-93</v>
      </c>
      <c r="E138" s="554">
        <v>43</v>
      </c>
      <c r="F138" s="554">
        <v>8</v>
      </c>
      <c r="G138" s="554">
        <v>-44</v>
      </c>
      <c r="H138" s="554">
        <v>39</v>
      </c>
      <c r="I138" s="554">
        <v>86</v>
      </c>
      <c r="J138" s="554">
        <v>137</v>
      </c>
      <c r="K138" s="554">
        <v>101</v>
      </c>
      <c r="L138" s="554">
        <v>-40</v>
      </c>
      <c r="M138" s="554" t="s">
        <v>291</v>
      </c>
    </row>
    <row r="139" spans="1:13">
      <c r="A139" s="554" t="s">
        <v>379</v>
      </c>
      <c r="B139" s="554">
        <v>6</v>
      </c>
      <c r="C139" s="554">
        <v>2</v>
      </c>
      <c r="D139" s="554">
        <v>-14</v>
      </c>
      <c r="E139" s="554">
        <v>6</v>
      </c>
      <c r="F139" s="554">
        <v>-4</v>
      </c>
      <c r="G139" s="554">
        <v>-4</v>
      </c>
      <c r="H139" s="554">
        <v>44</v>
      </c>
      <c r="I139" s="554" t="s">
        <v>291</v>
      </c>
      <c r="J139" s="554" t="s">
        <v>291</v>
      </c>
      <c r="K139" s="554" t="s">
        <v>291</v>
      </c>
      <c r="L139" s="554" t="s">
        <v>291</v>
      </c>
      <c r="M139" s="554" t="s">
        <v>291</v>
      </c>
    </row>
    <row r="140" spans="1:13">
      <c r="A140" s="554" t="s">
        <v>378</v>
      </c>
      <c r="B140" s="554">
        <v>-6</v>
      </c>
      <c r="C140" s="554">
        <v>-30</v>
      </c>
      <c r="D140" s="554">
        <v>12</v>
      </c>
      <c r="E140" s="554">
        <v>14</v>
      </c>
      <c r="F140" s="554">
        <v>-1</v>
      </c>
      <c r="G140" s="554">
        <v>-11</v>
      </c>
      <c r="H140" s="554">
        <v>24</v>
      </c>
      <c r="I140" s="554">
        <v>40</v>
      </c>
      <c r="J140" s="554">
        <v>45</v>
      </c>
      <c r="K140" s="554">
        <v>17</v>
      </c>
      <c r="L140" s="554">
        <v>22</v>
      </c>
      <c r="M140" s="554">
        <v>1</v>
      </c>
    </row>
    <row r="141" spans="1:13">
      <c r="A141" s="554" t="s">
        <v>377</v>
      </c>
      <c r="B141" s="554">
        <v>1</v>
      </c>
      <c r="C141" s="554">
        <v>1</v>
      </c>
      <c r="D141" s="554" t="s">
        <v>291</v>
      </c>
      <c r="E141" s="554" t="s">
        <v>291</v>
      </c>
      <c r="F141" s="554" t="s">
        <v>291</v>
      </c>
      <c r="G141" s="554" t="s">
        <v>291</v>
      </c>
      <c r="H141" s="554" t="s">
        <v>291</v>
      </c>
      <c r="I141" s="554" t="s">
        <v>291</v>
      </c>
      <c r="J141" s="554" t="s">
        <v>291</v>
      </c>
      <c r="K141" s="554" t="s">
        <v>291</v>
      </c>
      <c r="L141" s="554" t="s">
        <v>291</v>
      </c>
      <c r="M141" s="554" t="s">
        <v>273</v>
      </c>
    </row>
    <row r="142" spans="1:13">
      <c r="A142" s="554" t="s">
        <v>376</v>
      </c>
      <c r="B142" s="554">
        <v>99</v>
      </c>
      <c r="C142" s="554">
        <v>-37</v>
      </c>
      <c r="D142" s="554">
        <v>124</v>
      </c>
      <c r="E142" s="554">
        <v>377</v>
      </c>
      <c r="F142" s="554">
        <v>441</v>
      </c>
      <c r="G142" s="554">
        <v>51</v>
      </c>
      <c r="H142" s="554">
        <v>834</v>
      </c>
      <c r="I142" s="554">
        <v>1539</v>
      </c>
      <c r="J142" s="554">
        <v>2483</v>
      </c>
      <c r="K142" s="554">
        <v>2568</v>
      </c>
      <c r="L142" s="554">
        <v>5017</v>
      </c>
      <c r="M142" s="554">
        <v>7332</v>
      </c>
    </row>
    <row r="143" spans="1:13">
      <c r="A143" s="554" t="s">
        <v>375</v>
      </c>
      <c r="B143" s="554" t="s">
        <v>306</v>
      </c>
      <c r="C143" s="554">
        <v>0</v>
      </c>
      <c r="D143" s="554" t="s">
        <v>291</v>
      </c>
      <c r="E143" s="554" t="s">
        <v>291</v>
      </c>
      <c r="F143" s="554" t="s">
        <v>291</v>
      </c>
      <c r="G143" s="554" t="s">
        <v>291</v>
      </c>
      <c r="H143" s="554" t="s">
        <v>291</v>
      </c>
      <c r="I143" s="554" t="s">
        <v>291</v>
      </c>
      <c r="J143" s="554" t="s">
        <v>291</v>
      </c>
      <c r="K143" s="554" t="s">
        <v>291</v>
      </c>
      <c r="L143" s="554" t="s">
        <v>273</v>
      </c>
      <c r="M143" s="554" t="s">
        <v>273</v>
      </c>
    </row>
    <row r="144" spans="1:13">
      <c r="A144" s="554" t="s">
        <v>374</v>
      </c>
      <c r="B144" s="554">
        <v>25</v>
      </c>
      <c r="C144" s="554">
        <v>28</v>
      </c>
      <c r="D144" s="554" t="s">
        <v>291</v>
      </c>
      <c r="E144" s="554">
        <v>3</v>
      </c>
      <c r="F144" s="554">
        <v>4</v>
      </c>
      <c r="G144" s="554">
        <v>3</v>
      </c>
      <c r="H144" s="554">
        <v>2</v>
      </c>
      <c r="I144" s="554" t="s">
        <v>291</v>
      </c>
      <c r="J144" s="554" t="s">
        <v>291</v>
      </c>
      <c r="K144" s="554" t="s">
        <v>291</v>
      </c>
      <c r="L144" s="554" t="s">
        <v>291</v>
      </c>
      <c r="M144" s="554" t="s">
        <v>291</v>
      </c>
    </row>
    <row r="145" spans="1:13">
      <c r="A145" s="554" t="s">
        <v>373</v>
      </c>
      <c r="B145" s="554">
        <v>30</v>
      </c>
      <c r="C145" s="554">
        <v>-14</v>
      </c>
      <c r="D145" s="554">
        <v>22</v>
      </c>
      <c r="E145" s="554">
        <v>72</v>
      </c>
      <c r="F145" s="554">
        <v>94</v>
      </c>
      <c r="G145" s="554">
        <v>162</v>
      </c>
      <c r="H145" s="554">
        <v>151</v>
      </c>
      <c r="I145" s="554">
        <v>90</v>
      </c>
      <c r="J145" s="554">
        <v>306</v>
      </c>
      <c r="K145" s="554">
        <v>329</v>
      </c>
      <c r="L145" s="554">
        <v>736</v>
      </c>
      <c r="M145" s="554">
        <v>1272</v>
      </c>
    </row>
    <row r="146" spans="1:13">
      <c r="A146" s="554" t="s">
        <v>372</v>
      </c>
      <c r="B146" s="554" t="s">
        <v>273</v>
      </c>
      <c r="C146" s="554" t="s">
        <v>273</v>
      </c>
      <c r="D146" s="554" t="s">
        <v>273</v>
      </c>
      <c r="E146" s="554" t="s">
        <v>273</v>
      </c>
      <c r="F146" s="554" t="s">
        <v>273</v>
      </c>
      <c r="G146" s="554" t="s">
        <v>273</v>
      </c>
      <c r="H146" s="554" t="s">
        <v>273</v>
      </c>
      <c r="I146" s="554" t="s">
        <v>306</v>
      </c>
      <c r="J146" s="554" t="s">
        <v>306</v>
      </c>
      <c r="K146" s="554" t="s">
        <v>306</v>
      </c>
      <c r="L146" s="554" t="s">
        <v>306</v>
      </c>
      <c r="M146" s="554" t="s">
        <v>306</v>
      </c>
    </row>
    <row r="147" spans="1:13">
      <c r="A147" s="554" t="s">
        <v>371</v>
      </c>
      <c r="B147" s="554">
        <v>57</v>
      </c>
      <c r="C147" s="554">
        <v>10</v>
      </c>
      <c r="D147" s="554">
        <v>-9</v>
      </c>
      <c r="E147" s="554">
        <v>19</v>
      </c>
      <c r="F147" s="554">
        <v>47</v>
      </c>
      <c r="G147" s="554">
        <v>29</v>
      </c>
      <c r="H147" s="554">
        <v>27</v>
      </c>
      <c r="I147" s="554">
        <v>8</v>
      </c>
      <c r="J147" s="554">
        <v>-1</v>
      </c>
      <c r="K147" s="554">
        <v>51</v>
      </c>
      <c r="L147" s="554">
        <v>37</v>
      </c>
      <c r="M147" s="554" t="s">
        <v>291</v>
      </c>
    </row>
    <row r="148" spans="1:13">
      <c r="A148" s="554" t="s">
        <v>370</v>
      </c>
      <c r="B148" s="554" t="s">
        <v>291</v>
      </c>
      <c r="C148" s="554" t="s">
        <v>291</v>
      </c>
      <c r="D148" s="554" t="s">
        <v>291</v>
      </c>
      <c r="E148" s="554" t="s">
        <v>291</v>
      </c>
      <c r="F148" s="554" t="s">
        <v>291</v>
      </c>
      <c r="G148" s="554" t="s">
        <v>291</v>
      </c>
      <c r="H148" s="554" t="s">
        <v>291</v>
      </c>
      <c r="I148" s="554" t="s">
        <v>291</v>
      </c>
      <c r="J148" s="554" t="s">
        <v>291</v>
      </c>
      <c r="K148" s="554" t="s">
        <v>291</v>
      </c>
      <c r="L148" s="554" t="s">
        <v>291</v>
      </c>
      <c r="M148" s="554" t="s">
        <v>306</v>
      </c>
    </row>
    <row r="149" spans="1:13">
      <c r="A149" s="554" t="s">
        <v>369</v>
      </c>
      <c r="B149" s="554">
        <v>20</v>
      </c>
      <c r="C149" s="554">
        <v>29</v>
      </c>
      <c r="D149" s="554" t="s">
        <v>306</v>
      </c>
      <c r="E149" s="554">
        <v>-3</v>
      </c>
      <c r="F149" s="554">
        <v>4</v>
      </c>
      <c r="G149" s="554">
        <v>-3</v>
      </c>
      <c r="H149" s="554">
        <v>-3</v>
      </c>
      <c r="I149" s="554">
        <v>13</v>
      </c>
      <c r="J149" s="554">
        <v>5</v>
      </c>
      <c r="K149" s="554">
        <v>10</v>
      </c>
      <c r="L149" s="554">
        <v>9</v>
      </c>
      <c r="M149" s="554">
        <v>12</v>
      </c>
    </row>
    <row r="150" spans="1:13">
      <c r="A150" s="554" t="s">
        <v>368</v>
      </c>
      <c r="B150" s="554" t="s">
        <v>306</v>
      </c>
      <c r="C150" s="554" t="s">
        <v>306</v>
      </c>
      <c r="D150" s="554" t="s">
        <v>291</v>
      </c>
      <c r="E150" s="554" t="s">
        <v>306</v>
      </c>
      <c r="F150" s="554" t="s">
        <v>306</v>
      </c>
      <c r="G150" s="554" t="s">
        <v>306</v>
      </c>
      <c r="H150" s="554" t="s">
        <v>306</v>
      </c>
      <c r="I150" s="554" t="s">
        <v>291</v>
      </c>
      <c r="J150" s="554" t="s">
        <v>291</v>
      </c>
      <c r="K150" s="554" t="s">
        <v>291</v>
      </c>
      <c r="L150" s="554" t="s">
        <v>291</v>
      </c>
      <c r="M150" s="554" t="s">
        <v>291</v>
      </c>
    </row>
    <row r="151" spans="1:13">
      <c r="A151" s="554" t="s">
        <v>367</v>
      </c>
      <c r="B151" s="554">
        <v>91</v>
      </c>
      <c r="C151" s="554">
        <v>46</v>
      </c>
      <c r="D151" s="554">
        <v>-173</v>
      </c>
      <c r="E151" s="554">
        <v>216</v>
      </c>
      <c r="F151" s="554">
        <v>-7</v>
      </c>
      <c r="G151" s="554">
        <v>-114</v>
      </c>
      <c r="H151" s="554">
        <v>-7</v>
      </c>
      <c r="I151" s="554">
        <v>260</v>
      </c>
      <c r="J151" s="554">
        <v>156</v>
      </c>
      <c r="K151" s="554">
        <v>153</v>
      </c>
      <c r="L151" s="554">
        <v>147</v>
      </c>
      <c r="M151" s="554">
        <v>226</v>
      </c>
    </row>
    <row r="152" spans="1:13">
      <c r="A152" s="554" t="s">
        <v>366</v>
      </c>
      <c r="B152" s="554">
        <v>-53</v>
      </c>
      <c r="C152" s="554">
        <v>-49</v>
      </c>
      <c r="D152" s="554" t="s">
        <v>291</v>
      </c>
      <c r="E152" s="554" t="s">
        <v>291</v>
      </c>
      <c r="F152" s="554">
        <v>5</v>
      </c>
      <c r="G152" s="554">
        <v>5</v>
      </c>
      <c r="H152" s="554" t="s">
        <v>291</v>
      </c>
      <c r="I152" s="554">
        <v>-8</v>
      </c>
      <c r="J152" s="554" t="s">
        <v>291</v>
      </c>
      <c r="K152" s="554" t="s">
        <v>291</v>
      </c>
      <c r="L152" s="554">
        <v>90</v>
      </c>
      <c r="M152" s="554">
        <v>214</v>
      </c>
    </row>
    <row r="153" spans="1:13">
      <c r="A153" s="554" t="s">
        <v>365</v>
      </c>
      <c r="B153" s="554" t="s">
        <v>273</v>
      </c>
      <c r="C153" s="554" t="s">
        <v>273</v>
      </c>
      <c r="D153" s="554" t="s">
        <v>291</v>
      </c>
      <c r="E153" s="554" t="s">
        <v>306</v>
      </c>
      <c r="F153" s="554" t="s">
        <v>306</v>
      </c>
      <c r="G153" s="554" t="s">
        <v>306</v>
      </c>
      <c r="H153" s="554" t="s">
        <v>306</v>
      </c>
      <c r="I153" s="554">
        <v>-11</v>
      </c>
      <c r="J153" s="554">
        <v>-13</v>
      </c>
      <c r="K153" s="554">
        <v>-24</v>
      </c>
      <c r="L153" s="554" t="s">
        <v>291</v>
      </c>
      <c r="M153" s="554" t="s">
        <v>291</v>
      </c>
    </row>
    <row r="154" spans="1:13">
      <c r="A154" s="554" t="s">
        <v>364</v>
      </c>
      <c r="B154" s="554">
        <v>12</v>
      </c>
      <c r="C154" s="554">
        <v>10</v>
      </c>
      <c r="D154" s="554">
        <v>8</v>
      </c>
      <c r="E154" s="554">
        <v>7</v>
      </c>
      <c r="F154" s="554">
        <v>12</v>
      </c>
      <c r="G154" s="554">
        <v>9</v>
      </c>
      <c r="H154" s="554">
        <v>8</v>
      </c>
      <c r="I154" s="554">
        <v>5</v>
      </c>
      <c r="J154" s="554">
        <v>10</v>
      </c>
      <c r="K154" s="554">
        <v>3</v>
      </c>
      <c r="L154" s="554">
        <v>-26</v>
      </c>
      <c r="M154" s="554">
        <v>-3</v>
      </c>
    </row>
    <row r="155" spans="1:13">
      <c r="A155" s="554" t="s">
        <v>363</v>
      </c>
      <c r="B155" s="554">
        <v>5</v>
      </c>
      <c r="C155" s="554">
        <v>2</v>
      </c>
      <c r="D155" s="554" t="s">
        <v>291</v>
      </c>
      <c r="E155" s="554" t="s">
        <v>291</v>
      </c>
      <c r="F155" s="554" t="s">
        <v>291</v>
      </c>
      <c r="G155" s="554" t="s">
        <v>291</v>
      </c>
      <c r="H155" s="554" t="s">
        <v>291</v>
      </c>
      <c r="I155" s="554">
        <v>-3</v>
      </c>
      <c r="J155" s="554" t="s">
        <v>273</v>
      </c>
      <c r="K155" s="554" t="s">
        <v>273</v>
      </c>
      <c r="L155" s="554" t="s">
        <v>273</v>
      </c>
      <c r="M155" s="554" t="s">
        <v>273</v>
      </c>
    </row>
    <row r="156" spans="1:13">
      <c r="A156" s="554" t="s">
        <v>362</v>
      </c>
      <c r="B156" s="554" t="s">
        <v>273</v>
      </c>
      <c r="C156" s="554" t="s">
        <v>273</v>
      </c>
      <c r="D156" s="554" t="s">
        <v>291</v>
      </c>
      <c r="E156" s="554" t="s">
        <v>306</v>
      </c>
      <c r="F156" s="554" t="s">
        <v>306</v>
      </c>
      <c r="G156" s="554" t="s">
        <v>306</v>
      </c>
      <c r="H156" s="554" t="s">
        <v>306</v>
      </c>
      <c r="I156" s="554">
        <v>-2</v>
      </c>
      <c r="J156" s="554">
        <v>-2</v>
      </c>
      <c r="K156" s="554">
        <v>-2</v>
      </c>
      <c r="L156" s="554">
        <v>-2</v>
      </c>
      <c r="M156" s="554">
        <v>-2</v>
      </c>
    </row>
    <row r="157" spans="1:13">
      <c r="A157" s="554" t="s">
        <v>361</v>
      </c>
      <c r="B157" s="554" t="s">
        <v>291</v>
      </c>
      <c r="C157" s="554" t="s">
        <v>291</v>
      </c>
      <c r="D157" s="554">
        <v>151</v>
      </c>
      <c r="E157" s="554">
        <v>111</v>
      </c>
      <c r="F157" s="554">
        <v>-27</v>
      </c>
      <c r="G157" s="554">
        <v>94</v>
      </c>
      <c r="H157" s="554">
        <v>25</v>
      </c>
      <c r="I157" s="554">
        <v>-272</v>
      </c>
      <c r="J157" s="554">
        <v>423</v>
      </c>
      <c r="K157" s="554">
        <v>515</v>
      </c>
      <c r="L157" s="554">
        <v>779</v>
      </c>
      <c r="M157" s="554">
        <v>4</v>
      </c>
    </row>
    <row r="158" spans="1:13">
      <c r="A158" s="554" t="s">
        <v>360</v>
      </c>
      <c r="B158" s="554">
        <v>-8</v>
      </c>
      <c r="C158" s="554">
        <v>23</v>
      </c>
      <c r="D158" s="554">
        <v>17</v>
      </c>
      <c r="E158" s="554">
        <v>22</v>
      </c>
      <c r="F158" s="554">
        <v>38</v>
      </c>
      <c r="G158" s="554">
        <v>35</v>
      </c>
      <c r="H158" s="554">
        <v>68</v>
      </c>
      <c r="I158" s="554">
        <v>8</v>
      </c>
      <c r="J158" s="554">
        <v>117</v>
      </c>
      <c r="K158" s="554">
        <v>106</v>
      </c>
      <c r="L158" s="554">
        <v>5</v>
      </c>
      <c r="M158" s="554">
        <v>39</v>
      </c>
    </row>
    <row r="159" spans="1:13">
      <c r="A159" s="554" t="s">
        <v>359</v>
      </c>
      <c r="B159" s="554" t="s">
        <v>291</v>
      </c>
      <c r="C159" s="554">
        <v>-1</v>
      </c>
      <c r="D159" s="554" t="s">
        <v>291</v>
      </c>
      <c r="E159" s="554" t="s">
        <v>291</v>
      </c>
      <c r="F159" s="554" t="s">
        <v>291</v>
      </c>
      <c r="G159" s="554" t="s">
        <v>291</v>
      </c>
      <c r="H159" s="554" t="s">
        <v>291</v>
      </c>
      <c r="I159" s="554" t="s">
        <v>291</v>
      </c>
      <c r="J159" s="554" t="s">
        <v>291</v>
      </c>
      <c r="K159" s="554" t="s">
        <v>291</v>
      </c>
      <c r="L159" s="554" t="s">
        <v>291</v>
      </c>
      <c r="M159" s="554" t="s">
        <v>291</v>
      </c>
    </row>
    <row r="160" spans="1:13">
      <c r="A160" s="554" t="s">
        <v>358</v>
      </c>
      <c r="B160" s="554">
        <v>-1</v>
      </c>
      <c r="C160" s="554" t="s">
        <v>291</v>
      </c>
      <c r="D160" s="554" t="s">
        <v>291</v>
      </c>
      <c r="E160" s="554" t="s">
        <v>291</v>
      </c>
      <c r="F160" s="554" t="s">
        <v>291</v>
      </c>
      <c r="G160" s="554" t="s">
        <v>291</v>
      </c>
      <c r="H160" s="554" t="s">
        <v>291</v>
      </c>
      <c r="I160" s="554" t="s">
        <v>291</v>
      </c>
      <c r="J160" s="554" t="s">
        <v>291</v>
      </c>
      <c r="K160" s="554" t="s">
        <v>291</v>
      </c>
      <c r="L160" s="554" t="s">
        <v>291</v>
      </c>
      <c r="M160" s="554" t="s">
        <v>291</v>
      </c>
    </row>
    <row r="161" spans="1:13">
      <c r="A161" s="554" t="s">
        <v>357</v>
      </c>
      <c r="B161" s="554">
        <v>-3</v>
      </c>
      <c r="C161" s="554">
        <v>-2</v>
      </c>
      <c r="D161" s="554" t="s">
        <v>291</v>
      </c>
      <c r="E161" s="554" t="s">
        <v>291</v>
      </c>
      <c r="F161" s="554" t="s">
        <v>291</v>
      </c>
      <c r="G161" s="554" t="s">
        <v>291</v>
      </c>
      <c r="H161" s="554" t="s">
        <v>291</v>
      </c>
      <c r="I161" s="554" t="s">
        <v>291</v>
      </c>
      <c r="J161" s="554" t="s">
        <v>291</v>
      </c>
      <c r="K161" s="554" t="s">
        <v>291</v>
      </c>
      <c r="L161" s="554" t="s">
        <v>291</v>
      </c>
      <c r="M161" s="554" t="s">
        <v>291</v>
      </c>
    </row>
    <row r="162" spans="1:13">
      <c r="A162" s="554" t="s">
        <v>356</v>
      </c>
      <c r="B162" s="554" t="s">
        <v>273</v>
      </c>
      <c r="C162" s="554" t="s">
        <v>273</v>
      </c>
      <c r="D162" s="554" t="s">
        <v>273</v>
      </c>
      <c r="E162" s="554" t="s">
        <v>273</v>
      </c>
      <c r="F162" s="554" t="s">
        <v>273</v>
      </c>
      <c r="G162" s="554" t="s">
        <v>273</v>
      </c>
      <c r="H162" s="554" t="s">
        <v>273</v>
      </c>
      <c r="I162" s="554">
        <v>1</v>
      </c>
      <c r="J162" s="554">
        <v>1</v>
      </c>
      <c r="K162" s="554">
        <v>1</v>
      </c>
      <c r="L162" s="554">
        <v>1</v>
      </c>
      <c r="M162" s="554">
        <v>1</v>
      </c>
    </row>
    <row r="163" spans="1:13">
      <c r="A163" s="554" t="s">
        <v>355</v>
      </c>
      <c r="B163" s="554" t="s">
        <v>273</v>
      </c>
      <c r="C163" s="554" t="s">
        <v>273</v>
      </c>
      <c r="D163" s="554" t="s">
        <v>273</v>
      </c>
      <c r="E163" s="554" t="s">
        <v>273</v>
      </c>
      <c r="F163" s="554" t="s">
        <v>273</v>
      </c>
      <c r="G163" s="554" t="s">
        <v>273</v>
      </c>
      <c r="H163" s="554" t="s">
        <v>273</v>
      </c>
      <c r="I163" s="554">
        <v>-14</v>
      </c>
      <c r="J163" s="554">
        <v>-23</v>
      </c>
      <c r="K163" s="554">
        <v>-24</v>
      </c>
      <c r="L163" s="554">
        <v>-23</v>
      </c>
      <c r="M163" s="554">
        <v>174</v>
      </c>
    </row>
    <row r="164" spans="1:13">
      <c r="A164" s="554" t="s">
        <v>354</v>
      </c>
      <c r="B164" s="554">
        <v>7</v>
      </c>
      <c r="C164" s="554">
        <v>7</v>
      </c>
      <c r="D164" s="554">
        <v>9</v>
      </c>
      <c r="E164" s="554">
        <v>8</v>
      </c>
      <c r="F164" s="554">
        <v>7</v>
      </c>
      <c r="G164" s="554">
        <v>6</v>
      </c>
      <c r="H164" s="554" t="s">
        <v>306</v>
      </c>
      <c r="I164" s="554" t="s">
        <v>291</v>
      </c>
      <c r="J164" s="554" t="s">
        <v>291</v>
      </c>
      <c r="K164" s="554" t="s">
        <v>291</v>
      </c>
      <c r="L164" s="554" t="s">
        <v>291</v>
      </c>
      <c r="M164" s="554" t="s">
        <v>291</v>
      </c>
    </row>
    <row r="165" spans="1:13">
      <c r="A165" s="554" t="s">
        <v>353</v>
      </c>
      <c r="B165" s="554" t="s">
        <v>273</v>
      </c>
      <c r="C165" s="554" t="s">
        <v>273</v>
      </c>
      <c r="D165" s="554" t="s">
        <v>291</v>
      </c>
      <c r="E165" s="554" t="s">
        <v>291</v>
      </c>
      <c r="F165" s="554" t="s">
        <v>291</v>
      </c>
      <c r="G165" s="554" t="s">
        <v>291</v>
      </c>
      <c r="H165" s="554" t="s">
        <v>291</v>
      </c>
      <c r="I165" s="554" t="s">
        <v>291</v>
      </c>
      <c r="J165" s="554" t="s">
        <v>291</v>
      </c>
      <c r="K165" s="554" t="s">
        <v>306</v>
      </c>
      <c r="L165" s="554" t="s">
        <v>306</v>
      </c>
      <c r="M165" s="554" t="s">
        <v>306</v>
      </c>
    </row>
    <row r="166" spans="1:13">
      <c r="A166" s="554" t="s">
        <v>352</v>
      </c>
      <c r="B166" s="554" t="s">
        <v>306</v>
      </c>
      <c r="C166" s="554" t="s">
        <v>306</v>
      </c>
      <c r="D166" s="554" t="s">
        <v>291</v>
      </c>
      <c r="E166" s="554" t="s">
        <v>306</v>
      </c>
      <c r="F166" s="554" t="s">
        <v>306</v>
      </c>
      <c r="G166" s="554" t="s">
        <v>306</v>
      </c>
      <c r="H166" s="554" t="s">
        <v>291</v>
      </c>
      <c r="I166" s="554">
        <v>3</v>
      </c>
      <c r="J166" s="554" t="s">
        <v>291</v>
      </c>
      <c r="K166" s="554" t="s">
        <v>291</v>
      </c>
      <c r="L166" s="554" t="s">
        <v>291</v>
      </c>
      <c r="M166" s="554" t="s">
        <v>291</v>
      </c>
    </row>
    <row r="167" spans="1:13">
      <c r="A167" s="554" t="s">
        <v>351</v>
      </c>
      <c r="B167" s="554" t="s">
        <v>306</v>
      </c>
      <c r="C167" s="554">
        <v>0</v>
      </c>
      <c r="D167" s="554" t="s">
        <v>291</v>
      </c>
      <c r="E167" s="554" t="s">
        <v>306</v>
      </c>
      <c r="F167" s="554" t="s">
        <v>306</v>
      </c>
      <c r="G167" s="554" t="s">
        <v>306</v>
      </c>
      <c r="H167" s="554" t="s">
        <v>306</v>
      </c>
      <c r="I167" s="554">
        <v>0</v>
      </c>
      <c r="J167" s="554">
        <v>0</v>
      </c>
      <c r="K167" s="554">
        <v>0</v>
      </c>
      <c r="L167" s="554">
        <v>0</v>
      </c>
      <c r="M167" s="554">
        <v>0</v>
      </c>
    </row>
    <row r="168" spans="1:13">
      <c r="A168" s="554" t="s">
        <v>350</v>
      </c>
      <c r="B168" s="554" t="s">
        <v>291</v>
      </c>
      <c r="C168" s="554" t="s">
        <v>291</v>
      </c>
      <c r="D168" s="554" t="s">
        <v>291</v>
      </c>
      <c r="E168" s="554" t="s">
        <v>291</v>
      </c>
      <c r="F168" s="554" t="s">
        <v>291</v>
      </c>
      <c r="G168" s="554" t="s">
        <v>291</v>
      </c>
      <c r="H168" s="554" t="s">
        <v>306</v>
      </c>
      <c r="I168" s="554" t="s">
        <v>273</v>
      </c>
      <c r="J168" s="554" t="s">
        <v>273</v>
      </c>
      <c r="K168" s="554" t="s">
        <v>273</v>
      </c>
      <c r="L168" s="554" t="s">
        <v>273</v>
      </c>
      <c r="M168" s="554" t="s">
        <v>273</v>
      </c>
    </row>
    <row r="169" spans="1:13">
      <c r="A169" s="554" t="s">
        <v>349</v>
      </c>
      <c r="B169" s="554" t="s">
        <v>291</v>
      </c>
      <c r="C169" s="554" t="s">
        <v>291</v>
      </c>
      <c r="D169" s="554" t="s">
        <v>291</v>
      </c>
      <c r="E169" s="554" t="s">
        <v>291</v>
      </c>
      <c r="F169" s="554" t="s">
        <v>291</v>
      </c>
      <c r="G169" s="554" t="s">
        <v>291</v>
      </c>
      <c r="H169" s="554" t="s">
        <v>291</v>
      </c>
      <c r="I169" s="554" t="s">
        <v>291</v>
      </c>
      <c r="J169" s="554" t="s">
        <v>291</v>
      </c>
      <c r="K169" s="554" t="s">
        <v>291</v>
      </c>
      <c r="L169" s="554" t="s">
        <v>291</v>
      </c>
      <c r="M169" s="554" t="s">
        <v>291</v>
      </c>
    </row>
    <row r="170" spans="1:13">
      <c r="A170" s="554" t="s">
        <v>348</v>
      </c>
      <c r="B170" s="554" t="s">
        <v>291</v>
      </c>
      <c r="C170" s="554" t="s">
        <v>291</v>
      </c>
      <c r="D170" s="554">
        <v>-13</v>
      </c>
      <c r="E170" s="554">
        <v>-10</v>
      </c>
      <c r="F170" s="554">
        <v>-7</v>
      </c>
      <c r="G170" s="554">
        <v>-4</v>
      </c>
      <c r="H170" s="554">
        <v>-5</v>
      </c>
      <c r="I170" s="554" t="s">
        <v>291</v>
      </c>
      <c r="J170" s="554" t="s">
        <v>291</v>
      </c>
      <c r="K170" s="554" t="s">
        <v>291</v>
      </c>
      <c r="L170" s="554" t="s">
        <v>291</v>
      </c>
      <c r="M170" s="554" t="s">
        <v>291</v>
      </c>
    </row>
    <row r="171" spans="1:13">
      <c r="A171" s="554" t="s">
        <v>347</v>
      </c>
      <c r="B171" s="554">
        <v>1</v>
      </c>
      <c r="C171" s="554">
        <v>1</v>
      </c>
      <c r="D171" s="554" t="s">
        <v>291</v>
      </c>
      <c r="E171" s="554" t="s">
        <v>291</v>
      </c>
      <c r="F171" s="554" t="s">
        <v>291</v>
      </c>
      <c r="G171" s="554" t="s">
        <v>291</v>
      </c>
      <c r="H171" s="554" t="s">
        <v>291</v>
      </c>
      <c r="I171" s="554" t="s">
        <v>291</v>
      </c>
      <c r="J171" s="554" t="s">
        <v>291</v>
      </c>
      <c r="K171" s="554" t="s">
        <v>291</v>
      </c>
      <c r="L171" s="554" t="s">
        <v>291</v>
      </c>
      <c r="M171" s="554" t="s">
        <v>291</v>
      </c>
    </row>
    <row r="172" spans="1:13">
      <c r="A172" s="554" t="s">
        <v>346</v>
      </c>
      <c r="B172" s="554">
        <v>-12</v>
      </c>
      <c r="C172" s="554">
        <v>-19</v>
      </c>
      <c r="D172" s="554">
        <v>15</v>
      </c>
      <c r="E172" s="554">
        <v>9</v>
      </c>
      <c r="F172" s="554">
        <v>12</v>
      </c>
      <c r="G172" s="554">
        <v>7</v>
      </c>
      <c r="H172" s="554">
        <v>25</v>
      </c>
      <c r="I172" s="554">
        <v>33</v>
      </c>
      <c r="J172" s="554">
        <v>45</v>
      </c>
      <c r="K172" s="554">
        <v>48</v>
      </c>
      <c r="L172" s="554">
        <v>97</v>
      </c>
      <c r="M172" s="554">
        <v>124</v>
      </c>
    </row>
    <row r="173" spans="1:13">
      <c r="A173" s="554" t="s">
        <v>345</v>
      </c>
      <c r="B173" s="554" t="s">
        <v>291</v>
      </c>
      <c r="C173" s="554" t="s">
        <v>291</v>
      </c>
      <c r="D173" s="554" t="s">
        <v>291</v>
      </c>
      <c r="E173" s="554" t="s">
        <v>291</v>
      </c>
      <c r="F173" s="554" t="s">
        <v>291</v>
      </c>
      <c r="G173" s="554" t="s">
        <v>291</v>
      </c>
      <c r="H173" s="554" t="s">
        <v>291</v>
      </c>
      <c r="I173" s="554" t="s">
        <v>291</v>
      </c>
      <c r="J173" s="554" t="s">
        <v>291</v>
      </c>
      <c r="K173" s="554" t="s">
        <v>291</v>
      </c>
      <c r="L173" s="554" t="s">
        <v>291</v>
      </c>
      <c r="M173" s="554" t="s">
        <v>291</v>
      </c>
    </row>
    <row r="174" spans="1:13">
      <c r="A174" s="554" t="s">
        <v>342</v>
      </c>
      <c r="B174" s="554">
        <v>3</v>
      </c>
      <c r="C174" s="554">
        <v>1</v>
      </c>
      <c r="D174" s="554">
        <v>1</v>
      </c>
      <c r="E174" s="554">
        <v>3</v>
      </c>
      <c r="F174" s="554">
        <v>-2</v>
      </c>
      <c r="G174" s="554">
        <v>2</v>
      </c>
      <c r="H174" s="554">
        <v>4</v>
      </c>
      <c r="I174" s="554">
        <v>3</v>
      </c>
      <c r="J174" s="554">
        <v>6</v>
      </c>
      <c r="K174" s="554">
        <v>4</v>
      </c>
      <c r="L174" s="554" t="s">
        <v>291</v>
      </c>
      <c r="M174" s="554" t="s">
        <v>306</v>
      </c>
    </row>
    <row r="175" spans="1:13">
      <c r="A175" s="554" t="s">
        <v>341</v>
      </c>
      <c r="B175" s="554">
        <v>45</v>
      </c>
      <c r="C175" s="554">
        <v>41</v>
      </c>
      <c r="D175" s="554">
        <v>28</v>
      </c>
      <c r="E175" s="554">
        <v>53</v>
      </c>
      <c r="F175" s="554">
        <v>70</v>
      </c>
      <c r="G175" s="554">
        <v>57</v>
      </c>
      <c r="H175" s="554">
        <v>58</v>
      </c>
      <c r="I175" s="554">
        <v>14</v>
      </c>
      <c r="J175" s="554">
        <v>68</v>
      </c>
      <c r="K175" s="554">
        <v>-42</v>
      </c>
      <c r="L175" s="554">
        <v>-12</v>
      </c>
      <c r="M175" s="554">
        <v>1</v>
      </c>
    </row>
    <row r="176" spans="1:13">
      <c r="A176" s="554" t="s">
        <v>340</v>
      </c>
      <c r="B176" s="554">
        <v>1023</v>
      </c>
      <c r="C176" s="554">
        <v>787</v>
      </c>
      <c r="D176" s="554">
        <v>1202</v>
      </c>
      <c r="E176" s="554">
        <v>2529</v>
      </c>
      <c r="F176" s="554">
        <v>2291</v>
      </c>
      <c r="G176" s="554">
        <v>2070</v>
      </c>
      <c r="H176" s="554">
        <v>2672</v>
      </c>
      <c r="I176" s="554">
        <v>4151</v>
      </c>
      <c r="J176" s="554">
        <v>5810</v>
      </c>
      <c r="K176" s="554">
        <v>6775</v>
      </c>
      <c r="L176" s="554">
        <v>8526</v>
      </c>
      <c r="M176" s="554">
        <v>9501</v>
      </c>
    </row>
    <row r="177" spans="1:13">
      <c r="A177" s="554" t="s">
        <v>339</v>
      </c>
      <c r="B177" s="554">
        <v>161</v>
      </c>
      <c r="C177" s="554">
        <v>239</v>
      </c>
      <c r="D177" s="554">
        <v>321</v>
      </c>
      <c r="E177" s="554">
        <v>977</v>
      </c>
      <c r="F177" s="554">
        <v>1113</v>
      </c>
      <c r="G177" s="554">
        <v>764</v>
      </c>
      <c r="H177" s="554">
        <v>878</v>
      </c>
      <c r="I177" s="554">
        <v>609</v>
      </c>
      <c r="J177" s="554">
        <v>875</v>
      </c>
      <c r="K177" s="554">
        <v>1237</v>
      </c>
      <c r="L177" s="554">
        <v>1268</v>
      </c>
      <c r="M177" s="554">
        <v>503</v>
      </c>
    </row>
    <row r="178" spans="1:13">
      <c r="A178" s="554" t="s">
        <v>338</v>
      </c>
      <c r="B178" s="554">
        <v>162</v>
      </c>
      <c r="C178" s="554">
        <v>237</v>
      </c>
      <c r="D178" s="554">
        <v>210</v>
      </c>
      <c r="E178" s="554">
        <v>168</v>
      </c>
      <c r="F178" s="554">
        <v>-7</v>
      </c>
      <c r="G178" s="554">
        <v>7</v>
      </c>
      <c r="H178" s="554">
        <v>400</v>
      </c>
      <c r="I178" s="554">
        <v>1380</v>
      </c>
      <c r="J178" s="554">
        <v>2003</v>
      </c>
      <c r="K178" s="554">
        <v>1630</v>
      </c>
      <c r="L178" s="554">
        <v>2243</v>
      </c>
      <c r="M178" s="554">
        <v>2122</v>
      </c>
    </row>
    <row r="179" spans="1:13">
      <c r="A179" s="554" t="s">
        <v>337</v>
      </c>
      <c r="B179" s="554">
        <v>172</v>
      </c>
      <c r="C179" s="554">
        <v>115</v>
      </c>
      <c r="D179" s="554">
        <v>170</v>
      </c>
      <c r="E179" s="554">
        <v>244</v>
      </c>
      <c r="F179" s="554">
        <v>200</v>
      </c>
      <c r="G179" s="554">
        <v>163</v>
      </c>
      <c r="H179" s="554">
        <v>186</v>
      </c>
      <c r="I179" s="554">
        <v>355</v>
      </c>
      <c r="J179" s="554">
        <v>363</v>
      </c>
      <c r="K179" s="554">
        <v>432</v>
      </c>
      <c r="L179" s="554">
        <v>481</v>
      </c>
      <c r="M179" s="554">
        <v>763</v>
      </c>
    </row>
    <row r="180" spans="1:13">
      <c r="A180" s="554" t="s">
        <v>236</v>
      </c>
      <c r="B180" s="554">
        <v>528</v>
      </c>
      <c r="C180" s="554">
        <v>196</v>
      </c>
      <c r="D180" s="554">
        <v>501</v>
      </c>
      <c r="E180" s="554">
        <v>1140</v>
      </c>
      <c r="F180" s="554">
        <v>984</v>
      </c>
      <c r="G180" s="554">
        <v>1135</v>
      </c>
      <c r="H180" s="554">
        <v>1208</v>
      </c>
      <c r="I180" s="554">
        <v>1808</v>
      </c>
      <c r="J180" s="554">
        <v>2570</v>
      </c>
      <c r="K180" s="554">
        <v>3476</v>
      </c>
      <c r="L180" s="554">
        <v>4534</v>
      </c>
      <c r="M180" s="554">
        <v>6113</v>
      </c>
    </row>
    <row r="181" spans="1:13">
      <c r="A181" s="554" t="s">
        <v>336</v>
      </c>
      <c r="B181" s="554">
        <v>10</v>
      </c>
      <c r="C181" s="554">
        <v>15</v>
      </c>
      <c r="D181" s="554">
        <v>6</v>
      </c>
      <c r="E181" s="554">
        <v>-27</v>
      </c>
      <c r="F181" s="554">
        <v>-18</v>
      </c>
      <c r="G181" s="554">
        <v>46</v>
      </c>
      <c r="H181" s="554">
        <v>66</v>
      </c>
      <c r="I181" s="554">
        <v>20</v>
      </c>
      <c r="J181" s="554">
        <v>63</v>
      </c>
      <c r="K181" s="554">
        <v>5</v>
      </c>
      <c r="L181" s="554">
        <v>37</v>
      </c>
      <c r="M181" s="554">
        <v>35</v>
      </c>
    </row>
    <row r="182" spans="1:13">
      <c r="A182" s="554" t="s">
        <v>335</v>
      </c>
      <c r="B182" s="554" t="s">
        <v>306</v>
      </c>
      <c r="C182" s="554" t="s">
        <v>306</v>
      </c>
      <c r="D182" s="554" t="s">
        <v>291</v>
      </c>
      <c r="E182" s="554" t="s">
        <v>291</v>
      </c>
      <c r="F182" s="554" t="s">
        <v>291</v>
      </c>
      <c r="G182" s="554" t="s">
        <v>291</v>
      </c>
      <c r="H182" s="554" t="s">
        <v>291</v>
      </c>
      <c r="I182" s="554" t="s">
        <v>291</v>
      </c>
      <c r="J182" s="554" t="s">
        <v>291</v>
      </c>
      <c r="K182" s="554" t="s">
        <v>291</v>
      </c>
      <c r="L182" s="554" t="s">
        <v>291</v>
      </c>
      <c r="M182" s="554" t="s">
        <v>291</v>
      </c>
    </row>
    <row r="183" spans="1:13">
      <c r="A183" s="554" t="s">
        <v>334</v>
      </c>
      <c r="B183" s="554" t="s">
        <v>273</v>
      </c>
      <c r="C183" s="554" t="s">
        <v>273</v>
      </c>
      <c r="D183" s="554" t="s">
        <v>273</v>
      </c>
      <c r="E183" s="554" t="s">
        <v>273</v>
      </c>
      <c r="F183" s="554" t="s">
        <v>273</v>
      </c>
      <c r="G183" s="554" t="s">
        <v>273</v>
      </c>
      <c r="H183" s="554" t="s">
        <v>291</v>
      </c>
      <c r="I183" s="554" t="s">
        <v>291</v>
      </c>
      <c r="J183" s="554" t="s">
        <v>291</v>
      </c>
      <c r="K183" s="554" t="s">
        <v>291</v>
      </c>
      <c r="L183" s="554" t="s">
        <v>291</v>
      </c>
      <c r="M183" s="554" t="s">
        <v>291</v>
      </c>
    </row>
    <row r="184" spans="1:13">
      <c r="A184" s="554" t="s">
        <v>332</v>
      </c>
      <c r="B184" s="554" t="s">
        <v>291</v>
      </c>
      <c r="C184" s="554" t="s">
        <v>291</v>
      </c>
      <c r="D184" s="554" t="s">
        <v>291</v>
      </c>
      <c r="E184" s="554" t="s">
        <v>291</v>
      </c>
      <c r="F184" s="554" t="s">
        <v>291</v>
      </c>
      <c r="G184" s="554" t="s">
        <v>291</v>
      </c>
      <c r="H184" s="554" t="s">
        <v>291</v>
      </c>
      <c r="I184" s="554">
        <v>9</v>
      </c>
      <c r="J184" s="554">
        <v>-3</v>
      </c>
      <c r="K184" s="554">
        <v>9</v>
      </c>
      <c r="L184" s="554">
        <v>8</v>
      </c>
      <c r="M184" s="554">
        <v>15</v>
      </c>
    </row>
    <row r="185" spans="1:13">
      <c r="A185" s="554" t="s">
        <v>331</v>
      </c>
      <c r="B185" s="554">
        <v>63</v>
      </c>
      <c r="C185" s="554">
        <v>23</v>
      </c>
      <c r="D185" s="554" t="s">
        <v>291</v>
      </c>
      <c r="E185" s="554" t="s">
        <v>291</v>
      </c>
      <c r="F185" s="554" t="s">
        <v>291</v>
      </c>
      <c r="G185" s="554" t="s">
        <v>291</v>
      </c>
      <c r="H185" s="554" t="s">
        <v>291</v>
      </c>
      <c r="I185" s="554" t="s">
        <v>291</v>
      </c>
      <c r="J185" s="554" t="s">
        <v>291</v>
      </c>
      <c r="K185" s="554" t="s">
        <v>291</v>
      </c>
      <c r="L185" s="554" t="s">
        <v>291</v>
      </c>
      <c r="M185" s="554" t="s">
        <v>291</v>
      </c>
    </row>
    <row r="186" spans="1:13">
      <c r="A186" s="554" t="s">
        <v>330</v>
      </c>
      <c r="B186" s="554">
        <v>13</v>
      </c>
      <c r="C186" s="554">
        <v>15</v>
      </c>
      <c r="D186" s="554">
        <v>19</v>
      </c>
      <c r="E186" s="554">
        <v>16</v>
      </c>
      <c r="F186" s="554">
        <v>19</v>
      </c>
      <c r="G186" s="554">
        <v>13</v>
      </c>
      <c r="H186" s="554">
        <v>11</v>
      </c>
      <c r="I186" s="554">
        <v>13</v>
      </c>
      <c r="J186" s="554">
        <v>5</v>
      </c>
      <c r="K186" s="554">
        <v>8</v>
      </c>
      <c r="L186" s="554">
        <v>22</v>
      </c>
      <c r="M186" s="554">
        <v>27</v>
      </c>
    </row>
    <row r="187" spans="1:13">
      <c r="A187" s="554" t="s">
        <v>329</v>
      </c>
      <c r="B187" s="554" t="s">
        <v>291</v>
      </c>
      <c r="C187" s="554">
        <v>4</v>
      </c>
      <c r="D187" s="554">
        <v>21</v>
      </c>
      <c r="E187" s="554">
        <v>38</v>
      </c>
      <c r="F187" s="554">
        <v>38</v>
      </c>
      <c r="G187" s="554">
        <v>68</v>
      </c>
      <c r="H187" s="554">
        <v>71</v>
      </c>
      <c r="I187" s="554">
        <v>136</v>
      </c>
      <c r="J187" s="554">
        <v>248</v>
      </c>
      <c r="K187" s="554">
        <v>263</v>
      </c>
      <c r="L187" s="554">
        <v>294</v>
      </c>
      <c r="M187" s="554">
        <v>539</v>
      </c>
    </row>
    <row r="188" spans="1:13">
      <c r="A188" s="554" t="s">
        <v>328</v>
      </c>
      <c r="B188" s="554">
        <v>180</v>
      </c>
      <c r="C188" s="554">
        <v>65</v>
      </c>
      <c r="D188" s="554">
        <v>230</v>
      </c>
      <c r="E188" s="554">
        <v>496</v>
      </c>
      <c r="F188" s="554">
        <v>423</v>
      </c>
      <c r="G188" s="554">
        <v>436</v>
      </c>
      <c r="H188" s="554">
        <v>461</v>
      </c>
      <c r="I188" s="554">
        <v>820</v>
      </c>
      <c r="J188" s="554">
        <v>1361</v>
      </c>
      <c r="K188" s="554">
        <v>2267</v>
      </c>
      <c r="L188" s="554">
        <v>3292</v>
      </c>
      <c r="M188" s="554">
        <v>4448</v>
      </c>
    </row>
    <row r="189" spans="1:13">
      <c r="A189" s="554" t="s">
        <v>327</v>
      </c>
      <c r="B189" s="554" t="s">
        <v>291</v>
      </c>
      <c r="C189" s="554" t="s">
        <v>291</v>
      </c>
      <c r="D189" s="554" t="s">
        <v>291</v>
      </c>
      <c r="E189" s="554" t="s">
        <v>291</v>
      </c>
      <c r="F189" s="554" t="s">
        <v>291</v>
      </c>
      <c r="G189" s="554" t="s">
        <v>291</v>
      </c>
      <c r="H189" s="554" t="s">
        <v>291</v>
      </c>
      <c r="I189" s="554" t="s">
        <v>291</v>
      </c>
      <c r="J189" s="554" t="s">
        <v>291</v>
      </c>
      <c r="K189" s="554" t="s">
        <v>291</v>
      </c>
      <c r="L189" s="554" t="s">
        <v>291</v>
      </c>
      <c r="M189" s="554">
        <v>3</v>
      </c>
    </row>
    <row r="190" spans="1:13">
      <c r="A190" s="554" t="s">
        <v>324</v>
      </c>
      <c r="B190" s="554">
        <v>137</v>
      </c>
      <c r="C190" s="554">
        <v>72</v>
      </c>
      <c r="D190" s="554">
        <v>138</v>
      </c>
      <c r="E190" s="554">
        <v>475</v>
      </c>
      <c r="F190" s="554">
        <v>330</v>
      </c>
      <c r="G190" s="554">
        <v>346</v>
      </c>
      <c r="H190" s="554">
        <v>341</v>
      </c>
      <c r="I190" s="554">
        <v>472</v>
      </c>
      <c r="J190" s="554">
        <v>538</v>
      </c>
      <c r="K190" s="554">
        <v>495</v>
      </c>
      <c r="L190" s="554">
        <v>515</v>
      </c>
      <c r="M190" s="554">
        <v>527</v>
      </c>
    </row>
    <row r="191" spans="1:13">
      <c r="A191" s="554" t="s">
        <v>323</v>
      </c>
      <c r="B191" s="554">
        <v>24701</v>
      </c>
      <c r="C191" s="554">
        <v>15906</v>
      </c>
      <c r="D191" s="554">
        <v>24179</v>
      </c>
      <c r="E191" s="554">
        <v>34641</v>
      </c>
      <c r="F191" s="554">
        <v>29059</v>
      </c>
      <c r="G191" s="554">
        <v>34168</v>
      </c>
      <c r="H191" s="554">
        <v>43743</v>
      </c>
      <c r="I191" s="554">
        <v>67031</v>
      </c>
      <c r="J191" s="554">
        <v>78125</v>
      </c>
      <c r="K191" s="554">
        <v>95812</v>
      </c>
      <c r="L191" s="554">
        <v>98084</v>
      </c>
      <c r="M191" s="554">
        <v>93135</v>
      </c>
    </row>
    <row r="192" spans="1:13">
      <c r="A192" s="554" t="s">
        <v>322</v>
      </c>
      <c r="B192" s="554">
        <v>4122</v>
      </c>
      <c r="C192" s="554">
        <v>2214</v>
      </c>
      <c r="D192" s="554">
        <v>3120</v>
      </c>
      <c r="E192" s="554">
        <v>3991</v>
      </c>
      <c r="F192" s="554">
        <v>2587</v>
      </c>
      <c r="G192" s="554">
        <v>3702</v>
      </c>
      <c r="H192" s="554">
        <v>4330</v>
      </c>
      <c r="I192" s="554">
        <v>11651</v>
      </c>
      <c r="J192" s="554">
        <v>12116</v>
      </c>
      <c r="K192" s="554">
        <v>14381</v>
      </c>
      <c r="L192" s="554">
        <v>14806</v>
      </c>
      <c r="M192" s="554">
        <v>17369</v>
      </c>
    </row>
    <row r="193" spans="1:13">
      <c r="A193" s="554" t="s">
        <v>321</v>
      </c>
      <c r="B193" s="554">
        <v>1031</v>
      </c>
      <c r="C193" s="554">
        <v>308</v>
      </c>
      <c r="D193" s="554">
        <v>916</v>
      </c>
      <c r="E193" s="554">
        <v>1629</v>
      </c>
      <c r="F193" s="554">
        <v>1812</v>
      </c>
      <c r="G193" s="554">
        <v>2857</v>
      </c>
      <c r="H193" s="554">
        <v>3713</v>
      </c>
      <c r="I193" s="554">
        <v>5765</v>
      </c>
      <c r="J193" s="554">
        <v>7876</v>
      </c>
      <c r="K193" s="554">
        <v>8407</v>
      </c>
      <c r="L193" s="554">
        <v>9460</v>
      </c>
      <c r="M193" s="554">
        <v>10159</v>
      </c>
    </row>
    <row r="194" spans="1:13">
      <c r="A194" s="554" t="s">
        <v>320</v>
      </c>
      <c r="B194" s="554">
        <v>2589</v>
      </c>
      <c r="C194" s="554">
        <v>3241</v>
      </c>
      <c r="D194" s="554">
        <v>4346</v>
      </c>
      <c r="E194" s="554">
        <v>4871</v>
      </c>
      <c r="F194" s="554">
        <v>4520</v>
      </c>
      <c r="G194" s="554">
        <v>4638</v>
      </c>
      <c r="H194" s="554">
        <v>5958</v>
      </c>
      <c r="I194" s="554">
        <v>6854</v>
      </c>
      <c r="J194" s="554">
        <v>7714</v>
      </c>
      <c r="K194" s="554">
        <v>10386</v>
      </c>
      <c r="L194" s="554">
        <v>10459</v>
      </c>
      <c r="M194" s="554">
        <v>5718</v>
      </c>
    </row>
    <row r="195" spans="1:13">
      <c r="A195" s="554" t="s">
        <v>319</v>
      </c>
      <c r="B195" s="554">
        <v>23</v>
      </c>
      <c r="C195" s="554">
        <v>114</v>
      </c>
      <c r="D195" s="554">
        <v>-21</v>
      </c>
      <c r="E195" s="554">
        <v>149</v>
      </c>
      <c r="F195" s="554">
        <v>255</v>
      </c>
      <c r="G195" s="554">
        <v>162</v>
      </c>
      <c r="H195" s="554">
        <v>375</v>
      </c>
      <c r="I195" s="554">
        <v>751</v>
      </c>
      <c r="J195" s="554">
        <v>1161</v>
      </c>
      <c r="K195" s="554">
        <v>1534</v>
      </c>
      <c r="L195" s="554">
        <v>2326</v>
      </c>
      <c r="M195" s="554">
        <v>3088</v>
      </c>
    </row>
    <row r="196" spans="1:13">
      <c r="A196" s="554" t="s">
        <v>318</v>
      </c>
      <c r="B196" s="554">
        <v>1470</v>
      </c>
      <c r="C196" s="554">
        <v>983</v>
      </c>
      <c r="D196" s="554">
        <v>2249</v>
      </c>
      <c r="E196" s="554">
        <v>2646</v>
      </c>
      <c r="F196" s="554">
        <v>1813</v>
      </c>
      <c r="G196" s="554">
        <v>1798</v>
      </c>
      <c r="H196" s="554">
        <v>2499</v>
      </c>
      <c r="I196" s="554">
        <v>2844</v>
      </c>
      <c r="J196" s="554">
        <v>3626</v>
      </c>
      <c r="K196" s="554">
        <v>5669</v>
      </c>
      <c r="L196" s="554">
        <v>6114</v>
      </c>
      <c r="M196" s="554">
        <v>7788</v>
      </c>
    </row>
    <row r="197" spans="1:13">
      <c r="A197" s="554" t="s">
        <v>317</v>
      </c>
      <c r="B197" s="554">
        <v>4154</v>
      </c>
      <c r="C197" s="554">
        <v>3034</v>
      </c>
      <c r="D197" s="554">
        <v>4932</v>
      </c>
      <c r="E197" s="554">
        <v>6404</v>
      </c>
      <c r="F197" s="554">
        <v>6369</v>
      </c>
      <c r="G197" s="554">
        <v>7095</v>
      </c>
      <c r="H197" s="554">
        <v>9150</v>
      </c>
      <c r="I197" s="554">
        <v>11271</v>
      </c>
      <c r="J197" s="554">
        <v>12510</v>
      </c>
      <c r="K197" s="554">
        <v>11460</v>
      </c>
      <c r="L197" s="554">
        <v>11439</v>
      </c>
      <c r="M197" s="554">
        <v>7431</v>
      </c>
    </row>
    <row r="198" spans="1:13">
      <c r="A198" s="554" t="s">
        <v>316</v>
      </c>
      <c r="B198" s="554">
        <v>320</v>
      </c>
      <c r="C198" s="554">
        <v>-64</v>
      </c>
      <c r="D198" s="554">
        <v>825</v>
      </c>
      <c r="E198" s="554">
        <v>1155</v>
      </c>
      <c r="F198" s="554">
        <v>842</v>
      </c>
      <c r="G198" s="554">
        <v>1333</v>
      </c>
      <c r="H198" s="554">
        <v>1454</v>
      </c>
      <c r="I198" s="554">
        <v>1988</v>
      </c>
      <c r="J198" s="554">
        <v>2580</v>
      </c>
      <c r="K198" s="554">
        <v>3275</v>
      </c>
      <c r="L198" s="554">
        <v>3734</v>
      </c>
      <c r="M198" s="554">
        <v>1856</v>
      </c>
    </row>
    <row r="199" spans="1:13">
      <c r="A199" s="554" t="s">
        <v>315</v>
      </c>
      <c r="B199" s="554">
        <v>2026</v>
      </c>
      <c r="C199" s="554">
        <v>145</v>
      </c>
      <c r="D199" s="554">
        <v>1519</v>
      </c>
      <c r="E199" s="554">
        <v>2114</v>
      </c>
      <c r="F199" s="554">
        <v>1704</v>
      </c>
      <c r="G199" s="554">
        <v>2477</v>
      </c>
      <c r="H199" s="554">
        <v>1918</v>
      </c>
      <c r="I199" s="554">
        <v>2760</v>
      </c>
      <c r="J199" s="554">
        <v>3286</v>
      </c>
      <c r="K199" s="554">
        <v>4049</v>
      </c>
      <c r="L199" s="554">
        <v>3809</v>
      </c>
      <c r="M199" s="554">
        <v>5436</v>
      </c>
    </row>
    <row r="200" spans="1:13">
      <c r="A200" s="554" t="s">
        <v>314</v>
      </c>
      <c r="B200" s="554">
        <v>1249</v>
      </c>
      <c r="C200" s="554">
        <v>347</v>
      </c>
      <c r="D200" s="554">
        <v>126</v>
      </c>
      <c r="E200" s="554">
        <v>134</v>
      </c>
      <c r="F200" s="554">
        <v>227</v>
      </c>
      <c r="G200" s="554">
        <v>310</v>
      </c>
      <c r="H200" s="554">
        <v>300</v>
      </c>
      <c r="I200" s="554">
        <v>500</v>
      </c>
      <c r="J200" s="554">
        <v>689</v>
      </c>
      <c r="K200" s="554">
        <v>528</v>
      </c>
      <c r="L200" s="554">
        <v>400</v>
      </c>
      <c r="M200" s="554">
        <v>294</v>
      </c>
    </row>
    <row r="201" spans="1:13">
      <c r="A201" s="554" t="s">
        <v>313</v>
      </c>
      <c r="B201" s="554">
        <v>557</v>
      </c>
      <c r="C201" s="554">
        <v>633</v>
      </c>
      <c r="D201" s="554">
        <v>722</v>
      </c>
      <c r="E201" s="554">
        <v>831</v>
      </c>
      <c r="F201" s="554">
        <v>890</v>
      </c>
      <c r="G201" s="554">
        <v>1059</v>
      </c>
      <c r="H201" s="554">
        <v>1114</v>
      </c>
      <c r="I201" s="554">
        <v>940</v>
      </c>
      <c r="J201" s="554">
        <v>1495</v>
      </c>
      <c r="K201" s="554">
        <v>1492</v>
      </c>
      <c r="L201" s="554">
        <v>1524</v>
      </c>
      <c r="M201" s="554">
        <v>1669</v>
      </c>
    </row>
    <row r="202" spans="1:13">
      <c r="A202" s="554" t="s">
        <v>312</v>
      </c>
      <c r="B202" s="554">
        <v>5354</v>
      </c>
      <c r="C202" s="554">
        <v>3173</v>
      </c>
      <c r="D202" s="554">
        <v>3834</v>
      </c>
      <c r="E202" s="554">
        <v>8228</v>
      </c>
      <c r="F202" s="554">
        <v>5431</v>
      </c>
      <c r="G202" s="554">
        <v>6370</v>
      </c>
      <c r="H202" s="554">
        <v>8922</v>
      </c>
      <c r="I202" s="554">
        <v>15076</v>
      </c>
      <c r="J202" s="554">
        <v>19594</v>
      </c>
      <c r="K202" s="554">
        <v>27347</v>
      </c>
      <c r="L202" s="554">
        <v>26231</v>
      </c>
      <c r="M202" s="554">
        <v>26936</v>
      </c>
    </row>
    <row r="203" spans="1:13">
      <c r="A203" s="554" t="s">
        <v>311</v>
      </c>
      <c r="B203" s="554">
        <v>1006</v>
      </c>
      <c r="C203" s="554">
        <v>814</v>
      </c>
      <c r="D203" s="554">
        <v>997</v>
      </c>
      <c r="E203" s="554">
        <v>1214</v>
      </c>
      <c r="F203" s="554">
        <v>936</v>
      </c>
      <c r="G203" s="554">
        <v>1034</v>
      </c>
      <c r="H203" s="554">
        <v>2150</v>
      </c>
      <c r="I203" s="554">
        <v>2951</v>
      </c>
      <c r="J203" s="554">
        <v>1916</v>
      </c>
      <c r="K203" s="554">
        <v>2252</v>
      </c>
      <c r="L203" s="554">
        <v>2810</v>
      </c>
      <c r="M203" s="554">
        <v>-680</v>
      </c>
    </row>
    <row r="204" spans="1:13">
      <c r="A204" s="554" t="s">
        <v>310</v>
      </c>
      <c r="B204" s="554">
        <v>669</v>
      </c>
      <c r="C204" s="554">
        <v>1096</v>
      </c>
      <c r="D204" s="554">
        <v>682</v>
      </c>
      <c r="E204" s="554">
        <v>1046</v>
      </c>
      <c r="F204" s="554">
        <v>1018</v>
      </c>
      <c r="G204" s="554">
        <v>970</v>
      </c>
      <c r="H204" s="554">
        <v>1224</v>
      </c>
      <c r="I204" s="554">
        <v>2579</v>
      </c>
      <c r="J204" s="554">
        <v>2277</v>
      </c>
      <c r="K204" s="554">
        <v>3316</v>
      </c>
      <c r="L204" s="554">
        <v>3173</v>
      </c>
      <c r="M204" s="554">
        <v>3515</v>
      </c>
    </row>
    <row r="205" spans="1:13">
      <c r="A205" s="554" t="s">
        <v>236</v>
      </c>
      <c r="B205" s="554">
        <v>133</v>
      </c>
      <c r="C205" s="554">
        <v>-132</v>
      </c>
      <c r="D205" s="554">
        <v>-67</v>
      </c>
      <c r="E205" s="554">
        <v>228</v>
      </c>
      <c r="F205" s="554">
        <v>655</v>
      </c>
      <c r="G205" s="554">
        <v>361</v>
      </c>
      <c r="H205" s="554">
        <v>636</v>
      </c>
      <c r="I205" s="554">
        <v>1101</v>
      </c>
      <c r="J205" s="554">
        <v>1286</v>
      </c>
      <c r="K205" s="554">
        <v>1717</v>
      </c>
      <c r="L205" s="554">
        <v>1797</v>
      </c>
      <c r="M205" s="554">
        <v>2559</v>
      </c>
    </row>
    <row r="206" spans="1:13">
      <c r="A206" s="554" t="s">
        <v>309</v>
      </c>
      <c r="B206" s="554" t="s">
        <v>273</v>
      </c>
      <c r="C206" s="554" t="s">
        <v>273</v>
      </c>
      <c r="D206" s="554" t="s">
        <v>273</v>
      </c>
      <c r="E206" s="554" t="s">
        <v>273</v>
      </c>
      <c r="F206" s="554" t="s">
        <v>273</v>
      </c>
      <c r="G206" s="554" t="s">
        <v>273</v>
      </c>
      <c r="H206" s="554" t="s">
        <v>273</v>
      </c>
      <c r="I206" s="554">
        <v>0</v>
      </c>
      <c r="J206" s="554">
        <v>0</v>
      </c>
      <c r="K206" s="554">
        <v>0</v>
      </c>
      <c r="L206" s="554">
        <v>0</v>
      </c>
      <c r="M206" s="554">
        <v>0</v>
      </c>
    </row>
    <row r="207" spans="1:13">
      <c r="A207" s="554" t="s">
        <v>308</v>
      </c>
      <c r="B207" s="554">
        <v>-22</v>
      </c>
      <c r="C207" s="554">
        <v>-18</v>
      </c>
      <c r="D207" s="554">
        <v>-17</v>
      </c>
      <c r="E207" s="554">
        <v>19</v>
      </c>
      <c r="F207" s="554">
        <v>46</v>
      </c>
      <c r="G207" s="554">
        <v>55</v>
      </c>
      <c r="H207" s="554">
        <v>56</v>
      </c>
      <c r="I207" s="554">
        <v>41</v>
      </c>
      <c r="J207" s="554">
        <v>118</v>
      </c>
      <c r="K207" s="554">
        <v>55</v>
      </c>
      <c r="L207" s="554">
        <v>133</v>
      </c>
      <c r="M207" s="554">
        <v>341</v>
      </c>
    </row>
    <row r="208" spans="1:13">
      <c r="A208" s="554" t="s">
        <v>307</v>
      </c>
      <c r="B208" s="554" t="s">
        <v>273</v>
      </c>
      <c r="C208" s="554" t="s">
        <v>273</v>
      </c>
      <c r="D208" s="554" t="s">
        <v>291</v>
      </c>
      <c r="E208" s="554" t="s">
        <v>306</v>
      </c>
      <c r="F208" s="554" t="s">
        <v>306</v>
      </c>
      <c r="G208" s="554" t="s">
        <v>306</v>
      </c>
      <c r="H208" s="554" t="s">
        <v>306</v>
      </c>
      <c r="I208" s="554" t="s">
        <v>306</v>
      </c>
      <c r="J208" s="554" t="s">
        <v>306</v>
      </c>
      <c r="K208" s="554" t="s">
        <v>306</v>
      </c>
      <c r="L208" s="554" t="s">
        <v>306</v>
      </c>
      <c r="M208" s="554" t="s">
        <v>273</v>
      </c>
    </row>
    <row r="209" spans="1:13">
      <c r="A209" s="554" t="s">
        <v>305</v>
      </c>
      <c r="B209" s="554">
        <v>-9</v>
      </c>
      <c r="C209" s="554">
        <v>5</v>
      </c>
      <c r="D209" s="554">
        <v>8</v>
      </c>
      <c r="E209" s="554">
        <v>13</v>
      </c>
      <c r="F209" s="554">
        <v>11</v>
      </c>
      <c r="G209" s="554">
        <v>15</v>
      </c>
      <c r="H209" s="554">
        <v>6</v>
      </c>
      <c r="I209" s="554">
        <v>31</v>
      </c>
      <c r="J209" s="554">
        <v>41</v>
      </c>
      <c r="K209" s="554">
        <v>146</v>
      </c>
      <c r="L209" s="554">
        <v>176</v>
      </c>
      <c r="M209" s="554" t="s">
        <v>291</v>
      </c>
    </row>
    <row r="210" spans="1:13">
      <c r="A210" s="554" t="s">
        <v>304</v>
      </c>
      <c r="B210" s="554">
        <v>6</v>
      </c>
      <c r="C210" s="554">
        <v>-44</v>
      </c>
      <c r="D210" s="554" t="s">
        <v>291</v>
      </c>
      <c r="E210" s="554" t="s">
        <v>291</v>
      </c>
      <c r="F210" s="554" t="s">
        <v>291</v>
      </c>
      <c r="G210" s="554" t="s">
        <v>291</v>
      </c>
      <c r="H210" s="554" t="s">
        <v>291</v>
      </c>
      <c r="I210" s="554" t="s">
        <v>291</v>
      </c>
      <c r="J210" s="554" t="s">
        <v>291</v>
      </c>
      <c r="K210" s="554" t="s">
        <v>291</v>
      </c>
      <c r="L210" s="554" t="s">
        <v>291</v>
      </c>
      <c r="M210" s="554" t="s">
        <v>291</v>
      </c>
    </row>
    <row r="211" spans="1:13">
      <c r="A211" s="554" t="s">
        <v>303</v>
      </c>
      <c r="B211" s="554" t="s">
        <v>291</v>
      </c>
      <c r="C211" s="554" t="s">
        <v>291</v>
      </c>
      <c r="D211" s="554" t="s">
        <v>291</v>
      </c>
      <c r="E211" s="554" t="s">
        <v>291</v>
      </c>
      <c r="F211" s="554" t="s">
        <v>291</v>
      </c>
      <c r="G211" s="554" t="s">
        <v>291</v>
      </c>
      <c r="H211" s="554" t="s">
        <v>291</v>
      </c>
      <c r="I211" s="554" t="s">
        <v>291</v>
      </c>
      <c r="J211" s="554" t="s">
        <v>291</v>
      </c>
      <c r="K211" s="554" t="s">
        <v>291</v>
      </c>
      <c r="L211" s="554" t="s">
        <v>291</v>
      </c>
      <c r="M211" s="554" t="s">
        <v>291</v>
      </c>
    </row>
    <row r="212" spans="1:13">
      <c r="A212" s="554" t="s">
        <v>302</v>
      </c>
      <c r="B212" s="554" t="s">
        <v>273</v>
      </c>
      <c r="C212" s="554" t="s">
        <v>273</v>
      </c>
      <c r="D212" s="554" t="s">
        <v>273</v>
      </c>
      <c r="E212" s="554" t="s">
        <v>273</v>
      </c>
      <c r="F212" s="554" t="s">
        <v>273</v>
      </c>
      <c r="G212" s="554" t="s">
        <v>273</v>
      </c>
      <c r="H212" s="554" t="s">
        <v>273</v>
      </c>
      <c r="I212" s="554" t="s">
        <v>291</v>
      </c>
      <c r="J212" s="554" t="s">
        <v>291</v>
      </c>
      <c r="K212" s="554" t="s">
        <v>291</v>
      </c>
      <c r="L212" s="554" t="s">
        <v>291</v>
      </c>
      <c r="M212" s="554" t="s">
        <v>291</v>
      </c>
    </row>
    <row r="213" spans="1:13">
      <c r="A213" s="554" t="s">
        <v>300</v>
      </c>
      <c r="B213" s="554">
        <v>2</v>
      </c>
      <c r="C213" s="554">
        <v>-3</v>
      </c>
      <c r="D213" s="554" t="s">
        <v>291</v>
      </c>
      <c r="E213" s="554" t="s">
        <v>291</v>
      </c>
      <c r="F213" s="554" t="s">
        <v>291</v>
      </c>
      <c r="G213" s="554" t="s">
        <v>291</v>
      </c>
      <c r="H213" s="554" t="s">
        <v>291</v>
      </c>
      <c r="I213" s="554">
        <v>5</v>
      </c>
      <c r="J213" s="554" t="s">
        <v>291</v>
      </c>
      <c r="K213" s="554">
        <v>6</v>
      </c>
      <c r="L213" s="554" t="s">
        <v>291</v>
      </c>
      <c r="M213" s="554" t="s">
        <v>291</v>
      </c>
    </row>
    <row r="214" spans="1:13">
      <c r="A214" s="554" t="s">
        <v>299</v>
      </c>
      <c r="B214" s="554">
        <v>6</v>
      </c>
      <c r="C214" s="554">
        <v>9</v>
      </c>
      <c r="D214" s="554">
        <v>3</v>
      </c>
      <c r="E214" s="554">
        <v>3</v>
      </c>
      <c r="F214" s="554">
        <v>6</v>
      </c>
      <c r="G214" s="554">
        <v>8</v>
      </c>
      <c r="H214" s="554">
        <v>9</v>
      </c>
      <c r="I214" s="554" t="s">
        <v>291</v>
      </c>
      <c r="J214" s="554" t="s">
        <v>291</v>
      </c>
      <c r="K214" s="554" t="s">
        <v>291</v>
      </c>
      <c r="L214" s="554" t="s">
        <v>291</v>
      </c>
      <c r="M214" s="554" t="s">
        <v>291</v>
      </c>
    </row>
    <row r="215" spans="1:13">
      <c r="A215" s="554" t="s">
        <v>298</v>
      </c>
      <c r="B215" s="554" t="s">
        <v>291</v>
      </c>
      <c r="C215" s="554" t="s">
        <v>291</v>
      </c>
      <c r="D215" s="554" t="s">
        <v>291</v>
      </c>
      <c r="E215" s="554" t="s">
        <v>291</v>
      </c>
      <c r="F215" s="554" t="s">
        <v>291</v>
      </c>
      <c r="G215" s="554" t="s">
        <v>291</v>
      </c>
      <c r="H215" s="554" t="s">
        <v>291</v>
      </c>
      <c r="I215" s="554" t="s">
        <v>291</v>
      </c>
      <c r="J215" s="554" t="s">
        <v>291</v>
      </c>
      <c r="K215" s="554" t="s">
        <v>291</v>
      </c>
      <c r="L215" s="554" t="s">
        <v>291</v>
      </c>
      <c r="M215" s="554" t="s">
        <v>291</v>
      </c>
    </row>
    <row r="216" spans="1:13">
      <c r="A216" s="554" t="s">
        <v>1029</v>
      </c>
      <c r="B216" s="554" t="s">
        <v>273</v>
      </c>
      <c r="C216" s="554" t="s">
        <v>273</v>
      </c>
      <c r="D216" s="554" t="s">
        <v>273</v>
      </c>
      <c r="E216" s="554" t="s">
        <v>273</v>
      </c>
      <c r="F216" s="554" t="s">
        <v>273</v>
      </c>
      <c r="G216" s="554" t="s">
        <v>273</v>
      </c>
      <c r="H216" s="554" t="s">
        <v>273</v>
      </c>
      <c r="I216" s="554" t="s">
        <v>306</v>
      </c>
      <c r="J216" s="554" t="s">
        <v>306</v>
      </c>
      <c r="K216" s="554" t="s">
        <v>306</v>
      </c>
      <c r="L216" s="554" t="s">
        <v>306</v>
      </c>
      <c r="M216" s="554" t="s">
        <v>306</v>
      </c>
    </row>
    <row r="217" spans="1:13">
      <c r="A217" s="554" t="s">
        <v>297</v>
      </c>
      <c r="B217" s="554">
        <v>-4</v>
      </c>
      <c r="C217" s="554">
        <v>0</v>
      </c>
      <c r="D217" s="554" t="s">
        <v>291</v>
      </c>
      <c r="E217" s="554" t="s">
        <v>273</v>
      </c>
      <c r="F217" s="554" t="s">
        <v>273</v>
      </c>
      <c r="G217" s="554" t="s">
        <v>273</v>
      </c>
      <c r="H217" s="554" t="s">
        <v>291</v>
      </c>
      <c r="I217" s="554" t="s">
        <v>291</v>
      </c>
      <c r="J217" s="554" t="s">
        <v>291</v>
      </c>
      <c r="K217" s="554" t="s">
        <v>291</v>
      </c>
      <c r="L217" s="554" t="s">
        <v>291</v>
      </c>
      <c r="M217" s="554" t="s">
        <v>291</v>
      </c>
    </row>
    <row r="218" spans="1:13">
      <c r="A218" s="554" t="s">
        <v>296</v>
      </c>
      <c r="B218" s="554">
        <v>2</v>
      </c>
      <c r="C218" s="554" t="s">
        <v>291</v>
      </c>
      <c r="D218" s="554" t="s">
        <v>291</v>
      </c>
      <c r="E218" s="554" t="s">
        <v>291</v>
      </c>
      <c r="F218" s="554" t="s">
        <v>291</v>
      </c>
      <c r="G218" s="554" t="s">
        <v>291</v>
      </c>
      <c r="H218" s="554" t="s">
        <v>291</v>
      </c>
      <c r="I218" s="554" t="s">
        <v>291</v>
      </c>
      <c r="J218" s="554" t="s">
        <v>291</v>
      </c>
      <c r="K218" s="554">
        <v>460</v>
      </c>
      <c r="L218" s="554">
        <v>407</v>
      </c>
      <c r="M218" s="554">
        <v>544</v>
      </c>
    </row>
    <row r="219" spans="1:13">
      <c r="A219" s="554" t="s">
        <v>295</v>
      </c>
      <c r="B219" s="554" t="s">
        <v>273</v>
      </c>
      <c r="C219" s="554" t="s">
        <v>273</v>
      </c>
      <c r="D219" s="554" t="s">
        <v>273</v>
      </c>
      <c r="E219" s="554" t="s">
        <v>273</v>
      </c>
      <c r="F219" s="554" t="s">
        <v>273</v>
      </c>
      <c r="G219" s="554" t="s">
        <v>273</v>
      </c>
      <c r="H219" s="554" t="s">
        <v>273</v>
      </c>
      <c r="I219" s="554" t="s">
        <v>306</v>
      </c>
      <c r="J219" s="554" t="s">
        <v>306</v>
      </c>
      <c r="K219" s="554" t="s">
        <v>306</v>
      </c>
      <c r="L219" s="554" t="s">
        <v>306</v>
      </c>
      <c r="M219" s="554" t="s">
        <v>306</v>
      </c>
    </row>
    <row r="220" spans="1:13">
      <c r="A220" s="554" t="s">
        <v>294</v>
      </c>
      <c r="B220" s="554" t="s">
        <v>273</v>
      </c>
      <c r="C220" s="554" t="s">
        <v>273</v>
      </c>
      <c r="D220" s="554">
        <v>-228</v>
      </c>
      <c r="E220" s="554" t="s">
        <v>291</v>
      </c>
      <c r="F220" s="554" t="s">
        <v>291</v>
      </c>
      <c r="G220" s="554" t="s">
        <v>291</v>
      </c>
      <c r="H220" s="554">
        <v>257</v>
      </c>
      <c r="I220" s="554">
        <v>437</v>
      </c>
      <c r="J220" s="554">
        <v>554</v>
      </c>
      <c r="K220" s="554" t="s">
        <v>291</v>
      </c>
      <c r="L220" s="554" t="s">
        <v>291</v>
      </c>
      <c r="M220" s="554" t="s">
        <v>291</v>
      </c>
    </row>
    <row r="221" spans="1:13">
      <c r="A221" s="554" t="s">
        <v>293</v>
      </c>
      <c r="B221" s="554" t="s">
        <v>291</v>
      </c>
      <c r="C221" s="554" t="s">
        <v>291</v>
      </c>
      <c r="D221" s="554" t="s">
        <v>291</v>
      </c>
      <c r="E221" s="554">
        <v>-42</v>
      </c>
      <c r="F221" s="554">
        <v>230</v>
      </c>
      <c r="G221" s="554">
        <v>44</v>
      </c>
      <c r="H221" s="554" t="s">
        <v>291</v>
      </c>
      <c r="I221" s="554" t="s">
        <v>291</v>
      </c>
      <c r="J221" s="554" t="s">
        <v>291</v>
      </c>
      <c r="K221" s="554" t="s">
        <v>291</v>
      </c>
      <c r="L221" s="554" t="s">
        <v>291</v>
      </c>
      <c r="M221" s="554" t="s">
        <v>291</v>
      </c>
    </row>
    <row r="222" spans="1:13">
      <c r="A222" s="554" t="s">
        <v>292</v>
      </c>
      <c r="B222" s="554" t="s">
        <v>273</v>
      </c>
      <c r="C222" s="554" t="s">
        <v>273</v>
      </c>
      <c r="D222" s="554" t="s">
        <v>273</v>
      </c>
      <c r="E222" s="554" t="s">
        <v>273</v>
      </c>
      <c r="F222" s="554" t="s">
        <v>273</v>
      </c>
      <c r="G222" s="554" t="s">
        <v>273</v>
      </c>
      <c r="H222" s="554" t="s">
        <v>273</v>
      </c>
      <c r="I222" s="554" t="s">
        <v>273</v>
      </c>
      <c r="J222" s="554" t="s">
        <v>273</v>
      </c>
      <c r="K222" s="554" t="s">
        <v>273</v>
      </c>
      <c r="L222" s="554" t="s">
        <v>291</v>
      </c>
      <c r="M222" s="554" t="s">
        <v>291</v>
      </c>
    </row>
    <row r="223" spans="1:13">
      <c r="A223" s="554" t="s">
        <v>290</v>
      </c>
      <c r="B223" s="554" t="s">
        <v>273</v>
      </c>
      <c r="C223" s="554" t="s">
        <v>273</v>
      </c>
      <c r="D223" s="554" t="s">
        <v>291</v>
      </c>
      <c r="E223" s="554" t="s">
        <v>291</v>
      </c>
      <c r="F223" s="554" t="s">
        <v>291</v>
      </c>
      <c r="G223" s="554" t="s">
        <v>291</v>
      </c>
      <c r="H223" s="554">
        <v>1</v>
      </c>
      <c r="I223" s="554" t="s">
        <v>273</v>
      </c>
      <c r="J223" s="554" t="s">
        <v>273</v>
      </c>
      <c r="K223" s="554" t="s">
        <v>273</v>
      </c>
      <c r="L223" s="554" t="s">
        <v>273</v>
      </c>
      <c r="M223" s="554" t="s">
        <v>273</v>
      </c>
    </row>
    <row r="224" spans="1:13">
      <c r="A224" s="554" t="s">
        <v>289</v>
      </c>
      <c r="B224" s="554" t="s">
        <v>306</v>
      </c>
      <c r="C224" s="554">
        <v>4</v>
      </c>
      <c r="D224" s="554" t="s">
        <v>291</v>
      </c>
      <c r="E224" s="554">
        <v>1</v>
      </c>
      <c r="F224" s="554">
        <v>1</v>
      </c>
      <c r="G224" s="554">
        <v>1</v>
      </c>
      <c r="H224" s="554" t="s">
        <v>306</v>
      </c>
      <c r="I224" s="554" t="s">
        <v>306</v>
      </c>
      <c r="J224" s="554" t="s">
        <v>291</v>
      </c>
      <c r="K224" s="554" t="s">
        <v>306</v>
      </c>
      <c r="L224" s="554">
        <v>2</v>
      </c>
      <c r="M224" s="554" t="s">
        <v>291</v>
      </c>
    </row>
    <row r="225" spans="1:13">
      <c r="A225" s="554" t="s">
        <v>288</v>
      </c>
      <c r="B225" s="554">
        <v>61</v>
      </c>
      <c r="C225" s="554">
        <v>-98</v>
      </c>
      <c r="D225" s="554">
        <v>116</v>
      </c>
      <c r="E225" s="554" t="s">
        <v>291</v>
      </c>
      <c r="F225" s="554" t="s">
        <v>291</v>
      </c>
      <c r="G225" s="554" t="s">
        <v>291</v>
      </c>
      <c r="H225" s="554">
        <v>110</v>
      </c>
      <c r="I225" s="554">
        <v>299</v>
      </c>
      <c r="J225" s="554">
        <v>259</v>
      </c>
      <c r="K225" s="554">
        <v>246</v>
      </c>
      <c r="L225" s="554">
        <v>236</v>
      </c>
      <c r="M225" s="554">
        <v>258</v>
      </c>
    </row>
    <row r="226" spans="1:13">
      <c r="A226" s="554" t="s">
        <v>287</v>
      </c>
      <c r="B226" s="554" t="s">
        <v>273</v>
      </c>
      <c r="C226" s="554" t="s">
        <v>273</v>
      </c>
      <c r="D226" s="554" t="s">
        <v>273</v>
      </c>
      <c r="E226" s="554" t="s">
        <v>273</v>
      </c>
      <c r="F226" s="554" t="s">
        <v>273</v>
      </c>
      <c r="G226" s="554" t="s">
        <v>273</v>
      </c>
      <c r="H226" s="554" t="s">
        <v>273</v>
      </c>
      <c r="I226" s="554" t="s">
        <v>273</v>
      </c>
      <c r="J226" s="554" t="s">
        <v>273</v>
      </c>
      <c r="K226" s="554" t="s">
        <v>273</v>
      </c>
      <c r="L226" s="554" t="s">
        <v>273</v>
      </c>
      <c r="M226" s="554" t="s">
        <v>273</v>
      </c>
    </row>
    <row r="227" spans="1:13">
      <c r="A227" s="554" t="s">
        <v>286</v>
      </c>
      <c r="B227" s="554">
        <v>118</v>
      </c>
      <c r="C227" s="554">
        <v>-8</v>
      </c>
      <c r="D227" s="554">
        <v>40</v>
      </c>
      <c r="E227" s="554">
        <v>209</v>
      </c>
      <c r="F227" s="554">
        <v>191</v>
      </c>
      <c r="G227" s="554">
        <v>274</v>
      </c>
      <c r="H227" s="554">
        <v>36</v>
      </c>
      <c r="I227" s="554">
        <v>128</v>
      </c>
      <c r="J227" s="554">
        <v>148</v>
      </c>
      <c r="K227" s="554">
        <v>191</v>
      </c>
      <c r="L227" s="554">
        <v>169</v>
      </c>
      <c r="M227" s="554">
        <v>179</v>
      </c>
    </row>
    <row r="228" spans="1:13">
      <c r="A228" s="554" t="s">
        <v>285</v>
      </c>
      <c r="B228" s="554" t="s">
        <v>273</v>
      </c>
      <c r="C228" s="554" t="s">
        <v>273</v>
      </c>
      <c r="D228" s="554" t="s">
        <v>291</v>
      </c>
      <c r="E228" s="554">
        <v>18</v>
      </c>
      <c r="F228" s="554">
        <v>82</v>
      </c>
      <c r="G228" s="554">
        <v>14</v>
      </c>
      <c r="H228" s="554" t="s">
        <v>273</v>
      </c>
      <c r="I228" s="554" t="s">
        <v>306</v>
      </c>
      <c r="J228" s="554" t="s">
        <v>306</v>
      </c>
      <c r="K228" s="554" t="s">
        <v>306</v>
      </c>
      <c r="L228" s="554" t="s">
        <v>306</v>
      </c>
      <c r="M228" s="554" t="s">
        <v>306</v>
      </c>
    </row>
    <row r="229" spans="1:13">
      <c r="A229" s="554" t="s">
        <v>284</v>
      </c>
      <c r="B229" s="554" t="s">
        <v>273</v>
      </c>
      <c r="C229" s="554" t="s">
        <v>273</v>
      </c>
      <c r="D229" s="554" t="s">
        <v>273</v>
      </c>
      <c r="E229" s="554" t="s">
        <v>273</v>
      </c>
      <c r="F229" s="554" t="s">
        <v>273</v>
      </c>
      <c r="G229" s="554" t="s">
        <v>273</v>
      </c>
      <c r="H229" s="554" t="s">
        <v>273</v>
      </c>
      <c r="I229" s="554">
        <v>0</v>
      </c>
      <c r="J229" s="554">
        <v>0</v>
      </c>
      <c r="K229" s="554">
        <v>0</v>
      </c>
      <c r="L229" s="554">
        <v>0</v>
      </c>
      <c r="M229" s="554">
        <v>0</v>
      </c>
    </row>
    <row r="230" spans="1:13">
      <c r="A230" s="554" t="s">
        <v>283</v>
      </c>
      <c r="B230" s="554">
        <v>7</v>
      </c>
      <c r="C230" s="554">
        <v>10</v>
      </c>
      <c r="D230" s="554">
        <v>14</v>
      </c>
      <c r="E230" s="554">
        <v>8</v>
      </c>
      <c r="F230" s="554">
        <v>14</v>
      </c>
      <c r="G230" s="554">
        <v>18</v>
      </c>
      <c r="H230" s="554">
        <v>28</v>
      </c>
      <c r="I230" s="554">
        <v>18</v>
      </c>
      <c r="J230" s="554">
        <v>28</v>
      </c>
      <c r="K230" s="554">
        <v>30</v>
      </c>
      <c r="L230" s="554">
        <v>23</v>
      </c>
      <c r="M230" s="554">
        <v>9</v>
      </c>
    </row>
    <row r="231" spans="1:13">
      <c r="A231" s="554" t="s">
        <v>281</v>
      </c>
      <c r="B231" s="554" t="s">
        <v>273</v>
      </c>
      <c r="C231" s="554" t="s">
        <v>273</v>
      </c>
      <c r="D231" s="554" t="s">
        <v>291</v>
      </c>
      <c r="E231" s="554" t="s">
        <v>306</v>
      </c>
      <c r="F231" s="554" t="s">
        <v>306</v>
      </c>
      <c r="G231" s="554" t="s">
        <v>306</v>
      </c>
      <c r="H231" s="554" t="s">
        <v>306</v>
      </c>
      <c r="I231" s="554" t="s">
        <v>306</v>
      </c>
      <c r="J231" s="554" t="s">
        <v>306</v>
      </c>
      <c r="K231" s="554" t="s">
        <v>306</v>
      </c>
      <c r="L231" s="554" t="s">
        <v>306</v>
      </c>
      <c r="M231" s="554" t="s">
        <v>306</v>
      </c>
    </row>
    <row r="232" spans="1:13">
      <c r="A232" s="554" t="s">
        <v>280</v>
      </c>
      <c r="B232" s="554" t="s">
        <v>273</v>
      </c>
      <c r="C232" s="554" t="s">
        <v>273</v>
      </c>
      <c r="D232" s="554" t="s">
        <v>273</v>
      </c>
      <c r="E232" s="554" t="s">
        <v>273</v>
      </c>
      <c r="F232" s="554" t="s">
        <v>273</v>
      </c>
      <c r="G232" s="554" t="s">
        <v>273</v>
      </c>
      <c r="H232" s="554" t="s">
        <v>273</v>
      </c>
      <c r="I232" s="554" t="s">
        <v>306</v>
      </c>
      <c r="J232" s="554" t="s">
        <v>306</v>
      </c>
      <c r="K232" s="554" t="s">
        <v>306</v>
      </c>
      <c r="L232" s="554" t="s">
        <v>306</v>
      </c>
      <c r="M232" s="554" t="s">
        <v>306</v>
      </c>
    </row>
    <row r="233" spans="1:13">
      <c r="A233" s="554" t="s">
        <v>279</v>
      </c>
      <c r="B233" s="554" t="s">
        <v>273</v>
      </c>
      <c r="C233" s="554" t="s">
        <v>273</v>
      </c>
      <c r="D233" s="554" t="s">
        <v>273</v>
      </c>
      <c r="E233" s="554" t="s">
        <v>273</v>
      </c>
      <c r="F233" s="554" t="s">
        <v>273</v>
      </c>
      <c r="G233" s="554" t="s">
        <v>273</v>
      </c>
      <c r="H233" s="554" t="s">
        <v>273</v>
      </c>
      <c r="I233" s="554" t="s">
        <v>273</v>
      </c>
      <c r="J233" s="554" t="s">
        <v>273</v>
      </c>
      <c r="K233" s="554" t="s">
        <v>273</v>
      </c>
      <c r="L233" s="554" t="s">
        <v>273</v>
      </c>
      <c r="M233" s="554" t="s">
        <v>273</v>
      </c>
    </row>
    <row r="234" spans="1:13">
      <c r="A234" s="554" t="s">
        <v>278</v>
      </c>
      <c r="B234" s="554" t="s">
        <v>273</v>
      </c>
      <c r="C234" s="554" t="s">
        <v>273</v>
      </c>
      <c r="D234" s="554" t="s">
        <v>273</v>
      </c>
      <c r="E234" s="554" t="s">
        <v>273</v>
      </c>
      <c r="F234" s="554" t="s">
        <v>273</v>
      </c>
      <c r="G234" s="554" t="s">
        <v>273</v>
      </c>
      <c r="H234" s="554" t="s">
        <v>273</v>
      </c>
      <c r="I234" s="554">
        <v>1</v>
      </c>
      <c r="J234" s="554" t="s">
        <v>291</v>
      </c>
      <c r="K234" s="554" t="s">
        <v>291</v>
      </c>
      <c r="L234" s="554" t="s">
        <v>291</v>
      </c>
      <c r="M234" s="554" t="s">
        <v>291</v>
      </c>
    </row>
    <row r="235" spans="1:13">
      <c r="A235" s="554" t="s">
        <v>277</v>
      </c>
      <c r="B235" s="554" t="s">
        <v>291</v>
      </c>
      <c r="C235" s="554" t="s">
        <v>291</v>
      </c>
      <c r="D235" s="554" t="s">
        <v>291</v>
      </c>
      <c r="E235" s="554" t="s">
        <v>291</v>
      </c>
      <c r="F235" s="554" t="s">
        <v>291</v>
      </c>
      <c r="G235" s="554" t="s">
        <v>291</v>
      </c>
      <c r="H235" s="554" t="s">
        <v>291</v>
      </c>
      <c r="I235" s="554" t="s">
        <v>291</v>
      </c>
      <c r="J235" s="554" t="s">
        <v>291</v>
      </c>
      <c r="K235" s="554" t="s">
        <v>291</v>
      </c>
      <c r="L235" s="554" t="s">
        <v>291</v>
      </c>
      <c r="M235" s="554" t="s">
        <v>291</v>
      </c>
    </row>
    <row r="236" spans="1:13">
      <c r="A236" s="554" t="s">
        <v>276</v>
      </c>
      <c r="B236" s="554">
        <v>-35</v>
      </c>
      <c r="C236" s="554">
        <v>-7</v>
      </c>
      <c r="D236" s="554">
        <v>-28</v>
      </c>
      <c r="E236" s="554">
        <v>-29</v>
      </c>
      <c r="F236" s="554">
        <v>7</v>
      </c>
      <c r="G236" s="554">
        <v>13</v>
      </c>
      <c r="H236" s="554">
        <v>41</v>
      </c>
      <c r="I236" s="554">
        <v>12</v>
      </c>
      <c r="J236" s="554">
        <v>-69</v>
      </c>
      <c r="K236" s="554">
        <v>-58</v>
      </c>
      <c r="L236" s="554">
        <v>68</v>
      </c>
      <c r="M236" s="554">
        <v>234</v>
      </c>
    </row>
    <row r="237" spans="1:13">
      <c r="A237" s="554" t="s">
        <v>274</v>
      </c>
      <c r="B237" s="554">
        <v>796</v>
      </c>
      <c r="C237" s="554">
        <v>683</v>
      </c>
      <c r="D237" s="554" t="s">
        <v>273</v>
      </c>
      <c r="E237" s="554" t="s">
        <v>273</v>
      </c>
      <c r="F237" s="554" t="s">
        <v>273</v>
      </c>
      <c r="G237" s="554" t="s">
        <v>273</v>
      </c>
      <c r="H237" s="554" t="s">
        <v>273</v>
      </c>
      <c r="I237" s="554" t="s">
        <v>273</v>
      </c>
      <c r="J237" s="554" t="s">
        <v>273</v>
      </c>
      <c r="K237" s="554" t="s">
        <v>273</v>
      </c>
      <c r="L237" s="554" t="s">
        <v>273</v>
      </c>
      <c r="M237" s="554" t="s">
        <v>273</v>
      </c>
    </row>
    <row r="238" spans="1:13">
      <c r="A238" s="554" t="s">
        <v>2140</v>
      </c>
      <c r="B238" s="554">
        <v>307</v>
      </c>
      <c r="C238" s="554">
        <v>288</v>
      </c>
      <c r="D238" s="554" t="s">
        <v>517</v>
      </c>
      <c r="E238" s="554" t="s">
        <v>517</v>
      </c>
      <c r="F238" s="554" t="s">
        <v>517</v>
      </c>
      <c r="G238" s="554" t="s">
        <v>517</v>
      </c>
      <c r="H238" s="554" t="s">
        <v>273</v>
      </c>
      <c r="I238" s="554" t="s">
        <v>273</v>
      </c>
      <c r="J238" s="554" t="s">
        <v>273</v>
      </c>
      <c r="K238" s="554" t="s">
        <v>273</v>
      </c>
      <c r="L238" s="554" t="s">
        <v>273</v>
      </c>
      <c r="M238" s="554" t="s">
        <v>273</v>
      </c>
    </row>
    <row r="239" spans="1:13">
      <c r="A239" s="554" t="s">
        <v>2139</v>
      </c>
      <c r="B239" s="554">
        <v>489</v>
      </c>
      <c r="C239" s="554">
        <v>395</v>
      </c>
      <c r="D239" s="554" t="s">
        <v>517</v>
      </c>
      <c r="E239" s="554" t="s">
        <v>517</v>
      </c>
      <c r="F239" s="554" t="s">
        <v>517</v>
      </c>
      <c r="G239" s="554" t="s">
        <v>517</v>
      </c>
      <c r="H239" s="554" t="s">
        <v>273</v>
      </c>
      <c r="I239" s="554" t="s">
        <v>273</v>
      </c>
      <c r="J239" s="554" t="s">
        <v>273</v>
      </c>
      <c r="K239" s="554" t="s">
        <v>273</v>
      </c>
      <c r="L239" s="554" t="s">
        <v>273</v>
      </c>
      <c r="M239" s="554" t="s">
        <v>273</v>
      </c>
    </row>
    <row r="240" spans="1:13">
      <c r="A240" s="554" t="s">
        <v>31</v>
      </c>
      <c r="B240" s="554" t="s">
        <v>0</v>
      </c>
      <c r="C240" s="554" t="s">
        <v>0</v>
      </c>
      <c r="D240" s="554" t="s">
        <v>0</v>
      </c>
      <c r="E240" s="554" t="s">
        <v>0</v>
      </c>
      <c r="F240" s="554" t="s">
        <v>0</v>
      </c>
      <c r="G240" s="554" t="s">
        <v>0</v>
      </c>
      <c r="H240" s="554" t="s">
        <v>0</v>
      </c>
      <c r="I240" s="554" t="s">
        <v>0</v>
      </c>
      <c r="J240" s="554" t="s">
        <v>0</v>
      </c>
      <c r="K240" s="554" t="s">
        <v>0</v>
      </c>
      <c r="L240" s="554" t="s">
        <v>0</v>
      </c>
      <c r="M240" s="554" t="s">
        <v>0</v>
      </c>
    </row>
    <row r="241" spans="1:13">
      <c r="A241" s="554" t="s">
        <v>699</v>
      </c>
      <c r="B241" s="554">
        <v>669</v>
      </c>
      <c r="C241" s="554">
        <v>-400</v>
      </c>
      <c r="D241" s="554">
        <v>-15</v>
      </c>
      <c r="E241" s="554">
        <v>1524</v>
      </c>
      <c r="F241" s="554">
        <v>1695</v>
      </c>
      <c r="G241" s="554" t="s">
        <v>273</v>
      </c>
      <c r="H241" s="554" t="s">
        <v>273</v>
      </c>
      <c r="I241" s="554" t="s">
        <v>273</v>
      </c>
      <c r="J241" s="554" t="s">
        <v>273</v>
      </c>
      <c r="K241" s="554" t="s">
        <v>273</v>
      </c>
      <c r="L241" s="554" t="s">
        <v>273</v>
      </c>
      <c r="M241" s="554" t="s">
        <v>273</v>
      </c>
    </row>
    <row r="242" spans="1:13">
      <c r="A242" s="554" t="s">
        <v>523</v>
      </c>
      <c r="B242" s="554">
        <v>65598</v>
      </c>
      <c r="C242" s="554">
        <v>69981</v>
      </c>
      <c r="D242" s="554">
        <v>81083</v>
      </c>
      <c r="E242" s="554">
        <v>92522</v>
      </c>
      <c r="F242" s="554">
        <v>89114</v>
      </c>
      <c r="G242" s="554">
        <v>103733</v>
      </c>
      <c r="H242" s="554">
        <v>170114</v>
      </c>
      <c r="I242" s="554">
        <v>222983</v>
      </c>
      <c r="J242" s="554">
        <v>300075</v>
      </c>
      <c r="K242" s="554">
        <v>315075</v>
      </c>
      <c r="L242" s="554">
        <v>340878</v>
      </c>
      <c r="M242" s="554">
        <v>391420</v>
      </c>
    </row>
    <row r="243" spans="1:13">
      <c r="A243" s="554" t="s">
        <v>522</v>
      </c>
      <c r="B243" s="554">
        <v>3419</v>
      </c>
      <c r="C243" s="554">
        <v>2442</v>
      </c>
      <c r="D243" s="554">
        <v>4652</v>
      </c>
      <c r="E243" s="554">
        <v>6189</v>
      </c>
      <c r="F243" s="554">
        <v>4838</v>
      </c>
      <c r="G243" s="554">
        <v>4185</v>
      </c>
      <c r="H243" s="554">
        <v>6440</v>
      </c>
      <c r="I243" s="554">
        <v>9883</v>
      </c>
      <c r="J243" s="554">
        <v>13474</v>
      </c>
      <c r="K243" s="554">
        <v>19371</v>
      </c>
      <c r="L243" s="554">
        <v>25519</v>
      </c>
      <c r="M243" s="554">
        <v>46087</v>
      </c>
    </row>
    <row r="244" spans="1:13" ht="13">
      <c r="A244" s="1961" t="s">
        <v>7</v>
      </c>
      <c r="B244" s="1958"/>
      <c r="C244" s="1958"/>
      <c r="D244" s="1958"/>
      <c r="E244" s="1958"/>
      <c r="F244" s="1958"/>
      <c r="G244" s="1958"/>
      <c r="H244" s="1958"/>
      <c r="I244" s="1958"/>
      <c r="J244" s="1958"/>
      <c r="K244" s="1958"/>
      <c r="L244" s="1958"/>
      <c r="M244" s="1958"/>
    </row>
    <row r="245" spans="1:13">
      <c r="A245" s="1962" t="s">
        <v>272</v>
      </c>
      <c r="B245" s="1958"/>
      <c r="C245" s="1958"/>
      <c r="D245" s="1958"/>
      <c r="E245" s="1958"/>
      <c r="F245" s="1958"/>
      <c r="G245" s="1958"/>
      <c r="H245" s="1958"/>
      <c r="I245" s="1958"/>
      <c r="J245" s="1958"/>
      <c r="K245" s="1958"/>
      <c r="L245" s="1958"/>
      <c r="M245" s="1958"/>
    </row>
    <row r="246" spans="1:13">
      <c r="A246" s="1962" t="s">
        <v>1031</v>
      </c>
      <c r="B246" s="1958"/>
      <c r="C246" s="1958"/>
      <c r="D246" s="1958"/>
      <c r="E246" s="1958"/>
      <c r="F246" s="1958"/>
      <c r="G246" s="1958"/>
      <c r="H246" s="1958"/>
      <c r="I246" s="1958"/>
      <c r="J246" s="1958"/>
      <c r="K246" s="1958"/>
      <c r="L246" s="1958"/>
      <c r="M246" s="1958"/>
    </row>
    <row r="247" spans="1:13">
      <c r="A247" s="1962" t="s">
        <v>1032</v>
      </c>
      <c r="B247" s="1958"/>
      <c r="C247" s="1958"/>
      <c r="D247" s="1958"/>
      <c r="E247" s="1958"/>
      <c r="F247" s="1958"/>
      <c r="G247" s="1958"/>
      <c r="H247" s="1958"/>
      <c r="I247" s="1958"/>
      <c r="J247" s="1958"/>
      <c r="K247" s="1958"/>
      <c r="L247" s="1958"/>
      <c r="M247" s="1958"/>
    </row>
    <row r="248" spans="1:13">
      <c r="A248" s="1962" t="s">
        <v>1033</v>
      </c>
      <c r="B248" s="1958"/>
      <c r="C248" s="1958"/>
      <c r="D248" s="1958"/>
      <c r="E248" s="1958"/>
      <c r="F248" s="1958"/>
      <c r="G248" s="1958"/>
      <c r="H248" s="1958"/>
      <c r="I248" s="1958"/>
      <c r="J248" s="1958"/>
      <c r="K248" s="1958"/>
      <c r="L248" s="1958"/>
      <c r="M248" s="1958"/>
    </row>
    <row r="249" spans="1:13">
      <c r="A249" s="1962" t="s">
        <v>268</v>
      </c>
      <c r="B249" s="1958"/>
      <c r="C249" s="1958"/>
      <c r="D249" s="1958"/>
      <c r="E249" s="1958"/>
      <c r="F249" s="1958"/>
      <c r="G249" s="1958"/>
      <c r="H249" s="1958"/>
      <c r="I249" s="1958"/>
      <c r="J249" s="1958"/>
      <c r="K249" s="1958"/>
      <c r="L249" s="1958"/>
      <c r="M249" s="1958"/>
    </row>
    <row r="250" spans="1:13">
      <c r="A250" s="1962" t="s">
        <v>267</v>
      </c>
      <c r="B250" s="1958"/>
      <c r="C250" s="1958"/>
      <c r="D250" s="1958"/>
      <c r="E250" s="1958"/>
      <c r="F250" s="1958"/>
      <c r="G250" s="1958"/>
      <c r="H250" s="1958"/>
      <c r="I250" s="1958"/>
      <c r="J250" s="1958"/>
      <c r="K250" s="1958"/>
      <c r="L250" s="1958"/>
      <c r="M250" s="1958"/>
    </row>
    <row r="251" spans="1:13">
      <c r="A251" s="1962" t="s">
        <v>2138</v>
      </c>
      <c r="B251" s="1958"/>
      <c r="C251" s="1958"/>
      <c r="D251" s="1958"/>
      <c r="E251" s="1958"/>
      <c r="F251" s="1958"/>
      <c r="G251" s="1958"/>
      <c r="H251" s="1958"/>
      <c r="I251" s="1958"/>
      <c r="J251" s="1958"/>
      <c r="K251" s="1958"/>
      <c r="L251" s="1958"/>
      <c r="M251" s="1958"/>
    </row>
    <row r="252" spans="1:13">
      <c r="A252" s="1962" t="s">
        <v>520</v>
      </c>
      <c r="B252" s="1958"/>
      <c r="C252" s="1958"/>
      <c r="D252" s="1958"/>
      <c r="E252" s="1958"/>
      <c r="F252" s="1958"/>
      <c r="G252" s="1958"/>
      <c r="H252" s="1958"/>
      <c r="I252" s="1958"/>
      <c r="J252" s="1958"/>
      <c r="K252" s="1958"/>
      <c r="L252" s="1958"/>
      <c r="M252" s="1958"/>
    </row>
    <row r="253" spans="1:13">
      <c r="A253" s="1962" t="s">
        <v>2137</v>
      </c>
      <c r="B253" s="1958"/>
      <c r="C253" s="1958"/>
      <c r="D253" s="1958"/>
      <c r="E253" s="1958"/>
      <c r="F253" s="1958"/>
      <c r="G253" s="1958"/>
      <c r="H253" s="1958"/>
      <c r="I253" s="1958"/>
      <c r="J253" s="1958"/>
      <c r="K253" s="1958"/>
      <c r="L253" s="1958"/>
      <c r="M253" s="1958"/>
    </row>
    <row r="254" spans="1:13">
      <c r="A254" s="1962" t="s">
        <v>264</v>
      </c>
      <c r="B254" s="1958"/>
      <c r="C254" s="1958"/>
      <c r="D254" s="1958"/>
      <c r="E254" s="1958"/>
      <c r="F254" s="1958"/>
      <c r="G254" s="1958"/>
      <c r="H254" s="1958"/>
      <c r="I254" s="1958"/>
      <c r="J254" s="1958"/>
      <c r="K254" s="1958"/>
      <c r="L254" s="1958"/>
      <c r="M254" s="1958"/>
    </row>
    <row r="255" spans="1:13">
      <c r="A255" s="1962" t="s">
        <v>262</v>
      </c>
      <c r="B255" s="1958"/>
      <c r="C255" s="1958"/>
      <c r="D255" s="1958"/>
      <c r="E255" s="1958"/>
      <c r="F255" s="1958"/>
      <c r="G255" s="1958"/>
      <c r="H255" s="1958"/>
      <c r="I255" s="1958"/>
      <c r="J255" s="1958"/>
      <c r="K255" s="1958"/>
      <c r="L255" s="1958"/>
      <c r="M255" s="1958"/>
    </row>
    <row r="256" spans="1:13">
      <c r="A256" s="1962" t="s">
        <v>263</v>
      </c>
      <c r="B256" s="1958"/>
      <c r="C256" s="1958"/>
      <c r="D256" s="1958"/>
      <c r="E256" s="1958"/>
      <c r="F256" s="1958"/>
      <c r="G256" s="1958"/>
      <c r="H256" s="1958"/>
      <c r="I256" s="1958"/>
      <c r="J256" s="1958"/>
      <c r="K256" s="1958"/>
      <c r="L256" s="1958"/>
      <c r="M256" s="1958"/>
    </row>
  </sheetData>
  <mergeCells count="31">
    <mergeCell ref="A254:M254"/>
    <mergeCell ref="A255:M255"/>
    <mergeCell ref="A256:M256"/>
    <mergeCell ref="A248:M248"/>
    <mergeCell ref="A249:M249"/>
    <mergeCell ref="A250:M250"/>
    <mergeCell ref="A251:M251"/>
    <mergeCell ref="A252:M252"/>
    <mergeCell ref="A253:M253"/>
    <mergeCell ref="A244:M244"/>
    <mergeCell ref="A245:M245"/>
    <mergeCell ref="A246:M246"/>
    <mergeCell ref="A247:M247"/>
    <mergeCell ref="F7"/>
    <mergeCell ref="G7"/>
    <mergeCell ref="H7"/>
    <mergeCell ref="I7"/>
    <mergeCell ref="D7"/>
    <mergeCell ref="E7"/>
    <mergeCell ref="J7"/>
    <mergeCell ref="K7"/>
    <mergeCell ref="A1:M1"/>
    <mergeCell ref="A2:M2"/>
    <mergeCell ref="A3:M3"/>
    <mergeCell ref="A4:M4"/>
    <mergeCell ref="A6:A7"/>
    <mergeCell ref="B6:M6"/>
    <mergeCell ref="B7"/>
    <mergeCell ref="C7"/>
    <mergeCell ref="L7"/>
    <mergeCell ref="M7"/>
  </mergeCell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7"/>
  <sheetViews>
    <sheetView workbookViewId="0">
      <pane ySplit="7" topLeftCell="A39" activePane="bottomLeft" state="frozen"/>
      <selection activeCell="X67" sqref="X67"/>
      <selection pane="bottomLeft" activeCell="X67" sqref="X67"/>
    </sheetView>
  </sheetViews>
  <sheetFormatPr baseColWidth="10" defaultColWidth="7.5703125" defaultRowHeight="12" x14ac:dyDescent="0"/>
  <cols>
    <col min="1" max="16384" width="7.5703125" style="554"/>
  </cols>
  <sheetData>
    <row r="1" spans="1:8" ht="17">
      <c r="A1" s="1957" t="s">
        <v>2146</v>
      </c>
      <c r="B1" s="1958"/>
      <c r="C1" s="1958"/>
      <c r="D1" s="1958"/>
      <c r="E1" s="1958"/>
      <c r="F1" s="1958"/>
      <c r="G1" s="1958"/>
      <c r="H1" s="1958"/>
    </row>
    <row r="2" spans="1:8" ht="16">
      <c r="A2" s="1959" t="s">
        <v>2145</v>
      </c>
      <c r="B2" s="1958"/>
      <c r="C2" s="1958"/>
      <c r="D2" s="1958"/>
      <c r="E2" s="1958"/>
      <c r="F2" s="1958"/>
      <c r="G2" s="1958"/>
      <c r="H2" s="1958"/>
    </row>
    <row r="3" spans="1:8">
      <c r="A3" s="1958" t="s">
        <v>160</v>
      </c>
      <c r="B3" s="1958"/>
      <c r="C3" s="1958"/>
      <c r="D3" s="1958"/>
      <c r="E3" s="1958"/>
      <c r="F3" s="1958"/>
      <c r="G3" s="1958"/>
      <c r="H3" s="1958"/>
    </row>
    <row r="4" spans="1:8">
      <c r="A4" s="1958" t="s">
        <v>701</v>
      </c>
      <c r="B4" s="1958"/>
      <c r="C4" s="1958"/>
      <c r="D4" s="1958"/>
      <c r="E4" s="1958"/>
      <c r="F4" s="1958"/>
      <c r="G4" s="1958"/>
      <c r="H4" s="1958"/>
    </row>
    <row r="6" spans="1:8">
      <c r="A6" s="1960" t="s">
        <v>0</v>
      </c>
      <c r="B6" s="1960" t="s">
        <v>2141</v>
      </c>
      <c r="C6" s="1960"/>
      <c r="D6" s="1960"/>
      <c r="E6" s="1960"/>
      <c r="F6" s="1960"/>
      <c r="G6" s="1960"/>
      <c r="H6" s="1960"/>
    </row>
    <row r="7" spans="1:8">
      <c r="A7" s="1960"/>
      <c r="B7" s="1960" t="s">
        <v>78</v>
      </c>
      <c r="C7" s="1960" t="s">
        <v>77</v>
      </c>
      <c r="D7" s="1960" t="s">
        <v>76</v>
      </c>
      <c r="E7" s="1960" t="s">
        <v>75</v>
      </c>
      <c r="F7" s="1960" t="s">
        <v>74</v>
      </c>
      <c r="G7" s="1960" t="s">
        <v>866</v>
      </c>
      <c r="H7" s="1960" t="s">
        <v>865</v>
      </c>
    </row>
    <row r="8" spans="1:8">
      <c r="A8" s="554" t="s">
        <v>511</v>
      </c>
      <c r="B8" s="554">
        <v>778787</v>
      </c>
      <c r="C8" s="554">
        <v>1026365</v>
      </c>
      <c r="D8" s="554">
        <v>1098520</v>
      </c>
      <c r="E8" s="554">
        <v>1066376</v>
      </c>
      <c r="F8" s="554">
        <v>1044636</v>
      </c>
      <c r="G8" s="554">
        <v>1166223</v>
      </c>
      <c r="H8" s="554">
        <v>1065850</v>
      </c>
    </row>
    <row r="9" spans="1:8">
      <c r="A9" s="554" t="s">
        <v>510</v>
      </c>
      <c r="B9" s="554">
        <v>35181</v>
      </c>
      <c r="C9" s="554">
        <v>77847</v>
      </c>
      <c r="D9" s="554">
        <v>87740</v>
      </c>
      <c r="E9" s="554">
        <v>64754</v>
      </c>
      <c r="F9" s="554">
        <v>69512</v>
      </c>
      <c r="G9" s="554">
        <v>71035</v>
      </c>
      <c r="H9" s="554">
        <v>45188</v>
      </c>
    </row>
    <row r="10" spans="1:8">
      <c r="A10" s="554" t="s">
        <v>2</v>
      </c>
      <c r="B10" s="554">
        <v>469949</v>
      </c>
      <c r="C10" s="554">
        <v>590196</v>
      </c>
      <c r="D10" s="554">
        <v>603152</v>
      </c>
      <c r="E10" s="554">
        <v>608095</v>
      </c>
      <c r="F10" s="554">
        <v>588052</v>
      </c>
      <c r="G10" s="554">
        <v>649657</v>
      </c>
      <c r="H10" s="554">
        <v>669658</v>
      </c>
    </row>
    <row r="11" spans="1:8">
      <c r="A11" s="554" t="s">
        <v>509</v>
      </c>
      <c r="B11" s="554">
        <v>2669</v>
      </c>
      <c r="C11" s="554">
        <v>3753</v>
      </c>
      <c r="D11" s="554">
        <v>2980</v>
      </c>
      <c r="E11" s="554">
        <v>2365</v>
      </c>
      <c r="F11" s="554">
        <v>3003</v>
      </c>
      <c r="G11" s="554">
        <v>4198</v>
      </c>
      <c r="H11" s="554">
        <v>2811</v>
      </c>
    </row>
    <row r="12" spans="1:8">
      <c r="A12" s="554" t="s">
        <v>508</v>
      </c>
      <c r="B12" s="554">
        <v>14054</v>
      </c>
      <c r="C12" s="554">
        <v>18133</v>
      </c>
      <c r="D12" s="554">
        <v>11979</v>
      </c>
      <c r="E12" s="554">
        <v>10265</v>
      </c>
      <c r="F12" s="554">
        <v>9573</v>
      </c>
      <c r="G12" s="554">
        <v>13032</v>
      </c>
      <c r="H12" s="554">
        <v>7733</v>
      </c>
    </row>
    <row r="13" spans="1:8">
      <c r="A13" s="554" t="s">
        <v>507</v>
      </c>
      <c r="B13" s="554">
        <v>921</v>
      </c>
      <c r="C13" s="554">
        <v>1248</v>
      </c>
      <c r="D13" s="554">
        <v>1313</v>
      </c>
      <c r="E13" s="554">
        <v>1241</v>
      </c>
      <c r="F13" s="554">
        <v>1110</v>
      </c>
      <c r="G13" s="554">
        <v>1308</v>
      </c>
      <c r="H13" s="554">
        <v>1207</v>
      </c>
    </row>
    <row r="14" spans="1:8">
      <c r="A14" s="554" t="s">
        <v>506</v>
      </c>
      <c r="B14" s="554">
        <v>5399</v>
      </c>
      <c r="C14" s="554">
        <v>7065</v>
      </c>
      <c r="D14" s="554">
        <v>2664</v>
      </c>
      <c r="E14" s="554">
        <v>2799</v>
      </c>
      <c r="F14" s="554">
        <v>4902</v>
      </c>
      <c r="G14" s="554">
        <v>2777</v>
      </c>
      <c r="H14" s="554">
        <v>1830</v>
      </c>
    </row>
    <row r="15" spans="1:8">
      <c r="A15" s="554" t="s">
        <v>505</v>
      </c>
      <c r="B15" s="554">
        <v>2767</v>
      </c>
      <c r="C15" s="554">
        <v>784</v>
      </c>
      <c r="D15" s="554">
        <v>670</v>
      </c>
      <c r="E15" s="554">
        <v>493</v>
      </c>
      <c r="F15" s="554">
        <v>1013</v>
      </c>
      <c r="G15" s="554">
        <v>-124</v>
      </c>
      <c r="H15" s="554">
        <v>-1107</v>
      </c>
    </row>
    <row r="16" spans="1:8">
      <c r="A16" s="554" t="s">
        <v>504</v>
      </c>
      <c r="B16" s="554">
        <v>7375</v>
      </c>
      <c r="C16" s="554">
        <v>7297</v>
      </c>
      <c r="D16" s="554">
        <v>9435</v>
      </c>
      <c r="E16" s="554">
        <v>9057</v>
      </c>
      <c r="F16" s="554">
        <v>6804</v>
      </c>
      <c r="G16" s="554">
        <v>7888</v>
      </c>
      <c r="H16" s="554">
        <v>2404</v>
      </c>
    </row>
    <row r="17" spans="1:8">
      <c r="A17" s="554" t="s">
        <v>503</v>
      </c>
      <c r="B17" s="554">
        <v>4881</v>
      </c>
      <c r="C17" s="554">
        <v>10551</v>
      </c>
      <c r="D17" s="554">
        <v>16660</v>
      </c>
      <c r="E17" s="554">
        <v>11772</v>
      </c>
      <c r="F17" s="554">
        <v>16921</v>
      </c>
      <c r="G17" s="554">
        <v>22976</v>
      </c>
      <c r="H17" s="554">
        <v>15665</v>
      </c>
    </row>
    <row r="18" spans="1:8">
      <c r="A18" s="554" t="s">
        <v>502</v>
      </c>
      <c r="B18" s="554">
        <v>284</v>
      </c>
      <c r="C18" s="554">
        <v>-161</v>
      </c>
      <c r="D18" s="554">
        <v>-248</v>
      </c>
      <c r="E18" s="554">
        <v>110</v>
      </c>
      <c r="F18" s="554">
        <v>132</v>
      </c>
      <c r="G18" s="554">
        <v>175</v>
      </c>
      <c r="H18" s="554">
        <v>56</v>
      </c>
    </row>
    <row r="19" spans="1:8">
      <c r="A19" s="554" t="s">
        <v>501</v>
      </c>
      <c r="B19" s="554">
        <v>2213</v>
      </c>
      <c r="C19" s="554">
        <v>1952</v>
      </c>
      <c r="D19" s="554">
        <v>2931</v>
      </c>
      <c r="E19" s="554">
        <v>464</v>
      </c>
      <c r="F19" s="554">
        <v>2158</v>
      </c>
      <c r="G19" s="554">
        <v>689</v>
      </c>
      <c r="H19" s="554" t="s">
        <v>291</v>
      </c>
    </row>
    <row r="20" spans="1:8">
      <c r="A20" s="554" t="s">
        <v>500</v>
      </c>
      <c r="B20" s="554">
        <v>69580</v>
      </c>
      <c r="C20" s="554">
        <v>95344</v>
      </c>
      <c r="D20" s="554">
        <v>119203</v>
      </c>
      <c r="E20" s="554">
        <v>119624</v>
      </c>
      <c r="F20" s="554">
        <v>106789</v>
      </c>
      <c r="G20" s="554">
        <v>115282</v>
      </c>
      <c r="H20" s="554">
        <v>131625</v>
      </c>
    </row>
    <row r="21" spans="1:8">
      <c r="A21" s="554" t="s">
        <v>499</v>
      </c>
      <c r="B21" s="554">
        <v>3451</v>
      </c>
      <c r="C21" s="554">
        <v>2857</v>
      </c>
      <c r="D21" s="554">
        <v>4716</v>
      </c>
      <c r="E21" s="554">
        <v>2250</v>
      </c>
      <c r="F21" s="554">
        <v>3806</v>
      </c>
      <c r="G21" s="554">
        <v>2236</v>
      </c>
      <c r="H21" s="554">
        <v>4189</v>
      </c>
    </row>
    <row r="22" spans="1:8">
      <c r="A22" s="554" t="s">
        <v>498</v>
      </c>
      <c r="B22" s="554">
        <v>66745</v>
      </c>
      <c r="C22" s="554">
        <v>95084</v>
      </c>
      <c r="D22" s="554">
        <v>77336</v>
      </c>
      <c r="E22" s="554">
        <v>95184</v>
      </c>
      <c r="F22" s="554">
        <v>112671</v>
      </c>
      <c r="G22" s="554">
        <v>124432</v>
      </c>
      <c r="H22" s="554">
        <v>81603</v>
      </c>
    </row>
    <row r="23" spans="1:8">
      <c r="A23" s="554" t="s">
        <v>497</v>
      </c>
      <c r="B23" s="554">
        <v>116302</v>
      </c>
      <c r="C23" s="554">
        <v>149665</v>
      </c>
      <c r="D23" s="554">
        <v>157483</v>
      </c>
      <c r="E23" s="554">
        <v>164905</v>
      </c>
      <c r="F23" s="554">
        <v>134093</v>
      </c>
      <c r="G23" s="554">
        <v>152619</v>
      </c>
      <c r="H23" s="554">
        <v>186510</v>
      </c>
    </row>
    <row r="24" spans="1:8">
      <c r="A24" s="554" t="s">
        <v>496</v>
      </c>
      <c r="B24" s="554">
        <v>7514</v>
      </c>
      <c r="C24" s="554">
        <v>13313</v>
      </c>
      <c r="D24" s="554">
        <v>13461</v>
      </c>
      <c r="E24" s="554">
        <v>22548</v>
      </c>
      <c r="F24" s="554">
        <v>10752</v>
      </c>
      <c r="G24" s="554">
        <v>10797</v>
      </c>
      <c r="H24" s="554">
        <v>5511</v>
      </c>
    </row>
    <row r="25" spans="1:8">
      <c r="A25" s="554" t="s">
        <v>495</v>
      </c>
      <c r="B25" s="554">
        <v>1439</v>
      </c>
      <c r="C25" s="554">
        <v>2089</v>
      </c>
      <c r="D25" s="554">
        <v>2610</v>
      </c>
      <c r="E25" s="554">
        <v>1961</v>
      </c>
      <c r="F25" s="554">
        <v>2469</v>
      </c>
      <c r="G25" s="554">
        <v>2803</v>
      </c>
      <c r="H25" s="554">
        <v>2131</v>
      </c>
    </row>
    <row r="26" spans="1:8">
      <c r="A26" s="554" t="s">
        <v>494</v>
      </c>
      <c r="B26" s="554">
        <v>2213</v>
      </c>
      <c r="C26" s="554">
        <v>3541</v>
      </c>
      <c r="D26" s="554">
        <v>5676</v>
      </c>
      <c r="E26" s="554">
        <v>5518</v>
      </c>
      <c r="F26" s="554">
        <v>5120</v>
      </c>
      <c r="G26" s="554">
        <v>720</v>
      </c>
      <c r="H26" s="554">
        <v>478</v>
      </c>
    </row>
    <row r="27" spans="1:8">
      <c r="A27" s="554" t="s">
        <v>493</v>
      </c>
      <c r="B27" s="554">
        <v>2194</v>
      </c>
      <c r="C27" s="554">
        <v>4738</v>
      </c>
      <c r="D27" s="554">
        <v>5396</v>
      </c>
      <c r="E27" s="554">
        <v>4907</v>
      </c>
      <c r="F27" s="554">
        <v>3197</v>
      </c>
      <c r="G27" s="554">
        <v>2056</v>
      </c>
      <c r="H27" s="554">
        <v>-1395</v>
      </c>
    </row>
    <row r="28" spans="1:8">
      <c r="A28" s="554" t="s">
        <v>492</v>
      </c>
      <c r="B28" s="554">
        <v>5659</v>
      </c>
      <c r="C28" s="554">
        <v>12200</v>
      </c>
      <c r="D28" s="554">
        <v>7556</v>
      </c>
      <c r="E28" s="554">
        <v>735</v>
      </c>
      <c r="F28" s="554">
        <v>5994</v>
      </c>
      <c r="G28" s="554">
        <v>4738</v>
      </c>
      <c r="H28" s="554">
        <v>6447</v>
      </c>
    </row>
    <row r="29" spans="1:8">
      <c r="A29" s="554" t="s">
        <v>491</v>
      </c>
      <c r="B29" s="554">
        <v>-733</v>
      </c>
      <c r="C29" s="554">
        <v>1019</v>
      </c>
      <c r="D29" s="554">
        <v>2981</v>
      </c>
      <c r="E29" s="554">
        <v>4885</v>
      </c>
      <c r="F29" s="554">
        <v>3100</v>
      </c>
      <c r="G29" s="554">
        <v>2666</v>
      </c>
      <c r="H29" s="554">
        <v>3437</v>
      </c>
    </row>
    <row r="30" spans="1:8">
      <c r="A30" s="554" t="s">
        <v>490</v>
      </c>
      <c r="B30" s="554">
        <v>56951</v>
      </c>
      <c r="C30" s="554">
        <v>55339</v>
      </c>
      <c r="D30" s="554">
        <v>60729</v>
      </c>
      <c r="E30" s="554">
        <v>54019</v>
      </c>
      <c r="F30" s="554">
        <v>64468</v>
      </c>
      <c r="G30" s="554">
        <v>70604</v>
      </c>
      <c r="H30" s="554">
        <v>69898</v>
      </c>
    </row>
    <row r="31" spans="1:8">
      <c r="A31" s="554" t="s">
        <v>489</v>
      </c>
      <c r="B31" s="554">
        <v>1101</v>
      </c>
      <c r="C31" s="554">
        <v>2756</v>
      </c>
      <c r="D31" s="554">
        <v>-579</v>
      </c>
      <c r="E31" s="554">
        <v>248</v>
      </c>
      <c r="F31" s="554">
        <v>163</v>
      </c>
      <c r="G31" s="554">
        <v>677</v>
      </c>
      <c r="H31" s="554">
        <v>530</v>
      </c>
    </row>
    <row r="32" spans="1:8">
      <c r="A32" s="554" t="s">
        <v>488</v>
      </c>
      <c r="B32" s="554">
        <v>85282</v>
      </c>
      <c r="C32" s="554">
        <v>84796</v>
      </c>
      <c r="D32" s="554">
        <v>73652</v>
      </c>
      <c r="E32" s="554">
        <v>65826</v>
      </c>
      <c r="F32" s="554">
        <v>62150</v>
      </c>
      <c r="G32" s="554">
        <v>81424</v>
      </c>
      <c r="H32" s="554">
        <v>101928</v>
      </c>
    </row>
    <row r="33" spans="1:8">
      <c r="A33" s="554" t="s">
        <v>236</v>
      </c>
      <c r="B33" s="554">
        <v>11685</v>
      </c>
      <c r="C33" s="554">
        <v>16833</v>
      </c>
      <c r="D33" s="554">
        <v>24549</v>
      </c>
      <c r="E33" s="554">
        <v>26918</v>
      </c>
      <c r="F33" s="554">
        <v>27665</v>
      </c>
      <c r="G33" s="554">
        <v>25685</v>
      </c>
      <c r="H33" s="554" t="s">
        <v>291</v>
      </c>
    </row>
    <row r="34" spans="1:8">
      <c r="A34" s="554" t="s">
        <v>448</v>
      </c>
      <c r="B34" s="554">
        <v>151331</v>
      </c>
      <c r="C34" s="554">
        <v>190412</v>
      </c>
      <c r="D34" s="554">
        <v>198686</v>
      </c>
      <c r="E34" s="554">
        <v>183881</v>
      </c>
      <c r="F34" s="554">
        <v>187059</v>
      </c>
      <c r="G34" s="554">
        <v>222602</v>
      </c>
      <c r="H34" s="554">
        <v>187399</v>
      </c>
    </row>
    <row r="35" spans="1:8">
      <c r="A35" s="554" t="s">
        <v>447</v>
      </c>
      <c r="B35" s="554">
        <v>25092</v>
      </c>
      <c r="C35" s="554">
        <v>33855</v>
      </c>
      <c r="D35" s="554">
        <v>31133</v>
      </c>
      <c r="E35" s="554">
        <v>25174</v>
      </c>
      <c r="F35" s="554">
        <v>24779</v>
      </c>
      <c r="G35" s="554">
        <v>17016</v>
      </c>
      <c r="H35" s="554">
        <v>8459</v>
      </c>
    </row>
    <row r="36" spans="1:8">
      <c r="A36" s="554" t="s">
        <v>446</v>
      </c>
      <c r="B36" s="554">
        <v>2353</v>
      </c>
      <c r="C36" s="554">
        <v>3746</v>
      </c>
      <c r="D36" s="554">
        <v>3561</v>
      </c>
      <c r="E36" s="554">
        <v>2972</v>
      </c>
      <c r="F36" s="554">
        <v>2808</v>
      </c>
      <c r="G36" s="554">
        <v>4339</v>
      </c>
      <c r="H36" s="554">
        <v>2290</v>
      </c>
    </row>
    <row r="37" spans="1:8">
      <c r="A37" s="554" t="s">
        <v>445</v>
      </c>
      <c r="B37" s="554">
        <v>13195</v>
      </c>
      <c r="C37" s="554">
        <v>16812</v>
      </c>
      <c r="D37" s="554">
        <v>13084</v>
      </c>
      <c r="E37" s="554">
        <v>10407</v>
      </c>
      <c r="F37" s="554">
        <v>9264</v>
      </c>
      <c r="G37" s="554">
        <v>7151</v>
      </c>
      <c r="H37" s="554">
        <v>-415</v>
      </c>
    </row>
    <row r="38" spans="1:8">
      <c r="A38" s="554" t="s">
        <v>444</v>
      </c>
      <c r="B38" s="554">
        <v>3322</v>
      </c>
      <c r="C38" s="554">
        <v>5010</v>
      </c>
      <c r="D38" s="554">
        <v>5362</v>
      </c>
      <c r="E38" s="554">
        <v>2124</v>
      </c>
      <c r="F38" s="554">
        <v>4659</v>
      </c>
      <c r="G38" s="554">
        <v>3370</v>
      </c>
      <c r="H38" s="554">
        <v>4281</v>
      </c>
    </row>
    <row r="39" spans="1:8">
      <c r="A39" s="554" t="s">
        <v>443</v>
      </c>
      <c r="B39" s="554">
        <v>1397</v>
      </c>
      <c r="C39" s="554">
        <v>1905</v>
      </c>
      <c r="D39" s="554">
        <v>2266</v>
      </c>
      <c r="E39" s="554">
        <v>2335</v>
      </c>
      <c r="F39" s="554">
        <v>1859</v>
      </c>
      <c r="G39" s="554">
        <v>509</v>
      </c>
      <c r="H39" s="554">
        <v>-253</v>
      </c>
    </row>
    <row r="40" spans="1:8">
      <c r="A40" s="554" t="s">
        <v>442</v>
      </c>
      <c r="B40" s="554">
        <v>13</v>
      </c>
      <c r="C40" s="554">
        <v>239</v>
      </c>
      <c r="D40" s="554">
        <v>231</v>
      </c>
      <c r="E40" s="554">
        <v>216</v>
      </c>
      <c r="F40" s="554">
        <v>249</v>
      </c>
      <c r="G40" s="554">
        <v>525</v>
      </c>
      <c r="H40" s="554">
        <v>104</v>
      </c>
    </row>
    <row r="41" spans="1:8">
      <c r="A41" s="554" t="s">
        <v>441</v>
      </c>
      <c r="B41" s="554">
        <v>2146</v>
      </c>
      <c r="C41" s="554">
        <v>2588</v>
      </c>
      <c r="D41" s="554">
        <v>2626</v>
      </c>
      <c r="E41" s="554">
        <v>2600</v>
      </c>
      <c r="F41" s="554">
        <v>2253</v>
      </c>
      <c r="G41" s="554">
        <v>1746</v>
      </c>
      <c r="H41" s="554">
        <v>779</v>
      </c>
    </row>
    <row r="42" spans="1:8">
      <c r="A42" s="554" t="s">
        <v>440</v>
      </c>
      <c r="B42" s="554">
        <v>2070</v>
      </c>
      <c r="C42" s="554">
        <v>2834</v>
      </c>
      <c r="D42" s="554">
        <v>3196</v>
      </c>
      <c r="E42" s="554">
        <v>3798</v>
      </c>
      <c r="F42" s="554">
        <v>3069</v>
      </c>
      <c r="G42" s="554">
        <v>-1252</v>
      </c>
      <c r="H42" s="554">
        <v>1569</v>
      </c>
    </row>
    <row r="43" spans="1:8">
      <c r="A43" s="554" t="s">
        <v>67</v>
      </c>
      <c r="B43" s="554">
        <v>596</v>
      </c>
      <c r="C43" s="554">
        <v>721</v>
      </c>
      <c r="D43" s="554">
        <v>808</v>
      </c>
      <c r="E43" s="554">
        <v>721</v>
      </c>
      <c r="F43" s="554">
        <v>617</v>
      </c>
      <c r="G43" s="554">
        <v>629</v>
      </c>
      <c r="H43" s="554">
        <v>105</v>
      </c>
    </row>
    <row r="44" spans="1:8">
      <c r="A44" s="554" t="s">
        <v>433</v>
      </c>
      <c r="B44" s="554">
        <v>7105</v>
      </c>
      <c r="C44" s="554">
        <v>17088</v>
      </c>
      <c r="D44" s="554">
        <v>20441</v>
      </c>
      <c r="E44" s="554">
        <v>18413</v>
      </c>
      <c r="F44" s="554">
        <v>22198</v>
      </c>
      <c r="G44" s="554">
        <v>22619</v>
      </c>
      <c r="H44" s="554">
        <v>18724</v>
      </c>
    </row>
    <row r="45" spans="1:8">
      <c r="A45" s="554" t="s">
        <v>432</v>
      </c>
      <c r="B45" s="554">
        <v>604</v>
      </c>
      <c r="C45" s="554">
        <v>944</v>
      </c>
      <c r="D45" s="554">
        <v>718</v>
      </c>
      <c r="E45" s="554">
        <v>766</v>
      </c>
      <c r="F45" s="554">
        <v>510</v>
      </c>
      <c r="G45" s="554">
        <v>719</v>
      </c>
      <c r="H45" s="554">
        <v>735</v>
      </c>
    </row>
    <row r="46" spans="1:8">
      <c r="A46" s="554" t="s">
        <v>430</v>
      </c>
      <c r="B46" s="554">
        <v>139</v>
      </c>
      <c r="C46" s="554">
        <v>135</v>
      </c>
      <c r="D46" s="554">
        <v>132</v>
      </c>
      <c r="E46" s="554">
        <v>117</v>
      </c>
      <c r="F46" s="554">
        <v>134</v>
      </c>
      <c r="G46" s="554">
        <v>85</v>
      </c>
      <c r="H46" s="554">
        <v>100</v>
      </c>
    </row>
    <row r="47" spans="1:8">
      <c r="A47" s="554" t="s">
        <v>429</v>
      </c>
      <c r="B47" s="554">
        <v>5486</v>
      </c>
      <c r="C47" s="554">
        <v>15399</v>
      </c>
      <c r="D47" s="554">
        <v>18859</v>
      </c>
      <c r="E47" s="554">
        <v>16859</v>
      </c>
      <c r="F47" s="554">
        <v>21135</v>
      </c>
      <c r="G47" s="554">
        <v>20999</v>
      </c>
      <c r="H47" s="554">
        <v>17498</v>
      </c>
    </row>
    <row r="48" spans="1:8">
      <c r="A48" s="554" t="s">
        <v>428</v>
      </c>
      <c r="B48" s="554">
        <v>391</v>
      </c>
      <c r="C48" s="554">
        <v>-96</v>
      </c>
      <c r="D48" s="554">
        <v>185</v>
      </c>
      <c r="E48" s="554">
        <v>165</v>
      </c>
      <c r="F48" s="554">
        <v>-180</v>
      </c>
      <c r="G48" s="554">
        <v>194</v>
      </c>
      <c r="H48" s="554">
        <v>192</v>
      </c>
    </row>
    <row r="49" spans="1:8">
      <c r="A49" s="554" t="s">
        <v>67</v>
      </c>
      <c r="B49" s="554">
        <v>485</v>
      </c>
      <c r="C49" s="554">
        <v>707</v>
      </c>
      <c r="D49" s="554">
        <v>548</v>
      </c>
      <c r="E49" s="554">
        <v>506</v>
      </c>
      <c r="F49" s="554">
        <v>599</v>
      </c>
      <c r="G49" s="554">
        <v>621</v>
      </c>
      <c r="H49" s="554">
        <v>199</v>
      </c>
    </row>
    <row r="50" spans="1:8">
      <c r="A50" s="554" t="s">
        <v>423</v>
      </c>
      <c r="B50" s="554">
        <v>119134</v>
      </c>
      <c r="C50" s="554">
        <v>139469</v>
      </c>
      <c r="D50" s="554">
        <v>147112</v>
      </c>
      <c r="E50" s="554">
        <v>140294</v>
      </c>
      <c r="F50" s="554">
        <v>140082</v>
      </c>
      <c r="G50" s="554">
        <v>182967</v>
      </c>
      <c r="H50" s="554">
        <v>160216</v>
      </c>
    </row>
    <row r="51" spans="1:8">
      <c r="A51" s="554" t="s">
        <v>421</v>
      </c>
      <c r="B51" s="554">
        <v>1385</v>
      </c>
      <c r="C51" s="554">
        <v>2884</v>
      </c>
      <c r="D51" s="554">
        <v>3813</v>
      </c>
      <c r="E51" s="554">
        <v>2442</v>
      </c>
      <c r="F51" s="554">
        <v>2231</v>
      </c>
      <c r="G51" s="554">
        <v>2585</v>
      </c>
      <c r="H51" s="554">
        <v>2122</v>
      </c>
    </row>
    <row r="52" spans="1:8">
      <c r="A52" s="554" t="s">
        <v>420</v>
      </c>
      <c r="B52" s="554">
        <v>64422</v>
      </c>
      <c r="C52" s="554">
        <v>81778</v>
      </c>
      <c r="D52" s="554">
        <v>73503</v>
      </c>
      <c r="E52" s="554">
        <v>87209</v>
      </c>
      <c r="F52" s="554">
        <v>76466</v>
      </c>
      <c r="G52" s="554">
        <v>84222</v>
      </c>
      <c r="H52" s="554">
        <v>70298</v>
      </c>
    </row>
    <row r="53" spans="1:8">
      <c r="A53" s="554" t="s">
        <v>419</v>
      </c>
      <c r="B53" s="554">
        <v>561</v>
      </c>
      <c r="C53" s="554">
        <v>375</v>
      </c>
      <c r="D53" s="554">
        <v>445</v>
      </c>
      <c r="E53" s="554">
        <v>290</v>
      </c>
      <c r="F53" s="554">
        <v>336</v>
      </c>
      <c r="G53" s="554">
        <v>380</v>
      </c>
      <c r="H53" s="554">
        <v>439</v>
      </c>
    </row>
    <row r="54" spans="1:8">
      <c r="A54" s="554" t="s">
        <v>415</v>
      </c>
      <c r="B54" s="554">
        <v>37592</v>
      </c>
      <c r="C54" s="554">
        <v>44864</v>
      </c>
      <c r="D54" s="554">
        <v>58370</v>
      </c>
      <c r="E54" s="554">
        <v>38256</v>
      </c>
      <c r="F54" s="554">
        <v>49617</v>
      </c>
      <c r="G54" s="554">
        <v>74246</v>
      </c>
      <c r="H54" s="554">
        <v>62982</v>
      </c>
    </row>
    <row r="55" spans="1:8">
      <c r="A55" s="554" t="s">
        <v>67</v>
      </c>
      <c r="B55" s="554">
        <v>15174</v>
      </c>
      <c r="C55" s="554">
        <v>9569</v>
      </c>
      <c r="D55" s="554">
        <v>10981</v>
      </c>
      <c r="E55" s="554">
        <v>12099</v>
      </c>
      <c r="F55" s="554">
        <v>11432</v>
      </c>
      <c r="G55" s="554">
        <v>21533</v>
      </c>
      <c r="H55" s="554">
        <v>24376</v>
      </c>
    </row>
    <row r="56" spans="1:8">
      <c r="A56" s="554" t="s">
        <v>394</v>
      </c>
      <c r="B56" s="554">
        <v>22692</v>
      </c>
      <c r="C56" s="554">
        <v>31602</v>
      </c>
      <c r="D56" s="554">
        <v>36057</v>
      </c>
      <c r="E56" s="554">
        <v>41961</v>
      </c>
      <c r="F56" s="554">
        <v>36833</v>
      </c>
      <c r="G56" s="554">
        <v>29316</v>
      </c>
      <c r="H56" s="554">
        <v>7609</v>
      </c>
    </row>
    <row r="57" spans="1:8">
      <c r="A57" s="554" t="s">
        <v>393</v>
      </c>
      <c r="B57" s="554">
        <v>1737</v>
      </c>
      <c r="C57" s="554">
        <v>2374</v>
      </c>
      <c r="D57" s="554">
        <v>2739</v>
      </c>
      <c r="E57" s="554">
        <v>2719</v>
      </c>
      <c r="F57" s="554">
        <v>1943</v>
      </c>
      <c r="G57" s="554">
        <v>1493</v>
      </c>
      <c r="H57" s="554">
        <v>-285</v>
      </c>
    </row>
    <row r="58" spans="1:8">
      <c r="A58" s="554" t="s">
        <v>392</v>
      </c>
      <c r="B58" s="554">
        <v>6820</v>
      </c>
      <c r="C58" s="554" t="s">
        <v>291</v>
      </c>
      <c r="D58" s="554" t="s">
        <v>291</v>
      </c>
      <c r="E58" s="554" t="s">
        <v>291</v>
      </c>
      <c r="F58" s="554" t="s">
        <v>291</v>
      </c>
      <c r="G58" s="554" t="s">
        <v>291</v>
      </c>
      <c r="H58" s="554">
        <v>4772</v>
      </c>
    </row>
    <row r="59" spans="1:8">
      <c r="A59" s="554" t="s">
        <v>391</v>
      </c>
      <c r="B59" s="554">
        <v>899</v>
      </c>
      <c r="C59" s="554">
        <v>1218</v>
      </c>
      <c r="D59" s="554">
        <v>1364</v>
      </c>
      <c r="E59" s="554">
        <v>1117</v>
      </c>
      <c r="F59" s="554">
        <v>1114</v>
      </c>
      <c r="G59" s="554">
        <v>1286</v>
      </c>
      <c r="H59" s="554">
        <v>931</v>
      </c>
    </row>
    <row r="60" spans="1:8">
      <c r="A60" s="554" t="s">
        <v>236</v>
      </c>
      <c r="B60" s="554">
        <v>13236</v>
      </c>
      <c r="C60" s="554" t="s">
        <v>291</v>
      </c>
      <c r="D60" s="554" t="s">
        <v>291</v>
      </c>
      <c r="E60" s="554" t="s">
        <v>291</v>
      </c>
      <c r="F60" s="554" t="s">
        <v>291</v>
      </c>
      <c r="G60" s="554" t="s">
        <v>291</v>
      </c>
      <c r="H60" s="554">
        <v>2191</v>
      </c>
    </row>
    <row r="61" spans="1:8">
      <c r="A61" s="554" t="s">
        <v>340</v>
      </c>
      <c r="B61" s="554">
        <v>6053</v>
      </c>
      <c r="C61" s="554">
        <v>12469</v>
      </c>
      <c r="D61" s="554">
        <v>19989</v>
      </c>
      <c r="E61" s="554">
        <v>24502</v>
      </c>
      <c r="F61" s="554">
        <v>21913</v>
      </c>
      <c r="G61" s="554">
        <v>21809</v>
      </c>
      <c r="H61" s="554">
        <v>10565</v>
      </c>
    </row>
    <row r="62" spans="1:8">
      <c r="A62" s="554" t="s">
        <v>339</v>
      </c>
      <c r="B62" s="554">
        <v>438</v>
      </c>
      <c r="C62" s="554">
        <v>1539</v>
      </c>
      <c r="D62" s="554">
        <v>1444</v>
      </c>
      <c r="E62" s="554">
        <v>4716</v>
      </c>
      <c r="F62" s="554">
        <v>2444</v>
      </c>
      <c r="G62" s="554">
        <v>3281</v>
      </c>
      <c r="H62" s="554">
        <v>2633</v>
      </c>
    </row>
    <row r="63" spans="1:8">
      <c r="A63" s="554" t="s">
        <v>338</v>
      </c>
      <c r="B63" s="554">
        <v>1427</v>
      </c>
      <c r="C63" s="554" t="s">
        <v>291</v>
      </c>
      <c r="D63" s="554">
        <v>2545</v>
      </c>
      <c r="E63" s="554">
        <v>2195</v>
      </c>
      <c r="F63" s="554">
        <v>2145</v>
      </c>
      <c r="G63" s="554">
        <v>2358</v>
      </c>
      <c r="H63" s="554">
        <v>1309</v>
      </c>
    </row>
    <row r="64" spans="1:8">
      <c r="A64" s="554" t="s">
        <v>337</v>
      </c>
      <c r="B64" s="554">
        <v>866</v>
      </c>
      <c r="C64" s="554">
        <v>1338</v>
      </c>
      <c r="D64" s="554">
        <v>1753</v>
      </c>
      <c r="E64" s="554">
        <v>2426</v>
      </c>
      <c r="F64" s="554">
        <v>2767</v>
      </c>
      <c r="G64" s="554">
        <v>3400</v>
      </c>
      <c r="H64" s="554">
        <v>3003</v>
      </c>
    </row>
    <row r="65" spans="1:8">
      <c r="A65" s="554" t="s">
        <v>236</v>
      </c>
      <c r="B65" s="554">
        <v>3322</v>
      </c>
      <c r="C65" s="554" t="s">
        <v>291</v>
      </c>
      <c r="D65" s="554">
        <v>14248</v>
      </c>
      <c r="E65" s="554">
        <v>15165</v>
      </c>
      <c r="F65" s="554">
        <v>14558</v>
      </c>
      <c r="G65" s="554">
        <v>12771</v>
      </c>
      <c r="H65" s="554">
        <v>3620</v>
      </c>
    </row>
    <row r="66" spans="1:8">
      <c r="A66" s="554" t="s">
        <v>323</v>
      </c>
      <c r="B66" s="554">
        <v>93582</v>
      </c>
      <c r="C66" s="554">
        <v>123839</v>
      </c>
      <c r="D66" s="554">
        <v>152896</v>
      </c>
      <c r="E66" s="554">
        <v>143183</v>
      </c>
      <c r="F66" s="554">
        <v>141267</v>
      </c>
      <c r="G66" s="554">
        <v>171804</v>
      </c>
      <c r="H66" s="554">
        <v>145430</v>
      </c>
    </row>
    <row r="67" spans="1:8">
      <c r="A67" s="554" t="s">
        <v>322</v>
      </c>
      <c r="B67" s="554">
        <v>13428</v>
      </c>
      <c r="C67" s="554">
        <v>17481</v>
      </c>
      <c r="D67" s="554">
        <v>25019</v>
      </c>
      <c r="E67" s="554">
        <v>19596</v>
      </c>
      <c r="F67" s="554">
        <v>15405</v>
      </c>
      <c r="G67" s="554">
        <v>19654</v>
      </c>
      <c r="H67" s="554">
        <v>3571</v>
      </c>
    </row>
    <row r="68" spans="1:8">
      <c r="A68" s="554" t="s">
        <v>321</v>
      </c>
      <c r="B68" s="554">
        <v>10360</v>
      </c>
      <c r="C68" s="554">
        <v>14449</v>
      </c>
      <c r="D68" s="554">
        <v>20215</v>
      </c>
      <c r="E68" s="554">
        <v>18870</v>
      </c>
      <c r="F68" s="554">
        <v>19874</v>
      </c>
      <c r="G68" s="554">
        <v>25684</v>
      </c>
      <c r="H68" s="554">
        <v>21938</v>
      </c>
    </row>
    <row r="69" spans="1:8">
      <c r="A69" s="554" t="s">
        <v>320</v>
      </c>
      <c r="B69" s="554">
        <v>12765</v>
      </c>
      <c r="C69" s="554">
        <v>13079</v>
      </c>
      <c r="D69" s="554">
        <v>10660</v>
      </c>
      <c r="E69" s="554">
        <v>12659</v>
      </c>
      <c r="F69" s="554">
        <v>13760</v>
      </c>
      <c r="G69" s="554">
        <v>16299</v>
      </c>
      <c r="H69" s="554">
        <v>18413</v>
      </c>
    </row>
    <row r="70" spans="1:8">
      <c r="A70" s="554" t="s">
        <v>319</v>
      </c>
      <c r="B70" s="554">
        <v>3112</v>
      </c>
      <c r="C70" s="554">
        <v>4522</v>
      </c>
      <c r="D70" s="554">
        <v>4921</v>
      </c>
      <c r="E70" s="554">
        <v>4266</v>
      </c>
      <c r="F70" s="554">
        <v>3612</v>
      </c>
      <c r="G70" s="554">
        <v>4972</v>
      </c>
      <c r="H70" s="554">
        <v>5155</v>
      </c>
    </row>
    <row r="71" spans="1:8">
      <c r="A71" s="554" t="s">
        <v>318</v>
      </c>
      <c r="B71" s="554">
        <v>5772</v>
      </c>
      <c r="C71" s="554">
        <v>7896</v>
      </c>
      <c r="D71" s="554">
        <v>9912</v>
      </c>
      <c r="E71" s="554">
        <v>8464</v>
      </c>
      <c r="F71" s="554">
        <v>7152</v>
      </c>
      <c r="G71" s="554">
        <v>6118</v>
      </c>
      <c r="H71" s="554">
        <v>3253</v>
      </c>
    </row>
    <row r="72" spans="1:8">
      <c r="A72" s="554" t="s">
        <v>317</v>
      </c>
      <c r="B72" s="554">
        <v>7063</v>
      </c>
      <c r="C72" s="554">
        <v>9425</v>
      </c>
      <c r="D72" s="554">
        <v>13467</v>
      </c>
      <c r="E72" s="554">
        <v>13247</v>
      </c>
      <c r="F72" s="554">
        <v>11541</v>
      </c>
      <c r="G72" s="554">
        <v>19547</v>
      </c>
      <c r="H72" s="554">
        <v>17908</v>
      </c>
    </row>
    <row r="73" spans="1:8">
      <c r="A73" s="554" t="s">
        <v>316</v>
      </c>
      <c r="B73" s="554">
        <v>2069</v>
      </c>
      <c r="C73" s="554">
        <v>3355</v>
      </c>
      <c r="D73" s="554">
        <v>4285</v>
      </c>
      <c r="E73" s="554">
        <v>4524</v>
      </c>
      <c r="F73" s="554">
        <v>4173</v>
      </c>
      <c r="G73" s="554">
        <v>4988</v>
      </c>
      <c r="H73" s="554">
        <v>4768</v>
      </c>
    </row>
    <row r="74" spans="1:8">
      <c r="A74" s="554" t="s">
        <v>315</v>
      </c>
      <c r="B74" s="554">
        <v>4752</v>
      </c>
      <c r="C74" s="554">
        <v>6163</v>
      </c>
      <c r="D74" s="554">
        <v>6277</v>
      </c>
      <c r="E74" s="554">
        <v>6692</v>
      </c>
      <c r="F74" s="554">
        <v>6410</v>
      </c>
      <c r="G74" s="554">
        <v>6960</v>
      </c>
      <c r="H74" s="554">
        <v>3118</v>
      </c>
    </row>
    <row r="75" spans="1:8">
      <c r="A75" s="554" t="s">
        <v>314</v>
      </c>
      <c r="B75" s="554">
        <v>304</v>
      </c>
      <c r="C75" s="554">
        <v>195</v>
      </c>
      <c r="D75" s="554">
        <v>1016</v>
      </c>
      <c r="E75" s="554">
        <v>1005</v>
      </c>
      <c r="F75" s="554">
        <v>1238</v>
      </c>
      <c r="G75" s="554">
        <v>1339</v>
      </c>
      <c r="H75" s="554">
        <v>1241</v>
      </c>
    </row>
    <row r="76" spans="1:8">
      <c r="A76" s="554" t="s">
        <v>313</v>
      </c>
      <c r="B76" s="554">
        <v>1699</v>
      </c>
      <c r="C76" s="554">
        <v>1895</v>
      </c>
      <c r="D76" s="554">
        <v>1862</v>
      </c>
      <c r="E76" s="554">
        <v>2061</v>
      </c>
      <c r="F76" s="554">
        <v>2202</v>
      </c>
      <c r="G76" s="554">
        <v>2760</v>
      </c>
      <c r="H76" s="554">
        <v>505</v>
      </c>
    </row>
    <row r="77" spans="1:8">
      <c r="A77" s="554" t="s">
        <v>312</v>
      </c>
      <c r="B77" s="554">
        <v>24518</v>
      </c>
      <c r="C77" s="554">
        <v>33639</v>
      </c>
      <c r="D77" s="554">
        <v>43155</v>
      </c>
      <c r="E77" s="554">
        <v>40696</v>
      </c>
      <c r="F77" s="554">
        <v>43084</v>
      </c>
      <c r="G77" s="554">
        <v>48150</v>
      </c>
      <c r="H77" s="554">
        <v>53608</v>
      </c>
    </row>
    <row r="78" spans="1:8">
      <c r="A78" s="554" t="s">
        <v>311</v>
      </c>
      <c r="B78" s="554">
        <v>3089</v>
      </c>
      <c r="C78" s="554">
        <v>4106</v>
      </c>
      <c r="D78" s="554">
        <v>3799</v>
      </c>
      <c r="E78" s="554">
        <v>3240</v>
      </c>
      <c r="F78" s="554">
        <v>2891</v>
      </c>
      <c r="G78" s="554">
        <v>3292</v>
      </c>
      <c r="H78" s="554">
        <v>2852</v>
      </c>
    </row>
    <row r="79" spans="1:8">
      <c r="A79" s="554" t="s">
        <v>310</v>
      </c>
      <c r="B79" s="554">
        <v>3101</v>
      </c>
      <c r="C79" s="554">
        <v>5207</v>
      </c>
      <c r="D79" s="554">
        <v>4732</v>
      </c>
      <c r="E79" s="554">
        <v>5142</v>
      </c>
      <c r="F79" s="554">
        <v>5817</v>
      </c>
      <c r="G79" s="554">
        <v>5576</v>
      </c>
      <c r="H79" s="554">
        <v>5206</v>
      </c>
    </row>
    <row r="80" spans="1:8">
      <c r="A80" s="554" t="s">
        <v>236</v>
      </c>
      <c r="B80" s="554">
        <v>1550</v>
      </c>
      <c r="C80" s="554">
        <v>2428</v>
      </c>
      <c r="D80" s="554">
        <v>3576</v>
      </c>
      <c r="E80" s="554">
        <v>2721</v>
      </c>
      <c r="F80" s="554">
        <v>4107</v>
      </c>
      <c r="G80" s="554">
        <v>6464</v>
      </c>
      <c r="H80" s="554">
        <v>3895</v>
      </c>
    </row>
    <row r="81" spans="1:8">
      <c r="A81" s="554" t="s">
        <v>31</v>
      </c>
      <c r="B81" s="554" t="s">
        <v>0</v>
      </c>
      <c r="C81" s="554" t="s">
        <v>0</v>
      </c>
      <c r="D81" s="554" t="s">
        <v>0</v>
      </c>
      <c r="E81" s="554" t="s">
        <v>0</v>
      </c>
      <c r="F81" s="554" t="s">
        <v>0</v>
      </c>
      <c r="G81" s="554" t="s">
        <v>0</v>
      </c>
      <c r="H81" s="554" t="s">
        <v>0</v>
      </c>
    </row>
    <row r="82" spans="1:8">
      <c r="A82" s="554" t="s">
        <v>523</v>
      </c>
      <c r="B82" s="554">
        <v>390515</v>
      </c>
      <c r="C82" s="554">
        <v>498823</v>
      </c>
      <c r="D82" s="554">
        <v>500289</v>
      </c>
      <c r="E82" s="554">
        <v>501312</v>
      </c>
      <c r="F82" s="554">
        <v>483186</v>
      </c>
      <c r="G82" s="554">
        <v>544308</v>
      </c>
      <c r="H82" s="554">
        <v>585837</v>
      </c>
    </row>
    <row r="83" spans="1:8">
      <c r="A83" s="554" t="s">
        <v>522</v>
      </c>
      <c r="B83" s="554">
        <v>19332</v>
      </c>
      <c r="C83" s="554">
        <v>30318</v>
      </c>
      <c r="D83" s="554">
        <v>40734</v>
      </c>
      <c r="E83" s="554">
        <v>51151</v>
      </c>
      <c r="F83" s="554">
        <v>45692</v>
      </c>
      <c r="G83" s="554">
        <v>35326</v>
      </c>
      <c r="H83" s="554">
        <v>14734</v>
      </c>
    </row>
    <row r="84" spans="1:8" ht="13">
      <c r="A84" s="1961" t="s">
        <v>7</v>
      </c>
      <c r="B84" s="1958"/>
      <c r="C84" s="1958"/>
      <c r="D84" s="1958"/>
      <c r="E84" s="1958"/>
      <c r="F84" s="1958"/>
      <c r="G84" s="1958"/>
      <c r="H84" s="1958"/>
    </row>
    <row r="85" spans="1:8">
      <c r="A85" s="1962" t="s">
        <v>272</v>
      </c>
      <c r="B85" s="1958"/>
      <c r="C85" s="1958"/>
      <c r="D85" s="1958"/>
      <c r="E85" s="1958"/>
      <c r="F85" s="1958"/>
      <c r="G85" s="1958"/>
      <c r="H85" s="1958"/>
    </row>
    <row r="86" spans="1:8">
      <c r="A86" s="1962" t="s">
        <v>1031</v>
      </c>
      <c r="B86" s="1958"/>
      <c r="C86" s="1958"/>
      <c r="D86" s="1958"/>
      <c r="E86" s="1958"/>
      <c r="F86" s="1958"/>
      <c r="G86" s="1958"/>
      <c r="H86" s="1958"/>
    </row>
    <row r="87" spans="1:8">
      <c r="A87" s="1962" t="s">
        <v>1032</v>
      </c>
      <c r="B87" s="1958"/>
      <c r="C87" s="1958"/>
      <c r="D87" s="1958"/>
      <c r="E87" s="1958"/>
      <c r="F87" s="1958"/>
      <c r="G87" s="1958"/>
      <c r="H87" s="1958"/>
    </row>
    <row r="88" spans="1:8">
      <c r="A88" s="1962" t="s">
        <v>1033</v>
      </c>
      <c r="B88" s="1958"/>
      <c r="C88" s="1958"/>
      <c r="D88" s="1958"/>
      <c r="E88" s="1958"/>
      <c r="F88" s="1958"/>
      <c r="G88" s="1958"/>
      <c r="H88" s="1958"/>
    </row>
    <row r="89" spans="1:8">
      <c r="A89" s="1962" t="s">
        <v>268</v>
      </c>
      <c r="B89" s="1958"/>
      <c r="C89" s="1958"/>
      <c r="D89" s="1958"/>
      <c r="E89" s="1958"/>
      <c r="F89" s="1958"/>
      <c r="G89" s="1958"/>
      <c r="H89" s="1958"/>
    </row>
    <row r="90" spans="1:8">
      <c r="A90" s="1962" t="s">
        <v>267</v>
      </c>
      <c r="B90" s="1958"/>
      <c r="C90" s="1958"/>
      <c r="D90" s="1958"/>
      <c r="E90" s="1958"/>
      <c r="F90" s="1958"/>
      <c r="G90" s="1958"/>
      <c r="H90" s="1958"/>
    </row>
    <row r="91" spans="1:8">
      <c r="A91" s="1962" t="s">
        <v>2138</v>
      </c>
      <c r="B91" s="1958"/>
      <c r="C91" s="1958"/>
      <c r="D91" s="1958"/>
      <c r="E91" s="1958"/>
      <c r="F91" s="1958"/>
      <c r="G91" s="1958"/>
      <c r="H91" s="1958"/>
    </row>
    <row r="92" spans="1:8">
      <c r="A92" s="1962" t="s">
        <v>520</v>
      </c>
      <c r="B92" s="1958"/>
      <c r="C92" s="1958"/>
      <c r="D92" s="1958"/>
      <c r="E92" s="1958"/>
      <c r="F92" s="1958"/>
      <c r="G92" s="1958"/>
      <c r="H92" s="1958"/>
    </row>
    <row r="93" spans="1:8">
      <c r="A93" s="1962" t="s">
        <v>2137</v>
      </c>
      <c r="B93" s="1958"/>
      <c r="C93" s="1958"/>
      <c r="D93" s="1958"/>
      <c r="E93" s="1958"/>
      <c r="F93" s="1958"/>
      <c r="G93" s="1958"/>
      <c r="H93" s="1958"/>
    </row>
    <row r="94" spans="1:8">
      <c r="A94" s="1962" t="s">
        <v>264</v>
      </c>
      <c r="B94" s="1958"/>
      <c r="C94" s="1958"/>
      <c r="D94" s="1958"/>
      <c r="E94" s="1958"/>
      <c r="F94" s="1958"/>
      <c r="G94" s="1958"/>
      <c r="H94" s="1958"/>
    </row>
    <row r="95" spans="1:8">
      <c r="A95" s="1962" t="s">
        <v>262</v>
      </c>
      <c r="B95" s="1958"/>
      <c r="C95" s="1958"/>
      <c r="D95" s="1958"/>
      <c r="E95" s="1958"/>
      <c r="F95" s="1958"/>
      <c r="G95" s="1958"/>
      <c r="H95" s="1958"/>
    </row>
    <row r="96" spans="1:8">
      <c r="A96" s="1962" t="s">
        <v>2144</v>
      </c>
      <c r="B96" s="1958"/>
      <c r="C96" s="1958"/>
      <c r="D96" s="1958"/>
      <c r="E96" s="1958"/>
      <c r="F96" s="1958"/>
      <c r="G96" s="1958"/>
      <c r="H96" s="1958"/>
    </row>
    <row r="97" spans="1:8">
      <c r="A97" s="1962" t="s">
        <v>263</v>
      </c>
      <c r="B97" s="1958"/>
      <c r="C97" s="1958"/>
      <c r="D97" s="1958"/>
      <c r="E97" s="1958"/>
      <c r="F97" s="1958"/>
      <c r="G97" s="1958"/>
      <c r="H97" s="1958"/>
    </row>
  </sheetData>
  <mergeCells count="27">
    <mergeCell ref="A93:H93"/>
    <mergeCell ref="A94:H94"/>
    <mergeCell ref="A95:H95"/>
    <mergeCell ref="A96:H96"/>
    <mergeCell ref="A97:H97"/>
    <mergeCell ref="A92:H92"/>
    <mergeCell ref="F7"/>
    <mergeCell ref="G7"/>
    <mergeCell ref="H7"/>
    <mergeCell ref="A84:H84"/>
    <mergeCell ref="A85:H85"/>
    <mergeCell ref="A86:H86"/>
    <mergeCell ref="A87:H87"/>
    <mergeCell ref="A88:H88"/>
    <mergeCell ref="A89:H89"/>
    <mergeCell ref="A90:H90"/>
    <mergeCell ref="A91:H91"/>
    <mergeCell ref="A1:H1"/>
    <mergeCell ref="A2:H2"/>
    <mergeCell ref="A3:H3"/>
    <mergeCell ref="A4:H4"/>
    <mergeCell ref="A6:A7"/>
    <mergeCell ref="B6:H6"/>
    <mergeCell ref="B7"/>
    <mergeCell ref="C7"/>
    <mergeCell ref="D7"/>
    <mergeCell ref="E7"/>
  </mergeCell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0"/>
  <sheetViews>
    <sheetView showGridLines="0" topLeftCell="A7" workbookViewId="0">
      <selection activeCell="X67" sqref="X67"/>
    </sheetView>
  </sheetViews>
  <sheetFormatPr baseColWidth="10" defaultRowHeight="12" x14ac:dyDescent="0"/>
  <cols>
    <col min="1" max="1" width="20.5703125" style="554" customWidth="1"/>
    <col min="2" max="2" width="1.85546875" style="554" customWidth="1"/>
    <col min="3" max="16384" width="10.7109375" style="554"/>
  </cols>
  <sheetData>
    <row r="1" spans="1:7" hidden="1">
      <c r="A1" s="564" t="e">
        <f ca="1">DotStatQuery(B1)</f>
        <v>#NAME?</v>
      </c>
      <c r="B1" s="564" t="s">
        <v>2127</v>
      </c>
    </row>
    <row r="2" spans="1:7" ht="48">
      <c r="A2" s="563" t="s">
        <v>2126</v>
      </c>
    </row>
    <row r="3" spans="1:7">
      <c r="A3" s="1968" t="s">
        <v>2125</v>
      </c>
      <c r="B3" s="1969"/>
      <c r="C3" s="1970" t="s">
        <v>1900</v>
      </c>
      <c r="D3" s="1971"/>
      <c r="E3" s="1971"/>
      <c r="F3" s="1971"/>
      <c r="G3" s="1972"/>
    </row>
    <row r="4" spans="1:7">
      <c r="A4" s="1968" t="s">
        <v>2124</v>
      </c>
      <c r="B4" s="1969"/>
      <c r="C4" s="1973" t="s">
        <v>2129</v>
      </c>
      <c r="D4" s="1974"/>
      <c r="E4" s="1974"/>
      <c r="F4" s="1974"/>
      <c r="G4" s="1975"/>
    </row>
    <row r="5" spans="1:7">
      <c r="A5" s="1968" t="s">
        <v>2123</v>
      </c>
      <c r="B5" s="1969"/>
      <c r="C5" s="1973" t="s">
        <v>2122</v>
      </c>
      <c r="D5" s="1974"/>
      <c r="E5" s="1974"/>
      <c r="F5" s="1974"/>
      <c r="G5" s="1975"/>
    </row>
    <row r="6" spans="1:7">
      <c r="A6" s="1963" t="s">
        <v>2121</v>
      </c>
      <c r="B6" s="1964"/>
      <c r="C6" s="1965" t="s">
        <v>2120</v>
      </c>
      <c r="D6" s="1966"/>
      <c r="E6" s="1966"/>
      <c r="F6" s="1966"/>
      <c r="G6" s="1967"/>
    </row>
    <row r="7" spans="1:7">
      <c r="A7" s="1963" t="s">
        <v>791</v>
      </c>
      <c r="B7" s="1964"/>
      <c r="C7" s="562" t="s">
        <v>77</v>
      </c>
      <c r="D7" s="562" t="s">
        <v>76</v>
      </c>
      <c r="E7" s="562" t="s">
        <v>75</v>
      </c>
      <c r="F7" s="562" t="s">
        <v>74</v>
      </c>
      <c r="G7" s="562" t="s">
        <v>866</v>
      </c>
    </row>
    <row r="8" spans="1:7" ht="13">
      <c r="A8" s="561" t="s">
        <v>2119</v>
      </c>
      <c r="B8" s="557" t="s">
        <v>1950</v>
      </c>
      <c r="C8" s="557" t="s">
        <v>0</v>
      </c>
      <c r="D8" s="557" t="s">
        <v>0</v>
      </c>
      <c r="E8" s="557" t="s">
        <v>0</v>
      </c>
      <c r="F8" s="557" t="s">
        <v>0</v>
      </c>
      <c r="G8" s="557" t="s">
        <v>0</v>
      </c>
    </row>
    <row r="9" spans="1:7" ht="22">
      <c r="A9" s="558" t="s">
        <v>2118</v>
      </c>
      <c r="B9" s="557" t="s">
        <v>0</v>
      </c>
      <c r="C9" s="565">
        <v>493629</v>
      </c>
      <c r="D9" s="565">
        <v>538721</v>
      </c>
      <c r="E9" s="565">
        <v>555862</v>
      </c>
      <c r="F9" s="565">
        <v>563542</v>
      </c>
      <c r="G9" s="565">
        <v>621681</v>
      </c>
    </row>
    <row r="10" spans="1:7" ht="13">
      <c r="A10" s="558" t="s">
        <v>1922</v>
      </c>
      <c r="B10" s="557" t="s">
        <v>0</v>
      </c>
      <c r="C10" s="566">
        <v>397229</v>
      </c>
      <c r="D10" s="566">
        <v>426991</v>
      </c>
      <c r="E10" s="566">
        <v>434352</v>
      </c>
      <c r="F10" s="566">
        <v>432761</v>
      </c>
      <c r="G10" s="566">
        <v>469717</v>
      </c>
    </row>
    <row r="11" spans="1:7" ht="13">
      <c r="A11" s="558" t="s">
        <v>1947</v>
      </c>
      <c r="B11" s="557" t="s">
        <v>0</v>
      </c>
      <c r="C11" s="565">
        <v>3288</v>
      </c>
      <c r="D11" s="565">
        <v>3568</v>
      </c>
      <c r="E11" s="565">
        <v>3671</v>
      </c>
      <c r="F11" s="565">
        <v>3815</v>
      </c>
      <c r="G11" s="565">
        <v>3938</v>
      </c>
    </row>
    <row r="12" spans="1:7" ht="13">
      <c r="A12" s="558" t="s">
        <v>1948</v>
      </c>
      <c r="B12" s="557" t="s">
        <v>0</v>
      </c>
      <c r="C12" s="566">
        <v>21876</v>
      </c>
      <c r="D12" s="566">
        <v>25062</v>
      </c>
      <c r="E12" s="566">
        <v>26863</v>
      </c>
      <c r="F12" s="566">
        <v>27042</v>
      </c>
      <c r="G12" s="566">
        <v>29046</v>
      </c>
    </row>
    <row r="13" spans="1:7" ht="13">
      <c r="A13" s="558" t="s">
        <v>1895</v>
      </c>
      <c r="B13" s="557" t="s">
        <v>0</v>
      </c>
      <c r="C13" s="565">
        <v>11080</v>
      </c>
      <c r="D13" s="565">
        <v>12232</v>
      </c>
      <c r="E13" s="565">
        <v>11907</v>
      </c>
      <c r="F13" s="565">
        <v>11792</v>
      </c>
      <c r="G13" s="565">
        <v>11955</v>
      </c>
    </row>
    <row r="14" spans="1:7" ht="13">
      <c r="A14" s="558" t="s">
        <v>510</v>
      </c>
      <c r="B14" s="557" t="s">
        <v>0</v>
      </c>
      <c r="C14" s="566">
        <v>57434</v>
      </c>
      <c r="D14" s="566">
        <v>61730</v>
      </c>
      <c r="E14" s="566">
        <v>63497</v>
      </c>
      <c r="F14" s="566">
        <v>62549</v>
      </c>
      <c r="G14" s="566">
        <v>68681</v>
      </c>
    </row>
    <row r="15" spans="1:7" ht="13">
      <c r="A15" s="558" t="s">
        <v>695</v>
      </c>
      <c r="B15" s="557" t="s">
        <v>0</v>
      </c>
      <c r="C15" s="565">
        <v>9749</v>
      </c>
      <c r="D15" s="565">
        <v>11115</v>
      </c>
      <c r="E15" s="565">
        <v>11414</v>
      </c>
      <c r="F15" s="565">
        <v>11191</v>
      </c>
      <c r="G15" s="565">
        <v>12859</v>
      </c>
    </row>
    <row r="16" spans="1:7" ht="13">
      <c r="A16" s="558" t="s">
        <v>1944</v>
      </c>
      <c r="B16" s="557" t="s">
        <v>0</v>
      </c>
      <c r="C16" s="566">
        <v>2615</v>
      </c>
      <c r="D16" s="566">
        <v>3000</v>
      </c>
      <c r="E16" s="566">
        <v>3520</v>
      </c>
      <c r="F16" s="566">
        <v>3472</v>
      </c>
      <c r="G16" s="566">
        <v>3730</v>
      </c>
    </row>
    <row r="17" spans="1:7" ht="13">
      <c r="A17" s="558" t="s">
        <v>1943</v>
      </c>
      <c r="B17" s="557" t="s">
        <v>0</v>
      </c>
      <c r="C17" s="565">
        <v>2137</v>
      </c>
      <c r="D17" s="565">
        <v>2274</v>
      </c>
      <c r="E17" s="565">
        <v>2204</v>
      </c>
      <c r="F17" s="565">
        <v>2102</v>
      </c>
      <c r="G17" s="565">
        <v>2250</v>
      </c>
    </row>
    <row r="18" spans="1:7" ht="13">
      <c r="A18" s="558" t="s">
        <v>1891</v>
      </c>
      <c r="B18" s="557" t="s">
        <v>0</v>
      </c>
      <c r="C18" s="566">
        <v>48016</v>
      </c>
      <c r="D18" s="566">
        <v>51063</v>
      </c>
      <c r="E18" s="566">
        <v>49963</v>
      </c>
      <c r="F18" s="566">
        <v>50356</v>
      </c>
      <c r="G18" s="566">
        <v>54027</v>
      </c>
    </row>
    <row r="19" spans="1:7" ht="13">
      <c r="A19" s="558" t="s">
        <v>1942</v>
      </c>
      <c r="B19" s="557" t="s">
        <v>0</v>
      </c>
      <c r="C19" s="565">
        <v>3051</v>
      </c>
      <c r="D19" s="565">
        <v>3073</v>
      </c>
      <c r="E19" s="565">
        <v>3337</v>
      </c>
      <c r="F19" s="565">
        <v>3961</v>
      </c>
      <c r="G19" s="565">
        <v>4516</v>
      </c>
    </row>
    <row r="20" spans="1:7" ht="13">
      <c r="A20" s="558" t="s">
        <v>1940</v>
      </c>
      <c r="B20" s="557" t="s">
        <v>0</v>
      </c>
      <c r="C20" s="566">
        <v>45</v>
      </c>
      <c r="D20" s="566">
        <v>57</v>
      </c>
      <c r="E20" s="566">
        <v>91</v>
      </c>
      <c r="F20" s="566">
        <v>97</v>
      </c>
      <c r="G20" s="566">
        <v>105</v>
      </c>
    </row>
    <row r="21" spans="1:7" ht="13">
      <c r="A21" s="558" t="s">
        <v>1941</v>
      </c>
      <c r="B21" s="557" t="s">
        <v>0</v>
      </c>
      <c r="C21" s="565">
        <v>10648</v>
      </c>
      <c r="D21" s="565">
        <v>11455</v>
      </c>
      <c r="E21" s="565">
        <v>10591</v>
      </c>
      <c r="F21" s="565">
        <v>10295</v>
      </c>
      <c r="G21" s="565">
        <v>10970</v>
      </c>
    </row>
    <row r="22" spans="1:7" ht="13">
      <c r="A22" s="558" t="s">
        <v>1936</v>
      </c>
      <c r="B22" s="557" t="s">
        <v>0</v>
      </c>
      <c r="C22" s="566">
        <v>1487</v>
      </c>
      <c r="D22" s="566">
        <v>1527</v>
      </c>
      <c r="E22" s="566">
        <v>1517</v>
      </c>
      <c r="F22" s="566">
        <v>1429</v>
      </c>
      <c r="G22" s="566">
        <v>1486</v>
      </c>
    </row>
    <row r="23" spans="1:7" ht="13">
      <c r="A23" s="558" t="s">
        <v>1890</v>
      </c>
      <c r="B23" s="557" t="s">
        <v>0</v>
      </c>
      <c r="C23" s="565">
        <v>34211</v>
      </c>
      <c r="D23" s="565">
        <v>35445</v>
      </c>
      <c r="E23" s="565">
        <v>34192</v>
      </c>
      <c r="F23" s="565">
        <v>34437</v>
      </c>
      <c r="G23" s="565">
        <v>35588</v>
      </c>
    </row>
    <row r="24" spans="1:7" ht="13">
      <c r="A24" s="558" t="s">
        <v>1935</v>
      </c>
      <c r="B24" s="557" t="s">
        <v>0</v>
      </c>
      <c r="C24" s="566">
        <v>1128</v>
      </c>
      <c r="D24" s="566">
        <v>1100</v>
      </c>
      <c r="E24" s="566">
        <v>987</v>
      </c>
      <c r="F24" s="566">
        <v>1004</v>
      </c>
      <c r="G24" s="566">
        <v>1022</v>
      </c>
    </row>
    <row r="25" spans="1:7" ht="13">
      <c r="A25" s="558" t="s">
        <v>1932</v>
      </c>
      <c r="B25" s="557" t="s">
        <v>0</v>
      </c>
      <c r="C25" s="565">
        <v>1629</v>
      </c>
      <c r="D25" s="565">
        <v>1694</v>
      </c>
      <c r="E25" s="565">
        <v>1664</v>
      </c>
      <c r="F25" s="565">
        <v>1686</v>
      </c>
      <c r="G25" s="565">
        <v>1665</v>
      </c>
    </row>
    <row r="26" spans="1:7" ht="13">
      <c r="A26" s="558" t="s">
        <v>693</v>
      </c>
      <c r="B26" s="557" t="s">
        <v>0</v>
      </c>
      <c r="C26" s="566">
        <v>7190</v>
      </c>
      <c r="D26" s="566">
        <v>7421</v>
      </c>
      <c r="E26" s="566">
        <v>8158</v>
      </c>
      <c r="F26" s="566">
        <v>8267</v>
      </c>
      <c r="G26" s="566">
        <v>9209</v>
      </c>
    </row>
    <row r="27" spans="1:7" ht="13">
      <c r="A27" s="558" t="s">
        <v>1930</v>
      </c>
      <c r="B27" s="557" t="s">
        <v>0</v>
      </c>
      <c r="C27" s="565">
        <v>73</v>
      </c>
      <c r="D27" s="565">
        <v>81</v>
      </c>
      <c r="E27" s="565">
        <v>96</v>
      </c>
      <c r="F27" s="565" t="s">
        <v>1905</v>
      </c>
      <c r="G27" s="565">
        <v>114</v>
      </c>
    </row>
    <row r="28" spans="1:7" ht="13">
      <c r="A28" s="558" t="s">
        <v>1929</v>
      </c>
      <c r="B28" s="557" t="s">
        <v>0</v>
      </c>
      <c r="C28" s="566">
        <v>3675</v>
      </c>
      <c r="D28" s="566">
        <v>4066</v>
      </c>
      <c r="E28" s="566">
        <v>4267</v>
      </c>
      <c r="F28" s="566">
        <v>4427</v>
      </c>
      <c r="G28" s="566">
        <v>5301</v>
      </c>
    </row>
    <row r="29" spans="1:7" ht="13">
      <c r="A29" s="558" t="s">
        <v>1896</v>
      </c>
      <c r="B29" s="557" t="s">
        <v>0</v>
      </c>
      <c r="C29" s="565">
        <v>13886</v>
      </c>
      <c r="D29" s="565">
        <v>15315</v>
      </c>
      <c r="E29" s="565">
        <v>15018</v>
      </c>
      <c r="F29" s="565">
        <v>14972</v>
      </c>
      <c r="G29" s="565">
        <v>15957</v>
      </c>
    </row>
    <row r="30" spans="1:7" ht="13">
      <c r="A30" s="558" t="s">
        <v>1436</v>
      </c>
      <c r="B30" s="557" t="s">
        <v>0</v>
      </c>
      <c r="C30" s="566">
        <v>28021</v>
      </c>
      <c r="D30" s="566">
        <v>30828</v>
      </c>
      <c r="E30" s="566">
        <v>32303</v>
      </c>
      <c r="F30" s="566">
        <v>28252</v>
      </c>
      <c r="G30" s="566">
        <v>27138</v>
      </c>
    </row>
    <row r="31" spans="1:7" ht="13">
      <c r="A31" s="558" t="s">
        <v>1928</v>
      </c>
      <c r="B31" s="557" t="s">
        <v>0</v>
      </c>
      <c r="C31" s="565">
        <v>5352</v>
      </c>
      <c r="D31" s="565">
        <v>6104</v>
      </c>
      <c r="E31" s="565">
        <v>6890</v>
      </c>
      <c r="F31" s="565">
        <v>6974</v>
      </c>
      <c r="G31" s="565">
        <v>7647</v>
      </c>
    </row>
    <row r="32" spans="1:7" ht="13">
      <c r="A32" s="558" t="s">
        <v>697</v>
      </c>
      <c r="B32" s="557" t="s">
        <v>0</v>
      </c>
      <c r="C32" s="566">
        <v>1389</v>
      </c>
      <c r="D32" s="566">
        <v>1216</v>
      </c>
      <c r="E32" s="566">
        <v>1225</v>
      </c>
      <c r="F32" s="566">
        <v>1788</v>
      </c>
      <c r="G32" s="566">
        <v>1889</v>
      </c>
    </row>
    <row r="33" spans="1:7" ht="13">
      <c r="A33" s="558" t="s">
        <v>1894</v>
      </c>
      <c r="B33" s="557" t="s">
        <v>0</v>
      </c>
      <c r="C33" s="565">
        <v>16265</v>
      </c>
      <c r="D33" s="565">
        <v>16946</v>
      </c>
      <c r="E33" s="565">
        <v>17356</v>
      </c>
      <c r="F33" s="565">
        <v>18497</v>
      </c>
      <c r="G33" s="565">
        <v>21342</v>
      </c>
    </row>
    <row r="34" spans="1:7" ht="13">
      <c r="A34" s="558" t="s">
        <v>694</v>
      </c>
      <c r="B34" s="557" t="s">
        <v>0</v>
      </c>
      <c r="C34" s="566">
        <v>16004</v>
      </c>
      <c r="D34" s="566">
        <v>17021</v>
      </c>
      <c r="E34" s="566">
        <v>16913</v>
      </c>
      <c r="F34" s="566">
        <v>18096</v>
      </c>
      <c r="G34" s="566">
        <v>18525</v>
      </c>
    </row>
    <row r="35" spans="1:7" ht="13">
      <c r="A35" s="558" t="s">
        <v>1897</v>
      </c>
      <c r="B35" s="557" t="s">
        <v>0</v>
      </c>
      <c r="C35" s="565">
        <v>4054</v>
      </c>
      <c r="D35" s="565">
        <v>4787</v>
      </c>
      <c r="E35" s="565">
        <v>5020</v>
      </c>
      <c r="F35" s="565">
        <v>5337</v>
      </c>
      <c r="G35" s="565">
        <v>5744</v>
      </c>
    </row>
    <row r="36" spans="1:7" ht="13">
      <c r="A36" s="558" t="s">
        <v>1923</v>
      </c>
      <c r="B36" s="557" t="s">
        <v>0</v>
      </c>
      <c r="C36" s="566">
        <v>1272</v>
      </c>
      <c r="D36" s="566">
        <v>1431</v>
      </c>
      <c r="E36" s="566">
        <v>1479</v>
      </c>
      <c r="F36" s="566">
        <v>1480</v>
      </c>
      <c r="G36" s="566">
        <v>1776</v>
      </c>
    </row>
    <row r="37" spans="1:7" ht="13">
      <c r="A37" s="558" t="s">
        <v>1919</v>
      </c>
      <c r="B37" s="557" t="s">
        <v>0</v>
      </c>
      <c r="C37" s="565">
        <v>3776</v>
      </c>
      <c r="D37" s="565">
        <v>3929</v>
      </c>
      <c r="E37" s="565">
        <v>4014</v>
      </c>
      <c r="F37" s="565">
        <v>4136</v>
      </c>
      <c r="G37" s="565">
        <v>4443</v>
      </c>
    </row>
    <row r="38" spans="1:7" ht="13">
      <c r="A38" s="558" t="s">
        <v>1918</v>
      </c>
      <c r="B38" s="557" t="s">
        <v>0</v>
      </c>
      <c r="C38" s="566">
        <v>1360</v>
      </c>
      <c r="D38" s="566">
        <v>1342</v>
      </c>
      <c r="E38" s="566">
        <v>1311</v>
      </c>
      <c r="F38" s="566">
        <v>1238</v>
      </c>
      <c r="G38" s="566">
        <v>1325</v>
      </c>
    </row>
    <row r="39" spans="1:7" ht="13">
      <c r="A39" s="558" t="s">
        <v>1913</v>
      </c>
      <c r="B39" s="557" t="s">
        <v>0</v>
      </c>
      <c r="C39" s="565">
        <v>4662</v>
      </c>
      <c r="D39" s="565">
        <v>5466</v>
      </c>
      <c r="E39" s="565">
        <v>5578</v>
      </c>
      <c r="F39" s="565">
        <v>5807</v>
      </c>
      <c r="G39" s="565">
        <v>6050</v>
      </c>
    </row>
    <row r="40" spans="1:7" ht="13">
      <c r="A40" s="558" t="s">
        <v>1914</v>
      </c>
      <c r="B40" s="557" t="s">
        <v>0</v>
      </c>
      <c r="C40" s="566">
        <v>168</v>
      </c>
      <c r="D40" s="566">
        <v>178</v>
      </c>
      <c r="E40" s="566">
        <v>163</v>
      </c>
      <c r="F40" s="566">
        <v>145</v>
      </c>
      <c r="G40" s="566">
        <v>160</v>
      </c>
    </row>
    <row r="41" spans="1:7" ht="13">
      <c r="A41" s="558" t="s">
        <v>1915</v>
      </c>
      <c r="B41" s="557" t="s">
        <v>0</v>
      </c>
      <c r="C41" s="565">
        <v>1026</v>
      </c>
      <c r="D41" s="565">
        <v>1121</v>
      </c>
      <c r="E41" s="565">
        <v>1094</v>
      </c>
      <c r="F41" s="565">
        <v>1202</v>
      </c>
      <c r="G41" s="565">
        <v>1451</v>
      </c>
    </row>
    <row r="42" spans="1:7" ht="13">
      <c r="A42" s="558" t="s">
        <v>1911</v>
      </c>
      <c r="B42" s="557" t="s">
        <v>0</v>
      </c>
      <c r="C42" s="566">
        <v>1819</v>
      </c>
      <c r="D42" s="566">
        <v>1930</v>
      </c>
      <c r="E42" s="566">
        <v>2051</v>
      </c>
      <c r="F42" s="566">
        <v>2119</v>
      </c>
      <c r="G42" s="566">
        <v>2091</v>
      </c>
    </row>
    <row r="43" spans="1:7" ht="13">
      <c r="A43" s="558" t="s">
        <v>1892</v>
      </c>
      <c r="B43" s="557" t="s">
        <v>0</v>
      </c>
      <c r="C43" s="565">
        <v>78843</v>
      </c>
      <c r="D43" s="565">
        <v>83414</v>
      </c>
      <c r="E43" s="565">
        <v>85998</v>
      </c>
      <c r="F43" s="565">
        <v>84639</v>
      </c>
      <c r="G43" s="565">
        <v>97717</v>
      </c>
    </row>
    <row r="44" spans="1:7" ht="13">
      <c r="A44" s="558" t="s">
        <v>1900</v>
      </c>
      <c r="B44" s="557" t="s">
        <v>0</v>
      </c>
      <c r="C44" s="566" t="s">
        <v>1905</v>
      </c>
      <c r="D44" s="566" t="s">
        <v>1905</v>
      </c>
      <c r="E44" s="566" t="s">
        <v>1905</v>
      </c>
      <c r="F44" s="566" t="s">
        <v>1905</v>
      </c>
      <c r="G44" s="566" t="s">
        <v>1905</v>
      </c>
    </row>
    <row r="45" spans="1:7" ht="13">
      <c r="A45" s="558" t="s">
        <v>2</v>
      </c>
      <c r="B45" s="557" t="s">
        <v>0</v>
      </c>
      <c r="C45" s="565">
        <v>265473</v>
      </c>
      <c r="D45" s="565">
        <v>284026</v>
      </c>
      <c r="E45" s="565">
        <v>284567</v>
      </c>
      <c r="F45" s="565">
        <v>286804</v>
      </c>
      <c r="G45" s="565">
        <v>313331</v>
      </c>
    </row>
    <row r="46" spans="1:7" ht="13">
      <c r="A46" s="558" t="s">
        <v>2117</v>
      </c>
      <c r="B46" s="557" t="s">
        <v>0</v>
      </c>
      <c r="C46" s="566" t="s">
        <v>1905</v>
      </c>
      <c r="D46" s="566" t="s">
        <v>1905</v>
      </c>
      <c r="E46" s="566" t="s">
        <v>1905</v>
      </c>
      <c r="F46" s="566">
        <v>262454</v>
      </c>
      <c r="G46" s="566">
        <v>285656</v>
      </c>
    </row>
    <row r="47" spans="1:7" ht="13">
      <c r="A47" s="558" t="s">
        <v>2116</v>
      </c>
      <c r="B47" s="557" t="s">
        <v>0</v>
      </c>
      <c r="C47" s="565">
        <v>245984</v>
      </c>
      <c r="D47" s="565">
        <v>260967</v>
      </c>
      <c r="E47" s="565">
        <v>260666</v>
      </c>
      <c r="F47" s="565" t="s">
        <v>1905</v>
      </c>
      <c r="G47" s="565" t="s">
        <v>1905</v>
      </c>
    </row>
    <row r="48" spans="1:7" ht="13">
      <c r="A48" s="558" t="s">
        <v>2115</v>
      </c>
      <c r="B48" s="557" t="s">
        <v>0</v>
      </c>
      <c r="C48" s="566">
        <v>2</v>
      </c>
      <c r="D48" s="566">
        <v>2</v>
      </c>
      <c r="E48" s="566">
        <v>2</v>
      </c>
      <c r="F48" s="566">
        <v>2</v>
      </c>
      <c r="G48" s="566" t="s">
        <v>1905</v>
      </c>
    </row>
    <row r="49" spans="1:7" ht="13">
      <c r="A49" s="558" t="s">
        <v>2114</v>
      </c>
      <c r="B49" s="557" t="s">
        <v>0</v>
      </c>
      <c r="C49" s="565">
        <v>0</v>
      </c>
      <c r="D49" s="565">
        <v>0</v>
      </c>
      <c r="E49" s="565">
        <v>0</v>
      </c>
      <c r="F49" s="565">
        <v>0</v>
      </c>
      <c r="G49" s="565">
        <v>5</v>
      </c>
    </row>
    <row r="50" spans="1:7" ht="13">
      <c r="A50" s="558" t="s">
        <v>2113</v>
      </c>
      <c r="B50" s="557" t="s">
        <v>0</v>
      </c>
      <c r="C50" s="566">
        <v>7</v>
      </c>
      <c r="D50" s="566">
        <v>7</v>
      </c>
      <c r="E50" s="566">
        <v>8</v>
      </c>
      <c r="F50" s="566">
        <v>6</v>
      </c>
      <c r="G50" s="566">
        <v>11</v>
      </c>
    </row>
    <row r="51" spans="1:7" ht="13">
      <c r="A51" s="558" t="s">
        <v>1945</v>
      </c>
      <c r="B51" s="557" t="s">
        <v>0</v>
      </c>
      <c r="C51" s="565">
        <v>104</v>
      </c>
      <c r="D51" s="565">
        <v>111</v>
      </c>
      <c r="E51" s="565">
        <v>104</v>
      </c>
      <c r="F51" s="565">
        <v>149</v>
      </c>
      <c r="G51" s="565">
        <v>197</v>
      </c>
    </row>
    <row r="52" spans="1:7" ht="13">
      <c r="A52" s="558" t="s">
        <v>2112</v>
      </c>
      <c r="B52" s="557" t="s">
        <v>0</v>
      </c>
      <c r="C52" s="566">
        <v>9</v>
      </c>
      <c r="D52" s="566">
        <v>9</v>
      </c>
      <c r="E52" s="566">
        <v>9</v>
      </c>
      <c r="F52" s="566">
        <v>9</v>
      </c>
      <c r="G52" s="566" t="s">
        <v>1905</v>
      </c>
    </row>
    <row r="53" spans="1:7" ht="13">
      <c r="A53" s="558" t="s">
        <v>2111</v>
      </c>
      <c r="B53" s="557" t="s">
        <v>0</v>
      </c>
      <c r="C53" s="565">
        <v>80</v>
      </c>
      <c r="D53" s="565">
        <v>92</v>
      </c>
      <c r="E53" s="565">
        <v>92</v>
      </c>
      <c r="F53" s="565">
        <v>94</v>
      </c>
      <c r="G53" s="565">
        <v>124</v>
      </c>
    </row>
    <row r="54" spans="1:7" ht="13">
      <c r="A54" s="558" t="s">
        <v>2110</v>
      </c>
      <c r="B54" s="557" t="s">
        <v>0</v>
      </c>
      <c r="C54" s="566" t="s">
        <v>1905</v>
      </c>
      <c r="D54" s="566" t="s">
        <v>1905</v>
      </c>
      <c r="E54" s="566" t="s">
        <v>1905</v>
      </c>
      <c r="F54" s="566" t="s">
        <v>1905</v>
      </c>
      <c r="G54" s="566" t="s">
        <v>1905</v>
      </c>
    </row>
    <row r="55" spans="1:7" ht="13">
      <c r="A55" s="558" t="s">
        <v>2109</v>
      </c>
      <c r="B55" s="557" t="s">
        <v>0</v>
      </c>
      <c r="C55" s="565">
        <v>9</v>
      </c>
      <c r="D55" s="565">
        <v>9</v>
      </c>
      <c r="E55" s="565" t="s">
        <v>1905</v>
      </c>
      <c r="F55" s="565" t="s">
        <v>1905</v>
      </c>
      <c r="G55" s="565" t="s">
        <v>1905</v>
      </c>
    </row>
    <row r="56" spans="1:7" ht="13">
      <c r="A56" s="558" t="s">
        <v>2108</v>
      </c>
      <c r="B56" s="557" t="s">
        <v>0</v>
      </c>
      <c r="C56" s="566" t="s">
        <v>1905</v>
      </c>
      <c r="D56" s="566" t="s">
        <v>1905</v>
      </c>
      <c r="E56" s="566" t="s">
        <v>1905</v>
      </c>
      <c r="F56" s="566" t="s">
        <v>1905</v>
      </c>
      <c r="G56" s="566" t="s">
        <v>1905</v>
      </c>
    </row>
    <row r="57" spans="1:7" ht="13">
      <c r="A57" s="558" t="s">
        <v>1933</v>
      </c>
      <c r="B57" s="557" t="s">
        <v>0</v>
      </c>
      <c r="C57" s="565">
        <v>71</v>
      </c>
      <c r="D57" s="565">
        <v>71</v>
      </c>
      <c r="E57" s="565">
        <v>56</v>
      </c>
      <c r="F57" s="565">
        <v>56</v>
      </c>
      <c r="G57" s="565">
        <v>68</v>
      </c>
    </row>
    <row r="58" spans="1:7" ht="13">
      <c r="A58" s="558" t="s">
        <v>2107</v>
      </c>
      <c r="B58" s="557" t="s">
        <v>0</v>
      </c>
      <c r="C58" s="566" t="s">
        <v>1905</v>
      </c>
      <c r="D58" s="566" t="s">
        <v>1905</v>
      </c>
      <c r="E58" s="566" t="s">
        <v>1905</v>
      </c>
      <c r="F58" s="566" t="s">
        <v>1905</v>
      </c>
      <c r="G58" s="566" t="s">
        <v>1905</v>
      </c>
    </row>
    <row r="59" spans="1:7" ht="13">
      <c r="A59" s="558" t="s">
        <v>2106</v>
      </c>
      <c r="B59" s="557" t="s">
        <v>0</v>
      </c>
      <c r="C59" s="565" t="s">
        <v>1905</v>
      </c>
      <c r="D59" s="565" t="s">
        <v>1905</v>
      </c>
      <c r="E59" s="565" t="s">
        <v>1905</v>
      </c>
      <c r="F59" s="565" t="s">
        <v>1905</v>
      </c>
      <c r="G59" s="565" t="s">
        <v>1905</v>
      </c>
    </row>
    <row r="60" spans="1:7" ht="13">
      <c r="A60" s="558" t="s">
        <v>2105</v>
      </c>
      <c r="B60" s="557" t="s">
        <v>0</v>
      </c>
      <c r="C60" s="566">
        <v>0</v>
      </c>
      <c r="D60" s="566">
        <v>0</v>
      </c>
      <c r="E60" s="566">
        <v>0</v>
      </c>
      <c r="F60" s="566">
        <v>0</v>
      </c>
      <c r="G60" s="566">
        <v>0</v>
      </c>
    </row>
    <row r="61" spans="1:7" ht="13">
      <c r="A61" s="558" t="s">
        <v>1927</v>
      </c>
      <c r="B61" s="557" t="s">
        <v>0</v>
      </c>
      <c r="C61" s="565">
        <v>52</v>
      </c>
      <c r="D61" s="565">
        <v>52</v>
      </c>
      <c r="E61" s="565">
        <v>47</v>
      </c>
      <c r="F61" s="565">
        <v>48</v>
      </c>
      <c r="G61" s="565">
        <v>43</v>
      </c>
    </row>
    <row r="62" spans="1:7" ht="13">
      <c r="A62" s="558" t="s">
        <v>1926</v>
      </c>
      <c r="B62" s="557" t="s">
        <v>0</v>
      </c>
      <c r="C62" s="566">
        <v>20</v>
      </c>
      <c r="D62" s="566">
        <v>20</v>
      </c>
      <c r="E62" s="566">
        <v>27</v>
      </c>
      <c r="F62" s="566">
        <v>16</v>
      </c>
      <c r="G62" s="566">
        <v>26</v>
      </c>
    </row>
    <row r="63" spans="1:7" ht="13">
      <c r="A63" s="558" t="s">
        <v>2104</v>
      </c>
      <c r="B63" s="557" t="s">
        <v>0</v>
      </c>
      <c r="C63" s="565">
        <v>30</v>
      </c>
      <c r="D63" s="565">
        <v>31</v>
      </c>
      <c r="E63" s="565">
        <v>34</v>
      </c>
      <c r="F63" s="565">
        <v>18</v>
      </c>
      <c r="G63" s="565">
        <v>17</v>
      </c>
    </row>
    <row r="64" spans="1:7" ht="13">
      <c r="A64" s="558" t="s">
        <v>2103</v>
      </c>
      <c r="B64" s="557" t="s">
        <v>0</v>
      </c>
      <c r="C64" s="566" t="s">
        <v>1905</v>
      </c>
      <c r="D64" s="566" t="s">
        <v>1905</v>
      </c>
      <c r="E64" s="566" t="s">
        <v>1905</v>
      </c>
      <c r="F64" s="566">
        <v>3</v>
      </c>
      <c r="G64" s="566">
        <v>18</v>
      </c>
    </row>
    <row r="65" spans="1:7" ht="13">
      <c r="A65" s="558" t="s">
        <v>2102</v>
      </c>
      <c r="B65" s="557" t="s">
        <v>0</v>
      </c>
      <c r="C65" s="565">
        <v>1</v>
      </c>
      <c r="D65" s="565">
        <v>1</v>
      </c>
      <c r="E65" s="565">
        <v>1</v>
      </c>
      <c r="F65" s="565">
        <v>1</v>
      </c>
      <c r="G65" s="565">
        <v>0</v>
      </c>
    </row>
    <row r="66" spans="1:7" ht="13">
      <c r="A66" s="558" t="s">
        <v>2101</v>
      </c>
      <c r="B66" s="557" t="s">
        <v>0</v>
      </c>
      <c r="C66" s="566">
        <v>5</v>
      </c>
      <c r="D66" s="566">
        <v>5</v>
      </c>
      <c r="E66" s="566">
        <v>5</v>
      </c>
      <c r="F66" s="566">
        <v>17</v>
      </c>
      <c r="G66" s="566">
        <v>13</v>
      </c>
    </row>
    <row r="67" spans="1:7" ht="13">
      <c r="A67" s="558" t="s">
        <v>2100</v>
      </c>
      <c r="B67" s="557" t="s">
        <v>0</v>
      </c>
      <c r="C67" s="565">
        <v>42</v>
      </c>
      <c r="D67" s="565">
        <v>42</v>
      </c>
      <c r="E67" s="565">
        <v>44</v>
      </c>
      <c r="F67" s="565">
        <v>32</v>
      </c>
      <c r="G67" s="565">
        <v>55</v>
      </c>
    </row>
    <row r="68" spans="1:7" ht="13">
      <c r="A68" s="558" t="s">
        <v>1917</v>
      </c>
      <c r="B68" s="557" t="s">
        <v>0</v>
      </c>
      <c r="C68" s="566">
        <v>659</v>
      </c>
      <c r="D68" s="566">
        <v>741</v>
      </c>
      <c r="E68" s="566">
        <v>755</v>
      </c>
      <c r="F68" s="566">
        <v>797</v>
      </c>
      <c r="G68" s="566">
        <v>895</v>
      </c>
    </row>
    <row r="69" spans="1:7" ht="13">
      <c r="A69" s="558" t="s">
        <v>1916</v>
      </c>
      <c r="B69" s="557" t="s">
        <v>0</v>
      </c>
      <c r="C69" s="565">
        <v>204</v>
      </c>
      <c r="D69" s="565">
        <v>169</v>
      </c>
      <c r="E69" s="565">
        <v>77</v>
      </c>
      <c r="F69" s="565">
        <v>63</v>
      </c>
      <c r="G69" s="565">
        <v>79</v>
      </c>
    </row>
    <row r="70" spans="1:7" ht="13">
      <c r="A70" s="558" t="s">
        <v>2099</v>
      </c>
      <c r="B70" s="557" t="s">
        <v>0</v>
      </c>
      <c r="C70" s="566">
        <v>2756</v>
      </c>
      <c r="D70" s="566">
        <v>4158</v>
      </c>
      <c r="E70" s="566">
        <v>4296</v>
      </c>
      <c r="F70" s="566">
        <v>4583</v>
      </c>
      <c r="G70" s="566">
        <v>5597</v>
      </c>
    </row>
    <row r="71" spans="1:7" ht="13">
      <c r="A71" s="558" t="s">
        <v>1909</v>
      </c>
      <c r="B71" s="557" t="s">
        <v>0</v>
      </c>
      <c r="C71" s="565">
        <v>288</v>
      </c>
      <c r="D71" s="565">
        <v>294</v>
      </c>
      <c r="E71" s="565">
        <v>331</v>
      </c>
      <c r="F71" s="565">
        <v>316</v>
      </c>
      <c r="G71" s="565">
        <v>462</v>
      </c>
    </row>
    <row r="72" spans="1:7" ht="13">
      <c r="A72" s="558" t="s">
        <v>2098</v>
      </c>
      <c r="B72" s="557" t="s">
        <v>0</v>
      </c>
      <c r="C72" s="566">
        <v>107449</v>
      </c>
      <c r="D72" s="566">
        <v>117781</v>
      </c>
      <c r="E72" s="566">
        <v>123144</v>
      </c>
      <c r="F72" s="566">
        <v>125471</v>
      </c>
      <c r="G72" s="566">
        <v>139030</v>
      </c>
    </row>
    <row r="73" spans="1:7" ht="13">
      <c r="A73" s="558" t="s">
        <v>2097</v>
      </c>
      <c r="B73" s="557" t="s">
        <v>0</v>
      </c>
      <c r="C73" s="565" t="s">
        <v>1905</v>
      </c>
      <c r="D73" s="565" t="s">
        <v>1905</v>
      </c>
      <c r="E73" s="565" t="s">
        <v>1905</v>
      </c>
      <c r="F73" s="565" t="s">
        <v>1905</v>
      </c>
      <c r="G73" s="565" t="s">
        <v>1905</v>
      </c>
    </row>
    <row r="74" spans="1:7" ht="13">
      <c r="A74" s="558" t="s">
        <v>2096</v>
      </c>
      <c r="B74" s="557" t="s">
        <v>0</v>
      </c>
      <c r="C74" s="566">
        <v>18553</v>
      </c>
      <c r="D74" s="566">
        <v>19249</v>
      </c>
      <c r="E74" s="566">
        <v>19720</v>
      </c>
      <c r="F74" s="566">
        <v>21503</v>
      </c>
      <c r="G74" s="566">
        <v>24456</v>
      </c>
    </row>
    <row r="75" spans="1:7" ht="13">
      <c r="A75" s="558" t="s">
        <v>2095</v>
      </c>
      <c r="B75" s="557" t="s">
        <v>0</v>
      </c>
      <c r="C75" s="565">
        <v>2</v>
      </c>
      <c r="D75" s="565">
        <v>2</v>
      </c>
      <c r="E75" s="565">
        <v>2</v>
      </c>
      <c r="F75" s="565">
        <v>2</v>
      </c>
      <c r="G75" s="565">
        <v>0</v>
      </c>
    </row>
    <row r="76" spans="1:7" ht="13">
      <c r="A76" s="558" t="s">
        <v>2094</v>
      </c>
      <c r="B76" s="557" t="s">
        <v>0</v>
      </c>
      <c r="C76" s="566">
        <v>1</v>
      </c>
      <c r="D76" s="566">
        <v>1</v>
      </c>
      <c r="E76" s="566">
        <v>1</v>
      </c>
      <c r="F76" s="566">
        <v>1</v>
      </c>
      <c r="G76" s="566">
        <v>0</v>
      </c>
    </row>
    <row r="77" spans="1:7" ht="13">
      <c r="A77" s="558" t="s">
        <v>1183</v>
      </c>
      <c r="B77" s="557" t="s">
        <v>0</v>
      </c>
      <c r="C77" s="565">
        <v>42</v>
      </c>
      <c r="D77" s="565" t="s">
        <v>1905</v>
      </c>
      <c r="E77" s="565" t="s">
        <v>1905</v>
      </c>
      <c r="F77" s="565" t="s">
        <v>1905</v>
      </c>
      <c r="G77" s="565">
        <v>27</v>
      </c>
    </row>
    <row r="78" spans="1:7" ht="13">
      <c r="A78" s="558" t="s">
        <v>2093</v>
      </c>
      <c r="B78" s="557" t="s">
        <v>0</v>
      </c>
      <c r="C78" s="566">
        <v>114</v>
      </c>
      <c r="D78" s="566">
        <v>113</v>
      </c>
      <c r="E78" s="566">
        <v>151</v>
      </c>
      <c r="F78" s="566">
        <v>72</v>
      </c>
      <c r="G78" s="566">
        <v>82</v>
      </c>
    </row>
    <row r="79" spans="1:7" ht="13">
      <c r="A79" s="558" t="s">
        <v>2092</v>
      </c>
      <c r="B79" s="557" t="s">
        <v>0</v>
      </c>
      <c r="C79" s="565">
        <v>53</v>
      </c>
      <c r="D79" s="565">
        <v>50</v>
      </c>
      <c r="E79" s="565">
        <v>36</v>
      </c>
      <c r="F79" s="565">
        <v>56</v>
      </c>
      <c r="G79" s="565">
        <v>41</v>
      </c>
    </row>
    <row r="80" spans="1:7" ht="13">
      <c r="A80" s="558" t="s">
        <v>1902</v>
      </c>
      <c r="B80" s="557" t="s">
        <v>0</v>
      </c>
      <c r="C80" s="566">
        <v>378</v>
      </c>
      <c r="D80" s="566">
        <v>293</v>
      </c>
      <c r="E80" s="566">
        <v>697</v>
      </c>
      <c r="F80" s="566">
        <v>805</v>
      </c>
      <c r="G80" s="566">
        <v>1263</v>
      </c>
    </row>
    <row r="81" spans="1:7" ht="13">
      <c r="A81" s="558" t="s">
        <v>2091</v>
      </c>
      <c r="B81" s="557" t="s">
        <v>0</v>
      </c>
      <c r="C81" s="565">
        <v>93</v>
      </c>
      <c r="D81" s="565">
        <v>118</v>
      </c>
      <c r="E81" s="565">
        <v>110</v>
      </c>
      <c r="F81" s="565">
        <v>122</v>
      </c>
      <c r="G81" s="565">
        <v>214</v>
      </c>
    </row>
    <row r="82" spans="1:7" ht="13">
      <c r="A82" s="558" t="s">
        <v>2090</v>
      </c>
      <c r="B82" s="557" t="s">
        <v>0</v>
      </c>
      <c r="C82" s="566">
        <v>2</v>
      </c>
      <c r="D82" s="566">
        <v>2</v>
      </c>
      <c r="E82" s="566">
        <v>1</v>
      </c>
      <c r="F82" s="566">
        <v>1</v>
      </c>
      <c r="G82" s="566">
        <v>11</v>
      </c>
    </row>
    <row r="83" spans="1:7" ht="13">
      <c r="A83" s="558" t="s">
        <v>2089</v>
      </c>
      <c r="B83" s="557" t="s">
        <v>0</v>
      </c>
      <c r="C83" s="565">
        <v>750</v>
      </c>
      <c r="D83" s="565">
        <v>821</v>
      </c>
      <c r="E83" s="565">
        <v>919</v>
      </c>
      <c r="F83" s="565">
        <v>1125</v>
      </c>
      <c r="G83" s="565">
        <v>1330</v>
      </c>
    </row>
    <row r="84" spans="1:7" ht="13">
      <c r="A84" s="558" t="s">
        <v>2088</v>
      </c>
      <c r="B84" s="557" t="s">
        <v>0</v>
      </c>
      <c r="C84" s="566">
        <v>0</v>
      </c>
      <c r="D84" s="566">
        <v>0</v>
      </c>
      <c r="E84" s="566">
        <v>0</v>
      </c>
      <c r="F84" s="566">
        <v>0</v>
      </c>
      <c r="G84" s="566" t="s">
        <v>1905</v>
      </c>
    </row>
    <row r="85" spans="1:7" ht="13">
      <c r="A85" s="558" t="s">
        <v>2087</v>
      </c>
      <c r="B85" s="557" t="s">
        <v>0</v>
      </c>
      <c r="C85" s="565">
        <v>0</v>
      </c>
      <c r="D85" s="565">
        <v>0</v>
      </c>
      <c r="E85" s="565">
        <v>0</v>
      </c>
      <c r="F85" s="565">
        <v>0</v>
      </c>
      <c r="G85" s="565" t="s">
        <v>1905</v>
      </c>
    </row>
    <row r="86" spans="1:7" ht="13">
      <c r="A86" s="558" t="s">
        <v>2086</v>
      </c>
      <c r="B86" s="557" t="s">
        <v>0</v>
      </c>
      <c r="C86" s="566">
        <v>228</v>
      </c>
      <c r="D86" s="566">
        <v>220</v>
      </c>
      <c r="E86" s="566">
        <v>221</v>
      </c>
      <c r="F86" s="566">
        <v>217</v>
      </c>
      <c r="G86" s="566">
        <v>221</v>
      </c>
    </row>
    <row r="87" spans="1:7" ht="13">
      <c r="A87" s="558" t="s">
        <v>2085</v>
      </c>
      <c r="B87" s="557" t="s">
        <v>0</v>
      </c>
      <c r="C87" s="565">
        <v>2</v>
      </c>
      <c r="D87" s="565">
        <v>1</v>
      </c>
      <c r="E87" s="565">
        <v>1</v>
      </c>
      <c r="F87" s="565">
        <v>1</v>
      </c>
      <c r="G87" s="565" t="s">
        <v>1905</v>
      </c>
    </row>
    <row r="88" spans="1:7" ht="13">
      <c r="A88" s="558" t="s">
        <v>2084</v>
      </c>
      <c r="B88" s="557" t="s">
        <v>0</v>
      </c>
      <c r="C88" s="566">
        <v>232</v>
      </c>
      <c r="D88" s="566">
        <v>226</v>
      </c>
      <c r="E88" s="566">
        <v>209</v>
      </c>
      <c r="F88" s="566">
        <v>297</v>
      </c>
      <c r="G88" s="566">
        <v>344</v>
      </c>
    </row>
    <row r="89" spans="1:7" ht="13">
      <c r="A89" s="558" t="s">
        <v>2083</v>
      </c>
      <c r="B89" s="557" t="s">
        <v>0</v>
      </c>
      <c r="C89" s="565">
        <v>402</v>
      </c>
      <c r="D89" s="565">
        <v>405</v>
      </c>
      <c r="E89" s="565">
        <v>388</v>
      </c>
      <c r="F89" s="565">
        <v>442</v>
      </c>
      <c r="G89" s="565">
        <v>388</v>
      </c>
    </row>
    <row r="90" spans="1:7" ht="13">
      <c r="A90" s="558" t="s">
        <v>2082</v>
      </c>
      <c r="B90" s="557" t="s">
        <v>0</v>
      </c>
      <c r="C90" s="566">
        <v>9</v>
      </c>
      <c r="D90" s="566" t="s">
        <v>1905</v>
      </c>
      <c r="E90" s="566">
        <v>1</v>
      </c>
      <c r="F90" s="566">
        <v>1</v>
      </c>
      <c r="G90" s="566">
        <v>9</v>
      </c>
    </row>
    <row r="91" spans="1:7" ht="13">
      <c r="A91" s="558" t="s">
        <v>2081</v>
      </c>
      <c r="B91" s="557" t="s">
        <v>0</v>
      </c>
      <c r="C91" s="565">
        <v>106</v>
      </c>
      <c r="D91" s="565">
        <v>104</v>
      </c>
      <c r="E91" s="565">
        <v>101</v>
      </c>
      <c r="F91" s="565">
        <v>103</v>
      </c>
      <c r="G91" s="565">
        <v>71</v>
      </c>
    </row>
    <row r="92" spans="1:7" ht="13">
      <c r="A92" s="558" t="s">
        <v>2080</v>
      </c>
      <c r="B92" s="557" t="s">
        <v>0</v>
      </c>
      <c r="C92" s="566">
        <v>7</v>
      </c>
      <c r="D92" s="566">
        <v>7</v>
      </c>
      <c r="E92" s="566">
        <v>7</v>
      </c>
      <c r="F92" s="566">
        <v>7</v>
      </c>
      <c r="G92" s="566">
        <v>27</v>
      </c>
    </row>
    <row r="93" spans="1:7" ht="13">
      <c r="A93" s="558" t="s">
        <v>2079</v>
      </c>
      <c r="B93" s="557" t="s">
        <v>0</v>
      </c>
      <c r="C93" s="565" t="s">
        <v>1905</v>
      </c>
      <c r="D93" s="565" t="s">
        <v>1905</v>
      </c>
      <c r="E93" s="565" t="s">
        <v>1905</v>
      </c>
      <c r="F93" s="565" t="s">
        <v>1905</v>
      </c>
      <c r="G93" s="565" t="s">
        <v>1905</v>
      </c>
    </row>
    <row r="94" spans="1:7" ht="13">
      <c r="A94" s="558" t="s">
        <v>2078</v>
      </c>
      <c r="B94" s="557" t="s">
        <v>0</v>
      </c>
      <c r="C94" s="566">
        <v>6</v>
      </c>
      <c r="D94" s="566">
        <v>6</v>
      </c>
      <c r="E94" s="566">
        <v>7</v>
      </c>
      <c r="F94" s="566">
        <v>7</v>
      </c>
      <c r="G94" s="566">
        <v>1</v>
      </c>
    </row>
    <row r="95" spans="1:7" ht="13">
      <c r="A95" s="558" t="s">
        <v>2077</v>
      </c>
      <c r="B95" s="557" t="s">
        <v>0</v>
      </c>
      <c r="C95" s="565">
        <v>72</v>
      </c>
      <c r="D95" s="565">
        <v>71</v>
      </c>
      <c r="E95" s="565">
        <v>70</v>
      </c>
      <c r="F95" s="565">
        <v>91</v>
      </c>
      <c r="G95" s="565">
        <v>101</v>
      </c>
    </row>
    <row r="96" spans="1:7" ht="13">
      <c r="A96" s="558" t="s">
        <v>2076</v>
      </c>
      <c r="B96" s="557" t="s">
        <v>0</v>
      </c>
      <c r="C96" s="566">
        <v>456</v>
      </c>
      <c r="D96" s="566">
        <v>413</v>
      </c>
      <c r="E96" s="566">
        <v>435</v>
      </c>
      <c r="F96" s="566">
        <v>675</v>
      </c>
      <c r="G96" s="566">
        <v>603</v>
      </c>
    </row>
    <row r="97" spans="1:7" ht="13">
      <c r="A97" s="558" t="s">
        <v>2075</v>
      </c>
      <c r="B97" s="557" t="s">
        <v>0</v>
      </c>
      <c r="C97" s="565">
        <v>373</v>
      </c>
      <c r="D97" s="565">
        <v>364</v>
      </c>
      <c r="E97" s="565">
        <v>342</v>
      </c>
      <c r="F97" s="565">
        <v>375</v>
      </c>
      <c r="G97" s="565">
        <v>338</v>
      </c>
    </row>
    <row r="98" spans="1:7" ht="13">
      <c r="A98" s="558" t="s">
        <v>2074</v>
      </c>
      <c r="B98" s="557" t="s">
        <v>0</v>
      </c>
      <c r="C98" s="566">
        <v>165</v>
      </c>
      <c r="D98" s="566">
        <v>158</v>
      </c>
      <c r="E98" s="566">
        <v>170</v>
      </c>
      <c r="F98" s="566">
        <v>199</v>
      </c>
      <c r="G98" s="566">
        <v>217</v>
      </c>
    </row>
    <row r="99" spans="1:7" ht="13">
      <c r="A99" s="558" t="s">
        <v>2073</v>
      </c>
      <c r="B99" s="557" t="s">
        <v>0</v>
      </c>
      <c r="C99" s="565">
        <v>1</v>
      </c>
      <c r="D99" s="565">
        <v>1</v>
      </c>
      <c r="E99" s="565">
        <v>1</v>
      </c>
      <c r="F99" s="565">
        <v>1</v>
      </c>
      <c r="G99" s="565">
        <v>0</v>
      </c>
    </row>
    <row r="100" spans="1:7" ht="13">
      <c r="A100" s="558" t="s">
        <v>2072</v>
      </c>
      <c r="B100" s="557" t="s">
        <v>0</v>
      </c>
      <c r="C100" s="566" t="s">
        <v>1905</v>
      </c>
      <c r="D100" s="566" t="s">
        <v>1905</v>
      </c>
      <c r="E100" s="566" t="s">
        <v>1905</v>
      </c>
      <c r="F100" s="566" t="s">
        <v>1905</v>
      </c>
      <c r="G100" s="566" t="s">
        <v>1905</v>
      </c>
    </row>
    <row r="101" spans="1:7" ht="13">
      <c r="A101" s="558" t="s">
        <v>2071</v>
      </c>
      <c r="B101" s="557" t="s">
        <v>0</v>
      </c>
      <c r="C101" s="565">
        <v>29997</v>
      </c>
      <c r="D101" s="565">
        <v>35471</v>
      </c>
      <c r="E101" s="565">
        <v>38063</v>
      </c>
      <c r="F101" s="565">
        <v>39348</v>
      </c>
      <c r="G101" s="565">
        <v>42219</v>
      </c>
    </row>
    <row r="102" spans="1:7" ht="13">
      <c r="A102" s="558" t="s">
        <v>1898</v>
      </c>
      <c r="B102" s="557" t="s">
        <v>0</v>
      </c>
      <c r="C102" s="566">
        <v>3936</v>
      </c>
      <c r="D102" s="566">
        <v>4504</v>
      </c>
      <c r="E102" s="566">
        <v>5040</v>
      </c>
      <c r="F102" s="566">
        <v>5291</v>
      </c>
      <c r="G102" s="566">
        <v>5432</v>
      </c>
    </row>
    <row r="103" spans="1:7" ht="13">
      <c r="A103" s="558" t="s">
        <v>2070</v>
      </c>
      <c r="B103" s="557" t="s">
        <v>0</v>
      </c>
      <c r="C103" s="565">
        <v>53</v>
      </c>
      <c r="D103" s="565">
        <v>60</v>
      </c>
      <c r="E103" s="565">
        <v>78</v>
      </c>
      <c r="F103" s="565">
        <v>101</v>
      </c>
      <c r="G103" s="565">
        <v>115</v>
      </c>
    </row>
    <row r="104" spans="1:7" ht="13">
      <c r="A104" s="558" t="s">
        <v>1899</v>
      </c>
      <c r="B104" s="557" t="s">
        <v>0</v>
      </c>
      <c r="C104" s="566">
        <v>18068</v>
      </c>
      <c r="D104" s="566">
        <v>21722</v>
      </c>
      <c r="E104" s="566">
        <v>22633</v>
      </c>
      <c r="F104" s="566">
        <v>23645</v>
      </c>
      <c r="G104" s="566">
        <v>25614</v>
      </c>
    </row>
    <row r="105" spans="1:7" ht="13">
      <c r="A105" s="558" t="s">
        <v>2069</v>
      </c>
      <c r="B105" s="557" t="s">
        <v>0</v>
      </c>
      <c r="C105" s="565">
        <v>1876</v>
      </c>
      <c r="D105" s="565">
        <v>2247</v>
      </c>
      <c r="E105" s="565">
        <v>2372</v>
      </c>
      <c r="F105" s="565">
        <v>2452</v>
      </c>
      <c r="G105" s="565">
        <v>2706</v>
      </c>
    </row>
    <row r="106" spans="1:7" ht="13">
      <c r="A106" s="558" t="s">
        <v>2068</v>
      </c>
      <c r="B106" s="557" t="s">
        <v>0</v>
      </c>
      <c r="C106" s="566">
        <v>301</v>
      </c>
      <c r="D106" s="566">
        <v>301</v>
      </c>
      <c r="E106" s="566">
        <v>345</v>
      </c>
      <c r="F106" s="566">
        <v>376</v>
      </c>
      <c r="G106" s="566">
        <v>480</v>
      </c>
    </row>
    <row r="107" spans="1:7" ht="13">
      <c r="A107" s="558" t="s">
        <v>2067</v>
      </c>
      <c r="B107" s="557" t="s">
        <v>0</v>
      </c>
      <c r="C107" s="565" t="s">
        <v>1905</v>
      </c>
      <c r="D107" s="565" t="s">
        <v>1905</v>
      </c>
      <c r="E107" s="565" t="s">
        <v>1905</v>
      </c>
      <c r="F107" s="565" t="s">
        <v>1905</v>
      </c>
      <c r="G107" s="565" t="s">
        <v>1905</v>
      </c>
    </row>
    <row r="108" spans="1:7" ht="13">
      <c r="A108" s="558" t="s">
        <v>2066</v>
      </c>
      <c r="B108" s="557" t="s">
        <v>0</v>
      </c>
      <c r="C108" s="566">
        <v>926</v>
      </c>
      <c r="D108" s="566">
        <v>1190</v>
      </c>
      <c r="E108" s="566">
        <v>1208</v>
      </c>
      <c r="F108" s="566">
        <v>1062</v>
      </c>
      <c r="G108" s="566">
        <v>1318</v>
      </c>
    </row>
    <row r="109" spans="1:7" ht="13">
      <c r="A109" s="558" t="s">
        <v>2065</v>
      </c>
      <c r="B109" s="557" t="s">
        <v>0</v>
      </c>
      <c r="C109" s="565">
        <v>48</v>
      </c>
      <c r="D109" s="565">
        <v>60</v>
      </c>
      <c r="E109" s="565">
        <v>60</v>
      </c>
      <c r="F109" s="565">
        <v>72</v>
      </c>
      <c r="G109" s="565">
        <v>72</v>
      </c>
    </row>
    <row r="110" spans="1:7" ht="13">
      <c r="A110" s="558" t="s">
        <v>2064</v>
      </c>
      <c r="B110" s="557" t="s">
        <v>0</v>
      </c>
      <c r="C110" s="566" t="s">
        <v>1905</v>
      </c>
      <c r="D110" s="566" t="s">
        <v>1905</v>
      </c>
      <c r="E110" s="566" t="s">
        <v>1905</v>
      </c>
      <c r="F110" s="566" t="s">
        <v>1905</v>
      </c>
      <c r="G110" s="566" t="s">
        <v>1905</v>
      </c>
    </row>
    <row r="111" spans="1:7" ht="13">
      <c r="A111" s="558" t="s">
        <v>2063</v>
      </c>
      <c r="B111" s="557" t="s">
        <v>0</v>
      </c>
      <c r="C111" s="565">
        <v>235</v>
      </c>
      <c r="D111" s="565">
        <v>274</v>
      </c>
      <c r="E111" s="565">
        <v>293</v>
      </c>
      <c r="F111" s="565">
        <v>270</v>
      </c>
      <c r="G111" s="565">
        <v>286</v>
      </c>
    </row>
    <row r="112" spans="1:7" ht="13">
      <c r="A112" s="558" t="s">
        <v>2062</v>
      </c>
      <c r="B112" s="557" t="s">
        <v>0</v>
      </c>
      <c r="C112" s="566">
        <v>1898</v>
      </c>
      <c r="D112" s="566">
        <v>2074</v>
      </c>
      <c r="E112" s="566">
        <v>2471</v>
      </c>
      <c r="F112" s="566">
        <v>2561</v>
      </c>
      <c r="G112" s="566">
        <v>2419</v>
      </c>
    </row>
    <row r="113" spans="1:7" ht="13">
      <c r="A113" s="558" t="s">
        <v>777</v>
      </c>
      <c r="B113" s="557" t="s">
        <v>0</v>
      </c>
      <c r="C113" s="565">
        <v>92770</v>
      </c>
      <c r="D113" s="565">
        <v>105190</v>
      </c>
      <c r="E113" s="565">
        <v>113788</v>
      </c>
      <c r="F113" s="565">
        <v>116536</v>
      </c>
      <c r="G113" s="565">
        <v>132428</v>
      </c>
    </row>
    <row r="114" spans="1:7" ht="13">
      <c r="A114" s="558" t="s">
        <v>2061</v>
      </c>
      <c r="B114" s="557" t="s">
        <v>0</v>
      </c>
      <c r="C114" s="566">
        <v>6297</v>
      </c>
      <c r="D114" s="566">
        <v>7063</v>
      </c>
      <c r="E114" s="566">
        <v>7556</v>
      </c>
      <c r="F114" s="566">
        <v>7984</v>
      </c>
      <c r="G114" s="566">
        <v>10050</v>
      </c>
    </row>
    <row r="115" spans="1:7" ht="13">
      <c r="A115" s="558" t="s">
        <v>2060</v>
      </c>
      <c r="B115" s="557" t="s">
        <v>0</v>
      </c>
      <c r="C115" s="565">
        <v>1169</v>
      </c>
      <c r="D115" s="565">
        <v>1397</v>
      </c>
      <c r="E115" s="565">
        <v>1471</v>
      </c>
      <c r="F115" s="565">
        <v>1642</v>
      </c>
      <c r="G115" s="565">
        <v>1946</v>
      </c>
    </row>
    <row r="116" spans="1:7" ht="13">
      <c r="A116" s="558" t="s">
        <v>2059</v>
      </c>
      <c r="B116" s="557" t="s">
        <v>0</v>
      </c>
      <c r="C116" s="566">
        <v>3</v>
      </c>
      <c r="D116" s="566">
        <v>3</v>
      </c>
      <c r="E116" s="566">
        <v>3</v>
      </c>
      <c r="F116" s="566">
        <v>3</v>
      </c>
      <c r="G116" s="566">
        <v>17</v>
      </c>
    </row>
    <row r="117" spans="1:7" ht="13">
      <c r="A117" s="558" t="s">
        <v>2058</v>
      </c>
      <c r="B117" s="557" t="s">
        <v>0</v>
      </c>
      <c r="C117" s="565">
        <v>52</v>
      </c>
      <c r="D117" s="565">
        <v>61</v>
      </c>
      <c r="E117" s="565">
        <v>72</v>
      </c>
      <c r="F117" s="565">
        <v>117</v>
      </c>
      <c r="G117" s="565">
        <v>100</v>
      </c>
    </row>
    <row r="118" spans="1:7" ht="13">
      <c r="A118" s="558" t="s">
        <v>2057</v>
      </c>
      <c r="B118" s="557" t="s">
        <v>0</v>
      </c>
      <c r="C118" s="566">
        <v>82</v>
      </c>
      <c r="D118" s="566">
        <v>95</v>
      </c>
      <c r="E118" s="566">
        <v>112</v>
      </c>
      <c r="F118" s="566">
        <v>97</v>
      </c>
      <c r="G118" s="566">
        <v>130</v>
      </c>
    </row>
    <row r="119" spans="1:7" ht="13">
      <c r="A119" s="558" t="s">
        <v>2056</v>
      </c>
      <c r="B119" s="557" t="s">
        <v>0</v>
      </c>
      <c r="C119" s="565">
        <v>0</v>
      </c>
      <c r="D119" s="565">
        <v>0</v>
      </c>
      <c r="E119" s="565">
        <v>0</v>
      </c>
      <c r="F119" s="565">
        <v>2</v>
      </c>
      <c r="G119" s="565">
        <v>13</v>
      </c>
    </row>
    <row r="120" spans="1:7" ht="13">
      <c r="A120" s="558" t="s">
        <v>2055</v>
      </c>
      <c r="B120" s="557" t="s">
        <v>0</v>
      </c>
      <c r="C120" s="566" t="s">
        <v>1905</v>
      </c>
      <c r="D120" s="566" t="s">
        <v>1905</v>
      </c>
      <c r="E120" s="566" t="s">
        <v>1905</v>
      </c>
      <c r="F120" s="566">
        <v>54</v>
      </c>
      <c r="G120" s="566">
        <v>148</v>
      </c>
    </row>
    <row r="121" spans="1:7" ht="13">
      <c r="A121" s="558" t="s">
        <v>2054</v>
      </c>
      <c r="B121" s="557" t="s">
        <v>0</v>
      </c>
      <c r="C121" s="565">
        <v>0</v>
      </c>
      <c r="D121" s="565">
        <v>0</v>
      </c>
      <c r="E121" s="565">
        <v>0</v>
      </c>
      <c r="F121" s="565">
        <v>0</v>
      </c>
      <c r="G121" s="565" t="s">
        <v>1905</v>
      </c>
    </row>
    <row r="122" spans="1:7" ht="13">
      <c r="A122" s="558" t="s">
        <v>2053</v>
      </c>
      <c r="B122" s="557" t="s">
        <v>0</v>
      </c>
      <c r="C122" s="566">
        <v>31</v>
      </c>
      <c r="D122" s="566">
        <v>35</v>
      </c>
      <c r="E122" s="566">
        <v>34</v>
      </c>
      <c r="F122" s="566">
        <v>33</v>
      </c>
      <c r="G122" s="566">
        <v>49</v>
      </c>
    </row>
    <row r="123" spans="1:7" ht="13">
      <c r="A123" s="558" t="s">
        <v>2052</v>
      </c>
      <c r="B123" s="557" t="s">
        <v>0</v>
      </c>
      <c r="C123" s="565">
        <v>214</v>
      </c>
      <c r="D123" s="565">
        <v>90</v>
      </c>
      <c r="E123" s="565">
        <v>91</v>
      </c>
      <c r="F123" s="565">
        <v>85</v>
      </c>
      <c r="G123" s="565">
        <v>78</v>
      </c>
    </row>
    <row r="124" spans="1:7" ht="13">
      <c r="A124" s="558" t="s">
        <v>2051</v>
      </c>
      <c r="B124" s="557" t="s">
        <v>0</v>
      </c>
      <c r="C124" s="566">
        <v>25</v>
      </c>
      <c r="D124" s="566">
        <v>25</v>
      </c>
      <c r="E124" s="566">
        <v>33</v>
      </c>
      <c r="F124" s="566">
        <v>29</v>
      </c>
      <c r="G124" s="566" t="s">
        <v>1905</v>
      </c>
    </row>
    <row r="125" spans="1:7" ht="13">
      <c r="A125" s="558" t="s">
        <v>2050</v>
      </c>
      <c r="B125" s="557" t="s">
        <v>0</v>
      </c>
      <c r="C125" s="565">
        <v>157</v>
      </c>
      <c r="D125" s="565">
        <v>175</v>
      </c>
      <c r="E125" s="565">
        <v>188</v>
      </c>
      <c r="F125" s="565">
        <v>212</v>
      </c>
      <c r="G125" s="565">
        <v>273</v>
      </c>
    </row>
    <row r="126" spans="1:7" ht="13">
      <c r="A126" s="558" t="s">
        <v>2049</v>
      </c>
      <c r="B126" s="557" t="s">
        <v>0</v>
      </c>
      <c r="C126" s="566">
        <v>221</v>
      </c>
      <c r="D126" s="566">
        <v>213</v>
      </c>
      <c r="E126" s="566">
        <v>222</v>
      </c>
      <c r="F126" s="566">
        <v>243</v>
      </c>
      <c r="G126" s="566">
        <v>330</v>
      </c>
    </row>
    <row r="127" spans="1:7" ht="13">
      <c r="A127" s="558" t="s">
        <v>2048</v>
      </c>
      <c r="B127" s="557" t="s">
        <v>0</v>
      </c>
      <c r="C127" s="565">
        <v>664</v>
      </c>
      <c r="D127" s="565">
        <v>885</v>
      </c>
      <c r="E127" s="565">
        <v>1047</v>
      </c>
      <c r="F127" s="565">
        <v>1147</v>
      </c>
      <c r="G127" s="565">
        <v>1750</v>
      </c>
    </row>
    <row r="128" spans="1:7" ht="13">
      <c r="A128" s="558" t="s">
        <v>2047</v>
      </c>
      <c r="B128" s="557" t="s">
        <v>0</v>
      </c>
      <c r="C128" s="566" t="s">
        <v>1905</v>
      </c>
      <c r="D128" s="566" t="s">
        <v>1905</v>
      </c>
      <c r="E128" s="566" t="s">
        <v>1905</v>
      </c>
      <c r="F128" s="566" t="s">
        <v>1905</v>
      </c>
      <c r="G128" s="566">
        <v>0</v>
      </c>
    </row>
    <row r="129" spans="1:7" ht="13">
      <c r="A129" s="558" t="s">
        <v>2046</v>
      </c>
      <c r="B129" s="557" t="s">
        <v>0</v>
      </c>
      <c r="C129" s="565">
        <v>28</v>
      </c>
      <c r="D129" s="565">
        <v>28</v>
      </c>
      <c r="E129" s="565">
        <v>28</v>
      </c>
      <c r="F129" s="565" t="s">
        <v>1905</v>
      </c>
      <c r="G129" s="565" t="s">
        <v>1905</v>
      </c>
    </row>
    <row r="130" spans="1:7" ht="13">
      <c r="A130" s="558" t="s">
        <v>2045</v>
      </c>
      <c r="B130" s="557" t="s">
        <v>0</v>
      </c>
      <c r="C130" s="566">
        <v>86473</v>
      </c>
      <c r="D130" s="566">
        <v>98127</v>
      </c>
      <c r="E130" s="566">
        <v>106232</v>
      </c>
      <c r="F130" s="566">
        <v>108552</v>
      </c>
      <c r="G130" s="566">
        <v>122378</v>
      </c>
    </row>
    <row r="131" spans="1:7" ht="13">
      <c r="A131" s="558" t="s">
        <v>2044</v>
      </c>
      <c r="B131" s="557" t="s">
        <v>0</v>
      </c>
      <c r="C131" s="565">
        <v>0</v>
      </c>
      <c r="D131" s="565">
        <v>0</v>
      </c>
      <c r="E131" s="565">
        <v>0</v>
      </c>
      <c r="F131" s="565">
        <v>0</v>
      </c>
      <c r="G131" s="565">
        <v>7</v>
      </c>
    </row>
    <row r="132" spans="1:7" ht="13">
      <c r="A132" s="558" t="s">
        <v>2043</v>
      </c>
      <c r="B132" s="557" t="s">
        <v>0</v>
      </c>
      <c r="C132" s="566">
        <v>38</v>
      </c>
      <c r="D132" s="566">
        <v>40</v>
      </c>
      <c r="E132" s="566">
        <v>51</v>
      </c>
      <c r="F132" s="566">
        <v>70</v>
      </c>
      <c r="G132" s="566">
        <v>95</v>
      </c>
    </row>
    <row r="133" spans="1:7" ht="13">
      <c r="A133" s="558" t="s">
        <v>2042</v>
      </c>
      <c r="B133" s="557" t="s">
        <v>0</v>
      </c>
      <c r="C133" s="565">
        <v>21</v>
      </c>
      <c r="D133" s="565">
        <v>28</v>
      </c>
      <c r="E133" s="565">
        <v>34</v>
      </c>
      <c r="F133" s="565" t="s">
        <v>1905</v>
      </c>
      <c r="G133" s="565">
        <v>38</v>
      </c>
    </row>
    <row r="134" spans="1:7" ht="13">
      <c r="A134" s="558" t="s">
        <v>2041</v>
      </c>
      <c r="B134" s="557" t="s">
        <v>0</v>
      </c>
      <c r="C134" s="566">
        <v>0</v>
      </c>
      <c r="D134" s="566">
        <v>0</v>
      </c>
      <c r="E134" s="566">
        <v>0</v>
      </c>
      <c r="F134" s="566">
        <v>0</v>
      </c>
      <c r="G134" s="566">
        <v>1</v>
      </c>
    </row>
    <row r="135" spans="1:7" ht="13">
      <c r="A135" s="558" t="s">
        <v>1893</v>
      </c>
      <c r="B135" s="557" t="s">
        <v>0</v>
      </c>
      <c r="C135" s="565">
        <v>13684</v>
      </c>
      <c r="D135" s="565">
        <v>16127</v>
      </c>
      <c r="E135" s="565">
        <v>17895</v>
      </c>
      <c r="F135" s="565">
        <v>20317</v>
      </c>
      <c r="G135" s="565">
        <v>27256</v>
      </c>
    </row>
    <row r="136" spans="1:7" ht="13">
      <c r="A136" s="558" t="s">
        <v>2040</v>
      </c>
      <c r="B136" s="557" t="s">
        <v>0</v>
      </c>
      <c r="C136" s="566">
        <v>6572</v>
      </c>
      <c r="D136" s="566">
        <v>6778</v>
      </c>
      <c r="E136" s="566">
        <v>8073</v>
      </c>
      <c r="F136" s="566">
        <v>8456</v>
      </c>
      <c r="G136" s="566">
        <v>9726</v>
      </c>
    </row>
    <row r="137" spans="1:7" ht="13">
      <c r="A137" s="558" t="s">
        <v>1931</v>
      </c>
      <c r="B137" s="557" t="s">
        <v>0</v>
      </c>
      <c r="C137" s="565">
        <v>1971</v>
      </c>
      <c r="D137" s="565">
        <v>2165</v>
      </c>
      <c r="E137" s="565">
        <v>2316</v>
      </c>
      <c r="F137" s="565">
        <v>2376</v>
      </c>
      <c r="G137" s="565">
        <v>2489</v>
      </c>
    </row>
    <row r="138" spans="1:7" ht="13">
      <c r="A138" s="558" t="s">
        <v>1901</v>
      </c>
      <c r="B138" s="557" t="s">
        <v>0</v>
      </c>
      <c r="C138" s="566">
        <v>10359</v>
      </c>
      <c r="D138" s="566">
        <v>12282</v>
      </c>
      <c r="E138" s="566">
        <v>13367</v>
      </c>
      <c r="F138" s="566">
        <v>15193</v>
      </c>
      <c r="G138" s="566">
        <v>16902</v>
      </c>
    </row>
    <row r="139" spans="1:7" ht="13">
      <c r="A139" s="558" t="s">
        <v>2039</v>
      </c>
      <c r="B139" s="557" t="s">
        <v>0</v>
      </c>
      <c r="C139" s="565" t="s">
        <v>1905</v>
      </c>
      <c r="D139" s="565" t="s">
        <v>1905</v>
      </c>
      <c r="E139" s="565" t="s">
        <v>1905</v>
      </c>
      <c r="F139" s="565" t="s">
        <v>1905</v>
      </c>
      <c r="G139" s="565">
        <v>17</v>
      </c>
    </row>
    <row r="140" spans="1:7" ht="13">
      <c r="A140" s="558" t="s">
        <v>2038</v>
      </c>
      <c r="B140" s="557" t="s">
        <v>0</v>
      </c>
      <c r="C140" s="566">
        <v>5</v>
      </c>
      <c r="D140" s="566">
        <v>15</v>
      </c>
      <c r="E140" s="566">
        <v>15</v>
      </c>
      <c r="F140" s="566">
        <v>16</v>
      </c>
      <c r="G140" s="566">
        <v>27</v>
      </c>
    </row>
    <row r="141" spans="1:7" ht="13">
      <c r="A141" s="558" t="s">
        <v>2037</v>
      </c>
      <c r="B141" s="557" t="s">
        <v>0</v>
      </c>
      <c r="C141" s="565">
        <v>333</v>
      </c>
      <c r="D141" s="565">
        <v>301</v>
      </c>
      <c r="E141" s="565">
        <v>335</v>
      </c>
      <c r="F141" s="565">
        <v>388</v>
      </c>
      <c r="G141" s="565">
        <v>369</v>
      </c>
    </row>
    <row r="142" spans="1:7" ht="13">
      <c r="A142" s="558" t="s">
        <v>2036</v>
      </c>
      <c r="B142" s="557" t="s">
        <v>0</v>
      </c>
      <c r="C142" s="566" t="s">
        <v>1905</v>
      </c>
      <c r="D142" s="566">
        <v>0</v>
      </c>
      <c r="E142" s="566" t="s">
        <v>1905</v>
      </c>
      <c r="F142" s="566" t="s">
        <v>1905</v>
      </c>
      <c r="G142" s="566">
        <v>1</v>
      </c>
    </row>
    <row r="143" spans="1:7" ht="13">
      <c r="A143" s="558" t="s">
        <v>2035</v>
      </c>
      <c r="B143" s="557" t="s">
        <v>0</v>
      </c>
      <c r="C143" s="565">
        <v>1</v>
      </c>
      <c r="D143" s="565">
        <v>62</v>
      </c>
      <c r="E143" s="565">
        <v>59</v>
      </c>
      <c r="F143" s="565">
        <v>60</v>
      </c>
      <c r="G143" s="565">
        <v>41</v>
      </c>
    </row>
    <row r="144" spans="1:7" ht="13">
      <c r="A144" s="558" t="s">
        <v>2034</v>
      </c>
      <c r="B144" s="557" t="s">
        <v>0</v>
      </c>
      <c r="C144" s="566">
        <v>1</v>
      </c>
      <c r="D144" s="566">
        <v>1</v>
      </c>
      <c r="E144" s="566">
        <v>1</v>
      </c>
      <c r="F144" s="566">
        <v>1</v>
      </c>
      <c r="G144" s="566">
        <v>1</v>
      </c>
    </row>
    <row r="145" spans="1:7" ht="13">
      <c r="A145" s="558" t="s">
        <v>2033</v>
      </c>
      <c r="B145" s="557" t="s">
        <v>0</v>
      </c>
      <c r="C145" s="565">
        <v>5</v>
      </c>
      <c r="D145" s="565" t="s">
        <v>1905</v>
      </c>
      <c r="E145" s="565">
        <v>5</v>
      </c>
      <c r="F145" s="565">
        <v>5</v>
      </c>
      <c r="G145" s="565" t="s">
        <v>1905</v>
      </c>
    </row>
    <row r="146" spans="1:7" ht="13">
      <c r="A146" s="558" t="s">
        <v>2032</v>
      </c>
      <c r="B146" s="557" t="s">
        <v>0</v>
      </c>
      <c r="C146" s="566">
        <v>0</v>
      </c>
      <c r="D146" s="566">
        <v>1016</v>
      </c>
      <c r="E146" s="566">
        <v>1280</v>
      </c>
      <c r="F146" s="566">
        <v>1474</v>
      </c>
      <c r="G146" s="566">
        <v>1712</v>
      </c>
    </row>
    <row r="147" spans="1:7" ht="13">
      <c r="A147" s="558" t="s">
        <v>2031</v>
      </c>
      <c r="B147" s="557" t="s">
        <v>0</v>
      </c>
      <c r="C147" s="565" t="s">
        <v>1905</v>
      </c>
      <c r="D147" s="565">
        <v>0</v>
      </c>
      <c r="E147" s="565">
        <v>0</v>
      </c>
      <c r="F147" s="565">
        <v>0</v>
      </c>
      <c r="G147" s="565">
        <v>0</v>
      </c>
    </row>
    <row r="148" spans="1:7" ht="13">
      <c r="A148" s="558" t="s">
        <v>1924</v>
      </c>
      <c r="B148" s="557" t="s">
        <v>0</v>
      </c>
      <c r="C148" s="566">
        <v>2551</v>
      </c>
      <c r="D148" s="566">
        <v>2817</v>
      </c>
      <c r="E148" s="566">
        <v>2965</v>
      </c>
      <c r="F148" s="566">
        <v>3199</v>
      </c>
      <c r="G148" s="566">
        <v>3694</v>
      </c>
    </row>
    <row r="149" spans="1:7" ht="13">
      <c r="A149" s="558" t="s">
        <v>2030</v>
      </c>
      <c r="B149" s="557" t="s">
        <v>0</v>
      </c>
      <c r="C149" s="565">
        <v>159</v>
      </c>
      <c r="D149" s="565" t="s">
        <v>1905</v>
      </c>
      <c r="E149" s="565">
        <v>5</v>
      </c>
      <c r="F149" s="565" t="s">
        <v>1905</v>
      </c>
      <c r="G149" s="565">
        <v>5</v>
      </c>
    </row>
    <row r="150" spans="1:7" ht="13">
      <c r="A150" s="558" t="s">
        <v>1920</v>
      </c>
      <c r="B150" s="557" t="s">
        <v>0</v>
      </c>
      <c r="C150" s="566">
        <v>1834</v>
      </c>
      <c r="D150" s="566">
        <v>2215</v>
      </c>
      <c r="E150" s="566">
        <v>2290</v>
      </c>
      <c r="F150" s="566">
        <v>2467</v>
      </c>
      <c r="G150" s="566">
        <v>2966</v>
      </c>
    </row>
    <row r="151" spans="1:7" ht="13">
      <c r="A151" s="558" t="s">
        <v>2029</v>
      </c>
      <c r="B151" s="557" t="s">
        <v>0</v>
      </c>
      <c r="C151" s="565">
        <v>1</v>
      </c>
      <c r="D151" s="565">
        <v>140</v>
      </c>
      <c r="E151" s="565">
        <v>139</v>
      </c>
      <c r="F151" s="565">
        <v>152</v>
      </c>
      <c r="G151" s="565">
        <v>176</v>
      </c>
    </row>
    <row r="152" spans="1:7" ht="13">
      <c r="A152" s="558" t="s">
        <v>696</v>
      </c>
      <c r="B152" s="557" t="s">
        <v>0</v>
      </c>
      <c r="C152" s="566">
        <v>8334</v>
      </c>
      <c r="D152" s="566">
        <v>10067</v>
      </c>
      <c r="E152" s="566">
        <v>10763</v>
      </c>
      <c r="F152" s="566">
        <v>11509</v>
      </c>
      <c r="G152" s="566">
        <v>13589</v>
      </c>
    </row>
    <row r="153" spans="1:7" ht="13">
      <c r="A153" s="558" t="s">
        <v>1912</v>
      </c>
      <c r="B153" s="557" t="s">
        <v>0</v>
      </c>
      <c r="C153" s="565">
        <v>2315</v>
      </c>
      <c r="D153" s="565">
        <v>2616</v>
      </c>
      <c r="E153" s="565">
        <v>2771</v>
      </c>
      <c r="F153" s="565">
        <v>2969</v>
      </c>
      <c r="G153" s="565">
        <v>3146</v>
      </c>
    </row>
    <row r="154" spans="1:7" ht="13">
      <c r="A154" s="558" t="s">
        <v>2028</v>
      </c>
      <c r="B154" s="557" t="s">
        <v>0</v>
      </c>
      <c r="C154" s="566" t="s">
        <v>1905</v>
      </c>
      <c r="D154" s="566" t="s">
        <v>1905</v>
      </c>
      <c r="E154" s="566" t="s">
        <v>1905</v>
      </c>
      <c r="F154" s="566" t="s">
        <v>1905</v>
      </c>
      <c r="G154" s="566">
        <v>4</v>
      </c>
    </row>
    <row r="155" spans="1:7" ht="13">
      <c r="A155" s="558" t="s">
        <v>2027</v>
      </c>
      <c r="B155" s="557" t="s">
        <v>0</v>
      </c>
      <c r="C155" s="565">
        <v>2</v>
      </c>
      <c r="D155" s="565">
        <v>2</v>
      </c>
      <c r="E155" s="565">
        <v>2</v>
      </c>
      <c r="F155" s="565">
        <v>2</v>
      </c>
      <c r="G155" s="565">
        <v>2</v>
      </c>
    </row>
    <row r="156" spans="1:7" ht="13">
      <c r="A156" s="558" t="s">
        <v>1910</v>
      </c>
      <c r="B156" s="557" t="s">
        <v>0</v>
      </c>
      <c r="C156" s="566">
        <v>2727</v>
      </c>
      <c r="D156" s="566">
        <v>2730</v>
      </c>
      <c r="E156" s="566">
        <v>2813</v>
      </c>
      <c r="F156" s="566">
        <v>2818</v>
      </c>
      <c r="G156" s="566">
        <v>3208</v>
      </c>
    </row>
    <row r="157" spans="1:7" ht="13">
      <c r="A157" s="558" t="s">
        <v>2026</v>
      </c>
      <c r="B157" s="557" t="s">
        <v>0</v>
      </c>
      <c r="C157" s="565">
        <v>6</v>
      </c>
      <c r="D157" s="565">
        <v>6</v>
      </c>
      <c r="E157" s="565">
        <v>6</v>
      </c>
      <c r="F157" s="565">
        <v>6</v>
      </c>
      <c r="G157" s="565">
        <v>5</v>
      </c>
    </row>
    <row r="158" spans="1:7" ht="13">
      <c r="A158" s="558" t="s">
        <v>2025</v>
      </c>
      <c r="B158" s="557" t="s">
        <v>0</v>
      </c>
      <c r="C158" s="566">
        <v>173</v>
      </c>
      <c r="D158" s="566">
        <v>378</v>
      </c>
      <c r="E158" s="566">
        <v>414</v>
      </c>
      <c r="F158" s="566">
        <v>422</v>
      </c>
      <c r="G158" s="566">
        <v>392</v>
      </c>
    </row>
    <row r="159" spans="1:7" ht="13">
      <c r="A159" s="558" t="s">
        <v>394</v>
      </c>
      <c r="B159" s="557" t="s">
        <v>0</v>
      </c>
      <c r="C159" s="565">
        <v>6060</v>
      </c>
      <c r="D159" s="565">
        <v>6662</v>
      </c>
      <c r="E159" s="565">
        <v>7501</v>
      </c>
      <c r="F159" s="565">
        <v>7689</v>
      </c>
      <c r="G159" s="565">
        <v>7846</v>
      </c>
    </row>
    <row r="160" spans="1:7" ht="13">
      <c r="A160" s="558" t="s">
        <v>2024</v>
      </c>
      <c r="B160" s="557" t="s">
        <v>0</v>
      </c>
      <c r="C160" s="566">
        <v>587</v>
      </c>
      <c r="D160" s="566">
        <v>612</v>
      </c>
      <c r="E160" s="566">
        <v>698</v>
      </c>
      <c r="F160" s="566">
        <v>771</v>
      </c>
      <c r="G160" s="566">
        <v>748</v>
      </c>
    </row>
    <row r="161" spans="1:7" ht="13">
      <c r="A161" s="558" t="s">
        <v>2023</v>
      </c>
      <c r="B161" s="557" t="s">
        <v>0</v>
      </c>
      <c r="C161" s="565" t="s">
        <v>1905</v>
      </c>
      <c r="D161" s="565" t="s">
        <v>1905</v>
      </c>
      <c r="E161" s="565" t="s">
        <v>1905</v>
      </c>
      <c r="F161" s="565" t="s">
        <v>1905</v>
      </c>
      <c r="G161" s="565" t="s">
        <v>1905</v>
      </c>
    </row>
    <row r="162" spans="1:7" ht="13">
      <c r="A162" s="558" t="s">
        <v>2022</v>
      </c>
      <c r="B162" s="557" t="s">
        <v>0</v>
      </c>
      <c r="C162" s="566">
        <v>0</v>
      </c>
      <c r="D162" s="566">
        <v>0</v>
      </c>
      <c r="E162" s="566">
        <v>0</v>
      </c>
      <c r="F162" s="566">
        <v>0</v>
      </c>
      <c r="G162" s="566">
        <v>1</v>
      </c>
    </row>
    <row r="163" spans="1:7" ht="13">
      <c r="A163" s="558" t="s">
        <v>2021</v>
      </c>
      <c r="B163" s="557" t="s">
        <v>0</v>
      </c>
      <c r="C163" s="565">
        <v>0</v>
      </c>
      <c r="D163" s="565">
        <v>0</v>
      </c>
      <c r="E163" s="565">
        <v>0</v>
      </c>
      <c r="F163" s="565">
        <v>0</v>
      </c>
      <c r="G163" s="565">
        <v>0</v>
      </c>
    </row>
    <row r="164" spans="1:7" ht="13">
      <c r="A164" s="558" t="s">
        <v>2020</v>
      </c>
      <c r="B164" s="557" t="s">
        <v>0</v>
      </c>
      <c r="C164" s="566">
        <v>7</v>
      </c>
      <c r="D164" s="566">
        <v>7</v>
      </c>
      <c r="E164" s="566">
        <v>10</v>
      </c>
      <c r="F164" s="566">
        <v>10</v>
      </c>
      <c r="G164" s="566">
        <v>10</v>
      </c>
    </row>
    <row r="165" spans="1:7" ht="13">
      <c r="A165" s="558" t="s">
        <v>2019</v>
      </c>
      <c r="B165" s="557" t="s">
        <v>0</v>
      </c>
      <c r="C165" s="565" t="s">
        <v>1905</v>
      </c>
      <c r="D165" s="565" t="s">
        <v>1905</v>
      </c>
      <c r="E165" s="565" t="s">
        <v>1905</v>
      </c>
      <c r="F165" s="565" t="s">
        <v>1905</v>
      </c>
      <c r="G165" s="565" t="s">
        <v>1905</v>
      </c>
    </row>
    <row r="166" spans="1:7" ht="13">
      <c r="A166" s="558" t="s">
        <v>2018</v>
      </c>
      <c r="B166" s="557" t="s">
        <v>0</v>
      </c>
      <c r="C166" s="566">
        <v>1</v>
      </c>
      <c r="D166" s="566">
        <v>1</v>
      </c>
      <c r="E166" s="566">
        <v>1</v>
      </c>
      <c r="F166" s="566">
        <v>1</v>
      </c>
      <c r="G166" s="566">
        <v>0</v>
      </c>
    </row>
    <row r="167" spans="1:7" ht="13">
      <c r="A167" s="558" t="s">
        <v>2017</v>
      </c>
      <c r="B167" s="557" t="s">
        <v>0</v>
      </c>
      <c r="C167" s="565">
        <v>32</v>
      </c>
      <c r="D167" s="565">
        <v>40</v>
      </c>
      <c r="E167" s="565" t="s">
        <v>1905</v>
      </c>
      <c r="F167" s="565" t="s">
        <v>1905</v>
      </c>
      <c r="G167" s="565">
        <v>50</v>
      </c>
    </row>
    <row r="168" spans="1:7" ht="13">
      <c r="A168" s="558" t="s">
        <v>2016</v>
      </c>
      <c r="B168" s="557" t="s">
        <v>0</v>
      </c>
      <c r="C168" s="566">
        <v>42</v>
      </c>
      <c r="D168" s="566">
        <v>44</v>
      </c>
      <c r="E168" s="566">
        <v>43</v>
      </c>
      <c r="F168" s="566">
        <v>43</v>
      </c>
      <c r="G168" s="566">
        <v>43</v>
      </c>
    </row>
    <row r="169" spans="1:7" ht="13">
      <c r="A169" s="558" t="s">
        <v>2015</v>
      </c>
      <c r="B169" s="557" t="s">
        <v>0</v>
      </c>
      <c r="C169" s="565">
        <v>127</v>
      </c>
      <c r="D169" s="565">
        <v>135</v>
      </c>
      <c r="E169" s="565">
        <v>137</v>
      </c>
      <c r="F169" s="565">
        <v>49</v>
      </c>
      <c r="G169" s="565">
        <v>43</v>
      </c>
    </row>
    <row r="170" spans="1:7" ht="13">
      <c r="A170" s="558" t="s">
        <v>2014</v>
      </c>
      <c r="B170" s="557" t="s">
        <v>0</v>
      </c>
      <c r="C170" s="566">
        <v>1</v>
      </c>
      <c r="D170" s="566">
        <v>1</v>
      </c>
      <c r="E170" s="566">
        <v>1</v>
      </c>
      <c r="F170" s="566">
        <v>1</v>
      </c>
      <c r="G170" s="566" t="s">
        <v>1905</v>
      </c>
    </row>
    <row r="171" spans="1:7" ht="13">
      <c r="A171" s="558" t="s">
        <v>2013</v>
      </c>
      <c r="B171" s="557" t="s">
        <v>0</v>
      </c>
      <c r="C171" s="565">
        <v>191</v>
      </c>
      <c r="D171" s="565">
        <v>212</v>
      </c>
      <c r="E171" s="565">
        <v>195</v>
      </c>
      <c r="F171" s="565">
        <v>153</v>
      </c>
      <c r="G171" s="565">
        <v>173</v>
      </c>
    </row>
    <row r="172" spans="1:7" ht="13">
      <c r="A172" s="558" t="s">
        <v>2012</v>
      </c>
      <c r="B172" s="557" t="s">
        <v>0</v>
      </c>
      <c r="C172" s="566">
        <v>655</v>
      </c>
      <c r="D172" s="566">
        <v>781</v>
      </c>
      <c r="E172" s="566">
        <v>741</v>
      </c>
      <c r="F172" s="566">
        <v>693</v>
      </c>
      <c r="G172" s="566">
        <v>744</v>
      </c>
    </row>
    <row r="173" spans="1:7" ht="13">
      <c r="A173" s="558" t="s">
        <v>2011</v>
      </c>
      <c r="B173" s="557" t="s">
        <v>0</v>
      </c>
      <c r="C173" s="565">
        <v>0</v>
      </c>
      <c r="D173" s="565">
        <v>0</v>
      </c>
      <c r="E173" s="565">
        <v>0</v>
      </c>
      <c r="F173" s="565">
        <v>0</v>
      </c>
      <c r="G173" s="565">
        <v>0</v>
      </c>
    </row>
    <row r="174" spans="1:7" ht="13">
      <c r="A174" s="558" t="s">
        <v>2010</v>
      </c>
      <c r="B174" s="557" t="s">
        <v>0</v>
      </c>
      <c r="C174" s="566">
        <v>3</v>
      </c>
      <c r="D174" s="566">
        <v>3</v>
      </c>
      <c r="E174" s="566">
        <v>3</v>
      </c>
      <c r="F174" s="566">
        <v>3</v>
      </c>
      <c r="G174" s="566">
        <v>3</v>
      </c>
    </row>
    <row r="175" spans="1:7" ht="13">
      <c r="A175" s="558" t="s">
        <v>2009</v>
      </c>
      <c r="B175" s="557" t="s">
        <v>0</v>
      </c>
      <c r="C175" s="565">
        <v>44</v>
      </c>
      <c r="D175" s="565">
        <v>49</v>
      </c>
      <c r="E175" s="565">
        <v>83</v>
      </c>
      <c r="F175" s="565">
        <v>80</v>
      </c>
      <c r="G175" s="565">
        <v>83</v>
      </c>
    </row>
    <row r="176" spans="1:7" ht="13">
      <c r="A176" s="558" t="s">
        <v>2008</v>
      </c>
      <c r="B176" s="557" t="s">
        <v>0</v>
      </c>
      <c r="C176" s="566">
        <v>112</v>
      </c>
      <c r="D176" s="566">
        <v>85</v>
      </c>
      <c r="E176" s="566">
        <v>51</v>
      </c>
      <c r="F176" s="566">
        <v>97</v>
      </c>
      <c r="G176" s="566">
        <v>110</v>
      </c>
    </row>
    <row r="177" spans="1:7" ht="13">
      <c r="A177" s="558" t="s">
        <v>2007</v>
      </c>
      <c r="B177" s="557" t="s">
        <v>0</v>
      </c>
      <c r="C177" s="565">
        <v>1</v>
      </c>
      <c r="D177" s="565">
        <v>1</v>
      </c>
      <c r="E177" s="565">
        <v>1</v>
      </c>
      <c r="F177" s="565">
        <v>1</v>
      </c>
      <c r="G177" s="565" t="s">
        <v>1905</v>
      </c>
    </row>
    <row r="178" spans="1:7" ht="13">
      <c r="A178" s="558" t="s">
        <v>2006</v>
      </c>
      <c r="B178" s="557" t="s">
        <v>0</v>
      </c>
      <c r="C178" s="566" t="s">
        <v>1905</v>
      </c>
      <c r="D178" s="566" t="s">
        <v>1905</v>
      </c>
      <c r="E178" s="566" t="s">
        <v>1905</v>
      </c>
      <c r="F178" s="566" t="s">
        <v>1905</v>
      </c>
      <c r="G178" s="566" t="s">
        <v>1905</v>
      </c>
    </row>
    <row r="179" spans="1:7" ht="13">
      <c r="A179" s="558" t="s">
        <v>2005</v>
      </c>
      <c r="B179" s="557" t="s">
        <v>0</v>
      </c>
      <c r="C179" s="565">
        <v>205</v>
      </c>
      <c r="D179" s="565">
        <v>190</v>
      </c>
      <c r="E179" s="565">
        <v>129</v>
      </c>
      <c r="F179" s="565">
        <v>171</v>
      </c>
      <c r="G179" s="565">
        <v>194</v>
      </c>
    </row>
    <row r="180" spans="1:7" ht="13">
      <c r="A180" s="558" t="s">
        <v>1116</v>
      </c>
      <c r="B180" s="557" t="s">
        <v>0</v>
      </c>
      <c r="C180" s="566" t="s">
        <v>1905</v>
      </c>
      <c r="D180" s="566" t="s">
        <v>1905</v>
      </c>
      <c r="E180" s="566" t="s">
        <v>1905</v>
      </c>
      <c r="F180" s="566" t="s">
        <v>1905</v>
      </c>
      <c r="G180" s="566" t="s">
        <v>1905</v>
      </c>
    </row>
    <row r="181" spans="1:7" ht="13">
      <c r="A181" s="558" t="s">
        <v>2004</v>
      </c>
      <c r="B181" s="557" t="s">
        <v>0</v>
      </c>
      <c r="C181" s="565">
        <v>62</v>
      </c>
      <c r="D181" s="565">
        <v>61</v>
      </c>
      <c r="E181" s="565">
        <v>66</v>
      </c>
      <c r="F181" s="565">
        <v>78</v>
      </c>
      <c r="G181" s="565">
        <v>81</v>
      </c>
    </row>
    <row r="182" spans="1:7" ht="13">
      <c r="A182" s="558" t="s">
        <v>2003</v>
      </c>
      <c r="B182" s="557" t="s">
        <v>0</v>
      </c>
      <c r="C182" s="566" t="s">
        <v>1905</v>
      </c>
      <c r="D182" s="566" t="s">
        <v>1905</v>
      </c>
      <c r="E182" s="566" t="s">
        <v>1905</v>
      </c>
      <c r="F182" s="566" t="s">
        <v>1905</v>
      </c>
      <c r="G182" s="566" t="s">
        <v>1905</v>
      </c>
    </row>
    <row r="183" spans="1:7" ht="13">
      <c r="A183" s="558" t="s">
        <v>2002</v>
      </c>
      <c r="B183" s="557" t="s">
        <v>0</v>
      </c>
      <c r="C183" s="565">
        <v>141</v>
      </c>
      <c r="D183" s="565">
        <v>176</v>
      </c>
      <c r="E183" s="565">
        <v>191</v>
      </c>
      <c r="F183" s="565">
        <v>187</v>
      </c>
      <c r="G183" s="565" t="s">
        <v>1905</v>
      </c>
    </row>
    <row r="184" spans="1:7" ht="13">
      <c r="A184" s="558" t="s">
        <v>2001</v>
      </c>
      <c r="B184" s="557" t="s">
        <v>0</v>
      </c>
      <c r="C184" s="566">
        <v>1</v>
      </c>
      <c r="D184" s="566">
        <v>1</v>
      </c>
      <c r="E184" s="566">
        <v>1</v>
      </c>
      <c r="F184" s="566">
        <v>1</v>
      </c>
      <c r="G184" s="566" t="s">
        <v>1905</v>
      </c>
    </row>
    <row r="185" spans="1:7" ht="13">
      <c r="A185" s="558" t="s">
        <v>2000</v>
      </c>
      <c r="B185" s="557" t="s">
        <v>0</v>
      </c>
      <c r="C185" s="565" t="s">
        <v>1905</v>
      </c>
      <c r="D185" s="565" t="s">
        <v>1905</v>
      </c>
      <c r="E185" s="565" t="s">
        <v>1905</v>
      </c>
      <c r="F185" s="565">
        <v>56</v>
      </c>
      <c r="G185" s="565">
        <v>62</v>
      </c>
    </row>
    <row r="186" spans="1:7" ht="13">
      <c r="A186" s="558" t="s">
        <v>1925</v>
      </c>
      <c r="B186" s="557" t="s">
        <v>0</v>
      </c>
      <c r="C186" s="566">
        <v>279</v>
      </c>
      <c r="D186" s="566">
        <v>306</v>
      </c>
      <c r="E186" s="566">
        <v>308</v>
      </c>
      <c r="F186" s="566">
        <v>356</v>
      </c>
      <c r="G186" s="566">
        <v>353</v>
      </c>
    </row>
    <row r="187" spans="1:7" ht="13">
      <c r="A187" s="558" t="s">
        <v>1999</v>
      </c>
      <c r="B187" s="557" t="s">
        <v>0</v>
      </c>
      <c r="C187" s="565">
        <v>0</v>
      </c>
      <c r="D187" s="565">
        <v>0</v>
      </c>
      <c r="E187" s="565">
        <v>0</v>
      </c>
      <c r="F187" s="565">
        <v>0</v>
      </c>
      <c r="G187" s="565">
        <v>2</v>
      </c>
    </row>
    <row r="188" spans="1:7" ht="13">
      <c r="A188" s="558" t="s">
        <v>1998</v>
      </c>
      <c r="B188" s="557" t="s">
        <v>0</v>
      </c>
      <c r="C188" s="566">
        <v>0</v>
      </c>
      <c r="D188" s="566">
        <v>0</v>
      </c>
      <c r="E188" s="566">
        <v>0</v>
      </c>
      <c r="F188" s="566">
        <v>0</v>
      </c>
      <c r="G188" s="566">
        <v>0</v>
      </c>
    </row>
    <row r="189" spans="1:7" ht="13">
      <c r="A189" s="558" t="s">
        <v>1997</v>
      </c>
      <c r="B189" s="557" t="s">
        <v>0</v>
      </c>
      <c r="C189" s="565">
        <v>0</v>
      </c>
      <c r="D189" s="565">
        <v>0</v>
      </c>
      <c r="E189" s="565">
        <v>0</v>
      </c>
      <c r="F189" s="565">
        <v>0</v>
      </c>
      <c r="G189" s="565">
        <v>0</v>
      </c>
    </row>
    <row r="190" spans="1:7" ht="13">
      <c r="A190" s="558" t="s">
        <v>1996</v>
      </c>
      <c r="B190" s="557" t="s">
        <v>0</v>
      </c>
      <c r="C190" s="566">
        <v>60</v>
      </c>
      <c r="D190" s="566">
        <v>24</v>
      </c>
      <c r="E190" s="566">
        <v>24</v>
      </c>
      <c r="F190" s="566">
        <v>25</v>
      </c>
      <c r="G190" s="566">
        <v>45</v>
      </c>
    </row>
    <row r="191" spans="1:7" ht="13">
      <c r="A191" s="558" t="s">
        <v>1995</v>
      </c>
      <c r="B191" s="557" t="s">
        <v>0</v>
      </c>
      <c r="C191" s="565" t="s">
        <v>1905</v>
      </c>
      <c r="D191" s="565" t="s">
        <v>1905</v>
      </c>
      <c r="E191" s="565" t="s">
        <v>1905</v>
      </c>
      <c r="F191" s="565">
        <v>18</v>
      </c>
      <c r="G191" s="565">
        <v>24</v>
      </c>
    </row>
    <row r="192" spans="1:7" ht="13">
      <c r="A192" s="558" t="s">
        <v>1994</v>
      </c>
      <c r="B192" s="557" t="s">
        <v>0</v>
      </c>
      <c r="C192" s="566">
        <v>3</v>
      </c>
      <c r="D192" s="566">
        <v>4</v>
      </c>
      <c r="E192" s="566">
        <v>16</v>
      </c>
      <c r="F192" s="566">
        <v>29</v>
      </c>
      <c r="G192" s="566">
        <v>28</v>
      </c>
    </row>
    <row r="193" spans="1:7" ht="13">
      <c r="A193" s="558" t="s">
        <v>1993</v>
      </c>
      <c r="B193" s="557" t="s">
        <v>0</v>
      </c>
      <c r="C193" s="565">
        <v>3</v>
      </c>
      <c r="D193" s="565">
        <v>3</v>
      </c>
      <c r="E193" s="565">
        <v>3</v>
      </c>
      <c r="F193" s="565">
        <v>3</v>
      </c>
      <c r="G193" s="565">
        <v>4</v>
      </c>
    </row>
    <row r="194" spans="1:7" ht="13">
      <c r="A194" s="558" t="s">
        <v>1992</v>
      </c>
      <c r="B194" s="557" t="s">
        <v>0</v>
      </c>
      <c r="C194" s="566">
        <v>0</v>
      </c>
      <c r="D194" s="566">
        <v>0</v>
      </c>
      <c r="E194" s="566">
        <v>0</v>
      </c>
      <c r="F194" s="566">
        <v>0</v>
      </c>
      <c r="G194" s="566" t="s">
        <v>1905</v>
      </c>
    </row>
    <row r="195" spans="1:7" ht="13">
      <c r="A195" s="558" t="s">
        <v>1991</v>
      </c>
      <c r="B195" s="557" t="s">
        <v>0</v>
      </c>
      <c r="C195" s="565">
        <v>608</v>
      </c>
      <c r="D195" s="565">
        <v>735</v>
      </c>
      <c r="E195" s="565">
        <v>931</v>
      </c>
      <c r="F195" s="565">
        <v>1083</v>
      </c>
      <c r="G195" s="565">
        <v>1132</v>
      </c>
    </row>
    <row r="196" spans="1:7" ht="13">
      <c r="A196" s="558" t="s">
        <v>1990</v>
      </c>
      <c r="B196" s="557" t="s">
        <v>0</v>
      </c>
      <c r="C196" s="566">
        <v>0</v>
      </c>
      <c r="D196" s="566">
        <v>0</v>
      </c>
      <c r="E196" s="566">
        <v>0</v>
      </c>
      <c r="F196" s="566">
        <v>0</v>
      </c>
      <c r="G196" s="566">
        <v>0</v>
      </c>
    </row>
    <row r="197" spans="1:7" ht="13">
      <c r="A197" s="558" t="s">
        <v>1989</v>
      </c>
      <c r="B197" s="557" t="s">
        <v>0</v>
      </c>
      <c r="C197" s="565">
        <v>0</v>
      </c>
      <c r="D197" s="565">
        <v>0</v>
      </c>
      <c r="E197" s="565">
        <v>0</v>
      </c>
      <c r="F197" s="565">
        <v>0</v>
      </c>
      <c r="G197" s="565">
        <v>0</v>
      </c>
    </row>
    <row r="198" spans="1:7" ht="13">
      <c r="A198" s="558" t="s">
        <v>1988</v>
      </c>
      <c r="B198" s="557" t="s">
        <v>0</v>
      </c>
      <c r="C198" s="566">
        <v>0</v>
      </c>
      <c r="D198" s="566">
        <v>0</v>
      </c>
      <c r="E198" s="566">
        <v>0</v>
      </c>
      <c r="F198" s="566">
        <v>0</v>
      </c>
      <c r="G198" s="566" t="s">
        <v>1905</v>
      </c>
    </row>
    <row r="199" spans="1:7" ht="13">
      <c r="A199" s="558" t="s">
        <v>1987</v>
      </c>
      <c r="B199" s="557" t="s">
        <v>0</v>
      </c>
      <c r="C199" s="565">
        <v>0</v>
      </c>
      <c r="D199" s="565">
        <v>0</v>
      </c>
      <c r="E199" s="565">
        <v>0</v>
      </c>
      <c r="F199" s="565">
        <v>0</v>
      </c>
      <c r="G199" s="565">
        <v>0</v>
      </c>
    </row>
    <row r="200" spans="1:7" ht="13">
      <c r="A200" s="558" t="s">
        <v>1986</v>
      </c>
      <c r="B200" s="557" t="s">
        <v>0</v>
      </c>
      <c r="C200" s="566">
        <v>15</v>
      </c>
      <c r="D200" s="566">
        <v>12</v>
      </c>
      <c r="E200" s="566">
        <v>12</v>
      </c>
      <c r="F200" s="566">
        <v>11</v>
      </c>
      <c r="G200" s="566">
        <v>10</v>
      </c>
    </row>
    <row r="201" spans="1:7" ht="13">
      <c r="A201" s="558" t="s">
        <v>1985</v>
      </c>
      <c r="B201" s="557" t="s">
        <v>0</v>
      </c>
      <c r="C201" s="565">
        <v>0</v>
      </c>
      <c r="D201" s="565">
        <v>0</v>
      </c>
      <c r="E201" s="565">
        <v>0</v>
      </c>
      <c r="F201" s="565">
        <v>0</v>
      </c>
      <c r="G201" s="565" t="s">
        <v>1905</v>
      </c>
    </row>
    <row r="202" spans="1:7" ht="13">
      <c r="A202" s="558" t="s">
        <v>1984</v>
      </c>
      <c r="B202" s="557" t="s">
        <v>0</v>
      </c>
      <c r="C202" s="566">
        <v>0</v>
      </c>
      <c r="D202" s="566">
        <v>0</v>
      </c>
      <c r="E202" s="566">
        <v>0</v>
      </c>
      <c r="F202" s="566">
        <v>0</v>
      </c>
      <c r="G202" s="566">
        <v>0</v>
      </c>
    </row>
    <row r="203" spans="1:7" ht="13">
      <c r="A203" s="558" t="s">
        <v>1983</v>
      </c>
      <c r="B203" s="557" t="s">
        <v>0</v>
      </c>
      <c r="C203" s="565" t="s">
        <v>1905</v>
      </c>
      <c r="D203" s="565" t="s">
        <v>1905</v>
      </c>
      <c r="E203" s="565" t="s">
        <v>1905</v>
      </c>
      <c r="F203" s="565" t="s">
        <v>1905</v>
      </c>
      <c r="G203" s="565" t="s">
        <v>1905</v>
      </c>
    </row>
    <row r="204" spans="1:7" ht="13">
      <c r="A204" s="558" t="s">
        <v>1982</v>
      </c>
      <c r="B204" s="557" t="s">
        <v>0</v>
      </c>
      <c r="C204" s="566" t="s">
        <v>1905</v>
      </c>
      <c r="D204" s="566" t="s">
        <v>1905</v>
      </c>
      <c r="E204" s="566" t="s">
        <v>1905</v>
      </c>
      <c r="F204" s="566" t="s">
        <v>1905</v>
      </c>
      <c r="G204" s="566" t="s">
        <v>1905</v>
      </c>
    </row>
    <row r="205" spans="1:7" ht="13">
      <c r="A205" s="558" t="s">
        <v>1981</v>
      </c>
      <c r="B205" s="557" t="s">
        <v>0</v>
      </c>
      <c r="C205" s="565">
        <v>0</v>
      </c>
      <c r="D205" s="565">
        <v>0</v>
      </c>
      <c r="E205" s="565">
        <v>0</v>
      </c>
      <c r="F205" s="565">
        <v>0</v>
      </c>
      <c r="G205" s="565">
        <v>3</v>
      </c>
    </row>
    <row r="206" spans="1:7" ht="13">
      <c r="A206" s="558" t="s">
        <v>1980</v>
      </c>
      <c r="B206" s="557" t="s">
        <v>0</v>
      </c>
      <c r="C206" s="566">
        <v>47</v>
      </c>
      <c r="D206" s="566">
        <v>49</v>
      </c>
      <c r="E206" s="566">
        <v>47</v>
      </c>
      <c r="F206" s="566">
        <v>51</v>
      </c>
      <c r="G206" s="566">
        <v>59</v>
      </c>
    </row>
    <row r="207" spans="1:7" ht="13">
      <c r="A207" s="558" t="s">
        <v>1979</v>
      </c>
      <c r="B207" s="557" t="s">
        <v>0</v>
      </c>
      <c r="C207" s="565">
        <v>16</v>
      </c>
      <c r="D207" s="565">
        <v>17</v>
      </c>
      <c r="E207" s="565">
        <v>42</v>
      </c>
      <c r="F207" s="565">
        <v>44</v>
      </c>
      <c r="G207" s="565">
        <v>43</v>
      </c>
    </row>
    <row r="208" spans="1:7" ht="13">
      <c r="A208" s="558" t="s">
        <v>1978</v>
      </c>
      <c r="B208" s="557" t="s">
        <v>0</v>
      </c>
      <c r="C208" s="566">
        <v>7</v>
      </c>
      <c r="D208" s="566">
        <v>7</v>
      </c>
      <c r="E208" s="566">
        <v>7</v>
      </c>
      <c r="F208" s="566">
        <v>8</v>
      </c>
      <c r="G208" s="566">
        <v>13</v>
      </c>
    </row>
    <row r="209" spans="1:7" ht="13">
      <c r="A209" s="558" t="s">
        <v>1906</v>
      </c>
      <c r="B209" s="557" t="s">
        <v>0</v>
      </c>
      <c r="C209" s="565">
        <v>2488</v>
      </c>
      <c r="D209" s="565">
        <v>2817</v>
      </c>
      <c r="E209" s="565">
        <v>3388</v>
      </c>
      <c r="F209" s="565">
        <v>3326</v>
      </c>
      <c r="G209" s="565">
        <v>3415</v>
      </c>
    </row>
    <row r="210" spans="1:7" ht="13">
      <c r="A210" s="558" t="s">
        <v>1977</v>
      </c>
      <c r="B210" s="557" t="s">
        <v>0</v>
      </c>
      <c r="C210" s="566">
        <v>21</v>
      </c>
      <c r="D210" s="566">
        <v>16</v>
      </c>
      <c r="E210" s="566">
        <v>21</v>
      </c>
      <c r="F210" s="566">
        <v>23</v>
      </c>
      <c r="G210" s="566">
        <v>37</v>
      </c>
    </row>
    <row r="211" spans="1:7" ht="13">
      <c r="A211" s="558" t="s">
        <v>1976</v>
      </c>
      <c r="B211" s="557" t="s">
        <v>0</v>
      </c>
      <c r="C211" s="565">
        <v>19</v>
      </c>
      <c r="D211" s="565">
        <v>13</v>
      </c>
      <c r="E211" s="565">
        <v>9</v>
      </c>
      <c r="F211" s="565" t="s">
        <v>1905</v>
      </c>
      <c r="G211" s="565" t="s">
        <v>1905</v>
      </c>
    </row>
    <row r="212" spans="1:7" ht="13">
      <c r="A212" s="558" t="s">
        <v>1975</v>
      </c>
      <c r="B212" s="557" t="s">
        <v>0</v>
      </c>
      <c r="C212" s="566" t="s">
        <v>1905</v>
      </c>
      <c r="D212" s="566" t="s">
        <v>1905</v>
      </c>
      <c r="E212" s="566" t="s">
        <v>1905</v>
      </c>
      <c r="F212" s="566" t="s">
        <v>1905</v>
      </c>
      <c r="G212" s="566" t="s">
        <v>1905</v>
      </c>
    </row>
    <row r="213" spans="1:7" ht="13">
      <c r="A213" s="558" t="s">
        <v>1974</v>
      </c>
      <c r="B213" s="557" t="s">
        <v>0</v>
      </c>
      <c r="C213" s="565" t="s">
        <v>1905</v>
      </c>
      <c r="D213" s="565" t="s">
        <v>1905</v>
      </c>
      <c r="E213" s="565" t="s">
        <v>1905</v>
      </c>
      <c r="F213" s="565" t="s">
        <v>1905</v>
      </c>
      <c r="G213" s="565" t="s">
        <v>1905</v>
      </c>
    </row>
    <row r="214" spans="1:7" ht="13">
      <c r="A214" s="558" t="s">
        <v>1973</v>
      </c>
      <c r="B214" s="557" t="s">
        <v>0</v>
      </c>
      <c r="C214" s="566">
        <v>5</v>
      </c>
      <c r="D214" s="566">
        <v>16</v>
      </c>
      <c r="E214" s="566">
        <v>16</v>
      </c>
      <c r="F214" s="566">
        <v>16</v>
      </c>
      <c r="G214" s="566">
        <v>35</v>
      </c>
    </row>
    <row r="215" spans="1:7" ht="13">
      <c r="A215" s="558" t="s">
        <v>1972</v>
      </c>
      <c r="B215" s="557" t="s">
        <v>0</v>
      </c>
      <c r="C215" s="565">
        <v>1</v>
      </c>
      <c r="D215" s="565">
        <v>0</v>
      </c>
      <c r="E215" s="565">
        <v>0</v>
      </c>
      <c r="F215" s="565">
        <v>0</v>
      </c>
      <c r="G215" s="565">
        <v>0</v>
      </c>
    </row>
    <row r="216" spans="1:7" ht="13">
      <c r="A216" s="558" t="s">
        <v>1119</v>
      </c>
      <c r="B216" s="557" t="s">
        <v>0</v>
      </c>
      <c r="C216" s="566" t="s">
        <v>1905</v>
      </c>
      <c r="D216" s="566" t="s">
        <v>1905</v>
      </c>
      <c r="E216" s="566" t="s">
        <v>1905</v>
      </c>
      <c r="F216" s="566" t="s">
        <v>1905</v>
      </c>
      <c r="G216" s="566" t="s">
        <v>1905</v>
      </c>
    </row>
    <row r="217" spans="1:7" ht="13">
      <c r="A217" s="558" t="s">
        <v>1971</v>
      </c>
      <c r="B217" s="557" t="s">
        <v>0</v>
      </c>
      <c r="C217" s="565">
        <v>0</v>
      </c>
      <c r="D217" s="565" t="s">
        <v>1905</v>
      </c>
      <c r="E217" s="565" t="s">
        <v>1905</v>
      </c>
      <c r="F217" s="565">
        <v>133</v>
      </c>
      <c r="G217" s="565" t="s">
        <v>1905</v>
      </c>
    </row>
    <row r="218" spans="1:7" ht="13">
      <c r="A218" s="558" t="s">
        <v>1970</v>
      </c>
      <c r="B218" s="557" t="s">
        <v>0</v>
      </c>
      <c r="C218" s="566">
        <v>0</v>
      </c>
      <c r="D218" s="566">
        <v>100</v>
      </c>
      <c r="E218" s="566" t="s">
        <v>1905</v>
      </c>
      <c r="F218" s="566" t="s">
        <v>1905</v>
      </c>
      <c r="G218" s="566">
        <v>227</v>
      </c>
    </row>
    <row r="219" spans="1:7" ht="13">
      <c r="A219" s="558" t="s">
        <v>1969</v>
      </c>
      <c r="B219" s="557" t="s">
        <v>0</v>
      </c>
      <c r="C219" s="565" t="s">
        <v>1905</v>
      </c>
      <c r="D219" s="565" t="s">
        <v>1905</v>
      </c>
      <c r="E219" s="565" t="s">
        <v>1905</v>
      </c>
      <c r="F219" s="565" t="s">
        <v>1905</v>
      </c>
      <c r="G219" s="565" t="s">
        <v>1905</v>
      </c>
    </row>
    <row r="220" spans="1:7" ht="13">
      <c r="A220" s="558" t="s">
        <v>1968</v>
      </c>
      <c r="B220" s="557" t="s">
        <v>0</v>
      </c>
      <c r="C220" s="566">
        <v>16</v>
      </c>
      <c r="D220" s="566">
        <v>1</v>
      </c>
      <c r="E220" s="566">
        <v>1</v>
      </c>
      <c r="F220" s="566">
        <v>1</v>
      </c>
      <c r="G220" s="566" t="s">
        <v>1905</v>
      </c>
    </row>
    <row r="221" spans="1:7" ht="13">
      <c r="A221" s="558" t="s">
        <v>1967</v>
      </c>
      <c r="B221" s="557" t="s">
        <v>0</v>
      </c>
      <c r="C221" s="565" t="s">
        <v>1905</v>
      </c>
      <c r="D221" s="565" t="s">
        <v>1905</v>
      </c>
      <c r="E221" s="565" t="s">
        <v>1905</v>
      </c>
      <c r="F221" s="565" t="s">
        <v>1905</v>
      </c>
      <c r="G221" s="565" t="s">
        <v>1905</v>
      </c>
    </row>
    <row r="222" spans="1:7" ht="13">
      <c r="A222" s="558" t="s">
        <v>1966</v>
      </c>
      <c r="B222" s="557" t="s">
        <v>0</v>
      </c>
      <c r="C222" s="566">
        <v>4</v>
      </c>
      <c r="D222" s="566">
        <v>4</v>
      </c>
      <c r="E222" s="566">
        <v>4</v>
      </c>
      <c r="F222" s="566">
        <v>4</v>
      </c>
      <c r="G222" s="566" t="s">
        <v>1905</v>
      </c>
    </row>
    <row r="223" spans="1:7" ht="13">
      <c r="A223" s="558" t="s">
        <v>1965</v>
      </c>
      <c r="B223" s="557" t="s">
        <v>0</v>
      </c>
      <c r="C223" s="565">
        <v>0</v>
      </c>
      <c r="D223" s="565">
        <v>0</v>
      </c>
      <c r="E223" s="565">
        <v>0</v>
      </c>
      <c r="F223" s="565">
        <v>0</v>
      </c>
      <c r="G223" s="565">
        <v>0</v>
      </c>
    </row>
    <row r="224" spans="1:7" ht="13">
      <c r="A224" s="558" t="s">
        <v>1964</v>
      </c>
      <c r="B224" s="557" t="s">
        <v>0</v>
      </c>
      <c r="C224" s="566">
        <v>3</v>
      </c>
      <c r="D224" s="566">
        <v>3</v>
      </c>
      <c r="E224" s="566">
        <v>3</v>
      </c>
      <c r="F224" s="566">
        <v>3</v>
      </c>
      <c r="G224" s="566">
        <v>0</v>
      </c>
    </row>
    <row r="225" spans="1:7" ht="13">
      <c r="A225" s="558" t="s">
        <v>1963</v>
      </c>
      <c r="B225" s="557" t="s">
        <v>0</v>
      </c>
      <c r="C225" s="565">
        <v>58</v>
      </c>
      <c r="D225" s="565">
        <v>0</v>
      </c>
      <c r="E225" s="565">
        <v>0</v>
      </c>
      <c r="F225" s="565">
        <v>0</v>
      </c>
      <c r="G225" s="565">
        <v>0</v>
      </c>
    </row>
    <row r="226" spans="1:7" ht="13">
      <c r="A226" s="558" t="s">
        <v>716</v>
      </c>
      <c r="B226" s="557" t="s">
        <v>0</v>
      </c>
      <c r="C226" s="566" t="s">
        <v>1905</v>
      </c>
      <c r="D226" s="566" t="s">
        <v>1905</v>
      </c>
      <c r="E226" s="566" t="s">
        <v>1905</v>
      </c>
      <c r="F226" s="566" t="s">
        <v>1905</v>
      </c>
      <c r="G226" s="566" t="s">
        <v>1905</v>
      </c>
    </row>
    <row r="227" spans="1:7" ht="13">
      <c r="A227" s="558" t="s">
        <v>1962</v>
      </c>
      <c r="B227" s="557" t="s">
        <v>0</v>
      </c>
      <c r="C227" s="565" t="s">
        <v>1905</v>
      </c>
      <c r="D227" s="565">
        <v>15</v>
      </c>
      <c r="E227" s="565">
        <v>19</v>
      </c>
      <c r="F227" s="565">
        <v>21</v>
      </c>
      <c r="G227" s="565">
        <v>15</v>
      </c>
    </row>
    <row r="228" spans="1:7" ht="13">
      <c r="A228" s="558" t="s">
        <v>1961</v>
      </c>
      <c r="B228" s="557" t="s">
        <v>0</v>
      </c>
      <c r="C228" s="566" t="s">
        <v>1905</v>
      </c>
      <c r="D228" s="566" t="s">
        <v>1905</v>
      </c>
      <c r="E228" s="566" t="s">
        <v>1905</v>
      </c>
      <c r="F228" s="566" t="s">
        <v>1905</v>
      </c>
      <c r="G228" s="566">
        <v>1</v>
      </c>
    </row>
    <row r="229" spans="1:7" ht="13">
      <c r="A229" s="558" t="s">
        <v>1960</v>
      </c>
      <c r="B229" s="557" t="s">
        <v>0</v>
      </c>
      <c r="C229" s="565" t="s">
        <v>1905</v>
      </c>
      <c r="D229" s="565" t="s">
        <v>1905</v>
      </c>
      <c r="E229" s="565" t="s">
        <v>1905</v>
      </c>
      <c r="F229" s="565" t="s">
        <v>1905</v>
      </c>
      <c r="G229" s="565" t="s">
        <v>1905</v>
      </c>
    </row>
    <row r="230" spans="1:7">
      <c r="A230" s="555" t="s">
        <v>2128</v>
      </c>
    </row>
  </sheetData>
  <mergeCells count="9">
    <mergeCell ref="A6:B6"/>
    <mergeCell ref="C6:G6"/>
    <mergeCell ref="A7:B7"/>
    <mergeCell ref="A3:B3"/>
    <mergeCell ref="C3:G3"/>
    <mergeCell ref="A4:B4"/>
    <mergeCell ref="C4:G4"/>
    <mergeCell ref="A5:B5"/>
    <mergeCell ref="C5:G5"/>
  </mergeCells>
  <hyperlinks>
    <hyperlink ref="A2" r:id="rId1" tooltip="Click once to display linked information. Click and hold to select this cell."/>
    <hyperlink ref="C3" r:id="rId2" tooltip="Click once to display linked information. Click and hold to select this cell."/>
    <hyperlink ref="B8" r:id="rId3" tooltip="Click once to display linked information. Click and hold to select this cell."/>
    <hyperlink ref="A230" r:id="rId4" tooltip="Click once to display linked information. Click and hold to select this cell."/>
  </hyperlinks>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6"/>
  <sheetViews>
    <sheetView showGridLines="0" topLeftCell="A2" workbookViewId="0">
      <selection activeCell="X67" sqref="X67"/>
    </sheetView>
  </sheetViews>
  <sheetFormatPr baseColWidth="10" defaultRowHeight="12" x14ac:dyDescent="0"/>
  <cols>
    <col min="1" max="1" width="20.5703125" style="554" customWidth="1"/>
    <col min="2" max="2" width="1.85546875" style="554" customWidth="1"/>
    <col min="3" max="16384" width="10.7109375" style="554"/>
  </cols>
  <sheetData>
    <row r="1" spans="1:30" hidden="1">
      <c r="A1" s="564" t="e">
        <f ca="1">DotStatQuery(B1)</f>
        <v>#NAME?</v>
      </c>
      <c r="B1" s="564" t="s">
        <v>1957</v>
      </c>
    </row>
    <row r="2" spans="1:30" ht="48">
      <c r="A2" s="563" t="s">
        <v>1956</v>
      </c>
    </row>
    <row r="3" spans="1:30">
      <c r="A3" s="1968" t="s">
        <v>1955</v>
      </c>
      <c r="B3" s="1969"/>
      <c r="C3" s="1970" t="s">
        <v>1900</v>
      </c>
      <c r="D3" s="1971"/>
      <c r="E3" s="1971"/>
      <c r="F3" s="1971"/>
      <c r="G3" s="1971"/>
      <c r="H3" s="1971"/>
      <c r="I3" s="1971"/>
      <c r="J3" s="1971"/>
      <c r="K3" s="1971"/>
      <c r="L3" s="1971"/>
      <c r="M3" s="1971"/>
      <c r="N3" s="1971"/>
      <c r="O3" s="1971"/>
      <c r="P3" s="1971"/>
      <c r="Q3" s="1971"/>
      <c r="R3" s="1971"/>
      <c r="S3" s="1971"/>
      <c r="T3" s="1971"/>
      <c r="U3" s="1971"/>
      <c r="V3" s="1971"/>
      <c r="W3" s="1971"/>
      <c r="X3" s="1971"/>
      <c r="Y3" s="1971"/>
      <c r="Z3" s="1971"/>
      <c r="AA3" s="1971"/>
      <c r="AB3" s="1971"/>
      <c r="AC3" s="1971"/>
      <c r="AD3" s="1972"/>
    </row>
    <row r="4" spans="1:30">
      <c r="A4" s="1968" t="s">
        <v>1954</v>
      </c>
      <c r="B4" s="1969"/>
      <c r="C4" s="1973" t="s">
        <v>1953</v>
      </c>
      <c r="D4" s="1974"/>
      <c r="E4" s="1974"/>
      <c r="F4" s="1974"/>
      <c r="G4" s="1974"/>
      <c r="H4" s="1974"/>
      <c r="I4" s="1974"/>
      <c r="J4" s="1974"/>
      <c r="K4" s="1974"/>
      <c r="L4" s="1974"/>
      <c r="M4" s="1974"/>
      <c r="N4" s="1974"/>
      <c r="O4" s="1974"/>
      <c r="P4" s="1974"/>
      <c r="Q4" s="1974"/>
      <c r="R4" s="1974"/>
      <c r="S4" s="1974"/>
      <c r="T4" s="1974"/>
      <c r="U4" s="1974"/>
      <c r="V4" s="1974"/>
      <c r="W4" s="1974"/>
      <c r="X4" s="1974"/>
      <c r="Y4" s="1974"/>
      <c r="Z4" s="1974"/>
      <c r="AA4" s="1974"/>
      <c r="AB4" s="1974"/>
      <c r="AC4" s="1974"/>
      <c r="AD4" s="1975"/>
    </row>
    <row r="5" spans="1:30">
      <c r="A5" s="1968" t="s">
        <v>1952</v>
      </c>
      <c r="B5" s="1969"/>
      <c r="C5" s="1973" t="s">
        <v>71</v>
      </c>
      <c r="D5" s="1974"/>
      <c r="E5" s="1974"/>
      <c r="F5" s="1974"/>
      <c r="G5" s="1974"/>
      <c r="H5" s="1974"/>
      <c r="I5" s="1974"/>
      <c r="J5" s="1974"/>
      <c r="K5" s="1974"/>
      <c r="L5" s="1974"/>
      <c r="M5" s="1974"/>
      <c r="N5" s="1974"/>
      <c r="O5" s="1974"/>
      <c r="P5" s="1974"/>
      <c r="Q5" s="1974"/>
      <c r="R5" s="1974"/>
      <c r="S5" s="1974"/>
      <c r="T5" s="1974"/>
      <c r="U5" s="1974"/>
      <c r="V5" s="1974"/>
      <c r="W5" s="1974"/>
      <c r="X5" s="1974"/>
      <c r="Y5" s="1974"/>
      <c r="Z5" s="1974"/>
      <c r="AA5" s="1974"/>
      <c r="AB5" s="1974"/>
      <c r="AC5" s="1974"/>
      <c r="AD5" s="1975"/>
    </row>
    <row r="6" spans="1:30">
      <c r="A6" s="1963" t="s">
        <v>791</v>
      </c>
      <c r="B6" s="1964"/>
      <c r="C6" s="562" t="s">
        <v>101</v>
      </c>
      <c r="D6" s="562" t="s">
        <v>100</v>
      </c>
      <c r="E6" s="562" t="s">
        <v>99</v>
      </c>
      <c r="F6" s="562" t="s">
        <v>98</v>
      </c>
      <c r="G6" s="562" t="s">
        <v>97</v>
      </c>
      <c r="H6" s="562" t="s">
        <v>96</v>
      </c>
      <c r="I6" s="562" t="s">
        <v>95</v>
      </c>
      <c r="J6" s="562" t="s">
        <v>94</v>
      </c>
      <c r="K6" s="562" t="s">
        <v>93</v>
      </c>
      <c r="L6" s="562" t="s">
        <v>92</v>
      </c>
      <c r="M6" s="562" t="s">
        <v>91</v>
      </c>
      <c r="N6" s="562" t="s">
        <v>90</v>
      </c>
      <c r="O6" s="562" t="s">
        <v>89</v>
      </c>
      <c r="P6" s="562" t="s">
        <v>88</v>
      </c>
      <c r="Q6" s="562" t="s">
        <v>87</v>
      </c>
      <c r="R6" s="562" t="s">
        <v>86</v>
      </c>
      <c r="S6" s="562" t="s">
        <v>85</v>
      </c>
      <c r="T6" s="562" t="s">
        <v>84</v>
      </c>
      <c r="U6" s="562" t="s">
        <v>83</v>
      </c>
      <c r="V6" s="562" t="s">
        <v>82</v>
      </c>
      <c r="W6" s="562" t="s">
        <v>81</v>
      </c>
      <c r="X6" s="562" t="s">
        <v>80</v>
      </c>
      <c r="Y6" s="562" t="s">
        <v>79</v>
      </c>
      <c r="Z6" s="562" t="s">
        <v>78</v>
      </c>
      <c r="AA6" s="562" t="s">
        <v>77</v>
      </c>
      <c r="AB6" s="562" t="s">
        <v>76</v>
      </c>
      <c r="AC6" s="562" t="s">
        <v>75</v>
      </c>
      <c r="AD6" s="562" t="s">
        <v>74</v>
      </c>
    </row>
    <row r="7" spans="1:30" ht="13">
      <c r="A7" s="561" t="s">
        <v>1951</v>
      </c>
      <c r="B7" s="557" t="s">
        <v>1950</v>
      </c>
      <c r="C7" s="557" t="s">
        <v>0</v>
      </c>
      <c r="D7" s="557" t="s">
        <v>0</v>
      </c>
      <c r="E7" s="557" t="s">
        <v>0</v>
      </c>
      <c r="F7" s="557" t="s">
        <v>0</v>
      </c>
      <c r="G7" s="557" t="s">
        <v>0</v>
      </c>
      <c r="H7" s="557" t="s">
        <v>0</v>
      </c>
      <c r="I7" s="557" t="s">
        <v>0</v>
      </c>
      <c r="J7" s="557" t="s">
        <v>0</v>
      </c>
      <c r="K7" s="557" t="s">
        <v>0</v>
      </c>
      <c r="L7" s="557" t="s">
        <v>0</v>
      </c>
      <c r="M7" s="557" t="s">
        <v>0</v>
      </c>
      <c r="N7" s="557" t="s">
        <v>0</v>
      </c>
      <c r="O7" s="557" t="s">
        <v>0</v>
      </c>
      <c r="P7" s="557" t="s">
        <v>0</v>
      </c>
      <c r="Q7" s="557" t="s">
        <v>0</v>
      </c>
      <c r="R7" s="557" t="s">
        <v>0</v>
      </c>
      <c r="S7" s="557" t="s">
        <v>0</v>
      </c>
      <c r="T7" s="557" t="s">
        <v>0</v>
      </c>
      <c r="U7" s="557" t="s">
        <v>0</v>
      </c>
      <c r="V7" s="557" t="s">
        <v>0</v>
      </c>
      <c r="W7" s="557" t="s">
        <v>0</v>
      </c>
      <c r="X7" s="557" t="s">
        <v>0</v>
      </c>
      <c r="Y7" s="557" t="s">
        <v>0</v>
      </c>
      <c r="Z7" s="557" t="s">
        <v>0</v>
      </c>
      <c r="AA7" s="557" t="s">
        <v>0</v>
      </c>
      <c r="AB7" s="557" t="s">
        <v>0</v>
      </c>
      <c r="AC7" s="557" t="s">
        <v>0</v>
      </c>
      <c r="AD7" s="557" t="s">
        <v>0</v>
      </c>
    </row>
    <row r="8" spans="1:30" ht="13">
      <c r="A8" s="558" t="s">
        <v>394</v>
      </c>
      <c r="B8" s="557" t="s">
        <v>0</v>
      </c>
      <c r="C8" s="559" t="s">
        <v>1905</v>
      </c>
      <c r="D8" s="559" t="s">
        <v>1905</v>
      </c>
      <c r="E8" s="559" t="s">
        <v>1905</v>
      </c>
      <c r="F8" s="559">
        <v>683</v>
      </c>
      <c r="G8" s="559">
        <v>759</v>
      </c>
      <c r="H8" s="559">
        <v>787</v>
      </c>
      <c r="I8" s="559">
        <v>868</v>
      </c>
      <c r="J8" s="559">
        <v>838</v>
      </c>
      <c r="K8" s="559">
        <v>1030</v>
      </c>
      <c r="L8" s="559">
        <v>1337</v>
      </c>
      <c r="M8" s="559">
        <v>1460</v>
      </c>
      <c r="N8" s="559">
        <v>1650</v>
      </c>
      <c r="O8" s="559">
        <v>1834</v>
      </c>
      <c r="P8" s="559">
        <v>2211</v>
      </c>
      <c r="Q8" s="559">
        <v>2332</v>
      </c>
      <c r="R8" s="559">
        <v>2242</v>
      </c>
      <c r="S8" s="559">
        <v>2415</v>
      </c>
      <c r="T8" s="559">
        <v>2745</v>
      </c>
      <c r="U8" s="559">
        <v>3362</v>
      </c>
      <c r="V8" s="559">
        <v>3650</v>
      </c>
      <c r="W8" s="559">
        <v>3994</v>
      </c>
      <c r="X8" s="559">
        <v>4292</v>
      </c>
      <c r="Y8" s="559">
        <v>4414</v>
      </c>
      <c r="Z8" s="559" t="s">
        <v>1905</v>
      </c>
      <c r="AA8" s="559" t="s">
        <v>1905</v>
      </c>
      <c r="AB8" s="559" t="s">
        <v>1905</v>
      </c>
      <c r="AC8" s="559" t="s">
        <v>1905</v>
      </c>
      <c r="AD8" s="559" t="s">
        <v>1905</v>
      </c>
    </row>
    <row r="9" spans="1:30" ht="13">
      <c r="A9" s="558" t="s">
        <v>1898</v>
      </c>
      <c r="B9" s="557" t="s">
        <v>0</v>
      </c>
      <c r="C9" s="556">
        <v>727</v>
      </c>
      <c r="D9" s="556">
        <v>616</v>
      </c>
      <c r="E9" s="556">
        <v>564</v>
      </c>
      <c r="F9" s="556">
        <v>507</v>
      </c>
      <c r="G9" s="556">
        <v>772</v>
      </c>
      <c r="H9" s="556">
        <v>1054</v>
      </c>
      <c r="I9" s="556">
        <v>1181</v>
      </c>
      <c r="J9" s="556">
        <v>1357</v>
      </c>
      <c r="K9" s="556">
        <v>1664</v>
      </c>
      <c r="L9" s="556">
        <v>1934</v>
      </c>
      <c r="M9" s="556">
        <v>2235</v>
      </c>
      <c r="N9" s="556">
        <v>2421</v>
      </c>
      <c r="O9" s="556">
        <v>2508</v>
      </c>
      <c r="P9" s="556">
        <v>2837</v>
      </c>
      <c r="Q9" s="556">
        <v>3013</v>
      </c>
      <c r="R9" s="556">
        <v>2942</v>
      </c>
      <c r="S9" s="556">
        <v>1968</v>
      </c>
      <c r="T9" s="556">
        <v>1693</v>
      </c>
      <c r="U9" s="556">
        <v>1486</v>
      </c>
      <c r="V9" s="556">
        <v>1706</v>
      </c>
      <c r="W9" s="556">
        <v>1980</v>
      </c>
      <c r="X9" s="556">
        <v>2176</v>
      </c>
      <c r="Y9" s="556">
        <v>2729</v>
      </c>
      <c r="Z9" s="556" t="s">
        <v>1905</v>
      </c>
      <c r="AA9" s="556" t="s">
        <v>1905</v>
      </c>
      <c r="AB9" s="556" t="s">
        <v>1905</v>
      </c>
      <c r="AC9" s="556" t="s">
        <v>1905</v>
      </c>
      <c r="AD9" s="556" t="s">
        <v>1905</v>
      </c>
    </row>
    <row r="10" spans="1:30" ht="13">
      <c r="A10" s="558" t="s">
        <v>1949</v>
      </c>
      <c r="B10" s="557" t="s">
        <v>0</v>
      </c>
      <c r="C10" s="559" t="s">
        <v>1905</v>
      </c>
      <c r="D10" s="559" t="s">
        <v>1905</v>
      </c>
      <c r="E10" s="559" t="s">
        <v>1905</v>
      </c>
      <c r="F10" s="559">
        <v>3723</v>
      </c>
      <c r="G10" s="559">
        <v>4261</v>
      </c>
      <c r="H10" s="559">
        <v>4711</v>
      </c>
      <c r="I10" s="559">
        <v>5543</v>
      </c>
      <c r="J10" s="559">
        <v>6394</v>
      </c>
      <c r="K10" s="559">
        <v>8590</v>
      </c>
      <c r="L10" s="559">
        <v>9860</v>
      </c>
      <c r="M10" s="559">
        <v>10502</v>
      </c>
      <c r="N10" s="559">
        <v>11979</v>
      </c>
      <c r="O10" s="559">
        <v>11560</v>
      </c>
      <c r="P10" s="559">
        <v>14262</v>
      </c>
      <c r="Q10" s="559">
        <v>15437</v>
      </c>
      <c r="R10" s="559">
        <v>15837</v>
      </c>
      <c r="S10" s="559">
        <v>15606</v>
      </c>
      <c r="T10" s="559">
        <v>16370</v>
      </c>
      <c r="U10" s="559">
        <v>19404</v>
      </c>
      <c r="V10" s="559">
        <v>21450</v>
      </c>
      <c r="W10" s="559">
        <v>25005</v>
      </c>
      <c r="X10" s="559">
        <v>29761</v>
      </c>
      <c r="Y10" s="559">
        <v>31644</v>
      </c>
      <c r="Z10" s="559" t="s">
        <v>1905</v>
      </c>
      <c r="AA10" s="559" t="s">
        <v>1905</v>
      </c>
      <c r="AB10" s="559" t="s">
        <v>1905</v>
      </c>
      <c r="AC10" s="559" t="s">
        <v>1905</v>
      </c>
      <c r="AD10" s="559" t="s">
        <v>1905</v>
      </c>
    </row>
    <row r="11" spans="1:30" ht="13">
      <c r="A11" s="558" t="s">
        <v>1948</v>
      </c>
      <c r="B11" s="557" t="s">
        <v>0</v>
      </c>
      <c r="C11" s="556">
        <v>3071</v>
      </c>
      <c r="D11" s="556">
        <v>3405</v>
      </c>
      <c r="E11" s="556">
        <v>4170</v>
      </c>
      <c r="F11" s="556">
        <v>5130</v>
      </c>
      <c r="G11" s="556">
        <v>5317</v>
      </c>
      <c r="H11" s="556">
        <v>5378</v>
      </c>
      <c r="I11" s="556">
        <v>5237</v>
      </c>
      <c r="J11" s="556">
        <v>5008</v>
      </c>
      <c r="K11" s="556">
        <v>5839</v>
      </c>
      <c r="L11" s="556">
        <v>6449</v>
      </c>
      <c r="M11" s="556">
        <v>7311</v>
      </c>
      <c r="N11" s="556">
        <v>7873</v>
      </c>
      <c r="O11" s="556">
        <v>7688</v>
      </c>
      <c r="P11" s="556">
        <v>9103</v>
      </c>
      <c r="Q11" s="556">
        <v>9265</v>
      </c>
      <c r="R11" s="556">
        <v>9217</v>
      </c>
      <c r="S11" s="556">
        <v>9375</v>
      </c>
      <c r="T11" s="556">
        <v>10915</v>
      </c>
      <c r="U11" s="556">
        <v>12752</v>
      </c>
      <c r="V11" s="556">
        <v>14546</v>
      </c>
      <c r="W11" s="556">
        <v>15547</v>
      </c>
      <c r="X11" s="556">
        <v>17726</v>
      </c>
      <c r="Y11" s="556">
        <v>18280</v>
      </c>
      <c r="Z11" s="556" t="s">
        <v>1905</v>
      </c>
      <c r="AA11" s="556" t="s">
        <v>1905</v>
      </c>
      <c r="AB11" s="556" t="s">
        <v>1905</v>
      </c>
      <c r="AC11" s="556" t="s">
        <v>1905</v>
      </c>
      <c r="AD11" s="556" t="s">
        <v>1905</v>
      </c>
    </row>
    <row r="12" spans="1:30" ht="13">
      <c r="A12" s="558" t="s">
        <v>1947</v>
      </c>
      <c r="B12" s="557" t="s">
        <v>0</v>
      </c>
      <c r="C12" s="559">
        <v>590</v>
      </c>
      <c r="D12" s="559">
        <v>613</v>
      </c>
      <c r="E12" s="559">
        <v>678</v>
      </c>
      <c r="F12" s="559">
        <v>753</v>
      </c>
      <c r="G12" s="559">
        <v>868</v>
      </c>
      <c r="H12" s="559">
        <v>863</v>
      </c>
      <c r="I12" s="559">
        <v>1014</v>
      </c>
      <c r="J12" s="559">
        <v>1094</v>
      </c>
      <c r="K12" s="559">
        <v>1340</v>
      </c>
      <c r="L12" s="559">
        <v>1461</v>
      </c>
      <c r="M12" s="559">
        <v>1548</v>
      </c>
      <c r="N12" s="559">
        <v>1501</v>
      </c>
      <c r="O12" s="559">
        <v>1564</v>
      </c>
      <c r="P12" s="559">
        <v>1709</v>
      </c>
      <c r="Q12" s="559">
        <v>1664</v>
      </c>
      <c r="R12" s="559">
        <v>1680</v>
      </c>
      <c r="S12" s="559">
        <v>1595</v>
      </c>
      <c r="T12" s="559">
        <v>1751</v>
      </c>
      <c r="U12" s="559">
        <v>2187</v>
      </c>
      <c r="V12" s="559">
        <v>2591</v>
      </c>
      <c r="W12" s="559">
        <v>2745</v>
      </c>
      <c r="X12" s="559">
        <v>3006</v>
      </c>
      <c r="Y12" s="559">
        <v>3220</v>
      </c>
      <c r="Z12" s="559" t="s">
        <v>1905</v>
      </c>
      <c r="AA12" s="559" t="s">
        <v>1905</v>
      </c>
      <c r="AB12" s="559" t="s">
        <v>1905</v>
      </c>
      <c r="AC12" s="559" t="s">
        <v>1905</v>
      </c>
      <c r="AD12" s="559" t="s">
        <v>1905</v>
      </c>
    </row>
    <row r="13" spans="1:30" ht="13">
      <c r="A13" s="558" t="s">
        <v>1946</v>
      </c>
      <c r="B13" s="557" t="s">
        <v>0</v>
      </c>
      <c r="C13" s="556" t="s">
        <v>1905</v>
      </c>
      <c r="D13" s="556" t="s">
        <v>1905</v>
      </c>
      <c r="E13" s="556" t="s">
        <v>1905</v>
      </c>
      <c r="F13" s="556" t="s">
        <v>1905</v>
      </c>
      <c r="G13" s="556" t="s">
        <v>1905</v>
      </c>
      <c r="H13" s="556" t="s">
        <v>1905</v>
      </c>
      <c r="I13" s="556" t="s">
        <v>1905</v>
      </c>
      <c r="J13" s="556" t="s">
        <v>1905</v>
      </c>
      <c r="K13" s="556" t="s">
        <v>1905</v>
      </c>
      <c r="L13" s="556" t="s">
        <v>1905</v>
      </c>
      <c r="M13" s="556" t="s">
        <v>1905</v>
      </c>
      <c r="N13" s="556" t="s">
        <v>1905</v>
      </c>
      <c r="O13" s="556" t="s">
        <v>1905</v>
      </c>
      <c r="P13" s="556">
        <v>30</v>
      </c>
      <c r="Q13" s="556">
        <v>40</v>
      </c>
      <c r="R13" s="556">
        <v>39</v>
      </c>
      <c r="S13" s="556">
        <v>41</v>
      </c>
      <c r="T13" s="556" t="s">
        <v>1905</v>
      </c>
      <c r="U13" s="556">
        <v>65</v>
      </c>
      <c r="V13" s="556">
        <v>68</v>
      </c>
      <c r="W13" s="556">
        <v>78</v>
      </c>
      <c r="X13" s="556">
        <v>95</v>
      </c>
      <c r="Y13" s="556">
        <v>102</v>
      </c>
      <c r="Z13" s="556" t="s">
        <v>1905</v>
      </c>
      <c r="AA13" s="556" t="s">
        <v>1905</v>
      </c>
      <c r="AB13" s="556" t="s">
        <v>1905</v>
      </c>
      <c r="AC13" s="556" t="s">
        <v>1905</v>
      </c>
      <c r="AD13" s="556" t="s">
        <v>1905</v>
      </c>
    </row>
    <row r="14" spans="1:30" ht="13">
      <c r="A14" s="558" t="s">
        <v>1895</v>
      </c>
      <c r="B14" s="557" t="s">
        <v>0</v>
      </c>
      <c r="C14" s="559">
        <v>2989</v>
      </c>
      <c r="D14" s="559">
        <v>3450</v>
      </c>
      <c r="E14" s="559">
        <v>3779</v>
      </c>
      <c r="F14" s="559">
        <v>4049</v>
      </c>
      <c r="G14" s="559">
        <v>4814</v>
      </c>
      <c r="H14" s="559">
        <v>5002</v>
      </c>
      <c r="I14" s="559">
        <v>5493</v>
      </c>
      <c r="J14" s="559">
        <v>5263</v>
      </c>
      <c r="K14" s="559">
        <v>5594</v>
      </c>
      <c r="L14" s="559">
        <v>6713</v>
      </c>
      <c r="M14" s="559">
        <v>6307</v>
      </c>
      <c r="N14" s="559">
        <v>5823</v>
      </c>
      <c r="O14" s="559">
        <v>5941</v>
      </c>
      <c r="P14" s="559">
        <v>6484</v>
      </c>
      <c r="Q14" s="559">
        <v>5847</v>
      </c>
      <c r="R14" s="559">
        <v>5850</v>
      </c>
      <c r="S14" s="559">
        <v>6202</v>
      </c>
      <c r="T14" s="559">
        <v>7214</v>
      </c>
      <c r="U14" s="559">
        <v>8236</v>
      </c>
      <c r="V14" s="559">
        <v>8597</v>
      </c>
      <c r="W14" s="559">
        <v>9403</v>
      </c>
      <c r="X14" s="559">
        <v>10513</v>
      </c>
      <c r="Y14" s="559">
        <v>11257</v>
      </c>
      <c r="Z14" s="559" t="s">
        <v>1905</v>
      </c>
      <c r="AA14" s="559" t="s">
        <v>1905</v>
      </c>
      <c r="AB14" s="559" t="s">
        <v>1905</v>
      </c>
      <c r="AC14" s="559" t="s">
        <v>1905</v>
      </c>
      <c r="AD14" s="559" t="s">
        <v>1905</v>
      </c>
    </row>
    <row r="15" spans="1:30" ht="13">
      <c r="A15" s="558" t="s">
        <v>1945</v>
      </c>
      <c r="B15" s="557" t="s">
        <v>0</v>
      </c>
      <c r="C15" s="556" t="s">
        <v>1905</v>
      </c>
      <c r="D15" s="556" t="s">
        <v>1905</v>
      </c>
      <c r="E15" s="556" t="s">
        <v>1905</v>
      </c>
      <c r="F15" s="556" t="s">
        <v>1905</v>
      </c>
      <c r="G15" s="556" t="s">
        <v>1905</v>
      </c>
      <c r="H15" s="556" t="s">
        <v>1905</v>
      </c>
      <c r="I15" s="556" t="s">
        <v>1905</v>
      </c>
      <c r="J15" s="556" t="s">
        <v>1905</v>
      </c>
      <c r="K15" s="556" t="s">
        <v>1905</v>
      </c>
      <c r="L15" s="556">
        <v>6</v>
      </c>
      <c r="M15" s="556">
        <v>5</v>
      </c>
      <c r="N15" s="556">
        <v>3</v>
      </c>
      <c r="O15" s="556">
        <v>7</v>
      </c>
      <c r="P15" s="556">
        <v>22</v>
      </c>
      <c r="Q15" s="556">
        <v>26</v>
      </c>
      <c r="R15" s="556">
        <v>24</v>
      </c>
      <c r="S15" s="556">
        <v>27</v>
      </c>
      <c r="T15" s="556">
        <v>35</v>
      </c>
      <c r="U15" s="556">
        <v>49</v>
      </c>
      <c r="V15" s="556">
        <v>49</v>
      </c>
      <c r="W15" s="556">
        <v>58</v>
      </c>
      <c r="X15" s="556" t="s">
        <v>1905</v>
      </c>
      <c r="Y15" s="556">
        <v>44</v>
      </c>
      <c r="Z15" s="556" t="s">
        <v>1905</v>
      </c>
      <c r="AA15" s="556" t="s">
        <v>1905</v>
      </c>
      <c r="AB15" s="556" t="s">
        <v>1905</v>
      </c>
      <c r="AC15" s="556" t="s">
        <v>1905</v>
      </c>
      <c r="AD15" s="556" t="s">
        <v>1905</v>
      </c>
    </row>
    <row r="16" spans="1:30" ht="13">
      <c r="A16" s="558" t="s">
        <v>1899</v>
      </c>
      <c r="B16" s="557" t="s">
        <v>0</v>
      </c>
      <c r="C16" s="559">
        <v>2941</v>
      </c>
      <c r="D16" s="559">
        <v>3161</v>
      </c>
      <c r="E16" s="559">
        <v>3905</v>
      </c>
      <c r="F16" s="559">
        <v>4989</v>
      </c>
      <c r="G16" s="559">
        <v>5472</v>
      </c>
      <c r="H16" s="559">
        <v>4592</v>
      </c>
      <c r="I16" s="559">
        <v>4807</v>
      </c>
      <c r="J16" s="559">
        <v>5780</v>
      </c>
      <c r="K16" s="559">
        <v>4962</v>
      </c>
      <c r="L16" s="559">
        <v>6125</v>
      </c>
      <c r="M16" s="559">
        <v>7774</v>
      </c>
      <c r="N16" s="559">
        <v>8867</v>
      </c>
      <c r="O16" s="559">
        <v>9570</v>
      </c>
      <c r="P16" s="559">
        <v>7523</v>
      </c>
      <c r="Q16" s="559">
        <v>7548</v>
      </c>
      <c r="R16" s="559">
        <v>7161</v>
      </c>
      <c r="S16" s="559">
        <v>6476</v>
      </c>
      <c r="T16" s="559">
        <v>6630</v>
      </c>
      <c r="U16" s="559">
        <v>6672</v>
      </c>
      <c r="V16" s="559">
        <v>8661</v>
      </c>
      <c r="W16" s="559">
        <v>10339</v>
      </c>
      <c r="X16" s="559">
        <v>12019</v>
      </c>
      <c r="Y16" s="559">
        <v>14159</v>
      </c>
      <c r="Z16" s="559" t="s">
        <v>1905</v>
      </c>
      <c r="AA16" s="559" t="s">
        <v>1905</v>
      </c>
      <c r="AB16" s="559" t="s">
        <v>1905</v>
      </c>
      <c r="AC16" s="559" t="s">
        <v>1905</v>
      </c>
      <c r="AD16" s="559" t="s">
        <v>1905</v>
      </c>
    </row>
    <row r="17" spans="1:30" ht="13">
      <c r="A17" s="558" t="s">
        <v>510</v>
      </c>
      <c r="B17" s="557" t="s">
        <v>0</v>
      </c>
      <c r="C17" s="556">
        <v>18806</v>
      </c>
      <c r="D17" s="556">
        <v>19955</v>
      </c>
      <c r="E17" s="556">
        <v>21983</v>
      </c>
      <c r="F17" s="556">
        <v>26495</v>
      </c>
      <c r="G17" s="556">
        <v>27696</v>
      </c>
      <c r="H17" s="556">
        <v>28048</v>
      </c>
      <c r="I17" s="556">
        <v>27196</v>
      </c>
      <c r="J17" s="556">
        <v>26371</v>
      </c>
      <c r="K17" s="556">
        <v>26542</v>
      </c>
      <c r="L17" s="556">
        <v>26240</v>
      </c>
      <c r="M17" s="556">
        <v>27242</v>
      </c>
      <c r="N17" s="556">
        <v>27622</v>
      </c>
      <c r="O17" s="556">
        <v>27116</v>
      </c>
      <c r="P17" s="556">
        <v>32230</v>
      </c>
      <c r="Q17" s="556">
        <v>33079</v>
      </c>
      <c r="R17" s="556">
        <v>33391</v>
      </c>
      <c r="S17" s="556">
        <v>34144</v>
      </c>
      <c r="T17" s="556">
        <v>37627</v>
      </c>
      <c r="U17" s="556">
        <v>41598</v>
      </c>
      <c r="V17" s="556">
        <v>45299</v>
      </c>
      <c r="W17" s="556">
        <v>49252</v>
      </c>
      <c r="X17" s="556">
        <v>53245</v>
      </c>
      <c r="Y17" s="556">
        <v>54045</v>
      </c>
      <c r="Z17" s="556" t="s">
        <v>1905</v>
      </c>
      <c r="AA17" s="556" t="s">
        <v>1905</v>
      </c>
      <c r="AB17" s="556" t="s">
        <v>1905</v>
      </c>
      <c r="AC17" s="556" t="s">
        <v>1905</v>
      </c>
      <c r="AD17" s="556" t="s">
        <v>1905</v>
      </c>
    </row>
    <row r="18" spans="1:30" ht="13">
      <c r="A18" s="558" t="s">
        <v>695</v>
      </c>
      <c r="B18" s="557" t="s">
        <v>0</v>
      </c>
      <c r="C18" s="559">
        <v>1533</v>
      </c>
      <c r="D18" s="559">
        <v>1902</v>
      </c>
      <c r="E18" s="559">
        <v>2140</v>
      </c>
      <c r="F18" s="559">
        <v>2245</v>
      </c>
      <c r="G18" s="559">
        <v>2634</v>
      </c>
      <c r="H18" s="559">
        <v>3086</v>
      </c>
      <c r="I18" s="559">
        <v>2683</v>
      </c>
      <c r="J18" s="559">
        <v>3069</v>
      </c>
      <c r="K18" s="559">
        <v>3423</v>
      </c>
      <c r="L18" s="559">
        <v>3867</v>
      </c>
      <c r="M18" s="559">
        <v>3980</v>
      </c>
      <c r="N18" s="559">
        <v>3602</v>
      </c>
      <c r="O18" s="559">
        <v>3720</v>
      </c>
      <c r="P18" s="559">
        <v>4099</v>
      </c>
      <c r="Q18" s="559">
        <v>3992</v>
      </c>
      <c r="R18" s="559">
        <v>4081</v>
      </c>
      <c r="S18" s="559">
        <v>4345</v>
      </c>
      <c r="T18" s="559">
        <v>5032</v>
      </c>
      <c r="U18" s="559">
        <v>5681</v>
      </c>
      <c r="V18" s="559">
        <v>6306</v>
      </c>
      <c r="W18" s="559">
        <v>6917</v>
      </c>
      <c r="X18" s="559">
        <v>8031</v>
      </c>
      <c r="Y18" s="559">
        <v>8691</v>
      </c>
      <c r="Z18" s="559" t="s">
        <v>1905</v>
      </c>
      <c r="AA18" s="559" t="s">
        <v>1905</v>
      </c>
      <c r="AB18" s="559" t="s">
        <v>1905</v>
      </c>
      <c r="AC18" s="559" t="s">
        <v>1905</v>
      </c>
      <c r="AD18" s="559" t="s">
        <v>1905</v>
      </c>
    </row>
    <row r="19" spans="1:30" ht="13">
      <c r="A19" s="558" t="s">
        <v>1944</v>
      </c>
      <c r="B19" s="557" t="s">
        <v>0</v>
      </c>
      <c r="C19" s="556">
        <v>131</v>
      </c>
      <c r="D19" s="556">
        <v>124</v>
      </c>
      <c r="E19" s="556">
        <v>132</v>
      </c>
      <c r="F19" s="556">
        <v>178</v>
      </c>
      <c r="G19" s="556">
        <v>284</v>
      </c>
      <c r="H19" s="556">
        <v>260</v>
      </c>
      <c r="I19" s="556">
        <v>327</v>
      </c>
      <c r="J19" s="556">
        <v>353</v>
      </c>
      <c r="K19" s="556">
        <v>500</v>
      </c>
      <c r="L19" s="556">
        <v>601</v>
      </c>
      <c r="M19" s="556">
        <v>725</v>
      </c>
      <c r="N19" s="556">
        <v>805</v>
      </c>
      <c r="O19" s="556">
        <v>823</v>
      </c>
      <c r="P19" s="556">
        <v>865</v>
      </c>
      <c r="Q19" s="556">
        <v>940</v>
      </c>
      <c r="R19" s="556">
        <v>891</v>
      </c>
      <c r="S19" s="556">
        <v>780</v>
      </c>
      <c r="T19" s="556">
        <v>849</v>
      </c>
      <c r="U19" s="556">
        <v>922</v>
      </c>
      <c r="V19" s="556">
        <v>1080</v>
      </c>
      <c r="W19" s="556">
        <v>1256</v>
      </c>
      <c r="X19" s="556">
        <v>1647</v>
      </c>
      <c r="Y19" s="556">
        <v>1565</v>
      </c>
      <c r="Z19" s="556" t="s">
        <v>1905</v>
      </c>
      <c r="AA19" s="556" t="s">
        <v>1905</v>
      </c>
      <c r="AB19" s="556" t="s">
        <v>1905</v>
      </c>
      <c r="AC19" s="556" t="s">
        <v>1905</v>
      </c>
      <c r="AD19" s="556" t="s">
        <v>1905</v>
      </c>
    </row>
    <row r="20" spans="1:30" ht="13">
      <c r="A20" s="558" t="s">
        <v>1893</v>
      </c>
      <c r="B20" s="557" t="s">
        <v>0</v>
      </c>
      <c r="C20" s="559" t="s">
        <v>1905</v>
      </c>
      <c r="D20" s="559" t="s">
        <v>1905</v>
      </c>
      <c r="E20" s="559" t="s">
        <v>1905</v>
      </c>
      <c r="F20" s="559">
        <v>33</v>
      </c>
      <c r="G20" s="559">
        <v>82</v>
      </c>
      <c r="H20" s="559">
        <v>94</v>
      </c>
      <c r="I20" s="559">
        <v>115</v>
      </c>
      <c r="J20" s="559">
        <v>142</v>
      </c>
      <c r="K20" s="559">
        <v>281</v>
      </c>
      <c r="L20" s="559">
        <v>429</v>
      </c>
      <c r="M20" s="559">
        <v>636</v>
      </c>
      <c r="N20" s="559">
        <v>1083</v>
      </c>
      <c r="O20" s="559">
        <v>1254</v>
      </c>
      <c r="P20" s="559">
        <v>1728</v>
      </c>
      <c r="Q20" s="559">
        <v>1941</v>
      </c>
      <c r="R20" s="559">
        <v>2151</v>
      </c>
      <c r="S20" s="559">
        <v>2428</v>
      </c>
      <c r="T20" s="559">
        <v>2782</v>
      </c>
      <c r="U20" s="559">
        <v>3854</v>
      </c>
      <c r="V20" s="559">
        <v>4456</v>
      </c>
      <c r="W20" s="559">
        <v>5525</v>
      </c>
      <c r="X20" s="559">
        <v>6869</v>
      </c>
      <c r="Y20" s="559">
        <v>8321</v>
      </c>
      <c r="Z20" s="559" t="s">
        <v>1905</v>
      </c>
      <c r="AA20" s="559" t="s">
        <v>1905</v>
      </c>
      <c r="AB20" s="559" t="s">
        <v>1905</v>
      </c>
      <c r="AC20" s="559" t="s">
        <v>1905</v>
      </c>
      <c r="AD20" s="559" t="s">
        <v>1905</v>
      </c>
    </row>
    <row r="21" spans="1:30" ht="13">
      <c r="A21" s="558" t="s">
        <v>1943</v>
      </c>
      <c r="B21" s="557" t="s">
        <v>0</v>
      </c>
      <c r="C21" s="556" t="s">
        <v>1905</v>
      </c>
      <c r="D21" s="556" t="s">
        <v>1905</v>
      </c>
      <c r="E21" s="556" t="s">
        <v>1905</v>
      </c>
      <c r="F21" s="556" t="s">
        <v>1905</v>
      </c>
      <c r="G21" s="556" t="s">
        <v>1905</v>
      </c>
      <c r="H21" s="556" t="s">
        <v>1905</v>
      </c>
      <c r="I21" s="556" t="s">
        <v>1905</v>
      </c>
      <c r="J21" s="556">
        <v>52</v>
      </c>
      <c r="K21" s="556">
        <v>97</v>
      </c>
      <c r="L21" s="556">
        <v>148</v>
      </c>
      <c r="M21" s="556">
        <v>199</v>
      </c>
      <c r="N21" s="556">
        <v>254</v>
      </c>
      <c r="O21" s="556">
        <v>259</v>
      </c>
      <c r="P21" s="556">
        <v>386</v>
      </c>
      <c r="Q21" s="556">
        <v>422</v>
      </c>
      <c r="R21" s="556">
        <v>459</v>
      </c>
      <c r="S21" s="556">
        <v>488</v>
      </c>
      <c r="T21" s="556">
        <v>602</v>
      </c>
      <c r="U21" s="556">
        <v>1081</v>
      </c>
      <c r="V21" s="556">
        <v>1025</v>
      </c>
      <c r="W21" s="556">
        <v>1152</v>
      </c>
      <c r="X21" s="556">
        <v>1414</v>
      </c>
      <c r="Y21" s="556">
        <v>1750</v>
      </c>
      <c r="Z21" s="556" t="s">
        <v>1905</v>
      </c>
      <c r="AA21" s="556" t="s">
        <v>1905</v>
      </c>
      <c r="AB21" s="556" t="s">
        <v>1905</v>
      </c>
      <c r="AC21" s="556" t="s">
        <v>1905</v>
      </c>
      <c r="AD21" s="556" t="s">
        <v>1905</v>
      </c>
    </row>
    <row r="22" spans="1:30" ht="13">
      <c r="A22" s="558" t="s">
        <v>1891</v>
      </c>
      <c r="B22" s="557" t="s">
        <v>0</v>
      </c>
      <c r="C22" s="559">
        <v>13916</v>
      </c>
      <c r="D22" s="559">
        <v>17251</v>
      </c>
      <c r="E22" s="559">
        <v>18136</v>
      </c>
      <c r="F22" s="559">
        <v>18774</v>
      </c>
      <c r="G22" s="559">
        <v>23115</v>
      </c>
      <c r="H22" s="559">
        <v>24584</v>
      </c>
      <c r="I22" s="559">
        <v>28060</v>
      </c>
      <c r="J22" s="559">
        <v>26708</v>
      </c>
      <c r="K22" s="559">
        <v>29006</v>
      </c>
      <c r="L22" s="559">
        <v>31769</v>
      </c>
      <c r="M22" s="559">
        <v>31783</v>
      </c>
      <c r="N22" s="559">
        <v>30680</v>
      </c>
      <c r="O22" s="559">
        <v>30273</v>
      </c>
      <c r="P22" s="559">
        <v>32424</v>
      </c>
      <c r="Q22" s="559">
        <v>30847</v>
      </c>
      <c r="R22" s="559">
        <v>29081</v>
      </c>
      <c r="S22" s="559">
        <v>31452</v>
      </c>
      <c r="T22" s="559">
        <v>34535</v>
      </c>
      <c r="U22" s="559">
        <v>39230</v>
      </c>
      <c r="V22" s="559">
        <v>40726</v>
      </c>
      <c r="W22" s="559">
        <v>42625</v>
      </c>
      <c r="X22" s="559">
        <v>46559</v>
      </c>
      <c r="Y22" s="559">
        <v>48586</v>
      </c>
      <c r="Z22" s="559" t="s">
        <v>1905</v>
      </c>
      <c r="AA22" s="559" t="s">
        <v>1905</v>
      </c>
      <c r="AB22" s="559" t="s">
        <v>1905</v>
      </c>
      <c r="AC22" s="559" t="s">
        <v>1905</v>
      </c>
      <c r="AD22" s="559" t="s">
        <v>1905</v>
      </c>
    </row>
    <row r="23" spans="1:30" ht="13">
      <c r="A23" s="558" t="s">
        <v>1942</v>
      </c>
      <c r="B23" s="557" t="s">
        <v>0</v>
      </c>
      <c r="C23" s="556">
        <v>457</v>
      </c>
      <c r="D23" s="556">
        <v>575</v>
      </c>
      <c r="E23" s="556">
        <v>637</v>
      </c>
      <c r="F23" s="556">
        <v>667</v>
      </c>
      <c r="G23" s="556">
        <v>763</v>
      </c>
      <c r="H23" s="556">
        <v>805</v>
      </c>
      <c r="I23" s="556">
        <v>856</v>
      </c>
      <c r="J23" s="556">
        <v>894</v>
      </c>
      <c r="K23" s="556">
        <v>933</v>
      </c>
      <c r="L23" s="556">
        <v>1251</v>
      </c>
      <c r="M23" s="556">
        <v>1305</v>
      </c>
      <c r="N23" s="556">
        <v>1283</v>
      </c>
      <c r="O23" s="556">
        <v>1356</v>
      </c>
      <c r="P23" s="556">
        <v>1594</v>
      </c>
      <c r="Q23" s="556">
        <v>1623</v>
      </c>
      <c r="R23" s="556">
        <v>1656</v>
      </c>
      <c r="S23" s="556">
        <v>1764</v>
      </c>
      <c r="T23" s="556">
        <v>1919</v>
      </c>
      <c r="U23" s="556">
        <v>2101</v>
      </c>
      <c r="V23" s="556">
        <v>2825</v>
      </c>
      <c r="W23" s="556">
        <v>2913</v>
      </c>
      <c r="X23" s="556">
        <v>3010</v>
      </c>
      <c r="Y23" s="556">
        <v>3162</v>
      </c>
      <c r="Z23" s="556" t="s">
        <v>1905</v>
      </c>
      <c r="AA23" s="556" t="s">
        <v>1905</v>
      </c>
      <c r="AB23" s="556" t="s">
        <v>1905</v>
      </c>
      <c r="AC23" s="556" t="s">
        <v>1905</v>
      </c>
      <c r="AD23" s="556" t="s">
        <v>1905</v>
      </c>
    </row>
    <row r="24" spans="1:30" ht="13">
      <c r="A24" s="558" t="s">
        <v>1941</v>
      </c>
      <c r="B24" s="557" t="s">
        <v>0</v>
      </c>
      <c r="C24" s="559">
        <v>1956</v>
      </c>
      <c r="D24" s="559">
        <v>2422</v>
      </c>
      <c r="E24" s="559">
        <v>2933</v>
      </c>
      <c r="F24" s="559">
        <v>3349</v>
      </c>
      <c r="G24" s="559">
        <v>4340</v>
      </c>
      <c r="H24" s="559">
        <v>4777</v>
      </c>
      <c r="I24" s="559">
        <v>5090</v>
      </c>
      <c r="J24" s="559">
        <v>4725</v>
      </c>
      <c r="K24" s="559">
        <v>4806</v>
      </c>
      <c r="L24" s="559">
        <v>5422</v>
      </c>
      <c r="M24" s="559">
        <v>5588</v>
      </c>
      <c r="N24" s="559">
        <v>5420</v>
      </c>
      <c r="O24" s="559">
        <v>5518</v>
      </c>
      <c r="P24" s="559">
        <v>5913</v>
      </c>
      <c r="Q24" s="559">
        <v>6080</v>
      </c>
      <c r="R24" s="559">
        <v>6183</v>
      </c>
      <c r="S24" s="559">
        <v>6626</v>
      </c>
      <c r="T24" s="559">
        <v>7453</v>
      </c>
      <c r="U24" s="559">
        <v>8583</v>
      </c>
      <c r="V24" s="559">
        <v>9070</v>
      </c>
      <c r="W24" s="559">
        <v>9675</v>
      </c>
      <c r="X24" s="559">
        <v>10820</v>
      </c>
      <c r="Y24" s="559">
        <v>11604</v>
      </c>
      <c r="Z24" s="559" t="s">
        <v>1905</v>
      </c>
      <c r="AA24" s="559" t="s">
        <v>1905</v>
      </c>
      <c r="AB24" s="559" t="s">
        <v>1905</v>
      </c>
      <c r="AC24" s="559" t="s">
        <v>1905</v>
      </c>
      <c r="AD24" s="559" t="s">
        <v>1905</v>
      </c>
    </row>
    <row r="25" spans="1:30" ht="13">
      <c r="A25" s="558" t="s">
        <v>1940</v>
      </c>
      <c r="B25" s="557" t="s">
        <v>0</v>
      </c>
      <c r="C25" s="556" t="s">
        <v>1905</v>
      </c>
      <c r="D25" s="556" t="s">
        <v>1905</v>
      </c>
      <c r="E25" s="556" t="s">
        <v>1905</v>
      </c>
      <c r="F25" s="556" t="s">
        <v>1905</v>
      </c>
      <c r="G25" s="556" t="s">
        <v>1905</v>
      </c>
      <c r="H25" s="556" t="s">
        <v>1905</v>
      </c>
      <c r="I25" s="556" t="s">
        <v>1905</v>
      </c>
      <c r="J25" s="556" t="s">
        <v>1905</v>
      </c>
      <c r="K25" s="556" t="s">
        <v>1905</v>
      </c>
      <c r="L25" s="556" t="s">
        <v>1905</v>
      </c>
      <c r="M25" s="556" t="s">
        <v>1905</v>
      </c>
      <c r="N25" s="556" t="s">
        <v>1905</v>
      </c>
      <c r="O25" s="556" t="s">
        <v>1905</v>
      </c>
      <c r="P25" s="556">
        <v>8</v>
      </c>
      <c r="Q25" s="556">
        <v>16</v>
      </c>
      <c r="R25" s="556">
        <v>14</v>
      </c>
      <c r="S25" s="556">
        <v>17</v>
      </c>
      <c r="T25" s="556">
        <v>14</v>
      </c>
      <c r="U25" s="556">
        <v>26</v>
      </c>
      <c r="V25" s="556">
        <v>28</v>
      </c>
      <c r="W25" s="556">
        <v>29</v>
      </c>
      <c r="X25" s="556">
        <v>35</v>
      </c>
      <c r="Y25" s="556">
        <v>34</v>
      </c>
      <c r="Z25" s="556" t="s">
        <v>1905</v>
      </c>
      <c r="AA25" s="556" t="s">
        <v>1905</v>
      </c>
      <c r="AB25" s="556" t="s">
        <v>1905</v>
      </c>
      <c r="AC25" s="556" t="s">
        <v>1905</v>
      </c>
      <c r="AD25" s="556" t="s">
        <v>1905</v>
      </c>
    </row>
    <row r="26" spans="1:30" ht="13">
      <c r="A26" s="558" t="s">
        <v>1939</v>
      </c>
      <c r="B26" s="557" t="s">
        <v>0</v>
      </c>
      <c r="C26" s="559">
        <v>48275</v>
      </c>
      <c r="D26" s="559">
        <v>58255</v>
      </c>
      <c r="E26" s="559">
        <v>64263</v>
      </c>
      <c r="F26" s="559">
        <v>70419</v>
      </c>
      <c r="G26" s="559">
        <v>86179</v>
      </c>
      <c r="H26" s="559">
        <v>91570</v>
      </c>
      <c r="I26" s="559">
        <v>99350</v>
      </c>
      <c r="J26" s="559">
        <v>92734</v>
      </c>
      <c r="K26" s="559">
        <v>101795</v>
      </c>
      <c r="L26" s="559">
        <v>115871</v>
      </c>
      <c r="M26" s="559">
        <v>120457</v>
      </c>
      <c r="N26" s="559">
        <v>124067</v>
      </c>
      <c r="O26" s="559">
        <v>128804</v>
      </c>
      <c r="P26" s="559">
        <v>143762</v>
      </c>
      <c r="Q26" s="559">
        <v>146830</v>
      </c>
      <c r="R26" s="559">
        <v>145542</v>
      </c>
      <c r="S26" s="559">
        <v>149465</v>
      </c>
      <c r="T26" s="559">
        <v>166786</v>
      </c>
      <c r="U26" s="559" t="s">
        <v>1905</v>
      </c>
      <c r="V26" s="559" t="s">
        <v>1905</v>
      </c>
      <c r="W26" s="559" t="s">
        <v>1905</v>
      </c>
      <c r="X26" s="559" t="s">
        <v>1905</v>
      </c>
      <c r="Y26" s="559" t="s">
        <v>1905</v>
      </c>
      <c r="Z26" s="559" t="s">
        <v>1905</v>
      </c>
      <c r="AA26" s="559" t="s">
        <v>1905</v>
      </c>
      <c r="AB26" s="559" t="s">
        <v>1905</v>
      </c>
      <c r="AC26" s="559" t="s">
        <v>1905</v>
      </c>
      <c r="AD26" s="559" t="s">
        <v>1905</v>
      </c>
    </row>
    <row r="27" spans="1:30" ht="13">
      <c r="A27" s="558" t="s">
        <v>1938</v>
      </c>
      <c r="B27" s="557" t="s">
        <v>0</v>
      </c>
      <c r="C27" s="556" t="s">
        <v>1905</v>
      </c>
      <c r="D27" s="556" t="s">
        <v>1905</v>
      </c>
      <c r="E27" s="556" t="s">
        <v>1905</v>
      </c>
      <c r="F27" s="556" t="s">
        <v>1905</v>
      </c>
      <c r="G27" s="556" t="s">
        <v>1905</v>
      </c>
      <c r="H27" s="556" t="s">
        <v>1905</v>
      </c>
      <c r="I27" s="556" t="s">
        <v>1905</v>
      </c>
      <c r="J27" s="556" t="s">
        <v>1905</v>
      </c>
      <c r="K27" s="556" t="s">
        <v>1905</v>
      </c>
      <c r="L27" s="556" t="s">
        <v>1905</v>
      </c>
      <c r="M27" s="556" t="s">
        <v>1905</v>
      </c>
      <c r="N27" s="556" t="s">
        <v>1905</v>
      </c>
      <c r="O27" s="556" t="s">
        <v>1905</v>
      </c>
      <c r="P27" s="556" t="s">
        <v>1905</v>
      </c>
      <c r="Q27" s="556" t="s">
        <v>1905</v>
      </c>
      <c r="R27" s="556" t="s">
        <v>1905</v>
      </c>
      <c r="S27" s="556" t="s">
        <v>1905</v>
      </c>
      <c r="T27" s="556" t="s">
        <v>1905</v>
      </c>
      <c r="U27" s="556">
        <v>193199</v>
      </c>
      <c r="V27" s="556">
        <v>207429</v>
      </c>
      <c r="W27" s="556">
        <v>222205</v>
      </c>
      <c r="X27" s="556" t="s">
        <v>1905</v>
      </c>
      <c r="Y27" s="556" t="s">
        <v>1905</v>
      </c>
      <c r="Z27" s="556" t="s">
        <v>1905</v>
      </c>
      <c r="AA27" s="556" t="s">
        <v>1905</v>
      </c>
      <c r="AB27" s="556" t="s">
        <v>1905</v>
      </c>
      <c r="AC27" s="556" t="s">
        <v>1905</v>
      </c>
      <c r="AD27" s="556" t="s">
        <v>1905</v>
      </c>
    </row>
    <row r="28" spans="1:30" ht="13">
      <c r="A28" s="558" t="s">
        <v>1937</v>
      </c>
      <c r="B28" s="557" t="s">
        <v>0</v>
      </c>
      <c r="C28" s="559" t="s">
        <v>1905</v>
      </c>
      <c r="D28" s="559" t="s">
        <v>1905</v>
      </c>
      <c r="E28" s="559" t="s">
        <v>1905</v>
      </c>
      <c r="F28" s="559" t="s">
        <v>1905</v>
      </c>
      <c r="G28" s="559" t="s">
        <v>1905</v>
      </c>
      <c r="H28" s="559" t="s">
        <v>1905</v>
      </c>
      <c r="I28" s="559" t="s">
        <v>1905</v>
      </c>
      <c r="J28" s="559" t="s">
        <v>1905</v>
      </c>
      <c r="K28" s="559" t="s">
        <v>1905</v>
      </c>
      <c r="L28" s="559" t="s">
        <v>1905</v>
      </c>
      <c r="M28" s="559" t="s">
        <v>1905</v>
      </c>
      <c r="N28" s="559" t="s">
        <v>1905</v>
      </c>
      <c r="O28" s="559" t="s">
        <v>1905</v>
      </c>
      <c r="P28" s="559" t="s">
        <v>1905</v>
      </c>
      <c r="Q28" s="559" t="s">
        <v>1905</v>
      </c>
      <c r="R28" s="559" t="s">
        <v>1905</v>
      </c>
      <c r="S28" s="559" t="s">
        <v>1905</v>
      </c>
      <c r="T28" s="559" t="s">
        <v>1905</v>
      </c>
      <c r="U28" s="559" t="s">
        <v>1905</v>
      </c>
      <c r="V28" s="559" t="s">
        <v>1905</v>
      </c>
      <c r="W28" s="559" t="s">
        <v>1905</v>
      </c>
      <c r="X28" s="559">
        <v>240363</v>
      </c>
      <c r="Y28" s="559">
        <v>241548</v>
      </c>
      <c r="Z28" s="559" t="s">
        <v>1905</v>
      </c>
      <c r="AA28" s="559" t="s">
        <v>1905</v>
      </c>
      <c r="AB28" s="559" t="s">
        <v>1905</v>
      </c>
      <c r="AC28" s="559" t="s">
        <v>1905</v>
      </c>
      <c r="AD28" s="559" t="s">
        <v>1905</v>
      </c>
    </row>
    <row r="29" spans="1:30" ht="13">
      <c r="A29" s="558" t="s">
        <v>2</v>
      </c>
      <c r="B29" s="557" t="s">
        <v>0</v>
      </c>
      <c r="C29" s="556">
        <v>52046</v>
      </c>
      <c r="D29" s="556">
        <v>62503</v>
      </c>
      <c r="E29" s="556">
        <v>68995</v>
      </c>
      <c r="F29" s="556">
        <v>75722</v>
      </c>
      <c r="G29" s="556">
        <v>92553</v>
      </c>
      <c r="H29" s="556">
        <v>98608</v>
      </c>
      <c r="I29" s="556">
        <v>106448</v>
      </c>
      <c r="J29" s="556">
        <v>100219</v>
      </c>
      <c r="K29" s="556">
        <v>110443</v>
      </c>
      <c r="L29" s="556">
        <v>122160</v>
      </c>
      <c r="M29" s="556">
        <v>127439</v>
      </c>
      <c r="N29" s="556">
        <v>131080</v>
      </c>
      <c r="O29" s="556">
        <v>136552</v>
      </c>
      <c r="P29" s="556">
        <v>152772</v>
      </c>
      <c r="Q29" s="556">
        <v>155732</v>
      </c>
      <c r="R29" s="556">
        <v>154781</v>
      </c>
      <c r="S29" s="556">
        <v>159656</v>
      </c>
      <c r="T29" s="556">
        <v>178053</v>
      </c>
      <c r="U29" s="556">
        <v>203216</v>
      </c>
      <c r="V29" s="556">
        <v>218669</v>
      </c>
      <c r="W29" s="556">
        <v>234466</v>
      </c>
      <c r="X29" s="556">
        <v>254645</v>
      </c>
      <c r="Y29" s="556">
        <v>257693</v>
      </c>
      <c r="Z29" s="556" t="s">
        <v>1905</v>
      </c>
      <c r="AA29" s="556" t="s">
        <v>1905</v>
      </c>
      <c r="AB29" s="556" t="s">
        <v>1905</v>
      </c>
      <c r="AC29" s="556" t="s">
        <v>1905</v>
      </c>
      <c r="AD29" s="556" t="s">
        <v>1905</v>
      </c>
    </row>
    <row r="30" spans="1:30" ht="13">
      <c r="A30" s="558" t="s">
        <v>1936</v>
      </c>
      <c r="B30" s="557" t="s">
        <v>0</v>
      </c>
      <c r="C30" s="559">
        <v>156</v>
      </c>
      <c r="D30" s="559">
        <v>192</v>
      </c>
      <c r="E30" s="559">
        <v>226</v>
      </c>
      <c r="F30" s="559">
        <v>314</v>
      </c>
      <c r="G30" s="559">
        <v>368</v>
      </c>
      <c r="H30" s="559">
        <v>374</v>
      </c>
      <c r="I30" s="559">
        <v>342</v>
      </c>
      <c r="J30" s="559">
        <v>327</v>
      </c>
      <c r="K30" s="559">
        <v>396</v>
      </c>
      <c r="L30" s="559">
        <v>500</v>
      </c>
      <c r="M30" s="559">
        <v>593</v>
      </c>
      <c r="N30" s="559">
        <v>609</v>
      </c>
      <c r="O30" s="559">
        <v>564</v>
      </c>
      <c r="P30" s="559">
        <v>713</v>
      </c>
      <c r="Q30" s="559">
        <v>699</v>
      </c>
      <c r="R30" s="559">
        <v>764</v>
      </c>
      <c r="S30" s="559">
        <v>781</v>
      </c>
      <c r="T30" s="559">
        <v>914</v>
      </c>
      <c r="U30" s="559">
        <v>1173</v>
      </c>
      <c r="V30" s="559">
        <v>1364</v>
      </c>
      <c r="W30" s="559">
        <v>1384</v>
      </c>
      <c r="X30" s="559">
        <v>1513</v>
      </c>
      <c r="Y30" s="559">
        <v>1625</v>
      </c>
      <c r="Z30" s="559" t="s">
        <v>1905</v>
      </c>
      <c r="AA30" s="559" t="s">
        <v>1905</v>
      </c>
      <c r="AB30" s="559" t="s">
        <v>1905</v>
      </c>
      <c r="AC30" s="559" t="s">
        <v>1905</v>
      </c>
      <c r="AD30" s="559" t="s">
        <v>1905</v>
      </c>
    </row>
    <row r="31" spans="1:30" ht="13">
      <c r="A31" s="558" t="s">
        <v>1890</v>
      </c>
      <c r="B31" s="557" t="s">
        <v>0</v>
      </c>
      <c r="C31" s="556">
        <v>7481</v>
      </c>
      <c r="D31" s="556">
        <v>9616</v>
      </c>
      <c r="E31" s="556">
        <v>10311</v>
      </c>
      <c r="F31" s="556">
        <v>11525</v>
      </c>
      <c r="G31" s="556">
        <v>14363</v>
      </c>
      <c r="H31" s="556">
        <v>14728</v>
      </c>
      <c r="I31" s="556">
        <v>16544</v>
      </c>
      <c r="J31" s="556">
        <v>16154</v>
      </c>
      <c r="K31" s="556">
        <v>18179</v>
      </c>
      <c r="L31" s="556">
        <v>19328</v>
      </c>
      <c r="M31" s="556">
        <v>20634</v>
      </c>
      <c r="N31" s="556">
        <v>19935</v>
      </c>
      <c r="O31" s="556">
        <v>20490</v>
      </c>
      <c r="P31" s="556">
        <v>22026</v>
      </c>
      <c r="Q31" s="556">
        <v>21738</v>
      </c>
      <c r="R31" s="556">
        <v>21180</v>
      </c>
      <c r="S31" s="556">
        <v>22157</v>
      </c>
      <c r="T31" s="556">
        <v>25526</v>
      </c>
      <c r="U31" s="556">
        <v>27808</v>
      </c>
      <c r="V31" s="556">
        <v>29475</v>
      </c>
      <c r="W31" s="556">
        <v>31031</v>
      </c>
      <c r="X31" s="556">
        <v>33581</v>
      </c>
      <c r="Y31" s="556">
        <v>34014</v>
      </c>
      <c r="Z31" s="556" t="s">
        <v>1905</v>
      </c>
      <c r="AA31" s="556" t="s">
        <v>1905</v>
      </c>
      <c r="AB31" s="556" t="s">
        <v>1905</v>
      </c>
      <c r="AC31" s="556" t="s">
        <v>1905</v>
      </c>
      <c r="AD31" s="556" t="s">
        <v>1905</v>
      </c>
    </row>
    <row r="32" spans="1:30" ht="13">
      <c r="A32" s="558" t="s">
        <v>1892</v>
      </c>
      <c r="B32" s="557" t="s">
        <v>0</v>
      </c>
      <c r="C32" s="559">
        <v>13603</v>
      </c>
      <c r="D32" s="559">
        <v>15192</v>
      </c>
      <c r="E32" s="559">
        <v>17910</v>
      </c>
      <c r="F32" s="559">
        <v>19918</v>
      </c>
      <c r="G32" s="559">
        <v>24244</v>
      </c>
      <c r="H32" s="559">
        <v>26258</v>
      </c>
      <c r="I32" s="559">
        <v>27184</v>
      </c>
      <c r="J32" s="559">
        <v>24049</v>
      </c>
      <c r="K32" s="559">
        <v>27088</v>
      </c>
      <c r="L32" s="559">
        <v>28955</v>
      </c>
      <c r="M32" s="559">
        <v>30781</v>
      </c>
      <c r="N32" s="559">
        <v>36938</v>
      </c>
      <c r="O32" s="559">
        <v>40696</v>
      </c>
      <c r="P32" s="559">
        <v>48904</v>
      </c>
      <c r="Q32" s="559">
        <v>53362</v>
      </c>
      <c r="R32" s="559">
        <v>54133</v>
      </c>
      <c r="S32" s="559">
        <v>53132</v>
      </c>
      <c r="T32" s="559">
        <v>57904</v>
      </c>
      <c r="U32" s="559">
        <v>64012</v>
      </c>
      <c r="V32" s="559">
        <v>70049</v>
      </c>
      <c r="W32" s="559">
        <v>75861</v>
      </c>
      <c r="X32" s="559">
        <v>80670</v>
      </c>
      <c r="Y32" s="559">
        <v>71753</v>
      </c>
      <c r="Z32" s="559" t="s">
        <v>1905</v>
      </c>
      <c r="AA32" s="559" t="s">
        <v>1905</v>
      </c>
      <c r="AB32" s="559" t="s">
        <v>1905</v>
      </c>
      <c r="AC32" s="559" t="s">
        <v>1905</v>
      </c>
      <c r="AD32" s="559" t="s">
        <v>1905</v>
      </c>
    </row>
    <row r="33" spans="1:30" ht="13">
      <c r="A33" s="558" t="s">
        <v>1935</v>
      </c>
      <c r="B33" s="557" t="s">
        <v>0</v>
      </c>
      <c r="C33" s="556">
        <v>102</v>
      </c>
      <c r="D33" s="556">
        <v>124</v>
      </c>
      <c r="E33" s="556">
        <v>161</v>
      </c>
      <c r="F33" s="556">
        <v>196</v>
      </c>
      <c r="G33" s="556">
        <v>231</v>
      </c>
      <c r="H33" s="556">
        <v>224</v>
      </c>
      <c r="I33" s="556">
        <v>249</v>
      </c>
      <c r="J33" s="556">
        <v>274</v>
      </c>
      <c r="K33" s="556">
        <v>323</v>
      </c>
      <c r="L33" s="556">
        <v>353</v>
      </c>
      <c r="M33" s="556">
        <v>369</v>
      </c>
      <c r="N33" s="556">
        <v>373</v>
      </c>
      <c r="O33" s="556">
        <v>366</v>
      </c>
      <c r="P33" s="556">
        <v>393</v>
      </c>
      <c r="Q33" s="556">
        <v>361</v>
      </c>
      <c r="R33" s="556">
        <v>350</v>
      </c>
      <c r="S33" s="556">
        <v>389</v>
      </c>
      <c r="T33" s="556">
        <v>467</v>
      </c>
      <c r="U33" s="556">
        <v>633</v>
      </c>
      <c r="V33" s="556">
        <v>719</v>
      </c>
      <c r="W33" s="556">
        <v>734</v>
      </c>
      <c r="X33" s="556">
        <v>848</v>
      </c>
      <c r="Y33" s="556">
        <v>993</v>
      </c>
      <c r="Z33" s="556" t="s">
        <v>1905</v>
      </c>
      <c r="AA33" s="556" t="s">
        <v>1905</v>
      </c>
      <c r="AB33" s="556" t="s">
        <v>1905</v>
      </c>
      <c r="AC33" s="556" t="s">
        <v>1905</v>
      </c>
      <c r="AD33" s="556" t="s">
        <v>1905</v>
      </c>
    </row>
    <row r="34" spans="1:30" ht="13">
      <c r="A34" s="558" t="s">
        <v>1934</v>
      </c>
      <c r="B34" s="557" t="s">
        <v>0</v>
      </c>
      <c r="C34" s="559">
        <v>417</v>
      </c>
      <c r="D34" s="559">
        <v>517</v>
      </c>
      <c r="E34" s="559">
        <v>572</v>
      </c>
      <c r="F34" s="559">
        <v>865</v>
      </c>
      <c r="G34" s="559">
        <v>922</v>
      </c>
      <c r="H34" s="559">
        <v>988</v>
      </c>
      <c r="I34" s="559">
        <v>1099</v>
      </c>
      <c r="J34" s="559">
        <v>1409</v>
      </c>
      <c r="K34" s="559">
        <v>2021</v>
      </c>
      <c r="L34" s="559">
        <v>2340</v>
      </c>
      <c r="M34" s="559">
        <v>2575</v>
      </c>
      <c r="N34" s="559">
        <v>3071</v>
      </c>
      <c r="O34" s="559">
        <v>3070</v>
      </c>
      <c r="P34" s="559">
        <v>3649</v>
      </c>
      <c r="Q34" s="559">
        <v>4009</v>
      </c>
      <c r="R34" s="559">
        <v>3927</v>
      </c>
      <c r="S34" s="559">
        <v>3613</v>
      </c>
      <c r="T34" s="559">
        <v>3603</v>
      </c>
      <c r="U34" s="559">
        <v>3760</v>
      </c>
      <c r="V34" s="559">
        <v>4026</v>
      </c>
      <c r="W34" s="559">
        <v>4527</v>
      </c>
      <c r="X34" s="559">
        <v>4972</v>
      </c>
      <c r="Y34" s="559">
        <v>3674</v>
      </c>
      <c r="Z34" s="559" t="s">
        <v>1905</v>
      </c>
      <c r="AA34" s="559" t="s">
        <v>1905</v>
      </c>
      <c r="AB34" s="559" t="s">
        <v>1905</v>
      </c>
      <c r="AC34" s="559" t="s">
        <v>1905</v>
      </c>
      <c r="AD34" s="559" t="s">
        <v>1905</v>
      </c>
    </row>
    <row r="35" spans="1:30" ht="13">
      <c r="A35" s="558" t="s">
        <v>1933</v>
      </c>
      <c r="B35" s="557" t="s">
        <v>0</v>
      </c>
      <c r="C35" s="556" t="s">
        <v>1905</v>
      </c>
      <c r="D35" s="556" t="s">
        <v>1905</v>
      </c>
      <c r="E35" s="556" t="s">
        <v>1905</v>
      </c>
      <c r="F35" s="556" t="s">
        <v>1905</v>
      </c>
      <c r="G35" s="556" t="s">
        <v>1905</v>
      </c>
      <c r="H35" s="556" t="s">
        <v>1905</v>
      </c>
      <c r="I35" s="556" t="s">
        <v>1905</v>
      </c>
      <c r="J35" s="556" t="s">
        <v>1905</v>
      </c>
      <c r="K35" s="556" t="s">
        <v>1905</v>
      </c>
      <c r="L35" s="556" t="s">
        <v>1905</v>
      </c>
      <c r="M35" s="556" t="s">
        <v>1905</v>
      </c>
      <c r="N35" s="556" t="s">
        <v>1905</v>
      </c>
      <c r="O35" s="556" t="s">
        <v>1905</v>
      </c>
      <c r="P35" s="556" t="s">
        <v>1905</v>
      </c>
      <c r="Q35" s="556" t="s">
        <v>1905</v>
      </c>
      <c r="R35" s="556" t="s">
        <v>1905</v>
      </c>
      <c r="S35" s="556">
        <v>9</v>
      </c>
      <c r="T35" s="556">
        <v>9</v>
      </c>
      <c r="U35" s="556">
        <v>30</v>
      </c>
      <c r="V35" s="556">
        <v>32</v>
      </c>
      <c r="W35" s="556">
        <v>40</v>
      </c>
      <c r="X35" s="556">
        <v>43</v>
      </c>
      <c r="Y35" s="556">
        <v>61</v>
      </c>
      <c r="Z35" s="556" t="s">
        <v>1905</v>
      </c>
      <c r="AA35" s="556" t="s">
        <v>1905</v>
      </c>
      <c r="AB35" s="556" t="s">
        <v>1905</v>
      </c>
      <c r="AC35" s="556" t="s">
        <v>1905</v>
      </c>
      <c r="AD35" s="556" t="s">
        <v>1905</v>
      </c>
    </row>
    <row r="36" spans="1:30" ht="13">
      <c r="A36" s="558" t="s">
        <v>1932</v>
      </c>
      <c r="B36" s="557" t="s">
        <v>0</v>
      </c>
      <c r="C36" s="559" t="s">
        <v>1905</v>
      </c>
      <c r="D36" s="559" t="s">
        <v>1905</v>
      </c>
      <c r="E36" s="559" t="s">
        <v>1905</v>
      </c>
      <c r="F36" s="559">
        <v>1</v>
      </c>
      <c r="G36" s="559" t="s">
        <v>1905</v>
      </c>
      <c r="H36" s="559">
        <v>119</v>
      </c>
      <c r="I36" s="559">
        <v>161</v>
      </c>
      <c r="J36" s="559">
        <v>182</v>
      </c>
      <c r="K36" s="559">
        <v>263</v>
      </c>
      <c r="L36" s="559">
        <v>263</v>
      </c>
      <c r="M36" s="559">
        <v>281</v>
      </c>
      <c r="N36" s="559">
        <v>314</v>
      </c>
      <c r="O36" s="559">
        <v>417</v>
      </c>
      <c r="P36" s="559">
        <v>499</v>
      </c>
      <c r="Q36" s="559">
        <v>514</v>
      </c>
      <c r="R36" s="559">
        <v>555</v>
      </c>
      <c r="S36" s="559">
        <v>569</v>
      </c>
      <c r="T36" s="559">
        <v>715</v>
      </c>
      <c r="U36" s="559">
        <v>978</v>
      </c>
      <c r="V36" s="559">
        <v>1019</v>
      </c>
      <c r="W36" s="559">
        <v>1212</v>
      </c>
      <c r="X36" s="559">
        <v>1516</v>
      </c>
      <c r="Y36" s="559">
        <v>1618</v>
      </c>
      <c r="Z36" s="559" t="s">
        <v>1905</v>
      </c>
      <c r="AA36" s="559" t="s">
        <v>1905</v>
      </c>
      <c r="AB36" s="559" t="s">
        <v>1905</v>
      </c>
      <c r="AC36" s="559" t="s">
        <v>1905</v>
      </c>
      <c r="AD36" s="559" t="s">
        <v>1905</v>
      </c>
    </row>
    <row r="37" spans="1:30" ht="13">
      <c r="A37" s="558" t="s">
        <v>1931</v>
      </c>
      <c r="B37" s="557" t="s">
        <v>0</v>
      </c>
      <c r="C37" s="556">
        <v>364</v>
      </c>
      <c r="D37" s="556">
        <v>312</v>
      </c>
      <c r="E37" s="556">
        <v>342</v>
      </c>
      <c r="F37" s="556">
        <v>368</v>
      </c>
      <c r="G37" s="556">
        <v>411</v>
      </c>
      <c r="H37" s="556">
        <v>445</v>
      </c>
      <c r="I37" s="556">
        <v>501</v>
      </c>
      <c r="J37" s="556">
        <v>438</v>
      </c>
      <c r="K37" s="556">
        <v>684</v>
      </c>
      <c r="L37" s="556">
        <v>641</v>
      </c>
      <c r="M37" s="556">
        <v>601</v>
      </c>
      <c r="N37" s="556">
        <v>591</v>
      </c>
      <c r="O37" s="556">
        <v>424</v>
      </c>
      <c r="P37" s="556">
        <v>608</v>
      </c>
      <c r="Q37" s="556">
        <v>604</v>
      </c>
      <c r="R37" s="556">
        <v>635</v>
      </c>
      <c r="S37" s="556">
        <v>759</v>
      </c>
      <c r="T37" s="556">
        <v>852</v>
      </c>
      <c r="U37" s="556">
        <v>853</v>
      </c>
      <c r="V37" s="556">
        <v>1022</v>
      </c>
      <c r="W37" s="556">
        <v>1153</v>
      </c>
      <c r="X37" s="556">
        <v>1487</v>
      </c>
      <c r="Y37" s="556">
        <v>1413</v>
      </c>
      <c r="Z37" s="556" t="s">
        <v>1905</v>
      </c>
      <c r="AA37" s="556" t="s">
        <v>1905</v>
      </c>
      <c r="AB37" s="556" t="s">
        <v>1905</v>
      </c>
      <c r="AC37" s="556" t="s">
        <v>1905</v>
      </c>
      <c r="AD37" s="556" t="s">
        <v>1905</v>
      </c>
    </row>
    <row r="38" spans="1:30" ht="13">
      <c r="A38" s="558" t="s">
        <v>1901</v>
      </c>
      <c r="B38" s="557" t="s">
        <v>0</v>
      </c>
      <c r="C38" s="559">
        <v>82</v>
      </c>
      <c r="D38" s="559">
        <v>56</v>
      </c>
      <c r="E38" s="559">
        <v>43</v>
      </c>
      <c r="F38" s="559">
        <v>40</v>
      </c>
      <c r="G38" s="559">
        <v>42</v>
      </c>
      <c r="H38" s="559">
        <v>38</v>
      </c>
      <c r="I38" s="559">
        <v>38</v>
      </c>
      <c r="J38" s="559">
        <v>44</v>
      </c>
      <c r="K38" s="559">
        <v>77</v>
      </c>
      <c r="L38" s="559">
        <v>108</v>
      </c>
      <c r="M38" s="559">
        <v>134</v>
      </c>
      <c r="N38" s="559">
        <v>216</v>
      </c>
      <c r="O38" s="559">
        <v>296</v>
      </c>
      <c r="P38" s="559">
        <v>500</v>
      </c>
      <c r="Q38" s="559">
        <v>619</v>
      </c>
      <c r="R38" s="559">
        <v>795</v>
      </c>
      <c r="S38" s="559">
        <v>933</v>
      </c>
      <c r="T38" s="559">
        <v>1172</v>
      </c>
      <c r="U38" s="559">
        <v>1822</v>
      </c>
      <c r="V38" s="559">
        <v>2041</v>
      </c>
      <c r="W38" s="559">
        <v>2655</v>
      </c>
      <c r="X38" s="559">
        <v>3784</v>
      </c>
      <c r="Y38" s="559">
        <v>4497</v>
      </c>
      <c r="Z38" s="559" t="s">
        <v>1905</v>
      </c>
      <c r="AA38" s="559" t="s">
        <v>1905</v>
      </c>
      <c r="AB38" s="559" t="s">
        <v>1905</v>
      </c>
      <c r="AC38" s="559" t="s">
        <v>1905</v>
      </c>
      <c r="AD38" s="559" t="s">
        <v>1905</v>
      </c>
    </row>
    <row r="39" spans="1:30" ht="13">
      <c r="A39" s="558" t="s">
        <v>693</v>
      </c>
      <c r="B39" s="557" t="s">
        <v>0</v>
      </c>
      <c r="C39" s="556">
        <v>616</v>
      </c>
      <c r="D39" s="556">
        <v>815</v>
      </c>
      <c r="E39" s="556">
        <v>876</v>
      </c>
      <c r="F39" s="556">
        <v>973</v>
      </c>
      <c r="G39" s="556">
        <v>1108</v>
      </c>
      <c r="H39" s="556">
        <v>1178</v>
      </c>
      <c r="I39" s="556">
        <v>1330</v>
      </c>
      <c r="J39" s="556">
        <v>1346</v>
      </c>
      <c r="K39" s="556">
        <v>1573</v>
      </c>
      <c r="L39" s="556">
        <v>1875</v>
      </c>
      <c r="M39" s="556">
        <v>1887</v>
      </c>
      <c r="N39" s="556">
        <v>2086</v>
      </c>
      <c r="O39" s="556">
        <v>2429</v>
      </c>
      <c r="P39" s="556">
        <v>2844</v>
      </c>
      <c r="Q39" s="556">
        <v>3063</v>
      </c>
      <c r="R39" s="556">
        <v>3108</v>
      </c>
      <c r="S39" s="556">
        <v>3164</v>
      </c>
      <c r="T39" s="556">
        <v>3694</v>
      </c>
      <c r="U39" s="556">
        <v>4569</v>
      </c>
      <c r="V39" s="556">
        <v>4901</v>
      </c>
      <c r="W39" s="556">
        <v>5243</v>
      </c>
      <c r="X39" s="556">
        <v>6019</v>
      </c>
      <c r="Y39" s="556">
        <v>6679</v>
      </c>
      <c r="Z39" s="556" t="s">
        <v>1905</v>
      </c>
      <c r="AA39" s="556" t="s">
        <v>1905</v>
      </c>
      <c r="AB39" s="556" t="s">
        <v>1905</v>
      </c>
      <c r="AC39" s="556" t="s">
        <v>1905</v>
      </c>
      <c r="AD39" s="556" t="s">
        <v>1905</v>
      </c>
    </row>
    <row r="40" spans="1:30" ht="13">
      <c r="A40" s="558" t="s">
        <v>1930</v>
      </c>
      <c r="B40" s="557" t="s">
        <v>0</v>
      </c>
      <c r="C40" s="559" t="s">
        <v>1905</v>
      </c>
      <c r="D40" s="559" t="s">
        <v>1905</v>
      </c>
      <c r="E40" s="559" t="s">
        <v>1905</v>
      </c>
      <c r="F40" s="559">
        <v>5</v>
      </c>
      <c r="G40" s="559">
        <v>5</v>
      </c>
      <c r="H40" s="559">
        <v>4</v>
      </c>
      <c r="I40" s="559">
        <v>3</v>
      </c>
      <c r="J40" s="559">
        <v>3</v>
      </c>
      <c r="K40" s="559">
        <v>0</v>
      </c>
      <c r="L40" s="559">
        <v>0</v>
      </c>
      <c r="M40" s="559">
        <v>0</v>
      </c>
      <c r="N40" s="559">
        <v>0</v>
      </c>
      <c r="O40" s="559">
        <v>0</v>
      </c>
      <c r="P40" s="559" t="s">
        <v>1905</v>
      </c>
      <c r="Q40" s="559" t="s">
        <v>1905</v>
      </c>
      <c r="R40" s="559">
        <v>5</v>
      </c>
      <c r="S40" s="559" t="s">
        <v>1905</v>
      </c>
      <c r="T40" s="559" t="s">
        <v>1905</v>
      </c>
      <c r="U40" s="559">
        <v>13</v>
      </c>
      <c r="V40" s="559">
        <v>21</v>
      </c>
      <c r="W40" s="559">
        <v>20</v>
      </c>
      <c r="X40" s="559">
        <v>27</v>
      </c>
      <c r="Y40" s="559">
        <v>75</v>
      </c>
      <c r="Z40" s="559" t="s">
        <v>1905</v>
      </c>
      <c r="AA40" s="559" t="s">
        <v>1905</v>
      </c>
      <c r="AB40" s="559" t="s">
        <v>1905</v>
      </c>
      <c r="AC40" s="559" t="s">
        <v>1905</v>
      </c>
      <c r="AD40" s="559" t="s">
        <v>1905</v>
      </c>
    </row>
    <row r="41" spans="1:30" ht="13">
      <c r="A41" s="558" t="s">
        <v>1929</v>
      </c>
      <c r="B41" s="557" t="s">
        <v>0</v>
      </c>
      <c r="C41" s="556" t="s">
        <v>1905</v>
      </c>
      <c r="D41" s="556" t="s">
        <v>1905</v>
      </c>
      <c r="E41" s="556" t="s">
        <v>1905</v>
      </c>
      <c r="F41" s="556" t="s">
        <v>1905</v>
      </c>
      <c r="G41" s="556" t="s">
        <v>1905</v>
      </c>
      <c r="H41" s="556" t="s">
        <v>1905</v>
      </c>
      <c r="I41" s="556" t="s">
        <v>1905</v>
      </c>
      <c r="J41" s="556" t="s">
        <v>1905</v>
      </c>
      <c r="K41" s="556" t="s">
        <v>1905</v>
      </c>
      <c r="L41" s="556" t="s">
        <v>1905</v>
      </c>
      <c r="M41" s="556" t="s">
        <v>1905</v>
      </c>
      <c r="N41" s="556" t="s">
        <v>1905</v>
      </c>
      <c r="O41" s="556" t="s">
        <v>1905</v>
      </c>
      <c r="P41" s="556">
        <v>964</v>
      </c>
      <c r="Q41" s="556">
        <v>1423</v>
      </c>
      <c r="R41" s="556">
        <v>1417</v>
      </c>
      <c r="S41" s="556">
        <v>1367</v>
      </c>
      <c r="T41" s="556">
        <v>1474</v>
      </c>
      <c r="U41" s="556">
        <v>1670</v>
      </c>
      <c r="V41" s="556">
        <v>1840</v>
      </c>
      <c r="W41" s="556">
        <v>2081</v>
      </c>
      <c r="X41" s="556">
        <v>2669</v>
      </c>
      <c r="Y41" s="556">
        <v>3270</v>
      </c>
      <c r="Z41" s="556" t="s">
        <v>1905</v>
      </c>
      <c r="AA41" s="556" t="s">
        <v>1905</v>
      </c>
      <c r="AB41" s="556" t="s">
        <v>1905</v>
      </c>
      <c r="AC41" s="556" t="s">
        <v>1905</v>
      </c>
      <c r="AD41" s="556" t="s">
        <v>1905</v>
      </c>
    </row>
    <row r="42" spans="1:30" ht="13">
      <c r="A42" s="558" t="s">
        <v>1896</v>
      </c>
      <c r="B42" s="557" t="s">
        <v>0</v>
      </c>
      <c r="C42" s="559">
        <v>4015</v>
      </c>
      <c r="D42" s="559">
        <v>5041</v>
      </c>
      <c r="E42" s="559">
        <v>5405</v>
      </c>
      <c r="F42" s="559">
        <v>6016</v>
      </c>
      <c r="G42" s="559">
        <v>7594</v>
      </c>
      <c r="H42" s="559">
        <v>7919</v>
      </c>
      <c r="I42" s="559">
        <v>8013</v>
      </c>
      <c r="J42" s="559">
        <v>6890</v>
      </c>
      <c r="K42" s="559">
        <v>7262</v>
      </c>
      <c r="L42" s="559">
        <v>7745</v>
      </c>
      <c r="M42" s="559">
        <v>8330</v>
      </c>
      <c r="N42" s="559">
        <v>8318</v>
      </c>
      <c r="O42" s="559">
        <v>8429</v>
      </c>
      <c r="P42" s="559">
        <v>8457</v>
      </c>
      <c r="Q42" s="559">
        <v>8471</v>
      </c>
      <c r="R42" s="559">
        <v>8699</v>
      </c>
      <c r="S42" s="559">
        <v>8661</v>
      </c>
      <c r="T42" s="559">
        <v>9976</v>
      </c>
      <c r="U42" s="559">
        <v>11668</v>
      </c>
      <c r="V42" s="559">
        <v>12318</v>
      </c>
      <c r="W42" s="559">
        <v>12758</v>
      </c>
      <c r="X42" s="559">
        <v>13106</v>
      </c>
      <c r="Y42" s="559">
        <v>14238</v>
      </c>
      <c r="Z42" s="559" t="s">
        <v>1905</v>
      </c>
      <c r="AA42" s="559" t="s">
        <v>1905</v>
      </c>
      <c r="AB42" s="559" t="s">
        <v>1905</v>
      </c>
      <c r="AC42" s="559" t="s">
        <v>1905</v>
      </c>
      <c r="AD42" s="559" t="s">
        <v>1905</v>
      </c>
    </row>
    <row r="43" spans="1:30" ht="13">
      <c r="A43" s="558" t="s">
        <v>1436</v>
      </c>
      <c r="B43" s="557" t="s">
        <v>0</v>
      </c>
      <c r="C43" s="556">
        <v>3982</v>
      </c>
      <c r="D43" s="556">
        <v>5049</v>
      </c>
      <c r="E43" s="556">
        <v>6212</v>
      </c>
      <c r="F43" s="556">
        <v>6694</v>
      </c>
      <c r="G43" s="556">
        <v>7121</v>
      </c>
      <c r="H43" s="556">
        <v>8350</v>
      </c>
      <c r="I43" s="556">
        <v>8808</v>
      </c>
      <c r="J43" s="556">
        <v>10631</v>
      </c>
      <c r="K43" s="556">
        <v>12513</v>
      </c>
      <c r="L43" s="556">
        <v>13477</v>
      </c>
      <c r="M43" s="556">
        <v>13464</v>
      </c>
      <c r="N43" s="556">
        <v>13227</v>
      </c>
      <c r="O43" s="556">
        <v>12633</v>
      </c>
      <c r="P43" s="556">
        <v>15661</v>
      </c>
      <c r="Q43" s="556">
        <v>16977</v>
      </c>
      <c r="R43" s="556">
        <v>16841</v>
      </c>
      <c r="S43" s="556">
        <v>16491</v>
      </c>
      <c r="T43" s="556">
        <v>16977</v>
      </c>
      <c r="U43" s="556">
        <v>18972</v>
      </c>
      <c r="V43" s="556">
        <v>20058</v>
      </c>
      <c r="W43" s="556">
        <v>20672</v>
      </c>
      <c r="X43" s="556">
        <v>20644</v>
      </c>
      <c r="Y43" s="556">
        <v>20962</v>
      </c>
      <c r="Z43" s="556" t="s">
        <v>1905</v>
      </c>
      <c r="AA43" s="556" t="s">
        <v>1905</v>
      </c>
      <c r="AB43" s="556" t="s">
        <v>1905</v>
      </c>
      <c r="AC43" s="556" t="s">
        <v>1905</v>
      </c>
      <c r="AD43" s="556" t="s">
        <v>1905</v>
      </c>
    </row>
    <row r="44" spans="1:30" ht="13">
      <c r="A44" s="558" t="s">
        <v>1928</v>
      </c>
      <c r="B44" s="557" t="s">
        <v>0</v>
      </c>
      <c r="C44" s="559">
        <v>134</v>
      </c>
      <c r="D44" s="559">
        <v>180</v>
      </c>
      <c r="E44" s="559">
        <v>630</v>
      </c>
      <c r="F44" s="559">
        <v>399</v>
      </c>
      <c r="G44" s="559">
        <v>450</v>
      </c>
      <c r="H44" s="559">
        <v>515</v>
      </c>
      <c r="I44" s="559">
        <v>618</v>
      </c>
      <c r="J44" s="559">
        <v>659</v>
      </c>
      <c r="K44" s="559">
        <v>727</v>
      </c>
      <c r="L44" s="559">
        <v>832</v>
      </c>
      <c r="M44" s="559">
        <v>972</v>
      </c>
      <c r="N44" s="559">
        <v>993</v>
      </c>
      <c r="O44" s="559">
        <v>844</v>
      </c>
      <c r="P44" s="559">
        <v>1310</v>
      </c>
      <c r="Q44" s="559">
        <v>1965</v>
      </c>
      <c r="R44" s="559">
        <v>1957</v>
      </c>
      <c r="S44" s="559">
        <v>2240</v>
      </c>
      <c r="T44" s="559">
        <v>2522</v>
      </c>
      <c r="U44" s="559">
        <v>2874</v>
      </c>
      <c r="V44" s="559">
        <v>4393</v>
      </c>
      <c r="W44" s="559">
        <v>4998</v>
      </c>
      <c r="X44" s="559">
        <v>5369</v>
      </c>
      <c r="Y44" s="559">
        <v>4932</v>
      </c>
      <c r="Z44" s="559" t="s">
        <v>1905</v>
      </c>
      <c r="AA44" s="559" t="s">
        <v>1905</v>
      </c>
      <c r="AB44" s="559" t="s">
        <v>1905</v>
      </c>
      <c r="AC44" s="559" t="s">
        <v>1905</v>
      </c>
      <c r="AD44" s="559" t="s">
        <v>1905</v>
      </c>
    </row>
    <row r="45" spans="1:30" ht="13">
      <c r="A45" s="560" t="s">
        <v>778</v>
      </c>
      <c r="B45" s="557" t="s">
        <v>0</v>
      </c>
      <c r="C45" s="556">
        <v>5711</v>
      </c>
      <c r="D45" s="556">
        <v>6017</v>
      </c>
      <c r="E45" s="556">
        <v>6757</v>
      </c>
      <c r="F45" s="556">
        <v>7853</v>
      </c>
      <c r="G45" s="556">
        <v>8779</v>
      </c>
      <c r="H45" s="556">
        <v>8185</v>
      </c>
      <c r="I45" s="556">
        <v>8811</v>
      </c>
      <c r="J45" s="556">
        <v>10209</v>
      </c>
      <c r="K45" s="556">
        <v>10448</v>
      </c>
      <c r="L45" s="556">
        <v>12425</v>
      </c>
      <c r="M45" s="556">
        <v>14679</v>
      </c>
      <c r="N45" s="556">
        <v>16286</v>
      </c>
      <c r="O45" s="556">
        <v>17184</v>
      </c>
      <c r="P45" s="556">
        <v>16409</v>
      </c>
      <c r="Q45" s="556">
        <v>16827</v>
      </c>
      <c r="R45" s="556">
        <v>16666</v>
      </c>
      <c r="S45" s="556">
        <v>14782</v>
      </c>
      <c r="T45" s="556">
        <v>14245</v>
      </c>
      <c r="U45" s="556">
        <v>14374</v>
      </c>
      <c r="V45" s="556">
        <v>17162</v>
      </c>
      <c r="W45" s="556">
        <v>19789</v>
      </c>
      <c r="X45" s="556">
        <v>22463</v>
      </c>
      <c r="Y45" s="556">
        <v>25502</v>
      </c>
      <c r="Z45" s="556" t="s">
        <v>1905</v>
      </c>
      <c r="AA45" s="556" t="s">
        <v>1905</v>
      </c>
      <c r="AB45" s="556" t="s">
        <v>1905</v>
      </c>
      <c r="AC45" s="556" t="s">
        <v>1905</v>
      </c>
      <c r="AD45" s="556" t="s">
        <v>1905</v>
      </c>
    </row>
    <row r="46" spans="1:30" ht="13">
      <c r="A46" s="558" t="s">
        <v>1927</v>
      </c>
      <c r="B46" s="557" t="s">
        <v>0</v>
      </c>
      <c r="C46" s="559" t="s">
        <v>1905</v>
      </c>
      <c r="D46" s="559" t="s">
        <v>1905</v>
      </c>
      <c r="E46" s="559" t="s">
        <v>1905</v>
      </c>
      <c r="F46" s="559" t="s">
        <v>1905</v>
      </c>
      <c r="G46" s="559" t="s">
        <v>1905</v>
      </c>
      <c r="H46" s="559" t="s">
        <v>1905</v>
      </c>
      <c r="I46" s="559" t="s">
        <v>1905</v>
      </c>
      <c r="J46" s="559" t="s">
        <v>1905</v>
      </c>
      <c r="K46" s="559" t="s">
        <v>1905</v>
      </c>
      <c r="L46" s="559" t="s">
        <v>1905</v>
      </c>
      <c r="M46" s="559" t="s">
        <v>1905</v>
      </c>
      <c r="N46" s="559" t="s">
        <v>1905</v>
      </c>
      <c r="O46" s="559" t="s">
        <v>1905</v>
      </c>
      <c r="P46" s="559">
        <v>15</v>
      </c>
      <c r="Q46" s="559">
        <v>17</v>
      </c>
      <c r="R46" s="559">
        <v>18</v>
      </c>
      <c r="S46" s="559">
        <v>17</v>
      </c>
      <c r="T46" s="559" t="s">
        <v>1905</v>
      </c>
      <c r="U46" s="559">
        <v>31</v>
      </c>
      <c r="V46" s="559">
        <v>30</v>
      </c>
      <c r="W46" s="559">
        <v>36</v>
      </c>
      <c r="X46" s="559">
        <v>40</v>
      </c>
      <c r="Y46" s="559">
        <v>46</v>
      </c>
      <c r="Z46" s="559" t="s">
        <v>1905</v>
      </c>
      <c r="AA46" s="559" t="s">
        <v>1905</v>
      </c>
      <c r="AB46" s="559" t="s">
        <v>1905</v>
      </c>
      <c r="AC46" s="559" t="s">
        <v>1905</v>
      </c>
      <c r="AD46" s="559" t="s">
        <v>1905</v>
      </c>
    </row>
    <row r="47" spans="1:30" ht="13">
      <c r="A47" s="558" t="s">
        <v>697</v>
      </c>
      <c r="B47" s="557" t="s">
        <v>0</v>
      </c>
      <c r="C47" s="556">
        <v>228</v>
      </c>
      <c r="D47" s="556">
        <v>292</v>
      </c>
      <c r="E47" s="556">
        <v>312</v>
      </c>
      <c r="F47" s="556">
        <v>277</v>
      </c>
      <c r="G47" s="556">
        <v>327</v>
      </c>
      <c r="H47" s="556">
        <v>364</v>
      </c>
      <c r="I47" s="556">
        <v>393</v>
      </c>
      <c r="J47" s="556">
        <v>350</v>
      </c>
      <c r="K47" s="556">
        <v>438</v>
      </c>
      <c r="L47" s="556">
        <v>445</v>
      </c>
      <c r="M47" s="556">
        <v>430</v>
      </c>
      <c r="N47" s="556">
        <v>398</v>
      </c>
      <c r="O47" s="556">
        <v>415</v>
      </c>
      <c r="P47" s="556">
        <v>488</v>
      </c>
      <c r="Q47" s="556">
        <v>424</v>
      </c>
      <c r="R47" s="556">
        <v>428</v>
      </c>
      <c r="S47" s="556">
        <v>478</v>
      </c>
      <c r="T47" s="556">
        <v>563</v>
      </c>
      <c r="U47" s="556">
        <v>575</v>
      </c>
      <c r="V47" s="556">
        <v>620</v>
      </c>
      <c r="W47" s="556">
        <v>902</v>
      </c>
      <c r="X47" s="556">
        <v>968</v>
      </c>
      <c r="Y47" s="556">
        <v>1011</v>
      </c>
      <c r="Z47" s="556" t="s">
        <v>1905</v>
      </c>
      <c r="AA47" s="556" t="s">
        <v>1905</v>
      </c>
      <c r="AB47" s="556" t="s">
        <v>1905</v>
      </c>
      <c r="AC47" s="556" t="s">
        <v>1905</v>
      </c>
      <c r="AD47" s="556" t="s">
        <v>1905</v>
      </c>
    </row>
    <row r="48" spans="1:30" ht="13">
      <c r="A48" s="558" t="s">
        <v>1926</v>
      </c>
      <c r="B48" s="557" t="s">
        <v>0</v>
      </c>
      <c r="C48" s="559" t="s">
        <v>1905</v>
      </c>
      <c r="D48" s="559" t="s">
        <v>1905</v>
      </c>
      <c r="E48" s="559" t="s">
        <v>1905</v>
      </c>
      <c r="F48" s="559" t="s">
        <v>1905</v>
      </c>
      <c r="G48" s="559" t="s">
        <v>1905</v>
      </c>
      <c r="H48" s="559" t="s">
        <v>1905</v>
      </c>
      <c r="I48" s="559" t="s">
        <v>1905</v>
      </c>
      <c r="J48" s="559" t="s">
        <v>1905</v>
      </c>
      <c r="K48" s="559" t="s">
        <v>1905</v>
      </c>
      <c r="L48" s="559" t="s">
        <v>1905</v>
      </c>
      <c r="M48" s="559" t="s">
        <v>1905</v>
      </c>
      <c r="N48" s="559" t="s">
        <v>1905</v>
      </c>
      <c r="O48" s="559" t="s">
        <v>1905</v>
      </c>
      <c r="P48" s="559">
        <v>7</v>
      </c>
      <c r="Q48" s="559">
        <v>7</v>
      </c>
      <c r="R48" s="559">
        <v>7</v>
      </c>
      <c r="S48" s="559">
        <v>7</v>
      </c>
      <c r="T48" s="559">
        <v>2</v>
      </c>
      <c r="U48" s="559">
        <v>8</v>
      </c>
      <c r="V48" s="559">
        <v>10</v>
      </c>
      <c r="W48" s="559">
        <v>13</v>
      </c>
      <c r="X48" s="559">
        <v>20</v>
      </c>
      <c r="Y48" s="559">
        <v>22</v>
      </c>
      <c r="Z48" s="559" t="s">
        <v>1905</v>
      </c>
      <c r="AA48" s="559" t="s">
        <v>1905</v>
      </c>
      <c r="AB48" s="559" t="s">
        <v>1905</v>
      </c>
      <c r="AC48" s="559" t="s">
        <v>1905</v>
      </c>
      <c r="AD48" s="559" t="s">
        <v>1905</v>
      </c>
    </row>
    <row r="49" spans="1:30" ht="13">
      <c r="A49" s="558" t="s">
        <v>1925</v>
      </c>
      <c r="B49" s="557" t="s">
        <v>0</v>
      </c>
      <c r="C49" s="556" t="s">
        <v>1905</v>
      </c>
      <c r="D49" s="556" t="s">
        <v>1905</v>
      </c>
      <c r="E49" s="556" t="s">
        <v>1905</v>
      </c>
      <c r="F49" s="556">
        <v>16</v>
      </c>
      <c r="G49" s="556">
        <v>29</v>
      </c>
      <c r="H49" s="556">
        <v>26</v>
      </c>
      <c r="I49" s="556">
        <v>30</v>
      </c>
      <c r="J49" s="556">
        <v>31</v>
      </c>
      <c r="K49" s="556">
        <v>39</v>
      </c>
      <c r="L49" s="556">
        <v>47</v>
      </c>
      <c r="M49" s="556">
        <v>60</v>
      </c>
      <c r="N49" s="556">
        <v>64</v>
      </c>
      <c r="O49" s="556">
        <v>48</v>
      </c>
      <c r="P49" s="556">
        <v>58</v>
      </c>
      <c r="Q49" s="556">
        <v>61</v>
      </c>
      <c r="R49" s="556">
        <v>55</v>
      </c>
      <c r="S49" s="556">
        <v>63</v>
      </c>
      <c r="T49" s="556">
        <v>66</v>
      </c>
      <c r="U49" s="556">
        <v>85</v>
      </c>
      <c r="V49" s="556">
        <v>113</v>
      </c>
      <c r="W49" s="556">
        <v>134</v>
      </c>
      <c r="X49" s="556">
        <v>160</v>
      </c>
      <c r="Y49" s="556">
        <v>178</v>
      </c>
      <c r="Z49" s="556" t="s">
        <v>1905</v>
      </c>
      <c r="AA49" s="556" t="s">
        <v>1905</v>
      </c>
      <c r="AB49" s="556" t="s">
        <v>1905</v>
      </c>
      <c r="AC49" s="556" t="s">
        <v>1905</v>
      </c>
      <c r="AD49" s="556" t="s">
        <v>1905</v>
      </c>
    </row>
    <row r="50" spans="1:30" ht="13">
      <c r="A50" s="558" t="s">
        <v>1894</v>
      </c>
      <c r="B50" s="557" t="s">
        <v>0</v>
      </c>
      <c r="C50" s="559">
        <v>1335</v>
      </c>
      <c r="D50" s="559">
        <v>1416</v>
      </c>
      <c r="E50" s="559">
        <v>1673</v>
      </c>
      <c r="F50" s="559">
        <v>2185</v>
      </c>
      <c r="G50" s="559">
        <v>2526</v>
      </c>
      <c r="H50" s="559">
        <v>3208</v>
      </c>
      <c r="I50" s="559">
        <v>3857</v>
      </c>
      <c r="J50" s="559">
        <v>4176</v>
      </c>
      <c r="K50" s="559">
        <v>5323</v>
      </c>
      <c r="L50" s="559">
        <v>4590</v>
      </c>
      <c r="M50" s="559">
        <v>4571</v>
      </c>
      <c r="N50" s="559">
        <v>5206</v>
      </c>
      <c r="O50" s="559">
        <v>6073</v>
      </c>
      <c r="P50" s="559">
        <v>7832</v>
      </c>
      <c r="Q50" s="559">
        <v>9572</v>
      </c>
      <c r="R50" s="559">
        <v>10598</v>
      </c>
      <c r="S50" s="559">
        <v>11145</v>
      </c>
      <c r="T50" s="559">
        <v>10694</v>
      </c>
      <c r="U50" s="559">
        <v>11045</v>
      </c>
      <c r="V50" s="559">
        <v>11245</v>
      </c>
      <c r="W50" s="559">
        <v>12925</v>
      </c>
      <c r="X50" s="559">
        <v>13673</v>
      </c>
      <c r="Y50" s="559">
        <v>13949</v>
      </c>
      <c r="Z50" s="559" t="s">
        <v>1905</v>
      </c>
      <c r="AA50" s="559" t="s">
        <v>1905</v>
      </c>
      <c r="AB50" s="559" t="s">
        <v>1905</v>
      </c>
      <c r="AC50" s="559" t="s">
        <v>1905</v>
      </c>
      <c r="AD50" s="559" t="s">
        <v>1905</v>
      </c>
    </row>
    <row r="51" spans="1:30" ht="13">
      <c r="A51" s="558" t="s">
        <v>340</v>
      </c>
      <c r="B51" s="557" t="s">
        <v>0</v>
      </c>
      <c r="C51" s="556">
        <v>2881</v>
      </c>
      <c r="D51" s="556">
        <v>2711</v>
      </c>
      <c r="E51" s="556">
        <v>2732</v>
      </c>
      <c r="F51" s="556">
        <v>2781</v>
      </c>
      <c r="G51" s="556">
        <v>687</v>
      </c>
      <c r="H51" s="556">
        <v>764</v>
      </c>
      <c r="I51" s="556">
        <v>918</v>
      </c>
      <c r="J51" s="556">
        <v>969</v>
      </c>
      <c r="K51" s="556">
        <v>1009</v>
      </c>
      <c r="L51" s="556">
        <v>1148</v>
      </c>
      <c r="M51" s="556">
        <v>1368</v>
      </c>
      <c r="N51" s="556">
        <v>1409</v>
      </c>
      <c r="O51" s="556">
        <v>1422</v>
      </c>
      <c r="P51" s="556">
        <v>2140</v>
      </c>
      <c r="Q51" s="556">
        <v>2230</v>
      </c>
      <c r="R51" s="556">
        <v>2179</v>
      </c>
      <c r="S51" s="556">
        <v>2147</v>
      </c>
      <c r="T51" s="556">
        <v>2281</v>
      </c>
      <c r="U51" s="556">
        <v>2543</v>
      </c>
      <c r="V51" s="556">
        <v>2795</v>
      </c>
      <c r="W51" s="556">
        <v>3140</v>
      </c>
      <c r="X51" s="556">
        <v>3976</v>
      </c>
      <c r="Y51" s="556">
        <v>4766</v>
      </c>
      <c r="Z51" s="556" t="s">
        <v>1905</v>
      </c>
      <c r="AA51" s="556" t="s">
        <v>1905</v>
      </c>
      <c r="AB51" s="556" t="s">
        <v>1905</v>
      </c>
      <c r="AC51" s="556" t="s">
        <v>1905</v>
      </c>
      <c r="AD51" s="556" t="s">
        <v>1905</v>
      </c>
    </row>
    <row r="52" spans="1:30" ht="13">
      <c r="A52" s="558" t="s">
        <v>1924</v>
      </c>
      <c r="B52" s="557" t="s">
        <v>0</v>
      </c>
      <c r="C52" s="559">
        <v>333</v>
      </c>
      <c r="D52" s="559">
        <v>353</v>
      </c>
      <c r="E52" s="559">
        <v>256</v>
      </c>
      <c r="F52" s="559">
        <v>334</v>
      </c>
      <c r="G52" s="559">
        <v>411</v>
      </c>
      <c r="H52" s="559">
        <v>481</v>
      </c>
      <c r="I52" s="559">
        <v>644</v>
      </c>
      <c r="J52" s="559">
        <v>741</v>
      </c>
      <c r="K52" s="559">
        <v>1042</v>
      </c>
      <c r="L52" s="559">
        <v>1173</v>
      </c>
      <c r="M52" s="559">
        <v>1077</v>
      </c>
      <c r="N52" s="559">
        <v>1207</v>
      </c>
      <c r="O52" s="559">
        <v>1066</v>
      </c>
      <c r="P52" s="559">
        <v>1139</v>
      </c>
      <c r="Q52" s="559">
        <v>1180</v>
      </c>
      <c r="R52" s="559">
        <v>1362</v>
      </c>
      <c r="S52" s="559">
        <v>1139</v>
      </c>
      <c r="T52" s="559">
        <v>1152</v>
      </c>
      <c r="U52" s="559">
        <v>1437</v>
      </c>
      <c r="V52" s="559">
        <v>1447</v>
      </c>
      <c r="W52" s="559">
        <v>1641</v>
      </c>
      <c r="X52" s="559">
        <v>1668</v>
      </c>
      <c r="Y52" s="559">
        <v>1768</v>
      </c>
      <c r="Z52" s="559" t="s">
        <v>1905</v>
      </c>
      <c r="AA52" s="559" t="s">
        <v>1905</v>
      </c>
      <c r="AB52" s="559" t="s">
        <v>1905</v>
      </c>
      <c r="AC52" s="559" t="s">
        <v>1905</v>
      </c>
      <c r="AD52" s="559" t="s">
        <v>1905</v>
      </c>
    </row>
    <row r="53" spans="1:30" ht="13">
      <c r="A53" s="558" t="s">
        <v>694</v>
      </c>
      <c r="B53" s="557" t="s">
        <v>0</v>
      </c>
      <c r="C53" s="556">
        <v>2744</v>
      </c>
      <c r="D53" s="556">
        <v>3266</v>
      </c>
      <c r="E53" s="556">
        <v>3544</v>
      </c>
      <c r="F53" s="556">
        <v>4345</v>
      </c>
      <c r="G53" s="556">
        <v>4879</v>
      </c>
      <c r="H53" s="556">
        <v>5243</v>
      </c>
      <c r="I53" s="556">
        <v>5550</v>
      </c>
      <c r="J53" s="556">
        <v>5489</v>
      </c>
      <c r="K53" s="556">
        <v>5987</v>
      </c>
      <c r="L53" s="556">
        <v>6664</v>
      </c>
      <c r="M53" s="556">
        <v>7212</v>
      </c>
      <c r="N53" s="556">
        <v>7556</v>
      </c>
      <c r="O53" s="556">
        <v>7433</v>
      </c>
      <c r="P53" s="556">
        <v>7686</v>
      </c>
      <c r="Q53" s="556">
        <v>7784</v>
      </c>
      <c r="R53" s="556">
        <v>7801</v>
      </c>
      <c r="S53" s="556">
        <v>8336</v>
      </c>
      <c r="T53" s="556">
        <v>9045</v>
      </c>
      <c r="U53" s="556">
        <v>10749</v>
      </c>
      <c r="V53" s="556">
        <v>11675</v>
      </c>
      <c r="W53" s="556">
        <v>13596</v>
      </c>
      <c r="X53" s="556">
        <v>14370</v>
      </c>
      <c r="Y53" s="556">
        <v>17044</v>
      </c>
      <c r="Z53" s="556" t="s">
        <v>1905</v>
      </c>
      <c r="AA53" s="556" t="s">
        <v>1905</v>
      </c>
      <c r="AB53" s="556" t="s">
        <v>1905</v>
      </c>
      <c r="AC53" s="556" t="s">
        <v>1905</v>
      </c>
      <c r="AD53" s="556" t="s">
        <v>1905</v>
      </c>
    </row>
    <row r="54" spans="1:30" ht="13">
      <c r="A54" s="558" t="s">
        <v>1897</v>
      </c>
      <c r="B54" s="557" t="s">
        <v>0</v>
      </c>
      <c r="C54" s="559">
        <v>635</v>
      </c>
      <c r="D54" s="559">
        <v>575</v>
      </c>
      <c r="E54" s="559">
        <v>632</v>
      </c>
      <c r="F54" s="559">
        <v>755</v>
      </c>
      <c r="G54" s="559">
        <v>855</v>
      </c>
      <c r="H54" s="559">
        <v>851</v>
      </c>
      <c r="I54" s="559">
        <v>937</v>
      </c>
      <c r="J54" s="559">
        <v>963</v>
      </c>
      <c r="K54" s="559">
        <v>1019</v>
      </c>
      <c r="L54" s="559">
        <v>1206</v>
      </c>
      <c r="M54" s="559">
        <v>1408</v>
      </c>
      <c r="N54" s="559">
        <v>1533</v>
      </c>
      <c r="O54" s="559">
        <v>1703</v>
      </c>
      <c r="P54" s="559">
        <v>1859</v>
      </c>
      <c r="Q54" s="559">
        <v>1592</v>
      </c>
      <c r="R54" s="559">
        <v>1591</v>
      </c>
      <c r="S54" s="559">
        <v>1764</v>
      </c>
      <c r="T54" s="559">
        <v>1709</v>
      </c>
      <c r="U54" s="559">
        <v>2067</v>
      </c>
      <c r="V54" s="559">
        <v>2310</v>
      </c>
      <c r="W54" s="559">
        <v>2173</v>
      </c>
      <c r="X54" s="559">
        <v>2572</v>
      </c>
      <c r="Y54" s="559">
        <v>2923</v>
      </c>
      <c r="Z54" s="559" t="s">
        <v>1905</v>
      </c>
      <c r="AA54" s="559" t="s">
        <v>1905</v>
      </c>
      <c r="AB54" s="559" t="s">
        <v>1905</v>
      </c>
      <c r="AC54" s="559" t="s">
        <v>1905</v>
      </c>
      <c r="AD54" s="559" t="s">
        <v>1905</v>
      </c>
    </row>
    <row r="55" spans="1:30" ht="13">
      <c r="A55" s="558" t="s">
        <v>1923</v>
      </c>
      <c r="B55" s="557" t="s">
        <v>0</v>
      </c>
      <c r="C55" s="556">
        <v>217</v>
      </c>
      <c r="D55" s="556">
        <v>277</v>
      </c>
      <c r="E55" s="556">
        <v>335</v>
      </c>
      <c r="F55" s="556">
        <v>386</v>
      </c>
      <c r="G55" s="556">
        <v>357</v>
      </c>
      <c r="H55" s="556">
        <v>1034</v>
      </c>
      <c r="I55" s="556">
        <v>715</v>
      </c>
      <c r="J55" s="556">
        <v>391</v>
      </c>
      <c r="K55" s="556">
        <v>622</v>
      </c>
      <c r="L55" s="556">
        <v>865</v>
      </c>
      <c r="M55" s="556">
        <v>1321</v>
      </c>
      <c r="N55" s="556">
        <v>1350</v>
      </c>
      <c r="O55" s="556">
        <v>1275</v>
      </c>
      <c r="P55" s="556">
        <v>994</v>
      </c>
      <c r="Q55" s="556">
        <v>825</v>
      </c>
      <c r="R55" s="556">
        <v>997</v>
      </c>
      <c r="S55" s="556">
        <v>918</v>
      </c>
      <c r="T55" s="556">
        <v>1189</v>
      </c>
      <c r="U55" s="556">
        <v>1453</v>
      </c>
      <c r="V55" s="556">
        <v>1577</v>
      </c>
      <c r="W55" s="556">
        <v>1181</v>
      </c>
      <c r="X55" s="556">
        <v>1183</v>
      </c>
      <c r="Y55" s="556">
        <v>1184</v>
      </c>
      <c r="Z55" s="556" t="s">
        <v>1905</v>
      </c>
      <c r="AA55" s="556" t="s">
        <v>1905</v>
      </c>
      <c r="AB55" s="556" t="s">
        <v>1905</v>
      </c>
      <c r="AC55" s="556" t="s">
        <v>1905</v>
      </c>
      <c r="AD55" s="556" t="s">
        <v>1905</v>
      </c>
    </row>
    <row r="56" spans="1:30" ht="13">
      <c r="A56" s="558" t="s">
        <v>1922</v>
      </c>
      <c r="B56" s="557" t="s">
        <v>0</v>
      </c>
      <c r="C56" s="559" t="s">
        <v>1905</v>
      </c>
      <c r="D56" s="559" t="s">
        <v>1905</v>
      </c>
      <c r="E56" s="559" t="s">
        <v>1905</v>
      </c>
      <c r="F56" s="559" t="s">
        <v>1905</v>
      </c>
      <c r="G56" s="559" t="s">
        <v>1905</v>
      </c>
      <c r="H56" s="559" t="s">
        <v>1905</v>
      </c>
      <c r="I56" s="559" t="s">
        <v>1905</v>
      </c>
      <c r="J56" s="559" t="s">
        <v>1905</v>
      </c>
      <c r="K56" s="559" t="s">
        <v>1905</v>
      </c>
      <c r="L56" s="559" t="s">
        <v>1905</v>
      </c>
      <c r="M56" s="559" t="s">
        <v>1905</v>
      </c>
      <c r="N56" s="559" t="s">
        <v>1905</v>
      </c>
      <c r="O56" s="559" t="s">
        <v>1905</v>
      </c>
      <c r="P56" s="559">
        <v>219056</v>
      </c>
      <c r="Q56" s="559">
        <v>226456</v>
      </c>
      <c r="R56" s="559">
        <v>226655</v>
      </c>
      <c r="S56" s="559">
        <v>232537</v>
      </c>
      <c r="T56" s="559">
        <v>256447</v>
      </c>
      <c r="U56" s="559">
        <v>289693</v>
      </c>
      <c r="V56" s="559">
        <v>313298</v>
      </c>
      <c r="W56" s="559">
        <v>335981</v>
      </c>
      <c r="X56" s="559">
        <v>362527</v>
      </c>
      <c r="Y56" s="559">
        <v>367129</v>
      </c>
      <c r="Z56" s="559" t="s">
        <v>1905</v>
      </c>
      <c r="AA56" s="559" t="s">
        <v>1905</v>
      </c>
      <c r="AB56" s="559" t="s">
        <v>1905</v>
      </c>
      <c r="AC56" s="559" t="s">
        <v>1905</v>
      </c>
      <c r="AD56" s="559" t="s">
        <v>1905</v>
      </c>
    </row>
    <row r="57" spans="1:30" ht="13">
      <c r="A57" s="560" t="s">
        <v>1921</v>
      </c>
      <c r="B57" s="557" t="s">
        <v>0</v>
      </c>
      <c r="C57" s="556" t="s">
        <v>1905</v>
      </c>
      <c r="D57" s="556" t="s">
        <v>1905</v>
      </c>
      <c r="E57" s="556" t="s">
        <v>1905</v>
      </c>
      <c r="F57" s="556" t="s">
        <v>1905</v>
      </c>
      <c r="G57" s="556" t="s">
        <v>1905</v>
      </c>
      <c r="H57" s="556" t="s">
        <v>1905</v>
      </c>
      <c r="I57" s="556" t="s">
        <v>1905</v>
      </c>
      <c r="J57" s="556" t="s">
        <v>1905</v>
      </c>
      <c r="K57" s="556" t="s">
        <v>1905</v>
      </c>
      <c r="L57" s="556" t="s">
        <v>1905</v>
      </c>
      <c r="M57" s="556" t="s">
        <v>1905</v>
      </c>
      <c r="N57" s="556" t="s">
        <v>1905</v>
      </c>
      <c r="O57" s="556" t="s">
        <v>1905</v>
      </c>
      <c r="P57" s="556" t="s">
        <v>1905</v>
      </c>
      <c r="Q57" s="556" t="s">
        <v>1905</v>
      </c>
      <c r="R57" s="556" t="s">
        <v>1905</v>
      </c>
      <c r="S57" s="556" t="s">
        <v>1905</v>
      </c>
      <c r="T57" s="556" t="s">
        <v>1905</v>
      </c>
      <c r="U57" s="556" t="s">
        <v>1905</v>
      </c>
      <c r="V57" s="556" t="s">
        <v>1905</v>
      </c>
      <c r="W57" s="556" t="s">
        <v>1905</v>
      </c>
      <c r="X57" s="556" t="s">
        <v>1905</v>
      </c>
      <c r="Y57" s="556" t="s">
        <v>1905</v>
      </c>
      <c r="Z57" s="556" t="s">
        <v>1905</v>
      </c>
      <c r="AA57" s="556" t="s">
        <v>1905</v>
      </c>
      <c r="AB57" s="556" t="s">
        <v>1905</v>
      </c>
      <c r="AC57" s="556" t="s">
        <v>1905</v>
      </c>
      <c r="AD57" s="556" t="s">
        <v>1905</v>
      </c>
    </row>
    <row r="58" spans="1:30" ht="13">
      <c r="A58" s="558" t="s">
        <v>1920</v>
      </c>
      <c r="B58" s="557" t="s">
        <v>0</v>
      </c>
      <c r="C58" s="559">
        <v>212</v>
      </c>
      <c r="D58" s="559">
        <v>239</v>
      </c>
      <c r="E58" s="559">
        <v>385</v>
      </c>
      <c r="F58" s="559">
        <v>275</v>
      </c>
      <c r="G58" s="559">
        <v>259</v>
      </c>
      <c r="H58" s="559">
        <v>289</v>
      </c>
      <c r="I58" s="559">
        <v>346</v>
      </c>
      <c r="J58" s="559">
        <v>383</v>
      </c>
      <c r="K58" s="559">
        <v>482</v>
      </c>
      <c r="L58" s="559">
        <v>553</v>
      </c>
      <c r="M58" s="559">
        <v>525</v>
      </c>
      <c r="N58" s="559">
        <v>530</v>
      </c>
      <c r="O58" s="559">
        <v>471</v>
      </c>
      <c r="P58" s="559">
        <v>621</v>
      </c>
      <c r="Q58" s="559">
        <v>669</v>
      </c>
      <c r="R58" s="559">
        <v>639</v>
      </c>
      <c r="S58" s="559">
        <v>640</v>
      </c>
      <c r="T58" s="559">
        <v>633</v>
      </c>
      <c r="U58" s="559">
        <v>652</v>
      </c>
      <c r="V58" s="559">
        <v>711</v>
      </c>
      <c r="W58" s="559">
        <v>855</v>
      </c>
      <c r="X58" s="559">
        <v>1020</v>
      </c>
      <c r="Y58" s="559">
        <v>1158</v>
      </c>
      <c r="Z58" s="559" t="s">
        <v>1905</v>
      </c>
      <c r="AA58" s="559" t="s">
        <v>1905</v>
      </c>
      <c r="AB58" s="559" t="s">
        <v>1905</v>
      </c>
      <c r="AC58" s="559" t="s">
        <v>1905</v>
      </c>
      <c r="AD58" s="559" t="s">
        <v>1905</v>
      </c>
    </row>
    <row r="59" spans="1:30" ht="13">
      <c r="A59" s="558" t="s">
        <v>1919</v>
      </c>
      <c r="B59" s="557" t="s">
        <v>0</v>
      </c>
      <c r="C59" s="556" t="s">
        <v>1905</v>
      </c>
      <c r="D59" s="556" t="s">
        <v>1905</v>
      </c>
      <c r="E59" s="556" t="s">
        <v>1905</v>
      </c>
      <c r="F59" s="556" t="s">
        <v>1905</v>
      </c>
      <c r="G59" s="556" t="s">
        <v>1905</v>
      </c>
      <c r="H59" s="556">
        <v>1</v>
      </c>
      <c r="I59" s="556">
        <v>25</v>
      </c>
      <c r="J59" s="556">
        <v>71</v>
      </c>
      <c r="K59" s="556">
        <v>125</v>
      </c>
      <c r="L59" s="556">
        <v>233</v>
      </c>
      <c r="M59" s="556">
        <v>359</v>
      </c>
      <c r="N59" s="556">
        <v>420</v>
      </c>
      <c r="O59" s="556">
        <v>509</v>
      </c>
      <c r="P59" s="556">
        <v>727</v>
      </c>
      <c r="Q59" s="556">
        <v>842</v>
      </c>
      <c r="R59" s="556">
        <v>906</v>
      </c>
      <c r="S59" s="556">
        <v>991</v>
      </c>
      <c r="T59" s="556">
        <v>1015</v>
      </c>
      <c r="U59" s="556">
        <v>1420</v>
      </c>
      <c r="V59" s="556">
        <v>1661</v>
      </c>
      <c r="W59" s="556">
        <v>1853</v>
      </c>
      <c r="X59" s="556">
        <v>2374</v>
      </c>
      <c r="Y59" s="556">
        <v>3045</v>
      </c>
      <c r="Z59" s="556" t="s">
        <v>1905</v>
      </c>
      <c r="AA59" s="556" t="s">
        <v>1905</v>
      </c>
      <c r="AB59" s="556" t="s">
        <v>1905</v>
      </c>
      <c r="AC59" s="556" t="s">
        <v>1905</v>
      </c>
      <c r="AD59" s="556" t="s">
        <v>1905</v>
      </c>
    </row>
    <row r="60" spans="1:30" ht="13">
      <c r="A60" s="558" t="s">
        <v>1918</v>
      </c>
      <c r="B60" s="557" t="s">
        <v>0</v>
      </c>
      <c r="C60" s="559">
        <v>168</v>
      </c>
      <c r="D60" s="559">
        <v>211</v>
      </c>
      <c r="E60" s="559">
        <v>258</v>
      </c>
      <c r="F60" s="559">
        <v>330</v>
      </c>
      <c r="G60" s="559">
        <v>402</v>
      </c>
      <c r="H60" s="559">
        <v>488</v>
      </c>
      <c r="I60" s="559">
        <v>589</v>
      </c>
      <c r="J60" s="559">
        <v>591</v>
      </c>
      <c r="K60" s="559">
        <v>607</v>
      </c>
      <c r="L60" s="559">
        <v>726</v>
      </c>
      <c r="M60" s="559">
        <v>761</v>
      </c>
      <c r="N60" s="559">
        <v>756</v>
      </c>
      <c r="O60" s="559">
        <v>790</v>
      </c>
      <c r="P60" s="559">
        <v>879</v>
      </c>
      <c r="Q60" s="559">
        <v>883</v>
      </c>
      <c r="R60" s="559">
        <v>905</v>
      </c>
      <c r="S60" s="559">
        <v>853</v>
      </c>
      <c r="T60" s="559">
        <v>960</v>
      </c>
      <c r="U60" s="559">
        <v>1078</v>
      </c>
      <c r="V60" s="559">
        <v>1062</v>
      </c>
      <c r="W60" s="559">
        <v>1133</v>
      </c>
      <c r="X60" s="559">
        <v>1207</v>
      </c>
      <c r="Y60" s="559">
        <v>1359</v>
      </c>
      <c r="Z60" s="559" t="s">
        <v>1905</v>
      </c>
      <c r="AA60" s="559" t="s">
        <v>1905</v>
      </c>
      <c r="AB60" s="559" t="s">
        <v>1905</v>
      </c>
      <c r="AC60" s="559" t="s">
        <v>1905</v>
      </c>
      <c r="AD60" s="559" t="s">
        <v>1905</v>
      </c>
    </row>
    <row r="61" spans="1:30" ht="13">
      <c r="A61" s="558" t="s">
        <v>1917</v>
      </c>
      <c r="B61" s="557" t="s">
        <v>0</v>
      </c>
      <c r="C61" s="556" t="s">
        <v>1905</v>
      </c>
      <c r="D61" s="556" t="s">
        <v>1905</v>
      </c>
      <c r="E61" s="556" t="s">
        <v>1905</v>
      </c>
      <c r="F61" s="556" t="s">
        <v>1905</v>
      </c>
      <c r="G61" s="556" t="s">
        <v>1905</v>
      </c>
      <c r="H61" s="556" t="s">
        <v>1905</v>
      </c>
      <c r="I61" s="556" t="s">
        <v>1905</v>
      </c>
      <c r="J61" s="556" t="s">
        <v>1905</v>
      </c>
      <c r="K61" s="556">
        <v>8</v>
      </c>
      <c r="L61" s="556">
        <v>12</v>
      </c>
      <c r="M61" s="556">
        <v>16</v>
      </c>
      <c r="N61" s="556">
        <v>19</v>
      </c>
      <c r="O61" s="556">
        <v>28</v>
      </c>
      <c r="P61" s="556">
        <v>41</v>
      </c>
      <c r="Q61" s="556">
        <v>44</v>
      </c>
      <c r="R61" s="556">
        <v>54</v>
      </c>
      <c r="S61" s="556">
        <v>70</v>
      </c>
      <c r="T61" s="556">
        <v>91</v>
      </c>
      <c r="U61" s="556">
        <v>151</v>
      </c>
      <c r="V61" s="556">
        <v>189</v>
      </c>
      <c r="W61" s="556">
        <v>259</v>
      </c>
      <c r="X61" s="556">
        <v>424</v>
      </c>
      <c r="Y61" s="556">
        <v>576</v>
      </c>
      <c r="Z61" s="556" t="s">
        <v>1905</v>
      </c>
      <c r="AA61" s="556" t="s">
        <v>1905</v>
      </c>
      <c r="AB61" s="556" t="s">
        <v>1905</v>
      </c>
      <c r="AC61" s="556" t="s">
        <v>1905</v>
      </c>
      <c r="AD61" s="556" t="s">
        <v>1905</v>
      </c>
    </row>
    <row r="62" spans="1:30" ht="13">
      <c r="A62" s="558" t="s">
        <v>779</v>
      </c>
      <c r="B62" s="557" t="s">
        <v>0</v>
      </c>
      <c r="C62" s="559" t="s">
        <v>1905</v>
      </c>
      <c r="D62" s="559" t="s">
        <v>1905</v>
      </c>
      <c r="E62" s="559" t="s">
        <v>1905</v>
      </c>
      <c r="F62" s="559" t="s">
        <v>1905</v>
      </c>
      <c r="G62" s="559" t="s">
        <v>1905</v>
      </c>
      <c r="H62" s="559" t="s">
        <v>1905</v>
      </c>
      <c r="I62" s="559">
        <v>9</v>
      </c>
      <c r="J62" s="559">
        <v>25</v>
      </c>
      <c r="K62" s="559">
        <v>122</v>
      </c>
      <c r="L62" s="559">
        <v>113</v>
      </c>
      <c r="M62" s="559">
        <v>157</v>
      </c>
      <c r="N62" s="559">
        <v>230</v>
      </c>
      <c r="O62" s="559">
        <v>301</v>
      </c>
      <c r="P62" s="559">
        <v>323</v>
      </c>
      <c r="Q62" s="559">
        <v>358</v>
      </c>
      <c r="R62" s="559">
        <v>398</v>
      </c>
      <c r="S62" s="559">
        <v>523</v>
      </c>
      <c r="T62" s="559">
        <v>509</v>
      </c>
      <c r="U62" s="559">
        <v>732</v>
      </c>
      <c r="V62" s="559">
        <v>850</v>
      </c>
      <c r="W62" s="559">
        <v>1174</v>
      </c>
      <c r="X62" s="559">
        <v>1625</v>
      </c>
      <c r="Y62" s="559">
        <v>2156</v>
      </c>
      <c r="Z62" s="559" t="s">
        <v>1905</v>
      </c>
      <c r="AA62" s="559" t="s">
        <v>1905</v>
      </c>
      <c r="AB62" s="559" t="s">
        <v>1905</v>
      </c>
      <c r="AC62" s="559" t="s">
        <v>1905</v>
      </c>
      <c r="AD62" s="559" t="s">
        <v>1905</v>
      </c>
    </row>
    <row r="63" spans="1:30" ht="13">
      <c r="A63" s="558" t="s">
        <v>696</v>
      </c>
      <c r="B63" s="557" t="s">
        <v>0</v>
      </c>
      <c r="C63" s="556">
        <v>422</v>
      </c>
      <c r="D63" s="556">
        <v>487</v>
      </c>
      <c r="E63" s="658">
        <f>(D63+F63)/2</f>
        <v>652.5</v>
      </c>
      <c r="F63" s="556">
        <v>818</v>
      </c>
      <c r="G63" s="556">
        <v>1019</v>
      </c>
      <c r="H63" s="556">
        <v>1163</v>
      </c>
      <c r="I63" s="556">
        <v>1367</v>
      </c>
      <c r="J63" s="556">
        <v>1695</v>
      </c>
      <c r="K63" s="556">
        <v>2106</v>
      </c>
      <c r="L63" s="556">
        <v>2396</v>
      </c>
      <c r="M63" s="556">
        <v>2737</v>
      </c>
      <c r="N63" s="556">
        <v>2873</v>
      </c>
      <c r="O63" s="556">
        <v>2868</v>
      </c>
      <c r="P63" s="556">
        <v>3442</v>
      </c>
      <c r="Q63" s="556">
        <v>3571</v>
      </c>
      <c r="R63" s="556">
        <v>3519</v>
      </c>
      <c r="S63" s="556">
        <v>3411</v>
      </c>
      <c r="T63" s="556">
        <v>3402</v>
      </c>
      <c r="U63" s="556">
        <v>3709</v>
      </c>
      <c r="V63" s="556">
        <v>4181</v>
      </c>
      <c r="W63" s="556">
        <v>4461</v>
      </c>
      <c r="X63" s="556">
        <v>5113</v>
      </c>
      <c r="Y63" s="556">
        <v>5440</v>
      </c>
      <c r="Z63" s="556" t="s">
        <v>1905</v>
      </c>
      <c r="AA63" s="556" t="s">
        <v>1905</v>
      </c>
      <c r="AB63" s="556" t="s">
        <v>1905</v>
      </c>
      <c r="AC63" s="556" t="s">
        <v>1905</v>
      </c>
      <c r="AD63" s="556" t="s">
        <v>1905</v>
      </c>
    </row>
    <row r="64" spans="1:30" ht="13">
      <c r="A64" s="558" t="s">
        <v>1916</v>
      </c>
      <c r="B64" s="557" t="s">
        <v>0</v>
      </c>
      <c r="C64" s="559" t="s">
        <v>1905</v>
      </c>
      <c r="D64" s="559" t="s">
        <v>1905</v>
      </c>
      <c r="E64" s="559" t="s">
        <v>1905</v>
      </c>
      <c r="F64" s="559" t="s">
        <v>1905</v>
      </c>
      <c r="G64" s="559" t="s">
        <v>1905</v>
      </c>
      <c r="H64" s="559" t="s">
        <v>1905</v>
      </c>
      <c r="I64" s="559" t="s">
        <v>1905</v>
      </c>
      <c r="J64" s="559" t="s">
        <v>1905</v>
      </c>
      <c r="K64" s="559" t="s">
        <v>1905</v>
      </c>
      <c r="L64" s="559" t="s">
        <v>1905</v>
      </c>
      <c r="M64" s="559" t="s">
        <v>1905</v>
      </c>
      <c r="N64" s="559" t="s">
        <v>1905</v>
      </c>
      <c r="O64" s="559" t="s">
        <v>1905</v>
      </c>
      <c r="P64" s="559" t="s">
        <v>1905</v>
      </c>
      <c r="Q64" s="559" t="s">
        <v>1905</v>
      </c>
      <c r="R64" s="559" t="s">
        <v>1905</v>
      </c>
      <c r="S64" s="559" t="s">
        <v>1905</v>
      </c>
      <c r="T64" s="559" t="s">
        <v>1905</v>
      </c>
      <c r="U64" s="559" t="s">
        <v>1905</v>
      </c>
      <c r="V64" s="559" t="s">
        <v>1905</v>
      </c>
      <c r="W64" s="559" t="s">
        <v>1905</v>
      </c>
      <c r="X64" s="559">
        <v>152</v>
      </c>
      <c r="Y64" s="559">
        <v>166</v>
      </c>
      <c r="Z64" s="559" t="s">
        <v>1905</v>
      </c>
      <c r="AA64" s="559" t="s">
        <v>1905</v>
      </c>
      <c r="AB64" s="559" t="s">
        <v>1905</v>
      </c>
      <c r="AC64" s="559" t="s">
        <v>1905</v>
      </c>
      <c r="AD64" s="559" t="s">
        <v>1905</v>
      </c>
    </row>
    <row r="65" spans="1:30" ht="13">
      <c r="A65" s="558" t="s">
        <v>1915</v>
      </c>
      <c r="B65" s="557" t="s">
        <v>0</v>
      </c>
      <c r="C65" s="556" t="s">
        <v>1905</v>
      </c>
      <c r="D65" s="556" t="s">
        <v>1905</v>
      </c>
      <c r="E65" s="556" t="s">
        <v>1905</v>
      </c>
      <c r="F65" s="556" t="s">
        <v>1905</v>
      </c>
      <c r="G65" s="556" t="s">
        <v>1905</v>
      </c>
      <c r="H65" s="556" t="s">
        <v>1905</v>
      </c>
      <c r="I65" s="556" t="s">
        <v>1905</v>
      </c>
      <c r="J65" s="556" t="s">
        <v>1905</v>
      </c>
      <c r="K65" s="556">
        <v>9</v>
      </c>
      <c r="L65" s="556">
        <v>8</v>
      </c>
      <c r="M65" s="556">
        <v>10</v>
      </c>
      <c r="N65" s="556">
        <v>15</v>
      </c>
      <c r="O65" s="556">
        <v>23</v>
      </c>
      <c r="P65" s="556">
        <v>84</v>
      </c>
      <c r="Q65" s="556">
        <v>76</v>
      </c>
      <c r="R65" s="556">
        <v>164</v>
      </c>
      <c r="S65" s="556">
        <v>307</v>
      </c>
      <c r="T65" s="556">
        <v>339</v>
      </c>
      <c r="U65" s="556">
        <v>538</v>
      </c>
      <c r="V65" s="556">
        <v>587</v>
      </c>
      <c r="W65" s="556">
        <v>686</v>
      </c>
      <c r="X65" s="556">
        <v>810</v>
      </c>
      <c r="Y65" s="556">
        <v>978</v>
      </c>
      <c r="Z65" s="556" t="s">
        <v>1905</v>
      </c>
      <c r="AA65" s="556" t="s">
        <v>1905</v>
      </c>
      <c r="AB65" s="556" t="s">
        <v>1905</v>
      </c>
      <c r="AC65" s="556" t="s">
        <v>1905</v>
      </c>
      <c r="AD65" s="556" t="s">
        <v>1905</v>
      </c>
    </row>
    <row r="66" spans="1:30" ht="13">
      <c r="A66" s="558" t="s">
        <v>1914</v>
      </c>
      <c r="B66" s="557" t="s">
        <v>0</v>
      </c>
      <c r="C66" s="559" t="s">
        <v>1905</v>
      </c>
      <c r="D66" s="559" t="s">
        <v>1905</v>
      </c>
      <c r="E66" s="559" t="s">
        <v>1905</v>
      </c>
      <c r="F66" s="559" t="s">
        <v>1905</v>
      </c>
      <c r="G66" s="559" t="s">
        <v>1905</v>
      </c>
      <c r="H66" s="559" t="s">
        <v>1905</v>
      </c>
      <c r="I66" s="559" t="s">
        <v>1905</v>
      </c>
      <c r="J66" s="559" t="s">
        <v>1905</v>
      </c>
      <c r="K66" s="559">
        <v>5</v>
      </c>
      <c r="L66" s="559">
        <v>17</v>
      </c>
      <c r="M66" s="559">
        <v>17</v>
      </c>
      <c r="N66" s="559">
        <v>17</v>
      </c>
      <c r="O66" s="559">
        <v>31</v>
      </c>
      <c r="P66" s="559">
        <v>53</v>
      </c>
      <c r="Q66" s="559">
        <v>66</v>
      </c>
      <c r="R66" s="559">
        <v>62</v>
      </c>
      <c r="S66" s="559">
        <v>59</v>
      </c>
      <c r="T66" s="559">
        <v>66</v>
      </c>
      <c r="U66" s="559">
        <v>103</v>
      </c>
      <c r="V66" s="559">
        <v>124</v>
      </c>
      <c r="W66" s="559">
        <v>126</v>
      </c>
      <c r="X66" s="559">
        <v>130</v>
      </c>
      <c r="Y66" s="559">
        <v>148</v>
      </c>
      <c r="Z66" s="559" t="s">
        <v>1905</v>
      </c>
      <c r="AA66" s="559" t="s">
        <v>1905</v>
      </c>
      <c r="AB66" s="559" t="s">
        <v>1905</v>
      </c>
      <c r="AC66" s="559" t="s">
        <v>1905</v>
      </c>
      <c r="AD66" s="559" t="s">
        <v>1905</v>
      </c>
    </row>
    <row r="67" spans="1:30" ht="13">
      <c r="A67" s="558" t="s">
        <v>1913</v>
      </c>
      <c r="B67" s="557" t="s">
        <v>0</v>
      </c>
      <c r="C67" s="556">
        <v>792</v>
      </c>
      <c r="D67" s="556">
        <v>876</v>
      </c>
      <c r="E67" s="556">
        <v>956</v>
      </c>
      <c r="F67" s="556">
        <v>1095</v>
      </c>
      <c r="G67" s="556">
        <v>1342</v>
      </c>
      <c r="H67" s="556">
        <v>1463</v>
      </c>
      <c r="I67" s="556">
        <v>1561</v>
      </c>
      <c r="J67" s="556">
        <v>1318</v>
      </c>
      <c r="K67" s="556">
        <v>1443</v>
      </c>
      <c r="L67" s="556">
        <v>2665</v>
      </c>
      <c r="M67" s="556">
        <v>2930</v>
      </c>
      <c r="N67" s="556">
        <v>2389</v>
      </c>
      <c r="O67" s="556">
        <v>2540</v>
      </c>
      <c r="P67" s="556">
        <v>3248</v>
      </c>
      <c r="Q67" s="556">
        <v>3984</v>
      </c>
      <c r="R67" s="556">
        <v>3722</v>
      </c>
      <c r="S67" s="556">
        <v>3875</v>
      </c>
      <c r="T67" s="556">
        <v>4866</v>
      </c>
      <c r="U67" s="556">
        <v>6367</v>
      </c>
      <c r="V67" s="556">
        <v>6901</v>
      </c>
      <c r="W67" s="556">
        <v>7033</v>
      </c>
      <c r="X67" s="556">
        <v>7307</v>
      </c>
      <c r="Y67" s="556">
        <v>6675</v>
      </c>
      <c r="Z67" s="556" t="s">
        <v>1905</v>
      </c>
      <c r="AA67" s="556" t="s">
        <v>1905</v>
      </c>
      <c r="AB67" s="556" t="s">
        <v>1905</v>
      </c>
      <c r="AC67" s="556" t="s">
        <v>1905</v>
      </c>
      <c r="AD67" s="556" t="s">
        <v>1905</v>
      </c>
    </row>
    <row r="68" spans="1:30" ht="13">
      <c r="A68" s="558" t="s">
        <v>1912</v>
      </c>
      <c r="B68" s="557" t="s">
        <v>0</v>
      </c>
      <c r="C68" s="559">
        <v>120</v>
      </c>
      <c r="D68" s="559">
        <v>131</v>
      </c>
      <c r="E68" s="559">
        <v>152</v>
      </c>
      <c r="F68" s="559">
        <v>181</v>
      </c>
      <c r="G68" s="559">
        <v>241</v>
      </c>
      <c r="H68" s="559">
        <v>335</v>
      </c>
      <c r="I68" s="559">
        <v>389</v>
      </c>
      <c r="J68" s="559">
        <v>451</v>
      </c>
      <c r="K68" s="559">
        <v>587</v>
      </c>
      <c r="L68" s="559">
        <v>700</v>
      </c>
      <c r="M68" s="559">
        <v>776</v>
      </c>
      <c r="N68" s="559">
        <v>801</v>
      </c>
      <c r="O68" s="559">
        <v>626</v>
      </c>
      <c r="P68" s="559">
        <v>754</v>
      </c>
      <c r="Q68" s="559">
        <v>798</v>
      </c>
      <c r="R68" s="559">
        <v>822</v>
      </c>
      <c r="S68" s="559">
        <v>795</v>
      </c>
      <c r="T68" s="559">
        <v>923</v>
      </c>
      <c r="U68" s="559">
        <v>1147</v>
      </c>
      <c r="V68" s="559">
        <v>1079</v>
      </c>
      <c r="W68" s="559">
        <v>1278</v>
      </c>
      <c r="X68" s="559">
        <v>1577</v>
      </c>
      <c r="Y68" s="559">
        <v>1713</v>
      </c>
      <c r="Z68" s="559" t="s">
        <v>1905</v>
      </c>
      <c r="AA68" s="559" t="s">
        <v>1905</v>
      </c>
      <c r="AB68" s="559" t="s">
        <v>1905</v>
      </c>
      <c r="AC68" s="559" t="s">
        <v>1905</v>
      </c>
      <c r="AD68" s="559" t="s">
        <v>1905</v>
      </c>
    </row>
    <row r="69" spans="1:30" ht="13">
      <c r="A69" s="558" t="s">
        <v>1911</v>
      </c>
      <c r="B69" s="557" t="s">
        <v>0</v>
      </c>
      <c r="C69" s="556">
        <v>47</v>
      </c>
      <c r="D69" s="556">
        <v>62</v>
      </c>
      <c r="E69" s="556">
        <v>73</v>
      </c>
      <c r="F69" s="556">
        <v>115</v>
      </c>
      <c r="G69" s="556">
        <v>180</v>
      </c>
      <c r="H69" s="556">
        <v>229</v>
      </c>
      <c r="I69" s="556">
        <v>273</v>
      </c>
      <c r="J69" s="556">
        <v>325</v>
      </c>
      <c r="K69" s="556">
        <v>304</v>
      </c>
      <c r="L69" s="556">
        <v>319</v>
      </c>
      <c r="M69" s="556">
        <v>382</v>
      </c>
      <c r="N69" s="556">
        <v>444</v>
      </c>
      <c r="O69" s="556">
        <v>486</v>
      </c>
      <c r="P69" s="556">
        <v>594</v>
      </c>
      <c r="Q69" s="556">
        <v>581</v>
      </c>
      <c r="R69" s="556">
        <v>522</v>
      </c>
      <c r="S69" s="556">
        <v>602</v>
      </c>
      <c r="T69" s="556">
        <v>663</v>
      </c>
      <c r="U69" s="556">
        <v>803</v>
      </c>
      <c r="V69" s="556">
        <v>966</v>
      </c>
      <c r="W69" s="556">
        <v>1063</v>
      </c>
      <c r="X69" s="556">
        <v>1283</v>
      </c>
      <c r="Y69" s="556">
        <v>1477</v>
      </c>
      <c r="Z69" s="556" t="s">
        <v>1905</v>
      </c>
      <c r="AA69" s="556" t="s">
        <v>1905</v>
      </c>
      <c r="AB69" s="556" t="s">
        <v>1905</v>
      </c>
      <c r="AC69" s="556" t="s">
        <v>1905</v>
      </c>
      <c r="AD69" s="556" t="s">
        <v>1905</v>
      </c>
    </row>
    <row r="70" spans="1:30" ht="13">
      <c r="A70" s="558" t="s">
        <v>1910</v>
      </c>
      <c r="B70" s="557" t="s">
        <v>0</v>
      </c>
      <c r="C70" s="559">
        <v>357</v>
      </c>
      <c r="D70" s="559">
        <v>390</v>
      </c>
      <c r="E70" s="559">
        <v>479</v>
      </c>
      <c r="F70" s="559">
        <v>735</v>
      </c>
      <c r="G70" s="559">
        <v>795</v>
      </c>
      <c r="H70" s="559">
        <v>799</v>
      </c>
      <c r="I70" s="559">
        <v>951</v>
      </c>
      <c r="J70" s="559">
        <v>986</v>
      </c>
      <c r="K70" s="559">
        <v>1208</v>
      </c>
      <c r="L70" s="559">
        <v>1383</v>
      </c>
      <c r="M70" s="559">
        <v>1314</v>
      </c>
      <c r="N70" s="559">
        <v>1434</v>
      </c>
      <c r="O70" s="559">
        <v>1317</v>
      </c>
      <c r="P70" s="559">
        <v>1569</v>
      </c>
      <c r="Q70" s="559">
        <v>1763</v>
      </c>
      <c r="R70" s="559">
        <v>1743</v>
      </c>
      <c r="S70" s="559">
        <v>1633</v>
      </c>
      <c r="T70" s="559">
        <v>1614</v>
      </c>
      <c r="U70" s="559">
        <v>1893</v>
      </c>
      <c r="V70" s="559">
        <v>2122</v>
      </c>
      <c r="W70" s="559">
        <v>2239</v>
      </c>
      <c r="X70" s="559">
        <v>2387</v>
      </c>
      <c r="Y70" s="559">
        <v>2398</v>
      </c>
      <c r="Z70" s="559" t="s">
        <v>1905</v>
      </c>
      <c r="AA70" s="559" t="s">
        <v>1905</v>
      </c>
      <c r="AB70" s="559" t="s">
        <v>1905</v>
      </c>
      <c r="AC70" s="559" t="s">
        <v>1905</v>
      </c>
      <c r="AD70" s="559" t="s">
        <v>1905</v>
      </c>
    </row>
    <row r="71" spans="1:30" ht="13">
      <c r="A71" s="558" t="s">
        <v>1909</v>
      </c>
      <c r="B71" s="557" t="s">
        <v>0</v>
      </c>
      <c r="C71" s="556" t="s">
        <v>1905</v>
      </c>
      <c r="D71" s="556" t="s">
        <v>1905</v>
      </c>
      <c r="E71" s="556" t="s">
        <v>1905</v>
      </c>
      <c r="F71" s="556" t="s">
        <v>1905</v>
      </c>
      <c r="G71" s="556" t="s">
        <v>1905</v>
      </c>
      <c r="H71" s="556" t="s">
        <v>1905</v>
      </c>
      <c r="I71" s="556">
        <v>0</v>
      </c>
      <c r="J71" s="556" t="s">
        <v>1905</v>
      </c>
      <c r="K71" s="556">
        <v>1</v>
      </c>
      <c r="L71" s="556">
        <v>2</v>
      </c>
      <c r="M71" s="556">
        <v>8</v>
      </c>
      <c r="N71" s="556">
        <v>15</v>
      </c>
      <c r="O71" s="556">
        <v>38</v>
      </c>
      <c r="P71" s="556">
        <v>31</v>
      </c>
      <c r="Q71" s="556">
        <v>40</v>
      </c>
      <c r="R71" s="556">
        <v>54</v>
      </c>
      <c r="S71" s="556">
        <v>64</v>
      </c>
      <c r="T71" s="556">
        <v>78</v>
      </c>
      <c r="U71" s="556">
        <v>92</v>
      </c>
      <c r="V71" s="556">
        <v>110</v>
      </c>
      <c r="W71" s="556">
        <v>135</v>
      </c>
      <c r="X71" s="556">
        <v>166</v>
      </c>
      <c r="Y71" s="556">
        <v>224</v>
      </c>
      <c r="Z71" s="556" t="s">
        <v>1905</v>
      </c>
      <c r="AA71" s="556" t="s">
        <v>1905</v>
      </c>
      <c r="AB71" s="556" t="s">
        <v>1905</v>
      </c>
      <c r="AC71" s="556" t="s">
        <v>1905</v>
      </c>
      <c r="AD71" s="556" t="s">
        <v>1905</v>
      </c>
    </row>
    <row r="72" spans="1:30" ht="13">
      <c r="A72" s="558" t="s">
        <v>1900</v>
      </c>
      <c r="B72" s="557" t="s">
        <v>0</v>
      </c>
      <c r="C72" s="559" t="s">
        <v>1905</v>
      </c>
      <c r="D72" s="559" t="s">
        <v>1905</v>
      </c>
      <c r="E72" s="559" t="s">
        <v>1905</v>
      </c>
      <c r="F72" s="559" t="s">
        <v>1905</v>
      </c>
      <c r="G72" s="559" t="s">
        <v>1905</v>
      </c>
      <c r="H72" s="559" t="s">
        <v>1905</v>
      </c>
      <c r="I72" s="559" t="s">
        <v>1905</v>
      </c>
      <c r="J72" s="559" t="s">
        <v>1905</v>
      </c>
      <c r="K72" s="559" t="s">
        <v>1905</v>
      </c>
      <c r="L72" s="559" t="s">
        <v>1905</v>
      </c>
      <c r="M72" s="559" t="s">
        <v>1905</v>
      </c>
      <c r="N72" s="559" t="s">
        <v>1905</v>
      </c>
      <c r="O72" s="559" t="s">
        <v>1905</v>
      </c>
      <c r="P72" s="559" t="s">
        <v>1905</v>
      </c>
      <c r="Q72" s="559" t="s">
        <v>1905</v>
      </c>
      <c r="R72" s="559" t="s">
        <v>1905</v>
      </c>
      <c r="S72" s="559" t="s">
        <v>1905</v>
      </c>
      <c r="T72" s="559" t="s">
        <v>1905</v>
      </c>
      <c r="U72" s="559" t="s">
        <v>1905</v>
      </c>
      <c r="V72" s="559" t="s">
        <v>1905</v>
      </c>
      <c r="W72" s="559" t="s">
        <v>1905</v>
      </c>
      <c r="X72" s="559" t="s">
        <v>1905</v>
      </c>
      <c r="Y72" s="559" t="s">
        <v>1905</v>
      </c>
      <c r="Z72" s="559" t="s">
        <v>1905</v>
      </c>
      <c r="AA72" s="559" t="s">
        <v>1905</v>
      </c>
      <c r="AB72" s="559" t="s">
        <v>1905</v>
      </c>
      <c r="AC72" s="559" t="s">
        <v>1905</v>
      </c>
      <c r="AD72" s="559" t="s">
        <v>1905</v>
      </c>
    </row>
    <row r="73" spans="1:30" ht="13">
      <c r="A73" s="558" t="s">
        <v>1908</v>
      </c>
      <c r="B73" s="557" t="s">
        <v>0</v>
      </c>
      <c r="C73" s="556" t="s">
        <v>1905</v>
      </c>
      <c r="D73" s="556" t="s">
        <v>1905</v>
      </c>
      <c r="E73" s="556" t="s">
        <v>1905</v>
      </c>
      <c r="F73" s="556" t="s">
        <v>1905</v>
      </c>
      <c r="G73" s="556" t="s">
        <v>1905</v>
      </c>
      <c r="H73" s="556" t="s">
        <v>1905</v>
      </c>
      <c r="I73" s="556" t="s">
        <v>1905</v>
      </c>
      <c r="J73" s="556" t="s">
        <v>1905</v>
      </c>
      <c r="K73" s="556" t="s">
        <v>1905</v>
      </c>
      <c r="L73" s="556" t="s">
        <v>1905</v>
      </c>
      <c r="M73" s="556" t="s">
        <v>1905</v>
      </c>
      <c r="N73" s="556" t="s">
        <v>1905</v>
      </c>
      <c r="O73" s="556" t="s">
        <v>1905</v>
      </c>
      <c r="P73" s="556" t="s">
        <v>1905</v>
      </c>
      <c r="Q73" s="556" t="s">
        <v>1905</v>
      </c>
      <c r="R73" s="556" t="s">
        <v>1905</v>
      </c>
      <c r="S73" s="556" t="s">
        <v>1905</v>
      </c>
      <c r="T73" s="556" t="s">
        <v>1905</v>
      </c>
      <c r="U73" s="556" t="s">
        <v>1905</v>
      </c>
      <c r="V73" s="556" t="s">
        <v>1905</v>
      </c>
      <c r="W73" s="556" t="s">
        <v>1905</v>
      </c>
      <c r="X73" s="556" t="s">
        <v>1905</v>
      </c>
      <c r="Y73" s="556" t="s">
        <v>1905</v>
      </c>
      <c r="Z73" s="556" t="s">
        <v>1905</v>
      </c>
      <c r="AA73" s="556" t="s">
        <v>1905</v>
      </c>
      <c r="AB73" s="556" t="s">
        <v>1905</v>
      </c>
      <c r="AC73" s="556" t="s">
        <v>1905</v>
      </c>
      <c r="AD73" s="556" t="s">
        <v>1905</v>
      </c>
    </row>
    <row r="74" spans="1:30" ht="13">
      <c r="A74" s="558" t="s">
        <v>1907</v>
      </c>
      <c r="B74" s="557" t="s">
        <v>0</v>
      </c>
      <c r="C74" s="559">
        <v>92025</v>
      </c>
      <c r="D74" s="559">
        <v>105452</v>
      </c>
      <c r="E74" s="559">
        <v>117418</v>
      </c>
      <c r="F74" s="559">
        <v>132565</v>
      </c>
      <c r="G74" s="559">
        <v>151051</v>
      </c>
      <c r="H74" s="559">
        <v>160082</v>
      </c>
      <c r="I74" s="559">
        <v>169575</v>
      </c>
      <c r="J74" s="559">
        <v>166448</v>
      </c>
      <c r="K74" s="559">
        <v>183591</v>
      </c>
      <c r="L74" s="559">
        <v>199701</v>
      </c>
      <c r="M74" s="559">
        <v>210744</v>
      </c>
      <c r="N74" s="559">
        <v>219104</v>
      </c>
      <c r="O74" s="559">
        <v>224556</v>
      </c>
      <c r="P74" s="559">
        <v>254923</v>
      </c>
      <c r="Q74" s="559">
        <v>264241</v>
      </c>
      <c r="R74" s="559">
        <v>264707</v>
      </c>
      <c r="S74" s="559">
        <v>268919</v>
      </c>
      <c r="T74" s="559">
        <v>293618</v>
      </c>
      <c r="U74" s="559">
        <v>331593</v>
      </c>
      <c r="V74" s="559">
        <v>360844</v>
      </c>
      <c r="W74" s="559">
        <v>390969</v>
      </c>
      <c r="X74" s="559">
        <v>426977</v>
      </c>
      <c r="Y74" s="559">
        <v>437372</v>
      </c>
      <c r="Z74" s="559" t="s">
        <v>1905</v>
      </c>
      <c r="AA74" s="559" t="s">
        <v>1905</v>
      </c>
      <c r="AB74" s="559" t="s">
        <v>1905</v>
      </c>
      <c r="AC74" s="559" t="s">
        <v>1905</v>
      </c>
      <c r="AD74" s="559" t="s">
        <v>1905</v>
      </c>
    </row>
    <row r="75" spans="1:30" ht="13">
      <c r="A75" s="558" t="s">
        <v>1906</v>
      </c>
      <c r="B75" s="557" t="s">
        <v>0</v>
      </c>
      <c r="C75" s="556">
        <v>484</v>
      </c>
      <c r="D75" s="556">
        <v>432</v>
      </c>
      <c r="E75" s="556">
        <v>414</v>
      </c>
      <c r="F75" s="556">
        <v>284</v>
      </c>
      <c r="G75" s="556">
        <v>309</v>
      </c>
      <c r="H75" s="556">
        <v>329</v>
      </c>
      <c r="I75" s="556">
        <v>384</v>
      </c>
      <c r="J75" s="556">
        <v>341</v>
      </c>
      <c r="K75" s="556">
        <v>453</v>
      </c>
      <c r="L75" s="556">
        <v>655</v>
      </c>
      <c r="M75" s="556">
        <v>708</v>
      </c>
      <c r="N75" s="556">
        <v>807</v>
      </c>
      <c r="O75" s="556">
        <v>1027</v>
      </c>
      <c r="P75" s="556">
        <v>1207</v>
      </c>
      <c r="Q75" s="556">
        <v>1261</v>
      </c>
      <c r="R75" s="556">
        <v>1134</v>
      </c>
      <c r="S75" s="556">
        <v>1083</v>
      </c>
      <c r="T75" s="556">
        <v>1231</v>
      </c>
      <c r="U75" s="556">
        <v>1716</v>
      </c>
      <c r="V75" s="556">
        <v>1784</v>
      </c>
      <c r="W75" s="556">
        <v>1810</v>
      </c>
      <c r="X75" s="556">
        <v>2021</v>
      </c>
      <c r="Y75" s="556">
        <v>1943</v>
      </c>
      <c r="Z75" s="556" t="s">
        <v>1905</v>
      </c>
      <c r="AA75" s="556" t="s">
        <v>1905</v>
      </c>
      <c r="AB75" s="556" t="s">
        <v>1905</v>
      </c>
      <c r="AC75" s="556" t="s">
        <v>1905</v>
      </c>
      <c r="AD75" s="556" t="s">
        <v>1905</v>
      </c>
    </row>
    <row r="76" spans="1:30">
      <c r="A76" s="555" t="s">
        <v>1904</v>
      </c>
    </row>
  </sheetData>
  <mergeCells count="7">
    <mergeCell ref="A6:B6"/>
    <mergeCell ref="A3:B3"/>
    <mergeCell ref="C3:AD3"/>
    <mergeCell ref="A4:B4"/>
    <mergeCell ref="C4:AD4"/>
    <mergeCell ref="A5:B5"/>
    <mergeCell ref="C5:AD5"/>
  </mergeCells>
  <hyperlinks>
    <hyperlink ref="A2" r:id="rId1" tooltip="Click once to display linked information. Click and hold to select this cell."/>
    <hyperlink ref="C3" r:id="rId2" tooltip="Click once to display linked information. Click and hold to select this cell."/>
    <hyperlink ref="B7" r:id="rId3" tooltip="Click once to display linked information. Click and hold to select this cell."/>
    <hyperlink ref="A45" r:id="rId4" tooltip="Click once to display linked information. Click and hold to select this cell."/>
    <hyperlink ref="A57" r:id="rId5" tooltip="Click once to display linked information. Click and hold to select this cell."/>
    <hyperlink ref="A76" r:id="rId6" tooltip="Click once to display linked information. Click and hold to select this cell."/>
  </hyperlinks>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W88"/>
  <sheetViews>
    <sheetView workbookViewId="0">
      <pane xSplit="1" ySplit="9" topLeftCell="B33" activePane="bottomRight" state="frozen"/>
      <selection activeCell="X67" sqref="X67"/>
      <selection pane="topRight" activeCell="X67" sqref="X67"/>
      <selection pane="bottomLeft" activeCell="X67" sqref="X67"/>
      <selection pane="bottomRight" activeCell="F55" sqref="F55"/>
    </sheetView>
  </sheetViews>
  <sheetFormatPr baseColWidth="10" defaultColWidth="9.28515625" defaultRowHeight="15" x14ac:dyDescent="0"/>
  <cols>
    <col min="1" max="1" width="16.28515625" style="805" customWidth="1"/>
    <col min="2" max="12" width="9.7109375" style="805" customWidth="1"/>
    <col min="13" max="13" width="11.140625" style="805" bestFit="1" customWidth="1"/>
    <col min="14" max="15" width="11.140625" style="805" customWidth="1"/>
    <col min="16" max="16384" width="9.28515625" style="805"/>
  </cols>
  <sheetData>
    <row r="1" spans="1:23">
      <c r="B1" s="829"/>
      <c r="D1" s="829"/>
      <c r="K1" s="68"/>
    </row>
    <row r="2" spans="1:23" ht="16" thickBot="1"/>
    <row r="3" spans="1:23" ht="32" customHeight="1" thickTop="1">
      <c r="A3" s="1734" t="s">
        <v>2475</v>
      </c>
      <c r="B3" s="1735"/>
      <c r="C3" s="1735"/>
      <c r="D3" s="1735"/>
      <c r="E3" s="1735"/>
      <c r="F3" s="1735"/>
      <c r="G3" s="1735"/>
      <c r="H3" s="1735"/>
      <c r="I3" s="1735"/>
      <c r="J3" s="1735"/>
      <c r="K3" s="1735"/>
      <c r="L3" s="1736"/>
    </row>
    <row r="4" spans="1:23" ht="12" customHeight="1">
      <c r="A4" s="806"/>
      <c r="B4" s="807"/>
      <c r="C4" s="807"/>
      <c r="D4" s="807"/>
      <c r="E4" s="807"/>
      <c r="F4" s="807"/>
      <c r="G4" s="807"/>
      <c r="H4" s="807"/>
      <c r="I4" s="807"/>
      <c r="J4" s="807"/>
      <c r="K4" s="807"/>
      <c r="L4" s="808"/>
    </row>
    <row r="5" spans="1:23" ht="16" thickBot="1">
      <c r="A5" s="809"/>
      <c r="B5" s="1198" t="s">
        <v>2411</v>
      </c>
      <c r="C5" s="1198" t="s">
        <v>2412</v>
      </c>
      <c r="D5" s="1198" t="s">
        <v>2413</v>
      </c>
      <c r="E5" s="1198" t="s">
        <v>2414</v>
      </c>
      <c r="F5" s="1198" t="s">
        <v>2415</v>
      </c>
      <c r="G5" s="1198" t="s">
        <v>2416</v>
      </c>
      <c r="H5" s="1198" t="s">
        <v>2417</v>
      </c>
      <c r="I5" s="1198" t="s">
        <v>2429</v>
      </c>
      <c r="J5" s="1198" t="s">
        <v>2430</v>
      </c>
      <c r="K5" s="1198" t="s">
        <v>2431</v>
      </c>
      <c r="L5" s="1199" t="s">
        <v>2432</v>
      </c>
    </row>
    <row r="6" spans="1:23" ht="21" customHeight="1">
      <c r="A6" s="809"/>
      <c r="B6" s="1737" t="s">
        <v>2418</v>
      </c>
      <c r="C6" s="1738"/>
      <c r="D6" s="1738"/>
      <c r="E6" s="1803"/>
      <c r="F6" s="1803"/>
      <c r="G6" s="1803"/>
      <c r="H6" s="1803"/>
      <c r="I6" s="1803"/>
      <c r="J6" s="831"/>
      <c r="K6" s="1751" t="s">
        <v>2424</v>
      </c>
      <c r="L6" s="1739" t="s">
        <v>2451</v>
      </c>
    </row>
    <row r="7" spans="1:23" ht="21" customHeight="1">
      <c r="A7" s="809"/>
      <c r="B7" s="1748" t="s">
        <v>2421</v>
      </c>
      <c r="C7" s="1749"/>
      <c r="D7" s="1749"/>
      <c r="E7" s="1800" t="s">
        <v>3222</v>
      </c>
      <c r="F7" s="1801"/>
      <c r="G7" s="1801"/>
      <c r="H7" s="1801"/>
      <c r="I7" s="1801"/>
      <c r="J7" s="1802"/>
      <c r="K7" s="1752"/>
      <c r="L7" s="1740"/>
      <c r="P7" s="829"/>
      <c r="S7" s="829"/>
      <c r="V7" s="829"/>
    </row>
    <row r="8" spans="1:23" ht="85" customHeight="1">
      <c r="A8" s="809"/>
      <c r="B8" s="1741" t="s">
        <v>2437</v>
      </c>
      <c r="C8" s="1804" t="s">
        <v>2438</v>
      </c>
      <c r="D8" s="1743" t="s">
        <v>2439</v>
      </c>
      <c r="E8" s="1741" t="s">
        <v>2423</v>
      </c>
      <c r="F8" s="812" t="s">
        <v>2425</v>
      </c>
      <c r="G8" s="812" t="s">
        <v>2458</v>
      </c>
      <c r="H8" s="1743" t="s">
        <v>2448</v>
      </c>
      <c r="I8" s="1757" t="s">
        <v>2271</v>
      </c>
      <c r="J8" s="1799" t="s">
        <v>2447</v>
      </c>
      <c r="K8" s="1752"/>
      <c r="L8" s="1740"/>
      <c r="M8" s="813"/>
      <c r="N8" s="1216"/>
      <c r="O8" s="813"/>
      <c r="P8" s="829"/>
      <c r="Q8" s="829"/>
      <c r="R8" s="829"/>
      <c r="S8" s="829"/>
      <c r="T8" s="829"/>
      <c r="V8" s="829"/>
      <c r="W8" s="829"/>
    </row>
    <row r="9" spans="1:23" ht="33" customHeight="1">
      <c r="A9" s="809"/>
      <c r="B9" s="1741"/>
      <c r="C9" s="1742"/>
      <c r="D9" s="1744"/>
      <c r="E9" s="1741"/>
      <c r="F9" s="812"/>
      <c r="G9" s="812"/>
      <c r="H9" s="1744"/>
      <c r="I9" s="1757"/>
      <c r="J9" s="1799"/>
      <c r="K9" s="1752"/>
      <c r="L9" s="1740"/>
      <c r="M9" s="813"/>
      <c r="N9" s="813"/>
      <c r="O9" s="813"/>
    </row>
    <row r="10" spans="1:23" ht="14" customHeight="1">
      <c r="A10" s="826">
        <v>1966</v>
      </c>
      <c r="B10" s="816">
        <f>Liabilities!BU58</f>
        <v>0.71099999999999997</v>
      </c>
      <c r="C10" s="828"/>
      <c r="D10" s="828"/>
      <c r="E10" s="814"/>
      <c r="F10" s="827"/>
      <c r="G10" s="834"/>
      <c r="H10" s="828"/>
      <c r="I10" s="870"/>
      <c r="J10" s="828"/>
      <c r="K10" s="836"/>
      <c r="L10" s="837"/>
      <c r="M10" s="813"/>
      <c r="N10" s="813"/>
      <c r="O10" s="813"/>
    </row>
    <row r="11" spans="1:23" ht="14" customHeight="1">
      <c r="A11" s="826">
        <v>1967</v>
      </c>
      <c r="B11" s="816">
        <f>Liabilities!BU59</f>
        <v>0.82099999999999995</v>
      </c>
      <c r="C11" s="828"/>
      <c r="D11" s="828"/>
      <c r="E11" s="814"/>
      <c r="F11" s="827"/>
      <c r="G11" s="834"/>
      <c r="H11" s="828"/>
      <c r="I11" s="870"/>
      <c r="J11" s="828"/>
      <c r="K11" s="836"/>
      <c r="L11" s="837"/>
      <c r="M11" s="813"/>
      <c r="N11" s="813"/>
      <c r="O11" s="813"/>
    </row>
    <row r="12" spans="1:23" ht="14" customHeight="1">
      <c r="A12" s="826">
        <v>1968</v>
      </c>
      <c r="B12" s="816">
        <f>Liabilities!BU60</f>
        <v>0.876</v>
      </c>
      <c r="C12" s="828"/>
      <c r="D12" s="828"/>
      <c r="E12" s="814"/>
      <c r="F12" s="827"/>
      <c r="G12" s="834"/>
      <c r="H12" s="828"/>
      <c r="I12" s="870"/>
      <c r="J12" s="828"/>
      <c r="K12" s="836"/>
      <c r="L12" s="837"/>
      <c r="M12" s="813"/>
      <c r="N12" s="813"/>
      <c r="O12" s="813"/>
    </row>
    <row r="13" spans="1:23" ht="14" customHeight="1">
      <c r="A13" s="856">
        <v>1969</v>
      </c>
      <c r="B13" s="872">
        <f>Liabilities!BU61</f>
        <v>0.84799999999999998</v>
      </c>
      <c r="C13" s="858"/>
      <c r="D13" s="858"/>
      <c r="E13" s="857"/>
      <c r="F13" s="859"/>
      <c r="G13" s="860"/>
      <c r="H13" s="858"/>
      <c r="I13" s="871"/>
      <c r="J13" s="858"/>
      <c r="K13" s="861"/>
      <c r="L13" s="862"/>
      <c r="M13" s="813"/>
      <c r="N13" s="813"/>
      <c r="O13" s="813"/>
    </row>
    <row r="14" spans="1:23" ht="14" customHeight="1">
      <c r="A14" s="826">
        <v>1970</v>
      </c>
      <c r="B14" s="816">
        <f>Liabilities!BU62</f>
        <v>0.875</v>
      </c>
      <c r="C14" s="828"/>
      <c r="D14" s="828"/>
      <c r="E14" s="814"/>
      <c r="F14" s="827"/>
      <c r="G14" s="834"/>
      <c r="H14" s="828"/>
      <c r="I14" s="870"/>
      <c r="J14" s="828"/>
      <c r="K14" s="836"/>
      <c r="L14" s="837"/>
      <c r="M14" s="813"/>
      <c r="N14" s="813"/>
      <c r="O14" s="813"/>
    </row>
    <row r="15" spans="1:23" ht="14" customHeight="1">
      <c r="A15" s="826">
        <v>1971</v>
      </c>
      <c r="B15" s="816">
        <f>Liabilities!BU63</f>
        <v>1.1639999999999999</v>
      </c>
      <c r="C15" s="828"/>
      <c r="D15" s="828"/>
      <c r="E15" s="814"/>
      <c r="F15" s="827"/>
      <c r="G15" s="834"/>
      <c r="H15" s="828"/>
      <c r="I15" s="870"/>
      <c r="J15" s="828"/>
      <c r="K15" s="836"/>
      <c r="L15" s="838"/>
      <c r="M15" s="813"/>
      <c r="N15" s="813"/>
      <c r="O15" s="813"/>
    </row>
    <row r="16" spans="1:23" ht="14" customHeight="1">
      <c r="A16" s="826">
        <v>1972</v>
      </c>
      <c r="B16" s="816">
        <f>Liabilities!BU64</f>
        <v>1.284</v>
      </c>
      <c r="C16" s="828"/>
      <c r="D16" s="828"/>
      <c r="E16" s="814"/>
      <c r="F16" s="827"/>
      <c r="G16" s="834"/>
      <c r="H16" s="828"/>
      <c r="I16" s="870"/>
      <c r="J16" s="828"/>
      <c r="K16" s="836"/>
      <c r="L16" s="838"/>
      <c r="M16" s="813"/>
      <c r="N16" s="813"/>
      <c r="O16" s="813"/>
    </row>
    <row r="17" spans="1:20" ht="14" customHeight="1">
      <c r="A17" s="826">
        <v>1973</v>
      </c>
      <c r="B17" s="816">
        <f>Liabilities!BU65</f>
        <v>1.61</v>
      </c>
      <c r="C17" s="828"/>
      <c r="D17" s="828"/>
      <c r="E17" s="814"/>
      <c r="F17" s="827"/>
      <c r="G17" s="834"/>
      <c r="H17" s="828"/>
      <c r="I17" s="870"/>
      <c r="J17" s="828"/>
      <c r="K17" s="836"/>
      <c r="L17" s="838"/>
      <c r="M17" s="813"/>
      <c r="N17" s="813"/>
      <c r="O17" s="813"/>
    </row>
    <row r="18" spans="1:20" ht="14" customHeight="1">
      <c r="A18" s="826">
        <v>1974</v>
      </c>
      <c r="B18" s="816">
        <f>Liabilities!BU66</f>
        <v>1.331</v>
      </c>
      <c r="C18" s="828"/>
      <c r="D18" s="828"/>
      <c r="E18" s="814"/>
      <c r="F18" s="827"/>
      <c r="G18" s="834"/>
      <c r="H18" s="828"/>
      <c r="I18" s="870"/>
      <c r="J18" s="828"/>
      <c r="K18" s="836"/>
      <c r="L18" s="838"/>
      <c r="M18" s="813"/>
      <c r="N18" s="813"/>
      <c r="O18" s="813"/>
    </row>
    <row r="19" spans="1:20" ht="14" customHeight="1">
      <c r="A19" s="826">
        <v>1975</v>
      </c>
      <c r="B19" s="816">
        <f>Liabilities!BU67</f>
        <v>2.234</v>
      </c>
      <c r="C19" s="828"/>
      <c r="D19" s="828"/>
      <c r="E19" s="814"/>
      <c r="F19" s="827"/>
      <c r="G19" s="834"/>
      <c r="H19" s="828"/>
      <c r="I19" s="870"/>
      <c r="J19" s="828"/>
      <c r="K19" s="836"/>
      <c r="L19" s="838"/>
      <c r="M19" s="813"/>
      <c r="N19" s="813"/>
      <c r="O19" s="813"/>
    </row>
    <row r="20" spans="1:20" ht="14" customHeight="1">
      <c r="A20" s="826">
        <v>1976</v>
      </c>
      <c r="B20" s="816">
        <f>Liabilities!BU68</f>
        <v>3.11</v>
      </c>
      <c r="C20" s="828"/>
      <c r="D20" s="828"/>
      <c r="E20" s="814"/>
      <c r="F20" s="834"/>
      <c r="G20" s="834"/>
      <c r="H20" s="828"/>
      <c r="I20" s="870"/>
      <c r="J20" s="834"/>
      <c r="K20" s="836"/>
      <c r="L20" s="838"/>
      <c r="M20" s="813"/>
      <c r="N20" s="813"/>
      <c r="O20" s="813"/>
    </row>
    <row r="21" spans="1:20" ht="14" customHeight="1">
      <c r="A21" s="826">
        <v>1977</v>
      </c>
      <c r="B21" s="816">
        <f>Liabilities!BU69</f>
        <v>2.8340000000000001</v>
      </c>
      <c r="C21" s="832">
        <f>IF(K21&lt;1,K21/(1-K21)*B21,H21)</f>
        <v>2.4517029752899644</v>
      </c>
      <c r="D21" s="832">
        <f t="shared" ref="D21:D59" si="0">C21+B21</f>
        <v>5.2857029752899649</v>
      </c>
      <c r="E21" s="816">
        <f t="shared" ref="E21:E33" si="1">F21-G21</f>
        <v>3.9660000000000002</v>
      </c>
      <c r="F21" s="874">
        <f>Liabilities!JB69/1000</f>
        <v>3.9660000000000002</v>
      </c>
      <c r="G21" s="874">
        <f>Liabilities!JD69/1000</f>
        <v>0</v>
      </c>
      <c r="H21" s="832">
        <f>Liabilities!JA69/1000</f>
        <v>3.431</v>
      </c>
      <c r="I21" s="875">
        <f t="shared" ref="I21:I33" si="2">H21+E21</f>
        <v>7.3970000000000002</v>
      </c>
      <c r="J21" s="874">
        <f>Liabilities!JC69/1000</f>
        <v>0.72299999999999998</v>
      </c>
      <c r="K21" s="836">
        <f t="shared" ref="K21:K59" si="3">H21/I21</f>
        <v>0.46383669055022303</v>
      </c>
      <c r="L21" s="838">
        <f t="shared" ref="L21:L35" si="4">B21/E21</f>
        <v>0.71457387796268279</v>
      </c>
      <c r="M21" s="813"/>
      <c r="N21" s="1093"/>
      <c r="O21" s="813"/>
      <c r="P21" s="854"/>
      <c r="S21" s="824"/>
      <c r="T21" s="854"/>
    </row>
    <row r="22" spans="1:20" ht="14" customHeight="1">
      <c r="A22" s="826">
        <v>1978</v>
      </c>
      <c r="B22" s="816">
        <f>Liabilities!BU70</f>
        <v>4.2268000000000008</v>
      </c>
      <c r="C22" s="832">
        <f t="shared" ref="C22:C59" si="5">IF(K22&lt;1,K22/(1-K22)*B22,H22)</f>
        <v>3.2536672310551316</v>
      </c>
      <c r="D22" s="832">
        <f t="shared" si="0"/>
        <v>7.4804672310551323</v>
      </c>
      <c r="E22" s="816">
        <f t="shared" si="1"/>
        <v>4.843</v>
      </c>
      <c r="F22" s="874">
        <f>Liabilities!JB70/1000</f>
        <v>4.843</v>
      </c>
      <c r="G22" s="874">
        <f>Liabilities!JD70/1000</f>
        <v>0</v>
      </c>
      <c r="H22" s="832">
        <f>Liabilities!JA70/1000</f>
        <v>3.7280000000000002</v>
      </c>
      <c r="I22" s="875">
        <f t="shared" si="2"/>
        <v>8.5709999999999997</v>
      </c>
      <c r="J22" s="874">
        <f>Liabilities!JC70/1000</f>
        <v>0.92600000000000005</v>
      </c>
      <c r="K22" s="836">
        <f t="shared" si="3"/>
        <v>0.43495508108738773</v>
      </c>
      <c r="L22" s="837">
        <f t="shared" si="4"/>
        <v>0.87276481519719196</v>
      </c>
      <c r="M22" s="813"/>
      <c r="N22" s="1093"/>
      <c r="O22" s="813"/>
      <c r="P22" s="854"/>
      <c r="S22" s="824"/>
      <c r="T22" s="854"/>
    </row>
    <row r="23" spans="1:20" ht="14" customHeight="1">
      <c r="A23" s="856">
        <v>1979</v>
      </c>
      <c r="B23" s="872">
        <f>Liabilities!BU71</f>
        <v>5.9127200000000002</v>
      </c>
      <c r="C23" s="876">
        <f t="shared" si="5"/>
        <v>4.2962579920558825</v>
      </c>
      <c r="D23" s="876">
        <f t="shared" si="0"/>
        <v>10.208977992055882</v>
      </c>
      <c r="E23" s="872">
        <f t="shared" si="1"/>
        <v>7.3010000000000002</v>
      </c>
      <c r="F23" s="877">
        <f>Liabilities!JB71/1000</f>
        <v>7.3010000000000002</v>
      </c>
      <c r="G23" s="877">
        <f>Liabilities!JD71/1000</f>
        <v>0</v>
      </c>
      <c r="H23" s="876">
        <f>Liabilities!JA71/1000</f>
        <v>5.3049999999999997</v>
      </c>
      <c r="I23" s="878">
        <f t="shared" si="2"/>
        <v>12.606</v>
      </c>
      <c r="J23" s="877">
        <f>Liabilities!JC71/1000</f>
        <v>1.595</v>
      </c>
      <c r="K23" s="861">
        <f t="shared" si="3"/>
        <v>0.42083135015072187</v>
      </c>
      <c r="L23" s="862">
        <f t="shared" si="4"/>
        <v>0.80985070538282433</v>
      </c>
      <c r="M23" s="813"/>
      <c r="N23" s="1093"/>
      <c r="O23" s="813"/>
      <c r="P23" s="854"/>
      <c r="S23" s="824"/>
      <c r="T23" s="854"/>
    </row>
    <row r="24" spans="1:20" ht="14" customHeight="1">
      <c r="A24" s="863">
        <v>1980</v>
      </c>
      <c r="B24" s="873">
        <f>Liabilities!BU72</f>
        <v>5.7845600000000008</v>
      </c>
      <c r="C24" s="879">
        <f t="shared" si="5"/>
        <v>4.8909538063898532</v>
      </c>
      <c r="D24" s="879">
        <f t="shared" si="0"/>
        <v>10.675513806389855</v>
      </c>
      <c r="E24" s="873">
        <f t="shared" si="1"/>
        <v>8.3570000000000011</v>
      </c>
      <c r="F24" s="880">
        <f>Liabilities!JB72/1000</f>
        <v>8.7590000000000003</v>
      </c>
      <c r="G24" s="880">
        <f>Liabilities!JD72/1000</f>
        <v>0.40200000000000002</v>
      </c>
      <c r="H24" s="879">
        <f>Liabilities!JA72/1000</f>
        <v>7.0659999999999998</v>
      </c>
      <c r="I24" s="881">
        <f t="shared" si="2"/>
        <v>15.423000000000002</v>
      </c>
      <c r="J24" s="880">
        <f>Liabilities!JC72/1000</f>
        <v>1.8879999999999999</v>
      </c>
      <c r="K24" s="867">
        <f t="shared" si="3"/>
        <v>0.45814692342605196</v>
      </c>
      <c r="L24" s="868">
        <f t="shared" si="4"/>
        <v>0.69218140481033863</v>
      </c>
      <c r="M24" s="813"/>
      <c r="N24" s="1093"/>
      <c r="O24" s="813"/>
      <c r="P24" s="854"/>
      <c r="S24" s="824"/>
      <c r="T24" s="854"/>
    </row>
    <row r="25" spans="1:20" ht="14" customHeight="1">
      <c r="A25" s="826">
        <v>1981</v>
      </c>
      <c r="B25" s="816">
        <f>Liabilities!BU73</f>
        <v>5.5634399999999999</v>
      </c>
      <c r="C25" s="832">
        <f t="shared" si="5"/>
        <v>5.1310579052701799</v>
      </c>
      <c r="D25" s="832">
        <f t="shared" si="0"/>
        <v>10.694497905270179</v>
      </c>
      <c r="E25" s="816">
        <f t="shared" si="1"/>
        <v>8.9939999999999998</v>
      </c>
      <c r="F25" s="874">
        <f>Liabilities!JB73/1000</f>
        <v>11.234</v>
      </c>
      <c r="G25" s="874">
        <f>Liabilities!JD73/1000</f>
        <v>2.2400000000000002</v>
      </c>
      <c r="H25" s="832">
        <f>Liabilities!JA73/1000</f>
        <v>8.2949999999999999</v>
      </c>
      <c r="I25" s="875">
        <f t="shared" si="2"/>
        <v>17.289000000000001</v>
      </c>
      <c r="J25" s="874">
        <f>Liabilities!JC73/1000</f>
        <v>2.331</v>
      </c>
      <c r="K25" s="836">
        <f t="shared" si="3"/>
        <v>0.47978483428769736</v>
      </c>
      <c r="L25" s="837">
        <f t="shared" si="4"/>
        <v>0.61857238158772521</v>
      </c>
      <c r="N25" s="1093"/>
      <c r="P25" s="854"/>
      <c r="S25" s="824"/>
      <c r="T25" s="854"/>
    </row>
    <row r="26" spans="1:20" ht="14" customHeight="1">
      <c r="A26" s="826">
        <v>1982</v>
      </c>
      <c r="B26" s="816">
        <f>Liabilities!BU74</f>
        <v>1.0089999999999999</v>
      </c>
      <c r="C26" s="832">
        <f t="shared" si="5"/>
        <v>1.7113713200379865</v>
      </c>
      <c r="D26" s="832">
        <f t="shared" si="0"/>
        <v>2.7203713200379864</v>
      </c>
      <c r="E26" s="816">
        <f t="shared" si="1"/>
        <v>3.1589999999999998</v>
      </c>
      <c r="F26" s="874">
        <f>Liabilities!JB74/1000</f>
        <v>3.83</v>
      </c>
      <c r="G26" s="874">
        <f>Liabilities!JD74/1000</f>
        <v>0.67100000000000004</v>
      </c>
      <c r="H26" s="832">
        <f>Liabilities!JA74/1000</f>
        <v>5.3579999999999997</v>
      </c>
      <c r="I26" s="875">
        <f t="shared" si="2"/>
        <v>8.5169999999999995</v>
      </c>
      <c r="J26" s="874">
        <f>Liabilities!JC74/1000</f>
        <v>1.8380000000000001</v>
      </c>
      <c r="K26" s="836">
        <f t="shared" si="3"/>
        <v>0.62909475167312434</v>
      </c>
      <c r="L26" s="837">
        <f t="shared" si="4"/>
        <v>0.31940487496043052</v>
      </c>
      <c r="N26" s="1093"/>
      <c r="P26" s="854"/>
      <c r="S26" s="824"/>
      <c r="T26" s="854"/>
    </row>
    <row r="27" spans="1:20" ht="14" customHeight="1">
      <c r="A27" s="826">
        <v>1983</v>
      </c>
      <c r="B27" s="816">
        <f>Liabilities!BU75</f>
        <v>2.9079999999999995</v>
      </c>
      <c r="C27" s="832">
        <f t="shared" si="5"/>
        <v>3.8851821862348181</v>
      </c>
      <c r="D27" s="832">
        <f t="shared" si="0"/>
        <v>6.7931821862348176</v>
      </c>
      <c r="E27" s="816">
        <f t="shared" si="1"/>
        <v>4.9399999999999995</v>
      </c>
      <c r="F27" s="874">
        <f>Liabilities!JB75/1000</f>
        <v>5.5839999999999996</v>
      </c>
      <c r="G27" s="874">
        <f>Liabilities!JD75/1000</f>
        <v>0.64400000000000002</v>
      </c>
      <c r="H27" s="832">
        <f>Liabilities!JA75/1000</f>
        <v>6.6</v>
      </c>
      <c r="I27" s="875">
        <f t="shared" si="2"/>
        <v>11.54</v>
      </c>
      <c r="J27" s="874">
        <f>Liabilities!JC75/1000</f>
        <v>1.802</v>
      </c>
      <c r="K27" s="836">
        <f t="shared" si="3"/>
        <v>0.57192374350086661</v>
      </c>
      <c r="L27" s="837">
        <f t="shared" si="4"/>
        <v>0.58866396761133599</v>
      </c>
      <c r="M27" s="813"/>
      <c r="N27" s="1093"/>
      <c r="O27" s="813"/>
      <c r="P27" s="854"/>
      <c r="S27" s="824"/>
      <c r="T27" s="854"/>
    </row>
    <row r="28" spans="1:20" ht="14" customHeight="1">
      <c r="A28" s="826">
        <v>1984</v>
      </c>
      <c r="B28" s="816">
        <f>Liabilities!BU76</f>
        <v>6.5069999999999997</v>
      </c>
      <c r="C28" s="832">
        <f t="shared" si="5"/>
        <v>5.8034862668449767</v>
      </c>
      <c r="D28" s="832">
        <f t="shared" si="0"/>
        <v>12.310486266844975</v>
      </c>
      <c r="E28" s="816">
        <f t="shared" si="1"/>
        <v>9.7210000000000001</v>
      </c>
      <c r="F28" s="874">
        <f>Liabilities!JB76/1000</f>
        <v>9.6050000000000004</v>
      </c>
      <c r="G28" s="874">
        <f>Liabilities!JD76/1000</f>
        <v>-0.11600000000000001</v>
      </c>
      <c r="H28" s="832">
        <f>Liabilities!JA76/1000</f>
        <v>8.67</v>
      </c>
      <c r="I28" s="875">
        <f t="shared" si="2"/>
        <v>18.390999999999998</v>
      </c>
      <c r="J28" s="874">
        <f>Liabilities!JC76/1000</f>
        <v>2.6120000000000001</v>
      </c>
      <c r="K28" s="836">
        <f t="shared" si="3"/>
        <v>0.47142624109618841</v>
      </c>
      <c r="L28" s="837">
        <f t="shared" si="4"/>
        <v>0.66937557864417241</v>
      </c>
      <c r="M28" s="813"/>
      <c r="N28" s="1093"/>
      <c r="O28" s="813"/>
      <c r="P28" s="854"/>
      <c r="S28" s="824"/>
      <c r="T28" s="854"/>
    </row>
    <row r="29" spans="1:20" ht="14" customHeight="1">
      <c r="A29" s="826">
        <v>1985</v>
      </c>
      <c r="B29" s="816">
        <f>Liabilities!BU77</f>
        <v>4.5190000000000001</v>
      </c>
      <c r="C29" s="832">
        <f t="shared" si="5"/>
        <v>4.8429101018220795</v>
      </c>
      <c r="D29" s="832">
        <f t="shared" si="0"/>
        <v>9.3619101018220796</v>
      </c>
      <c r="E29" s="816">
        <f t="shared" si="1"/>
        <v>7.4639999999999995</v>
      </c>
      <c r="F29" s="874">
        <f>Liabilities!JB77/1000</f>
        <v>5.3979999999999997</v>
      </c>
      <c r="G29" s="874">
        <f>Liabilities!JD77/1000</f>
        <v>-2.0659999999999998</v>
      </c>
      <c r="H29" s="832">
        <f>Liabilities!JA77/1000</f>
        <v>7.9989999999999997</v>
      </c>
      <c r="I29" s="875">
        <f t="shared" si="2"/>
        <v>15.462999999999999</v>
      </c>
      <c r="J29" s="874">
        <f>Liabilities!JC77/1000</f>
        <v>2.548</v>
      </c>
      <c r="K29" s="836">
        <f t="shared" si="3"/>
        <v>0.51729935976201258</v>
      </c>
      <c r="L29" s="837">
        <f t="shared" si="4"/>
        <v>0.60543944265809224</v>
      </c>
      <c r="M29" s="813"/>
      <c r="N29" s="1093"/>
      <c r="O29" s="813"/>
      <c r="P29" s="854"/>
      <c r="S29" s="824"/>
      <c r="T29" s="854"/>
    </row>
    <row r="30" spans="1:20" ht="14" customHeight="1">
      <c r="A30" s="826">
        <v>1986</v>
      </c>
      <c r="B30" s="816">
        <f>Liabilities!BU78</f>
        <v>4.3140000000000001</v>
      </c>
      <c r="C30" s="832">
        <f t="shared" si="5"/>
        <v>5.4044954499494446</v>
      </c>
      <c r="D30" s="832">
        <f t="shared" si="0"/>
        <v>9.7184954499494438</v>
      </c>
      <c r="E30" s="816">
        <f t="shared" si="1"/>
        <v>5.9340000000000002</v>
      </c>
      <c r="F30" s="874">
        <f>Liabilities!JB78/1000</f>
        <v>2.4580000000000002</v>
      </c>
      <c r="G30" s="874">
        <f>Liabilities!JD78/1000</f>
        <v>-3.476</v>
      </c>
      <c r="H30" s="832">
        <f>Liabilities!JA78/1000</f>
        <v>7.4340000000000002</v>
      </c>
      <c r="I30" s="875">
        <f t="shared" si="2"/>
        <v>13.368</v>
      </c>
      <c r="J30" s="874">
        <f>Liabilities!JC78/1000</f>
        <v>2.6829999999999998</v>
      </c>
      <c r="K30" s="836">
        <f t="shared" si="3"/>
        <v>0.55610412926391384</v>
      </c>
      <c r="L30" s="837">
        <f t="shared" si="4"/>
        <v>0.72699696663296254</v>
      </c>
      <c r="M30" s="813"/>
      <c r="N30" s="1093"/>
      <c r="O30" s="813"/>
      <c r="P30" s="854"/>
      <c r="S30" s="824"/>
      <c r="T30" s="854"/>
    </row>
    <row r="31" spans="1:20" ht="14" customHeight="1">
      <c r="A31" s="826">
        <v>1987</v>
      </c>
      <c r="B31" s="816">
        <f>Liabilities!BU79</f>
        <v>5.2350000000000012</v>
      </c>
      <c r="C31" s="832">
        <f t="shared" si="5"/>
        <v>6.2420985023742865</v>
      </c>
      <c r="D31" s="832">
        <f t="shared" si="0"/>
        <v>11.477098502374288</v>
      </c>
      <c r="E31" s="816">
        <f t="shared" si="1"/>
        <v>8.213000000000001</v>
      </c>
      <c r="F31" s="874">
        <f>Liabilities!JB79/1000</f>
        <v>7.82</v>
      </c>
      <c r="G31" s="874">
        <f>Liabilities!JD79/1000</f>
        <v>-0.39300000000000002</v>
      </c>
      <c r="H31" s="832">
        <f>Liabilities!JA79/1000</f>
        <v>9.7929999999999993</v>
      </c>
      <c r="I31" s="875">
        <f t="shared" si="2"/>
        <v>18.006</v>
      </c>
      <c r="J31" s="874">
        <f>Liabilities!JC79/1000</f>
        <v>4.109</v>
      </c>
      <c r="K31" s="836">
        <f t="shared" si="3"/>
        <v>0.5438742641341775</v>
      </c>
      <c r="L31" s="837">
        <f t="shared" si="4"/>
        <v>0.63740411542676256</v>
      </c>
      <c r="M31" s="813"/>
      <c r="N31" s="1093"/>
      <c r="O31" s="813"/>
      <c r="P31" s="854"/>
      <c r="S31" s="824"/>
      <c r="T31" s="854"/>
    </row>
    <row r="32" spans="1:20" ht="14" customHeight="1">
      <c r="A32" s="826">
        <v>1988</v>
      </c>
      <c r="B32" s="816">
        <f>Liabilities!BU80</f>
        <v>7.8619999999999992</v>
      </c>
      <c r="C32" s="832">
        <f t="shared" si="5"/>
        <v>8.8875146292158735</v>
      </c>
      <c r="D32" s="832">
        <f t="shared" si="0"/>
        <v>16.749514629215874</v>
      </c>
      <c r="E32" s="816">
        <f t="shared" si="1"/>
        <v>9.3989999999999991</v>
      </c>
      <c r="F32" s="874">
        <f>Liabilities!JB80/1000</f>
        <v>12.048999999999999</v>
      </c>
      <c r="G32" s="874">
        <f>Liabilities!JD80/1000</f>
        <v>2.65</v>
      </c>
      <c r="H32" s="832">
        <f>Liabilities!JA80/1000</f>
        <v>10.625</v>
      </c>
      <c r="I32" s="875">
        <f t="shared" si="2"/>
        <v>20.024000000000001</v>
      </c>
      <c r="J32" s="874">
        <f>Liabilities!JC80/1000</f>
        <v>5.0860000000000003</v>
      </c>
      <c r="K32" s="836">
        <f t="shared" si="3"/>
        <v>0.53061326408310028</v>
      </c>
      <c r="L32" s="837">
        <f t="shared" si="4"/>
        <v>0.83647196510267052</v>
      </c>
      <c r="M32" s="813"/>
      <c r="N32" s="1093"/>
      <c r="O32" s="813"/>
      <c r="P32" s="854"/>
      <c r="S32" s="824"/>
      <c r="T32" s="854"/>
    </row>
    <row r="33" spans="1:20" ht="14" customHeight="1">
      <c r="A33" s="856">
        <v>1989</v>
      </c>
      <c r="B33" s="872">
        <f>Liabilities!BU81</f>
        <v>0.27699999999999925</v>
      </c>
      <c r="C33" s="876">
        <f t="shared" si="5"/>
        <v>0.40731925575900657</v>
      </c>
      <c r="D33" s="876">
        <f t="shared" si="0"/>
        <v>0.68431925575900587</v>
      </c>
      <c r="E33" s="872">
        <f t="shared" si="1"/>
        <v>6.7720000000000002</v>
      </c>
      <c r="F33" s="877">
        <f>Liabilities!JB81/1000</f>
        <v>9.2859999999999996</v>
      </c>
      <c r="G33" s="877">
        <f>Liabilities!JD81/1000</f>
        <v>2.5139999999999998</v>
      </c>
      <c r="H33" s="876">
        <f>Liabilities!JA81/1000</f>
        <v>9.9580000000000002</v>
      </c>
      <c r="I33" s="878">
        <f t="shared" si="2"/>
        <v>16.73</v>
      </c>
      <c r="J33" s="877">
        <f>Liabilities!JC81/1000</f>
        <v>6.4189999999999996</v>
      </c>
      <c r="K33" s="861">
        <f t="shared" si="3"/>
        <v>0.59521817095038854</v>
      </c>
      <c r="L33" s="869">
        <f t="shared" si="4"/>
        <v>4.0903721204961496E-2</v>
      </c>
      <c r="M33" s="895"/>
      <c r="N33" s="1093"/>
      <c r="O33" s="895"/>
      <c r="P33" s="854"/>
      <c r="S33" s="824"/>
      <c r="T33" s="854"/>
    </row>
    <row r="34" spans="1:20" ht="14" customHeight="1">
      <c r="A34" s="826">
        <v>1990</v>
      </c>
      <c r="B34" s="816">
        <f>Liabilities!BU82</f>
        <v>-5.2319999999999993</v>
      </c>
      <c r="C34" s="832">
        <f t="shared" si="5"/>
        <v>10.352</v>
      </c>
      <c r="D34" s="832">
        <f t="shared" si="0"/>
        <v>5.120000000000001</v>
      </c>
      <c r="E34" s="816">
        <f t="shared" ref="E34" si="6">F34-G34</f>
        <v>-4.6360000000000001</v>
      </c>
      <c r="F34" s="874">
        <f>Liabilities!JB82/1000</f>
        <v>-4.5350000000000001</v>
      </c>
      <c r="G34" s="874">
        <f>Liabilities!JD82/1000</f>
        <v>0.10100000000000001</v>
      </c>
      <c r="H34" s="832">
        <f>Liabilities!JA82/1000</f>
        <v>10.352</v>
      </c>
      <c r="I34" s="875">
        <f t="shared" ref="I34" si="7">H34+E34</f>
        <v>5.7160000000000002</v>
      </c>
      <c r="J34" s="874">
        <f>Liabilities!JC82/1000</f>
        <v>5.9649999999999999</v>
      </c>
      <c r="K34" s="836">
        <f t="shared" si="3"/>
        <v>1.8110566829951014</v>
      </c>
      <c r="L34" s="837">
        <f t="shared" si="4"/>
        <v>1.1285591026747195</v>
      </c>
      <c r="M34" s="813"/>
      <c r="N34" s="1093"/>
      <c r="O34" s="813"/>
      <c r="P34" s="854"/>
      <c r="S34" s="824"/>
      <c r="T34" s="854"/>
    </row>
    <row r="35" spans="1:20" ht="14" customHeight="1">
      <c r="A35" s="826">
        <v>1991</v>
      </c>
      <c r="B35" s="816">
        <f>Liabilities!BU83</f>
        <v>-11.302</v>
      </c>
      <c r="C35" s="832">
        <f t="shared" si="5"/>
        <v>10.933983876033922</v>
      </c>
      <c r="D35" s="832">
        <f t="shared" si="0"/>
        <v>-0.3680161239660773</v>
      </c>
      <c r="E35" s="816">
        <f t="shared" ref="E35" si="8">F35-G35</f>
        <v>-9.5510000000000002</v>
      </c>
      <c r="F35" s="874">
        <f>Liabilities!JB83/1000</f>
        <v>-11.018000000000001</v>
      </c>
      <c r="G35" s="874">
        <f>Liabilities!JD83/1000</f>
        <v>-1.4670000000000001</v>
      </c>
      <c r="H35" s="832">
        <f>Liabilities!JA83/1000</f>
        <v>9.24</v>
      </c>
      <c r="I35" s="875">
        <f t="shared" ref="I35" si="9">H35+E35</f>
        <v>-0.31099999999999994</v>
      </c>
      <c r="J35" s="874">
        <f>Liabilities!JC83/1000</f>
        <v>5.141</v>
      </c>
      <c r="K35" s="836">
        <f t="shared" si="3"/>
        <v>-29.710610932475891</v>
      </c>
      <c r="L35" s="837">
        <f t="shared" si="4"/>
        <v>1.1833315883153597</v>
      </c>
      <c r="M35" s="813"/>
      <c r="N35" s="1093"/>
      <c r="O35" s="813"/>
      <c r="P35" s="854"/>
      <c r="S35" s="824"/>
      <c r="T35" s="854"/>
    </row>
    <row r="36" spans="1:20" ht="14" customHeight="1">
      <c r="A36" s="826">
        <v>1992</v>
      </c>
      <c r="B36" s="816">
        <f>Liabilities!BU84</f>
        <v>-5.3620000000000001</v>
      </c>
      <c r="C36" s="832">
        <f t="shared" si="5"/>
        <v>8.2710000000000008</v>
      </c>
      <c r="D36" s="832">
        <f t="shared" si="0"/>
        <v>2.9090000000000007</v>
      </c>
      <c r="E36" s="816">
        <f t="shared" ref="E36:E50" si="10">F36-G36</f>
        <v>-3.5479999999999983</v>
      </c>
      <c r="F36" s="874">
        <f>Liabilities!JB84/1000</f>
        <v>-21.331</v>
      </c>
      <c r="G36" s="874">
        <f>Liabilities!JD84/1000</f>
        <v>-17.783000000000001</v>
      </c>
      <c r="H36" s="832">
        <f>Liabilities!JA84/1000</f>
        <v>8.2710000000000008</v>
      </c>
      <c r="I36" s="875">
        <f t="shared" ref="I36:I49" si="11">H36+E36</f>
        <v>4.7230000000000025</v>
      </c>
      <c r="J36" s="874">
        <f>Liabilities!JC84/1000</f>
        <v>4.383</v>
      </c>
      <c r="K36" s="836">
        <f t="shared" si="3"/>
        <v>1.7512174465382164</v>
      </c>
      <c r="L36" s="837">
        <f t="shared" ref="L36:L46" si="12">B36/E36</f>
        <v>1.5112739571589635</v>
      </c>
      <c r="M36" s="813"/>
      <c r="N36" s="1093"/>
      <c r="O36" s="813"/>
      <c r="P36" s="854"/>
      <c r="S36" s="824"/>
      <c r="T36" s="854"/>
    </row>
    <row r="37" spans="1:20" ht="14" customHeight="1">
      <c r="A37" s="826">
        <v>1993</v>
      </c>
      <c r="B37" s="816">
        <f>Liabilities!BU85</f>
        <v>0.94099999999999984</v>
      </c>
      <c r="C37" s="882">
        <f t="shared" si="5"/>
        <v>4.4916997804610315</v>
      </c>
      <c r="D37" s="832">
        <f t="shared" si="0"/>
        <v>5.4326997804610313</v>
      </c>
      <c r="E37" s="816">
        <f t="shared" si="10"/>
        <v>1.8220000000000001</v>
      </c>
      <c r="F37" s="874">
        <f>Liabilities!JB85/1000</f>
        <v>-4.3540000000000001</v>
      </c>
      <c r="G37" s="874">
        <f>Liabilities!JD85/1000</f>
        <v>-6.1760000000000002</v>
      </c>
      <c r="H37" s="882">
        <f>Liabilities!JA85/1000</f>
        <v>8.6969999999999992</v>
      </c>
      <c r="I37" s="875">
        <f t="shared" si="11"/>
        <v>10.518999999999998</v>
      </c>
      <c r="J37" s="874">
        <f>Liabilities!JC85/1000</f>
        <v>4.3140000000000001</v>
      </c>
      <c r="K37" s="836">
        <f t="shared" si="3"/>
        <v>0.82678961878505564</v>
      </c>
      <c r="L37" s="837">
        <f t="shared" si="12"/>
        <v>0.5164654226125136</v>
      </c>
      <c r="M37" s="813"/>
      <c r="N37" s="1093"/>
      <c r="O37" s="813"/>
      <c r="P37" s="854"/>
      <c r="S37" s="824"/>
      <c r="T37" s="854"/>
    </row>
    <row r="38" spans="1:20" ht="14" customHeight="1">
      <c r="A38" s="826">
        <v>1994</v>
      </c>
      <c r="B38" s="816">
        <f>Liabilities!BU86</f>
        <v>13.884999999999998</v>
      </c>
      <c r="C38" s="832">
        <f t="shared" si="5"/>
        <v>14.344514616657476</v>
      </c>
      <c r="D38" s="832">
        <f t="shared" si="0"/>
        <v>28.229514616657475</v>
      </c>
      <c r="E38" s="816">
        <f t="shared" si="10"/>
        <v>14.504</v>
      </c>
      <c r="F38" s="874">
        <f>Liabilities!JB86/1000</f>
        <v>8.1319999999999997</v>
      </c>
      <c r="G38" s="874">
        <f>Liabilities!JD86/1000</f>
        <v>-6.3719999999999999</v>
      </c>
      <c r="H38" s="832">
        <f>Liabilities!JA86/1000</f>
        <v>14.984</v>
      </c>
      <c r="I38" s="875">
        <f t="shared" si="11"/>
        <v>29.488</v>
      </c>
      <c r="J38" s="874">
        <f>Liabilities!JC86/1000</f>
        <v>7.194</v>
      </c>
      <c r="K38" s="836">
        <f t="shared" si="3"/>
        <v>0.50813890396093331</v>
      </c>
      <c r="L38" s="837">
        <f t="shared" si="12"/>
        <v>0.95732211803640366</v>
      </c>
      <c r="M38" s="813"/>
      <c r="N38" s="1093"/>
      <c r="O38" s="813"/>
      <c r="P38" s="854"/>
      <c r="S38" s="824"/>
      <c r="T38" s="854"/>
    </row>
    <row r="39" spans="1:20">
      <c r="A39" s="826">
        <v>1995</v>
      </c>
      <c r="B39" s="816">
        <f>Liabilities!BU87</f>
        <v>22.795000000000002</v>
      </c>
      <c r="C39" s="832">
        <f t="shared" si="5"/>
        <v>20.459172674389698</v>
      </c>
      <c r="D39" s="832">
        <f t="shared" si="0"/>
        <v>43.2541726743897</v>
      </c>
      <c r="E39" s="816">
        <f t="shared" si="10"/>
        <v>20.113</v>
      </c>
      <c r="F39" s="874">
        <f>Liabilities!JB87/1000</f>
        <v>15.493</v>
      </c>
      <c r="G39" s="874">
        <f>Liabilities!JD87/1000</f>
        <v>-4.62</v>
      </c>
      <c r="H39" s="832">
        <f>Liabilities!JA87/1000</f>
        <v>18.052</v>
      </c>
      <c r="I39" s="875">
        <f t="shared" si="11"/>
        <v>38.164999999999999</v>
      </c>
      <c r="J39" s="874">
        <f>Liabilities!JC87/1000</f>
        <v>8.8170000000000002</v>
      </c>
      <c r="K39" s="836">
        <f t="shared" si="3"/>
        <v>0.47299882090921003</v>
      </c>
      <c r="L39" s="837">
        <f t="shared" si="12"/>
        <v>1.1333465917565755</v>
      </c>
      <c r="M39" s="813"/>
      <c r="N39" s="1093"/>
      <c r="O39" s="813"/>
      <c r="P39" s="854"/>
      <c r="S39" s="1352"/>
      <c r="T39" s="854"/>
    </row>
    <row r="40" spans="1:20">
      <c r="A40" s="826">
        <v>1996</v>
      </c>
      <c r="B40" s="816">
        <f>Liabilities!BU88</f>
        <v>21.307000000000002</v>
      </c>
      <c r="C40" s="832">
        <f t="shared" si="5"/>
        <v>20.158141966651087</v>
      </c>
      <c r="D40" s="832">
        <f t="shared" si="0"/>
        <v>41.465141966651089</v>
      </c>
      <c r="E40" s="816">
        <f t="shared" si="10"/>
        <v>25.668000000000003</v>
      </c>
      <c r="F40" s="874">
        <f>Liabilities!JB88/1000</f>
        <v>24.379000000000001</v>
      </c>
      <c r="G40" s="874">
        <f>Liabilities!JD88/1000</f>
        <v>-1.2889999999999999</v>
      </c>
      <c r="H40" s="832">
        <f>Liabilities!JA88/1000</f>
        <v>24.283999999999999</v>
      </c>
      <c r="I40" s="875">
        <f t="shared" si="11"/>
        <v>49.951999999999998</v>
      </c>
      <c r="J40" s="874">
        <f>Liabilities!JC88/1000</f>
        <v>9.1769999999999996</v>
      </c>
      <c r="K40" s="836">
        <f t="shared" si="3"/>
        <v>0.48614670083279948</v>
      </c>
      <c r="L40" s="837">
        <f t="shared" si="12"/>
        <v>0.83009973507869717</v>
      </c>
      <c r="M40" s="813"/>
      <c r="N40" s="1093"/>
      <c r="O40" s="813"/>
      <c r="P40" s="854"/>
      <c r="S40" s="824"/>
      <c r="T40" s="854"/>
    </row>
    <row r="41" spans="1:20">
      <c r="A41" s="826">
        <v>1997</v>
      </c>
      <c r="B41" s="816">
        <f>Liabilities!BU89</f>
        <v>30.762999999999998</v>
      </c>
      <c r="C41" s="832">
        <f t="shared" si="5"/>
        <v>20.842440007332144</v>
      </c>
      <c r="D41" s="832">
        <f t="shared" si="0"/>
        <v>51.605440007332142</v>
      </c>
      <c r="E41" s="816">
        <f t="shared" si="10"/>
        <v>38.188000000000002</v>
      </c>
      <c r="F41" s="874">
        <f>Liabilities!JB89/1000</f>
        <v>40.923999999999999</v>
      </c>
      <c r="G41" s="874">
        <f>Liabilities!JD89/1000</f>
        <v>2.7360000000000002</v>
      </c>
      <c r="H41" s="832">
        <f>Liabilities!JA89/1000</f>
        <v>25.873000000000001</v>
      </c>
      <c r="I41" s="875">
        <f t="shared" si="11"/>
        <v>64.061000000000007</v>
      </c>
      <c r="J41" s="874">
        <f>Liabilities!JC89/1000</f>
        <v>9.2639999999999993</v>
      </c>
      <c r="K41" s="836">
        <f t="shared" si="3"/>
        <v>0.40388067623046781</v>
      </c>
      <c r="L41" s="837">
        <f t="shared" si="12"/>
        <v>0.80556719388289511</v>
      </c>
      <c r="M41" s="813"/>
      <c r="N41" s="1093"/>
      <c r="O41" s="813"/>
      <c r="P41" s="854"/>
      <c r="Q41" s="971"/>
      <c r="R41" s="971"/>
      <c r="S41" s="824"/>
      <c r="T41" s="854"/>
    </row>
    <row r="42" spans="1:20">
      <c r="A42" s="826">
        <v>1998</v>
      </c>
      <c r="B42" s="816">
        <f>Liabilities!BU90</f>
        <v>22.039000000000001</v>
      </c>
      <c r="C42" s="832">
        <f t="shared" si="5"/>
        <v>21.474504015989936</v>
      </c>
      <c r="D42" s="832">
        <f t="shared" si="0"/>
        <v>43.513504015989938</v>
      </c>
      <c r="E42" s="816">
        <f t="shared" si="10"/>
        <v>27.016999999999996</v>
      </c>
      <c r="F42" s="874">
        <f>Liabilities!JB90/1000</f>
        <v>32.311999999999998</v>
      </c>
      <c r="G42" s="874">
        <f>Liabilities!JD90/1000</f>
        <v>5.2949999999999999</v>
      </c>
      <c r="H42" s="832">
        <f>Liabilities!JA90/1000</f>
        <v>26.324999999999999</v>
      </c>
      <c r="I42" s="875">
        <f t="shared" si="11"/>
        <v>53.341999999999999</v>
      </c>
      <c r="J42" s="874">
        <f>Liabilities!JC90/1000</f>
        <v>7.6050000000000004</v>
      </c>
      <c r="K42" s="836">
        <f t="shared" si="3"/>
        <v>0.49351355404746727</v>
      </c>
      <c r="L42" s="837">
        <f t="shared" si="12"/>
        <v>0.81574564163304608</v>
      </c>
      <c r="M42" s="813"/>
      <c r="N42" s="1093"/>
      <c r="O42" s="813"/>
      <c r="P42" s="854"/>
      <c r="Q42" s="971"/>
      <c r="R42" s="971"/>
      <c r="S42" s="824"/>
      <c r="T42" s="854"/>
    </row>
    <row r="43" spans="1:20">
      <c r="A43" s="856">
        <v>1999</v>
      </c>
      <c r="B43" s="872">
        <f>Liabilities!BU91</f>
        <v>30.957999999999998</v>
      </c>
      <c r="C43" s="876">
        <f t="shared" si="5"/>
        <v>33.172284474408158</v>
      </c>
      <c r="D43" s="876">
        <f t="shared" si="0"/>
        <v>64.130284474408157</v>
      </c>
      <c r="E43" s="872">
        <f t="shared" si="10"/>
        <v>25.809000000000001</v>
      </c>
      <c r="F43" s="877">
        <f>Liabilities!JB91/1000</f>
        <v>26.576000000000001</v>
      </c>
      <c r="G43" s="877">
        <f>Liabilities!JD91/1000</f>
        <v>0.76700000000000002</v>
      </c>
      <c r="H43" s="876">
        <f>Liabilities!JA91/1000</f>
        <v>27.655000000000001</v>
      </c>
      <c r="I43" s="878">
        <f t="shared" si="11"/>
        <v>53.463999999999999</v>
      </c>
      <c r="J43" s="877">
        <f>Liabilities!JC91/1000</f>
        <v>11.435</v>
      </c>
      <c r="K43" s="861">
        <f t="shared" si="3"/>
        <v>0.5172639533143798</v>
      </c>
      <c r="L43" s="862">
        <f t="shared" si="12"/>
        <v>1.1995040489751636</v>
      </c>
      <c r="M43" s="813"/>
      <c r="N43" s="1093"/>
      <c r="O43" s="813"/>
      <c r="P43" s="854"/>
      <c r="Q43" s="971"/>
      <c r="R43" s="971"/>
      <c r="S43" s="1352"/>
      <c r="T43" s="854"/>
    </row>
    <row r="44" spans="1:20">
      <c r="A44" s="826">
        <v>2000</v>
      </c>
      <c r="B44" s="816">
        <f>Liabilities!BU92</f>
        <v>27.972999999999999</v>
      </c>
      <c r="C44" s="832">
        <f t="shared" si="5"/>
        <v>2.8146343461986096E-2</v>
      </c>
      <c r="D44" s="832">
        <f t="shared" si="0"/>
        <v>28.001146343461986</v>
      </c>
      <c r="E44" s="816">
        <f t="shared" si="10"/>
        <v>34.585679000000006</v>
      </c>
      <c r="F44" s="874">
        <f>Liabilities!JB92/1000</f>
        <v>34.593000000000004</v>
      </c>
      <c r="G44" s="874">
        <f>Liabilities!JD92/1000</f>
        <v>7.3209999999999994E-3</v>
      </c>
      <c r="H44" s="832">
        <f>Liabilities!JA92/1000</f>
        <v>3.4799999999999998E-2</v>
      </c>
      <c r="I44" s="875">
        <f t="shared" si="11"/>
        <v>34.620479000000003</v>
      </c>
      <c r="J44" s="874">
        <f>Liabilities!JC92/1000</f>
        <v>1.4224000000000001E-2</v>
      </c>
      <c r="K44" s="836">
        <f t="shared" si="3"/>
        <v>1.0051853990812778E-3</v>
      </c>
      <c r="L44" s="837">
        <f t="shared" si="12"/>
        <v>0.80880297304557747</v>
      </c>
      <c r="M44" s="813"/>
      <c r="N44" s="1093"/>
      <c r="O44" s="813"/>
      <c r="P44" s="854"/>
      <c r="Q44" s="971"/>
      <c r="R44" s="971"/>
      <c r="S44" s="1352"/>
      <c r="T44" s="854"/>
    </row>
    <row r="45" spans="1:20">
      <c r="A45" s="826">
        <v>2001</v>
      </c>
      <c r="B45" s="816">
        <f>Liabilities!BU93</f>
        <v>-17.335999999999999</v>
      </c>
      <c r="C45" s="882">
        <f t="shared" si="5"/>
        <v>18.911000000000001</v>
      </c>
      <c r="D45" s="832">
        <f t="shared" si="0"/>
        <v>1.5750000000000028</v>
      </c>
      <c r="E45" s="816">
        <f t="shared" si="10"/>
        <v>-11.353999999999999</v>
      </c>
      <c r="F45" s="874">
        <f>Liabilities!JB93/1000</f>
        <v>-44.893999999999998</v>
      </c>
      <c r="G45" s="874">
        <f>Liabilities!JD93/1000</f>
        <v>-33.54</v>
      </c>
      <c r="H45" s="882">
        <f>Liabilities!JA93/1000</f>
        <v>18.911000000000001</v>
      </c>
      <c r="I45" s="875">
        <f t="shared" si="11"/>
        <v>7.5570000000000022</v>
      </c>
      <c r="J45" s="885">
        <f>Liabilities!JC93/1000</f>
        <v>13.005000000000001</v>
      </c>
      <c r="K45" s="836">
        <f t="shared" si="3"/>
        <v>2.5024480614000257</v>
      </c>
      <c r="L45" s="886">
        <f t="shared" si="12"/>
        <v>1.5268627796371324</v>
      </c>
      <c r="M45" s="813"/>
      <c r="N45" s="1093"/>
      <c r="O45" s="813"/>
      <c r="P45" s="854"/>
      <c r="Q45" s="971"/>
      <c r="R45" s="971"/>
      <c r="S45" s="824"/>
      <c r="T45" s="854"/>
    </row>
    <row r="46" spans="1:20">
      <c r="A46" s="826">
        <v>2002</v>
      </c>
      <c r="B46" s="816">
        <f>Liabilities!BU94</f>
        <v>11.820999999999998</v>
      </c>
      <c r="C46" s="832">
        <f t="shared" si="5"/>
        <v>18.491370533023336</v>
      </c>
      <c r="D46" s="832">
        <f t="shared" si="0"/>
        <v>30.312370533023334</v>
      </c>
      <c r="E46" s="816">
        <f t="shared" si="10"/>
        <v>11.613</v>
      </c>
      <c r="F46" s="874">
        <f>Liabilities!IQ94/1000</f>
        <v>-54.972999999999999</v>
      </c>
      <c r="G46" s="874">
        <f>Liabilities!IS94/1000</f>
        <v>-66.585999999999999</v>
      </c>
      <c r="H46" s="832">
        <f>Liabilities!IP94/1000</f>
        <v>18.166</v>
      </c>
      <c r="I46" s="875">
        <f t="shared" si="11"/>
        <v>29.779</v>
      </c>
      <c r="J46" s="874">
        <f>Liabilities!IR94/1000</f>
        <v>8.3650000000000002</v>
      </c>
      <c r="K46" s="836">
        <f t="shared" si="3"/>
        <v>0.61002720037610403</v>
      </c>
      <c r="L46" s="837">
        <f t="shared" si="12"/>
        <v>1.0179109618530955</v>
      </c>
      <c r="M46" s="813"/>
      <c r="N46" s="1093"/>
      <c r="O46" s="813"/>
      <c r="P46" s="854"/>
      <c r="Q46" s="971"/>
      <c r="R46" s="971"/>
      <c r="S46" s="824"/>
    </row>
    <row r="47" spans="1:20">
      <c r="A47" s="826">
        <v>2003</v>
      </c>
      <c r="B47" s="816">
        <f>Liabilities!BU95</f>
        <v>44.753999999999998</v>
      </c>
      <c r="C47" s="832">
        <f t="shared" si="5"/>
        <v>30.236156931561787</v>
      </c>
      <c r="D47" s="832">
        <f t="shared" si="0"/>
        <v>74.990156931561785</v>
      </c>
      <c r="E47" s="816">
        <f t="shared" si="10"/>
        <v>35.901000000000003</v>
      </c>
      <c r="F47" s="874">
        <f>Liabilities!IQ95/1000</f>
        <v>30.416</v>
      </c>
      <c r="G47" s="874">
        <f>Liabilities!IS95/1000</f>
        <v>-5.4850000000000003</v>
      </c>
      <c r="H47" s="832">
        <f>Liabilities!IP95/1000</f>
        <v>24.254999999999999</v>
      </c>
      <c r="I47" s="875">
        <f t="shared" si="11"/>
        <v>60.156000000000006</v>
      </c>
      <c r="J47" s="874">
        <f>Liabilities!IR95/1000</f>
        <v>13.821</v>
      </c>
      <c r="K47" s="836">
        <f t="shared" si="3"/>
        <v>0.40320167564332732</v>
      </c>
      <c r="L47" s="837">
        <f t="shared" ref="L47:L59" si="13">B47/E47</f>
        <v>1.2465948023731928</v>
      </c>
      <c r="M47" s="813"/>
      <c r="N47" s="1093"/>
      <c r="O47" s="813"/>
      <c r="P47" s="854"/>
      <c r="Q47" s="971"/>
      <c r="R47" s="971"/>
      <c r="S47" s="824"/>
    </row>
    <row r="48" spans="1:20">
      <c r="A48" s="826">
        <v>2004</v>
      </c>
      <c r="B48" s="816">
        <f>Liabilities!BU96</f>
        <v>73.915999999999997</v>
      </c>
      <c r="C48" s="832">
        <f t="shared" si="5"/>
        <v>40.137529485590093</v>
      </c>
      <c r="D48" s="832">
        <f t="shared" si="0"/>
        <v>114.05352948559009</v>
      </c>
      <c r="E48" s="816">
        <f t="shared" si="10"/>
        <v>65.336999999999989</v>
      </c>
      <c r="F48" s="874">
        <f>Liabilities!IQ96/1000</f>
        <v>71.522999999999996</v>
      </c>
      <c r="G48" s="874">
        <f>Liabilities!IS96/1000</f>
        <v>6.1859999999999999</v>
      </c>
      <c r="H48" s="832">
        <f>Liabilities!IP96/1000</f>
        <v>35.478999999999999</v>
      </c>
      <c r="I48" s="875">
        <f t="shared" si="11"/>
        <v>100.81599999999999</v>
      </c>
      <c r="J48" s="874">
        <f>Liabilities!IR96/1000</f>
        <v>21.105</v>
      </c>
      <c r="K48" s="836">
        <f t="shared" si="3"/>
        <v>0.35191834629423902</v>
      </c>
      <c r="L48" s="837">
        <f t="shared" si="13"/>
        <v>1.1313038553958707</v>
      </c>
      <c r="M48" s="813"/>
      <c r="N48" s="1093"/>
      <c r="O48" s="813"/>
      <c r="P48" s="854"/>
      <c r="Q48" s="971"/>
      <c r="R48" s="971"/>
      <c r="S48" s="824"/>
    </row>
    <row r="49" spans="1:19">
      <c r="A49" s="826">
        <v>2005</v>
      </c>
      <c r="B49" s="816">
        <f>Liabilities!BU97</f>
        <v>95.05</v>
      </c>
      <c r="C49" s="832">
        <f t="shared" si="5"/>
        <v>42.486592530860982</v>
      </c>
      <c r="D49" s="832">
        <f t="shared" si="0"/>
        <v>137.53659253086099</v>
      </c>
      <c r="E49" s="816">
        <f t="shared" si="10"/>
        <v>95.995000000000005</v>
      </c>
      <c r="F49" s="874">
        <f>Liabilities!IQ97/1000</f>
        <v>98.707999999999998</v>
      </c>
      <c r="G49" s="874">
        <f>Liabilities!IS97/1000</f>
        <v>2.7130000000000001</v>
      </c>
      <c r="H49" s="832">
        <f>Liabilities!IP97/1000</f>
        <v>42.908999999999999</v>
      </c>
      <c r="I49" s="875">
        <f t="shared" si="11"/>
        <v>138.904</v>
      </c>
      <c r="J49" s="874">
        <f>Liabilities!IR97/1000</f>
        <v>39.886000000000003</v>
      </c>
      <c r="K49" s="836">
        <f t="shared" si="3"/>
        <v>0.30891119046247767</v>
      </c>
      <c r="L49" s="837">
        <f t="shared" si="13"/>
        <v>0.99015573727798312</v>
      </c>
      <c r="M49" s="813"/>
      <c r="N49" s="1093"/>
      <c r="O49" s="813"/>
      <c r="P49" s="854"/>
      <c r="Q49" s="971"/>
      <c r="R49" s="971"/>
      <c r="S49" s="824"/>
    </row>
    <row r="50" spans="1:19">
      <c r="A50" s="826">
        <v>2006</v>
      </c>
      <c r="B50" s="816">
        <f>Liabilities!BU98</f>
        <v>126.33099999999999</v>
      </c>
      <c r="C50" s="832">
        <f t="shared" si="5"/>
        <v>61.021681344345332</v>
      </c>
      <c r="D50" s="832">
        <f t="shared" si="0"/>
        <v>187.35268134434531</v>
      </c>
      <c r="E50" s="816">
        <f t="shared" si="10"/>
        <v>111.75699999999999</v>
      </c>
      <c r="F50" s="874">
        <f>Liabilities!IQ98/1000</f>
        <v>136.50299999999999</v>
      </c>
      <c r="G50" s="874">
        <f>Liabilities!IS98/1000</f>
        <v>24.745999999999999</v>
      </c>
      <c r="H50" s="832">
        <f>Liabilities!IP98/1000</f>
        <v>53.981999999999999</v>
      </c>
      <c r="I50" s="875">
        <f t="shared" ref="I50:I59" si="14">H50+E50</f>
        <v>165.73899999999998</v>
      </c>
      <c r="J50" s="874">
        <f>Liabilities!IR98/1000</f>
        <v>41.723999999999997</v>
      </c>
      <c r="K50" s="836">
        <f t="shared" si="3"/>
        <v>0.32570487332492659</v>
      </c>
      <c r="L50" s="837">
        <f t="shared" si="13"/>
        <v>1.1304079386526125</v>
      </c>
      <c r="M50" s="813"/>
      <c r="N50" s="1093"/>
      <c r="O50" s="813"/>
      <c r="P50" s="854"/>
      <c r="Q50" s="971"/>
      <c r="R50" s="971"/>
      <c r="S50" s="824"/>
    </row>
    <row r="51" spans="1:19">
      <c r="A51" s="826">
        <v>2007</v>
      </c>
      <c r="B51" s="816">
        <f>Liabilities!BU99</f>
        <v>96.576999999999998</v>
      </c>
      <c r="C51" s="832">
        <f t="shared" si="5"/>
        <v>50.589796267609472</v>
      </c>
      <c r="D51" s="832">
        <f t="shared" si="0"/>
        <v>147.16679626760947</v>
      </c>
      <c r="E51" s="816">
        <f t="shared" ref="E51:E59" si="15">F51-G51</f>
        <v>109.742</v>
      </c>
      <c r="F51" s="874">
        <f>Liabilities!IQ99/1000</f>
        <v>115.084</v>
      </c>
      <c r="G51" s="874">
        <f>Liabilities!IS99/1000</f>
        <v>5.3419999999999996</v>
      </c>
      <c r="H51" s="832">
        <f>Liabilities!IP99/1000</f>
        <v>57.485999999999997</v>
      </c>
      <c r="I51" s="875">
        <f t="shared" si="14"/>
        <v>167.22800000000001</v>
      </c>
      <c r="J51" s="874">
        <f>Liabilities!IR99/1000</f>
        <v>53.101999999999997</v>
      </c>
      <c r="K51" s="836">
        <f t="shared" si="3"/>
        <v>0.3437582223072691</v>
      </c>
      <c r="L51" s="837">
        <f t="shared" si="13"/>
        <v>0.8800368136173935</v>
      </c>
      <c r="M51" s="813"/>
      <c r="N51" s="1093"/>
      <c r="O51" s="813"/>
      <c r="P51" s="854"/>
      <c r="Q51" s="971"/>
      <c r="R51" s="971"/>
      <c r="S51" s="824"/>
    </row>
    <row r="52" spans="1:19">
      <c r="A52" s="826">
        <v>2008</v>
      </c>
      <c r="B52" s="816">
        <f>Liabilities!BU100</f>
        <v>101.128</v>
      </c>
      <c r="C52" s="832">
        <f t="shared" si="5"/>
        <v>25.693312853044414</v>
      </c>
      <c r="D52" s="832">
        <f t="shared" si="0"/>
        <v>126.82131285304442</v>
      </c>
      <c r="E52" s="816">
        <f t="shared" si="15"/>
        <v>112.23800000000001</v>
      </c>
      <c r="F52" s="874">
        <f>Liabilities!IQ100/1000</f>
        <v>-23.788</v>
      </c>
      <c r="G52" s="874">
        <f>Liabilities!IS100/1000</f>
        <v>-136.02600000000001</v>
      </c>
      <c r="H52" s="832">
        <f>Liabilities!IP100/1000</f>
        <v>28.515999999999998</v>
      </c>
      <c r="I52" s="875">
        <f t="shared" si="14"/>
        <v>140.75400000000002</v>
      </c>
      <c r="J52" s="874">
        <f>Liabilities!IR100/1000</f>
        <v>42.914999999999999</v>
      </c>
      <c r="K52" s="836">
        <f t="shared" si="3"/>
        <v>0.20259459766685134</v>
      </c>
      <c r="L52" s="837">
        <f t="shared" si="13"/>
        <v>0.90101391685525389</v>
      </c>
      <c r="M52" s="813"/>
      <c r="N52" s="1093"/>
      <c r="O52" s="813"/>
      <c r="P52" s="854"/>
      <c r="Q52" s="971"/>
      <c r="R52" s="971"/>
      <c r="S52" s="824"/>
    </row>
    <row r="53" spans="1:19">
      <c r="A53" s="856">
        <v>2009</v>
      </c>
      <c r="B53" s="872">
        <f>Liabilities!BU101</f>
        <v>74.084999999999994</v>
      </c>
      <c r="C53" s="876">
        <f t="shared" si="5"/>
        <v>25.037820291456597</v>
      </c>
      <c r="D53" s="876">
        <f t="shared" si="0"/>
        <v>99.122820291456591</v>
      </c>
      <c r="E53" s="872">
        <f t="shared" si="15"/>
        <v>43.436999999999998</v>
      </c>
      <c r="F53" s="877">
        <f>Liabilities!IQ101/1000</f>
        <v>-19.356999999999999</v>
      </c>
      <c r="G53" s="877">
        <f>Liabilities!IS101/1000</f>
        <v>-62.793999999999997</v>
      </c>
      <c r="H53" s="876">
        <f>Liabilities!IP101/1000</f>
        <v>14.68</v>
      </c>
      <c r="I53" s="878">
        <f t="shared" si="14"/>
        <v>58.116999999999997</v>
      </c>
      <c r="J53" s="877">
        <f>Liabilities!IR101/1000</f>
        <v>15.576000000000001</v>
      </c>
      <c r="K53" s="861">
        <f t="shared" si="3"/>
        <v>0.25259390539773219</v>
      </c>
      <c r="L53" s="869">
        <f t="shared" si="13"/>
        <v>1.70557358933628</v>
      </c>
      <c r="M53" s="813"/>
      <c r="N53" s="1093"/>
      <c r="O53" s="813"/>
      <c r="P53" s="854"/>
      <c r="Q53" s="971"/>
      <c r="R53" s="971"/>
      <c r="S53" s="824"/>
    </row>
    <row r="54" spans="1:19">
      <c r="A54" s="826">
        <v>2010</v>
      </c>
      <c r="B54" s="816">
        <f>Liabilities!BU102</f>
        <v>121.42099999999999</v>
      </c>
      <c r="C54" s="832">
        <f t="shared" si="5"/>
        <v>28.061139889154031</v>
      </c>
      <c r="D54" s="832">
        <f t="shared" si="0"/>
        <v>149.48213988915401</v>
      </c>
      <c r="E54" s="816">
        <f t="shared" si="15"/>
        <v>129.91</v>
      </c>
      <c r="F54" s="874">
        <f>Liabilities!IQ102/1000</f>
        <v>96.956000000000003</v>
      </c>
      <c r="G54" s="874">
        <f>Liabilities!IS102/1000</f>
        <v>-32.954000000000001</v>
      </c>
      <c r="H54" s="832">
        <f>Liabilities!IP102/1000</f>
        <v>30.023</v>
      </c>
      <c r="I54" s="875">
        <f t="shared" si="14"/>
        <v>159.93299999999999</v>
      </c>
      <c r="J54" s="874">
        <f>Liabilities!IR102/1000</f>
        <v>45.113999999999997</v>
      </c>
      <c r="K54" s="836">
        <f t="shared" si="3"/>
        <v>0.18772235873772142</v>
      </c>
      <c r="L54" s="837">
        <f t="shared" si="13"/>
        <v>0.93465476098837652</v>
      </c>
      <c r="M54" s="813"/>
      <c r="N54" s="1093"/>
      <c r="O54" s="813"/>
      <c r="P54" s="854"/>
      <c r="Q54" s="971"/>
      <c r="R54" s="971"/>
      <c r="S54" s="824"/>
    </row>
    <row r="55" spans="1:19">
      <c r="A55" s="826">
        <v>2011</v>
      </c>
      <c r="B55" s="816">
        <f>Liabilities!BU103</f>
        <v>141.53099999999998</v>
      </c>
      <c r="C55" s="832">
        <f t="shared" si="5"/>
        <v>50734.533078188113</v>
      </c>
      <c r="D55" s="832">
        <f t="shared" si="0"/>
        <v>50876.064078188116</v>
      </c>
      <c r="E55" s="816">
        <f t="shared" si="15"/>
        <v>0.14710599999999999</v>
      </c>
      <c r="F55" s="874">
        <f>Liabilities!IQ103/1000</f>
        <v>0.13724899999999998</v>
      </c>
      <c r="G55" s="874">
        <f>Liabilities!IS103/1000</f>
        <v>-9.8569999999999994E-3</v>
      </c>
      <c r="H55" s="832">
        <f>Liabilities!IP103/1000</f>
        <v>52.732999999999997</v>
      </c>
      <c r="I55" s="875">
        <f t="shared" si="14"/>
        <v>52.880105999999998</v>
      </c>
      <c r="J55" s="874">
        <f>Liabilities!IR103/1000</f>
        <v>4.5511000000000003E-2</v>
      </c>
      <c r="K55" s="836">
        <f t="shared" si="3"/>
        <v>0.99721812206654803</v>
      </c>
      <c r="L55" s="837">
        <f t="shared" si="13"/>
        <v>962.10215762783298</v>
      </c>
      <c r="M55" s="813"/>
      <c r="N55" s="1093"/>
      <c r="O55" s="813"/>
      <c r="P55" s="854"/>
      <c r="Q55" s="971"/>
      <c r="R55" s="971"/>
      <c r="S55" s="824"/>
    </row>
    <row r="56" spans="1:19">
      <c r="A56" s="826">
        <v>2012</v>
      </c>
      <c r="B56" s="816">
        <f>Liabilities!BU104</f>
        <v>134.08699999999999</v>
      </c>
      <c r="C56" s="832">
        <f t="shared" si="5"/>
        <v>54855.927245812745</v>
      </c>
      <c r="D56" s="832">
        <f t="shared" si="0"/>
        <v>54990.014245812745</v>
      </c>
      <c r="E56" s="816">
        <f t="shared" si="15"/>
        <v>0.13578599999999999</v>
      </c>
      <c r="F56" s="874">
        <f>Liabilities!IQ104/1000</f>
        <v>0.116316</v>
      </c>
      <c r="G56" s="874">
        <f>Liabilities!IS104/1000</f>
        <v>-1.9469999999999998E-2</v>
      </c>
      <c r="H56" s="832">
        <f>Liabilities!IP104/1000</f>
        <v>55.551000000000002</v>
      </c>
      <c r="I56" s="875">
        <f t="shared" si="14"/>
        <v>55.686786000000005</v>
      </c>
      <c r="J56" s="874">
        <f>Liabilities!IR104/1000</f>
        <v>4.4037E-2</v>
      </c>
      <c r="K56" s="836">
        <f t="shared" si="3"/>
        <v>0.99756161183373016</v>
      </c>
      <c r="L56" s="837">
        <f t="shared" si="13"/>
        <v>987.48766441312068</v>
      </c>
      <c r="M56" s="813"/>
      <c r="N56" s="1093"/>
      <c r="O56" s="813"/>
      <c r="P56" s="854"/>
      <c r="Q56" s="971"/>
      <c r="R56" s="971"/>
      <c r="S56" s="824"/>
    </row>
    <row r="57" spans="1:19">
      <c r="A57" s="826">
        <v>2013</v>
      </c>
      <c r="B57" s="816">
        <f>Liabilities!BU105</f>
        <v>141.75200000000001</v>
      </c>
      <c r="C57" s="832">
        <f t="shared" si="5"/>
        <v>49913.024500919513</v>
      </c>
      <c r="D57" s="832">
        <f t="shared" si="0"/>
        <v>50054.776500919514</v>
      </c>
      <c r="E57" s="816">
        <f t="shared" si="15"/>
        <v>0.148974</v>
      </c>
      <c r="F57" s="874">
        <f>Liabilities!IQ105/1000</f>
        <v>0.11609999999999999</v>
      </c>
      <c r="G57" s="874">
        <f>Liabilities!IS105/1000</f>
        <v>-3.2874E-2</v>
      </c>
      <c r="H57" s="832">
        <f>Liabilities!IP105/1000</f>
        <v>52.456000000000003</v>
      </c>
      <c r="I57" s="875">
        <f t="shared" si="14"/>
        <v>52.604974000000006</v>
      </c>
      <c r="J57" s="874">
        <f>Liabilities!IR105/1000</f>
        <v>4.5287000000000001E-2</v>
      </c>
      <c r="K57" s="836">
        <f t="shared" si="3"/>
        <v>0.9971680624725715</v>
      </c>
      <c r="L57" s="837">
        <f t="shared" si="13"/>
        <v>951.52174204894823</v>
      </c>
      <c r="M57" s="813"/>
      <c r="N57" s="1093"/>
      <c r="O57" s="813"/>
      <c r="P57" s="854"/>
      <c r="Q57" s="971"/>
      <c r="R57" s="971"/>
      <c r="S57" s="824"/>
    </row>
    <row r="58" spans="1:19">
      <c r="A58" s="826">
        <v>2014</v>
      </c>
      <c r="B58" s="816">
        <f>Liabilities!BU106</f>
        <v>151.845</v>
      </c>
      <c r="C58" s="832">
        <f t="shared" si="5"/>
        <v>72476.969783091656</v>
      </c>
      <c r="D58" s="832">
        <f t="shared" si="0"/>
        <v>72628.814783091657</v>
      </c>
      <c r="E58" s="816">
        <f t="shared" si="15"/>
        <v>0.13194600000000001</v>
      </c>
      <c r="F58" s="874">
        <f>Liabilities!IQ106/1000</f>
        <v>0.119128</v>
      </c>
      <c r="G58" s="874">
        <f>Liabilities!IS106/1000</f>
        <v>-1.2818E-2</v>
      </c>
      <c r="H58" s="832">
        <f>Liabilities!IP106/1000</f>
        <v>62.978999999999999</v>
      </c>
      <c r="I58" s="875">
        <f t="shared" si="14"/>
        <v>63.110945999999998</v>
      </c>
      <c r="J58" s="874">
        <f>Liabilities!IR106/1000</f>
        <v>3.4820000000000004E-2</v>
      </c>
      <c r="K58" s="836">
        <f t="shared" si="3"/>
        <v>0.99790930086834695</v>
      </c>
      <c r="L58" s="837">
        <f t="shared" si="13"/>
        <v>1150.8116956936929</v>
      </c>
      <c r="M58" s="813"/>
      <c r="N58" s="1093"/>
      <c r="O58" s="813"/>
      <c r="P58" s="854"/>
      <c r="Q58" s="971"/>
      <c r="R58" s="971"/>
      <c r="S58" s="824"/>
    </row>
    <row r="59" spans="1:19">
      <c r="A59" s="826">
        <v>2015</v>
      </c>
      <c r="B59" s="816">
        <f>Liabilities!BU107</f>
        <v>120.31800000000001</v>
      </c>
      <c r="C59" s="832">
        <f t="shared" si="5"/>
        <v>47987.018076993212</v>
      </c>
      <c r="D59" s="832">
        <f t="shared" si="0"/>
        <v>48107.336076993211</v>
      </c>
      <c r="E59" s="816">
        <f t="shared" si="15"/>
        <v>0.11655699999999999</v>
      </c>
      <c r="F59" s="874">
        <f>Liabilities!IQ107/1000</f>
        <v>7.2946999999999998E-2</v>
      </c>
      <c r="G59" s="874">
        <f>Liabilities!IS107/1000</f>
        <v>-4.3609999999999996E-2</v>
      </c>
      <c r="H59" s="832">
        <f>Liabilities!IP107/1000</f>
        <v>46.487000000000002</v>
      </c>
      <c r="I59" s="875">
        <f t="shared" si="14"/>
        <v>46.603557000000002</v>
      </c>
      <c r="J59" s="874">
        <f>Liabilities!IR107/1000</f>
        <v>2.9684000000000002E-2</v>
      </c>
      <c r="K59" s="836">
        <f t="shared" si="3"/>
        <v>0.99749896772900837</v>
      </c>
      <c r="L59" s="837">
        <f t="shared" si="13"/>
        <v>1032.267474282969</v>
      </c>
      <c r="M59" s="813"/>
      <c r="N59" s="1093"/>
      <c r="O59" s="813"/>
      <c r="P59" s="854"/>
      <c r="Q59" s="971"/>
      <c r="R59" s="971"/>
      <c r="S59" s="971"/>
    </row>
    <row r="60" spans="1:19">
      <c r="A60" s="826">
        <v>2016</v>
      </c>
      <c r="B60" s="816">
        <f>Liabilities!BU108</f>
        <v>126.90299999999999</v>
      </c>
      <c r="C60" s="832">
        <f t="shared" ref="C60" si="16">IF(K60&lt;1,K60/(1-K60)*B60,H60)</f>
        <v>50613.345925170535</v>
      </c>
      <c r="D60" s="832">
        <f t="shared" ref="D60" si="17">C60+B60</f>
        <v>50740.248925170534</v>
      </c>
      <c r="E60" s="814"/>
      <c r="F60" s="827"/>
      <c r="G60" s="827"/>
      <c r="H60" s="817"/>
      <c r="I60" s="832"/>
      <c r="J60" s="832"/>
      <c r="K60" s="996">
        <f>K59</f>
        <v>0.99749896772900837</v>
      </c>
      <c r="L60" s="815"/>
    </row>
    <row r="61" spans="1:19" ht="16" thickBot="1">
      <c r="A61" s="819"/>
      <c r="B61" s="820"/>
      <c r="C61" s="821"/>
      <c r="D61" s="833"/>
      <c r="E61" s="820"/>
      <c r="F61" s="821"/>
      <c r="G61" s="821"/>
      <c r="H61" s="821"/>
      <c r="I61" s="821"/>
      <c r="J61" s="821"/>
      <c r="K61" s="835"/>
      <c r="L61" s="823"/>
    </row>
    <row r="62" spans="1:19" ht="17" thickTop="1" thickBot="1">
      <c r="D62" s="824"/>
    </row>
    <row r="63" spans="1:19" s="825" customFormat="1" ht="28" customHeight="1" thickBot="1">
      <c r="A63" s="1745" t="s">
        <v>3472</v>
      </c>
      <c r="B63" s="1746"/>
      <c r="C63" s="1746"/>
      <c r="D63" s="1746"/>
      <c r="E63" s="1746"/>
      <c r="F63" s="1746"/>
      <c r="G63" s="1746"/>
      <c r="H63" s="1746"/>
      <c r="I63" s="1746"/>
      <c r="J63" s="1746"/>
      <c r="K63" s="1746"/>
      <c r="L63" s="1747"/>
      <c r="M63" s="805"/>
      <c r="N63" s="805"/>
      <c r="O63" s="805"/>
    </row>
    <row r="64" spans="1:19" s="825" customFormat="1" ht="28" customHeight="1">
      <c r="A64" s="1677"/>
      <c r="B64" s="1113"/>
      <c r="C64" s="1113"/>
      <c r="D64" s="1113"/>
      <c r="E64" s="1113"/>
      <c r="F64" s="1113"/>
      <c r="G64" s="1113"/>
      <c r="H64" s="1113"/>
      <c r="I64" s="1113"/>
      <c r="J64" s="1113"/>
      <c r="K64" s="1113"/>
      <c r="L64" s="1113"/>
      <c r="M64" s="805"/>
      <c r="N64" s="805"/>
      <c r="O64" s="805"/>
    </row>
    <row r="65" spans="1:15">
      <c r="A65" s="829" t="s">
        <v>2457</v>
      </c>
      <c r="D65" s="824"/>
    </row>
    <row r="66" spans="1:15">
      <c r="A66" s="829" t="s">
        <v>2455</v>
      </c>
      <c r="D66" s="824"/>
    </row>
    <row r="67" spans="1:15">
      <c r="A67" s="829" t="s">
        <v>1201</v>
      </c>
      <c r="C67" s="855">
        <f>SUM(C24:C33)/SUM(D24:D33)</f>
        <v>0.51769685606591609</v>
      </c>
      <c r="D67" s="854">
        <f>T.A2!L67</f>
        <v>0.3620601345696543</v>
      </c>
      <c r="E67" s="1251">
        <f>T.A1!L67</f>
        <v>0.46882686847308624</v>
      </c>
      <c r="K67" s="855">
        <f>SUM(H24:H33)/SUM(I24:I33)</f>
        <v>0.52857816750780295</v>
      </c>
    </row>
    <row r="68" spans="1:15">
      <c r="A68" s="829" t="s">
        <v>722</v>
      </c>
      <c r="C68" s="855">
        <f>SUM(C34:C43)/SUM(D34:D43)</f>
        <v>0.57660183431110146</v>
      </c>
      <c r="D68" s="854">
        <f>T.A2!L68</f>
        <v>0.32588897740440337</v>
      </c>
      <c r="E68" s="1251">
        <f>T.A1!L68</f>
        <v>0.34181142987712965</v>
      </c>
      <c r="I68" s="971"/>
      <c r="K68" s="855">
        <f>SUM(H34:H45)/SUM(I34:I45)</f>
        <v>0.54847916651051887</v>
      </c>
    </row>
    <row r="69" spans="1:15">
      <c r="A69" s="829" t="s">
        <v>723</v>
      </c>
      <c r="C69" s="855">
        <f>SUM(C44:C53)/SUM(D44:D53)</f>
        <v>0.33015387836367882</v>
      </c>
      <c r="D69" s="854">
        <f>T.A2!L69</f>
        <v>0.26053443481671507</v>
      </c>
      <c r="E69" s="1251">
        <f>T.A1!L69</f>
        <v>0.30754189634789542</v>
      </c>
      <c r="I69" s="971"/>
      <c r="K69" s="855">
        <f>SUM(H44:H53)/SUM(I44:I53)</f>
        <v>0.3258032732526609</v>
      </c>
    </row>
    <row r="70" spans="1:15">
      <c r="A70" s="829" t="s">
        <v>2456</v>
      </c>
      <c r="C70" s="855">
        <f>SUM(C54:C59)/SUM(D54:D59)</f>
        <v>0.99707032155795072</v>
      </c>
      <c r="D70" s="854">
        <f>T.A2!L70</f>
        <v>0.20625831994359675</v>
      </c>
      <c r="E70" s="1251">
        <f>T.A1!L70</f>
        <v>0.26046800980834606</v>
      </c>
      <c r="I70" s="971"/>
      <c r="K70" s="855">
        <f>SUM(H54:H59)/SUM(I54:I59)</f>
        <v>0.69687906719904236</v>
      </c>
    </row>
    <row r="71" spans="1:15" s="825" customFormat="1">
      <c r="B71" s="805"/>
      <c r="C71" s="805"/>
      <c r="D71" s="805"/>
      <c r="E71" s="805"/>
      <c r="F71" s="805"/>
      <c r="G71" s="805"/>
      <c r="H71" s="805"/>
      <c r="I71" s="971"/>
      <c r="J71" s="805"/>
      <c r="K71" s="805"/>
      <c r="L71" s="805"/>
      <c r="M71" s="805"/>
      <c r="N71" s="805"/>
      <c r="O71" s="805"/>
    </row>
    <row r="72" spans="1:15" s="825" customFormat="1">
      <c r="A72" s="805"/>
      <c r="B72" s="805"/>
      <c r="C72" s="805"/>
      <c r="D72" s="805"/>
      <c r="E72" s="805"/>
      <c r="F72" s="805"/>
      <c r="G72" s="805"/>
      <c r="H72" s="805"/>
      <c r="I72" s="805"/>
      <c r="J72" s="805"/>
      <c r="K72" s="805"/>
      <c r="L72" s="805"/>
      <c r="M72" s="805"/>
      <c r="N72" s="805"/>
      <c r="O72" s="805"/>
    </row>
    <row r="73" spans="1:15" s="825" customFormat="1">
      <c r="A73" s="805"/>
      <c r="B73" s="805"/>
      <c r="C73" s="805"/>
      <c r="D73" s="805"/>
      <c r="E73" s="805"/>
      <c r="F73" s="805"/>
      <c r="G73" s="805"/>
      <c r="H73" s="805"/>
      <c r="I73" s="805"/>
      <c r="J73" s="805"/>
      <c r="K73" s="805"/>
      <c r="L73" s="805"/>
      <c r="M73" s="805"/>
      <c r="N73" s="805"/>
      <c r="O73" s="805"/>
    </row>
    <row r="75" spans="1:15" s="825" customFormat="1">
      <c r="A75" s="805"/>
      <c r="B75" s="805"/>
      <c r="C75" s="805"/>
      <c r="D75" s="805"/>
      <c r="E75" s="805"/>
      <c r="F75" s="805"/>
      <c r="G75" s="805"/>
      <c r="H75" s="805"/>
      <c r="I75" s="805"/>
      <c r="J75" s="805"/>
      <c r="K75" s="805"/>
      <c r="L75" s="805"/>
      <c r="M75" s="805"/>
      <c r="N75" s="805"/>
      <c r="O75" s="805"/>
    </row>
    <row r="88" spans="3:3">
      <c r="C88" s="829" t="s">
        <v>3223</v>
      </c>
    </row>
  </sheetData>
  <mergeCells count="14">
    <mergeCell ref="A63:L63"/>
    <mergeCell ref="J8:J9"/>
    <mergeCell ref="E7:J7"/>
    <mergeCell ref="A3:L3"/>
    <mergeCell ref="B6:I6"/>
    <mergeCell ref="K6:K9"/>
    <mergeCell ref="L6:L9"/>
    <mergeCell ref="B7:D7"/>
    <mergeCell ref="B8:B9"/>
    <mergeCell ref="C8:C9"/>
    <mergeCell ref="D8:D9"/>
    <mergeCell ref="E8:E9"/>
    <mergeCell ref="H8:H9"/>
    <mergeCell ref="I8:I9"/>
  </mergeCells>
  <pageMargins left="0.75" right="0.75" top="1" bottom="1" header="0.5" footer="0.5"/>
  <pageSetup scale="74" orientation="portrait" horizontalDpi="4294967292" verticalDpi="4294967292"/>
  <drawing r:id="rId1"/>
  <extLst>
    <ext xmlns:mx="http://schemas.microsoft.com/office/mac/excel/2008/main" uri="{64002731-A6B0-56B0-2670-7721B7C09600}">
      <mx:PLV Mode="0" OnePage="0" WScale="0"/>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0"/>
  <sheetViews>
    <sheetView showGridLines="0" topLeftCell="A2" workbookViewId="0">
      <selection activeCell="X67" sqref="X67"/>
    </sheetView>
  </sheetViews>
  <sheetFormatPr baseColWidth="10" defaultRowHeight="12" x14ac:dyDescent="0"/>
  <cols>
    <col min="1" max="1" width="20.5703125" style="554" customWidth="1"/>
    <col min="2" max="2" width="1.85546875" style="554" customWidth="1"/>
    <col min="3" max="16384" width="10.7109375" style="554"/>
  </cols>
  <sheetData>
    <row r="1" spans="1:7" hidden="1">
      <c r="A1" s="564" t="e">
        <f ca="1">DotStatQuery(B1)</f>
        <v>#NAME?</v>
      </c>
      <c r="B1" s="564" t="s">
        <v>2127</v>
      </c>
    </row>
    <row r="2" spans="1:7" ht="48">
      <c r="A2" s="563" t="s">
        <v>2126</v>
      </c>
    </row>
    <row r="3" spans="1:7">
      <c r="A3" s="1968" t="s">
        <v>2125</v>
      </c>
      <c r="B3" s="1969"/>
      <c r="C3" s="1970" t="s">
        <v>1900</v>
      </c>
      <c r="D3" s="1971"/>
      <c r="E3" s="1971"/>
      <c r="F3" s="1971"/>
      <c r="G3" s="1972"/>
    </row>
    <row r="4" spans="1:7">
      <c r="A4" s="1968" t="s">
        <v>2124</v>
      </c>
      <c r="B4" s="1969"/>
      <c r="C4" s="1973" t="s">
        <v>1958</v>
      </c>
      <c r="D4" s="1974"/>
      <c r="E4" s="1974"/>
      <c r="F4" s="1974"/>
      <c r="G4" s="1975"/>
    </row>
    <row r="5" spans="1:7">
      <c r="A5" s="1968" t="s">
        <v>2123</v>
      </c>
      <c r="B5" s="1969"/>
      <c r="C5" s="1973" t="s">
        <v>2122</v>
      </c>
      <c r="D5" s="1974"/>
      <c r="E5" s="1974"/>
      <c r="F5" s="1974"/>
      <c r="G5" s="1975"/>
    </row>
    <row r="6" spans="1:7">
      <c r="A6" s="1963" t="s">
        <v>2121</v>
      </c>
      <c r="B6" s="1964"/>
      <c r="C6" s="1965" t="s">
        <v>2120</v>
      </c>
      <c r="D6" s="1966"/>
      <c r="E6" s="1966"/>
      <c r="F6" s="1966"/>
      <c r="G6" s="1967"/>
    </row>
    <row r="7" spans="1:7">
      <c r="A7" s="1963" t="s">
        <v>791</v>
      </c>
      <c r="B7" s="1964"/>
      <c r="C7" s="562" t="s">
        <v>77</v>
      </c>
      <c r="D7" s="562" t="s">
        <v>76</v>
      </c>
      <c r="E7" s="562" t="s">
        <v>75</v>
      </c>
      <c r="F7" s="562" t="s">
        <v>74</v>
      </c>
      <c r="G7" s="562" t="s">
        <v>866</v>
      </c>
    </row>
    <row r="8" spans="1:7" ht="13">
      <c r="A8" s="561" t="s">
        <v>2119</v>
      </c>
      <c r="B8" s="557" t="s">
        <v>1950</v>
      </c>
      <c r="C8" s="557" t="s">
        <v>0</v>
      </c>
      <c r="D8" s="557" t="s">
        <v>0</v>
      </c>
      <c r="E8" s="557" t="s">
        <v>0</v>
      </c>
      <c r="F8" s="557" t="s">
        <v>0</v>
      </c>
      <c r="G8" s="557" t="s">
        <v>0</v>
      </c>
    </row>
    <row r="9" spans="1:7" ht="22">
      <c r="A9" s="558" t="s">
        <v>2118</v>
      </c>
      <c r="B9" s="557" t="s">
        <v>0</v>
      </c>
      <c r="C9" s="565">
        <v>460173</v>
      </c>
      <c r="D9" s="565">
        <v>561088</v>
      </c>
      <c r="E9" s="565">
        <v>543380</v>
      </c>
      <c r="F9" s="565">
        <v>511726</v>
      </c>
      <c r="G9" s="565">
        <v>547611</v>
      </c>
    </row>
    <row r="10" spans="1:7" ht="13">
      <c r="A10" s="558" t="s">
        <v>1922</v>
      </c>
      <c r="B10" s="557" t="s">
        <v>0</v>
      </c>
      <c r="C10" s="566" t="s">
        <v>1905</v>
      </c>
      <c r="D10" s="566" t="s">
        <v>1905</v>
      </c>
      <c r="E10" s="566" t="s">
        <v>1905</v>
      </c>
      <c r="F10" s="566" t="s">
        <v>1905</v>
      </c>
      <c r="G10" s="566" t="s">
        <v>1905</v>
      </c>
    </row>
    <row r="11" spans="1:7" ht="13">
      <c r="A11" s="558" t="s">
        <v>1947</v>
      </c>
      <c r="B11" s="557" t="s">
        <v>0</v>
      </c>
      <c r="C11" s="565">
        <v>1325</v>
      </c>
      <c r="D11" s="565">
        <v>360</v>
      </c>
      <c r="E11" s="565">
        <v>-267</v>
      </c>
      <c r="F11" s="565">
        <v>1121</v>
      </c>
      <c r="G11" s="565">
        <v>1145</v>
      </c>
    </row>
    <row r="12" spans="1:7" ht="13">
      <c r="A12" s="558" t="s">
        <v>1948</v>
      </c>
      <c r="B12" s="557" t="s">
        <v>0</v>
      </c>
      <c r="C12" s="566">
        <v>16762</v>
      </c>
      <c r="D12" s="566">
        <v>20425</v>
      </c>
      <c r="E12" s="566">
        <v>16032</v>
      </c>
      <c r="F12" s="566">
        <v>9418</v>
      </c>
      <c r="G12" s="566">
        <v>16810</v>
      </c>
    </row>
    <row r="13" spans="1:7" ht="13">
      <c r="A13" s="558" t="s">
        <v>1895</v>
      </c>
      <c r="B13" s="557" t="s">
        <v>0</v>
      </c>
      <c r="C13" s="565">
        <v>8084</v>
      </c>
      <c r="D13" s="565">
        <v>7038</v>
      </c>
      <c r="E13" s="565">
        <v>6943</v>
      </c>
      <c r="F13" s="565">
        <v>5644</v>
      </c>
      <c r="G13" s="565">
        <v>6955</v>
      </c>
    </row>
    <row r="14" spans="1:7" ht="13">
      <c r="A14" s="558" t="s">
        <v>510</v>
      </c>
      <c r="B14" s="557" t="s">
        <v>0</v>
      </c>
      <c r="C14" s="566">
        <v>39901</v>
      </c>
      <c r="D14" s="566">
        <v>46197</v>
      </c>
      <c r="E14" s="566">
        <v>39508</v>
      </c>
      <c r="F14" s="566">
        <v>36184</v>
      </c>
      <c r="G14" s="566">
        <v>42810</v>
      </c>
    </row>
    <row r="15" spans="1:7" ht="13">
      <c r="A15" s="558" t="s">
        <v>695</v>
      </c>
      <c r="B15" s="557" t="s">
        <v>0</v>
      </c>
      <c r="C15" s="565">
        <v>21618</v>
      </c>
      <c r="D15" s="565">
        <v>26838</v>
      </c>
      <c r="E15" s="565">
        <v>23741</v>
      </c>
      <c r="F15" s="565">
        <v>34743</v>
      </c>
      <c r="G15" s="565">
        <v>40584</v>
      </c>
    </row>
    <row r="16" spans="1:7" ht="13">
      <c r="A16" s="558" t="s">
        <v>1944</v>
      </c>
      <c r="B16" s="557" t="s">
        <v>0</v>
      </c>
      <c r="C16" s="566">
        <v>5899</v>
      </c>
      <c r="D16" s="566">
        <v>6840</v>
      </c>
      <c r="E16" s="566">
        <v>3533</v>
      </c>
      <c r="F16" s="566">
        <v>6075</v>
      </c>
      <c r="G16" s="566">
        <v>4644</v>
      </c>
    </row>
    <row r="17" spans="1:7" ht="13">
      <c r="A17" s="558" t="s">
        <v>1943</v>
      </c>
      <c r="B17" s="557" t="s">
        <v>0</v>
      </c>
      <c r="C17" s="565">
        <v>1472</v>
      </c>
      <c r="D17" s="565">
        <v>1608</v>
      </c>
      <c r="E17" s="565">
        <v>1464</v>
      </c>
      <c r="F17" s="565">
        <v>1274</v>
      </c>
      <c r="G17" s="565">
        <v>1438</v>
      </c>
    </row>
    <row r="18" spans="1:7" ht="13">
      <c r="A18" s="558" t="s">
        <v>1891</v>
      </c>
      <c r="B18" s="557" t="s">
        <v>0</v>
      </c>
      <c r="C18" s="566">
        <v>11307</v>
      </c>
      <c r="D18" s="566">
        <v>13021</v>
      </c>
      <c r="E18" s="566">
        <v>11578</v>
      </c>
      <c r="F18" s="566">
        <v>13703</v>
      </c>
      <c r="G18" s="566">
        <v>16036</v>
      </c>
    </row>
    <row r="19" spans="1:7" ht="13">
      <c r="A19" s="558" t="s">
        <v>1942</v>
      </c>
      <c r="B19" s="557" t="s">
        <v>0</v>
      </c>
      <c r="C19" s="565">
        <v>4588</v>
      </c>
      <c r="D19" s="565">
        <v>5746</v>
      </c>
      <c r="E19" s="565">
        <v>3927</v>
      </c>
      <c r="F19" s="565">
        <v>4971</v>
      </c>
      <c r="G19" s="565">
        <v>4787</v>
      </c>
    </row>
    <row r="20" spans="1:7" ht="13">
      <c r="A20" s="558" t="s">
        <v>1940</v>
      </c>
      <c r="B20" s="557" t="s">
        <v>0</v>
      </c>
      <c r="C20" s="566" t="s">
        <v>1905</v>
      </c>
      <c r="D20" s="566" t="s">
        <v>1905</v>
      </c>
      <c r="E20" s="566" t="s">
        <v>1905</v>
      </c>
      <c r="F20" s="566" t="s">
        <v>1905</v>
      </c>
      <c r="G20" s="566" t="s">
        <v>1905</v>
      </c>
    </row>
    <row r="21" spans="1:7" ht="13">
      <c r="A21" s="558" t="s">
        <v>1941</v>
      </c>
      <c r="B21" s="557" t="s">
        <v>0</v>
      </c>
      <c r="C21" s="565">
        <v>3468</v>
      </c>
      <c r="D21" s="565">
        <v>3617</v>
      </c>
      <c r="E21" s="565">
        <v>371</v>
      </c>
      <c r="F21" s="565">
        <v>2326</v>
      </c>
      <c r="G21" s="565">
        <v>2810</v>
      </c>
    </row>
    <row r="22" spans="1:7" ht="13">
      <c r="A22" s="558" t="s">
        <v>1936</v>
      </c>
      <c r="B22" s="557" t="s">
        <v>0</v>
      </c>
      <c r="C22" s="566">
        <v>392</v>
      </c>
      <c r="D22" s="566">
        <v>594</v>
      </c>
      <c r="E22" s="566">
        <v>518</v>
      </c>
      <c r="F22" s="566">
        <v>582</v>
      </c>
      <c r="G22" s="566">
        <v>-210</v>
      </c>
    </row>
    <row r="23" spans="1:7" ht="13">
      <c r="A23" s="558" t="s">
        <v>1890</v>
      </c>
      <c r="B23" s="557" t="s">
        <v>0</v>
      </c>
      <c r="C23" s="565">
        <v>5197</v>
      </c>
      <c r="D23" s="565">
        <v>7736</v>
      </c>
      <c r="E23" s="565">
        <v>6950</v>
      </c>
      <c r="F23" s="565">
        <v>5860</v>
      </c>
      <c r="G23" s="565">
        <v>7456</v>
      </c>
    </row>
    <row r="24" spans="1:7" ht="13">
      <c r="A24" s="558" t="s">
        <v>1935</v>
      </c>
      <c r="B24" s="557" t="s">
        <v>0</v>
      </c>
      <c r="C24" s="566">
        <v>-75</v>
      </c>
      <c r="D24" s="566">
        <v>-5</v>
      </c>
      <c r="E24" s="566">
        <v>73</v>
      </c>
      <c r="F24" s="566">
        <v>224</v>
      </c>
      <c r="G24" s="566">
        <v>181</v>
      </c>
    </row>
    <row r="25" spans="1:7" ht="13">
      <c r="A25" s="558" t="s">
        <v>1932</v>
      </c>
      <c r="B25" s="557" t="s">
        <v>0</v>
      </c>
      <c r="C25" s="565">
        <v>181</v>
      </c>
      <c r="D25" s="565">
        <v>1526</v>
      </c>
      <c r="E25" s="565">
        <v>-566</v>
      </c>
      <c r="F25" s="565">
        <v>800</v>
      </c>
      <c r="G25" s="565">
        <v>760</v>
      </c>
    </row>
    <row r="26" spans="1:7" ht="13">
      <c r="A26" s="558" t="s">
        <v>693</v>
      </c>
      <c r="B26" s="557" t="s">
        <v>0</v>
      </c>
      <c r="C26" s="566">
        <v>51391</v>
      </c>
      <c r="D26" s="566">
        <v>62852</v>
      </c>
      <c r="E26" s="566">
        <v>69538</v>
      </c>
      <c r="F26" s="566">
        <v>61747</v>
      </c>
      <c r="G26" s="566">
        <v>61167</v>
      </c>
    </row>
    <row r="27" spans="1:7" ht="13">
      <c r="A27" s="558" t="s">
        <v>1930</v>
      </c>
      <c r="B27" s="557" t="s">
        <v>0</v>
      </c>
      <c r="C27" s="565" t="s">
        <v>1905</v>
      </c>
      <c r="D27" s="565" t="s">
        <v>1905</v>
      </c>
      <c r="E27" s="565" t="s">
        <v>1905</v>
      </c>
      <c r="F27" s="565" t="s">
        <v>1905</v>
      </c>
      <c r="G27" s="565" t="s">
        <v>1905</v>
      </c>
    </row>
    <row r="28" spans="1:7" ht="13">
      <c r="A28" s="558" t="s">
        <v>1929</v>
      </c>
      <c r="B28" s="557" t="s">
        <v>0</v>
      </c>
      <c r="C28" s="566">
        <v>1560</v>
      </c>
      <c r="D28" s="566">
        <v>1560</v>
      </c>
      <c r="E28" s="566">
        <v>3606</v>
      </c>
      <c r="F28" s="566">
        <v>2139</v>
      </c>
      <c r="G28" s="566">
        <v>2447</v>
      </c>
    </row>
    <row r="29" spans="1:7" ht="13">
      <c r="A29" s="558" t="s">
        <v>1896</v>
      </c>
      <c r="B29" s="557" t="s">
        <v>0</v>
      </c>
      <c r="C29" s="565">
        <v>3393</v>
      </c>
      <c r="D29" s="565">
        <v>4575</v>
      </c>
      <c r="E29" s="565">
        <v>3475</v>
      </c>
      <c r="F29" s="565">
        <v>3980</v>
      </c>
      <c r="G29" s="565">
        <v>3880</v>
      </c>
    </row>
    <row r="30" spans="1:7" ht="13">
      <c r="A30" s="558" t="s">
        <v>1436</v>
      </c>
      <c r="B30" s="557" t="s">
        <v>0</v>
      </c>
      <c r="C30" s="566">
        <v>11916</v>
      </c>
      <c r="D30" s="566">
        <v>19481</v>
      </c>
      <c r="E30" s="566">
        <v>21977</v>
      </c>
      <c r="F30" s="566">
        <v>18982</v>
      </c>
      <c r="G30" s="566">
        <v>19923</v>
      </c>
    </row>
    <row r="31" spans="1:7" ht="13">
      <c r="A31" s="558" t="s">
        <v>1928</v>
      </c>
      <c r="B31" s="557" t="s">
        <v>0</v>
      </c>
      <c r="C31" s="565">
        <v>3947</v>
      </c>
      <c r="D31" s="565">
        <v>5081</v>
      </c>
      <c r="E31" s="565">
        <v>5372</v>
      </c>
      <c r="F31" s="565">
        <v>4354</v>
      </c>
      <c r="G31" s="565">
        <v>5327</v>
      </c>
    </row>
    <row r="32" spans="1:7" ht="13">
      <c r="A32" s="558" t="s">
        <v>697</v>
      </c>
      <c r="B32" s="557" t="s">
        <v>0</v>
      </c>
      <c r="C32" s="566">
        <v>1830</v>
      </c>
      <c r="D32" s="566">
        <v>3929</v>
      </c>
      <c r="E32" s="566">
        <v>3759</v>
      </c>
      <c r="F32" s="566">
        <v>5169</v>
      </c>
      <c r="G32" s="566">
        <v>4088</v>
      </c>
    </row>
    <row r="33" spans="1:7" ht="13">
      <c r="A33" s="558" t="s">
        <v>1894</v>
      </c>
      <c r="B33" s="557" t="s">
        <v>0</v>
      </c>
      <c r="C33" s="565">
        <v>13830</v>
      </c>
      <c r="D33" s="565">
        <v>21237</v>
      </c>
      <c r="E33" s="565">
        <v>17434</v>
      </c>
      <c r="F33" s="565">
        <v>17359</v>
      </c>
      <c r="G33" s="565">
        <v>18495</v>
      </c>
    </row>
    <row r="34" spans="1:7" ht="13">
      <c r="A34" s="558" t="s">
        <v>694</v>
      </c>
      <c r="B34" s="557" t="s">
        <v>0</v>
      </c>
      <c r="C34" s="566">
        <v>3796</v>
      </c>
      <c r="D34" s="566">
        <v>12430</v>
      </c>
      <c r="E34" s="566">
        <v>15823</v>
      </c>
      <c r="F34" s="566">
        <v>741</v>
      </c>
      <c r="G34" s="566">
        <v>14538</v>
      </c>
    </row>
    <row r="35" spans="1:7" ht="13">
      <c r="A35" s="558" t="s">
        <v>1897</v>
      </c>
      <c r="B35" s="557" t="s">
        <v>0</v>
      </c>
      <c r="C35" s="565">
        <v>15528</v>
      </c>
      <c r="D35" s="565">
        <v>19707</v>
      </c>
      <c r="E35" s="565">
        <v>18658</v>
      </c>
      <c r="F35" s="565">
        <v>16938</v>
      </c>
      <c r="G35" s="565">
        <v>15381</v>
      </c>
    </row>
    <row r="36" spans="1:7" ht="13">
      <c r="A36" s="558" t="s">
        <v>1923</v>
      </c>
      <c r="B36" s="557" t="s">
        <v>0</v>
      </c>
      <c r="C36" s="566">
        <v>140</v>
      </c>
      <c r="D36" s="566">
        <v>983</v>
      </c>
      <c r="E36" s="566">
        <v>965</v>
      </c>
      <c r="F36" s="566">
        <v>949</v>
      </c>
      <c r="G36" s="566">
        <v>1582</v>
      </c>
    </row>
    <row r="37" spans="1:7" ht="13">
      <c r="A37" s="558" t="s">
        <v>1919</v>
      </c>
      <c r="B37" s="557" t="s">
        <v>0</v>
      </c>
      <c r="C37" s="565">
        <v>2358</v>
      </c>
      <c r="D37" s="565">
        <v>2918</v>
      </c>
      <c r="E37" s="565">
        <v>2201</v>
      </c>
      <c r="F37" s="565">
        <v>2545</v>
      </c>
      <c r="G37" s="565">
        <v>2444</v>
      </c>
    </row>
    <row r="38" spans="1:7" ht="13">
      <c r="A38" s="558" t="s">
        <v>1918</v>
      </c>
      <c r="B38" s="557" t="s">
        <v>0</v>
      </c>
      <c r="C38" s="566">
        <v>1029</v>
      </c>
      <c r="D38" s="566">
        <v>608</v>
      </c>
      <c r="E38" s="566">
        <v>598</v>
      </c>
      <c r="F38" s="566">
        <v>617</v>
      </c>
      <c r="G38" s="566">
        <v>553</v>
      </c>
    </row>
    <row r="39" spans="1:7" ht="13">
      <c r="A39" s="558" t="s">
        <v>1913</v>
      </c>
      <c r="B39" s="557" t="s">
        <v>0</v>
      </c>
      <c r="C39" s="565">
        <v>-295</v>
      </c>
      <c r="D39" s="565">
        <v>17</v>
      </c>
      <c r="E39" s="565">
        <v>2029</v>
      </c>
      <c r="F39" s="565">
        <v>1815</v>
      </c>
      <c r="G39" s="565">
        <v>2994</v>
      </c>
    </row>
    <row r="40" spans="1:7" ht="13">
      <c r="A40" s="558" t="s">
        <v>1914</v>
      </c>
      <c r="B40" s="557" t="s">
        <v>0</v>
      </c>
      <c r="C40" s="566" t="s">
        <v>1905</v>
      </c>
      <c r="D40" s="566" t="s">
        <v>1905</v>
      </c>
      <c r="E40" s="566" t="s">
        <v>1905</v>
      </c>
      <c r="F40" s="566" t="s">
        <v>1905</v>
      </c>
      <c r="G40" s="566" t="s">
        <v>1905</v>
      </c>
    </row>
    <row r="41" spans="1:7" ht="13">
      <c r="A41" s="558" t="s">
        <v>1915</v>
      </c>
      <c r="B41" s="557" t="s">
        <v>0</v>
      </c>
      <c r="C41" s="565" t="s">
        <v>1905</v>
      </c>
      <c r="D41" s="565" t="s">
        <v>1905</v>
      </c>
      <c r="E41" s="565" t="s">
        <v>1905</v>
      </c>
      <c r="F41" s="565" t="s">
        <v>1905</v>
      </c>
      <c r="G41" s="565" t="s">
        <v>1905</v>
      </c>
    </row>
    <row r="42" spans="1:7" ht="13">
      <c r="A42" s="558" t="s">
        <v>1911</v>
      </c>
      <c r="B42" s="557" t="s">
        <v>0</v>
      </c>
      <c r="C42" s="566">
        <v>1083</v>
      </c>
      <c r="D42" s="566">
        <v>591</v>
      </c>
      <c r="E42" s="566">
        <v>510</v>
      </c>
      <c r="F42" s="566">
        <v>333</v>
      </c>
      <c r="G42" s="566">
        <v>1129</v>
      </c>
    </row>
    <row r="43" spans="1:7" ht="13">
      <c r="A43" s="558" t="s">
        <v>1892</v>
      </c>
      <c r="B43" s="557" t="s">
        <v>0</v>
      </c>
      <c r="C43" s="565">
        <v>34568</v>
      </c>
      <c r="D43" s="565">
        <v>31897</v>
      </c>
      <c r="E43" s="565">
        <v>35875</v>
      </c>
      <c r="F43" s="565">
        <v>32567</v>
      </c>
      <c r="G43" s="565">
        <v>29724</v>
      </c>
    </row>
    <row r="44" spans="1:7" ht="13">
      <c r="A44" s="558" t="s">
        <v>1900</v>
      </c>
      <c r="B44" s="557" t="s">
        <v>0</v>
      </c>
      <c r="C44" s="566" t="s">
        <v>1905</v>
      </c>
      <c r="D44" s="566" t="s">
        <v>1905</v>
      </c>
      <c r="E44" s="566" t="s">
        <v>1905</v>
      </c>
      <c r="F44" s="566" t="s">
        <v>1905</v>
      </c>
      <c r="G44" s="566" t="s">
        <v>1905</v>
      </c>
    </row>
    <row r="45" spans="1:7" ht="13">
      <c r="A45" s="558" t="s">
        <v>2</v>
      </c>
      <c r="B45" s="557" t="s">
        <v>0</v>
      </c>
      <c r="C45" s="565">
        <v>188022</v>
      </c>
      <c r="D45" s="565">
        <v>230726</v>
      </c>
      <c r="E45" s="565">
        <v>229502</v>
      </c>
      <c r="F45" s="565">
        <v>221143</v>
      </c>
      <c r="G45" s="565">
        <v>237501</v>
      </c>
    </row>
    <row r="46" spans="1:7" ht="13">
      <c r="A46" s="558" t="s">
        <v>2117</v>
      </c>
      <c r="B46" s="557" t="s">
        <v>0</v>
      </c>
      <c r="C46" s="566" t="s">
        <v>1905</v>
      </c>
      <c r="D46" s="566" t="s">
        <v>1905</v>
      </c>
      <c r="E46" s="566" t="s">
        <v>1905</v>
      </c>
      <c r="F46" s="566">
        <v>147149</v>
      </c>
      <c r="G46" s="566">
        <v>161772</v>
      </c>
    </row>
    <row r="47" spans="1:7" ht="13">
      <c r="A47" s="558" t="s">
        <v>2116</v>
      </c>
      <c r="B47" s="557" t="s">
        <v>0</v>
      </c>
      <c r="C47" s="565">
        <v>135239</v>
      </c>
      <c r="D47" s="565">
        <v>161432</v>
      </c>
      <c r="E47" s="565">
        <v>165223</v>
      </c>
      <c r="F47" s="565" t="s">
        <v>1905</v>
      </c>
      <c r="G47" s="565" t="s">
        <v>1905</v>
      </c>
    </row>
    <row r="48" spans="1:7" ht="13">
      <c r="A48" s="558" t="s">
        <v>2115</v>
      </c>
      <c r="B48" s="557" t="s">
        <v>0</v>
      </c>
      <c r="C48" s="566" t="s">
        <v>1905</v>
      </c>
      <c r="D48" s="566" t="s">
        <v>1905</v>
      </c>
      <c r="E48" s="566" t="s">
        <v>1905</v>
      </c>
      <c r="F48" s="566" t="s">
        <v>1905</v>
      </c>
      <c r="G48" s="566" t="s">
        <v>1905</v>
      </c>
    </row>
    <row r="49" spans="1:7" ht="13">
      <c r="A49" s="558" t="s">
        <v>2114</v>
      </c>
      <c r="B49" s="557" t="s">
        <v>0</v>
      </c>
      <c r="C49" s="565" t="s">
        <v>1905</v>
      </c>
      <c r="D49" s="565" t="s">
        <v>1905</v>
      </c>
      <c r="E49" s="565" t="s">
        <v>1905</v>
      </c>
      <c r="F49" s="565" t="s">
        <v>1905</v>
      </c>
      <c r="G49" s="565" t="s">
        <v>1905</v>
      </c>
    </row>
    <row r="50" spans="1:7" ht="13">
      <c r="A50" s="558" t="s">
        <v>2113</v>
      </c>
      <c r="B50" s="557" t="s">
        <v>0</v>
      </c>
      <c r="C50" s="566" t="s">
        <v>1905</v>
      </c>
      <c r="D50" s="566" t="s">
        <v>1905</v>
      </c>
      <c r="E50" s="566" t="s">
        <v>1905</v>
      </c>
      <c r="F50" s="566" t="s">
        <v>1905</v>
      </c>
      <c r="G50" s="566" t="s">
        <v>1905</v>
      </c>
    </row>
    <row r="51" spans="1:7" ht="13">
      <c r="A51" s="558" t="s">
        <v>1945</v>
      </c>
      <c r="B51" s="557" t="s">
        <v>0</v>
      </c>
      <c r="C51" s="565" t="s">
        <v>1905</v>
      </c>
      <c r="D51" s="565" t="s">
        <v>1905</v>
      </c>
      <c r="E51" s="565" t="s">
        <v>1905</v>
      </c>
      <c r="F51" s="565" t="s">
        <v>1905</v>
      </c>
      <c r="G51" s="565" t="s">
        <v>1905</v>
      </c>
    </row>
    <row r="52" spans="1:7" ht="13">
      <c r="A52" s="558" t="s">
        <v>2112</v>
      </c>
      <c r="B52" s="557" t="s">
        <v>0</v>
      </c>
      <c r="C52" s="566" t="s">
        <v>1905</v>
      </c>
      <c r="D52" s="566" t="s">
        <v>1905</v>
      </c>
      <c r="E52" s="566" t="s">
        <v>1905</v>
      </c>
      <c r="F52" s="566" t="s">
        <v>1905</v>
      </c>
      <c r="G52" s="566" t="s">
        <v>1905</v>
      </c>
    </row>
    <row r="53" spans="1:7" ht="13">
      <c r="A53" s="558" t="s">
        <v>2111</v>
      </c>
      <c r="B53" s="557" t="s">
        <v>0</v>
      </c>
      <c r="C53" s="565" t="s">
        <v>1905</v>
      </c>
      <c r="D53" s="565" t="s">
        <v>1905</v>
      </c>
      <c r="E53" s="565" t="s">
        <v>1905</v>
      </c>
      <c r="F53" s="565" t="s">
        <v>1905</v>
      </c>
      <c r="G53" s="565" t="s">
        <v>1905</v>
      </c>
    </row>
    <row r="54" spans="1:7" ht="13">
      <c r="A54" s="558" t="s">
        <v>2110</v>
      </c>
      <c r="B54" s="557" t="s">
        <v>0</v>
      </c>
      <c r="C54" s="566" t="s">
        <v>1905</v>
      </c>
      <c r="D54" s="566" t="s">
        <v>1905</v>
      </c>
      <c r="E54" s="566" t="s">
        <v>1905</v>
      </c>
      <c r="F54" s="566" t="s">
        <v>1905</v>
      </c>
      <c r="G54" s="566" t="s">
        <v>1905</v>
      </c>
    </row>
    <row r="55" spans="1:7" ht="13">
      <c r="A55" s="558" t="s">
        <v>2109</v>
      </c>
      <c r="B55" s="557" t="s">
        <v>0</v>
      </c>
      <c r="C55" s="565" t="s">
        <v>1905</v>
      </c>
      <c r="D55" s="565" t="s">
        <v>1905</v>
      </c>
      <c r="E55" s="565" t="s">
        <v>1905</v>
      </c>
      <c r="F55" s="565" t="s">
        <v>1905</v>
      </c>
      <c r="G55" s="565" t="s">
        <v>1905</v>
      </c>
    </row>
    <row r="56" spans="1:7" ht="13">
      <c r="A56" s="558" t="s">
        <v>2108</v>
      </c>
      <c r="B56" s="557" t="s">
        <v>0</v>
      </c>
      <c r="C56" s="566" t="s">
        <v>1905</v>
      </c>
      <c r="D56" s="566" t="s">
        <v>1905</v>
      </c>
      <c r="E56" s="566" t="s">
        <v>1905</v>
      </c>
      <c r="F56" s="566" t="s">
        <v>1905</v>
      </c>
      <c r="G56" s="566" t="s">
        <v>1905</v>
      </c>
    </row>
    <row r="57" spans="1:7" ht="13">
      <c r="A57" s="558" t="s">
        <v>1933</v>
      </c>
      <c r="B57" s="557" t="s">
        <v>0</v>
      </c>
      <c r="C57" s="565" t="s">
        <v>1905</v>
      </c>
      <c r="D57" s="565" t="s">
        <v>1905</v>
      </c>
      <c r="E57" s="565" t="s">
        <v>1905</v>
      </c>
      <c r="F57" s="565" t="s">
        <v>1905</v>
      </c>
      <c r="G57" s="565" t="s">
        <v>1905</v>
      </c>
    </row>
    <row r="58" spans="1:7" ht="13">
      <c r="A58" s="558" t="s">
        <v>2107</v>
      </c>
      <c r="B58" s="557" t="s">
        <v>0</v>
      </c>
      <c r="C58" s="566" t="s">
        <v>1905</v>
      </c>
      <c r="D58" s="566" t="s">
        <v>1905</v>
      </c>
      <c r="E58" s="566" t="s">
        <v>1905</v>
      </c>
      <c r="F58" s="566" t="s">
        <v>1905</v>
      </c>
      <c r="G58" s="566" t="s">
        <v>1905</v>
      </c>
    </row>
    <row r="59" spans="1:7" ht="13">
      <c r="A59" s="558" t="s">
        <v>2106</v>
      </c>
      <c r="B59" s="557" t="s">
        <v>0</v>
      </c>
      <c r="C59" s="565" t="s">
        <v>1905</v>
      </c>
      <c r="D59" s="565" t="s">
        <v>1905</v>
      </c>
      <c r="E59" s="565" t="s">
        <v>1905</v>
      </c>
      <c r="F59" s="565" t="s">
        <v>1905</v>
      </c>
      <c r="G59" s="565" t="s">
        <v>1905</v>
      </c>
    </row>
    <row r="60" spans="1:7" ht="13">
      <c r="A60" s="558" t="s">
        <v>2105</v>
      </c>
      <c r="B60" s="557" t="s">
        <v>0</v>
      </c>
      <c r="C60" s="566" t="s">
        <v>1905</v>
      </c>
      <c r="D60" s="566" t="s">
        <v>1905</v>
      </c>
      <c r="E60" s="566" t="s">
        <v>1905</v>
      </c>
      <c r="F60" s="566" t="s">
        <v>1905</v>
      </c>
      <c r="G60" s="566" t="s">
        <v>1905</v>
      </c>
    </row>
    <row r="61" spans="1:7" ht="13">
      <c r="A61" s="558" t="s">
        <v>1927</v>
      </c>
      <c r="B61" s="557" t="s">
        <v>0</v>
      </c>
      <c r="C61" s="565" t="s">
        <v>1905</v>
      </c>
      <c r="D61" s="565" t="s">
        <v>1905</v>
      </c>
      <c r="E61" s="565" t="s">
        <v>1905</v>
      </c>
      <c r="F61" s="565" t="s">
        <v>1905</v>
      </c>
      <c r="G61" s="565" t="s">
        <v>1905</v>
      </c>
    </row>
    <row r="62" spans="1:7" ht="13">
      <c r="A62" s="558" t="s">
        <v>1926</v>
      </c>
      <c r="B62" s="557" t="s">
        <v>0</v>
      </c>
      <c r="C62" s="566" t="s">
        <v>1905</v>
      </c>
      <c r="D62" s="566" t="s">
        <v>1905</v>
      </c>
      <c r="E62" s="566" t="s">
        <v>1905</v>
      </c>
      <c r="F62" s="566" t="s">
        <v>1905</v>
      </c>
      <c r="G62" s="566" t="s">
        <v>1905</v>
      </c>
    </row>
    <row r="63" spans="1:7" ht="13">
      <c r="A63" s="558" t="s">
        <v>2104</v>
      </c>
      <c r="B63" s="557" t="s">
        <v>0</v>
      </c>
      <c r="C63" s="565" t="s">
        <v>1905</v>
      </c>
      <c r="D63" s="565" t="s">
        <v>1905</v>
      </c>
      <c r="E63" s="565" t="s">
        <v>1905</v>
      </c>
      <c r="F63" s="565" t="s">
        <v>1905</v>
      </c>
      <c r="G63" s="565" t="s">
        <v>1905</v>
      </c>
    </row>
    <row r="64" spans="1:7" ht="13">
      <c r="A64" s="558" t="s">
        <v>2103</v>
      </c>
      <c r="B64" s="557" t="s">
        <v>0</v>
      </c>
      <c r="C64" s="566" t="s">
        <v>1905</v>
      </c>
      <c r="D64" s="566" t="s">
        <v>1905</v>
      </c>
      <c r="E64" s="566" t="s">
        <v>1905</v>
      </c>
      <c r="F64" s="566" t="s">
        <v>1905</v>
      </c>
      <c r="G64" s="566" t="s">
        <v>1905</v>
      </c>
    </row>
    <row r="65" spans="1:7" ht="13">
      <c r="A65" s="558" t="s">
        <v>2102</v>
      </c>
      <c r="B65" s="557" t="s">
        <v>0</v>
      </c>
      <c r="C65" s="565" t="s">
        <v>1905</v>
      </c>
      <c r="D65" s="565" t="s">
        <v>1905</v>
      </c>
      <c r="E65" s="565" t="s">
        <v>1905</v>
      </c>
      <c r="F65" s="565" t="s">
        <v>1905</v>
      </c>
      <c r="G65" s="565" t="s">
        <v>1905</v>
      </c>
    </row>
    <row r="66" spans="1:7" ht="13">
      <c r="A66" s="558" t="s">
        <v>2101</v>
      </c>
      <c r="B66" s="557" t="s">
        <v>0</v>
      </c>
      <c r="C66" s="566" t="s">
        <v>1905</v>
      </c>
      <c r="D66" s="566" t="s">
        <v>1905</v>
      </c>
      <c r="E66" s="566" t="s">
        <v>1905</v>
      </c>
      <c r="F66" s="566" t="s">
        <v>1905</v>
      </c>
      <c r="G66" s="566" t="s">
        <v>1905</v>
      </c>
    </row>
    <row r="67" spans="1:7" ht="13">
      <c r="A67" s="558" t="s">
        <v>2100</v>
      </c>
      <c r="B67" s="557" t="s">
        <v>0</v>
      </c>
      <c r="C67" s="565" t="s">
        <v>1905</v>
      </c>
      <c r="D67" s="565" t="s">
        <v>1905</v>
      </c>
      <c r="E67" s="565" t="s">
        <v>1905</v>
      </c>
      <c r="F67" s="565" t="s">
        <v>1905</v>
      </c>
      <c r="G67" s="565" t="s">
        <v>1905</v>
      </c>
    </row>
    <row r="68" spans="1:7" ht="13">
      <c r="A68" s="558" t="s">
        <v>1917</v>
      </c>
      <c r="B68" s="557" t="s">
        <v>0</v>
      </c>
      <c r="C68" s="566" t="s">
        <v>1905</v>
      </c>
      <c r="D68" s="566" t="s">
        <v>1905</v>
      </c>
      <c r="E68" s="566" t="s">
        <v>1905</v>
      </c>
      <c r="F68" s="566" t="s">
        <v>1905</v>
      </c>
      <c r="G68" s="566" t="s">
        <v>1905</v>
      </c>
    </row>
    <row r="69" spans="1:7" ht="13">
      <c r="A69" s="558" t="s">
        <v>1916</v>
      </c>
      <c r="B69" s="557" t="s">
        <v>0</v>
      </c>
      <c r="C69" s="565" t="s">
        <v>1905</v>
      </c>
      <c r="D69" s="565" t="s">
        <v>1905</v>
      </c>
      <c r="E69" s="565" t="s">
        <v>1905</v>
      </c>
      <c r="F69" s="565" t="s">
        <v>1905</v>
      </c>
      <c r="G69" s="565" t="s">
        <v>1905</v>
      </c>
    </row>
    <row r="70" spans="1:7" ht="13">
      <c r="A70" s="558" t="s">
        <v>2099</v>
      </c>
      <c r="B70" s="557" t="s">
        <v>0</v>
      </c>
      <c r="C70" s="566">
        <v>3636</v>
      </c>
      <c r="D70" s="566">
        <v>4830</v>
      </c>
      <c r="E70" s="566">
        <v>4973</v>
      </c>
      <c r="F70" s="566">
        <v>3771</v>
      </c>
      <c r="G70" s="566">
        <v>3054</v>
      </c>
    </row>
    <row r="71" spans="1:7" ht="13">
      <c r="A71" s="558" t="s">
        <v>1909</v>
      </c>
      <c r="B71" s="557" t="s">
        <v>0</v>
      </c>
      <c r="C71" s="565" t="s">
        <v>1905</v>
      </c>
      <c r="D71" s="565" t="s">
        <v>1905</v>
      </c>
      <c r="E71" s="565" t="s">
        <v>1905</v>
      </c>
      <c r="F71" s="565" t="s">
        <v>1905</v>
      </c>
      <c r="G71" s="565" t="s">
        <v>1905</v>
      </c>
    </row>
    <row r="72" spans="1:7" ht="13">
      <c r="A72" s="558" t="s">
        <v>2098</v>
      </c>
      <c r="B72" s="557" t="s">
        <v>0</v>
      </c>
      <c r="C72" s="566">
        <v>119516</v>
      </c>
      <c r="D72" s="566">
        <v>131437</v>
      </c>
      <c r="E72" s="566">
        <v>115329</v>
      </c>
      <c r="F72" s="566">
        <v>108975</v>
      </c>
      <c r="G72" s="566">
        <v>117282</v>
      </c>
    </row>
    <row r="73" spans="1:7" ht="13">
      <c r="A73" s="558" t="s">
        <v>2097</v>
      </c>
      <c r="B73" s="557" t="s">
        <v>0</v>
      </c>
      <c r="C73" s="565" t="s">
        <v>1905</v>
      </c>
      <c r="D73" s="565" t="s">
        <v>1905</v>
      </c>
      <c r="E73" s="565" t="s">
        <v>1905</v>
      </c>
      <c r="F73" s="565" t="s">
        <v>1905</v>
      </c>
      <c r="G73" s="565" t="s">
        <v>1905</v>
      </c>
    </row>
    <row r="74" spans="1:7" ht="13">
      <c r="A74" s="558" t="s">
        <v>2096</v>
      </c>
      <c r="B74" s="557" t="s">
        <v>0</v>
      </c>
      <c r="C74" s="566">
        <v>15663</v>
      </c>
      <c r="D74" s="566">
        <v>22671</v>
      </c>
      <c r="E74" s="566">
        <v>19075</v>
      </c>
      <c r="F74" s="566">
        <v>18656</v>
      </c>
      <c r="G74" s="566">
        <v>19549</v>
      </c>
    </row>
    <row r="75" spans="1:7" ht="13">
      <c r="A75" s="558" t="s">
        <v>2095</v>
      </c>
      <c r="B75" s="557" t="s">
        <v>0</v>
      </c>
      <c r="C75" s="565" t="s">
        <v>1905</v>
      </c>
      <c r="D75" s="565" t="s">
        <v>1905</v>
      </c>
      <c r="E75" s="565" t="s">
        <v>1905</v>
      </c>
      <c r="F75" s="565" t="s">
        <v>1905</v>
      </c>
      <c r="G75" s="565" t="s">
        <v>1905</v>
      </c>
    </row>
    <row r="76" spans="1:7" ht="13">
      <c r="A76" s="558" t="s">
        <v>2094</v>
      </c>
      <c r="B76" s="557" t="s">
        <v>0</v>
      </c>
      <c r="C76" s="566" t="s">
        <v>1905</v>
      </c>
      <c r="D76" s="566" t="s">
        <v>1905</v>
      </c>
      <c r="E76" s="566" t="s">
        <v>1905</v>
      </c>
      <c r="F76" s="566" t="s">
        <v>1905</v>
      </c>
      <c r="G76" s="566" t="s">
        <v>1905</v>
      </c>
    </row>
    <row r="77" spans="1:7" ht="13">
      <c r="A77" s="558" t="s">
        <v>1183</v>
      </c>
      <c r="B77" s="557" t="s">
        <v>0</v>
      </c>
      <c r="C77" s="565" t="s">
        <v>1905</v>
      </c>
      <c r="D77" s="565" t="s">
        <v>1905</v>
      </c>
      <c r="E77" s="565" t="s">
        <v>1905</v>
      </c>
      <c r="F77" s="565" t="s">
        <v>1905</v>
      </c>
      <c r="G77" s="565" t="s">
        <v>1905</v>
      </c>
    </row>
    <row r="78" spans="1:7" ht="13">
      <c r="A78" s="558" t="s">
        <v>2093</v>
      </c>
      <c r="B78" s="557" t="s">
        <v>0</v>
      </c>
      <c r="C78" s="566" t="s">
        <v>1905</v>
      </c>
      <c r="D78" s="566" t="s">
        <v>1905</v>
      </c>
      <c r="E78" s="566" t="s">
        <v>1905</v>
      </c>
      <c r="F78" s="566" t="s">
        <v>1905</v>
      </c>
      <c r="G78" s="566" t="s">
        <v>1905</v>
      </c>
    </row>
    <row r="79" spans="1:7" ht="13">
      <c r="A79" s="558" t="s">
        <v>2092</v>
      </c>
      <c r="B79" s="557" t="s">
        <v>0</v>
      </c>
      <c r="C79" s="565">
        <v>1840</v>
      </c>
      <c r="D79" s="565">
        <v>3085</v>
      </c>
      <c r="E79" s="565">
        <v>1400</v>
      </c>
      <c r="F79" s="565">
        <v>1596</v>
      </c>
      <c r="G79" s="565">
        <v>1896</v>
      </c>
    </row>
    <row r="80" spans="1:7" ht="13">
      <c r="A80" s="558" t="s">
        <v>1902</v>
      </c>
      <c r="B80" s="557" t="s">
        <v>0</v>
      </c>
      <c r="C80" s="566">
        <v>12522</v>
      </c>
      <c r="D80" s="566">
        <v>6984</v>
      </c>
      <c r="E80" s="566">
        <v>11697</v>
      </c>
      <c r="F80" s="566">
        <v>12884</v>
      </c>
      <c r="G80" s="566">
        <v>13074</v>
      </c>
    </row>
    <row r="81" spans="1:7" ht="13">
      <c r="A81" s="558" t="s">
        <v>2091</v>
      </c>
      <c r="B81" s="557" t="s">
        <v>0</v>
      </c>
      <c r="C81" s="565" t="s">
        <v>1905</v>
      </c>
      <c r="D81" s="565" t="s">
        <v>1905</v>
      </c>
      <c r="E81" s="565" t="s">
        <v>1905</v>
      </c>
      <c r="F81" s="565" t="s">
        <v>1905</v>
      </c>
      <c r="G81" s="565" t="s">
        <v>1905</v>
      </c>
    </row>
    <row r="82" spans="1:7" ht="13">
      <c r="A82" s="558" t="s">
        <v>2090</v>
      </c>
      <c r="B82" s="557" t="s">
        <v>0</v>
      </c>
      <c r="C82" s="566" t="s">
        <v>1905</v>
      </c>
      <c r="D82" s="566" t="s">
        <v>1905</v>
      </c>
      <c r="E82" s="566" t="s">
        <v>1905</v>
      </c>
      <c r="F82" s="566" t="s">
        <v>1905</v>
      </c>
      <c r="G82" s="566" t="s">
        <v>1905</v>
      </c>
    </row>
    <row r="83" spans="1:7" ht="13">
      <c r="A83" s="558" t="s">
        <v>2089</v>
      </c>
      <c r="B83" s="557" t="s">
        <v>0</v>
      </c>
      <c r="C83" s="565">
        <v>870</v>
      </c>
      <c r="D83" s="565">
        <v>689</v>
      </c>
      <c r="E83" s="565">
        <v>747</v>
      </c>
      <c r="F83" s="565">
        <v>680</v>
      </c>
      <c r="G83" s="565">
        <v>592</v>
      </c>
    </row>
    <row r="84" spans="1:7" ht="13">
      <c r="A84" s="558" t="s">
        <v>2088</v>
      </c>
      <c r="B84" s="557" t="s">
        <v>0</v>
      </c>
      <c r="C84" s="566" t="s">
        <v>1905</v>
      </c>
      <c r="D84" s="566" t="s">
        <v>1905</v>
      </c>
      <c r="E84" s="566" t="s">
        <v>1905</v>
      </c>
      <c r="F84" s="566" t="s">
        <v>1905</v>
      </c>
      <c r="G84" s="566" t="s">
        <v>1905</v>
      </c>
    </row>
    <row r="85" spans="1:7" ht="13">
      <c r="A85" s="558" t="s">
        <v>2087</v>
      </c>
      <c r="B85" s="557" t="s">
        <v>0</v>
      </c>
      <c r="C85" s="565" t="s">
        <v>1905</v>
      </c>
      <c r="D85" s="565" t="s">
        <v>1905</v>
      </c>
      <c r="E85" s="565" t="s">
        <v>1905</v>
      </c>
      <c r="F85" s="565" t="s">
        <v>1905</v>
      </c>
      <c r="G85" s="565" t="s">
        <v>1905</v>
      </c>
    </row>
    <row r="86" spans="1:7" ht="13">
      <c r="A86" s="558" t="s">
        <v>2086</v>
      </c>
      <c r="B86" s="557" t="s">
        <v>0</v>
      </c>
      <c r="C86" s="566">
        <v>476</v>
      </c>
      <c r="D86" s="566">
        <v>596</v>
      </c>
      <c r="E86" s="566">
        <v>422</v>
      </c>
      <c r="F86" s="566">
        <v>435</v>
      </c>
      <c r="G86" s="566">
        <v>444</v>
      </c>
    </row>
    <row r="87" spans="1:7" ht="13">
      <c r="A87" s="558" t="s">
        <v>2085</v>
      </c>
      <c r="B87" s="557" t="s">
        <v>0</v>
      </c>
      <c r="C87" s="565" t="s">
        <v>1905</v>
      </c>
      <c r="D87" s="565" t="s">
        <v>1905</v>
      </c>
      <c r="E87" s="565" t="s">
        <v>1905</v>
      </c>
      <c r="F87" s="565" t="s">
        <v>1905</v>
      </c>
      <c r="G87" s="565" t="s">
        <v>1905</v>
      </c>
    </row>
    <row r="88" spans="1:7" ht="13">
      <c r="A88" s="558" t="s">
        <v>2084</v>
      </c>
      <c r="B88" s="557" t="s">
        <v>0</v>
      </c>
      <c r="C88" s="566" t="s">
        <v>1905</v>
      </c>
      <c r="D88" s="566" t="s">
        <v>1905</v>
      </c>
      <c r="E88" s="566" t="s">
        <v>1905</v>
      </c>
      <c r="F88" s="566" t="s">
        <v>1905</v>
      </c>
      <c r="G88" s="566" t="s">
        <v>1905</v>
      </c>
    </row>
    <row r="89" spans="1:7" ht="13">
      <c r="A89" s="558" t="s">
        <v>2083</v>
      </c>
      <c r="B89" s="557" t="s">
        <v>0</v>
      </c>
      <c r="C89" s="565">
        <v>149</v>
      </c>
      <c r="D89" s="565">
        <v>132</v>
      </c>
      <c r="E89" s="565">
        <v>148</v>
      </c>
      <c r="F89" s="565">
        <v>156</v>
      </c>
      <c r="G89" s="565">
        <v>74</v>
      </c>
    </row>
    <row r="90" spans="1:7" ht="13">
      <c r="A90" s="558" t="s">
        <v>2082</v>
      </c>
      <c r="B90" s="557" t="s">
        <v>0</v>
      </c>
      <c r="C90" s="566" t="s">
        <v>1905</v>
      </c>
      <c r="D90" s="566" t="s">
        <v>1905</v>
      </c>
      <c r="E90" s="566" t="s">
        <v>1905</v>
      </c>
      <c r="F90" s="566" t="s">
        <v>1905</v>
      </c>
      <c r="G90" s="566" t="s">
        <v>1905</v>
      </c>
    </row>
    <row r="91" spans="1:7" ht="13">
      <c r="A91" s="558" t="s">
        <v>2081</v>
      </c>
      <c r="B91" s="557" t="s">
        <v>0</v>
      </c>
      <c r="C91" s="565" t="s">
        <v>1905</v>
      </c>
      <c r="D91" s="565" t="s">
        <v>1905</v>
      </c>
      <c r="E91" s="565" t="s">
        <v>1905</v>
      </c>
      <c r="F91" s="565" t="s">
        <v>1905</v>
      </c>
      <c r="G91" s="565" t="s">
        <v>1905</v>
      </c>
    </row>
    <row r="92" spans="1:7" ht="13">
      <c r="A92" s="558" t="s">
        <v>2080</v>
      </c>
      <c r="B92" s="557" t="s">
        <v>0</v>
      </c>
      <c r="C92" s="566" t="s">
        <v>1905</v>
      </c>
      <c r="D92" s="566" t="s">
        <v>1905</v>
      </c>
      <c r="E92" s="566" t="s">
        <v>1905</v>
      </c>
      <c r="F92" s="566" t="s">
        <v>1905</v>
      </c>
      <c r="G92" s="566" t="s">
        <v>1905</v>
      </c>
    </row>
    <row r="93" spans="1:7" ht="13">
      <c r="A93" s="558" t="s">
        <v>2079</v>
      </c>
      <c r="B93" s="557" t="s">
        <v>0</v>
      </c>
      <c r="C93" s="565" t="s">
        <v>1905</v>
      </c>
      <c r="D93" s="565" t="s">
        <v>1905</v>
      </c>
      <c r="E93" s="565" t="s">
        <v>1905</v>
      </c>
      <c r="F93" s="565" t="s">
        <v>1905</v>
      </c>
      <c r="G93" s="565" t="s">
        <v>1905</v>
      </c>
    </row>
    <row r="94" spans="1:7" ht="13">
      <c r="A94" s="558" t="s">
        <v>2078</v>
      </c>
      <c r="B94" s="557" t="s">
        <v>0</v>
      </c>
      <c r="C94" s="566" t="s">
        <v>1905</v>
      </c>
      <c r="D94" s="566" t="s">
        <v>1905</v>
      </c>
      <c r="E94" s="566" t="s">
        <v>1905</v>
      </c>
      <c r="F94" s="566" t="s">
        <v>1905</v>
      </c>
      <c r="G94" s="566" t="s">
        <v>1905</v>
      </c>
    </row>
    <row r="95" spans="1:7" ht="13">
      <c r="A95" s="558" t="s">
        <v>2077</v>
      </c>
      <c r="B95" s="557" t="s">
        <v>0</v>
      </c>
      <c r="C95" s="565" t="s">
        <v>1905</v>
      </c>
      <c r="D95" s="565" t="s">
        <v>1905</v>
      </c>
      <c r="E95" s="565" t="s">
        <v>1905</v>
      </c>
      <c r="F95" s="565" t="s">
        <v>1905</v>
      </c>
      <c r="G95" s="565" t="s">
        <v>1905</v>
      </c>
    </row>
    <row r="96" spans="1:7" ht="13">
      <c r="A96" s="558" t="s">
        <v>2076</v>
      </c>
      <c r="B96" s="557" t="s">
        <v>0</v>
      </c>
      <c r="C96" s="566">
        <v>121</v>
      </c>
      <c r="D96" s="566">
        <v>0</v>
      </c>
      <c r="E96" s="566">
        <v>193</v>
      </c>
      <c r="F96" s="566">
        <v>-211</v>
      </c>
      <c r="G96" s="566">
        <v>-238</v>
      </c>
    </row>
    <row r="97" spans="1:7" ht="13">
      <c r="A97" s="558" t="s">
        <v>2075</v>
      </c>
      <c r="B97" s="557" t="s">
        <v>0</v>
      </c>
      <c r="C97" s="565" t="s">
        <v>1905</v>
      </c>
      <c r="D97" s="565" t="s">
        <v>1905</v>
      </c>
      <c r="E97" s="565" t="s">
        <v>1905</v>
      </c>
      <c r="F97" s="565" t="s">
        <v>1905</v>
      </c>
      <c r="G97" s="565" t="s">
        <v>1905</v>
      </c>
    </row>
    <row r="98" spans="1:7" ht="13">
      <c r="A98" s="558" t="s">
        <v>2074</v>
      </c>
      <c r="B98" s="557" t="s">
        <v>0</v>
      </c>
      <c r="C98" s="566" t="s">
        <v>1905</v>
      </c>
      <c r="D98" s="566" t="s">
        <v>1905</v>
      </c>
      <c r="E98" s="566" t="s">
        <v>1905</v>
      </c>
      <c r="F98" s="566" t="s">
        <v>1905</v>
      </c>
      <c r="G98" s="566" t="s">
        <v>1905</v>
      </c>
    </row>
    <row r="99" spans="1:7" ht="13">
      <c r="A99" s="558" t="s">
        <v>2073</v>
      </c>
      <c r="B99" s="557" t="s">
        <v>0</v>
      </c>
      <c r="C99" s="565" t="s">
        <v>1905</v>
      </c>
      <c r="D99" s="565" t="s">
        <v>1905</v>
      </c>
      <c r="E99" s="565" t="s">
        <v>1905</v>
      </c>
      <c r="F99" s="565" t="s">
        <v>1905</v>
      </c>
      <c r="G99" s="565" t="s">
        <v>1905</v>
      </c>
    </row>
    <row r="100" spans="1:7" ht="13">
      <c r="A100" s="558" t="s">
        <v>2072</v>
      </c>
      <c r="B100" s="557" t="s">
        <v>0</v>
      </c>
      <c r="C100" s="566" t="s">
        <v>1905</v>
      </c>
      <c r="D100" s="566" t="s">
        <v>1905</v>
      </c>
      <c r="E100" s="566" t="s">
        <v>1905</v>
      </c>
      <c r="F100" s="566" t="s">
        <v>1905</v>
      </c>
      <c r="G100" s="566" t="s">
        <v>1905</v>
      </c>
    </row>
    <row r="101" spans="1:7" ht="13">
      <c r="A101" s="558" t="s">
        <v>2071</v>
      </c>
      <c r="B101" s="557" t="s">
        <v>0</v>
      </c>
      <c r="C101" s="565">
        <v>36264</v>
      </c>
      <c r="D101" s="565">
        <v>37903</v>
      </c>
      <c r="E101" s="565">
        <v>29738</v>
      </c>
      <c r="F101" s="565">
        <v>29982</v>
      </c>
      <c r="G101" s="565">
        <v>21529</v>
      </c>
    </row>
    <row r="102" spans="1:7" ht="13">
      <c r="A102" s="558" t="s">
        <v>1898</v>
      </c>
      <c r="B102" s="557" t="s">
        <v>0</v>
      </c>
      <c r="C102" s="566">
        <v>5039</v>
      </c>
      <c r="D102" s="566">
        <v>5440</v>
      </c>
      <c r="E102" s="566">
        <v>4560</v>
      </c>
      <c r="F102" s="566">
        <v>4324</v>
      </c>
      <c r="G102" s="566">
        <v>5408</v>
      </c>
    </row>
    <row r="103" spans="1:7" ht="13">
      <c r="A103" s="558" t="s">
        <v>2070</v>
      </c>
      <c r="B103" s="557" t="s">
        <v>0</v>
      </c>
      <c r="C103" s="565" t="s">
        <v>1905</v>
      </c>
      <c r="D103" s="565" t="s">
        <v>1905</v>
      </c>
      <c r="E103" s="565" t="s">
        <v>1905</v>
      </c>
      <c r="F103" s="565" t="s">
        <v>1905</v>
      </c>
      <c r="G103" s="565" t="s">
        <v>1905</v>
      </c>
    </row>
    <row r="104" spans="1:7" ht="13">
      <c r="A104" s="558" t="s">
        <v>1899</v>
      </c>
      <c r="B104" s="557" t="s">
        <v>0</v>
      </c>
      <c r="C104" s="566">
        <v>15764</v>
      </c>
      <c r="D104" s="566">
        <v>14745</v>
      </c>
      <c r="E104" s="566">
        <v>10030</v>
      </c>
      <c r="F104" s="566">
        <v>10200</v>
      </c>
      <c r="G104" s="566">
        <v>6618</v>
      </c>
    </row>
    <row r="105" spans="1:7" ht="13">
      <c r="A105" s="558" t="s">
        <v>2069</v>
      </c>
      <c r="B105" s="557" t="s">
        <v>0</v>
      </c>
      <c r="C105" s="565">
        <v>2451</v>
      </c>
      <c r="D105" s="565">
        <v>2870</v>
      </c>
      <c r="E105" s="565">
        <v>3035</v>
      </c>
      <c r="F105" s="565">
        <v>2548</v>
      </c>
      <c r="G105" s="565">
        <v>1804</v>
      </c>
    </row>
    <row r="106" spans="1:7" ht="13">
      <c r="A106" s="558" t="s">
        <v>2068</v>
      </c>
      <c r="B106" s="557" t="s">
        <v>0</v>
      </c>
      <c r="C106" s="566">
        <v>326</v>
      </c>
      <c r="D106" s="566">
        <v>318</v>
      </c>
      <c r="E106" s="566">
        <v>325</v>
      </c>
      <c r="F106" s="566">
        <v>367</v>
      </c>
      <c r="G106" s="566">
        <v>293</v>
      </c>
    </row>
    <row r="107" spans="1:7" ht="13">
      <c r="A107" s="558" t="s">
        <v>2067</v>
      </c>
      <c r="B107" s="557" t="s">
        <v>0</v>
      </c>
      <c r="C107" s="565" t="s">
        <v>1905</v>
      </c>
      <c r="D107" s="565" t="s">
        <v>1905</v>
      </c>
      <c r="E107" s="565" t="s">
        <v>1905</v>
      </c>
      <c r="F107" s="565" t="s">
        <v>1905</v>
      </c>
      <c r="G107" s="565" t="s">
        <v>1905</v>
      </c>
    </row>
    <row r="108" spans="1:7" ht="13">
      <c r="A108" s="558" t="s">
        <v>2066</v>
      </c>
      <c r="B108" s="557" t="s">
        <v>0</v>
      </c>
      <c r="C108" s="566">
        <v>3823</v>
      </c>
      <c r="D108" s="566">
        <v>3824</v>
      </c>
      <c r="E108" s="566">
        <v>3567</v>
      </c>
      <c r="F108" s="566">
        <v>3134</v>
      </c>
      <c r="G108" s="566">
        <v>2386</v>
      </c>
    </row>
    <row r="109" spans="1:7" ht="13">
      <c r="A109" s="558" t="s">
        <v>2065</v>
      </c>
      <c r="B109" s="557" t="s">
        <v>0</v>
      </c>
      <c r="C109" s="565" t="s">
        <v>1905</v>
      </c>
      <c r="D109" s="565" t="s">
        <v>1905</v>
      </c>
      <c r="E109" s="565" t="s">
        <v>1905</v>
      </c>
      <c r="F109" s="565" t="s">
        <v>1905</v>
      </c>
      <c r="G109" s="565" t="s">
        <v>1905</v>
      </c>
    </row>
    <row r="110" spans="1:7" ht="13">
      <c r="A110" s="558" t="s">
        <v>2064</v>
      </c>
      <c r="B110" s="557" t="s">
        <v>0</v>
      </c>
      <c r="C110" s="566" t="s">
        <v>1905</v>
      </c>
      <c r="D110" s="566" t="s">
        <v>1905</v>
      </c>
      <c r="E110" s="566" t="s">
        <v>1905</v>
      </c>
      <c r="F110" s="566" t="s">
        <v>1905</v>
      </c>
      <c r="G110" s="566" t="s">
        <v>1905</v>
      </c>
    </row>
    <row r="111" spans="1:7" ht="13">
      <c r="A111" s="558" t="s">
        <v>2063</v>
      </c>
      <c r="B111" s="557" t="s">
        <v>0</v>
      </c>
      <c r="C111" s="565" t="s">
        <v>1905</v>
      </c>
      <c r="D111" s="565" t="s">
        <v>1905</v>
      </c>
      <c r="E111" s="565" t="s">
        <v>1905</v>
      </c>
      <c r="F111" s="565" t="s">
        <v>1905</v>
      </c>
      <c r="G111" s="565" t="s">
        <v>1905</v>
      </c>
    </row>
    <row r="112" spans="1:7" ht="13">
      <c r="A112" s="558" t="s">
        <v>2062</v>
      </c>
      <c r="B112" s="557" t="s">
        <v>0</v>
      </c>
      <c r="C112" s="566">
        <v>2222</v>
      </c>
      <c r="D112" s="566">
        <v>3060</v>
      </c>
      <c r="E112" s="566">
        <v>3922</v>
      </c>
      <c r="F112" s="566">
        <v>2664</v>
      </c>
      <c r="G112" s="566">
        <v>-196</v>
      </c>
    </row>
    <row r="113" spans="1:7" ht="13">
      <c r="A113" s="558" t="s">
        <v>777</v>
      </c>
      <c r="B113" s="557" t="s">
        <v>0</v>
      </c>
      <c r="C113" s="565">
        <v>101893</v>
      </c>
      <c r="D113" s="565">
        <v>137237</v>
      </c>
      <c r="E113" s="565">
        <v>140026</v>
      </c>
      <c r="F113" s="565">
        <v>134959</v>
      </c>
      <c r="G113" s="565">
        <v>147207</v>
      </c>
    </row>
    <row r="114" spans="1:7" ht="13">
      <c r="A114" s="558" t="s">
        <v>2061</v>
      </c>
      <c r="B114" s="557" t="s">
        <v>0</v>
      </c>
      <c r="C114" s="566">
        <v>12688</v>
      </c>
      <c r="D114" s="566">
        <v>21872</v>
      </c>
      <c r="E114" s="566">
        <v>23282</v>
      </c>
      <c r="F114" s="566">
        <v>20505</v>
      </c>
      <c r="G114" s="566">
        <v>17555</v>
      </c>
    </row>
    <row r="115" spans="1:7" ht="13">
      <c r="A115" s="558" t="s">
        <v>2060</v>
      </c>
      <c r="B115" s="557" t="s">
        <v>0</v>
      </c>
      <c r="C115" s="565">
        <v>3754</v>
      </c>
      <c r="D115" s="565">
        <v>9560</v>
      </c>
      <c r="E115" s="565">
        <v>10866</v>
      </c>
      <c r="F115" s="565">
        <v>11193</v>
      </c>
      <c r="G115" s="565">
        <v>7725</v>
      </c>
    </row>
    <row r="116" spans="1:7" ht="13">
      <c r="A116" s="558" t="s">
        <v>2059</v>
      </c>
      <c r="B116" s="557" t="s">
        <v>0</v>
      </c>
      <c r="C116" s="566" t="s">
        <v>1905</v>
      </c>
      <c r="D116" s="566" t="s">
        <v>1905</v>
      </c>
      <c r="E116" s="566" t="s">
        <v>1905</v>
      </c>
      <c r="F116" s="566" t="s">
        <v>1905</v>
      </c>
      <c r="G116" s="566" t="s">
        <v>1905</v>
      </c>
    </row>
    <row r="117" spans="1:7" ht="13">
      <c r="A117" s="558" t="s">
        <v>2058</v>
      </c>
      <c r="B117" s="557" t="s">
        <v>0</v>
      </c>
      <c r="C117" s="565" t="s">
        <v>1905</v>
      </c>
      <c r="D117" s="565" t="s">
        <v>1905</v>
      </c>
      <c r="E117" s="565" t="s">
        <v>1905</v>
      </c>
      <c r="F117" s="565" t="s">
        <v>1905</v>
      </c>
      <c r="G117" s="565" t="s">
        <v>1905</v>
      </c>
    </row>
    <row r="118" spans="1:7" ht="13">
      <c r="A118" s="558" t="s">
        <v>2057</v>
      </c>
      <c r="B118" s="557" t="s">
        <v>0</v>
      </c>
      <c r="C118" s="566" t="s">
        <v>1905</v>
      </c>
      <c r="D118" s="566" t="s">
        <v>1905</v>
      </c>
      <c r="E118" s="566" t="s">
        <v>1905</v>
      </c>
      <c r="F118" s="566" t="s">
        <v>1905</v>
      </c>
      <c r="G118" s="566" t="s">
        <v>1905</v>
      </c>
    </row>
    <row r="119" spans="1:7" ht="13">
      <c r="A119" s="558" t="s">
        <v>2056</v>
      </c>
      <c r="B119" s="557" t="s">
        <v>0</v>
      </c>
      <c r="C119" s="565" t="s">
        <v>1905</v>
      </c>
      <c r="D119" s="565" t="s">
        <v>1905</v>
      </c>
      <c r="E119" s="565" t="s">
        <v>1905</v>
      </c>
      <c r="F119" s="565" t="s">
        <v>1905</v>
      </c>
      <c r="G119" s="565" t="s">
        <v>1905</v>
      </c>
    </row>
    <row r="120" spans="1:7" ht="13">
      <c r="A120" s="558" t="s">
        <v>2055</v>
      </c>
      <c r="B120" s="557" t="s">
        <v>0</v>
      </c>
      <c r="C120" s="566" t="s">
        <v>1905</v>
      </c>
      <c r="D120" s="566" t="s">
        <v>1905</v>
      </c>
      <c r="E120" s="566" t="s">
        <v>1905</v>
      </c>
      <c r="F120" s="566" t="s">
        <v>1905</v>
      </c>
      <c r="G120" s="566" t="s">
        <v>1905</v>
      </c>
    </row>
    <row r="121" spans="1:7" ht="13">
      <c r="A121" s="558" t="s">
        <v>2054</v>
      </c>
      <c r="B121" s="557" t="s">
        <v>0</v>
      </c>
      <c r="C121" s="565" t="s">
        <v>1905</v>
      </c>
      <c r="D121" s="565" t="s">
        <v>1905</v>
      </c>
      <c r="E121" s="565" t="s">
        <v>1905</v>
      </c>
      <c r="F121" s="565" t="s">
        <v>1905</v>
      </c>
      <c r="G121" s="565" t="s">
        <v>1905</v>
      </c>
    </row>
    <row r="122" spans="1:7" ht="13">
      <c r="A122" s="558" t="s">
        <v>2053</v>
      </c>
      <c r="B122" s="557" t="s">
        <v>0</v>
      </c>
      <c r="C122" s="566" t="s">
        <v>1905</v>
      </c>
      <c r="D122" s="566" t="s">
        <v>1905</v>
      </c>
      <c r="E122" s="566" t="s">
        <v>1905</v>
      </c>
      <c r="F122" s="566" t="s">
        <v>1905</v>
      </c>
      <c r="G122" s="566" t="s">
        <v>1905</v>
      </c>
    </row>
    <row r="123" spans="1:7" ht="13">
      <c r="A123" s="558" t="s">
        <v>2052</v>
      </c>
      <c r="B123" s="557" t="s">
        <v>0</v>
      </c>
      <c r="C123" s="565" t="s">
        <v>1905</v>
      </c>
      <c r="D123" s="565" t="s">
        <v>1905</v>
      </c>
      <c r="E123" s="565" t="s">
        <v>1905</v>
      </c>
      <c r="F123" s="565" t="s">
        <v>1905</v>
      </c>
      <c r="G123" s="565" t="s">
        <v>1905</v>
      </c>
    </row>
    <row r="124" spans="1:7" ht="13">
      <c r="A124" s="558" t="s">
        <v>2051</v>
      </c>
      <c r="B124" s="557" t="s">
        <v>0</v>
      </c>
      <c r="C124" s="566" t="s">
        <v>1905</v>
      </c>
      <c r="D124" s="566" t="s">
        <v>1905</v>
      </c>
      <c r="E124" s="566" t="s">
        <v>1905</v>
      </c>
      <c r="F124" s="566" t="s">
        <v>1905</v>
      </c>
      <c r="G124" s="566" t="s">
        <v>1905</v>
      </c>
    </row>
    <row r="125" spans="1:7" ht="13">
      <c r="A125" s="558" t="s">
        <v>2050</v>
      </c>
      <c r="B125" s="557" t="s">
        <v>0</v>
      </c>
      <c r="C125" s="565" t="s">
        <v>1905</v>
      </c>
      <c r="D125" s="565" t="s">
        <v>1905</v>
      </c>
      <c r="E125" s="565" t="s">
        <v>1905</v>
      </c>
      <c r="F125" s="565" t="s">
        <v>1905</v>
      </c>
      <c r="G125" s="565" t="s">
        <v>1905</v>
      </c>
    </row>
    <row r="126" spans="1:7" ht="13">
      <c r="A126" s="558" t="s">
        <v>2049</v>
      </c>
      <c r="B126" s="557" t="s">
        <v>0</v>
      </c>
      <c r="C126" s="566" t="s">
        <v>1905</v>
      </c>
      <c r="D126" s="566" t="s">
        <v>1905</v>
      </c>
      <c r="E126" s="566" t="s">
        <v>1905</v>
      </c>
      <c r="F126" s="566" t="s">
        <v>1905</v>
      </c>
      <c r="G126" s="566" t="s">
        <v>1905</v>
      </c>
    </row>
    <row r="127" spans="1:7" ht="13">
      <c r="A127" s="558" t="s">
        <v>2048</v>
      </c>
      <c r="B127" s="557" t="s">
        <v>0</v>
      </c>
      <c r="C127" s="565">
        <v>408</v>
      </c>
      <c r="D127" s="565">
        <v>3271</v>
      </c>
      <c r="E127" s="565">
        <v>2926</v>
      </c>
      <c r="F127" s="565">
        <v>2811</v>
      </c>
      <c r="G127" s="565">
        <v>2615</v>
      </c>
    </row>
    <row r="128" spans="1:7" ht="13">
      <c r="A128" s="558" t="s">
        <v>2047</v>
      </c>
      <c r="B128" s="557" t="s">
        <v>0</v>
      </c>
      <c r="C128" s="566" t="s">
        <v>1905</v>
      </c>
      <c r="D128" s="566" t="s">
        <v>1905</v>
      </c>
      <c r="E128" s="566" t="s">
        <v>1905</v>
      </c>
      <c r="F128" s="566" t="s">
        <v>1905</v>
      </c>
      <c r="G128" s="566" t="s">
        <v>1905</v>
      </c>
    </row>
    <row r="129" spans="1:7" ht="13">
      <c r="A129" s="558" t="s">
        <v>2046</v>
      </c>
      <c r="B129" s="557" t="s">
        <v>0</v>
      </c>
      <c r="C129" s="565" t="s">
        <v>1905</v>
      </c>
      <c r="D129" s="565" t="s">
        <v>1905</v>
      </c>
      <c r="E129" s="565" t="s">
        <v>1905</v>
      </c>
      <c r="F129" s="565" t="s">
        <v>1905</v>
      </c>
      <c r="G129" s="565" t="s">
        <v>1905</v>
      </c>
    </row>
    <row r="130" spans="1:7" ht="13">
      <c r="A130" s="558" t="s">
        <v>2045</v>
      </c>
      <c r="B130" s="557" t="s">
        <v>0</v>
      </c>
      <c r="C130" s="566">
        <v>89205</v>
      </c>
      <c r="D130" s="566">
        <v>115365</v>
      </c>
      <c r="E130" s="566">
        <v>116744</v>
      </c>
      <c r="F130" s="566">
        <v>114454</v>
      </c>
      <c r="G130" s="566">
        <v>129652</v>
      </c>
    </row>
    <row r="131" spans="1:7" ht="13">
      <c r="A131" s="558" t="s">
        <v>2044</v>
      </c>
      <c r="B131" s="557" t="s">
        <v>0</v>
      </c>
      <c r="C131" s="565" t="s">
        <v>1905</v>
      </c>
      <c r="D131" s="565" t="s">
        <v>1905</v>
      </c>
      <c r="E131" s="565" t="s">
        <v>1905</v>
      </c>
      <c r="F131" s="565" t="s">
        <v>1905</v>
      </c>
      <c r="G131" s="565" t="s">
        <v>1905</v>
      </c>
    </row>
    <row r="132" spans="1:7" ht="13">
      <c r="A132" s="558" t="s">
        <v>2043</v>
      </c>
      <c r="B132" s="557" t="s">
        <v>0</v>
      </c>
      <c r="C132" s="566" t="s">
        <v>1905</v>
      </c>
      <c r="D132" s="566" t="s">
        <v>1905</v>
      </c>
      <c r="E132" s="566" t="s">
        <v>1905</v>
      </c>
      <c r="F132" s="566" t="s">
        <v>1905</v>
      </c>
      <c r="G132" s="566" t="s">
        <v>1905</v>
      </c>
    </row>
    <row r="133" spans="1:7" ht="13">
      <c r="A133" s="558" t="s">
        <v>2042</v>
      </c>
      <c r="B133" s="557" t="s">
        <v>0</v>
      </c>
      <c r="C133" s="565" t="s">
        <v>1905</v>
      </c>
      <c r="D133" s="565" t="s">
        <v>1905</v>
      </c>
      <c r="E133" s="565" t="s">
        <v>1905</v>
      </c>
      <c r="F133" s="565" t="s">
        <v>1905</v>
      </c>
      <c r="G133" s="565" t="s">
        <v>1905</v>
      </c>
    </row>
    <row r="134" spans="1:7" ht="13">
      <c r="A134" s="558" t="s">
        <v>2041</v>
      </c>
      <c r="B134" s="557" t="s">
        <v>0</v>
      </c>
      <c r="C134" s="566" t="s">
        <v>1905</v>
      </c>
      <c r="D134" s="566" t="s">
        <v>1905</v>
      </c>
      <c r="E134" s="566" t="s">
        <v>1905</v>
      </c>
      <c r="F134" s="566" t="s">
        <v>1905</v>
      </c>
      <c r="G134" s="566" t="s">
        <v>1905</v>
      </c>
    </row>
    <row r="135" spans="1:7" ht="13">
      <c r="A135" s="558" t="s">
        <v>1893</v>
      </c>
      <c r="B135" s="557" t="s">
        <v>0</v>
      </c>
      <c r="C135" s="565">
        <v>14038</v>
      </c>
      <c r="D135" s="565">
        <v>18989</v>
      </c>
      <c r="E135" s="565">
        <v>17812</v>
      </c>
      <c r="F135" s="565">
        <v>20022</v>
      </c>
      <c r="G135" s="565">
        <v>26895</v>
      </c>
    </row>
    <row r="136" spans="1:7" ht="13">
      <c r="A136" s="558" t="s">
        <v>2040</v>
      </c>
      <c r="B136" s="557" t="s">
        <v>0</v>
      </c>
      <c r="C136" s="566">
        <v>6427</v>
      </c>
      <c r="D136" s="566">
        <v>7603</v>
      </c>
      <c r="E136" s="566">
        <v>7094</v>
      </c>
      <c r="F136" s="566">
        <v>7303</v>
      </c>
      <c r="G136" s="566">
        <v>9179</v>
      </c>
    </row>
    <row r="137" spans="1:7" ht="13">
      <c r="A137" s="558" t="s">
        <v>1931</v>
      </c>
      <c r="B137" s="557" t="s">
        <v>0</v>
      </c>
      <c r="C137" s="565">
        <v>9788</v>
      </c>
      <c r="D137" s="565">
        <v>10747</v>
      </c>
      <c r="E137" s="565">
        <v>9932</v>
      </c>
      <c r="F137" s="565">
        <v>8621</v>
      </c>
      <c r="G137" s="565">
        <v>7076</v>
      </c>
    </row>
    <row r="138" spans="1:7" ht="13">
      <c r="A138" s="558" t="s">
        <v>1901</v>
      </c>
      <c r="B138" s="557" t="s">
        <v>0</v>
      </c>
      <c r="C138" s="566">
        <v>5514</v>
      </c>
      <c r="D138" s="566">
        <v>6113</v>
      </c>
      <c r="E138" s="566">
        <v>5787</v>
      </c>
      <c r="F138" s="566">
        <v>4045</v>
      </c>
      <c r="G138" s="566">
        <v>7240</v>
      </c>
    </row>
    <row r="139" spans="1:7" ht="13">
      <c r="A139" s="558" t="s">
        <v>2039</v>
      </c>
      <c r="B139" s="557" t="s">
        <v>0</v>
      </c>
      <c r="C139" s="565" t="s">
        <v>1905</v>
      </c>
      <c r="D139" s="565" t="s">
        <v>1905</v>
      </c>
      <c r="E139" s="565" t="s">
        <v>1905</v>
      </c>
      <c r="F139" s="565" t="s">
        <v>1905</v>
      </c>
      <c r="G139" s="565" t="s">
        <v>1905</v>
      </c>
    </row>
    <row r="140" spans="1:7" ht="13">
      <c r="A140" s="558" t="s">
        <v>2038</v>
      </c>
      <c r="B140" s="557" t="s">
        <v>0</v>
      </c>
      <c r="C140" s="566" t="s">
        <v>1905</v>
      </c>
      <c r="D140" s="566" t="s">
        <v>1905</v>
      </c>
      <c r="E140" s="566" t="s">
        <v>1905</v>
      </c>
      <c r="F140" s="566" t="s">
        <v>1905</v>
      </c>
      <c r="G140" s="566" t="s">
        <v>1905</v>
      </c>
    </row>
    <row r="141" spans="1:7" ht="13">
      <c r="A141" s="558" t="s">
        <v>2037</v>
      </c>
      <c r="B141" s="557" t="s">
        <v>0</v>
      </c>
      <c r="C141" s="565" t="s">
        <v>1905</v>
      </c>
      <c r="D141" s="565" t="s">
        <v>1905</v>
      </c>
      <c r="E141" s="565" t="s">
        <v>1905</v>
      </c>
      <c r="F141" s="565" t="s">
        <v>1905</v>
      </c>
      <c r="G141" s="565" t="s">
        <v>1905</v>
      </c>
    </row>
    <row r="142" spans="1:7" ht="13">
      <c r="A142" s="558" t="s">
        <v>2036</v>
      </c>
      <c r="B142" s="557" t="s">
        <v>0</v>
      </c>
      <c r="C142" s="566" t="s">
        <v>1905</v>
      </c>
      <c r="D142" s="566" t="s">
        <v>1905</v>
      </c>
      <c r="E142" s="566" t="s">
        <v>1905</v>
      </c>
      <c r="F142" s="566" t="s">
        <v>1905</v>
      </c>
      <c r="G142" s="566" t="s">
        <v>1905</v>
      </c>
    </row>
    <row r="143" spans="1:7" ht="13">
      <c r="A143" s="558" t="s">
        <v>2035</v>
      </c>
      <c r="B143" s="557" t="s">
        <v>0</v>
      </c>
      <c r="C143" s="565" t="s">
        <v>1905</v>
      </c>
      <c r="D143" s="565" t="s">
        <v>1905</v>
      </c>
      <c r="E143" s="565" t="s">
        <v>1905</v>
      </c>
      <c r="F143" s="565" t="s">
        <v>1905</v>
      </c>
      <c r="G143" s="565" t="s">
        <v>1905</v>
      </c>
    </row>
    <row r="144" spans="1:7" ht="13">
      <c r="A144" s="558" t="s">
        <v>2034</v>
      </c>
      <c r="B144" s="557" t="s">
        <v>0</v>
      </c>
      <c r="C144" s="566" t="s">
        <v>1905</v>
      </c>
      <c r="D144" s="566" t="s">
        <v>1905</v>
      </c>
      <c r="E144" s="566" t="s">
        <v>1905</v>
      </c>
      <c r="F144" s="566" t="s">
        <v>1905</v>
      </c>
      <c r="G144" s="566" t="s">
        <v>1905</v>
      </c>
    </row>
    <row r="145" spans="1:7" ht="13">
      <c r="A145" s="558" t="s">
        <v>2033</v>
      </c>
      <c r="B145" s="557" t="s">
        <v>0</v>
      </c>
      <c r="C145" s="565" t="s">
        <v>1905</v>
      </c>
      <c r="D145" s="565" t="s">
        <v>1905</v>
      </c>
      <c r="E145" s="565" t="s">
        <v>1905</v>
      </c>
      <c r="F145" s="565" t="s">
        <v>1905</v>
      </c>
      <c r="G145" s="565" t="s">
        <v>1905</v>
      </c>
    </row>
    <row r="146" spans="1:7" ht="13">
      <c r="A146" s="558" t="s">
        <v>2032</v>
      </c>
      <c r="B146" s="557" t="s">
        <v>0</v>
      </c>
      <c r="C146" s="566" t="s">
        <v>1905</v>
      </c>
      <c r="D146" s="566" t="s">
        <v>1905</v>
      </c>
      <c r="E146" s="566" t="s">
        <v>1905</v>
      </c>
      <c r="F146" s="566" t="s">
        <v>1905</v>
      </c>
      <c r="G146" s="566" t="s">
        <v>1905</v>
      </c>
    </row>
    <row r="147" spans="1:7" ht="13">
      <c r="A147" s="558" t="s">
        <v>2031</v>
      </c>
      <c r="B147" s="557" t="s">
        <v>0</v>
      </c>
      <c r="C147" s="565" t="s">
        <v>1905</v>
      </c>
      <c r="D147" s="565" t="s">
        <v>1905</v>
      </c>
      <c r="E147" s="565" t="s">
        <v>1905</v>
      </c>
      <c r="F147" s="565" t="s">
        <v>1905</v>
      </c>
      <c r="G147" s="565" t="s">
        <v>1905</v>
      </c>
    </row>
    <row r="148" spans="1:7" ht="13">
      <c r="A148" s="558" t="s">
        <v>1924</v>
      </c>
      <c r="B148" s="557" t="s">
        <v>0</v>
      </c>
      <c r="C148" s="566">
        <v>7028</v>
      </c>
      <c r="D148" s="566">
        <v>6830</v>
      </c>
      <c r="E148" s="566">
        <v>7615</v>
      </c>
      <c r="F148" s="566">
        <v>6854</v>
      </c>
      <c r="G148" s="566">
        <v>5756</v>
      </c>
    </row>
    <row r="149" spans="1:7" ht="13">
      <c r="A149" s="558" t="s">
        <v>2030</v>
      </c>
      <c r="B149" s="557" t="s">
        <v>0</v>
      </c>
      <c r="C149" s="565" t="s">
        <v>1905</v>
      </c>
      <c r="D149" s="565" t="s">
        <v>1905</v>
      </c>
      <c r="E149" s="565" t="s">
        <v>1905</v>
      </c>
      <c r="F149" s="565" t="s">
        <v>1905</v>
      </c>
      <c r="G149" s="565" t="s">
        <v>1905</v>
      </c>
    </row>
    <row r="150" spans="1:7" ht="13">
      <c r="A150" s="558" t="s">
        <v>1920</v>
      </c>
      <c r="B150" s="557" t="s">
        <v>0</v>
      </c>
      <c r="C150" s="566">
        <v>1696</v>
      </c>
      <c r="D150" s="566">
        <v>1624</v>
      </c>
      <c r="E150" s="566">
        <v>2054</v>
      </c>
      <c r="F150" s="566">
        <v>1869</v>
      </c>
      <c r="G150" s="566">
        <v>1952</v>
      </c>
    </row>
    <row r="151" spans="1:7" ht="13">
      <c r="A151" s="558" t="s">
        <v>2029</v>
      </c>
      <c r="B151" s="557" t="s">
        <v>0</v>
      </c>
      <c r="C151" s="565" t="s">
        <v>1905</v>
      </c>
      <c r="D151" s="565" t="s">
        <v>1905</v>
      </c>
      <c r="E151" s="565" t="s">
        <v>1905</v>
      </c>
      <c r="F151" s="565" t="s">
        <v>1905</v>
      </c>
      <c r="G151" s="565" t="s">
        <v>1905</v>
      </c>
    </row>
    <row r="152" spans="1:7" ht="13">
      <c r="A152" s="558" t="s">
        <v>696</v>
      </c>
      <c r="B152" s="557" t="s">
        <v>0</v>
      </c>
      <c r="C152" s="566">
        <v>15764</v>
      </c>
      <c r="D152" s="566">
        <v>23919</v>
      </c>
      <c r="E152" s="566">
        <v>23907</v>
      </c>
      <c r="F152" s="566">
        <v>26439</v>
      </c>
      <c r="G152" s="566">
        <v>28397</v>
      </c>
    </row>
    <row r="153" spans="1:7" ht="13">
      <c r="A153" s="558" t="s">
        <v>1912</v>
      </c>
      <c r="B153" s="557" t="s">
        <v>0</v>
      </c>
      <c r="C153" s="565">
        <v>5686</v>
      </c>
      <c r="D153" s="565">
        <v>6044</v>
      </c>
      <c r="E153" s="565">
        <v>7049</v>
      </c>
      <c r="F153" s="565">
        <v>7114</v>
      </c>
      <c r="G153" s="565">
        <v>6414</v>
      </c>
    </row>
    <row r="154" spans="1:7" ht="13">
      <c r="A154" s="558" t="s">
        <v>2028</v>
      </c>
      <c r="B154" s="557" t="s">
        <v>0</v>
      </c>
      <c r="C154" s="566" t="s">
        <v>1905</v>
      </c>
      <c r="D154" s="566" t="s">
        <v>1905</v>
      </c>
      <c r="E154" s="566" t="s">
        <v>1905</v>
      </c>
      <c r="F154" s="566" t="s">
        <v>1905</v>
      </c>
      <c r="G154" s="566" t="s">
        <v>1905</v>
      </c>
    </row>
    <row r="155" spans="1:7" ht="13">
      <c r="A155" s="558" t="s">
        <v>2027</v>
      </c>
      <c r="B155" s="557" t="s">
        <v>0</v>
      </c>
      <c r="C155" s="565" t="s">
        <v>1905</v>
      </c>
      <c r="D155" s="565" t="s">
        <v>1905</v>
      </c>
      <c r="E155" s="565" t="s">
        <v>1905</v>
      </c>
      <c r="F155" s="565" t="s">
        <v>1905</v>
      </c>
      <c r="G155" s="565" t="s">
        <v>1905</v>
      </c>
    </row>
    <row r="156" spans="1:7" ht="13">
      <c r="A156" s="558" t="s">
        <v>1910</v>
      </c>
      <c r="B156" s="557" t="s">
        <v>0</v>
      </c>
      <c r="C156" s="566">
        <v>4104</v>
      </c>
      <c r="D156" s="566">
        <v>4162</v>
      </c>
      <c r="E156" s="566">
        <v>3769</v>
      </c>
      <c r="F156" s="566">
        <v>3247</v>
      </c>
      <c r="G156" s="566">
        <v>3442</v>
      </c>
    </row>
    <row r="157" spans="1:7" ht="13">
      <c r="A157" s="558" t="s">
        <v>2026</v>
      </c>
      <c r="B157" s="557" t="s">
        <v>0</v>
      </c>
      <c r="C157" s="565" t="s">
        <v>1905</v>
      </c>
      <c r="D157" s="565" t="s">
        <v>1905</v>
      </c>
      <c r="E157" s="565" t="s">
        <v>1905</v>
      </c>
      <c r="F157" s="565" t="s">
        <v>1905</v>
      </c>
      <c r="G157" s="565" t="s">
        <v>1905</v>
      </c>
    </row>
    <row r="158" spans="1:7" ht="13">
      <c r="A158" s="558" t="s">
        <v>2025</v>
      </c>
      <c r="B158" s="557" t="s">
        <v>0</v>
      </c>
      <c r="C158" s="566" t="s">
        <v>1905</v>
      </c>
      <c r="D158" s="566" t="s">
        <v>1905</v>
      </c>
      <c r="E158" s="566" t="s">
        <v>1905</v>
      </c>
      <c r="F158" s="566" t="s">
        <v>1905</v>
      </c>
      <c r="G158" s="566" t="s">
        <v>1905</v>
      </c>
    </row>
    <row r="159" spans="1:7" ht="13">
      <c r="A159" s="558" t="s">
        <v>394</v>
      </c>
      <c r="B159" s="557" t="s">
        <v>0</v>
      </c>
      <c r="C159" s="565">
        <v>33981</v>
      </c>
      <c r="D159" s="565">
        <v>41263</v>
      </c>
      <c r="E159" s="565">
        <v>42491</v>
      </c>
      <c r="F159" s="565">
        <v>37231</v>
      </c>
      <c r="G159" s="565">
        <v>28812</v>
      </c>
    </row>
    <row r="160" spans="1:7" ht="13">
      <c r="A160" s="558" t="s">
        <v>2024</v>
      </c>
      <c r="B160" s="557" t="s">
        <v>0</v>
      </c>
      <c r="C160" s="566" t="s">
        <v>1905</v>
      </c>
      <c r="D160" s="566" t="s">
        <v>1905</v>
      </c>
      <c r="E160" s="566" t="s">
        <v>1905</v>
      </c>
      <c r="F160" s="566" t="s">
        <v>1905</v>
      </c>
      <c r="G160" s="566" t="s">
        <v>1905</v>
      </c>
    </row>
    <row r="161" spans="1:7" ht="13">
      <c r="A161" s="558" t="s">
        <v>2023</v>
      </c>
      <c r="B161" s="557" t="s">
        <v>0</v>
      </c>
      <c r="C161" s="565" t="s">
        <v>1905</v>
      </c>
      <c r="D161" s="565" t="s">
        <v>1905</v>
      </c>
      <c r="E161" s="565" t="s">
        <v>1905</v>
      </c>
      <c r="F161" s="565" t="s">
        <v>1905</v>
      </c>
      <c r="G161" s="565" t="s">
        <v>1905</v>
      </c>
    </row>
    <row r="162" spans="1:7" ht="13">
      <c r="A162" s="558" t="s">
        <v>2022</v>
      </c>
      <c r="B162" s="557" t="s">
        <v>0</v>
      </c>
      <c r="C162" s="566" t="s">
        <v>1905</v>
      </c>
      <c r="D162" s="566" t="s">
        <v>1905</v>
      </c>
      <c r="E162" s="566" t="s">
        <v>1905</v>
      </c>
      <c r="F162" s="566" t="s">
        <v>1905</v>
      </c>
      <c r="G162" s="566" t="s">
        <v>1905</v>
      </c>
    </row>
    <row r="163" spans="1:7" ht="13">
      <c r="A163" s="558" t="s">
        <v>2021</v>
      </c>
      <c r="B163" s="557" t="s">
        <v>0</v>
      </c>
      <c r="C163" s="565" t="s">
        <v>1905</v>
      </c>
      <c r="D163" s="565" t="s">
        <v>1905</v>
      </c>
      <c r="E163" s="565" t="s">
        <v>1905</v>
      </c>
      <c r="F163" s="565" t="s">
        <v>1905</v>
      </c>
      <c r="G163" s="565" t="s">
        <v>1905</v>
      </c>
    </row>
    <row r="164" spans="1:7" ht="13">
      <c r="A164" s="558" t="s">
        <v>2020</v>
      </c>
      <c r="B164" s="557" t="s">
        <v>0</v>
      </c>
      <c r="C164" s="566" t="s">
        <v>1905</v>
      </c>
      <c r="D164" s="566" t="s">
        <v>1905</v>
      </c>
      <c r="E164" s="566" t="s">
        <v>1905</v>
      </c>
      <c r="F164" s="566" t="s">
        <v>1905</v>
      </c>
      <c r="G164" s="566" t="s">
        <v>1905</v>
      </c>
    </row>
    <row r="165" spans="1:7" ht="13">
      <c r="A165" s="558" t="s">
        <v>2019</v>
      </c>
      <c r="B165" s="557" t="s">
        <v>0</v>
      </c>
      <c r="C165" s="565" t="s">
        <v>1905</v>
      </c>
      <c r="D165" s="565" t="s">
        <v>1905</v>
      </c>
      <c r="E165" s="565" t="s">
        <v>1905</v>
      </c>
      <c r="F165" s="565" t="s">
        <v>1905</v>
      </c>
      <c r="G165" s="565" t="s">
        <v>1905</v>
      </c>
    </row>
    <row r="166" spans="1:7" ht="13">
      <c r="A166" s="558" t="s">
        <v>2018</v>
      </c>
      <c r="B166" s="557" t="s">
        <v>0</v>
      </c>
      <c r="C166" s="566" t="s">
        <v>1905</v>
      </c>
      <c r="D166" s="566" t="s">
        <v>1905</v>
      </c>
      <c r="E166" s="566" t="s">
        <v>1905</v>
      </c>
      <c r="F166" s="566" t="s">
        <v>1905</v>
      </c>
      <c r="G166" s="566" t="s">
        <v>1905</v>
      </c>
    </row>
    <row r="167" spans="1:7" ht="13">
      <c r="A167" s="558" t="s">
        <v>2017</v>
      </c>
      <c r="B167" s="557" t="s">
        <v>0</v>
      </c>
      <c r="C167" s="565" t="s">
        <v>1905</v>
      </c>
      <c r="D167" s="565" t="s">
        <v>1905</v>
      </c>
      <c r="E167" s="565" t="s">
        <v>1905</v>
      </c>
      <c r="F167" s="565" t="s">
        <v>1905</v>
      </c>
      <c r="G167" s="565" t="s">
        <v>1905</v>
      </c>
    </row>
    <row r="168" spans="1:7" ht="13">
      <c r="A168" s="558" t="s">
        <v>2016</v>
      </c>
      <c r="B168" s="557" t="s">
        <v>0</v>
      </c>
      <c r="C168" s="566" t="s">
        <v>1905</v>
      </c>
      <c r="D168" s="566" t="s">
        <v>1905</v>
      </c>
      <c r="E168" s="566" t="s">
        <v>1905</v>
      </c>
      <c r="F168" s="566" t="s">
        <v>1905</v>
      </c>
      <c r="G168" s="566" t="s">
        <v>1905</v>
      </c>
    </row>
    <row r="169" spans="1:7" ht="13">
      <c r="A169" s="558" t="s">
        <v>2015</v>
      </c>
      <c r="B169" s="557" t="s">
        <v>0</v>
      </c>
      <c r="C169" s="565" t="s">
        <v>1905</v>
      </c>
      <c r="D169" s="565" t="s">
        <v>1905</v>
      </c>
      <c r="E169" s="565" t="s">
        <v>1905</v>
      </c>
      <c r="F169" s="565" t="s">
        <v>1905</v>
      </c>
      <c r="G169" s="565" t="s">
        <v>1905</v>
      </c>
    </row>
    <row r="170" spans="1:7" ht="13">
      <c r="A170" s="558" t="s">
        <v>2014</v>
      </c>
      <c r="B170" s="557" t="s">
        <v>0</v>
      </c>
      <c r="C170" s="566" t="s">
        <v>1905</v>
      </c>
      <c r="D170" s="566" t="s">
        <v>1905</v>
      </c>
      <c r="E170" s="566" t="s">
        <v>1905</v>
      </c>
      <c r="F170" s="566" t="s">
        <v>1905</v>
      </c>
      <c r="G170" s="566" t="s">
        <v>1905</v>
      </c>
    </row>
    <row r="171" spans="1:7" ht="13">
      <c r="A171" s="558" t="s">
        <v>2013</v>
      </c>
      <c r="B171" s="557" t="s">
        <v>0</v>
      </c>
      <c r="C171" s="565" t="s">
        <v>1905</v>
      </c>
      <c r="D171" s="565" t="s">
        <v>1905</v>
      </c>
      <c r="E171" s="565" t="s">
        <v>1905</v>
      </c>
      <c r="F171" s="565" t="s">
        <v>1905</v>
      </c>
      <c r="G171" s="565" t="s">
        <v>1905</v>
      </c>
    </row>
    <row r="172" spans="1:7" ht="13">
      <c r="A172" s="558" t="s">
        <v>2012</v>
      </c>
      <c r="B172" s="557" t="s">
        <v>0</v>
      </c>
      <c r="C172" s="566">
        <v>3945</v>
      </c>
      <c r="D172" s="566">
        <v>5599</v>
      </c>
      <c r="E172" s="566">
        <v>5465</v>
      </c>
      <c r="F172" s="566">
        <v>4301</v>
      </c>
      <c r="G172" s="566">
        <v>3712</v>
      </c>
    </row>
    <row r="173" spans="1:7" ht="13">
      <c r="A173" s="558" t="s">
        <v>2011</v>
      </c>
      <c r="B173" s="557" t="s">
        <v>0</v>
      </c>
      <c r="C173" s="565" t="s">
        <v>1905</v>
      </c>
      <c r="D173" s="565" t="s">
        <v>1905</v>
      </c>
      <c r="E173" s="565" t="s">
        <v>1905</v>
      </c>
      <c r="F173" s="565" t="s">
        <v>1905</v>
      </c>
      <c r="G173" s="565" t="s">
        <v>1905</v>
      </c>
    </row>
    <row r="174" spans="1:7" ht="13">
      <c r="A174" s="558" t="s">
        <v>2010</v>
      </c>
      <c r="B174" s="557" t="s">
        <v>0</v>
      </c>
      <c r="C174" s="566" t="s">
        <v>1905</v>
      </c>
      <c r="D174" s="566" t="s">
        <v>1905</v>
      </c>
      <c r="E174" s="566" t="s">
        <v>1905</v>
      </c>
      <c r="F174" s="566" t="s">
        <v>1905</v>
      </c>
      <c r="G174" s="566" t="s">
        <v>1905</v>
      </c>
    </row>
    <row r="175" spans="1:7" ht="13">
      <c r="A175" s="558" t="s">
        <v>2009</v>
      </c>
      <c r="B175" s="557" t="s">
        <v>0</v>
      </c>
      <c r="C175" s="565" t="s">
        <v>1905</v>
      </c>
      <c r="D175" s="565" t="s">
        <v>1905</v>
      </c>
      <c r="E175" s="565" t="s">
        <v>1905</v>
      </c>
      <c r="F175" s="565" t="s">
        <v>1905</v>
      </c>
      <c r="G175" s="565" t="s">
        <v>1905</v>
      </c>
    </row>
    <row r="176" spans="1:7" ht="13">
      <c r="A176" s="558" t="s">
        <v>2008</v>
      </c>
      <c r="B176" s="557" t="s">
        <v>0</v>
      </c>
      <c r="C176" s="566" t="s">
        <v>1905</v>
      </c>
      <c r="D176" s="566" t="s">
        <v>1905</v>
      </c>
      <c r="E176" s="566" t="s">
        <v>1905</v>
      </c>
      <c r="F176" s="566" t="s">
        <v>1905</v>
      </c>
      <c r="G176" s="566" t="s">
        <v>1905</v>
      </c>
    </row>
    <row r="177" spans="1:7" ht="13">
      <c r="A177" s="558" t="s">
        <v>2007</v>
      </c>
      <c r="B177" s="557" t="s">
        <v>0</v>
      </c>
      <c r="C177" s="565" t="s">
        <v>1905</v>
      </c>
      <c r="D177" s="565" t="s">
        <v>1905</v>
      </c>
      <c r="E177" s="565" t="s">
        <v>1905</v>
      </c>
      <c r="F177" s="565" t="s">
        <v>1905</v>
      </c>
      <c r="G177" s="565" t="s">
        <v>1905</v>
      </c>
    </row>
    <row r="178" spans="1:7" ht="13">
      <c r="A178" s="558" t="s">
        <v>2006</v>
      </c>
      <c r="B178" s="557" t="s">
        <v>0</v>
      </c>
      <c r="C178" s="566" t="s">
        <v>1905</v>
      </c>
      <c r="D178" s="566" t="s">
        <v>1905</v>
      </c>
      <c r="E178" s="566" t="s">
        <v>1905</v>
      </c>
      <c r="F178" s="566" t="s">
        <v>1905</v>
      </c>
      <c r="G178" s="566" t="s">
        <v>1905</v>
      </c>
    </row>
    <row r="179" spans="1:7" ht="13">
      <c r="A179" s="558" t="s">
        <v>2005</v>
      </c>
      <c r="B179" s="557" t="s">
        <v>0</v>
      </c>
      <c r="C179" s="565" t="s">
        <v>1905</v>
      </c>
      <c r="D179" s="565" t="s">
        <v>1905</v>
      </c>
      <c r="E179" s="565" t="s">
        <v>1905</v>
      </c>
      <c r="F179" s="565" t="s">
        <v>1905</v>
      </c>
      <c r="G179" s="565" t="s">
        <v>1905</v>
      </c>
    </row>
    <row r="180" spans="1:7" ht="13">
      <c r="A180" s="558" t="s">
        <v>1116</v>
      </c>
      <c r="B180" s="557" t="s">
        <v>0</v>
      </c>
      <c r="C180" s="566" t="s">
        <v>1905</v>
      </c>
      <c r="D180" s="566" t="s">
        <v>1905</v>
      </c>
      <c r="E180" s="566" t="s">
        <v>1905</v>
      </c>
      <c r="F180" s="566" t="s">
        <v>1905</v>
      </c>
      <c r="G180" s="566" t="s">
        <v>1905</v>
      </c>
    </row>
    <row r="181" spans="1:7" ht="13">
      <c r="A181" s="558" t="s">
        <v>2004</v>
      </c>
      <c r="B181" s="557" t="s">
        <v>0</v>
      </c>
      <c r="C181" s="565" t="s">
        <v>1905</v>
      </c>
      <c r="D181" s="565" t="s">
        <v>1905</v>
      </c>
      <c r="E181" s="565" t="s">
        <v>1905</v>
      </c>
      <c r="F181" s="565" t="s">
        <v>1905</v>
      </c>
      <c r="G181" s="565" t="s">
        <v>1905</v>
      </c>
    </row>
    <row r="182" spans="1:7" ht="13">
      <c r="A182" s="558" t="s">
        <v>2003</v>
      </c>
      <c r="B182" s="557" t="s">
        <v>0</v>
      </c>
      <c r="C182" s="566" t="s">
        <v>1905</v>
      </c>
      <c r="D182" s="566" t="s">
        <v>1905</v>
      </c>
      <c r="E182" s="566" t="s">
        <v>1905</v>
      </c>
      <c r="F182" s="566" t="s">
        <v>1905</v>
      </c>
      <c r="G182" s="566" t="s">
        <v>1905</v>
      </c>
    </row>
    <row r="183" spans="1:7" ht="13">
      <c r="A183" s="558" t="s">
        <v>2002</v>
      </c>
      <c r="B183" s="557" t="s">
        <v>0</v>
      </c>
      <c r="C183" s="565" t="s">
        <v>1905</v>
      </c>
      <c r="D183" s="565" t="s">
        <v>1905</v>
      </c>
      <c r="E183" s="565" t="s">
        <v>1905</v>
      </c>
      <c r="F183" s="565" t="s">
        <v>1905</v>
      </c>
      <c r="G183" s="565" t="s">
        <v>1905</v>
      </c>
    </row>
    <row r="184" spans="1:7" ht="13">
      <c r="A184" s="558" t="s">
        <v>2001</v>
      </c>
      <c r="B184" s="557" t="s">
        <v>0</v>
      </c>
      <c r="C184" s="566" t="s">
        <v>1905</v>
      </c>
      <c r="D184" s="566" t="s">
        <v>1905</v>
      </c>
      <c r="E184" s="566" t="s">
        <v>1905</v>
      </c>
      <c r="F184" s="566" t="s">
        <v>1905</v>
      </c>
      <c r="G184" s="566" t="s">
        <v>1905</v>
      </c>
    </row>
    <row r="185" spans="1:7" ht="13">
      <c r="A185" s="558" t="s">
        <v>2000</v>
      </c>
      <c r="B185" s="557" t="s">
        <v>0</v>
      </c>
      <c r="C185" s="565" t="s">
        <v>1905</v>
      </c>
      <c r="D185" s="565" t="s">
        <v>1905</v>
      </c>
      <c r="E185" s="565" t="s">
        <v>1905</v>
      </c>
      <c r="F185" s="565" t="s">
        <v>1905</v>
      </c>
      <c r="G185" s="565" t="s">
        <v>1905</v>
      </c>
    </row>
    <row r="186" spans="1:7" ht="13">
      <c r="A186" s="558" t="s">
        <v>1925</v>
      </c>
      <c r="B186" s="557" t="s">
        <v>0</v>
      </c>
      <c r="C186" s="566" t="s">
        <v>1905</v>
      </c>
      <c r="D186" s="566" t="s">
        <v>1905</v>
      </c>
      <c r="E186" s="566" t="s">
        <v>1905</v>
      </c>
      <c r="F186" s="566" t="s">
        <v>1905</v>
      </c>
      <c r="G186" s="566" t="s">
        <v>1905</v>
      </c>
    </row>
    <row r="187" spans="1:7" ht="13">
      <c r="A187" s="558" t="s">
        <v>1999</v>
      </c>
      <c r="B187" s="557" t="s">
        <v>0</v>
      </c>
      <c r="C187" s="565" t="s">
        <v>1905</v>
      </c>
      <c r="D187" s="565" t="s">
        <v>1905</v>
      </c>
      <c r="E187" s="565" t="s">
        <v>1905</v>
      </c>
      <c r="F187" s="565" t="s">
        <v>1905</v>
      </c>
      <c r="G187" s="565" t="s">
        <v>1905</v>
      </c>
    </row>
    <row r="188" spans="1:7" ht="13">
      <c r="A188" s="558" t="s">
        <v>1998</v>
      </c>
      <c r="B188" s="557" t="s">
        <v>0</v>
      </c>
      <c r="C188" s="566" t="s">
        <v>1905</v>
      </c>
      <c r="D188" s="566" t="s">
        <v>1905</v>
      </c>
      <c r="E188" s="566" t="s">
        <v>1905</v>
      </c>
      <c r="F188" s="566" t="s">
        <v>1905</v>
      </c>
      <c r="G188" s="566" t="s">
        <v>1905</v>
      </c>
    </row>
    <row r="189" spans="1:7" ht="13">
      <c r="A189" s="558" t="s">
        <v>1997</v>
      </c>
      <c r="B189" s="557" t="s">
        <v>0</v>
      </c>
      <c r="C189" s="565" t="s">
        <v>1905</v>
      </c>
      <c r="D189" s="565" t="s">
        <v>1905</v>
      </c>
      <c r="E189" s="565" t="s">
        <v>1905</v>
      </c>
      <c r="F189" s="565" t="s">
        <v>1905</v>
      </c>
      <c r="G189" s="565" t="s">
        <v>1905</v>
      </c>
    </row>
    <row r="190" spans="1:7" ht="13">
      <c r="A190" s="558" t="s">
        <v>1996</v>
      </c>
      <c r="B190" s="557" t="s">
        <v>0</v>
      </c>
      <c r="C190" s="566" t="s">
        <v>1905</v>
      </c>
      <c r="D190" s="566" t="s">
        <v>1905</v>
      </c>
      <c r="E190" s="566" t="s">
        <v>1905</v>
      </c>
      <c r="F190" s="566" t="s">
        <v>1905</v>
      </c>
      <c r="G190" s="566" t="s">
        <v>1905</v>
      </c>
    </row>
    <row r="191" spans="1:7" ht="13">
      <c r="A191" s="558" t="s">
        <v>1995</v>
      </c>
      <c r="B191" s="557" t="s">
        <v>0</v>
      </c>
      <c r="C191" s="565" t="s">
        <v>1905</v>
      </c>
      <c r="D191" s="565" t="s">
        <v>1905</v>
      </c>
      <c r="E191" s="565" t="s">
        <v>1905</v>
      </c>
      <c r="F191" s="565" t="s">
        <v>1905</v>
      </c>
      <c r="G191" s="565" t="s">
        <v>1905</v>
      </c>
    </row>
    <row r="192" spans="1:7" ht="13">
      <c r="A192" s="558" t="s">
        <v>1994</v>
      </c>
      <c r="B192" s="557" t="s">
        <v>0</v>
      </c>
      <c r="C192" s="566" t="s">
        <v>1905</v>
      </c>
      <c r="D192" s="566" t="s">
        <v>1905</v>
      </c>
      <c r="E192" s="566" t="s">
        <v>1905</v>
      </c>
      <c r="F192" s="566" t="s">
        <v>1905</v>
      </c>
      <c r="G192" s="566" t="s">
        <v>1905</v>
      </c>
    </row>
    <row r="193" spans="1:7" ht="13">
      <c r="A193" s="558" t="s">
        <v>1993</v>
      </c>
      <c r="B193" s="557" t="s">
        <v>0</v>
      </c>
      <c r="C193" s="565" t="s">
        <v>1905</v>
      </c>
      <c r="D193" s="565" t="s">
        <v>1905</v>
      </c>
      <c r="E193" s="565" t="s">
        <v>1905</v>
      </c>
      <c r="F193" s="565" t="s">
        <v>1905</v>
      </c>
      <c r="G193" s="565" t="s">
        <v>1905</v>
      </c>
    </row>
    <row r="194" spans="1:7" ht="13">
      <c r="A194" s="558" t="s">
        <v>1992</v>
      </c>
      <c r="B194" s="557" t="s">
        <v>0</v>
      </c>
      <c r="C194" s="566" t="s">
        <v>1905</v>
      </c>
      <c r="D194" s="566" t="s">
        <v>1905</v>
      </c>
      <c r="E194" s="566" t="s">
        <v>1905</v>
      </c>
      <c r="F194" s="566" t="s">
        <v>1905</v>
      </c>
      <c r="G194" s="566" t="s">
        <v>1905</v>
      </c>
    </row>
    <row r="195" spans="1:7" ht="13">
      <c r="A195" s="558" t="s">
        <v>1991</v>
      </c>
      <c r="B195" s="557" t="s">
        <v>0</v>
      </c>
      <c r="C195" s="565">
        <v>12100</v>
      </c>
      <c r="D195" s="565">
        <v>16537</v>
      </c>
      <c r="E195" s="565">
        <v>16646</v>
      </c>
      <c r="F195" s="565">
        <v>14864</v>
      </c>
      <c r="G195" s="565" t="s">
        <v>1905</v>
      </c>
    </row>
    <row r="196" spans="1:7" ht="13">
      <c r="A196" s="558" t="s">
        <v>1990</v>
      </c>
      <c r="B196" s="557" t="s">
        <v>0</v>
      </c>
      <c r="C196" s="566" t="s">
        <v>1905</v>
      </c>
      <c r="D196" s="566" t="s">
        <v>1905</v>
      </c>
      <c r="E196" s="566" t="s">
        <v>1905</v>
      </c>
      <c r="F196" s="566" t="s">
        <v>1905</v>
      </c>
      <c r="G196" s="566" t="s">
        <v>1905</v>
      </c>
    </row>
    <row r="197" spans="1:7" ht="13">
      <c r="A197" s="558" t="s">
        <v>1989</v>
      </c>
      <c r="B197" s="557" t="s">
        <v>0</v>
      </c>
      <c r="C197" s="565" t="s">
        <v>1905</v>
      </c>
      <c r="D197" s="565" t="s">
        <v>1905</v>
      </c>
      <c r="E197" s="565" t="s">
        <v>1905</v>
      </c>
      <c r="F197" s="565" t="s">
        <v>1905</v>
      </c>
      <c r="G197" s="565" t="s">
        <v>1905</v>
      </c>
    </row>
    <row r="198" spans="1:7" ht="13">
      <c r="A198" s="558" t="s">
        <v>1988</v>
      </c>
      <c r="B198" s="557" t="s">
        <v>0</v>
      </c>
      <c r="C198" s="566" t="s">
        <v>1905</v>
      </c>
      <c r="D198" s="566" t="s">
        <v>1905</v>
      </c>
      <c r="E198" s="566" t="s">
        <v>1905</v>
      </c>
      <c r="F198" s="566" t="s">
        <v>1905</v>
      </c>
      <c r="G198" s="566" t="s">
        <v>1905</v>
      </c>
    </row>
    <row r="199" spans="1:7" ht="13">
      <c r="A199" s="558" t="s">
        <v>1987</v>
      </c>
      <c r="B199" s="557" t="s">
        <v>0</v>
      </c>
      <c r="C199" s="565" t="s">
        <v>1905</v>
      </c>
      <c r="D199" s="565" t="s">
        <v>1905</v>
      </c>
      <c r="E199" s="565" t="s">
        <v>1905</v>
      </c>
      <c r="F199" s="565" t="s">
        <v>1905</v>
      </c>
      <c r="G199" s="565" t="s">
        <v>1905</v>
      </c>
    </row>
    <row r="200" spans="1:7" ht="13">
      <c r="A200" s="558" t="s">
        <v>1986</v>
      </c>
      <c r="B200" s="557" t="s">
        <v>0</v>
      </c>
      <c r="C200" s="566" t="s">
        <v>1905</v>
      </c>
      <c r="D200" s="566" t="s">
        <v>1905</v>
      </c>
      <c r="E200" s="566" t="s">
        <v>1905</v>
      </c>
      <c r="F200" s="566" t="s">
        <v>1905</v>
      </c>
      <c r="G200" s="566" t="s">
        <v>1905</v>
      </c>
    </row>
    <row r="201" spans="1:7" ht="13">
      <c r="A201" s="558" t="s">
        <v>1985</v>
      </c>
      <c r="B201" s="557" t="s">
        <v>0</v>
      </c>
      <c r="C201" s="565" t="s">
        <v>1905</v>
      </c>
      <c r="D201" s="565" t="s">
        <v>1905</v>
      </c>
      <c r="E201" s="565" t="s">
        <v>1905</v>
      </c>
      <c r="F201" s="565" t="s">
        <v>1905</v>
      </c>
      <c r="G201" s="565" t="s">
        <v>1905</v>
      </c>
    </row>
    <row r="202" spans="1:7" ht="13">
      <c r="A202" s="558" t="s">
        <v>1984</v>
      </c>
      <c r="B202" s="557" t="s">
        <v>0</v>
      </c>
      <c r="C202" s="566" t="s">
        <v>1905</v>
      </c>
      <c r="D202" s="566" t="s">
        <v>1905</v>
      </c>
      <c r="E202" s="566" t="s">
        <v>1905</v>
      </c>
      <c r="F202" s="566" t="s">
        <v>1905</v>
      </c>
      <c r="G202" s="566" t="s">
        <v>1905</v>
      </c>
    </row>
    <row r="203" spans="1:7" ht="13">
      <c r="A203" s="558" t="s">
        <v>1983</v>
      </c>
      <c r="B203" s="557" t="s">
        <v>0</v>
      </c>
      <c r="C203" s="565" t="s">
        <v>1905</v>
      </c>
      <c r="D203" s="565" t="s">
        <v>1905</v>
      </c>
      <c r="E203" s="565" t="s">
        <v>1905</v>
      </c>
      <c r="F203" s="565" t="s">
        <v>1905</v>
      </c>
      <c r="G203" s="565" t="s">
        <v>1905</v>
      </c>
    </row>
    <row r="204" spans="1:7" ht="13">
      <c r="A204" s="558" t="s">
        <v>1982</v>
      </c>
      <c r="B204" s="557" t="s">
        <v>0</v>
      </c>
      <c r="C204" s="566" t="s">
        <v>1905</v>
      </c>
      <c r="D204" s="566" t="s">
        <v>1905</v>
      </c>
      <c r="E204" s="566" t="s">
        <v>1905</v>
      </c>
      <c r="F204" s="566" t="s">
        <v>1905</v>
      </c>
      <c r="G204" s="566" t="s">
        <v>1905</v>
      </c>
    </row>
    <row r="205" spans="1:7" ht="13">
      <c r="A205" s="558" t="s">
        <v>1981</v>
      </c>
      <c r="B205" s="557" t="s">
        <v>0</v>
      </c>
      <c r="C205" s="565" t="s">
        <v>1905</v>
      </c>
      <c r="D205" s="565" t="s">
        <v>1905</v>
      </c>
      <c r="E205" s="565" t="s">
        <v>1905</v>
      </c>
      <c r="F205" s="565" t="s">
        <v>1905</v>
      </c>
      <c r="G205" s="565" t="s">
        <v>1905</v>
      </c>
    </row>
    <row r="206" spans="1:7" ht="13">
      <c r="A206" s="558" t="s">
        <v>1980</v>
      </c>
      <c r="B206" s="557" t="s">
        <v>0</v>
      </c>
      <c r="C206" s="566" t="s">
        <v>1905</v>
      </c>
      <c r="D206" s="566" t="s">
        <v>1905</v>
      </c>
      <c r="E206" s="566" t="s">
        <v>1905</v>
      </c>
      <c r="F206" s="566" t="s">
        <v>1905</v>
      </c>
      <c r="G206" s="566" t="s">
        <v>1905</v>
      </c>
    </row>
    <row r="207" spans="1:7" ht="13">
      <c r="A207" s="558" t="s">
        <v>1979</v>
      </c>
      <c r="B207" s="557" t="s">
        <v>0</v>
      </c>
      <c r="C207" s="565" t="s">
        <v>1905</v>
      </c>
      <c r="D207" s="565" t="s">
        <v>1905</v>
      </c>
      <c r="E207" s="565" t="s">
        <v>1905</v>
      </c>
      <c r="F207" s="565" t="s">
        <v>1905</v>
      </c>
      <c r="G207" s="565" t="s">
        <v>1905</v>
      </c>
    </row>
    <row r="208" spans="1:7" ht="13">
      <c r="A208" s="558" t="s">
        <v>1978</v>
      </c>
      <c r="B208" s="557" t="s">
        <v>0</v>
      </c>
      <c r="C208" s="566" t="s">
        <v>1905</v>
      </c>
      <c r="D208" s="566" t="s">
        <v>1905</v>
      </c>
      <c r="E208" s="566" t="s">
        <v>1905</v>
      </c>
      <c r="F208" s="566" t="s">
        <v>1905</v>
      </c>
      <c r="G208" s="566" t="s">
        <v>1905</v>
      </c>
    </row>
    <row r="209" spans="1:7" ht="13">
      <c r="A209" s="558" t="s">
        <v>1906</v>
      </c>
      <c r="B209" s="557" t="s">
        <v>0</v>
      </c>
      <c r="C209" s="565">
        <v>1360</v>
      </c>
      <c r="D209" s="565">
        <v>1535</v>
      </c>
      <c r="E209" s="565">
        <v>1195</v>
      </c>
      <c r="F209" s="565">
        <v>1266</v>
      </c>
      <c r="G209" s="565">
        <v>1603</v>
      </c>
    </row>
    <row r="210" spans="1:7" ht="13">
      <c r="A210" s="558" t="s">
        <v>1977</v>
      </c>
      <c r="B210" s="557" t="s">
        <v>0</v>
      </c>
      <c r="C210" s="566" t="s">
        <v>1905</v>
      </c>
      <c r="D210" s="566" t="s">
        <v>1905</v>
      </c>
      <c r="E210" s="566" t="s">
        <v>1905</v>
      </c>
      <c r="F210" s="566" t="s">
        <v>1905</v>
      </c>
      <c r="G210" s="566" t="s">
        <v>1905</v>
      </c>
    </row>
    <row r="211" spans="1:7" ht="13">
      <c r="A211" s="558" t="s">
        <v>1976</v>
      </c>
      <c r="B211" s="557" t="s">
        <v>0</v>
      </c>
      <c r="C211" s="565" t="s">
        <v>1905</v>
      </c>
      <c r="D211" s="565" t="s">
        <v>1905</v>
      </c>
      <c r="E211" s="565" t="s">
        <v>1905</v>
      </c>
      <c r="F211" s="565" t="s">
        <v>1905</v>
      </c>
      <c r="G211" s="565" t="s">
        <v>1905</v>
      </c>
    </row>
    <row r="212" spans="1:7" ht="13">
      <c r="A212" s="558" t="s">
        <v>1975</v>
      </c>
      <c r="B212" s="557" t="s">
        <v>0</v>
      </c>
      <c r="C212" s="566" t="s">
        <v>1905</v>
      </c>
      <c r="D212" s="566" t="s">
        <v>1905</v>
      </c>
      <c r="E212" s="566" t="s">
        <v>1905</v>
      </c>
      <c r="F212" s="566" t="s">
        <v>1905</v>
      </c>
      <c r="G212" s="566" t="s">
        <v>1905</v>
      </c>
    </row>
    <row r="213" spans="1:7" ht="13">
      <c r="A213" s="558" t="s">
        <v>1974</v>
      </c>
      <c r="B213" s="557" t="s">
        <v>0</v>
      </c>
      <c r="C213" s="565" t="s">
        <v>1905</v>
      </c>
      <c r="D213" s="565" t="s">
        <v>1905</v>
      </c>
      <c r="E213" s="565" t="s">
        <v>1905</v>
      </c>
      <c r="F213" s="565" t="s">
        <v>1905</v>
      </c>
      <c r="G213" s="565" t="s">
        <v>1905</v>
      </c>
    </row>
    <row r="214" spans="1:7" ht="13">
      <c r="A214" s="558" t="s">
        <v>1973</v>
      </c>
      <c r="B214" s="557" t="s">
        <v>0</v>
      </c>
      <c r="C214" s="566" t="s">
        <v>1905</v>
      </c>
      <c r="D214" s="566" t="s">
        <v>1905</v>
      </c>
      <c r="E214" s="566" t="s">
        <v>1905</v>
      </c>
      <c r="F214" s="566" t="s">
        <v>1905</v>
      </c>
      <c r="G214" s="566" t="s">
        <v>1905</v>
      </c>
    </row>
    <row r="215" spans="1:7" ht="13">
      <c r="A215" s="558" t="s">
        <v>1972</v>
      </c>
      <c r="B215" s="557" t="s">
        <v>0</v>
      </c>
      <c r="C215" s="565" t="s">
        <v>1905</v>
      </c>
      <c r="D215" s="565" t="s">
        <v>1905</v>
      </c>
      <c r="E215" s="565" t="s">
        <v>1905</v>
      </c>
      <c r="F215" s="565" t="s">
        <v>1905</v>
      </c>
      <c r="G215" s="565" t="s">
        <v>1905</v>
      </c>
    </row>
    <row r="216" spans="1:7" ht="13">
      <c r="A216" s="558" t="s">
        <v>1119</v>
      </c>
      <c r="B216" s="557" t="s">
        <v>0</v>
      </c>
      <c r="C216" s="566" t="s">
        <v>1905</v>
      </c>
      <c r="D216" s="566" t="s">
        <v>1905</v>
      </c>
      <c r="E216" s="566" t="s">
        <v>1905</v>
      </c>
      <c r="F216" s="566" t="s">
        <v>1905</v>
      </c>
      <c r="G216" s="566" t="s">
        <v>1905</v>
      </c>
    </row>
    <row r="217" spans="1:7" ht="13">
      <c r="A217" s="558" t="s">
        <v>1971</v>
      </c>
      <c r="B217" s="557" t="s">
        <v>0</v>
      </c>
      <c r="C217" s="565" t="s">
        <v>1905</v>
      </c>
      <c r="D217" s="565" t="s">
        <v>1905</v>
      </c>
      <c r="E217" s="565" t="s">
        <v>1905</v>
      </c>
      <c r="F217" s="565" t="s">
        <v>1905</v>
      </c>
      <c r="G217" s="565" t="s">
        <v>1905</v>
      </c>
    </row>
    <row r="218" spans="1:7" ht="13">
      <c r="A218" s="558" t="s">
        <v>1970</v>
      </c>
      <c r="B218" s="557" t="s">
        <v>0</v>
      </c>
      <c r="C218" s="566" t="s">
        <v>1905</v>
      </c>
      <c r="D218" s="566" t="s">
        <v>1905</v>
      </c>
      <c r="E218" s="566" t="s">
        <v>1905</v>
      </c>
      <c r="F218" s="566" t="s">
        <v>1905</v>
      </c>
      <c r="G218" s="566" t="s">
        <v>1905</v>
      </c>
    </row>
    <row r="219" spans="1:7" ht="13">
      <c r="A219" s="558" t="s">
        <v>1969</v>
      </c>
      <c r="B219" s="557" t="s">
        <v>0</v>
      </c>
      <c r="C219" s="565" t="s">
        <v>1905</v>
      </c>
      <c r="D219" s="565" t="s">
        <v>1905</v>
      </c>
      <c r="E219" s="565" t="s">
        <v>1905</v>
      </c>
      <c r="F219" s="565" t="s">
        <v>1905</v>
      </c>
      <c r="G219" s="565" t="s">
        <v>1905</v>
      </c>
    </row>
    <row r="220" spans="1:7" ht="13">
      <c r="A220" s="558" t="s">
        <v>1968</v>
      </c>
      <c r="B220" s="557" t="s">
        <v>0</v>
      </c>
      <c r="C220" s="566" t="s">
        <v>1905</v>
      </c>
      <c r="D220" s="566" t="s">
        <v>1905</v>
      </c>
      <c r="E220" s="566" t="s">
        <v>1905</v>
      </c>
      <c r="F220" s="566" t="s">
        <v>1905</v>
      </c>
      <c r="G220" s="566" t="s">
        <v>1905</v>
      </c>
    </row>
    <row r="221" spans="1:7" ht="13">
      <c r="A221" s="558" t="s">
        <v>1967</v>
      </c>
      <c r="B221" s="557" t="s">
        <v>0</v>
      </c>
      <c r="C221" s="565" t="s">
        <v>1905</v>
      </c>
      <c r="D221" s="565" t="s">
        <v>1905</v>
      </c>
      <c r="E221" s="565" t="s">
        <v>1905</v>
      </c>
      <c r="F221" s="565" t="s">
        <v>1905</v>
      </c>
      <c r="G221" s="565" t="s">
        <v>1905</v>
      </c>
    </row>
    <row r="222" spans="1:7" ht="13">
      <c r="A222" s="558" t="s">
        <v>1966</v>
      </c>
      <c r="B222" s="557" t="s">
        <v>0</v>
      </c>
      <c r="C222" s="566" t="s">
        <v>1905</v>
      </c>
      <c r="D222" s="566" t="s">
        <v>1905</v>
      </c>
      <c r="E222" s="566" t="s">
        <v>1905</v>
      </c>
      <c r="F222" s="566" t="s">
        <v>1905</v>
      </c>
      <c r="G222" s="566" t="s">
        <v>1905</v>
      </c>
    </row>
    <row r="223" spans="1:7" ht="13">
      <c r="A223" s="558" t="s">
        <v>1965</v>
      </c>
      <c r="B223" s="557" t="s">
        <v>0</v>
      </c>
      <c r="C223" s="565" t="s">
        <v>1905</v>
      </c>
      <c r="D223" s="565" t="s">
        <v>1905</v>
      </c>
      <c r="E223" s="565" t="s">
        <v>1905</v>
      </c>
      <c r="F223" s="565" t="s">
        <v>1905</v>
      </c>
      <c r="G223" s="565" t="s">
        <v>1905</v>
      </c>
    </row>
    <row r="224" spans="1:7" ht="13">
      <c r="A224" s="558" t="s">
        <v>1964</v>
      </c>
      <c r="B224" s="557" t="s">
        <v>0</v>
      </c>
      <c r="C224" s="566" t="s">
        <v>1905</v>
      </c>
      <c r="D224" s="566" t="s">
        <v>1905</v>
      </c>
      <c r="E224" s="566" t="s">
        <v>1905</v>
      </c>
      <c r="F224" s="566" t="s">
        <v>1905</v>
      </c>
      <c r="G224" s="566" t="s">
        <v>1905</v>
      </c>
    </row>
    <row r="225" spans="1:7" ht="13">
      <c r="A225" s="558" t="s">
        <v>1963</v>
      </c>
      <c r="B225" s="557" t="s">
        <v>0</v>
      </c>
      <c r="C225" s="565" t="s">
        <v>1905</v>
      </c>
      <c r="D225" s="565" t="s">
        <v>1905</v>
      </c>
      <c r="E225" s="565" t="s">
        <v>1905</v>
      </c>
      <c r="F225" s="565" t="s">
        <v>1905</v>
      </c>
      <c r="G225" s="565" t="s">
        <v>1905</v>
      </c>
    </row>
    <row r="226" spans="1:7" ht="13">
      <c r="A226" s="558" t="s">
        <v>716</v>
      </c>
      <c r="B226" s="557" t="s">
        <v>0</v>
      </c>
      <c r="C226" s="566" t="s">
        <v>1905</v>
      </c>
      <c r="D226" s="566" t="s">
        <v>1905</v>
      </c>
      <c r="E226" s="566" t="s">
        <v>1905</v>
      </c>
      <c r="F226" s="566" t="s">
        <v>1905</v>
      </c>
      <c r="G226" s="566" t="s">
        <v>1905</v>
      </c>
    </row>
    <row r="227" spans="1:7" ht="13">
      <c r="A227" s="558" t="s">
        <v>1962</v>
      </c>
      <c r="B227" s="557" t="s">
        <v>0</v>
      </c>
      <c r="C227" s="565" t="s">
        <v>1905</v>
      </c>
      <c r="D227" s="565" t="s">
        <v>1905</v>
      </c>
      <c r="E227" s="565" t="s">
        <v>1905</v>
      </c>
      <c r="F227" s="565" t="s">
        <v>1905</v>
      </c>
      <c r="G227" s="565" t="s">
        <v>1905</v>
      </c>
    </row>
    <row r="228" spans="1:7" ht="13">
      <c r="A228" s="558" t="s">
        <v>1961</v>
      </c>
      <c r="B228" s="557" t="s">
        <v>0</v>
      </c>
      <c r="C228" s="566" t="s">
        <v>1905</v>
      </c>
      <c r="D228" s="566" t="s">
        <v>1905</v>
      </c>
      <c r="E228" s="566" t="s">
        <v>1905</v>
      </c>
      <c r="F228" s="566" t="s">
        <v>1905</v>
      </c>
      <c r="G228" s="566" t="s">
        <v>1905</v>
      </c>
    </row>
    <row r="229" spans="1:7" ht="13">
      <c r="A229" s="558" t="s">
        <v>1960</v>
      </c>
      <c r="B229" s="557" t="s">
        <v>0</v>
      </c>
      <c r="C229" s="565" t="s">
        <v>1905</v>
      </c>
      <c r="D229" s="565" t="s">
        <v>1905</v>
      </c>
      <c r="E229" s="565" t="s">
        <v>1905</v>
      </c>
      <c r="F229" s="565" t="s">
        <v>1905</v>
      </c>
      <c r="G229" s="565" t="s">
        <v>1905</v>
      </c>
    </row>
    <row r="230" spans="1:7">
      <c r="A230" s="555" t="s">
        <v>1959</v>
      </c>
    </row>
  </sheetData>
  <mergeCells count="9">
    <mergeCell ref="A6:B6"/>
    <mergeCell ref="C6:G6"/>
    <mergeCell ref="A7:B7"/>
    <mergeCell ref="A3:B3"/>
    <mergeCell ref="C3:G3"/>
    <mergeCell ref="A4:B4"/>
    <mergeCell ref="C4:G4"/>
    <mergeCell ref="A5:B5"/>
    <mergeCell ref="C5:G5"/>
  </mergeCells>
  <hyperlinks>
    <hyperlink ref="A2" r:id="rId1" tooltip="Click once to display linked information. Click and hold to select this cell."/>
    <hyperlink ref="C3" r:id="rId2" tooltip="Click once to display linked information. Click and hold to select this cell."/>
    <hyperlink ref="B8" r:id="rId3" tooltip="Click once to display linked information. Click and hold to select this cell."/>
    <hyperlink ref="A230" r:id="rId4" tooltip="Click once to display linked information. Click and hold to select this cell."/>
  </hyperlinks>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0.249977111117893"/>
  </sheetPr>
  <dimension ref="A1"/>
  <sheetViews>
    <sheetView workbookViewId="0">
      <selection activeCell="X67" sqref="X67"/>
    </sheetView>
  </sheetViews>
  <sheetFormatPr baseColWidth="10" defaultRowHeight="15" x14ac:dyDescent="0"/>
  <cols>
    <col min="1" max="16384" width="10.7109375" style="676"/>
  </cols>
  <sheetData/>
  <pageMargins left="0.75" right="0.75" top="1" bottom="1" header="0.5" footer="0.5"/>
  <extLst>
    <ext xmlns:mx="http://schemas.microsoft.com/office/mac/excel/2008/main" uri="{64002731-A6B0-56B0-2670-7721B7C09600}">
      <mx:PLV Mode="0" OnePage="0" WScale="0"/>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2"/>
  <sheetViews>
    <sheetView workbookViewId="0">
      <pane xSplit="2" ySplit="6" topLeftCell="C7"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7.5703125" style="407"/>
    <col min="2" max="2" width="52.28515625" style="407" customWidth="1"/>
    <col min="3" max="16384" width="7.5703125" style="407"/>
  </cols>
  <sheetData>
    <row r="1" spans="1:59" ht="17">
      <c r="A1" s="1978" t="s">
        <v>1316</v>
      </c>
      <c r="B1" s="1976"/>
      <c r="C1" s="1976"/>
      <c r="D1" s="1976"/>
      <c r="E1" s="1976"/>
      <c r="F1" s="1976"/>
      <c r="G1" s="1976"/>
      <c r="H1" s="1976"/>
      <c r="I1" s="1976"/>
      <c r="J1" s="1976"/>
      <c r="K1" s="1976"/>
      <c r="L1" s="1976"/>
      <c r="M1" s="1976"/>
      <c r="N1" s="1976"/>
      <c r="O1" s="1976"/>
      <c r="P1" s="1976"/>
      <c r="Q1" s="1976"/>
      <c r="R1" s="1976"/>
      <c r="S1" s="1976"/>
      <c r="T1" s="1976"/>
      <c r="U1" s="1976"/>
      <c r="V1" s="1976"/>
      <c r="W1" s="1976"/>
      <c r="X1" s="1976"/>
      <c r="Y1" s="1976"/>
      <c r="Z1" s="1976"/>
      <c r="AA1" s="1976"/>
      <c r="AB1" s="1976"/>
      <c r="AC1" s="1976"/>
      <c r="AD1" s="1976"/>
      <c r="AE1" s="1976"/>
      <c r="AF1" s="1976"/>
      <c r="AG1" s="1976"/>
      <c r="AH1" s="1976"/>
      <c r="AI1" s="1976"/>
      <c r="AJ1" s="1976"/>
      <c r="AK1" s="1976"/>
      <c r="AL1" s="1976"/>
      <c r="AM1" s="1976"/>
      <c r="AN1" s="1976"/>
      <c r="AO1" s="1976"/>
      <c r="AP1" s="1976"/>
      <c r="AQ1" s="1976"/>
      <c r="AR1" s="1976"/>
      <c r="AS1" s="1976"/>
      <c r="AT1" s="1976"/>
      <c r="AU1" s="1976"/>
      <c r="AV1" s="1976"/>
      <c r="AW1" s="1976"/>
      <c r="AX1" s="1976"/>
      <c r="AY1" s="1976"/>
      <c r="AZ1" s="1976"/>
      <c r="BA1" s="1976"/>
      <c r="BB1" s="1976"/>
      <c r="BC1" s="1976"/>
      <c r="BD1" s="1976"/>
      <c r="BE1" s="1976"/>
      <c r="BF1" s="1976"/>
      <c r="BG1" s="1976"/>
    </row>
    <row r="2" spans="1:59" ht="16">
      <c r="A2" s="1979" t="s">
        <v>248</v>
      </c>
      <c r="B2" s="1976"/>
      <c r="C2" s="1976"/>
      <c r="D2" s="1976"/>
      <c r="E2" s="1976"/>
      <c r="F2" s="1976"/>
      <c r="G2" s="1976"/>
      <c r="H2" s="1976"/>
      <c r="I2" s="1976"/>
      <c r="J2" s="1976"/>
      <c r="K2" s="1976"/>
      <c r="L2" s="1976"/>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76"/>
      <c r="AO2" s="1976"/>
      <c r="AP2" s="1976"/>
      <c r="AQ2" s="1976"/>
      <c r="AR2" s="1976"/>
      <c r="AS2" s="1976"/>
      <c r="AT2" s="1976"/>
      <c r="AU2" s="1976"/>
      <c r="AV2" s="1976"/>
      <c r="AW2" s="1976"/>
      <c r="AX2" s="1976"/>
      <c r="AY2" s="1976"/>
      <c r="AZ2" s="1976"/>
      <c r="BA2" s="1976"/>
      <c r="BB2" s="1976"/>
      <c r="BC2" s="1976"/>
      <c r="BD2" s="1976"/>
      <c r="BE2" s="1976"/>
      <c r="BF2" s="1976"/>
      <c r="BG2" s="1976"/>
    </row>
    <row r="3" spans="1:59">
      <c r="A3" s="1976" t="s">
        <v>160</v>
      </c>
      <c r="B3" s="1976"/>
      <c r="C3" s="1976"/>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76"/>
      <c r="AO3" s="1976"/>
      <c r="AP3" s="1976"/>
      <c r="AQ3" s="1976"/>
      <c r="AR3" s="1976"/>
      <c r="AS3" s="1976"/>
      <c r="AT3" s="1976"/>
      <c r="AU3" s="1976"/>
      <c r="AV3" s="1976"/>
      <c r="AW3" s="1976"/>
      <c r="AX3" s="1976"/>
      <c r="AY3" s="1976"/>
      <c r="AZ3" s="1976"/>
      <c r="BA3" s="1976"/>
      <c r="BB3" s="1976"/>
      <c r="BC3" s="1976"/>
      <c r="BD3" s="1976"/>
      <c r="BE3" s="1976"/>
      <c r="BF3" s="1976"/>
      <c r="BG3" s="1976"/>
    </row>
    <row r="4" spans="1:59">
      <c r="A4" s="1976" t="s">
        <v>1079</v>
      </c>
      <c r="B4" s="1976"/>
      <c r="C4" s="1976"/>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c r="AL4" s="1976"/>
      <c r="AM4" s="1976"/>
      <c r="AN4" s="1976"/>
      <c r="AO4" s="1976"/>
      <c r="AP4" s="1976"/>
      <c r="AQ4" s="1976"/>
      <c r="AR4" s="1976"/>
      <c r="AS4" s="1976"/>
      <c r="AT4" s="1976"/>
      <c r="AU4" s="1976"/>
      <c r="AV4" s="1976"/>
      <c r="AW4" s="1976"/>
      <c r="AX4" s="1976"/>
      <c r="AY4" s="1976"/>
      <c r="AZ4" s="1976"/>
      <c r="BA4" s="1976"/>
      <c r="BB4" s="1976"/>
      <c r="BC4" s="1976"/>
      <c r="BD4" s="1976"/>
      <c r="BE4" s="1976"/>
      <c r="BF4" s="1976"/>
      <c r="BG4" s="1976"/>
    </row>
    <row r="6" spans="1:59">
      <c r="A6" s="1977" t="s">
        <v>159</v>
      </c>
      <c r="B6" s="1977" t="s">
        <v>32</v>
      </c>
      <c r="C6" s="1977" t="s">
        <v>127</v>
      </c>
      <c r="D6" s="1977" t="s">
        <v>1315</v>
      </c>
      <c r="E6" s="1977" t="s">
        <v>125</v>
      </c>
      <c r="F6" s="1977" t="s">
        <v>1314</v>
      </c>
      <c r="G6" s="1977" t="s">
        <v>123</v>
      </c>
      <c r="H6" s="1977" t="s">
        <v>1313</v>
      </c>
      <c r="I6" s="1977" t="s">
        <v>121</v>
      </c>
      <c r="J6" s="1977" t="s">
        <v>1312</v>
      </c>
      <c r="K6" s="1977" t="s">
        <v>119</v>
      </c>
      <c r="L6" s="1977" t="s">
        <v>1311</v>
      </c>
      <c r="M6" s="1977" t="s">
        <v>117</v>
      </c>
      <c r="N6" s="1977" t="s">
        <v>1310</v>
      </c>
      <c r="O6" s="1977" t="s">
        <v>115</v>
      </c>
      <c r="P6" s="1977" t="s">
        <v>1309</v>
      </c>
      <c r="Q6" s="1977" t="s">
        <v>113</v>
      </c>
      <c r="R6" s="1977" t="s">
        <v>1308</v>
      </c>
      <c r="S6" s="1977" t="s">
        <v>111</v>
      </c>
      <c r="T6" s="1977" t="s">
        <v>1254</v>
      </c>
      <c r="U6" s="1977" t="s">
        <v>109</v>
      </c>
      <c r="V6" s="1977" t="s">
        <v>1253</v>
      </c>
      <c r="W6" s="1977" t="s">
        <v>107</v>
      </c>
      <c r="X6" s="1977" t="s">
        <v>1252</v>
      </c>
      <c r="Y6" s="1977" t="s">
        <v>105</v>
      </c>
      <c r="Z6" s="1977" t="s">
        <v>1078</v>
      </c>
      <c r="AA6" s="1977" t="s">
        <v>103</v>
      </c>
      <c r="AB6" s="1977" t="s">
        <v>1077</v>
      </c>
      <c r="AC6" s="1977" t="s">
        <v>101</v>
      </c>
      <c r="AD6" s="1977" t="s">
        <v>1076</v>
      </c>
      <c r="AE6" s="1977" t="s">
        <v>99</v>
      </c>
      <c r="AF6" s="1977" t="s">
        <v>1075</v>
      </c>
      <c r="AG6" s="1977" t="s">
        <v>97</v>
      </c>
      <c r="AH6" s="1977" t="s">
        <v>1074</v>
      </c>
      <c r="AI6" s="1977" t="s">
        <v>95</v>
      </c>
      <c r="AJ6" s="1977" t="s">
        <v>1073</v>
      </c>
      <c r="AK6" s="1977" t="s">
        <v>93</v>
      </c>
      <c r="AL6" s="1977" t="s">
        <v>1072</v>
      </c>
      <c r="AM6" s="1977" t="s">
        <v>91</v>
      </c>
      <c r="AN6" s="1977" t="s">
        <v>1071</v>
      </c>
      <c r="AO6" s="1977" t="s">
        <v>89</v>
      </c>
      <c r="AP6" s="1977" t="s">
        <v>261</v>
      </c>
      <c r="AQ6" s="1977" t="s">
        <v>87</v>
      </c>
      <c r="AR6" s="1977" t="s">
        <v>260</v>
      </c>
      <c r="AS6" s="1977" t="s">
        <v>85</v>
      </c>
      <c r="AT6" s="1977" t="s">
        <v>259</v>
      </c>
      <c r="AU6" s="1977" t="s">
        <v>83</v>
      </c>
      <c r="AV6" s="1977" t="s">
        <v>258</v>
      </c>
      <c r="AW6" s="1977" t="s">
        <v>81</v>
      </c>
      <c r="AX6" s="1977" t="s">
        <v>257</v>
      </c>
      <c r="AY6" s="1977" t="s">
        <v>79</v>
      </c>
      <c r="AZ6" s="1977" t="s">
        <v>256</v>
      </c>
      <c r="BA6" s="1977" t="s">
        <v>77</v>
      </c>
      <c r="BB6" s="1977" t="s">
        <v>255</v>
      </c>
      <c r="BC6" s="1977" t="s">
        <v>75</v>
      </c>
      <c r="BD6" s="1977" t="s">
        <v>794</v>
      </c>
      <c r="BE6" s="1977" t="s">
        <v>866</v>
      </c>
      <c r="BF6" s="1977" t="s">
        <v>1070</v>
      </c>
      <c r="BG6" s="1977" t="s">
        <v>864</v>
      </c>
    </row>
    <row r="7" spans="1:59">
      <c r="A7" s="407" t="s">
        <v>32</v>
      </c>
      <c r="B7" s="407" t="s">
        <v>671</v>
      </c>
      <c r="C7" s="407" t="s">
        <v>32</v>
      </c>
      <c r="D7" s="407" t="s">
        <v>32</v>
      </c>
      <c r="E7" s="407" t="s">
        <v>32</v>
      </c>
      <c r="F7" s="407" t="s">
        <v>32</v>
      </c>
      <c r="G7" s="407" t="s">
        <v>32</v>
      </c>
      <c r="H7" s="407" t="s">
        <v>32</v>
      </c>
      <c r="I7" s="407" t="s">
        <v>32</v>
      </c>
      <c r="J7" s="407" t="s">
        <v>32</v>
      </c>
      <c r="K7" s="407" t="s">
        <v>32</v>
      </c>
      <c r="L7" s="407" t="s">
        <v>32</v>
      </c>
      <c r="M7" s="407" t="s">
        <v>32</v>
      </c>
      <c r="N7" s="407" t="s">
        <v>32</v>
      </c>
      <c r="O7" s="407" t="s">
        <v>32</v>
      </c>
      <c r="P7" s="407" t="s">
        <v>32</v>
      </c>
      <c r="Q7" s="407" t="s">
        <v>32</v>
      </c>
      <c r="R7" s="407" t="s">
        <v>32</v>
      </c>
      <c r="S7" s="407" t="s">
        <v>32</v>
      </c>
      <c r="T7" s="407" t="s">
        <v>32</v>
      </c>
      <c r="U7" s="407" t="s">
        <v>32</v>
      </c>
      <c r="V7" s="407" t="s">
        <v>32</v>
      </c>
      <c r="W7" s="407" t="s">
        <v>32</v>
      </c>
      <c r="X7" s="407" t="s">
        <v>32</v>
      </c>
      <c r="Y7" s="407" t="s">
        <v>32</v>
      </c>
      <c r="Z7" s="407" t="s">
        <v>32</v>
      </c>
      <c r="AA7" s="407" t="s">
        <v>32</v>
      </c>
      <c r="AB7" s="407" t="s">
        <v>32</v>
      </c>
      <c r="AC7" s="407" t="s">
        <v>32</v>
      </c>
      <c r="AD7" s="407" t="s">
        <v>32</v>
      </c>
      <c r="AE7" s="407" t="s">
        <v>32</v>
      </c>
      <c r="AF7" s="407" t="s">
        <v>32</v>
      </c>
      <c r="AG7" s="407" t="s">
        <v>32</v>
      </c>
      <c r="AH7" s="407" t="s">
        <v>32</v>
      </c>
      <c r="AI7" s="407" t="s">
        <v>32</v>
      </c>
      <c r="AJ7" s="407" t="s">
        <v>32</v>
      </c>
      <c r="AK7" s="407" t="s">
        <v>32</v>
      </c>
      <c r="AL7" s="407" t="s">
        <v>32</v>
      </c>
      <c r="AM7" s="407" t="s">
        <v>32</v>
      </c>
      <c r="AN7" s="407" t="s">
        <v>32</v>
      </c>
      <c r="AO7" s="407" t="s">
        <v>32</v>
      </c>
      <c r="AP7" s="407" t="s">
        <v>32</v>
      </c>
      <c r="AQ7" s="407" t="s">
        <v>32</v>
      </c>
      <c r="AR7" s="407" t="s">
        <v>32</v>
      </c>
      <c r="AS7" s="407" t="s">
        <v>32</v>
      </c>
      <c r="AT7" s="407" t="s">
        <v>32</v>
      </c>
      <c r="AU7" s="407" t="s">
        <v>32</v>
      </c>
      <c r="AV7" s="407" t="s">
        <v>32</v>
      </c>
      <c r="AW7" s="407" t="s">
        <v>32</v>
      </c>
      <c r="AX7" s="407" t="s">
        <v>32</v>
      </c>
      <c r="AY7" s="407" t="s">
        <v>32</v>
      </c>
      <c r="AZ7" s="407" t="s">
        <v>32</v>
      </c>
      <c r="BA7" s="407" t="s">
        <v>32</v>
      </c>
      <c r="BB7" s="407" t="s">
        <v>32</v>
      </c>
      <c r="BC7" s="407" t="s">
        <v>32</v>
      </c>
      <c r="BD7" s="407" t="s">
        <v>32</v>
      </c>
      <c r="BE7" s="407" t="s">
        <v>32</v>
      </c>
      <c r="BF7" s="407" t="s">
        <v>32</v>
      </c>
      <c r="BG7" s="407" t="s">
        <v>32</v>
      </c>
    </row>
    <row r="8" spans="1:59">
      <c r="A8" s="407" t="s">
        <v>73</v>
      </c>
      <c r="B8" s="408" t="s">
        <v>1307</v>
      </c>
      <c r="C8" s="407">
        <v>30555</v>
      </c>
      <c r="D8" s="407">
        <v>31403</v>
      </c>
      <c r="E8" s="407">
        <v>33340</v>
      </c>
      <c r="F8" s="407">
        <v>35776</v>
      </c>
      <c r="G8" s="407">
        <v>40164</v>
      </c>
      <c r="H8" s="407">
        <v>42722</v>
      </c>
      <c r="I8" s="407">
        <v>46454</v>
      </c>
      <c r="J8" s="407">
        <v>49354</v>
      </c>
      <c r="K8" s="407">
        <v>54912</v>
      </c>
      <c r="L8" s="407">
        <v>60133</v>
      </c>
      <c r="M8" s="407">
        <v>68388</v>
      </c>
      <c r="N8" s="407">
        <v>72383</v>
      </c>
      <c r="O8" s="407">
        <v>81987</v>
      </c>
      <c r="P8" s="407">
        <v>113051</v>
      </c>
      <c r="Q8" s="407">
        <v>148484</v>
      </c>
      <c r="R8" s="407">
        <v>157936</v>
      </c>
      <c r="S8" s="407">
        <v>172090</v>
      </c>
      <c r="T8" s="407">
        <v>184657</v>
      </c>
      <c r="U8" s="407">
        <v>220515</v>
      </c>
      <c r="V8" s="407">
        <v>287967</v>
      </c>
      <c r="W8" s="407">
        <v>344440</v>
      </c>
      <c r="X8" s="407">
        <v>380928</v>
      </c>
      <c r="Y8" s="407">
        <v>371757</v>
      </c>
      <c r="Z8" s="407">
        <v>362137</v>
      </c>
      <c r="AA8" s="407">
        <v>406733</v>
      </c>
      <c r="AB8" s="407">
        <v>394117</v>
      </c>
      <c r="AC8" s="407">
        <v>412832</v>
      </c>
      <c r="AD8" s="407">
        <v>462472</v>
      </c>
      <c r="AE8" s="407">
        <v>572816</v>
      </c>
      <c r="AF8" s="407">
        <v>653387</v>
      </c>
      <c r="AG8" s="407">
        <v>712128</v>
      </c>
      <c r="AH8" s="407">
        <v>733670</v>
      </c>
      <c r="AI8" s="407">
        <v>755964</v>
      </c>
      <c r="AJ8" s="407">
        <v>784469</v>
      </c>
      <c r="AK8" s="407">
        <v>872701</v>
      </c>
      <c r="AL8" s="407">
        <v>1008048</v>
      </c>
      <c r="AM8" s="407">
        <v>1081132</v>
      </c>
      <c r="AN8" s="407">
        <v>1195810</v>
      </c>
      <c r="AO8" s="407">
        <v>1199418</v>
      </c>
      <c r="AP8" s="407">
        <v>1303581</v>
      </c>
      <c r="AQ8" s="407">
        <v>1469648</v>
      </c>
      <c r="AR8" s="407">
        <v>1344232</v>
      </c>
      <c r="AS8" s="407">
        <v>1318312</v>
      </c>
      <c r="AT8" s="407">
        <v>1407044</v>
      </c>
      <c r="AU8" s="407">
        <v>1637953</v>
      </c>
      <c r="AV8" s="407">
        <v>1885833</v>
      </c>
      <c r="AW8" s="407">
        <v>2209157</v>
      </c>
      <c r="AX8" s="407">
        <v>2559331</v>
      </c>
      <c r="AY8" s="407">
        <v>2742258</v>
      </c>
      <c r="AZ8" s="407">
        <v>2283060</v>
      </c>
      <c r="BA8" s="407">
        <v>2624558</v>
      </c>
      <c r="BB8" s="407">
        <v>2982620</v>
      </c>
      <c r="BC8" s="407">
        <v>3095673</v>
      </c>
      <c r="BD8" s="407">
        <v>3212249</v>
      </c>
      <c r="BE8" s="407">
        <v>3333332</v>
      </c>
      <c r="BF8" s="407">
        <v>3172990</v>
      </c>
      <c r="BG8" s="407">
        <v>3157241</v>
      </c>
    </row>
    <row r="9" spans="1:59">
      <c r="A9" s="407" t="s">
        <v>72</v>
      </c>
      <c r="B9" s="407" t="s">
        <v>669</v>
      </c>
      <c r="C9" s="407">
        <v>25939</v>
      </c>
      <c r="D9" s="407">
        <v>26403</v>
      </c>
      <c r="E9" s="407">
        <v>27722</v>
      </c>
      <c r="F9" s="407">
        <v>29620</v>
      </c>
      <c r="G9" s="407">
        <v>33340</v>
      </c>
      <c r="H9" s="407">
        <v>35285</v>
      </c>
      <c r="I9" s="407">
        <v>38926</v>
      </c>
      <c r="J9" s="407">
        <v>41333</v>
      </c>
      <c r="K9" s="407">
        <v>45544</v>
      </c>
      <c r="L9" s="407">
        <v>49220</v>
      </c>
      <c r="M9" s="407">
        <v>56640</v>
      </c>
      <c r="N9" s="407">
        <v>59677</v>
      </c>
      <c r="O9" s="407">
        <v>67223</v>
      </c>
      <c r="P9" s="407">
        <v>91242</v>
      </c>
      <c r="Q9" s="407">
        <v>120897</v>
      </c>
      <c r="R9" s="407">
        <v>132585</v>
      </c>
      <c r="S9" s="407">
        <v>142716</v>
      </c>
      <c r="T9" s="407">
        <v>152302</v>
      </c>
      <c r="U9" s="407">
        <v>178428</v>
      </c>
      <c r="V9" s="407">
        <v>224132</v>
      </c>
      <c r="W9" s="407">
        <v>271835</v>
      </c>
      <c r="X9" s="407">
        <v>294399</v>
      </c>
      <c r="Y9" s="407">
        <v>275235</v>
      </c>
      <c r="Z9" s="407">
        <v>266106</v>
      </c>
      <c r="AA9" s="407">
        <v>291094</v>
      </c>
      <c r="AB9" s="407">
        <v>289071</v>
      </c>
      <c r="AC9" s="407">
        <v>310034</v>
      </c>
      <c r="AD9" s="407">
        <v>348869</v>
      </c>
      <c r="AE9" s="407">
        <v>431150</v>
      </c>
      <c r="AF9" s="407">
        <v>487003</v>
      </c>
      <c r="AG9" s="407">
        <v>535234</v>
      </c>
      <c r="AH9" s="407">
        <v>578343</v>
      </c>
      <c r="AI9" s="407">
        <v>616882</v>
      </c>
      <c r="AJ9" s="407">
        <v>642863</v>
      </c>
      <c r="AK9" s="407">
        <v>703254</v>
      </c>
      <c r="AL9" s="407">
        <v>794387</v>
      </c>
      <c r="AM9" s="407">
        <v>851602</v>
      </c>
      <c r="AN9" s="407">
        <v>934453</v>
      </c>
      <c r="AO9" s="407">
        <v>933174</v>
      </c>
      <c r="AP9" s="407">
        <v>969867</v>
      </c>
      <c r="AQ9" s="407">
        <v>1075321</v>
      </c>
      <c r="AR9" s="407">
        <v>1005654</v>
      </c>
      <c r="AS9" s="407">
        <v>978706</v>
      </c>
      <c r="AT9" s="407">
        <v>1020418</v>
      </c>
      <c r="AU9" s="407">
        <v>1161549</v>
      </c>
      <c r="AV9" s="407">
        <v>1286022</v>
      </c>
      <c r="AW9" s="407">
        <v>1457642</v>
      </c>
      <c r="AX9" s="407">
        <v>1653548</v>
      </c>
      <c r="AY9" s="407">
        <v>1841612</v>
      </c>
      <c r="AZ9" s="407">
        <v>1583053</v>
      </c>
      <c r="BA9" s="407">
        <v>1853606</v>
      </c>
      <c r="BB9" s="407">
        <v>2127021</v>
      </c>
      <c r="BC9" s="407">
        <v>2218989</v>
      </c>
      <c r="BD9" s="407">
        <v>2293457</v>
      </c>
      <c r="BE9" s="407">
        <v>2375905</v>
      </c>
      <c r="BF9" s="407">
        <v>2263907</v>
      </c>
      <c r="BG9" s="407">
        <v>2208072</v>
      </c>
    </row>
    <row r="10" spans="1:59">
      <c r="A10" s="407" t="s">
        <v>70</v>
      </c>
      <c r="B10" s="407" t="s">
        <v>1303</v>
      </c>
      <c r="C10" s="407">
        <v>19650</v>
      </c>
      <c r="D10" s="407">
        <v>20108</v>
      </c>
      <c r="E10" s="407">
        <v>20781</v>
      </c>
      <c r="F10" s="407">
        <v>22272</v>
      </c>
      <c r="G10" s="407">
        <v>25501</v>
      </c>
      <c r="H10" s="407">
        <v>26461</v>
      </c>
      <c r="I10" s="407">
        <v>29310</v>
      </c>
      <c r="J10" s="407">
        <v>30666</v>
      </c>
      <c r="K10" s="407">
        <v>33626</v>
      </c>
      <c r="L10" s="407">
        <v>36414</v>
      </c>
      <c r="M10" s="407">
        <v>42469</v>
      </c>
      <c r="N10" s="407">
        <v>43319</v>
      </c>
      <c r="O10" s="407">
        <v>49381</v>
      </c>
      <c r="P10" s="407">
        <v>71410</v>
      </c>
      <c r="Q10" s="407">
        <v>98306</v>
      </c>
      <c r="R10" s="407">
        <v>107088</v>
      </c>
      <c r="S10" s="407">
        <v>114745</v>
      </c>
      <c r="T10" s="407">
        <v>120816</v>
      </c>
      <c r="U10" s="407">
        <v>142075</v>
      </c>
      <c r="V10" s="407">
        <v>184439</v>
      </c>
      <c r="W10" s="407">
        <v>224250</v>
      </c>
      <c r="X10" s="407">
        <v>237044</v>
      </c>
      <c r="Y10" s="407">
        <v>211157</v>
      </c>
      <c r="Z10" s="407">
        <v>201799</v>
      </c>
      <c r="AA10" s="407">
        <v>219926</v>
      </c>
      <c r="AB10" s="407">
        <v>215915</v>
      </c>
      <c r="AC10" s="407">
        <v>223344</v>
      </c>
      <c r="AD10" s="407">
        <v>250208</v>
      </c>
      <c r="AE10" s="407">
        <v>320230</v>
      </c>
      <c r="AF10" s="407">
        <v>359916</v>
      </c>
      <c r="AG10" s="407">
        <v>387401</v>
      </c>
      <c r="AH10" s="407">
        <v>414083</v>
      </c>
      <c r="AI10" s="407">
        <v>439631</v>
      </c>
      <c r="AJ10" s="407">
        <v>456943</v>
      </c>
      <c r="AK10" s="407">
        <v>502859</v>
      </c>
      <c r="AL10" s="407">
        <v>575204</v>
      </c>
      <c r="AM10" s="407">
        <v>612113</v>
      </c>
      <c r="AN10" s="407">
        <v>678366</v>
      </c>
      <c r="AO10" s="407">
        <v>670416</v>
      </c>
      <c r="AP10" s="407">
        <v>698524</v>
      </c>
      <c r="AQ10" s="407">
        <v>784940</v>
      </c>
      <c r="AR10" s="407">
        <v>731331</v>
      </c>
      <c r="AS10" s="407">
        <v>698036</v>
      </c>
      <c r="AT10" s="407">
        <v>730446</v>
      </c>
      <c r="AU10" s="407">
        <v>823584</v>
      </c>
      <c r="AV10" s="407">
        <v>913016</v>
      </c>
      <c r="AW10" s="407">
        <v>1040905</v>
      </c>
      <c r="AX10" s="407">
        <v>1165151</v>
      </c>
      <c r="AY10" s="407">
        <v>1308795</v>
      </c>
      <c r="AZ10" s="407">
        <v>1070331</v>
      </c>
      <c r="BA10" s="407">
        <v>1290273</v>
      </c>
      <c r="BB10" s="407">
        <v>1499240</v>
      </c>
      <c r="BC10" s="407">
        <v>1562578</v>
      </c>
      <c r="BD10" s="407">
        <v>1592002</v>
      </c>
      <c r="BE10" s="407">
        <v>1633986</v>
      </c>
      <c r="BF10" s="407">
        <v>1510757</v>
      </c>
      <c r="BG10" s="407">
        <v>1455704</v>
      </c>
    </row>
    <row r="11" spans="1:59">
      <c r="A11" s="407" t="s">
        <v>69</v>
      </c>
      <c r="B11" s="407" t="s">
        <v>1302</v>
      </c>
      <c r="C11" s="407">
        <v>6289</v>
      </c>
      <c r="D11" s="407">
        <v>6295</v>
      </c>
      <c r="E11" s="407">
        <v>6941</v>
      </c>
      <c r="F11" s="407">
        <v>7348</v>
      </c>
      <c r="G11" s="407">
        <v>7839</v>
      </c>
      <c r="H11" s="407">
        <v>8824</v>
      </c>
      <c r="I11" s="407">
        <v>9616</v>
      </c>
      <c r="J11" s="407">
        <v>10667</v>
      </c>
      <c r="K11" s="407">
        <v>11918</v>
      </c>
      <c r="L11" s="407">
        <v>12806</v>
      </c>
      <c r="M11" s="407">
        <v>14171</v>
      </c>
      <c r="N11" s="407">
        <v>16358</v>
      </c>
      <c r="O11" s="407">
        <v>17842</v>
      </c>
      <c r="P11" s="407">
        <v>19832</v>
      </c>
      <c r="Q11" s="407">
        <v>22591</v>
      </c>
      <c r="R11" s="407">
        <v>25497</v>
      </c>
      <c r="S11" s="407">
        <v>27971</v>
      </c>
      <c r="T11" s="407">
        <v>31486</v>
      </c>
      <c r="U11" s="407">
        <v>36353</v>
      </c>
      <c r="V11" s="407">
        <v>39693</v>
      </c>
      <c r="W11" s="407">
        <v>47585</v>
      </c>
      <c r="X11" s="407">
        <v>57355</v>
      </c>
      <c r="Y11" s="407">
        <v>64078</v>
      </c>
      <c r="Z11" s="407">
        <v>64307</v>
      </c>
      <c r="AA11" s="407">
        <v>71168</v>
      </c>
      <c r="AB11" s="407">
        <v>73156</v>
      </c>
      <c r="AC11" s="407">
        <v>86690</v>
      </c>
      <c r="AD11" s="407">
        <v>98661</v>
      </c>
      <c r="AE11" s="407">
        <v>110920</v>
      </c>
      <c r="AF11" s="407">
        <v>127087</v>
      </c>
      <c r="AG11" s="407">
        <v>147833</v>
      </c>
      <c r="AH11" s="407">
        <v>164260</v>
      </c>
      <c r="AI11" s="407">
        <v>177251</v>
      </c>
      <c r="AJ11" s="407">
        <v>185920</v>
      </c>
      <c r="AK11" s="407">
        <v>200395</v>
      </c>
      <c r="AL11" s="407">
        <v>219183</v>
      </c>
      <c r="AM11" s="407">
        <v>239489</v>
      </c>
      <c r="AN11" s="407">
        <v>256087</v>
      </c>
      <c r="AO11" s="407">
        <v>262758</v>
      </c>
      <c r="AP11" s="407">
        <v>271343</v>
      </c>
      <c r="AQ11" s="407">
        <v>290381</v>
      </c>
      <c r="AR11" s="407">
        <v>274323</v>
      </c>
      <c r="AS11" s="407">
        <v>280670</v>
      </c>
      <c r="AT11" s="407">
        <v>289972</v>
      </c>
      <c r="AU11" s="407">
        <v>337966</v>
      </c>
      <c r="AV11" s="407">
        <v>373006</v>
      </c>
      <c r="AW11" s="407">
        <v>416738</v>
      </c>
      <c r="AX11" s="407">
        <v>488396</v>
      </c>
      <c r="AY11" s="407">
        <v>532817</v>
      </c>
      <c r="AZ11" s="407">
        <v>512722</v>
      </c>
      <c r="BA11" s="407">
        <v>563333</v>
      </c>
      <c r="BB11" s="407">
        <v>627781</v>
      </c>
      <c r="BC11" s="407">
        <v>656411</v>
      </c>
      <c r="BD11" s="407">
        <v>701455</v>
      </c>
      <c r="BE11" s="407">
        <v>741919</v>
      </c>
      <c r="BF11" s="407">
        <v>753150</v>
      </c>
      <c r="BG11" s="407">
        <v>752368</v>
      </c>
    </row>
    <row r="12" spans="1:59">
      <c r="A12" s="407" t="s">
        <v>68</v>
      </c>
      <c r="B12" s="407" t="s">
        <v>1306</v>
      </c>
      <c r="C12" s="407">
        <v>4616</v>
      </c>
      <c r="D12" s="407">
        <v>5000</v>
      </c>
      <c r="E12" s="407">
        <v>5618</v>
      </c>
      <c r="F12" s="407">
        <v>6156</v>
      </c>
      <c r="G12" s="407">
        <v>6824</v>
      </c>
      <c r="H12" s="407">
        <v>7437</v>
      </c>
      <c r="I12" s="407">
        <v>7528</v>
      </c>
      <c r="J12" s="407">
        <v>8021</v>
      </c>
      <c r="K12" s="407">
        <v>9368</v>
      </c>
      <c r="L12" s="407">
        <v>10913</v>
      </c>
      <c r="M12" s="407">
        <v>11748</v>
      </c>
      <c r="N12" s="407">
        <v>12706</v>
      </c>
      <c r="O12" s="407">
        <v>14764</v>
      </c>
      <c r="P12" s="407">
        <v>21809</v>
      </c>
      <c r="Q12" s="407">
        <v>27587</v>
      </c>
      <c r="R12" s="407">
        <v>25351</v>
      </c>
      <c r="S12" s="407">
        <v>29374</v>
      </c>
      <c r="T12" s="407">
        <v>32355</v>
      </c>
      <c r="U12" s="407">
        <v>42087</v>
      </c>
      <c r="V12" s="407">
        <v>63835</v>
      </c>
      <c r="W12" s="407">
        <v>72605</v>
      </c>
      <c r="X12" s="407">
        <v>86529</v>
      </c>
      <c r="Y12" s="407">
        <v>96522</v>
      </c>
      <c r="Z12" s="407">
        <v>96031</v>
      </c>
      <c r="AA12" s="407">
        <v>115639</v>
      </c>
      <c r="AB12" s="407">
        <v>105046</v>
      </c>
      <c r="AC12" s="407">
        <v>102798</v>
      </c>
      <c r="AD12" s="407">
        <v>113603</v>
      </c>
      <c r="AE12" s="407">
        <v>141666</v>
      </c>
      <c r="AF12" s="407">
        <v>166384</v>
      </c>
      <c r="AG12" s="407">
        <v>176894</v>
      </c>
      <c r="AH12" s="407">
        <v>155327</v>
      </c>
      <c r="AI12" s="407">
        <v>139082</v>
      </c>
      <c r="AJ12" s="407">
        <v>141606</v>
      </c>
      <c r="AK12" s="407">
        <v>169447</v>
      </c>
      <c r="AL12" s="407">
        <v>213661</v>
      </c>
      <c r="AM12" s="407">
        <v>229530</v>
      </c>
      <c r="AN12" s="407">
        <v>261357</v>
      </c>
      <c r="AO12" s="407">
        <v>266244</v>
      </c>
      <c r="AP12" s="407">
        <v>299114</v>
      </c>
      <c r="AQ12" s="407">
        <v>356706</v>
      </c>
      <c r="AR12" s="407">
        <v>296977</v>
      </c>
      <c r="AS12" s="407">
        <v>286525</v>
      </c>
      <c r="AT12" s="407">
        <v>324374</v>
      </c>
      <c r="AU12" s="407">
        <v>416085</v>
      </c>
      <c r="AV12" s="407">
        <v>534215</v>
      </c>
      <c r="AW12" s="407">
        <v>680830</v>
      </c>
      <c r="AX12" s="407">
        <v>834983</v>
      </c>
      <c r="AY12" s="407">
        <v>815567</v>
      </c>
      <c r="AZ12" s="407">
        <v>613249</v>
      </c>
      <c r="BA12" s="407">
        <v>680169</v>
      </c>
      <c r="BB12" s="407">
        <v>755937</v>
      </c>
      <c r="BC12" s="407">
        <v>767972</v>
      </c>
      <c r="BD12" s="407">
        <v>792819</v>
      </c>
      <c r="BE12" s="407">
        <v>817348</v>
      </c>
      <c r="BF12" s="407">
        <v>782985</v>
      </c>
      <c r="BG12" s="407">
        <v>813977</v>
      </c>
    </row>
    <row r="13" spans="1:59">
      <c r="A13" s="407" t="s">
        <v>66</v>
      </c>
      <c r="B13" s="407" t="s">
        <v>1300</v>
      </c>
      <c r="C13" s="407">
        <v>4616</v>
      </c>
      <c r="D13" s="407">
        <v>5000</v>
      </c>
      <c r="E13" s="407">
        <v>5618</v>
      </c>
      <c r="F13" s="407">
        <v>6156</v>
      </c>
      <c r="G13" s="407">
        <v>6824</v>
      </c>
      <c r="H13" s="407">
        <v>7437</v>
      </c>
      <c r="I13" s="407">
        <v>7528</v>
      </c>
      <c r="J13" s="407">
        <v>8021</v>
      </c>
      <c r="K13" s="407">
        <v>9368</v>
      </c>
      <c r="L13" s="407">
        <v>10913</v>
      </c>
      <c r="M13" s="407">
        <v>11748</v>
      </c>
      <c r="N13" s="407">
        <v>12706</v>
      </c>
      <c r="O13" s="407">
        <v>14764</v>
      </c>
      <c r="P13" s="407">
        <v>21809</v>
      </c>
      <c r="Q13" s="407">
        <v>27587</v>
      </c>
      <c r="R13" s="407">
        <v>25351</v>
      </c>
      <c r="S13" s="407">
        <v>29374</v>
      </c>
      <c r="T13" s="407">
        <v>32355</v>
      </c>
      <c r="U13" s="407">
        <v>42087</v>
      </c>
      <c r="V13" s="407">
        <v>63835</v>
      </c>
      <c r="W13" s="407">
        <v>72605</v>
      </c>
      <c r="X13" s="407">
        <v>86529</v>
      </c>
      <c r="Y13" s="407">
        <v>96522</v>
      </c>
      <c r="Z13" s="407">
        <v>96031</v>
      </c>
      <c r="AA13" s="407">
        <v>115639</v>
      </c>
      <c r="AB13" s="407">
        <v>105046</v>
      </c>
      <c r="AC13" s="407">
        <v>101890</v>
      </c>
      <c r="AD13" s="407">
        <v>112609</v>
      </c>
      <c r="AE13" s="407">
        <v>140671</v>
      </c>
      <c r="AF13" s="407">
        <v>165367</v>
      </c>
      <c r="AG13" s="407">
        <v>175722</v>
      </c>
      <c r="AH13" s="407">
        <v>154037</v>
      </c>
      <c r="AI13" s="407">
        <v>137286</v>
      </c>
      <c r="AJ13" s="407">
        <v>139786</v>
      </c>
      <c r="AK13" s="407">
        <v>167504</v>
      </c>
      <c r="AL13" s="407">
        <v>211482</v>
      </c>
      <c r="AM13" s="407">
        <v>227349</v>
      </c>
      <c r="AN13" s="407">
        <v>259087</v>
      </c>
      <c r="AO13" s="407">
        <v>263807</v>
      </c>
      <c r="AP13" s="407">
        <v>294868</v>
      </c>
      <c r="AQ13" s="407">
        <v>352311</v>
      </c>
      <c r="AR13" s="407">
        <v>292465</v>
      </c>
      <c r="AS13" s="407">
        <v>281955</v>
      </c>
      <c r="AT13" s="407">
        <v>319702</v>
      </c>
      <c r="AU13" s="407">
        <v>411351</v>
      </c>
      <c r="AV13" s="407">
        <v>529419</v>
      </c>
      <c r="AW13" s="407">
        <v>675761</v>
      </c>
      <c r="AX13" s="407">
        <v>829764</v>
      </c>
      <c r="AY13" s="407">
        <v>810203</v>
      </c>
      <c r="AZ13" s="407">
        <v>607509</v>
      </c>
      <c r="BA13" s="407">
        <v>674238</v>
      </c>
      <c r="BB13" s="407">
        <v>749832</v>
      </c>
      <c r="BC13" s="407">
        <v>761670</v>
      </c>
      <c r="BD13" s="407">
        <v>786206</v>
      </c>
      <c r="BE13" s="407">
        <v>810845</v>
      </c>
      <c r="BF13" s="407">
        <v>776424</v>
      </c>
      <c r="BG13" s="407">
        <v>807430</v>
      </c>
    </row>
    <row r="14" spans="1:59">
      <c r="A14" s="407" t="s">
        <v>65</v>
      </c>
      <c r="B14" s="407" t="s">
        <v>634</v>
      </c>
      <c r="C14" s="407" t="s">
        <v>579</v>
      </c>
      <c r="D14" s="407" t="s">
        <v>579</v>
      </c>
      <c r="E14" s="407" t="s">
        <v>579</v>
      </c>
      <c r="F14" s="407" t="s">
        <v>579</v>
      </c>
      <c r="G14" s="407" t="s">
        <v>579</v>
      </c>
      <c r="H14" s="407" t="s">
        <v>579</v>
      </c>
      <c r="I14" s="407" t="s">
        <v>579</v>
      </c>
      <c r="J14" s="407" t="s">
        <v>579</v>
      </c>
      <c r="K14" s="407" t="s">
        <v>579</v>
      </c>
      <c r="L14" s="407" t="s">
        <v>579</v>
      </c>
      <c r="M14" s="407" t="s">
        <v>579</v>
      </c>
      <c r="N14" s="407" t="s">
        <v>579</v>
      </c>
      <c r="O14" s="407" t="s">
        <v>579</v>
      </c>
      <c r="P14" s="407" t="s">
        <v>579</v>
      </c>
      <c r="Q14" s="407" t="s">
        <v>579</v>
      </c>
      <c r="R14" s="407" t="s">
        <v>579</v>
      </c>
      <c r="S14" s="407" t="s">
        <v>579</v>
      </c>
      <c r="T14" s="407" t="s">
        <v>579</v>
      </c>
      <c r="U14" s="407" t="s">
        <v>579</v>
      </c>
      <c r="V14" s="407" t="s">
        <v>579</v>
      </c>
      <c r="W14" s="407" t="s">
        <v>579</v>
      </c>
      <c r="X14" s="407" t="s">
        <v>579</v>
      </c>
      <c r="Y14" s="407" t="s">
        <v>579</v>
      </c>
      <c r="Z14" s="407" t="s">
        <v>579</v>
      </c>
      <c r="AA14" s="407" t="s">
        <v>579</v>
      </c>
      <c r="AB14" s="407" t="s">
        <v>579</v>
      </c>
      <c r="AC14" s="407">
        <v>908</v>
      </c>
      <c r="AD14" s="407">
        <v>994</v>
      </c>
      <c r="AE14" s="407">
        <v>995</v>
      </c>
      <c r="AF14" s="407">
        <v>1017</v>
      </c>
      <c r="AG14" s="407">
        <v>1172</v>
      </c>
      <c r="AH14" s="407">
        <v>1290</v>
      </c>
      <c r="AI14" s="407">
        <v>1796</v>
      </c>
      <c r="AJ14" s="407">
        <v>1820</v>
      </c>
      <c r="AK14" s="407">
        <v>1943</v>
      </c>
      <c r="AL14" s="407">
        <v>2179</v>
      </c>
      <c r="AM14" s="407">
        <v>2181</v>
      </c>
      <c r="AN14" s="407">
        <v>2270</v>
      </c>
      <c r="AO14" s="407">
        <v>2437</v>
      </c>
      <c r="AP14" s="407">
        <v>4246</v>
      </c>
      <c r="AQ14" s="407">
        <v>4395</v>
      </c>
      <c r="AR14" s="407">
        <v>4512</v>
      </c>
      <c r="AS14" s="407">
        <v>4570</v>
      </c>
      <c r="AT14" s="407">
        <v>4671</v>
      </c>
      <c r="AU14" s="407">
        <v>4734</v>
      </c>
      <c r="AV14" s="407">
        <v>4796</v>
      </c>
      <c r="AW14" s="407">
        <v>5069</v>
      </c>
      <c r="AX14" s="407">
        <v>5219</v>
      </c>
      <c r="AY14" s="407">
        <v>5364</v>
      </c>
      <c r="AZ14" s="407">
        <v>5740</v>
      </c>
      <c r="BA14" s="407">
        <v>5931</v>
      </c>
      <c r="BB14" s="407">
        <v>6105</v>
      </c>
      <c r="BC14" s="407">
        <v>6302</v>
      </c>
      <c r="BD14" s="407">
        <v>6613</v>
      </c>
      <c r="BE14" s="407">
        <v>6503</v>
      </c>
      <c r="BF14" s="407">
        <v>6562</v>
      </c>
      <c r="BG14" s="407">
        <v>6547</v>
      </c>
    </row>
    <row r="15" spans="1:59">
      <c r="A15" s="407" t="s">
        <v>64</v>
      </c>
      <c r="B15" s="407" t="s">
        <v>1305</v>
      </c>
      <c r="C15" s="407" t="s">
        <v>579</v>
      </c>
      <c r="D15" s="407" t="s">
        <v>579</v>
      </c>
      <c r="E15" s="407" t="s">
        <v>579</v>
      </c>
      <c r="F15" s="407" t="s">
        <v>579</v>
      </c>
      <c r="G15" s="407" t="s">
        <v>579</v>
      </c>
      <c r="H15" s="407" t="s">
        <v>579</v>
      </c>
      <c r="I15" s="407" t="s">
        <v>579</v>
      </c>
      <c r="J15" s="407" t="s">
        <v>579</v>
      </c>
      <c r="K15" s="407" t="s">
        <v>579</v>
      </c>
      <c r="L15" s="407" t="s">
        <v>579</v>
      </c>
      <c r="M15" s="407" t="s">
        <v>579</v>
      </c>
      <c r="N15" s="407" t="s">
        <v>579</v>
      </c>
      <c r="O15" s="407" t="s">
        <v>579</v>
      </c>
      <c r="P15" s="407" t="s">
        <v>579</v>
      </c>
      <c r="Q15" s="407" t="s">
        <v>579</v>
      </c>
      <c r="R15" s="407" t="s">
        <v>579</v>
      </c>
      <c r="S15" s="407" t="s">
        <v>579</v>
      </c>
      <c r="T15" s="407" t="s">
        <v>579</v>
      </c>
      <c r="U15" s="407" t="s">
        <v>579</v>
      </c>
      <c r="V15" s="407" t="s">
        <v>579</v>
      </c>
      <c r="W15" s="407" t="s">
        <v>579</v>
      </c>
      <c r="X15" s="407" t="s">
        <v>579</v>
      </c>
      <c r="Y15" s="407" t="s">
        <v>579</v>
      </c>
      <c r="Z15" s="407" t="s">
        <v>579</v>
      </c>
      <c r="AA15" s="407" t="s">
        <v>579</v>
      </c>
      <c r="AB15" s="407" t="s">
        <v>579</v>
      </c>
      <c r="AC15" s="407" t="s">
        <v>579</v>
      </c>
      <c r="AD15" s="407" t="s">
        <v>579</v>
      </c>
      <c r="AE15" s="407" t="s">
        <v>579</v>
      </c>
      <c r="AF15" s="407" t="s">
        <v>579</v>
      </c>
      <c r="AG15" s="407" t="s">
        <v>579</v>
      </c>
      <c r="AH15" s="407" t="s">
        <v>579</v>
      </c>
      <c r="AI15" s="407" t="s">
        <v>579</v>
      </c>
      <c r="AJ15" s="407" t="s">
        <v>579</v>
      </c>
      <c r="AK15" s="407" t="s">
        <v>579</v>
      </c>
      <c r="AL15" s="407" t="s">
        <v>579</v>
      </c>
      <c r="AM15" s="407" t="s">
        <v>579</v>
      </c>
      <c r="AN15" s="407" t="s">
        <v>579</v>
      </c>
      <c r="AO15" s="407" t="s">
        <v>579</v>
      </c>
      <c r="AP15" s="407">
        <v>34599</v>
      </c>
      <c r="AQ15" s="407">
        <v>37621</v>
      </c>
      <c r="AR15" s="407">
        <v>41601</v>
      </c>
      <c r="AS15" s="407">
        <v>53082</v>
      </c>
      <c r="AT15" s="407">
        <v>62253</v>
      </c>
      <c r="AU15" s="407">
        <v>60319</v>
      </c>
      <c r="AV15" s="407">
        <v>65595</v>
      </c>
      <c r="AW15" s="407">
        <v>70685</v>
      </c>
      <c r="AX15" s="407">
        <v>70800</v>
      </c>
      <c r="AY15" s="407">
        <v>85078</v>
      </c>
      <c r="AZ15" s="407">
        <v>86758</v>
      </c>
      <c r="BA15" s="407">
        <v>90783</v>
      </c>
      <c r="BB15" s="407">
        <v>99662</v>
      </c>
      <c r="BC15" s="407">
        <v>108711</v>
      </c>
      <c r="BD15" s="407">
        <v>125973</v>
      </c>
      <c r="BE15" s="407">
        <v>140079</v>
      </c>
      <c r="BF15" s="407">
        <v>126098</v>
      </c>
      <c r="BG15" s="407">
        <v>135192</v>
      </c>
    </row>
    <row r="16" spans="1:59">
      <c r="A16" s="407" t="s">
        <v>63</v>
      </c>
      <c r="B16" s="408" t="s">
        <v>1304</v>
      </c>
      <c r="C16" s="407">
        <v>27732</v>
      </c>
      <c r="D16" s="407">
        <v>27581</v>
      </c>
      <c r="E16" s="407">
        <v>29953</v>
      </c>
      <c r="F16" s="407">
        <v>31365</v>
      </c>
      <c r="G16" s="407">
        <v>33342</v>
      </c>
      <c r="H16" s="407">
        <v>37293</v>
      </c>
      <c r="I16" s="407">
        <v>43425</v>
      </c>
      <c r="J16" s="407">
        <v>46770</v>
      </c>
      <c r="K16" s="407">
        <v>54299</v>
      </c>
      <c r="L16" s="407">
        <v>59734</v>
      </c>
      <c r="M16" s="407">
        <v>66055</v>
      </c>
      <c r="N16" s="407">
        <v>73818</v>
      </c>
      <c r="O16" s="407">
        <v>87780</v>
      </c>
      <c r="P16" s="407">
        <v>105912</v>
      </c>
      <c r="Q16" s="407">
        <v>146521</v>
      </c>
      <c r="R16" s="407">
        <v>139822</v>
      </c>
      <c r="S16" s="407">
        <v>167796</v>
      </c>
      <c r="T16" s="407">
        <v>198992</v>
      </c>
      <c r="U16" s="407">
        <v>235659</v>
      </c>
      <c r="V16" s="407">
        <v>288250</v>
      </c>
      <c r="W16" s="407">
        <v>342124</v>
      </c>
      <c r="X16" s="407">
        <v>375898</v>
      </c>
      <c r="Y16" s="407">
        <v>377296</v>
      </c>
      <c r="Z16" s="407">
        <v>400828</v>
      </c>
      <c r="AA16" s="407">
        <v>501074</v>
      </c>
      <c r="AB16" s="407">
        <v>512274</v>
      </c>
      <c r="AC16" s="407">
        <v>560007</v>
      </c>
      <c r="AD16" s="407">
        <v>623127</v>
      </c>
      <c r="AE16" s="407">
        <v>693969</v>
      </c>
      <c r="AF16" s="407">
        <v>752874</v>
      </c>
      <c r="AG16" s="407">
        <v>791097</v>
      </c>
      <c r="AH16" s="407">
        <v>730773</v>
      </c>
      <c r="AI16" s="407">
        <v>807574</v>
      </c>
      <c r="AJ16" s="407">
        <v>869272</v>
      </c>
      <c r="AK16" s="407">
        <v>994314</v>
      </c>
      <c r="AL16" s="407">
        <v>1121616</v>
      </c>
      <c r="AM16" s="407">
        <v>1205896</v>
      </c>
      <c r="AN16" s="407">
        <v>1336538</v>
      </c>
      <c r="AO16" s="407">
        <v>1414479</v>
      </c>
      <c r="AP16" s="407">
        <v>1591945</v>
      </c>
      <c r="AQ16" s="407">
        <v>1873098</v>
      </c>
      <c r="AR16" s="407">
        <v>1733922</v>
      </c>
      <c r="AS16" s="407">
        <v>1769109</v>
      </c>
      <c r="AT16" s="407">
        <v>1925788</v>
      </c>
      <c r="AU16" s="407">
        <v>2269544</v>
      </c>
      <c r="AV16" s="407">
        <v>2631067</v>
      </c>
      <c r="AW16" s="407">
        <v>3015121</v>
      </c>
      <c r="AX16" s="407">
        <v>3270365</v>
      </c>
      <c r="AY16" s="407">
        <v>3423647</v>
      </c>
      <c r="AZ16" s="407">
        <v>2655581</v>
      </c>
      <c r="BA16" s="407">
        <v>3055256</v>
      </c>
      <c r="BB16" s="407">
        <v>3427209</v>
      </c>
      <c r="BC16" s="407">
        <v>3521871</v>
      </c>
      <c r="BD16" s="407">
        <v>3561792</v>
      </c>
      <c r="BE16" s="407">
        <v>3707131</v>
      </c>
      <c r="BF16" s="407">
        <v>3607589</v>
      </c>
      <c r="BG16" s="407">
        <v>3608926</v>
      </c>
    </row>
    <row r="17" spans="1:59">
      <c r="A17" s="407" t="s">
        <v>61</v>
      </c>
      <c r="B17" s="407" t="s">
        <v>655</v>
      </c>
      <c r="C17" s="407">
        <v>22433</v>
      </c>
      <c r="D17" s="407">
        <v>22208</v>
      </c>
      <c r="E17" s="407">
        <v>24352</v>
      </c>
      <c r="F17" s="407">
        <v>25411</v>
      </c>
      <c r="G17" s="407">
        <v>27319</v>
      </c>
      <c r="H17" s="407">
        <v>30621</v>
      </c>
      <c r="I17" s="407">
        <v>35987</v>
      </c>
      <c r="J17" s="407">
        <v>38729</v>
      </c>
      <c r="K17" s="407">
        <v>45292</v>
      </c>
      <c r="L17" s="407">
        <v>49130</v>
      </c>
      <c r="M17" s="407">
        <v>54385</v>
      </c>
      <c r="N17" s="407">
        <v>60980</v>
      </c>
      <c r="O17" s="407">
        <v>72664</v>
      </c>
      <c r="P17" s="407">
        <v>89342</v>
      </c>
      <c r="Q17" s="407">
        <v>125189</v>
      </c>
      <c r="R17" s="407">
        <v>120181</v>
      </c>
      <c r="S17" s="407">
        <v>148798</v>
      </c>
      <c r="T17" s="407">
        <v>179547</v>
      </c>
      <c r="U17" s="407">
        <v>208191</v>
      </c>
      <c r="V17" s="407">
        <v>248696</v>
      </c>
      <c r="W17" s="407">
        <v>291242</v>
      </c>
      <c r="X17" s="407">
        <v>310570</v>
      </c>
      <c r="Y17" s="407">
        <v>299392</v>
      </c>
      <c r="Z17" s="407">
        <v>323874</v>
      </c>
      <c r="AA17" s="407">
        <v>400166</v>
      </c>
      <c r="AB17" s="407">
        <v>410951</v>
      </c>
      <c r="AC17" s="407">
        <v>448572</v>
      </c>
      <c r="AD17" s="407">
        <v>500553</v>
      </c>
      <c r="AE17" s="407">
        <v>545714</v>
      </c>
      <c r="AF17" s="407">
        <v>580145</v>
      </c>
      <c r="AG17" s="407">
        <v>616098</v>
      </c>
      <c r="AH17" s="407">
        <v>609479</v>
      </c>
      <c r="AI17" s="407">
        <v>656094</v>
      </c>
      <c r="AJ17" s="407">
        <v>713174</v>
      </c>
      <c r="AK17" s="407">
        <v>801747</v>
      </c>
      <c r="AL17" s="407">
        <v>890771</v>
      </c>
      <c r="AM17" s="407">
        <v>955667</v>
      </c>
      <c r="AN17" s="407">
        <v>1042726</v>
      </c>
      <c r="AO17" s="407">
        <v>1099314</v>
      </c>
      <c r="AP17" s="407">
        <v>1228485</v>
      </c>
      <c r="AQ17" s="407">
        <v>1447837</v>
      </c>
      <c r="AR17" s="407">
        <v>1367165</v>
      </c>
      <c r="AS17" s="407">
        <v>1397660</v>
      </c>
      <c r="AT17" s="407">
        <v>1514308</v>
      </c>
      <c r="AU17" s="407">
        <v>1771433</v>
      </c>
      <c r="AV17" s="407">
        <v>2000267</v>
      </c>
      <c r="AW17" s="407">
        <v>2219358</v>
      </c>
      <c r="AX17" s="407">
        <v>2358922</v>
      </c>
      <c r="AY17" s="407">
        <v>2550339</v>
      </c>
      <c r="AZ17" s="407">
        <v>1966827</v>
      </c>
      <c r="BA17" s="407">
        <v>2348263</v>
      </c>
      <c r="BB17" s="407">
        <v>2675646</v>
      </c>
      <c r="BC17" s="407">
        <v>2755762</v>
      </c>
      <c r="BD17" s="407">
        <v>2755334</v>
      </c>
      <c r="BE17" s="407">
        <v>2866241</v>
      </c>
      <c r="BF17" s="407">
        <v>2764352</v>
      </c>
      <c r="BG17" s="407">
        <v>2712866</v>
      </c>
    </row>
    <row r="18" spans="1:59">
      <c r="A18" s="407" t="s">
        <v>60</v>
      </c>
      <c r="B18" s="407" t="s">
        <v>1303</v>
      </c>
      <c r="C18" s="407">
        <v>14758</v>
      </c>
      <c r="D18" s="407">
        <v>14537</v>
      </c>
      <c r="E18" s="407">
        <v>16260</v>
      </c>
      <c r="F18" s="407">
        <v>17048</v>
      </c>
      <c r="G18" s="407">
        <v>18700</v>
      </c>
      <c r="H18" s="407">
        <v>21510</v>
      </c>
      <c r="I18" s="407">
        <v>25493</v>
      </c>
      <c r="J18" s="407">
        <v>26866</v>
      </c>
      <c r="K18" s="407">
        <v>32991</v>
      </c>
      <c r="L18" s="407">
        <v>35807</v>
      </c>
      <c r="M18" s="407">
        <v>39866</v>
      </c>
      <c r="N18" s="407">
        <v>45579</v>
      </c>
      <c r="O18" s="407">
        <v>55797</v>
      </c>
      <c r="P18" s="407">
        <v>70499</v>
      </c>
      <c r="Q18" s="407">
        <v>103811</v>
      </c>
      <c r="R18" s="407">
        <v>98185</v>
      </c>
      <c r="S18" s="407">
        <v>124228</v>
      </c>
      <c r="T18" s="407">
        <v>151907</v>
      </c>
      <c r="U18" s="407">
        <v>176002</v>
      </c>
      <c r="V18" s="407">
        <v>212007</v>
      </c>
      <c r="W18" s="407">
        <v>249750</v>
      </c>
      <c r="X18" s="407">
        <v>265067</v>
      </c>
      <c r="Y18" s="407">
        <v>247642</v>
      </c>
      <c r="Z18" s="407">
        <v>268901</v>
      </c>
      <c r="AA18" s="407">
        <v>332418</v>
      </c>
      <c r="AB18" s="407">
        <v>338088</v>
      </c>
      <c r="AC18" s="407">
        <v>368425</v>
      </c>
      <c r="AD18" s="407">
        <v>409765</v>
      </c>
      <c r="AE18" s="407">
        <v>447189</v>
      </c>
      <c r="AF18" s="407">
        <v>477665</v>
      </c>
      <c r="AG18" s="407">
        <v>498438</v>
      </c>
      <c r="AH18" s="407">
        <v>491020</v>
      </c>
      <c r="AI18" s="407">
        <v>536528</v>
      </c>
      <c r="AJ18" s="407">
        <v>589394</v>
      </c>
      <c r="AK18" s="407">
        <v>668690</v>
      </c>
      <c r="AL18" s="407">
        <v>749374</v>
      </c>
      <c r="AM18" s="407">
        <v>803113</v>
      </c>
      <c r="AN18" s="407">
        <v>876794</v>
      </c>
      <c r="AO18" s="407">
        <v>918637</v>
      </c>
      <c r="AP18" s="407">
        <v>1035592</v>
      </c>
      <c r="AQ18" s="407">
        <v>1231722</v>
      </c>
      <c r="AR18" s="407">
        <v>1153701</v>
      </c>
      <c r="AS18" s="407">
        <v>1173281</v>
      </c>
      <c r="AT18" s="407">
        <v>1272089</v>
      </c>
      <c r="AU18" s="407">
        <v>1488349</v>
      </c>
      <c r="AV18" s="407">
        <v>1695820</v>
      </c>
      <c r="AW18" s="407">
        <v>1878194</v>
      </c>
      <c r="AX18" s="407">
        <v>1986347</v>
      </c>
      <c r="AY18" s="407">
        <v>2141287</v>
      </c>
      <c r="AZ18" s="407">
        <v>1580025</v>
      </c>
      <c r="BA18" s="407">
        <v>1938950</v>
      </c>
      <c r="BB18" s="407">
        <v>2239886</v>
      </c>
      <c r="BC18" s="407">
        <v>2303749</v>
      </c>
      <c r="BD18" s="407">
        <v>2294247</v>
      </c>
      <c r="BE18" s="407">
        <v>2385480</v>
      </c>
      <c r="BF18" s="407">
        <v>2272612</v>
      </c>
      <c r="BG18" s="407">
        <v>2208211</v>
      </c>
    </row>
    <row r="19" spans="1:59">
      <c r="A19" s="407" t="s">
        <v>59</v>
      </c>
      <c r="B19" s="407" t="s">
        <v>1302</v>
      </c>
      <c r="C19" s="407">
        <v>7675</v>
      </c>
      <c r="D19" s="407">
        <v>7671</v>
      </c>
      <c r="E19" s="407">
        <v>8092</v>
      </c>
      <c r="F19" s="407">
        <v>8363</v>
      </c>
      <c r="G19" s="407">
        <v>8619</v>
      </c>
      <c r="H19" s="407">
        <v>9111</v>
      </c>
      <c r="I19" s="407">
        <v>10494</v>
      </c>
      <c r="J19" s="407">
        <v>11863</v>
      </c>
      <c r="K19" s="407">
        <v>12301</v>
      </c>
      <c r="L19" s="407">
        <v>13323</v>
      </c>
      <c r="M19" s="407">
        <v>14519</v>
      </c>
      <c r="N19" s="407">
        <v>15401</v>
      </c>
      <c r="O19" s="407">
        <v>16867</v>
      </c>
      <c r="P19" s="407">
        <v>18843</v>
      </c>
      <c r="Q19" s="407">
        <v>21378</v>
      </c>
      <c r="R19" s="407">
        <v>21996</v>
      </c>
      <c r="S19" s="407">
        <v>24570</v>
      </c>
      <c r="T19" s="407">
        <v>27640</v>
      </c>
      <c r="U19" s="407">
        <v>32189</v>
      </c>
      <c r="V19" s="407">
        <v>36689</v>
      </c>
      <c r="W19" s="407">
        <v>41492</v>
      </c>
      <c r="X19" s="407">
        <v>45503</v>
      </c>
      <c r="Y19" s="407">
        <v>51750</v>
      </c>
      <c r="Z19" s="407">
        <v>54973</v>
      </c>
      <c r="AA19" s="407">
        <v>67748</v>
      </c>
      <c r="AB19" s="407">
        <v>72863</v>
      </c>
      <c r="AC19" s="407">
        <v>80147</v>
      </c>
      <c r="AD19" s="407">
        <v>90788</v>
      </c>
      <c r="AE19" s="407">
        <v>98525</v>
      </c>
      <c r="AF19" s="407">
        <v>102480</v>
      </c>
      <c r="AG19" s="407">
        <v>117660</v>
      </c>
      <c r="AH19" s="407">
        <v>118459</v>
      </c>
      <c r="AI19" s="407">
        <v>119566</v>
      </c>
      <c r="AJ19" s="407">
        <v>123780</v>
      </c>
      <c r="AK19" s="407">
        <v>133057</v>
      </c>
      <c r="AL19" s="407">
        <v>141397</v>
      </c>
      <c r="AM19" s="407">
        <v>152554</v>
      </c>
      <c r="AN19" s="407">
        <v>165932</v>
      </c>
      <c r="AO19" s="407">
        <v>180677</v>
      </c>
      <c r="AP19" s="407">
        <v>192893</v>
      </c>
      <c r="AQ19" s="407">
        <v>216115</v>
      </c>
      <c r="AR19" s="407">
        <v>213465</v>
      </c>
      <c r="AS19" s="407">
        <v>224379</v>
      </c>
      <c r="AT19" s="407">
        <v>242219</v>
      </c>
      <c r="AU19" s="407">
        <v>283083</v>
      </c>
      <c r="AV19" s="407">
        <v>304448</v>
      </c>
      <c r="AW19" s="407">
        <v>341165</v>
      </c>
      <c r="AX19" s="407">
        <v>372575</v>
      </c>
      <c r="AY19" s="407">
        <v>409052</v>
      </c>
      <c r="AZ19" s="407">
        <v>386801</v>
      </c>
      <c r="BA19" s="407">
        <v>409313</v>
      </c>
      <c r="BB19" s="407">
        <v>435761</v>
      </c>
      <c r="BC19" s="407">
        <v>452013</v>
      </c>
      <c r="BD19" s="407">
        <v>461087</v>
      </c>
      <c r="BE19" s="407">
        <v>480761</v>
      </c>
      <c r="BF19" s="407">
        <v>491740</v>
      </c>
      <c r="BG19" s="407">
        <v>504654</v>
      </c>
    </row>
    <row r="20" spans="1:59">
      <c r="A20" s="407" t="s">
        <v>57</v>
      </c>
      <c r="B20" s="407" t="s">
        <v>1301</v>
      </c>
      <c r="C20" s="407">
        <v>1238</v>
      </c>
      <c r="D20" s="407">
        <v>1245</v>
      </c>
      <c r="E20" s="407">
        <v>1324</v>
      </c>
      <c r="F20" s="407">
        <v>1561</v>
      </c>
      <c r="G20" s="407">
        <v>1783</v>
      </c>
      <c r="H20" s="407">
        <v>2088</v>
      </c>
      <c r="I20" s="407">
        <v>2482</v>
      </c>
      <c r="J20" s="407">
        <v>2747</v>
      </c>
      <c r="K20" s="407">
        <v>3378</v>
      </c>
      <c r="L20" s="407">
        <v>4869</v>
      </c>
      <c r="M20" s="407">
        <v>5514</v>
      </c>
      <c r="N20" s="407">
        <v>5436</v>
      </c>
      <c r="O20" s="407">
        <v>6572</v>
      </c>
      <c r="P20" s="407">
        <v>9656</v>
      </c>
      <c r="Q20" s="407">
        <v>12084</v>
      </c>
      <c r="R20" s="407">
        <v>12565</v>
      </c>
      <c r="S20" s="407">
        <v>13312</v>
      </c>
      <c r="T20" s="407">
        <v>14218</v>
      </c>
      <c r="U20" s="407">
        <v>21680</v>
      </c>
      <c r="V20" s="407">
        <v>32961</v>
      </c>
      <c r="W20" s="407">
        <v>42533</v>
      </c>
      <c r="X20" s="407">
        <v>53626</v>
      </c>
      <c r="Y20" s="407">
        <v>61359</v>
      </c>
      <c r="Z20" s="407">
        <v>59643</v>
      </c>
      <c r="AA20" s="407">
        <v>80574</v>
      </c>
      <c r="AB20" s="407">
        <v>79324</v>
      </c>
      <c r="AC20" s="407">
        <v>87304</v>
      </c>
      <c r="AD20" s="407">
        <v>99309</v>
      </c>
      <c r="AE20" s="407">
        <v>122981</v>
      </c>
      <c r="AF20" s="407">
        <v>146560</v>
      </c>
      <c r="AG20" s="407">
        <v>148345</v>
      </c>
      <c r="AH20" s="407">
        <v>131198</v>
      </c>
      <c r="AI20" s="407">
        <v>114845</v>
      </c>
      <c r="AJ20" s="407">
        <v>116287</v>
      </c>
      <c r="AK20" s="407">
        <v>152302</v>
      </c>
      <c r="AL20" s="407">
        <v>192771</v>
      </c>
      <c r="AM20" s="407">
        <v>207212</v>
      </c>
      <c r="AN20" s="407">
        <v>248750</v>
      </c>
      <c r="AO20" s="407">
        <v>261978</v>
      </c>
      <c r="AP20" s="407">
        <v>287981</v>
      </c>
      <c r="AQ20" s="407">
        <v>338637</v>
      </c>
      <c r="AR20" s="407">
        <v>269447</v>
      </c>
      <c r="AS20" s="407">
        <v>263860</v>
      </c>
      <c r="AT20" s="407">
        <v>289657</v>
      </c>
      <c r="AU20" s="407">
        <v>362179</v>
      </c>
      <c r="AV20" s="407">
        <v>480317</v>
      </c>
      <c r="AW20" s="407">
        <v>653928</v>
      </c>
      <c r="AX20" s="407">
        <v>749977</v>
      </c>
      <c r="AY20" s="407">
        <v>685918</v>
      </c>
      <c r="AZ20" s="407">
        <v>498089</v>
      </c>
      <c r="BA20" s="407">
        <v>511948</v>
      </c>
      <c r="BB20" s="407">
        <v>544853</v>
      </c>
      <c r="BC20" s="407">
        <v>560497</v>
      </c>
      <c r="BD20" s="407">
        <v>586842</v>
      </c>
      <c r="BE20" s="407">
        <v>606573</v>
      </c>
      <c r="BF20" s="407">
        <v>602023</v>
      </c>
      <c r="BG20" s="407">
        <v>640751</v>
      </c>
    </row>
    <row r="21" spans="1:59">
      <c r="A21" s="407" t="s">
        <v>55</v>
      </c>
      <c r="B21" s="407" t="s">
        <v>1300</v>
      </c>
      <c r="C21" s="407">
        <v>1238</v>
      </c>
      <c r="D21" s="407">
        <v>1245</v>
      </c>
      <c r="E21" s="407">
        <v>1324</v>
      </c>
      <c r="F21" s="407">
        <v>1561</v>
      </c>
      <c r="G21" s="407">
        <v>1783</v>
      </c>
      <c r="H21" s="407">
        <v>2088</v>
      </c>
      <c r="I21" s="407">
        <v>2482</v>
      </c>
      <c r="J21" s="407">
        <v>2747</v>
      </c>
      <c r="K21" s="407">
        <v>3378</v>
      </c>
      <c r="L21" s="407">
        <v>4869</v>
      </c>
      <c r="M21" s="407">
        <v>5514</v>
      </c>
      <c r="N21" s="407">
        <v>5436</v>
      </c>
      <c r="O21" s="407">
        <v>6572</v>
      </c>
      <c r="P21" s="407">
        <v>9656</v>
      </c>
      <c r="Q21" s="407">
        <v>12084</v>
      </c>
      <c r="R21" s="407">
        <v>12565</v>
      </c>
      <c r="S21" s="407">
        <v>13312</v>
      </c>
      <c r="T21" s="407">
        <v>14218</v>
      </c>
      <c r="U21" s="407">
        <v>21680</v>
      </c>
      <c r="V21" s="407">
        <v>32961</v>
      </c>
      <c r="W21" s="407">
        <v>42533</v>
      </c>
      <c r="X21" s="407">
        <v>53626</v>
      </c>
      <c r="Y21" s="407">
        <v>61359</v>
      </c>
      <c r="Z21" s="407">
        <v>59643</v>
      </c>
      <c r="AA21" s="407">
        <v>80574</v>
      </c>
      <c r="AB21" s="407">
        <v>79324</v>
      </c>
      <c r="AC21" s="407">
        <v>84626</v>
      </c>
      <c r="AD21" s="407">
        <v>96971</v>
      </c>
      <c r="AE21" s="407">
        <v>121134</v>
      </c>
      <c r="AF21" s="407">
        <v>144274</v>
      </c>
      <c r="AG21" s="407">
        <v>144881</v>
      </c>
      <c r="AH21" s="407">
        <v>127172</v>
      </c>
      <c r="AI21" s="407">
        <v>110093</v>
      </c>
      <c r="AJ21" s="407">
        <v>111155</v>
      </c>
      <c r="AK21" s="407">
        <v>146350</v>
      </c>
      <c r="AL21" s="407">
        <v>186508</v>
      </c>
      <c r="AM21" s="407">
        <v>200912</v>
      </c>
      <c r="AN21" s="407">
        <v>242084</v>
      </c>
      <c r="AO21" s="407">
        <v>254984</v>
      </c>
      <c r="AP21" s="407">
        <v>276571</v>
      </c>
      <c r="AQ21" s="407">
        <v>327682</v>
      </c>
      <c r="AR21" s="407">
        <v>257734</v>
      </c>
      <c r="AS21" s="407">
        <v>251498</v>
      </c>
      <c r="AT21" s="407">
        <v>276749</v>
      </c>
      <c r="AU21" s="407">
        <v>348206</v>
      </c>
      <c r="AV21" s="407">
        <v>464409</v>
      </c>
      <c r="AW21" s="407">
        <v>637502</v>
      </c>
      <c r="AX21" s="407">
        <v>734256</v>
      </c>
      <c r="AY21" s="407">
        <v>668857</v>
      </c>
      <c r="AZ21" s="407">
        <v>483671</v>
      </c>
      <c r="BA21" s="407">
        <v>497986</v>
      </c>
      <c r="BB21" s="407">
        <v>530670</v>
      </c>
      <c r="BC21" s="407">
        <v>545551</v>
      </c>
      <c r="BD21" s="407">
        <v>570816</v>
      </c>
      <c r="BE21" s="407">
        <v>589514</v>
      </c>
      <c r="BF21" s="407">
        <v>583726</v>
      </c>
      <c r="BG21" s="407">
        <v>620608</v>
      </c>
    </row>
    <row r="22" spans="1:59">
      <c r="A22" s="407" t="s">
        <v>54</v>
      </c>
      <c r="B22" s="407" t="s">
        <v>634</v>
      </c>
      <c r="C22" s="407" t="s">
        <v>579</v>
      </c>
      <c r="D22" s="407" t="s">
        <v>579</v>
      </c>
      <c r="E22" s="407" t="s">
        <v>579</v>
      </c>
      <c r="F22" s="407" t="s">
        <v>579</v>
      </c>
      <c r="G22" s="407" t="s">
        <v>579</v>
      </c>
      <c r="H22" s="407" t="s">
        <v>579</v>
      </c>
      <c r="I22" s="407" t="s">
        <v>579</v>
      </c>
      <c r="J22" s="407" t="s">
        <v>579</v>
      </c>
      <c r="K22" s="407" t="s">
        <v>579</v>
      </c>
      <c r="L22" s="407" t="s">
        <v>579</v>
      </c>
      <c r="M22" s="407" t="s">
        <v>579</v>
      </c>
      <c r="N22" s="407" t="s">
        <v>579</v>
      </c>
      <c r="O22" s="407" t="s">
        <v>579</v>
      </c>
      <c r="P22" s="407" t="s">
        <v>579</v>
      </c>
      <c r="Q22" s="407" t="s">
        <v>579</v>
      </c>
      <c r="R22" s="407" t="s">
        <v>579</v>
      </c>
      <c r="S22" s="407" t="s">
        <v>579</v>
      </c>
      <c r="T22" s="407" t="s">
        <v>579</v>
      </c>
      <c r="U22" s="407" t="s">
        <v>579</v>
      </c>
      <c r="V22" s="407" t="s">
        <v>579</v>
      </c>
      <c r="W22" s="407" t="s">
        <v>579</v>
      </c>
      <c r="X22" s="407" t="s">
        <v>579</v>
      </c>
      <c r="Y22" s="407" t="s">
        <v>579</v>
      </c>
      <c r="Z22" s="407" t="s">
        <v>579</v>
      </c>
      <c r="AA22" s="407" t="s">
        <v>579</v>
      </c>
      <c r="AB22" s="407" t="s">
        <v>579</v>
      </c>
      <c r="AC22" s="407">
        <v>2678</v>
      </c>
      <c r="AD22" s="407">
        <v>2338</v>
      </c>
      <c r="AE22" s="407">
        <v>1847</v>
      </c>
      <c r="AF22" s="407">
        <v>2286</v>
      </c>
      <c r="AG22" s="407">
        <v>3464</v>
      </c>
      <c r="AH22" s="407">
        <v>4026</v>
      </c>
      <c r="AI22" s="407">
        <v>4752</v>
      </c>
      <c r="AJ22" s="407">
        <v>5132</v>
      </c>
      <c r="AK22" s="407">
        <v>5952</v>
      </c>
      <c r="AL22" s="407">
        <v>6263</v>
      </c>
      <c r="AM22" s="407">
        <v>6300</v>
      </c>
      <c r="AN22" s="407">
        <v>6666</v>
      </c>
      <c r="AO22" s="407">
        <v>6994</v>
      </c>
      <c r="AP22" s="407">
        <v>11410</v>
      </c>
      <c r="AQ22" s="407">
        <v>10955</v>
      </c>
      <c r="AR22" s="407">
        <v>11713</v>
      </c>
      <c r="AS22" s="407">
        <v>12362</v>
      </c>
      <c r="AT22" s="407">
        <v>12908</v>
      </c>
      <c r="AU22" s="407">
        <v>13973</v>
      </c>
      <c r="AV22" s="407">
        <v>15909</v>
      </c>
      <c r="AW22" s="407">
        <v>16426</v>
      </c>
      <c r="AX22" s="407">
        <v>15722</v>
      </c>
      <c r="AY22" s="407">
        <v>17061</v>
      </c>
      <c r="AZ22" s="407">
        <v>14418</v>
      </c>
      <c r="BA22" s="407">
        <v>13962</v>
      </c>
      <c r="BB22" s="407">
        <v>14184</v>
      </c>
      <c r="BC22" s="407">
        <v>14946</v>
      </c>
      <c r="BD22" s="407">
        <v>16026</v>
      </c>
      <c r="BE22" s="407">
        <v>17059</v>
      </c>
      <c r="BF22" s="407">
        <v>18297</v>
      </c>
      <c r="BG22" s="407">
        <v>20143</v>
      </c>
    </row>
    <row r="23" spans="1:59">
      <c r="A23" s="407" t="s">
        <v>53</v>
      </c>
      <c r="B23" s="407" t="s">
        <v>1299</v>
      </c>
      <c r="C23" s="407">
        <v>4061</v>
      </c>
      <c r="D23" s="407">
        <v>4128</v>
      </c>
      <c r="E23" s="407">
        <v>4277</v>
      </c>
      <c r="F23" s="407">
        <v>4393</v>
      </c>
      <c r="G23" s="407">
        <v>4240</v>
      </c>
      <c r="H23" s="407">
        <v>4584</v>
      </c>
      <c r="I23" s="407">
        <v>4956</v>
      </c>
      <c r="J23" s="407">
        <v>5294</v>
      </c>
      <c r="K23" s="407">
        <v>5629</v>
      </c>
      <c r="L23" s="407">
        <v>5735</v>
      </c>
      <c r="M23" s="407">
        <v>6156</v>
      </c>
      <c r="N23" s="407">
        <v>7402</v>
      </c>
      <c r="O23" s="407">
        <v>8544</v>
      </c>
      <c r="P23" s="407">
        <v>6914</v>
      </c>
      <c r="Q23" s="407">
        <v>9248</v>
      </c>
      <c r="R23" s="407">
        <v>7076</v>
      </c>
      <c r="S23" s="407">
        <v>5686</v>
      </c>
      <c r="T23" s="407">
        <v>5227</v>
      </c>
      <c r="U23" s="407">
        <v>5788</v>
      </c>
      <c r="V23" s="407">
        <v>6593</v>
      </c>
      <c r="W23" s="407">
        <v>8349</v>
      </c>
      <c r="X23" s="407">
        <v>11702</v>
      </c>
      <c r="Y23" s="407">
        <v>16545</v>
      </c>
      <c r="Z23" s="407">
        <v>17311</v>
      </c>
      <c r="AA23" s="407">
        <v>20334</v>
      </c>
      <c r="AB23" s="407">
        <v>21999</v>
      </c>
      <c r="AC23" s="407">
        <v>24131</v>
      </c>
      <c r="AD23" s="407">
        <v>23265</v>
      </c>
      <c r="AE23" s="407">
        <v>25274</v>
      </c>
      <c r="AF23" s="407">
        <v>26169</v>
      </c>
      <c r="AG23" s="407">
        <v>26654</v>
      </c>
      <c r="AH23" s="407">
        <v>-9904</v>
      </c>
      <c r="AI23" s="407">
        <v>36635</v>
      </c>
      <c r="AJ23" s="407">
        <v>39811</v>
      </c>
      <c r="AK23" s="407">
        <v>40265</v>
      </c>
      <c r="AL23" s="407">
        <v>38074</v>
      </c>
      <c r="AM23" s="407">
        <v>43017</v>
      </c>
      <c r="AN23" s="407">
        <v>45062</v>
      </c>
      <c r="AO23" s="407">
        <v>53187</v>
      </c>
      <c r="AP23" s="407">
        <v>75480</v>
      </c>
      <c r="AQ23" s="407">
        <v>86624</v>
      </c>
      <c r="AR23" s="407">
        <v>97309</v>
      </c>
      <c r="AS23" s="407">
        <v>107589</v>
      </c>
      <c r="AT23" s="407">
        <v>121823</v>
      </c>
      <c r="AU23" s="407">
        <v>135933</v>
      </c>
      <c r="AV23" s="407">
        <v>150482</v>
      </c>
      <c r="AW23" s="407">
        <v>141834</v>
      </c>
      <c r="AX23" s="407">
        <v>161466</v>
      </c>
      <c r="AY23" s="407">
        <v>187390</v>
      </c>
      <c r="AZ23" s="407">
        <v>190665</v>
      </c>
      <c r="BA23" s="407">
        <v>195045</v>
      </c>
      <c r="BB23" s="407">
        <v>206709</v>
      </c>
      <c r="BC23" s="407">
        <v>205611</v>
      </c>
      <c r="BD23" s="407">
        <v>219616</v>
      </c>
      <c r="BE23" s="407">
        <v>234317</v>
      </c>
      <c r="BF23" s="407">
        <v>241214</v>
      </c>
      <c r="BG23" s="407">
        <v>255309</v>
      </c>
    </row>
    <row r="24" spans="1:59">
      <c r="A24" s="407" t="s">
        <v>32</v>
      </c>
      <c r="B24" s="407" t="s">
        <v>626</v>
      </c>
      <c r="C24" s="407" t="s">
        <v>32</v>
      </c>
      <c r="D24" s="407" t="s">
        <v>32</v>
      </c>
      <c r="E24" s="407" t="s">
        <v>32</v>
      </c>
      <c r="F24" s="407" t="s">
        <v>32</v>
      </c>
      <c r="G24" s="407" t="s">
        <v>32</v>
      </c>
      <c r="H24" s="407" t="s">
        <v>32</v>
      </c>
      <c r="I24" s="407" t="s">
        <v>32</v>
      </c>
      <c r="J24" s="407" t="s">
        <v>32</v>
      </c>
      <c r="K24" s="407" t="s">
        <v>32</v>
      </c>
      <c r="L24" s="407" t="s">
        <v>32</v>
      </c>
      <c r="M24" s="407" t="s">
        <v>32</v>
      </c>
      <c r="N24" s="407" t="s">
        <v>32</v>
      </c>
      <c r="O24" s="407" t="s">
        <v>32</v>
      </c>
      <c r="P24" s="407" t="s">
        <v>32</v>
      </c>
      <c r="Q24" s="407" t="s">
        <v>32</v>
      </c>
      <c r="R24" s="407" t="s">
        <v>32</v>
      </c>
      <c r="S24" s="407" t="s">
        <v>32</v>
      </c>
      <c r="T24" s="407" t="s">
        <v>32</v>
      </c>
      <c r="U24" s="407" t="s">
        <v>32</v>
      </c>
      <c r="V24" s="407" t="s">
        <v>32</v>
      </c>
      <c r="W24" s="407" t="s">
        <v>32</v>
      </c>
      <c r="X24" s="407" t="s">
        <v>32</v>
      </c>
      <c r="Y24" s="407" t="s">
        <v>32</v>
      </c>
      <c r="Z24" s="407" t="s">
        <v>32</v>
      </c>
      <c r="AA24" s="407" t="s">
        <v>32</v>
      </c>
      <c r="AB24" s="407" t="s">
        <v>32</v>
      </c>
      <c r="AC24" s="407" t="s">
        <v>32</v>
      </c>
      <c r="AD24" s="407" t="s">
        <v>32</v>
      </c>
      <c r="AE24" s="407" t="s">
        <v>32</v>
      </c>
      <c r="AF24" s="407" t="s">
        <v>32</v>
      </c>
      <c r="AG24" s="407" t="s">
        <v>32</v>
      </c>
      <c r="AH24" s="407" t="s">
        <v>32</v>
      </c>
      <c r="AI24" s="407" t="s">
        <v>32</v>
      </c>
      <c r="AJ24" s="407" t="s">
        <v>32</v>
      </c>
      <c r="AK24" s="407" t="s">
        <v>32</v>
      </c>
      <c r="AL24" s="407" t="s">
        <v>32</v>
      </c>
      <c r="AM24" s="407" t="s">
        <v>32</v>
      </c>
      <c r="AN24" s="407" t="s">
        <v>32</v>
      </c>
      <c r="AO24" s="407" t="s">
        <v>32</v>
      </c>
      <c r="AP24" s="407" t="s">
        <v>32</v>
      </c>
      <c r="AQ24" s="407" t="s">
        <v>32</v>
      </c>
      <c r="AR24" s="407" t="s">
        <v>32</v>
      </c>
      <c r="AS24" s="407" t="s">
        <v>32</v>
      </c>
      <c r="AT24" s="407" t="s">
        <v>32</v>
      </c>
      <c r="AU24" s="407" t="s">
        <v>32</v>
      </c>
      <c r="AV24" s="407" t="s">
        <v>32</v>
      </c>
      <c r="AW24" s="407" t="s">
        <v>32</v>
      </c>
      <c r="AX24" s="407" t="s">
        <v>32</v>
      </c>
      <c r="AY24" s="407" t="s">
        <v>32</v>
      </c>
      <c r="AZ24" s="407" t="s">
        <v>32</v>
      </c>
      <c r="BA24" s="407" t="s">
        <v>32</v>
      </c>
      <c r="BB24" s="407" t="s">
        <v>32</v>
      </c>
      <c r="BC24" s="407" t="s">
        <v>32</v>
      </c>
      <c r="BD24" s="407" t="s">
        <v>32</v>
      </c>
      <c r="BE24" s="407" t="s">
        <v>32</v>
      </c>
      <c r="BF24" s="407" t="s">
        <v>32</v>
      </c>
      <c r="BG24" s="407" t="s">
        <v>32</v>
      </c>
    </row>
    <row r="25" spans="1:59">
      <c r="A25" s="407" t="s">
        <v>52</v>
      </c>
      <c r="B25" s="408" t="s">
        <v>1298</v>
      </c>
      <c r="C25" s="407" t="s">
        <v>579</v>
      </c>
      <c r="D25" s="407" t="s">
        <v>579</v>
      </c>
      <c r="E25" s="407" t="s">
        <v>579</v>
      </c>
      <c r="F25" s="407" t="s">
        <v>579</v>
      </c>
      <c r="G25" s="407" t="s">
        <v>579</v>
      </c>
      <c r="H25" s="407" t="s">
        <v>579</v>
      </c>
      <c r="I25" s="407" t="s">
        <v>579</v>
      </c>
      <c r="J25" s="407" t="s">
        <v>579</v>
      </c>
      <c r="K25" s="407" t="s">
        <v>579</v>
      </c>
      <c r="L25" s="407" t="s">
        <v>579</v>
      </c>
      <c r="M25" s="407" t="s">
        <v>579</v>
      </c>
      <c r="N25" s="407" t="s">
        <v>579</v>
      </c>
      <c r="O25" s="407" t="s">
        <v>579</v>
      </c>
      <c r="P25" s="407" t="s">
        <v>579</v>
      </c>
      <c r="Q25" s="407" t="s">
        <v>579</v>
      </c>
      <c r="R25" s="407" t="s">
        <v>579</v>
      </c>
      <c r="S25" s="407" t="s">
        <v>579</v>
      </c>
      <c r="T25" s="407" t="s">
        <v>579</v>
      </c>
      <c r="U25" s="407" t="s">
        <v>579</v>
      </c>
      <c r="V25" s="407" t="s">
        <v>579</v>
      </c>
      <c r="W25" s="407" t="s">
        <v>579</v>
      </c>
      <c r="X25" s="407" t="s">
        <v>579</v>
      </c>
      <c r="Y25" s="407" t="s">
        <v>579</v>
      </c>
      <c r="Z25" s="407" t="s">
        <v>579</v>
      </c>
      <c r="AA25" s="407" t="s">
        <v>579</v>
      </c>
      <c r="AB25" s="407" t="s">
        <v>579</v>
      </c>
      <c r="AC25" s="407" t="s">
        <v>579</v>
      </c>
      <c r="AD25" s="407" t="s">
        <v>579</v>
      </c>
      <c r="AE25" s="407" t="s">
        <v>579</v>
      </c>
      <c r="AF25" s="407">
        <v>0</v>
      </c>
      <c r="AG25" s="407">
        <v>0</v>
      </c>
      <c r="AH25" s="407">
        <v>0</v>
      </c>
      <c r="AI25" s="407">
        <v>1536</v>
      </c>
      <c r="AJ25" s="407">
        <v>5</v>
      </c>
      <c r="AK25" s="407">
        <v>3</v>
      </c>
      <c r="AL25" s="407">
        <v>259</v>
      </c>
      <c r="AM25" s="407">
        <v>2</v>
      </c>
      <c r="AN25" s="407">
        <v>15</v>
      </c>
      <c r="AO25" s="407">
        <v>16</v>
      </c>
      <c r="AP25" s="407">
        <v>36</v>
      </c>
      <c r="AQ25" s="407">
        <v>35</v>
      </c>
      <c r="AR25" s="407">
        <v>13228</v>
      </c>
      <c r="AS25" s="407">
        <v>52</v>
      </c>
      <c r="AT25" s="407">
        <v>80</v>
      </c>
      <c r="AU25" s="407">
        <v>3754</v>
      </c>
      <c r="AV25" s="407">
        <v>15462</v>
      </c>
      <c r="AW25" s="407">
        <v>0</v>
      </c>
      <c r="AX25" s="407">
        <v>494</v>
      </c>
      <c r="AY25" s="407">
        <v>6170</v>
      </c>
      <c r="AZ25" s="407">
        <v>0</v>
      </c>
      <c r="BA25" s="407">
        <v>0</v>
      </c>
      <c r="BB25" s="407">
        <v>0</v>
      </c>
      <c r="BC25" s="407">
        <v>7668</v>
      </c>
      <c r="BD25" s="407">
        <v>0</v>
      </c>
      <c r="BE25" s="407">
        <v>0</v>
      </c>
      <c r="BF25" s="407">
        <v>0</v>
      </c>
      <c r="BG25" s="407">
        <v>0</v>
      </c>
    </row>
    <row r="26" spans="1:59">
      <c r="A26" s="407" t="s">
        <v>51</v>
      </c>
      <c r="B26" s="408" t="s">
        <v>1297</v>
      </c>
      <c r="C26" s="407" t="s">
        <v>579</v>
      </c>
      <c r="D26" s="407" t="s">
        <v>579</v>
      </c>
      <c r="E26" s="407" t="s">
        <v>579</v>
      </c>
      <c r="F26" s="407" t="s">
        <v>579</v>
      </c>
      <c r="G26" s="407" t="s">
        <v>579</v>
      </c>
      <c r="H26" s="407" t="s">
        <v>579</v>
      </c>
      <c r="I26" s="407" t="s">
        <v>579</v>
      </c>
      <c r="J26" s="407" t="s">
        <v>579</v>
      </c>
      <c r="K26" s="407" t="s">
        <v>579</v>
      </c>
      <c r="L26" s="407" t="s">
        <v>579</v>
      </c>
      <c r="M26" s="407" t="s">
        <v>579</v>
      </c>
      <c r="N26" s="407" t="s">
        <v>579</v>
      </c>
      <c r="O26" s="407" t="s">
        <v>579</v>
      </c>
      <c r="P26" s="407" t="s">
        <v>579</v>
      </c>
      <c r="Q26" s="407" t="s">
        <v>579</v>
      </c>
      <c r="R26" s="407" t="s">
        <v>579</v>
      </c>
      <c r="S26" s="407" t="s">
        <v>579</v>
      </c>
      <c r="T26" s="407" t="s">
        <v>579</v>
      </c>
      <c r="U26" s="407" t="s">
        <v>579</v>
      </c>
      <c r="V26" s="407" t="s">
        <v>579</v>
      </c>
      <c r="W26" s="407" t="s">
        <v>579</v>
      </c>
      <c r="X26" s="407" t="s">
        <v>579</v>
      </c>
      <c r="Y26" s="407" t="s">
        <v>579</v>
      </c>
      <c r="Z26" s="407" t="s">
        <v>579</v>
      </c>
      <c r="AA26" s="407" t="s">
        <v>579</v>
      </c>
      <c r="AB26" s="407" t="s">
        <v>579</v>
      </c>
      <c r="AC26" s="407" t="s">
        <v>579</v>
      </c>
      <c r="AD26" s="407" t="s">
        <v>579</v>
      </c>
      <c r="AE26" s="407" t="s">
        <v>579</v>
      </c>
      <c r="AF26" s="407">
        <v>207</v>
      </c>
      <c r="AG26" s="407">
        <v>7220</v>
      </c>
      <c r="AH26" s="407">
        <v>5130</v>
      </c>
      <c r="AI26" s="407">
        <v>87</v>
      </c>
      <c r="AJ26" s="407">
        <v>719</v>
      </c>
      <c r="AK26" s="407">
        <v>1114</v>
      </c>
      <c r="AL26" s="407">
        <v>481</v>
      </c>
      <c r="AM26" s="407">
        <v>9</v>
      </c>
      <c r="AN26" s="407">
        <v>271</v>
      </c>
      <c r="AO26" s="407">
        <v>24</v>
      </c>
      <c r="AP26" s="407">
        <v>4212</v>
      </c>
      <c r="AQ26" s="407">
        <v>36</v>
      </c>
      <c r="AR26" s="407">
        <v>30</v>
      </c>
      <c r="AS26" s="407">
        <v>193</v>
      </c>
      <c r="AT26" s="407">
        <v>1900</v>
      </c>
      <c r="AU26" s="407">
        <v>705</v>
      </c>
      <c r="AV26" s="407">
        <v>2346</v>
      </c>
      <c r="AW26" s="407">
        <v>1788</v>
      </c>
      <c r="AX26" s="407">
        <v>110</v>
      </c>
      <c r="AY26" s="407">
        <v>159</v>
      </c>
      <c r="AZ26" s="407">
        <v>140</v>
      </c>
      <c r="BA26" s="407">
        <v>157</v>
      </c>
      <c r="BB26" s="407">
        <v>1186</v>
      </c>
      <c r="BC26" s="407">
        <v>764</v>
      </c>
      <c r="BD26" s="407">
        <v>412</v>
      </c>
      <c r="BE26" s="407">
        <v>45</v>
      </c>
      <c r="BF26" s="407">
        <v>42</v>
      </c>
      <c r="BG26" s="407">
        <v>59</v>
      </c>
    </row>
    <row r="27" spans="1:59">
      <c r="A27" s="407" t="s">
        <v>32</v>
      </c>
      <c r="B27" s="407" t="s">
        <v>623</v>
      </c>
      <c r="C27" s="407" t="s">
        <v>32</v>
      </c>
      <c r="D27" s="407" t="s">
        <v>32</v>
      </c>
      <c r="E27" s="407" t="s">
        <v>32</v>
      </c>
      <c r="F27" s="407" t="s">
        <v>32</v>
      </c>
      <c r="G27" s="407" t="s">
        <v>32</v>
      </c>
      <c r="H27" s="407" t="s">
        <v>32</v>
      </c>
      <c r="I27" s="407" t="s">
        <v>32</v>
      </c>
      <c r="J27" s="407" t="s">
        <v>32</v>
      </c>
      <c r="K27" s="407" t="s">
        <v>32</v>
      </c>
      <c r="L27" s="407" t="s">
        <v>32</v>
      </c>
      <c r="M27" s="407" t="s">
        <v>32</v>
      </c>
      <c r="N27" s="407" t="s">
        <v>32</v>
      </c>
      <c r="O27" s="407" t="s">
        <v>32</v>
      </c>
      <c r="P27" s="407" t="s">
        <v>32</v>
      </c>
      <c r="Q27" s="407" t="s">
        <v>32</v>
      </c>
      <c r="R27" s="407" t="s">
        <v>32</v>
      </c>
      <c r="S27" s="407" t="s">
        <v>32</v>
      </c>
      <c r="T27" s="407" t="s">
        <v>32</v>
      </c>
      <c r="U27" s="407" t="s">
        <v>32</v>
      </c>
      <c r="V27" s="407" t="s">
        <v>32</v>
      </c>
      <c r="W27" s="407" t="s">
        <v>32</v>
      </c>
      <c r="X27" s="407" t="s">
        <v>32</v>
      </c>
      <c r="Y27" s="407" t="s">
        <v>32</v>
      </c>
      <c r="Z27" s="407" t="s">
        <v>32</v>
      </c>
      <c r="AA27" s="407" t="s">
        <v>32</v>
      </c>
      <c r="AB27" s="407" t="s">
        <v>32</v>
      </c>
      <c r="AC27" s="407" t="s">
        <v>32</v>
      </c>
      <c r="AD27" s="407" t="s">
        <v>32</v>
      </c>
      <c r="AE27" s="407" t="s">
        <v>32</v>
      </c>
      <c r="AF27" s="407" t="s">
        <v>32</v>
      </c>
      <c r="AG27" s="407" t="s">
        <v>32</v>
      </c>
      <c r="AH27" s="407" t="s">
        <v>32</v>
      </c>
      <c r="AI27" s="407" t="s">
        <v>32</v>
      </c>
      <c r="AJ27" s="407" t="s">
        <v>32</v>
      </c>
      <c r="AK27" s="407" t="s">
        <v>32</v>
      </c>
      <c r="AL27" s="407" t="s">
        <v>32</v>
      </c>
      <c r="AM27" s="407" t="s">
        <v>32</v>
      </c>
      <c r="AN27" s="407" t="s">
        <v>32</v>
      </c>
      <c r="AO27" s="407" t="s">
        <v>32</v>
      </c>
      <c r="AP27" s="407" t="s">
        <v>32</v>
      </c>
      <c r="AQ27" s="407" t="s">
        <v>32</v>
      </c>
      <c r="AR27" s="407" t="s">
        <v>32</v>
      </c>
      <c r="AS27" s="407" t="s">
        <v>32</v>
      </c>
      <c r="AT27" s="407" t="s">
        <v>32</v>
      </c>
      <c r="AU27" s="407" t="s">
        <v>32</v>
      </c>
      <c r="AV27" s="407" t="s">
        <v>32</v>
      </c>
      <c r="AW27" s="407" t="s">
        <v>32</v>
      </c>
      <c r="AX27" s="407" t="s">
        <v>32</v>
      </c>
      <c r="AY27" s="407" t="s">
        <v>32</v>
      </c>
      <c r="AZ27" s="407" t="s">
        <v>32</v>
      </c>
      <c r="BA27" s="407" t="s">
        <v>32</v>
      </c>
      <c r="BB27" s="407" t="s">
        <v>32</v>
      </c>
      <c r="BC27" s="407" t="s">
        <v>32</v>
      </c>
      <c r="BD27" s="407" t="s">
        <v>32</v>
      </c>
      <c r="BE27" s="407" t="s">
        <v>32</v>
      </c>
      <c r="BF27" s="407" t="s">
        <v>32</v>
      </c>
      <c r="BG27" s="407" t="s">
        <v>32</v>
      </c>
    </row>
    <row r="28" spans="1:59">
      <c r="A28" s="407" t="s">
        <v>49</v>
      </c>
      <c r="B28" s="408" t="s">
        <v>1296</v>
      </c>
      <c r="C28" s="407">
        <v>4099</v>
      </c>
      <c r="D28" s="407">
        <v>5538</v>
      </c>
      <c r="E28" s="407">
        <v>4174</v>
      </c>
      <c r="F28" s="407">
        <v>7270</v>
      </c>
      <c r="G28" s="407">
        <v>9560</v>
      </c>
      <c r="H28" s="407">
        <v>5715</v>
      </c>
      <c r="I28" s="407">
        <v>7321</v>
      </c>
      <c r="J28" s="407">
        <v>9757</v>
      </c>
      <c r="K28" s="407">
        <v>10977</v>
      </c>
      <c r="L28" s="407">
        <v>11584</v>
      </c>
      <c r="M28" s="407">
        <v>9336</v>
      </c>
      <c r="N28" s="407">
        <v>12474</v>
      </c>
      <c r="O28" s="407">
        <v>14497</v>
      </c>
      <c r="P28" s="407">
        <v>22874</v>
      </c>
      <c r="Q28" s="407">
        <v>34745</v>
      </c>
      <c r="R28" s="407">
        <v>39703</v>
      </c>
      <c r="S28" s="407">
        <v>51269</v>
      </c>
      <c r="T28" s="407">
        <v>34785</v>
      </c>
      <c r="U28" s="407">
        <v>61130</v>
      </c>
      <c r="V28" s="407">
        <v>66053</v>
      </c>
      <c r="W28" s="407">
        <v>86968</v>
      </c>
      <c r="X28" s="407">
        <v>114147</v>
      </c>
      <c r="Y28" s="407">
        <v>142722</v>
      </c>
      <c r="Z28" s="407">
        <v>74690</v>
      </c>
      <c r="AA28" s="407">
        <v>50740</v>
      </c>
      <c r="AB28" s="407">
        <v>47064</v>
      </c>
      <c r="AC28" s="407">
        <v>107252</v>
      </c>
      <c r="AD28" s="407">
        <v>84058</v>
      </c>
      <c r="AE28" s="407">
        <v>105747</v>
      </c>
      <c r="AF28" s="407">
        <v>182908</v>
      </c>
      <c r="AG28" s="407">
        <v>103985</v>
      </c>
      <c r="AH28" s="407">
        <v>75753</v>
      </c>
      <c r="AI28" s="407">
        <v>84899</v>
      </c>
      <c r="AJ28" s="407">
        <v>199399</v>
      </c>
      <c r="AK28" s="407">
        <v>188758</v>
      </c>
      <c r="AL28" s="407">
        <v>363555</v>
      </c>
      <c r="AM28" s="407">
        <v>424548</v>
      </c>
      <c r="AN28" s="407">
        <v>502024</v>
      </c>
      <c r="AO28" s="407">
        <v>385936</v>
      </c>
      <c r="AP28" s="407">
        <v>526612</v>
      </c>
      <c r="AQ28" s="407">
        <v>587682</v>
      </c>
      <c r="AR28" s="407">
        <v>386308</v>
      </c>
      <c r="AS28" s="407">
        <v>319170</v>
      </c>
      <c r="AT28" s="407">
        <v>371074</v>
      </c>
      <c r="AU28" s="407">
        <v>1058654</v>
      </c>
      <c r="AV28" s="407">
        <v>562983</v>
      </c>
      <c r="AW28" s="407">
        <v>1324607</v>
      </c>
      <c r="AX28" s="407">
        <v>1563459</v>
      </c>
      <c r="AY28" s="407">
        <v>-317607</v>
      </c>
      <c r="AZ28" s="407">
        <v>131074</v>
      </c>
      <c r="BA28" s="407">
        <v>958703</v>
      </c>
      <c r="BB28" s="407">
        <v>492530</v>
      </c>
      <c r="BC28" s="407">
        <v>176764</v>
      </c>
      <c r="BD28" s="407">
        <v>649587</v>
      </c>
      <c r="BE28" s="407">
        <v>818784</v>
      </c>
      <c r="BF28" s="407">
        <v>194205</v>
      </c>
      <c r="BG28" s="407">
        <v>347891</v>
      </c>
    </row>
    <row r="29" spans="1:59">
      <c r="A29" s="407" t="s">
        <v>47</v>
      </c>
      <c r="B29" s="407" t="s">
        <v>1295</v>
      </c>
      <c r="C29" s="407">
        <v>2940</v>
      </c>
      <c r="D29" s="407">
        <v>2654</v>
      </c>
      <c r="E29" s="407">
        <v>2851</v>
      </c>
      <c r="F29" s="407">
        <v>3483</v>
      </c>
      <c r="G29" s="407">
        <v>3759</v>
      </c>
      <c r="H29" s="407">
        <v>5011</v>
      </c>
      <c r="I29" s="407">
        <v>5419</v>
      </c>
      <c r="J29" s="407">
        <v>4806</v>
      </c>
      <c r="K29" s="407">
        <v>5294</v>
      </c>
      <c r="L29" s="407">
        <v>5960</v>
      </c>
      <c r="M29" s="407">
        <v>7590</v>
      </c>
      <c r="N29" s="407">
        <v>7618</v>
      </c>
      <c r="O29" s="407">
        <v>7747</v>
      </c>
      <c r="P29" s="407">
        <v>11353</v>
      </c>
      <c r="Q29" s="407">
        <v>9052</v>
      </c>
      <c r="R29" s="407">
        <v>14244</v>
      </c>
      <c r="S29" s="407">
        <v>11949</v>
      </c>
      <c r="T29" s="407">
        <v>11891</v>
      </c>
      <c r="U29" s="407">
        <v>16057</v>
      </c>
      <c r="V29" s="407">
        <v>25223</v>
      </c>
      <c r="W29" s="407">
        <v>19222</v>
      </c>
      <c r="X29" s="407">
        <v>9624</v>
      </c>
      <c r="Y29" s="407">
        <v>19397</v>
      </c>
      <c r="Z29" s="407">
        <v>20844</v>
      </c>
      <c r="AA29" s="407">
        <v>26770</v>
      </c>
      <c r="AB29" s="407">
        <v>21241</v>
      </c>
      <c r="AC29" s="407">
        <v>19524</v>
      </c>
      <c r="AD29" s="407">
        <v>39795</v>
      </c>
      <c r="AE29" s="407">
        <v>21701</v>
      </c>
      <c r="AF29" s="407">
        <v>50973</v>
      </c>
      <c r="AG29" s="407">
        <v>59934</v>
      </c>
      <c r="AH29" s="407">
        <v>49253</v>
      </c>
      <c r="AI29" s="407">
        <v>58755</v>
      </c>
      <c r="AJ29" s="407">
        <v>82799</v>
      </c>
      <c r="AK29" s="407">
        <v>89988</v>
      </c>
      <c r="AL29" s="407">
        <v>110041</v>
      </c>
      <c r="AM29" s="407">
        <v>103024</v>
      </c>
      <c r="AN29" s="407">
        <v>121352</v>
      </c>
      <c r="AO29" s="407">
        <v>174751</v>
      </c>
      <c r="AP29" s="407">
        <v>247484</v>
      </c>
      <c r="AQ29" s="407">
        <v>186371</v>
      </c>
      <c r="AR29" s="407">
        <v>146041</v>
      </c>
      <c r="AS29" s="407">
        <v>178984</v>
      </c>
      <c r="AT29" s="407">
        <v>195218</v>
      </c>
      <c r="AU29" s="407">
        <v>374006</v>
      </c>
      <c r="AV29" s="407">
        <v>52591</v>
      </c>
      <c r="AW29" s="407">
        <v>283800</v>
      </c>
      <c r="AX29" s="407">
        <v>523889</v>
      </c>
      <c r="AY29" s="407">
        <v>343584</v>
      </c>
      <c r="AZ29" s="407">
        <v>312597</v>
      </c>
      <c r="BA29" s="407">
        <v>349829</v>
      </c>
      <c r="BB29" s="407">
        <v>436615</v>
      </c>
      <c r="BC29" s="407">
        <v>377239</v>
      </c>
      <c r="BD29" s="407">
        <v>392796</v>
      </c>
      <c r="BE29" s="407">
        <v>338853</v>
      </c>
      <c r="BF29" s="407">
        <v>311139</v>
      </c>
      <c r="BG29" s="407">
        <v>311581</v>
      </c>
    </row>
    <row r="30" spans="1:59">
      <c r="A30" s="407" t="s">
        <v>45</v>
      </c>
      <c r="B30" s="407" t="s">
        <v>1294</v>
      </c>
      <c r="C30" s="407">
        <v>663</v>
      </c>
      <c r="D30" s="407">
        <v>762</v>
      </c>
      <c r="E30" s="407">
        <v>969</v>
      </c>
      <c r="F30" s="407">
        <v>1105</v>
      </c>
      <c r="G30" s="407">
        <v>678</v>
      </c>
      <c r="H30" s="407">
        <v>759</v>
      </c>
      <c r="I30" s="407">
        <v>720</v>
      </c>
      <c r="J30" s="407">
        <v>1308</v>
      </c>
      <c r="K30" s="407">
        <v>1569</v>
      </c>
      <c r="L30" s="407">
        <v>1549</v>
      </c>
      <c r="M30" s="407">
        <v>1076</v>
      </c>
      <c r="N30" s="407">
        <v>1113</v>
      </c>
      <c r="O30" s="407">
        <v>619</v>
      </c>
      <c r="P30" s="407">
        <v>672</v>
      </c>
      <c r="Q30" s="407">
        <v>1853</v>
      </c>
      <c r="R30" s="407">
        <v>6247</v>
      </c>
      <c r="S30" s="407">
        <v>8885</v>
      </c>
      <c r="T30" s="407">
        <v>5459</v>
      </c>
      <c r="U30" s="407">
        <v>3626</v>
      </c>
      <c r="V30" s="407">
        <v>12430</v>
      </c>
      <c r="W30" s="407">
        <v>6042</v>
      </c>
      <c r="X30" s="407">
        <v>15650</v>
      </c>
      <c r="Y30" s="407">
        <v>12395</v>
      </c>
      <c r="Z30" s="407">
        <v>2063</v>
      </c>
      <c r="AA30" s="407">
        <v>3498</v>
      </c>
      <c r="AB30" s="407">
        <v>3008</v>
      </c>
      <c r="AC30" s="407">
        <v>8984</v>
      </c>
      <c r="AD30" s="407">
        <v>7903</v>
      </c>
      <c r="AE30" s="407">
        <v>4589</v>
      </c>
      <c r="AF30" s="407">
        <v>31166</v>
      </c>
      <c r="AG30" s="407">
        <v>30557</v>
      </c>
      <c r="AH30" s="407">
        <v>32053</v>
      </c>
      <c r="AI30" s="407">
        <v>50684</v>
      </c>
      <c r="AJ30" s="407">
        <v>137917</v>
      </c>
      <c r="AK30" s="407">
        <v>54088</v>
      </c>
      <c r="AL30" s="407">
        <v>143506</v>
      </c>
      <c r="AM30" s="407">
        <v>160179</v>
      </c>
      <c r="AN30" s="407">
        <v>121036</v>
      </c>
      <c r="AO30" s="407">
        <v>132186</v>
      </c>
      <c r="AP30" s="407">
        <v>141007</v>
      </c>
      <c r="AQ30" s="407">
        <v>159713</v>
      </c>
      <c r="AR30" s="407">
        <v>106919</v>
      </c>
      <c r="AS30" s="407">
        <v>79532</v>
      </c>
      <c r="AT30" s="407">
        <v>133059</v>
      </c>
      <c r="AU30" s="407">
        <v>191956</v>
      </c>
      <c r="AV30" s="407">
        <v>267290</v>
      </c>
      <c r="AW30" s="407">
        <v>493366</v>
      </c>
      <c r="AX30" s="407">
        <v>380807</v>
      </c>
      <c r="AY30" s="407">
        <v>-284269</v>
      </c>
      <c r="AZ30" s="407">
        <v>375883</v>
      </c>
      <c r="BA30" s="407">
        <v>199620</v>
      </c>
      <c r="BB30" s="407">
        <v>85365</v>
      </c>
      <c r="BC30" s="407">
        <v>248760</v>
      </c>
      <c r="BD30" s="407">
        <v>481298</v>
      </c>
      <c r="BE30" s="407">
        <v>582677</v>
      </c>
      <c r="BF30" s="407">
        <v>160410</v>
      </c>
      <c r="BG30" s="407">
        <v>40638</v>
      </c>
    </row>
    <row r="31" spans="1:59">
      <c r="A31" s="407" t="s">
        <v>43</v>
      </c>
      <c r="B31" s="407" t="s">
        <v>1293</v>
      </c>
      <c r="C31" s="407">
        <v>2641</v>
      </c>
      <c r="D31" s="407">
        <v>2729</v>
      </c>
      <c r="E31" s="407">
        <v>1889</v>
      </c>
      <c r="F31" s="407">
        <v>3060</v>
      </c>
      <c r="G31" s="407">
        <v>5294</v>
      </c>
      <c r="H31" s="407">
        <v>1170</v>
      </c>
      <c r="I31" s="407">
        <v>1752</v>
      </c>
      <c r="J31" s="407">
        <v>3696</v>
      </c>
      <c r="K31" s="407">
        <v>3244</v>
      </c>
      <c r="L31" s="407">
        <v>2896</v>
      </c>
      <c r="M31" s="407">
        <v>3151</v>
      </c>
      <c r="N31" s="407">
        <v>6092</v>
      </c>
      <c r="O31" s="407">
        <v>6127</v>
      </c>
      <c r="P31" s="407">
        <v>11007</v>
      </c>
      <c r="Q31" s="407">
        <v>22373</v>
      </c>
      <c r="R31" s="407">
        <v>18363</v>
      </c>
      <c r="S31" s="407">
        <v>27877</v>
      </c>
      <c r="T31" s="407">
        <v>17060</v>
      </c>
      <c r="U31" s="407">
        <v>42179</v>
      </c>
      <c r="V31" s="407">
        <v>27267</v>
      </c>
      <c r="W31" s="407">
        <v>53550</v>
      </c>
      <c r="X31" s="407">
        <v>83697</v>
      </c>
      <c r="Y31" s="407">
        <v>105965</v>
      </c>
      <c r="Z31" s="407">
        <v>50588</v>
      </c>
      <c r="AA31" s="407">
        <v>17340</v>
      </c>
      <c r="AB31" s="407">
        <v>18957</v>
      </c>
      <c r="AC31" s="407">
        <v>79057</v>
      </c>
      <c r="AD31" s="407">
        <v>45508</v>
      </c>
      <c r="AE31" s="407">
        <v>75544</v>
      </c>
      <c r="AF31" s="407">
        <v>75476</v>
      </c>
      <c r="AG31" s="407">
        <v>11336</v>
      </c>
      <c r="AH31" s="407">
        <v>210</v>
      </c>
      <c r="AI31" s="407">
        <v>-20639</v>
      </c>
      <c r="AJ31" s="407">
        <v>-22696</v>
      </c>
      <c r="AK31" s="407">
        <v>50028</v>
      </c>
      <c r="AL31" s="407">
        <v>100266</v>
      </c>
      <c r="AM31" s="407">
        <v>168013</v>
      </c>
      <c r="AN31" s="407">
        <v>258626</v>
      </c>
      <c r="AO31" s="407">
        <v>72216</v>
      </c>
      <c r="AP31" s="407">
        <v>146868</v>
      </c>
      <c r="AQ31" s="407">
        <v>241308</v>
      </c>
      <c r="AR31" s="407">
        <v>128437</v>
      </c>
      <c r="AS31" s="407">
        <v>56973</v>
      </c>
      <c r="AT31" s="407">
        <v>44321</v>
      </c>
      <c r="AU31" s="407">
        <v>495498</v>
      </c>
      <c r="AV31" s="407">
        <v>257196</v>
      </c>
      <c r="AW31" s="407">
        <v>549814</v>
      </c>
      <c r="AX31" s="407">
        <v>658641</v>
      </c>
      <c r="AY31" s="407">
        <v>-381770</v>
      </c>
      <c r="AZ31" s="407">
        <v>-609662</v>
      </c>
      <c r="BA31" s="407">
        <v>407420</v>
      </c>
      <c r="BB31" s="407">
        <v>-45327</v>
      </c>
      <c r="BC31" s="407">
        <v>-453695</v>
      </c>
      <c r="BD31" s="407">
        <v>-221408</v>
      </c>
      <c r="BE31" s="407">
        <v>-99162</v>
      </c>
      <c r="BF31" s="407">
        <v>-271052</v>
      </c>
      <c r="BG31" s="407">
        <v>-6418</v>
      </c>
    </row>
    <row r="32" spans="1:59">
      <c r="A32" s="407" t="s">
        <v>42</v>
      </c>
      <c r="B32" s="407" t="s">
        <v>1292</v>
      </c>
      <c r="C32" s="407">
        <v>-2145</v>
      </c>
      <c r="D32" s="407">
        <v>-607</v>
      </c>
      <c r="E32" s="407">
        <v>-1535</v>
      </c>
      <c r="F32" s="407">
        <v>-378</v>
      </c>
      <c r="G32" s="407">
        <v>-171</v>
      </c>
      <c r="H32" s="407">
        <v>-1225</v>
      </c>
      <c r="I32" s="407">
        <v>-570</v>
      </c>
      <c r="J32" s="407">
        <v>-53</v>
      </c>
      <c r="K32" s="407">
        <v>870</v>
      </c>
      <c r="L32" s="407">
        <v>1179</v>
      </c>
      <c r="M32" s="407">
        <v>-2481</v>
      </c>
      <c r="N32" s="407">
        <v>-2349</v>
      </c>
      <c r="O32" s="407">
        <v>4</v>
      </c>
      <c r="P32" s="407">
        <v>-158</v>
      </c>
      <c r="Q32" s="407">
        <v>1467</v>
      </c>
      <c r="R32" s="407">
        <v>849</v>
      </c>
      <c r="S32" s="407">
        <v>2558</v>
      </c>
      <c r="T32" s="407">
        <v>375</v>
      </c>
      <c r="U32" s="407">
        <v>-732</v>
      </c>
      <c r="V32" s="407">
        <v>1133</v>
      </c>
      <c r="W32" s="407">
        <v>8154</v>
      </c>
      <c r="X32" s="407">
        <v>5176</v>
      </c>
      <c r="Y32" s="407">
        <v>4965</v>
      </c>
      <c r="Z32" s="407">
        <v>1195</v>
      </c>
      <c r="AA32" s="407">
        <v>3132</v>
      </c>
      <c r="AB32" s="407">
        <v>3858</v>
      </c>
      <c r="AC32" s="407">
        <v>-313</v>
      </c>
      <c r="AD32" s="407">
        <v>-9148</v>
      </c>
      <c r="AE32" s="407">
        <v>3913</v>
      </c>
      <c r="AF32" s="407">
        <v>25293</v>
      </c>
      <c r="AG32" s="407">
        <v>2158</v>
      </c>
      <c r="AH32" s="407">
        <v>-5763</v>
      </c>
      <c r="AI32" s="407">
        <v>-3901</v>
      </c>
      <c r="AJ32" s="407">
        <v>1379</v>
      </c>
      <c r="AK32" s="407">
        <v>-5346</v>
      </c>
      <c r="AL32" s="407">
        <v>9742</v>
      </c>
      <c r="AM32" s="407">
        <v>-6668</v>
      </c>
      <c r="AN32" s="407">
        <v>1010</v>
      </c>
      <c r="AO32" s="407">
        <v>6783</v>
      </c>
      <c r="AP32" s="407">
        <v>-8747</v>
      </c>
      <c r="AQ32" s="407">
        <v>290</v>
      </c>
      <c r="AR32" s="407">
        <v>4911</v>
      </c>
      <c r="AS32" s="407">
        <v>3681</v>
      </c>
      <c r="AT32" s="407">
        <v>-1524</v>
      </c>
      <c r="AU32" s="407">
        <v>-2806</v>
      </c>
      <c r="AV32" s="407">
        <v>-14094</v>
      </c>
      <c r="AW32" s="407">
        <v>-2373</v>
      </c>
      <c r="AX32" s="407">
        <v>122</v>
      </c>
      <c r="AY32" s="407">
        <v>4848</v>
      </c>
      <c r="AZ32" s="407">
        <v>52256</v>
      </c>
      <c r="BA32" s="407">
        <v>1835</v>
      </c>
      <c r="BB32" s="407">
        <v>15877</v>
      </c>
      <c r="BC32" s="407">
        <v>4460</v>
      </c>
      <c r="BD32" s="407">
        <v>-3099</v>
      </c>
      <c r="BE32" s="407">
        <v>-3583</v>
      </c>
      <c r="BF32" s="407">
        <v>-6292</v>
      </c>
      <c r="BG32" s="407">
        <v>2090</v>
      </c>
    </row>
    <row r="33" spans="1:59">
      <c r="A33" s="407" t="s">
        <v>41</v>
      </c>
      <c r="B33" s="408" t="s">
        <v>1291</v>
      </c>
      <c r="C33" s="407">
        <v>2294</v>
      </c>
      <c r="D33" s="407">
        <v>2705</v>
      </c>
      <c r="E33" s="407">
        <v>1912</v>
      </c>
      <c r="F33" s="407">
        <v>3217</v>
      </c>
      <c r="G33" s="407">
        <v>3643</v>
      </c>
      <c r="H33" s="407">
        <v>741</v>
      </c>
      <c r="I33" s="407">
        <v>3661</v>
      </c>
      <c r="J33" s="407">
        <v>7379</v>
      </c>
      <c r="K33" s="407">
        <v>9928</v>
      </c>
      <c r="L33" s="407">
        <v>12702</v>
      </c>
      <c r="M33" s="407">
        <v>7226</v>
      </c>
      <c r="N33" s="407">
        <v>23687</v>
      </c>
      <c r="O33" s="407">
        <v>22171</v>
      </c>
      <c r="P33" s="407">
        <v>18388</v>
      </c>
      <c r="Q33" s="407">
        <v>35228</v>
      </c>
      <c r="R33" s="407">
        <v>16870</v>
      </c>
      <c r="S33" s="407">
        <v>37840</v>
      </c>
      <c r="T33" s="407">
        <v>52770</v>
      </c>
      <c r="U33" s="407">
        <v>66275</v>
      </c>
      <c r="V33" s="407">
        <v>40693</v>
      </c>
      <c r="W33" s="407">
        <v>62036</v>
      </c>
      <c r="X33" s="407">
        <v>85684</v>
      </c>
      <c r="Y33" s="407">
        <v>109897</v>
      </c>
      <c r="Z33" s="407">
        <v>95715</v>
      </c>
      <c r="AA33" s="407">
        <v>126413</v>
      </c>
      <c r="AB33" s="407">
        <v>146544</v>
      </c>
      <c r="AC33" s="407">
        <v>223854</v>
      </c>
      <c r="AD33" s="407">
        <v>251863</v>
      </c>
      <c r="AE33" s="407">
        <v>244008</v>
      </c>
      <c r="AF33" s="407">
        <v>230302</v>
      </c>
      <c r="AG33" s="407">
        <v>162109</v>
      </c>
      <c r="AH33" s="407">
        <v>119586</v>
      </c>
      <c r="AI33" s="407">
        <v>178842</v>
      </c>
      <c r="AJ33" s="407">
        <v>278607</v>
      </c>
      <c r="AK33" s="407">
        <v>312995</v>
      </c>
      <c r="AL33" s="407">
        <v>446393</v>
      </c>
      <c r="AM33" s="407">
        <v>559027</v>
      </c>
      <c r="AN33" s="407">
        <v>720999</v>
      </c>
      <c r="AO33" s="407">
        <v>452901</v>
      </c>
      <c r="AP33" s="407">
        <v>765215</v>
      </c>
      <c r="AQ33" s="407">
        <v>1066074</v>
      </c>
      <c r="AR33" s="407">
        <v>788345</v>
      </c>
      <c r="AS33" s="407">
        <v>821844</v>
      </c>
      <c r="AT33" s="407">
        <v>911660</v>
      </c>
      <c r="AU33" s="407">
        <v>1600881</v>
      </c>
      <c r="AV33" s="407">
        <v>1277056</v>
      </c>
      <c r="AW33" s="407">
        <v>2120480</v>
      </c>
      <c r="AX33" s="407">
        <v>2190087</v>
      </c>
      <c r="AY33" s="407">
        <v>462408</v>
      </c>
      <c r="AZ33" s="407">
        <v>325644</v>
      </c>
      <c r="BA33" s="407">
        <v>1391039</v>
      </c>
      <c r="BB33" s="407">
        <v>983160</v>
      </c>
      <c r="BC33" s="407">
        <v>632685</v>
      </c>
      <c r="BD33" s="407">
        <v>1055789</v>
      </c>
      <c r="BE33" s="407">
        <v>1091350</v>
      </c>
      <c r="BF33" s="407">
        <v>502112</v>
      </c>
      <c r="BG33" s="407">
        <v>741393</v>
      </c>
    </row>
    <row r="34" spans="1:59">
      <c r="A34" s="407" t="s">
        <v>40</v>
      </c>
      <c r="B34" s="407" t="s">
        <v>1290</v>
      </c>
      <c r="C34" s="407">
        <v>315</v>
      </c>
      <c r="D34" s="407">
        <v>311</v>
      </c>
      <c r="E34" s="407">
        <v>346</v>
      </c>
      <c r="F34" s="407">
        <v>231</v>
      </c>
      <c r="G34" s="407">
        <v>322</v>
      </c>
      <c r="H34" s="407">
        <v>414</v>
      </c>
      <c r="I34" s="407">
        <v>426</v>
      </c>
      <c r="J34" s="407">
        <v>698</v>
      </c>
      <c r="K34" s="407">
        <v>808</v>
      </c>
      <c r="L34" s="407">
        <v>1263</v>
      </c>
      <c r="M34" s="407">
        <v>1464</v>
      </c>
      <c r="N34" s="407">
        <v>368</v>
      </c>
      <c r="O34" s="407">
        <v>948</v>
      </c>
      <c r="P34" s="407">
        <v>2800</v>
      </c>
      <c r="Q34" s="407">
        <v>4761</v>
      </c>
      <c r="R34" s="407">
        <v>2603</v>
      </c>
      <c r="S34" s="407">
        <v>4347</v>
      </c>
      <c r="T34" s="407">
        <v>3728</v>
      </c>
      <c r="U34" s="407">
        <v>7896</v>
      </c>
      <c r="V34" s="407">
        <v>11876</v>
      </c>
      <c r="W34" s="407">
        <v>16918</v>
      </c>
      <c r="X34" s="407">
        <v>25196</v>
      </c>
      <c r="Y34" s="407">
        <v>27475</v>
      </c>
      <c r="Z34" s="407">
        <v>18688</v>
      </c>
      <c r="AA34" s="407">
        <v>34832</v>
      </c>
      <c r="AB34" s="407">
        <v>22057</v>
      </c>
      <c r="AC34" s="407">
        <v>30946</v>
      </c>
      <c r="AD34" s="407">
        <v>63232</v>
      </c>
      <c r="AE34" s="407">
        <v>56910</v>
      </c>
      <c r="AF34" s="407">
        <v>75801</v>
      </c>
      <c r="AG34" s="407">
        <v>71247</v>
      </c>
      <c r="AH34" s="407">
        <v>34535</v>
      </c>
      <c r="AI34" s="407">
        <v>30315</v>
      </c>
      <c r="AJ34" s="407">
        <v>50211</v>
      </c>
      <c r="AK34" s="407">
        <v>55942</v>
      </c>
      <c r="AL34" s="407">
        <v>69067</v>
      </c>
      <c r="AM34" s="407">
        <v>97644</v>
      </c>
      <c r="AN34" s="407">
        <v>122150</v>
      </c>
      <c r="AO34" s="407">
        <v>211152</v>
      </c>
      <c r="AP34" s="407">
        <v>312449</v>
      </c>
      <c r="AQ34" s="407">
        <v>349124</v>
      </c>
      <c r="AR34" s="407">
        <v>172496</v>
      </c>
      <c r="AS34" s="407">
        <v>111056</v>
      </c>
      <c r="AT34" s="407">
        <v>117107</v>
      </c>
      <c r="AU34" s="407">
        <v>213642</v>
      </c>
      <c r="AV34" s="407">
        <v>142345</v>
      </c>
      <c r="AW34" s="407">
        <v>298464</v>
      </c>
      <c r="AX34" s="407">
        <v>346615</v>
      </c>
      <c r="AY34" s="407">
        <v>341091</v>
      </c>
      <c r="AZ34" s="407">
        <v>161082</v>
      </c>
      <c r="BA34" s="407">
        <v>264039</v>
      </c>
      <c r="BB34" s="407">
        <v>263499</v>
      </c>
      <c r="BC34" s="407">
        <v>250343</v>
      </c>
      <c r="BD34" s="407">
        <v>288131</v>
      </c>
      <c r="BE34" s="407">
        <v>237655</v>
      </c>
      <c r="BF34" s="407">
        <v>506161</v>
      </c>
      <c r="BG34" s="407">
        <v>479415</v>
      </c>
    </row>
    <row r="35" spans="1:59">
      <c r="A35" s="407" t="s">
        <v>37</v>
      </c>
      <c r="B35" s="407" t="s">
        <v>1289</v>
      </c>
      <c r="C35" s="407">
        <v>573</v>
      </c>
      <c r="D35" s="407">
        <v>709</v>
      </c>
      <c r="E35" s="407">
        <v>1478</v>
      </c>
      <c r="F35" s="407">
        <v>953</v>
      </c>
      <c r="G35" s="407">
        <v>201</v>
      </c>
      <c r="H35" s="407">
        <v>-630</v>
      </c>
      <c r="I35" s="407">
        <v>-977</v>
      </c>
      <c r="J35" s="407">
        <v>3144</v>
      </c>
      <c r="K35" s="407">
        <v>3780</v>
      </c>
      <c r="L35" s="407">
        <v>719</v>
      </c>
      <c r="M35" s="407">
        <v>11710</v>
      </c>
      <c r="N35" s="407">
        <v>28835</v>
      </c>
      <c r="O35" s="407">
        <v>13123</v>
      </c>
      <c r="P35" s="407">
        <v>4790</v>
      </c>
      <c r="Q35" s="407">
        <v>5500</v>
      </c>
      <c r="R35" s="407">
        <v>12761</v>
      </c>
      <c r="S35" s="407">
        <v>16165</v>
      </c>
      <c r="T35" s="407">
        <v>37615</v>
      </c>
      <c r="U35" s="407">
        <v>30083</v>
      </c>
      <c r="V35" s="407">
        <v>-13502</v>
      </c>
      <c r="W35" s="407">
        <v>23825</v>
      </c>
      <c r="X35" s="407">
        <v>17509</v>
      </c>
      <c r="Y35" s="407">
        <v>19695</v>
      </c>
      <c r="Z35" s="407">
        <v>18382</v>
      </c>
      <c r="AA35" s="407">
        <v>38695</v>
      </c>
      <c r="AB35" s="407">
        <v>68004</v>
      </c>
      <c r="AC35" s="407">
        <v>104497</v>
      </c>
      <c r="AD35" s="407">
        <v>79631</v>
      </c>
      <c r="AE35" s="407">
        <v>86786</v>
      </c>
      <c r="AF35" s="407">
        <v>74852</v>
      </c>
      <c r="AG35" s="407">
        <v>25767</v>
      </c>
      <c r="AH35" s="407">
        <v>72562</v>
      </c>
      <c r="AI35" s="407">
        <v>92199</v>
      </c>
      <c r="AJ35" s="407">
        <v>174387</v>
      </c>
      <c r="AK35" s="407">
        <v>131849</v>
      </c>
      <c r="AL35" s="407">
        <v>254431</v>
      </c>
      <c r="AM35" s="407">
        <v>392107</v>
      </c>
      <c r="AN35" s="407">
        <v>311105</v>
      </c>
      <c r="AO35" s="407">
        <v>225878</v>
      </c>
      <c r="AP35" s="407">
        <v>278697</v>
      </c>
      <c r="AQ35" s="407">
        <v>441966</v>
      </c>
      <c r="AR35" s="407">
        <v>431492</v>
      </c>
      <c r="AS35" s="407">
        <v>504155</v>
      </c>
      <c r="AT35" s="407">
        <v>550163</v>
      </c>
      <c r="AU35" s="407">
        <v>867340</v>
      </c>
      <c r="AV35" s="407">
        <v>832037</v>
      </c>
      <c r="AW35" s="407">
        <v>1126735</v>
      </c>
      <c r="AX35" s="407">
        <v>1156612</v>
      </c>
      <c r="AY35" s="407">
        <v>523683</v>
      </c>
      <c r="AZ35" s="407">
        <v>357352</v>
      </c>
      <c r="BA35" s="407">
        <v>820434</v>
      </c>
      <c r="BB35" s="407">
        <v>311626</v>
      </c>
      <c r="BC35" s="407">
        <v>747017</v>
      </c>
      <c r="BD35" s="407">
        <v>511987</v>
      </c>
      <c r="BE35" s="407">
        <v>703480</v>
      </c>
      <c r="BF35" s="407">
        <v>213977</v>
      </c>
      <c r="BG35" s="407">
        <v>237367</v>
      </c>
    </row>
    <row r="36" spans="1:59">
      <c r="A36" s="407" t="s">
        <v>36</v>
      </c>
      <c r="B36" s="407" t="s">
        <v>1288</v>
      </c>
      <c r="C36" s="407">
        <v>1406</v>
      </c>
      <c r="D36" s="407">
        <v>1685</v>
      </c>
      <c r="E36" s="407">
        <v>88</v>
      </c>
      <c r="F36" s="407">
        <v>2033</v>
      </c>
      <c r="G36" s="407">
        <v>3120</v>
      </c>
      <c r="H36" s="407">
        <v>957</v>
      </c>
      <c r="I36" s="407">
        <v>4212</v>
      </c>
      <c r="J36" s="407">
        <v>3537</v>
      </c>
      <c r="K36" s="407">
        <v>5340</v>
      </c>
      <c r="L36" s="407">
        <v>10720</v>
      </c>
      <c r="M36" s="407">
        <v>-5948</v>
      </c>
      <c r="N36" s="407">
        <v>-5516</v>
      </c>
      <c r="O36" s="407">
        <v>8100</v>
      </c>
      <c r="P36" s="407">
        <v>10798</v>
      </c>
      <c r="Q36" s="407">
        <v>24967</v>
      </c>
      <c r="R36" s="407">
        <v>1506</v>
      </c>
      <c r="S36" s="407">
        <v>17328</v>
      </c>
      <c r="T36" s="407">
        <v>11427</v>
      </c>
      <c r="U36" s="407">
        <v>28296</v>
      </c>
      <c r="V36" s="407">
        <v>42319</v>
      </c>
      <c r="W36" s="407">
        <v>21293</v>
      </c>
      <c r="X36" s="407">
        <v>42979</v>
      </c>
      <c r="Y36" s="407">
        <v>62727</v>
      </c>
      <c r="Z36" s="407">
        <v>58645</v>
      </c>
      <c r="AA36" s="407">
        <v>52886</v>
      </c>
      <c r="AB36" s="407">
        <v>56483</v>
      </c>
      <c r="AC36" s="407">
        <v>88411</v>
      </c>
      <c r="AD36" s="407">
        <v>109000</v>
      </c>
      <c r="AE36" s="407">
        <v>100312</v>
      </c>
      <c r="AF36" s="407">
        <v>79649</v>
      </c>
      <c r="AG36" s="407">
        <v>65095</v>
      </c>
      <c r="AH36" s="407">
        <v>12489</v>
      </c>
      <c r="AI36" s="407">
        <v>56328</v>
      </c>
      <c r="AJ36" s="407">
        <v>54009</v>
      </c>
      <c r="AK36" s="407">
        <v>125204</v>
      </c>
      <c r="AL36" s="407">
        <v>122895</v>
      </c>
      <c r="AM36" s="407">
        <v>69276</v>
      </c>
      <c r="AN36" s="407">
        <v>287744</v>
      </c>
      <c r="AO36" s="407">
        <v>15871</v>
      </c>
      <c r="AP36" s="407">
        <v>174069</v>
      </c>
      <c r="AQ36" s="407">
        <v>274984</v>
      </c>
      <c r="AR36" s="407">
        <v>184357</v>
      </c>
      <c r="AS36" s="407">
        <v>206634</v>
      </c>
      <c r="AT36" s="407">
        <v>244390</v>
      </c>
      <c r="AU36" s="407">
        <v>519899</v>
      </c>
      <c r="AV36" s="407">
        <v>302673</v>
      </c>
      <c r="AW36" s="407">
        <v>695280</v>
      </c>
      <c r="AX36" s="407">
        <v>686860</v>
      </c>
      <c r="AY36" s="407">
        <v>-402367</v>
      </c>
      <c r="AZ36" s="407">
        <v>-192789</v>
      </c>
      <c r="BA36" s="407">
        <v>306566</v>
      </c>
      <c r="BB36" s="407">
        <v>408036</v>
      </c>
      <c r="BC36" s="407">
        <v>-364675</v>
      </c>
      <c r="BD36" s="407">
        <v>255670</v>
      </c>
      <c r="BE36" s="407">
        <v>150214</v>
      </c>
      <c r="BF36" s="407">
        <v>-218027</v>
      </c>
      <c r="BG36" s="407">
        <v>24612</v>
      </c>
    </row>
    <row r="37" spans="1:59">
      <c r="A37" s="407" t="s">
        <v>35</v>
      </c>
      <c r="B37" s="408" t="s">
        <v>1287</v>
      </c>
      <c r="C37" s="407" t="s">
        <v>583</v>
      </c>
      <c r="D37" s="407" t="s">
        <v>583</v>
      </c>
      <c r="E37" s="407" t="s">
        <v>583</v>
      </c>
      <c r="F37" s="407" t="s">
        <v>583</v>
      </c>
      <c r="G37" s="407" t="s">
        <v>583</v>
      </c>
      <c r="H37" s="407" t="s">
        <v>583</v>
      </c>
      <c r="I37" s="407" t="s">
        <v>583</v>
      </c>
      <c r="J37" s="407" t="s">
        <v>583</v>
      </c>
      <c r="K37" s="407" t="s">
        <v>583</v>
      </c>
      <c r="L37" s="407" t="s">
        <v>583</v>
      </c>
      <c r="M37" s="407" t="s">
        <v>583</v>
      </c>
      <c r="N37" s="407" t="s">
        <v>583</v>
      </c>
      <c r="O37" s="407" t="s">
        <v>583</v>
      </c>
      <c r="P37" s="407" t="s">
        <v>583</v>
      </c>
      <c r="Q37" s="407" t="s">
        <v>583</v>
      </c>
      <c r="R37" s="407" t="s">
        <v>583</v>
      </c>
      <c r="S37" s="407" t="s">
        <v>583</v>
      </c>
      <c r="T37" s="407" t="s">
        <v>583</v>
      </c>
      <c r="U37" s="407" t="s">
        <v>583</v>
      </c>
      <c r="V37" s="407" t="s">
        <v>583</v>
      </c>
      <c r="W37" s="407" t="s">
        <v>583</v>
      </c>
      <c r="X37" s="407" t="s">
        <v>583</v>
      </c>
      <c r="Y37" s="407" t="s">
        <v>583</v>
      </c>
      <c r="Z37" s="407" t="s">
        <v>583</v>
      </c>
      <c r="AA37" s="407" t="s">
        <v>583</v>
      </c>
      <c r="AB37" s="407" t="s">
        <v>583</v>
      </c>
      <c r="AC37" s="407" t="s">
        <v>583</v>
      </c>
      <c r="AD37" s="407" t="s">
        <v>583</v>
      </c>
      <c r="AE37" s="407" t="s">
        <v>583</v>
      </c>
      <c r="AF37" s="407" t="s">
        <v>583</v>
      </c>
      <c r="AG37" s="407" t="s">
        <v>583</v>
      </c>
      <c r="AH37" s="407" t="s">
        <v>583</v>
      </c>
      <c r="AI37" s="407" t="s">
        <v>583</v>
      </c>
      <c r="AJ37" s="407" t="s">
        <v>583</v>
      </c>
      <c r="AK37" s="407" t="s">
        <v>583</v>
      </c>
      <c r="AL37" s="407" t="s">
        <v>583</v>
      </c>
      <c r="AM37" s="407" t="s">
        <v>583</v>
      </c>
      <c r="AN37" s="407" t="s">
        <v>583</v>
      </c>
      <c r="AO37" s="407" t="s">
        <v>583</v>
      </c>
      <c r="AP37" s="407" t="s">
        <v>583</v>
      </c>
      <c r="AQ37" s="407" t="s">
        <v>583</v>
      </c>
      <c r="AR37" s="407" t="s">
        <v>583</v>
      </c>
      <c r="AS37" s="407" t="s">
        <v>583</v>
      </c>
      <c r="AT37" s="407" t="s">
        <v>583</v>
      </c>
      <c r="AU37" s="407" t="s">
        <v>583</v>
      </c>
      <c r="AV37" s="407" t="s">
        <v>583</v>
      </c>
      <c r="AW37" s="407">
        <v>-29710</v>
      </c>
      <c r="AX37" s="407">
        <v>-6222</v>
      </c>
      <c r="AY37" s="407">
        <v>32947</v>
      </c>
      <c r="AZ37" s="407">
        <v>-44816</v>
      </c>
      <c r="BA37" s="407">
        <v>-14076</v>
      </c>
      <c r="BB37" s="407">
        <v>-35006</v>
      </c>
      <c r="BC37" s="407">
        <v>7064</v>
      </c>
      <c r="BD37" s="407">
        <v>2222</v>
      </c>
      <c r="BE37" s="407">
        <v>-54270</v>
      </c>
      <c r="BF37" s="407">
        <v>-25248</v>
      </c>
      <c r="BG37" s="407">
        <v>15817</v>
      </c>
    </row>
    <row r="38" spans="1:59">
      <c r="A38" s="407" t="s">
        <v>32</v>
      </c>
      <c r="B38" s="407" t="s">
        <v>1286</v>
      </c>
      <c r="C38" s="407" t="s">
        <v>32</v>
      </c>
      <c r="D38" s="407" t="s">
        <v>32</v>
      </c>
      <c r="E38" s="407" t="s">
        <v>32</v>
      </c>
      <c r="F38" s="407" t="s">
        <v>32</v>
      </c>
      <c r="G38" s="407" t="s">
        <v>32</v>
      </c>
      <c r="H38" s="407" t="s">
        <v>32</v>
      </c>
      <c r="I38" s="407" t="s">
        <v>32</v>
      </c>
      <c r="J38" s="407" t="s">
        <v>32</v>
      </c>
      <c r="K38" s="407" t="s">
        <v>32</v>
      </c>
      <c r="L38" s="407" t="s">
        <v>32</v>
      </c>
      <c r="M38" s="407" t="s">
        <v>32</v>
      </c>
      <c r="N38" s="407" t="s">
        <v>32</v>
      </c>
      <c r="O38" s="407" t="s">
        <v>32</v>
      </c>
      <c r="P38" s="407" t="s">
        <v>32</v>
      </c>
      <c r="Q38" s="407" t="s">
        <v>32</v>
      </c>
      <c r="R38" s="407" t="s">
        <v>32</v>
      </c>
      <c r="S38" s="407" t="s">
        <v>32</v>
      </c>
      <c r="T38" s="407" t="s">
        <v>32</v>
      </c>
      <c r="U38" s="407" t="s">
        <v>32</v>
      </c>
      <c r="V38" s="407" t="s">
        <v>32</v>
      </c>
      <c r="W38" s="407" t="s">
        <v>32</v>
      </c>
      <c r="X38" s="407" t="s">
        <v>32</v>
      </c>
      <c r="Y38" s="407" t="s">
        <v>32</v>
      </c>
      <c r="Z38" s="407" t="s">
        <v>32</v>
      </c>
      <c r="AA38" s="407" t="s">
        <v>32</v>
      </c>
      <c r="AB38" s="407" t="s">
        <v>32</v>
      </c>
      <c r="AC38" s="407" t="s">
        <v>32</v>
      </c>
      <c r="AD38" s="407" t="s">
        <v>32</v>
      </c>
      <c r="AE38" s="407" t="s">
        <v>32</v>
      </c>
      <c r="AF38" s="407" t="s">
        <v>32</v>
      </c>
      <c r="AG38" s="407" t="s">
        <v>32</v>
      </c>
      <c r="AH38" s="407" t="s">
        <v>32</v>
      </c>
      <c r="AI38" s="407" t="s">
        <v>32</v>
      </c>
      <c r="AJ38" s="407" t="s">
        <v>32</v>
      </c>
      <c r="AK38" s="407" t="s">
        <v>32</v>
      </c>
      <c r="AL38" s="407" t="s">
        <v>32</v>
      </c>
      <c r="AM38" s="407" t="s">
        <v>32</v>
      </c>
      <c r="AN38" s="407" t="s">
        <v>32</v>
      </c>
      <c r="AO38" s="407" t="s">
        <v>32</v>
      </c>
      <c r="AP38" s="407" t="s">
        <v>32</v>
      </c>
      <c r="AQ38" s="407" t="s">
        <v>32</v>
      </c>
      <c r="AR38" s="407" t="s">
        <v>32</v>
      </c>
      <c r="AS38" s="407" t="s">
        <v>32</v>
      </c>
      <c r="AT38" s="407" t="s">
        <v>32</v>
      </c>
      <c r="AU38" s="407" t="s">
        <v>32</v>
      </c>
      <c r="AV38" s="407" t="s">
        <v>32</v>
      </c>
      <c r="AW38" s="407" t="s">
        <v>32</v>
      </c>
      <c r="AX38" s="407" t="s">
        <v>32</v>
      </c>
      <c r="AY38" s="407" t="s">
        <v>32</v>
      </c>
      <c r="AZ38" s="407" t="s">
        <v>32</v>
      </c>
      <c r="BA38" s="407" t="s">
        <v>32</v>
      </c>
      <c r="BB38" s="407" t="s">
        <v>32</v>
      </c>
      <c r="BC38" s="407" t="s">
        <v>32</v>
      </c>
      <c r="BD38" s="407" t="s">
        <v>32</v>
      </c>
      <c r="BE38" s="407" t="s">
        <v>32</v>
      </c>
      <c r="BF38" s="407" t="s">
        <v>32</v>
      </c>
      <c r="BG38" s="407" t="s">
        <v>32</v>
      </c>
    </row>
    <row r="39" spans="1:59">
      <c r="A39" s="407" t="s">
        <v>34</v>
      </c>
      <c r="B39" s="408" t="s">
        <v>1285</v>
      </c>
      <c r="C39" s="407">
        <v>-1019</v>
      </c>
      <c r="D39" s="407">
        <v>-989</v>
      </c>
      <c r="E39" s="407">
        <v>-1123</v>
      </c>
      <c r="F39" s="407">
        <v>-361</v>
      </c>
      <c r="G39" s="407">
        <v>-907</v>
      </c>
      <c r="H39" s="407">
        <v>-457</v>
      </c>
      <c r="I39" s="407">
        <v>629</v>
      </c>
      <c r="J39" s="407">
        <v>-205</v>
      </c>
      <c r="K39" s="407">
        <v>438</v>
      </c>
      <c r="L39" s="407">
        <v>-1517</v>
      </c>
      <c r="M39" s="407">
        <v>-219</v>
      </c>
      <c r="N39" s="407">
        <v>-9779</v>
      </c>
      <c r="O39" s="407">
        <v>-1879</v>
      </c>
      <c r="P39" s="407">
        <v>-2654</v>
      </c>
      <c r="Q39" s="407">
        <v>-2444</v>
      </c>
      <c r="R39" s="407">
        <v>4717</v>
      </c>
      <c r="S39" s="407">
        <v>9134</v>
      </c>
      <c r="T39" s="407">
        <v>-3651</v>
      </c>
      <c r="U39" s="407">
        <v>9997</v>
      </c>
      <c r="V39" s="407">
        <v>25647</v>
      </c>
      <c r="W39" s="407">
        <v>22614</v>
      </c>
      <c r="X39" s="407">
        <v>23433</v>
      </c>
      <c r="Y39" s="407">
        <v>38362</v>
      </c>
      <c r="Z39" s="407">
        <v>17666</v>
      </c>
      <c r="AA39" s="407">
        <v>18673</v>
      </c>
      <c r="AB39" s="407">
        <v>18677</v>
      </c>
      <c r="AC39" s="407">
        <v>30570</v>
      </c>
      <c r="AD39" s="407">
        <v>-7149</v>
      </c>
      <c r="AE39" s="407">
        <v>-17108</v>
      </c>
      <c r="AF39" s="407">
        <v>52299</v>
      </c>
      <c r="AG39" s="407">
        <v>28066</v>
      </c>
      <c r="AH39" s="407">
        <v>-41601</v>
      </c>
      <c r="AI39" s="407">
        <v>-43776</v>
      </c>
      <c r="AJ39" s="407">
        <v>6313</v>
      </c>
      <c r="AK39" s="407">
        <v>-1514</v>
      </c>
      <c r="AL39" s="407">
        <v>30951</v>
      </c>
      <c r="AM39" s="407">
        <v>-9706</v>
      </c>
      <c r="AN39" s="407">
        <v>-77995</v>
      </c>
      <c r="AO39" s="407">
        <v>148106</v>
      </c>
      <c r="AP39" s="407">
        <v>53938</v>
      </c>
      <c r="AQ39" s="407">
        <v>-74941</v>
      </c>
      <c r="AR39" s="407">
        <v>-25546</v>
      </c>
      <c r="AS39" s="407">
        <v>-51735</v>
      </c>
      <c r="AT39" s="407">
        <v>-20021</v>
      </c>
      <c r="AU39" s="407">
        <v>86316</v>
      </c>
      <c r="AV39" s="407">
        <v>18045</v>
      </c>
      <c r="AW39" s="407">
        <v>-17832</v>
      </c>
      <c r="AX39" s="407">
        <v>77801</v>
      </c>
      <c r="AY39" s="407">
        <v>-71690</v>
      </c>
      <c r="AZ39" s="407">
        <v>133275</v>
      </c>
      <c r="BA39" s="407">
        <v>-15557</v>
      </c>
      <c r="BB39" s="407">
        <v>-79862</v>
      </c>
      <c r="BC39" s="407">
        <v>-29563</v>
      </c>
      <c r="BD39" s="407">
        <v>-54025</v>
      </c>
      <c r="BE39" s="407">
        <v>47009</v>
      </c>
      <c r="BF39" s="407">
        <v>101486</v>
      </c>
      <c r="BG39" s="407">
        <v>74059</v>
      </c>
    </row>
    <row r="40" spans="1:59">
      <c r="A40" s="407" t="s">
        <v>1284</v>
      </c>
      <c r="B40" s="407" t="s">
        <v>580</v>
      </c>
      <c r="C40" s="407" t="s">
        <v>579</v>
      </c>
      <c r="D40" s="407" t="s">
        <v>579</v>
      </c>
      <c r="E40" s="407" t="s">
        <v>579</v>
      </c>
      <c r="F40" s="407" t="s">
        <v>579</v>
      </c>
      <c r="G40" s="407" t="s">
        <v>579</v>
      </c>
      <c r="H40" s="407" t="s">
        <v>579</v>
      </c>
      <c r="I40" s="407" t="s">
        <v>579</v>
      </c>
      <c r="J40" s="407" t="s">
        <v>579</v>
      </c>
      <c r="K40" s="407" t="s">
        <v>579</v>
      </c>
      <c r="L40" s="407" t="s">
        <v>579</v>
      </c>
      <c r="M40" s="407" t="s">
        <v>579</v>
      </c>
      <c r="N40" s="407" t="s">
        <v>579</v>
      </c>
      <c r="O40" s="407" t="s">
        <v>579</v>
      </c>
      <c r="P40" s="407" t="s">
        <v>579</v>
      </c>
      <c r="Q40" s="407" t="s">
        <v>579</v>
      </c>
      <c r="R40" s="407" t="s">
        <v>579</v>
      </c>
      <c r="S40" s="407" t="s">
        <v>579</v>
      </c>
      <c r="T40" s="407" t="s">
        <v>579</v>
      </c>
      <c r="U40" s="407" t="s">
        <v>579</v>
      </c>
      <c r="V40" s="407" t="s">
        <v>579</v>
      </c>
      <c r="W40" s="407" t="s">
        <v>579</v>
      </c>
      <c r="X40" s="407" t="s">
        <v>579</v>
      </c>
      <c r="Y40" s="407" t="s">
        <v>579</v>
      </c>
      <c r="Z40" s="407" t="s">
        <v>579</v>
      </c>
      <c r="AA40" s="407" t="s">
        <v>579</v>
      </c>
      <c r="AB40" s="407" t="s">
        <v>579</v>
      </c>
      <c r="AC40" s="407" t="s">
        <v>579</v>
      </c>
      <c r="AD40" s="407" t="s">
        <v>579</v>
      </c>
      <c r="AE40" s="407" t="s">
        <v>579</v>
      </c>
      <c r="AF40" s="407" t="s">
        <v>579</v>
      </c>
      <c r="AG40" s="407" t="s">
        <v>579</v>
      </c>
      <c r="AH40" s="407" t="s">
        <v>579</v>
      </c>
      <c r="AI40" s="407" t="s">
        <v>579</v>
      </c>
      <c r="AJ40" s="407" t="s">
        <v>579</v>
      </c>
      <c r="AK40" s="407" t="s">
        <v>579</v>
      </c>
      <c r="AL40" s="407" t="s">
        <v>579</v>
      </c>
      <c r="AM40" s="407" t="s">
        <v>579</v>
      </c>
      <c r="AN40" s="407" t="s">
        <v>579</v>
      </c>
      <c r="AO40" s="407" t="s">
        <v>579</v>
      </c>
      <c r="AP40" s="407" t="s">
        <v>579</v>
      </c>
      <c r="AQ40" s="407" t="s">
        <v>579</v>
      </c>
      <c r="AR40" s="407" t="s">
        <v>579</v>
      </c>
      <c r="AS40" s="407" t="s">
        <v>579</v>
      </c>
      <c r="AT40" s="407" t="s">
        <v>579</v>
      </c>
      <c r="AU40" s="407" t="s">
        <v>579</v>
      </c>
      <c r="AV40" s="407" t="s">
        <v>579</v>
      </c>
      <c r="AW40" s="407" t="s">
        <v>579</v>
      </c>
      <c r="AX40" s="407" t="s">
        <v>579</v>
      </c>
      <c r="AY40" s="407" t="s">
        <v>579</v>
      </c>
      <c r="AZ40" s="407" t="s">
        <v>579</v>
      </c>
      <c r="BA40" s="407" t="s">
        <v>579</v>
      </c>
      <c r="BB40" s="407" t="s">
        <v>579</v>
      </c>
      <c r="BC40" s="407" t="s">
        <v>579</v>
      </c>
      <c r="BD40" s="407" t="s">
        <v>579</v>
      </c>
      <c r="BE40" s="407" t="s">
        <v>579</v>
      </c>
      <c r="BF40" s="407" t="s">
        <v>579</v>
      </c>
      <c r="BG40" s="407" t="s">
        <v>579</v>
      </c>
    </row>
    <row r="41" spans="1:59">
      <c r="A41" s="407" t="s">
        <v>32</v>
      </c>
      <c r="B41" s="407" t="s">
        <v>1283</v>
      </c>
      <c r="C41" s="407" t="s">
        <v>32</v>
      </c>
      <c r="D41" s="407" t="s">
        <v>32</v>
      </c>
      <c r="E41" s="407" t="s">
        <v>32</v>
      </c>
      <c r="F41" s="407" t="s">
        <v>32</v>
      </c>
      <c r="G41" s="407" t="s">
        <v>32</v>
      </c>
      <c r="H41" s="407" t="s">
        <v>32</v>
      </c>
      <c r="I41" s="407" t="s">
        <v>32</v>
      </c>
      <c r="J41" s="407" t="s">
        <v>32</v>
      </c>
      <c r="K41" s="407" t="s">
        <v>32</v>
      </c>
      <c r="L41" s="407" t="s">
        <v>32</v>
      </c>
      <c r="M41" s="407" t="s">
        <v>32</v>
      </c>
      <c r="N41" s="407" t="s">
        <v>32</v>
      </c>
      <c r="O41" s="407" t="s">
        <v>32</v>
      </c>
      <c r="P41" s="407" t="s">
        <v>32</v>
      </c>
      <c r="Q41" s="407" t="s">
        <v>32</v>
      </c>
      <c r="R41" s="407" t="s">
        <v>32</v>
      </c>
      <c r="S41" s="407" t="s">
        <v>32</v>
      </c>
      <c r="T41" s="407" t="s">
        <v>32</v>
      </c>
      <c r="U41" s="407" t="s">
        <v>32</v>
      </c>
      <c r="V41" s="407" t="s">
        <v>32</v>
      </c>
      <c r="W41" s="407" t="s">
        <v>32</v>
      </c>
      <c r="X41" s="407" t="s">
        <v>32</v>
      </c>
      <c r="Y41" s="407" t="s">
        <v>32</v>
      </c>
      <c r="Z41" s="407" t="s">
        <v>32</v>
      </c>
      <c r="AA41" s="407" t="s">
        <v>32</v>
      </c>
      <c r="AB41" s="407" t="s">
        <v>32</v>
      </c>
      <c r="AC41" s="407" t="s">
        <v>32</v>
      </c>
      <c r="AD41" s="407" t="s">
        <v>32</v>
      </c>
      <c r="AE41" s="407" t="s">
        <v>32</v>
      </c>
      <c r="AF41" s="407" t="s">
        <v>32</v>
      </c>
      <c r="AG41" s="407" t="s">
        <v>32</v>
      </c>
      <c r="AH41" s="407" t="s">
        <v>32</v>
      </c>
      <c r="AI41" s="407" t="s">
        <v>32</v>
      </c>
      <c r="AJ41" s="407" t="s">
        <v>32</v>
      </c>
      <c r="AK41" s="407" t="s">
        <v>32</v>
      </c>
      <c r="AL41" s="407" t="s">
        <v>32</v>
      </c>
      <c r="AM41" s="407" t="s">
        <v>32</v>
      </c>
      <c r="AN41" s="407" t="s">
        <v>32</v>
      </c>
      <c r="AO41" s="407" t="s">
        <v>32</v>
      </c>
      <c r="AP41" s="407" t="s">
        <v>32</v>
      </c>
      <c r="AQ41" s="407" t="s">
        <v>32</v>
      </c>
      <c r="AR41" s="407" t="s">
        <v>32</v>
      </c>
      <c r="AS41" s="407" t="s">
        <v>32</v>
      </c>
      <c r="AT41" s="407" t="s">
        <v>32</v>
      </c>
      <c r="AU41" s="407" t="s">
        <v>32</v>
      </c>
      <c r="AV41" s="407" t="s">
        <v>32</v>
      </c>
      <c r="AW41" s="407" t="s">
        <v>32</v>
      </c>
      <c r="AX41" s="407" t="s">
        <v>32</v>
      </c>
      <c r="AY41" s="407" t="s">
        <v>32</v>
      </c>
      <c r="AZ41" s="407" t="s">
        <v>32</v>
      </c>
      <c r="BA41" s="407" t="s">
        <v>32</v>
      </c>
      <c r="BB41" s="407" t="s">
        <v>32</v>
      </c>
      <c r="BC41" s="407" t="s">
        <v>32</v>
      </c>
      <c r="BD41" s="407" t="s">
        <v>32</v>
      </c>
      <c r="BE41" s="407" t="s">
        <v>32</v>
      </c>
      <c r="BF41" s="407" t="s">
        <v>32</v>
      </c>
      <c r="BG41" s="407" t="s">
        <v>32</v>
      </c>
    </row>
    <row r="42" spans="1:59">
      <c r="A42" s="407" t="s">
        <v>30</v>
      </c>
      <c r="B42" s="408" t="s">
        <v>1282</v>
      </c>
      <c r="C42" s="407">
        <v>2825</v>
      </c>
      <c r="D42" s="407">
        <v>3821</v>
      </c>
      <c r="E42" s="407">
        <v>3387</v>
      </c>
      <c r="F42" s="407">
        <v>4414</v>
      </c>
      <c r="G42" s="407">
        <v>6823</v>
      </c>
      <c r="H42" s="407">
        <v>5430</v>
      </c>
      <c r="I42" s="407">
        <v>3031</v>
      </c>
      <c r="J42" s="407">
        <v>2584</v>
      </c>
      <c r="K42" s="407">
        <v>611</v>
      </c>
      <c r="L42" s="407">
        <v>399</v>
      </c>
      <c r="M42" s="407">
        <v>2331</v>
      </c>
      <c r="N42" s="407">
        <v>-1433</v>
      </c>
      <c r="O42" s="407">
        <v>-5796</v>
      </c>
      <c r="P42" s="407">
        <v>7140</v>
      </c>
      <c r="Q42" s="407">
        <v>1961</v>
      </c>
      <c r="R42" s="407">
        <v>18117</v>
      </c>
      <c r="S42" s="407">
        <v>4296</v>
      </c>
      <c r="T42" s="407">
        <v>-14336</v>
      </c>
      <c r="U42" s="407">
        <v>-15143</v>
      </c>
      <c r="V42" s="407">
        <v>-285</v>
      </c>
      <c r="W42" s="407">
        <v>2318</v>
      </c>
      <c r="X42" s="407">
        <v>5029</v>
      </c>
      <c r="Y42" s="407">
        <v>-5537</v>
      </c>
      <c r="Z42" s="407">
        <v>-38691</v>
      </c>
      <c r="AA42" s="407">
        <v>-94344</v>
      </c>
      <c r="AB42" s="407">
        <v>-118155</v>
      </c>
      <c r="AC42" s="407">
        <v>-147176</v>
      </c>
      <c r="AD42" s="407">
        <v>-160655</v>
      </c>
      <c r="AE42" s="407">
        <v>-121153</v>
      </c>
      <c r="AF42" s="407">
        <v>-99487</v>
      </c>
      <c r="AG42" s="407">
        <v>-78969</v>
      </c>
      <c r="AH42" s="407">
        <v>2897</v>
      </c>
      <c r="AI42" s="407">
        <v>-51613</v>
      </c>
      <c r="AJ42" s="407">
        <v>-84805</v>
      </c>
      <c r="AK42" s="407">
        <v>-121612</v>
      </c>
      <c r="AL42" s="407">
        <v>-113567</v>
      </c>
      <c r="AM42" s="407">
        <v>-124764</v>
      </c>
      <c r="AN42" s="407">
        <v>-140726</v>
      </c>
      <c r="AO42" s="407">
        <v>-215062</v>
      </c>
      <c r="AP42" s="407">
        <v>-288365</v>
      </c>
      <c r="AQ42" s="407">
        <v>-403450</v>
      </c>
      <c r="AR42" s="407">
        <v>-389689</v>
      </c>
      <c r="AS42" s="407">
        <v>-450797</v>
      </c>
      <c r="AT42" s="407">
        <v>-518744</v>
      </c>
      <c r="AU42" s="407">
        <v>-631591</v>
      </c>
      <c r="AV42" s="407">
        <v>-745234</v>
      </c>
      <c r="AW42" s="407">
        <v>-805964</v>
      </c>
      <c r="AX42" s="407">
        <v>-711035</v>
      </c>
      <c r="AY42" s="407">
        <v>-681389</v>
      </c>
      <c r="AZ42" s="407">
        <v>-372521</v>
      </c>
      <c r="BA42" s="407">
        <v>-430698</v>
      </c>
      <c r="BB42" s="407">
        <v>-444589</v>
      </c>
      <c r="BC42" s="407">
        <v>-426198</v>
      </c>
      <c r="BD42" s="407">
        <v>-349543</v>
      </c>
      <c r="BE42" s="407">
        <v>-373800</v>
      </c>
      <c r="BF42" s="407">
        <v>-434598</v>
      </c>
      <c r="BG42" s="407">
        <v>-451685</v>
      </c>
    </row>
    <row r="43" spans="1:59">
      <c r="A43" s="407" t="s">
        <v>29</v>
      </c>
      <c r="B43" s="407" t="s">
        <v>1281</v>
      </c>
      <c r="C43" s="407">
        <v>3508</v>
      </c>
      <c r="D43" s="407">
        <v>4194</v>
      </c>
      <c r="E43" s="407">
        <v>3371</v>
      </c>
      <c r="F43" s="407">
        <v>4210</v>
      </c>
      <c r="G43" s="407">
        <v>6022</v>
      </c>
      <c r="H43" s="407">
        <v>4664</v>
      </c>
      <c r="I43" s="407">
        <v>2939</v>
      </c>
      <c r="J43" s="407">
        <v>2604</v>
      </c>
      <c r="K43" s="407">
        <v>250</v>
      </c>
      <c r="L43" s="407">
        <v>90</v>
      </c>
      <c r="M43" s="407">
        <v>2255</v>
      </c>
      <c r="N43" s="407">
        <v>-1301</v>
      </c>
      <c r="O43" s="407">
        <v>-5443</v>
      </c>
      <c r="P43" s="407">
        <v>1900</v>
      </c>
      <c r="Q43" s="407">
        <v>-4293</v>
      </c>
      <c r="R43" s="407">
        <v>12403</v>
      </c>
      <c r="S43" s="407">
        <v>-6082</v>
      </c>
      <c r="T43" s="407">
        <v>-27247</v>
      </c>
      <c r="U43" s="407">
        <v>-29763</v>
      </c>
      <c r="V43" s="407">
        <v>-24566</v>
      </c>
      <c r="W43" s="407">
        <v>-19407</v>
      </c>
      <c r="X43" s="407">
        <v>-16172</v>
      </c>
      <c r="Y43" s="407">
        <v>-24156</v>
      </c>
      <c r="Z43" s="407">
        <v>-57767</v>
      </c>
      <c r="AA43" s="407">
        <v>-109074</v>
      </c>
      <c r="AB43" s="407">
        <v>-121879</v>
      </c>
      <c r="AC43" s="407">
        <v>-138539</v>
      </c>
      <c r="AD43" s="407">
        <v>-151683</v>
      </c>
      <c r="AE43" s="407">
        <v>-114566</v>
      </c>
      <c r="AF43" s="407">
        <v>-93142</v>
      </c>
      <c r="AG43" s="407">
        <v>-80865</v>
      </c>
      <c r="AH43" s="407">
        <v>-31136</v>
      </c>
      <c r="AI43" s="407">
        <v>-39212</v>
      </c>
      <c r="AJ43" s="407">
        <v>-70311</v>
      </c>
      <c r="AK43" s="407">
        <v>-98493</v>
      </c>
      <c r="AL43" s="407">
        <v>-96384</v>
      </c>
      <c r="AM43" s="407">
        <v>-104065</v>
      </c>
      <c r="AN43" s="407">
        <v>-108273</v>
      </c>
      <c r="AO43" s="407">
        <v>-166140</v>
      </c>
      <c r="AP43" s="407">
        <v>-258617</v>
      </c>
      <c r="AQ43" s="407">
        <v>-372517</v>
      </c>
      <c r="AR43" s="407">
        <v>-361511</v>
      </c>
      <c r="AS43" s="407">
        <v>-418955</v>
      </c>
      <c r="AT43" s="407">
        <v>-493890</v>
      </c>
      <c r="AU43" s="407">
        <v>-609883</v>
      </c>
      <c r="AV43" s="407">
        <v>-714245</v>
      </c>
      <c r="AW43" s="407">
        <v>-761716</v>
      </c>
      <c r="AX43" s="407">
        <v>-705375</v>
      </c>
      <c r="AY43" s="407">
        <v>-708726</v>
      </c>
      <c r="AZ43" s="407">
        <v>-383774</v>
      </c>
      <c r="BA43" s="407">
        <v>-494658</v>
      </c>
      <c r="BB43" s="407">
        <v>-548625</v>
      </c>
      <c r="BC43" s="407">
        <v>-536773</v>
      </c>
      <c r="BD43" s="407">
        <v>-461876</v>
      </c>
      <c r="BE43" s="407">
        <v>-490336</v>
      </c>
      <c r="BF43" s="407">
        <v>-500445</v>
      </c>
      <c r="BG43" s="407">
        <v>-504793</v>
      </c>
    </row>
    <row r="44" spans="1:59">
      <c r="A44" s="407" t="s">
        <v>27</v>
      </c>
      <c r="B44" s="407" t="s">
        <v>1280</v>
      </c>
      <c r="C44" s="407">
        <v>4892</v>
      </c>
      <c r="D44" s="407">
        <v>5571</v>
      </c>
      <c r="E44" s="407">
        <v>4521</v>
      </c>
      <c r="F44" s="407">
        <v>5224</v>
      </c>
      <c r="G44" s="407">
        <v>6801</v>
      </c>
      <c r="H44" s="407">
        <v>4951</v>
      </c>
      <c r="I44" s="407">
        <v>3817</v>
      </c>
      <c r="J44" s="407">
        <v>3800</v>
      </c>
      <c r="K44" s="407">
        <v>635</v>
      </c>
      <c r="L44" s="407">
        <v>607</v>
      </c>
      <c r="M44" s="407">
        <v>2603</v>
      </c>
      <c r="N44" s="407">
        <v>-2260</v>
      </c>
      <c r="O44" s="407">
        <v>-6416</v>
      </c>
      <c r="P44" s="407">
        <v>911</v>
      </c>
      <c r="Q44" s="407">
        <v>-5505</v>
      </c>
      <c r="R44" s="407">
        <v>8903</v>
      </c>
      <c r="S44" s="407">
        <v>-9483</v>
      </c>
      <c r="T44" s="407">
        <v>-31091</v>
      </c>
      <c r="U44" s="407">
        <v>-33927</v>
      </c>
      <c r="V44" s="407">
        <v>-27568</v>
      </c>
      <c r="W44" s="407">
        <v>-25500</v>
      </c>
      <c r="X44" s="407">
        <v>-28023</v>
      </c>
      <c r="Y44" s="407">
        <v>-36485</v>
      </c>
      <c r="Z44" s="407">
        <v>-67102</v>
      </c>
      <c r="AA44" s="407">
        <v>-112492</v>
      </c>
      <c r="AB44" s="407">
        <v>-122173</v>
      </c>
      <c r="AC44" s="407">
        <v>-145081</v>
      </c>
      <c r="AD44" s="407">
        <v>-159557</v>
      </c>
      <c r="AE44" s="407">
        <v>-126959</v>
      </c>
      <c r="AF44" s="407">
        <v>-117749</v>
      </c>
      <c r="AG44" s="407">
        <v>-111037</v>
      </c>
      <c r="AH44" s="407">
        <v>-76937</v>
      </c>
      <c r="AI44" s="407">
        <v>-96897</v>
      </c>
      <c r="AJ44" s="407">
        <v>-132451</v>
      </c>
      <c r="AK44" s="407">
        <v>-165831</v>
      </c>
      <c r="AL44" s="407">
        <v>-174170</v>
      </c>
      <c r="AM44" s="407">
        <v>-191000</v>
      </c>
      <c r="AN44" s="407">
        <v>-198428</v>
      </c>
      <c r="AO44" s="407">
        <v>-248221</v>
      </c>
      <c r="AP44" s="407">
        <v>-337068</v>
      </c>
      <c r="AQ44" s="407">
        <v>-446783</v>
      </c>
      <c r="AR44" s="407">
        <v>-422370</v>
      </c>
      <c r="AS44" s="407">
        <v>-475245</v>
      </c>
      <c r="AT44" s="407">
        <v>-541643</v>
      </c>
      <c r="AU44" s="407">
        <v>-664766</v>
      </c>
      <c r="AV44" s="407">
        <v>-782804</v>
      </c>
      <c r="AW44" s="407">
        <v>-837289</v>
      </c>
      <c r="AX44" s="407">
        <v>-821196</v>
      </c>
      <c r="AY44" s="407">
        <v>-832492</v>
      </c>
      <c r="AZ44" s="407">
        <v>-509694</v>
      </c>
      <c r="BA44" s="407">
        <v>-648678</v>
      </c>
      <c r="BB44" s="407">
        <v>-740646</v>
      </c>
      <c r="BC44" s="407">
        <v>-741171</v>
      </c>
      <c r="BD44" s="407">
        <v>-702244</v>
      </c>
      <c r="BE44" s="407">
        <v>-751494</v>
      </c>
      <c r="BF44" s="407">
        <v>-761855</v>
      </c>
      <c r="BG44" s="407">
        <v>-752507</v>
      </c>
    </row>
    <row r="45" spans="1:59">
      <c r="A45" s="407" t="s">
        <v>26</v>
      </c>
      <c r="B45" s="407" t="s">
        <v>1279</v>
      </c>
      <c r="C45" s="407">
        <v>-1385</v>
      </c>
      <c r="D45" s="407">
        <v>-1377</v>
      </c>
      <c r="E45" s="407">
        <v>-1151</v>
      </c>
      <c r="F45" s="407">
        <v>-1014</v>
      </c>
      <c r="G45" s="407">
        <v>-780</v>
      </c>
      <c r="H45" s="407">
        <v>-287</v>
      </c>
      <c r="I45" s="407">
        <v>-878</v>
      </c>
      <c r="J45" s="407">
        <v>-1196</v>
      </c>
      <c r="K45" s="407">
        <v>-385</v>
      </c>
      <c r="L45" s="407">
        <v>-517</v>
      </c>
      <c r="M45" s="407">
        <v>-348</v>
      </c>
      <c r="N45" s="407">
        <v>959</v>
      </c>
      <c r="O45" s="407">
        <v>973</v>
      </c>
      <c r="P45" s="407">
        <v>989</v>
      </c>
      <c r="Q45" s="407">
        <v>1212</v>
      </c>
      <c r="R45" s="407">
        <v>3500</v>
      </c>
      <c r="S45" s="407">
        <v>3402</v>
      </c>
      <c r="T45" s="407">
        <v>3845</v>
      </c>
      <c r="U45" s="407">
        <v>4164</v>
      </c>
      <c r="V45" s="407">
        <v>3003</v>
      </c>
      <c r="W45" s="407">
        <v>6093</v>
      </c>
      <c r="X45" s="407">
        <v>11851</v>
      </c>
      <c r="Y45" s="407">
        <v>12330</v>
      </c>
      <c r="Z45" s="407">
        <v>9335</v>
      </c>
      <c r="AA45" s="407">
        <v>3418</v>
      </c>
      <c r="AB45" s="407">
        <v>294</v>
      </c>
      <c r="AC45" s="407">
        <v>6543</v>
      </c>
      <c r="AD45" s="407">
        <v>7874</v>
      </c>
      <c r="AE45" s="407">
        <v>12394</v>
      </c>
      <c r="AF45" s="407">
        <v>24607</v>
      </c>
      <c r="AG45" s="407">
        <v>30173</v>
      </c>
      <c r="AH45" s="407">
        <v>45802</v>
      </c>
      <c r="AI45" s="407">
        <v>57685</v>
      </c>
      <c r="AJ45" s="407">
        <v>62141</v>
      </c>
      <c r="AK45" s="407">
        <v>67338</v>
      </c>
      <c r="AL45" s="407">
        <v>77786</v>
      </c>
      <c r="AM45" s="407">
        <v>86935</v>
      </c>
      <c r="AN45" s="407">
        <v>90155</v>
      </c>
      <c r="AO45" s="407">
        <v>82081</v>
      </c>
      <c r="AP45" s="407">
        <v>78450</v>
      </c>
      <c r="AQ45" s="407">
        <v>74266</v>
      </c>
      <c r="AR45" s="407">
        <v>60858</v>
      </c>
      <c r="AS45" s="407">
        <v>56290</v>
      </c>
      <c r="AT45" s="407">
        <v>47754</v>
      </c>
      <c r="AU45" s="407">
        <v>54882</v>
      </c>
      <c r="AV45" s="407">
        <v>68558</v>
      </c>
      <c r="AW45" s="407">
        <v>75573</v>
      </c>
      <c r="AX45" s="407">
        <v>115821</v>
      </c>
      <c r="AY45" s="407">
        <v>123765</v>
      </c>
      <c r="AZ45" s="407">
        <v>125920</v>
      </c>
      <c r="BA45" s="407">
        <v>154020</v>
      </c>
      <c r="BB45" s="407">
        <v>192020</v>
      </c>
      <c r="BC45" s="407">
        <v>204398</v>
      </c>
      <c r="BD45" s="407">
        <v>240368</v>
      </c>
      <c r="BE45" s="407">
        <v>261157</v>
      </c>
      <c r="BF45" s="407">
        <v>261410</v>
      </c>
      <c r="BG45" s="407">
        <v>247714</v>
      </c>
    </row>
    <row r="46" spans="1:59">
      <c r="A46" s="407" t="s">
        <v>25</v>
      </c>
      <c r="B46" s="407" t="s">
        <v>1278</v>
      </c>
      <c r="C46" s="407">
        <v>3378</v>
      </c>
      <c r="D46" s="407">
        <v>3755</v>
      </c>
      <c r="E46" s="407">
        <v>4294</v>
      </c>
      <c r="F46" s="407">
        <v>4595</v>
      </c>
      <c r="G46" s="407">
        <v>5041</v>
      </c>
      <c r="H46" s="407">
        <v>5349</v>
      </c>
      <c r="I46" s="407">
        <v>5046</v>
      </c>
      <c r="J46" s="407">
        <v>5274</v>
      </c>
      <c r="K46" s="407">
        <v>5990</v>
      </c>
      <c r="L46" s="407">
        <v>6044</v>
      </c>
      <c r="M46" s="407">
        <v>6234</v>
      </c>
      <c r="N46" s="407">
        <v>7270</v>
      </c>
      <c r="O46" s="407">
        <v>8192</v>
      </c>
      <c r="P46" s="407">
        <v>12153</v>
      </c>
      <c r="Q46" s="407">
        <v>15503</v>
      </c>
      <c r="R46" s="407">
        <v>12786</v>
      </c>
      <c r="S46" s="407">
        <v>16062</v>
      </c>
      <c r="T46" s="407">
        <v>18137</v>
      </c>
      <c r="U46" s="407">
        <v>20407</v>
      </c>
      <c r="V46" s="407">
        <v>30874</v>
      </c>
      <c r="W46" s="407">
        <v>30072</v>
      </c>
      <c r="X46" s="407">
        <v>32903</v>
      </c>
      <c r="Y46" s="407">
        <v>35163</v>
      </c>
      <c r="Z46" s="407">
        <v>36388</v>
      </c>
      <c r="AA46" s="407">
        <v>35065</v>
      </c>
      <c r="AB46" s="407">
        <v>25722</v>
      </c>
      <c r="AC46" s="407">
        <v>15494</v>
      </c>
      <c r="AD46" s="407">
        <v>14294</v>
      </c>
      <c r="AE46" s="407">
        <v>18685</v>
      </c>
      <c r="AF46" s="407">
        <v>19824</v>
      </c>
      <c r="AG46" s="407">
        <v>28549</v>
      </c>
      <c r="AH46" s="407">
        <v>24129</v>
      </c>
      <c r="AI46" s="407">
        <v>24237</v>
      </c>
      <c r="AJ46" s="407">
        <v>25319</v>
      </c>
      <c r="AK46" s="407">
        <v>17145</v>
      </c>
      <c r="AL46" s="407">
        <v>20890</v>
      </c>
      <c r="AM46" s="407">
        <v>22318</v>
      </c>
      <c r="AN46" s="407">
        <v>12607</v>
      </c>
      <c r="AO46" s="407">
        <v>4266</v>
      </c>
      <c r="AP46" s="407">
        <v>11134</v>
      </c>
      <c r="AQ46" s="407">
        <v>18069</v>
      </c>
      <c r="AR46" s="407">
        <v>27530</v>
      </c>
      <c r="AS46" s="407">
        <v>22665</v>
      </c>
      <c r="AT46" s="407">
        <v>34716</v>
      </c>
      <c r="AU46" s="407">
        <v>53906</v>
      </c>
      <c r="AV46" s="407">
        <v>53898</v>
      </c>
      <c r="AW46" s="407">
        <v>26902</v>
      </c>
      <c r="AX46" s="407">
        <v>85005</v>
      </c>
      <c r="AY46" s="407">
        <v>129649</v>
      </c>
      <c r="AZ46" s="407">
        <v>115160</v>
      </c>
      <c r="BA46" s="407">
        <v>168221</v>
      </c>
      <c r="BB46" s="407">
        <v>211084</v>
      </c>
      <c r="BC46" s="407">
        <v>207475</v>
      </c>
      <c r="BD46" s="407">
        <v>205977</v>
      </c>
      <c r="BE46" s="407">
        <v>210774</v>
      </c>
      <c r="BF46" s="407">
        <v>180962</v>
      </c>
      <c r="BG46" s="407">
        <v>173225</v>
      </c>
    </row>
    <row r="47" spans="1:59">
      <c r="A47" s="407" t="s">
        <v>23</v>
      </c>
      <c r="B47" s="407" t="s">
        <v>1277</v>
      </c>
      <c r="C47" s="407">
        <v>-4061</v>
      </c>
      <c r="D47" s="407">
        <v>-4128</v>
      </c>
      <c r="E47" s="407">
        <v>-4277</v>
      </c>
      <c r="F47" s="407">
        <v>-4393</v>
      </c>
      <c r="G47" s="407">
        <v>-4240</v>
      </c>
      <c r="H47" s="407">
        <v>-4584</v>
      </c>
      <c r="I47" s="407">
        <v>-4956</v>
      </c>
      <c r="J47" s="407">
        <v>-5294</v>
      </c>
      <c r="K47" s="407">
        <v>-5629</v>
      </c>
      <c r="L47" s="407">
        <v>-5735</v>
      </c>
      <c r="M47" s="407">
        <v>-6156</v>
      </c>
      <c r="N47" s="407">
        <v>-7402</v>
      </c>
      <c r="O47" s="407">
        <v>-8544</v>
      </c>
      <c r="P47" s="407">
        <v>-6914</v>
      </c>
      <c r="Q47" s="407">
        <v>-9248</v>
      </c>
      <c r="R47" s="407">
        <v>-7076</v>
      </c>
      <c r="S47" s="407">
        <v>-5686</v>
      </c>
      <c r="T47" s="407">
        <v>-5227</v>
      </c>
      <c r="U47" s="407">
        <v>-5788</v>
      </c>
      <c r="V47" s="407">
        <v>-6593</v>
      </c>
      <c r="W47" s="407">
        <v>-8349</v>
      </c>
      <c r="X47" s="407">
        <v>-11702</v>
      </c>
      <c r="Y47" s="407">
        <v>-16545</v>
      </c>
      <c r="Z47" s="407">
        <v>-17311</v>
      </c>
      <c r="AA47" s="407">
        <v>-20334</v>
      </c>
      <c r="AB47" s="407">
        <v>-21999</v>
      </c>
      <c r="AC47" s="407">
        <v>-24131</v>
      </c>
      <c r="AD47" s="407">
        <v>-23265</v>
      </c>
      <c r="AE47" s="407">
        <v>-25274</v>
      </c>
      <c r="AF47" s="407">
        <v>-26169</v>
      </c>
      <c r="AG47" s="407">
        <v>-26654</v>
      </c>
      <c r="AH47" s="407">
        <v>9904</v>
      </c>
      <c r="AI47" s="407">
        <v>-36635</v>
      </c>
      <c r="AJ47" s="407">
        <v>-39811</v>
      </c>
      <c r="AK47" s="407">
        <v>-40265</v>
      </c>
      <c r="AL47" s="407">
        <v>-38074</v>
      </c>
      <c r="AM47" s="407">
        <v>-43017</v>
      </c>
      <c r="AN47" s="407">
        <v>-45062</v>
      </c>
      <c r="AO47" s="407">
        <v>-53187</v>
      </c>
      <c r="AP47" s="407">
        <v>-40881</v>
      </c>
      <c r="AQ47" s="407">
        <v>-49003</v>
      </c>
      <c r="AR47" s="407">
        <v>-55708</v>
      </c>
      <c r="AS47" s="407">
        <v>-54507</v>
      </c>
      <c r="AT47" s="407">
        <v>-59571</v>
      </c>
      <c r="AU47" s="407">
        <v>-75614</v>
      </c>
      <c r="AV47" s="407">
        <v>-84887</v>
      </c>
      <c r="AW47" s="407">
        <v>-71149</v>
      </c>
      <c r="AX47" s="407">
        <v>-90665</v>
      </c>
      <c r="AY47" s="407">
        <v>-102312</v>
      </c>
      <c r="AZ47" s="407">
        <v>-103907</v>
      </c>
      <c r="BA47" s="407">
        <v>-104261</v>
      </c>
      <c r="BB47" s="407">
        <v>-107047</v>
      </c>
      <c r="BC47" s="407">
        <v>-96900</v>
      </c>
      <c r="BD47" s="407">
        <v>-93643</v>
      </c>
      <c r="BE47" s="407">
        <v>-94238</v>
      </c>
      <c r="BF47" s="407">
        <v>-115116</v>
      </c>
      <c r="BG47" s="407">
        <v>-120117</v>
      </c>
    </row>
    <row r="48" spans="1:59">
      <c r="A48" s="407" t="s">
        <v>22</v>
      </c>
      <c r="B48" s="408" t="s">
        <v>1276</v>
      </c>
      <c r="C48" s="407" t="s">
        <v>579</v>
      </c>
      <c r="D48" s="407" t="s">
        <v>579</v>
      </c>
      <c r="E48" s="407" t="s">
        <v>579</v>
      </c>
      <c r="F48" s="407" t="s">
        <v>579</v>
      </c>
      <c r="G48" s="407" t="s">
        <v>579</v>
      </c>
      <c r="H48" s="407" t="s">
        <v>579</v>
      </c>
      <c r="I48" s="407" t="s">
        <v>579</v>
      </c>
      <c r="J48" s="407" t="s">
        <v>579</v>
      </c>
      <c r="K48" s="407" t="s">
        <v>579</v>
      </c>
      <c r="L48" s="407" t="s">
        <v>579</v>
      </c>
      <c r="M48" s="407" t="s">
        <v>579</v>
      </c>
      <c r="N48" s="407" t="s">
        <v>579</v>
      </c>
      <c r="O48" s="407" t="s">
        <v>579</v>
      </c>
      <c r="P48" s="407" t="s">
        <v>579</v>
      </c>
      <c r="Q48" s="407" t="s">
        <v>579</v>
      </c>
      <c r="R48" s="407" t="s">
        <v>579</v>
      </c>
      <c r="S48" s="407" t="s">
        <v>579</v>
      </c>
      <c r="T48" s="407" t="s">
        <v>579</v>
      </c>
      <c r="U48" s="407" t="s">
        <v>579</v>
      </c>
      <c r="V48" s="407" t="s">
        <v>579</v>
      </c>
      <c r="W48" s="407" t="s">
        <v>579</v>
      </c>
      <c r="X48" s="407" t="s">
        <v>579</v>
      </c>
      <c r="Y48" s="407" t="s">
        <v>579</v>
      </c>
      <c r="Z48" s="407" t="s">
        <v>579</v>
      </c>
      <c r="AA48" s="407" t="s">
        <v>579</v>
      </c>
      <c r="AB48" s="407" t="s">
        <v>579</v>
      </c>
      <c r="AC48" s="407" t="s">
        <v>579</v>
      </c>
      <c r="AD48" s="407" t="s">
        <v>579</v>
      </c>
      <c r="AE48" s="407" t="s">
        <v>579</v>
      </c>
      <c r="AF48" s="407">
        <v>-207</v>
      </c>
      <c r="AG48" s="407">
        <v>-7221</v>
      </c>
      <c r="AH48" s="407">
        <v>-5129</v>
      </c>
      <c r="AI48" s="407">
        <v>1449</v>
      </c>
      <c r="AJ48" s="407">
        <v>-714</v>
      </c>
      <c r="AK48" s="407">
        <v>-1112</v>
      </c>
      <c r="AL48" s="407">
        <v>-221</v>
      </c>
      <c r="AM48" s="407">
        <v>-8</v>
      </c>
      <c r="AN48" s="407">
        <v>-256</v>
      </c>
      <c r="AO48" s="407">
        <v>-7</v>
      </c>
      <c r="AP48" s="407">
        <v>-4176</v>
      </c>
      <c r="AQ48" s="407">
        <v>-1</v>
      </c>
      <c r="AR48" s="407">
        <v>13198</v>
      </c>
      <c r="AS48" s="407">
        <v>-141</v>
      </c>
      <c r="AT48" s="407">
        <v>-1821</v>
      </c>
      <c r="AU48" s="407">
        <v>3049</v>
      </c>
      <c r="AV48" s="407">
        <v>13116</v>
      </c>
      <c r="AW48" s="407">
        <v>-1788</v>
      </c>
      <c r="AX48" s="407">
        <v>384</v>
      </c>
      <c r="AY48" s="407">
        <v>6010</v>
      </c>
      <c r="AZ48" s="407">
        <v>-140</v>
      </c>
      <c r="BA48" s="407">
        <v>-157</v>
      </c>
      <c r="BB48" s="407">
        <v>-1186</v>
      </c>
      <c r="BC48" s="407">
        <v>6904</v>
      </c>
      <c r="BD48" s="407">
        <v>-412</v>
      </c>
      <c r="BE48" s="407">
        <v>-45</v>
      </c>
      <c r="BF48" s="407">
        <v>-42</v>
      </c>
      <c r="BG48" s="407">
        <v>-59</v>
      </c>
    </row>
    <row r="49" spans="1:59">
      <c r="A49" s="407" t="s">
        <v>21</v>
      </c>
      <c r="B49" s="408" t="s">
        <v>1275</v>
      </c>
      <c r="C49" s="407">
        <v>2825</v>
      </c>
      <c r="D49" s="407">
        <v>3821</v>
      </c>
      <c r="E49" s="407">
        <v>3387</v>
      </c>
      <c r="F49" s="407">
        <v>4414</v>
      </c>
      <c r="G49" s="407">
        <v>6823</v>
      </c>
      <c r="H49" s="407">
        <v>5430</v>
      </c>
      <c r="I49" s="407">
        <v>3031</v>
      </c>
      <c r="J49" s="407">
        <v>2584</v>
      </c>
      <c r="K49" s="407">
        <v>611</v>
      </c>
      <c r="L49" s="407">
        <v>399</v>
      </c>
      <c r="M49" s="407">
        <v>2331</v>
      </c>
      <c r="N49" s="407">
        <v>-1433</v>
      </c>
      <c r="O49" s="407">
        <v>-5796</v>
      </c>
      <c r="P49" s="407">
        <v>7140</v>
      </c>
      <c r="Q49" s="407">
        <v>1961</v>
      </c>
      <c r="R49" s="407">
        <v>18117</v>
      </c>
      <c r="S49" s="407">
        <v>4296</v>
      </c>
      <c r="T49" s="407">
        <v>-14336</v>
      </c>
      <c r="U49" s="407">
        <v>-15143</v>
      </c>
      <c r="V49" s="407">
        <v>-285</v>
      </c>
      <c r="W49" s="407">
        <v>2318</v>
      </c>
      <c r="X49" s="407">
        <v>5029</v>
      </c>
      <c r="Y49" s="407">
        <v>-5537</v>
      </c>
      <c r="Z49" s="407">
        <v>-38691</v>
      </c>
      <c r="AA49" s="407">
        <v>-94344</v>
      </c>
      <c r="AB49" s="407">
        <v>-118155</v>
      </c>
      <c r="AC49" s="407">
        <v>-147176</v>
      </c>
      <c r="AD49" s="407">
        <v>-160655</v>
      </c>
      <c r="AE49" s="407">
        <v>-121153</v>
      </c>
      <c r="AF49" s="407">
        <v>-99694</v>
      </c>
      <c r="AG49" s="407">
        <v>-86190</v>
      </c>
      <c r="AH49" s="407">
        <v>-2232</v>
      </c>
      <c r="AI49" s="407">
        <v>-50164</v>
      </c>
      <c r="AJ49" s="407">
        <v>-85519</v>
      </c>
      <c r="AK49" s="407">
        <v>-122724</v>
      </c>
      <c r="AL49" s="407">
        <v>-113788</v>
      </c>
      <c r="AM49" s="407">
        <v>-124772</v>
      </c>
      <c r="AN49" s="407">
        <v>-140982</v>
      </c>
      <c r="AO49" s="407">
        <v>-215069</v>
      </c>
      <c r="AP49" s="407">
        <v>-292541</v>
      </c>
      <c r="AQ49" s="407">
        <v>-403451</v>
      </c>
      <c r="AR49" s="407">
        <v>-376491</v>
      </c>
      <c r="AS49" s="407">
        <v>-450938</v>
      </c>
      <c r="AT49" s="407">
        <v>-520565</v>
      </c>
      <c r="AU49" s="407">
        <v>-628542</v>
      </c>
      <c r="AV49" s="407">
        <v>-732118</v>
      </c>
      <c r="AW49" s="407">
        <v>-807751</v>
      </c>
      <c r="AX49" s="407">
        <v>-710651</v>
      </c>
      <c r="AY49" s="407">
        <v>-675379</v>
      </c>
      <c r="AZ49" s="407">
        <v>-372661</v>
      </c>
      <c r="BA49" s="407">
        <v>-430855</v>
      </c>
      <c r="BB49" s="407">
        <v>-445774</v>
      </c>
      <c r="BC49" s="407">
        <v>-419293</v>
      </c>
      <c r="BD49" s="407">
        <v>-349955</v>
      </c>
      <c r="BE49" s="407">
        <v>-373845</v>
      </c>
      <c r="BF49" s="407">
        <v>-434641</v>
      </c>
      <c r="BG49" s="407">
        <v>-451744</v>
      </c>
    </row>
    <row r="50" spans="1:59">
      <c r="A50" s="407" t="s">
        <v>20</v>
      </c>
      <c r="B50" s="408" t="s">
        <v>1274</v>
      </c>
      <c r="C50" s="407">
        <v>1805</v>
      </c>
      <c r="D50" s="407">
        <v>2833</v>
      </c>
      <c r="E50" s="407">
        <v>2262</v>
      </c>
      <c r="F50" s="407">
        <v>4053</v>
      </c>
      <c r="G50" s="407">
        <v>5917</v>
      </c>
      <c r="H50" s="407">
        <v>4974</v>
      </c>
      <c r="I50" s="407">
        <v>3660</v>
      </c>
      <c r="J50" s="407">
        <v>2378</v>
      </c>
      <c r="K50" s="407">
        <v>1049</v>
      </c>
      <c r="L50" s="407">
        <v>-1118</v>
      </c>
      <c r="M50" s="407">
        <v>2110</v>
      </c>
      <c r="N50" s="407">
        <v>-11213</v>
      </c>
      <c r="O50" s="407">
        <v>-7674</v>
      </c>
      <c r="P50" s="407">
        <v>4486</v>
      </c>
      <c r="Q50" s="407">
        <v>-483</v>
      </c>
      <c r="R50" s="407">
        <v>22833</v>
      </c>
      <c r="S50" s="407">
        <v>13429</v>
      </c>
      <c r="T50" s="407">
        <v>-17985</v>
      </c>
      <c r="U50" s="407">
        <v>-5145</v>
      </c>
      <c r="V50" s="407">
        <v>25360</v>
      </c>
      <c r="W50" s="407">
        <v>24932</v>
      </c>
      <c r="X50" s="407">
        <v>28463</v>
      </c>
      <c r="Y50" s="407">
        <v>32825</v>
      </c>
      <c r="Z50" s="407">
        <v>-21025</v>
      </c>
      <c r="AA50" s="407">
        <v>-75673</v>
      </c>
      <c r="AB50" s="407">
        <v>-99480</v>
      </c>
      <c r="AC50" s="407">
        <v>-116602</v>
      </c>
      <c r="AD50" s="407">
        <v>-167805</v>
      </c>
      <c r="AE50" s="407">
        <v>-138261</v>
      </c>
      <c r="AF50" s="407">
        <v>-47394</v>
      </c>
      <c r="AG50" s="407">
        <v>-58124</v>
      </c>
      <c r="AH50" s="407">
        <v>-43833</v>
      </c>
      <c r="AI50" s="407">
        <v>-93943</v>
      </c>
      <c r="AJ50" s="407">
        <v>-79208</v>
      </c>
      <c r="AK50" s="407">
        <v>-124237</v>
      </c>
      <c r="AL50" s="407">
        <v>-82838</v>
      </c>
      <c r="AM50" s="407">
        <v>-134479</v>
      </c>
      <c r="AN50" s="407">
        <v>-218975</v>
      </c>
      <c r="AO50" s="407">
        <v>-66965</v>
      </c>
      <c r="AP50" s="407">
        <v>-238603</v>
      </c>
      <c r="AQ50" s="407">
        <v>-478392</v>
      </c>
      <c r="AR50" s="407">
        <v>-402037</v>
      </c>
      <c r="AS50" s="407">
        <v>-502673</v>
      </c>
      <c r="AT50" s="407">
        <v>-540586</v>
      </c>
      <c r="AU50" s="407">
        <v>-542226</v>
      </c>
      <c r="AV50" s="407">
        <v>-714073</v>
      </c>
      <c r="AW50" s="407">
        <v>-825583</v>
      </c>
      <c r="AX50" s="407">
        <v>-632850</v>
      </c>
      <c r="AY50" s="407">
        <v>-747069</v>
      </c>
      <c r="AZ50" s="407">
        <v>-239386</v>
      </c>
      <c r="BA50" s="407">
        <v>-446411</v>
      </c>
      <c r="BB50" s="407">
        <v>-525636</v>
      </c>
      <c r="BC50" s="407">
        <v>-448857</v>
      </c>
      <c r="BD50" s="407">
        <v>-403979</v>
      </c>
      <c r="BE50" s="407">
        <v>-326836</v>
      </c>
      <c r="BF50" s="407">
        <v>-333155</v>
      </c>
      <c r="BG50" s="407">
        <v>-377685</v>
      </c>
    </row>
    <row r="51" spans="1:59" ht="13">
      <c r="A51" s="1944" t="s">
        <v>7</v>
      </c>
      <c r="B51" s="1976"/>
      <c r="C51" s="1976"/>
      <c r="D51" s="1976"/>
      <c r="E51" s="1976"/>
      <c r="F51" s="1976"/>
      <c r="G51" s="1976"/>
      <c r="H51" s="1976"/>
      <c r="I51" s="1976"/>
      <c r="J51" s="1976"/>
      <c r="K51" s="1976"/>
      <c r="L51" s="1976"/>
      <c r="M51" s="1976"/>
      <c r="N51" s="1976"/>
      <c r="O51" s="1976"/>
      <c r="P51" s="1976"/>
      <c r="Q51" s="1976"/>
      <c r="R51" s="1976"/>
      <c r="S51" s="1976"/>
      <c r="T51" s="1976"/>
      <c r="U51" s="1976"/>
      <c r="V51" s="1976"/>
      <c r="W51" s="1976"/>
      <c r="X51" s="1976"/>
      <c r="Y51" s="1976"/>
      <c r="Z51" s="1976"/>
      <c r="AA51" s="1976"/>
      <c r="AB51" s="1976"/>
      <c r="AC51" s="1976"/>
      <c r="AD51" s="1976"/>
      <c r="AE51" s="1976"/>
      <c r="AF51" s="1976"/>
      <c r="AG51" s="1976"/>
      <c r="AH51" s="1976"/>
      <c r="AI51" s="1976"/>
      <c r="AJ51" s="1976"/>
      <c r="AK51" s="1976"/>
      <c r="AL51" s="1976"/>
      <c r="AM51" s="1976"/>
      <c r="AN51" s="1976"/>
      <c r="AO51" s="1976"/>
      <c r="AP51" s="1976"/>
      <c r="AQ51" s="1976"/>
      <c r="AR51" s="1976"/>
      <c r="AS51" s="1976"/>
      <c r="AT51" s="1976"/>
      <c r="AU51" s="1976"/>
      <c r="AV51" s="1976"/>
      <c r="AW51" s="1976"/>
      <c r="AX51" s="1976"/>
      <c r="AY51" s="1976"/>
      <c r="AZ51" s="1976"/>
      <c r="BA51" s="1976"/>
      <c r="BB51" s="1976"/>
      <c r="BC51" s="1976"/>
      <c r="BD51" s="1976"/>
      <c r="BE51" s="1976"/>
      <c r="BF51" s="1976"/>
      <c r="BG51" s="1976"/>
    </row>
    <row r="52" spans="1:59">
      <c r="A52" s="1943" t="s">
        <v>983</v>
      </c>
      <c r="B52" s="1976"/>
      <c r="C52" s="1976"/>
      <c r="D52" s="1976"/>
      <c r="E52" s="1976"/>
      <c r="F52" s="1976"/>
      <c r="G52" s="1976"/>
      <c r="H52" s="1976"/>
      <c r="I52" s="1976"/>
      <c r="J52" s="1976"/>
      <c r="K52" s="1976"/>
      <c r="L52" s="1976"/>
      <c r="M52" s="1976"/>
      <c r="N52" s="1976"/>
      <c r="O52" s="1976"/>
      <c r="P52" s="1976"/>
      <c r="Q52" s="1976"/>
      <c r="R52" s="1976"/>
      <c r="S52" s="1976"/>
      <c r="T52" s="1976"/>
      <c r="U52" s="1976"/>
      <c r="V52" s="1976"/>
      <c r="W52" s="1976"/>
      <c r="X52" s="1976"/>
      <c r="Y52" s="1976"/>
      <c r="Z52" s="1976"/>
      <c r="AA52" s="1976"/>
      <c r="AB52" s="1976"/>
      <c r="AC52" s="1976"/>
      <c r="AD52" s="1976"/>
      <c r="AE52" s="1976"/>
      <c r="AF52" s="1976"/>
      <c r="AG52" s="1976"/>
      <c r="AH52" s="1976"/>
      <c r="AI52" s="1976"/>
      <c r="AJ52" s="1976"/>
      <c r="AK52" s="1976"/>
      <c r="AL52" s="1976"/>
      <c r="AM52" s="1976"/>
      <c r="AN52" s="1976"/>
      <c r="AO52" s="1976"/>
      <c r="AP52" s="1976"/>
      <c r="AQ52" s="1976"/>
      <c r="AR52" s="1976"/>
      <c r="AS52" s="1976"/>
      <c r="AT52" s="1976"/>
      <c r="AU52" s="1976"/>
      <c r="AV52" s="1976"/>
      <c r="AW52" s="1976"/>
      <c r="AX52" s="1976"/>
      <c r="AY52" s="1976"/>
      <c r="AZ52" s="1976"/>
      <c r="BA52" s="1976"/>
      <c r="BB52" s="1976"/>
      <c r="BC52" s="1976"/>
      <c r="BD52" s="1976"/>
      <c r="BE52" s="1976"/>
      <c r="BF52" s="1976"/>
      <c r="BG52" s="1976"/>
    </row>
    <row r="53" spans="1:59">
      <c r="A53" s="1943" t="s">
        <v>982</v>
      </c>
      <c r="B53" s="1976"/>
      <c r="C53" s="1976"/>
      <c r="D53" s="1976"/>
      <c r="E53" s="1976"/>
      <c r="F53" s="1976"/>
      <c r="G53" s="1976"/>
      <c r="H53" s="1976"/>
      <c r="I53" s="1976"/>
      <c r="J53" s="1976"/>
      <c r="K53" s="1976"/>
      <c r="L53" s="1976"/>
      <c r="M53" s="1976"/>
      <c r="N53" s="1976"/>
      <c r="O53" s="1976"/>
      <c r="P53" s="1976"/>
      <c r="Q53" s="1976"/>
      <c r="R53" s="1976"/>
      <c r="S53" s="1976"/>
      <c r="T53" s="1976"/>
      <c r="U53" s="1976"/>
      <c r="V53" s="1976"/>
      <c r="W53" s="1976"/>
      <c r="X53" s="1976"/>
      <c r="Y53" s="1976"/>
      <c r="Z53" s="1976"/>
      <c r="AA53" s="1976"/>
      <c r="AB53" s="1976"/>
      <c r="AC53" s="1976"/>
      <c r="AD53" s="1976"/>
      <c r="AE53" s="1976"/>
      <c r="AF53" s="1976"/>
      <c r="AG53" s="1976"/>
      <c r="AH53" s="1976"/>
      <c r="AI53" s="1976"/>
      <c r="AJ53" s="1976"/>
      <c r="AK53" s="1976"/>
      <c r="AL53" s="1976"/>
      <c r="AM53" s="1976"/>
      <c r="AN53" s="1976"/>
      <c r="AO53" s="1976"/>
      <c r="AP53" s="1976"/>
      <c r="AQ53" s="1976"/>
      <c r="AR53" s="1976"/>
      <c r="AS53" s="1976"/>
      <c r="AT53" s="1976"/>
      <c r="AU53" s="1976"/>
      <c r="AV53" s="1976"/>
      <c r="AW53" s="1976"/>
      <c r="AX53" s="1976"/>
      <c r="AY53" s="1976"/>
      <c r="AZ53" s="1976"/>
      <c r="BA53" s="1976"/>
      <c r="BB53" s="1976"/>
      <c r="BC53" s="1976"/>
      <c r="BD53" s="1976"/>
      <c r="BE53" s="1976"/>
      <c r="BF53" s="1976"/>
      <c r="BG53" s="1976"/>
    </row>
    <row r="54" spans="1:59">
      <c r="A54" s="1943" t="s">
        <v>200</v>
      </c>
      <c r="B54" s="1976"/>
      <c r="C54" s="1976"/>
      <c r="D54" s="1976"/>
      <c r="E54" s="1976"/>
      <c r="F54" s="1976"/>
      <c r="G54" s="1976"/>
      <c r="H54" s="1976"/>
      <c r="I54" s="1976"/>
      <c r="J54" s="1976"/>
      <c r="K54" s="1976"/>
      <c r="L54" s="1976"/>
      <c r="M54" s="1976"/>
      <c r="N54" s="1976"/>
      <c r="O54" s="1976"/>
      <c r="P54" s="1976"/>
      <c r="Q54" s="1976"/>
      <c r="R54" s="1976"/>
      <c r="S54" s="1976"/>
      <c r="T54" s="1976"/>
      <c r="U54" s="1976"/>
      <c r="V54" s="1976"/>
      <c r="W54" s="1976"/>
      <c r="X54" s="1976"/>
      <c r="Y54" s="1976"/>
      <c r="Z54" s="1976"/>
      <c r="AA54" s="1976"/>
      <c r="AB54" s="1976"/>
      <c r="AC54" s="1976"/>
      <c r="AD54" s="1976"/>
      <c r="AE54" s="1976"/>
      <c r="AF54" s="1976"/>
      <c r="AG54" s="1976"/>
      <c r="AH54" s="1976"/>
      <c r="AI54" s="1976"/>
      <c r="AJ54" s="1976"/>
      <c r="AK54" s="1976"/>
      <c r="AL54" s="1976"/>
      <c r="AM54" s="1976"/>
      <c r="AN54" s="1976"/>
      <c r="AO54" s="1976"/>
      <c r="AP54" s="1976"/>
      <c r="AQ54" s="1976"/>
      <c r="AR54" s="1976"/>
      <c r="AS54" s="1976"/>
      <c r="AT54" s="1976"/>
      <c r="AU54" s="1976"/>
      <c r="AV54" s="1976"/>
      <c r="AW54" s="1976"/>
      <c r="AX54" s="1976"/>
      <c r="AY54" s="1976"/>
      <c r="AZ54" s="1976"/>
      <c r="BA54" s="1976"/>
      <c r="BB54" s="1976"/>
      <c r="BC54" s="1976"/>
      <c r="BD54" s="1976"/>
      <c r="BE54" s="1976"/>
      <c r="BF54" s="1976"/>
      <c r="BG54" s="1976"/>
    </row>
    <row r="55" spans="1:59">
      <c r="A55" s="1943" t="s">
        <v>199</v>
      </c>
      <c r="B55" s="1976"/>
      <c r="C55" s="1976"/>
      <c r="D55" s="1976"/>
      <c r="E55" s="1976"/>
      <c r="F55" s="1976"/>
      <c r="G55" s="1976"/>
      <c r="H55" s="1976"/>
      <c r="I55" s="1976"/>
      <c r="J55" s="1976"/>
      <c r="K55" s="1976"/>
      <c r="L55" s="1976"/>
      <c r="M55" s="1976"/>
      <c r="N55" s="1976"/>
      <c r="O55" s="1976"/>
      <c r="P55" s="1976"/>
      <c r="Q55" s="1976"/>
      <c r="R55" s="1976"/>
      <c r="S55" s="1976"/>
      <c r="T55" s="1976"/>
      <c r="U55" s="1976"/>
      <c r="V55" s="1976"/>
      <c r="W55" s="1976"/>
      <c r="X55" s="1976"/>
      <c r="Y55" s="1976"/>
      <c r="Z55" s="1976"/>
      <c r="AA55" s="1976"/>
      <c r="AB55" s="1976"/>
      <c r="AC55" s="1976"/>
      <c r="AD55" s="1976"/>
      <c r="AE55" s="1976"/>
      <c r="AF55" s="1976"/>
      <c r="AG55" s="1976"/>
      <c r="AH55" s="1976"/>
      <c r="AI55" s="1976"/>
      <c r="AJ55" s="1976"/>
      <c r="AK55" s="1976"/>
      <c r="AL55" s="1976"/>
      <c r="AM55" s="1976"/>
      <c r="AN55" s="1976"/>
      <c r="AO55" s="1976"/>
      <c r="AP55" s="1976"/>
      <c r="AQ55" s="1976"/>
      <c r="AR55" s="1976"/>
      <c r="AS55" s="1976"/>
      <c r="AT55" s="1976"/>
      <c r="AU55" s="1976"/>
      <c r="AV55" s="1976"/>
      <c r="AW55" s="1976"/>
      <c r="AX55" s="1976"/>
      <c r="AY55" s="1976"/>
      <c r="AZ55" s="1976"/>
      <c r="BA55" s="1976"/>
      <c r="BB55" s="1976"/>
      <c r="BC55" s="1976"/>
      <c r="BD55" s="1976"/>
      <c r="BE55" s="1976"/>
      <c r="BF55" s="1976"/>
      <c r="BG55" s="1976"/>
    </row>
    <row r="56" spans="1:59">
      <c r="A56" s="1943" t="s">
        <v>981</v>
      </c>
      <c r="B56" s="1976"/>
      <c r="C56" s="1976"/>
      <c r="D56" s="1976"/>
      <c r="E56" s="1976"/>
      <c r="F56" s="1976"/>
      <c r="G56" s="1976"/>
      <c r="H56" s="1976"/>
      <c r="I56" s="1976"/>
      <c r="J56" s="1976"/>
      <c r="K56" s="1976"/>
      <c r="L56" s="1976"/>
      <c r="M56" s="1976"/>
      <c r="N56" s="1976"/>
      <c r="O56" s="1976"/>
      <c r="P56" s="1976"/>
      <c r="Q56" s="1976"/>
      <c r="R56" s="1976"/>
      <c r="S56" s="1976"/>
      <c r="T56" s="1976"/>
      <c r="U56" s="1976"/>
      <c r="V56" s="1976"/>
      <c r="W56" s="1976"/>
      <c r="X56" s="1976"/>
      <c r="Y56" s="1976"/>
      <c r="Z56" s="1976"/>
      <c r="AA56" s="1976"/>
      <c r="AB56" s="1976"/>
      <c r="AC56" s="1976"/>
      <c r="AD56" s="1976"/>
      <c r="AE56" s="1976"/>
      <c r="AF56" s="1976"/>
      <c r="AG56" s="1976"/>
      <c r="AH56" s="1976"/>
      <c r="AI56" s="1976"/>
      <c r="AJ56" s="1976"/>
      <c r="AK56" s="1976"/>
      <c r="AL56" s="1976"/>
      <c r="AM56" s="1976"/>
      <c r="AN56" s="1976"/>
      <c r="AO56" s="1976"/>
      <c r="AP56" s="1976"/>
      <c r="AQ56" s="1976"/>
      <c r="AR56" s="1976"/>
      <c r="AS56" s="1976"/>
      <c r="AT56" s="1976"/>
      <c r="AU56" s="1976"/>
      <c r="AV56" s="1976"/>
      <c r="AW56" s="1976"/>
      <c r="AX56" s="1976"/>
      <c r="AY56" s="1976"/>
      <c r="AZ56" s="1976"/>
      <c r="BA56" s="1976"/>
      <c r="BB56" s="1976"/>
      <c r="BC56" s="1976"/>
      <c r="BD56" s="1976"/>
      <c r="BE56" s="1976"/>
      <c r="BF56" s="1976"/>
      <c r="BG56" s="1976"/>
    </row>
    <row r="57" spans="1:59">
      <c r="A57" s="1943" t="s">
        <v>980</v>
      </c>
      <c r="B57" s="1976"/>
      <c r="C57" s="1976"/>
      <c r="D57" s="1976"/>
      <c r="E57" s="1976"/>
      <c r="F57" s="1976"/>
      <c r="G57" s="1976"/>
      <c r="H57" s="1976"/>
      <c r="I57" s="1976"/>
      <c r="J57" s="1976"/>
      <c r="K57" s="1976"/>
      <c r="L57" s="1976"/>
      <c r="M57" s="1976"/>
      <c r="N57" s="1976"/>
      <c r="O57" s="1976"/>
      <c r="P57" s="1976"/>
      <c r="Q57" s="1976"/>
      <c r="R57" s="1976"/>
      <c r="S57" s="1976"/>
      <c r="T57" s="1976"/>
      <c r="U57" s="1976"/>
      <c r="V57" s="1976"/>
      <c r="W57" s="1976"/>
      <c r="X57" s="1976"/>
      <c r="Y57" s="1976"/>
      <c r="Z57" s="1976"/>
      <c r="AA57" s="1976"/>
      <c r="AB57" s="1976"/>
      <c r="AC57" s="1976"/>
      <c r="AD57" s="1976"/>
      <c r="AE57" s="1976"/>
      <c r="AF57" s="1976"/>
      <c r="AG57" s="1976"/>
      <c r="AH57" s="1976"/>
      <c r="AI57" s="1976"/>
      <c r="AJ57" s="1976"/>
      <c r="AK57" s="1976"/>
      <c r="AL57" s="1976"/>
      <c r="AM57" s="1976"/>
      <c r="AN57" s="1976"/>
      <c r="AO57" s="1976"/>
      <c r="AP57" s="1976"/>
      <c r="AQ57" s="1976"/>
      <c r="AR57" s="1976"/>
      <c r="AS57" s="1976"/>
      <c r="AT57" s="1976"/>
      <c r="AU57" s="1976"/>
      <c r="AV57" s="1976"/>
      <c r="AW57" s="1976"/>
      <c r="AX57" s="1976"/>
      <c r="AY57" s="1976"/>
      <c r="AZ57" s="1976"/>
      <c r="BA57" s="1976"/>
      <c r="BB57" s="1976"/>
      <c r="BC57" s="1976"/>
      <c r="BD57" s="1976"/>
      <c r="BE57" s="1976"/>
      <c r="BF57" s="1976"/>
      <c r="BG57" s="1976"/>
    </row>
    <row r="58" spans="1:59">
      <c r="A58" s="1943" t="s">
        <v>1273</v>
      </c>
      <c r="B58" s="1976"/>
      <c r="C58" s="1976"/>
      <c r="D58" s="1976"/>
      <c r="E58" s="1976"/>
      <c r="F58" s="1976"/>
      <c r="G58" s="1976"/>
      <c r="H58" s="1976"/>
      <c r="I58" s="1976"/>
      <c r="J58" s="1976"/>
      <c r="K58" s="1976"/>
      <c r="L58" s="1976"/>
      <c r="M58" s="1976"/>
      <c r="N58" s="1976"/>
      <c r="O58" s="1976"/>
      <c r="P58" s="1976"/>
      <c r="Q58" s="1976"/>
      <c r="R58" s="1976"/>
      <c r="S58" s="1976"/>
      <c r="T58" s="1976"/>
      <c r="U58" s="1976"/>
      <c r="V58" s="1976"/>
      <c r="W58" s="1976"/>
      <c r="X58" s="1976"/>
      <c r="Y58" s="1976"/>
      <c r="Z58" s="1976"/>
      <c r="AA58" s="1976"/>
      <c r="AB58" s="1976"/>
      <c r="AC58" s="1976"/>
      <c r="AD58" s="1976"/>
      <c r="AE58" s="1976"/>
      <c r="AF58" s="1976"/>
      <c r="AG58" s="1976"/>
      <c r="AH58" s="1976"/>
      <c r="AI58" s="1976"/>
      <c r="AJ58" s="1976"/>
      <c r="AK58" s="1976"/>
      <c r="AL58" s="1976"/>
      <c r="AM58" s="1976"/>
      <c r="AN58" s="1976"/>
      <c r="AO58" s="1976"/>
      <c r="AP58" s="1976"/>
      <c r="AQ58" s="1976"/>
      <c r="AR58" s="1976"/>
      <c r="AS58" s="1976"/>
      <c r="AT58" s="1976"/>
      <c r="AU58" s="1976"/>
      <c r="AV58" s="1976"/>
      <c r="AW58" s="1976"/>
      <c r="AX58" s="1976"/>
      <c r="AY58" s="1976"/>
      <c r="AZ58" s="1976"/>
      <c r="BA58" s="1976"/>
      <c r="BB58" s="1976"/>
      <c r="BC58" s="1976"/>
      <c r="BD58" s="1976"/>
      <c r="BE58" s="1976"/>
      <c r="BF58" s="1976"/>
      <c r="BG58" s="1976"/>
    </row>
    <row r="59" spans="1:59">
      <c r="A59" s="1943" t="s">
        <v>1272</v>
      </c>
      <c r="B59" s="1976"/>
      <c r="C59" s="1976"/>
      <c r="D59" s="1976"/>
      <c r="E59" s="1976"/>
      <c r="F59" s="1976"/>
      <c r="G59" s="1976"/>
      <c r="H59" s="1976"/>
      <c r="I59" s="1976"/>
      <c r="J59" s="1976"/>
      <c r="K59" s="1976"/>
      <c r="L59" s="1976"/>
      <c r="M59" s="1976"/>
      <c r="N59" s="1976"/>
      <c r="O59" s="1976"/>
      <c r="P59" s="1976"/>
      <c r="Q59" s="1976"/>
      <c r="R59" s="1976"/>
      <c r="S59" s="1976"/>
      <c r="T59" s="1976"/>
      <c r="U59" s="1976"/>
      <c r="V59" s="1976"/>
      <c r="W59" s="1976"/>
      <c r="X59" s="1976"/>
      <c r="Y59" s="1976"/>
      <c r="Z59" s="1976"/>
      <c r="AA59" s="1976"/>
      <c r="AB59" s="1976"/>
      <c r="AC59" s="1976"/>
      <c r="AD59" s="1976"/>
      <c r="AE59" s="1976"/>
      <c r="AF59" s="1976"/>
      <c r="AG59" s="1976"/>
      <c r="AH59" s="1976"/>
      <c r="AI59" s="1976"/>
      <c r="AJ59" s="1976"/>
      <c r="AK59" s="1976"/>
      <c r="AL59" s="1976"/>
      <c r="AM59" s="1976"/>
      <c r="AN59" s="1976"/>
      <c r="AO59" s="1976"/>
      <c r="AP59" s="1976"/>
      <c r="AQ59" s="1976"/>
      <c r="AR59" s="1976"/>
      <c r="AS59" s="1976"/>
      <c r="AT59" s="1976"/>
      <c r="AU59" s="1976"/>
      <c r="AV59" s="1976"/>
      <c r="AW59" s="1976"/>
      <c r="AX59" s="1976"/>
      <c r="AY59" s="1976"/>
      <c r="AZ59" s="1976"/>
      <c r="BA59" s="1976"/>
      <c r="BB59" s="1976"/>
      <c r="BC59" s="1976"/>
      <c r="BD59" s="1976"/>
      <c r="BE59" s="1976"/>
      <c r="BF59" s="1976"/>
      <c r="BG59" s="1976"/>
    </row>
    <row r="60" spans="1:59">
      <c r="A60" s="1943" t="s">
        <v>1271</v>
      </c>
      <c r="B60" s="1976"/>
      <c r="C60" s="1976"/>
      <c r="D60" s="1976"/>
      <c r="E60" s="1976"/>
      <c r="F60" s="1976"/>
      <c r="G60" s="1976"/>
      <c r="H60" s="1976"/>
      <c r="I60" s="1976"/>
      <c r="J60" s="1976"/>
      <c r="K60" s="1976"/>
      <c r="L60" s="1976"/>
      <c r="M60" s="1976"/>
      <c r="N60" s="1976"/>
      <c r="O60" s="1976"/>
      <c r="P60" s="1976"/>
      <c r="Q60" s="1976"/>
      <c r="R60" s="1976"/>
      <c r="S60" s="1976"/>
      <c r="T60" s="1976"/>
      <c r="U60" s="1976"/>
      <c r="V60" s="1976"/>
      <c r="W60" s="1976"/>
      <c r="X60" s="1976"/>
      <c r="Y60" s="1976"/>
      <c r="Z60" s="1976"/>
      <c r="AA60" s="1976"/>
      <c r="AB60" s="1976"/>
      <c r="AC60" s="1976"/>
      <c r="AD60" s="1976"/>
      <c r="AE60" s="1976"/>
      <c r="AF60" s="1976"/>
      <c r="AG60" s="1976"/>
      <c r="AH60" s="1976"/>
      <c r="AI60" s="1976"/>
      <c r="AJ60" s="1976"/>
      <c r="AK60" s="1976"/>
      <c r="AL60" s="1976"/>
      <c r="AM60" s="1976"/>
      <c r="AN60" s="1976"/>
      <c r="AO60" s="1976"/>
      <c r="AP60" s="1976"/>
      <c r="AQ60" s="1976"/>
      <c r="AR60" s="1976"/>
      <c r="AS60" s="1976"/>
      <c r="AT60" s="1976"/>
      <c r="AU60" s="1976"/>
      <c r="AV60" s="1976"/>
      <c r="AW60" s="1976"/>
      <c r="AX60" s="1976"/>
      <c r="AY60" s="1976"/>
      <c r="AZ60" s="1976"/>
      <c r="BA60" s="1976"/>
      <c r="BB60" s="1976"/>
      <c r="BC60" s="1976"/>
      <c r="BD60" s="1976"/>
      <c r="BE60" s="1976"/>
      <c r="BF60" s="1976"/>
      <c r="BG60" s="1976"/>
    </row>
    <row r="61" spans="1:59">
      <c r="A61" s="1943" t="s">
        <v>1270</v>
      </c>
      <c r="B61" s="1976"/>
      <c r="C61" s="1976"/>
      <c r="D61" s="1976"/>
      <c r="E61" s="1976"/>
      <c r="F61" s="1976"/>
      <c r="G61" s="1976"/>
      <c r="H61" s="1976"/>
      <c r="I61" s="1976"/>
      <c r="J61" s="1976"/>
      <c r="K61" s="1976"/>
      <c r="L61" s="1976"/>
      <c r="M61" s="1976"/>
      <c r="N61" s="1976"/>
      <c r="O61" s="1976"/>
      <c r="P61" s="1976"/>
      <c r="Q61" s="1976"/>
      <c r="R61" s="1976"/>
      <c r="S61" s="1976"/>
      <c r="T61" s="1976"/>
      <c r="U61" s="1976"/>
      <c r="V61" s="1976"/>
      <c r="W61" s="1976"/>
      <c r="X61" s="1976"/>
      <c r="Y61" s="1976"/>
      <c r="Z61" s="1976"/>
      <c r="AA61" s="1976"/>
      <c r="AB61" s="1976"/>
      <c r="AC61" s="1976"/>
      <c r="AD61" s="1976"/>
      <c r="AE61" s="1976"/>
      <c r="AF61" s="1976"/>
      <c r="AG61" s="1976"/>
      <c r="AH61" s="1976"/>
      <c r="AI61" s="1976"/>
      <c r="AJ61" s="1976"/>
      <c r="AK61" s="1976"/>
      <c r="AL61" s="1976"/>
      <c r="AM61" s="1976"/>
      <c r="AN61" s="1976"/>
      <c r="AO61" s="1976"/>
      <c r="AP61" s="1976"/>
      <c r="AQ61" s="1976"/>
      <c r="AR61" s="1976"/>
      <c r="AS61" s="1976"/>
      <c r="AT61" s="1976"/>
      <c r="AU61" s="1976"/>
      <c r="AV61" s="1976"/>
      <c r="AW61" s="1976"/>
      <c r="AX61" s="1976"/>
      <c r="AY61" s="1976"/>
      <c r="AZ61" s="1976"/>
      <c r="BA61" s="1976"/>
      <c r="BB61" s="1976"/>
      <c r="BC61" s="1976"/>
      <c r="BD61" s="1976"/>
      <c r="BE61" s="1976"/>
      <c r="BF61" s="1976"/>
      <c r="BG61" s="1976"/>
    </row>
    <row r="62" spans="1:59">
      <c r="A62" s="1943" t="s">
        <v>1269</v>
      </c>
      <c r="B62" s="1976"/>
      <c r="C62" s="1976"/>
      <c r="D62" s="1976"/>
      <c r="E62" s="1976"/>
      <c r="F62" s="1976"/>
      <c r="G62" s="1976"/>
      <c r="H62" s="1976"/>
      <c r="I62" s="1976"/>
      <c r="J62" s="1976"/>
      <c r="K62" s="1976"/>
      <c r="L62" s="1976"/>
      <c r="M62" s="1976"/>
      <c r="N62" s="1976"/>
      <c r="O62" s="1976"/>
      <c r="P62" s="1976"/>
      <c r="Q62" s="1976"/>
      <c r="R62" s="1976"/>
      <c r="S62" s="1976"/>
      <c r="T62" s="1976"/>
      <c r="U62" s="1976"/>
      <c r="V62" s="1976"/>
      <c r="W62" s="1976"/>
      <c r="X62" s="1976"/>
      <c r="Y62" s="1976"/>
      <c r="Z62" s="1976"/>
      <c r="AA62" s="1976"/>
      <c r="AB62" s="1976"/>
      <c r="AC62" s="1976"/>
      <c r="AD62" s="1976"/>
      <c r="AE62" s="1976"/>
      <c r="AF62" s="1976"/>
      <c r="AG62" s="1976"/>
      <c r="AH62" s="1976"/>
      <c r="AI62" s="1976"/>
      <c r="AJ62" s="1976"/>
      <c r="AK62" s="1976"/>
      <c r="AL62" s="1976"/>
      <c r="AM62" s="1976"/>
      <c r="AN62" s="1976"/>
      <c r="AO62" s="1976"/>
      <c r="AP62" s="1976"/>
      <c r="AQ62" s="1976"/>
      <c r="AR62" s="1976"/>
      <c r="AS62" s="1976"/>
      <c r="AT62" s="1976"/>
      <c r="AU62" s="1976"/>
      <c r="AV62" s="1976"/>
      <c r="AW62" s="1976"/>
      <c r="AX62" s="1976"/>
      <c r="AY62" s="1976"/>
      <c r="AZ62" s="1976"/>
      <c r="BA62" s="1976"/>
      <c r="BB62" s="1976"/>
      <c r="BC62" s="1976"/>
      <c r="BD62" s="1976"/>
      <c r="BE62" s="1976"/>
      <c r="BF62" s="1976"/>
      <c r="BG62" s="1976"/>
    </row>
  </sheetData>
  <mergeCells count="75">
    <mergeCell ref="A1:BG1"/>
    <mergeCell ref="A2:BG2"/>
    <mergeCell ref="A3:BG3"/>
    <mergeCell ref="A4:BG4"/>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V6"/>
    <mergeCell ref="W6"/>
    <mergeCell ref="X6"/>
    <mergeCell ref="Y6"/>
    <mergeCell ref="Z6"/>
    <mergeCell ref="AA6"/>
    <mergeCell ref="AB6"/>
    <mergeCell ref="AC6"/>
    <mergeCell ref="AD6"/>
    <mergeCell ref="AE6"/>
    <mergeCell ref="AF6"/>
    <mergeCell ref="AG6"/>
    <mergeCell ref="AH6"/>
    <mergeCell ref="AI6"/>
    <mergeCell ref="AJ6"/>
    <mergeCell ref="AK6"/>
    <mergeCell ref="AL6"/>
    <mergeCell ref="AM6"/>
    <mergeCell ref="AN6"/>
    <mergeCell ref="AO6"/>
    <mergeCell ref="AP6"/>
    <mergeCell ref="BA6"/>
    <mergeCell ref="BB6"/>
    <mergeCell ref="AQ6"/>
    <mergeCell ref="AR6"/>
    <mergeCell ref="AS6"/>
    <mergeCell ref="AT6"/>
    <mergeCell ref="AU6"/>
    <mergeCell ref="AV6"/>
    <mergeCell ref="A57:BG57"/>
    <mergeCell ref="BC6"/>
    <mergeCell ref="BD6"/>
    <mergeCell ref="BE6"/>
    <mergeCell ref="BF6"/>
    <mergeCell ref="BG6"/>
    <mergeCell ref="A51:BG51"/>
    <mergeCell ref="AW6"/>
    <mergeCell ref="AX6"/>
    <mergeCell ref="AY6"/>
    <mergeCell ref="A52:BG52"/>
    <mergeCell ref="A53:BG53"/>
    <mergeCell ref="A54:BG54"/>
    <mergeCell ref="A55:BG55"/>
    <mergeCell ref="A56:BG56"/>
    <mergeCell ref="AZ6"/>
    <mergeCell ref="A58:BG58"/>
    <mergeCell ref="A59:BG59"/>
    <mergeCell ref="A60:BG60"/>
    <mergeCell ref="A61:BG61"/>
    <mergeCell ref="A62:BG62"/>
  </mergeCell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117"/>
  <sheetViews>
    <sheetView workbookViewId="0">
      <pane xSplit="2" ySplit="6" topLeftCell="AS13"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7.5703125" style="14"/>
    <col min="2" max="2" width="72" style="14" bestFit="1" customWidth="1"/>
    <col min="3" max="16384" width="7.5703125" style="14"/>
  </cols>
  <sheetData>
    <row r="1" spans="1:56" ht="17">
      <c r="A1" s="1978" t="s">
        <v>692</v>
      </c>
      <c r="B1" s="1976"/>
      <c r="C1" s="1976"/>
      <c r="D1" s="1976"/>
      <c r="E1" s="1976"/>
      <c r="F1" s="1976"/>
      <c r="G1" s="1976"/>
      <c r="H1" s="1976"/>
      <c r="I1" s="1976"/>
      <c r="J1" s="1976"/>
      <c r="K1" s="1976"/>
      <c r="L1" s="1976"/>
      <c r="M1" s="1976"/>
      <c r="N1" s="1976"/>
      <c r="O1" s="1976"/>
      <c r="P1" s="1976"/>
      <c r="Q1" s="1976"/>
      <c r="R1" s="1976"/>
      <c r="S1" s="1976"/>
      <c r="T1" s="1976"/>
      <c r="U1" s="1976"/>
      <c r="V1" s="1976"/>
      <c r="W1" s="1976"/>
      <c r="X1" s="1976"/>
      <c r="Y1" s="1976"/>
      <c r="Z1" s="1976"/>
      <c r="AA1" s="1976"/>
      <c r="AB1" s="1976"/>
      <c r="AC1" s="1976"/>
      <c r="AD1" s="1976"/>
      <c r="AE1" s="1976"/>
      <c r="AF1" s="1976"/>
      <c r="AG1" s="1976"/>
      <c r="AH1" s="1976"/>
      <c r="AI1" s="1976"/>
      <c r="AJ1" s="1976"/>
      <c r="AK1" s="1976"/>
      <c r="AL1" s="1976"/>
      <c r="AM1" s="1976"/>
      <c r="AN1" s="1976"/>
      <c r="AO1" s="1976"/>
      <c r="AP1" s="1976"/>
      <c r="AQ1" s="1976"/>
      <c r="AR1" s="1976"/>
      <c r="AS1" s="1976"/>
      <c r="AT1" s="1976"/>
      <c r="AU1" s="1976"/>
      <c r="AV1" s="1976"/>
      <c r="AW1" s="1976"/>
      <c r="AX1" s="1976"/>
      <c r="AY1" s="1976"/>
      <c r="AZ1" s="1976"/>
      <c r="BA1" s="1976"/>
      <c r="BB1" s="1976"/>
      <c r="BC1" s="1976"/>
      <c r="BD1" s="1976"/>
    </row>
    <row r="2" spans="1:56" ht="16">
      <c r="A2" s="1979" t="s">
        <v>248</v>
      </c>
      <c r="B2" s="1976"/>
      <c r="C2" s="1976"/>
      <c r="D2" s="1976"/>
      <c r="E2" s="1976"/>
      <c r="F2" s="1976"/>
      <c r="G2" s="1976"/>
      <c r="H2" s="1976"/>
      <c r="I2" s="1976"/>
      <c r="J2" s="1976"/>
      <c r="K2" s="1976"/>
      <c r="L2" s="1976"/>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76"/>
      <c r="AO2" s="1976"/>
      <c r="AP2" s="1976"/>
      <c r="AQ2" s="1976"/>
      <c r="AR2" s="1976"/>
      <c r="AS2" s="1976"/>
      <c r="AT2" s="1976"/>
      <c r="AU2" s="1976"/>
      <c r="AV2" s="1976"/>
      <c r="AW2" s="1976"/>
      <c r="AX2" s="1976"/>
      <c r="AY2" s="1976"/>
      <c r="AZ2" s="1976"/>
      <c r="BA2" s="1976"/>
      <c r="BB2" s="1976"/>
      <c r="BC2" s="1976"/>
      <c r="BD2" s="1976"/>
    </row>
    <row r="3" spans="1:56">
      <c r="A3" s="1976" t="s">
        <v>160</v>
      </c>
      <c r="B3" s="1976"/>
      <c r="C3" s="1976"/>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76"/>
      <c r="AO3" s="1976"/>
      <c r="AP3" s="1976"/>
      <c r="AQ3" s="1976"/>
      <c r="AR3" s="1976"/>
      <c r="AS3" s="1976"/>
      <c r="AT3" s="1976"/>
      <c r="AU3" s="1976"/>
      <c r="AV3" s="1976"/>
      <c r="AW3" s="1976"/>
      <c r="AX3" s="1976"/>
      <c r="AY3" s="1976"/>
      <c r="AZ3" s="1976"/>
      <c r="BA3" s="1976"/>
      <c r="BB3" s="1976"/>
      <c r="BC3" s="1976"/>
      <c r="BD3" s="1976"/>
    </row>
    <row r="4" spans="1:56">
      <c r="A4" s="1980" t="s">
        <v>795</v>
      </c>
      <c r="B4" s="1980"/>
      <c r="C4" s="1980"/>
      <c r="D4" s="1980"/>
      <c r="E4" s="1980"/>
      <c r="F4" s="1980"/>
      <c r="G4" s="1980"/>
      <c r="H4" s="1980"/>
      <c r="I4" s="1980"/>
      <c r="J4" s="1980"/>
      <c r="K4" s="1980"/>
      <c r="L4" s="1980"/>
      <c r="M4" s="1980"/>
      <c r="N4" s="1980"/>
      <c r="O4" s="1980"/>
      <c r="P4" s="1980"/>
      <c r="Q4" s="1980"/>
      <c r="R4" s="1980"/>
      <c r="S4" s="1980"/>
      <c r="T4" s="1980"/>
      <c r="U4" s="1980"/>
      <c r="V4" s="1980"/>
      <c r="W4" s="1980"/>
      <c r="X4" s="1980"/>
      <c r="Y4" s="1980"/>
      <c r="Z4" s="1980"/>
      <c r="AA4" s="1980"/>
      <c r="AB4" s="1980"/>
      <c r="AC4" s="1980"/>
      <c r="AD4" s="1980"/>
      <c r="AE4" s="1980"/>
      <c r="AF4" s="1980"/>
      <c r="AG4" s="1980"/>
      <c r="AH4" s="1980"/>
      <c r="AI4" s="1980"/>
      <c r="AJ4" s="1980"/>
      <c r="AK4" s="1980"/>
      <c r="AL4" s="1980"/>
      <c r="AM4" s="1980"/>
      <c r="AN4" s="1980"/>
      <c r="AO4" s="1980"/>
      <c r="AP4" s="1980"/>
      <c r="AQ4" s="1980"/>
      <c r="AR4" s="1980"/>
      <c r="AS4" s="1980"/>
      <c r="AT4" s="1980"/>
      <c r="AU4" s="1980"/>
      <c r="AV4" s="1980"/>
      <c r="AW4" s="1980"/>
      <c r="AX4" s="1980"/>
      <c r="AY4" s="1980"/>
      <c r="AZ4" s="1980"/>
      <c r="BA4" s="1980"/>
      <c r="BB4" s="1980"/>
      <c r="BC4" s="1980"/>
      <c r="BD4" s="1980"/>
    </row>
    <row r="6" spans="1:56">
      <c r="A6" s="1977" t="s">
        <v>159</v>
      </c>
      <c r="B6" s="1977" t="s">
        <v>691</v>
      </c>
      <c r="C6" s="1977" t="s">
        <v>690</v>
      </c>
      <c r="D6" s="1977" t="s">
        <v>126</v>
      </c>
      <c r="E6" s="1977" t="s">
        <v>689</v>
      </c>
      <c r="F6" s="1977" t="s">
        <v>124</v>
      </c>
      <c r="G6" s="1977" t="s">
        <v>688</v>
      </c>
      <c r="H6" s="1977" t="s">
        <v>122</v>
      </c>
      <c r="I6" s="1977" t="s">
        <v>687</v>
      </c>
      <c r="J6" s="1977" t="s">
        <v>120</v>
      </c>
      <c r="K6" s="1977" t="s">
        <v>686</v>
      </c>
      <c r="L6" s="1977" t="s">
        <v>118</v>
      </c>
      <c r="M6" s="1977" t="s">
        <v>685</v>
      </c>
      <c r="N6" s="1977" t="s">
        <v>116</v>
      </c>
      <c r="O6" s="1977" t="s">
        <v>684</v>
      </c>
      <c r="P6" s="1977" t="s">
        <v>114</v>
      </c>
      <c r="Q6" s="1977" t="s">
        <v>683</v>
      </c>
      <c r="R6" s="1977" t="s">
        <v>112</v>
      </c>
      <c r="S6" s="1977" t="s">
        <v>682</v>
      </c>
      <c r="T6" s="1977" t="s">
        <v>110</v>
      </c>
      <c r="U6" s="1977" t="s">
        <v>681</v>
      </c>
      <c r="V6" s="1977" t="s">
        <v>108</v>
      </c>
      <c r="W6" s="1977" t="s">
        <v>680</v>
      </c>
      <c r="X6" s="1977" t="s">
        <v>106</v>
      </c>
      <c r="Y6" s="1977" t="s">
        <v>247</v>
      </c>
      <c r="Z6" s="1977" t="s">
        <v>104</v>
      </c>
      <c r="AA6" s="1977" t="s">
        <v>246</v>
      </c>
      <c r="AB6" s="1977" t="s">
        <v>102</v>
      </c>
      <c r="AC6" s="1977" t="s">
        <v>245</v>
      </c>
      <c r="AD6" s="1977" t="s">
        <v>100</v>
      </c>
      <c r="AE6" s="1977" t="s">
        <v>244</v>
      </c>
      <c r="AF6" s="1977" t="s">
        <v>98</v>
      </c>
      <c r="AG6" s="1977" t="s">
        <v>243</v>
      </c>
      <c r="AH6" s="1977" t="s">
        <v>96</v>
      </c>
      <c r="AI6" s="1977" t="s">
        <v>242</v>
      </c>
      <c r="AJ6" s="1977" t="s">
        <v>94</v>
      </c>
      <c r="AK6" s="1977" t="s">
        <v>241</v>
      </c>
      <c r="AL6" s="1977" t="s">
        <v>92</v>
      </c>
      <c r="AM6" s="1977" t="s">
        <v>240</v>
      </c>
      <c r="AN6" s="1977" t="s">
        <v>90</v>
      </c>
      <c r="AO6" s="1977" t="s">
        <v>239</v>
      </c>
      <c r="AP6" s="1977" t="s">
        <v>88</v>
      </c>
      <c r="AQ6" s="1977" t="s">
        <v>679</v>
      </c>
      <c r="AR6" s="1977" t="s">
        <v>86</v>
      </c>
      <c r="AS6" s="1977" t="s">
        <v>678</v>
      </c>
      <c r="AT6" s="1977" t="s">
        <v>84</v>
      </c>
      <c r="AU6" s="1977" t="s">
        <v>677</v>
      </c>
      <c r="AV6" s="1977" t="s">
        <v>82</v>
      </c>
      <c r="AW6" s="1977" t="s">
        <v>676</v>
      </c>
      <c r="AX6" s="1977" t="s">
        <v>80</v>
      </c>
      <c r="AY6" s="1977" t="s">
        <v>675</v>
      </c>
      <c r="AZ6" s="1977" t="s">
        <v>78</v>
      </c>
      <c r="BA6" s="1977" t="s">
        <v>674</v>
      </c>
      <c r="BB6" s="1977" t="s">
        <v>76</v>
      </c>
      <c r="BC6" s="1977" t="s">
        <v>673</v>
      </c>
      <c r="BD6" s="1977" t="s">
        <v>672</v>
      </c>
    </row>
    <row r="7" spans="1:56">
      <c r="A7" s="14" t="s">
        <v>32</v>
      </c>
      <c r="B7" s="14" t="s">
        <v>671</v>
      </c>
      <c r="C7" s="14" t="s">
        <v>0</v>
      </c>
      <c r="D7" s="14" t="s">
        <v>0</v>
      </c>
      <c r="E7" s="14" t="s">
        <v>0</v>
      </c>
      <c r="F7" s="14" t="s">
        <v>0</v>
      </c>
      <c r="G7" s="14" t="s">
        <v>0</v>
      </c>
      <c r="H7" s="14" t="s">
        <v>0</v>
      </c>
      <c r="I7" s="14" t="s">
        <v>0</v>
      </c>
      <c r="J7" s="14" t="s">
        <v>0</v>
      </c>
      <c r="K7" s="14" t="s">
        <v>0</v>
      </c>
      <c r="L7" s="14" t="s">
        <v>0</v>
      </c>
      <c r="M7" s="14" t="s">
        <v>0</v>
      </c>
      <c r="N7" s="14" t="s">
        <v>0</v>
      </c>
      <c r="O7" s="14" t="s">
        <v>0</v>
      </c>
      <c r="P7" s="14" t="s">
        <v>0</v>
      </c>
      <c r="Q7" s="14" t="s">
        <v>0</v>
      </c>
      <c r="R7" s="14" t="s">
        <v>0</v>
      </c>
      <c r="S7" s="14" t="s">
        <v>0</v>
      </c>
      <c r="T7" s="14" t="s">
        <v>0</v>
      </c>
      <c r="U7" s="14" t="s">
        <v>0</v>
      </c>
      <c r="V7" s="14" t="s">
        <v>0</v>
      </c>
      <c r="W7" s="14" t="s">
        <v>0</v>
      </c>
      <c r="X7" s="14" t="s">
        <v>0</v>
      </c>
      <c r="Y7" s="14" t="s">
        <v>0</v>
      </c>
      <c r="Z7" s="14" t="s">
        <v>0</v>
      </c>
      <c r="AA7" s="14" t="s">
        <v>0</v>
      </c>
      <c r="AB7" s="14" t="s">
        <v>0</v>
      </c>
      <c r="AC7" s="14" t="s">
        <v>0</v>
      </c>
      <c r="AD7" s="14" t="s">
        <v>0</v>
      </c>
      <c r="AE7" s="14" t="s">
        <v>0</v>
      </c>
      <c r="AF7" s="14" t="s">
        <v>0</v>
      </c>
      <c r="AG7" s="14" t="s">
        <v>0</v>
      </c>
      <c r="AH7" s="14" t="s">
        <v>0</v>
      </c>
      <c r="AI7" s="14" t="s">
        <v>0</v>
      </c>
      <c r="AJ7" s="14" t="s">
        <v>0</v>
      </c>
      <c r="AK7" s="14" t="s">
        <v>0</v>
      </c>
      <c r="AL7" s="14" t="s">
        <v>0</v>
      </c>
      <c r="AM7" s="14" t="s">
        <v>0</v>
      </c>
      <c r="AN7" s="14" t="s">
        <v>0</v>
      </c>
      <c r="AO7" s="14" t="s">
        <v>0</v>
      </c>
      <c r="AP7" s="14" t="s">
        <v>0</v>
      </c>
      <c r="AQ7" s="14" t="s">
        <v>0</v>
      </c>
      <c r="AR7" s="14" t="s">
        <v>0</v>
      </c>
      <c r="AS7" s="14" t="s">
        <v>0</v>
      </c>
      <c r="AT7" s="14" t="s">
        <v>0</v>
      </c>
      <c r="AU7" s="14" t="s">
        <v>0</v>
      </c>
      <c r="AV7" s="14" t="s">
        <v>0</v>
      </c>
      <c r="AW7" s="14" t="s">
        <v>0</v>
      </c>
      <c r="AX7" s="14" t="s">
        <v>0</v>
      </c>
      <c r="AY7" s="14" t="s">
        <v>0</v>
      </c>
      <c r="AZ7" s="14" t="s">
        <v>0</v>
      </c>
      <c r="BA7" s="14" t="s">
        <v>0</v>
      </c>
      <c r="BB7" s="14" t="s">
        <v>0</v>
      </c>
      <c r="BC7" s="14" t="s">
        <v>0</v>
      </c>
      <c r="BD7" s="14" t="s">
        <v>0</v>
      </c>
    </row>
    <row r="8" spans="1:56">
      <c r="A8" s="14" t="s">
        <v>73</v>
      </c>
      <c r="B8" s="10" t="s">
        <v>670</v>
      </c>
      <c r="C8" s="14">
        <v>30556</v>
      </c>
      <c r="D8" s="14">
        <v>31402</v>
      </c>
      <c r="E8" s="14">
        <v>33340</v>
      </c>
      <c r="F8" s="14">
        <v>35776</v>
      </c>
      <c r="G8" s="14">
        <v>40165</v>
      </c>
      <c r="H8" s="14">
        <v>42722</v>
      </c>
      <c r="I8" s="14">
        <v>46454</v>
      </c>
      <c r="J8" s="14">
        <v>49353</v>
      </c>
      <c r="K8" s="14">
        <v>54911</v>
      </c>
      <c r="L8" s="14">
        <v>60132</v>
      </c>
      <c r="M8" s="14">
        <v>68387</v>
      </c>
      <c r="N8" s="14">
        <v>72384</v>
      </c>
      <c r="O8" s="14">
        <v>81986</v>
      </c>
      <c r="P8" s="14">
        <v>113050</v>
      </c>
      <c r="Q8" s="14">
        <v>148484</v>
      </c>
      <c r="R8" s="14">
        <v>157936</v>
      </c>
      <c r="S8" s="14">
        <v>172090</v>
      </c>
      <c r="T8" s="14">
        <v>184655</v>
      </c>
      <c r="U8" s="14">
        <v>220516</v>
      </c>
      <c r="V8" s="14">
        <v>287965</v>
      </c>
      <c r="W8" s="14">
        <v>344440</v>
      </c>
      <c r="X8" s="14">
        <v>380928</v>
      </c>
      <c r="Y8" s="14">
        <v>366983</v>
      </c>
      <c r="Z8" s="14">
        <v>356106</v>
      </c>
      <c r="AA8" s="14">
        <v>399913</v>
      </c>
      <c r="AB8" s="14">
        <v>387612</v>
      </c>
      <c r="AC8" s="14">
        <v>407098</v>
      </c>
      <c r="AD8" s="14">
        <v>457053</v>
      </c>
      <c r="AE8" s="14">
        <v>567862</v>
      </c>
      <c r="AF8" s="14">
        <v>648290</v>
      </c>
      <c r="AG8" s="14">
        <v>706975</v>
      </c>
      <c r="AH8" s="14">
        <v>727557</v>
      </c>
      <c r="AI8" s="14">
        <v>750648</v>
      </c>
      <c r="AJ8" s="14">
        <v>778920</v>
      </c>
      <c r="AK8" s="14">
        <v>869775</v>
      </c>
      <c r="AL8" s="14">
        <v>1004631</v>
      </c>
      <c r="AM8" s="14">
        <v>1077731</v>
      </c>
      <c r="AN8" s="14">
        <v>1191257</v>
      </c>
      <c r="AO8" s="14">
        <v>1194993</v>
      </c>
      <c r="AP8" s="14">
        <v>1262431</v>
      </c>
      <c r="AQ8" s="14">
        <v>1425260</v>
      </c>
      <c r="AR8" s="14">
        <v>1300156</v>
      </c>
      <c r="AS8" s="14">
        <v>1263580</v>
      </c>
      <c r="AT8" s="14">
        <v>1346348</v>
      </c>
      <c r="AU8" s="14">
        <v>1579517</v>
      </c>
      <c r="AV8" s="14">
        <v>1825596</v>
      </c>
      <c r="AW8" s="14">
        <v>2145469</v>
      </c>
      <c r="AX8" s="14">
        <v>2486810</v>
      </c>
      <c r="AY8" s="14">
        <v>2654418</v>
      </c>
      <c r="AZ8" s="14">
        <v>2184786</v>
      </c>
      <c r="BA8" s="14">
        <v>2522520</v>
      </c>
      <c r="BB8" s="14">
        <v>2873654</v>
      </c>
      <c r="BC8" s="14">
        <v>2986949</v>
      </c>
      <c r="BD8" s="14">
        <v>3060451</v>
      </c>
    </row>
    <row r="9" spans="1:56">
      <c r="A9" s="14" t="s">
        <v>72</v>
      </c>
      <c r="B9" s="14" t="s">
        <v>669</v>
      </c>
      <c r="C9" s="14">
        <v>25940</v>
      </c>
      <c r="D9" s="14">
        <v>26403</v>
      </c>
      <c r="E9" s="14">
        <v>27722</v>
      </c>
      <c r="F9" s="14">
        <v>29620</v>
      </c>
      <c r="G9" s="14">
        <v>33341</v>
      </c>
      <c r="H9" s="14">
        <v>35285</v>
      </c>
      <c r="I9" s="14">
        <v>38926</v>
      </c>
      <c r="J9" s="14">
        <v>41333</v>
      </c>
      <c r="K9" s="14">
        <v>45543</v>
      </c>
      <c r="L9" s="14">
        <v>49220</v>
      </c>
      <c r="M9" s="14">
        <v>56640</v>
      </c>
      <c r="N9" s="14">
        <v>59677</v>
      </c>
      <c r="O9" s="14">
        <v>67222</v>
      </c>
      <c r="P9" s="14">
        <v>91242</v>
      </c>
      <c r="Q9" s="14">
        <v>120897</v>
      </c>
      <c r="R9" s="14">
        <v>132585</v>
      </c>
      <c r="S9" s="14">
        <v>142716</v>
      </c>
      <c r="T9" s="14">
        <v>152301</v>
      </c>
      <c r="U9" s="14">
        <v>178428</v>
      </c>
      <c r="V9" s="14">
        <v>224131</v>
      </c>
      <c r="W9" s="14">
        <v>271834</v>
      </c>
      <c r="X9" s="14">
        <v>294398</v>
      </c>
      <c r="Y9" s="14">
        <v>275236</v>
      </c>
      <c r="Z9" s="14">
        <v>266106</v>
      </c>
      <c r="AA9" s="14">
        <v>291094</v>
      </c>
      <c r="AB9" s="14">
        <v>289070</v>
      </c>
      <c r="AC9" s="14">
        <v>310033</v>
      </c>
      <c r="AD9" s="14">
        <v>348869</v>
      </c>
      <c r="AE9" s="14">
        <v>431149</v>
      </c>
      <c r="AF9" s="14">
        <v>487003</v>
      </c>
      <c r="AG9" s="14">
        <v>535233</v>
      </c>
      <c r="AH9" s="14">
        <v>578344</v>
      </c>
      <c r="AI9" s="14">
        <v>616883</v>
      </c>
      <c r="AJ9" s="14">
        <v>642863</v>
      </c>
      <c r="AK9" s="14">
        <v>703254</v>
      </c>
      <c r="AL9" s="14">
        <v>794387</v>
      </c>
      <c r="AM9" s="14">
        <v>851602</v>
      </c>
      <c r="AN9" s="14">
        <v>934453</v>
      </c>
      <c r="AO9" s="14">
        <v>933174</v>
      </c>
      <c r="AP9" s="14">
        <v>967008</v>
      </c>
      <c r="AQ9" s="14">
        <v>1072782</v>
      </c>
      <c r="AR9" s="14">
        <v>1007725</v>
      </c>
      <c r="AS9" s="14">
        <v>980879</v>
      </c>
      <c r="AT9" s="14">
        <v>1023937</v>
      </c>
      <c r="AU9" s="14">
        <v>1163724</v>
      </c>
      <c r="AV9" s="14">
        <v>1288257</v>
      </c>
      <c r="AW9" s="14">
        <v>1460792</v>
      </c>
      <c r="AX9" s="14">
        <v>1652859</v>
      </c>
      <c r="AY9" s="14">
        <v>1840332</v>
      </c>
      <c r="AZ9" s="14">
        <v>1578187</v>
      </c>
      <c r="BA9" s="14">
        <v>1844468</v>
      </c>
      <c r="BB9" s="14">
        <v>2112825</v>
      </c>
      <c r="BC9" s="14">
        <v>2210585</v>
      </c>
      <c r="BD9" s="14">
        <v>2271386</v>
      </c>
    </row>
    <row r="10" spans="1:56">
      <c r="A10" s="14" t="s">
        <v>70</v>
      </c>
      <c r="B10" s="14" t="s">
        <v>654</v>
      </c>
      <c r="C10" s="14">
        <v>19650</v>
      </c>
      <c r="D10" s="14">
        <v>20108</v>
      </c>
      <c r="E10" s="14">
        <v>20781</v>
      </c>
      <c r="F10" s="14">
        <v>22272</v>
      </c>
      <c r="G10" s="14">
        <v>25501</v>
      </c>
      <c r="H10" s="14">
        <v>26461</v>
      </c>
      <c r="I10" s="14">
        <v>29310</v>
      </c>
      <c r="J10" s="14">
        <v>30666</v>
      </c>
      <c r="K10" s="14">
        <v>33626</v>
      </c>
      <c r="L10" s="14">
        <v>36414</v>
      </c>
      <c r="M10" s="14">
        <v>42469</v>
      </c>
      <c r="N10" s="14">
        <v>43319</v>
      </c>
      <c r="O10" s="14">
        <v>49381</v>
      </c>
      <c r="P10" s="14">
        <v>71410</v>
      </c>
      <c r="Q10" s="14">
        <v>98306</v>
      </c>
      <c r="R10" s="14">
        <v>107088</v>
      </c>
      <c r="S10" s="14">
        <v>114745</v>
      </c>
      <c r="T10" s="14">
        <v>120816</v>
      </c>
      <c r="U10" s="14">
        <v>142075</v>
      </c>
      <c r="V10" s="14">
        <v>184439</v>
      </c>
      <c r="W10" s="14">
        <v>224250</v>
      </c>
      <c r="X10" s="14">
        <v>237044</v>
      </c>
      <c r="Y10" s="14">
        <v>211157</v>
      </c>
      <c r="Z10" s="14">
        <v>201799</v>
      </c>
      <c r="AA10" s="14">
        <v>219926</v>
      </c>
      <c r="AB10" s="14">
        <v>215915</v>
      </c>
      <c r="AC10" s="14">
        <v>223344</v>
      </c>
      <c r="AD10" s="14">
        <v>250208</v>
      </c>
      <c r="AE10" s="14">
        <v>320230</v>
      </c>
      <c r="AF10" s="14">
        <v>359916</v>
      </c>
      <c r="AG10" s="14">
        <v>387401</v>
      </c>
      <c r="AH10" s="14">
        <v>414083</v>
      </c>
      <c r="AI10" s="14">
        <v>439631</v>
      </c>
      <c r="AJ10" s="14">
        <v>456943</v>
      </c>
      <c r="AK10" s="14">
        <v>502859</v>
      </c>
      <c r="AL10" s="14">
        <v>575204</v>
      </c>
      <c r="AM10" s="14">
        <v>612113</v>
      </c>
      <c r="AN10" s="14">
        <v>678366</v>
      </c>
      <c r="AO10" s="14">
        <v>670416</v>
      </c>
      <c r="AP10" s="14">
        <v>698218</v>
      </c>
      <c r="AQ10" s="14">
        <v>784781</v>
      </c>
      <c r="AR10" s="14">
        <v>731189</v>
      </c>
      <c r="AS10" s="14">
        <v>697439</v>
      </c>
      <c r="AT10" s="14">
        <v>729816</v>
      </c>
      <c r="AU10" s="14">
        <v>821986</v>
      </c>
      <c r="AV10" s="14">
        <v>911686</v>
      </c>
      <c r="AW10" s="14">
        <v>1039406</v>
      </c>
      <c r="AX10" s="14">
        <v>1163605</v>
      </c>
      <c r="AY10" s="14">
        <v>1307329</v>
      </c>
      <c r="AZ10" s="14">
        <v>1069475</v>
      </c>
      <c r="BA10" s="14">
        <v>1288795</v>
      </c>
      <c r="BB10" s="14">
        <v>1495853</v>
      </c>
      <c r="BC10" s="14">
        <v>1561239</v>
      </c>
      <c r="BD10" s="14">
        <v>1589664</v>
      </c>
    </row>
    <row r="11" spans="1:56">
      <c r="A11" s="14" t="s">
        <v>69</v>
      </c>
      <c r="B11" s="14" t="s">
        <v>653</v>
      </c>
      <c r="C11" s="14">
        <v>6290</v>
      </c>
      <c r="D11" s="14">
        <v>6295</v>
      </c>
      <c r="E11" s="14">
        <v>6941</v>
      </c>
      <c r="F11" s="14">
        <v>7348</v>
      </c>
      <c r="G11" s="14">
        <v>7840</v>
      </c>
      <c r="H11" s="14">
        <v>8824</v>
      </c>
      <c r="I11" s="14">
        <v>9616</v>
      </c>
      <c r="J11" s="14">
        <v>10667</v>
      </c>
      <c r="K11" s="14">
        <v>11917</v>
      </c>
      <c r="L11" s="14">
        <v>12806</v>
      </c>
      <c r="M11" s="14">
        <v>14171</v>
      </c>
      <c r="N11" s="14">
        <v>16358</v>
      </c>
      <c r="O11" s="14">
        <v>17841</v>
      </c>
      <c r="P11" s="14">
        <v>19832</v>
      </c>
      <c r="Q11" s="14">
        <v>22591</v>
      </c>
      <c r="R11" s="14">
        <v>25497</v>
      </c>
      <c r="S11" s="14">
        <v>27971</v>
      </c>
      <c r="T11" s="14">
        <v>31485</v>
      </c>
      <c r="U11" s="14">
        <v>36353</v>
      </c>
      <c r="V11" s="14">
        <v>39692</v>
      </c>
      <c r="W11" s="14">
        <v>47584</v>
      </c>
      <c r="X11" s="14">
        <v>57354</v>
      </c>
      <c r="Y11" s="14">
        <v>64079</v>
      </c>
      <c r="Z11" s="14">
        <v>64307</v>
      </c>
      <c r="AA11" s="14">
        <v>71168</v>
      </c>
      <c r="AB11" s="14">
        <v>73155</v>
      </c>
      <c r="AC11" s="14">
        <v>86689</v>
      </c>
      <c r="AD11" s="14">
        <v>98661</v>
      </c>
      <c r="AE11" s="14">
        <v>110919</v>
      </c>
      <c r="AF11" s="14">
        <v>127087</v>
      </c>
      <c r="AG11" s="14">
        <v>147832</v>
      </c>
      <c r="AH11" s="14">
        <v>164261</v>
      </c>
      <c r="AI11" s="14">
        <v>177252</v>
      </c>
      <c r="AJ11" s="14">
        <v>185920</v>
      </c>
      <c r="AK11" s="14">
        <v>200395</v>
      </c>
      <c r="AL11" s="14">
        <v>219183</v>
      </c>
      <c r="AM11" s="14">
        <v>239489</v>
      </c>
      <c r="AN11" s="14">
        <v>256087</v>
      </c>
      <c r="AO11" s="14">
        <v>262758</v>
      </c>
      <c r="AP11" s="14">
        <v>268790</v>
      </c>
      <c r="AQ11" s="14">
        <v>288002</v>
      </c>
      <c r="AR11" s="14">
        <v>276537</v>
      </c>
      <c r="AS11" s="14">
        <v>283440</v>
      </c>
      <c r="AT11" s="14">
        <v>294121</v>
      </c>
      <c r="AU11" s="14">
        <v>341739</v>
      </c>
      <c r="AV11" s="14">
        <v>376571</v>
      </c>
      <c r="AW11" s="14">
        <v>421386</v>
      </c>
      <c r="AX11" s="14">
        <v>489255</v>
      </c>
      <c r="AY11" s="14">
        <v>533003</v>
      </c>
      <c r="AZ11" s="14">
        <v>508712</v>
      </c>
      <c r="BA11" s="14">
        <v>555674</v>
      </c>
      <c r="BB11" s="14">
        <v>616973</v>
      </c>
      <c r="BC11" s="14">
        <v>649346</v>
      </c>
      <c r="BD11" s="14">
        <v>681721</v>
      </c>
    </row>
    <row r="12" spans="1:56">
      <c r="A12" s="14" t="s">
        <v>68</v>
      </c>
      <c r="B12" s="14" t="s">
        <v>668</v>
      </c>
      <c r="C12" s="14">
        <v>2030</v>
      </c>
      <c r="D12" s="14">
        <v>1867</v>
      </c>
      <c r="E12" s="14">
        <v>2193</v>
      </c>
      <c r="F12" s="14">
        <v>2219</v>
      </c>
      <c r="G12" s="14">
        <v>2086</v>
      </c>
      <c r="H12" s="14">
        <v>2465</v>
      </c>
      <c r="I12" s="14">
        <v>2721</v>
      </c>
      <c r="J12" s="14">
        <v>3191</v>
      </c>
      <c r="K12" s="14">
        <v>3939</v>
      </c>
      <c r="L12" s="14">
        <v>4138</v>
      </c>
      <c r="M12" s="14">
        <v>4214</v>
      </c>
      <c r="N12" s="14">
        <v>5472</v>
      </c>
      <c r="O12" s="14">
        <v>5856</v>
      </c>
      <c r="P12" s="14">
        <v>5369</v>
      </c>
      <c r="Q12" s="14">
        <v>5197</v>
      </c>
      <c r="R12" s="14">
        <v>6256</v>
      </c>
      <c r="S12" s="14">
        <v>5826</v>
      </c>
      <c r="T12" s="14">
        <v>7554</v>
      </c>
      <c r="U12" s="14">
        <v>8209</v>
      </c>
      <c r="V12" s="14">
        <v>6981</v>
      </c>
      <c r="W12" s="14">
        <v>9029</v>
      </c>
      <c r="X12" s="14">
        <v>10720</v>
      </c>
      <c r="Y12" s="14">
        <v>12572</v>
      </c>
      <c r="Z12" s="14">
        <v>12524</v>
      </c>
      <c r="AA12" s="14">
        <v>9969</v>
      </c>
      <c r="AB12" s="14">
        <v>8718</v>
      </c>
      <c r="AC12" s="14">
        <v>8549</v>
      </c>
      <c r="AD12" s="14">
        <v>11106</v>
      </c>
      <c r="AE12" s="14">
        <v>9284</v>
      </c>
      <c r="AF12" s="14">
        <v>8564</v>
      </c>
      <c r="AG12" s="14">
        <v>9932</v>
      </c>
      <c r="AH12" s="14">
        <v>11135</v>
      </c>
      <c r="AI12" s="14">
        <v>12387</v>
      </c>
      <c r="AJ12" s="14">
        <v>13471</v>
      </c>
      <c r="AK12" s="14">
        <v>12787</v>
      </c>
      <c r="AL12" s="14">
        <v>14643</v>
      </c>
      <c r="AM12" s="14">
        <v>16446</v>
      </c>
      <c r="AN12" s="14">
        <v>16675</v>
      </c>
      <c r="AO12" s="14">
        <v>17405</v>
      </c>
      <c r="AP12" s="14">
        <v>5211</v>
      </c>
      <c r="AQ12" s="14">
        <v>6210</v>
      </c>
      <c r="AR12" s="14">
        <v>5213</v>
      </c>
      <c r="AS12" s="14">
        <v>4698</v>
      </c>
      <c r="AT12" s="14">
        <v>5918</v>
      </c>
      <c r="AU12" s="14">
        <v>8751</v>
      </c>
      <c r="AV12" s="14">
        <v>12082</v>
      </c>
      <c r="AW12" s="14">
        <v>15587</v>
      </c>
      <c r="AX12" s="14">
        <v>17444</v>
      </c>
      <c r="AY12" s="14">
        <v>14899</v>
      </c>
      <c r="AZ12" s="14">
        <v>16277</v>
      </c>
      <c r="BA12" s="14">
        <v>14958</v>
      </c>
      <c r="BB12" s="14">
        <v>18821</v>
      </c>
      <c r="BC12" s="14">
        <v>18520</v>
      </c>
      <c r="BD12" s="14">
        <v>18977</v>
      </c>
    </row>
    <row r="13" spans="1:56">
      <c r="A13" s="14" t="s">
        <v>66</v>
      </c>
      <c r="B13" s="14" t="s">
        <v>651</v>
      </c>
      <c r="C13" s="14">
        <v>919</v>
      </c>
      <c r="D13" s="14">
        <v>947</v>
      </c>
      <c r="E13" s="14">
        <v>957</v>
      </c>
      <c r="F13" s="14">
        <v>1015</v>
      </c>
      <c r="G13" s="14">
        <v>1207</v>
      </c>
      <c r="H13" s="14">
        <v>1380</v>
      </c>
      <c r="I13" s="14">
        <v>1590</v>
      </c>
      <c r="J13" s="14">
        <v>1646</v>
      </c>
      <c r="K13" s="14">
        <v>1775</v>
      </c>
      <c r="L13" s="14">
        <v>2043</v>
      </c>
      <c r="M13" s="14">
        <v>2331</v>
      </c>
      <c r="N13" s="14">
        <v>2534</v>
      </c>
      <c r="O13" s="14">
        <v>2817</v>
      </c>
      <c r="P13" s="14">
        <v>3412</v>
      </c>
      <c r="Q13" s="14">
        <v>4032</v>
      </c>
      <c r="R13" s="14">
        <v>4697</v>
      </c>
      <c r="S13" s="14">
        <v>5742</v>
      </c>
      <c r="T13" s="14">
        <v>6150</v>
      </c>
      <c r="U13" s="14">
        <v>7183</v>
      </c>
      <c r="V13" s="14">
        <v>8441</v>
      </c>
      <c r="W13" s="14">
        <v>10588</v>
      </c>
      <c r="X13" s="14">
        <v>12913</v>
      </c>
      <c r="Y13" s="14">
        <v>12393</v>
      </c>
      <c r="Z13" s="14">
        <v>10947</v>
      </c>
      <c r="AA13" s="14" t="s">
        <v>667</v>
      </c>
      <c r="AB13" s="14">
        <v>17762</v>
      </c>
      <c r="AC13" s="14">
        <v>20385</v>
      </c>
      <c r="AD13" s="14">
        <v>23563</v>
      </c>
      <c r="AE13" s="14">
        <v>29434</v>
      </c>
      <c r="AF13" s="14">
        <v>36205</v>
      </c>
      <c r="AG13" s="14">
        <v>43007</v>
      </c>
      <c r="AH13" s="14">
        <v>48385</v>
      </c>
      <c r="AI13" s="14">
        <v>54742</v>
      </c>
      <c r="AJ13" s="14">
        <v>57875</v>
      </c>
      <c r="AK13" s="14">
        <v>58417</v>
      </c>
      <c r="AL13" s="14">
        <v>63395</v>
      </c>
      <c r="AM13" s="14">
        <v>69809</v>
      </c>
      <c r="AN13" s="14">
        <v>73426</v>
      </c>
      <c r="AO13" s="14">
        <v>71325</v>
      </c>
      <c r="AP13" s="14">
        <v>75161</v>
      </c>
      <c r="AQ13" s="14">
        <v>82891</v>
      </c>
      <c r="AR13" s="14">
        <v>72638</v>
      </c>
      <c r="AS13" s="14">
        <v>67360</v>
      </c>
      <c r="AT13" s="14">
        <v>65159</v>
      </c>
      <c r="AU13" s="14">
        <v>75465</v>
      </c>
      <c r="AV13" s="14">
        <v>82160</v>
      </c>
      <c r="AW13" s="14">
        <v>86187</v>
      </c>
      <c r="AX13" s="14">
        <v>97355</v>
      </c>
      <c r="AY13" s="14">
        <v>110423</v>
      </c>
      <c r="AZ13" s="14">
        <v>94187</v>
      </c>
      <c r="BA13" s="14">
        <v>103463</v>
      </c>
      <c r="BB13" s="14">
        <v>115552</v>
      </c>
      <c r="BC13" s="14">
        <v>126214</v>
      </c>
      <c r="BD13" s="14">
        <v>139569</v>
      </c>
    </row>
    <row r="14" spans="1:56">
      <c r="A14" s="14" t="s">
        <v>65</v>
      </c>
      <c r="B14" s="14" t="s">
        <v>649</v>
      </c>
      <c r="C14" s="14">
        <v>175</v>
      </c>
      <c r="D14" s="14">
        <v>183</v>
      </c>
      <c r="E14" s="14">
        <v>191</v>
      </c>
      <c r="F14" s="14">
        <v>205</v>
      </c>
      <c r="G14" s="14">
        <v>241</v>
      </c>
      <c r="H14" s="14">
        <v>271</v>
      </c>
      <c r="I14" s="14">
        <v>317</v>
      </c>
      <c r="J14" s="14">
        <v>371</v>
      </c>
      <c r="K14" s="14">
        <v>411</v>
      </c>
      <c r="L14" s="14">
        <v>450</v>
      </c>
      <c r="M14" s="14">
        <v>544</v>
      </c>
      <c r="N14" s="14">
        <v>615</v>
      </c>
      <c r="O14" s="14">
        <v>699</v>
      </c>
      <c r="P14" s="14">
        <v>975</v>
      </c>
      <c r="Q14" s="14">
        <v>1104</v>
      </c>
      <c r="R14" s="14">
        <v>1039</v>
      </c>
      <c r="S14" s="14">
        <v>1229</v>
      </c>
      <c r="T14" s="14">
        <v>1366</v>
      </c>
      <c r="U14" s="14">
        <v>1603</v>
      </c>
      <c r="V14" s="14">
        <v>2156</v>
      </c>
      <c r="W14" s="14">
        <v>2591</v>
      </c>
      <c r="X14" s="14">
        <v>3111</v>
      </c>
      <c r="Y14" s="14">
        <v>3174</v>
      </c>
      <c r="Z14" s="14">
        <v>3610</v>
      </c>
      <c r="AA14" s="14" t="s">
        <v>666</v>
      </c>
      <c r="AB14" s="14">
        <v>4411</v>
      </c>
      <c r="AC14" s="14">
        <v>5582</v>
      </c>
      <c r="AD14" s="14">
        <v>7003</v>
      </c>
      <c r="AE14" s="14">
        <v>8976</v>
      </c>
      <c r="AF14" s="14">
        <v>10657</v>
      </c>
      <c r="AG14" s="14">
        <v>15298</v>
      </c>
      <c r="AH14" s="14">
        <v>15854</v>
      </c>
      <c r="AI14" s="14">
        <v>16618</v>
      </c>
      <c r="AJ14" s="14">
        <v>16528</v>
      </c>
      <c r="AK14" s="14">
        <v>16997</v>
      </c>
      <c r="AL14" s="14">
        <v>18909</v>
      </c>
      <c r="AM14" s="14">
        <v>20422</v>
      </c>
      <c r="AN14" s="14">
        <v>20868</v>
      </c>
      <c r="AO14" s="14">
        <v>20098</v>
      </c>
      <c r="AP14" s="14">
        <v>19425</v>
      </c>
      <c r="AQ14" s="14">
        <v>20197</v>
      </c>
      <c r="AR14" s="14">
        <v>17181</v>
      </c>
      <c r="AS14" s="14">
        <v>16291</v>
      </c>
      <c r="AT14" s="14">
        <v>15091</v>
      </c>
      <c r="AU14" s="14">
        <v>17932</v>
      </c>
      <c r="AV14" s="14">
        <v>20609</v>
      </c>
      <c r="AW14" s="14">
        <v>21638</v>
      </c>
      <c r="AX14" s="14">
        <v>25187</v>
      </c>
      <c r="AY14" s="14">
        <v>30957</v>
      </c>
      <c r="AZ14" s="14">
        <v>26103</v>
      </c>
      <c r="BA14" s="14">
        <v>30987</v>
      </c>
      <c r="BB14" s="14">
        <v>36763</v>
      </c>
      <c r="BC14" s="14">
        <v>39360</v>
      </c>
      <c r="BD14" s="14">
        <v>41145</v>
      </c>
    </row>
    <row r="15" spans="1:56">
      <c r="A15" s="14" t="s">
        <v>64</v>
      </c>
      <c r="B15" s="14" t="s">
        <v>647</v>
      </c>
      <c r="C15" s="14">
        <v>1607</v>
      </c>
      <c r="D15" s="14">
        <v>1620</v>
      </c>
      <c r="E15" s="14">
        <v>1764</v>
      </c>
      <c r="F15" s="14">
        <v>1898</v>
      </c>
      <c r="G15" s="14">
        <v>2076</v>
      </c>
      <c r="H15" s="14">
        <v>2175</v>
      </c>
      <c r="I15" s="14">
        <v>2333</v>
      </c>
      <c r="J15" s="14">
        <v>2426</v>
      </c>
      <c r="K15" s="14">
        <v>2548</v>
      </c>
      <c r="L15" s="14">
        <v>2652</v>
      </c>
      <c r="M15" s="14">
        <v>3125</v>
      </c>
      <c r="N15" s="14">
        <v>3299</v>
      </c>
      <c r="O15" s="14">
        <v>3579</v>
      </c>
      <c r="P15" s="14">
        <v>4465</v>
      </c>
      <c r="Q15" s="14">
        <v>5697</v>
      </c>
      <c r="R15" s="14">
        <v>5840</v>
      </c>
      <c r="S15" s="14">
        <v>6747</v>
      </c>
      <c r="T15" s="14">
        <v>7090</v>
      </c>
      <c r="U15" s="14">
        <v>8136</v>
      </c>
      <c r="V15" s="14">
        <v>9971</v>
      </c>
      <c r="W15" s="14">
        <v>11618</v>
      </c>
      <c r="X15" s="14">
        <v>12560</v>
      </c>
      <c r="Y15" s="14">
        <v>12317</v>
      </c>
      <c r="Z15" s="14">
        <v>12590</v>
      </c>
      <c r="AA15" s="14">
        <v>13809</v>
      </c>
      <c r="AB15" s="14">
        <v>14674</v>
      </c>
      <c r="AC15" s="14" t="s">
        <v>665</v>
      </c>
      <c r="AD15" s="14">
        <v>17027</v>
      </c>
      <c r="AE15" s="14">
        <v>19311</v>
      </c>
      <c r="AF15" s="14">
        <v>20526</v>
      </c>
      <c r="AG15" s="14">
        <v>22042</v>
      </c>
      <c r="AH15" s="14">
        <v>22631</v>
      </c>
      <c r="AI15" s="14">
        <v>21531</v>
      </c>
      <c r="AJ15" s="14">
        <v>21958</v>
      </c>
      <c r="AK15" s="14">
        <v>23754</v>
      </c>
      <c r="AL15" s="14">
        <v>26081</v>
      </c>
      <c r="AM15" s="14">
        <v>26074</v>
      </c>
      <c r="AN15" s="14">
        <v>27006</v>
      </c>
      <c r="AO15" s="14">
        <v>25604</v>
      </c>
      <c r="AP15" s="14">
        <v>23792</v>
      </c>
      <c r="AQ15" s="14">
        <v>25562</v>
      </c>
      <c r="AR15" s="14">
        <v>24534</v>
      </c>
      <c r="AS15" s="14">
        <v>25620</v>
      </c>
      <c r="AT15" s="14">
        <v>26354</v>
      </c>
      <c r="AU15" s="14">
        <v>29791</v>
      </c>
      <c r="AV15" s="14">
        <v>32013</v>
      </c>
      <c r="AW15" s="14">
        <v>35824</v>
      </c>
      <c r="AX15" s="14">
        <v>40638</v>
      </c>
      <c r="AY15" s="14">
        <v>44016</v>
      </c>
      <c r="AZ15" s="14">
        <v>36087</v>
      </c>
      <c r="BA15" s="14">
        <v>40669</v>
      </c>
      <c r="BB15" s="14">
        <v>43067</v>
      </c>
      <c r="BC15" s="14">
        <v>43855</v>
      </c>
      <c r="BD15" s="14">
        <v>45414</v>
      </c>
    </row>
    <row r="16" spans="1:56">
      <c r="A16" s="14" t="s">
        <v>63</v>
      </c>
      <c r="B16" s="14" t="s">
        <v>645</v>
      </c>
      <c r="C16" s="14">
        <v>837</v>
      </c>
      <c r="D16" s="14">
        <v>906</v>
      </c>
      <c r="E16" s="14">
        <v>1056</v>
      </c>
      <c r="F16" s="14">
        <v>1162</v>
      </c>
      <c r="G16" s="14">
        <v>1314</v>
      </c>
      <c r="H16" s="14">
        <v>1534</v>
      </c>
      <c r="I16" s="14">
        <v>1516</v>
      </c>
      <c r="J16" s="14">
        <v>1747</v>
      </c>
      <c r="K16" s="14">
        <v>1867</v>
      </c>
      <c r="L16" s="14">
        <v>2019</v>
      </c>
      <c r="M16" s="14">
        <v>2331</v>
      </c>
      <c r="N16" s="14">
        <v>2545</v>
      </c>
      <c r="O16" s="14">
        <v>2770</v>
      </c>
      <c r="P16" s="14">
        <v>3225</v>
      </c>
      <c r="Q16" s="14">
        <v>3821</v>
      </c>
      <c r="R16" s="14">
        <v>4300</v>
      </c>
      <c r="S16" s="14">
        <v>4353</v>
      </c>
      <c r="T16" s="14">
        <v>4920</v>
      </c>
      <c r="U16" s="14">
        <v>5885</v>
      </c>
      <c r="V16" s="14">
        <v>6184</v>
      </c>
      <c r="W16" s="14">
        <v>7085</v>
      </c>
      <c r="X16" s="14">
        <v>7284</v>
      </c>
      <c r="Y16" s="14">
        <v>5603</v>
      </c>
      <c r="Z16" s="14">
        <v>5778</v>
      </c>
      <c r="AA16" s="14">
        <v>6177</v>
      </c>
      <c r="AB16" s="14">
        <v>6678</v>
      </c>
      <c r="AC16" s="14">
        <v>8113</v>
      </c>
      <c r="AD16" s="14">
        <v>10174</v>
      </c>
      <c r="AE16" s="14">
        <v>12139</v>
      </c>
      <c r="AF16" s="14">
        <v>13818</v>
      </c>
      <c r="AG16" s="14">
        <v>16634</v>
      </c>
      <c r="AH16" s="14">
        <v>17819</v>
      </c>
      <c r="AI16" s="14">
        <v>20841</v>
      </c>
      <c r="AJ16" s="14">
        <v>21695</v>
      </c>
      <c r="AK16" s="14">
        <v>26712</v>
      </c>
      <c r="AL16" s="14">
        <v>30289</v>
      </c>
      <c r="AM16" s="14">
        <v>32470</v>
      </c>
      <c r="AN16" s="14">
        <v>33228</v>
      </c>
      <c r="AO16" s="14">
        <v>35626</v>
      </c>
      <c r="AP16" s="14">
        <v>47731</v>
      </c>
      <c r="AQ16" s="14">
        <v>51808</v>
      </c>
      <c r="AR16" s="14">
        <v>49489</v>
      </c>
      <c r="AS16" s="14">
        <v>53859</v>
      </c>
      <c r="AT16" s="14">
        <v>56813</v>
      </c>
      <c r="AU16" s="14">
        <v>67094</v>
      </c>
      <c r="AV16" s="14">
        <v>74448</v>
      </c>
      <c r="AW16" s="14">
        <v>83549</v>
      </c>
      <c r="AX16" s="14">
        <v>97803</v>
      </c>
      <c r="AY16" s="14">
        <v>102125</v>
      </c>
      <c r="AZ16" s="14">
        <v>98406</v>
      </c>
      <c r="BA16" s="14">
        <v>107521</v>
      </c>
      <c r="BB16" s="14">
        <v>120717</v>
      </c>
      <c r="BC16" s="14">
        <v>124182</v>
      </c>
      <c r="BD16" s="14">
        <v>129331</v>
      </c>
    </row>
    <row r="17" spans="1:56">
      <c r="A17" s="14" t="s">
        <v>61</v>
      </c>
      <c r="B17" s="14" t="s">
        <v>644</v>
      </c>
      <c r="C17" s="14">
        <v>570</v>
      </c>
      <c r="D17" s="14">
        <v>607</v>
      </c>
      <c r="E17" s="14">
        <v>585</v>
      </c>
      <c r="F17" s="14">
        <v>613</v>
      </c>
      <c r="G17" s="14">
        <v>651</v>
      </c>
      <c r="H17" s="14">
        <v>714</v>
      </c>
      <c r="I17" s="14">
        <v>814</v>
      </c>
      <c r="J17" s="14">
        <v>951</v>
      </c>
      <c r="K17" s="14">
        <v>1024</v>
      </c>
      <c r="L17" s="14">
        <v>1160</v>
      </c>
      <c r="M17" s="14">
        <v>1294</v>
      </c>
      <c r="N17" s="14">
        <v>1546</v>
      </c>
      <c r="O17" s="14">
        <v>1764</v>
      </c>
      <c r="P17" s="14">
        <v>1985</v>
      </c>
      <c r="Q17" s="14">
        <v>2321</v>
      </c>
      <c r="R17" s="14">
        <v>2920</v>
      </c>
      <c r="S17" s="14">
        <v>3584</v>
      </c>
      <c r="T17" s="14">
        <v>3848</v>
      </c>
      <c r="U17" s="14">
        <v>4717</v>
      </c>
      <c r="V17" s="14">
        <v>5439</v>
      </c>
      <c r="W17" s="14">
        <v>6276</v>
      </c>
      <c r="X17" s="14" t="s">
        <v>664</v>
      </c>
      <c r="Y17" s="14">
        <v>17444</v>
      </c>
      <c r="Z17" s="14">
        <v>18192</v>
      </c>
      <c r="AA17" s="14">
        <v>19255</v>
      </c>
      <c r="AB17" s="14">
        <v>20035</v>
      </c>
      <c r="AC17" s="14" t="s">
        <v>663</v>
      </c>
      <c r="AD17" s="14">
        <v>29263</v>
      </c>
      <c r="AE17" s="14">
        <v>31111</v>
      </c>
      <c r="AF17" s="14">
        <v>36729</v>
      </c>
      <c r="AG17" s="14">
        <v>40251</v>
      </c>
      <c r="AH17" s="14">
        <v>47748</v>
      </c>
      <c r="AI17" s="14" t="s">
        <v>662</v>
      </c>
      <c r="AJ17" s="14">
        <v>53510</v>
      </c>
      <c r="AK17" s="14">
        <v>60841</v>
      </c>
      <c r="AL17" s="14">
        <v>65048</v>
      </c>
      <c r="AM17" s="14">
        <v>73340</v>
      </c>
      <c r="AN17" s="14">
        <v>83929</v>
      </c>
      <c r="AO17" s="14">
        <v>91774</v>
      </c>
      <c r="AP17" s="14">
        <v>96812</v>
      </c>
      <c r="AQ17" s="14">
        <v>100792</v>
      </c>
      <c r="AR17" s="14">
        <v>106909</v>
      </c>
      <c r="AS17" s="14">
        <v>115051</v>
      </c>
      <c r="AT17" s="14">
        <v>124154</v>
      </c>
      <c r="AU17" s="14">
        <v>141857</v>
      </c>
      <c r="AV17" s="14">
        <v>154133</v>
      </c>
      <c r="AW17" s="14">
        <v>177276</v>
      </c>
      <c r="AX17" s="14">
        <v>209307</v>
      </c>
      <c r="AY17" s="14">
        <v>228770</v>
      </c>
      <c r="AZ17" s="14">
        <v>235744</v>
      </c>
      <c r="BA17" s="14">
        <v>255989</v>
      </c>
      <c r="BB17" s="14">
        <v>279645</v>
      </c>
      <c r="BC17" s="14">
        <v>294527</v>
      </c>
      <c r="BD17" s="14">
        <v>304440</v>
      </c>
    </row>
    <row r="18" spans="1:56">
      <c r="A18" s="14" t="s">
        <v>60</v>
      </c>
      <c r="B18" s="14" t="s">
        <v>640</v>
      </c>
      <c r="C18" s="14">
        <v>153</v>
      </c>
      <c r="D18" s="14">
        <v>164</v>
      </c>
      <c r="E18" s="14">
        <v>195</v>
      </c>
      <c r="F18" s="14">
        <v>236</v>
      </c>
      <c r="G18" s="14">
        <v>265</v>
      </c>
      <c r="H18" s="14">
        <v>285</v>
      </c>
      <c r="I18" s="14">
        <v>326</v>
      </c>
      <c r="J18" s="14">
        <v>336</v>
      </c>
      <c r="K18" s="14">
        <v>353</v>
      </c>
      <c r="L18" s="14">
        <v>343</v>
      </c>
      <c r="M18" s="14">
        <v>332</v>
      </c>
      <c r="N18" s="14">
        <v>347</v>
      </c>
      <c r="O18" s="14">
        <v>357</v>
      </c>
      <c r="P18" s="14">
        <v>401</v>
      </c>
      <c r="Q18" s="14">
        <v>419</v>
      </c>
      <c r="R18" s="14">
        <v>446</v>
      </c>
      <c r="S18" s="14">
        <v>489</v>
      </c>
      <c r="T18" s="14">
        <v>557</v>
      </c>
      <c r="U18" s="14">
        <v>620</v>
      </c>
      <c r="V18" s="14">
        <v>520</v>
      </c>
      <c r="W18" s="14">
        <v>398</v>
      </c>
      <c r="X18" s="14">
        <v>517</v>
      </c>
      <c r="Y18" s="14">
        <v>576</v>
      </c>
      <c r="Z18" s="14">
        <v>666</v>
      </c>
      <c r="AA18" s="14">
        <v>714</v>
      </c>
      <c r="AB18" s="14">
        <v>878</v>
      </c>
      <c r="AC18" s="14">
        <v>595</v>
      </c>
      <c r="AD18" s="14">
        <v>526</v>
      </c>
      <c r="AE18" s="14">
        <v>664</v>
      </c>
      <c r="AF18" s="14">
        <v>587</v>
      </c>
      <c r="AG18" s="14">
        <v>668</v>
      </c>
      <c r="AH18" s="14">
        <v>690</v>
      </c>
      <c r="AI18" s="14">
        <v>841</v>
      </c>
      <c r="AJ18" s="14">
        <v>883</v>
      </c>
      <c r="AK18" s="14">
        <v>887</v>
      </c>
      <c r="AL18" s="14">
        <v>818</v>
      </c>
      <c r="AM18" s="14">
        <v>928</v>
      </c>
      <c r="AN18" s="14">
        <v>955</v>
      </c>
      <c r="AO18" s="14">
        <v>926</v>
      </c>
      <c r="AP18" s="14">
        <v>657</v>
      </c>
      <c r="AQ18" s="14">
        <v>542</v>
      </c>
      <c r="AR18" s="14">
        <v>573</v>
      </c>
      <c r="AS18" s="14">
        <v>560</v>
      </c>
      <c r="AT18" s="14">
        <v>631</v>
      </c>
      <c r="AU18" s="14">
        <v>849</v>
      </c>
      <c r="AV18" s="14">
        <v>1125</v>
      </c>
      <c r="AW18" s="14">
        <v>1324</v>
      </c>
      <c r="AX18" s="14">
        <v>1522</v>
      </c>
      <c r="AY18" s="14">
        <v>1814</v>
      </c>
      <c r="AZ18" s="14">
        <v>1908</v>
      </c>
      <c r="BA18" s="14">
        <v>2087</v>
      </c>
      <c r="BB18" s="14">
        <v>2408</v>
      </c>
      <c r="BC18" s="14">
        <v>2688</v>
      </c>
      <c r="BD18" s="14">
        <v>2845</v>
      </c>
    </row>
    <row r="19" spans="1:56">
      <c r="A19" s="14" t="s">
        <v>59</v>
      </c>
      <c r="B19" s="14" t="s">
        <v>661</v>
      </c>
      <c r="C19" s="14">
        <v>4616</v>
      </c>
      <c r="D19" s="14">
        <v>4999</v>
      </c>
      <c r="E19" s="14">
        <v>5618</v>
      </c>
      <c r="F19" s="14">
        <v>6157</v>
      </c>
      <c r="G19" s="14">
        <v>6824</v>
      </c>
      <c r="H19" s="14">
        <v>7437</v>
      </c>
      <c r="I19" s="14">
        <v>7528</v>
      </c>
      <c r="J19" s="14">
        <v>8021</v>
      </c>
      <c r="K19" s="14">
        <v>9367</v>
      </c>
      <c r="L19" s="14">
        <v>10913</v>
      </c>
      <c r="M19" s="14">
        <v>11748</v>
      </c>
      <c r="N19" s="14">
        <v>12707</v>
      </c>
      <c r="O19" s="14">
        <v>14765</v>
      </c>
      <c r="P19" s="14">
        <v>21808</v>
      </c>
      <c r="Q19" s="14">
        <v>27587</v>
      </c>
      <c r="R19" s="14">
        <v>25351</v>
      </c>
      <c r="S19" s="14">
        <v>29375</v>
      </c>
      <c r="T19" s="14">
        <v>32354</v>
      </c>
      <c r="U19" s="14">
        <v>42088</v>
      </c>
      <c r="V19" s="14">
        <v>63834</v>
      </c>
      <c r="W19" s="14">
        <v>72606</v>
      </c>
      <c r="X19" s="14">
        <v>86529</v>
      </c>
      <c r="Y19" s="14">
        <v>91747</v>
      </c>
      <c r="Z19" s="14">
        <v>90000</v>
      </c>
      <c r="AA19" s="14">
        <v>108819</v>
      </c>
      <c r="AB19" s="14">
        <v>98542</v>
      </c>
      <c r="AC19" s="14">
        <v>97064</v>
      </c>
      <c r="AD19" s="14">
        <v>108184</v>
      </c>
      <c r="AE19" s="14">
        <v>136713</v>
      </c>
      <c r="AF19" s="14">
        <v>161287</v>
      </c>
      <c r="AG19" s="14">
        <v>171742</v>
      </c>
      <c r="AH19" s="14">
        <v>149214</v>
      </c>
      <c r="AI19" s="14">
        <v>133766</v>
      </c>
      <c r="AJ19" s="14">
        <v>136057</v>
      </c>
      <c r="AK19" s="14">
        <v>166521</v>
      </c>
      <c r="AL19" s="14">
        <v>210244</v>
      </c>
      <c r="AM19" s="14">
        <v>226129</v>
      </c>
      <c r="AN19" s="14">
        <v>256804</v>
      </c>
      <c r="AO19" s="14">
        <v>261819</v>
      </c>
      <c r="AP19" s="14">
        <v>295423</v>
      </c>
      <c r="AQ19" s="14">
        <v>352478</v>
      </c>
      <c r="AR19" s="14">
        <v>292430</v>
      </c>
      <c r="AS19" s="14">
        <v>282701</v>
      </c>
      <c r="AT19" s="14">
        <v>322411</v>
      </c>
      <c r="AU19" s="14">
        <v>415793</v>
      </c>
      <c r="AV19" s="14">
        <v>537339</v>
      </c>
      <c r="AW19" s="14">
        <v>684677</v>
      </c>
      <c r="AX19" s="14">
        <v>833951</v>
      </c>
      <c r="AY19" s="14">
        <v>814086</v>
      </c>
      <c r="AZ19" s="14">
        <v>606599</v>
      </c>
      <c r="BA19" s="14">
        <v>678051</v>
      </c>
      <c r="BB19" s="14">
        <v>760829</v>
      </c>
      <c r="BC19" s="14">
        <v>776364</v>
      </c>
      <c r="BD19" s="14">
        <v>789065</v>
      </c>
    </row>
    <row r="20" spans="1:56">
      <c r="A20" s="14" t="s">
        <v>57</v>
      </c>
      <c r="B20" s="14" t="s">
        <v>660</v>
      </c>
      <c r="C20" s="14">
        <v>4616</v>
      </c>
      <c r="D20" s="14">
        <v>4999</v>
      </c>
      <c r="E20" s="14">
        <v>5618</v>
      </c>
      <c r="F20" s="14">
        <v>6157</v>
      </c>
      <c r="G20" s="14">
        <v>6824</v>
      </c>
      <c r="H20" s="14">
        <v>7437</v>
      </c>
      <c r="I20" s="14">
        <v>7528</v>
      </c>
      <c r="J20" s="14">
        <v>8021</v>
      </c>
      <c r="K20" s="14">
        <v>9367</v>
      </c>
      <c r="L20" s="14">
        <v>10913</v>
      </c>
      <c r="M20" s="14">
        <v>11748</v>
      </c>
      <c r="N20" s="14">
        <v>12707</v>
      </c>
      <c r="O20" s="14">
        <v>14765</v>
      </c>
      <c r="P20" s="14">
        <v>21808</v>
      </c>
      <c r="Q20" s="14">
        <v>27587</v>
      </c>
      <c r="R20" s="14">
        <v>25351</v>
      </c>
      <c r="S20" s="14">
        <v>29375</v>
      </c>
      <c r="T20" s="14">
        <v>32354</v>
      </c>
      <c r="U20" s="14">
        <v>42088</v>
      </c>
      <c r="V20" s="14">
        <v>63834</v>
      </c>
      <c r="W20" s="14">
        <v>72606</v>
      </c>
      <c r="X20" s="14">
        <v>86529</v>
      </c>
      <c r="Y20" s="14">
        <v>91747</v>
      </c>
      <c r="Z20" s="14">
        <v>90000</v>
      </c>
      <c r="AA20" s="14">
        <v>108819</v>
      </c>
      <c r="AB20" s="14">
        <v>98542</v>
      </c>
      <c r="AC20" s="14">
        <v>96156</v>
      </c>
      <c r="AD20" s="14">
        <v>107190</v>
      </c>
      <c r="AE20" s="14">
        <v>135718</v>
      </c>
      <c r="AF20" s="14">
        <v>160270</v>
      </c>
      <c r="AG20" s="14">
        <v>170570</v>
      </c>
      <c r="AH20" s="14">
        <v>147924</v>
      </c>
      <c r="AI20" s="14">
        <v>131970</v>
      </c>
      <c r="AJ20" s="14">
        <v>134237</v>
      </c>
      <c r="AK20" s="14">
        <v>164578</v>
      </c>
      <c r="AL20" s="14">
        <v>208065</v>
      </c>
      <c r="AM20" s="14">
        <v>223948</v>
      </c>
      <c r="AN20" s="14">
        <v>254534</v>
      </c>
      <c r="AO20" s="14">
        <v>259382</v>
      </c>
      <c r="AP20" s="14">
        <v>291177</v>
      </c>
      <c r="AQ20" s="14">
        <v>348083</v>
      </c>
      <c r="AR20" s="14">
        <v>287918</v>
      </c>
      <c r="AS20" s="14">
        <v>278131</v>
      </c>
      <c r="AT20" s="14">
        <v>317740</v>
      </c>
      <c r="AU20" s="14">
        <v>411059</v>
      </c>
      <c r="AV20" s="14">
        <v>532542</v>
      </c>
      <c r="AW20" s="14">
        <v>679608</v>
      </c>
      <c r="AX20" s="14">
        <v>828732</v>
      </c>
      <c r="AY20" s="14">
        <v>808721</v>
      </c>
      <c r="AZ20" s="14">
        <v>600859</v>
      </c>
      <c r="BA20" s="14">
        <v>672120</v>
      </c>
      <c r="BB20" s="14">
        <v>754724</v>
      </c>
      <c r="BC20" s="14">
        <v>770079</v>
      </c>
      <c r="BD20" s="14">
        <v>782442</v>
      </c>
    </row>
    <row r="21" spans="1:56">
      <c r="A21" s="14" t="s">
        <v>55</v>
      </c>
      <c r="B21" s="14" t="s">
        <v>659</v>
      </c>
      <c r="C21" s="14">
        <v>3621</v>
      </c>
      <c r="D21" s="14">
        <v>3823</v>
      </c>
      <c r="E21" s="14">
        <v>4241</v>
      </c>
      <c r="F21" s="14">
        <v>4636</v>
      </c>
      <c r="G21" s="14">
        <v>5106</v>
      </c>
      <c r="H21" s="14">
        <v>5506</v>
      </c>
      <c r="I21" s="14">
        <v>5260</v>
      </c>
      <c r="J21" s="14">
        <v>5603</v>
      </c>
      <c r="K21" s="14">
        <v>6591</v>
      </c>
      <c r="L21" s="14">
        <v>7649</v>
      </c>
      <c r="M21" s="14">
        <v>8169</v>
      </c>
      <c r="N21" s="14">
        <v>9160</v>
      </c>
      <c r="O21" s="14">
        <v>10949</v>
      </c>
      <c r="P21" s="14">
        <v>16542</v>
      </c>
      <c r="Q21" s="14">
        <v>19157</v>
      </c>
      <c r="R21" s="14">
        <v>16595</v>
      </c>
      <c r="S21" s="14">
        <v>18999</v>
      </c>
      <c r="T21" s="14">
        <v>19673</v>
      </c>
      <c r="U21" s="14">
        <v>25458</v>
      </c>
      <c r="V21" s="14">
        <v>38183</v>
      </c>
      <c r="W21" s="14">
        <v>37146</v>
      </c>
      <c r="X21" s="14">
        <v>32549</v>
      </c>
      <c r="Y21" s="14">
        <v>29469</v>
      </c>
      <c r="Z21" s="14">
        <v>31750</v>
      </c>
      <c r="AA21" s="14">
        <v>35325</v>
      </c>
      <c r="AB21" s="14">
        <v>35410</v>
      </c>
      <c r="AC21" s="14">
        <v>36938</v>
      </c>
      <c r="AD21" s="14">
        <v>46288</v>
      </c>
      <c r="AE21" s="14">
        <v>58445</v>
      </c>
      <c r="AF21" s="14">
        <v>61981</v>
      </c>
      <c r="AG21" s="14">
        <v>65973</v>
      </c>
      <c r="AH21" s="14">
        <v>58718</v>
      </c>
      <c r="AI21" s="14">
        <v>57538</v>
      </c>
      <c r="AJ21" s="14">
        <v>67246</v>
      </c>
      <c r="AK21" s="14">
        <v>77344</v>
      </c>
      <c r="AL21" s="14">
        <v>95260</v>
      </c>
      <c r="AM21" s="14">
        <v>102505</v>
      </c>
      <c r="AN21" s="14">
        <v>115323</v>
      </c>
      <c r="AO21" s="14">
        <v>103963</v>
      </c>
      <c r="AP21" s="14">
        <v>131626</v>
      </c>
      <c r="AQ21" s="14">
        <v>151839</v>
      </c>
      <c r="AR21" s="14">
        <v>128665</v>
      </c>
      <c r="AS21" s="14">
        <v>145590</v>
      </c>
      <c r="AT21" s="14">
        <v>186417</v>
      </c>
      <c r="AU21" s="14">
        <v>250606</v>
      </c>
      <c r="AV21" s="14">
        <v>294538</v>
      </c>
      <c r="AW21" s="14">
        <v>324816</v>
      </c>
      <c r="AX21" s="14">
        <v>370758</v>
      </c>
      <c r="AY21" s="14">
        <v>413739</v>
      </c>
      <c r="AZ21" s="14">
        <v>362520</v>
      </c>
      <c r="BA21" s="14">
        <v>440906</v>
      </c>
      <c r="BB21" s="14">
        <v>478803</v>
      </c>
      <c r="BC21" s="14">
        <v>470233</v>
      </c>
      <c r="BD21" s="14">
        <v>470088</v>
      </c>
    </row>
    <row r="22" spans="1:56">
      <c r="A22" s="14" t="s">
        <v>54</v>
      </c>
      <c r="B22" s="14" t="s">
        <v>658</v>
      </c>
      <c r="C22" s="14">
        <v>646</v>
      </c>
      <c r="D22" s="14">
        <v>793</v>
      </c>
      <c r="E22" s="14">
        <v>904</v>
      </c>
      <c r="F22" s="14">
        <v>1022</v>
      </c>
      <c r="G22" s="14">
        <v>1256</v>
      </c>
      <c r="H22" s="14">
        <v>1421</v>
      </c>
      <c r="I22" s="14">
        <v>1669</v>
      </c>
      <c r="J22" s="14">
        <v>1781</v>
      </c>
      <c r="K22" s="14">
        <v>2021</v>
      </c>
      <c r="L22" s="14">
        <v>2338</v>
      </c>
      <c r="M22" s="14">
        <v>2671</v>
      </c>
      <c r="N22" s="14">
        <v>2641</v>
      </c>
      <c r="O22" s="14">
        <v>2949</v>
      </c>
      <c r="P22" s="14">
        <v>4330</v>
      </c>
      <c r="Q22" s="14">
        <v>7356</v>
      </c>
      <c r="R22" s="14">
        <v>7644</v>
      </c>
      <c r="S22" s="14">
        <v>9043</v>
      </c>
      <c r="T22" s="14">
        <v>11057</v>
      </c>
      <c r="U22" s="14">
        <v>14788</v>
      </c>
      <c r="V22" s="14">
        <v>23356</v>
      </c>
      <c r="W22" s="14">
        <v>32898</v>
      </c>
      <c r="X22" s="14">
        <v>50300</v>
      </c>
      <c r="Y22" s="14">
        <v>58160</v>
      </c>
      <c r="Z22" s="14">
        <v>53418</v>
      </c>
      <c r="AA22" s="14">
        <v>68267</v>
      </c>
      <c r="AB22" s="14">
        <v>57633</v>
      </c>
      <c r="AC22" s="14">
        <v>52806</v>
      </c>
      <c r="AD22" s="14">
        <v>55592</v>
      </c>
      <c r="AE22" s="14">
        <v>70571</v>
      </c>
      <c r="AF22" s="14">
        <v>92638</v>
      </c>
      <c r="AG22" s="14">
        <v>94072</v>
      </c>
      <c r="AH22" s="14">
        <v>81186</v>
      </c>
      <c r="AI22" s="14">
        <v>67316</v>
      </c>
      <c r="AJ22" s="14">
        <v>61865</v>
      </c>
      <c r="AK22" s="14">
        <v>83106</v>
      </c>
      <c r="AL22" s="14">
        <v>108092</v>
      </c>
      <c r="AM22" s="14">
        <v>116852</v>
      </c>
      <c r="AN22" s="14">
        <v>135652</v>
      </c>
      <c r="AO22" s="14">
        <v>151818</v>
      </c>
      <c r="AP22" s="14">
        <v>156354</v>
      </c>
      <c r="AQ22" s="14">
        <v>192398</v>
      </c>
      <c r="AR22" s="14">
        <v>155692</v>
      </c>
      <c r="AS22" s="14">
        <v>129238</v>
      </c>
      <c r="AT22" s="14">
        <v>126529</v>
      </c>
      <c r="AU22" s="14">
        <v>157313</v>
      </c>
      <c r="AV22" s="14">
        <v>235120</v>
      </c>
      <c r="AW22" s="14">
        <v>352122</v>
      </c>
      <c r="AX22" s="14">
        <v>455436</v>
      </c>
      <c r="AY22" s="14">
        <v>389881</v>
      </c>
      <c r="AZ22" s="14">
        <v>233547</v>
      </c>
      <c r="BA22" s="14">
        <v>229720</v>
      </c>
      <c r="BB22" s="14">
        <v>273999</v>
      </c>
      <c r="BC22" s="14">
        <v>297891</v>
      </c>
      <c r="BD22" s="14">
        <v>310866</v>
      </c>
    </row>
    <row r="23" spans="1:56">
      <c r="A23" s="14" t="s">
        <v>53</v>
      </c>
      <c r="B23" s="14" t="s">
        <v>657</v>
      </c>
      <c r="C23" s="14">
        <v>349</v>
      </c>
      <c r="D23" s="14">
        <v>383</v>
      </c>
      <c r="E23" s="14">
        <v>473</v>
      </c>
      <c r="F23" s="14">
        <v>499</v>
      </c>
      <c r="G23" s="14">
        <v>462</v>
      </c>
      <c r="H23" s="14">
        <v>510</v>
      </c>
      <c r="I23" s="14">
        <v>599</v>
      </c>
      <c r="J23" s="14">
        <v>636</v>
      </c>
      <c r="K23" s="14">
        <v>756</v>
      </c>
      <c r="L23" s="14">
        <v>925</v>
      </c>
      <c r="M23" s="14">
        <v>907</v>
      </c>
      <c r="N23" s="14">
        <v>906</v>
      </c>
      <c r="O23" s="14">
        <v>866</v>
      </c>
      <c r="P23" s="14">
        <v>936</v>
      </c>
      <c r="Q23" s="14">
        <v>1074</v>
      </c>
      <c r="R23" s="14">
        <v>1112</v>
      </c>
      <c r="S23" s="14">
        <v>1332</v>
      </c>
      <c r="T23" s="14">
        <v>1625</v>
      </c>
      <c r="U23" s="14">
        <v>1843</v>
      </c>
      <c r="V23" s="14">
        <v>2295</v>
      </c>
      <c r="W23" s="14">
        <v>2562</v>
      </c>
      <c r="X23" s="14">
        <v>3680</v>
      </c>
      <c r="Y23" s="14">
        <v>4118</v>
      </c>
      <c r="Z23" s="14">
        <v>4832</v>
      </c>
      <c r="AA23" s="14">
        <v>5227</v>
      </c>
      <c r="AB23" s="14">
        <v>5499</v>
      </c>
      <c r="AC23" s="14">
        <v>6413</v>
      </c>
      <c r="AD23" s="14">
        <v>5311</v>
      </c>
      <c r="AE23" s="14">
        <v>6703</v>
      </c>
      <c r="AF23" s="14">
        <v>5651</v>
      </c>
      <c r="AG23" s="14">
        <v>10525</v>
      </c>
      <c r="AH23" s="14">
        <v>8019</v>
      </c>
      <c r="AI23" s="14">
        <v>7115</v>
      </c>
      <c r="AJ23" s="14">
        <v>5126</v>
      </c>
      <c r="AK23" s="14">
        <v>4128</v>
      </c>
      <c r="AL23" s="14">
        <v>4713</v>
      </c>
      <c r="AM23" s="14">
        <v>4591</v>
      </c>
      <c r="AN23" s="14">
        <v>3559</v>
      </c>
      <c r="AO23" s="14">
        <v>3601</v>
      </c>
      <c r="AP23" s="14">
        <v>3197</v>
      </c>
      <c r="AQ23" s="14">
        <v>3846</v>
      </c>
      <c r="AR23" s="14">
        <v>3561</v>
      </c>
      <c r="AS23" s="14">
        <v>3303</v>
      </c>
      <c r="AT23" s="14">
        <v>4794</v>
      </c>
      <c r="AU23" s="14">
        <v>3140</v>
      </c>
      <c r="AV23" s="14">
        <v>2884</v>
      </c>
      <c r="AW23" s="14">
        <v>2670</v>
      </c>
      <c r="AX23" s="14">
        <v>2538</v>
      </c>
      <c r="AY23" s="14">
        <v>5101</v>
      </c>
      <c r="AZ23" s="14">
        <v>4792</v>
      </c>
      <c r="BA23" s="14">
        <v>1494</v>
      </c>
      <c r="BB23" s="14">
        <v>1923</v>
      </c>
      <c r="BC23" s="14">
        <v>1954</v>
      </c>
      <c r="BD23" s="14">
        <v>1488</v>
      </c>
    </row>
    <row r="24" spans="1:56">
      <c r="A24" s="14" t="s">
        <v>52</v>
      </c>
      <c r="B24" s="14" t="s">
        <v>634</v>
      </c>
      <c r="C24" s="14" t="s">
        <v>579</v>
      </c>
      <c r="D24" s="14" t="s">
        <v>579</v>
      </c>
      <c r="E24" s="14" t="s">
        <v>579</v>
      </c>
      <c r="F24" s="14" t="s">
        <v>579</v>
      </c>
      <c r="G24" s="14" t="s">
        <v>579</v>
      </c>
      <c r="H24" s="14" t="s">
        <v>579</v>
      </c>
      <c r="I24" s="14" t="s">
        <v>579</v>
      </c>
      <c r="J24" s="14" t="s">
        <v>579</v>
      </c>
      <c r="K24" s="14" t="s">
        <v>579</v>
      </c>
      <c r="L24" s="14" t="s">
        <v>579</v>
      </c>
      <c r="M24" s="14" t="s">
        <v>579</v>
      </c>
      <c r="N24" s="14" t="s">
        <v>579</v>
      </c>
      <c r="O24" s="14" t="s">
        <v>579</v>
      </c>
      <c r="P24" s="14" t="s">
        <v>579</v>
      </c>
      <c r="Q24" s="14" t="s">
        <v>579</v>
      </c>
      <c r="R24" s="14" t="s">
        <v>579</v>
      </c>
      <c r="S24" s="14" t="s">
        <v>579</v>
      </c>
      <c r="T24" s="14" t="s">
        <v>579</v>
      </c>
      <c r="U24" s="14" t="s">
        <v>579</v>
      </c>
      <c r="V24" s="14" t="s">
        <v>579</v>
      </c>
      <c r="W24" s="14" t="s">
        <v>579</v>
      </c>
      <c r="X24" s="14" t="s">
        <v>579</v>
      </c>
      <c r="Y24" s="14" t="s">
        <v>579</v>
      </c>
      <c r="Z24" s="14" t="s">
        <v>579</v>
      </c>
      <c r="AA24" s="14" t="s">
        <v>579</v>
      </c>
      <c r="AB24" s="14" t="s">
        <v>579</v>
      </c>
      <c r="AC24" s="14">
        <v>908</v>
      </c>
      <c r="AD24" s="14">
        <v>994</v>
      </c>
      <c r="AE24" s="14">
        <v>995</v>
      </c>
      <c r="AF24" s="14">
        <v>1017</v>
      </c>
      <c r="AG24" s="14">
        <v>1172</v>
      </c>
      <c r="AH24" s="14">
        <v>1290</v>
      </c>
      <c r="AI24" s="14">
        <v>1796</v>
      </c>
      <c r="AJ24" s="14">
        <v>1820</v>
      </c>
      <c r="AK24" s="14">
        <v>1943</v>
      </c>
      <c r="AL24" s="14">
        <v>2179</v>
      </c>
      <c r="AM24" s="14">
        <v>2181</v>
      </c>
      <c r="AN24" s="14">
        <v>2270</v>
      </c>
      <c r="AO24" s="14">
        <v>2437</v>
      </c>
      <c r="AP24" s="14">
        <v>4246</v>
      </c>
      <c r="AQ24" s="14">
        <v>4395</v>
      </c>
      <c r="AR24" s="14">
        <v>4512</v>
      </c>
      <c r="AS24" s="14">
        <v>4570</v>
      </c>
      <c r="AT24" s="14">
        <v>4671</v>
      </c>
      <c r="AU24" s="14">
        <v>4734</v>
      </c>
      <c r="AV24" s="14">
        <v>4796</v>
      </c>
      <c r="AW24" s="14">
        <v>5069</v>
      </c>
      <c r="AX24" s="14">
        <v>5219</v>
      </c>
      <c r="AY24" s="14">
        <v>5364</v>
      </c>
      <c r="AZ24" s="14">
        <v>5740</v>
      </c>
      <c r="BA24" s="14">
        <v>5931</v>
      </c>
      <c r="BB24" s="14">
        <v>6105</v>
      </c>
      <c r="BC24" s="14">
        <v>6286</v>
      </c>
      <c r="BD24" s="14">
        <v>6623</v>
      </c>
    </row>
    <row r="25" spans="1:56">
      <c r="A25" s="14" t="s">
        <v>51</v>
      </c>
      <c r="B25" s="10" t="s">
        <v>656</v>
      </c>
      <c r="C25" s="14">
        <v>-23670</v>
      </c>
      <c r="D25" s="14">
        <v>-23453</v>
      </c>
      <c r="E25" s="14">
        <v>-25676</v>
      </c>
      <c r="F25" s="14">
        <v>-26970</v>
      </c>
      <c r="G25" s="14">
        <v>-29102</v>
      </c>
      <c r="H25" s="14">
        <v>-32708</v>
      </c>
      <c r="I25" s="14">
        <v>-38468</v>
      </c>
      <c r="J25" s="14">
        <v>-41476</v>
      </c>
      <c r="K25" s="14">
        <v>-48671</v>
      </c>
      <c r="L25" s="14">
        <v>-53998</v>
      </c>
      <c r="M25" s="14">
        <v>-59901</v>
      </c>
      <c r="N25" s="14">
        <v>-66414</v>
      </c>
      <c r="O25" s="14">
        <v>-79237</v>
      </c>
      <c r="P25" s="14">
        <v>-98997</v>
      </c>
      <c r="Q25" s="14">
        <v>-137274</v>
      </c>
      <c r="R25" s="14">
        <v>-132745</v>
      </c>
      <c r="S25" s="14">
        <v>-162109</v>
      </c>
      <c r="T25" s="14">
        <v>-193764</v>
      </c>
      <c r="U25" s="14">
        <v>-229870</v>
      </c>
      <c r="V25" s="14">
        <v>-281657</v>
      </c>
      <c r="W25" s="14">
        <v>-333774</v>
      </c>
      <c r="X25" s="14">
        <v>-364196</v>
      </c>
      <c r="Y25" s="14">
        <v>-355975</v>
      </c>
      <c r="Z25" s="14">
        <v>-377488</v>
      </c>
      <c r="AA25" s="14">
        <v>-473923</v>
      </c>
      <c r="AB25" s="14">
        <v>-483769</v>
      </c>
      <c r="AC25" s="14">
        <v>-530142</v>
      </c>
      <c r="AD25" s="14">
        <v>-594443</v>
      </c>
      <c r="AE25" s="14">
        <v>-663741</v>
      </c>
      <c r="AF25" s="14">
        <v>-721607</v>
      </c>
      <c r="AG25" s="14">
        <v>-759290</v>
      </c>
      <c r="AH25" s="14">
        <v>-734563</v>
      </c>
      <c r="AI25" s="14">
        <v>-765626</v>
      </c>
      <c r="AJ25" s="14">
        <v>-823914</v>
      </c>
      <c r="AK25" s="14">
        <v>-951122</v>
      </c>
      <c r="AL25" s="14">
        <v>-1080124</v>
      </c>
      <c r="AM25" s="14">
        <v>-1159478</v>
      </c>
      <c r="AN25" s="14">
        <v>-1286921</v>
      </c>
      <c r="AO25" s="14">
        <v>-1356868</v>
      </c>
      <c r="AP25" s="14">
        <v>-1514255</v>
      </c>
      <c r="AQ25" s="14">
        <v>-1783419</v>
      </c>
      <c r="AR25" s="14">
        <v>-1632766</v>
      </c>
      <c r="AS25" s="14">
        <v>-1656570</v>
      </c>
      <c r="AT25" s="14">
        <v>-1794133</v>
      </c>
      <c r="AU25" s="14">
        <v>-2120285</v>
      </c>
      <c r="AV25" s="14">
        <v>-2465880</v>
      </c>
      <c r="AW25" s="14">
        <v>-2854530</v>
      </c>
      <c r="AX25" s="14">
        <v>-3085270</v>
      </c>
      <c r="AY25" s="14">
        <v>-3210575</v>
      </c>
      <c r="AZ25" s="14">
        <v>-2444863</v>
      </c>
      <c r="BA25" s="14">
        <v>-2844240</v>
      </c>
      <c r="BB25" s="14">
        <v>-3197844</v>
      </c>
      <c r="BC25" s="14">
        <v>-3297677</v>
      </c>
      <c r="BD25" s="14">
        <v>-3306549</v>
      </c>
    </row>
    <row r="26" spans="1:56">
      <c r="A26" s="14" t="s">
        <v>49</v>
      </c>
      <c r="B26" s="14" t="s">
        <v>655</v>
      </c>
      <c r="C26" s="14">
        <v>-22432</v>
      </c>
      <c r="D26" s="14">
        <v>-22208</v>
      </c>
      <c r="E26" s="14">
        <v>-24352</v>
      </c>
      <c r="F26" s="14">
        <v>-25410</v>
      </c>
      <c r="G26" s="14">
        <v>-27319</v>
      </c>
      <c r="H26" s="14">
        <v>-30621</v>
      </c>
      <c r="I26" s="14">
        <v>-35987</v>
      </c>
      <c r="J26" s="14">
        <v>-38729</v>
      </c>
      <c r="K26" s="14">
        <v>-45293</v>
      </c>
      <c r="L26" s="14">
        <v>-49129</v>
      </c>
      <c r="M26" s="14">
        <v>-54386</v>
      </c>
      <c r="N26" s="14">
        <v>-60979</v>
      </c>
      <c r="O26" s="14">
        <v>-72665</v>
      </c>
      <c r="P26" s="14">
        <v>-89342</v>
      </c>
      <c r="Q26" s="14">
        <v>-125190</v>
      </c>
      <c r="R26" s="14">
        <v>-120181</v>
      </c>
      <c r="S26" s="14">
        <v>-148798</v>
      </c>
      <c r="T26" s="14">
        <v>-179547</v>
      </c>
      <c r="U26" s="14">
        <v>-208191</v>
      </c>
      <c r="V26" s="14">
        <v>-248696</v>
      </c>
      <c r="W26" s="14">
        <v>-291241</v>
      </c>
      <c r="X26" s="14">
        <v>-310570</v>
      </c>
      <c r="Y26" s="14">
        <v>-299391</v>
      </c>
      <c r="Z26" s="14">
        <v>-323874</v>
      </c>
      <c r="AA26" s="14">
        <v>-400166</v>
      </c>
      <c r="AB26" s="14">
        <v>-410950</v>
      </c>
      <c r="AC26" s="14">
        <v>-448572</v>
      </c>
      <c r="AD26" s="14">
        <v>-500552</v>
      </c>
      <c r="AE26" s="14">
        <v>-545715</v>
      </c>
      <c r="AF26" s="14">
        <v>-580144</v>
      </c>
      <c r="AG26" s="14">
        <v>-616097</v>
      </c>
      <c r="AH26" s="14">
        <v>-609479</v>
      </c>
      <c r="AI26" s="14">
        <v>-656094</v>
      </c>
      <c r="AJ26" s="14">
        <v>-713173</v>
      </c>
      <c r="AK26" s="14">
        <v>-801747</v>
      </c>
      <c r="AL26" s="14">
        <v>-890771</v>
      </c>
      <c r="AM26" s="14">
        <v>-955667</v>
      </c>
      <c r="AN26" s="14">
        <v>-1042726</v>
      </c>
      <c r="AO26" s="14">
        <v>-1099314</v>
      </c>
      <c r="AP26" s="14">
        <v>-1230764</v>
      </c>
      <c r="AQ26" s="14">
        <v>-1450119</v>
      </c>
      <c r="AR26" s="14">
        <v>-1370065</v>
      </c>
      <c r="AS26" s="14">
        <v>-1399044</v>
      </c>
      <c r="AT26" s="14">
        <v>-1514482</v>
      </c>
      <c r="AU26" s="14">
        <v>-1768622</v>
      </c>
      <c r="AV26" s="14">
        <v>-1996171</v>
      </c>
      <c r="AW26" s="14">
        <v>-2213191</v>
      </c>
      <c r="AX26" s="14">
        <v>-2351925</v>
      </c>
      <c r="AY26" s="14">
        <v>-2542634</v>
      </c>
      <c r="AZ26" s="14">
        <v>-1961844</v>
      </c>
      <c r="BA26" s="14">
        <v>-2343847</v>
      </c>
      <c r="BB26" s="14">
        <v>-2669663</v>
      </c>
      <c r="BC26" s="14">
        <v>-2745240</v>
      </c>
      <c r="BD26" s="14">
        <v>-2746249</v>
      </c>
    </row>
    <row r="27" spans="1:56">
      <c r="A27" s="14" t="s">
        <v>47</v>
      </c>
      <c r="B27" s="14" t="s">
        <v>654</v>
      </c>
      <c r="C27" s="14">
        <v>-14758</v>
      </c>
      <c r="D27" s="14">
        <v>-14537</v>
      </c>
      <c r="E27" s="14">
        <v>-16260</v>
      </c>
      <c r="F27" s="14">
        <v>-17048</v>
      </c>
      <c r="G27" s="14">
        <v>-18700</v>
      </c>
      <c r="H27" s="14">
        <v>-21510</v>
      </c>
      <c r="I27" s="14">
        <v>-25493</v>
      </c>
      <c r="J27" s="14">
        <v>-26866</v>
      </c>
      <c r="K27" s="14">
        <v>-32991</v>
      </c>
      <c r="L27" s="14">
        <v>-35807</v>
      </c>
      <c r="M27" s="14">
        <v>-39866</v>
      </c>
      <c r="N27" s="14">
        <v>-45579</v>
      </c>
      <c r="O27" s="14">
        <v>-55797</v>
      </c>
      <c r="P27" s="14">
        <v>-70499</v>
      </c>
      <c r="Q27" s="14">
        <v>-103811</v>
      </c>
      <c r="R27" s="14">
        <v>-98185</v>
      </c>
      <c r="S27" s="14">
        <v>-124228</v>
      </c>
      <c r="T27" s="14">
        <v>-151907</v>
      </c>
      <c r="U27" s="14">
        <v>-176002</v>
      </c>
      <c r="V27" s="14">
        <v>-212007</v>
      </c>
      <c r="W27" s="14">
        <v>-249750</v>
      </c>
      <c r="X27" s="14">
        <v>-265067</v>
      </c>
      <c r="Y27" s="14">
        <v>-247642</v>
      </c>
      <c r="Z27" s="14">
        <v>-268901</v>
      </c>
      <c r="AA27" s="14">
        <v>-332418</v>
      </c>
      <c r="AB27" s="14">
        <v>-338088</v>
      </c>
      <c r="AC27" s="14">
        <v>-368425</v>
      </c>
      <c r="AD27" s="14">
        <v>-409765</v>
      </c>
      <c r="AE27" s="14">
        <v>-447189</v>
      </c>
      <c r="AF27" s="14">
        <v>-477665</v>
      </c>
      <c r="AG27" s="14">
        <v>-498438</v>
      </c>
      <c r="AH27" s="14">
        <v>-491020</v>
      </c>
      <c r="AI27" s="14">
        <v>-536528</v>
      </c>
      <c r="AJ27" s="14">
        <v>-589394</v>
      </c>
      <c r="AK27" s="14">
        <v>-668690</v>
      </c>
      <c r="AL27" s="14">
        <v>-749374</v>
      </c>
      <c r="AM27" s="14">
        <v>-803113</v>
      </c>
      <c r="AN27" s="14">
        <v>-876794</v>
      </c>
      <c r="AO27" s="14">
        <v>-918637</v>
      </c>
      <c r="AP27" s="14">
        <v>-1035592</v>
      </c>
      <c r="AQ27" s="14">
        <v>-1231722</v>
      </c>
      <c r="AR27" s="14">
        <v>-1153701</v>
      </c>
      <c r="AS27" s="14">
        <v>-1173281</v>
      </c>
      <c r="AT27" s="14">
        <v>-1272089</v>
      </c>
      <c r="AU27" s="14">
        <v>-1488349</v>
      </c>
      <c r="AV27" s="14">
        <v>-1695820</v>
      </c>
      <c r="AW27" s="14">
        <v>-1878194</v>
      </c>
      <c r="AX27" s="14">
        <v>-1986347</v>
      </c>
      <c r="AY27" s="14">
        <v>-2141287</v>
      </c>
      <c r="AZ27" s="14">
        <v>-1580025</v>
      </c>
      <c r="BA27" s="14">
        <v>-1938950</v>
      </c>
      <c r="BB27" s="14">
        <v>-2239991</v>
      </c>
      <c r="BC27" s="14">
        <v>-2302714</v>
      </c>
      <c r="BD27" s="14">
        <v>-2293574</v>
      </c>
    </row>
    <row r="28" spans="1:56">
      <c r="A28" s="14" t="s">
        <v>45</v>
      </c>
      <c r="B28" s="14" t="s">
        <v>653</v>
      </c>
      <c r="C28" s="14">
        <v>-7674</v>
      </c>
      <c r="D28" s="14">
        <v>-7671</v>
      </c>
      <c r="E28" s="14">
        <v>-8092</v>
      </c>
      <c r="F28" s="14">
        <v>-8362</v>
      </c>
      <c r="G28" s="14">
        <v>-8619</v>
      </c>
      <c r="H28" s="14">
        <v>-9111</v>
      </c>
      <c r="I28" s="14">
        <v>-10494</v>
      </c>
      <c r="J28" s="14">
        <v>-11863</v>
      </c>
      <c r="K28" s="14">
        <v>-12302</v>
      </c>
      <c r="L28" s="14">
        <v>-13322</v>
      </c>
      <c r="M28" s="14">
        <v>-14520</v>
      </c>
      <c r="N28" s="14">
        <v>-15400</v>
      </c>
      <c r="O28" s="14">
        <v>-16868</v>
      </c>
      <c r="P28" s="14">
        <v>-18843</v>
      </c>
      <c r="Q28" s="14">
        <v>-21379</v>
      </c>
      <c r="R28" s="14">
        <v>-21996</v>
      </c>
      <c r="S28" s="14">
        <v>-24570</v>
      </c>
      <c r="T28" s="14">
        <v>-27640</v>
      </c>
      <c r="U28" s="14">
        <v>-32189</v>
      </c>
      <c r="V28" s="14">
        <v>-36689</v>
      </c>
      <c r="W28" s="14">
        <v>-41491</v>
      </c>
      <c r="X28" s="14">
        <v>-45503</v>
      </c>
      <c r="Y28" s="14">
        <v>-51749</v>
      </c>
      <c r="Z28" s="14">
        <v>-54973</v>
      </c>
      <c r="AA28" s="14">
        <v>-67748</v>
      </c>
      <c r="AB28" s="14">
        <v>-72862</v>
      </c>
      <c r="AC28" s="14">
        <v>-80147</v>
      </c>
      <c r="AD28" s="14">
        <v>-90787</v>
      </c>
      <c r="AE28" s="14">
        <v>-98526</v>
      </c>
      <c r="AF28" s="14">
        <v>-102479</v>
      </c>
      <c r="AG28" s="14">
        <v>-117659</v>
      </c>
      <c r="AH28" s="14">
        <v>-118459</v>
      </c>
      <c r="AI28" s="14">
        <v>-119566</v>
      </c>
      <c r="AJ28" s="14">
        <v>-123779</v>
      </c>
      <c r="AK28" s="14">
        <v>-133057</v>
      </c>
      <c r="AL28" s="14">
        <v>-141397</v>
      </c>
      <c r="AM28" s="14">
        <v>-152554</v>
      </c>
      <c r="AN28" s="14">
        <v>-165932</v>
      </c>
      <c r="AO28" s="14">
        <v>-180677</v>
      </c>
      <c r="AP28" s="14">
        <v>-195172</v>
      </c>
      <c r="AQ28" s="14">
        <v>-218397</v>
      </c>
      <c r="AR28" s="14">
        <v>-216364</v>
      </c>
      <c r="AS28" s="14">
        <v>-225762</v>
      </c>
      <c r="AT28" s="14">
        <v>-242393</v>
      </c>
      <c r="AU28" s="14">
        <v>-280272</v>
      </c>
      <c r="AV28" s="14">
        <v>-300352</v>
      </c>
      <c r="AW28" s="14">
        <v>-334998</v>
      </c>
      <c r="AX28" s="14">
        <v>-365577</v>
      </c>
      <c r="AY28" s="14">
        <v>-401348</v>
      </c>
      <c r="AZ28" s="14">
        <v>-381819</v>
      </c>
      <c r="BA28" s="14">
        <v>-404897</v>
      </c>
      <c r="BB28" s="14">
        <v>-429672</v>
      </c>
      <c r="BC28" s="14">
        <v>-442527</v>
      </c>
      <c r="BD28" s="14">
        <v>-452675</v>
      </c>
    </row>
    <row r="29" spans="1:56">
      <c r="A29" s="14" t="s">
        <v>43</v>
      </c>
      <c r="B29" s="14" t="s">
        <v>652</v>
      </c>
      <c r="C29" s="14">
        <v>-3087</v>
      </c>
      <c r="D29" s="14">
        <v>-2998</v>
      </c>
      <c r="E29" s="14">
        <v>-3105</v>
      </c>
      <c r="F29" s="14">
        <v>-2961</v>
      </c>
      <c r="G29" s="14">
        <v>-2880</v>
      </c>
      <c r="H29" s="14">
        <v>-2952</v>
      </c>
      <c r="I29" s="14">
        <v>-3764</v>
      </c>
      <c r="J29" s="14">
        <v>-4378</v>
      </c>
      <c r="K29" s="14">
        <v>-4535</v>
      </c>
      <c r="L29" s="14">
        <v>-4856</v>
      </c>
      <c r="M29" s="14">
        <v>-4855</v>
      </c>
      <c r="N29" s="14">
        <v>-4819</v>
      </c>
      <c r="O29" s="14">
        <v>-4784</v>
      </c>
      <c r="P29" s="14">
        <v>-4629</v>
      </c>
      <c r="Q29" s="14">
        <v>-5032</v>
      </c>
      <c r="R29" s="14">
        <v>-4795</v>
      </c>
      <c r="S29" s="14">
        <v>-4895</v>
      </c>
      <c r="T29" s="14">
        <v>-5823</v>
      </c>
      <c r="U29" s="14">
        <v>-7352</v>
      </c>
      <c r="V29" s="14">
        <v>-8294</v>
      </c>
      <c r="W29" s="14">
        <v>-10851</v>
      </c>
      <c r="X29" s="14">
        <v>-11564</v>
      </c>
      <c r="Y29" s="14">
        <v>-12460</v>
      </c>
      <c r="Z29" s="14">
        <v>-13087</v>
      </c>
      <c r="AA29" s="14">
        <v>-12516</v>
      </c>
      <c r="AB29" s="14">
        <v>-13108</v>
      </c>
      <c r="AC29" s="14">
        <v>-13730</v>
      </c>
      <c r="AD29" s="14">
        <v>-14950</v>
      </c>
      <c r="AE29" s="14">
        <v>-15604</v>
      </c>
      <c r="AF29" s="14">
        <v>-15313</v>
      </c>
      <c r="AG29" s="14">
        <v>-17531</v>
      </c>
      <c r="AH29" s="14">
        <v>-16409</v>
      </c>
      <c r="AI29" s="14">
        <v>-13835</v>
      </c>
      <c r="AJ29" s="14">
        <v>-12086</v>
      </c>
      <c r="AK29" s="14">
        <v>-10217</v>
      </c>
      <c r="AL29" s="14">
        <v>-10043</v>
      </c>
      <c r="AM29" s="14">
        <v>-11061</v>
      </c>
      <c r="AN29" s="14">
        <v>-11707</v>
      </c>
      <c r="AO29" s="14">
        <v>-12185</v>
      </c>
      <c r="AP29" s="14">
        <v>-11849</v>
      </c>
      <c r="AQ29" s="14">
        <v>-12131</v>
      </c>
      <c r="AR29" s="14">
        <v>-12869</v>
      </c>
      <c r="AS29" s="14">
        <v>-16798</v>
      </c>
      <c r="AT29" s="14">
        <v>-21882</v>
      </c>
      <c r="AU29" s="14">
        <v>-24125</v>
      </c>
      <c r="AV29" s="14">
        <v>-25200</v>
      </c>
      <c r="AW29" s="14">
        <v>-25122</v>
      </c>
      <c r="AX29" s="14">
        <v>-25850</v>
      </c>
      <c r="AY29" s="14">
        <v>-26193</v>
      </c>
      <c r="AZ29" s="14">
        <v>-28331</v>
      </c>
      <c r="BA29" s="14">
        <v>-28478</v>
      </c>
      <c r="BB29" s="14">
        <v>-27752</v>
      </c>
      <c r="BC29" s="14">
        <v>-24734</v>
      </c>
      <c r="BD29" s="14">
        <v>-22313</v>
      </c>
    </row>
    <row r="30" spans="1:56">
      <c r="A30" s="14" t="s">
        <v>42</v>
      </c>
      <c r="B30" s="14" t="s">
        <v>651</v>
      </c>
      <c r="C30" s="14">
        <v>-1750</v>
      </c>
      <c r="D30" s="14">
        <v>-1785</v>
      </c>
      <c r="E30" s="14">
        <v>-1939</v>
      </c>
      <c r="F30" s="14">
        <v>-2114</v>
      </c>
      <c r="G30" s="14">
        <v>-2211</v>
      </c>
      <c r="H30" s="14">
        <v>-2438</v>
      </c>
      <c r="I30" s="14">
        <v>-2657</v>
      </c>
      <c r="J30" s="14">
        <v>-3207</v>
      </c>
      <c r="K30" s="14">
        <v>-3030</v>
      </c>
      <c r="L30" s="14">
        <v>-3373</v>
      </c>
      <c r="M30" s="14">
        <v>-3980</v>
      </c>
      <c r="N30" s="14">
        <v>-4373</v>
      </c>
      <c r="O30" s="14">
        <v>-5042</v>
      </c>
      <c r="P30" s="14">
        <v>-5526</v>
      </c>
      <c r="Q30" s="14">
        <v>-5980</v>
      </c>
      <c r="R30" s="14">
        <v>-6417</v>
      </c>
      <c r="S30" s="14">
        <v>-6856</v>
      </c>
      <c r="T30" s="14">
        <v>-7451</v>
      </c>
      <c r="U30" s="14">
        <v>-8475</v>
      </c>
      <c r="V30" s="14">
        <v>-9413</v>
      </c>
      <c r="W30" s="14">
        <v>-10397</v>
      </c>
      <c r="X30" s="14">
        <v>-11479</v>
      </c>
      <c r="Y30" s="14">
        <v>-12394</v>
      </c>
      <c r="Z30" s="14">
        <v>-13149</v>
      </c>
      <c r="AA30" s="14" t="s">
        <v>650</v>
      </c>
      <c r="AB30" s="14">
        <v>-24558</v>
      </c>
      <c r="AC30" s="14">
        <v>-25913</v>
      </c>
      <c r="AD30" s="14">
        <v>-29310</v>
      </c>
      <c r="AE30" s="14">
        <v>-32114</v>
      </c>
      <c r="AF30" s="14">
        <v>-33416</v>
      </c>
      <c r="AG30" s="14">
        <v>-37349</v>
      </c>
      <c r="AH30" s="14">
        <v>-35322</v>
      </c>
      <c r="AI30" s="14">
        <v>-38552</v>
      </c>
      <c r="AJ30" s="14">
        <v>-40713</v>
      </c>
      <c r="AK30" s="14">
        <v>-43782</v>
      </c>
      <c r="AL30" s="14">
        <v>-44916</v>
      </c>
      <c r="AM30" s="14">
        <v>-48078</v>
      </c>
      <c r="AN30" s="14">
        <v>-52051</v>
      </c>
      <c r="AO30" s="14">
        <v>-56483</v>
      </c>
      <c r="AP30" s="14">
        <v>-59332</v>
      </c>
      <c r="AQ30" s="14">
        <v>-65366</v>
      </c>
      <c r="AR30" s="14">
        <v>-60912</v>
      </c>
      <c r="AS30" s="14">
        <v>-59495</v>
      </c>
      <c r="AT30" s="14">
        <v>-58311</v>
      </c>
      <c r="AU30" s="14">
        <v>-66738</v>
      </c>
      <c r="AV30" s="14">
        <v>-69930</v>
      </c>
      <c r="AW30" s="14">
        <v>-72959</v>
      </c>
      <c r="AX30" s="14">
        <v>-77127</v>
      </c>
      <c r="AY30" s="14">
        <v>-80494</v>
      </c>
      <c r="AZ30" s="14">
        <v>-74132</v>
      </c>
      <c r="BA30" s="14">
        <v>-75505</v>
      </c>
      <c r="BB30" s="14">
        <v>-78229</v>
      </c>
      <c r="BC30" s="14">
        <v>-83451</v>
      </c>
      <c r="BD30" s="14">
        <v>-86243</v>
      </c>
    </row>
    <row r="31" spans="1:56">
      <c r="A31" s="14" t="s">
        <v>41</v>
      </c>
      <c r="B31" s="14" t="s">
        <v>649</v>
      </c>
      <c r="C31" s="14">
        <v>-513</v>
      </c>
      <c r="D31" s="14">
        <v>-506</v>
      </c>
      <c r="E31" s="14">
        <v>-567</v>
      </c>
      <c r="F31" s="14">
        <v>-612</v>
      </c>
      <c r="G31" s="14">
        <v>-642</v>
      </c>
      <c r="H31" s="14">
        <v>-717</v>
      </c>
      <c r="I31" s="14">
        <v>-753</v>
      </c>
      <c r="J31" s="14">
        <v>-829</v>
      </c>
      <c r="K31" s="14">
        <v>-885</v>
      </c>
      <c r="L31" s="14">
        <v>-1080</v>
      </c>
      <c r="M31" s="14">
        <v>-1215</v>
      </c>
      <c r="N31" s="14">
        <v>-1290</v>
      </c>
      <c r="O31" s="14">
        <v>-1596</v>
      </c>
      <c r="P31" s="14">
        <v>-1790</v>
      </c>
      <c r="Q31" s="14">
        <v>-2095</v>
      </c>
      <c r="R31" s="14">
        <v>-2263</v>
      </c>
      <c r="S31" s="14">
        <v>-2568</v>
      </c>
      <c r="T31" s="14">
        <v>-2748</v>
      </c>
      <c r="U31" s="14">
        <v>-2896</v>
      </c>
      <c r="V31" s="14">
        <v>-3184</v>
      </c>
      <c r="W31" s="14">
        <v>-3607</v>
      </c>
      <c r="X31" s="14">
        <v>-4487</v>
      </c>
      <c r="Y31" s="14">
        <v>-4772</v>
      </c>
      <c r="Z31" s="14">
        <v>-6003</v>
      </c>
      <c r="AA31" s="14" t="s">
        <v>648</v>
      </c>
      <c r="AB31" s="14">
        <v>-6444</v>
      </c>
      <c r="AC31" s="14">
        <v>-6505</v>
      </c>
      <c r="AD31" s="14">
        <v>-7283</v>
      </c>
      <c r="AE31" s="14">
        <v>-7729</v>
      </c>
      <c r="AF31" s="14">
        <v>-8249</v>
      </c>
      <c r="AG31" s="14">
        <v>-10531</v>
      </c>
      <c r="AH31" s="14">
        <v>-10012</v>
      </c>
      <c r="AI31" s="14">
        <v>-10603</v>
      </c>
      <c r="AJ31" s="14">
        <v>-11410</v>
      </c>
      <c r="AK31" s="14">
        <v>-13062</v>
      </c>
      <c r="AL31" s="14">
        <v>-14663</v>
      </c>
      <c r="AM31" s="14">
        <v>-15809</v>
      </c>
      <c r="AN31" s="14">
        <v>-18138</v>
      </c>
      <c r="AO31" s="14">
        <v>-19971</v>
      </c>
      <c r="AP31" s="14">
        <v>-20946</v>
      </c>
      <c r="AQ31" s="14">
        <v>-23613</v>
      </c>
      <c r="AR31" s="14">
        <v>-21921</v>
      </c>
      <c r="AS31" s="14">
        <v>-19189</v>
      </c>
      <c r="AT31" s="14">
        <v>-20125</v>
      </c>
      <c r="AU31" s="14">
        <v>-23730</v>
      </c>
      <c r="AV31" s="14">
        <v>-25189</v>
      </c>
      <c r="AW31" s="14">
        <v>-26646</v>
      </c>
      <c r="AX31" s="14">
        <v>-27681</v>
      </c>
      <c r="AY31" s="14">
        <v>-31841</v>
      </c>
      <c r="AZ31" s="14">
        <v>-25117</v>
      </c>
      <c r="BA31" s="14">
        <v>-27256</v>
      </c>
      <c r="BB31" s="14">
        <v>-31079</v>
      </c>
      <c r="BC31" s="14">
        <v>-34654</v>
      </c>
      <c r="BD31" s="14">
        <v>-37344</v>
      </c>
    </row>
    <row r="32" spans="1:56">
      <c r="A32" s="14" t="s">
        <v>40</v>
      </c>
      <c r="B32" s="14" t="s">
        <v>647</v>
      </c>
      <c r="C32" s="14">
        <v>-1402</v>
      </c>
      <c r="D32" s="14">
        <v>-1437</v>
      </c>
      <c r="E32" s="14">
        <v>-1558</v>
      </c>
      <c r="F32" s="14">
        <v>-1701</v>
      </c>
      <c r="G32" s="14">
        <v>-1817</v>
      </c>
      <c r="H32" s="14">
        <v>-1951</v>
      </c>
      <c r="I32" s="14">
        <v>-2161</v>
      </c>
      <c r="J32" s="14">
        <v>-2157</v>
      </c>
      <c r="K32" s="14">
        <v>-2367</v>
      </c>
      <c r="L32" s="14">
        <v>-2455</v>
      </c>
      <c r="M32" s="14">
        <v>-2843</v>
      </c>
      <c r="N32" s="14">
        <v>-3130</v>
      </c>
      <c r="O32" s="14">
        <v>-3520</v>
      </c>
      <c r="P32" s="14">
        <v>-4694</v>
      </c>
      <c r="Q32" s="14">
        <v>-5942</v>
      </c>
      <c r="R32" s="14">
        <v>-5708</v>
      </c>
      <c r="S32" s="14">
        <v>-6852</v>
      </c>
      <c r="T32" s="14">
        <v>-7972</v>
      </c>
      <c r="U32" s="14">
        <v>-9124</v>
      </c>
      <c r="V32" s="14">
        <v>-10906</v>
      </c>
      <c r="W32" s="14">
        <v>-11790</v>
      </c>
      <c r="X32" s="14">
        <v>-12474</v>
      </c>
      <c r="Y32" s="14">
        <v>-11710</v>
      </c>
      <c r="Z32" s="14">
        <v>-12222</v>
      </c>
      <c r="AA32" s="14">
        <v>-14843</v>
      </c>
      <c r="AB32" s="14">
        <v>-15643</v>
      </c>
      <c r="AC32" s="14" t="s">
        <v>646</v>
      </c>
      <c r="AD32" s="14">
        <v>-19010</v>
      </c>
      <c r="AE32" s="14">
        <v>-20891</v>
      </c>
      <c r="AF32" s="14">
        <v>-22172</v>
      </c>
      <c r="AG32" s="14">
        <v>-24966</v>
      </c>
      <c r="AH32" s="14">
        <v>-24975</v>
      </c>
      <c r="AI32" s="14">
        <v>-23767</v>
      </c>
      <c r="AJ32" s="14">
        <v>-24524</v>
      </c>
      <c r="AK32" s="14">
        <v>-26019</v>
      </c>
      <c r="AL32" s="14">
        <v>-27034</v>
      </c>
      <c r="AM32" s="14">
        <v>-27403</v>
      </c>
      <c r="AN32" s="14">
        <v>-28959</v>
      </c>
      <c r="AO32" s="14">
        <v>-30363</v>
      </c>
      <c r="AP32" s="14">
        <v>-31494</v>
      </c>
      <c r="AQ32" s="14">
        <v>-37209</v>
      </c>
      <c r="AR32" s="14">
        <v>-34909</v>
      </c>
      <c r="AS32" s="14">
        <v>-35052</v>
      </c>
      <c r="AT32" s="14">
        <v>-40619</v>
      </c>
      <c r="AU32" s="14">
        <v>-48945</v>
      </c>
      <c r="AV32" s="14">
        <v>-54212</v>
      </c>
      <c r="AW32" s="14">
        <v>-55320</v>
      </c>
      <c r="AX32" s="14">
        <v>-55773</v>
      </c>
      <c r="AY32" s="14">
        <v>-56696</v>
      </c>
      <c r="AZ32" s="14">
        <v>-42601</v>
      </c>
      <c r="BA32" s="14">
        <v>-51202</v>
      </c>
      <c r="BB32" s="14">
        <v>-54630</v>
      </c>
      <c r="BC32" s="14">
        <v>-55445</v>
      </c>
      <c r="BD32" s="14">
        <v>-58679</v>
      </c>
    </row>
    <row r="33" spans="1:56">
      <c r="A33" s="14" t="s">
        <v>37</v>
      </c>
      <c r="B33" s="14" t="s">
        <v>645</v>
      </c>
      <c r="C33" s="14">
        <v>-74</v>
      </c>
      <c r="D33" s="14">
        <v>-89</v>
      </c>
      <c r="E33" s="14">
        <v>-100</v>
      </c>
      <c r="F33" s="14">
        <v>-112</v>
      </c>
      <c r="G33" s="14">
        <v>-127</v>
      </c>
      <c r="H33" s="14">
        <v>-135</v>
      </c>
      <c r="I33" s="14">
        <v>-140</v>
      </c>
      <c r="J33" s="14">
        <v>-166</v>
      </c>
      <c r="K33" s="14">
        <v>-186</v>
      </c>
      <c r="L33" s="14">
        <v>-221</v>
      </c>
      <c r="M33" s="14">
        <v>-224</v>
      </c>
      <c r="N33" s="14">
        <v>-241</v>
      </c>
      <c r="O33" s="14">
        <v>-294</v>
      </c>
      <c r="P33" s="14">
        <v>-385</v>
      </c>
      <c r="Q33" s="14">
        <v>-346</v>
      </c>
      <c r="R33" s="14">
        <v>-472</v>
      </c>
      <c r="S33" s="14">
        <v>-482</v>
      </c>
      <c r="T33" s="14">
        <v>-504</v>
      </c>
      <c r="U33" s="14">
        <v>-671</v>
      </c>
      <c r="V33" s="14">
        <v>-831</v>
      </c>
      <c r="W33" s="14">
        <v>-724</v>
      </c>
      <c r="X33" s="14">
        <v>-650</v>
      </c>
      <c r="Y33" s="14">
        <v>-795</v>
      </c>
      <c r="Z33" s="14">
        <v>-943</v>
      </c>
      <c r="AA33" s="14">
        <v>-1168</v>
      </c>
      <c r="AB33" s="14">
        <v>-1170</v>
      </c>
      <c r="AC33" s="14">
        <v>-1401</v>
      </c>
      <c r="AD33" s="14">
        <v>-1857</v>
      </c>
      <c r="AE33" s="14">
        <v>-2601</v>
      </c>
      <c r="AF33" s="14">
        <v>-2528</v>
      </c>
      <c r="AG33" s="14">
        <v>-3135</v>
      </c>
      <c r="AH33" s="14">
        <v>-4035</v>
      </c>
      <c r="AI33" s="14">
        <v>-5161</v>
      </c>
      <c r="AJ33" s="14">
        <v>-5032</v>
      </c>
      <c r="AK33" s="14">
        <v>-5852</v>
      </c>
      <c r="AL33" s="14">
        <v>-6919</v>
      </c>
      <c r="AM33" s="14">
        <v>-7837</v>
      </c>
      <c r="AN33" s="14">
        <v>-9161</v>
      </c>
      <c r="AO33" s="14">
        <v>-11235</v>
      </c>
      <c r="AP33" s="14">
        <v>-13302</v>
      </c>
      <c r="AQ33" s="14">
        <v>-16606</v>
      </c>
      <c r="AR33" s="14">
        <v>-16661</v>
      </c>
      <c r="AS33" s="14">
        <v>-19493</v>
      </c>
      <c r="AT33" s="14">
        <v>-19259</v>
      </c>
      <c r="AU33" s="14">
        <v>-23691</v>
      </c>
      <c r="AV33" s="14">
        <v>-25577</v>
      </c>
      <c r="AW33" s="14">
        <v>-25038</v>
      </c>
      <c r="AX33" s="14">
        <v>-26479</v>
      </c>
      <c r="AY33" s="14">
        <v>-29623</v>
      </c>
      <c r="AZ33" s="14">
        <v>-31297</v>
      </c>
      <c r="BA33" s="14">
        <v>-32551</v>
      </c>
      <c r="BB33" s="14">
        <v>-34786</v>
      </c>
      <c r="BC33" s="14">
        <v>-39889</v>
      </c>
      <c r="BD33" s="14">
        <v>-41291</v>
      </c>
    </row>
    <row r="34" spans="1:56">
      <c r="A34" s="14" t="s">
        <v>36</v>
      </c>
      <c r="B34" s="14" t="s">
        <v>644</v>
      </c>
      <c r="C34" s="14">
        <v>-593</v>
      </c>
      <c r="D34" s="14">
        <v>-588</v>
      </c>
      <c r="E34" s="14">
        <v>-528</v>
      </c>
      <c r="F34" s="14">
        <v>-493</v>
      </c>
      <c r="G34" s="14">
        <v>-527</v>
      </c>
      <c r="H34" s="14">
        <v>-461</v>
      </c>
      <c r="I34" s="14">
        <v>-506</v>
      </c>
      <c r="J34" s="14">
        <v>-565</v>
      </c>
      <c r="K34" s="14">
        <v>-668</v>
      </c>
      <c r="L34" s="14">
        <v>-751</v>
      </c>
      <c r="M34" s="14">
        <v>-827</v>
      </c>
      <c r="N34" s="14">
        <v>-956</v>
      </c>
      <c r="O34" s="14">
        <v>-1043</v>
      </c>
      <c r="P34" s="14">
        <v>-1180</v>
      </c>
      <c r="Q34" s="14">
        <v>-1262</v>
      </c>
      <c r="R34" s="14">
        <v>-1551</v>
      </c>
      <c r="S34" s="14">
        <v>-2006</v>
      </c>
      <c r="T34" s="14">
        <v>-2190</v>
      </c>
      <c r="U34" s="14">
        <v>-2573</v>
      </c>
      <c r="V34" s="14">
        <v>-2822</v>
      </c>
      <c r="W34" s="14">
        <v>-2909</v>
      </c>
      <c r="X34" s="14" t="s">
        <v>643</v>
      </c>
      <c r="Y34" s="14">
        <v>-8159</v>
      </c>
      <c r="Z34" s="14">
        <v>-8001</v>
      </c>
      <c r="AA34" s="14">
        <v>-9040</v>
      </c>
      <c r="AB34" s="14">
        <v>-10203</v>
      </c>
      <c r="AC34" s="14" t="s">
        <v>642</v>
      </c>
      <c r="AD34" s="14">
        <v>-16485</v>
      </c>
      <c r="AE34" s="14">
        <v>-17667</v>
      </c>
      <c r="AF34" s="14">
        <v>-18930</v>
      </c>
      <c r="AG34" s="14">
        <v>-22229</v>
      </c>
      <c r="AH34" s="14">
        <v>-25590</v>
      </c>
      <c r="AI34" s="14" t="s">
        <v>641</v>
      </c>
      <c r="AJ34" s="14">
        <v>-27760</v>
      </c>
      <c r="AK34" s="14">
        <v>-31565</v>
      </c>
      <c r="AL34" s="14">
        <v>-35199</v>
      </c>
      <c r="AM34" s="14">
        <v>-39679</v>
      </c>
      <c r="AN34" s="14">
        <v>-43154</v>
      </c>
      <c r="AO34" s="14">
        <v>-47591</v>
      </c>
      <c r="AP34" s="14">
        <v>-55885</v>
      </c>
      <c r="AQ34" s="14">
        <v>-61085</v>
      </c>
      <c r="AR34" s="14">
        <v>-66639</v>
      </c>
      <c r="AS34" s="14">
        <v>-73181</v>
      </c>
      <c r="AT34" s="14">
        <v>-80460</v>
      </c>
      <c r="AU34" s="14">
        <v>-90872</v>
      </c>
      <c r="AV34" s="14">
        <v>-97989</v>
      </c>
      <c r="AW34" s="14">
        <v>-127681</v>
      </c>
      <c r="AX34" s="14">
        <v>-150257</v>
      </c>
      <c r="AY34" s="14">
        <v>-173814</v>
      </c>
      <c r="AZ34" s="14">
        <v>-177212</v>
      </c>
      <c r="BA34" s="14">
        <v>-186423</v>
      </c>
      <c r="BB34" s="14">
        <v>-199654</v>
      </c>
      <c r="BC34" s="14">
        <v>-201227</v>
      </c>
      <c r="BD34" s="14">
        <v>-203973</v>
      </c>
    </row>
    <row r="35" spans="1:56">
      <c r="A35" s="14" t="s">
        <v>35</v>
      </c>
      <c r="B35" s="14" t="s">
        <v>640</v>
      </c>
      <c r="C35" s="14">
        <v>-254</v>
      </c>
      <c r="D35" s="14">
        <v>-268</v>
      </c>
      <c r="E35" s="14">
        <v>-296</v>
      </c>
      <c r="F35" s="14">
        <v>-370</v>
      </c>
      <c r="G35" s="14">
        <v>-415</v>
      </c>
      <c r="H35" s="14">
        <v>-457</v>
      </c>
      <c r="I35" s="14">
        <v>-513</v>
      </c>
      <c r="J35" s="14">
        <v>-561</v>
      </c>
      <c r="K35" s="14">
        <v>-631</v>
      </c>
      <c r="L35" s="14">
        <v>-586</v>
      </c>
      <c r="M35" s="14">
        <v>-576</v>
      </c>
      <c r="N35" s="14">
        <v>-592</v>
      </c>
      <c r="O35" s="14">
        <v>-589</v>
      </c>
      <c r="P35" s="14">
        <v>-640</v>
      </c>
      <c r="Q35" s="14">
        <v>-722</v>
      </c>
      <c r="R35" s="14">
        <v>-789</v>
      </c>
      <c r="S35" s="14">
        <v>-911</v>
      </c>
      <c r="T35" s="14">
        <v>-951</v>
      </c>
      <c r="U35" s="14">
        <v>-1099</v>
      </c>
      <c r="V35" s="14">
        <v>-1239</v>
      </c>
      <c r="W35" s="14">
        <v>-1214</v>
      </c>
      <c r="X35" s="14">
        <v>-1287</v>
      </c>
      <c r="Y35" s="14">
        <v>-1460</v>
      </c>
      <c r="Z35" s="14">
        <v>-1568</v>
      </c>
      <c r="AA35" s="14">
        <v>-1534</v>
      </c>
      <c r="AB35" s="14">
        <v>-1735</v>
      </c>
      <c r="AC35" s="14">
        <v>-1686</v>
      </c>
      <c r="AD35" s="14">
        <v>-1893</v>
      </c>
      <c r="AE35" s="14">
        <v>-1921</v>
      </c>
      <c r="AF35" s="14">
        <v>-1871</v>
      </c>
      <c r="AG35" s="14">
        <v>-1919</v>
      </c>
      <c r="AH35" s="14">
        <v>-2116</v>
      </c>
      <c r="AI35" s="14">
        <v>-2263</v>
      </c>
      <c r="AJ35" s="14">
        <v>-2255</v>
      </c>
      <c r="AK35" s="14">
        <v>-2560</v>
      </c>
      <c r="AL35" s="14">
        <v>-2623</v>
      </c>
      <c r="AM35" s="14">
        <v>-2687</v>
      </c>
      <c r="AN35" s="14">
        <v>-2762</v>
      </c>
      <c r="AO35" s="14">
        <v>-2849</v>
      </c>
      <c r="AP35" s="14">
        <v>-2364</v>
      </c>
      <c r="AQ35" s="14">
        <v>-2386</v>
      </c>
      <c r="AR35" s="14">
        <v>-2452</v>
      </c>
      <c r="AS35" s="14">
        <v>-2554</v>
      </c>
      <c r="AT35" s="14">
        <v>-1737</v>
      </c>
      <c r="AU35" s="14">
        <v>-2172</v>
      </c>
      <c r="AV35" s="14">
        <v>-2255</v>
      </c>
      <c r="AW35" s="14">
        <v>-2231</v>
      </c>
      <c r="AX35" s="14">
        <v>-2410</v>
      </c>
      <c r="AY35" s="14">
        <v>-2687</v>
      </c>
      <c r="AZ35" s="14">
        <v>-3130</v>
      </c>
      <c r="BA35" s="14">
        <v>-3483</v>
      </c>
      <c r="BB35" s="14">
        <v>-3541</v>
      </c>
      <c r="BC35" s="14">
        <v>-3127</v>
      </c>
      <c r="BD35" s="14">
        <v>-2832</v>
      </c>
    </row>
    <row r="36" spans="1:56">
      <c r="A36" s="14" t="s">
        <v>34</v>
      </c>
      <c r="B36" s="14" t="s">
        <v>639</v>
      </c>
      <c r="C36" s="14">
        <v>-1238</v>
      </c>
      <c r="D36" s="14">
        <v>-1245</v>
      </c>
      <c r="E36" s="14">
        <v>-1324</v>
      </c>
      <c r="F36" s="14">
        <v>-1560</v>
      </c>
      <c r="G36" s="14">
        <v>-1783</v>
      </c>
      <c r="H36" s="14">
        <v>-2088</v>
      </c>
      <c r="I36" s="14">
        <v>-2481</v>
      </c>
      <c r="J36" s="14">
        <v>-2747</v>
      </c>
      <c r="K36" s="14">
        <v>-3378</v>
      </c>
      <c r="L36" s="14">
        <v>-4869</v>
      </c>
      <c r="M36" s="14">
        <v>-5515</v>
      </c>
      <c r="N36" s="14">
        <v>-5435</v>
      </c>
      <c r="O36" s="14">
        <v>-6572</v>
      </c>
      <c r="P36" s="14">
        <v>-9655</v>
      </c>
      <c r="Q36" s="14">
        <v>-12084</v>
      </c>
      <c r="R36" s="14">
        <v>-12564</v>
      </c>
      <c r="S36" s="14">
        <v>-13311</v>
      </c>
      <c r="T36" s="14">
        <v>-14217</v>
      </c>
      <c r="U36" s="14">
        <v>-21680</v>
      </c>
      <c r="V36" s="14">
        <v>-32961</v>
      </c>
      <c r="W36" s="14">
        <v>-42532</v>
      </c>
      <c r="X36" s="14">
        <v>-53626</v>
      </c>
      <c r="Y36" s="14">
        <v>-56583</v>
      </c>
      <c r="Z36" s="14">
        <v>-53614</v>
      </c>
      <c r="AA36" s="14">
        <v>-73756</v>
      </c>
      <c r="AB36" s="14">
        <v>-72819</v>
      </c>
      <c r="AC36" s="14">
        <v>-81571</v>
      </c>
      <c r="AD36" s="14">
        <v>-93891</v>
      </c>
      <c r="AE36" s="14">
        <v>-118026</v>
      </c>
      <c r="AF36" s="14">
        <v>-141463</v>
      </c>
      <c r="AG36" s="14">
        <v>-143192</v>
      </c>
      <c r="AH36" s="14">
        <v>-125084</v>
      </c>
      <c r="AI36" s="14">
        <v>-109531</v>
      </c>
      <c r="AJ36" s="14">
        <v>-110741</v>
      </c>
      <c r="AK36" s="14">
        <v>-149375</v>
      </c>
      <c r="AL36" s="14">
        <v>-189353</v>
      </c>
      <c r="AM36" s="14">
        <v>-203811</v>
      </c>
      <c r="AN36" s="14">
        <v>-244195</v>
      </c>
      <c r="AO36" s="14">
        <v>-257554</v>
      </c>
      <c r="AP36" s="14">
        <v>-283492</v>
      </c>
      <c r="AQ36" s="14">
        <v>-333300</v>
      </c>
      <c r="AR36" s="14">
        <v>-262702</v>
      </c>
      <c r="AS36" s="14">
        <v>-257526</v>
      </c>
      <c r="AT36" s="14">
        <v>-279651</v>
      </c>
      <c r="AU36" s="14">
        <v>-351664</v>
      </c>
      <c r="AV36" s="14">
        <v>-469709</v>
      </c>
      <c r="AW36" s="14">
        <v>-641338</v>
      </c>
      <c r="AX36" s="14">
        <v>-733345</v>
      </c>
      <c r="AY36" s="14">
        <v>-667941</v>
      </c>
      <c r="AZ36" s="14">
        <v>-483019</v>
      </c>
      <c r="BA36" s="14">
        <v>-500392</v>
      </c>
      <c r="BB36" s="14">
        <v>-528181</v>
      </c>
      <c r="BC36" s="14">
        <v>-552437</v>
      </c>
      <c r="BD36" s="14">
        <v>-560300</v>
      </c>
    </row>
    <row r="37" spans="1:56">
      <c r="A37" s="14" t="s">
        <v>30</v>
      </c>
      <c r="B37" s="14" t="s">
        <v>638</v>
      </c>
      <c r="C37" s="14">
        <v>-1238</v>
      </c>
      <c r="D37" s="14">
        <v>-1245</v>
      </c>
      <c r="E37" s="14">
        <v>-1324</v>
      </c>
      <c r="F37" s="14">
        <v>-1560</v>
      </c>
      <c r="G37" s="14">
        <v>-1783</v>
      </c>
      <c r="H37" s="14">
        <v>-2088</v>
      </c>
      <c r="I37" s="14">
        <v>-2481</v>
      </c>
      <c r="J37" s="14">
        <v>-2747</v>
      </c>
      <c r="K37" s="14">
        <v>-3378</v>
      </c>
      <c r="L37" s="14">
        <v>-4869</v>
      </c>
      <c r="M37" s="14">
        <v>-5515</v>
      </c>
      <c r="N37" s="14">
        <v>-5435</v>
      </c>
      <c r="O37" s="14">
        <v>-6572</v>
      </c>
      <c r="P37" s="14">
        <v>-9655</v>
      </c>
      <c r="Q37" s="14">
        <v>-12084</v>
      </c>
      <c r="R37" s="14">
        <v>-12564</v>
      </c>
      <c r="S37" s="14">
        <v>-13311</v>
      </c>
      <c r="T37" s="14">
        <v>-14217</v>
      </c>
      <c r="U37" s="14">
        <v>-21680</v>
      </c>
      <c r="V37" s="14">
        <v>-32961</v>
      </c>
      <c r="W37" s="14">
        <v>-42532</v>
      </c>
      <c r="X37" s="14">
        <v>-53626</v>
      </c>
      <c r="Y37" s="14">
        <v>-56583</v>
      </c>
      <c r="Z37" s="14">
        <v>-53614</v>
      </c>
      <c r="AA37" s="14">
        <v>-73756</v>
      </c>
      <c r="AB37" s="14">
        <v>-72819</v>
      </c>
      <c r="AC37" s="14">
        <v>-78893</v>
      </c>
      <c r="AD37" s="14">
        <v>-91553</v>
      </c>
      <c r="AE37" s="14">
        <v>-116179</v>
      </c>
      <c r="AF37" s="14">
        <v>-139177</v>
      </c>
      <c r="AG37" s="14">
        <v>-139728</v>
      </c>
      <c r="AH37" s="14">
        <v>-121058</v>
      </c>
      <c r="AI37" s="14">
        <v>-104779</v>
      </c>
      <c r="AJ37" s="14">
        <v>-105609</v>
      </c>
      <c r="AK37" s="14">
        <v>-143423</v>
      </c>
      <c r="AL37" s="14">
        <v>-183090</v>
      </c>
      <c r="AM37" s="14">
        <v>-197511</v>
      </c>
      <c r="AN37" s="14">
        <v>-237529</v>
      </c>
      <c r="AO37" s="14">
        <v>-250560</v>
      </c>
      <c r="AP37" s="14">
        <v>-272082</v>
      </c>
      <c r="AQ37" s="14">
        <v>-322345</v>
      </c>
      <c r="AR37" s="14">
        <v>-250989</v>
      </c>
      <c r="AS37" s="14">
        <v>-245164</v>
      </c>
      <c r="AT37" s="14">
        <v>-266743</v>
      </c>
      <c r="AU37" s="14">
        <v>-337691</v>
      </c>
      <c r="AV37" s="14">
        <v>-453800</v>
      </c>
      <c r="AW37" s="14">
        <v>-624912</v>
      </c>
      <c r="AX37" s="14">
        <v>-717623</v>
      </c>
      <c r="AY37" s="14">
        <v>-650880</v>
      </c>
      <c r="AZ37" s="14">
        <v>-468600</v>
      </c>
      <c r="BA37" s="14">
        <v>-486430</v>
      </c>
      <c r="BB37" s="14">
        <v>-513997</v>
      </c>
      <c r="BC37" s="14">
        <v>-537815</v>
      </c>
      <c r="BD37" s="14">
        <v>-545016</v>
      </c>
    </row>
    <row r="38" spans="1:56">
      <c r="A38" s="14" t="s">
        <v>29</v>
      </c>
      <c r="B38" s="14" t="s">
        <v>637</v>
      </c>
      <c r="C38" s="14">
        <v>-394</v>
      </c>
      <c r="D38" s="14">
        <v>-432</v>
      </c>
      <c r="E38" s="14">
        <v>-399</v>
      </c>
      <c r="F38" s="14">
        <v>-459</v>
      </c>
      <c r="G38" s="14">
        <v>-529</v>
      </c>
      <c r="H38" s="14">
        <v>-657</v>
      </c>
      <c r="I38" s="14">
        <v>-711</v>
      </c>
      <c r="J38" s="14">
        <v>-821</v>
      </c>
      <c r="K38" s="14">
        <v>-876</v>
      </c>
      <c r="L38" s="14">
        <v>-848</v>
      </c>
      <c r="M38" s="14">
        <v>-875</v>
      </c>
      <c r="N38" s="14">
        <v>-1164</v>
      </c>
      <c r="O38" s="14">
        <v>-1284</v>
      </c>
      <c r="P38" s="14">
        <v>-1610</v>
      </c>
      <c r="Q38" s="14">
        <v>-1331</v>
      </c>
      <c r="R38" s="14">
        <v>-2234</v>
      </c>
      <c r="S38" s="14">
        <v>-3110</v>
      </c>
      <c r="T38" s="14">
        <v>-2834</v>
      </c>
      <c r="U38" s="14">
        <v>-4211</v>
      </c>
      <c r="V38" s="14">
        <v>-6357</v>
      </c>
      <c r="W38" s="14">
        <v>-8635</v>
      </c>
      <c r="X38" s="14">
        <v>-6898</v>
      </c>
      <c r="Y38" s="14">
        <v>-2114</v>
      </c>
      <c r="Z38" s="14">
        <v>-4120</v>
      </c>
      <c r="AA38" s="14">
        <v>-8443</v>
      </c>
      <c r="AB38" s="14">
        <v>-6945</v>
      </c>
      <c r="AC38" s="14">
        <v>-6856</v>
      </c>
      <c r="AD38" s="14">
        <v>-7676</v>
      </c>
      <c r="AE38" s="14">
        <v>-12150</v>
      </c>
      <c r="AF38" s="14">
        <v>-7045</v>
      </c>
      <c r="AG38" s="14">
        <v>-3450</v>
      </c>
      <c r="AH38" s="14">
        <v>2266</v>
      </c>
      <c r="AI38" s="14">
        <v>-2189</v>
      </c>
      <c r="AJ38" s="14">
        <v>-7943</v>
      </c>
      <c r="AK38" s="14">
        <v>-22150</v>
      </c>
      <c r="AL38" s="14">
        <v>-30318</v>
      </c>
      <c r="AM38" s="14">
        <v>-33093</v>
      </c>
      <c r="AN38" s="14">
        <v>-42950</v>
      </c>
      <c r="AO38" s="14">
        <v>-38418</v>
      </c>
      <c r="AP38" s="14">
        <v>-53437</v>
      </c>
      <c r="AQ38" s="14">
        <v>-56910</v>
      </c>
      <c r="AR38" s="14">
        <v>-12783</v>
      </c>
      <c r="AS38" s="14">
        <v>-43244</v>
      </c>
      <c r="AT38" s="14">
        <v>-73750</v>
      </c>
      <c r="AU38" s="14">
        <v>-99754</v>
      </c>
      <c r="AV38" s="14">
        <v>-121333</v>
      </c>
      <c r="AW38" s="14">
        <v>-150770</v>
      </c>
      <c r="AX38" s="14">
        <v>-126174</v>
      </c>
      <c r="AY38" s="14">
        <v>-129447</v>
      </c>
      <c r="AZ38" s="14">
        <v>-104828</v>
      </c>
      <c r="BA38" s="14">
        <v>-152890</v>
      </c>
      <c r="BB38" s="14">
        <v>-168243</v>
      </c>
      <c r="BC38" s="14">
        <v>-176747</v>
      </c>
      <c r="BD38" s="14">
        <v>-174294</v>
      </c>
    </row>
    <row r="39" spans="1:56">
      <c r="A39" s="14" t="s">
        <v>27</v>
      </c>
      <c r="B39" s="14" t="s">
        <v>636</v>
      </c>
      <c r="C39" s="14">
        <v>-511</v>
      </c>
      <c r="D39" s="14">
        <v>-535</v>
      </c>
      <c r="E39" s="14">
        <v>-586</v>
      </c>
      <c r="F39" s="14">
        <v>-701</v>
      </c>
      <c r="G39" s="14">
        <v>-802</v>
      </c>
      <c r="H39" s="14">
        <v>-942</v>
      </c>
      <c r="I39" s="14">
        <v>-1221</v>
      </c>
      <c r="J39" s="14">
        <v>-1328</v>
      </c>
      <c r="K39" s="14">
        <v>-1800</v>
      </c>
      <c r="L39" s="14">
        <v>-3244</v>
      </c>
      <c r="M39" s="14">
        <v>-3617</v>
      </c>
      <c r="N39" s="14">
        <v>-2428</v>
      </c>
      <c r="O39" s="14">
        <v>-2604</v>
      </c>
      <c r="P39" s="14">
        <v>-4209</v>
      </c>
      <c r="Q39" s="14">
        <v>-6491</v>
      </c>
      <c r="R39" s="14">
        <v>-5788</v>
      </c>
      <c r="S39" s="14">
        <v>-5681</v>
      </c>
      <c r="T39" s="14">
        <v>-5841</v>
      </c>
      <c r="U39" s="14">
        <v>-8795</v>
      </c>
      <c r="V39" s="14">
        <v>-15481</v>
      </c>
      <c r="W39" s="14">
        <v>-21214</v>
      </c>
      <c r="X39" s="14">
        <v>-29415</v>
      </c>
      <c r="Y39" s="14">
        <v>-35187</v>
      </c>
      <c r="Z39" s="14">
        <v>-30501</v>
      </c>
      <c r="AA39" s="14">
        <v>-44158</v>
      </c>
      <c r="AB39" s="14">
        <v>-42745</v>
      </c>
      <c r="AC39" s="14">
        <v>-47412</v>
      </c>
      <c r="AD39" s="14">
        <v>-57659</v>
      </c>
      <c r="AE39" s="14">
        <v>-72314</v>
      </c>
      <c r="AF39" s="14">
        <v>-93768</v>
      </c>
      <c r="AG39" s="14">
        <v>-95508</v>
      </c>
      <c r="AH39" s="14">
        <v>-82452</v>
      </c>
      <c r="AI39" s="14">
        <v>-63509</v>
      </c>
      <c r="AJ39" s="14">
        <v>-58290</v>
      </c>
      <c r="AK39" s="14">
        <v>-77081</v>
      </c>
      <c r="AL39" s="14">
        <v>-97149</v>
      </c>
      <c r="AM39" s="14">
        <v>-97800</v>
      </c>
      <c r="AN39" s="14">
        <v>-112878</v>
      </c>
      <c r="AO39" s="14">
        <v>-127988</v>
      </c>
      <c r="AP39" s="14">
        <v>-138120</v>
      </c>
      <c r="AQ39" s="14">
        <v>-180918</v>
      </c>
      <c r="AR39" s="14">
        <v>-159825</v>
      </c>
      <c r="AS39" s="14">
        <v>-127012</v>
      </c>
      <c r="AT39" s="14">
        <v>-119051</v>
      </c>
      <c r="AU39" s="14">
        <v>-155266</v>
      </c>
      <c r="AV39" s="14">
        <v>-228408</v>
      </c>
      <c r="AW39" s="14">
        <v>-338897</v>
      </c>
      <c r="AX39" s="14">
        <v>-426796</v>
      </c>
      <c r="AY39" s="14">
        <v>-354609</v>
      </c>
      <c r="AZ39" s="14">
        <v>-219417</v>
      </c>
      <c r="BA39" s="14">
        <v>-196390</v>
      </c>
      <c r="BB39" s="14">
        <v>-213350</v>
      </c>
      <c r="BC39" s="14">
        <v>-233336</v>
      </c>
      <c r="BD39" s="14">
        <v>-248891</v>
      </c>
    </row>
    <row r="40" spans="1:56">
      <c r="A40" s="14" t="s">
        <v>26</v>
      </c>
      <c r="B40" s="14" t="s">
        <v>635</v>
      </c>
      <c r="C40" s="14">
        <v>-332</v>
      </c>
      <c r="D40" s="14">
        <v>-278</v>
      </c>
      <c r="E40" s="14">
        <v>-339</v>
      </c>
      <c r="F40" s="14">
        <v>-401</v>
      </c>
      <c r="G40" s="14">
        <v>-453</v>
      </c>
      <c r="H40" s="14">
        <v>-489</v>
      </c>
      <c r="I40" s="14">
        <v>-549</v>
      </c>
      <c r="J40" s="14">
        <v>-598</v>
      </c>
      <c r="K40" s="14">
        <v>-702</v>
      </c>
      <c r="L40" s="14">
        <v>-777</v>
      </c>
      <c r="M40" s="14">
        <v>-1024</v>
      </c>
      <c r="N40" s="14">
        <v>-1844</v>
      </c>
      <c r="O40" s="14">
        <v>-2684</v>
      </c>
      <c r="P40" s="14">
        <v>-3836</v>
      </c>
      <c r="Q40" s="14">
        <v>-4262</v>
      </c>
      <c r="R40" s="14">
        <v>-4542</v>
      </c>
      <c r="S40" s="14">
        <v>-4520</v>
      </c>
      <c r="T40" s="14">
        <v>-5542</v>
      </c>
      <c r="U40" s="14">
        <v>-8674</v>
      </c>
      <c r="V40" s="14">
        <v>-11122</v>
      </c>
      <c r="W40" s="14">
        <v>-12684</v>
      </c>
      <c r="X40" s="14">
        <v>-17313</v>
      </c>
      <c r="Y40" s="14">
        <v>-19282</v>
      </c>
      <c r="Z40" s="14">
        <v>-18993</v>
      </c>
      <c r="AA40" s="14">
        <v>-21155</v>
      </c>
      <c r="AB40" s="14">
        <v>-23129</v>
      </c>
      <c r="AC40" s="14">
        <v>-24625</v>
      </c>
      <c r="AD40" s="14">
        <v>-26218</v>
      </c>
      <c r="AE40" s="14">
        <v>-31715</v>
      </c>
      <c r="AF40" s="14">
        <v>-38364</v>
      </c>
      <c r="AG40" s="14">
        <v>-40770</v>
      </c>
      <c r="AH40" s="14">
        <v>-40872</v>
      </c>
      <c r="AI40" s="14">
        <v>-39081</v>
      </c>
      <c r="AJ40" s="14">
        <v>-39376</v>
      </c>
      <c r="AK40" s="14">
        <v>-44192</v>
      </c>
      <c r="AL40" s="14">
        <v>-55623</v>
      </c>
      <c r="AM40" s="14">
        <v>-66618</v>
      </c>
      <c r="AN40" s="14">
        <v>-81701</v>
      </c>
      <c r="AO40" s="14">
        <v>-84154</v>
      </c>
      <c r="AP40" s="14">
        <v>-80525</v>
      </c>
      <c r="AQ40" s="14">
        <v>-84517</v>
      </c>
      <c r="AR40" s="14">
        <v>-78381</v>
      </c>
      <c r="AS40" s="14">
        <v>-74908</v>
      </c>
      <c r="AT40" s="14">
        <v>-73942</v>
      </c>
      <c r="AU40" s="14">
        <v>-82671</v>
      </c>
      <c r="AV40" s="14">
        <v>-104059</v>
      </c>
      <c r="AW40" s="14">
        <v>-135245</v>
      </c>
      <c r="AX40" s="14">
        <v>-164653</v>
      </c>
      <c r="AY40" s="14">
        <v>-166824</v>
      </c>
      <c r="AZ40" s="14">
        <v>-144355</v>
      </c>
      <c r="BA40" s="14">
        <v>-137150</v>
      </c>
      <c r="BB40" s="14">
        <v>-132404</v>
      </c>
      <c r="BC40" s="14">
        <v>-127732</v>
      </c>
      <c r="BD40" s="14">
        <v>-121831</v>
      </c>
    </row>
    <row r="41" spans="1:56">
      <c r="A41" s="14" t="s">
        <v>25</v>
      </c>
      <c r="B41" s="14" t="s">
        <v>634</v>
      </c>
      <c r="C41" s="14" t="s">
        <v>579</v>
      </c>
      <c r="D41" s="14" t="s">
        <v>579</v>
      </c>
      <c r="E41" s="14" t="s">
        <v>579</v>
      </c>
      <c r="F41" s="14" t="s">
        <v>579</v>
      </c>
      <c r="G41" s="14" t="s">
        <v>579</v>
      </c>
      <c r="H41" s="14" t="s">
        <v>579</v>
      </c>
      <c r="I41" s="14" t="s">
        <v>579</v>
      </c>
      <c r="J41" s="14" t="s">
        <v>579</v>
      </c>
      <c r="K41" s="14" t="s">
        <v>579</v>
      </c>
      <c r="L41" s="14" t="s">
        <v>579</v>
      </c>
      <c r="M41" s="14" t="s">
        <v>579</v>
      </c>
      <c r="N41" s="14" t="s">
        <v>579</v>
      </c>
      <c r="O41" s="14" t="s">
        <v>579</v>
      </c>
      <c r="P41" s="14" t="s">
        <v>579</v>
      </c>
      <c r="Q41" s="14" t="s">
        <v>579</v>
      </c>
      <c r="R41" s="14" t="s">
        <v>579</v>
      </c>
      <c r="S41" s="14" t="s">
        <v>579</v>
      </c>
      <c r="T41" s="14" t="s">
        <v>579</v>
      </c>
      <c r="U41" s="14" t="s">
        <v>579</v>
      </c>
      <c r="V41" s="14" t="s">
        <v>579</v>
      </c>
      <c r="W41" s="14" t="s">
        <v>579</v>
      </c>
      <c r="X41" s="14" t="s">
        <v>579</v>
      </c>
      <c r="Y41" s="14" t="s">
        <v>579</v>
      </c>
      <c r="Z41" s="14" t="s">
        <v>579</v>
      </c>
      <c r="AA41" s="14" t="s">
        <v>579</v>
      </c>
      <c r="AB41" s="14" t="s">
        <v>579</v>
      </c>
      <c r="AC41" s="14">
        <v>-2678</v>
      </c>
      <c r="AD41" s="14">
        <v>-2338</v>
      </c>
      <c r="AE41" s="14">
        <v>-1847</v>
      </c>
      <c r="AF41" s="14">
        <v>-2286</v>
      </c>
      <c r="AG41" s="14">
        <v>-3464</v>
      </c>
      <c r="AH41" s="14">
        <v>-4026</v>
      </c>
      <c r="AI41" s="14">
        <v>-4752</v>
      </c>
      <c r="AJ41" s="14">
        <v>-5132</v>
      </c>
      <c r="AK41" s="14">
        <v>-5952</v>
      </c>
      <c r="AL41" s="14">
        <v>-6263</v>
      </c>
      <c r="AM41" s="14">
        <v>-6300</v>
      </c>
      <c r="AN41" s="14">
        <v>-6666</v>
      </c>
      <c r="AO41" s="14">
        <v>-6994</v>
      </c>
      <c r="AP41" s="14">
        <v>-11410</v>
      </c>
      <c r="AQ41" s="14">
        <v>-10955</v>
      </c>
      <c r="AR41" s="14">
        <v>-11713</v>
      </c>
      <c r="AS41" s="14">
        <v>-12362</v>
      </c>
      <c r="AT41" s="14">
        <v>-12908</v>
      </c>
      <c r="AU41" s="14">
        <v>-13973</v>
      </c>
      <c r="AV41" s="14">
        <v>-15909</v>
      </c>
      <c r="AW41" s="14">
        <v>-16426</v>
      </c>
      <c r="AX41" s="14">
        <v>-15722</v>
      </c>
      <c r="AY41" s="14">
        <v>-17061</v>
      </c>
      <c r="AZ41" s="14">
        <v>-14418</v>
      </c>
      <c r="BA41" s="14">
        <v>-13962</v>
      </c>
      <c r="BB41" s="14">
        <v>-14184</v>
      </c>
      <c r="BC41" s="14">
        <v>-14622</v>
      </c>
      <c r="BD41" s="14">
        <v>-15285</v>
      </c>
    </row>
    <row r="42" spans="1:56">
      <c r="A42" s="14" t="s">
        <v>23</v>
      </c>
      <c r="B42" s="10" t="s">
        <v>633</v>
      </c>
      <c r="C42" s="14">
        <v>-4062</v>
      </c>
      <c r="D42" s="14">
        <v>-4127</v>
      </c>
      <c r="E42" s="14">
        <v>-4277</v>
      </c>
      <c r="F42" s="14">
        <v>-4392</v>
      </c>
      <c r="G42" s="14">
        <v>-4240</v>
      </c>
      <c r="H42" s="14">
        <v>-4583</v>
      </c>
      <c r="I42" s="14">
        <v>-4955</v>
      </c>
      <c r="J42" s="14">
        <v>-5294</v>
      </c>
      <c r="K42" s="14">
        <v>-5629</v>
      </c>
      <c r="L42" s="14">
        <v>-5735</v>
      </c>
      <c r="M42" s="14">
        <v>-6156</v>
      </c>
      <c r="N42" s="14">
        <v>-7402</v>
      </c>
      <c r="O42" s="14">
        <v>-8544</v>
      </c>
      <c r="P42" s="14">
        <v>-6913</v>
      </c>
      <c r="Q42" s="14">
        <v>-9249</v>
      </c>
      <c r="R42" s="14">
        <v>-7075</v>
      </c>
      <c r="S42" s="14">
        <v>-5686</v>
      </c>
      <c r="T42" s="14">
        <v>-5226</v>
      </c>
      <c r="U42" s="14">
        <v>-5788</v>
      </c>
      <c r="V42" s="14">
        <v>-6593</v>
      </c>
      <c r="W42" s="14">
        <v>-8349</v>
      </c>
      <c r="X42" s="14">
        <v>-11702</v>
      </c>
      <c r="Y42" s="14">
        <v>-16544</v>
      </c>
      <c r="Z42" s="14">
        <v>-17310</v>
      </c>
      <c r="AA42" s="14">
        <v>-20335</v>
      </c>
      <c r="AB42" s="14">
        <v>-21998</v>
      </c>
      <c r="AC42" s="14">
        <v>-24132</v>
      </c>
      <c r="AD42" s="14">
        <v>-23265</v>
      </c>
      <c r="AE42" s="14">
        <v>-25274</v>
      </c>
      <c r="AF42" s="14">
        <v>-26169</v>
      </c>
      <c r="AG42" s="14">
        <v>-26654</v>
      </c>
      <c r="AH42" s="14">
        <v>9904</v>
      </c>
      <c r="AI42" s="14">
        <v>-36636</v>
      </c>
      <c r="AJ42" s="14">
        <v>-39812</v>
      </c>
      <c r="AK42" s="14">
        <v>-40265</v>
      </c>
      <c r="AL42" s="14">
        <v>-38074</v>
      </c>
      <c r="AM42" s="14">
        <v>-43017</v>
      </c>
      <c r="AN42" s="14">
        <v>-45062</v>
      </c>
      <c r="AO42" s="14">
        <v>-53187</v>
      </c>
      <c r="AP42" s="14">
        <v>-48954</v>
      </c>
      <c r="AQ42" s="14">
        <v>-58159</v>
      </c>
      <c r="AR42" s="14">
        <v>-64086</v>
      </c>
      <c r="AS42" s="14">
        <v>-64810</v>
      </c>
      <c r="AT42" s="14">
        <v>-70873</v>
      </c>
      <c r="AU42" s="14">
        <v>-88559</v>
      </c>
      <c r="AV42" s="14">
        <v>-99512</v>
      </c>
      <c r="AW42" s="14">
        <v>-89417</v>
      </c>
      <c r="AX42" s="14">
        <v>-114929</v>
      </c>
      <c r="AY42" s="14">
        <v>-125185</v>
      </c>
      <c r="AZ42" s="14">
        <v>-121559</v>
      </c>
      <c r="BA42" s="14">
        <v>-127751</v>
      </c>
      <c r="BB42" s="14">
        <v>-133535</v>
      </c>
      <c r="BC42" s="14">
        <v>-129688</v>
      </c>
      <c r="BD42" s="14">
        <v>-133179</v>
      </c>
    </row>
    <row r="43" spans="1:56">
      <c r="A43" s="14" t="s">
        <v>22</v>
      </c>
      <c r="B43" s="14" t="s">
        <v>632</v>
      </c>
      <c r="C43" s="14">
        <v>-3367</v>
      </c>
      <c r="D43" s="14">
        <v>-3320</v>
      </c>
      <c r="E43" s="14">
        <v>-3453</v>
      </c>
      <c r="F43" s="14">
        <v>-3479</v>
      </c>
      <c r="G43" s="14">
        <v>-3227</v>
      </c>
      <c r="H43" s="14">
        <v>-3444</v>
      </c>
      <c r="I43" s="14">
        <v>-3802</v>
      </c>
      <c r="J43" s="14">
        <v>-3844</v>
      </c>
      <c r="K43" s="14">
        <v>-4256</v>
      </c>
      <c r="L43" s="14">
        <v>-4259</v>
      </c>
      <c r="M43" s="14">
        <v>-4449</v>
      </c>
      <c r="N43" s="14">
        <v>-5589</v>
      </c>
      <c r="O43" s="14">
        <v>-6665</v>
      </c>
      <c r="P43" s="14">
        <v>-4748</v>
      </c>
      <c r="Q43" s="14" t="s">
        <v>631</v>
      </c>
      <c r="R43" s="14">
        <v>-5101</v>
      </c>
      <c r="S43" s="14">
        <v>-3519</v>
      </c>
      <c r="T43" s="14">
        <v>-2990</v>
      </c>
      <c r="U43" s="14">
        <v>-3412</v>
      </c>
      <c r="V43" s="14">
        <v>-4015</v>
      </c>
      <c r="W43" s="14">
        <v>-5486</v>
      </c>
      <c r="X43" s="14">
        <v>-5145</v>
      </c>
      <c r="Y43" s="14">
        <v>-6087</v>
      </c>
      <c r="Z43" s="14">
        <v>-6469</v>
      </c>
      <c r="AA43" s="14">
        <v>-8696</v>
      </c>
      <c r="AB43" s="14">
        <v>-11268</v>
      </c>
      <c r="AC43" s="14">
        <v>-11883</v>
      </c>
      <c r="AD43" s="14">
        <v>-10309</v>
      </c>
      <c r="AE43" s="14">
        <v>-10537</v>
      </c>
      <c r="AF43" s="14">
        <v>-10860</v>
      </c>
      <c r="AG43" s="14">
        <v>-10359</v>
      </c>
      <c r="AH43" s="14">
        <v>29193</v>
      </c>
      <c r="AI43" s="14">
        <v>-16320</v>
      </c>
      <c r="AJ43" s="14">
        <v>-17036</v>
      </c>
      <c r="AK43" s="14">
        <v>-14978</v>
      </c>
      <c r="AL43" s="14">
        <v>-11190</v>
      </c>
      <c r="AM43" s="14">
        <v>-15401</v>
      </c>
      <c r="AN43" s="14">
        <v>-12472</v>
      </c>
      <c r="AO43" s="14">
        <v>-13270</v>
      </c>
      <c r="AP43" s="14">
        <v>-13774</v>
      </c>
      <c r="AQ43" s="14">
        <v>-16836</v>
      </c>
      <c r="AR43" s="14">
        <v>-11591</v>
      </c>
      <c r="AS43" s="14">
        <v>-17139</v>
      </c>
      <c r="AT43" s="14">
        <v>-22175</v>
      </c>
      <c r="AU43" s="14">
        <v>-23704</v>
      </c>
      <c r="AV43" s="14">
        <v>-33615</v>
      </c>
      <c r="AW43" s="14">
        <v>-27767</v>
      </c>
      <c r="AX43" s="14">
        <v>-34567</v>
      </c>
      <c r="AY43" s="14">
        <v>-36461</v>
      </c>
      <c r="AZ43" s="14">
        <v>-42699</v>
      </c>
      <c r="BA43" s="14">
        <v>-42736</v>
      </c>
      <c r="BB43" s="14">
        <v>-47350</v>
      </c>
      <c r="BC43" s="14">
        <v>-46090</v>
      </c>
      <c r="BD43" s="14">
        <v>-45567</v>
      </c>
    </row>
    <row r="44" spans="1:56">
      <c r="A44" s="14" t="s">
        <v>21</v>
      </c>
      <c r="B44" s="14" t="s">
        <v>630</v>
      </c>
      <c r="C44" s="14">
        <v>-273</v>
      </c>
      <c r="D44" s="14">
        <v>-373</v>
      </c>
      <c r="E44" s="14">
        <v>-347</v>
      </c>
      <c r="F44" s="14">
        <v>-339</v>
      </c>
      <c r="G44" s="14">
        <v>-399</v>
      </c>
      <c r="H44" s="14">
        <v>-463</v>
      </c>
      <c r="I44" s="14">
        <v>-499</v>
      </c>
      <c r="J44" s="14">
        <v>-571</v>
      </c>
      <c r="K44" s="14">
        <v>-537</v>
      </c>
      <c r="L44" s="14">
        <v>-537</v>
      </c>
      <c r="M44" s="14">
        <v>-611</v>
      </c>
      <c r="N44" s="14">
        <v>-696</v>
      </c>
      <c r="O44" s="14">
        <v>-770</v>
      </c>
      <c r="P44" s="14">
        <v>-915</v>
      </c>
      <c r="Q44" s="14">
        <v>-939</v>
      </c>
      <c r="R44" s="14">
        <v>-1068</v>
      </c>
      <c r="S44" s="14">
        <v>-1250</v>
      </c>
      <c r="T44" s="14">
        <v>-1378</v>
      </c>
      <c r="U44" s="14">
        <v>-1532</v>
      </c>
      <c r="V44" s="14">
        <v>-1658</v>
      </c>
      <c r="W44" s="14">
        <v>-1818</v>
      </c>
      <c r="X44" s="14">
        <v>-2041</v>
      </c>
      <c r="Y44" s="14">
        <v>-2251</v>
      </c>
      <c r="Z44" s="14">
        <v>-2207</v>
      </c>
      <c r="AA44" s="14">
        <v>-2159</v>
      </c>
      <c r="AB44" s="14">
        <v>-2138</v>
      </c>
      <c r="AC44" s="14">
        <v>-2372</v>
      </c>
      <c r="AD44" s="14">
        <v>-2409</v>
      </c>
      <c r="AE44" s="14">
        <v>-2709</v>
      </c>
      <c r="AF44" s="14">
        <v>-2775</v>
      </c>
      <c r="AG44" s="14">
        <v>-3224</v>
      </c>
      <c r="AH44" s="14">
        <v>-3775</v>
      </c>
      <c r="AI44" s="14">
        <v>-4043</v>
      </c>
      <c r="AJ44" s="14">
        <v>-4104</v>
      </c>
      <c r="AK44" s="14">
        <v>-4556</v>
      </c>
      <c r="AL44" s="14">
        <v>-3451</v>
      </c>
      <c r="AM44" s="14">
        <v>-4466</v>
      </c>
      <c r="AN44" s="14">
        <v>-4191</v>
      </c>
      <c r="AO44" s="14">
        <v>-4305</v>
      </c>
      <c r="AP44" s="14">
        <v>-3352</v>
      </c>
      <c r="AQ44" s="14">
        <v>-4595</v>
      </c>
      <c r="AR44" s="14">
        <v>-5534</v>
      </c>
      <c r="AS44" s="14">
        <v>-5085</v>
      </c>
      <c r="AT44" s="14">
        <v>-5278</v>
      </c>
      <c r="AU44" s="14">
        <v>-5997</v>
      </c>
      <c r="AV44" s="14">
        <v>-5249</v>
      </c>
      <c r="AW44" s="14">
        <v>-6273</v>
      </c>
      <c r="AX44" s="14">
        <v>-6694</v>
      </c>
      <c r="AY44" s="14">
        <v>-6325</v>
      </c>
      <c r="AZ44" s="14">
        <v>-6589</v>
      </c>
      <c r="BA44" s="14">
        <v>-6645</v>
      </c>
      <c r="BB44" s="14">
        <v>-7837</v>
      </c>
      <c r="BC44" s="14">
        <v>-3685</v>
      </c>
      <c r="BD44" s="14">
        <v>-2593</v>
      </c>
    </row>
    <row r="45" spans="1:56">
      <c r="A45" s="14" t="s">
        <v>20</v>
      </c>
      <c r="B45" s="14" t="s">
        <v>629</v>
      </c>
      <c r="C45" s="14">
        <v>-423</v>
      </c>
      <c r="D45" s="14">
        <v>-434</v>
      </c>
      <c r="E45" s="14">
        <v>-477</v>
      </c>
      <c r="F45" s="14">
        <v>-575</v>
      </c>
      <c r="G45" s="14">
        <v>-614</v>
      </c>
      <c r="H45" s="14">
        <v>-677</v>
      </c>
      <c r="I45" s="14">
        <v>-655</v>
      </c>
      <c r="J45" s="14">
        <v>-879</v>
      </c>
      <c r="K45" s="14">
        <v>-836</v>
      </c>
      <c r="L45" s="14">
        <v>-939</v>
      </c>
      <c r="M45" s="14">
        <v>-1096</v>
      </c>
      <c r="N45" s="14">
        <v>-1117</v>
      </c>
      <c r="O45" s="14">
        <v>-1109</v>
      </c>
      <c r="P45" s="14">
        <v>-1250</v>
      </c>
      <c r="Q45" s="14">
        <v>-1017</v>
      </c>
      <c r="R45" s="14">
        <v>-906</v>
      </c>
      <c r="S45" s="14">
        <v>-917</v>
      </c>
      <c r="T45" s="14">
        <v>-859</v>
      </c>
      <c r="U45" s="14">
        <v>-844</v>
      </c>
      <c r="V45" s="14">
        <v>-920</v>
      </c>
      <c r="W45" s="14">
        <v>-1044</v>
      </c>
      <c r="X45" s="14" t="s">
        <v>628</v>
      </c>
      <c r="Y45" s="14" t="s">
        <v>627</v>
      </c>
      <c r="Z45" s="14">
        <v>-8635</v>
      </c>
      <c r="AA45" s="14">
        <v>-9479</v>
      </c>
      <c r="AB45" s="14">
        <v>-8593</v>
      </c>
      <c r="AC45" s="14">
        <v>-9877</v>
      </c>
      <c r="AD45" s="14">
        <v>-10548</v>
      </c>
      <c r="AE45" s="14">
        <v>-12028</v>
      </c>
      <c r="AF45" s="14">
        <v>-12534</v>
      </c>
      <c r="AG45" s="14">
        <v>-13070</v>
      </c>
      <c r="AH45" s="14">
        <v>-15514</v>
      </c>
      <c r="AI45" s="14">
        <v>-16273</v>
      </c>
      <c r="AJ45" s="14">
        <v>-18672</v>
      </c>
      <c r="AK45" s="14">
        <v>-20731</v>
      </c>
      <c r="AL45" s="14">
        <v>-23433</v>
      </c>
      <c r="AM45" s="14">
        <v>-23150</v>
      </c>
      <c r="AN45" s="14">
        <v>-28399</v>
      </c>
      <c r="AO45" s="14">
        <v>-35612</v>
      </c>
      <c r="AP45" s="14">
        <v>-31828</v>
      </c>
      <c r="AQ45" s="14">
        <v>-36728</v>
      </c>
      <c r="AR45" s="14">
        <v>-46962</v>
      </c>
      <c r="AS45" s="14">
        <v>-42586</v>
      </c>
      <c r="AT45" s="14">
        <v>-43420</v>
      </c>
      <c r="AU45" s="14">
        <v>-58857</v>
      </c>
      <c r="AV45" s="14">
        <v>-60647</v>
      </c>
      <c r="AW45" s="14">
        <v>-55377</v>
      </c>
      <c r="AX45" s="14">
        <v>-73668</v>
      </c>
      <c r="AY45" s="14">
        <v>-82398</v>
      </c>
      <c r="AZ45" s="14">
        <v>-72271</v>
      </c>
      <c r="BA45" s="14">
        <v>-78371</v>
      </c>
      <c r="BB45" s="14">
        <v>-78349</v>
      </c>
      <c r="BC45" s="14">
        <v>-79913</v>
      </c>
      <c r="BD45" s="14">
        <v>-85020</v>
      </c>
    </row>
    <row r="46" spans="1:56">
      <c r="A46" s="14" t="s">
        <v>32</v>
      </c>
      <c r="B46" s="14" t="s">
        <v>626</v>
      </c>
      <c r="C46" s="14" t="s">
        <v>0</v>
      </c>
      <c r="D46" s="14" t="s">
        <v>0</v>
      </c>
      <c r="E46" s="14" t="s">
        <v>0</v>
      </c>
      <c r="F46" s="14" t="s">
        <v>0</v>
      </c>
      <c r="G46" s="14" t="s">
        <v>0</v>
      </c>
      <c r="H46" s="14" t="s">
        <v>0</v>
      </c>
      <c r="I46" s="14" t="s">
        <v>0</v>
      </c>
      <c r="J46" s="14" t="s">
        <v>0</v>
      </c>
      <c r="K46" s="14" t="s">
        <v>0</v>
      </c>
      <c r="L46" s="14" t="s">
        <v>0</v>
      </c>
      <c r="M46" s="14" t="s">
        <v>0</v>
      </c>
      <c r="N46" s="14" t="s">
        <v>0</v>
      </c>
      <c r="O46" s="14" t="s">
        <v>0</v>
      </c>
      <c r="P46" s="14" t="s">
        <v>0</v>
      </c>
      <c r="Q46" s="14" t="s">
        <v>0</v>
      </c>
      <c r="R46" s="14" t="s">
        <v>0</v>
      </c>
      <c r="S46" s="14" t="s">
        <v>0</v>
      </c>
      <c r="T46" s="14" t="s">
        <v>0</v>
      </c>
      <c r="U46" s="14" t="s">
        <v>0</v>
      </c>
      <c r="V46" s="14" t="s">
        <v>0</v>
      </c>
      <c r="W46" s="14" t="s">
        <v>0</v>
      </c>
      <c r="X46" s="14" t="s">
        <v>0</v>
      </c>
      <c r="Y46" s="14" t="s">
        <v>0</v>
      </c>
      <c r="Z46" s="14" t="s">
        <v>0</v>
      </c>
      <c r="AA46" s="14" t="s">
        <v>0</v>
      </c>
      <c r="AB46" s="14" t="s">
        <v>0</v>
      </c>
      <c r="AC46" s="14" t="s">
        <v>0</v>
      </c>
      <c r="AD46" s="14" t="s">
        <v>0</v>
      </c>
      <c r="AE46" s="14" t="s">
        <v>0</v>
      </c>
      <c r="AF46" s="14" t="s">
        <v>0</v>
      </c>
      <c r="AG46" s="14" t="s">
        <v>0</v>
      </c>
      <c r="AH46" s="14" t="s">
        <v>0</v>
      </c>
      <c r="AI46" s="14" t="s">
        <v>0</v>
      </c>
      <c r="AJ46" s="14" t="s">
        <v>0</v>
      </c>
      <c r="AK46" s="14" t="s">
        <v>0</v>
      </c>
      <c r="AL46" s="14" t="s">
        <v>0</v>
      </c>
      <c r="AM46" s="14" t="s">
        <v>0</v>
      </c>
      <c r="AN46" s="14" t="s">
        <v>0</v>
      </c>
      <c r="AO46" s="14" t="s">
        <v>0</v>
      </c>
      <c r="AP46" s="14" t="s">
        <v>0</v>
      </c>
      <c r="AQ46" s="14" t="s">
        <v>0</v>
      </c>
      <c r="AR46" s="14" t="s">
        <v>0</v>
      </c>
      <c r="AS46" s="14" t="s">
        <v>0</v>
      </c>
      <c r="AT46" s="14" t="s">
        <v>0</v>
      </c>
      <c r="AU46" s="14" t="s">
        <v>0</v>
      </c>
      <c r="AV46" s="14" t="s">
        <v>0</v>
      </c>
      <c r="AW46" s="14" t="s">
        <v>0</v>
      </c>
      <c r="AX46" s="14" t="s">
        <v>0</v>
      </c>
      <c r="AY46" s="14" t="s">
        <v>0</v>
      </c>
      <c r="AZ46" s="14" t="s">
        <v>0</v>
      </c>
      <c r="BA46" s="14" t="s">
        <v>0</v>
      </c>
      <c r="BB46" s="14" t="s">
        <v>0</v>
      </c>
      <c r="BC46" s="14" t="s">
        <v>0</v>
      </c>
      <c r="BD46" s="14" t="s">
        <v>0</v>
      </c>
    </row>
    <row r="47" spans="1:56">
      <c r="A47" s="14" t="s">
        <v>19</v>
      </c>
      <c r="B47" s="10" t="s">
        <v>625</v>
      </c>
      <c r="C47" s="14" t="s">
        <v>579</v>
      </c>
      <c r="D47" s="14" t="s">
        <v>579</v>
      </c>
      <c r="E47" s="14" t="s">
        <v>579</v>
      </c>
      <c r="F47" s="14" t="s">
        <v>579</v>
      </c>
      <c r="G47" s="14" t="s">
        <v>579</v>
      </c>
      <c r="H47" s="14" t="s">
        <v>579</v>
      </c>
      <c r="I47" s="14" t="s">
        <v>579</v>
      </c>
      <c r="J47" s="14" t="s">
        <v>579</v>
      </c>
      <c r="K47" s="14" t="s">
        <v>579</v>
      </c>
      <c r="L47" s="14" t="s">
        <v>579</v>
      </c>
      <c r="M47" s="14" t="s">
        <v>579</v>
      </c>
      <c r="N47" s="14" t="s">
        <v>579</v>
      </c>
      <c r="O47" s="14" t="s">
        <v>579</v>
      </c>
      <c r="P47" s="14" t="s">
        <v>579</v>
      </c>
      <c r="Q47" s="14" t="s">
        <v>579</v>
      </c>
      <c r="R47" s="14" t="s">
        <v>579</v>
      </c>
      <c r="S47" s="14" t="s">
        <v>579</v>
      </c>
      <c r="T47" s="14" t="s">
        <v>579</v>
      </c>
      <c r="U47" s="14" t="s">
        <v>579</v>
      </c>
      <c r="V47" s="14" t="s">
        <v>579</v>
      </c>
      <c r="W47" s="14" t="s">
        <v>579</v>
      </c>
      <c r="X47" s="14" t="s">
        <v>579</v>
      </c>
      <c r="Y47" s="14" t="s">
        <v>579</v>
      </c>
      <c r="Z47" s="14" t="s">
        <v>579</v>
      </c>
      <c r="AA47" s="14" t="s">
        <v>579</v>
      </c>
      <c r="AB47" s="14" t="s">
        <v>579</v>
      </c>
      <c r="AC47" s="14" t="s">
        <v>579</v>
      </c>
      <c r="AD47" s="14" t="s">
        <v>579</v>
      </c>
      <c r="AE47" s="14" t="s">
        <v>579</v>
      </c>
      <c r="AF47" s="14">
        <v>-207</v>
      </c>
      <c r="AG47" s="14">
        <v>-7220</v>
      </c>
      <c r="AH47" s="14">
        <v>-5130</v>
      </c>
      <c r="AI47" s="14">
        <v>1449</v>
      </c>
      <c r="AJ47" s="14">
        <v>-714</v>
      </c>
      <c r="AK47" s="14">
        <v>-1111</v>
      </c>
      <c r="AL47" s="14">
        <v>-222</v>
      </c>
      <c r="AM47" s="14">
        <v>-7</v>
      </c>
      <c r="AN47" s="14">
        <v>-256</v>
      </c>
      <c r="AO47" s="14">
        <v>-8</v>
      </c>
      <c r="AP47" s="14">
        <v>-4176</v>
      </c>
      <c r="AQ47" s="14">
        <v>-1</v>
      </c>
      <c r="AR47" s="14">
        <v>13198</v>
      </c>
      <c r="AS47" s="14">
        <v>-141</v>
      </c>
      <c r="AT47" s="14">
        <v>-1821</v>
      </c>
      <c r="AU47" s="14">
        <v>3049</v>
      </c>
      <c r="AV47" s="14">
        <v>13116</v>
      </c>
      <c r="AW47" s="14">
        <v>-1788</v>
      </c>
      <c r="AX47" s="14">
        <v>384</v>
      </c>
      <c r="AY47" s="14">
        <v>6010</v>
      </c>
      <c r="AZ47" s="14">
        <v>-140</v>
      </c>
      <c r="BA47" s="14">
        <v>-157</v>
      </c>
      <c r="BB47" s="14">
        <v>-1212</v>
      </c>
      <c r="BC47" s="14">
        <v>6956</v>
      </c>
      <c r="BD47" s="14" t="s">
        <v>624</v>
      </c>
    </row>
    <row r="48" spans="1:56">
      <c r="A48" s="14" t="s">
        <v>32</v>
      </c>
      <c r="B48" s="14" t="s">
        <v>623</v>
      </c>
      <c r="C48" s="14" t="s">
        <v>0</v>
      </c>
      <c r="D48" s="14" t="s">
        <v>0</v>
      </c>
      <c r="E48" s="14" t="s">
        <v>0</v>
      </c>
      <c r="F48" s="14" t="s">
        <v>0</v>
      </c>
      <c r="G48" s="14" t="s">
        <v>0</v>
      </c>
      <c r="H48" s="14" t="s">
        <v>0</v>
      </c>
      <c r="I48" s="14" t="s">
        <v>0</v>
      </c>
      <c r="J48" s="14" t="s">
        <v>0</v>
      </c>
      <c r="K48" s="14" t="s">
        <v>0</v>
      </c>
      <c r="L48" s="14" t="s">
        <v>0</v>
      </c>
      <c r="M48" s="14" t="s">
        <v>0</v>
      </c>
      <c r="N48" s="14" t="s">
        <v>0</v>
      </c>
      <c r="O48" s="14" t="s">
        <v>0</v>
      </c>
      <c r="P48" s="14" t="s">
        <v>0</v>
      </c>
      <c r="Q48" s="14" t="s">
        <v>0</v>
      </c>
      <c r="R48" s="14" t="s">
        <v>0</v>
      </c>
      <c r="S48" s="14" t="s">
        <v>0</v>
      </c>
      <c r="T48" s="14" t="s">
        <v>0</v>
      </c>
      <c r="U48" s="14" t="s">
        <v>0</v>
      </c>
      <c r="V48" s="14" t="s">
        <v>0</v>
      </c>
      <c r="W48" s="14" t="s">
        <v>0</v>
      </c>
      <c r="X48" s="14" t="s">
        <v>0</v>
      </c>
      <c r="Y48" s="14" t="s">
        <v>0</v>
      </c>
      <c r="Z48" s="14" t="s">
        <v>0</v>
      </c>
      <c r="AA48" s="14" t="s">
        <v>0</v>
      </c>
      <c r="AB48" s="14" t="s">
        <v>0</v>
      </c>
      <c r="AC48" s="14" t="s">
        <v>0</v>
      </c>
      <c r="AD48" s="14" t="s">
        <v>0</v>
      </c>
      <c r="AE48" s="14" t="s">
        <v>0</v>
      </c>
      <c r="AF48" s="14" t="s">
        <v>0</v>
      </c>
      <c r="AG48" s="14" t="s">
        <v>0</v>
      </c>
      <c r="AH48" s="14" t="s">
        <v>0</v>
      </c>
      <c r="AI48" s="14" t="s">
        <v>0</v>
      </c>
      <c r="AJ48" s="14" t="s">
        <v>0</v>
      </c>
      <c r="AK48" s="14" t="s">
        <v>0</v>
      </c>
      <c r="AL48" s="14" t="s">
        <v>0</v>
      </c>
      <c r="AM48" s="14" t="s">
        <v>0</v>
      </c>
      <c r="AN48" s="14" t="s">
        <v>0</v>
      </c>
      <c r="AO48" s="14" t="s">
        <v>0</v>
      </c>
      <c r="AP48" s="14" t="s">
        <v>0</v>
      </c>
      <c r="AQ48" s="14" t="s">
        <v>0</v>
      </c>
      <c r="AR48" s="14" t="s">
        <v>0</v>
      </c>
      <c r="AS48" s="14" t="s">
        <v>0</v>
      </c>
      <c r="AT48" s="14" t="s">
        <v>0</v>
      </c>
      <c r="AU48" s="14" t="s">
        <v>0</v>
      </c>
      <c r="AV48" s="14" t="s">
        <v>0</v>
      </c>
      <c r="AW48" s="14" t="s">
        <v>0</v>
      </c>
      <c r="AX48" s="14" t="s">
        <v>0</v>
      </c>
      <c r="AY48" s="14" t="s">
        <v>0</v>
      </c>
      <c r="AZ48" s="14" t="s">
        <v>0</v>
      </c>
      <c r="BA48" s="14" t="s">
        <v>0</v>
      </c>
      <c r="BB48" s="14" t="s">
        <v>0</v>
      </c>
      <c r="BC48" s="14" t="s">
        <v>0</v>
      </c>
      <c r="BD48" s="14" t="s">
        <v>0</v>
      </c>
    </row>
    <row r="49" spans="1:56">
      <c r="A49" s="14" t="s">
        <v>18</v>
      </c>
      <c r="B49" s="10" t="s">
        <v>622</v>
      </c>
      <c r="C49" s="14">
        <v>-4099</v>
      </c>
      <c r="D49" s="14">
        <v>-5538</v>
      </c>
      <c r="E49" s="14">
        <v>-4174</v>
      </c>
      <c r="F49" s="14">
        <v>-7270</v>
      </c>
      <c r="G49" s="14">
        <v>-9560</v>
      </c>
      <c r="H49" s="14">
        <v>-5716</v>
      </c>
      <c r="I49" s="14">
        <v>-7321</v>
      </c>
      <c r="J49" s="14">
        <v>-9757</v>
      </c>
      <c r="K49" s="14">
        <v>-10977</v>
      </c>
      <c r="L49" s="14">
        <v>-11585</v>
      </c>
      <c r="M49" s="14">
        <v>-9337</v>
      </c>
      <c r="N49" s="14">
        <v>-12475</v>
      </c>
      <c r="O49" s="14">
        <v>-14497</v>
      </c>
      <c r="P49" s="14">
        <v>-22874</v>
      </c>
      <c r="Q49" s="14">
        <v>-34745</v>
      </c>
      <c r="R49" s="14">
        <v>-39703</v>
      </c>
      <c r="S49" s="14">
        <v>-51269</v>
      </c>
      <c r="T49" s="14">
        <v>-34785</v>
      </c>
      <c r="U49" s="14">
        <v>-61130</v>
      </c>
      <c r="V49" s="14">
        <v>-66054</v>
      </c>
      <c r="W49" s="14">
        <v>-86967</v>
      </c>
      <c r="X49" s="14">
        <v>-114147</v>
      </c>
      <c r="Y49" s="14">
        <v>-127882</v>
      </c>
      <c r="Z49" s="14">
        <v>-66373</v>
      </c>
      <c r="AA49" s="14">
        <v>-40376</v>
      </c>
      <c r="AB49" s="14">
        <v>-44752</v>
      </c>
      <c r="AC49" s="14">
        <v>-111723</v>
      </c>
      <c r="AD49" s="14">
        <v>-79296</v>
      </c>
      <c r="AE49" s="14">
        <v>-106573</v>
      </c>
      <c r="AF49" s="14">
        <v>-175383</v>
      </c>
      <c r="AG49" s="14">
        <v>-81234</v>
      </c>
      <c r="AH49" s="14">
        <v>-64388</v>
      </c>
      <c r="AI49" s="14">
        <v>-74410</v>
      </c>
      <c r="AJ49" s="14">
        <v>-200552</v>
      </c>
      <c r="AK49" s="14">
        <v>-178937</v>
      </c>
      <c r="AL49" s="14">
        <v>-352264</v>
      </c>
      <c r="AM49" s="14">
        <v>-413409</v>
      </c>
      <c r="AN49" s="14">
        <v>-485475</v>
      </c>
      <c r="AO49" s="14">
        <v>-353829</v>
      </c>
      <c r="AP49" s="14">
        <v>-504062</v>
      </c>
      <c r="AQ49" s="14">
        <v>-560523</v>
      </c>
      <c r="AR49" s="14">
        <v>-382616</v>
      </c>
      <c r="AS49" s="14">
        <v>-294646</v>
      </c>
      <c r="AT49" s="14">
        <v>-325424</v>
      </c>
      <c r="AU49" s="14">
        <v>-1000870</v>
      </c>
      <c r="AV49" s="14">
        <v>-546631</v>
      </c>
      <c r="AW49" s="14">
        <v>-1285729</v>
      </c>
      <c r="AX49" s="14">
        <v>-1453604</v>
      </c>
      <c r="AY49" s="14">
        <v>332109</v>
      </c>
      <c r="AZ49" s="14">
        <v>-128860</v>
      </c>
      <c r="BA49" s="14">
        <v>-909953</v>
      </c>
      <c r="BB49" s="14">
        <v>-452304</v>
      </c>
      <c r="BC49" s="14">
        <v>-97469</v>
      </c>
      <c r="BD49" s="14">
        <v>-552983</v>
      </c>
    </row>
    <row r="50" spans="1:56">
      <c r="A50" s="14" t="s">
        <v>17</v>
      </c>
      <c r="B50" s="14" t="s">
        <v>621</v>
      </c>
      <c r="C50" s="14">
        <v>2145</v>
      </c>
      <c r="D50" s="14">
        <v>607</v>
      </c>
      <c r="E50" s="14">
        <v>1535</v>
      </c>
      <c r="F50" s="14">
        <v>378</v>
      </c>
      <c r="G50" s="14">
        <v>171</v>
      </c>
      <c r="H50" s="14">
        <v>1225</v>
      </c>
      <c r="I50" s="14">
        <v>570</v>
      </c>
      <c r="J50" s="14">
        <v>53</v>
      </c>
      <c r="K50" s="14">
        <v>-870</v>
      </c>
      <c r="L50" s="14">
        <v>-1179</v>
      </c>
      <c r="M50" s="14">
        <v>2481</v>
      </c>
      <c r="N50" s="14">
        <v>2349</v>
      </c>
      <c r="O50" s="14">
        <v>-4</v>
      </c>
      <c r="P50" s="14">
        <v>158</v>
      </c>
      <c r="Q50" s="14">
        <v>-1467</v>
      </c>
      <c r="R50" s="14">
        <v>-849</v>
      </c>
      <c r="S50" s="14">
        <v>-2558</v>
      </c>
      <c r="T50" s="14">
        <v>-375</v>
      </c>
      <c r="U50" s="14">
        <v>732</v>
      </c>
      <c r="V50" s="14">
        <v>-1133</v>
      </c>
      <c r="W50" s="14">
        <v>-8155</v>
      </c>
      <c r="X50" s="14">
        <v>-5175</v>
      </c>
      <c r="Y50" s="14">
        <v>-4965</v>
      </c>
      <c r="Z50" s="14">
        <v>-1196</v>
      </c>
      <c r="AA50" s="14">
        <v>-3131</v>
      </c>
      <c r="AB50" s="14">
        <v>-3858</v>
      </c>
      <c r="AC50" s="14">
        <v>312</v>
      </c>
      <c r="AD50" s="14">
        <v>9149</v>
      </c>
      <c r="AE50" s="14">
        <v>-3912</v>
      </c>
      <c r="AF50" s="14">
        <v>-25293</v>
      </c>
      <c r="AG50" s="14">
        <v>-2158</v>
      </c>
      <c r="AH50" s="14">
        <v>5763</v>
      </c>
      <c r="AI50" s="14">
        <v>3901</v>
      </c>
      <c r="AJ50" s="14">
        <v>-1379</v>
      </c>
      <c r="AK50" s="14">
        <v>5346</v>
      </c>
      <c r="AL50" s="14">
        <v>-9742</v>
      </c>
      <c r="AM50" s="14">
        <v>6668</v>
      </c>
      <c r="AN50" s="14">
        <v>-1010</v>
      </c>
      <c r="AO50" s="14">
        <v>-6783</v>
      </c>
      <c r="AP50" s="14">
        <v>8747</v>
      </c>
      <c r="AQ50" s="14">
        <v>-290</v>
      </c>
      <c r="AR50" s="14">
        <v>-4911</v>
      </c>
      <c r="AS50" s="14">
        <v>-3681</v>
      </c>
      <c r="AT50" s="14">
        <v>1523</v>
      </c>
      <c r="AU50" s="14">
        <v>2805</v>
      </c>
      <c r="AV50" s="14">
        <v>14096</v>
      </c>
      <c r="AW50" s="14">
        <v>2374</v>
      </c>
      <c r="AX50" s="14">
        <v>-122</v>
      </c>
      <c r="AY50" s="14">
        <v>-4848</v>
      </c>
      <c r="AZ50" s="14">
        <v>-52256</v>
      </c>
      <c r="BA50" s="14">
        <v>-1834</v>
      </c>
      <c r="BB50" s="14">
        <v>-15877</v>
      </c>
      <c r="BC50" s="14">
        <v>-4460</v>
      </c>
      <c r="BD50" s="14">
        <v>3098</v>
      </c>
    </row>
    <row r="51" spans="1:56">
      <c r="A51" s="14" t="s">
        <v>16</v>
      </c>
      <c r="B51" s="14" t="s">
        <v>620</v>
      </c>
      <c r="C51" s="14">
        <v>1703</v>
      </c>
      <c r="D51" s="14">
        <v>857</v>
      </c>
      <c r="E51" s="14">
        <v>890</v>
      </c>
      <c r="F51" s="14">
        <v>461</v>
      </c>
      <c r="G51" s="14">
        <v>125</v>
      </c>
      <c r="H51" s="14">
        <v>1665</v>
      </c>
      <c r="I51" s="14">
        <v>571</v>
      </c>
      <c r="J51" s="14">
        <v>1170</v>
      </c>
      <c r="K51" s="14">
        <v>1173</v>
      </c>
      <c r="L51" s="14">
        <v>-967</v>
      </c>
      <c r="M51" s="14">
        <v>787</v>
      </c>
      <c r="N51" s="14">
        <v>866</v>
      </c>
      <c r="O51" s="14">
        <v>547</v>
      </c>
      <c r="P51" s="14" t="s">
        <v>579</v>
      </c>
      <c r="Q51" s="14" t="s">
        <v>579</v>
      </c>
      <c r="R51" s="14" t="s">
        <v>579</v>
      </c>
      <c r="S51" s="14" t="s">
        <v>579</v>
      </c>
      <c r="T51" s="14">
        <v>-118</v>
      </c>
      <c r="U51" s="14">
        <v>-65</v>
      </c>
      <c r="V51" s="14">
        <v>-65</v>
      </c>
      <c r="W51" s="14" t="s">
        <v>579</v>
      </c>
      <c r="X51" s="14" t="s">
        <v>306</v>
      </c>
      <c r="Y51" s="14" t="s">
        <v>579</v>
      </c>
      <c r="Z51" s="14" t="s">
        <v>579</v>
      </c>
      <c r="AA51" s="14" t="s">
        <v>579</v>
      </c>
      <c r="AB51" s="14" t="s">
        <v>579</v>
      </c>
      <c r="AC51" s="14" t="s">
        <v>579</v>
      </c>
      <c r="AD51" s="14" t="s">
        <v>579</v>
      </c>
      <c r="AE51" s="14" t="s">
        <v>579</v>
      </c>
      <c r="AF51" s="14" t="s">
        <v>579</v>
      </c>
      <c r="AG51" s="14" t="s">
        <v>579</v>
      </c>
      <c r="AH51" s="14" t="s">
        <v>579</v>
      </c>
      <c r="AI51" s="14" t="s">
        <v>579</v>
      </c>
      <c r="AJ51" s="14" t="s">
        <v>579</v>
      </c>
      <c r="AK51" s="14" t="s">
        <v>579</v>
      </c>
      <c r="AL51" s="14" t="s">
        <v>579</v>
      </c>
      <c r="AM51" s="14" t="s">
        <v>579</v>
      </c>
      <c r="AN51" s="14" t="s">
        <v>579</v>
      </c>
      <c r="AO51" s="14">
        <v>0</v>
      </c>
      <c r="AP51" s="14">
        <v>0</v>
      </c>
      <c r="AQ51" s="14">
        <v>0</v>
      </c>
      <c r="AR51" s="14">
        <v>0</v>
      </c>
      <c r="AS51" s="14">
        <v>0</v>
      </c>
      <c r="AT51" s="14">
        <v>0</v>
      </c>
      <c r="AU51" s="14">
        <v>0</v>
      </c>
      <c r="AV51" s="14">
        <v>0</v>
      </c>
      <c r="AW51" s="14">
        <v>0</v>
      </c>
      <c r="AX51" s="14">
        <v>0</v>
      </c>
      <c r="AY51" s="14">
        <v>0</v>
      </c>
      <c r="AZ51" s="14">
        <v>0</v>
      </c>
      <c r="BA51" s="14">
        <v>0</v>
      </c>
      <c r="BB51" s="14">
        <v>0</v>
      </c>
      <c r="BC51" s="14">
        <v>0</v>
      </c>
      <c r="BD51" s="14">
        <v>0</v>
      </c>
    </row>
    <row r="52" spans="1:56">
      <c r="A52" s="14" t="s">
        <v>15</v>
      </c>
      <c r="B52" s="14" t="s">
        <v>619</v>
      </c>
      <c r="C52" s="14" t="s">
        <v>579</v>
      </c>
      <c r="D52" s="14" t="s">
        <v>579</v>
      </c>
      <c r="E52" s="14" t="s">
        <v>579</v>
      </c>
      <c r="F52" s="14" t="s">
        <v>579</v>
      </c>
      <c r="G52" s="14" t="s">
        <v>579</v>
      </c>
      <c r="H52" s="14" t="s">
        <v>579</v>
      </c>
      <c r="I52" s="14" t="s">
        <v>579</v>
      </c>
      <c r="J52" s="14" t="s">
        <v>579</v>
      </c>
      <c r="K52" s="14" t="s">
        <v>579</v>
      </c>
      <c r="L52" s="14" t="s">
        <v>579</v>
      </c>
      <c r="M52" s="14">
        <v>-851</v>
      </c>
      <c r="N52" s="14">
        <v>-249</v>
      </c>
      <c r="O52" s="14">
        <v>-703</v>
      </c>
      <c r="P52" s="14">
        <v>9</v>
      </c>
      <c r="Q52" s="14">
        <v>-172</v>
      </c>
      <c r="R52" s="14">
        <v>-66</v>
      </c>
      <c r="S52" s="14">
        <v>-78</v>
      </c>
      <c r="T52" s="14">
        <v>-121</v>
      </c>
      <c r="U52" s="14">
        <v>1249</v>
      </c>
      <c r="V52" s="14">
        <v>-1136</v>
      </c>
      <c r="W52" s="14">
        <v>-16</v>
      </c>
      <c r="X52" s="14">
        <v>-1823</v>
      </c>
      <c r="Y52" s="14">
        <v>-1371</v>
      </c>
      <c r="Z52" s="14">
        <v>-66</v>
      </c>
      <c r="AA52" s="14">
        <v>-979</v>
      </c>
      <c r="AB52" s="14">
        <v>-897</v>
      </c>
      <c r="AC52" s="14">
        <v>-246</v>
      </c>
      <c r="AD52" s="14">
        <v>-509</v>
      </c>
      <c r="AE52" s="14">
        <v>127</v>
      </c>
      <c r="AF52" s="14">
        <v>-535</v>
      </c>
      <c r="AG52" s="14">
        <v>-192</v>
      </c>
      <c r="AH52" s="14">
        <v>-177</v>
      </c>
      <c r="AI52" s="14">
        <v>2316</v>
      </c>
      <c r="AJ52" s="14">
        <v>-537</v>
      </c>
      <c r="AK52" s="14">
        <v>-441</v>
      </c>
      <c r="AL52" s="14">
        <v>-808</v>
      </c>
      <c r="AM52" s="14">
        <v>370</v>
      </c>
      <c r="AN52" s="14">
        <v>-350</v>
      </c>
      <c r="AO52" s="14">
        <v>-147</v>
      </c>
      <c r="AP52" s="14">
        <v>10</v>
      </c>
      <c r="AQ52" s="14">
        <v>-722</v>
      </c>
      <c r="AR52" s="14">
        <v>-630</v>
      </c>
      <c r="AS52" s="14">
        <v>-475</v>
      </c>
      <c r="AT52" s="14">
        <v>601</v>
      </c>
      <c r="AU52" s="14">
        <v>-398</v>
      </c>
      <c r="AV52" s="14">
        <v>4511</v>
      </c>
      <c r="AW52" s="14">
        <v>-223</v>
      </c>
      <c r="AX52" s="14">
        <v>-154</v>
      </c>
      <c r="AY52" s="14">
        <v>-106</v>
      </c>
      <c r="AZ52" s="14">
        <v>-48230</v>
      </c>
      <c r="BA52" s="14">
        <v>-31</v>
      </c>
      <c r="BB52" s="14">
        <v>1752</v>
      </c>
      <c r="BC52" s="14">
        <v>-37</v>
      </c>
      <c r="BD52" s="14">
        <v>-22</v>
      </c>
    </row>
    <row r="53" spans="1:56">
      <c r="A53" s="14" t="s">
        <v>14</v>
      </c>
      <c r="B53" s="14" t="s">
        <v>618</v>
      </c>
      <c r="C53" s="14">
        <v>442</v>
      </c>
      <c r="D53" s="14">
        <v>-135</v>
      </c>
      <c r="E53" s="14">
        <v>626</v>
      </c>
      <c r="F53" s="14">
        <v>29</v>
      </c>
      <c r="G53" s="14">
        <v>266</v>
      </c>
      <c r="H53" s="14">
        <v>-94</v>
      </c>
      <c r="I53" s="14">
        <v>537</v>
      </c>
      <c r="J53" s="14">
        <v>-94</v>
      </c>
      <c r="K53" s="14">
        <v>-870</v>
      </c>
      <c r="L53" s="14">
        <v>-1034</v>
      </c>
      <c r="M53" s="14">
        <v>389</v>
      </c>
      <c r="N53" s="14">
        <v>1350</v>
      </c>
      <c r="O53" s="14">
        <v>153</v>
      </c>
      <c r="P53" s="14">
        <v>-33</v>
      </c>
      <c r="Q53" s="14">
        <v>-1265</v>
      </c>
      <c r="R53" s="14">
        <v>-466</v>
      </c>
      <c r="S53" s="14">
        <v>-2212</v>
      </c>
      <c r="T53" s="14">
        <v>-294</v>
      </c>
      <c r="U53" s="14">
        <v>4231</v>
      </c>
      <c r="V53" s="14">
        <v>-189</v>
      </c>
      <c r="W53" s="14">
        <v>-1667</v>
      </c>
      <c r="X53" s="14">
        <v>-2491</v>
      </c>
      <c r="Y53" s="14">
        <v>-2552</v>
      </c>
      <c r="Z53" s="14">
        <v>-4434</v>
      </c>
      <c r="AA53" s="14">
        <v>-995</v>
      </c>
      <c r="AB53" s="14">
        <v>908</v>
      </c>
      <c r="AC53" s="14">
        <v>1501</v>
      </c>
      <c r="AD53" s="14">
        <v>2070</v>
      </c>
      <c r="AE53" s="14">
        <v>1025</v>
      </c>
      <c r="AF53" s="14">
        <v>471</v>
      </c>
      <c r="AG53" s="14">
        <v>731</v>
      </c>
      <c r="AH53" s="14">
        <v>-367</v>
      </c>
      <c r="AI53" s="14">
        <v>-2692</v>
      </c>
      <c r="AJ53" s="14">
        <v>-44</v>
      </c>
      <c r="AK53" s="14">
        <v>494</v>
      </c>
      <c r="AL53" s="14">
        <v>-2466</v>
      </c>
      <c r="AM53" s="14">
        <v>-1280</v>
      </c>
      <c r="AN53" s="14">
        <v>-3575</v>
      </c>
      <c r="AO53" s="14">
        <v>-5119</v>
      </c>
      <c r="AP53" s="14">
        <v>5484</v>
      </c>
      <c r="AQ53" s="14">
        <v>2308</v>
      </c>
      <c r="AR53" s="14">
        <v>-3600</v>
      </c>
      <c r="AS53" s="14">
        <v>-2632</v>
      </c>
      <c r="AT53" s="14">
        <v>1494</v>
      </c>
      <c r="AU53" s="14">
        <v>3826</v>
      </c>
      <c r="AV53" s="14">
        <v>10200</v>
      </c>
      <c r="AW53" s="14">
        <v>3331</v>
      </c>
      <c r="AX53" s="14">
        <v>1021</v>
      </c>
      <c r="AY53" s="14">
        <v>-3473</v>
      </c>
      <c r="AZ53" s="14">
        <v>-3357</v>
      </c>
      <c r="BA53" s="14">
        <v>-1293</v>
      </c>
      <c r="BB53" s="14">
        <v>-18079</v>
      </c>
      <c r="BC53" s="14">
        <v>-4032</v>
      </c>
      <c r="BD53" s="14">
        <v>3438</v>
      </c>
    </row>
    <row r="54" spans="1:56">
      <c r="A54" s="14" t="s">
        <v>13</v>
      </c>
      <c r="B54" s="14" t="s">
        <v>617</v>
      </c>
      <c r="C54" s="14" t="s">
        <v>579</v>
      </c>
      <c r="D54" s="14">
        <v>-115</v>
      </c>
      <c r="E54" s="14">
        <v>19</v>
      </c>
      <c r="F54" s="14">
        <v>-112</v>
      </c>
      <c r="G54" s="14">
        <v>-220</v>
      </c>
      <c r="H54" s="14">
        <v>-346</v>
      </c>
      <c r="I54" s="14">
        <v>-538</v>
      </c>
      <c r="J54" s="14">
        <v>-1023</v>
      </c>
      <c r="K54" s="14">
        <v>-1173</v>
      </c>
      <c r="L54" s="14">
        <v>822</v>
      </c>
      <c r="M54" s="14">
        <v>2156</v>
      </c>
      <c r="N54" s="14">
        <v>382</v>
      </c>
      <c r="O54" s="14">
        <v>-1</v>
      </c>
      <c r="P54" s="14">
        <v>182</v>
      </c>
      <c r="Q54" s="14">
        <v>-30</v>
      </c>
      <c r="R54" s="14">
        <v>-317</v>
      </c>
      <c r="S54" s="14">
        <v>-268</v>
      </c>
      <c r="T54" s="14">
        <v>158</v>
      </c>
      <c r="U54" s="14">
        <v>-4683</v>
      </c>
      <c r="V54" s="14">
        <v>257</v>
      </c>
      <c r="W54" s="14">
        <v>-6472</v>
      </c>
      <c r="X54" s="14">
        <v>-861</v>
      </c>
      <c r="Y54" s="14">
        <v>-1041</v>
      </c>
      <c r="Z54" s="14">
        <v>3304</v>
      </c>
      <c r="AA54" s="14">
        <v>-1156</v>
      </c>
      <c r="AB54" s="14">
        <v>-3869</v>
      </c>
      <c r="AC54" s="14">
        <v>-942</v>
      </c>
      <c r="AD54" s="14">
        <v>7588</v>
      </c>
      <c r="AE54" s="14">
        <v>-5064</v>
      </c>
      <c r="AF54" s="14">
        <v>-25229</v>
      </c>
      <c r="AG54" s="14">
        <v>-2697</v>
      </c>
      <c r="AH54" s="14">
        <v>6307</v>
      </c>
      <c r="AI54" s="14">
        <v>4277</v>
      </c>
      <c r="AJ54" s="14">
        <v>-797</v>
      </c>
      <c r="AK54" s="14">
        <v>5293</v>
      </c>
      <c r="AL54" s="14">
        <v>-6468</v>
      </c>
      <c r="AM54" s="14">
        <v>7578</v>
      </c>
      <c r="AN54" s="14">
        <v>2915</v>
      </c>
      <c r="AO54" s="14">
        <v>-1517</v>
      </c>
      <c r="AP54" s="14">
        <v>3253</v>
      </c>
      <c r="AQ54" s="14">
        <v>-1876</v>
      </c>
      <c r="AR54" s="14">
        <v>-681</v>
      </c>
      <c r="AS54" s="14">
        <v>-574</v>
      </c>
      <c r="AT54" s="14">
        <v>-572</v>
      </c>
      <c r="AU54" s="14">
        <v>-623</v>
      </c>
      <c r="AV54" s="14">
        <v>-615</v>
      </c>
      <c r="AW54" s="14">
        <v>-734</v>
      </c>
      <c r="AX54" s="14">
        <v>-989</v>
      </c>
      <c r="AY54" s="14">
        <v>-1269</v>
      </c>
      <c r="AZ54" s="14">
        <v>-669</v>
      </c>
      <c r="BA54" s="14">
        <v>-510</v>
      </c>
      <c r="BB54" s="14">
        <v>450</v>
      </c>
      <c r="BC54" s="14">
        <v>-391</v>
      </c>
      <c r="BD54" s="14">
        <v>-318</v>
      </c>
    </row>
    <row r="55" spans="1:56">
      <c r="A55" s="14" t="s">
        <v>11</v>
      </c>
      <c r="B55" s="14" t="s">
        <v>616</v>
      </c>
      <c r="C55" s="14">
        <v>-1100</v>
      </c>
      <c r="D55" s="14">
        <v>-910</v>
      </c>
      <c r="E55" s="14">
        <v>-1085</v>
      </c>
      <c r="F55" s="14">
        <v>-1662</v>
      </c>
      <c r="G55" s="14">
        <v>-1680</v>
      </c>
      <c r="H55" s="14">
        <v>-1605</v>
      </c>
      <c r="I55" s="14">
        <v>-1543</v>
      </c>
      <c r="J55" s="14">
        <v>-2423</v>
      </c>
      <c r="K55" s="14">
        <v>-2274</v>
      </c>
      <c r="L55" s="14">
        <v>-2200</v>
      </c>
      <c r="M55" s="14">
        <v>-1589</v>
      </c>
      <c r="N55" s="14">
        <v>-1884</v>
      </c>
      <c r="O55" s="14">
        <v>-1568</v>
      </c>
      <c r="P55" s="14">
        <v>-2644</v>
      </c>
      <c r="Q55" s="14">
        <v>366</v>
      </c>
      <c r="R55" s="14">
        <v>-3474</v>
      </c>
      <c r="S55" s="14">
        <v>-4214</v>
      </c>
      <c r="T55" s="14">
        <v>-3693</v>
      </c>
      <c r="U55" s="14">
        <v>-4660</v>
      </c>
      <c r="V55" s="14">
        <v>-3746</v>
      </c>
      <c r="W55" s="14">
        <v>-5162</v>
      </c>
      <c r="X55" s="14">
        <v>-5097</v>
      </c>
      <c r="Y55" s="14">
        <v>-6131</v>
      </c>
      <c r="Z55" s="14">
        <v>-5006</v>
      </c>
      <c r="AA55" s="14">
        <v>-5489</v>
      </c>
      <c r="AB55" s="14">
        <v>-2821</v>
      </c>
      <c r="AC55" s="14">
        <v>-2022</v>
      </c>
      <c r="AD55" s="14">
        <v>1006</v>
      </c>
      <c r="AE55" s="14">
        <v>2967</v>
      </c>
      <c r="AF55" s="14">
        <v>1233</v>
      </c>
      <c r="AG55" s="14">
        <v>2317</v>
      </c>
      <c r="AH55" s="14">
        <v>2924</v>
      </c>
      <c r="AI55" s="14">
        <v>-1667</v>
      </c>
      <c r="AJ55" s="14">
        <v>-351</v>
      </c>
      <c r="AK55" s="14">
        <v>-390</v>
      </c>
      <c r="AL55" s="14">
        <v>-984</v>
      </c>
      <c r="AM55" s="14">
        <v>-989</v>
      </c>
      <c r="AN55" s="14">
        <v>68</v>
      </c>
      <c r="AO55" s="14">
        <v>-422</v>
      </c>
      <c r="AP55" s="14">
        <v>2750</v>
      </c>
      <c r="AQ55" s="14">
        <v>-941</v>
      </c>
      <c r="AR55" s="14">
        <v>-486</v>
      </c>
      <c r="AS55" s="14">
        <v>345</v>
      </c>
      <c r="AT55" s="14">
        <v>537</v>
      </c>
      <c r="AU55" s="14">
        <v>1710</v>
      </c>
      <c r="AV55" s="14">
        <v>5539</v>
      </c>
      <c r="AW55" s="14">
        <v>5346</v>
      </c>
      <c r="AX55" s="14">
        <v>-22273</v>
      </c>
      <c r="AY55" s="14">
        <v>-529615</v>
      </c>
      <c r="AZ55" s="14">
        <v>541342</v>
      </c>
      <c r="BA55" s="14">
        <v>7540</v>
      </c>
      <c r="BB55" s="14">
        <v>-103666</v>
      </c>
      <c r="BC55" s="14">
        <v>85331</v>
      </c>
      <c r="BD55" s="14">
        <v>1975</v>
      </c>
    </row>
    <row r="56" spans="1:56">
      <c r="A56" s="14" t="s">
        <v>10</v>
      </c>
      <c r="B56" s="14" t="s">
        <v>615</v>
      </c>
      <c r="C56" s="14">
        <v>-1214</v>
      </c>
      <c r="D56" s="14">
        <v>-1928</v>
      </c>
      <c r="E56" s="14">
        <v>-2128</v>
      </c>
      <c r="F56" s="14">
        <v>-2204</v>
      </c>
      <c r="G56" s="14">
        <v>-2382</v>
      </c>
      <c r="H56" s="14">
        <v>-2463</v>
      </c>
      <c r="I56" s="14">
        <v>-2513</v>
      </c>
      <c r="J56" s="14">
        <v>-3638</v>
      </c>
      <c r="K56" s="14">
        <v>-3722</v>
      </c>
      <c r="L56" s="14">
        <v>-3489</v>
      </c>
      <c r="M56" s="14">
        <v>-3293</v>
      </c>
      <c r="N56" s="14">
        <v>-4181</v>
      </c>
      <c r="O56" s="14">
        <v>-3819</v>
      </c>
      <c r="P56" s="14">
        <v>-4638</v>
      </c>
      <c r="Q56" s="14">
        <v>-5001</v>
      </c>
      <c r="R56" s="14">
        <v>-5941</v>
      </c>
      <c r="S56" s="14">
        <v>-6943</v>
      </c>
      <c r="T56" s="14">
        <v>-6445</v>
      </c>
      <c r="U56" s="14">
        <v>-7470</v>
      </c>
      <c r="V56" s="14">
        <v>-7697</v>
      </c>
      <c r="W56" s="14">
        <v>-9860</v>
      </c>
      <c r="X56" s="14">
        <v>-9674</v>
      </c>
      <c r="Y56" s="14">
        <v>-10063</v>
      </c>
      <c r="Z56" s="14">
        <v>-9967</v>
      </c>
      <c r="AA56" s="14">
        <v>-9599</v>
      </c>
      <c r="AB56" s="14">
        <v>-7657</v>
      </c>
      <c r="AC56" s="14">
        <v>-9084</v>
      </c>
      <c r="AD56" s="14">
        <v>-6506</v>
      </c>
      <c r="AE56" s="14">
        <v>-7680</v>
      </c>
      <c r="AF56" s="14">
        <v>-5608</v>
      </c>
      <c r="AG56" s="14">
        <v>-8410</v>
      </c>
      <c r="AH56" s="14">
        <v>-12879</v>
      </c>
      <c r="AI56" s="14">
        <v>-7408</v>
      </c>
      <c r="AJ56" s="14">
        <v>-6311</v>
      </c>
      <c r="AK56" s="14">
        <v>-5383</v>
      </c>
      <c r="AL56" s="14">
        <v>-4859</v>
      </c>
      <c r="AM56" s="14">
        <v>-5025</v>
      </c>
      <c r="AN56" s="14">
        <v>-5417</v>
      </c>
      <c r="AO56" s="14">
        <v>-4678</v>
      </c>
      <c r="AP56" s="14">
        <v>-6175</v>
      </c>
      <c r="AQ56" s="14">
        <v>-5182</v>
      </c>
      <c r="AR56" s="14">
        <v>-4431</v>
      </c>
      <c r="AS56" s="14">
        <v>-5251</v>
      </c>
      <c r="AT56" s="14">
        <v>-7279</v>
      </c>
      <c r="AU56" s="14">
        <v>-3044</v>
      </c>
      <c r="AV56" s="14">
        <v>-2255</v>
      </c>
      <c r="AW56" s="14">
        <v>-2992</v>
      </c>
      <c r="AX56" s="14">
        <v>-2475</v>
      </c>
      <c r="AY56" s="14">
        <v>-2202</v>
      </c>
      <c r="AZ56" s="14">
        <v>-4069</v>
      </c>
      <c r="BA56" s="14">
        <v>-4976</v>
      </c>
      <c r="BB56" s="14">
        <v>-7307</v>
      </c>
      <c r="BC56" s="14">
        <v>-8202</v>
      </c>
      <c r="BD56" s="14">
        <v>-9844</v>
      </c>
    </row>
    <row r="57" spans="1:56">
      <c r="A57" s="14" t="s">
        <v>9</v>
      </c>
      <c r="B57" s="14" t="s">
        <v>614</v>
      </c>
      <c r="C57" s="14">
        <v>642</v>
      </c>
      <c r="D57" s="14">
        <v>1279</v>
      </c>
      <c r="E57" s="14">
        <v>1288</v>
      </c>
      <c r="F57" s="14">
        <v>988</v>
      </c>
      <c r="G57" s="14">
        <v>720</v>
      </c>
      <c r="H57" s="14">
        <v>874</v>
      </c>
      <c r="I57" s="14">
        <v>1235</v>
      </c>
      <c r="J57" s="14">
        <v>1005</v>
      </c>
      <c r="K57" s="14">
        <v>1386</v>
      </c>
      <c r="L57" s="14">
        <v>1200</v>
      </c>
      <c r="M57" s="14">
        <v>1721</v>
      </c>
      <c r="N57" s="14">
        <v>2115</v>
      </c>
      <c r="O57" s="14">
        <v>2086</v>
      </c>
      <c r="P57" s="14">
        <v>2596</v>
      </c>
      <c r="Q57" s="14" t="s">
        <v>613</v>
      </c>
      <c r="R57" s="14">
        <v>2475</v>
      </c>
      <c r="S57" s="14">
        <v>2596</v>
      </c>
      <c r="T57" s="14">
        <v>2719</v>
      </c>
      <c r="U57" s="14">
        <v>2941</v>
      </c>
      <c r="V57" s="14">
        <v>3926</v>
      </c>
      <c r="W57" s="14">
        <v>4456</v>
      </c>
      <c r="X57" s="14">
        <v>4413</v>
      </c>
      <c r="Y57" s="14">
        <v>4292</v>
      </c>
      <c r="Z57" s="14">
        <v>5012</v>
      </c>
      <c r="AA57" s="14">
        <v>4490</v>
      </c>
      <c r="AB57" s="14">
        <v>4719</v>
      </c>
      <c r="AC57" s="14">
        <v>6089</v>
      </c>
      <c r="AD57" s="14">
        <v>7625</v>
      </c>
      <c r="AE57" s="14">
        <v>10370</v>
      </c>
      <c r="AF57" s="14">
        <v>6725</v>
      </c>
      <c r="AG57" s="14">
        <v>10856</v>
      </c>
      <c r="AH57" s="14">
        <v>16776</v>
      </c>
      <c r="AI57" s="14">
        <v>5807</v>
      </c>
      <c r="AJ57" s="14">
        <v>6270</v>
      </c>
      <c r="AK57" s="14">
        <v>5088</v>
      </c>
      <c r="AL57" s="14">
        <v>4125</v>
      </c>
      <c r="AM57" s="14">
        <v>3930</v>
      </c>
      <c r="AN57" s="14">
        <v>5438</v>
      </c>
      <c r="AO57" s="14">
        <v>4111</v>
      </c>
      <c r="AP57" s="14">
        <v>9559</v>
      </c>
      <c r="AQ57" s="14">
        <v>4265</v>
      </c>
      <c r="AR57" s="14">
        <v>3873</v>
      </c>
      <c r="AS57" s="14">
        <v>5701</v>
      </c>
      <c r="AT57" s="14">
        <v>7981</v>
      </c>
      <c r="AU57" s="14">
        <v>4716</v>
      </c>
      <c r="AV57" s="14">
        <v>5603</v>
      </c>
      <c r="AW57" s="14">
        <v>8329</v>
      </c>
      <c r="AX57" s="14">
        <v>4104</v>
      </c>
      <c r="AY57" s="14">
        <v>2354</v>
      </c>
      <c r="AZ57" s="14">
        <v>2133</v>
      </c>
      <c r="BA57" s="14">
        <v>2408</v>
      </c>
      <c r="BB57" s="14">
        <v>3333</v>
      </c>
      <c r="BC57" s="14">
        <v>2546</v>
      </c>
      <c r="BD57" s="14">
        <v>2924</v>
      </c>
    </row>
    <row r="58" spans="1:56">
      <c r="A58" s="14" t="s">
        <v>8</v>
      </c>
      <c r="B58" s="14" t="s">
        <v>612</v>
      </c>
      <c r="C58" s="14">
        <v>-528</v>
      </c>
      <c r="D58" s="14">
        <v>-261</v>
      </c>
      <c r="E58" s="14">
        <v>-245</v>
      </c>
      <c r="F58" s="14">
        <v>-447</v>
      </c>
      <c r="G58" s="14">
        <v>-19</v>
      </c>
      <c r="H58" s="14">
        <v>-16</v>
      </c>
      <c r="I58" s="14">
        <v>-265</v>
      </c>
      <c r="J58" s="14">
        <v>209</v>
      </c>
      <c r="K58" s="14">
        <v>62</v>
      </c>
      <c r="L58" s="14">
        <v>89</v>
      </c>
      <c r="M58" s="14">
        <v>-16</v>
      </c>
      <c r="N58" s="14">
        <v>182</v>
      </c>
      <c r="O58" s="14">
        <v>165</v>
      </c>
      <c r="P58" s="14">
        <v>-602</v>
      </c>
      <c r="Q58" s="14" t="s">
        <v>611</v>
      </c>
      <c r="R58" s="14">
        <v>-9</v>
      </c>
      <c r="S58" s="14">
        <v>133</v>
      </c>
      <c r="T58" s="14">
        <v>33</v>
      </c>
      <c r="U58" s="14">
        <v>-131</v>
      </c>
      <c r="V58" s="14">
        <v>25</v>
      </c>
      <c r="W58" s="14">
        <v>242</v>
      </c>
      <c r="X58" s="14">
        <v>164</v>
      </c>
      <c r="Y58" s="14">
        <v>-360</v>
      </c>
      <c r="Z58" s="14">
        <v>-51</v>
      </c>
      <c r="AA58" s="14">
        <v>-379</v>
      </c>
      <c r="AB58" s="14">
        <v>117</v>
      </c>
      <c r="AC58" s="14">
        <v>973</v>
      </c>
      <c r="AD58" s="14">
        <v>-113</v>
      </c>
      <c r="AE58" s="14">
        <v>277</v>
      </c>
      <c r="AF58" s="14">
        <v>115</v>
      </c>
      <c r="AG58" s="14">
        <v>-130</v>
      </c>
      <c r="AH58" s="14">
        <v>-974</v>
      </c>
      <c r="AI58" s="14">
        <v>-66</v>
      </c>
      <c r="AJ58" s="14">
        <v>-310</v>
      </c>
      <c r="AK58" s="14">
        <v>-95</v>
      </c>
      <c r="AL58" s="14">
        <v>-250</v>
      </c>
      <c r="AM58" s="14">
        <v>106</v>
      </c>
      <c r="AN58" s="14">
        <v>47</v>
      </c>
      <c r="AO58" s="14">
        <v>145</v>
      </c>
      <c r="AP58" s="14">
        <v>-634</v>
      </c>
      <c r="AQ58" s="14">
        <v>-24</v>
      </c>
      <c r="AR58" s="14">
        <v>72</v>
      </c>
      <c r="AS58" s="14">
        <v>-105</v>
      </c>
      <c r="AT58" s="14">
        <v>-165</v>
      </c>
      <c r="AU58" s="14">
        <v>38</v>
      </c>
      <c r="AV58" s="14">
        <v>2191</v>
      </c>
      <c r="AW58" s="14">
        <v>9</v>
      </c>
      <c r="AX58" s="14">
        <v>-23902</v>
      </c>
      <c r="AY58" s="14">
        <v>-529766</v>
      </c>
      <c r="AZ58" s="14">
        <v>543278</v>
      </c>
      <c r="BA58" s="14">
        <v>10108</v>
      </c>
      <c r="BB58" s="14">
        <v>-99692</v>
      </c>
      <c r="BC58" s="14">
        <v>90987</v>
      </c>
      <c r="BD58" s="14">
        <v>8896</v>
      </c>
    </row>
    <row r="59" spans="1:56">
      <c r="A59" s="14" t="s">
        <v>232</v>
      </c>
      <c r="B59" s="14" t="s">
        <v>610</v>
      </c>
      <c r="C59" s="14">
        <v>-5144</v>
      </c>
      <c r="D59" s="14">
        <v>-5235</v>
      </c>
      <c r="E59" s="14">
        <v>-4623</v>
      </c>
      <c r="F59" s="14">
        <v>-5986</v>
      </c>
      <c r="G59" s="14">
        <v>-8050</v>
      </c>
      <c r="H59" s="14">
        <v>-5336</v>
      </c>
      <c r="I59" s="14">
        <v>-6347</v>
      </c>
      <c r="J59" s="14">
        <v>-7386</v>
      </c>
      <c r="K59" s="14">
        <v>-7833</v>
      </c>
      <c r="L59" s="14">
        <v>-8206</v>
      </c>
      <c r="M59" s="14">
        <v>-10229</v>
      </c>
      <c r="N59" s="14">
        <v>-12940</v>
      </c>
      <c r="O59" s="14">
        <v>-12925</v>
      </c>
      <c r="P59" s="14">
        <v>-20388</v>
      </c>
      <c r="Q59" s="14">
        <v>-33643</v>
      </c>
      <c r="R59" s="14">
        <v>-35380</v>
      </c>
      <c r="S59" s="14">
        <v>-44498</v>
      </c>
      <c r="T59" s="14">
        <v>-30717</v>
      </c>
      <c r="U59" s="14">
        <v>-57202</v>
      </c>
      <c r="V59" s="14">
        <v>-61176</v>
      </c>
      <c r="W59" s="14">
        <v>-73651</v>
      </c>
      <c r="X59" s="14">
        <v>-103875</v>
      </c>
      <c r="Y59" s="14">
        <v>-116786</v>
      </c>
      <c r="Z59" s="14">
        <v>-60172</v>
      </c>
      <c r="AA59" s="14">
        <v>-31757</v>
      </c>
      <c r="AB59" s="14">
        <v>-38074</v>
      </c>
      <c r="AC59" s="14">
        <v>-110014</v>
      </c>
      <c r="AD59" s="14">
        <v>-89450</v>
      </c>
      <c r="AE59" s="14">
        <v>-105628</v>
      </c>
      <c r="AF59" s="14">
        <v>-151323</v>
      </c>
      <c r="AG59" s="14">
        <v>-81393</v>
      </c>
      <c r="AH59" s="14">
        <v>-73075</v>
      </c>
      <c r="AI59" s="14">
        <v>-76644</v>
      </c>
      <c r="AJ59" s="14">
        <v>-198822</v>
      </c>
      <c r="AK59" s="14">
        <v>-183893</v>
      </c>
      <c r="AL59" s="14">
        <v>-341538</v>
      </c>
      <c r="AM59" s="14">
        <v>-419088</v>
      </c>
      <c r="AN59" s="14">
        <v>-484533</v>
      </c>
      <c r="AO59" s="14">
        <v>-346624</v>
      </c>
      <c r="AP59" s="14">
        <v>-515559</v>
      </c>
      <c r="AQ59" s="14">
        <v>-559292</v>
      </c>
      <c r="AR59" s="14">
        <v>-377219</v>
      </c>
      <c r="AS59" s="14">
        <v>-291310</v>
      </c>
      <c r="AT59" s="14">
        <v>-327484</v>
      </c>
      <c r="AU59" s="14">
        <v>-1005385</v>
      </c>
      <c r="AV59" s="14">
        <v>-566266</v>
      </c>
      <c r="AW59" s="14">
        <v>-1293449</v>
      </c>
      <c r="AX59" s="14">
        <v>-1431209</v>
      </c>
      <c r="AY59" s="14">
        <v>866571</v>
      </c>
      <c r="AZ59" s="14">
        <v>-617946</v>
      </c>
      <c r="BA59" s="14">
        <v>-915659</v>
      </c>
      <c r="BB59" s="14">
        <v>-332761</v>
      </c>
      <c r="BC59" s="14">
        <v>-178341</v>
      </c>
      <c r="BD59" s="14">
        <v>-558056</v>
      </c>
    </row>
    <row r="60" spans="1:56">
      <c r="A60" s="14" t="s">
        <v>231</v>
      </c>
      <c r="B60" s="14" t="s">
        <v>597</v>
      </c>
      <c r="C60" s="14">
        <v>-2940</v>
      </c>
      <c r="D60" s="14">
        <v>-2653</v>
      </c>
      <c r="E60" s="14">
        <v>-2851</v>
      </c>
      <c r="F60" s="14">
        <v>-3483</v>
      </c>
      <c r="G60" s="14">
        <v>-3760</v>
      </c>
      <c r="H60" s="14">
        <v>-5011</v>
      </c>
      <c r="I60" s="14">
        <v>-5418</v>
      </c>
      <c r="J60" s="14">
        <v>-4805</v>
      </c>
      <c r="K60" s="14">
        <v>-5295</v>
      </c>
      <c r="L60" s="14">
        <v>-5960</v>
      </c>
      <c r="M60" s="14">
        <v>-7590</v>
      </c>
      <c r="N60" s="14">
        <v>-7618</v>
      </c>
      <c r="O60" s="14">
        <v>-7747</v>
      </c>
      <c r="P60" s="14">
        <v>-11353</v>
      </c>
      <c r="Q60" s="14">
        <v>-9052</v>
      </c>
      <c r="R60" s="14">
        <v>-14244</v>
      </c>
      <c r="S60" s="14">
        <v>-11949</v>
      </c>
      <c r="T60" s="14">
        <v>-11890</v>
      </c>
      <c r="U60" s="14">
        <v>-16056</v>
      </c>
      <c r="V60" s="14">
        <v>-25222</v>
      </c>
      <c r="W60" s="14">
        <v>-19222</v>
      </c>
      <c r="X60" s="14">
        <v>-9624</v>
      </c>
      <c r="Y60" s="14">
        <v>-4556</v>
      </c>
      <c r="Z60" s="14">
        <v>-12528</v>
      </c>
      <c r="AA60" s="14">
        <v>-16407</v>
      </c>
      <c r="AB60" s="14">
        <v>-18927</v>
      </c>
      <c r="AC60" s="14">
        <v>-23995</v>
      </c>
      <c r="AD60" s="14">
        <v>-35034</v>
      </c>
      <c r="AE60" s="14">
        <v>-22528</v>
      </c>
      <c r="AF60" s="14">
        <v>-43447</v>
      </c>
      <c r="AG60" s="14">
        <v>-37183</v>
      </c>
      <c r="AH60" s="14">
        <v>-37889</v>
      </c>
      <c r="AI60" s="14">
        <v>-48266</v>
      </c>
      <c r="AJ60" s="14">
        <v>-83950</v>
      </c>
      <c r="AK60" s="14">
        <v>-80167</v>
      </c>
      <c r="AL60" s="14">
        <v>-98750</v>
      </c>
      <c r="AM60" s="14">
        <v>-91885</v>
      </c>
      <c r="AN60" s="14">
        <v>-104803</v>
      </c>
      <c r="AO60" s="14">
        <v>-142644</v>
      </c>
      <c r="AP60" s="14">
        <v>-224934</v>
      </c>
      <c r="AQ60" s="14">
        <v>-159212</v>
      </c>
      <c r="AR60" s="14">
        <v>-142349</v>
      </c>
      <c r="AS60" s="14">
        <v>-154460</v>
      </c>
      <c r="AT60" s="14">
        <v>-149564</v>
      </c>
      <c r="AU60" s="14">
        <v>-316223</v>
      </c>
      <c r="AV60" s="14">
        <v>-36235</v>
      </c>
      <c r="AW60" s="14">
        <v>-244922</v>
      </c>
      <c r="AX60" s="14">
        <v>-414039</v>
      </c>
      <c r="AY60" s="14">
        <v>-329081</v>
      </c>
      <c r="AZ60" s="14">
        <v>-310382</v>
      </c>
      <c r="BA60" s="14">
        <v>-301080</v>
      </c>
      <c r="BB60" s="14">
        <v>-409004</v>
      </c>
      <c r="BC60" s="14">
        <v>-388293</v>
      </c>
      <c r="BD60" s="14">
        <v>-359642</v>
      </c>
    </row>
    <row r="61" spans="1:56">
      <c r="A61" s="14" t="s">
        <v>230</v>
      </c>
      <c r="B61" s="14" t="s">
        <v>609</v>
      </c>
      <c r="C61" s="14">
        <v>-663</v>
      </c>
      <c r="D61" s="14">
        <v>-762</v>
      </c>
      <c r="E61" s="14">
        <v>-969</v>
      </c>
      <c r="F61" s="14">
        <v>-1105</v>
      </c>
      <c r="G61" s="14">
        <v>-677</v>
      </c>
      <c r="H61" s="14">
        <v>-759</v>
      </c>
      <c r="I61" s="14">
        <v>-720</v>
      </c>
      <c r="J61" s="14">
        <v>-1308</v>
      </c>
      <c r="K61" s="14">
        <v>-1569</v>
      </c>
      <c r="L61" s="14">
        <v>-1549</v>
      </c>
      <c r="M61" s="14">
        <v>-1076</v>
      </c>
      <c r="N61" s="14">
        <v>-1113</v>
      </c>
      <c r="O61" s="14">
        <v>-618</v>
      </c>
      <c r="P61" s="14">
        <v>-671</v>
      </c>
      <c r="Q61" s="14">
        <v>-1854</v>
      </c>
      <c r="R61" s="14">
        <v>-6247</v>
      </c>
      <c r="S61" s="14">
        <v>-8885</v>
      </c>
      <c r="T61" s="14">
        <v>-5460</v>
      </c>
      <c r="U61" s="14">
        <v>-3626</v>
      </c>
      <c r="V61" s="14">
        <v>-4726</v>
      </c>
      <c r="W61" s="14">
        <v>-3568</v>
      </c>
      <c r="X61" s="14">
        <v>-5699</v>
      </c>
      <c r="Y61" s="14">
        <v>-7983</v>
      </c>
      <c r="Z61" s="14">
        <v>-6762</v>
      </c>
      <c r="AA61" s="14">
        <v>-4756</v>
      </c>
      <c r="AB61" s="14">
        <v>-7481</v>
      </c>
      <c r="AC61" s="14">
        <v>-4271</v>
      </c>
      <c r="AD61" s="14">
        <v>-5251</v>
      </c>
      <c r="AE61" s="14">
        <v>-7980</v>
      </c>
      <c r="AF61" s="14">
        <v>-22070</v>
      </c>
      <c r="AG61" s="14">
        <v>-28765</v>
      </c>
      <c r="AH61" s="14">
        <v>-45673</v>
      </c>
      <c r="AI61" s="14">
        <v>-49166</v>
      </c>
      <c r="AJ61" s="14">
        <v>-146253</v>
      </c>
      <c r="AK61" s="14">
        <v>-63190</v>
      </c>
      <c r="AL61" s="14">
        <v>-122394</v>
      </c>
      <c r="AM61" s="14">
        <v>-149315</v>
      </c>
      <c r="AN61" s="14">
        <v>-116852</v>
      </c>
      <c r="AO61" s="14">
        <v>-130204</v>
      </c>
      <c r="AP61" s="14">
        <v>-122236</v>
      </c>
      <c r="AQ61" s="14">
        <v>-127908</v>
      </c>
      <c r="AR61" s="14">
        <v>-90644</v>
      </c>
      <c r="AS61" s="14">
        <v>-48568</v>
      </c>
      <c r="AT61" s="14">
        <v>-146722</v>
      </c>
      <c r="AU61" s="14">
        <v>-170549</v>
      </c>
      <c r="AV61" s="14">
        <v>-251199</v>
      </c>
      <c r="AW61" s="14">
        <v>-365129</v>
      </c>
      <c r="AX61" s="14">
        <v>-366512</v>
      </c>
      <c r="AY61" s="14">
        <v>197347</v>
      </c>
      <c r="AZ61" s="14">
        <v>-227024</v>
      </c>
      <c r="BA61" s="14">
        <v>-139084</v>
      </c>
      <c r="BB61" s="14">
        <v>-143770</v>
      </c>
      <c r="BC61" s="14">
        <v>-144823</v>
      </c>
      <c r="BD61" s="14">
        <v>-388878</v>
      </c>
    </row>
    <row r="62" spans="1:56">
      <c r="A62" s="14" t="s">
        <v>229</v>
      </c>
      <c r="B62" s="14" t="s">
        <v>608</v>
      </c>
      <c r="C62" s="14">
        <v>-394</v>
      </c>
      <c r="D62" s="14">
        <v>-558</v>
      </c>
      <c r="E62" s="14">
        <v>-354</v>
      </c>
      <c r="F62" s="14">
        <v>157</v>
      </c>
      <c r="G62" s="14">
        <v>-1108</v>
      </c>
      <c r="H62" s="14">
        <v>341</v>
      </c>
      <c r="I62" s="14">
        <v>-442</v>
      </c>
      <c r="J62" s="14">
        <v>-779</v>
      </c>
      <c r="K62" s="14">
        <v>-1203</v>
      </c>
      <c r="L62" s="14">
        <v>-126</v>
      </c>
      <c r="M62" s="14">
        <v>-596</v>
      </c>
      <c r="N62" s="14">
        <v>-1229</v>
      </c>
      <c r="O62" s="14">
        <v>-1054</v>
      </c>
      <c r="P62" s="14">
        <v>-2383</v>
      </c>
      <c r="Q62" s="14">
        <v>-3221</v>
      </c>
      <c r="R62" s="14">
        <v>-1357</v>
      </c>
      <c r="S62" s="14">
        <v>-2296</v>
      </c>
      <c r="T62" s="14">
        <v>-1940</v>
      </c>
      <c r="U62" s="14">
        <v>-3853</v>
      </c>
      <c r="V62" s="14">
        <v>-5014</v>
      </c>
      <c r="W62" s="14">
        <v>-4023</v>
      </c>
      <c r="X62" s="14">
        <v>-4377</v>
      </c>
      <c r="Y62" s="14">
        <v>6823</v>
      </c>
      <c r="Z62" s="14">
        <v>-10954</v>
      </c>
      <c r="AA62" s="14">
        <v>533</v>
      </c>
      <c r="AB62" s="14">
        <v>-10342</v>
      </c>
      <c r="AC62" s="14">
        <v>-21773</v>
      </c>
      <c r="AD62" s="14">
        <v>-7046</v>
      </c>
      <c r="AE62" s="14">
        <v>-21193</v>
      </c>
      <c r="AF62" s="14">
        <v>-27646</v>
      </c>
      <c r="AG62" s="14">
        <v>-27824</v>
      </c>
      <c r="AH62" s="14">
        <v>11097</v>
      </c>
      <c r="AI62" s="14">
        <v>-387</v>
      </c>
      <c r="AJ62" s="14">
        <v>766</v>
      </c>
      <c r="AK62" s="14">
        <v>-36336</v>
      </c>
      <c r="AL62" s="14">
        <v>-45286</v>
      </c>
      <c r="AM62" s="14">
        <v>-86333</v>
      </c>
      <c r="AN62" s="14">
        <v>-121760</v>
      </c>
      <c r="AO62" s="14">
        <v>-38204</v>
      </c>
      <c r="AP62" s="14">
        <v>-97704</v>
      </c>
      <c r="AQ62" s="14">
        <v>-138790</v>
      </c>
      <c r="AR62" s="14">
        <v>-8520</v>
      </c>
      <c r="AS62" s="14">
        <v>-50022</v>
      </c>
      <c r="AT62" s="14">
        <v>-18184</v>
      </c>
      <c r="AU62" s="14">
        <v>-152566</v>
      </c>
      <c r="AV62" s="14">
        <v>-71207</v>
      </c>
      <c r="AW62" s="14">
        <v>-181299</v>
      </c>
      <c r="AX62" s="14">
        <v>-928</v>
      </c>
      <c r="AY62" s="14">
        <v>456177</v>
      </c>
      <c r="AZ62" s="14">
        <v>154139</v>
      </c>
      <c r="BA62" s="14">
        <v>31326</v>
      </c>
      <c r="BB62" s="14">
        <v>4147</v>
      </c>
      <c r="BC62" s="14">
        <v>-25723</v>
      </c>
      <c r="BD62" s="14">
        <v>-61764</v>
      </c>
    </row>
    <row r="63" spans="1:56">
      <c r="A63" s="14" t="s">
        <v>228</v>
      </c>
      <c r="B63" s="14" t="s">
        <v>607</v>
      </c>
      <c r="C63" s="14">
        <v>-1148</v>
      </c>
      <c r="D63" s="14">
        <v>-1261</v>
      </c>
      <c r="E63" s="14">
        <v>-450</v>
      </c>
      <c r="F63" s="14">
        <v>-1556</v>
      </c>
      <c r="G63" s="14">
        <v>-2505</v>
      </c>
      <c r="H63" s="14">
        <v>93</v>
      </c>
      <c r="I63" s="14">
        <v>233</v>
      </c>
      <c r="J63" s="14">
        <v>-495</v>
      </c>
      <c r="K63" s="14">
        <v>233</v>
      </c>
      <c r="L63" s="14">
        <v>-570</v>
      </c>
      <c r="M63" s="14">
        <v>-967</v>
      </c>
      <c r="N63" s="14">
        <v>-2980</v>
      </c>
      <c r="O63" s="14">
        <v>-3506</v>
      </c>
      <c r="P63" s="14">
        <v>-5980</v>
      </c>
      <c r="Q63" s="14">
        <v>-19516</v>
      </c>
      <c r="R63" s="14">
        <v>-13532</v>
      </c>
      <c r="S63" s="14">
        <v>-21368</v>
      </c>
      <c r="T63" s="14">
        <v>-11427</v>
      </c>
      <c r="U63" s="14">
        <v>-33667</v>
      </c>
      <c r="V63" s="14">
        <v>-26213</v>
      </c>
      <c r="W63" s="14">
        <v>-46838</v>
      </c>
      <c r="X63" s="14">
        <v>-84175</v>
      </c>
      <c r="Y63" s="14">
        <v>-111070</v>
      </c>
      <c r="Z63" s="14">
        <v>-29928</v>
      </c>
      <c r="AA63" s="14">
        <v>-11127</v>
      </c>
      <c r="AB63" s="14">
        <v>-1323</v>
      </c>
      <c r="AC63" s="14">
        <v>-59975</v>
      </c>
      <c r="AD63" s="14">
        <v>-42119</v>
      </c>
      <c r="AE63" s="14">
        <v>-53927</v>
      </c>
      <c r="AF63" s="14">
        <v>-58160</v>
      </c>
      <c r="AG63" s="14">
        <v>12379</v>
      </c>
      <c r="AH63" s="14">
        <v>-610</v>
      </c>
      <c r="AI63" s="14">
        <v>21175</v>
      </c>
      <c r="AJ63" s="14">
        <v>30615</v>
      </c>
      <c r="AK63" s="14">
        <v>-4200</v>
      </c>
      <c r="AL63" s="14">
        <v>-75108</v>
      </c>
      <c r="AM63" s="14">
        <v>-91555</v>
      </c>
      <c r="AN63" s="14">
        <v>-141118</v>
      </c>
      <c r="AO63" s="14">
        <v>-35572</v>
      </c>
      <c r="AP63" s="14">
        <v>-70685</v>
      </c>
      <c r="AQ63" s="14">
        <v>-133382</v>
      </c>
      <c r="AR63" s="14">
        <v>-135706</v>
      </c>
      <c r="AS63" s="14">
        <v>-38260</v>
      </c>
      <c r="AT63" s="14">
        <v>-13014</v>
      </c>
      <c r="AU63" s="14">
        <v>-366047</v>
      </c>
      <c r="AV63" s="14">
        <v>-207625</v>
      </c>
      <c r="AW63" s="14">
        <v>-502099</v>
      </c>
      <c r="AX63" s="14">
        <v>-649730</v>
      </c>
      <c r="AY63" s="14">
        <v>542128</v>
      </c>
      <c r="AZ63" s="14">
        <v>-234679</v>
      </c>
      <c r="BA63" s="14">
        <v>-506821</v>
      </c>
      <c r="BB63" s="14">
        <v>215866</v>
      </c>
      <c r="BC63" s="14">
        <v>380498</v>
      </c>
      <c r="BD63" s="14">
        <v>252228</v>
      </c>
    </row>
    <row r="64" spans="1:56">
      <c r="A64" s="14" t="s">
        <v>227</v>
      </c>
      <c r="B64" s="10" t="s">
        <v>606</v>
      </c>
      <c r="C64" s="14">
        <v>2294</v>
      </c>
      <c r="D64" s="14">
        <v>2705</v>
      </c>
      <c r="E64" s="14">
        <v>1911</v>
      </c>
      <c r="F64" s="14">
        <v>3217</v>
      </c>
      <c r="G64" s="14">
        <v>3643</v>
      </c>
      <c r="H64" s="14">
        <v>742</v>
      </c>
      <c r="I64" s="14">
        <v>3661</v>
      </c>
      <c r="J64" s="14">
        <v>7379</v>
      </c>
      <c r="K64" s="14">
        <v>9928</v>
      </c>
      <c r="L64" s="14">
        <v>12702</v>
      </c>
      <c r="M64" s="14">
        <v>7226</v>
      </c>
      <c r="N64" s="14">
        <v>23687</v>
      </c>
      <c r="O64" s="14">
        <v>22171</v>
      </c>
      <c r="P64" s="14">
        <v>18388</v>
      </c>
      <c r="Q64" s="14">
        <v>35227</v>
      </c>
      <c r="R64" s="14">
        <v>16870</v>
      </c>
      <c r="S64" s="14">
        <v>37839</v>
      </c>
      <c r="T64" s="14">
        <v>52770</v>
      </c>
      <c r="U64" s="14">
        <v>66275</v>
      </c>
      <c r="V64" s="14">
        <v>40693</v>
      </c>
      <c r="W64" s="14">
        <v>62037</v>
      </c>
      <c r="X64" s="14">
        <v>85684</v>
      </c>
      <c r="Y64" s="14">
        <v>95056</v>
      </c>
      <c r="Z64" s="14">
        <v>87399</v>
      </c>
      <c r="AA64" s="14">
        <v>116048</v>
      </c>
      <c r="AB64" s="14">
        <v>144231</v>
      </c>
      <c r="AC64" s="14">
        <v>228330</v>
      </c>
      <c r="AD64" s="14">
        <v>247100</v>
      </c>
      <c r="AE64" s="14">
        <v>244833</v>
      </c>
      <c r="AF64" s="14">
        <v>222777</v>
      </c>
      <c r="AG64" s="14">
        <v>139357</v>
      </c>
      <c r="AH64" s="14">
        <v>108221</v>
      </c>
      <c r="AI64" s="14">
        <v>168349</v>
      </c>
      <c r="AJ64" s="14">
        <v>279758</v>
      </c>
      <c r="AK64" s="14">
        <v>303174</v>
      </c>
      <c r="AL64" s="14">
        <v>435102</v>
      </c>
      <c r="AM64" s="14">
        <v>547885</v>
      </c>
      <c r="AN64" s="14">
        <v>704452</v>
      </c>
      <c r="AO64" s="14">
        <v>420794</v>
      </c>
      <c r="AP64" s="14">
        <v>742210</v>
      </c>
      <c r="AQ64" s="14">
        <v>1038224</v>
      </c>
      <c r="AR64" s="14">
        <v>782870</v>
      </c>
      <c r="AS64" s="14">
        <v>795161</v>
      </c>
      <c r="AT64" s="14">
        <v>858303</v>
      </c>
      <c r="AU64" s="14">
        <v>1533201</v>
      </c>
      <c r="AV64" s="14">
        <v>1247347</v>
      </c>
      <c r="AW64" s="14">
        <v>2065169</v>
      </c>
      <c r="AX64" s="14">
        <v>2064642</v>
      </c>
      <c r="AY64" s="14">
        <v>431406</v>
      </c>
      <c r="AZ64" s="14">
        <v>315063</v>
      </c>
      <c r="BA64" s="14">
        <v>1333921</v>
      </c>
      <c r="BB64" s="14">
        <v>969006</v>
      </c>
      <c r="BC64" s="14">
        <v>543884</v>
      </c>
      <c r="BD64" s="14">
        <v>906066</v>
      </c>
    </row>
    <row r="65" spans="1:56">
      <c r="A65" s="14" t="s">
        <v>226</v>
      </c>
      <c r="B65" s="14" t="s">
        <v>605</v>
      </c>
      <c r="C65" s="14">
        <v>1473</v>
      </c>
      <c r="D65" s="14">
        <v>765</v>
      </c>
      <c r="E65" s="14">
        <v>1270</v>
      </c>
      <c r="F65" s="14">
        <v>1986</v>
      </c>
      <c r="G65" s="14">
        <v>1660</v>
      </c>
      <c r="H65" s="14">
        <v>134</v>
      </c>
      <c r="I65" s="14">
        <v>-672</v>
      </c>
      <c r="J65" s="14">
        <v>3451</v>
      </c>
      <c r="K65" s="14">
        <v>-774</v>
      </c>
      <c r="L65" s="14">
        <v>-1301</v>
      </c>
      <c r="M65" s="14">
        <v>7775</v>
      </c>
      <c r="N65" s="14">
        <v>27596</v>
      </c>
      <c r="O65" s="14">
        <v>11185</v>
      </c>
      <c r="P65" s="14">
        <v>6026</v>
      </c>
      <c r="Q65" s="14">
        <v>10546</v>
      </c>
      <c r="R65" s="14">
        <v>7027</v>
      </c>
      <c r="S65" s="14">
        <v>17693</v>
      </c>
      <c r="T65" s="14">
        <v>36816</v>
      </c>
      <c r="U65" s="14">
        <v>33678</v>
      </c>
      <c r="V65" s="14">
        <v>-12526</v>
      </c>
      <c r="W65" s="14">
        <v>16649</v>
      </c>
      <c r="X65" s="14">
        <v>6053</v>
      </c>
      <c r="Y65" s="14">
        <v>3593</v>
      </c>
      <c r="Z65" s="14">
        <v>5845</v>
      </c>
      <c r="AA65" s="14">
        <v>3140</v>
      </c>
      <c r="AB65" s="14">
        <v>-1119</v>
      </c>
      <c r="AC65" s="14">
        <v>35648</v>
      </c>
      <c r="AD65" s="14">
        <v>45387</v>
      </c>
      <c r="AE65" s="14">
        <v>39758</v>
      </c>
      <c r="AF65" s="14">
        <v>8503</v>
      </c>
      <c r="AG65" s="14">
        <v>33910</v>
      </c>
      <c r="AH65" s="14">
        <v>17389</v>
      </c>
      <c r="AI65" s="14">
        <v>40477</v>
      </c>
      <c r="AJ65" s="14">
        <v>71753</v>
      </c>
      <c r="AK65" s="14">
        <v>39583</v>
      </c>
      <c r="AL65" s="14">
        <v>109880</v>
      </c>
      <c r="AM65" s="14">
        <v>126724</v>
      </c>
      <c r="AN65" s="14">
        <v>19036</v>
      </c>
      <c r="AO65" s="14">
        <v>-19903</v>
      </c>
      <c r="AP65" s="14">
        <v>43543</v>
      </c>
      <c r="AQ65" s="14">
        <v>42758</v>
      </c>
      <c r="AR65" s="14">
        <v>28059</v>
      </c>
      <c r="AS65" s="14">
        <v>115945</v>
      </c>
      <c r="AT65" s="14">
        <v>278069</v>
      </c>
      <c r="AU65" s="14">
        <v>397755</v>
      </c>
      <c r="AV65" s="14">
        <v>259268</v>
      </c>
      <c r="AW65" s="14">
        <v>487939</v>
      </c>
      <c r="AX65" s="14">
        <v>481043</v>
      </c>
      <c r="AY65" s="14">
        <v>554634</v>
      </c>
      <c r="AZ65" s="14">
        <v>480286</v>
      </c>
      <c r="BA65" s="14">
        <v>398309</v>
      </c>
      <c r="BB65" s="14">
        <v>253816</v>
      </c>
      <c r="BC65" s="14">
        <v>393922</v>
      </c>
      <c r="BD65" s="14">
        <v>283744</v>
      </c>
    </row>
    <row r="66" spans="1:56">
      <c r="A66" s="14" t="s">
        <v>224</v>
      </c>
      <c r="B66" s="14" t="s">
        <v>604</v>
      </c>
      <c r="C66" s="14">
        <v>655</v>
      </c>
      <c r="D66" s="14">
        <v>233</v>
      </c>
      <c r="E66" s="14">
        <v>1409</v>
      </c>
      <c r="F66" s="14">
        <v>816</v>
      </c>
      <c r="G66" s="14">
        <v>432</v>
      </c>
      <c r="H66" s="14">
        <v>-141</v>
      </c>
      <c r="I66" s="14">
        <v>-1527</v>
      </c>
      <c r="J66" s="14">
        <v>2261</v>
      </c>
      <c r="K66" s="14">
        <v>-769</v>
      </c>
      <c r="L66" s="14">
        <v>-2343</v>
      </c>
      <c r="M66" s="14">
        <v>9439</v>
      </c>
      <c r="N66" s="14">
        <v>26570</v>
      </c>
      <c r="O66" s="14">
        <v>8470</v>
      </c>
      <c r="P66" s="14">
        <v>641</v>
      </c>
      <c r="Q66" s="14">
        <v>4172</v>
      </c>
      <c r="R66" s="14">
        <v>5563</v>
      </c>
      <c r="S66" s="14">
        <v>9892</v>
      </c>
      <c r="T66" s="14">
        <v>32538</v>
      </c>
      <c r="U66" s="14">
        <v>24221</v>
      </c>
      <c r="V66" s="14">
        <v>-21972</v>
      </c>
      <c r="W66" s="14">
        <v>11895</v>
      </c>
      <c r="X66" s="14">
        <v>6322</v>
      </c>
      <c r="Y66" s="14">
        <v>5085</v>
      </c>
      <c r="Z66" s="14">
        <v>6496</v>
      </c>
      <c r="AA66" s="14">
        <v>4703</v>
      </c>
      <c r="AB66" s="14">
        <v>-1139</v>
      </c>
      <c r="AC66" s="14">
        <v>33150</v>
      </c>
      <c r="AD66" s="14">
        <v>44802</v>
      </c>
      <c r="AE66" s="14">
        <v>43050</v>
      </c>
      <c r="AF66" s="14">
        <v>1532</v>
      </c>
      <c r="AG66" s="14">
        <v>30243</v>
      </c>
      <c r="AH66" s="14">
        <v>16147</v>
      </c>
      <c r="AI66" s="14">
        <v>22403</v>
      </c>
      <c r="AJ66" s="14">
        <v>53014</v>
      </c>
      <c r="AK66" s="14">
        <v>36827</v>
      </c>
      <c r="AL66" s="14">
        <v>72712</v>
      </c>
      <c r="AM66" s="14">
        <v>120679</v>
      </c>
      <c r="AN66" s="14">
        <v>-2161</v>
      </c>
      <c r="AO66" s="14">
        <v>-3589</v>
      </c>
      <c r="AP66" s="14">
        <v>32527</v>
      </c>
      <c r="AQ66" s="14">
        <v>35710</v>
      </c>
      <c r="AR66" s="14">
        <v>54620</v>
      </c>
      <c r="AS66" s="14">
        <v>90971</v>
      </c>
      <c r="AT66" s="14">
        <v>224874</v>
      </c>
      <c r="AU66" s="14">
        <v>314941</v>
      </c>
      <c r="AV66" s="14">
        <v>213334</v>
      </c>
      <c r="AW66" s="14">
        <v>428401</v>
      </c>
      <c r="AX66" s="14">
        <v>269897</v>
      </c>
      <c r="AY66" s="14">
        <v>591381</v>
      </c>
      <c r="AZ66" s="14">
        <v>437324</v>
      </c>
      <c r="BA66" s="14">
        <v>353294</v>
      </c>
      <c r="BB66" s="14">
        <v>149101</v>
      </c>
      <c r="BC66" s="14">
        <v>314660</v>
      </c>
      <c r="BD66" s="14">
        <v>204648</v>
      </c>
    </row>
    <row r="67" spans="1:56">
      <c r="A67" s="14" t="s">
        <v>223</v>
      </c>
      <c r="B67" s="14" t="s">
        <v>603</v>
      </c>
      <c r="C67" s="14">
        <v>655</v>
      </c>
      <c r="D67" s="14">
        <v>233</v>
      </c>
      <c r="E67" s="14">
        <v>1410</v>
      </c>
      <c r="F67" s="14">
        <v>803</v>
      </c>
      <c r="G67" s="14">
        <v>434</v>
      </c>
      <c r="H67" s="14">
        <v>-134</v>
      </c>
      <c r="I67" s="14">
        <v>-1548</v>
      </c>
      <c r="J67" s="14">
        <v>2222</v>
      </c>
      <c r="K67" s="14">
        <v>-798</v>
      </c>
      <c r="L67" s="14">
        <v>-2269</v>
      </c>
      <c r="M67" s="14">
        <v>9411</v>
      </c>
      <c r="N67" s="14">
        <v>26578</v>
      </c>
      <c r="O67" s="14">
        <v>8213</v>
      </c>
      <c r="P67" s="14">
        <v>59</v>
      </c>
      <c r="Q67" s="14">
        <v>3270</v>
      </c>
      <c r="R67" s="14">
        <v>4658</v>
      </c>
      <c r="S67" s="14">
        <v>9319</v>
      </c>
      <c r="T67" s="14">
        <v>30230</v>
      </c>
      <c r="U67" s="14">
        <v>23555</v>
      </c>
      <c r="V67" s="14">
        <v>-22435</v>
      </c>
      <c r="W67" s="14">
        <v>9708</v>
      </c>
      <c r="X67" s="14">
        <v>5019</v>
      </c>
      <c r="Y67" s="14">
        <v>5779</v>
      </c>
      <c r="Z67" s="14">
        <v>6972</v>
      </c>
      <c r="AA67" s="14">
        <v>4690</v>
      </c>
      <c r="AB67" s="14">
        <v>-838</v>
      </c>
      <c r="AC67" s="14">
        <v>34364</v>
      </c>
      <c r="AD67" s="14">
        <v>43238</v>
      </c>
      <c r="AE67" s="14">
        <v>41741</v>
      </c>
      <c r="AF67" s="14">
        <v>149</v>
      </c>
      <c r="AG67" s="14">
        <v>29576</v>
      </c>
      <c r="AH67" s="14">
        <v>14846</v>
      </c>
      <c r="AI67" s="14">
        <v>18454</v>
      </c>
      <c r="AJ67" s="14">
        <v>48952</v>
      </c>
      <c r="AK67" s="14">
        <v>30750</v>
      </c>
      <c r="AL67" s="14">
        <v>68977</v>
      </c>
      <c r="AM67" s="14">
        <v>115671</v>
      </c>
      <c r="AN67" s="14">
        <v>-6690</v>
      </c>
      <c r="AO67" s="14">
        <v>-9921</v>
      </c>
      <c r="AP67" s="14">
        <v>12177</v>
      </c>
      <c r="AQ67" s="14">
        <v>-5199</v>
      </c>
      <c r="AR67" s="14">
        <v>33700</v>
      </c>
      <c r="AS67" s="14">
        <v>60466</v>
      </c>
      <c r="AT67" s="14">
        <v>184931</v>
      </c>
      <c r="AU67" s="14">
        <v>273279</v>
      </c>
      <c r="AV67" s="14">
        <v>112841</v>
      </c>
      <c r="AW67" s="14">
        <v>208564</v>
      </c>
      <c r="AX67" s="14">
        <v>98432</v>
      </c>
      <c r="AY67" s="14">
        <v>548653</v>
      </c>
      <c r="AZ67" s="14">
        <v>569893</v>
      </c>
      <c r="BA67" s="14">
        <v>442012</v>
      </c>
      <c r="BB67" s="14">
        <v>169813</v>
      </c>
      <c r="BC67" s="14">
        <v>433155</v>
      </c>
      <c r="BD67" s="14">
        <v>235523</v>
      </c>
    </row>
    <row r="68" spans="1:56">
      <c r="A68" s="14" t="s">
        <v>222</v>
      </c>
      <c r="B68" s="14" t="s">
        <v>602</v>
      </c>
      <c r="C68" s="14" t="s">
        <v>579</v>
      </c>
      <c r="D68" s="14" t="s">
        <v>579</v>
      </c>
      <c r="E68" s="14">
        <v>-1</v>
      </c>
      <c r="F68" s="14">
        <v>12</v>
      </c>
      <c r="G68" s="14">
        <v>-2</v>
      </c>
      <c r="H68" s="14">
        <v>-7</v>
      </c>
      <c r="I68" s="14">
        <v>21</v>
      </c>
      <c r="J68" s="14">
        <v>39</v>
      </c>
      <c r="K68" s="14">
        <v>29</v>
      </c>
      <c r="L68" s="14">
        <v>-74</v>
      </c>
      <c r="M68" s="14">
        <v>28</v>
      </c>
      <c r="N68" s="14">
        <v>-8</v>
      </c>
      <c r="O68" s="14">
        <v>257</v>
      </c>
      <c r="P68" s="14">
        <v>582</v>
      </c>
      <c r="Q68" s="14">
        <v>902</v>
      </c>
      <c r="R68" s="14">
        <v>905</v>
      </c>
      <c r="S68" s="14">
        <v>573</v>
      </c>
      <c r="T68" s="14">
        <v>2308</v>
      </c>
      <c r="U68" s="14">
        <v>666</v>
      </c>
      <c r="V68" s="14">
        <v>463</v>
      </c>
      <c r="W68" s="14">
        <v>2187</v>
      </c>
      <c r="X68" s="14">
        <v>1303</v>
      </c>
      <c r="Y68" s="14">
        <v>-694</v>
      </c>
      <c r="Z68" s="14">
        <v>-476</v>
      </c>
      <c r="AA68" s="14">
        <v>13</v>
      </c>
      <c r="AB68" s="14">
        <v>-301</v>
      </c>
      <c r="AC68" s="14">
        <v>-1214</v>
      </c>
      <c r="AD68" s="14">
        <v>1564</v>
      </c>
      <c r="AE68" s="14">
        <v>1309</v>
      </c>
      <c r="AF68" s="14">
        <v>1383</v>
      </c>
      <c r="AG68" s="14">
        <v>667</v>
      </c>
      <c r="AH68" s="14">
        <v>1301</v>
      </c>
      <c r="AI68" s="14">
        <v>3949</v>
      </c>
      <c r="AJ68" s="14">
        <v>4062</v>
      </c>
      <c r="AK68" s="14">
        <v>6077</v>
      </c>
      <c r="AL68" s="14">
        <v>3735</v>
      </c>
      <c r="AM68" s="14">
        <v>5008</v>
      </c>
      <c r="AN68" s="14">
        <v>4529</v>
      </c>
      <c r="AO68" s="14">
        <v>6332</v>
      </c>
      <c r="AP68" s="14">
        <v>20350</v>
      </c>
      <c r="AQ68" s="14">
        <v>40909</v>
      </c>
      <c r="AR68" s="14">
        <v>20920</v>
      </c>
      <c r="AS68" s="14">
        <v>30505</v>
      </c>
      <c r="AT68" s="14">
        <v>39943</v>
      </c>
      <c r="AU68" s="14">
        <v>41662</v>
      </c>
      <c r="AV68" s="14">
        <v>100493</v>
      </c>
      <c r="AW68" s="14">
        <v>219837</v>
      </c>
      <c r="AX68" s="14">
        <v>171465</v>
      </c>
      <c r="AY68" s="14">
        <v>42728</v>
      </c>
      <c r="AZ68" s="14">
        <v>-132569</v>
      </c>
      <c r="BA68" s="14">
        <v>-88718</v>
      </c>
      <c r="BB68" s="14">
        <v>-20712</v>
      </c>
      <c r="BC68" s="14">
        <v>-118495</v>
      </c>
      <c r="BD68" s="14">
        <v>-30875</v>
      </c>
    </row>
    <row r="69" spans="1:56">
      <c r="A69" s="14" t="s">
        <v>221</v>
      </c>
      <c r="B69" s="14" t="s">
        <v>601</v>
      </c>
      <c r="C69" s="14">
        <v>215</v>
      </c>
      <c r="D69" s="14">
        <v>25</v>
      </c>
      <c r="E69" s="14">
        <v>152</v>
      </c>
      <c r="F69" s="14">
        <v>429</v>
      </c>
      <c r="G69" s="14">
        <v>298</v>
      </c>
      <c r="H69" s="14">
        <v>65</v>
      </c>
      <c r="I69" s="14">
        <v>113</v>
      </c>
      <c r="J69" s="14">
        <v>83</v>
      </c>
      <c r="K69" s="14">
        <v>-15</v>
      </c>
      <c r="L69" s="14">
        <v>251</v>
      </c>
      <c r="M69" s="14">
        <v>411</v>
      </c>
      <c r="N69" s="14">
        <v>207</v>
      </c>
      <c r="O69" s="14">
        <v>892</v>
      </c>
      <c r="P69" s="14">
        <v>936</v>
      </c>
      <c r="Q69" s="14">
        <v>301</v>
      </c>
      <c r="R69" s="14">
        <v>1517</v>
      </c>
      <c r="S69" s="14">
        <v>4627</v>
      </c>
      <c r="T69" s="14">
        <v>1400</v>
      </c>
      <c r="U69" s="14">
        <v>2476</v>
      </c>
      <c r="V69" s="14">
        <v>1099</v>
      </c>
      <c r="W69" s="14">
        <v>1767</v>
      </c>
      <c r="X69" s="14">
        <v>755</v>
      </c>
      <c r="Y69" s="14">
        <v>605</v>
      </c>
      <c r="Z69" s="14">
        <v>602</v>
      </c>
      <c r="AA69" s="14">
        <v>739</v>
      </c>
      <c r="AB69" s="14">
        <v>844</v>
      </c>
      <c r="AC69" s="14">
        <v>2195</v>
      </c>
      <c r="AD69" s="14">
        <v>-2326</v>
      </c>
      <c r="AE69" s="14">
        <v>-467</v>
      </c>
      <c r="AF69" s="14">
        <v>160</v>
      </c>
      <c r="AG69" s="14">
        <v>1868</v>
      </c>
      <c r="AH69" s="14">
        <v>1367</v>
      </c>
      <c r="AI69" s="14">
        <v>2191</v>
      </c>
      <c r="AJ69" s="14">
        <v>1313</v>
      </c>
      <c r="AK69" s="14">
        <v>1564</v>
      </c>
      <c r="AL69" s="14">
        <v>-105</v>
      </c>
      <c r="AM69" s="14">
        <v>-982</v>
      </c>
      <c r="AN69" s="14">
        <v>-881</v>
      </c>
      <c r="AO69" s="14">
        <v>-3326</v>
      </c>
      <c r="AP69" s="14">
        <v>-2863</v>
      </c>
      <c r="AQ69" s="14">
        <v>-1825</v>
      </c>
      <c r="AR69" s="14">
        <v>-2309</v>
      </c>
      <c r="AS69" s="14">
        <v>137</v>
      </c>
      <c r="AT69" s="14">
        <v>-723</v>
      </c>
      <c r="AU69" s="14">
        <v>-134</v>
      </c>
      <c r="AV69" s="14">
        <v>-421</v>
      </c>
      <c r="AW69" s="14">
        <v>2816</v>
      </c>
      <c r="AX69" s="14">
        <v>5436</v>
      </c>
      <c r="AY69" s="14">
        <v>9029</v>
      </c>
      <c r="AZ69" s="14">
        <v>58206</v>
      </c>
      <c r="BA69" s="14">
        <v>12442</v>
      </c>
      <c r="BB69" s="14">
        <v>9563</v>
      </c>
      <c r="BC69" s="14">
        <v>8241</v>
      </c>
      <c r="BD69" s="14">
        <v>11306</v>
      </c>
    </row>
    <row r="70" spans="1:56">
      <c r="A70" s="14" t="s">
        <v>220</v>
      </c>
      <c r="B70" s="14" t="s">
        <v>600</v>
      </c>
      <c r="C70" s="14">
        <v>603</v>
      </c>
      <c r="D70" s="14">
        <v>508</v>
      </c>
      <c r="E70" s="14">
        <v>-291</v>
      </c>
      <c r="F70" s="14">
        <v>742</v>
      </c>
      <c r="G70" s="14">
        <v>930</v>
      </c>
      <c r="H70" s="14">
        <v>210</v>
      </c>
      <c r="I70" s="14">
        <v>742</v>
      </c>
      <c r="J70" s="14">
        <v>1106</v>
      </c>
      <c r="K70" s="14">
        <v>10</v>
      </c>
      <c r="L70" s="14">
        <v>792</v>
      </c>
      <c r="M70" s="14">
        <v>-2075</v>
      </c>
      <c r="N70" s="14">
        <v>819</v>
      </c>
      <c r="O70" s="14">
        <v>1638</v>
      </c>
      <c r="P70" s="14">
        <v>4126</v>
      </c>
      <c r="Q70" s="14">
        <v>5818</v>
      </c>
      <c r="R70" s="14">
        <v>-2158</v>
      </c>
      <c r="S70" s="14">
        <v>969</v>
      </c>
      <c r="T70" s="14">
        <v>773</v>
      </c>
      <c r="U70" s="14">
        <v>5551</v>
      </c>
      <c r="V70" s="14">
        <v>7213</v>
      </c>
      <c r="W70" s="14">
        <v>-159</v>
      </c>
      <c r="X70" s="14">
        <v>-3670</v>
      </c>
      <c r="Y70" s="14">
        <v>-1747</v>
      </c>
      <c r="Z70" s="14">
        <v>545</v>
      </c>
      <c r="AA70" s="14">
        <v>555</v>
      </c>
      <c r="AB70" s="14">
        <v>645</v>
      </c>
      <c r="AC70" s="14">
        <v>1187</v>
      </c>
      <c r="AD70" s="14">
        <v>3918</v>
      </c>
      <c r="AE70" s="14">
        <v>-319</v>
      </c>
      <c r="AF70" s="14">
        <v>4976</v>
      </c>
      <c r="AG70" s="14">
        <v>3385</v>
      </c>
      <c r="AH70" s="14">
        <v>-1484</v>
      </c>
      <c r="AI70" s="14">
        <v>16571</v>
      </c>
      <c r="AJ70" s="14">
        <v>14841</v>
      </c>
      <c r="AK70" s="14">
        <v>3665</v>
      </c>
      <c r="AL70" s="14">
        <v>34008</v>
      </c>
      <c r="AM70" s="14">
        <v>5704</v>
      </c>
      <c r="AN70" s="14">
        <v>22286</v>
      </c>
      <c r="AO70" s="14">
        <v>-9501</v>
      </c>
      <c r="AP70" s="14">
        <v>12964</v>
      </c>
      <c r="AQ70" s="14">
        <v>5746</v>
      </c>
      <c r="AR70" s="14">
        <v>-29978</v>
      </c>
      <c r="AS70" s="14">
        <v>21221</v>
      </c>
      <c r="AT70" s="14">
        <v>48643</v>
      </c>
      <c r="AU70" s="14">
        <v>69245</v>
      </c>
      <c r="AV70" s="14">
        <v>26260</v>
      </c>
      <c r="AW70" s="14">
        <v>22365</v>
      </c>
      <c r="AX70" s="14">
        <v>109019</v>
      </c>
      <c r="AY70" s="14">
        <v>-149676</v>
      </c>
      <c r="AZ70" s="14">
        <v>-68848</v>
      </c>
      <c r="BA70" s="14">
        <v>-7967</v>
      </c>
      <c r="BB70" s="14">
        <v>27474</v>
      </c>
      <c r="BC70" s="14">
        <v>-1572</v>
      </c>
      <c r="BD70" s="14">
        <v>60943</v>
      </c>
    </row>
    <row r="71" spans="1:56">
      <c r="A71" s="14" t="s">
        <v>219</v>
      </c>
      <c r="B71" s="14" t="s">
        <v>599</v>
      </c>
      <c r="C71" s="14" t="s">
        <v>579</v>
      </c>
      <c r="D71" s="14" t="s">
        <v>579</v>
      </c>
      <c r="E71" s="14" t="s">
        <v>579</v>
      </c>
      <c r="F71" s="14" t="s">
        <v>579</v>
      </c>
      <c r="G71" s="14" t="s">
        <v>579</v>
      </c>
      <c r="H71" s="14" t="s">
        <v>579</v>
      </c>
      <c r="I71" s="14" t="s">
        <v>579</v>
      </c>
      <c r="J71" s="14" t="s">
        <v>579</v>
      </c>
      <c r="K71" s="14" t="s">
        <v>579</v>
      </c>
      <c r="L71" s="14" t="s">
        <v>579</v>
      </c>
      <c r="M71" s="14" t="s">
        <v>579</v>
      </c>
      <c r="N71" s="14" t="s">
        <v>579</v>
      </c>
      <c r="O71" s="14">
        <v>185</v>
      </c>
      <c r="P71" s="14">
        <v>323</v>
      </c>
      <c r="Q71" s="14">
        <v>254</v>
      </c>
      <c r="R71" s="14">
        <v>2104</v>
      </c>
      <c r="S71" s="14">
        <v>2205</v>
      </c>
      <c r="T71" s="14">
        <v>2105</v>
      </c>
      <c r="U71" s="14">
        <v>1430</v>
      </c>
      <c r="V71" s="14">
        <v>1135</v>
      </c>
      <c r="W71" s="14">
        <v>3145</v>
      </c>
      <c r="X71" s="14">
        <v>2646</v>
      </c>
      <c r="Y71" s="14">
        <v>-350</v>
      </c>
      <c r="Z71" s="14">
        <v>-1798</v>
      </c>
      <c r="AA71" s="14">
        <v>-2857</v>
      </c>
      <c r="AB71" s="14">
        <v>-1469</v>
      </c>
      <c r="AC71" s="14">
        <v>-884</v>
      </c>
      <c r="AD71" s="14">
        <v>-1007</v>
      </c>
      <c r="AE71" s="14">
        <v>-2506</v>
      </c>
      <c r="AF71" s="14">
        <v>1835</v>
      </c>
      <c r="AG71" s="14">
        <v>-1586</v>
      </c>
      <c r="AH71" s="14">
        <v>1359</v>
      </c>
      <c r="AI71" s="14">
        <v>-688</v>
      </c>
      <c r="AJ71" s="14">
        <v>2585</v>
      </c>
      <c r="AK71" s="14">
        <v>-2473</v>
      </c>
      <c r="AL71" s="14">
        <v>3265</v>
      </c>
      <c r="AM71" s="14">
        <v>1323</v>
      </c>
      <c r="AN71" s="14">
        <v>-208</v>
      </c>
      <c r="AO71" s="14">
        <v>-3487</v>
      </c>
      <c r="AP71" s="14">
        <v>915</v>
      </c>
      <c r="AQ71" s="14">
        <v>3127</v>
      </c>
      <c r="AR71" s="14">
        <v>5726</v>
      </c>
      <c r="AS71" s="14">
        <v>3616</v>
      </c>
      <c r="AT71" s="14">
        <v>5275</v>
      </c>
      <c r="AU71" s="14">
        <v>13703</v>
      </c>
      <c r="AV71" s="14">
        <v>20095</v>
      </c>
      <c r="AW71" s="14">
        <v>34357</v>
      </c>
      <c r="AX71" s="14">
        <v>96691</v>
      </c>
      <c r="AY71" s="14">
        <v>103900</v>
      </c>
      <c r="AZ71" s="14">
        <v>53604</v>
      </c>
      <c r="BA71" s="14">
        <v>40540</v>
      </c>
      <c r="BB71" s="14">
        <v>67678</v>
      </c>
      <c r="BC71" s="14">
        <v>72593</v>
      </c>
      <c r="BD71" s="14">
        <v>6847</v>
      </c>
    </row>
    <row r="72" spans="1:56">
      <c r="A72" s="14" t="s">
        <v>218</v>
      </c>
      <c r="B72" s="14" t="s">
        <v>598</v>
      </c>
      <c r="C72" s="14">
        <v>821</v>
      </c>
      <c r="D72" s="14">
        <v>1939</v>
      </c>
      <c r="E72" s="14">
        <v>641</v>
      </c>
      <c r="F72" s="14">
        <v>1231</v>
      </c>
      <c r="G72" s="14">
        <v>1983</v>
      </c>
      <c r="H72" s="14">
        <v>607</v>
      </c>
      <c r="I72" s="14">
        <v>4333</v>
      </c>
      <c r="J72" s="14">
        <v>3928</v>
      </c>
      <c r="K72" s="14">
        <v>10703</v>
      </c>
      <c r="L72" s="14">
        <v>14002</v>
      </c>
      <c r="M72" s="14">
        <v>-550</v>
      </c>
      <c r="N72" s="14">
        <v>-3909</v>
      </c>
      <c r="O72" s="14">
        <v>10986</v>
      </c>
      <c r="P72" s="14">
        <v>12362</v>
      </c>
      <c r="Q72" s="14">
        <v>24682</v>
      </c>
      <c r="R72" s="14">
        <v>9843</v>
      </c>
      <c r="S72" s="14">
        <v>20147</v>
      </c>
      <c r="T72" s="14">
        <v>15954</v>
      </c>
      <c r="U72" s="14">
        <v>32597</v>
      </c>
      <c r="V72" s="14">
        <v>53218</v>
      </c>
      <c r="W72" s="14">
        <v>45388</v>
      </c>
      <c r="X72" s="14">
        <v>79631</v>
      </c>
      <c r="Y72" s="14">
        <v>91464</v>
      </c>
      <c r="Z72" s="14">
        <v>81554</v>
      </c>
      <c r="AA72" s="14">
        <v>112908</v>
      </c>
      <c r="AB72" s="14">
        <v>145349</v>
      </c>
      <c r="AC72" s="14">
        <v>192681</v>
      </c>
      <c r="AD72" s="14">
        <v>201713</v>
      </c>
      <c r="AE72" s="14">
        <v>205075</v>
      </c>
      <c r="AF72" s="14">
        <v>214274</v>
      </c>
      <c r="AG72" s="14">
        <v>105447</v>
      </c>
      <c r="AH72" s="14">
        <v>90833</v>
      </c>
      <c r="AI72" s="14">
        <v>127872</v>
      </c>
      <c r="AJ72" s="14">
        <v>208005</v>
      </c>
      <c r="AK72" s="14">
        <v>263591</v>
      </c>
      <c r="AL72" s="14">
        <v>325222</v>
      </c>
      <c r="AM72" s="14">
        <v>421161</v>
      </c>
      <c r="AN72" s="14">
        <v>685416</v>
      </c>
      <c r="AO72" s="14">
        <v>440697</v>
      </c>
      <c r="AP72" s="14">
        <v>698667</v>
      </c>
      <c r="AQ72" s="14">
        <v>995466</v>
      </c>
      <c r="AR72" s="14">
        <v>754811</v>
      </c>
      <c r="AS72" s="14">
        <v>679216</v>
      </c>
      <c r="AT72" s="14">
        <v>580234</v>
      </c>
      <c r="AU72" s="14">
        <v>1135446</v>
      </c>
      <c r="AV72" s="14">
        <v>988079</v>
      </c>
      <c r="AW72" s="14">
        <v>1577230</v>
      </c>
      <c r="AX72" s="14">
        <v>1583599</v>
      </c>
      <c r="AY72" s="14">
        <v>-123228</v>
      </c>
      <c r="AZ72" s="14">
        <v>-165223</v>
      </c>
      <c r="BA72" s="14">
        <v>935612</v>
      </c>
      <c r="BB72" s="14">
        <v>715190</v>
      </c>
      <c r="BC72" s="14">
        <v>149962</v>
      </c>
      <c r="BD72" s="14">
        <v>622322</v>
      </c>
    </row>
    <row r="73" spans="1:56">
      <c r="A73" s="14" t="s">
        <v>217</v>
      </c>
      <c r="B73" s="14" t="s">
        <v>597</v>
      </c>
      <c r="C73" s="14">
        <v>315</v>
      </c>
      <c r="D73" s="14">
        <v>311</v>
      </c>
      <c r="E73" s="14">
        <v>346</v>
      </c>
      <c r="F73" s="14">
        <v>231</v>
      </c>
      <c r="G73" s="14">
        <v>322</v>
      </c>
      <c r="H73" s="14">
        <v>415</v>
      </c>
      <c r="I73" s="14">
        <v>425</v>
      </c>
      <c r="J73" s="14">
        <v>698</v>
      </c>
      <c r="K73" s="14">
        <v>807</v>
      </c>
      <c r="L73" s="14">
        <v>1263</v>
      </c>
      <c r="M73" s="14">
        <v>1464</v>
      </c>
      <c r="N73" s="14">
        <v>367</v>
      </c>
      <c r="O73" s="14">
        <v>949</v>
      </c>
      <c r="P73" s="14">
        <v>2800</v>
      </c>
      <c r="Q73" s="14">
        <v>4760</v>
      </c>
      <c r="R73" s="14">
        <v>2603</v>
      </c>
      <c r="S73" s="14">
        <v>4347</v>
      </c>
      <c r="T73" s="14">
        <v>3728</v>
      </c>
      <c r="U73" s="14">
        <v>7897</v>
      </c>
      <c r="V73" s="14">
        <v>11877</v>
      </c>
      <c r="W73" s="14">
        <v>16918</v>
      </c>
      <c r="X73" s="14">
        <v>25195</v>
      </c>
      <c r="Y73" s="14" t="s">
        <v>596</v>
      </c>
      <c r="Z73" s="14">
        <v>10372</v>
      </c>
      <c r="AA73" s="14">
        <v>24468</v>
      </c>
      <c r="AB73" s="14">
        <v>19742</v>
      </c>
      <c r="AC73" s="14">
        <v>35420</v>
      </c>
      <c r="AD73" s="14">
        <v>58470</v>
      </c>
      <c r="AE73" s="14">
        <v>57735</v>
      </c>
      <c r="AF73" s="14">
        <v>68274</v>
      </c>
      <c r="AG73" s="14">
        <v>48494</v>
      </c>
      <c r="AH73" s="14">
        <v>23171</v>
      </c>
      <c r="AI73" s="14">
        <v>19823</v>
      </c>
      <c r="AJ73" s="14">
        <v>51362</v>
      </c>
      <c r="AK73" s="14">
        <v>46121</v>
      </c>
      <c r="AL73" s="14">
        <v>57776</v>
      </c>
      <c r="AM73" s="14">
        <v>86502</v>
      </c>
      <c r="AN73" s="14">
        <v>105603</v>
      </c>
      <c r="AO73" s="14">
        <v>179045</v>
      </c>
      <c r="AP73" s="14">
        <v>289444</v>
      </c>
      <c r="AQ73" s="14">
        <v>321274</v>
      </c>
      <c r="AR73" s="14">
        <v>167021</v>
      </c>
      <c r="AS73" s="14">
        <v>84372</v>
      </c>
      <c r="AT73" s="14">
        <v>63750</v>
      </c>
      <c r="AU73" s="14">
        <v>145966</v>
      </c>
      <c r="AV73" s="14">
        <v>112638</v>
      </c>
      <c r="AW73" s="14">
        <v>243151</v>
      </c>
      <c r="AX73" s="14">
        <v>221166</v>
      </c>
      <c r="AY73" s="14">
        <v>310092</v>
      </c>
      <c r="AZ73" s="14">
        <v>150442</v>
      </c>
      <c r="BA73" s="14">
        <v>205851</v>
      </c>
      <c r="BB73" s="14">
        <v>230224</v>
      </c>
      <c r="BC73" s="14">
        <v>166411</v>
      </c>
      <c r="BD73" s="14">
        <v>193360</v>
      </c>
    </row>
    <row r="74" spans="1:56">
      <c r="A74" s="14" t="s">
        <v>216</v>
      </c>
      <c r="B74" s="14" t="s">
        <v>595</v>
      </c>
      <c r="C74" s="14">
        <v>-364</v>
      </c>
      <c r="D74" s="14">
        <v>151</v>
      </c>
      <c r="E74" s="14">
        <v>-66</v>
      </c>
      <c r="F74" s="14">
        <v>-149</v>
      </c>
      <c r="G74" s="14">
        <v>-146</v>
      </c>
      <c r="H74" s="14">
        <v>-131</v>
      </c>
      <c r="I74" s="14">
        <v>-356</v>
      </c>
      <c r="J74" s="14">
        <v>-135</v>
      </c>
      <c r="K74" s="14">
        <v>136</v>
      </c>
      <c r="L74" s="14">
        <v>-68</v>
      </c>
      <c r="M74" s="14">
        <v>81</v>
      </c>
      <c r="N74" s="14">
        <v>-24</v>
      </c>
      <c r="O74" s="14">
        <v>-39</v>
      </c>
      <c r="P74" s="14">
        <v>-216</v>
      </c>
      <c r="Q74" s="14">
        <v>697</v>
      </c>
      <c r="R74" s="14">
        <v>2590</v>
      </c>
      <c r="S74" s="14">
        <v>2783</v>
      </c>
      <c r="T74" s="14">
        <v>534</v>
      </c>
      <c r="U74" s="14" t="s">
        <v>594</v>
      </c>
      <c r="V74" s="14" t="s">
        <v>593</v>
      </c>
      <c r="W74" s="14" t="s">
        <v>592</v>
      </c>
      <c r="X74" s="14" t="s">
        <v>591</v>
      </c>
      <c r="Y74" s="14" t="s">
        <v>590</v>
      </c>
      <c r="Z74" s="14" t="s">
        <v>589</v>
      </c>
      <c r="AA74" s="14">
        <v>23001</v>
      </c>
      <c r="AB74" s="14">
        <v>20433</v>
      </c>
      <c r="AC74" s="14">
        <v>3809</v>
      </c>
      <c r="AD74" s="14">
        <v>-7643</v>
      </c>
      <c r="AE74" s="14">
        <v>20239</v>
      </c>
      <c r="AF74" s="14">
        <v>29618</v>
      </c>
      <c r="AG74" s="14">
        <v>-2534</v>
      </c>
      <c r="AH74" s="14">
        <v>18826</v>
      </c>
      <c r="AI74" s="14">
        <v>37131</v>
      </c>
      <c r="AJ74" s="14">
        <v>24381</v>
      </c>
      <c r="AK74" s="14">
        <v>34274</v>
      </c>
      <c r="AL74" s="14">
        <v>91544</v>
      </c>
      <c r="AM74" s="14">
        <v>147022</v>
      </c>
      <c r="AN74" s="14">
        <v>130435</v>
      </c>
      <c r="AO74" s="14">
        <v>28581</v>
      </c>
      <c r="AP74" s="14">
        <v>-44497</v>
      </c>
      <c r="AQ74" s="14">
        <v>-69983</v>
      </c>
      <c r="AR74" s="14">
        <v>-14378</v>
      </c>
      <c r="AS74" s="14">
        <v>100403</v>
      </c>
      <c r="AT74" s="14">
        <v>91455</v>
      </c>
      <c r="AU74" s="14">
        <v>93608</v>
      </c>
      <c r="AV74" s="14">
        <v>132300</v>
      </c>
      <c r="AW74" s="14">
        <v>-58229</v>
      </c>
      <c r="AX74" s="14">
        <v>66845</v>
      </c>
      <c r="AY74" s="14">
        <v>162944</v>
      </c>
      <c r="AZ74" s="14">
        <v>-15451</v>
      </c>
      <c r="BA74" s="14">
        <v>298341</v>
      </c>
      <c r="BB74" s="14">
        <v>188045</v>
      </c>
      <c r="BC74" s="14">
        <v>156385</v>
      </c>
      <c r="BD74" s="14">
        <v>202220</v>
      </c>
    </row>
    <row r="75" spans="1:56">
      <c r="A75" s="14" t="s">
        <v>215</v>
      </c>
      <c r="B75" s="14" t="s">
        <v>588</v>
      </c>
      <c r="C75" s="14">
        <v>282</v>
      </c>
      <c r="D75" s="14">
        <v>324</v>
      </c>
      <c r="E75" s="14">
        <v>134</v>
      </c>
      <c r="F75" s="14">
        <v>287</v>
      </c>
      <c r="G75" s="14">
        <v>-85</v>
      </c>
      <c r="H75" s="14">
        <v>-358</v>
      </c>
      <c r="I75" s="14">
        <v>906</v>
      </c>
      <c r="J75" s="14">
        <v>1016</v>
      </c>
      <c r="K75" s="14">
        <v>4414</v>
      </c>
      <c r="L75" s="14">
        <v>3130</v>
      </c>
      <c r="M75" s="14">
        <v>2189</v>
      </c>
      <c r="N75" s="14">
        <v>2289</v>
      </c>
      <c r="O75" s="14">
        <v>4507</v>
      </c>
      <c r="P75" s="14">
        <v>4041</v>
      </c>
      <c r="Q75" s="14">
        <v>378</v>
      </c>
      <c r="R75" s="14">
        <v>2503</v>
      </c>
      <c r="S75" s="14">
        <v>1284</v>
      </c>
      <c r="T75" s="14">
        <v>2437</v>
      </c>
      <c r="U75" s="14">
        <v>2254</v>
      </c>
      <c r="V75" s="14">
        <v>1351</v>
      </c>
      <c r="W75" s="14">
        <v>5457</v>
      </c>
      <c r="X75" s="14">
        <v>6905</v>
      </c>
      <c r="Y75" s="14">
        <v>6085</v>
      </c>
      <c r="Z75" s="14">
        <v>8164</v>
      </c>
      <c r="AA75" s="14">
        <v>12568</v>
      </c>
      <c r="AB75" s="14">
        <v>50962</v>
      </c>
      <c r="AC75" s="14">
        <v>70969</v>
      </c>
      <c r="AD75" s="14">
        <v>42120</v>
      </c>
      <c r="AE75" s="14">
        <v>26353</v>
      </c>
      <c r="AF75" s="14">
        <v>38767</v>
      </c>
      <c r="AG75" s="14">
        <v>1592</v>
      </c>
      <c r="AH75" s="14">
        <v>35144</v>
      </c>
      <c r="AI75" s="14">
        <v>30043</v>
      </c>
      <c r="AJ75" s="14">
        <v>80092</v>
      </c>
      <c r="AK75" s="14">
        <v>56971</v>
      </c>
      <c r="AL75" s="14">
        <v>77249</v>
      </c>
      <c r="AM75" s="14">
        <v>103272</v>
      </c>
      <c r="AN75" s="14">
        <v>161409</v>
      </c>
      <c r="AO75" s="14">
        <v>156315</v>
      </c>
      <c r="AP75" s="14">
        <v>298834</v>
      </c>
      <c r="AQ75" s="14">
        <v>459889</v>
      </c>
      <c r="AR75" s="14">
        <v>393885</v>
      </c>
      <c r="AS75" s="14">
        <v>283299</v>
      </c>
      <c r="AT75" s="14">
        <v>220705</v>
      </c>
      <c r="AU75" s="14">
        <v>381493</v>
      </c>
      <c r="AV75" s="14">
        <v>450386</v>
      </c>
      <c r="AW75" s="14">
        <v>683245</v>
      </c>
      <c r="AX75" s="14">
        <v>605414</v>
      </c>
      <c r="AY75" s="14">
        <v>-165639</v>
      </c>
      <c r="AZ75" s="14">
        <v>1855</v>
      </c>
      <c r="BA75" s="14">
        <v>140939</v>
      </c>
      <c r="BB75" s="14">
        <v>-54462</v>
      </c>
      <c r="BC75" s="14">
        <v>196908</v>
      </c>
      <c r="BD75" s="14">
        <v>44303</v>
      </c>
    </row>
    <row r="76" spans="1:56">
      <c r="A76" s="14" t="s">
        <v>214</v>
      </c>
      <c r="B76" s="14" t="s">
        <v>587</v>
      </c>
      <c r="C76" s="14" t="s">
        <v>579</v>
      </c>
      <c r="D76" s="14" t="s">
        <v>579</v>
      </c>
      <c r="E76" s="14" t="s">
        <v>579</v>
      </c>
      <c r="F76" s="14" t="s">
        <v>579</v>
      </c>
      <c r="G76" s="14" t="s">
        <v>579</v>
      </c>
      <c r="H76" s="14" t="s">
        <v>579</v>
      </c>
      <c r="I76" s="14" t="s">
        <v>579</v>
      </c>
      <c r="J76" s="14" t="s">
        <v>579</v>
      </c>
      <c r="K76" s="14" t="s">
        <v>579</v>
      </c>
      <c r="L76" s="14" t="s">
        <v>579</v>
      </c>
      <c r="M76" s="14" t="s">
        <v>579</v>
      </c>
      <c r="N76" s="14" t="s">
        <v>579</v>
      </c>
      <c r="O76" s="14" t="s">
        <v>579</v>
      </c>
      <c r="P76" s="14" t="s">
        <v>579</v>
      </c>
      <c r="Q76" s="14">
        <v>986</v>
      </c>
      <c r="R76" s="14">
        <v>1200</v>
      </c>
      <c r="S76" s="14">
        <v>1321</v>
      </c>
      <c r="T76" s="14">
        <v>1451</v>
      </c>
      <c r="U76" s="14">
        <v>2239</v>
      </c>
      <c r="V76" s="14">
        <v>1702</v>
      </c>
      <c r="W76" s="14">
        <v>2773</v>
      </c>
      <c r="X76" s="14">
        <v>1559</v>
      </c>
      <c r="Y76" s="14">
        <v>2467</v>
      </c>
      <c r="Z76" s="14">
        <v>4105</v>
      </c>
      <c r="AA76" s="14">
        <v>2396</v>
      </c>
      <c r="AB76" s="14">
        <v>3316</v>
      </c>
      <c r="AC76" s="14">
        <v>2421</v>
      </c>
      <c r="AD76" s="14">
        <v>3866</v>
      </c>
      <c r="AE76" s="14">
        <v>4111</v>
      </c>
      <c r="AF76" s="14">
        <v>3749</v>
      </c>
      <c r="AG76" s="14">
        <v>16586</v>
      </c>
      <c r="AH76" s="14">
        <v>12813</v>
      </c>
      <c r="AI76" s="14">
        <v>11086</v>
      </c>
      <c r="AJ76" s="14">
        <v>16618</v>
      </c>
      <c r="AK76" s="14">
        <v>20585</v>
      </c>
      <c r="AL76" s="14">
        <v>8840</v>
      </c>
      <c r="AM76" s="14">
        <v>14151</v>
      </c>
      <c r="AN76" s="14">
        <v>22425</v>
      </c>
      <c r="AO76" s="14">
        <v>13847</v>
      </c>
      <c r="AP76" s="14">
        <v>24407</v>
      </c>
      <c r="AQ76" s="14">
        <v>-3357</v>
      </c>
      <c r="AR76" s="14">
        <v>23794</v>
      </c>
      <c r="AS76" s="14">
        <v>18861</v>
      </c>
      <c r="AT76" s="14">
        <v>10591</v>
      </c>
      <c r="AU76" s="14">
        <v>13301</v>
      </c>
      <c r="AV76" s="14">
        <v>8447</v>
      </c>
      <c r="AW76" s="14">
        <v>2227</v>
      </c>
      <c r="AX76" s="14">
        <v>-10675</v>
      </c>
      <c r="AY76" s="14">
        <v>29187</v>
      </c>
      <c r="AZ76" s="14">
        <v>12632</v>
      </c>
      <c r="BA76" s="14">
        <v>28319</v>
      </c>
      <c r="BB76" s="14">
        <v>54996</v>
      </c>
      <c r="BC76" s="14">
        <v>57141</v>
      </c>
      <c r="BD76" s="14">
        <v>37722</v>
      </c>
    </row>
    <row r="77" spans="1:56">
      <c r="A77" s="14" t="s">
        <v>213</v>
      </c>
      <c r="B77" s="14" t="s">
        <v>586</v>
      </c>
      <c r="C77" s="14">
        <v>-90</v>
      </c>
      <c r="D77" s="14">
        <v>226</v>
      </c>
      <c r="E77" s="14">
        <v>-110</v>
      </c>
      <c r="F77" s="14">
        <v>-37</v>
      </c>
      <c r="G77" s="14">
        <v>75</v>
      </c>
      <c r="H77" s="14">
        <v>178</v>
      </c>
      <c r="I77" s="14">
        <v>476</v>
      </c>
      <c r="J77" s="14">
        <v>584</v>
      </c>
      <c r="K77" s="14">
        <v>1475</v>
      </c>
      <c r="L77" s="14">
        <v>792</v>
      </c>
      <c r="M77" s="14">
        <v>2014</v>
      </c>
      <c r="N77" s="14">
        <v>369</v>
      </c>
      <c r="O77" s="14">
        <v>815</v>
      </c>
      <c r="P77" s="14">
        <v>1035</v>
      </c>
      <c r="Q77" s="14">
        <v>1844</v>
      </c>
      <c r="R77" s="14">
        <v>319</v>
      </c>
      <c r="S77" s="14">
        <v>-578</v>
      </c>
      <c r="T77" s="14">
        <v>1086</v>
      </c>
      <c r="U77" s="14">
        <v>1889</v>
      </c>
      <c r="V77" s="14">
        <v>1621</v>
      </c>
      <c r="W77" s="14">
        <v>6852</v>
      </c>
      <c r="X77" s="14">
        <v>917</v>
      </c>
      <c r="Y77" s="14">
        <v>-2383</v>
      </c>
      <c r="Z77" s="14">
        <v>-118</v>
      </c>
      <c r="AA77" s="14">
        <v>16626</v>
      </c>
      <c r="AB77" s="14">
        <v>9851</v>
      </c>
      <c r="AC77" s="14">
        <v>3325</v>
      </c>
      <c r="AD77" s="14">
        <v>18363</v>
      </c>
      <c r="AE77" s="14">
        <v>32893</v>
      </c>
      <c r="AF77" s="14">
        <v>22086</v>
      </c>
      <c r="AG77" s="14">
        <v>45133</v>
      </c>
      <c r="AH77" s="14">
        <v>-3115</v>
      </c>
      <c r="AI77" s="14">
        <v>13573</v>
      </c>
      <c r="AJ77" s="14">
        <v>10489</v>
      </c>
      <c r="AK77" s="14">
        <v>1302</v>
      </c>
      <c r="AL77" s="14">
        <v>59637</v>
      </c>
      <c r="AM77" s="14">
        <v>53736</v>
      </c>
      <c r="AN77" s="14">
        <v>116518</v>
      </c>
      <c r="AO77" s="14">
        <v>23140</v>
      </c>
      <c r="AP77" s="14">
        <v>76247</v>
      </c>
      <c r="AQ77" s="14">
        <v>170672</v>
      </c>
      <c r="AR77" s="14">
        <v>66110</v>
      </c>
      <c r="AS77" s="14">
        <v>95871</v>
      </c>
      <c r="AT77" s="14">
        <v>96526</v>
      </c>
      <c r="AU77" s="14">
        <v>165872</v>
      </c>
      <c r="AV77" s="14">
        <v>69572</v>
      </c>
      <c r="AW77" s="14">
        <v>244793</v>
      </c>
      <c r="AX77" s="14">
        <v>183221</v>
      </c>
      <c r="AY77" s="14">
        <v>-31475</v>
      </c>
      <c r="AZ77" s="14">
        <v>9536</v>
      </c>
      <c r="BA77" s="14">
        <v>67985</v>
      </c>
      <c r="BB77" s="14">
        <v>6053</v>
      </c>
      <c r="BC77" s="14">
        <v>-39505</v>
      </c>
      <c r="BD77" s="14">
        <v>-64819</v>
      </c>
    </row>
    <row r="78" spans="1:56">
      <c r="A78" s="14" t="s">
        <v>212</v>
      </c>
      <c r="B78" s="14" t="s">
        <v>585</v>
      </c>
      <c r="C78" s="14">
        <v>678</v>
      </c>
      <c r="D78" s="14">
        <v>928</v>
      </c>
      <c r="E78" s="14">
        <v>336</v>
      </c>
      <c r="F78" s="14">
        <v>898</v>
      </c>
      <c r="G78" s="14">
        <v>1818</v>
      </c>
      <c r="H78" s="14">
        <v>503</v>
      </c>
      <c r="I78" s="14">
        <v>2882</v>
      </c>
      <c r="J78" s="14">
        <v>1765</v>
      </c>
      <c r="K78" s="14">
        <v>3871</v>
      </c>
      <c r="L78" s="14">
        <v>8886</v>
      </c>
      <c r="M78" s="14">
        <v>-6298</v>
      </c>
      <c r="N78" s="14">
        <v>-6911</v>
      </c>
      <c r="O78" s="14">
        <v>4754</v>
      </c>
      <c r="P78" s="14">
        <v>4702</v>
      </c>
      <c r="Q78" s="14">
        <v>16017</v>
      </c>
      <c r="R78" s="14">
        <v>628</v>
      </c>
      <c r="S78" s="14">
        <v>10990</v>
      </c>
      <c r="T78" s="14">
        <v>6719</v>
      </c>
      <c r="U78" s="14">
        <v>16141</v>
      </c>
      <c r="V78" s="14">
        <v>32607</v>
      </c>
      <c r="W78" s="14">
        <v>10743</v>
      </c>
      <c r="X78" s="14">
        <v>42128</v>
      </c>
      <c r="Y78" s="14">
        <v>65633</v>
      </c>
      <c r="Z78" s="14">
        <v>50342</v>
      </c>
      <c r="AA78" s="14">
        <v>33849</v>
      </c>
      <c r="AB78" s="14">
        <v>41045</v>
      </c>
      <c r="AC78" s="14">
        <v>76737</v>
      </c>
      <c r="AD78" s="14">
        <v>86537</v>
      </c>
      <c r="AE78" s="14">
        <v>63744</v>
      </c>
      <c r="AF78" s="14">
        <v>51780</v>
      </c>
      <c r="AG78" s="14">
        <v>-3824</v>
      </c>
      <c r="AH78" s="14">
        <v>3994</v>
      </c>
      <c r="AI78" s="14">
        <v>16216</v>
      </c>
      <c r="AJ78" s="14">
        <v>25063</v>
      </c>
      <c r="AK78" s="14">
        <v>104338</v>
      </c>
      <c r="AL78" s="14">
        <v>30176</v>
      </c>
      <c r="AM78" s="14">
        <v>16478</v>
      </c>
      <c r="AN78" s="14">
        <v>149026</v>
      </c>
      <c r="AO78" s="14">
        <v>39769</v>
      </c>
      <c r="AP78" s="14">
        <v>54232</v>
      </c>
      <c r="AQ78" s="14">
        <v>116971</v>
      </c>
      <c r="AR78" s="14">
        <v>118379</v>
      </c>
      <c r="AS78" s="14">
        <v>96410</v>
      </c>
      <c r="AT78" s="14">
        <v>97207</v>
      </c>
      <c r="AU78" s="14">
        <v>335206</v>
      </c>
      <c r="AV78" s="14">
        <v>214736</v>
      </c>
      <c r="AW78" s="14">
        <v>462043</v>
      </c>
      <c r="AX78" s="14">
        <v>517628</v>
      </c>
      <c r="AY78" s="14">
        <v>-428337</v>
      </c>
      <c r="AZ78" s="14">
        <v>-324237</v>
      </c>
      <c r="BA78" s="14">
        <v>194177</v>
      </c>
      <c r="BB78" s="14">
        <v>290334</v>
      </c>
      <c r="BC78" s="14">
        <v>-387378</v>
      </c>
      <c r="BD78" s="14">
        <v>209536</v>
      </c>
    </row>
    <row r="79" spans="1:56">
      <c r="A79" s="14" t="s">
        <v>211</v>
      </c>
      <c r="B79" s="10" t="s">
        <v>584</v>
      </c>
      <c r="C79" s="14" t="s">
        <v>583</v>
      </c>
      <c r="D79" s="14" t="s">
        <v>583</v>
      </c>
      <c r="E79" s="14" t="s">
        <v>583</v>
      </c>
      <c r="F79" s="14" t="s">
        <v>583</v>
      </c>
      <c r="G79" s="14" t="s">
        <v>583</v>
      </c>
      <c r="H79" s="14" t="s">
        <v>583</v>
      </c>
      <c r="I79" s="14" t="s">
        <v>583</v>
      </c>
      <c r="J79" s="14" t="s">
        <v>583</v>
      </c>
      <c r="K79" s="14" t="s">
        <v>583</v>
      </c>
      <c r="L79" s="14" t="s">
        <v>583</v>
      </c>
      <c r="M79" s="14" t="s">
        <v>583</v>
      </c>
      <c r="N79" s="14" t="s">
        <v>583</v>
      </c>
      <c r="O79" s="14" t="s">
        <v>583</v>
      </c>
      <c r="P79" s="14" t="s">
        <v>583</v>
      </c>
      <c r="Q79" s="14" t="s">
        <v>583</v>
      </c>
      <c r="R79" s="14" t="s">
        <v>583</v>
      </c>
      <c r="S79" s="14" t="s">
        <v>583</v>
      </c>
      <c r="T79" s="14" t="s">
        <v>583</v>
      </c>
      <c r="U79" s="14" t="s">
        <v>583</v>
      </c>
      <c r="V79" s="14" t="s">
        <v>583</v>
      </c>
      <c r="W79" s="14" t="s">
        <v>583</v>
      </c>
      <c r="X79" s="14" t="s">
        <v>583</v>
      </c>
      <c r="Y79" s="14" t="s">
        <v>583</v>
      </c>
      <c r="Z79" s="14" t="s">
        <v>583</v>
      </c>
      <c r="AA79" s="14" t="s">
        <v>583</v>
      </c>
      <c r="AB79" s="14" t="s">
        <v>583</v>
      </c>
      <c r="AC79" s="14" t="s">
        <v>583</v>
      </c>
      <c r="AD79" s="14" t="s">
        <v>583</v>
      </c>
      <c r="AE79" s="14" t="s">
        <v>583</v>
      </c>
      <c r="AF79" s="14" t="s">
        <v>583</v>
      </c>
      <c r="AG79" s="14" t="s">
        <v>583</v>
      </c>
      <c r="AH79" s="14" t="s">
        <v>583</v>
      </c>
      <c r="AI79" s="14" t="s">
        <v>583</v>
      </c>
      <c r="AJ79" s="14" t="s">
        <v>583</v>
      </c>
      <c r="AK79" s="14" t="s">
        <v>583</v>
      </c>
      <c r="AL79" s="14" t="s">
        <v>583</v>
      </c>
      <c r="AM79" s="14" t="s">
        <v>583</v>
      </c>
      <c r="AN79" s="14" t="s">
        <v>583</v>
      </c>
      <c r="AO79" s="14" t="s">
        <v>583</v>
      </c>
      <c r="AP79" s="14" t="s">
        <v>583</v>
      </c>
      <c r="AQ79" s="14" t="s">
        <v>583</v>
      </c>
      <c r="AR79" s="14" t="s">
        <v>583</v>
      </c>
      <c r="AS79" s="14" t="s">
        <v>583</v>
      </c>
      <c r="AT79" s="14" t="s">
        <v>583</v>
      </c>
      <c r="AU79" s="14" t="s">
        <v>583</v>
      </c>
      <c r="AV79" s="14" t="s">
        <v>583</v>
      </c>
      <c r="AW79" s="14">
        <v>29710</v>
      </c>
      <c r="AX79" s="14">
        <v>6222</v>
      </c>
      <c r="AY79" s="14">
        <v>-32947</v>
      </c>
      <c r="AZ79" s="14">
        <v>44816</v>
      </c>
      <c r="BA79" s="14">
        <v>14076</v>
      </c>
      <c r="BB79" s="14">
        <v>35006</v>
      </c>
      <c r="BC79" s="14">
        <v>-7064</v>
      </c>
      <c r="BD79" s="14">
        <v>-1850</v>
      </c>
    </row>
    <row r="80" spans="1:56">
      <c r="A80" s="14" t="s">
        <v>210</v>
      </c>
      <c r="B80" s="10" t="s">
        <v>582</v>
      </c>
      <c r="C80" s="14">
        <v>-1019</v>
      </c>
      <c r="D80" s="14">
        <v>-989</v>
      </c>
      <c r="E80" s="14">
        <v>-1124</v>
      </c>
      <c r="F80" s="14">
        <v>-360</v>
      </c>
      <c r="G80" s="14">
        <v>-907</v>
      </c>
      <c r="H80" s="14">
        <v>-457</v>
      </c>
      <c r="I80" s="14">
        <v>629</v>
      </c>
      <c r="J80" s="14">
        <v>-205</v>
      </c>
      <c r="K80" s="14">
        <v>438</v>
      </c>
      <c r="L80" s="14">
        <v>-1516</v>
      </c>
      <c r="M80" s="14">
        <v>-219</v>
      </c>
      <c r="N80" s="14">
        <v>-9779</v>
      </c>
      <c r="O80" s="14">
        <v>-1879</v>
      </c>
      <c r="P80" s="14">
        <v>-2654</v>
      </c>
      <c r="Q80" s="14">
        <v>-2444</v>
      </c>
      <c r="R80" s="14">
        <v>4717</v>
      </c>
      <c r="S80" s="14">
        <v>9134</v>
      </c>
      <c r="T80" s="14">
        <v>-3650</v>
      </c>
      <c r="U80" s="14">
        <v>9997</v>
      </c>
      <c r="V80" s="14">
        <v>25647</v>
      </c>
      <c r="W80" s="14">
        <v>22613</v>
      </c>
      <c r="X80" s="14">
        <v>23433</v>
      </c>
      <c r="Y80" s="14">
        <v>38362</v>
      </c>
      <c r="Z80" s="14">
        <v>17666</v>
      </c>
      <c r="AA80" s="14">
        <v>18672</v>
      </c>
      <c r="AB80" s="14">
        <v>18677</v>
      </c>
      <c r="AC80" s="14">
        <v>30570</v>
      </c>
      <c r="AD80" s="14">
        <v>-7149</v>
      </c>
      <c r="AE80" s="14">
        <v>-17107</v>
      </c>
      <c r="AF80" s="14">
        <v>52299</v>
      </c>
      <c r="AG80" s="14">
        <v>28066</v>
      </c>
      <c r="AH80" s="14">
        <v>-41601</v>
      </c>
      <c r="AI80" s="14">
        <v>-43775</v>
      </c>
      <c r="AJ80" s="14">
        <v>6314</v>
      </c>
      <c r="AK80" s="14">
        <v>-1514</v>
      </c>
      <c r="AL80" s="14">
        <v>30951</v>
      </c>
      <c r="AM80" s="14">
        <v>-9705</v>
      </c>
      <c r="AN80" s="14">
        <v>-77995</v>
      </c>
      <c r="AO80" s="14">
        <v>148105</v>
      </c>
      <c r="AP80" s="14">
        <v>66806</v>
      </c>
      <c r="AQ80" s="14">
        <v>-61382</v>
      </c>
      <c r="AR80" s="14">
        <v>-16755</v>
      </c>
      <c r="AS80" s="14">
        <v>-42574</v>
      </c>
      <c r="AT80" s="14">
        <v>-12401</v>
      </c>
      <c r="AU80" s="14">
        <v>93947</v>
      </c>
      <c r="AV80" s="14">
        <v>25964</v>
      </c>
      <c r="AW80" s="14">
        <v>-8884</v>
      </c>
      <c r="AX80" s="14">
        <v>95745</v>
      </c>
      <c r="AY80" s="14">
        <v>-55235</v>
      </c>
      <c r="AZ80" s="14">
        <v>150757</v>
      </c>
      <c r="BA80" s="14">
        <v>11585</v>
      </c>
      <c r="BB80" s="14">
        <v>-92771</v>
      </c>
      <c r="BC80" s="14">
        <v>-5891</v>
      </c>
      <c r="BD80" s="14">
        <v>28456</v>
      </c>
    </row>
    <row r="81" spans="1:56">
      <c r="A81" s="14" t="s">
        <v>581</v>
      </c>
      <c r="B81" s="14" t="s">
        <v>580</v>
      </c>
      <c r="C81" s="14" t="s">
        <v>579</v>
      </c>
      <c r="D81" s="14" t="s">
        <v>579</v>
      </c>
      <c r="E81" s="14" t="s">
        <v>579</v>
      </c>
      <c r="F81" s="14" t="s">
        <v>579</v>
      </c>
      <c r="G81" s="14" t="s">
        <v>579</v>
      </c>
      <c r="H81" s="14" t="s">
        <v>579</v>
      </c>
      <c r="I81" s="14" t="s">
        <v>579</v>
      </c>
      <c r="J81" s="14" t="s">
        <v>579</v>
      </c>
      <c r="K81" s="14" t="s">
        <v>579</v>
      </c>
      <c r="L81" s="14" t="s">
        <v>579</v>
      </c>
      <c r="M81" s="14" t="s">
        <v>579</v>
      </c>
      <c r="N81" s="14" t="s">
        <v>579</v>
      </c>
      <c r="O81" s="14" t="s">
        <v>579</v>
      </c>
      <c r="P81" s="14" t="s">
        <v>579</v>
      </c>
      <c r="Q81" s="14" t="s">
        <v>579</v>
      </c>
      <c r="R81" s="14" t="s">
        <v>579</v>
      </c>
      <c r="S81" s="14" t="s">
        <v>579</v>
      </c>
      <c r="T81" s="14" t="s">
        <v>579</v>
      </c>
      <c r="U81" s="14" t="s">
        <v>579</v>
      </c>
      <c r="V81" s="14" t="s">
        <v>579</v>
      </c>
      <c r="W81" s="14" t="s">
        <v>579</v>
      </c>
      <c r="X81" s="14" t="s">
        <v>579</v>
      </c>
      <c r="Y81" s="14" t="s">
        <v>579</v>
      </c>
      <c r="Z81" s="14" t="s">
        <v>579</v>
      </c>
      <c r="AA81" s="14" t="s">
        <v>579</v>
      </c>
      <c r="AB81" s="14" t="s">
        <v>579</v>
      </c>
      <c r="AC81" s="14" t="s">
        <v>579</v>
      </c>
      <c r="AD81" s="14" t="s">
        <v>579</v>
      </c>
      <c r="AE81" s="14" t="s">
        <v>579</v>
      </c>
      <c r="AF81" s="14" t="s">
        <v>579</v>
      </c>
      <c r="AG81" s="14" t="s">
        <v>579</v>
      </c>
      <c r="AH81" s="14" t="s">
        <v>579</v>
      </c>
      <c r="AI81" s="14" t="s">
        <v>579</v>
      </c>
      <c r="AJ81" s="14" t="s">
        <v>579</v>
      </c>
      <c r="AK81" s="14" t="s">
        <v>579</v>
      </c>
      <c r="AL81" s="14" t="s">
        <v>579</v>
      </c>
      <c r="AM81" s="14" t="s">
        <v>579</v>
      </c>
      <c r="AN81" s="14" t="s">
        <v>579</v>
      </c>
      <c r="AO81" s="14" t="s">
        <v>579</v>
      </c>
      <c r="AP81" s="14" t="s">
        <v>579</v>
      </c>
      <c r="AQ81" s="14" t="s">
        <v>579</v>
      </c>
      <c r="AR81" s="14" t="s">
        <v>579</v>
      </c>
      <c r="AS81" s="14" t="s">
        <v>579</v>
      </c>
      <c r="AT81" s="14" t="s">
        <v>579</v>
      </c>
      <c r="AU81" s="14" t="s">
        <v>579</v>
      </c>
      <c r="AV81" s="14" t="s">
        <v>579</v>
      </c>
      <c r="AW81" s="14" t="s">
        <v>579</v>
      </c>
      <c r="AX81" s="14" t="s">
        <v>579</v>
      </c>
      <c r="AY81" s="14" t="s">
        <v>579</v>
      </c>
      <c r="AZ81" s="14" t="s">
        <v>579</v>
      </c>
      <c r="BA81" s="14" t="s">
        <v>579</v>
      </c>
      <c r="BB81" s="14" t="s">
        <v>579</v>
      </c>
      <c r="BC81" s="14" t="s">
        <v>579</v>
      </c>
      <c r="BD81" s="14" t="s">
        <v>579</v>
      </c>
    </row>
    <row r="82" spans="1:56">
      <c r="A82" s="14" t="s">
        <v>32</v>
      </c>
      <c r="B82" s="10" t="s">
        <v>578</v>
      </c>
      <c r="C82" s="14" t="s">
        <v>0</v>
      </c>
      <c r="D82" s="14" t="s">
        <v>0</v>
      </c>
      <c r="E82" s="14" t="s">
        <v>0</v>
      </c>
      <c r="F82" s="14" t="s">
        <v>0</v>
      </c>
      <c r="G82" s="14" t="s">
        <v>0</v>
      </c>
      <c r="H82" s="14" t="s">
        <v>0</v>
      </c>
      <c r="I82" s="14" t="s">
        <v>0</v>
      </c>
      <c r="J82" s="14" t="s">
        <v>0</v>
      </c>
      <c r="K82" s="14" t="s">
        <v>0</v>
      </c>
      <c r="L82" s="14" t="s">
        <v>0</v>
      </c>
      <c r="M82" s="14" t="s">
        <v>0</v>
      </c>
      <c r="N82" s="14" t="s">
        <v>0</v>
      </c>
      <c r="O82" s="14" t="s">
        <v>0</v>
      </c>
      <c r="P82" s="14" t="s">
        <v>0</v>
      </c>
      <c r="Q82" s="14" t="s">
        <v>0</v>
      </c>
      <c r="R82" s="14" t="s">
        <v>0</v>
      </c>
      <c r="S82" s="14" t="s">
        <v>0</v>
      </c>
      <c r="T82" s="14" t="s">
        <v>0</v>
      </c>
      <c r="U82" s="14" t="s">
        <v>0</v>
      </c>
      <c r="V82" s="14" t="s">
        <v>0</v>
      </c>
      <c r="W82" s="14" t="s">
        <v>0</v>
      </c>
      <c r="X82" s="14" t="s">
        <v>0</v>
      </c>
      <c r="Y82" s="14" t="s">
        <v>0</v>
      </c>
      <c r="Z82" s="14" t="s">
        <v>0</v>
      </c>
      <c r="AA82" s="14" t="s">
        <v>0</v>
      </c>
      <c r="AB82" s="14" t="s">
        <v>0</v>
      </c>
      <c r="AC82" s="14" t="s">
        <v>0</v>
      </c>
      <c r="AD82" s="14" t="s">
        <v>0</v>
      </c>
      <c r="AE82" s="14" t="s">
        <v>0</v>
      </c>
      <c r="AF82" s="14" t="s">
        <v>0</v>
      </c>
      <c r="AG82" s="14" t="s">
        <v>0</v>
      </c>
      <c r="AH82" s="14" t="s">
        <v>0</v>
      </c>
      <c r="AI82" s="14" t="s">
        <v>0</v>
      </c>
      <c r="AJ82" s="14" t="s">
        <v>0</v>
      </c>
      <c r="AK82" s="14" t="s">
        <v>0</v>
      </c>
      <c r="AL82" s="14" t="s">
        <v>0</v>
      </c>
      <c r="AM82" s="14" t="s">
        <v>0</v>
      </c>
      <c r="AN82" s="14" t="s">
        <v>0</v>
      </c>
      <c r="AO82" s="14" t="s">
        <v>0</v>
      </c>
      <c r="AP82" s="14" t="s">
        <v>0</v>
      </c>
      <c r="AQ82" s="14" t="s">
        <v>0</v>
      </c>
      <c r="AR82" s="14" t="s">
        <v>0</v>
      </c>
      <c r="AS82" s="14" t="s">
        <v>0</v>
      </c>
      <c r="AT82" s="14" t="s">
        <v>0</v>
      </c>
      <c r="AU82" s="14" t="s">
        <v>0</v>
      </c>
      <c r="AV82" s="14" t="s">
        <v>0</v>
      </c>
      <c r="AW82" s="14" t="s">
        <v>0</v>
      </c>
      <c r="AX82" s="14" t="s">
        <v>0</v>
      </c>
      <c r="AY82" s="14" t="s">
        <v>0</v>
      </c>
      <c r="AZ82" s="14" t="s">
        <v>0</v>
      </c>
      <c r="BA82" s="14" t="s">
        <v>0</v>
      </c>
      <c r="BB82" s="14" t="s">
        <v>0</v>
      </c>
      <c r="BC82" s="14" t="s">
        <v>0</v>
      </c>
      <c r="BD82" s="14" t="s">
        <v>0</v>
      </c>
    </row>
    <row r="83" spans="1:56">
      <c r="A83" s="14" t="s">
        <v>209</v>
      </c>
      <c r="B83" s="14" t="s">
        <v>577</v>
      </c>
      <c r="C83" s="14">
        <v>4892</v>
      </c>
      <c r="D83" s="14">
        <v>5571</v>
      </c>
      <c r="E83" s="14">
        <v>4521</v>
      </c>
      <c r="F83" s="14">
        <v>5224</v>
      </c>
      <c r="G83" s="14">
        <v>6801</v>
      </c>
      <c r="H83" s="14">
        <v>4951</v>
      </c>
      <c r="I83" s="14">
        <v>3817</v>
      </c>
      <c r="J83" s="14">
        <v>3800</v>
      </c>
      <c r="K83" s="14">
        <v>635</v>
      </c>
      <c r="L83" s="14">
        <v>607</v>
      </c>
      <c r="M83" s="14">
        <v>2603</v>
      </c>
      <c r="N83" s="14">
        <v>-2260</v>
      </c>
      <c r="O83" s="14">
        <v>-6416</v>
      </c>
      <c r="P83" s="14">
        <v>911</v>
      </c>
      <c r="Q83" s="14">
        <v>-5505</v>
      </c>
      <c r="R83" s="14">
        <v>8903</v>
      </c>
      <c r="S83" s="14">
        <v>-9483</v>
      </c>
      <c r="T83" s="14">
        <v>-31091</v>
      </c>
      <c r="U83" s="14">
        <v>-33927</v>
      </c>
      <c r="V83" s="14">
        <v>-27568</v>
      </c>
      <c r="W83" s="14">
        <v>-25500</v>
      </c>
      <c r="X83" s="14">
        <v>-28023</v>
      </c>
      <c r="Y83" s="14">
        <v>-36485</v>
      </c>
      <c r="Z83" s="14">
        <v>-67102</v>
      </c>
      <c r="AA83" s="14">
        <v>-112492</v>
      </c>
      <c r="AB83" s="14">
        <v>-122173</v>
      </c>
      <c r="AC83" s="14">
        <v>-145081</v>
      </c>
      <c r="AD83" s="14">
        <v>-159557</v>
      </c>
      <c r="AE83" s="14">
        <v>-126959</v>
      </c>
      <c r="AF83" s="14">
        <v>-117749</v>
      </c>
      <c r="AG83" s="14">
        <v>-111037</v>
      </c>
      <c r="AH83" s="14">
        <v>-76937</v>
      </c>
      <c r="AI83" s="14">
        <v>-96897</v>
      </c>
      <c r="AJ83" s="14">
        <v>-132451</v>
      </c>
      <c r="AK83" s="14">
        <v>-165831</v>
      </c>
      <c r="AL83" s="14">
        <v>-174170</v>
      </c>
      <c r="AM83" s="14">
        <v>-191000</v>
      </c>
      <c r="AN83" s="14">
        <v>-198428</v>
      </c>
      <c r="AO83" s="14">
        <v>-248221</v>
      </c>
      <c r="AP83" s="14">
        <v>-337374</v>
      </c>
      <c r="AQ83" s="14">
        <v>-446942</v>
      </c>
      <c r="AR83" s="14">
        <v>-422512</v>
      </c>
      <c r="AS83" s="14">
        <v>-475842</v>
      </c>
      <c r="AT83" s="14">
        <v>-542273</v>
      </c>
      <c r="AU83" s="14">
        <v>-666364</v>
      </c>
      <c r="AV83" s="14">
        <v>-784133</v>
      </c>
      <c r="AW83" s="14">
        <v>-838788</v>
      </c>
      <c r="AX83" s="14">
        <v>-822743</v>
      </c>
      <c r="AY83" s="14">
        <v>-833957</v>
      </c>
      <c r="AZ83" s="14">
        <v>-510550</v>
      </c>
      <c r="BA83" s="14">
        <v>-650156</v>
      </c>
      <c r="BB83" s="14">
        <v>-744139</v>
      </c>
      <c r="BC83" s="14">
        <v>-741475</v>
      </c>
      <c r="BD83" s="14">
        <v>-703910</v>
      </c>
    </row>
    <row r="84" spans="1:56">
      <c r="A84" s="14" t="s">
        <v>208</v>
      </c>
      <c r="B84" s="14" t="s">
        <v>576</v>
      </c>
      <c r="C84" s="14">
        <v>-1385</v>
      </c>
      <c r="D84" s="14">
        <v>-1376</v>
      </c>
      <c r="E84" s="14">
        <v>-1151</v>
      </c>
      <c r="F84" s="14">
        <v>-1014</v>
      </c>
      <c r="G84" s="14">
        <v>-779</v>
      </c>
      <c r="H84" s="14">
        <v>-287</v>
      </c>
      <c r="I84" s="14">
        <v>-877</v>
      </c>
      <c r="J84" s="14">
        <v>-1196</v>
      </c>
      <c r="K84" s="14">
        <v>-385</v>
      </c>
      <c r="L84" s="14">
        <v>-516</v>
      </c>
      <c r="M84" s="14">
        <v>-349</v>
      </c>
      <c r="N84" s="14">
        <v>957</v>
      </c>
      <c r="O84" s="14">
        <v>973</v>
      </c>
      <c r="P84" s="14">
        <v>989</v>
      </c>
      <c r="Q84" s="14">
        <v>1213</v>
      </c>
      <c r="R84" s="14">
        <v>3501</v>
      </c>
      <c r="S84" s="14">
        <v>3401</v>
      </c>
      <c r="T84" s="14">
        <v>3845</v>
      </c>
      <c r="U84" s="14">
        <v>4164</v>
      </c>
      <c r="V84" s="14">
        <v>3003</v>
      </c>
      <c r="W84" s="14">
        <v>6093</v>
      </c>
      <c r="X84" s="14">
        <v>11852</v>
      </c>
      <c r="Y84" s="14">
        <v>12329</v>
      </c>
      <c r="Z84" s="14">
        <v>9335</v>
      </c>
      <c r="AA84" s="14">
        <v>3419</v>
      </c>
      <c r="AB84" s="14">
        <v>294</v>
      </c>
      <c r="AC84" s="14">
        <v>6543</v>
      </c>
      <c r="AD84" s="14">
        <v>7874</v>
      </c>
      <c r="AE84" s="14">
        <v>12393</v>
      </c>
      <c r="AF84" s="14">
        <v>24607</v>
      </c>
      <c r="AG84" s="14">
        <v>30173</v>
      </c>
      <c r="AH84" s="14">
        <v>45802</v>
      </c>
      <c r="AI84" s="14">
        <v>57685</v>
      </c>
      <c r="AJ84" s="14">
        <v>62141</v>
      </c>
      <c r="AK84" s="14">
        <v>67338</v>
      </c>
      <c r="AL84" s="14">
        <v>77786</v>
      </c>
      <c r="AM84" s="14">
        <v>86935</v>
      </c>
      <c r="AN84" s="14">
        <v>90155</v>
      </c>
      <c r="AO84" s="14">
        <v>82081</v>
      </c>
      <c r="AP84" s="14">
        <v>73618</v>
      </c>
      <c r="AQ84" s="14">
        <v>69605</v>
      </c>
      <c r="AR84" s="14">
        <v>60173</v>
      </c>
      <c r="AS84" s="14">
        <v>57678</v>
      </c>
      <c r="AT84" s="14">
        <v>51728</v>
      </c>
      <c r="AU84" s="14">
        <v>61466</v>
      </c>
      <c r="AV84" s="14">
        <v>76219</v>
      </c>
      <c r="AW84" s="14">
        <v>86389</v>
      </c>
      <c r="AX84" s="14">
        <v>123677</v>
      </c>
      <c r="AY84" s="14">
        <v>131655</v>
      </c>
      <c r="AZ84" s="14">
        <v>126893</v>
      </c>
      <c r="BA84" s="14">
        <v>150777</v>
      </c>
      <c r="BB84" s="14">
        <v>187301</v>
      </c>
      <c r="BC84" s="14">
        <v>206819</v>
      </c>
      <c r="BD84" s="14">
        <v>229046</v>
      </c>
    </row>
    <row r="85" spans="1:56">
      <c r="A85" s="14" t="s">
        <v>207</v>
      </c>
      <c r="B85" s="14" t="s">
        <v>575</v>
      </c>
      <c r="C85" s="14">
        <v>3508</v>
      </c>
      <c r="D85" s="14">
        <v>4195</v>
      </c>
      <c r="E85" s="14">
        <v>3370</v>
      </c>
      <c r="F85" s="14">
        <v>4210</v>
      </c>
      <c r="G85" s="14">
        <v>6022</v>
      </c>
      <c r="H85" s="14">
        <v>4664</v>
      </c>
      <c r="I85" s="14">
        <v>2940</v>
      </c>
      <c r="J85" s="14">
        <v>2604</v>
      </c>
      <c r="K85" s="14">
        <v>250</v>
      </c>
      <c r="L85" s="14">
        <v>91</v>
      </c>
      <c r="M85" s="14">
        <v>2254</v>
      </c>
      <c r="N85" s="14">
        <v>-1303</v>
      </c>
      <c r="O85" s="14">
        <v>-5443</v>
      </c>
      <c r="P85" s="14">
        <v>1900</v>
      </c>
      <c r="Q85" s="14">
        <v>-4292</v>
      </c>
      <c r="R85" s="14">
        <v>12404</v>
      </c>
      <c r="S85" s="14">
        <v>-6082</v>
      </c>
      <c r="T85" s="14">
        <v>-27246</v>
      </c>
      <c r="U85" s="14">
        <v>-29763</v>
      </c>
      <c r="V85" s="14">
        <v>-24565</v>
      </c>
      <c r="W85" s="14">
        <v>-19407</v>
      </c>
      <c r="X85" s="14">
        <v>-16172</v>
      </c>
      <c r="Y85" s="14">
        <v>-24156</v>
      </c>
      <c r="Z85" s="14">
        <v>-57767</v>
      </c>
      <c r="AA85" s="14">
        <v>-109073</v>
      </c>
      <c r="AB85" s="14">
        <v>-121880</v>
      </c>
      <c r="AC85" s="14">
        <v>-138538</v>
      </c>
      <c r="AD85" s="14">
        <v>-151684</v>
      </c>
      <c r="AE85" s="14">
        <v>-114566</v>
      </c>
      <c r="AF85" s="14">
        <v>-93142</v>
      </c>
      <c r="AG85" s="14">
        <v>-80864</v>
      </c>
      <c r="AH85" s="14">
        <v>-31135</v>
      </c>
      <c r="AI85" s="14">
        <v>-39212</v>
      </c>
      <c r="AJ85" s="14">
        <v>-70310</v>
      </c>
      <c r="AK85" s="14">
        <v>-98493</v>
      </c>
      <c r="AL85" s="14">
        <v>-96384</v>
      </c>
      <c r="AM85" s="14">
        <v>-104065</v>
      </c>
      <c r="AN85" s="14">
        <v>-108273</v>
      </c>
      <c r="AO85" s="14">
        <v>-166140</v>
      </c>
      <c r="AP85" s="14">
        <v>-263755</v>
      </c>
      <c r="AQ85" s="14">
        <v>-377337</v>
      </c>
      <c r="AR85" s="14">
        <v>-362339</v>
      </c>
      <c r="AS85" s="14">
        <v>-418165</v>
      </c>
      <c r="AT85" s="14">
        <v>-490545</v>
      </c>
      <c r="AU85" s="14">
        <v>-604897</v>
      </c>
      <c r="AV85" s="14">
        <v>-707914</v>
      </c>
      <c r="AW85" s="14">
        <v>-752399</v>
      </c>
      <c r="AX85" s="14">
        <v>-699065</v>
      </c>
      <c r="AY85" s="14">
        <v>-702302</v>
      </c>
      <c r="AZ85" s="14">
        <v>-383657</v>
      </c>
      <c r="BA85" s="14">
        <v>-499379</v>
      </c>
      <c r="BB85" s="14">
        <v>-556838</v>
      </c>
      <c r="BC85" s="14">
        <v>-534656</v>
      </c>
      <c r="BD85" s="14">
        <v>-474864</v>
      </c>
    </row>
    <row r="86" spans="1:56">
      <c r="A86" s="14" t="s">
        <v>206</v>
      </c>
      <c r="B86" s="14" t="s">
        <v>574</v>
      </c>
      <c r="C86" s="14">
        <v>3379</v>
      </c>
      <c r="D86" s="14">
        <v>3755</v>
      </c>
      <c r="E86" s="14">
        <v>4294</v>
      </c>
      <c r="F86" s="14">
        <v>4596</v>
      </c>
      <c r="G86" s="14">
        <v>5041</v>
      </c>
      <c r="H86" s="14">
        <v>5350</v>
      </c>
      <c r="I86" s="14">
        <v>5047</v>
      </c>
      <c r="J86" s="14">
        <v>5274</v>
      </c>
      <c r="K86" s="14">
        <v>5990</v>
      </c>
      <c r="L86" s="14">
        <v>6044</v>
      </c>
      <c r="M86" s="14">
        <v>6233</v>
      </c>
      <c r="N86" s="14">
        <v>7272</v>
      </c>
      <c r="O86" s="14">
        <v>8192</v>
      </c>
      <c r="P86" s="14">
        <v>12153</v>
      </c>
      <c r="Q86" s="14">
        <v>15503</v>
      </c>
      <c r="R86" s="14">
        <v>12787</v>
      </c>
      <c r="S86" s="14">
        <v>16063</v>
      </c>
      <c r="T86" s="14">
        <v>18137</v>
      </c>
      <c r="U86" s="14">
        <v>20408</v>
      </c>
      <c r="V86" s="14">
        <v>30873</v>
      </c>
      <c r="W86" s="14">
        <v>30073</v>
      </c>
      <c r="X86" s="14">
        <v>32903</v>
      </c>
      <c r="Y86" s="14">
        <v>35164</v>
      </c>
      <c r="Z86" s="14">
        <v>36386</v>
      </c>
      <c r="AA86" s="14">
        <v>35063</v>
      </c>
      <c r="AB86" s="14">
        <v>25723</v>
      </c>
      <c r="AC86" s="14">
        <v>15494</v>
      </c>
      <c r="AD86" s="14">
        <v>14293</v>
      </c>
      <c r="AE86" s="14">
        <v>18687</v>
      </c>
      <c r="AF86" s="14">
        <v>19824</v>
      </c>
      <c r="AG86" s="14">
        <v>28550</v>
      </c>
      <c r="AH86" s="14">
        <v>24130</v>
      </c>
      <c r="AI86" s="14">
        <v>24234</v>
      </c>
      <c r="AJ86" s="14">
        <v>25316</v>
      </c>
      <c r="AK86" s="14">
        <v>17146</v>
      </c>
      <c r="AL86" s="14">
        <v>20891</v>
      </c>
      <c r="AM86" s="14">
        <v>22318</v>
      </c>
      <c r="AN86" s="14">
        <v>12609</v>
      </c>
      <c r="AO86" s="14">
        <v>4265</v>
      </c>
      <c r="AP86" s="14">
        <v>11931</v>
      </c>
      <c r="AQ86" s="14">
        <v>19178</v>
      </c>
      <c r="AR86" s="14">
        <v>29728</v>
      </c>
      <c r="AS86" s="14">
        <v>25175</v>
      </c>
      <c r="AT86" s="14">
        <v>42760</v>
      </c>
      <c r="AU86" s="14">
        <v>64129</v>
      </c>
      <c r="AV86" s="14">
        <v>67630</v>
      </c>
      <c r="AW86" s="14">
        <v>43338</v>
      </c>
      <c r="AX86" s="14">
        <v>100606</v>
      </c>
      <c r="AY86" s="14">
        <v>146144</v>
      </c>
      <c r="AZ86" s="14">
        <v>123580</v>
      </c>
      <c r="BA86" s="14">
        <v>177659</v>
      </c>
      <c r="BB86" s="14">
        <v>232648</v>
      </c>
      <c r="BC86" s="14">
        <v>223928</v>
      </c>
      <c r="BD86" s="14">
        <v>228765</v>
      </c>
    </row>
    <row r="87" spans="1:56">
      <c r="A87" s="14" t="s">
        <v>204</v>
      </c>
      <c r="B87" s="14" t="s">
        <v>573</v>
      </c>
      <c r="C87" s="14">
        <v>-4062</v>
      </c>
      <c r="D87" s="14">
        <v>-4127</v>
      </c>
      <c r="E87" s="14">
        <v>-4277</v>
      </c>
      <c r="F87" s="14">
        <v>-4392</v>
      </c>
      <c r="G87" s="14">
        <v>-4240</v>
      </c>
      <c r="H87" s="14">
        <v>-4583</v>
      </c>
      <c r="I87" s="14">
        <v>-4955</v>
      </c>
      <c r="J87" s="14">
        <v>-5294</v>
      </c>
      <c r="K87" s="14">
        <v>-5629</v>
      </c>
      <c r="L87" s="14">
        <v>-5735</v>
      </c>
      <c r="M87" s="14">
        <v>-6156</v>
      </c>
      <c r="N87" s="14">
        <v>-7402</v>
      </c>
      <c r="O87" s="14">
        <v>-8544</v>
      </c>
      <c r="P87" s="14">
        <v>-6913</v>
      </c>
      <c r="Q87" s="14">
        <v>-9249</v>
      </c>
      <c r="R87" s="14">
        <v>-7075</v>
      </c>
      <c r="S87" s="14">
        <v>-5686</v>
      </c>
      <c r="T87" s="14">
        <v>-5226</v>
      </c>
      <c r="U87" s="14">
        <v>-5788</v>
      </c>
      <c r="V87" s="14">
        <v>-6593</v>
      </c>
      <c r="W87" s="14">
        <v>-8349</v>
      </c>
      <c r="X87" s="14">
        <v>-11702</v>
      </c>
      <c r="Y87" s="14">
        <v>-16544</v>
      </c>
      <c r="Z87" s="14">
        <v>-17310</v>
      </c>
      <c r="AA87" s="14">
        <v>-20335</v>
      </c>
      <c r="AB87" s="14">
        <v>-21998</v>
      </c>
      <c r="AC87" s="14">
        <v>-24132</v>
      </c>
      <c r="AD87" s="14">
        <v>-23265</v>
      </c>
      <c r="AE87" s="14">
        <v>-25274</v>
      </c>
      <c r="AF87" s="14">
        <v>-26169</v>
      </c>
      <c r="AG87" s="14">
        <v>-26654</v>
      </c>
      <c r="AH87" s="14">
        <v>9904</v>
      </c>
      <c r="AI87" s="14">
        <v>-36636</v>
      </c>
      <c r="AJ87" s="14">
        <v>-39812</v>
      </c>
      <c r="AK87" s="14">
        <v>-40265</v>
      </c>
      <c r="AL87" s="14">
        <v>-38074</v>
      </c>
      <c r="AM87" s="14">
        <v>-43017</v>
      </c>
      <c r="AN87" s="14">
        <v>-45062</v>
      </c>
      <c r="AO87" s="14">
        <v>-53187</v>
      </c>
      <c r="AP87" s="14">
        <v>-48954</v>
      </c>
      <c r="AQ87" s="14">
        <v>-58159</v>
      </c>
      <c r="AR87" s="14">
        <v>-64086</v>
      </c>
      <c r="AS87" s="14">
        <v>-64810</v>
      </c>
      <c r="AT87" s="14">
        <v>-70873</v>
      </c>
      <c r="AU87" s="14">
        <v>-88559</v>
      </c>
      <c r="AV87" s="14">
        <v>-99512</v>
      </c>
      <c r="AW87" s="14">
        <v>-89417</v>
      </c>
      <c r="AX87" s="14">
        <v>-114929</v>
      </c>
      <c r="AY87" s="14">
        <v>-125185</v>
      </c>
      <c r="AZ87" s="14">
        <v>-121559</v>
      </c>
      <c r="BA87" s="14">
        <v>-127751</v>
      </c>
      <c r="BB87" s="14">
        <v>-133535</v>
      </c>
      <c r="BC87" s="14">
        <v>-129688</v>
      </c>
      <c r="BD87" s="14">
        <v>-133179</v>
      </c>
    </row>
    <row r="88" spans="1:56">
      <c r="A88" s="14" t="s">
        <v>203</v>
      </c>
      <c r="B88" s="14" t="s">
        <v>572</v>
      </c>
      <c r="C88" s="14">
        <v>2824</v>
      </c>
      <c r="D88" s="14">
        <v>3822</v>
      </c>
      <c r="E88" s="14">
        <v>3387</v>
      </c>
      <c r="F88" s="14">
        <v>4414</v>
      </c>
      <c r="G88" s="14">
        <v>6823</v>
      </c>
      <c r="H88" s="14">
        <v>5431</v>
      </c>
      <c r="I88" s="14">
        <v>3031</v>
      </c>
      <c r="J88" s="14">
        <v>2583</v>
      </c>
      <c r="K88" s="14">
        <v>611</v>
      </c>
      <c r="L88" s="14">
        <v>399</v>
      </c>
      <c r="M88" s="14">
        <v>2331</v>
      </c>
      <c r="N88" s="14">
        <v>-1433</v>
      </c>
      <c r="O88" s="14">
        <v>-5795</v>
      </c>
      <c r="P88" s="14">
        <v>7140</v>
      </c>
      <c r="Q88" s="14">
        <v>1962</v>
      </c>
      <c r="R88" s="14">
        <v>18116</v>
      </c>
      <c r="S88" s="14">
        <v>4295</v>
      </c>
      <c r="T88" s="14">
        <v>-14335</v>
      </c>
      <c r="U88" s="14">
        <v>-15143</v>
      </c>
      <c r="V88" s="14">
        <v>-285</v>
      </c>
      <c r="W88" s="14">
        <v>2317</v>
      </c>
      <c r="X88" s="14">
        <v>5030</v>
      </c>
      <c r="Y88" s="14">
        <v>-5536</v>
      </c>
      <c r="Z88" s="14">
        <v>-38691</v>
      </c>
      <c r="AA88" s="14">
        <v>-94344</v>
      </c>
      <c r="AB88" s="14">
        <v>-118155</v>
      </c>
      <c r="AC88" s="14">
        <v>-147177</v>
      </c>
      <c r="AD88" s="14">
        <v>-160655</v>
      </c>
      <c r="AE88" s="14">
        <v>-121153</v>
      </c>
      <c r="AF88" s="14">
        <v>-99486</v>
      </c>
      <c r="AG88" s="14">
        <v>-78968</v>
      </c>
      <c r="AH88" s="14">
        <v>2898</v>
      </c>
      <c r="AI88" s="14">
        <v>-51613</v>
      </c>
      <c r="AJ88" s="14">
        <v>-84806</v>
      </c>
      <c r="AK88" s="14">
        <v>-121612</v>
      </c>
      <c r="AL88" s="14">
        <v>-113567</v>
      </c>
      <c r="AM88" s="14">
        <v>-124764</v>
      </c>
      <c r="AN88" s="14">
        <v>-140726</v>
      </c>
      <c r="AO88" s="14">
        <v>-215062</v>
      </c>
      <c r="AP88" s="14">
        <v>-300778</v>
      </c>
      <c r="AQ88" s="14">
        <v>-416317</v>
      </c>
      <c r="AR88" s="14">
        <v>-396697</v>
      </c>
      <c r="AS88" s="14">
        <v>-457800</v>
      </c>
      <c r="AT88" s="14">
        <v>-518657</v>
      </c>
      <c r="AU88" s="14">
        <v>-629327</v>
      </c>
      <c r="AV88" s="14">
        <v>-739796</v>
      </c>
      <c r="AW88" s="14">
        <v>-798478</v>
      </c>
      <c r="AX88" s="14">
        <v>-713389</v>
      </c>
      <c r="AY88" s="14">
        <v>-681343</v>
      </c>
      <c r="AZ88" s="14">
        <v>-381636</v>
      </c>
      <c r="BA88" s="14">
        <v>-449471</v>
      </c>
      <c r="BB88" s="14">
        <v>-457725</v>
      </c>
      <c r="BC88" s="14">
        <v>-440416</v>
      </c>
      <c r="BD88" s="14">
        <v>-379278</v>
      </c>
    </row>
    <row r="89" spans="1:56" ht="13">
      <c r="A89" s="1944" t="s">
        <v>7</v>
      </c>
      <c r="B89" s="1976"/>
      <c r="C89" s="1976"/>
      <c r="D89" s="1976"/>
      <c r="E89" s="1976"/>
      <c r="F89" s="1976"/>
      <c r="G89" s="1976"/>
      <c r="H89" s="1976"/>
      <c r="I89" s="1976"/>
      <c r="J89" s="1976"/>
      <c r="K89" s="1976"/>
      <c r="L89" s="1976"/>
      <c r="M89" s="1976"/>
      <c r="N89" s="1976"/>
      <c r="O89" s="1976"/>
      <c r="P89" s="1976"/>
      <c r="Q89" s="1976"/>
      <c r="R89" s="1976"/>
      <c r="S89" s="1976"/>
      <c r="T89" s="1976"/>
      <c r="U89" s="1976"/>
      <c r="V89" s="1976"/>
      <c r="W89" s="1976"/>
      <c r="X89" s="1976"/>
      <c r="Y89" s="1976"/>
      <c r="Z89" s="1976"/>
      <c r="AA89" s="1976"/>
      <c r="AB89" s="1976"/>
      <c r="AC89" s="1976"/>
      <c r="AD89" s="1976"/>
      <c r="AE89" s="1976"/>
      <c r="AF89" s="1976"/>
      <c r="AG89" s="1976"/>
      <c r="AH89" s="1976"/>
      <c r="AI89" s="1976"/>
      <c r="AJ89" s="1976"/>
      <c r="AK89" s="1976"/>
      <c r="AL89" s="1976"/>
      <c r="AM89" s="1976"/>
      <c r="AN89" s="1976"/>
      <c r="AO89" s="1976"/>
      <c r="AP89" s="1976"/>
      <c r="AQ89" s="1976"/>
      <c r="AR89" s="1976"/>
      <c r="AS89" s="1976"/>
      <c r="AT89" s="1976"/>
      <c r="AU89" s="1976"/>
      <c r="AV89" s="1976"/>
      <c r="AW89" s="1976"/>
      <c r="AX89" s="1976"/>
      <c r="AY89" s="1976"/>
      <c r="AZ89" s="1976"/>
      <c r="BA89" s="1976"/>
      <c r="BB89" s="1976"/>
      <c r="BC89" s="1976"/>
      <c r="BD89" s="1976"/>
    </row>
    <row r="90" spans="1:56">
      <c r="A90" s="1943" t="s">
        <v>249</v>
      </c>
      <c r="B90" s="1976"/>
      <c r="C90" s="1976"/>
      <c r="D90" s="1976"/>
      <c r="E90" s="1976"/>
      <c r="F90" s="1976"/>
      <c r="G90" s="1976"/>
      <c r="H90" s="1976"/>
      <c r="I90" s="1976"/>
      <c r="J90" s="1976"/>
      <c r="K90" s="1976"/>
      <c r="L90" s="1976"/>
      <c r="M90" s="1976"/>
      <c r="N90" s="1976"/>
      <c r="O90" s="1976"/>
      <c r="P90" s="1976"/>
      <c r="Q90" s="1976"/>
      <c r="R90" s="1976"/>
      <c r="S90" s="1976"/>
      <c r="T90" s="1976"/>
      <c r="U90" s="1976"/>
      <c r="V90" s="1976"/>
      <c r="W90" s="1976"/>
      <c r="X90" s="1976"/>
      <c r="Y90" s="1976"/>
      <c r="Z90" s="1976"/>
      <c r="AA90" s="1976"/>
      <c r="AB90" s="1976"/>
      <c r="AC90" s="1976"/>
      <c r="AD90" s="1976"/>
      <c r="AE90" s="1976"/>
      <c r="AF90" s="1976"/>
      <c r="AG90" s="1976"/>
      <c r="AH90" s="1976"/>
      <c r="AI90" s="1976"/>
      <c r="AJ90" s="1976"/>
      <c r="AK90" s="1976"/>
      <c r="AL90" s="1976"/>
      <c r="AM90" s="1976"/>
      <c r="AN90" s="1976"/>
      <c r="AO90" s="1976"/>
      <c r="AP90" s="1976"/>
      <c r="AQ90" s="1976"/>
      <c r="AR90" s="1976"/>
      <c r="AS90" s="1976"/>
      <c r="AT90" s="1976"/>
      <c r="AU90" s="1976"/>
      <c r="AV90" s="1976"/>
      <c r="AW90" s="1976"/>
      <c r="AX90" s="1976"/>
      <c r="AY90" s="1976"/>
      <c r="AZ90" s="1976"/>
      <c r="BA90" s="1976"/>
      <c r="BB90" s="1976"/>
      <c r="BC90" s="1976"/>
      <c r="BD90" s="1976"/>
    </row>
    <row r="91" spans="1:56">
      <c r="A91" s="1943" t="s">
        <v>202</v>
      </c>
      <c r="B91" s="1976"/>
      <c r="C91" s="1976"/>
      <c r="D91" s="1976"/>
      <c r="E91" s="1976"/>
      <c r="F91" s="1976"/>
      <c r="G91" s="1976"/>
      <c r="H91" s="1976"/>
      <c r="I91" s="1976"/>
      <c r="J91" s="1976"/>
      <c r="K91" s="1976"/>
      <c r="L91" s="1976"/>
      <c r="M91" s="1976"/>
      <c r="N91" s="1976"/>
      <c r="O91" s="1976"/>
      <c r="P91" s="1976"/>
      <c r="Q91" s="1976"/>
      <c r="R91" s="1976"/>
      <c r="S91" s="1976"/>
      <c r="T91" s="1976"/>
      <c r="U91" s="1976"/>
      <c r="V91" s="1976"/>
      <c r="W91" s="1976"/>
      <c r="X91" s="1976"/>
      <c r="Y91" s="1976"/>
      <c r="Z91" s="1976"/>
      <c r="AA91" s="1976"/>
      <c r="AB91" s="1976"/>
      <c r="AC91" s="1976"/>
      <c r="AD91" s="1976"/>
      <c r="AE91" s="1976"/>
      <c r="AF91" s="1976"/>
      <c r="AG91" s="1976"/>
      <c r="AH91" s="1976"/>
      <c r="AI91" s="1976"/>
      <c r="AJ91" s="1976"/>
      <c r="AK91" s="1976"/>
      <c r="AL91" s="1976"/>
      <c r="AM91" s="1976"/>
      <c r="AN91" s="1976"/>
      <c r="AO91" s="1976"/>
      <c r="AP91" s="1976"/>
      <c r="AQ91" s="1976"/>
      <c r="AR91" s="1976"/>
      <c r="AS91" s="1976"/>
      <c r="AT91" s="1976"/>
      <c r="AU91" s="1976"/>
      <c r="AV91" s="1976"/>
      <c r="AW91" s="1976"/>
      <c r="AX91" s="1976"/>
      <c r="AY91" s="1976"/>
      <c r="AZ91" s="1976"/>
      <c r="BA91" s="1976"/>
      <c r="BB91" s="1976"/>
      <c r="BC91" s="1976"/>
      <c r="BD91" s="1976"/>
    </row>
    <row r="92" spans="1:56">
      <c r="A92" s="1943" t="s">
        <v>201</v>
      </c>
      <c r="B92" s="1976"/>
      <c r="C92" s="1976"/>
      <c r="D92" s="1976"/>
      <c r="E92" s="1976"/>
      <c r="F92" s="1976"/>
      <c r="G92" s="1976"/>
      <c r="H92" s="1976"/>
      <c r="I92" s="1976"/>
      <c r="J92" s="1976"/>
      <c r="K92" s="1976"/>
      <c r="L92" s="1976"/>
      <c r="M92" s="1976"/>
      <c r="N92" s="1976"/>
      <c r="O92" s="1976"/>
      <c r="P92" s="1976"/>
      <c r="Q92" s="1976"/>
      <c r="R92" s="1976"/>
      <c r="S92" s="1976"/>
      <c r="T92" s="1976"/>
      <c r="U92" s="1976"/>
      <c r="V92" s="1976"/>
      <c r="W92" s="1976"/>
      <c r="X92" s="1976"/>
      <c r="Y92" s="1976"/>
      <c r="Z92" s="1976"/>
      <c r="AA92" s="1976"/>
      <c r="AB92" s="1976"/>
      <c r="AC92" s="1976"/>
      <c r="AD92" s="1976"/>
      <c r="AE92" s="1976"/>
      <c r="AF92" s="1976"/>
      <c r="AG92" s="1976"/>
      <c r="AH92" s="1976"/>
      <c r="AI92" s="1976"/>
      <c r="AJ92" s="1976"/>
      <c r="AK92" s="1976"/>
      <c r="AL92" s="1976"/>
      <c r="AM92" s="1976"/>
      <c r="AN92" s="1976"/>
      <c r="AO92" s="1976"/>
      <c r="AP92" s="1976"/>
      <c r="AQ92" s="1976"/>
      <c r="AR92" s="1976"/>
      <c r="AS92" s="1976"/>
      <c r="AT92" s="1976"/>
      <c r="AU92" s="1976"/>
      <c r="AV92" s="1976"/>
      <c r="AW92" s="1976"/>
      <c r="AX92" s="1976"/>
      <c r="AY92" s="1976"/>
      <c r="AZ92" s="1976"/>
      <c r="BA92" s="1976"/>
      <c r="BB92" s="1976"/>
      <c r="BC92" s="1976"/>
      <c r="BD92" s="1976"/>
    </row>
    <row r="93" spans="1:56">
      <c r="A93" s="1943" t="s">
        <v>200</v>
      </c>
      <c r="B93" s="1976"/>
      <c r="C93" s="1976"/>
      <c r="D93" s="1976"/>
      <c r="E93" s="1976"/>
      <c r="F93" s="1976"/>
      <c r="G93" s="1976"/>
      <c r="H93" s="1976"/>
      <c r="I93" s="1976"/>
      <c r="J93" s="1976"/>
      <c r="K93" s="1976"/>
      <c r="L93" s="1976"/>
      <c r="M93" s="1976"/>
      <c r="N93" s="1976"/>
      <c r="O93" s="1976"/>
      <c r="P93" s="1976"/>
      <c r="Q93" s="1976"/>
      <c r="R93" s="1976"/>
      <c r="S93" s="1976"/>
      <c r="T93" s="1976"/>
      <c r="U93" s="1976"/>
      <c r="V93" s="1976"/>
      <c r="W93" s="1976"/>
      <c r="X93" s="1976"/>
      <c r="Y93" s="1976"/>
      <c r="Z93" s="1976"/>
      <c r="AA93" s="1976"/>
      <c r="AB93" s="1976"/>
      <c r="AC93" s="1976"/>
      <c r="AD93" s="1976"/>
      <c r="AE93" s="1976"/>
      <c r="AF93" s="1976"/>
      <c r="AG93" s="1976"/>
      <c r="AH93" s="1976"/>
      <c r="AI93" s="1976"/>
      <c r="AJ93" s="1976"/>
      <c r="AK93" s="1976"/>
      <c r="AL93" s="1976"/>
      <c r="AM93" s="1976"/>
      <c r="AN93" s="1976"/>
      <c r="AO93" s="1976"/>
      <c r="AP93" s="1976"/>
      <c r="AQ93" s="1976"/>
      <c r="AR93" s="1976"/>
      <c r="AS93" s="1976"/>
      <c r="AT93" s="1976"/>
      <c r="AU93" s="1976"/>
      <c r="AV93" s="1976"/>
      <c r="AW93" s="1976"/>
      <c r="AX93" s="1976"/>
      <c r="AY93" s="1976"/>
      <c r="AZ93" s="1976"/>
      <c r="BA93" s="1976"/>
      <c r="BB93" s="1976"/>
      <c r="BC93" s="1976"/>
      <c r="BD93" s="1976"/>
    </row>
    <row r="94" spans="1:56">
      <c r="A94" s="1943" t="s">
        <v>199</v>
      </c>
      <c r="B94" s="1976"/>
      <c r="C94" s="1976"/>
      <c r="D94" s="1976"/>
      <c r="E94" s="1976"/>
      <c r="F94" s="1976"/>
      <c r="G94" s="1976"/>
      <c r="H94" s="1976"/>
      <c r="I94" s="1976"/>
      <c r="J94" s="1976"/>
      <c r="K94" s="1976"/>
      <c r="L94" s="1976"/>
      <c r="M94" s="1976"/>
      <c r="N94" s="1976"/>
      <c r="O94" s="1976"/>
      <c r="P94" s="1976"/>
      <c r="Q94" s="1976"/>
      <c r="R94" s="1976"/>
      <c r="S94" s="1976"/>
      <c r="T94" s="1976"/>
      <c r="U94" s="1976"/>
      <c r="V94" s="1976"/>
      <c r="W94" s="1976"/>
      <c r="X94" s="1976"/>
      <c r="Y94" s="1976"/>
      <c r="Z94" s="1976"/>
      <c r="AA94" s="1976"/>
      <c r="AB94" s="1976"/>
      <c r="AC94" s="1976"/>
      <c r="AD94" s="1976"/>
      <c r="AE94" s="1976"/>
      <c r="AF94" s="1976"/>
      <c r="AG94" s="1976"/>
      <c r="AH94" s="1976"/>
      <c r="AI94" s="1976"/>
      <c r="AJ94" s="1976"/>
      <c r="AK94" s="1976"/>
      <c r="AL94" s="1976"/>
      <c r="AM94" s="1976"/>
      <c r="AN94" s="1976"/>
      <c r="AO94" s="1976"/>
      <c r="AP94" s="1976"/>
      <c r="AQ94" s="1976"/>
      <c r="AR94" s="1976"/>
      <c r="AS94" s="1976"/>
      <c r="AT94" s="1976"/>
      <c r="AU94" s="1976"/>
      <c r="AV94" s="1976"/>
      <c r="AW94" s="1976"/>
      <c r="AX94" s="1976"/>
      <c r="AY94" s="1976"/>
      <c r="AZ94" s="1976"/>
      <c r="BA94" s="1976"/>
      <c r="BB94" s="1976"/>
      <c r="BC94" s="1976"/>
      <c r="BD94" s="1976"/>
    </row>
    <row r="95" spans="1:56">
      <c r="A95" s="1943" t="s">
        <v>198</v>
      </c>
      <c r="B95" s="1976"/>
      <c r="C95" s="1976"/>
      <c r="D95" s="1976"/>
      <c r="E95" s="1976"/>
      <c r="F95" s="1976"/>
      <c r="G95" s="1976"/>
      <c r="H95" s="1976"/>
      <c r="I95" s="1976"/>
      <c r="J95" s="1976"/>
      <c r="K95" s="1976"/>
      <c r="L95" s="1976"/>
      <c r="M95" s="1976"/>
      <c r="N95" s="1976"/>
      <c r="O95" s="1976"/>
      <c r="P95" s="1976"/>
      <c r="Q95" s="1976"/>
      <c r="R95" s="1976"/>
      <c r="S95" s="1976"/>
      <c r="T95" s="1976"/>
      <c r="U95" s="1976"/>
      <c r="V95" s="1976"/>
      <c r="W95" s="1976"/>
      <c r="X95" s="1976"/>
      <c r="Y95" s="1976"/>
      <c r="Z95" s="1976"/>
      <c r="AA95" s="1976"/>
      <c r="AB95" s="1976"/>
      <c r="AC95" s="1976"/>
      <c r="AD95" s="1976"/>
      <c r="AE95" s="1976"/>
      <c r="AF95" s="1976"/>
      <c r="AG95" s="1976"/>
      <c r="AH95" s="1976"/>
      <c r="AI95" s="1976"/>
      <c r="AJ95" s="1976"/>
      <c r="AK95" s="1976"/>
      <c r="AL95" s="1976"/>
      <c r="AM95" s="1976"/>
      <c r="AN95" s="1976"/>
      <c r="AO95" s="1976"/>
      <c r="AP95" s="1976"/>
      <c r="AQ95" s="1976"/>
      <c r="AR95" s="1976"/>
      <c r="AS95" s="1976"/>
      <c r="AT95" s="1976"/>
      <c r="AU95" s="1976"/>
      <c r="AV95" s="1976"/>
      <c r="AW95" s="1976"/>
      <c r="AX95" s="1976"/>
      <c r="AY95" s="1976"/>
      <c r="AZ95" s="1976"/>
      <c r="BA95" s="1976"/>
      <c r="BB95" s="1976"/>
      <c r="BC95" s="1976"/>
      <c r="BD95" s="1976"/>
    </row>
    <row r="96" spans="1:56">
      <c r="A96" s="1943" t="s">
        <v>197</v>
      </c>
      <c r="B96" s="1976"/>
      <c r="C96" s="1976"/>
      <c r="D96" s="1976"/>
      <c r="E96" s="1976"/>
      <c r="F96" s="1976"/>
      <c r="G96" s="1976"/>
      <c r="H96" s="1976"/>
      <c r="I96" s="1976"/>
      <c r="J96" s="1976"/>
      <c r="K96" s="1976"/>
      <c r="L96" s="1976"/>
      <c r="M96" s="1976"/>
      <c r="N96" s="1976"/>
      <c r="O96" s="1976"/>
      <c r="P96" s="1976"/>
      <c r="Q96" s="1976"/>
      <c r="R96" s="1976"/>
      <c r="S96" s="1976"/>
      <c r="T96" s="1976"/>
      <c r="U96" s="1976"/>
      <c r="V96" s="1976"/>
      <c r="W96" s="1976"/>
      <c r="X96" s="1976"/>
      <c r="Y96" s="1976"/>
      <c r="Z96" s="1976"/>
      <c r="AA96" s="1976"/>
      <c r="AB96" s="1976"/>
      <c r="AC96" s="1976"/>
      <c r="AD96" s="1976"/>
      <c r="AE96" s="1976"/>
      <c r="AF96" s="1976"/>
      <c r="AG96" s="1976"/>
      <c r="AH96" s="1976"/>
      <c r="AI96" s="1976"/>
      <c r="AJ96" s="1976"/>
      <c r="AK96" s="1976"/>
      <c r="AL96" s="1976"/>
      <c r="AM96" s="1976"/>
      <c r="AN96" s="1976"/>
      <c r="AO96" s="1976"/>
      <c r="AP96" s="1976"/>
      <c r="AQ96" s="1976"/>
      <c r="AR96" s="1976"/>
      <c r="AS96" s="1976"/>
      <c r="AT96" s="1976"/>
      <c r="AU96" s="1976"/>
      <c r="AV96" s="1976"/>
      <c r="AW96" s="1976"/>
      <c r="AX96" s="1976"/>
      <c r="AY96" s="1976"/>
      <c r="AZ96" s="1976"/>
      <c r="BA96" s="1976"/>
      <c r="BB96" s="1976"/>
      <c r="BC96" s="1976"/>
      <c r="BD96" s="1976"/>
    </row>
    <row r="97" spans="1:56">
      <c r="A97" s="1943" t="s">
        <v>571</v>
      </c>
      <c r="B97" s="1976"/>
      <c r="C97" s="1976"/>
      <c r="D97" s="1976"/>
      <c r="E97" s="1976"/>
      <c r="F97" s="1976"/>
      <c r="G97" s="1976"/>
      <c r="H97" s="1976"/>
      <c r="I97" s="1976"/>
      <c r="J97" s="1976"/>
      <c r="K97" s="1976"/>
      <c r="L97" s="1976"/>
      <c r="M97" s="1976"/>
      <c r="N97" s="1976"/>
      <c r="O97" s="1976"/>
      <c r="P97" s="1976"/>
      <c r="Q97" s="1976"/>
      <c r="R97" s="1976"/>
      <c r="S97" s="1976"/>
      <c r="T97" s="1976"/>
      <c r="U97" s="1976"/>
      <c r="V97" s="1976"/>
      <c r="W97" s="1976"/>
      <c r="X97" s="1976"/>
      <c r="Y97" s="1976"/>
      <c r="Z97" s="1976"/>
      <c r="AA97" s="1976"/>
      <c r="AB97" s="1976"/>
      <c r="AC97" s="1976"/>
      <c r="AD97" s="1976"/>
      <c r="AE97" s="1976"/>
      <c r="AF97" s="1976"/>
      <c r="AG97" s="1976"/>
      <c r="AH97" s="1976"/>
      <c r="AI97" s="1976"/>
      <c r="AJ97" s="1976"/>
      <c r="AK97" s="1976"/>
      <c r="AL97" s="1976"/>
      <c r="AM97" s="1976"/>
      <c r="AN97" s="1976"/>
      <c r="AO97" s="1976"/>
      <c r="AP97" s="1976"/>
      <c r="AQ97" s="1976"/>
      <c r="AR97" s="1976"/>
      <c r="AS97" s="1976"/>
      <c r="AT97" s="1976"/>
      <c r="AU97" s="1976"/>
      <c r="AV97" s="1976"/>
      <c r="AW97" s="1976"/>
      <c r="AX97" s="1976"/>
      <c r="AY97" s="1976"/>
      <c r="AZ97" s="1976"/>
      <c r="BA97" s="1976"/>
      <c r="BB97" s="1976"/>
      <c r="BC97" s="1976"/>
      <c r="BD97" s="1976"/>
    </row>
    <row r="98" spans="1:56">
      <c r="A98" s="1943" t="s">
        <v>570</v>
      </c>
      <c r="B98" s="1976"/>
      <c r="C98" s="1976"/>
      <c r="D98" s="1976"/>
      <c r="E98" s="1976"/>
      <c r="F98" s="1976"/>
      <c r="G98" s="1976"/>
      <c r="H98" s="1976"/>
      <c r="I98" s="1976"/>
      <c r="J98" s="1976"/>
      <c r="K98" s="1976"/>
      <c r="L98" s="1976"/>
      <c r="M98" s="1976"/>
      <c r="N98" s="1976"/>
      <c r="O98" s="1976"/>
      <c r="P98" s="1976"/>
      <c r="Q98" s="1976"/>
      <c r="R98" s="1976"/>
      <c r="S98" s="1976"/>
      <c r="T98" s="1976"/>
      <c r="U98" s="1976"/>
      <c r="V98" s="1976"/>
      <c r="W98" s="1976"/>
      <c r="X98" s="1976"/>
      <c r="Y98" s="1976"/>
      <c r="Z98" s="1976"/>
      <c r="AA98" s="1976"/>
      <c r="AB98" s="1976"/>
      <c r="AC98" s="1976"/>
      <c r="AD98" s="1976"/>
      <c r="AE98" s="1976"/>
      <c r="AF98" s="1976"/>
      <c r="AG98" s="1976"/>
      <c r="AH98" s="1976"/>
      <c r="AI98" s="1976"/>
      <c r="AJ98" s="1976"/>
      <c r="AK98" s="1976"/>
      <c r="AL98" s="1976"/>
      <c r="AM98" s="1976"/>
      <c r="AN98" s="1976"/>
      <c r="AO98" s="1976"/>
      <c r="AP98" s="1976"/>
      <c r="AQ98" s="1976"/>
      <c r="AR98" s="1976"/>
      <c r="AS98" s="1976"/>
      <c r="AT98" s="1976"/>
      <c r="AU98" s="1976"/>
      <c r="AV98" s="1976"/>
      <c r="AW98" s="1976"/>
      <c r="AX98" s="1976"/>
      <c r="AY98" s="1976"/>
      <c r="AZ98" s="1976"/>
      <c r="BA98" s="1976"/>
      <c r="BB98" s="1976"/>
      <c r="BC98" s="1976"/>
      <c r="BD98" s="1976"/>
    </row>
    <row r="99" spans="1:56">
      <c r="A99" s="1943" t="s">
        <v>569</v>
      </c>
      <c r="B99" s="1976"/>
      <c r="C99" s="1976"/>
      <c r="D99" s="1976"/>
      <c r="E99" s="1976"/>
      <c r="F99" s="1976"/>
      <c r="G99" s="1976"/>
      <c r="H99" s="1976"/>
      <c r="I99" s="1976"/>
      <c r="J99" s="1976"/>
      <c r="K99" s="1976"/>
      <c r="L99" s="1976"/>
      <c r="M99" s="1976"/>
      <c r="N99" s="1976"/>
      <c r="O99" s="1976"/>
      <c r="P99" s="1976"/>
      <c r="Q99" s="1976"/>
      <c r="R99" s="1976"/>
      <c r="S99" s="1976"/>
      <c r="T99" s="1976"/>
      <c r="U99" s="1976"/>
      <c r="V99" s="1976"/>
      <c r="W99" s="1976"/>
      <c r="X99" s="1976"/>
      <c r="Y99" s="1976"/>
      <c r="Z99" s="1976"/>
      <c r="AA99" s="1976"/>
      <c r="AB99" s="1976"/>
      <c r="AC99" s="1976"/>
      <c r="AD99" s="1976"/>
      <c r="AE99" s="1976"/>
      <c r="AF99" s="1976"/>
      <c r="AG99" s="1976"/>
      <c r="AH99" s="1976"/>
      <c r="AI99" s="1976"/>
      <c r="AJ99" s="1976"/>
      <c r="AK99" s="1976"/>
      <c r="AL99" s="1976"/>
      <c r="AM99" s="1976"/>
      <c r="AN99" s="1976"/>
      <c r="AO99" s="1976"/>
      <c r="AP99" s="1976"/>
      <c r="AQ99" s="1976"/>
      <c r="AR99" s="1976"/>
      <c r="AS99" s="1976"/>
      <c r="AT99" s="1976"/>
      <c r="AU99" s="1976"/>
      <c r="AV99" s="1976"/>
      <c r="AW99" s="1976"/>
      <c r="AX99" s="1976"/>
      <c r="AY99" s="1976"/>
      <c r="AZ99" s="1976"/>
      <c r="BA99" s="1976"/>
      <c r="BB99" s="1976"/>
      <c r="BC99" s="1976"/>
      <c r="BD99" s="1976"/>
    </row>
    <row r="100" spans="1:56">
      <c r="A100" s="1943" t="s">
        <v>568</v>
      </c>
      <c r="B100" s="1976"/>
      <c r="C100" s="1976"/>
      <c r="D100" s="1976"/>
      <c r="E100" s="1976"/>
      <c r="F100" s="1976"/>
      <c r="G100" s="1976"/>
      <c r="H100" s="1976"/>
      <c r="I100" s="1976"/>
      <c r="J100" s="1976"/>
      <c r="K100" s="1976"/>
      <c r="L100" s="1976"/>
      <c r="M100" s="1976"/>
      <c r="N100" s="1976"/>
      <c r="O100" s="1976"/>
      <c r="P100" s="1976"/>
      <c r="Q100" s="1976"/>
      <c r="R100" s="1976"/>
      <c r="S100" s="1976"/>
      <c r="T100" s="1976"/>
      <c r="U100" s="1976"/>
      <c r="V100" s="1976"/>
      <c r="W100" s="1976"/>
      <c r="X100" s="1976"/>
      <c r="Y100" s="1976"/>
      <c r="Z100" s="1976"/>
      <c r="AA100" s="1976"/>
      <c r="AB100" s="1976"/>
      <c r="AC100" s="1976"/>
      <c r="AD100" s="1976"/>
      <c r="AE100" s="1976"/>
      <c r="AF100" s="1976"/>
      <c r="AG100" s="1976"/>
      <c r="AH100" s="1976"/>
      <c r="AI100" s="1976"/>
      <c r="AJ100" s="1976"/>
      <c r="AK100" s="1976"/>
      <c r="AL100" s="1976"/>
      <c r="AM100" s="1976"/>
      <c r="AN100" s="1976"/>
      <c r="AO100" s="1976"/>
      <c r="AP100" s="1976"/>
      <c r="AQ100" s="1976"/>
      <c r="AR100" s="1976"/>
      <c r="AS100" s="1976"/>
      <c r="AT100" s="1976"/>
      <c r="AU100" s="1976"/>
      <c r="AV100" s="1976"/>
      <c r="AW100" s="1976"/>
      <c r="AX100" s="1976"/>
      <c r="AY100" s="1976"/>
      <c r="AZ100" s="1976"/>
      <c r="BA100" s="1976"/>
      <c r="BB100" s="1976"/>
      <c r="BC100" s="1976"/>
      <c r="BD100" s="1976"/>
    </row>
    <row r="101" spans="1:56">
      <c r="A101" s="1943" t="s">
        <v>567</v>
      </c>
      <c r="B101" s="1976"/>
      <c r="C101" s="1976"/>
      <c r="D101" s="1976"/>
      <c r="E101" s="1976"/>
      <c r="F101" s="1976"/>
      <c r="G101" s="1976"/>
      <c r="H101" s="1976"/>
      <c r="I101" s="1976"/>
      <c r="J101" s="1976"/>
      <c r="K101" s="1976"/>
      <c r="L101" s="1976"/>
      <c r="M101" s="1976"/>
      <c r="N101" s="1976"/>
      <c r="O101" s="1976"/>
      <c r="P101" s="1976"/>
      <c r="Q101" s="1976"/>
      <c r="R101" s="1976"/>
      <c r="S101" s="1976"/>
      <c r="T101" s="1976"/>
      <c r="U101" s="1976"/>
      <c r="V101" s="1976"/>
      <c r="W101" s="1976"/>
      <c r="X101" s="1976"/>
      <c r="Y101" s="1976"/>
      <c r="Z101" s="1976"/>
      <c r="AA101" s="1976"/>
      <c r="AB101" s="1976"/>
      <c r="AC101" s="1976"/>
      <c r="AD101" s="1976"/>
      <c r="AE101" s="1976"/>
      <c r="AF101" s="1976"/>
      <c r="AG101" s="1976"/>
      <c r="AH101" s="1976"/>
      <c r="AI101" s="1976"/>
      <c r="AJ101" s="1976"/>
      <c r="AK101" s="1976"/>
      <c r="AL101" s="1976"/>
      <c r="AM101" s="1976"/>
      <c r="AN101" s="1976"/>
      <c r="AO101" s="1976"/>
      <c r="AP101" s="1976"/>
      <c r="AQ101" s="1976"/>
      <c r="AR101" s="1976"/>
      <c r="AS101" s="1976"/>
      <c r="AT101" s="1976"/>
      <c r="AU101" s="1976"/>
      <c r="AV101" s="1976"/>
      <c r="AW101" s="1976"/>
      <c r="AX101" s="1976"/>
      <c r="AY101" s="1976"/>
      <c r="AZ101" s="1976"/>
      <c r="BA101" s="1976"/>
      <c r="BB101" s="1976"/>
      <c r="BC101" s="1976"/>
      <c r="BD101" s="1976"/>
    </row>
    <row r="102" spans="1:56">
      <c r="A102" s="1943" t="s">
        <v>566</v>
      </c>
      <c r="B102" s="1976"/>
      <c r="C102" s="1976"/>
      <c r="D102" s="1976"/>
      <c r="E102" s="1976"/>
      <c r="F102" s="1976"/>
      <c r="G102" s="1976"/>
      <c r="H102" s="1976"/>
      <c r="I102" s="1976"/>
      <c r="J102" s="1976"/>
      <c r="K102" s="1976"/>
      <c r="L102" s="1976"/>
      <c r="M102" s="1976"/>
      <c r="N102" s="1976"/>
      <c r="O102" s="1976"/>
      <c r="P102" s="1976"/>
      <c r="Q102" s="1976"/>
      <c r="R102" s="1976"/>
      <c r="S102" s="1976"/>
      <c r="T102" s="1976"/>
      <c r="U102" s="1976"/>
      <c r="V102" s="1976"/>
      <c r="W102" s="1976"/>
      <c r="X102" s="1976"/>
      <c r="Y102" s="1976"/>
      <c r="Z102" s="1976"/>
      <c r="AA102" s="1976"/>
      <c r="AB102" s="1976"/>
      <c r="AC102" s="1976"/>
      <c r="AD102" s="1976"/>
      <c r="AE102" s="1976"/>
      <c r="AF102" s="1976"/>
      <c r="AG102" s="1976"/>
      <c r="AH102" s="1976"/>
      <c r="AI102" s="1976"/>
      <c r="AJ102" s="1976"/>
      <c r="AK102" s="1976"/>
      <c r="AL102" s="1976"/>
      <c r="AM102" s="1976"/>
      <c r="AN102" s="1976"/>
      <c r="AO102" s="1976"/>
      <c r="AP102" s="1976"/>
      <c r="AQ102" s="1976"/>
      <c r="AR102" s="1976"/>
      <c r="AS102" s="1976"/>
      <c r="AT102" s="1976"/>
      <c r="AU102" s="1976"/>
      <c r="AV102" s="1976"/>
      <c r="AW102" s="1976"/>
      <c r="AX102" s="1976"/>
      <c r="AY102" s="1976"/>
      <c r="AZ102" s="1976"/>
      <c r="BA102" s="1976"/>
      <c r="BB102" s="1976"/>
      <c r="BC102" s="1976"/>
      <c r="BD102" s="1976"/>
    </row>
    <row r="103" spans="1:56">
      <c r="A103" s="1943" t="s">
        <v>565</v>
      </c>
      <c r="B103" s="1976"/>
      <c r="C103" s="1976"/>
      <c r="D103" s="1976"/>
      <c r="E103" s="1976"/>
      <c r="F103" s="1976"/>
      <c r="G103" s="1976"/>
      <c r="H103" s="1976"/>
      <c r="I103" s="1976"/>
      <c r="J103" s="1976"/>
      <c r="K103" s="1976"/>
      <c r="L103" s="1976"/>
      <c r="M103" s="1976"/>
      <c r="N103" s="1976"/>
      <c r="O103" s="1976"/>
      <c r="P103" s="1976"/>
      <c r="Q103" s="1976"/>
      <c r="R103" s="1976"/>
      <c r="S103" s="1976"/>
      <c r="T103" s="1976"/>
      <c r="U103" s="1976"/>
      <c r="V103" s="1976"/>
      <c r="W103" s="1976"/>
      <c r="X103" s="1976"/>
      <c r="Y103" s="1976"/>
      <c r="Z103" s="1976"/>
      <c r="AA103" s="1976"/>
      <c r="AB103" s="1976"/>
      <c r="AC103" s="1976"/>
      <c r="AD103" s="1976"/>
      <c r="AE103" s="1976"/>
      <c r="AF103" s="1976"/>
      <c r="AG103" s="1976"/>
      <c r="AH103" s="1976"/>
      <c r="AI103" s="1976"/>
      <c r="AJ103" s="1976"/>
      <c r="AK103" s="1976"/>
      <c r="AL103" s="1976"/>
      <c r="AM103" s="1976"/>
      <c r="AN103" s="1976"/>
      <c r="AO103" s="1976"/>
      <c r="AP103" s="1976"/>
      <c r="AQ103" s="1976"/>
      <c r="AR103" s="1976"/>
      <c r="AS103" s="1976"/>
      <c r="AT103" s="1976"/>
      <c r="AU103" s="1976"/>
      <c r="AV103" s="1976"/>
      <c r="AW103" s="1976"/>
      <c r="AX103" s="1976"/>
      <c r="AY103" s="1976"/>
      <c r="AZ103" s="1976"/>
      <c r="BA103" s="1976"/>
      <c r="BB103" s="1976"/>
      <c r="BC103" s="1976"/>
      <c r="BD103" s="1976"/>
    </row>
    <row r="104" spans="1:56">
      <c r="A104" s="1943" t="s">
        <v>564</v>
      </c>
      <c r="B104" s="1976"/>
      <c r="C104" s="1976"/>
      <c r="D104" s="1976"/>
      <c r="E104" s="1976"/>
      <c r="F104" s="1976"/>
      <c r="G104" s="1976"/>
      <c r="H104" s="1976"/>
      <c r="I104" s="1976"/>
      <c r="J104" s="1976"/>
      <c r="K104" s="1976"/>
      <c r="L104" s="1976"/>
      <c r="M104" s="1976"/>
      <c r="N104" s="1976"/>
      <c r="O104" s="1976"/>
      <c r="P104" s="1976"/>
      <c r="Q104" s="1976"/>
      <c r="R104" s="1976"/>
      <c r="S104" s="1976"/>
      <c r="T104" s="1976"/>
      <c r="U104" s="1976"/>
      <c r="V104" s="1976"/>
      <c r="W104" s="1976"/>
      <c r="X104" s="1976"/>
      <c r="Y104" s="1976"/>
      <c r="Z104" s="1976"/>
      <c r="AA104" s="1976"/>
      <c r="AB104" s="1976"/>
      <c r="AC104" s="1976"/>
      <c r="AD104" s="1976"/>
      <c r="AE104" s="1976"/>
      <c r="AF104" s="1976"/>
      <c r="AG104" s="1976"/>
      <c r="AH104" s="1976"/>
      <c r="AI104" s="1976"/>
      <c r="AJ104" s="1976"/>
      <c r="AK104" s="1976"/>
      <c r="AL104" s="1976"/>
      <c r="AM104" s="1976"/>
      <c r="AN104" s="1976"/>
      <c r="AO104" s="1976"/>
      <c r="AP104" s="1976"/>
      <c r="AQ104" s="1976"/>
      <c r="AR104" s="1976"/>
      <c r="AS104" s="1976"/>
      <c r="AT104" s="1976"/>
      <c r="AU104" s="1976"/>
      <c r="AV104" s="1976"/>
      <c r="AW104" s="1976"/>
      <c r="AX104" s="1976"/>
      <c r="AY104" s="1976"/>
      <c r="AZ104" s="1976"/>
      <c r="BA104" s="1976"/>
      <c r="BB104" s="1976"/>
      <c r="BC104" s="1976"/>
      <c r="BD104" s="1976"/>
    </row>
    <row r="105" spans="1:56">
      <c r="A105" s="1943" t="s">
        <v>563</v>
      </c>
      <c r="B105" s="1976"/>
      <c r="C105" s="1976"/>
      <c r="D105" s="1976"/>
      <c r="E105" s="1976"/>
      <c r="F105" s="1976"/>
      <c r="G105" s="1976"/>
      <c r="H105" s="1976"/>
      <c r="I105" s="1976"/>
      <c r="J105" s="1976"/>
      <c r="K105" s="1976"/>
      <c r="L105" s="1976"/>
      <c r="M105" s="1976"/>
      <c r="N105" s="1976"/>
      <c r="O105" s="1976"/>
      <c r="P105" s="1976"/>
      <c r="Q105" s="1976"/>
      <c r="R105" s="1976"/>
      <c r="S105" s="1976"/>
      <c r="T105" s="1976"/>
      <c r="U105" s="1976"/>
      <c r="V105" s="1976"/>
      <c r="W105" s="1976"/>
      <c r="X105" s="1976"/>
      <c r="Y105" s="1976"/>
      <c r="Z105" s="1976"/>
      <c r="AA105" s="1976"/>
      <c r="AB105" s="1976"/>
      <c r="AC105" s="1976"/>
      <c r="AD105" s="1976"/>
      <c r="AE105" s="1976"/>
      <c r="AF105" s="1976"/>
      <c r="AG105" s="1976"/>
      <c r="AH105" s="1976"/>
      <c r="AI105" s="1976"/>
      <c r="AJ105" s="1976"/>
      <c r="AK105" s="1976"/>
      <c r="AL105" s="1976"/>
      <c r="AM105" s="1976"/>
      <c r="AN105" s="1976"/>
      <c r="AO105" s="1976"/>
      <c r="AP105" s="1976"/>
      <c r="AQ105" s="1976"/>
      <c r="AR105" s="1976"/>
      <c r="AS105" s="1976"/>
      <c r="AT105" s="1976"/>
      <c r="AU105" s="1976"/>
      <c r="AV105" s="1976"/>
      <c r="AW105" s="1976"/>
      <c r="AX105" s="1976"/>
      <c r="AY105" s="1976"/>
      <c r="AZ105" s="1976"/>
      <c r="BA105" s="1976"/>
      <c r="BB105" s="1976"/>
      <c r="BC105" s="1976"/>
      <c r="BD105" s="1976"/>
    </row>
    <row r="106" spans="1:56">
      <c r="A106" s="1943" t="s">
        <v>562</v>
      </c>
      <c r="B106" s="1976"/>
      <c r="C106" s="1976"/>
      <c r="D106" s="1976"/>
      <c r="E106" s="1976"/>
      <c r="F106" s="1976"/>
      <c r="G106" s="1976"/>
      <c r="H106" s="1976"/>
      <c r="I106" s="1976"/>
      <c r="J106" s="1976"/>
      <c r="K106" s="1976"/>
      <c r="L106" s="1976"/>
      <c r="M106" s="1976"/>
      <c r="N106" s="1976"/>
      <c r="O106" s="1976"/>
      <c r="P106" s="1976"/>
      <c r="Q106" s="1976"/>
      <c r="R106" s="1976"/>
      <c r="S106" s="1976"/>
      <c r="T106" s="1976"/>
      <c r="U106" s="1976"/>
      <c r="V106" s="1976"/>
      <c r="W106" s="1976"/>
      <c r="X106" s="1976"/>
      <c r="Y106" s="1976"/>
      <c r="Z106" s="1976"/>
      <c r="AA106" s="1976"/>
      <c r="AB106" s="1976"/>
      <c r="AC106" s="1976"/>
      <c r="AD106" s="1976"/>
      <c r="AE106" s="1976"/>
      <c r="AF106" s="1976"/>
      <c r="AG106" s="1976"/>
      <c r="AH106" s="1976"/>
      <c r="AI106" s="1976"/>
      <c r="AJ106" s="1976"/>
      <c r="AK106" s="1976"/>
      <c r="AL106" s="1976"/>
      <c r="AM106" s="1976"/>
      <c r="AN106" s="1976"/>
      <c r="AO106" s="1976"/>
      <c r="AP106" s="1976"/>
      <c r="AQ106" s="1976"/>
      <c r="AR106" s="1976"/>
      <c r="AS106" s="1976"/>
      <c r="AT106" s="1976"/>
      <c r="AU106" s="1976"/>
      <c r="AV106" s="1976"/>
      <c r="AW106" s="1976"/>
      <c r="AX106" s="1976"/>
      <c r="AY106" s="1976"/>
      <c r="AZ106" s="1976"/>
      <c r="BA106" s="1976"/>
      <c r="BB106" s="1976"/>
      <c r="BC106" s="1976"/>
      <c r="BD106" s="1976"/>
    </row>
    <row r="107" spans="1:56">
      <c r="A107" s="1943" t="s">
        <v>561</v>
      </c>
      <c r="B107" s="1976"/>
      <c r="C107" s="1976"/>
      <c r="D107" s="1976"/>
      <c r="E107" s="1976"/>
      <c r="F107" s="1976"/>
      <c r="G107" s="1976"/>
      <c r="H107" s="1976"/>
      <c r="I107" s="1976"/>
      <c r="J107" s="1976"/>
      <c r="K107" s="1976"/>
      <c r="L107" s="1976"/>
      <c r="M107" s="1976"/>
      <c r="N107" s="1976"/>
      <c r="O107" s="1976"/>
      <c r="P107" s="1976"/>
      <c r="Q107" s="1976"/>
      <c r="R107" s="1976"/>
      <c r="S107" s="1976"/>
      <c r="T107" s="1976"/>
      <c r="U107" s="1976"/>
      <c r="V107" s="1976"/>
      <c r="W107" s="1976"/>
      <c r="X107" s="1976"/>
      <c r="Y107" s="1976"/>
      <c r="Z107" s="1976"/>
      <c r="AA107" s="1976"/>
      <c r="AB107" s="1976"/>
      <c r="AC107" s="1976"/>
      <c r="AD107" s="1976"/>
      <c r="AE107" s="1976"/>
      <c r="AF107" s="1976"/>
      <c r="AG107" s="1976"/>
      <c r="AH107" s="1976"/>
      <c r="AI107" s="1976"/>
      <c r="AJ107" s="1976"/>
      <c r="AK107" s="1976"/>
      <c r="AL107" s="1976"/>
      <c r="AM107" s="1976"/>
      <c r="AN107" s="1976"/>
      <c r="AO107" s="1976"/>
      <c r="AP107" s="1976"/>
      <c r="AQ107" s="1976"/>
      <c r="AR107" s="1976"/>
      <c r="AS107" s="1976"/>
      <c r="AT107" s="1976"/>
      <c r="AU107" s="1976"/>
      <c r="AV107" s="1976"/>
      <c r="AW107" s="1976"/>
      <c r="AX107" s="1976"/>
      <c r="AY107" s="1976"/>
      <c r="AZ107" s="1976"/>
      <c r="BA107" s="1976"/>
      <c r="BB107" s="1976"/>
      <c r="BC107" s="1976"/>
      <c r="BD107" s="1976"/>
    </row>
    <row r="108" spans="1:56">
      <c r="A108" s="1943" t="s">
        <v>560</v>
      </c>
      <c r="B108" s="1976"/>
      <c r="C108" s="1976"/>
      <c r="D108" s="1976"/>
      <c r="E108" s="1976"/>
      <c r="F108" s="1976"/>
      <c r="G108" s="1976"/>
      <c r="H108" s="1976"/>
      <c r="I108" s="1976"/>
      <c r="J108" s="1976"/>
      <c r="K108" s="1976"/>
      <c r="L108" s="1976"/>
      <c r="M108" s="1976"/>
      <c r="N108" s="1976"/>
      <c r="O108" s="1976"/>
      <c r="P108" s="1976"/>
      <c r="Q108" s="1976"/>
      <c r="R108" s="1976"/>
      <c r="S108" s="1976"/>
      <c r="T108" s="1976"/>
      <c r="U108" s="1976"/>
      <c r="V108" s="1976"/>
      <c r="W108" s="1976"/>
      <c r="X108" s="1976"/>
      <c r="Y108" s="1976"/>
      <c r="Z108" s="1976"/>
      <c r="AA108" s="1976"/>
      <c r="AB108" s="1976"/>
      <c r="AC108" s="1976"/>
      <c r="AD108" s="1976"/>
      <c r="AE108" s="1976"/>
      <c r="AF108" s="1976"/>
      <c r="AG108" s="1976"/>
      <c r="AH108" s="1976"/>
      <c r="AI108" s="1976"/>
      <c r="AJ108" s="1976"/>
      <c r="AK108" s="1976"/>
      <c r="AL108" s="1976"/>
      <c r="AM108" s="1976"/>
      <c r="AN108" s="1976"/>
      <c r="AO108" s="1976"/>
      <c r="AP108" s="1976"/>
      <c r="AQ108" s="1976"/>
      <c r="AR108" s="1976"/>
      <c r="AS108" s="1976"/>
      <c r="AT108" s="1976"/>
      <c r="AU108" s="1976"/>
      <c r="AV108" s="1976"/>
      <c r="AW108" s="1976"/>
      <c r="AX108" s="1976"/>
      <c r="AY108" s="1976"/>
      <c r="AZ108" s="1976"/>
      <c r="BA108" s="1976"/>
      <c r="BB108" s="1976"/>
      <c r="BC108" s="1976"/>
      <c r="BD108" s="1976"/>
    </row>
    <row r="109" spans="1:56">
      <c r="A109" s="1943" t="s">
        <v>559</v>
      </c>
      <c r="B109" s="1976"/>
      <c r="C109" s="1976"/>
      <c r="D109" s="1976"/>
      <c r="E109" s="1976"/>
      <c r="F109" s="1976"/>
      <c r="G109" s="1976"/>
      <c r="H109" s="1976"/>
      <c r="I109" s="1976"/>
      <c r="J109" s="1976"/>
      <c r="K109" s="1976"/>
      <c r="L109" s="1976"/>
      <c r="M109" s="1976"/>
      <c r="N109" s="1976"/>
      <c r="O109" s="1976"/>
      <c r="P109" s="1976"/>
      <c r="Q109" s="1976"/>
      <c r="R109" s="1976"/>
      <c r="S109" s="1976"/>
      <c r="T109" s="1976"/>
      <c r="U109" s="1976"/>
      <c r="V109" s="1976"/>
      <c r="W109" s="1976"/>
      <c r="X109" s="1976"/>
      <c r="Y109" s="1976"/>
      <c r="Z109" s="1976"/>
      <c r="AA109" s="1976"/>
      <c r="AB109" s="1976"/>
      <c r="AC109" s="1976"/>
      <c r="AD109" s="1976"/>
      <c r="AE109" s="1976"/>
      <c r="AF109" s="1976"/>
      <c r="AG109" s="1976"/>
      <c r="AH109" s="1976"/>
      <c r="AI109" s="1976"/>
      <c r="AJ109" s="1976"/>
      <c r="AK109" s="1976"/>
      <c r="AL109" s="1976"/>
      <c r="AM109" s="1976"/>
      <c r="AN109" s="1976"/>
      <c r="AO109" s="1976"/>
      <c r="AP109" s="1976"/>
      <c r="AQ109" s="1976"/>
      <c r="AR109" s="1976"/>
      <c r="AS109" s="1976"/>
      <c r="AT109" s="1976"/>
      <c r="AU109" s="1976"/>
      <c r="AV109" s="1976"/>
      <c r="AW109" s="1976"/>
      <c r="AX109" s="1976"/>
      <c r="AY109" s="1976"/>
      <c r="AZ109" s="1976"/>
      <c r="BA109" s="1976"/>
      <c r="BB109" s="1976"/>
      <c r="BC109" s="1976"/>
      <c r="BD109" s="1976"/>
    </row>
    <row r="110" spans="1:56">
      <c r="A110" s="1943" t="s">
        <v>558</v>
      </c>
      <c r="B110" s="1976"/>
      <c r="C110" s="1976"/>
      <c r="D110" s="1976"/>
      <c r="E110" s="1976"/>
      <c r="F110" s="1976"/>
      <c r="G110" s="1976"/>
      <c r="H110" s="1976"/>
      <c r="I110" s="1976"/>
      <c r="J110" s="1976"/>
      <c r="K110" s="1976"/>
      <c r="L110" s="1976"/>
      <c r="M110" s="1976"/>
      <c r="N110" s="1976"/>
      <c r="O110" s="1976"/>
      <c r="P110" s="1976"/>
      <c r="Q110" s="1976"/>
      <c r="R110" s="1976"/>
      <c r="S110" s="1976"/>
      <c r="T110" s="1976"/>
      <c r="U110" s="1976"/>
      <c r="V110" s="1976"/>
      <c r="W110" s="1976"/>
      <c r="X110" s="1976"/>
      <c r="Y110" s="1976"/>
      <c r="Z110" s="1976"/>
      <c r="AA110" s="1976"/>
      <c r="AB110" s="1976"/>
      <c r="AC110" s="1976"/>
      <c r="AD110" s="1976"/>
      <c r="AE110" s="1976"/>
      <c r="AF110" s="1976"/>
      <c r="AG110" s="1976"/>
      <c r="AH110" s="1976"/>
      <c r="AI110" s="1976"/>
      <c r="AJ110" s="1976"/>
      <c r="AK110" s="1976"/>
      <c r="AL110" s="1976"/>
      <c r="AM110" s="1976"/>
      <c r="AN110" s="1976"/>
      <c r="AO110" s="1976"/>
      <c r="AP110" s="1976"/>
      <c r="AQ110" s="1976"/>
      <c r="AR110" s="1976"/>
      <c r="AS110" s="1976"/>
      <c r="AT110" s="1976"/>
      <c r="AU110" s="1976"/>
      <c r="AV110" s="1976"/>
      <c r="AW110" s="1976"/>
      <c r="AX110" s="1976"/>
      <c r="AY110" s="1976"/>
      <c r="AZ110" s="1976"/>
      <c r="BA110" s="1976"/>
      <c r="BB110" s="1976"/>
      <c r="BC110" s="1976"/>
      <c r="BD110" s="1976"/>
    </row>
    <row r="111" spans="1:56">
      <c r="A111" s="1943" t="s">
        <v>557</v>
      </c>
      <c r="B111" s="1976"/>
      <c r="C111" s="1976"/>
      <c r="D111" s="1976"/>
      <c r="E111" s="1976"/>
      <c r="F111" s="1976"/>
      <c r="G111" s="1976"/>
      <c r="H111" s="1976"/>
      <c r="I111" s="1976"/>
      <c r="J111" s="1976"/>
      <c r="K111" s="1976"/>
      <c r="L111" s="1976"/>
      <c r="M111" s="1976"/>
      <c r="N111" s="1976"/>
      <c r="O111" s="1976"/>
      <c r="P111" s="1976"/>
      <c r="Q111" s="1976"/>
      <c r="R111" s="1976"/>
      <c r="S111" s="1976"/>
      <c r="T111" s="1976"/>
      <c r="U111" s="1976"/>
      <c r="V111" s="1976"/>
      <c r="W111" s="1976"/>
      <c r="X111" s="1976"/>
      <c r="Y111" s="1976"/>
      <c r="Z111" s="1976"/>
      <c r="AA111" s="1976"/>
      <c r="AB111" s="1976"/>
      <c r="AC111" s="1976"/>
      <c r="AD111" s="1976"/>
      <c r="AE111" s="1976"/>
      <c r="AF111" s="1976"/>
      <c r="AG111" s="1976"/>
      <c r="AH111" s="1976"/>
      <c r="AI111" s="1976"/>
      <c r="AJ111" s="1976"/>
      <c r="AK111" s="1976"/>
      <c r="AL111" s="1976"/>
      <c r="AM111" s="1976"/>
      <c r="AN111" s="1976"/>
      <c r="AO111" s="1976"/>
      <c r="AP111" s="1976"/>
      <c r="AQ111" s="1976"/>
      <c r="AR111" s="1976"/>
      <c r="AS111" s="1976"/>
      <c r="AT111" s="1976"/>
      <c r="AU111" s="1976"/>
      <c r="AV111" s="1976"/>
      <c r="AW111" s="1976"/>
      <c r="AX111" s="1976"/>
      <c r="AY111" s="1976"/>
      <c r="AZ111" s="1976"/>
      <c r="BA111" s="1976"/>
      <c r="BB111" s="1976"/>
      <c r="BC111" s="1976"/>
      <c r="BD111" s="1976"/>
    </row>
    <row r="112" spans="1:56">
      <c r="A112" s="1943" t="s">
        <v>556</v>
      </c>
      <c r="B112" s="1976"/>
      <c r="C112" s="1976"/>
      <c r="D112" s="1976"/>
      <c r="E112" s="1976"/>
      <c r="F112" s="1976"/>
      <c r="G112" s="1976"/>
      <c r="H112" s="1976"/>
      <c r="I112" s="1976"/>
      <c r="J112" s="1976"/>
      <c r="K112" s="1976"/>
      <c r="L112" s="1976"/>
      <c r="M112" s="1976"/>
      <c r="N112" s="1976"/>
      <c r="O112" s="1976"/>
      <c r="P112" s="1976"/>
      <c r="Q112" s="1976"/>
      <c r="R112" s="1976"/>
      <c r="S112" s="1976"/>
      <c r="T112" s="1976"/>
      <c r="U112" s="1976"/>
      <c r="V112" s="1976"/>
      <c r="W112" s="1976"/>
      <c r="X112" s="1976"/>
      <c r="Y112" s="1976"/>
      <c r="Z112" s="1976"/>
      <c r="AA112" s="1976"/>
      <c r="AB112" s="1976"/>
      <c r="AC112" s="1976"/>
      <c r="AD112" s="1976"/>
      <c r="AE112" s="1976"/>
      <c r="AF112" s="1976"/>
      <c r="AG112" s="1976"/>
      <c r="AH112" s="1976"/>
      <c r="AI112" s="1976"/>
      <c r="AJ112" s="1976"/>
      <c r="AK112" s="1976"/>
      <c r="AL112" s="1976"/>
      <c r="AM112" s="1976"/>
      <c r="AN112" s="1976"/>
      <c r="AO112" s="1976"/>
      <c r="AP112" s="1976"/>
      <c r="AQ112" s="1976"/>
      <c r="AR112" s="1976"/>
      <c r="AS112" s="1976"/>
      <c r="AT112" s="1976"/>
      <c r="AU112" s="1976"/>
      <c r="AV112" s="1976"/>
      <c r="AW112" s="1976"/>
      <c r="AX112" s="1976"/>
      <c r="AY112" s="1976"/>
      <c r="AZ112" s="1976"/>
      <c r="BA112" s="1976"/>
      <c r="BB112" s="1976"/>
      <c r="BC112" s="1976"/>
      <c r="BD112" s="1976"/>
    </row>
    <row r="113" spans="1:56">
      <c r="A113" s="1943" t="s">
        <v>555</v>
      </c>
      <c r="B113" s="1976"/>
      <c r="C113" s="1976"/>
      <c r="D113" s="1976"/>
      <c r="E113" s="1976"/>
      <c r="F113" s="1976"/>
      <c r="G113" s="1976"/>
      <c r="H113" s="1976"/>
      <c r="I113" s="1976"/>
      <c r="J113" s="1976"/>
      <c r="K113" s="1976"/>
      <c r="L113" s="1976"/>
      <c r="M113" s="1976"/>
      <c r="N113" s="1976"/>
      <c r="O113" s="1976"/>
      <c r="P113" s="1976"/>
      <c r="Q113" s="1976"/>
      <c r="R113" s="1976"/>
      <c r="S113" s="1976"/>
      <c r="T113" s="1976"/>
      <c r="U113" s="1976"/>
      <c r="V113" s="1976"/>
      <c r="W113" s="1976"/>
      <c r="X113" s="1976"/>
      <c r="Y113" s="1976"/>
      <c r="Z113" s="1976"/>
      <c r="AA113" s="1976"/>
      <c r="AB113" s="1976"/>
      <c r="AC113" s="1976"/>
      <c r="AD113" s="1976"/>
      <c r="AE113" s="1976"/>
      <c r="AF113" s="1976"/>
      <c r="AG113" s="1976"/>
      <c r="AH113" s="1976"/>
      <c r="AI113" s="1976"/>
      <c r="AJ113" s="1976"/>
      <c r="AK113" s="1976"/>
      <c r="AL113" s="1976"/>
      <c r="AM113" s="1976"/>
      <c r="AN113" s="1976"/>
      <c r="AO113" s="1976"/>
      <c r="AP113" s="1976"/>
      <c r="AQ113" s="1976"/>
      <c r="AR113" s="1976"/>
      <c r="AS113" s="1976"/>
      <c r="AT113" s="1976"/>
      <c r="AU113" s="1976"/>
      <c r="AV113" s="1976"/>
      <c r="AW113" s="1976"/>
      <c r="AX113" s="1976"/>
      <c r="AY113" s="1976"/>
      <c r="AZ113" s="1976"/>
      <c r="BA113" s="1976"/>
      <c r="BB113" s="1976"/>
      <c r="BC113" s="1976"/>
      <c r="BD113" s="1976"/>
    </row>
    <row r="114" spans="1:56">
      <c r="A114" s="1943" t="s">
        <v>554</v>
      </c>
      <c r="B114" s="1976"/>
      <c r="C114" s="1976"/>
      <c r="D114" s="1976"/>
      <c r="E114" s="1976"/>
      <c r="F114" s="1976"/>
      <c r="G114" s="1976"/>
      <c r="H114" s="1976"/>
      <c r="I114" s="1976"/>
      <c r="J114" s="1976"/>
      <c r="K114" s="1976"/>
      <c r="L114" s="1976"/>
      <c r="M114" s="1976"/>
      <c r="N114" s="1976"/>
      <c r="O114" s="1976"/>
      <c r="P114" s="1976"/>
      <c r="Q114" s="1976"/>
      <c r="R114" s="1976"/>
      <c r="S114" s="1976"/>
      <c r="T114" s="1976"/>
      <c r="U114" s="1976"/>
      <c r="V114" s="1976"/>
      <c r="W114" s="1976"/>
      <c r="X114" s="1976"/>
      <c r="Y114" s="1976"/>
      <c r="Z114" s="1976"/>
      <c r="AA114" s="1976"/>
      <c r="AB114" s="1976"/>
      <c r="AC114" s="1976"/>
      <c r="AD114" s="1976"/>
      <c r="AE114" s="1976"/>
      <c r="AF114" s="1976"/>
      <c r="AG114" s="1976"/>
      <c r="AH114" s="1976"/>
      <c r="AI114" s="1976"/>
      <c r="AJ114" s="1976"/>
      <c r="AK114" s="1976"/>
      <c r="AL114" s="1976"/>
      <c r="AM114" s="1976"/>
      <c r="AN114" s="1976"/>
      <c r="AO114" s="1976"/>
      <c r="AP114" s="1976"/>
      <c r="AQ114" s="1976"/>
      <c r="AR114" s="1976"/>
      <c r="AS114" s="1976"/>
      <c r="AT114" s="1976"/>
      <c r="AU114" s="1976"/>
      <c r="AV114" s="1976"/>
      <c r="AW114" s="1976"/>
      <c r="AX114" s="1976"/>
      <c r="AY114" s="1976"/>
      <c r="AZ114" s="1976"/>
      <c r="BA114" s="1976"/>
      <c r="BB114" s="1976"/>
      <c r="BC114" s="1976"/>
      <c r="BD114" s="1976"/>
    </row>
    <row r="115" spans="1:56">
      <c r="A115" s="1943" t="s">
        <v>553</v>
      </c>
      <c r="B115" s="1976"/>
      <c r="C115" s="1976"/>
      <c r="D115" s="1976"/>
      <c r="E115" s="1976"/>
      <c r="F115" s="1976"/>
      <c r="G115" s="1976"/>
      <c r="H115" s="1976"/>
      <c r="I115" s="1976"/>
      <c r="J115" s="1976"/>
      <c r="K115" s="1976"/>
      <c r="L115" s="1976"/>
      <c r="M115" s="1976"/>
      <c r="N115" s="1976"/>
      <c r="O115" s="1976"/>
      <c r="P115" s="1976"/>
      <c r="Q115" s="1976"/>
      <c r="R115" s="1976"/>
      <c r="S115" s="1976"/>
      <c r="T115" s="1976"/>
      <c r="U115" s="1976"/>
      <c r="V115" s="1976"/>
      <c r="W115" s="1976"/>
      <c r="X115" s="1976"/>
      <c r="Y115" s="1976"/>
      <c r="Z115" s="1976"/>
      <c r="AA115" s="1976"/>
      <c r="AB115" s="1976"/>
      <c r="AC115" s="1976"/>
      <c r="AD115" s="1976"/>
      <c r="AE115" s="1976"/>
      <c r="AF115" s="1976"/>
      <c r="AG115" s="1976"/>
      <c r="AH115" s="1976"/>
      <c r="AI115" s="1976"/>
      <c r="AJ115" s="1976"/>
      <c r="AK115" s="1976"/>
      <c r="AL115" s="1976"/>
      <c r="AM115" s="1976"/>
      <c r="AN115" s="1976"/>
      <c r="AO115" s="1976"/>
      <c r="AP115" s="1976"/>
      <c r="AQ115" s="1976"/>
      <c r="AR115" s="1976"/>
      <c r="AS115" s="1976"/>
      <c r="AT115" s="1976"/>
      <c r="AU115" s="1976"/>
      <c r="AV115" s="1976"/>
      <c r="AW115" s="1976"/>
      <c r="AX115" s="1976"/>
      <c r="AY115" s="1976"/>
      <c r="AZ115" s="1976"/>
      <c r="BA115" s="1976"/>
      <c r="BB115" s="1976"/>
      <c r="BC115" s="1976"/>
      <c r="BD115" s="1976"/>
    </row>
    <row r="116" spans="1:56">
      <c r="A116" s="1943" t="s">
        <v>552</v>
      </c>
      <c r="B116" s="1976"/>
      <c r="C116" s="1976"/>
      <c r="D116" s="1976"/>
      <c r="E116" s="1976"/>
      <c r="F116" s="1976"/>
      <c r="G116" s="1976"/>
      <c r="H116" s="1976"/>
      <c r="I116" s="1976"/>
      <c r="J116" s="1976"/>
      <c r="K116" s="1976"/>
      <c r="L116" s="1976"/>
      <c r="M116" s="1976"/>
      <c r="N116" s="1976"/>
      <c r="O116" s="1976"/>
      <c r="P116" s="1976"/>
      <c r="Q116" s="1976"/>
      <c r="R116" s="1976"/>
      <c r="S116" s="1976"/>
      <c r="T116" s="1976"/>
      <c r="U116" s="1976"/>
      <c r="V116" s="1976"/>
      <c r="W116" s="1976"/>
      <c r="X116" s="1976"/>
      <c r="Y116" s="1976"/>
      <c r="Z116" s="1976"/>
      <c r="AA116" s="1976"/>
      <c r="AB116" s="1976"/>
      <c r="AC116" s="1976"/>
      <c r="AD116" s="1976"/>
      <c r="AE116" s="1976"/>
      <c r="AF116" s="1976"/>
      <c r="AG116" s="1976"/>
      <c r="AH116" s="1976"/>
      <c r="AI116" s="1976"/>
      <c r="AJ116" s="1976"/>
      <c r="AK116" s="1976"/>
      <c r="AL116" s="1976"/>
      <c r="AM116" s="1976"/>
      <c r="AN116" s="1976"/>
      <c r="AO116" s="1976"/>
      <c r="AP116" s="1976"/>
      <c r="AQ116" s="1976"/>
      <c r="AR116" s="1976"/>
      <c r="AS116" s="1976"/>
      <c r="AT116" s="1976"/>
      <c r="AU116" s="1976"/>
      <c r="AV116" s="1976"/>
      <c r="AW116" s="1976"/>
      <c r="AX116" s="1976"/>
      <c r="AY116" s="1976"/>
      <c r="AZ116" s="1976"/>
      <c r="BA116" s="1976"/>
      <c r="BB116" s="1976"/>
      <c r="BC116" s="1976"/>
      <c r="BD116" s="1976"/>
    </row>
    <row r="117" spans="1:56">
      <c r="A117" s="1943" t="s">
        <v>551</v>
      </c>
      <c r="B117" s="1976"/>
      <c r="C117" s="1976"/>
      <c r="D117" s="1976"/>
      <c r="E117" s="1976"/>
      <c r="F117" s="1976"/>
      <c r="G117" s="1976"/>
      <c r="H117" s="1976"/>
      <c r="I117" s="1976"/>
      <c r="J117" s="1976"/>
      <c r="K117" s="1976"/>
      <c r="L117" s="1976"/>
      <c r="M117" s="1976"/>
      <c r="N117" s="1976"/>
      <c r="O117" s="1976"/>
      <c r="P117" s="1976"/>
      <c r="Q117" s="1976"/>
      <c r="R117" s="1976"/>
      <c r="S117" s="1976"/>
      <c r="T117" s="1976"/>
      <c r="U117" s="1976"/>
      <c r="V117" s="1976"/>
      <c r="W117" s="1976"/>
      <c r="X117" s="1976"/>
      <c r="Y117" s="1976"/>
      <c r="Z117" s="1976"/>
      <c r="AA117" s="1976"/>
      <c r="AB117" s="1976"/>
      <c r="AC117" s="1976"/>
      <c r="AD117" s="1976"/>
      <c r="AE117" s="1976"/>
      <c r="AF117" s="1976"/>
      <c r="AG117" s="1976"/>
      <c r="AH117" s="1976"/>
      <c r="AI117" s="1976"/>
      <c r="AJ117" s="1976"/>
      <c r="AK117" s="1976"/>
      <c r="AL117" s="1976"/>
      <c r="AM117" s="1976"/>
      <c r="AN117" s="1976"/>
      <c r="AO117" s="1976"/>
      <c r="AP117" s="1976"/>
      <c r="AQ117" s="1976"/>
      <c r="AR117" s="1976"/>
      <c r="AS117" s="1976"/>
      <c r="AT117" s="1976"/>
      <c r="AU117" s="1976"/>
      <c r="AV117" s="1976"/>
      <c r="AW117" s="1976"/>
      <c r="AX117" s="1976"/>
      <c r="AY117" s="1976"/>
      <c r="AZ117" s="1976"/>
      <c r="BA117" s="1976"/>
      <c r="BB117" s="1976"/>
      <c r="BC117" s="1976"/>
      <c r="BD117" s="1976"/>
    </row>
  </sheetData>
  <mergeCells count="89">
    <mergeCell ref="A1:BD1"/>
    <mergeCell ref="A2:BD2"/>
    <mergeCell ref="A3:BD3"/>
    <mergeCell ref="A4:BD4"/>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V6"/>
    <mergeCell ref="W6"/>
    <mergeCell ref="X6"/>
    <mergeCell ref="Y6"/>
    <mergeCell ref="Z6"/>
    <mergeCell ref="AA6"/>
    <mergeCell ref="AB6"/>
    <mergeCell ref="AC6"/>
    <mergeCell ref="AD6"/>
    <mergeCell ref="AE6"/>
    <mergeCell ref="AF6"/>
    <mergeCell ref="AG6"/>
    <mergeCell ref="AH6"/>
    <mergeCell ref="AI6"/>
    <mergeCell ref="AJ6"/>
    <mergeCell ref="AK6"/>
    <mergeCell ref="AU6"/>
    <mergeCell ref="AV6"/>
    <mergeCell ref="AL6"/>
    <mergeCell ref="AM6"/>
    <mergeCell ref="AN6"/>
    <mergeCell ref="AO6"/>
    <mergeCell ref="AP6"/>
    <mergeCell ref="A92:BD92"/>
    <mergeCell ref="AW6"/>
    <mergeCell ref="AX6"/>
    <mergeCell ref="AY6"/>
    <mergeCell ref="AZ6"/>
    <mergeCell ref="BC6"/>
    <mergeCell ref="BD6"/>
    <mergeCell ref="A89:BD89"/>
    <mergeCell ref="A90:BD90"/>
    <mergeCell ref="A91:BD91"/>
    <mergeCell ref="BA6"/>
    <mergeCell ref="BB6"/>
    <mergeCell ref="AQ6"/>
    <mergeCell ref="AR6"/>
    <mergeCell ref="AS6"/>
    <mergeCell ref="AT6"/>
    <mergeCell ref="A93:BD93"/>
    <mergeCell ref="A94:BD94"/>
    <mergeCell ref="A95:BD95"/>
    <mergeCell ref="A96:BD96"/>
    <mergeCell ref="A97:BD97"/>
    <mergeCell ref="A98:BD98"/>
    <mergeCell ref="A99:BD99"/>
    <mergeCell ref="A100:BD100"/>
    <mergeCell ref="A101:BD101"/>
    <mergeCell ref="A102:BD102"/>
    <mergeCell ref="A103:BD103"/>
    <mergeCell ref="A104:BD104"/>
    <mergeCell ref="A105:BD105"/>
    <mergeCell ref="A106:BD106"/>
    <mergeCell ref="A107:BD107"/>
    <mergeCell ref="A108:BD108"/>
    <mergeCell ref="A109:BD109"/>
    <mergeCell ref="A110:BD110"/>
    <mergeCell ref="A117:BD117"/>
    <mergeCell ref="A111:BD111"/>
    <mergeCell ref="A112:BD112"/>
    <mergeCell ref="A113:BD113"/>
    <mergeCell ref="A114:BD114"/>
    <mergeCell ref="A115:BD115"/>
    <mergeCell ref="A116:BD116"/>
  </mergeCells>
  <pageMargins left="0.75" right="0.75" top="1" bottom="1" header="0.5" footer="0.5"/>
  <pageSetup orientation="portrait" horizontalDpi="300" verticalDpi="300"/>
  <legacyDrawing r:id="rId1"/>
  <extLst>
    <ext xmlns:mx="http://schemas.microsoft.com/office/mac/excel/2008/main" uri="{64002731-A6B0-56B0-2670-7721B7C09600}">
      <mx:PLV Mode="0" OnePage="0" WScale="0"/>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7"/>
  <sheetViews>
    <sheetView workbookViewId="0">
      <pane xSplit="2" ySplit="6" topLeftCell="C45"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7.5703125" style="260"/>
    <col min="2" max="2" width="39.140625" style="260" customWidth="1"/>
    <col min="3" max="16384" width="7.5703125" style="260"/>
  </cols>
  <sheetData>
    <row r="1" spans="1:20" ht="17">
      <c r="A1" s="1978" t="s">
        <v>1010</v>
      </c>
      <c r="B1" s="1976"/>
      <c r="C1" s="1976"/>
      <c r="D1" s="1976"/>
      <c r="E1" s="1976"/>
      <c r="F1" s="1976"/>
      <c r="G1" s="1976"/>
      <c r="H1" s="1976"/>
      <c r="I1" s="1976"/>
      <c r="J1" s="1976"/>
      <c r="K1" s="1976"/>
      <c r="L1" s="1976"/>
      <c r="M1" s="1976"/>
      <c r="N1" s="1976"/>
      <c r="O1" s="1976"/>
      <c r="P1" s="1976"/>
      <c r="Q1" s="1976"/>
      <c r="R1" s="1976"/>
      <c r="S1" s="1976"/>
      <c r="T1" s="1976"/>
    </row>
    <row r="2" spans="1:20" ht="16">
      <c r="A2" s="1979" t="s">
        <v>248</v>
      </c>
      <c r="B2" s="1976"/>
      <c r="C2" s="1976"/>
      <c r="D2" s="1976"/>
      <c r="E2" s="1976"/>
      <c r="F2" s="1976"/>
      <c r="G2" s="1976"/>
      <c r="H2" s="1976"/>
      <c r="I2" s="1976"/>
      <c r="J2" s="1976"/>
      <c r="K2" s="1976"/>
      <c r="L2" s="1976"/>
      <c r="M2" s="1976"/>
      <c r="N2" s="1976"/>
      <c r="O2" s="1976"/>
      <c r="P2" s="1976"/>
      <c r="Q2" s="1976"/>
      <c r="R2" s="1976"/>
      <c r="S2" s="1976"/>
      <c r="T2" s="1976"/>
    </row>
    <row r="3" spans="1:20">
      <c r="A3" s="1976" t="s">
        <v>160</v>
      </c>
      <c r="B3" s="1976"/>
      <c r="C3" s="1976"/>
      <c r="D3" s="1976"/>
      <c r="E3" s="1976"/>
      <c r="F3" s="1976"/>
      <c r="G3" s="1976"/>
      <c r="H3" s="1976"/>
      <c r="I3" s="1976"/>
      <c r="J3" s="1976"/>
      <c r="K3" s="1976"/>
      <c r="L3" s="1976"/>
      <c r="M3" s="1976"/>
      <c r="N3" s="1976"/>
      <c r="O3" s="1976"/>
      <c r="P3" s="1976"/>
      <c r="Q3" s="1976"/>
      <c r="R3" s="1976"/>
      <c r="S3" s="1976"/>
      <c r="T3" s="1976"/>
    </row>
    <row r="4" spans="1:20">
      <c r="A4" s="1976" t="s">
        <v>1009</v>
      </c>
      <c r="B4" s="1976"/>
      <c r="C4" s="1976"/>
      <c r="D4" s="1976"/>
      <c r="E4" s="1976"/>
      <c r="F4" s="1976"/>
      <c r="G4" s="1976"/>
      <c r="H4" s="1976"/>
      <c r="I4" s="1976"/>
      <c r="J4" s="1976"/>
      <c r="K4" s="1976"/>
      <c r="L4" s="1976"/>
      <c r="M4" s="1976"/>
      <c r="N4" s="1976"/>
      <c r="O4" s="1976"/>
      <c r="P4" s="1976"/>
      <c r="Q4" s="1976"/>
      <c r="R4" s="1976"/>
      <c r="S4" s="1976"/>
      <c r="T4" s="1976"/>
    </row>
    <row r="6" spans="1:20">
      <c r="A6" s="1977" t="s">
        <v>159</v>
      </c>
      <c r="B6" s="1977" t="s">
        <v>32</v>
      </c>
      <c r="C6" s="1977" t="s">
        <v>88</v>
      </c>
      <c r="D6" s="1977" t="s">
        <v>679</v>
      </c>
      <c r="E6" s="1977" t="s">
        <v>86</v>
      </c>
      <c r="F6" s="1977" t="s">
        <v>678</v>
      </c>
      <c r="G6" s="1977" t="s">
        <v>84</v>
      </c>
      <c r="H6" s="1977" t="s">
        <v>677</v>
      </c>
      <c r="I6" s="1977" t="s">
        <v>82</v>
      </c>
      <c r="J6" s="1977" t="s">
        <v>676</v>
      </c>
      <c r="K6" s="1977" t="s">
        <v>80</v>
      </c>
      <c r="L6" s="1977" t="s">
        <v>675</v>
      </c>
      <c r="M6" s="1977" t="s">
        <v>78</v>
      </c>
      <c r="N6" s="1977" t="s">
        <v>674</v>
      </c>
      <c r="O6" s="1977" t="s">
        <v>76</v>
      </c>
      <c r="P6" s="1977" t="s">
        <v>673</v>
      </c>
      <c r="Q6" s="1977" t="s">
        <v>74</v>
      </c>
      <c r="R6" s="1977" t="s">
        <v>1008</v>
      </c>
      <c r="S6" s="1977" t="s">
        <v>865</v>
      </c>
      <c r="T6" s="1977" t="s">
        <v>1007</v>
      </c>
    </row>
    <row r="7" spans="1:20">
      <c r="A7" s="260" t="s">
        <v>73</v>
      </c>
      <c r="B7" s="268" t="s">
        <v>1006</v>
      </c>
      <c r="C7" s="260">
        <v>299114</v>
      </c>
      <c r="D7" s="260">
        <v>356706</v>
      </c>
      <c r="E7" s="260">
        <v>296977</v>
      </c>
      <c r="F7" s="260">
        <v>286525</v>
      </c>
      <c r="G7" s="260">
        <v>324374</v>
      </c>
      <c r="H7" s="260">
        <v>416085</v>
      </c>
      <c r="I7" s="260">
        <v>534215</v>
      </c>
      <c r="J7" s="260">
        <v>680830</v>
      </c>
      <c r="K7" s="260">
        <v>834983</v>
      </c>
      <c r="L7" s="260">
        <v>815567</v>
      </c>
      <c r="M7" s="260">
        <v>613249</v>
      </c>
      <c r="N7" s="260">
        <v>680169</v>
      </c>
      <c r="O7" s="260">
        <v>755937</v>
      </c>
      <c r="P7" s="260">
        <v>767972</v>
      </c>
      <c r="Q7" s="260">
        <v>792819</v>
      </c>
      <c r="R7" s="260">
        <v>817348</v>
      </c>
      <c r="S7" s="260">
        <v>782985</v>
      </c>
      <c r="T7" s="260">
        <v>813977</v>
      </c>
    </row>
    <row r="8" spans="1:20">
      <c r="A8" s="260" t="s">
        <v>72</v>
      </c>
      <c r="B8" s="268" t="s">
        <v>1001</v>
      </c>
      <c r="C8" s="260">
        <v>294868</v>
      </c>
      <c r="D8" s="260">
        <v>352311</v>
      </c>
      <c r="E8" s="260">
        <v>292465</v>
      </c>
      <c r="F8" s="260">
        <v>281955</v>
      </c>
      <c r="G8" s="260">
        <v>319702</v>
      </c>
      <c r="H8" s="260">
        <v>411351</v>
      </c>
      <c r="I8" s="260">
        <v>529419</v>
      </c>
      <c r="J8" s="260">
        <v>675761</v>
      </c>
      <c r="K8" s="260">
        <v>829764</v>
      </c>
      <c r="L8" s="260">
        <v>810203</v>
      </c>
      <c r="M8" s="260">
        <v>607509</v>
      </c>
      <c r="N8" s="260">
        <v>674238</v>
      </c>
      <c r="O8" s="260">
        <v>749832</v>
      </c>
      <c r="P8" s="260">
        <v>761670</v>
      </c>
      <c r="Q8" s="260">
        <v>786206</v>
      </c>
      <c r="R8" s="260">
        <v>810845</v>
      </c>
      <c r="S8" s="260">
        <v>776424</v>
      </c>
      <c r="T8" s="260">
        <v>807430</v>
      </c>
    </row>
    <row r="9" spans="1:20">
      <c r="A9" s="260" t="s">
        <v>70</v>
      </c>
      <c r="B9" s="260" t="s">
        <v>1000</v>
      </c>
      <c r="C9" s="260">
        <v>135317</v>
      </c>
      <c r="D9" s="260">
        <v>156067</v>
      </c>
      <c r="E9" s="260">
        <v>133212</v>
      </c>
      <c r="F9" s="260">
        <v>149414</v>
      </c>
      <c r="G9" s="260">
        <v>188380</v>
      </c>
      <c r="H9" s="260">
        <v>250900</v>
      </c>
      <c r="I9" s="260">
        <v>291418</v>
      </c>
      <c r="J9" s="260">
        <v>320975</v>
      </c>
      <c r="K9" s="260">
        <v>371794</v>
      </c>
      <c r="L9" s="260">
        <v>415225</v>
      </c>
      <c r="M9" s="260">
        <v>369172</v>
      </c>
      <c r="N9" s="260">
        <v>443028</v>
      </c>
      <c r="O9" s="260">
        <v>473625</v>
      </c>
      <c r="P9" s="260">
        <v>464813</v>
      </c>
      <c r="Q9" s="260">
        <v>476212</v>
      </c>
      <c r="R9" s="260">
        <v>474805</v>
      </c>
      <c r="S9" s="260">
        <v>436909</v>
      </c>
      <c r="T9" s="260">
        <v>444038</v>
      </c>
    </row>
    <row r="10" spans="1:20">
      <c r="A10" s="260" t="s">
        <v>69</v>
      </c>
      <c r="B10" s="260" t="s">
        <v>999</v>
      </c>
      <c r="C10" s="260">
        <v>125990</v>
      </c>
      <c r="D10" s="260">
        <v>144834</v>
      </c>
      <c r="E10" s="260">
        <v>122258</v>
      </c>
      <c r="F10" s="260">
        <v>139300</v>
      </c>
      <c r="G10" s="260">
        <v>178206</v>
      </c>
      <c r="H10" s="260">
        <v>240334</v>
      </c>
      <c r="I10" s="260">
        <v>279062</v>
      </c>
      <c r="J10" s="260">
        <v>306768</v>
      </c>
      <c r="K10" s="260">
        <v>354311</v>
      </c>
      <c r="L10" s="260">
        <v>397401</v>
      </c>
      <c r="M10" s="260">
        <v>354854</v>
      </c>
      <c r="N10" s="260">
        <v>430360</v>
      </c>
      <c r="O10" s="260">
        <v>459739</v>
      </c>
      <c r="P10" s="260">
        <v>448869</v>
      </c>
      <c r="Q10" s="260">
        <v>459144</v>
      </c>
      <c r="R10" s="260">
        <v>455568</v>
      </c>
      <c r="S10" s="260">
        <v>416422</v>
      </c>
      <c r="T10" s="260">
        <v>419493</v>
      </c>
    </row>
    <row r="11" spans="1:20">
      <c r="A11" s="260" t="s">
        <v>68</v>
      </c>
      <c r="B11" s="260" t="s">
        <v>998</v>
      </c>
      <c r="C11" s="260">
        <v>62536</v>
      </c>
      <c r="D11" s="260">
        <v>52863</v>
      </c>
      <c r="E11" s="260">
        <v>53235</v>
      </c>
      <c r="F11" s="260">
        <v>54601</v>
      </c>
      <c r="G11" s="260">
        <v>59459</v>
      </c>
      <c r="H11" s="260">
        <v>81555</v>
      </c>
      <c r="I11" s="260">
        <v>298712</v>
      </c>
      <c r="J11" s="260">
        <v>101686</v>
      </c>
      <c r="K11" s="260">
        <v>132833</v>
      </c>
      <c r="L11" s="260">
        <v>172448</v>
      </c>
      <c r="M11" s="260">
        <v>128561</v>
      </c>
      <c r="N11" s="260">
        <v>132616</v>
      </c>
      <c r="O11" s="260">
        <v>151122</v>
      </c>
      <c r="P11" s="260">
        <v>164883</v>
      </c>
      <c r="Q11" s="260">
        <v>144080</v>
      </c>
      <c r="R11" s="260">
        <v>143994</v>
      </c>
      <c r="S11" s="260">
        <v>125507</v>
      </c>
      <c r="T11" s="260">
        <v>120899</v>
      </c>
    </row>
    <row r="12" spans="1:20">
      <c r="A12" s="260" t="s">
        <v>66</v>
      </c>
      <c r="B12" s="260" t="s">
        <v>997</v>
      </c>
      <c r="C12" s="260">
        <v>63454</v>
      </c>
      <c r="D12" s="260">
        <v>91971</v>
      </c>
      <c r="E12" s="260">
        <v>69023</v>
      </c>
      <c r="F12" s="260">
        <v>84698</v>
      </c>
      <c r="G12" s="260">
        <v>118747</v>
      </c>
      <c r="H12" s="260">
        <v>158779</v>
      </c>
      <c r="I12" s="260">
        <v>-19650</v>
      </c>
      <c r="J12" s="260">
        <v>205082</v>
      </c>
      <c r="K12" s="260">
        <v>221478</v>
      </c>
      <c r="L12" s="260">
        <v>224954</v>
      </c>
      <c r="M12" s="260">
        <v>226293</v>
      </c>
      <c r="N12" s="260">
        <v>297744</v>
      </c>
      <c r="O12" s="260">
        <v>308617</v>
      </c>
      <c r="P12" s="260">
        <v>283987</v>
      </c>
      <c r="Q12" s="260">
        <v>315064</v>
      </c>
      <c r="R12" s="260">
        <v>311574</v>
      </c>
      <c r="S12" s="260">
        <v>290915</v>
      </c>
      <c r="T12" s="260">
        <v>298594</v>
      </c>
    </row>
    <row r="13" spans="1:20">
      <c r="A13" s="260" t="s">
        <v>65</v>
      </c>
      <c r="B13" s="260" t="s">
        <v>528</v>
      </c>
      <c r="C13" s="260">
        <v>9326</v>
      </c>
      <c r="D13" s="260">
        <v>11233</v>
      </c>
      <c r="E13" s="260">
        <v>10954</v>
      </c>
      <c r="F13" s="260">
        <v>10113</v>
      </c>
      <c r="G13" s="260">
        <v>10174</v>
      </c>
      <c r="H13" s="260">
        <v>10566</v>
      </c>
      <c r="I13" s="260">
        <v>12356</v>
      </c>
      <c r="J13" s="260">
        <v>14207</v>
      </c>
      <c r="K13" s="260">
        <v>17483</v>
      </c>
      <c r="L13" s="260">
        <v>17824</v>
      </c>
      <c r="M13" s="260">
        <v>14317</v>
      </c>
      <c r="N13" s="260">
        <v>12668</v>
      </c>
      <c r="O13" s="260">
        <v>13886</v>
      </c>
      <c r="P13" s="260">
        <v>15943</v>
      </c>
      <c r="Q13" s="260">
        <v>17068</v>
      </c>
      <c r="R13" s="260">
        <v>19237</v>
      </c>
      <c r="S13" s="260">
        <v>20487</v>
      </c>
      <c r="T13" s="260">
        <v>24544</v>
      </c>
    </row>
    <row r="14" spans="1:20">
      <c r="A14" s="260" t="s">
        <v>64</v>
      </c>
      <c r="B14" s="260" t="s">
        <v>1005</v>
      </c>
      <c r="C14" s="260">
        <v>7757</v>
      </c>
      <c r="D14" s="260">
        <v>8690</v>
      </c>
      <c r="E14" s="260">
        <v>8938</v>
      </c>
      <c r="F14" s="260">
        <v>8467</v>
      </c>
      <c r="G14" s="260">
        <v>8657</v>
      </c>
      <c r="H14" s="260">
        <v>8353</v>
      </c>
      <c r="I14" s="260">
        <v>8980</v>
      </c>
      <c r="J14" s="260">
        <v>9602</v>
      </c>
      <c r="K14" s="260">
        <v>11300</v>
      </c>
      <c r="L14" s="260">
        <v>12227</v>
      </c>
      <c r="M14" s="260">
        <v>9873</v>
      </c>
      <c r="N14" s="260">
        <v>8407</v>
      </c>
      <c r="O14" s="260">
        <v>9517</v>
      </c>
      <c r="P14" s="260">
        <v>12312</v>
      </c>
      <c r="Q14" s="260">
        <v>13486</v>
      </c>
      <c r="R14" s="260">
        <v>14683</v>
      </c>
      <c r="S14" s="260">
        <v>15661</v>
      </c>
      <c r="T14" s="260">
        <v>17670</v>
      </c>
    </row>
    <row r="15" spans="1:20">
      <c r="A15" s="260" t="s">
        <v>63</v>
      </c>
      <c r="B15" s="260" t="s">
        <v>1004</v>
      </c>
      <c r="C15" s="260">
        <v>1569</v>
      </c>
      <c r="D15" s="260">
        <v>2543</v>
      </c>
      <c r="E15" s="260">
        <v>2016</v>
      </c>
      <c r="F15" s="260">
        <v>1646</v>
      </c>
      <c r="G15" s="260">
        <v>1518</v>
      </c>
      <c r="H15" s="260">
        <v>2213</v>
      </c>
      <c r="I15" s="260">
        <v>3376</v>
      </c>
      <c r="J15" s="260">
        <v>4605</v>
      </c>
      <c r="K15" s="260">
        <v>6183</v>
      </c>
      <c r="L15" s="260">
        <v>5597</v>
      </c>
      <c r="M15" s="260">
        <v>4445</v>
      </c>
      <c r="N15" s="260">
        <v>4261</v>
      </c>
      <c r="O15" s="260">
        <v>4369</v>
      </c>
      <c r="P15" s="260">
        <v>3632</v>
      </c>
      <c r="Q15" s="260">
        <v>3582</v>
      </c>
      <c r="R15" s="260">
        <v>4554</v>
      </c>
      <c r="S15" s="260">
        <v>4826</v>
      </c>
      <c r="T15" s="260">
        <v>6874</v>
      </c>
    </row>
    <row r="16" spans="1:20">
      <c r="A16" s="260" t="s">
        <v>61</v>
      </c>
      <c r="B16" s="260" t="s">
        <v>994</v>
      </c>
      <c r="C16" s="260">
        <v>72171</v>
      </c>
      <c r="D16" s="260">
        <v>78401</v>
      </c>
      <c r="E16" s="260">
        <v>73914</v>
      </c>
      <c r="F16" s="260">
        <v>81923</v>
      </c>
      <c r="G16" s="260">
        <v>90652</v>
      </c>
      <c r="H16" s="260">
        <v>108647</v>
      </c>
      <c r="I16" s="260">
        <v>129691</v>
      </c>
      <c r="J16" s="260">
        <v>166146</v>
      </c>
      <c r="K16" s="260">
        <v>221610</v>
      </c>
      <c r="L16" s="260">
        <v>241329</v>
      </c>
      <c r="M16" s="260">
        <v>184417</v>
      </c>
      <c r="N16" s="260">
        <v>194852</v>
      </c>
      <c r="O16" s="260">
        <v>237343</v>
      </c>
      <c r="P16" s="260">
        <v>260429</v>
      </c>
      <c r="Q16" s="260">
        <v>278441</v>
      </c>
      <c r="R16" s="260">
        <v>304984</v>
      </c>
      <c r="S16" s="260">
        <v>307963</v>
      </c>
      <c r="T16" s="260">
        <v>324051</v>
      </c>
    </row>
    <row r="17" spans="1:20">
      <c r="A17" s="260" t="s">
        <v>60</v>
      </c>
      <c r="B17" s="260" t="s">
        <v>993</v>
      </c>
      <c r="C17" s="260">
        <v>30123</v>
      </c>
      <c r="D17" s="260">
        <v>33473</v>
      </c>
      <c r="E17" s="260">
        <v>34164</v>
      </c>
      <c r="F17" s="260">
        <v>38229</v>
      </c>
      <c r="G17" s="260">
        <v>41554</v>
      </c>
      <c r="H17" s="260">
        <v>54087</v>
      </c>
      <c r="I17" s="260">
        <v>64628</v>
      </c>
      <c r="J17" s="260">
        <v>84330</v>
      </c>
      <c r="K17" s="260">
        <v>116147</v>
      </c>
      <c r="L17" s="260">
        <v>143918</v>
      </c>
      <c r="M17" s="260">
        <v>108592</v>
      </c>
      <c r="N17" s="260">
        <v>115377</v>
      </c>
      <c r="O17" s="260">
        <v>147474</v>
      </c>
      <c r="P17" s="260">
        <v>166705</v>
      </c>
      <c r="Q17" s="260">
        <v>173877</v>
      </c>
      <c r="R17" s="260">
        <v>197747</v>
      </c>
      <c r="S17" s="260">
        <v>203052</v>
      </c>
      <c r="T17" s="260">
        <v>217629</v>
      </c>
    </row>
    <row r="18" spans="1:20">
      <c r="A18" s="260" t="s">
        <v>59</v>
      </c>
      <c r="B18" s="260" t="s">
        <v>992</v>
      </c>
      <c r="C18" s="260">
        <v>30123</v>
      </c>
      <c r="D18" s="260">
        <v>33473</v>
      </c>
      <c r="E18" s="260">
        <v>34164</v>
      </c>
      <c r="F18" s="260">
        <v>38229</v>
      </c>
      <c r="G18" s="260">
        <v>41554</v>
      </c>
      <c r="H18" s="260">
        <v>54087</v>
      </c>
      <c r="I18" s="260">
        <v>64628</v>
      </c>
      <c r="J18" s="260">
        <v>84330</v>
      </c>
      <c r="K18" s="260">
        <v>116147</v>
      </c>
      <c r="L18" s="260">
        <v>143918</v>
      </c>
      <c r="M18" s="260">
        <v>108592</v>
      </c>
      <c r="N18" s="260">
        <v>115377</v>
      </c>
      <c r="O18" s="260">
        <v>143023</v>
      </c>
      <c r="P18" s="260">
        <v>146761</v>
      </c>
      <c r="Q18" s="260">
        <v>153597</v>
      </c>
      <c r="R18" s="260">
        <v>174698</v>
      </c>
      <c r="S18" s="260">
        <v>177969</v>
      </c>
      <c r="T18" s="260">
        <v>190554</v>
      </c>
    </row>
    <row r="19" spans="1:20">
      <c r="A19" s="260" t="s">
        <v>57</v>
      </c>
      <c r="B19" s="260" t="s">
        <v>991</v>
      </c>
      <c r="C19" s="260" t="s">
        <v>583</v>
      </c>
      <c r="D19" s="260" t="s">
        <v>583</v>
      </c>
      <c r="E19" s="260" t="s">
        <v>583</v>
      </c>
      <c r="F19" s="260" t="s">
        <v>583</v>
      </c>
      <c r="G19" s="260" t="s">
        <v>583</v>
      </c>
      <c r="H19" s="260" t="s">
        <v>583</v>
      </c>
      <c r="I19" s="260" t="s">
        <v>583</v>
      </c>
      <c r="J19" s="260" t="s">
        <v>583</v>
      </c>
      <c r="K19" s="260" t="s">
        <v>583</v>
      </c>
      <c r="L19" s="260" t="s">
        <v>583</v>
      </c>
      <c r="M19" s="260" t="s">
        <v>583</v>
      </c>
      <c r="N19" s="260" t="s">
        <v>583</v>
      </c>
      <c r="O19" s="260" t="s">
        <v>583</v>
      </c>
      <c r="P19" s="260">
        <v>19945</v>
      </c>
      <c r="Q19" s="260">
        <v>20280</v>
      </c>
      <c r="R19" s="260">
        <v>23049</v>
      </c>
      <c r="S19" s="260">
        <v>25084</v>
      </c>
      <c r="T19" s="260">
        <v>27075</v>
      </c>
    </row>
    <row r="20" spans="1:20">
      <c r="A20" s="260" t="s">
        <v>55</v>
      </c>
      <c r="B20" s="260" t="s">
        <v>990</v>
      </c>
      <c r="C20" s="260">
        <v>42048</v>
      </c>
      <c r="D20" s="260">
        <v>44929</v>
      </c>
      <c r="E20" s="260">
        <v>39750</v>
      </c>
      <c r="F20" s="260">
        <v>43694</v>
      </c>
      <c r="G20" s="260">
        <v>49098</v>
      </c>
      <c r="H20" s="260">
        <v>54561</v>
      </c>
      <c r="I20" s="260">
        <v>65063</v>
      </c>
      <c r="J20" s="260">
        <v>81817</v>
      </c>
      <c r="K20" s="260">
        <v>105463</v>
      </c>
      <c r="L20" s="260">
        <v>97412</v>
      </c>
      <c r="M20" s="260">
        <v>75825</v>
      </c>
      <c r="N20" s="260">
        <v>79475</v>
      </c>
      <c r="O20" s="260">
        <v>89869</v>
      </c>
      <c r="P20" s="260">
        <v>93724</v>
      </c>
      <c r="Q20" s="260">
        <v>104564</v>
      </c>
      <c r="R20" s="260">
        <v>107237</v>
      </c>
      <c r="S20" s="260">
        <v>104911</v>
      </c>
      <c r="T20" s="260">
        <v>106422</v>
      </c>
    </row>
    <row r="21" spans="1:20">
      <c r="A21" s="260" t="s">
        <v>54</v>
      </c>
      <c r="B21" s="260" t="s">
        <v>989</v>
      </c>
      <c r="C21" s="260">
        <v>4589</v>
      </c>
      <c r="D21" s="260">
        <v>6986</v>
      </c>
      <c r="E21" s="260">
        <v>5208</v>
      </c>
      <c r="F21" s="260">
        <v>2783</v>
      </c>
      <c r="G21" s="260">
        <v>2642</v>
      </c>
      <c r="H21" s="260">
        <v>4083</v>
      </c>
      <c r="I21" s="260">
        <v>9641</v>
      </c>
      <c r="J21" s="260">
        <v>17931</v>
      </c>
      <c r="K21" s="260">
        <v>22688</v>
      </c>
      <c r="L21" s="260">
        <v>12454</v>
      </c>
      <c r="M21" s="260">
        <v>3262</v>
      </c>
      <c r="N21" s="260">
        <v>1860</v>
      </c>
      <c r="O21" s="260">
        <v>1531</v>
      </c>
      <c r="P21" s="260">
        <v>1234</v>
      </c>
      <c r="Q21" s="260">
        <v>861</v>
      </c>
      <c r="R21" s="260">
        <v>717</v>
      </c>
      <c r="S21" s="260">
        <v>945</v>
      </c>
      <c r="T21" s="260">
        <v>2282</v>
      </c>
    </row>
    <row r="22" spans="1:20">
      <c r="A22" s="260" t="s">
        <v>53</v>
      </c>
      <c r="B22" s="260" t="s">
        <v>988</v>
      </c>
      <c r="C22" s="260">
        <v>37460</v>
      </c>
      <c r="D22" s="260">
        <v>37943</v>
      </c>
      <c r="E22" s="260">
        <v>34542</v>
      </c>
      <c r="F22" s="260">
        <v>40911</v>
      </c>
      <c r="G22" s="260">
        <v>46456</v>
      </c>
      <c r="H22" s="260">
        <v>50478</v>
      </c>
      <c r="I22" s="260">
        <v>55422</v>
      </c>
      <c r="J22" s="260">
        <v>63886</v>
      </c>
      <c r="K22" s="260">
        <v>82775</v>
      </c>
      <c r="L22" s="260">
        <v>84958</v>
      </c>
      <c r="M22" s="260">
        <v>72563</v>
      </c>
      <c r="N22" s="260">
        <v>77614</v>
      </c>
      <c r="O22" s="260">
        <v>88338</v>
      </c>
      <c r="P22" s="260">
        <v>92490</v>
      </c>
      <c r="Q22" s="260">
        <v>103703</v>
      </c>
      <c r="R22" s="260">
        <v>106520</v>
      </c>
      <c r="S22" s="260">
        <v>103965</v>
      </c>
      <c r="T22" s="260">
        <v>104140</v>
      </c>
    </row>
    <row r="23" spans="1:20">
      <c r="A23" s="260" t="s">
        <v>52</v>
      </c>
      <c r="B23" s="260" t="s">
        <v>987</v>
      </c>
      <c r="C23" s="260">
        <v>86145</v>
      </c>
      <c r="D23" s="260">
        <v>116573</v>
      </c>
      <c r="E23" s="260">
        <v>84029</v>
      </c>
      <c r="F23" s="260">
        <v>49568</v>
      </c>
      <c r="G23" s="260">
        <v>39587</v>
      </c>
      <c r="H23" s="260">
        <v>50637</v>
      </c>
      <c r="I23" s="260">
        <v>107126</v>
      </c>
      <c r="J23" s="260">
        <v>187414</v>
      </c>
      <c r="K23" s="260">
        <v>234910</v>
      </c>
      <c r="L23" s="260">
        <v>152076</v>
      </c>
      <c r="M23" s="260">
        <v>53140</v>
      </c>
      <c r="N23" s="260">
        <v>35660</v>
      </c>
      <c r="O23" s="260">
        <v>38018</v>
      </c>
      <c r="P23" s="260">
        <v>35954</v>
      </c>
      <c r="Q23" s="260">
        <v>31179</v>
      </c>
      <c r="R23" s="260">
        <v>30741</v>
      </c>
      <c r="S23" s="260">
        <v>31332</v>
      </c>
      <c r="T23" s="260">
        <v>39233</v>
      </c>
    </row>
    <row r="24" spans="1:20">
      <c r="A24" s="260" t="s">
        <v>51</v>
      </c>
      <c r="B24" s="260" t="s">
        <v>986</v>
      </c>
      <c r="C24" s="260">
        <v>83124</v>
      </c>
      <c r="D24" s="260">
        <v>112887</v>
      </c>
      <c r="E24" s="260">
        <v>79119</v>
      </c>
      <c r="F24" s="260">
        <v>43590</v>
      </c>
      <c r="G24" s="260">
        <v>33002</v>
      </c>
      <c r="H24" s="260">
        <v>43667</v>
      </c>
      <c r="I24" s="260">
        <v>102689</v>
      </c>
      <c r="J24" s="260">
        <v>180464</v>
      </c>
      <c r="K24" s="260">
        <v>226609</v>
      </c>
      <c r="L24" s="260">
        <v>141704</v>
      </c>
      <c r="M24" s="260">
        <v>42831</v>
      </c>
      <c r="N24" s="260">
        <v>27042</v>
      </c>
      <c r="O24" s="260">
        <v>29791</v>
      </c>
      <c r="P24" s="260">
        <v>26155</v>
      </c>
      <c r="Q24" s="260">
        <v>20612</v>
      </c>
      <c r="R24" s="260">
        <v>20403</v>
      </c>
      <c r="S24" s="260">
        <v>21547</v>
      </c>
      <c r="T24" s="260">
        <v>29435</v>
      </c>
    </row>
    <row r="25" spans="1:20">
      <c r="A25" s="260" t="s">
        <v>49</v>
      </c>
      <c r="B25" s="260" t="s">
        <v>985</v>
      </c>
      <c r="C25" s="260">
        <v>3022</v>
      </c>
      <c r="D25" s="260">
        <v>3686</v>
      </c>
      <c r="E25" s="260">
        <v>4911</v>
      </c>
      <c r="F25" s="260">
        <v>5978</v>
      </c>
      <c r="G25" s="260">
        <v>6584</v>
      </c>
      <c r="H25" s="260">
        <v>6970</v>
      </c>
      <c r="I25" s="260">
        <v>4436</v>
      </c>
      <c r="J25" s="260">
        <v>6950</v>
      </c>
      <c r="K25" s="260">
        <v>8301</v>
      </c>
      <c r="L25" s="260">
        <v>10373</v>
      </c>
      <c r="M25" s="260">
        <v>10309</v>
      </c>
      <c r="N25" s="260">
        <v>8618</v>
      </c>
      <c r="O25" s="260">
        <v>8227</v>
      </c>
      <c r="P25" s="260">
        <v>9799</v>
      </c>
      <c r="Q25" s="260">
        <v>10567</v>
      </c>
      <c r="R25" s="260">
        <v>10338</v>
      </c>
      <c r="S25" s="260">
        <v>9785</v>
      </c>
      <c r="T25" s="260">
        <v>9799</v>
      </c>
    </row>
    <row r="26" spans="1:20">
      <c r="A26" s="260" t="s">
        <v>47</v>
      </c>
      <c r="B26" s="260" t="s">
        <v>1003</v>
      </c>
      <c r="C26" s="260">
        <v>1236</v>
      </c>
      <c r="D26" s="260">
        <v>1270</v>
      </c>
      <c r="E26" s="260">
        <v>1311</v>
      </c>
      <c r="F26" s="260">
        <v>1050</v>
      </c>
      <c r="G26" s="260">
        <v>1083</v>
      </c>
      <c r="H26" s="260">
        <v>1165</v>
      </c>
      <c r="I26" s="260">
        <v>1185</v>
      </c>
      <c r="J26" s="260">
        <v>1226</v>
      </c>
      <c r="K26" s="260">
        <v>1449</v>
      </c>
      <c r="L26" s="260">
        <v>1572</v>
      </c>
      <c r="M26" s="260">
        <v>781</v>
      </c>
      <c r="N26" s="260">
        <v>699</v>
      </c>
      <c r="O26" s="260">
        <v>846</v>
      </c>
      <c r="P26" s="260">
        <v>474</v>
      </c>
      <c r="Q26" s="260">
        <v>374</v>
      </c>
      <c r="R26" s="260">
        <v>315</v>
      </c>
      <c r="S26" s="260">
        <v>219</v>
      </c>
      <c r="T26" s="260">
        <v>108</v>
      </c>
    </row>
    <row r="27" spans="1:20">
      <c r="A27" s="260" t="s">
        <v>45</v>
      </c>
      <c r="B27" s="260" t="s">
        <v>528</v>
      </c>
      <c r="C27" s="260">
        <v>1236</v>
      </c>
      <c r="D27" s="260">
        <v>1270</v>
      </c>
      <c r="E27" s="260">
        <v>1311</v>
      </c>
      <c r="F27" s="260">
        <v>1050</v>
      </c>
      <c r="G27" s="260">
        <v>1083</v>
      </c>
      <c r="H27" s="260">
        <v>1165</v>
      </c>
      <c r="I27" s="260">
        <v>1185</v>
      </c>
      <c r="J27" s="260">
        <v>1226</v>
      </c>
      <c r="K27" s="260">
        <v>1449</v>
      </c>
      <c r="L27" s="260">
        <v>1572</v>
      </c>
      <c r="M27" s="260">
        <v>781</v>
      </c>
      <c r="N27" s="260">
        <v>699</v>
      </c>
      <c r="O27" s="260">
        <v>846</v>
      </c>
      <c r="P27" s="260">
        <v>474</v>
      </c>
      <c r="Q27" s="260">
        <v>374</v>
      </c>
      <c r="R27" s="260">
        <v>315</v>
      </c>
      <c r="S27" s="260">
        <v>219</v>
      </c>
      <c r="T27" s="260">
        <v>108</v>
      </c>
    </row>
    <row r="28" spans="1:20">
      <c r="A28" s="260" t="s">
        <v>43</v>
      </c>
      <c r="B28" s="268" t="s">
        <v>539</v>
      </c>
      <c r="C28" s="260">
        <v>4246</v>
      </c>
      <c r="D28" s="260">
        <v>4395</v>
      </c>
      <c r="E28" s="260">
        <v>4512</v>
      </c>
      <c r="F28" s="260">
        <v>4570</v>
      </c>
      <c r="G28" s="260">
        <v>4671</v>
      </c>
      <c r="H28" s="260">
        <v>4734</v>
      </c>
      <c r="I28" s="260">
        <v>4796</v>
      </c>
      <c r="J28" s="260">
        <v>5069</v>
      </c>
      <c r="K28" s="260">
        <v>5219</v>
      </c>
      <c r="L28" s="260">
        <v>5364</v>
      </c>
      <c r="M28" s="260">
        <v>5740</v>
      </c>
      <c r="N28" s="260">
        <v>5931</v>
      </c>
      <c r="O28" s="260">
        <v>6105</v>
      </c>
      <c r="P28" s="260">
        <v>6302</v>
      </c>
      <c r="Q28" s="260">
        <v>6613</v>
      </c>
      <c r="R28" s="260">
        <v>6503</v>
      </c>
      <c r="S28" s="260">
        <v>6562</v>
      </c>
      <c r="T28" s="260">
        <v>6547</v>
      </c>
    </row>
    <row r="29" spans="1:20">
      <c r="A29" s="260" t="s">
        <v>42</v>
      </c>
      <c r="B29" s="268" t="s">
        <v>1002</v>
      </c>
      <c r="C29" s="260">
        <v>287981</v>
      </c>
      <c r="D29" s="260">
        <v>338637</v>
      </c>
      <c r="E29" s="260">
        <v>269447</v>
      </c>
      <c r="F29" s="260">
        <v>263860</v>
      </c>
      <c r="G29" s="260">
        <v>289657</v>
      </c>
      <c r="H29" s="260">
        <v>362179</v>
      </c>
      <c r="I29" s="260">
        <v>480317</v>
      </c>
      <c r="J29" s="260">
        <v>653928</v>
      </c>
      <c r="K29" s="260">
        <v>749977</v>
      </c>
      <c r="L29" s="260">
        <v>685918</v>
      </c>
      <c r="M29" s="260">
        <v>498089</v>
      </c>
      <c r="N29" s="260">
        <v>511948</v>
      </c>
      <c r="O29" s="260">
        <v>544853</v>
      </c>
      <c r="P29" s="260">
        <v>560497</v>
      </c>
      <c r="Q29" s="260">
        <v>586842</v>
      </c>
      <c r="R29" s="260">
        <v>606573</v>
      </c>
      <c r="S29" s="260">
        <v>602023</v>
      </c>
      <c r="T29" s="260">
        <v>640751</v>
      </c>
    </row>
    <row r="30" spans="1:20">
      <c r="A30" s="260" t="s">
        <v>41</v>
      </c>
      <c r="B30" s="268" t="s">
        <v>1001</v>
      </c>
      <c r="C30" s="260">
        <v>276571</v>
      </c>
      <c r="D30" s="260">
        <v>327682</v>
      </c>
      <c r="E30" s="260">
        <v>257734</v>
      </c>
      <c r="F30" s="260">
        <v>251498</v>
      </c>
      <c r="G30" s="260">
        <v>276749</v>
      </c>
      <c r="H30" s="260">
        <v>348206</v>
      </c>
      <c r="I30" s="260">
        <v>464409</v>
      </c>
      <c r="J30" s="260">
        <v>637502</v>
      </c>
      <c r="K30" s="260">
        <v>734256</v>
      </c>
      <c r="L30" s="260">
        <v>668857</v>
      </c>
      <c r="M30" s="260">
        <v>483671</v>
      </c>
      <c r="N30" s="260">
        <v>497986</v>
      </c>
      <c r="O30" s="260">
        <v>530670</v>
      </c>
      <c r="P30" s="260">
        <v>545551</v>
      </c>
      <c r="Q30" s="260">
        <v>570816</v>
      </c>
      <c r="R30" s="260">
        <v>589514</v>
      </c>
      <c r="S30" s="260">
        <v>583726</v>
      </c>
      <c r="T30" s="260">
        <v>620608</v>
      </c>
    </row>
    <row r="31" spans="1:20">
      <c r="A31" s="260" t="s">
        <v>40</v>
      </c>
      <c r="B31" s="260" t="s">
        <v>1000</v>
      </c>
      <c r="C31" s="260">
        <v>57927</v>
      </c>
      <c r="D31" s="260">
        <v>62247</v>
      </c>
      <c r="E31" s="260">
        <v>19528</v>
      </c>
      <c r="F31" s="260">
        <v>49578</v>
      </c>
      <c r="G31" s="260">
        <v>83757</v>
      </c>
      <c r="H31" s="260">
        <v>110270</v>
      </c>
      <c r="I31" s="260">
        <v>131946</v>
      </c>
      <c r="J31" s="260">
        <v>163365</v>
      </c>
      <c r="K31" s="260">
        <v>142809</v>
      </c>
      <c r="L31" s="260">
        <v>147430</v>
      </c>
      <c r="M31" s="260">
        <v>119904</v>
      </c>
      <c r="N31" s="260">
        <v>164451</v>
      </c>
      <c r="O31" s="260">
        <v>184949</v>
      </c>
      <c r="P31" s="260">
        <v>179319</v>
      </c>
      <c r="Q31" s="260">
        <v>192931</v>
      </c>
      <c r="R31" s="260">
        <v>198107</v>
      </c>
      <c r="S31" s="260">
        <v>170380</v>
      </c>
      <c r="T31" s="260">
        <v>185211</v>
      </c>
    </row>
    <row r="32" spans="1:20">
      <c r="A32" s="260" t="s">
        <v>37</v>
      </c>
      <c r="B32" s="260" t="s">
        <v>999</v>
      </c>
      <c r="C32" s="260">
        <v>37695</v>
      </c>
      <c r="D32" s="260">
        <v>36071</v>
      </c>
      <c r="E32" s="260">
        <v>-7415</v>
      </c>
      <c r="F32" s="260">
        <v>24363</v>
      </c>
      <c r="G32" s="260">
        <v>63304</v>
      </c>
      <c r="H32" s="260">
        <v>91580</v>
      </c>
      <c r="I32" s="260">
        <v>110146</v>
      </c>
      <c r="J32" s="260">
        <v>136522</v>
      </c>
      <c r="K32" s="260">
        <v>108339</v>
      </c>
      <c r="L32" s="260">
        <v>113211</v>
      </c>
      <c r="M32" s="260">
        <v>88218</v>
      </c>
      <c r="N32" s="260">
        <v>133917</v>
      </c>
      <c r="O32" s="260">
        <v>153825</v>
      </c>
      <c r="P32" s="260">
        <v>146521</v>
      </c>
      <c r="Q32" s="260">
        <v>157632</v>
      </c>
      <c r="R32" s="260">
        <v>162437</v>
      </c>
      <c r="S32" s="260">
        <v>131237</v>
      </c>
      <c r="T32" s="260">
        <v>138108</v>
      </c>
    </row>
    <row r="33" spans="1:20">
      <c r="A33" s="260" t="s">
        <v>36</v>
      </c>
      <c r="B33" s="260" t="s">
        <v>998</v>
      </c>
      <c r="C33" s="260">
        <v>33906</v>
      </c>
      <c r="D33" s="260">
        <v>37274</v>
      </c>
      <c r="E33" s="260">
        <v>25410</v>
      </c>
      <c r="F33" s="260">
        <v>21191</v>
      </c>
      <c r="G33" s="260">
        <v>43255</v>
      </c>
      <c r="H33" s="260">
        <v>36287</v>
      </c>
      <c r="I33" s="260">
        <v>64395</v>
      </c>
      <c r="J33" s="260">
        <v>63230</v>
      </c>
      <c r="K33" s="260">
        <v>53626</v>
      </c>
      <c r="L33" s="260">
        <v>65716</v>
      </c>
      <c r="M33" s="260">
        <v>59272</v>
      </c>
      <c r="N33" s="260">
        <v>66549</v>
      </c>
      <c r="O33" s="260">
        <v>69149</v>
      </c>
      <c r="P33" s="260">
        <v>54878</v>
      </c>
      <c r="Q33" s="260">
        <v>69966</v>
      </c>
      <c r="R33" s="260">
        <v>67595</v>
      </c>
      <c r="S33" s="260">
        <v>50490</v>
      </c>
      <c r="T33" s="260">
        <v>40436</v>
      </c>
    </row>
    <row r="34" spans="1:20">
      <c r="A34" s="260" t="s">
        <v>35</v>
      </c>
      <c r="B34" s="260" t="s">
        <v>997</v>
      </c>
      <c r="C34" s="260">
        <v>3789</v>
      </c>
      <c r="D34" s="260">
        <v>-1203</v>
      </c>
      <c r="E34" s="260">
        <v>-32825</v>
      </c>
      <c r="F34" s="260">
        <v>3173</v>
      </c>
      <c r="G34" s="260">
        <v>20048</v>
      </c>
      <c r="H34" s="260">
        <v>55293</v>
      </c>
      <c r="I34" s="260">
        <v>45752</v>
      </c>
      <c r="J34" s="260">
        <v>73292</v>
      </c>
      <c r="K34" s="260">
        <v>54714</v>
      </c>
      <c r="L34" s="260">
        <v>47494</v>
      </c>
      <c r="M34" s="260">
        <v>28946</v>
      </c>
      <c r="N34" s="260">
        <v>67367</v>
      </c>
      <c r="O34" s="260">
        <v>84676</v>
      </c>
      <c r="P34" s="260">
        <v>91643</v>
      </c>
      <c r="Q34" s="260">
        <v>87667</v>
      </c>
      <c r="R34" s="260">
        <v>94842</v>
      </c>
      <c r="S34" s="260">
        <v>80747</v>
      </c>
      <c r="T34" s="260">
        <v>97672</v>
      </c>
    </row>
    <row r="35" spans="1:20">
      <c r="A35" s="260" t="s">
        <v>34</v>
      </c>
      <c r="B35" s="260" t="s">
        <v>528</v>
      </c>
      <c r="C35" s="260">
        <v>20232</v>
      </c>
      <c r="D35" s="260">
        <v>26176</v>
      </c>
      <c r="E35" s="260">
        <v>26943</v>
      </c>
      <c r="F35" s="260">
        <v>25215</v>
      </c>
      <c r="G35" s="260">
        <v>20453</v>
      </c>
      <c r="H35" s="260">
        <v>18690</v>
      </c>
      <c r="I35" s="260">
        <v>21800</v>
      </c>
      <c r="J35" s="260">
        <v>26843</v>
      </c>
      <c r="K35" s="260">
        <v>34470</v>
      </c>
      <c r="L35" s="260">
        <v>34219</v>
      </c>
      <c r="M35" s="260">
        <v>31686</v>
      </c>
      <c r="N35" s="260">
        <v>30534</v>
      </c>
      <c r="O35" s="260">
        <v>31124</v>
      </c>
      <c r="P35" s="260">
        <v>32798</v>
      </c>
      <c r="Q35" s="260">
        <v>35299</v>
      </c>
      <c r="R35" s="260">
        <v>35670</v>
      </c>
      <c r="S35" s="260">
        <v>39143</v>
      </c>
      <c r="T35" s="260">
        <v>47103</v>
      </c>
    </row>
    <row r="36" spans="1:20">
      <c r="A36" s="260" t="s">
        <v>30</v>
      </c>
      <c r="B36" s="260" t="s">
        <v>996</v>
      </c>
      <c r="C36" s="260">
        <v>16997</v>
      </c>
      <c r="D36" s="260">
        <v>22491</v>
      </c>
      <c r="E36" s="260">
        <v>23271</v>
      </c>
      <c r="F36" s="260">
        <v>22123</v>
      </c>
      <c r="G36" s="260">
        <v>17728</v>
      </c>
      <c r="H36" s="260">
        <v>16187</v>
      </c>
      <c r="I36" s="260">
        <v>18650</v>
      </c>
      <c r="J36" s="260">
        <v>23029</v>
      </c>
      <c r="K36" s="260">
        <v>30566</v>
      </c>
      <c r="L36" s="260">
        <v>30190</v>
      </c>
      <c r="M36" s="260">
        <v>28349</v>
      </c>
      <c r="N36" s="260">
        <v>27928</v>
      </c>
      <c r="O36" s="260">
        <v>28806</v>
      </c>
      <c r="P36" s="260">
        <v>29872</v>
      </c>
      <c r="Q36" s="260">
        <v>30065</v>
      </c>
      <c r="R36" s="260">
        <v>30003</v>
      </c>
      <c r="S36" s="260">
        <v>32843</v>
      </c>
      <c r="T36" s="260">
        <v>39720</v>
      </c>
    </row>
    <row r="37" spans="1:20">
      <c r="A37" s="260" t="s">
        <v>29</v>
      </c>
      <c r="B37" s="260" t="s">
        <v>995</v>
      </c>
      <c r="C37" s="260">
        <v>3235</v>
      </c>
      <c r="D37" s="260">
        <v>3685</v>
      </c>
      <c r="E37" s="260">
        <v>3672</v>
      </c>
      <c r="F37" s="260">
        <v>3093</v>
      </c>
      <c r="G37" s="260">
        <v>2725</v>
      </c>
      <c r="H37" s="260">
        <v>2503</v>
      </c>
      <c r="I37" s="260">
        <v>3150</v>
      </c>
      <c r="J37" s="260">
        <v>3814</v>
      </c>
      <c r="K37" s="260">
        <v>3904</v>
      </c>
      <c r="L37" s="260">
        <v>4029</v>
      </c>
      <c r="M37" s="260">
        <v>3337</v>
      </c>
      <c r="N37" s="260">
        <v>2606</v>
      </c>
      <c r="O37" s="260">
        <v>2318</v>
      </c>
      <c r="P37" s="260">
        <v>2925</v>
      </c>
      <c r="Q37" s="260">
        <v>5235</v>
      </c>
      <c r="R37" s="260">
        <v>5667</v>
      </c>
      <c r="S37" s="260">
        <v>6300</v>
      </c>
      <c r="T37" s="260">
        <v>7382</v>
      </c>
    </row>
    <row r="38" spans="1:20">
      <c r="A38" s="260" t="s">
        <v>27</v>
      </c>
      <c r="B38" s="260" t="s">
        <v>994</v>
      </c>
      <c r="C38" s="260">
        <v>145305</v>
      </c>
      <c r="D38" s="260">
        <v>164757</v>
      </c>
      <c r="E38" s="260">
        <v>162458</v>
      </c>
      <c r="F38" s="260">
        <v>159827</v>
      </c>
      <c r="G38" s="260">
        <v>163525</v>
      </c>
      <c r="H38" s="260">
        <v>195794</v>
      </c>
      <c r="I38" s="260">
        <v>238558</v>
      </c>
      <c r="J38" s="260">
        <v>304934</v>
      </c>
      <c r="K38" s="260">
        <v>381788</v>
      </c>
      <c r="L38" s="260">
        <v>400032</v>
      </c>
      <c r="M38" s="260">
        <v>332495</v>
      </c>
      <c r="N38" s="260">
        <v>313527</v>
      </c>
      <c r="O38" s="260">
        <v>324944</v>
      </c>
      <c r="P38" s="260">
        <v>345249</v>
      </c>
      <c r="Q38" s="260">
        <v>361750</v>
      </c>
      <c r="R38" s="260">
        <v>377539</v>
      </c>
      <c r="S38" s="260">
        <v>398379</v>
      </c>
      <c r="T38" s="260">
        <v>409152</v>
      </c>
    </row>
    <row r="39" spans="1:20">
      <c r="A39" s="260" t="s">
        <v>26</v>
      </c>
      <c r="B39" s="260" t="s">
        <v>993</v>
      </c>
      <c r="C39" s="260">
        <v>17058</v>
      </c>
      <c r="D39" s="260">
        <v>19645</v>
      </c>
      <c r="E39" s="260">
        <v>21129</v>
      </c>
      <c r="F39" s="260">
        <v>23560</v>
      </c>
      <c r="G39" s="260">
        <v>25660</v>
      </c>
      <c r="H39" s="260">
        <v>37037</v>
      </c>
      <c r="I39" s="260">
        <v>38082</v>
      </c>
      <c r="J39" s="260">
        <v>44883</v>
      </c>
      <c r="K39" s="260">
        <v>54924</v>
      </c>
      <c r="L39" s="260">
        <v>70136</v>
      </c>
      <c r="M39" s="260">
        <v>59745</v>
      </c>
      <c r="N39" s="260">
        <v>60027</v>
      </c>
      <c r="O39" s="260">
        <v>74534</v>
      </c>
      <c r="P39" s="260">
        <v>96786</v>
      </c>
      <c r="Q39" s="260">
        <v>109567</v>
      </c>
      <c r="R39" s="260">
        <v>126289</v>
      </c>
      <c r="S39" s="260">
        <v>136766</v>
      </c>
      <c r="T39" s="260">
        <v>138488</v>
      </c>
    </row>
    <row r="40" spans="1:20">
      <c r="A40" s="260" t="s">
        <v>25</v>
      </c>
      <c r="B40" s="260" t="s">
        <v>992</v>
      </c>
      <c r="C40" s="260">
        <v>17058</v>
      </c>
      <c r="D40" s="260">
        <v>19645</v>
      </c>
      <c r="E40" s="260">
        <v>21129</v>
      </c>
      <c r="F40" s="260">
        <v>23560</v>
      </c>
      <c r="G40" s="260">
        <v>25660</v>
      </c>
      <c r="H40" s="260">
        <v>37037</v>
      </c>
      <c r="I40" s="260">
        <v>38082</v>
      </c>
      <c r="J40" s="260">
        <v>44883</v>
      </c>
      <c r="K40" s="260">
        <v>54924</v>
      </c>
      <c r="L40" s="260">
        <v>70136</v>
      </c>
      <c r="M40" s="260">
        <v>59745</v>
      </c>
      <c r="N40" s="260">
        <v>60027</v>
      </c>
      <c r="O40" s="260">
        <v>70462</v>
      </c>
      <c r="P40" s="260">
        <v>74368</v>
      </c>
      <c r="Q40" s="260">
        <v>86088</v>
      </c>
      <c r="R40" s="260">
        <v>100281</v>
      </c>
      <c r="S40" s="260">
        <v>107673</v>
      </c>
      <c r="T40" s="260">
        <v>107765</v>
      </c>
    </row>
    <row r="41" spans="1:20">
      <c r="A41" s="260" t="s">
        <v>23</v>
      </c>
      <c r="B41" s="260" t="s">
        <v>991</v>
      </c>
      <c r="C41" s="260" t="s">
        <v>583</v>
      </c>
      <c r="D41" s="260" t="s">
        <v>583</v>
      </c>
      <c r="E41" s="260" t="s">
        <v>583</v>
      </c>
      <c r="F41" s="260" t="s">
        <v>583</v>
      </c>
      <c r="G41" s="260" t="s">
        <v>583</v>
      </c>
      <c r="H41" s="260" t="s">
        <v>583</v>
      </c>
      <c r="I41" s="260" t="s">
        <v>583</v>
      </c>
      <c r="J41" s="260" t="s">
        <v>583</v>
      </c>
      <c r="K41" s="260" t="s">
        <v>583</v>
      </c>
      <c r="L41" s="260" t="s">
        <v>583</v>
      </c>
      <c r="M41" s="260" t="s">
        <v>583</v>
      </c>
      <c r="N41" s="260" t="s">
        <v>583</v>
      </c>
      <c r="O41" s="260" t="s">
        <v>583</v>
      </c>
      <c r="P41" s="260">
        <v>22418</v>
      </c>
      <c r="Q41" s="260">
        <v>23479</v>
      </c>
      <c r="R41" s="260">
        <v>26008</v>
      </c>
      <c r="S41" s="260">
        <v>29093</v>
      </c>
      <c r="T41" s="260">
        <v>30723</v>
      </c>
    </row>
    <row r="42" spans="1:20">
      <c r="A42" s="260" t="s">
        <v>22</v>
      </c>
      <c r="B42" s="260" t="s">
        <v>990</v>
      </c>
      <c r="C42" s="260">
        <v>128247</v>
      </c>
      <c r="D42" s="260">
        <v>145112</v>
      </c>
      <c r="E42" s="260">
        <v>141329</v>
      </c>
      <c r="F42" s="260">
        <v>136268</v>
      </c>
      <c r="G42" s="260">
        <v>137865</v>
      </c>
      <c r="H42" s="260">
        <v>158757</v>
      </c>
      <c r="I42" s="260">
        <v>200475</v>
      </c>
      <c r="J42" s="260">
        <v>260051</v>
      </c>
      <c r="K42" s="260">
        <v>326864</v>
      </c>
      <c r="L42" s="260">
        <v>329896</v>
      </c>
      <c r="M42" s="260">
        <v>272750</v>
      </c>
      <c r="N42" s="260">
        <v>253499</v>
      </c>
      <c r="O42" s="260">
        <v>250410</v>
      </c>
      <c r="P42" s="260">
        <v>248463</v>
      </c>
      <c r="Q42" s="260">
        <v>252182</v>
      </c>
      <c r="R42" s="260">
        <v>251249</v>
      </c>
      <c r="S42" s="260">
        <v>261614</v>
      </c>
      <c r="T42" s="260">
        <v>270665</v>
      </c>
    </row>
    <row r="43" spans="1:20">
      <c r="A43" s="260" t="s">
        <v>21</v>
      </c>
      <c r="B43" s="260" t="s">
        <v>989</v>
      </c>
      <c r="C43" s="260">
        <v>15936</v>
      </c>
      <c r="D43" s="260">
        <v>19151</v>
      </c>
      <c r="E43" s="260">
        <v>15594</v>
      </c>
      <c r="F43" s="260">
        <v>10202</v>
      </c>
      <c r="G43" s="260">
        <v>6241</v>
      </c>
      <c r="H43" s="260">
        <v>8030</v>
      </c>
      <c r="I43" s="260">
        <v>18208</v>
      </c>
      <c r="J43" s="260">
        <v>28856</v>
      </c>
      <c r="K43" s="260">
        <v>34330</v>
      </c>
      <c r="L43" s="260">
        <v>22198</v>
      </c>
      <c r="M43" s="260">
        <v>5866</v>
      </c>
      <c r="N43" s="260">
        <v>2127</v>
      </c>
      <c r="O43" s="260">
        <v>1282</v>
      </c>
      <c r="P43" s="260">
        <v>1159</v>
      </c>
      <c r="Q43" s="260">
        <v>937</v>
      </c>
      <c r="R43" s="260">
        <v>713</v>
      </c>
      <c r="S43" s="260">
        <v>1325</v>
      </c>
      <c r="T43" s="260">
        <v>3710</v>
      </c>
    </row>
    <row r="44" spans="1:20">
      <c r="A44" s="260" t="s">
        <v>20</v>
      </c>
      <c r="B44" s="260" t="s">
        <v>988</v>
      </c>
      <c r="C44" s="260">
        <v>112311</v>
      </c>
      <c r="D44" s="260">
        <v>125962</v>
      </c>
      <c r="E44" s="260">
        <v>125735</v>
      </c>
      <c r="F44" s="260">
        <v>126065</v>
      </c>
      <c r="G44" s="260">
        <v>131624</v>
      </c>
      <c r="H44" s="260">
        <v>150728</v>
      </c>
      <c r="I44" s="260">
        <v>182267</v>
      </c>
      <c r="J44" s="260">
        <v>231194</v>
      </c>
      <c r="K44" s="260">
        <v>292534</v>
      </c>
      <c r="L44" s="260">
        <v>307698</v>
      </c>
      <c r="M44" s="260">
        <v>266884</v>
      </c>
      <c r="N44" s="260">
        <v>251372</v>
      </c>
      <c r="O44" s="260">
        <v>249128</v>
      </c>
      <c r="P44" s="260">
        <v>247304</v>
      </c>
      <c r="Q44" s="260">
        <v>251245</v>
      </c>
      <c r="R44" s="260">
        <v>250536</v>
      </c>
      <c r="S44" s="260">
        <v>260289</v>
      </c>
      <c r="T44" s="260">
        <v>266955</v>
      </c>
    </row>
    <row r="45" spans="1:20">
      <c r="A45" s="260" t="s">
        <v>19</v>
      </c>
      <c r="B45" s="260" t="s">
        <v>987</v>
      </c>
      <c r="C45" s="260">
        <v>73339</v>
      </c>
      <c r="D45" s="260">
        <v>100678</v>
      </c>
      <c r="E45" s="260">
        <v>75748</v>
      </c>
      <c r="F45" s="260">
        <v>42093</v>
      </c>
      <c r="G45" s="260">
        <v>29467</v>
      </c>
      <c r="H45" s="260">
        <v>42142</v>
      </c>
      <c r="I45" s="260">
        <v>93904</v>
      </c>
      <c r="J45" s="260">
        <v>169203</v>
      </c>
      <c r="K45" s="260">
        <v>209658</v>
      </c>
      <c r="L45" s="260">
        <v>121395</v>
      </c>
      <c r="M45" s="260">
        <v>31271</v>
      </c>
      <c r="N45" s="260">
        <v>20008</v>
      </c>
      <c r="O45" s="260">
        <v>20776</v>
      </c>
      <c r="P45" s="260">
        <v>20984</v>
      </c>
      <c r="Q45" s="260">
        <v>16135</v>
      </c>
      <c r="R45" s="260">
        <v>13869</v>
      </c>
      <c r="S45" s="260">
        <v>14967</v>
      </c>
      <c r="T45" s="260">
        <v>26245</v>
      </c>
    </row>
    <row r="46" spans="1:20">
      <c r="A46" s="260" t="s">
        <v>18</v>
      </c>
      <c r="B46" s="260" t="s">
        <v>986</v>
      </c>
      <c r="C46" s="260">
        <v>72369</v>
      </c>
      <c r="D46" s="260">
        <v>99534</v>
      </c>
      <c r="E46" s="260">
        <v>74760</v>
      </c>
      <c r="F46" s="260">
        <v>40641</v>
      </c>
      <c r="G46" s="260">
        <v>27711</v>
      </c>
      <c r="H46" s="260">
        <v>40103</v>
      </c>
      <c r="I46" s="260">
        <v>92507</v>
      </c>
      <c r="J46" s="260">
        <v>167122</v>
      </c>
      <c r="K46" s="260">
        <v>207680</v>
      </c>
      <c r="L46" s="260">
        <v>119157</v>
      </c>
      <c r="M46" s="260">
        <v>29110</v>
      </c>
      <c r="N46" s="260">
        <v>18037</v>
      </c>
      <c r="O46" s="260">
        <v>18564</v>
      </c>
      <c r="P46" s="260">
        <v>18078</v>
      </c>
      <c r="Q46" s="260">
        <v>13288</v>
      </c>
      <c r="R46" s="260">
        <v>11062</v>
      </c>
      <c r="S46" s="260">
        <v>12360</v>
      </c>
      <c r="T46" s="260">
        <v>23719</v>
      </c>
    </row>
    <row r="47" spans="1:20">
      <c r="A47" s="260" t="s">
        <v>17</v>
      </c>
      <c r="B47" s="260" t="s">
        <v>985</v>
      </c>
      <c r="C47" s="260">
        <v>970</v>
      </c>
      <c r="D47" s="260">
        <v>1145</v>
      </c>
      <c r="E47" s="260">
        <v>988</v>
      </c>
      <c r="F47" s="260">
        <v>1451</v>
      </c>
      <c r="G47" s="260">
        <v>1757</v>
      </c>
      <c r="H47" s="260">
        <v>2038</v>
      </c>
      <c r="I47" s="260">
        <v>1398</v>
      </c>
      <c r="J47" s="260">
        <v>2082</v>
      </c>
      <c r="K47" s="260">
        <v>1978</v>
      </c>
      <c r="L47" s="260">
        <v>2238</v>
      </c>
      <c r="M47" s="260">
        <v>2161</v>
      </c>
      <c r="N47" s="260">
        <v>1972</v>
      </c>
      <c r="O47" s="260">
        <v>2213</v>
      </c>
      <c r="P47" s="260">
        <v>2906</v>
      </c>
      <c r="Q47" s="260">
        <v>2847</v>
      </c>
      <c r="R47" s="260">
        <v>2807</v>
      </c>
      <c r="S47" s="260">
        <v>2607</v>
      </c>
      <c r="T47" s="260">
        <v>2527</v>
      </c>
    </row>
    <row r="48" spans="1:20">
      <c r="A48" s="260" t="s">
        <v>16</v>
      </c>
      <c r="B48" s="268" t="s">
        <v>539</v>
      </c>
      <c r="C48" s="260">
        <v>11410</v>
      </c>
      <c r="D48" s="260">
        <v>10955</v>
      </c>
      <c r="E48" s="260">
        <v>11713</v>
      </c>
      <c r="F48" s="260">
        <v>12362</v>
      </c>
      <c r="G48" s="260">
        <v>12908</v>
      </c>
      <c r="H48" s="260">
        <v>13973</v>
      </c>
      <c r="I48" s="260">
        <v>15909</v>
      </c>
      <c r="J48" s="260">
        <v>16426</v>
      </c>
      <c r="K48" s="260">
        <v>15722</v>
      </c>
      <c r="L48" s="260">
        <v>17061</v>
      </c>
      <c r="M48" s="260">
        <v>14418</v>
      </c>
      <c r="N48" s="260">
        <v>13962</v>
      </c>
      <c r="O48" s="260">
        <v>14184</v>
      </c>
      <c r="P48" s="260">
        <v>14946</v>
      </c>
      <c r="Q48" s="260">
        <v>16026</v>
      </c>
      <c r="R48" s="260">
        <v>17059</v>
      </c>
      <c r="S48" s="260">
        <v>18297</v>
      </c>
      <c r="T48" s="260">
        <v>20143</v>
      </c>
    </row>
    <row r="49" spans="1:20">
      <c r="A49" s="260" t="s">
        <v>15</v>
      </c>
      <c r="B49" s="268" t="s">
        <v>984</v>
      </c>
      <c r="C49" s="260">
        <v>11134</v>
      </c>
      <c r="D49" s="260">
        <v>18069</v>
      </c>
      <c r="E49" s="260">
        <v>27530</v>
      </c>
      <c r="F49" s="260">
        <v>22665</v>
      </c>
      <c r="G49" s="260">
        <v>34716</v>
      </c>
      <c r="H49" s="260">
        <v>53906</v>
      </c>
      <c r="I49" s="260">
        <v>53898</v>
      </c>
      <c r="J49" s="260">
        <v>26902</v>
      </c>
      <c r="K49" s="260">
        <v>85005</v>
      </c>
      <c r="L49" s="260">
        <v>129649</v>
      </c>
      <c r="M49" s="260">
        <v>115160</v>
      </c>
      <c r="N49" s="260">
        <v>168221</v>
      </c>
      <c r="O49" s="260">
        <v>211084</v>
      </c>
      <c r="P49" s="260">
        <v>207475</v>
      </c>
      <c r="Q49" s="260">
        <v>205977</v>
      </c>
      <c r="R49" s="260">
        <v>210774</v>
      </c>
      <c r="S49" s="260">
        <v>180962</v>
      </c>
      <c r="T49" s="260">
        <v>173225</v>
      </c>
    </row>
    <row r="50" spans="1:20" ht="13">
      <c r="A50" s="1944" t="s">
        <v>7</v>
      </c>
      <c r="B50" s="1976"/>
      <c r="C50" s="1976"/>
      <c r="D50" s="1976"/>
      <c r="E50" s="1976"/>
      <c r="F50" s="1976"/>
      <c r="G50" s="1976"/>
      <c r="H50" s="1976"/>
      <c r="I50" s="1976"/>
      <c r="J50" s="1976"/>
      <c r="K50" s="1976"/>
      <c r="L50" s="1976"/>
      <c r="M50" s="1976"/>
      <c r="N50" s="1976"/>
      <c r="O50" s="1976"/>
      <c r="P50" s="1976"/>
      <c r="Q50" s="1976"/>
      <c r="R50" s="1976"/>
      <c r="S50" s="1976"/>
      <c r="T50" s="1976"/>
    </row>
    <row r="51" spans="1:20">
      <c r="A51" s="1943" t="s">
        <v>983</v>
      </c>
      <c r="B51" s="1976"/>
      <c r="C51" s="1976"/>
      <c r="D51" s="1976"/>
      <c r="E51" s="1976"/>
      <c r="F51" s="1976"/>
      <c r="G51" s="1976"/>
      <c r="H51" s="1976"/>
      <c r="I51" s="1976"/>
      <c r="J51" s="1976"/>
      <c r="K51" s="1976"/>
      <c r="L51" s="1976"/>
      <c r="M51" s="1976"/>
      <c r="N51" s="1976"/>
      <c r="O51" s="1976"/>
      <c r="P51" s="1976"/>
      <c r="Q51" s="1976"/>
      <c r="R51" s="1976"/>
      <c r="S51" s="1976"/>
      <c r="T51" s="1976"/>
    </row>
    <row r="52" spans="1:20">
      <c r="A52" s="1943" t="s">
        <v>982</v>
      </c>
      <c r="B52" s="1976"/>
      <c r="C52" s="1976"/>
      <c r="D52" s="1976"/>
      <c r="E52" s="1976"/>
      <c r="F52" s="1976"/>
      <c r="G52" s="1976"/>
      <c r="H52" s="1976"/>
      <c r="I52" s="1976"/>
      <c r="J52" s="1976"/>
      <c r="K52" s="1976"/>
      <c r="L52" s="1976"/>
      <c r="M52" s="1976"/>
      <c r="N52" s="1976"/>
      <c r="O52" s="1976"/>
      <c r="P52" s="1976"/>
      <c r="Q52" s="1976"/>
      <c r="R52" s="1976"/>
      <c r="S52" s="1976"/>
      <c r="T52" s="1976"/>
    </row>
    <row r="53" spans="1:20">
      <c r="A53" s="1943" t="s">
        <v>200</v>
      </c>
      <c r="B53" s="1976"/>
      <c r="C53" s="1976"/>
      <c r="D53" s="1976"/>
      <c r="E53" s="1976"/>
      <c r="F53" s="1976"/>
      <c r="G53" s="1976"/>
      <c r="H53" s="1976"/>
      <c r="I53" s="1976"/>
      <c r="J53" s="1976"/>
      <c r="K53" s="1976"/>
      <c r="L53" s="1976"/>
      <c r="M53" s="1976"/>
      <c r="N53" s="1976"/>
      <c r="O53" s="1976"/>
      <c r="P53" s="1976"/>
      <c r="Q53" s="1976"/>
      <c r="R53" s="1976"/>
      <c r="S53" s="1976"/>
      <c r="T53" s="1976"/>
    </row>
    <row r="54" spans="1:20">
      <c r="A54" s="1943" t="s">
        <v>199</v>
      </c>
      <c r="B54" s="1976"/>
      <c r="C54" s="1976"/>
      <c r="D54" s="1976"/>
      <c r="E54" s="1976"/>
      <c r="F54" s="1976"/>
      <c r="G54" s="1976"/>
      <c r="H54" s="1976"/>
      <c r="I54" s="1976"/>
      <c r="J54" s="1976"/>
      <c r="K54" s="1976"/>
      <c r="L54" s="1976"/>
      <c r="M54" s="1976"/>
      <c r="N54" s="1976"/>
      <c r="O54" s="1976"/>
      <c r="P54" s="1976"/>
      <c r="Q54" s="1976"/>
      <c r="R54" s="1976"/>
      <c r="S54" s="1976"/>
      <c r="T54" s="1976"/>
    </row>
    <row r="55" spans="1:20">
      <c r="A55" s="1943" t="s">
        <v>981</v>
      </c>
      <c r="B55" s="1976"/>
      <c r="C55" s="1976"/>
      <c r="D55" s="1976"/>
      <c r="E55" s="1976"/>
      <c r="F55" s="1976"/>
      <c r="G55" s="1976"/>
      <c r="H55" s="1976"/>
      <c r="I55" s="1976"/>
      <c r="J55" s="1976"/>
      <c r="K55" s="1976"/>
      <c r="L55" s="1976"/>
      <c r="M55" s="1976"/>
      <c r="N55" s="1976"/>
      <c r="O55" s="1976"/>
      <c r="P55" s="1976"/>
      <c r="Q55" s="1976"/>
      <c r="R55" s="1976"/>
      <c r="S55" s="1976"/>
      <c r="T55" s="1976"/>
    </row>
    <row r="56" spans="1:20">
      <c r="A56" s="1943" t="s">
        <v>980</v>
      </c>
      <c r="B56" s="1976"/>
      <c r="C56" s="1976"/>
      <c r="D56" s="1976"/>
      <c r="E56" s="1976"/>
      <c r="F56" s="1976"/>
      <c r="G56" s="1976"/>
      <c r="H56" s="1976"/>
      <c r="I56" s="1976"/>
      <c r="J56" s="1976"/>
      <c r="K56" s="1976"/>
      <c r="L56" s="1976"/>
      <c r="M56" s="1976"/>
      <c r="N56" s="1976"/>
      <c r="O56" s="1976"/>
      <c r="P56" s="1976"/>
      <c r="Q56" s="1976"/>
      <c r="R56" s="1976"/>
      <c r="S56" s="1976"/>
      <c r="T56" s="1976"/>
    </row>
    <row r="57" spans="1:20">
      <c r="A57" s="1943" t="s">
        <v>979</v>
      </c>
      <c r="B57" s="1976"/>
      <c r="C57" s="1976"/>
      <c r="D57" s="1976"/>
      <c r="E57" s="1976"/>
      <c r="F57" s="1976"/>
      <c r="G57" s="1976"/>
      <c r="H57" s="1976"/>
      <c r="I57" s="1976"/>
      <c r="J57" s="1976"/>
      <c r="K57" s="1976"/>
      <c r="L57" s="1976"/>
      <c r="M57" s="1976"/>
      <c r="N57" s="1976"/>
      <c r="O57" s="1976"/>
      <c r="P57" s="1976"/>
      <c r="Q57" s="1976"/>
      <c r="R57" s="1976"/>
      <c r="S57" s="1976"/>
      <c r="T57" s="1976"/>
    </row>
  </sheetData>
  <mergeCells count="32">
    <mergeCell ref="A1:T1"/>
    <mergeCell ref="A2:T2"/>
    <mergeCell ref="A3:T3"/>
    <mergeCell ref="A4:T4"/>
    <mergeCell ref="A6"/>
    <mergeCell ref="B6"/>
    <mergeCell ref="C6"/>
    <mergeCell ref="D6"/>
    <mergeCell ref="E6"/>
    <mergeCell ref="F6"/>
    <mergeCell ref="G6"/>
    <mergeCell ref="H6"/>
    <mergeCell ref="I6"/>
    <mergeCell ref="J6"/>
    <mergeCell ref="K6"/>
    <mergeCell ref="L6"/>
    <mergeCell ref="R6"/>
    <mergeCell ref="A54:T54"/>
    <mergeCell ref="A55:T55"/>
    <mergeCell ref="A56:T56"/>
    <mergeCell ref="A57:T57"/>
    <mergeCell ref="S6"/>
    <mergeCell ref="T6"/>
    <mergeCell ref="A50:T50"/>
    <mergeCell ref="A51:T51"/>
    <mergeCell ref="A52:T52"/>
    <mergeCell ref="A53:T53"/>
    <mergeCell ref="M6"/>
    <mergeCell ref="N6"/>
    <mergeCell ref="O6"/>
    <mergeCell ref="P6"/>
    <mergeCell ref="Q6"/>
  </mergeCell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8"/>
  <sheetViews>
    <sheetView workbookViewId="0">
      <pane xSplit="2" ySplit="7" topLeftCell="C8"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7.5703125" style="284"/>
    <col min="2" max="2" width="86.42578125" style="284" customWidth="1"/>
    <col min="3" max="16384" width="7.5703125" style="284"/>
  </cols>
  <sheetData>
    <row r="1" spans="1:37" ht="17">
      <c r="A1" s="1978" t="s">
        <v>1080</v>
      </c>
      <c r="B1" s="1976"/>
      <c r="C1" s="1976"/>
      <c r="D1" s="1976"/>
      <c r="E1" s="1976"/>
      <c r="F1" s="1976"/>
      <c r="G1" s="1976"/>
      <c r="H1" s="1976"/>
      <c r="I1" s="1976"/>
      <c r="J1" s="1976"/>
      <c r="K1" s="1976"/>
      <c r="L1" s="1976"/>
      <c r="M1" s="1976"/>
      <c r="N1" s="1976"/>
      <c r="O1" s="1976"/>
      <c r="P1" s="1976"/>
      <c r="Q1" s="1976"/>
      <c r="R1" s="1976"/>
      <c r="S1" s="1976"/>
      <c r="T1" s="1976"/>
      <c r="U1" s="1976"/>
      <c r="V1" s="1976"/>
      <c r="W1" s="1976"/>
      <c r="X1" s="1976"/>
      <c r="Y1" s="1976"/>
      <c r="Z1" s="1976"/>
      <c r="AA1" s="1976"/>
      <c r="AB1" s="1976"/>
      <c r="AC1" s="1976"/>
      <c r="AD1" s="1976"/>
      <c r="AE1" s="1976"/>
      <c r="AF1" s="1976"/>
      <c r="AG1" s="1976"/>
      <c r="AH1" s="1976"/>
      <c r="AI1" s="1976"/>
      <c r="AJ1" s="1976"/>
      <c r="AK1" s="1976"/>
    </row>
    <row r="2" spans="1:37" ht="16">
      <c r="A2" s="1979" t="s">
        <v>248</v>
      </c>
      <c r="B2" s="1976"/>
      <c r="C2" s="1976"/>
      <c r="D2" s="1976"/>
      <c r="E2" s="1976"/>
      <c r="F2" s="1976"/>
      <c r="G2" s="1976"/>
      <c r="H2" s="1976"/>
      <c r="I2" s="1976"/>
      <c r="J2" s="1976"/>
      <c r="K2" s="1976"/>
      <c r="L2" s="1976"/>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row>
    <row r="3" spans="1:37">
      <c r="A3" s="1976" t="s">
        <v>160</v>
      </c>
      <c r="B3" s="1976"/>
      <c r="C3" s="1976"/>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row>
    <row r="4" spans="1:37">
      <c r="A4" s="1976" t="s">
        <v>1079</v>
      </c>
      <c r="B4" s="1976"/>
      <c r="C4" s="1976"/>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row>
    <row r="6" spans="1:37">
      <c r="A6" s="1977" t="s">
        <v>159</v>
      </c>
      <c r="B6" s="1977" t="s">
        <v>32</v>
      </c>
      <c r="C6" s="1977" t="s">
        <v>105</v>
      </c>
      <c r="D6" s="1977" t="s">
        <v>1078</v>
      </c>
      <c r="E6" s="1977" t="s">
        <v>103</v>
      </c>
      <c r="F6" s="1977" t="s">
        <v>1077</v>
      </c>
      <c r="G6" s="1977" t="s">
        <v>101</v>
      </c>
      <c r="H6" s="1977" t="s">
        <v>1076</v>
      </c>
      <c r="I6" s="1977" t="s">
        <v>99</v>
      </c>
      <c r="J6" s="1977" t="s">
        <v>1075</v>
      </c>
      <c r="K6" s="1977" t="s">
        <v>97</v>
      </c>
      <c r="L6" s="1977" t="s">
        <v>1074</v>
      </c>
      <c r="M6" s="1977" t="s">
        <v>95</v>
      </c>
      <c r="N6" s="1977" t="s">
        <v>1073</v>
      </c>
      <c r="O6" s="1977" t="s">
        <v>93</v>
      </c>
      <c r="P6" s="1977" t="s">
        <v>1072</v>
      </c>
      <c r="Q6" s="1977" t="s">
        <v>91</v>
      </c>
      <c r="R6" s="1977" t="s">
        <v>1071</v>
      </c>
      <c r="S6" s="1977" t="s">
        <v>89</v>
      </c>
      <c r="T6" s="1977" t="s">
        <v>261</v>
      </c>
      <c r="U6" s="1977" t="s">
        <v>87</v>
      </c>
      <c r="V6" s="1977" t="s">
        <v>260</v>
      </c>
      <c r="W6" s="1977" t="s">
        <v>85</v>
      </c>
      <c r="X6" s="1977" t="s">
        <v>259</v>
      </c>
      <c r="Y6" s="1977" t="s">
        <v>83</v>
      </c>
      <c r="Z6" s="1977" t="s">
        <v>258</v>
      </c>
      <c r="AA6" s="1977" t="s">
        <v>81</v>
      </c>
      <c r="AB6" s="1977" t="s">
        <v>257</v>
      </c>
      <c r="AC6" s="1977" t="s">
        <v>79</v>
      </c>
      <c r="AD6" s="1977" t="s">
        <v>256</v>
      </c>
      <c r="AE6" s="1977" t="s">
        <v>77</v>
      </c>
      <c r="AF6" s="1977" t="s">
        <v>255</v>
      </c>
      <c r="AG6" s="1977" t="s">
        <v>75</v>
      </c>
      <c r="AH6" s="1977" t="s">
        <v>794</v>
      </c>
      <c r="AI6" s="1977" t="s">
        <v>866</v>
      </c>
      <c r="AJ6" s="1977" t="s">
        <v>1070</v>
      </c>
      <c r="AK6" s="1977" t="s">
        <v>864</v>
      </c>
    </row>
    <row r="7" spans="1:37">
      <c r="A7" s="284" t="s">
        <v>32</v>
      </c>
      <c r="B7" s="284" t="s">
        <v>1069</v>
      </c>
      <c r="C7" s="284" t="s">
        <v>32</v>
      </c>
      <c r="D7" s="284" t="s">
        <v>32</v>
      </c>
      <c r="E7" s="284" t="s">
        <v>32</v>
      </c>
      <c r="F7" s="284" t="s">
        <v>32</v>
      </c>
      <c r="G7" s="284" t="s">
        <v>32</v>
      </c>
      <c r="H7" s="284" t="s">
        <v>32</v>
      </c>
      <c r="I7" s="284" t="s">
        <v>32</v>
      </c>
      <c r="J7" s="284" t="s">
        <v>32</v>
      </c>
      <c r="K7" s="284" t="s">
        <v>32</v>
      </c>
      <c r="L7" s="284" t="s">
        <v>32</v>
      </c>
      <c r="M7" s="284" t="s">
        <v>32</v>
      </c>
      <c r="N7" s="284" t="s">
        <v>32</v>
      </c>
      <c r="O7" s="284" t="s">
        <v>32</v>
      </c>
      <c r="P7" s="284" t="s">
        <v>32</v>
      </c>
      <c r="Q7" s="284" t="s">
        <v>32</v>
      </c>
      <c r="R7" s="284" t="s">
        <v>32</v>
      </c>
      <c r="S7" s="284" t="s">
        <v>32</v>
      </c>
      <c r="T7" s="284" t="s">
        <v>32</v>
      </c>
      <c r="U7" s="284" t="s">
        <v>32</v>
      </c>
      <c r="V7" s="284" t="s">
        <v>32</v>
      </c>
      <c r="W7" s="284" t="s">
        <v>32</v>
      </c>
      <c r="X7" s="284" t="s">
        <v>32</v>
      </c>
      <c r="Y7" s="284" t="s">
        <v>32</v>
      </c>
      <c r="Z7" s="284" t="s">
        <v>32</v>
      </c>
      <c r="AA7" s="284" t="s">
        <v>32</v>
      </c>
      <c r="AB7" s="284" t="s">
        <v>32</v>
      </c>
      <c r="AC7" s="284" t="s">
        <v>32</v>
      </c>
      <c r="AD7" s="284" t="s">
        <v>32</v>
      </c>
      <c r="AE7" s="284" t="s">
        <v>32</v>
      </c>
      <c r="AF7" s="284" t="s">
        <v>32</v>
      </c>
      <c r="AG7" s="284" t="s">
        <v>32</v>
      </c>
      <c r="AH7" s="284" t="s">
        <v>32</v>
      </c>
      <c r="AI7" s="284" t="s">
        <v>32</v>
      </c>
      <c r="AJ7" s="284" t="s">
        <v>32</v>
      </c>
      <c r="AK7" s="284" t="s">
        <v>32</v>
      </c>
    </row>
    <row r="8" spans="1:37">
      <c r="A8" s="284" t="s">
        <v>73</v>
      </c>
      <c r="B8" s="287" t="s">
        <v>1068</v>
      </c>
      <c r="C8" s="284">
        <v>34243</v>
      </c>
      <c r="D8" s="284">
        <v>37781</v>
      </c>
      <c r="E8" s="284">
        <v>42145</v>
      </c>
      <c r="F8" s="284">
        <v>41914</v>
      </c>
      <c r="G8" s="284">
        <v>42672</v>
      </c>
      <c r="H8" s="284">
        <v>51707</v>
      </c>
      <c r="I8" s="284">
        <v>63398</v>
      </c>
      <c r="J8" s="284">
        <v>67078</v>
      </c>
      <c r="K8" s="284">
        <v>71125</v>
      </c>
      <c r="L8" s="284">
        <v>64831</v>
      </c>
      <c r="M8" s="284">
        <v>62854</v>
      </c>
      <c r="N8" s="284">
        <v>72794</v>
      </c>
      <c r="O8" s="284">
        <v>80270</v>
      </c>
      <c r="P8" s="284">
        <v>98677</v>
      </c>
      <c r="Q8" s="284">
        <v>105906</v>
      </c>
      <c r="R8" s="284">
        <v>119876</v>
      </c>
      <c r="S8" s="284">
        <v>108388</v>
      </c>
      <c r="T8" s="284">
        <v>135317</v>
      </c>
      <c r="U8" s="284">
        <v>156067</v>
      </c>
      <c r="V8" s="284">
        <v>133212</v>
      </c>
      <c r="W8" s="284">
        <v>149414</v>
      </c>
      <c r="X8" s="284">
        <v>188380</v>
      </c>
      <c r="Y8" s="284">
        <v>250900</v>
      </c>
      <c r="Z8" s="284">
        <v>291418</v>
      </c>
      <c r="AA8" s="284">
        <v>320975</v>
      </c>
      <c r="AB8" s="284">
        <v>371794</v>
      </c>
      <c r="AC8" s="284">
        <v>415225</v>
      </c>
      <c r="AD8" s="284">
        <v>369172</v>
      </c>
      <c r="AE8" s="284">
        <v>443028</v>
      </c>
      <c r="AF8" s="284">
        <v>473625</v>
      </c>
      <c r="AG8" s="284">
        <v>464813</v>
      </c>
      <c r="AH8" s="284">
        <v>476212</v>
      </c>
      <c r="AI8" s="284">
        <v>474805</v>
      </c>
      <c r="AJ8" s="284">
        <v>436909</v>
      </c>
      <c r="AK8" s="284">
        <v>444038</v>
      </c>
    </row>
    <row r="9" spans="1:37">
      <c r="A9" s="284" t="s">
        <v>72</v>
      </c>
      <c r="B9" s="284" t="s">
        <v>1055</v>
      </c>
      <c r="C9" s="284">
        <v>31343</v>
      </c>
      <c r="D9" s="284">
        <v>35311</v>
      </c>
      <c r="E9" s="284">
        <v>39656</v>
      </c>
      <c r="F9" s="284">
        <v>39484</v>
      </c>
      <c r="G9" s="284">
        <v>40099</v>
      </c>
      <c r="H9" s="284">
        <v>48597</v>
      </c>
      <c r="I9" s="284">
        <v>59746</v>
      </c>
      <c r="J9" s="284">
        <v>61796</v>
      </c>
      <c r="K9" s="284">
        <v>64190</v>
      </c>
      <c r="L9" s="284">
        <v>57464</v>
      </c>
      <c r="M9" s="284">
        <v>56355</v>
      </c>
      <c r="N9" s="284">
        <v>65565</v>
      </c>
      <c r="O9" s="284">
        <v>75037</v>
      </c>
      <c r="P9" s="284">
        <v>92800</v>
      </c>
      <c r="Q9" s="284">
        <v>100314</v>
      </c>
      <c r="R9" s="284">
        <v>113208</v>
      </c>
      <c r="S9" s="284">
        <v>100905</v>
      </c>
      <c r="T9" s="284">
        <v>125990</v>
      </c>
      <c r="U9" s="284">
        <v>144834</v>
      </c>
      <c r="V9" s="284">
        <v>122258</v>
      </c>
      <c r="W9" s="284">
        <v>139300</v>
      </c>
      <c r="X9" s="284">
        <v>178206</v>
      </c>
      <c r="Y9" s="284">
        <v>240334</v>
      </c>
      <c r="Z9" s="284">
        <v>279062</v>
      </c>
      <c r="AA9" s="284">
        <v>306768</v>
      </c>
      <c r="AB9" s="284">
        <v>354311</v>
      </c>
      <c r="AC9" s="284">
        <v>397401</v>
      </c>
      <c r="AD9" s="284">
        <v>354854</v>
      </c>
      <c r="AE9" s="284">
        <v>430360</v>
      </c>
      <c r="AF9" s="284">
        <v>459739</v>
      </c>
      <c r="AG9" s="284">
        <v>448869</v>
      </c>
      <c r="AH9" s="284">
        <v>459144</v>
      </c>
      <c r="AI9" s="284">
        <v>455568</v>
      </c>
      <c r="AJ9" s="284">
        <v>416422</v>
      </c>
      <c r="AK9" s="284">
        <v>419493</v>
      </c>
    </row>
    <row r="10" spans="1:37">
      <c r="A10" s="284" t="s">
        <v>70</v>
      </c>
      <c r="B10" s="284" t="s">
        <v>1054</v>
      </c>
      <c r="C10" s="284">
        <v>23058</v>
      </c>
      <c r="D10" s="284">
        <v>18629</v>
      </c>
      <c r="E10" s="284">
        <v>18688</v>
      </c>
      <c r="F10" s="284">
        <v>19780</v>
      </c>
      <c r="G10" s="284">
        <v>26077</v>
      </c>
      <c r="H10" s="284">
        <v>25264</v>
      </c>
      <c r="I10" s="284">
        <v>41744</v>
      </c>
      <c r="J10" s="284">
        <v>43257</v>
      </c>
      <c r="K10" s="284">
        <v>36553</v>
      </c>
      <c r="L10" s="284">
        <v>33945</v>
      </c>
      <c r="M10" s="284">
        <v>34441</v>
      </c>
      <c r="N10" s="284">
        <v>28847</v>
      </c>
      <c r="O10" s="284">
        <v>44032</v>
      </c>
      <c r="P10" s="284">
        <v>38891</v>
      </c>
      <c r="Q10" s="284">
        <v>45623</v>
      </c>
      <c r="R10" s="284">
        <v>55196</v>
      </c>
      <c r="S10" s="284">
        <v>56742</v>
      </c>
      <c r="T10" s="284">
        <v>62536</v>
      </c>
      <c r="U10" s="284">
        <v>52863</v>
      </c>
      <c r="V10" s="284">
        <v>53235</v>
      </c>
      <c r="W10" s="284">
        <v>54601</v>
      </c>
      <c r="X10" s="284">
        <v>59459</v>
      </c>
      <c r="Y10" s="284">
        <v>81555</v>
      </c>
      <c r="Z10" s="284">
        <v>298712</v>
      </c>
      <c r="AA10" s="284">
        <v>101686</v>
      </c>
      <c r="AB10" s="284">
        <v>132833</v>
      </c>
      <c r="AC10" s="284">
        <v>172448</v>
      </c>
      <c r="AD10" s="284">
        <v>128561</v>
      </c>
      <c r="AE10" s="284">
        <v>132616</v>
      </c>
      <c r="AF10" s="284">
        <v>151122</v>
      </c>
      <c r="AG10" s="284">
        <v>164883</v>
      </c>
      <c r="AH10" s="284">
        <v>144080</v>
      </c>
      <c r="AI10" s="284">
        <v>143994</v>
      </c>
      <c r="AJ10" s="284">
        <v>125507</v>
      </c>
      <c r="AK10" s="284">
        <v>120899</v>
      </c>
    </row>
    <row r="11" spans="1:37">
      <c r="A11" s="284" t="s">
        <v>69</v>
      </c>
      <c r="B11" s="284" t="s">
        <v>235</v>
      </c>
      <c r="C11" s="284">
        <v>8285</v>
      </c>
      <c r="D11" s="284">
        <v>16682</v>
      </c>
      <c r="E11" s="284">
        <v>20969</v>
      </c>
      <c r="F11" s="284">
        <v>19705</v>
      </c>
      <c r="G11" s="284">
        <v>14023</v>
      </c>
      <c r="H11" s="284">
        <v>23333</v>
      </c>
      <c r="I11" s="284">
        <v>18002</v>
      </c>
      <c r="J11" s="284">
        <v>18539</v>
      </c>
      <c r="K11" s="284">
        <v>27638</v>
      </c>
      <c r="L11" s="284">
        <v>23521</v>
      </c>
      <c r="M11" s="284">
        <v>21912</v>
      </c>
      <c r="N11" s="284">
        <v>36718</v>
      </c>
      <c r="O11" s="284">
        <v>31004</v>
      </c>
      <c r="P11" s="284">
        <v>53908</v>
      </c>
      <c r="Q11" s="284">
        <v>54691</v>
      </c>
      <c r="R11" s="284">
        <v>58012</v>
      </c>
      <c r="S11" s="284">
        <v>44162</v>
      </c>
      <c r="T11" s="284">
        <v>63454</v>
      </c>
      <c r="U11" s="284">
        <v>91971</v>
      </c>
      <c r="V11" s="284">
        <v>69023</v>
      </c>
      <c r="W11" s="284">
        <v>84698</v>
      </c>
      <c r="X11" s="284">
        <v>118747</v>
      </c>
      <c r="Y11" s="284">
        <v>158779</v>
      </c>
      <c r="Z11" s="284">
        <v>-19650</v>
      </c>
      <c r="AA11" s="284">
        <v>205082</v>
      </c>
      <c r="AB11" s="284">
        <v>221478</v>
      </c>
      <c r="AC11" s="284">
        <v>224954</v>
      </c>
      <c r="AD11" s="284">
        <v>226293</v>
      </c>
      <c r="AE11" s="284">
        <v>297744</v>
      </c>
      <c r="AF11" s="284">
        <v>308617</v>
      </c>
      <c r="AG11" s="284">
        <v>283987</v>
      </c>
      <c r="AH11" s="284">
        <v>315064</v>
      </c>
      <c r="AI11" s="284">
        <v>311574</v>
      </c>
      <c r="AJ11" s="284">
        <v>290915</v>
      </c>
      <c r="AK11" s="284">
        <v>298594</v>
      </c>
    </row>
    <row r="12" spans="1:37">
      <c r="A12" s="284" t="s">
        <v>68</v>
      </c>
      <c r="B12" s="284" t="s">
        <v>252</v>
      </c>
      <c r="C12" s="284">
        <v>2900</v>
      </c>
      <c r="D12" s="284">
        <v>2470</v>
      </c>
      <c r="E12" s="284">
        <v>2489</v>
      </c>
      <c r="F12" s="284">
        <v>2430</v>
      </c>
      <c r="G12" s="284">
        <v>2573</v>
      </c>
      <c r="H12" s="284">
        <v>3110</v>
      </c>
      <c r="I12" s="284">
        <v>3652</v>
      </c>
      <c r="J12" s="284">
        <v>5282</v>
      </c>
      <c r="K12" s="284">
        <v>6935</v>
      </c>
      <c r="L12" s="284">
        <v>7367</v>
      </c>
      <c r="M12" s="284">
        <v>6499</v>
      </c>
      <c r="N12" s="284">
        <v>7229</v>
      </c>
      <c r="O12" s="284">
        <v>5233</v>
      </c>
      <c r="P12" s="284">
        <v>5877</v>
      </c>
      <c r="Q12" s="284">
        <v>5592</v>
      </c>
      <c r="R12" s="284">
        <v>6668</v>
      </c>
      <c r="S12" s="284">
        <v>7483</v>
      </c>
      <c r="T12" s="284">
        <v>9326</v>
      </c>
      <c r="U12" s="284">
        <v>11233</v>
      </c>
      <c r="V12" s="284">
        <v>10954</v>
      </c>
      <c r="W12" s="284">
        <v>10113</v>
      </c>
      <c r="X12" s="284">
        <v>10174</v>
      </c>
      <c r="Y12" s="284">
        <v>10566</v>
      </c>
      <c r="Z12" s="284">
        <v>12356</v>
      </c>
      <c r="AA12" s="284">
        <v>14207</v>
      </c>
      <c r="AB12" s="284">
        <v>17483</v>
      </c>
      <c r="AC12" s="284">
        <v>17824</v>
      </c>
      <c r="AD12" s="284">
        <v>14317</v>
      </c>
      <c r="AE12" s="284">
        <v>12668</v>
      </c>
      <c r="AF12" s="284">
        <v>13886</v>
      </c>
      <c r="AG12" s="284">
        <v>15943</v>
      </c>
      <c r="AH12" s="284">
        <v>17068</v>
      </c>
      <c r="AI12" s="284">
        <v>19237</v>
      </c>
      <c r="AJ12" s="284">
        <v>20487</v>
      </c>
      <c r="AK12" s="284">
        <v>24544</v>
      </c>
    </row>
    <row r="13" spans="1:37">
      <c r="A13" s="284" t="s">
        <v>66</v>
      </c>
      <c r="B13" s="284" t="s">
        <v>238</v>
      </c>
      <c r="C13" s="284">
        <v>2264</v>
      </c>
      <c r="D13" s="284">
        <v>1911</v>
      </c>
      <c r="E13" s="284">
        <v>1854</v>
      </c>
      <c r="F13" s="284">
        <v>1706</v>
      </c>
      <c r="G13" s="284">
        <v>1685</v>
      </c>
      <c r="H13" s="284">
        <v>1860</v>
      </c>
      <c r="I13" s="284">
        <v>2335</v>
      </c>
      <c r="J13" s="284">
        <v>3379</v>
      </c>
      <c r="K13" s="284">
        <v>4962</v>
      </c>
      <c r="L13" s="284">
        <v>4740</v>
      </c>
      <c r="M13" s="284">
        <v>3930</v>
      </c>
      <c r="N13" s="284">
        <v>4257</v>
      </c>
      <c r="O13" s="284">
        <v>3868</v>
      </c>
      <c r="P13" s="284">
        <v>4342</v>
      </c>
      <c r="Q13" s="284">
        <v>4144</v>
      </c>
      <c r="R13" s="284">
        <v>4866</v>
      </c>
      <c r="S13" s="284">
        <v>5658</v>
      </c>
      <c r="T13" s="284">
        <v>7757</v>
      </c>
      <c r="U13" s="284">
        <v>8690</v>
      </c>
      <c r="V13" s="284">
        <v>8938</v>
      </c>
      <c r="W13" s="284">
        <v>8467</v>
      </c>
      <c r="X13" s="284">
        <v>8657</v>
      </c>
      <c r="Y13" s="284">
        <v>8353</v>
      </c>
      <c r="Z13" s="284">
        <v>8980</v>
      </c>
      <c r="AA13" s="284">
        <v>9602</v>
      </c>
      <c r="AB13" s="284">
        <v>11300</v>
      </c>
      <c r="AC13" s="284">
        <v>12227</v>
      </c>
      <c r="AD13" s="284">
        <v>9873</v>
      </c>
      <c r="AE13" s="284">
        <v>8407</v>
      </c>
      <c r="AF13" s="284">
        <v>9517</v>
      </c>
      <c r="AG13" s="284">
        <v>12312</v>
      </c>
      <c r="AH13" s="284">
        <v>13486</v>
      </c>
      <c r="AI13" s="284">
        <v>14683</v>
      </c>
      <c r="AJ13" s="284">
        <v>15661</v>
      </c>
      <c r="AK13" s="284">
        <v>17670</v>
      </c>
    </row>
    <row r="14" spans="1:37">
      <c r="A14" s="284" t="s">
        <v>65</v>
      </c>
      <c r="B14" s="284" t="s">
        <v>233</v>
      </c>
      <c r="C14" s="284">
        <v>636</v>
      </c>
      <c r="D14" s="284">
        <v>559</v>
      </c>
      <c r="E14" s="284">
        <v>635</v>
      </c>
      <c r="F14" s="284">
        <v>724</v>
      </c>
      <c r="G14" s="284">
        <v>888</v>
      </c>
      <c r="H14" s="284">
        <v>1250</v>
      </c>
      <c r="I14" s="284">
        <v>1317</v>
      </c>
      <c r="J14" s="284">
        <v>1903</v>
      </c>
      <c r="K14" s="284">
        <v>1973</v>
      </c>
      <c r="L14" s="284">
        <v>2627</v>
      </c>
      <c r="M14" s="284">
        <v>2569</v>
      </c>
      <c r="N14" s="284">
        <v>2972</v>
      </c>
      <c r="O14" s="284">
        <v>1365</v>
      </c>
      <c r="P14" s="284">
        <v>1535</v>
      </c>
      <c r="Q14" s="284">
        <v>1448</v>
      </c>
      <c r="R14" s="284">
        <v>1802</v>
      </c>
      <c r="S14" s="284">
        <v>1825</v>
      </c>
      <c r="T14" s="284">
        <v>1569</v>
      </c>
      <c r="U14" s="284">
        <v>2543</v>
      </c>
      <c r="V14" s="284">
        <v>2016</v>
      </c>
      <c r="W14" s="284">
        <v>1646</v>
      </c>
      <c r="X14" s="284">
        <v>1518</v>
      </c>
      <c r="Y14" s="284">
        <v>2213</v>
      </c>
      <c r="Z14" s="284">
        <v>3376</v>
      </c>
      <c r="AA14" s="284">
        <v>4605</v>
      </c>
      <c r="AB14" s="284">
        <v>6183</v>
      </c>
      <c r="AC14" s="284">
        <v>5597</v>
      </c>
      <c r="AD14" s="284">
        <v>4445</v>
      </c>
      <c r="AE14" s="284">
        <v>4261</v>
      </c>
      <c r="AF14" s="284">
        <v>4369</v>
      </c>
      <c r="AG14" s="284">
        <v>3632</v>
      </c>
      <c r="AH14" s="284">
        <v>3582</v>
      </c>
      <c r="AI14" s="284">
        <v>4554</v>
      </c>
      <c r="AJ14" s="284">
        <v>4826</v>
      </c>
      <c r="AK14" s="284">
        <v>6874</v>
      </c>
    </row>
    <row r="15" spans="1:37">
      <c r="A15" s="284" t="s">
        <v>64</v>
      </c>
      <c r="B15" s="287" t="s">
        <v>1059</v>
      </c>
      <c r="C15" s="284">
        <v>4774</v>
      </c>
      <c r="D15" s="284">
        <v>6031</v>
      </c>
      <c r="E15" s="284">
        <v>6818</v>
      </c>
      <c r="F15" s="284">
        <v>6504</v>
      </c>
      <c r="G15" s="284">
        <v>5734</v>
      </c>
      <c r="H15" s="284">
        <v>5419</v>
      </c>
      <c r="I15" s="284">
        <v>4954</v>
      </c>
      <c r="J15" s="284">
        <v>5097</v>
      </c>
      <c r="K15" s="284">
        <v>5152</v>
      </c>
      <c r="L15" s="284">
        <v>6113</v>
      </c>
      <c r="M15" s="284">
        <v>5314</v>
      </c>
      <c r="N15" s="284">
        <v>5547</v>
      </c>
      <c r="O15" s="284">
        <v>2927</v>
      </c>
      <c r="P15" s="284">
        <v>3418</v>
      </c>
      <c r="Q15" s="284">
        <v>3402</v>
      </c>
      <c r="R15" s="284">
        <v>4553</v>
      </c>
      <c r="S15" s="284">
        <v>4424</v>
      </c>
      <c r="T15" s="284">
        <v>4805</v>
      </c>
      <c r="U15" s="284">
        <v>6227</v>
      </c>
      <c r="V15" s="284">
        <v>5688</v>
      </c>
      <c r="W15" s="284">
        <v>4739</v>
      </c>
      <c r="X15" s="284">
        <v>4243</v>
      </c>
      <c r="Y15" s="284">
        <v>4716</v>
      </c>
      <c r="Z15" s="284">
        <v>6526</v>
      </c>
      <c r="AA15" s="284">
        <v>8419</v>
      </c>
      <c r="AB15" s="284">
        <v>10087</v>
      </c>
      <c r="AC15" s="284">
        <v>9626</v>
      </c>
      <c r="AD15" s="284">
        <v>7781</v>
      </c>
      <c r="AE15" s="284">
        <v>6867</v>
      </c>
      <c r="AF15" s="284">
        <v>6687</v>
      </c>
      <c r="AG15" s="284">
        <v>6557</v>
      </c>
      <c r="AH15" s="284">
        <v>8816</v>
      </c>
      <c r="AI15" s="284">
        <v>10221</v>
      </c>
      <c r="AJ15" s="284">
        <v>11126</v>
      </c>
      <c r="AK15" s="284">
        <v>14257</v>
      </c>
    </row>
    <row r="16" spans="1:37">
      <c r="A16" s="284" t="s">
        <v>63</v>
      </c>
      <c r="B16" s="284" t="s">
        <v>1058</v>
      </c>
      <c r="C16" s="284">
        <v>4138</v>
      </c>
      <c r="D16" s="284">
        <v>5472</v>
      </c>
      <c r="E16" s="284">
        <v>6183</v>
      </c>
      <c r="F16" s="284">
        <v>5780</v>
      </c>
      <c r="G16" s="284">
        <v>4846</v>
      </c>
      <c r="H16" s="284">
        <v>4169</v>
      </c>
      <c r="I16" s="284">
        <v>3637</v>
      </c>
      <c r="J16" s="284">
        <v>3194</v>
      </c>
      <c r="K16" s="284">
        <v>3179</v>
      </c>
      <c r="L16" s="284">
        <v>3486</v>
      </c>
      <c r="M16" s="284">
        <v>2745</v>
      </c>
      <c r="N16" s="284">
        <v>2575</v>
      </c>
      <c r="O16" s="284">
        <v>1562</v>
      </c>
      <c r="P16" s="284">
        <v>1883</v>
      </c>
      <c r="Q16" s="284">
        <v>1954</v>
      </c>
      <c r="R16" s="284">
        <v>2751</v>
      </c>
      <c r="S16" s="284">
        <v>2599</v>
      </c>
      <c r="T16" s="284">
        <v>3235</v>
      </c>
      <c r="U16" s="284">
        <v>3685</v>
      </c>
      <c r="V16" s="284">
        <v>3672</v>
      </c>
      <c r="W16" s="284">
        <v>3093</v>
      </c>
      <c r="X16" s="284">
        <v>2725</v>
      </c>
      <c r="Y16" s="284">
        <v>2503</v>
      </c>
      <c r="Z16" s="284">
        <v>3150</v>
      </c>
      <c r="AA16" s="284">
        <v>3814</v>
      </c>
      <c r="AB16" s="284">
        <v>3904</v>
      </c>
      <c r="AC16" s="284">
        <v>4029</v>
      </c>
      <c r="AD16" s="284">
        <v>3337</v>
      </c>
      <c r="AE16" s="284">
        <v>2606</v>
      </c>
      <c r="AF16" s="284">
        <v>2318</v>
      </c>
      <c r="AG16" s="284">
        <v>2925</v>
      </c>
      <c r="AH16" s="284">
        <v>5235</v>
      </c>
      <c r="AI16" s="284">
        <v>5667</v>
      </c>
      <c r="AJ16" s="284">
        <v>6300</v>
      </c>
      <c r="AK16" s="284">
        <v>7382</v>
      </c>
    </row>
    <row r="17" spans="1:37">
      <c r="A17" s="284" t="s">
        <v>61</v>
      </c>
      <c r="B17" s="284" t="s">
        <v>1057</v>
      </c>
      <c r="C17" s="284">
        <v>636</v>
      </c>
      <c r="D17" s="284">
        <v>559</v>
      </c>
      <c r="E17" s="284">
        <v>635</v>
      </c>
      <c r="F17" s="284">
        <v>724</v>
      </c>
      <c r="G17" s="284">
        <v>888</v>
      </c>
      <c r="H17" s="284">
        <v>1250</v>
      </c>
      <c r="I17" s="284">
        <v>1317</v>
      </c>
      <c r="J17" s="284">
        <v>1903</v>
      </c>
      <c r="K17" s="284">
        <v>1973</v>
      </c>
      <c r="L17" s="284">
        <v>2627</v>
      </c>
      <c r="M17" s="284">
        <v>2569</v>
      </c>
      <c r="N17" s="284">
        <v>2972</v>
      </c>
      <c r="O17" s="284">
        <v>1365</v>
      </c>
      <c r="P17" s="284">
        <v>1535</v>
      </c>
      <c r="Q17" s="284">
        <v>1448</v>
      </c>
      <c r="R17" s="284">
        <v>1802</v>
      </c>
      <c r="S17" s="284">
        <v>1825</v>
      </c>
      <c r="T17" s="284">
        <v>1569</v>
      </c>
      <c r="U17" s="284">
        <v>2543</v>
      </c>
      <c r="V17" s="284">
        <v>2016</v>
      </c>
      <c r="W17" s="284">
        <v>1646</v>
      </c>
      <c r="X17" s="284">
        <v>1518</v>
      </c>
      <c r="Y17" s="284">
        <v>2213</v>
      </c>
      <c r="Z17" s="284">
        <v>3376</v>
      </c>
      <c r="AA17" s="284">
        <v>4605</v>
      </c>
      <c r="AB17" s="284">
        <v>6183</v>
      </c>
      <c r="AC17" s="284">
        <v>5597</v>
      </c>
      <c r="AD17" s="284">
        <v>4445</v>
      </c>
      <c r="AE17" s="284">
        <v>4261</v>
      </c>
      <c r="AF17" s="284">
        <v>4369</v>
      </c>
      <c r="AG17" s="284">
        <v>3632</v>
      </c>
      <c r="AH17" s="284">
        <v>3582</v>
      </c>
      <c r="AI17" s="284">
        <v>4554</v>
      </c>
      <c r="AJ17" s="284">
        <v>4826</v>
      </c>
      <c r="AK17" s="284">
        <v>6874</v>
      </c>
    </row>
    <row r="18" spans="1:37">
      <c r="A18" s="284" t="s">
        <v>60</v>
      </c>
      <c r="B18" s="287" t="s">
        <v>1067</v>
      </c>
      <c r="C18" s="284">
        <v>29469</v>
      </c>
      <c r="D18" s="284">
        <v>31750</v>
      </c>
      <c r="E18" s="284">
        <v>35326</v>
      </c>
      <c r="F18" s="284">
        <v>35410</v>
      </c>
      <c r="G18" s="284">
        <v>36938</v>
      </c>
      <c r="H18" s="284">
        <v>46287</v>
      </c>
      <c r="I18" s="284">
        <v>58445</v>
      </c>
      <c r="J18" s="284">
        <v>61981</v>
      </c>
      <c r="K18" s="284">
        <v>65973</v>
      </c>
      <c r="L18" s="284">
        <v>58717</v>
      </c>
      <c r="M18" s="284">
        <v>57539</v>
      </c>
      <c r="N18" s="284">
        <v>67245</v>
      </c>
      <c r="O18" s="284">
        <v>77344</v>
      </c>
      <c r="P18" s="284">
        <v>95260</v>
      </c>
      <c r="Q18" s="284">
        <v>102505</v>
      </c>
      <c r="R18" s="284">
        <v>115323</v>
      </c>
      <c r="S18" s="284">
        <v>103963</v>
      </c>
      <c r="T18" s="284">
        <v>130512</v>
      </c>
      <c r="U18" s="284">
        <v>149839</v>
      </c>
      <c r="V18" s="284">
        <v>127523</v>
      </c>
      <c r="W18" s="284">
        <v>144675</v>
      </c>
      <c r="X18" s="284">
        <v>184137</v>
      </c>
      <c r="Y18" s="284">
        <v>246184</v>
      </c>
      <c r="Z18" s="284">
        <v>284892</v>
      </c>
      <c r="AA18" s="284">
        <v>312556</v>
      </c>
      <c r="AB18" s="284">
        <v>361708</v>
      </c>
      <c r="AC18" s="284">
        <v>405600</v>
      </c>
      <c r="AD18" s="284">
        <v>361390</v>
      </c>
      <c r="AE18" s="284">
        <v>436161</v>
      </c>
      <c r="AF18" s="284">
        <v>466938</v>
      </c>
      <c r="AG18" s="284">
        <v>458256</v>
      </c>
      <c r="AH18" s="284">
        <v>467396</v>
      </c>
      <c r="AI18" s="284">
        <v>464584</v>
      </c>
      <c r="AJ18" s="284">
        <v>425784</v>
      </c>
      <c r="AK18" s="284">
        <v>429781</v>
      </c>
    </row>
    <row r="19" spans="1:37">
      <c r="A19" s="284" t="s">
        <v>59</v>
      </c>
      <c r="B19" s="284" t="s">
        <v>1055</v>
      </c>
      <c r="C19" s="284">
        <v>31343</v>
      </c>
      <c r="D19" s="284">
        <v>35311</v>
      </c>
      <c r="E19" s="284">
        <v>39656</v>
      </c>
      <c r="F19" s="284">
        <v>39484</v>
      </c>
      <c r="G19" s="284">
        <v>40099</v>
      </c>
      <c r="H19" s="284">
        <v>48597</v>
      </c>
      <c r="I19" s="284">
        <v>59746</v>
      </c>
      <c r="J19" s="284">
        <v>61796</v>
      </c>
      <c r="K19" s="284">
        <v>64190</v>
      </c>
      <c r="L19" s="284">
        <v>57464</v>
      </c>
      <c r="M19" s="284">
        <v>56355</v>
      </c>
      <c r="N19" s="284">
        <v>65565</v>
      </c>
      <c r="O19" s="284">
        <v>75037</v>
      </c>
      <c r="P19" s="284">
        <v>92800</v>
      </c>
      <c r="Q19" s="284">
        <v>100314</v>
      </c>
      <c r="R19" s="284">
        <v>113208</v>
      </c>
      <c r="S19" s="284">
        <v>100905</v>
      </c>
      <c r="T19" s="284">
        <v>125990</v>
      </c>
      <c r="U19" s="284">
        <v>144834</v>
      </c>
      <c r="V19" s="284">
        <v>122258</v>
      </c>
      <c r="W19" s="284">
        <v>139300</v>
      </c>
      <c r="X19" s="284">
        <v>178206</v>
      </c>
      <c r="Y19" s="284">
        <v>240334</v>
      </c>
      <c r="Z19" s="284">
        <v>279062</v>
      </c>
      <c r="AA19" s="284">
        <v>306768</v>
      </c>
      <c r="AB19" s="284">
        <v>354311</v>
      </c>
      <c r="AC19" s="284">
        <v>397401</v>
      </c>
      <c r="AD19" s="284">
        <v>354854</v>
      </c>
      <c r="AE19" s="284">
        <v>430360</v>
      </c>
      <c r="AF19" s="284">
        <v>459739</v>
      </c>
      <c r="AG19" s="284">
        <v>448869</v>
      </c>
      <c r="AH19" s="284">
        <v>459144</v>
      </c>
      <c r="AI19" s="284">
        <v>455568</v>
      </c>
      <c r="AJ19" s="284">
        <v>416422</v>
      </c>
      <c r="AK19" s="284">
        <v>419493</v>
      </c>
    </row>
    <row r="20" spans="1:37">
      <c r="A20" s="284" t="s">
        <v>57</v>
      </c>
      <c r="B20" s="284" t="s">
        <v>1054</v>
      </c>
      <c r="C20" s="284">
        <v>23058</v>
      </c>
      <c r="D20" s="284">
        <v>18629</v>
      </c>
      <c r="E20" s="284">
        <v>18688</v>
      </c>
      <c r="F20" s="284">
        <v>19780</v>
      </c>
      <c r="G20" s="284">
        <v>26077</v>
      </c>
      <c r="H20" s="284">
        <v>25264</v>
      </c>
      <c r="I20" s="284">
        <v>41744</v>
      </c>
      <c r="J20" s="284">
        <v>43257</v>
      </c>
      <c r="K20" s="284">
        <v>36553</v>
      </c>
      <c r="L20" s="284">
        <v>33945</v>
      </c>
      <c r="M20" s="284">
        <v>34441</v>
      </c>
      <c r="N20" s="284">
        <v>28847</v>
      </c>
      <c r="O20" s="284">
        <v>44032</v>
      </c>
      <c r="P20" s="284">
        <v>38891</v>
      </c>
      <c r="Q20" s="284">
        <v>45623</v>
      </c>
      <c r="R20" s="284">
        <v>55196</v>
      </c>
      <c r="S20" s="284">
        <v>56742</v>
      </c>
      <c r="T20" s="284">
        <v>62536</v>
      </c>
      <c r="U20" s="284">
        <v>52863</v>
      </c>
      <c r="V20" s="284">
        <v>53235</v>
      </c>
      <c r="W20" s="284">
        <v>54601</v>
      </c>
      <c r="X20" s="284">
        <v>59459</v>
      </c>
      <c r="Y20" s="284">
        <v>81555</v>
      </c>
      <c r="Z20" s="284">
        <v>298712</v>
      </c>
      <c r="AA20" s="284">
        <v>101686</v>
      </c>
      <c r="AB20" s="284">
        <v>132833</v>
      </c>
      <c r="AC20" s="284">
        <v>172448</v>
      </c>
      <c r="AD20" s="284">
        <v>128561</v>
      </c>
      <c r="AE20" s="284">
        <v>132616</v>
      </c>
      <c r="AF20" s="284">
        <v>151122</v>
      </c>
      <c r="AG20" s="284">
        <v>164883</v>
      </c>
      <c r="AH20" s="284">
        <v>144080</v>
      </c>
      <c r="AI20" s="284">
        <v>143994</v>
      </c>
      <c r="AJ20" s="284">
        <v>125507</v>
      </c>
      <c r="AK20" s="284">
        <v>120899</v>
      </c>
    </row>
    <row r="21" spans="1:37">
      <c r="A21" s="284" t="s">
        <v>55</v>
      </c>
      <c r="B21" s="284" t="s">
        <v>235</v>
      </c>
      <c r="C21" s="284">
        <v>8285</v>
      </c>
      <c r="D21" s="284">
        <v>16682</v>
      </c>
      <c r="E21" s="284">
        <v>20969</v>
      </c>
      <c r="F21" s="284">
        <v>19705</v>
      </c>
      <c r="G21" s="284">
        <v>14023</v>
      </c>
      <c r="H21" s="284">
        <v>23333</v>
      </c>
      <c r="I21" s="284">
        <v>18002</v>
      </c>
      <c r="J21" s="284">
        <v>18539</v>
      </c>
      <c r="K21" s="284">
        <v>27638</v>
      </c>
      <c r="L21" s="284">
        <v>23521</v>
      </c>
      <c r="M21" s="284">
        <v>21912</v>
      </c>
      <c r="N21" s="284">
        <v>36718</v>
      </c>
      <c r="O21" s="284">
        <v>31004</v>
      </c>
      <c r="P21" s="284">
        <v>53908</v>
      </c>
      <c r="Q21" s="284">
        <v>54691</v>
      </c>
      <c r="R21" s="284">
        <v>58012</v>
      </c>
      <c r="S21" s="284">
        <v>44162</v>
      </c>
      <c r="T21" s="284">
        <v>63454</v>
      </c>
      <c r="U21" s="284">
        <v>91971</v>
      </c>
      <c r="V21" s="284">
        <v>69023</v>
      </c>
      <c r="W21" s="284">
        <v>84698</v>
      </c>
      <c r="X21" s="284">
        <v>118747</v>
      </c>
      <c r="Y21" s="284">
        <v>158779</v>
      </c>
      <c r="Z21" s="284">
        <v>-19650</v>
      </c>
      <c r="AA21" s="284">
        <v>205082</v>
      </c>
      <c r="AB21" s="284">
        <v>221478</v>
      </c>
      <c r="AC21" s="284">
        <v>224954</v>
      </c>
      <c r="AD21" s="284">
        <v>226293</v>
      </c>
      <c r="AE21" s="284">
        <v>297744</v>
      </c>
      <c r="AF21" s="284">
        <v>308617</v>
      </c>
      <c r="AG21" s="284">
        <v>283987</v>
      </c>
      <c r="AH21" s="284">
        <v>315064</v>
      </c>
      <c r="AI21" s="284">
        <v>311574</v>
      </c>
      <c r="AJ21" s="284">
        <v>290915</v>
      </c>
      <c r="AK21" s="284">
        <v>298594</v>
      </c>
    </row>
    <row r="22" spans="1:37">
      <c r="A22" s="284" t="s">
        <v>54</v>
      </c>
      <c r="B22" s="284" t="s">
        <v>254</v>
      </c>
      <c r="C22" s="284">
        <v>4807</v>
      </c>
      <c r="D22" s="284">
        <v>13679</v>
      </c>
      <c r="E22" s="284">
        <v>17607</v>
      </c>
      <c r="F22" s="284">
        <v>14166</v>
      </c>
      <c r="G22" s="284">
        <v>9669</v>
      </c>
      <c r="H22" s="284">
        <v>18453</v>
      </c>
      <c r="I22" s="284">
        <v>14073</v>
      </c>
      <c r="J22" s="284">
        <v>12696</v>
      </c>
      <c r="K22" s="284">
        <v>21437</v>
      </c>
      <c r="L22" s="284">
        <v>18328</v>
      </c>
      <c r="M22" s="284">
        <v>16293</v>
      </c>
      <c r="N22" s="284">
        <v>30015</v>
      </c>
      <c r="O22" s="284">
        <v>24088</v>
      </c>
      <c r="P22" s="284">
        <v>47232</v>
      </c>
      <c r="Q22" s="284">
        <v>47233</v>
      </c>
      <c r="R22" s="284">
        <v>48978</v>
      </c>
      <c r="S22" s="284">
        <v>32522</v>
      </c>
      <c r="T22" s="284">
        <v>48706</v>
      </c>
      <c r="U22" s="284">
        <v>77018</v>
      </c>
      <c r="V22" s="284">
        <v>52307</v>
      </c>
      <c r="W22" s="284">
        <v>65755</v>
      </c>
      <c r="X22" s="284">
        <v>100478</v>
      </c>
      <c r="Y22" s="284">
        <v>141589</v>
      </c>
      <c r="Z22" s="284">
        <v>-31182</v>
      </c>
      <c r="AA22" s="284">
        <v>196640</v>
      </c>
      <c r="AB22" s="284">
        <v>210007</v>
      </c>
      <c r="AC22" s="284">
        <v>212308</v>
      </c>
      <c r="AD22" s="284">
        <v>204942</v>
      </c>
      <c r="AE22" s="284">
        <v>279188</v>
      </c>
      <c r="AF22" s="284">
        <v>289914</v>
      </c>
      <c r="AG22" s="284">
        <v>263820</v>
      </c>
      <c r="AH22" s="284">
        <v>296558</v>
      </c>
      <c r="AI22" s="284">
        <v>292804</v>
      </c>
      <c r="AJ22" s="284">
        <v>271823</v>
      </c>
      <c r="AK22" s="284">
        <v>278779</v>
      </c>
    </row>
    <row r="23" spans="1:37">
      <c r="A23" s="284" t="s">
        <v>53</v>
      </c>
      <c r="B23" s="284" t="s">
        <v>253</v>
      </c>
      <c r="C23" s="284">
        <v>3478</v>
      </c>
      <c r="D23" s="284">
        <v>3003</v>
      </c>
      <c r="E23" s="284">
        <v>3362</v>
      </c>
      <c r="F23" s="284">
        <v>5539</v>
      </c>
      <c r="G23" s="284">
        <v>4354</v>
      </c>
      <c r="H23" s="284">
        <v>4880</v>
      </c>
      <c r="I23" s="284">
        <v>3929</v>
      </c>
      <c r="J23" s="284">
        <v>5843</v>
      </c>
      <c r="K23" s="284">
        <v>6201</v>
      </c>
      <c r="L23" s="284">
        <v>5193</v>
      </c>
      <c r="M23" s="284">
        <v>5619</v>
      </c>
      <c r="N23" s="284">
        <v>6703</v>
      </c>
      <c r="O23" s="284">
        <v>6916</v>
      </c>
      <c r="P23" s="284">
        <v>6676</v>
      </c>
      <c r="Q23" s="284">
        <v>7458</v>
      </c>
      <c r="R23" s="284">
        <v>9034</v>
      </c>
      <c r="S23" s="284">
        <v>11640</v>
      </c>
      <c r="T23" s="284">
        <v>14748</v>
      </c>
      <c r="U23" s="284">
        <v>14953</v>
      </c>
      <c r="V23" s="284">
        <v>16716</v>
      </c>
      <c r="W23" s="284">
        <v>18943</v>
      </c>
      <c r="X23" s="284">
        <v>18269</v>
      </c>
      <c r="Y23" s="284">
        <v>17190</v>
      </c>
      <c r="Z23" s="284">
        <v>11532</v>
      </c>
      <c r="AA23" s="284">
        <v>8443</v>
      </c>
      <c r="AB23" s="284">
        <v>11471</v>
      </c>
      <c r="AC23" s="284">
        <v>12645</v>
      </c>
      <c r="AD23" s="284">
        <v>21351</v>
      </c>
      <c r="AE23" s="284">
        <v>18555</v>
      </c>
      <c r="AF23" s="284">
        <v>18703</v>
      </c>
      <c r="AG23" s="284">
        <v>20167</v>
      </c>
      <c r="AH23" s="284">
        <v>18506</v>
      </c>
      <c r="AI23" s="284">
        <v>18769</v>
      </c>
      <c r="AJ23" s="284">
        <v>19092</v>
      </c>
      <c r="AK23" s="284">
        <v>19815</v>
      </c>
    </row>
    <row r="24" spans="1:37">
      <c r="A24" s="284" t="s">
        <v>52</v>
      </c>
      <c r="B24" s="284" t="s">
        <v>1066</v>
      </c>
      <c r="C24" s="284">
        <v>-1874</v>
      </c>
      <c r="D24" s="284">
        <v>-3561</v>
      </c>
      <c r="E24" s="284">
        <v>-4329</v>
      </c>
      <c r="F24" s="284">
        <v>-4074</v>
      </c>
      <c r="G24" s="284">
        <v>-3161</v>
      </c>
      <c r="H24" s="284">
        <v>-2309</v>
      </c>
      <c r="I24" s="284">
        <v>-1302</v>
      </c>
      <c r="J24" s="284">
        <v>185</v>
      </c>
      <c r="K24" s="284">
        <v>1783</v>
      </c>
      <c r="L24" s="284">
        <v>1254</v>
      </c>
      <c r="M24" s="284">
        <v>1185</v>
      </c>
      <c r="N24" s="284">
        <v>1682</v>
      </c>
      <c r="O24" s="284">
        <v>2306</v>
      </c>
      <c r="P24" s="284">
        <v>2459</v>
      </c>
      <c r="Q24" s="284">
        <v>2190</v>
      </c>
      <c r="R24" s="284">
        <v>2115</v>
      </c>
      <c r="S24" s="284">
        <v>3059</v>
      </c>
      <c r="T24" s="284">
        <v>4521</v>
      </c>
      <c r="U24" s="284">
        <v>5005</v>
      </c>
      <c r="V24" s="284">
        <v>5266</v>
      </c>
      <c r="W24" s="284">
        <v>5374</v>
      </c>
      <c r="X24" s="284">
        <v>5932</v>
      </c>
      <c r="Y24" s="284">
        <v>5850</v>
      </c>
      <c r="Z24" s="284">
        <v>5830</v>
      </c>
      <c r="AA24" s="284">
        <v>5788</v>
      </c>
      <c r="AB24" s="284">
        <v>7396</v>
      </c>
      <c r="AC24" s="284">
        <v>8198</v>
      </c>
      <c r="AD24" s="284">
        <v>6536</v>
      </c>
      <c r="AE24" s="284">
        <v>5801</v>
      </c>
      <c r="AF24" s="284">
        <v>7199</v>
      </c>
      <c r="AG24" s="284">
        <v>9387</v>
      </c>
      <c r="AH24" s="284">
        <v>8252</v>
      </c>
      <c r="AI24" s="284">
        <v>9017</v>
      </c>
      <c r="AJ24" s="284">
        <v>9361</v>
      </c>
      <c r="AK24" s="284">
        <v>10288</v>
      </c>
    </row>
    <row r="25" spans="1:37">
      <c r="A25" s="284" t="s">
        <v>51</v>
      </c>
      <c r="B25" s="284" t="s">
        <v>238</v>
      </c>
      <c r="C25" s="284">
        <v>2264</v>
      </c>
      <c r="D25" s="284">
        <v>1911</v>
      </c>
      <c r="E25" s="284">
        <v>1854</v>
      </c>
      <c r="F25" s="284">
        <v>1706</v>
      </c>
      <c r="G25" s="284">
        <v>1685</v>
      </c>
      <c r="H25" s="284">
        <v>1860</v>
      </c>
      <c r="I25" s="284">
        <v>2335</v>
      </c>
      <c r="J25" s="284">
        <v>3379</v>
      </c>
      <c r="K25" s="284">
        <v>4962</v>
      </c>
      <c r="L25" s="284">
        <v>4740</v>
      </c>
      <c r="M25" s="284">
        <v>3930</v>
      </c>
      <c r="N25" s="284">
        <v>4257</v>
      </c>
      <c r="O25" s="284">
        <v>3868</v>
      </c>
      <c r="P25" s="284">
        <v>4342</v>
      </c>
      <c r="Q25" s="284">
        <v>4144</v>
      </c>
      <c r="R25" s="284">
        <v>4866</v>
      </c>
      <c r="S25" s="284">
        <v>5658</v>
      </c>
      <c r="T25" s="284">
        <v>7757</v>
      </c>
      <c r="U25" s="284">
        <v>8690</v>
      </c>
      <c r="V25" s="284">
        <v>8938</v>
      </c>
      <c r="W25" s="284">
        <v>8467</v>
      </c>
      <c r="X25" s="284">
        <v>8657</v>
      </c>
      <c r="Y25" s="284">
        <v>8353</v>
      </c>
      <c r="Z25" s="284">
        <v>8980</v>
      </c>
      <c r="AA25" s="284">
        <v>9602</v>
      </c>
      <c r="AB25" s="284">
        <v>11300</v>
      </c>
      <c r="AC25" s="284">
        <v>12227</v>
      </c>
      <c r="AD25" s="284">
        <v>9873</v>
      </c>
      <c r="AE25" s="284">
        <v>8407</v>
      </c>
      <c r="AF25" s="284">
        <v>9517</v>
      </c>
      <c r="AG25" s="284">
        <v>12312</v>
      </c>
      <c r="AH25" s="284">
        <v>13486</v>
      </c>
      <c r="AI25" s="284">
        <v>14683</v>
      </c>
      <c r="AJ25" s="284">
        <v>15661</v>
      </c>
      <c r="AK25" s="284">
        <v>17670</v>
      </c>
    </row>
    <row r="26" spans="1:37">
      <c r="A26" s="284" t="s">
        <v>49</v>
      </c>
      <c r="B26" s="284" t="s">
        <v>237</v>
      </c>
      <c r="C26" s="284">
        <v>4138</v>
      </c>
      <c r="D26" s="284">
        <v>5472</v>
      </c>
      <c r="E26" s="284">
        <v>6183</v>
      </c>
      <c r="F26" s="284">
        <v>5780</v>
      </c>
      <c r="G26" s="284">
        <v>4846</v>
      </c>
      <c r="H26" s="284">
        <v>4169</v>
      </c>
      <c r="I26" s="284">
        <v>3637</v>
      </c>
      <c r="J26" s="284">
        <v>3194</v>
      </c>
      <c r="K26" s="284">
        <v>3179</v>
      </c>
      <c r="L26" s="284">
        <v>3486</v>
      </c>
      <c r="M26" s="284">
        <v>2745</v>
      </c>
      <c r="N26" s="284">
        <v>2575</v>
      </c>
      <c r="O26" s="284">
        <v>1562</v>
      </c>
      <c r="P26" s="284">
        <v>1883</v>
      </c>
      <c r="Q26" s="284">
        <v>1954</v>
      </c>
      <c r="R26" s="284">
        <v>2751</v>
      </c>
      <c r="S26" s="284">
        <v>2599</v>
      </c>
      <c r="T26" s="284">
        <v>3235</v>
      </c>
      <c r="U26" s="284">
        <v>3685</v>
      </c>
      <c r="V26" s="284">
        <v>3672</v>
      </c>
      <c r="W26" s="284">
        <v>3093</v>
      </c>
      <c r="X26" s="284">
        <v>2725</v>
      </c>
      <c r="Y26" s="284">
        <v>2503</v>
      </c>
      <c r="Z26" s="284">
        <v>3150</v>
      </c>
      <c r="AA26" s="284">
        <v>3814</v>
      </c>
      <c r="AB26" s="284">
        <v>3904</v>
      </c>
      <c r="AC26" s="284">
        <v>4029</v>
      </c>
      <c r="AD26" s="284">
        <v>3337</v>
      </c>
      <c r="AE26" s="284">
        <v>2606</v>
      </c>
      <c r="AF26" s="284">
        <v>2318</v>
      </c>
      <c r="AG26" s="284">
        <v>2925</v>
      </c>
      <c r="AH26" s="284">
        <v>5235</v>
      </c>
      <c r="AI26" s="284">
        <v>5667</v>
      </c>
      <c r="AJ26" s="284">
        <v>6300</v>
      </c>
      <c r="AK26" s="284">
        <v>7382</v>
      </c>
    </row>
    <row r="27" spans="1:37">
      <c r="A27" s="284" t="s">
        <v>47</v>
      </c>
      <c r="B27" s="287" t="s">
        <v>1065</v>
      </c>
      <c r="C27" s="284">
        <v>25991</v>
      </c>
      <c r="D27" s="284">
        <v>28747</v>
      </c>
      <c r="E27" s="284">
        <v>31964</v>
      </c>
      <c r="F27" s="284">
        <v>29871</v>
      </c>
      <c r="G27" s="284">
        <v>32584</v>
      </c>
      <c r="H27" s="284">
        <v>41407</v>
      </c>
      <c r="I27" s="284">
        <v>54516</v>
      </c>
      <c r="J27" s="284">
        <v>56138</v>
      </c>
      <c r="K27" s="284">
        <v>59772</v>
      </c>
      <c r="L27" s="284">
        <v>53524</v>
      </c>
      <c r="M27" s="284">
        <v>51920</v>
      </c>
      <c r="N27" s="284">
        <v>60542</v>
      </c>
      <c r="O27" s="284">
        <v>70428</v>
      </c>
      <c r="P27" s="284">
        <v>88584</v>
      </c>
      <c r="Q27" s="284">
        <v>95047</v>
      </c>
      <c r="R27" s="284">
        <v>106289</v>
      </c>
      <c r="S27" s="284">
        <v>92323</v>
      </c>
      <c r="T27" s="284">
        <v>115764</v>
      </c>
      <c r="U27" s="284">
        <v>134886</v>
      </c>
      <c r="V27" s="284">
        <v>110808</v>
      </c>
      <c r="W27" s="284">
        <v>125731</v>
      </c>
      <c r="X27" s="284">
        <v>165868</v>
      </c>
      <c r="Y27" s="284">
        <v>228995</v>
      </c>
      <c r="Z27" s="284">
        <v>273361</v>
      </c>
      <c r="AA27" s="284">
        <v>304114</v>
      </c>
      <c r="AB27" s="284">
        <v>350237</v>
      </c>
      <c r="AC27" s="284">
        <v>392954</v>
      </c>
      <c r="AD27" s="284">
        <v>340039</v>
      </c>
      <c r="AE27" s="284">
        <v>417605</v>
      </c>
      <c r="AF27" s="284">
        <v>448235</v>
      </c>
      <c r="AG27" s="284">
        <v>438089</v>
      </c>
      <c r="AH27" s="284">
        <v>448890</v>
      </c>
      <c r="AI27" s="284">
        <v>445815</v>
      </c>
      <c r="AJ27" s="284">
        <v>406691</v>
      </c>
      <c r="AK27" s="284">
        <v>409966</v>
      </c>
    </row>
    <row r="28" spans="1:37">
      <c r="A28" s="284" t="s">
        <v>45</v>
      </c>
      <c r="B28" s="284" t="s">
        <v>205</v>
      </c>
      <c r="C28" s="284" t="s">
        <v>583</v>
      </c>
      <c r="D28" s="284" t="s">
        <v>583</v>
      </c>
      <c r="E28" s="284" t="s">
        <v>583</v>
      </c>
      <c r="F28" s="284" t="s">
        <v>583</v>
      </c>
      <c r="G28" s="284" t="s">
        <v>583</v>
      </c>
      <c r="H28" s="284" t="s">
        <v>583</v>
      </c>
      <c r="I28" s="284" t="s">
        <v>583</v>
      </c>
      <c r="J28" s="284" t="s">
        <v>583</v>
      </c>
      <c r="K28" s="284" t="s">
        <v>583</v>
      </c>
      <c r="L28" s="284" t="s">
        <v>583</v>
      </c>
      <c r="M28" s="284" t="s">
        <v>583</v>
      </c>
      <c r="N28" s="284" t="s">
        <v>583</v>
      </c>
      <c r="O28" s="284" t="s">
        <v>583</v>
      </c>
      <c r="P28" s="284" t="s">
        <v>583</v>
      </c>
      <c r="Q28" s="284" t="s">
        <v>583</v>
      </c>
      <c r="R28" s="284" t="s">
        <v>583</v>
      </c>
      <c r="S28" s="284" t="s">
        <v>583</v>
      </c>
      <c r="T28" s="284">
        <v>36293</v>
      </c>
      <c r="U28" s="284">
        <v>42630</v>
      </c>
      <c r="V28" s="284">
        <v>27930</v>
      </c>
      <c r="W28" s="284">
        <v>26708</v>
      </c>
      <c r="X28" s="284">
        <v>34814</v>
      </c>
      <c r="Y28" s="284">
        <v>46807</v>
      </c>
      <c r="Z28" s="284">
        <v>47480</v>
      </c>
      <c r="AA28" s="284">
        <v>57677</v>
      </c>
      <c r="AB28" s="284">
        <v>66435</v>
      </c>
      <c r="AC28" s="284">
        <v>60144</v>
      </c>
      <c r="AD28" s="284">
        <v>40239</v>
      </c>
      <c r="AE28" s="284">
        <v>61240</v>
      </c>
      <c r="AF28" s="284">
        <v>66666</v>
      </c>
      <c r="AG28" s="284">
        <v>60903</v>
      </c>
      <c r="AH28" s="284">
        <v>63772</v>
      </c>
      <c r="AI28" s="284">
        <v>59565</v>
      </c>
      <c r="AJ28" s="284">
        <v>60508</v>
      </c>
      <c r="AK28" s="284">
        <v>64966</v>
      </c>
    </row>
    <row r="29" spans="1:37">
      <c r="A29" s="284" t="s">
        <v>43</v>
      </c>
      <c r="B29" s="284" t="s">
        <v>250</v>
      </c>
      <c r="C29" s="284" t="s">
        <v>583</v>
      </c>
      <c r="D29" s="284" t="s">
        <v>583</v>
      </c>
      <c r="E29" s="284" t="s">
        <v>583</v>
      </c>
      <c r="F29" s="284" t="s">
        <v>583</v>
      </c>
      <c r="G29" s="284" t="s">
        <v>583</v>
      </c>
      <c r="H29" s="284" t="s">
        <v>583</v>
      </c>
      <c r="I29" s="284" t="s">
        <v>583</v>
      </c>
      <c r="J29" s="284" t="s">
        <v>583</v>
      </c>
      <c r="K29" s="284" t="s">
        <v>583</v>
      </c>
      <c r="L29" s="284" t="s">
        <v>583</v>
      </c>
      <c r="M29" s="284" t="s">
        <v>583</v>
      </c>
      <c r="N29" s="284" t="s">
        <v>583</v>
      </c>
      <c r="O29" s="284" t="s">
        <v>583</v>
      </c>
      <c r="P29" s="284" t="s">
        <v>583</v>
      </c>
      <c r="Q29" s="284" t="s">
        <v>583</v>
      </c>
      <c r="R29" s="284" t="s">
        <v>583</v>
      </c>
      <c r="S29" s="284" t="s">
        <v>583</v>
      </c>
      <c r="T29" s="284">
        <v>12533</v>
      </c>
      <c r="U29" s="284">
        <v>14426</v>
      </c>
      <c r="V29" s="284">
        <v>13790</v>
      </c>
      <c r="W29" s="284">
        <v>13479</v>
      </c>
      <c r="X29" s="284">
        <v>18557</v>
      </c>
      <c r="Y29" s="284">
        <v>23457</v>
      </c>
      <c r="Z29" s="284">
        <v>24715</v>
      </c>
      <c r="AA29" s="284">
        <v>24321</v>
      </c>
      <c r="AB29" s="284">
        <v>28527</v>
      </c>
      <c r="AC29" s="284">
        <v>28773</v>
      </c>
      <c r="AD29" s="284">
        <v>19512</v>
      </c>
      <c r="AE29" s="284">
        <v>24538</v>
      </c>
      <c r="AF29" s="284">
        <v>27854</v>
      </c>
      <c r="AG29" s="284">
        <v>25789</v>
      </c>
      <c r="AH29" s="284">
        <v>24716</v>
      </c>
      <c r="AI29" s="284">
        <v>27442</v>
      </c>
      <c r="AJ29" s="284">
        <v>19697</v>
      </c>
      <c r="AK29" s="284">
        <v>21832</v>
      </c>
    </row>
    <row r="30" spans="1:37">
      <c r="A30" s="284" t="s">
        <v>42</v>
      </c>
      <c r="B30" s="284" t="s">
        <v>251</v>
      </c>
      <c r="C30" s="284" t="s">
        <v>583</v>
      </c>
      <c r="D30" s="284" t="s">
        <v>583</v>
      </c>
      <c r="E30" s="284" t="s">
        <v>583</v>
      </c>
      <c r="F30" s="284" t="s">
        <v>583</v>
      </c>
      <c r="G30" s="284" t="s">
        <v>583</v>
      </c>
      <c r="H30" s="284" t="s">
        <v>583</v>
      </c>
      <c r="I30" s="284" t="s">
        <v>583</v>
      </c>
      <c r="J30" s="284" t="s">
        <v>583</v>
      </c>
      <c r="K30" s="284" t="s">
        <v>583</v>
      </c>
      <c r="L30" s="284" t="s">
        <v>583</v>
      </c>
      <c r="M30" s="284" t="s">
        <v>583</v>
      </c>
      <c r="N30" s="284" t="s">
        <v>583</v>
      </c>
      <c r="O30" s="284" t="s">
        <v>583</v>
      </c>
      <c r="P30" s="284" t="s">
        <v>583</v>
      </c>
      <c r="Q30" s="284" t="s">
        <v>583</v>
      </c>
      <c r="R30" s="284" t="s">
        <v>583</v>
      </c>
      <c r="S30" s="284" t="s">
        <v>583</v>
      </c>
      <c r="T30" s="284">
        <v>14166</v>
      </c>
      <c r="U30" s="284">
        <v>17523</v>
      </c>
      <c r="V30" s="284">
        <v>11611</v>
      </c>
      <c r="W30" s="284">
        <v>15970</v>
      </c>
      <c r="X30" s="284">
        <v>21921</v>
      </c>
      <c r="Y30" s="284">
        <v>28870</v>
      </c>
      <c r="Z30" s="284">
        <v>28122</v>
      </c>
      <c r="AA30" s="284">
        <v>33040</v>
      </c>
      <c r="AB30" s="284">
        <v>34875</v>
      </c>
      <c r="AC30" s="284">
        <v>44631</v>
      </c>
      <c r="AD30" s="284">
        <v>43357</v>
      </c>
      <c r="AE30" s="284">
        <v>36470</v>
      </c>
      <c r="AF30" s="284">
        <v>41454</v>
      </c>
      <c r="AG30" s="284">
        <v>48466</v>
      </c>
      <c r="AH30" s="284">
        <v>44615</v>
      </c>
      <c r="AI30" s="284">
        <v>41039</v>
      </c>
      <c r="AJ30" s="284">
        <v>43367</v>
      </c>
      <c r="AK30" s="284">
        <v>49416</v>
      </c>
    </row>
    <row r="31" spans="1:37">
      <c r="A31" s="284" t="s">
        <v>41</v>
      </c>
      <c r="B31" s="284" t="s">
        <v>1062</v>
      </c>
      <c r="C31" s="284" t="s">
        <v>583</v>
      </c>
      <c r="D31" s="284" t="s">
        <v>583</v>
      </c>
      <c r="E31" s="284" t="s">
        <v>583</v>
      </c>
      <c r="F31" s="284" t="s">
        <v>583</v>
      </c>
      <c r="G31" s="284" t="s">
        <v>583</v>
      </c>
      <c r="H31" s="284" t="s">
        <v>583</v>
      </c>
      <c r="I31" s="284" t="s">
        <v>583</v>
      </c>
      <c r="J31" s="284" t="s">
        <v>583</v>
      </c>
      <c r="K31" s="284" t="s">
        <v>583</v>
      </c>
      <c r="L31" s="284" t="s">
        <v>583</v>
      </c>
      <c r="M31" s="284" t="s">
        <v>583</v>
      </c>
      <c r="N31" s="284" t="s">
        <v>583</v>
      </c>
      <c r="O31" s="284" t="s">
        <v>583</v>
      </c>
      <c r="P31" s="284" t="s">
        <v>583</v>
      </c>
      <c r="Q31" s="284" t="s">
        <v>583</v>
      </c>
      <c r="R31" s="284" t="s">
        <v>583</v>
      </c>
      <c r="S31" s="284" t="s">
        <v>583</v>
      </c>
      <c r="T31" s="284">
        <v>33814</v>
      </c>
      <c r="U31" s="284">
        <v>37623</v>
      </c>
      <c r="V31" s="284">
        <v>41713</v>
      </c>
      <c r="W31" s="284">
        <v>48572</v>
      </c>
      <c r="X31" s="284">
        <v>59471</v>
      </c>
      <c r="Y31" s="284">
        <v>80059</v>
      </c>
      <c r="Z31" s="284">
        <v>109804</v>
      </c>
      <c r="AA31" s="284">
        <v>120884</v>
      </c>
      <c r="AB31" s="284">
        <v>146576</v>
      </c>
      <c r="AC31" s="284">
        <v>179733</v>
      </c>
      <c r="AD31" s="284">
        <v>170226</v>
      </c>
      <c r="AE31" s="284">
        <v>220101</v>
      </c>
      <c r="AF31" s="284">
        <v>223612</v>
      </c>
      <c r="AG31" s="284">
        <v>217706</v>
      </c>
      <c r="AH31" s="284">
        <v>230409</v>
      </c>
      <c r="AI31" s="284">
        <v>239331</v>
      </c>
      <c r="AJ31" s="284">
        <v>221141</v>
      </c>
      <c r="AK31" s="284">
        <v>206032</v>
      </c>
    </row>
    <row r="32" spans="1:37">
      <c r="A32" s="284" t="s">
        <v>40</v>
      </c>
      <c r="B32" s="284" t="s">
        <v>67</v>
      </c>
      <c r="C32" s="284" t="s">
        <v>583</v>
      </c>
      <c r="D32" s="284" t="s">
        <v>583</v>
      </c>
      <c r="E32" s="284" t="s">
        <v>583</v>
      </c>
      <c r="F32" s="284" t="s">
        <v>583</v>
      </c>
      <c r="G32" s="284" t="s">
        <v>583</v>
      </c>
      <c r="H32" s="284" t="s">
        <v>583</v>
      </c>
      <c r="I32" s="284" t="s">
        <v>583</v>
      </c>
      <c r="J32" s="284" t="s">
        <v>583</v>
      </c>
      <c r="K32" s="284" t="s">
        <v>583</v>
      </c>
      <c r="L32" s="284" t="s">
        <v>583</v>
      </c>
      <c r="M32" s="284" t="s">
        <v>583</v>
      </c>
      <c r="N32" s="284" t="s">
        <v>583</v>
      </c>
      <c r="O32" s="284" t="s">
        <v>583</v>
      </c>
      <c r="P32" s="284" t="s">
        <v>583</v>
      </c>
      <c r="Q32" s="284" t="s">
        <v>583</v>
      </c>
      <c r="R32" s="284" t="s">
        <v>583</v>
      </c>
      <c r="S32" s="284" t="s">
        <v>583</v>
      </c>
      <c r="T32" s="284">
        <v>18957</v>
      </c>
      <c r="U32" s="284">
        <v>22686</v>
      </c>
      <c r="V32" s="284">
        <v>15766</v>
      </c>
      <c r="W32" s="284">
        <v>21003</v>
      </c>
      <c r="X32" s="284">
        <v>31106</v>
      </c>
      <c r="Y32" s="284">
        <v>49803</v>
      </c>
      <c r="Z32" s="284">
        <v>63239</v>
      </c>
      <c r="AA32" s="284">
        <v>68191</v>
      </c>
      <c r="AB32" s="284">
        <v>73823</v>
      </c>
      <c r="AC32" s="284">
        <v>79674</v>
      </c>
      <c r="AD32" s="284">
        <v>66704</v>
      </c>
      <c r="AE32" s="284">
        <v>75256</v>
      </c>
      <c r="AF32" s="284">
        <v>88649</v>
      </c>
      <c r="AG32" s="284">
        <v>85226</v>
      </c>
      <c r="AH32" s="284">
        <v>85377</v>
      </c>
      <c r="AI32" s="284">
        <v>78438</v>
      </c>
      <c r="AJ32" s="284">
        <v>61979</v>
      </c>
      <c r="AK32" s="284">
        <v>67720</v>
      </c>
    </row>
    <row r="33" spans="1:37">
      <c r="A33" s="284" t="s">
        <v>37</v>
      </c>
      <c r="B33" s="284" t="s">
        <v>1064</v>
      </c>
      <c r="C33" s="284">
        <v>27865</v>
      </c>
      <c r="D33" s="284">
        <v>32308</v>
      </c>
      <c r="E33" s="284">
        <v>36294</v>
      </c>
      <c r="F33" s="284">
        <v>33945</v>
      </c>
      <c r="G33" s="284">
        <v>35745</v>
      </c>
      <c r="H33" s="284">
        <v>43717</v>
      </c>
      <c r="I33" s="284">
        <v>55817</v>
      </c>
      <c r="J33" s="284">
        <v>55953</v>
      </c>
      <c r="K33" s="284">
        <v>57989</v>
      </c>
      <c r="L33" s="284">
        <v>52271</v>
      </c>
      <c r="M33" s="284">
        <v>50736</v>
      </c>
      <c r="N33" s="284">
        <v>58862</v>
      </c>
      <c r="O33" s="284">
        <v>68121</v>
      </c>
      <c r="P33" s="284">
        <v>86124</v>
      </c>
      <c r="Q33" s="284">
        <v>92856</v>
      </c>
      <c r="R33" s="284">
        <v>104174</v>
      </c>
      <c r="S33" s="284">
        <v>89265</v>
      </c>
      <c r="T33" s="284">
        <v>111242</v>
      </c>
      <c r="U33" s="284">
        <v>129881</v>
      </c>
      <c r="V33" s="284">
        <v>105542</v>
      </c>
      <c r="W33" s="284">
        <v>120357</v>
      </c>
      <c r="X33" s="284">
        <v>159937</v>
      </c>
      <c r="Y33" s="284">
        <v>223144</v>
      </c>
      <c r="Z33" s="284">
        <v>267530</v>
      </c>
      <c r="AA33" s="284">
        <v>298326</v>
      </c>
      <c r="AB33" s="284">
        <v>342840</v>
      </c>
      <c r="AC33" s="284">
        <v>384756</v>
      </c>
      <c r="AD33" s="284">
        <v>333503</v>
      </c>
      <c r="AE33" s="284">
        <v>411805</v>
      </c>
      <c r="AF33" s="284">
        <v>441036</v>
      </c>
      <c r="AG33" s="284">
        <v>428702</v>
      </c>
      <c r="AH33" s="284">
        <v>440638</v>
      </c>
      <c r="AI33" s="284">
        <v>436799</v>
      </c>
      <c r="AJ33" s="284">
        <v>397330</v>
      </c>
      <c r="AK33" s="284">
        <v>399678</v>
      </c>
    </row>
    <row r="34" spans="1:37">
      <c r="A34" s="284" t="s">
        <v>36</v>
      </c>
      <c r="B34" s="284" t="s">
        <v>205</v>
      </c>
      <c r="C34" s="284" t="s">
        <v>583</v>
      </c>
      <c r="D34" s="284" t="s">
        <v>583</v>
      </c>
      <c r="E34" s="284" t="s">
        <v>583</v>
      </c>
      <c r="F34" s="284" t="s">
        <v>583</v>
      </c>
      <c r="G34" s="284" t="s">
        <v>583</v>
      </c>
      <c r="H34" s="284" t="s">
        <v>583</v>
      </c>
      <c r="I34" s="284" t="s">
        <v>583</v>
      </c>
      <c r="J34" s="284" t="s">
        <v>583</v>
      </c>
      <c r="K34" s="284" t="s">
        <v>583</v>
      </c>
      <c r="L34" s="284" t="s">
        <v>583</v>
      </c>
      <c r="M34" s="284" t="s">
        <v>583</v>
      </c>
      <c r="N34" s="284" t="s">
        <v>583</v>
      </c>
      <c r="O34" s="284" t="s">
        <v>583</v>
      </c>
      <c r="P34" s="284" t="s">
        <v>583</v>
      </c>
      <c r="Q34" s="284" t="s">
        <v>583</v>
      </c>
      <c r="R34" s="284" t="s">
        <v>583</v>
      </c>
      <c r="S34" s="284" t="s">
        <v>583</v>
      </c>
      <c r="T34" s="284">
        <v>34857</v>
      </c>
      <c r="U34" s="284">
        <v>41140</v>
      </c>
      <c r="V34" s="284">
        <v>26509</v>
      </c>
      <c r="W34" s="284">
        <v>25335</v>
      </c>
      <c r="X34" s="284">
        <v>33519</v>
      </c>
      <c r="Y34" s="284">
        <v>45748</v>
      </c>
      <c r="Z34" s="284">
        <v>46088</v>
      </c>
      <c r="AA34" s="284">
        <v>56246</v>
      </c>
      <c r="AB34" s="284">
        <v>65288</v>
      </c>
      <c r="AC34" s="284">
        <v>59088</v>
      </c>
      <c r="AD34" s="284">
        <v>39474</v>
      </c>
      <c r="AE34" s="284">
        <v>60540</v>
      </c>
      <c r="AF34" s="284">
        <v>66104</v>
      </c>
      <c r="AG34" s="284">
        <v>60459</v>
      </c>
      <c r="AH34" s="284">
        <v>63249</v>
      </c>
      <c r="AI34" s="284">
        <v>59101</v>
      </c>
      <c r="AJ34" s="284">
        <v>60045</v>
      </c>
      <c r="AK34" s="284">
        <v>64395</v>
      </c>
    </row>
    <row r="35" spans="1:37">
      <c r="A35" s="284" t="s">
        <v>35</v>
      </c>
      <c r="B35" s="284" t="s">
        <v>250</v>
      </c>
      <c r="C35" s="284" t="s">
        <v>583</v>
      </c>
      <c r="D35" s="284" t="s">
        <v>583</v>
      </c>
      <c r="E35" s="284" t="s">
        <v>583</v>
      </c>
      <c r="F35" s="284" t="s">
        <v>583</v>
      </c>
      <c r="G35" s="284" t="s">
        <v>583</v>
      </c>
      <c r="H35" s="284" t="s">
        <v>583</v>
      </c>
      <c r="I35" s="284" t="s">
        <v>583</v>
      </c>
      <c r="J35" s="284" t="s">
        <v>583</v>
      </c>
      <c r="K35" s="284" t="s">
        <v>583</v>
      </c>
      <c r="L35" s="284" t="s">
        <v>583</v>
      </c>
      <c r="M35" s="284" t="s">
        <v>583</v>
      </c>
      <c r="N35" s="284" t="s">
        <v>583</v>
      </c>
      <c r="O35" s="284" t="s">
        <v>583</v>
      </c>
      <c r="P35" s="284" t="s">
        <v>583</v>
      </c>
      <c r="Q35" s="284" t="s">
        <v>583</v>
      </c>
      <c r="R35" s="284" t="s">
        <v>583</v>
      </c>
      <c r="S35" s="284" t="s">
        <v>583</v>
      </c>
      <c r="T35" s="284">
        <v>12591</v>
      </c>
      <c r="U35" s="284">
        <v>13987</v>
      </c>
      <c r="V35" s="284">
        <v>13357</v>
      </c>
      <c r="W35" s="284">
        <v>13093</v>
      </c>
      <c r="X35" s="284">
        <v>18165</v>
      </c>
      <c r="Y35" s="284">
        <v>23104</v>
      </c>
      <c r="Z35" s="284">
        <v>24341</v>
      </c>
      <c r="AA35" s="284">
        <v>23896</v>
      </c>
      <c r="AB35" s="284">
        <v>28159</v>
      </c>
      <c r="AC35" s="284">
        <v>28493</v>
      </c>
      <c r="AD35" s="284">
        <v>19192</v>
      </c>
      <c r="AE35" s="284">
        <v>24255</v>
      </c>
      <c r="AF35" s="284">
        <v>27636</v>
      </c>
      <c r="AG35" s="284">
        <v>25542</v>
      </c>
      <c r="AH35" s="284">
        <v>24568</v>
      </c>
      <c r="AI35" s="284">
        <v>27191</v>
      </c>
      <c r="AJ35" s="284">
        <v>19548</v>
      </c>
      <c r="AK35" s="284">
        <v>21603</v>
      </c>
    </row>
    <row r="36" spans="1:37">
      <c r="A36" s="284" t="s">
        <v>34</v>
      </c>
      <c r="B36" s="284" t="s">
        <v>251</v>
      </c>
      <c r="C36" s="284" t="s">
        <v>583</v>
      </c>
      <c r="D36" s="284" t="s">
        <v>583</v>
      </c>
      <c r="E36" s="284" t="s">
        <v>583</v>
      </c>
      <c r="F36" s="284" t="s">
        <v>583</v>
      </c>
      <c r="G36" s="284" t="s">
        <v>583</v>
      </c>
      <c r="H36" s="284" t="s">
        <v>583</v>
      </c>
      <c r="I36" s="284" t="s">
        <v>583</v>
      </c>
      <c r="J36" s="284" t="s">
        <v>583</v>
      </c>
      <c r="K36" s="284" t="s">
        <v>583</v>
      </c>
      <c r="L36" s="284" t="s">
        <v>583</v>
      </c>
      <c r="M36" s="284" t="s">
        <v>583</v>
      </c>
      <c r="N36" s="284" t="s">
        <v>583</v>
      </c>
      <c r="O36" s="284" t="s">
        <v>583</v>
      </c>
      <c r="P36" s="284" t="s">
        <v>583</v>
      </c>
      <c r="Q36" s="284" t="s">
        <v>583</v>
      </c>
      <c r="R36" s="284" t="s">
        <v>583</v>
      </c>
      <c r="S36" s="284" t="s">
        <v>583</v>
      </c>
      <c r="T36" s="284">
        <v>14328</v>
      </c>
      <c r="U36" s="284">
        <v>17918</v>
      </c>
      <c r="V36" s="284">
        <v>12347</v>
      </c>
      <c r="W36" s="284">
        <v>16384</v>
      </c>
      <c r="X36" s="284">
        <v>22131</v>
      </c>
      <c r="Y36" s="284">
        <v>28942</v>
      </c>
      <c r="Z36" s="284">
        <v>28307</v>
      </c>
      <c r="AA36" s="284">
        <v>33320</v>
      </c>
      <c r="AB36" s="284">
        <v>34593</v>
      </c>
      <c r="AC36" s="284">
        <v>43791</v>
      </c>
      <c r="AD36" s="284">
        <v>42828</v>
      </c>
      <c r="AE36" s="284">
        <v>36313</v>
      </c>
      <c r="AF36" s="284">
        <v>40893</v>
      </c>
      <c r="AG36" s="284">
        <v>47334</v>
      </c>
      <c r="AH36" s="284">
        <v>45355</v>
      </c>
      <c r="AI36" s="284">
        <v>42886</v>
      </c>
      <c r="AJ36" s="284">
        <v>46138</v>
      </c>
      <c r="AK36" s="284">
        <v>51971</v>
      </c>
    </row>
    <row r="37" spans="1:37">
      <c r="A37" s="284" t="s">
        <v>30</v>
      </c>
      <c r="B37" s="284" t="s">
        <v>1062</v>
      </c>
      <c r="C37" s="284" t="s">
        <v>583</v>
      </c>
      <c r="D37" s="284" t="s">
        <v>583</v>
      </c>
      <c r="E37" s="284" t="s">
        <v>583</v>
      </c>
      <c r="F37" s="284" t="s">
        <v>583</v>
      </c>
      <c r="G37" s="284" t="s">
        <v>583</v>
      </c>
      <c r="H37" s="284" t="s">
        <v>583</v>
      </c>
      <c r="I37" s="284" t="s">
        <v>583</v>
      </c>
      <c r="J37" s="284" t="s">
        <v>583</v>
      </c>
      <c r="K37" s="284" t="s">
        <v>583</v>
      </c>
      <c r="L37" s="284" t="s">
        <v>583</v>
      </c>
      <c r="M37" s="284" t="s">
        <v>583</v>
      </c>
      <c r="N37" s="284" t="s">
        <v>583</v>
      </c>
      <c r="O37" s="284" t="s">
        <v>583</v>
      </c>
      <c r="P37" s="284" t="s">
        <v>583</v>
      </c>
      <c r="Q37" s="284" t="s">
        <v>583</v>
      </c>
      <c r="R37" s="284" t="s">
        <v>583</v>
      </c>
      <c r="S37" s="284" t="s">
        <v>583</v>
      </c>
      <c r="T37" s="284">
        <v>32816</v>
      </c>
      <c r="U37" s="284">
        <v>36621</v>
      </c>
      <c r="V37" s="284">
        <v>40049</v>
      </c>
      <c r="W37" s="284">
        <v>46972</v>
      </c>
      <c r="X37" s="284">
        <v>57586</v>
      </c>
      <c r="Y37" s="284">
        <v>78316</v>
      </c>
      <c r="Z37" s="284">
        <v>108265</v>
      </c>
      <c r="AA37" s="284">
        <v>118893</v>
      </c>
      <c r="AB37" s="284">
        <v>144116</v>
      </c>
      <c r="AC37" s="284">
        <v>176365</v>
      </c>
      <c r="AD37" s="284">
        <v>167387</v>
      </c>
      <c r="AE37" s="284">
        <v>217334</v>
      </c>
      <c r="AF37" s="284">
        <v>219553</v>
      </c>
      <c r="AG37" s="284">
        <v>211893</v>
      </c>
      <c r="AH37" s="284">
        <v>223366</v>
      </c>
      <c r="AI37" s="284">
        <v>230802</v>
      </c>
      <c r="AJ37" s="284">
        <v>211362</v>
      </c>
      <c r="AK37" s="284">
        <v>195925</v>
      </c>
    </row>
    <row r="38" spans="1:37">
      <c r="A38" s="284" t="s">
        <v>29</v>
      </c>
      <c r="B38" s="284" t="s">
        <v>67</v>
      </c>
      <c r="C38" s="284" t="s">
        <v>583</v>
      </c>
      <c r="D38" s="284" t="s">
        <v>583</v>
      </c>
      <c r="E38" s="284" t="s">
        <v>583</v>
      </c>
      <c r="F38" s="284" t="s">
        <v>583</v>
      </c>
      <c r="G38" s="284" t="s">
        <v>583</v>
      </c>
      <c r="H38" s="284" t="s">
        <v>583</v>
      </c>
      <c r="I38" s="284" t="s">
        <v>583</v>
      </c>
      <c r="J38" s="284" t="s">
        <v>583</v>
      </c>
      <c r="K38" s="284" t="s">
        <v>583</v>
      </c>
      <c r="L38" s="284" t="s">
        <v>583</v>
      </c>
      <c r="M38" s="284" t="s">
        <v>583</v>
      </c>
      <c r="N38" s="284" t="s">
        <v>583</v>
      </c>
      <c r="O38" s="284" t="s">
        <v>583</v>
      </c>
      <c r="P38" s="284" t="s">
        <v>583</v>
      </c>
      <c r="Q38" s="284" t="s">
        <v>583</v>
      </c>
      <c r="R38" s="284" t="s">
        <v>583</v>
      </c>
      <c r="S38" s="284" t="s">
        <v>583</v>
      </c>
      <c r="T38" s="284">
        <v>16650</v>
      </c>
      <c r="U38" s="284">
        <v>20215</v>
      </c>
      <c r="V38" s="284">
        <v>13279</v>
      </c>
      <c r="W38" s="284">
        <v>18576</v>
      </c>
      <c r="X38" s="284">
        <v>28534</v>
      </c>
      <c r="Y38" s="284">
        <v>47034</v>
      </c>
      <c r="Z38" s="284">
        <v>60529</v>
      </c>
      <c r="AA38" s="284">
        <v>65969</v>
      </c>
      <c r="AB38" s="284">
        <v>70684</v>
      </c>
      <c r="AC38" s="284">
        <v>77020</v>
      </c>
      <c r="AD38" s="284">
        <v>64622</v>
      </c>
      <c r="AE38" s="284">
        <v>73362</v>
      </c>
      <c r="AF38" s="284">
        <v>86850</v>
      </c>
      <c r="AG38" s="284">
        <v>83476</v>
      </c>
      <c r="AH38" s="284">
        <v>84100</v>
      </c>
      <c r="AI38" s="284">
        <v>76817</v>
      </c>
      <c r="AJ38" s="284">
        <v>60236</v>
      </c>
      <c r="AK38" s="284">
        <v>65784</v>
      </c>
    </row>
    <row r="39" spans="1:37">
      <c r="A39" s="284" t="s">
        <v>27</v>
      </c>
      <c r="B39" s="284" t="s">
        <v>1063</v>
      </c>
      <c r="C39" s="284">
        <v>-1874</v>
      </c>
      <c r="D39" s="284">
        <v>-3561</v>
      </c>
      <c r="E39" s="284">
        <v>-4329</v>
      </c>
      <c r="F39" s="284">
        <v>-4074</v>
      </c>
      <c r="G39" s="284">
        <v>-3161</v>
      </c>
      <c r="H39" s="284">
        <v>-2309</v>
      </c>
      <c r="I39" s="284">
        <v>-1302</v>
      </c>
      <c r="J39" s="284">
        <v>185</v>
      </c>
      <c r="K39" s="284">
        <v>1783</v>
      </c>
      <c r="L39" s="284">
        <v>1254</v>
      </c>
      <c r="M39" s="284">
        <v>1185</v>
      </c>
      <c r="N39" s="284">
        <v>1682</v>
      </c>
      <c r="O39" s="284">
        <v>2306</v>
      </c>
      <c r="P39" s="284">
        <v>2459</v>
      </c>
      <c r="Q39" s="284">
        <v>2190</v>
      </c>
      <c r="R39" s="284">
        <v>2115</v>
      </c>
      <c r="S39" s="284">
        <v>3059</v>
      </c>
      <c r="T39" s="284">
        <v>4521</v>
      </c>
      <c r="U39" s="284">
        <v>5005</v>
      </c>
      <c r="V39" s="284">
        <v>5266</v>
      </c>
      <c r="W39" s="284">
        <v>5374</v>
      </c>
      <c r="X39" s="284">
        <v>5932</v>
      </c>
      <c r="Y39" s="284">
        <v>5850</v>
      </c>
      <c r="Z39" s="284">
        <v>5830</v>
      </c>
      <c r="AA39" s="284">
        <v>5788</v>
      </c>
      <c r="AB39" s="284">
        <v>7396</v>
      </c>
      <c r="AC39" s="284">
        <v>8198</v>
      </c>
      <c r="AD39" s="284">
        <v>6536</v>
      </c>
      <c r="AE39" s="284">
        <v>5801</v>
      </c>
      <c r="AF39" s="284">
        <v>7199</v>
      </c>
      <c r="AG39" s="284">
        <v>9387</v>
      </c>
      <c r="AH39" s="284">
        <v>8252</v>
      </c>
      <c r="AI39" s="284">
        <v>9017</v>
      </c>
      <c r="AJ39" s="284">
        <v>9361</v>
      </c>
      <c r="AK39" s="284">
        <v>10288</v>
      </c>
    </row>
    <row r="40" spans="1:37">
      <c r="A40" s="284" t="s">
        <v>26</v>
      </c>
      <c r="B40" s="284" t="s">
        <v>205</v>
      </c>
      <c r="C40" s="284" t="s">
        <v>583</v>
      </c>
      <c r="D40" s="284" t="s">
        <v>583</v>
      </c>
      <c r="E40" s="284" t="s">
        <v>583</v>
      </c>
      <c r="F40" s="284" t="s">
        <v>583</v>
      </c>
      <c r="G40" s="284" t="s">
        <v>583</v>
      </c>
      <c r="H40" s="284" t="s">
        <v>583</v>
      </c>
      <c r="I40" s="284" t="s">
        <v>583</v>
      </c>
      <c r="J40" s="284" t="s">
        <v>583</v>
      </c>
      <c r="K40" s="284" t="s">
        <v>583</v>
      </c>
      <c r="L40" s="284" t="s">
        <v>583</v>
      </c>
      <c r="M40" s="284" t="s">
        <v>583</v>
      </c>
      <c r="N40" s="284" t="s">
        <v>583</v>
      </c>
      <c r="O40" s="284" t="s">
        <v>583</v>
      </c>
      <c r="P40" s="284" t="s">
        <v>583</v>
      </c>
      <c r="Q40" s="284" t="s">
        <v>583</v>
      </c>
      <c r="R40" s="284" t="s">
        <v>583</v>
      </c>
      <c r="S40" s="284" t="s">
        <v>583</v>
      </c>
      <c r="T40" s="284">
        <v>1436</v>
      </c>
      <c r="U40" s="284">
        <v>1490</v>
      </c>
      <c r="V40" s="284">
        <v>1422</v>
      </c>
      <c r="W40" s="284">
        <v>1373</v>
      </c>
      <c r="X40" s="284">
        <v>1295</v>
      </c>
      <c r="Y40" s="284">
        <v>1059</v>
      </c>
      <c r="Z40" s="284">
        <v>1392</v>
      </c>
      <c r="AA40" s="284">
        <v>1431</v>
      </c>
      <c r="AB40" s="284">
        <v>1147</v>
      </c>
      <c r="AC40" s="284">
        <v>1056</v>
      </c>
      <c r="AD40" s="284">
        <v>765</v>
      </c>
      <c r="AE40" s="284">
        <v>700</v>
      </c>
      <c r="AF40" s="284">
        <v>563</v>
      </c>
      <c r="AG40" s="284">
        <v>444</v>
      </c>
      <c r="AH40" s="284">
        <v>523</v>
      </c>
      <c r="AI40" s="284">
        <v>464</v>
      </c>
      <c r="AJ40" s="284">
        <v>463</v>
      </c>
      <c r="AK40" s="284">
        <v>570</v>
      </c>
    </row>
    <row r="41" spans="1:37">
      <c r="A41" s="284" t="s">
        <v>25</v>
      </c>
      <c r="B41" s="284" t="s">
        <v>250</v>
      </c>
      <c r="C41" s="284" t="s">
        <v>583</v>
      </c>
      <c r="D41" s="284" t="s">
        <v>583</v>
      </c>
      <c r="E41" s="284" t="s">
        <v>583</v>
      </c>
      <c r="F41" s="284" t="s">
        <v>583</v>
      </c>
      <c r="G41" s="284" t="s">
        <v>583</v>
      </c>
      <c r="H41" s="284" t="s">
        <v>583</v>
      </c>
      <c r="I41" s="284" t="s">
        <v>583</v>
      </c>
      <c r="J41" s="284" t="s">
        <v>583</v>
      </c>
      <c r="K41" s="284" t="s">
        <v>583</v>
      </c>
      <c r="L41" s="284" t="s">
        <v>583</v>
      </c>
      <c r="M41" s="284" t="s">
        <v>583</v>
      </c>
      <c r="N41" s="284" t="s">
        <v>583</v>
      </c>
      <c r="O41" s="284" t="s">
        <v>583</v>
      </c>
      <c r="P41" s="284" t="s">
        <v>583</v>
      </c>
      <c r="Q41" s="284" t="s">
        <v>583</v>
      </c>
      <c r="R41" s="284" t="s">
        <v>583</v>
      </c>
      <c r="S41" s="284" t="s">
        <v>583</v>
      </c>
      <c r="T41" s="284">
        <v>-58</v>
      </c>
      <c r="U41" s="284">
        <v>439</v>
      </c>
      <c r="V41" s="284">
        <v>433</v>
      </c>
      <c r="W41" s="284">
        <v>387</v>
      </c>
      <c r="X41" s="284">
        <v>392</v>
      </c>
      <c r="Y41" s="284">
        <v>352</v>
      </c>
      <c r="Z41" s="284">
        <v>374</v>
      </c>
      <c r="AA41" s="284">
        <v>425</v>
      </c>
      <c r="AB41" s="284">
        <v>368</v>
      </c>
      <c r="AC41" s="284">
        <v>280</v>
      </c>
      <c r="AD41" s="284">
        <v>320</v>
      </c>
      <c r="AE41" s="284">
        <v>283</v>
      </c>
      <c r="AF41" s="284">
        <v>217</v>
      </c>
      <c r="AG41" s="284">
        <v>247</v>
      </c>
      <c r="AH41" s="284">
        <v>148</v>
      </c>
      <c r="AI41" s="284">
        <v>251</v>
      </c>
      <c r="AJ41" s="284">
        <v>148</v>
      </c>
      <c r="AK41" s="284">
        <v>230</v>
      </c>
    </row>
    <row r="42" spans="1:37">
      <c r="A42" s="284" t="s">
        <v>23</v>
      </c>
      <c r="B42" s="284" t="s">
        <v>251</v>
      </c>
      <c r="C42" s="284" t="s">
        <v>583</v>
      </c>
      <c r="D42" s="284" t="s">
        <v>583</v>
      </c>
      <c r="E42" s="284" t="s">
        <v>583</v>
      </c>
      <c r="F42" s="284" t="s">
        <v>583</v>
      </c>
      <c r="G42" s="284" t="s">
        <v>583</v>
      </c>
      <c r="H42" s="284" t="s">
        <v>583</v>
      </c>
      <c r="I42" s="284" t="s">
        <v>583</v>
      </c>
      <c r="J42" s="284" t="s">
        <v>583</v>
      </c>
      <c r="K42" s="284" t="s">
        <v>583</v>
      </c>
      <c r="L42" s="284" t="s">
        <v>583</v>
      </c>
      <c r="M42" s="284" t="s">
        <v>583</v>
      </c>
      <c r="N42" s="284" t="s">
        <v>583</v>
      </c>
      <c r="O42" s="284" t="s">
        <v>583</v>
      </c>
      <c r="P42" s="284" t="s">
        <v>583</v>
      </c>
      <c r="Q42" s="284" t="s">
        <v>583</v>
      </c>
      <c r="R42" s="284" t="s">
        <v>583</v>
      </c>
      <c r="S42" s="284" t="s">
        <v>583</v>
      </c>
      <c r="T42" s="284">
        <v>-162</v>
      </c>
      <c r="U42" s="284">
        <v>-395</v>
      </c>
      <c r="V42" s="284">
        <v>-737</v>
      </c>
      <c r="W42" s="284">
        <v>-414</v>
      </c>
      <c r="X42" s="284">
        <v>-210</v>
      </c>
      <c r="Y42" s="284">
        <v>-72</v>
      </c>
      <c r="Z42" s="284">
        <v>-185</v>
      </c>
      <c r="AA42" s="284">
        <v>-280</v>
      </c>
      <c r="AB42" s="284">
        <v>282</v>
      </c>
      <c r="AC42" s="284">
        <v>840</v>
      </c>
      <c r="AD42" s="284">
        <v>529</v>
      </c>
      <c r="AE42" s="284">
        <v>157</v>
      </c>
      <c r="AF42" s="284">
        <v>560</v>
      </c>
      <c r="AG42" s="284">
        <v>1132</v>
      </c>
      <c r="AH42" s="284">
        <v>-740</v>
      </c>
      <c r="AI42" s="284">
        <v>-1847</v>
      </c>
      <c r="AJ42" s="284">
        <v>-2771</v>
      </c>
      <c r="AK42" s="284">
        <v>-2556</v>
      </c>
    </row>
    <row r="43" spans="1:37">
      <c r="A43" s="284" t="s">
        <v>22</v>
      </c>
      <c r="B43" s="284" t="s">
        <v>1062</v>
      </c>
      <c r="C43" s="284" t="s">
        <v>583</v>
      </c>
      <c r="D43" s="284" t="s">
        <v>583</v>
      </c>
      <c r="E43" s="284" t="s">
        <v>583</v>
      </c>
      <c r="F43" s="284" t="s">
        <v>583</v>
      </c>
      <c r="G43" s="284" t="s">
        <v>583</v>
      </c>
      <c r="H43" s="284" t="s">
        <v>583</v>
      </c>
      <c r="I43" s="284" t="s">
        <v>583</v>
      </c>
      <c r="J43" s="284" t="s">
        <v>583</v>
      </c>
      <c r="K43" s="284" t="s">
        <v>583</v>
      </c>
      <c r="L43" s="284" t="s">
        <v>583</v>
      </c>
      <c r="M43" s="284" t="s">
        <v>583</v>
      </c>
      <c r="N43" s="284" t="s">
        <v>583</v>
      </c>
      <c r="O43" s="284" t="s">
        <v>583</v>
      </c>
      <c r="P43" s="284" t="s">
        <v>583</v>
      </c>
      <c r="Q43" s="284" t="s">
        <v>583</v>
      </c>
      <c r="R43" s="284" t="s">
        <v>583</v>
      </c>
      <c r="S43" s="284" t="s">
        <v>583</v>
      </c>
      <c r="T43" s="284">
        <v>998</v>
      </c>
      <c r="U43" s="284">
        <v>1002</v>
      </c>
      <c r="V43" s="284">
        <v>1663</v>
      </c>
      <c r="W43" s="284">
        <v>1599</v>
      </c>
      <c r="X43" s="284">
        <v>1885</v>
      </c>
      <c r="Y43" s="284">
        <v>1743</v>
      </c>
      <c r="Z43" s="284">
        <v>1539</v>
      </c>
      <c r="AA43" s="284">
        <v>1991</v>
      </c>
      <c r="AB43" s="284">
        <v>2460</v>
      </c>
      <c r="AC43" s="284">
        <v>3368</v>
      </c>
      <c r="AD43" s="284">
        <v>2840</v>
      </c>
      <c r="AE43" s="284">
        <v>2767</v>
      </c>
      <c r="AF43" s="284">
        <v>4059</v>
      </c>
      <c r="AG43" s="284">
        <v>5813</v>
      </c>
      <c r="AH43" s="284">
        <v>7043</v>
      </c>
      <c r="AI43" s="284">
        <v>8529</v>
      </c>
      <c r="AJ43" s="284">
        <v>9778</v>
      </c>
      <c r="AK43" s="284">
        <v>10108</v>
      </c>
    </row>
    <row r="44" spans="1:37">
      <c r="A44" s="284" t="s">
        <v>21</v>
      </c>
      <c r="B44" s="284" t="s">
        <v>67</v>
      </c>
      <c r="C44" s="284" t="s">
        <v>583</v>
      </c>
      <c r="D44" s="284" t="s">
        <v>583</v>
      </c>
      <c r="E44" s="284" t="s">
        <v>583</v>
      </c>
      <c r="F44" s="284" t="s">
        <v>583</v>
      </c>
      <c r="G44" s="284" t="s">
        <v>583</v>
      </c>
      <c r="H44" s="284" t="s">
        <v>583</v>
      </c>
      <c r="I44" s="284" t="s">
        <v>583</v>
      </c>
      <c r="J44" s="284" t="s">
        <v>583</v>
      </c>
      <c r="K44" s="284" t="s">
        <v>583</v>
      </c>
      <c r="L44" s="284" t="s">
        <v>583</v>
      </c>
      <c r="M44" s="284" t="s">
        <v>583</v>
      </c>
      <c r="N44" s="284" t="s">
        <v>583</v>
      </c>
      <c r="O44" s="284" t="s">
        <v>583</v>
      </c>
      <c r="P44" s="284" t="s">
        <v>583</v>
      </c>
      <c r="Q44" s="284" t="s">
        <v>583</v>
      </c>
      <c r="R44" s="284" t="s">
        <v>583</v>
      </c>
      <c r="S44" s="284" t="s">
        <v>583</v>
      </c>
      <c r="T44" s="284">
        <v>2307</v>
      </c>
      <c r="U44" s="284">
        <v>2471</v>
      </c>
      <c r="V44" s="284">
        <v>2486</v>
      </c>
      <c r="W44" s="284">
        <v>2427</v>
      </c>
      <c r="X44" s="284">
        <v>2571</v>
      </c>
      <c r="Y44" s="284">
        <v>2769</v>
      </c>
      <c r="Z44" s="284">
        <v>2710</v>
      </c>
      <c r="AA44" s="284">
        <v>2222</v>
      </c>
      <c r="AB44" s="284">
        <v>3139</v>
      </c>
      <c r="AC44" s="284">
        <v>2654</v>
      </c>
      <c r="AD44" s="284">
        <v>2082</v>
      </c>
      <c r="AE44" s="284">
        <v>1894</v>
      </c>
      <c r="AF44" s="284">
        <v>1799</v>
      </c>
      <c r="AG44" s="284">
        <v>1750</v>
      </c>
      <c r="AH44" s="284">
        <v>1278</v>
      </c>
      <c r="AI44" s="284">
        <v>1620</v>
      </c>
      <c r="AJ44" s="284">
        <v>1743</v>
      </c>
      <c r="AK44" s="284">
        <v>1936</v>
      </c>
    </row>
    <row r="45" spans="1:37">
      <c r="A45" s="284" t="s">
        <v>32</v>
      </c>
      <c r="B45" s="284" t="s">
        <v>1061</v>
      </c>
      <c r="C45" s="284" t="s">
        <v>32</v>
      </c>
      <c r="D45" s="284" t="s">
        <v>32</v>
      </c>
      <c r="E45" s="284" t="s">
        <v>32</v>
      </c>
      <c r="F45" s="284" t="s">
        <v>32</v>
      </c>
      <c r="G45" s="284" t="s">
        <v>32</v>
      </c>
      <c r="H45" s="284" t="s">
        <v>32</v>
      </c>
      <c r="I45" s="284" t="s">
        <v>32</v>
      </c>
      <c r="J45" s="284" t="s">
        <v>32</v>
      </c>
      <c r="K45" s="284" t="s">
        <v>32</v>
      </c>
      <c r="L45" s="284" t="s">
        <v>32</v>
      </c>
      <c r="M45" s="284" t="s">
        <v>32</v>
      </c>
      <c r="N45" s="284" t="s">
        <v>32</v>
      </c>
      <c r="O45" s="284" t="s">
        <v>32</v>
      </c>
      <c r="P45" s="284" t="s">
        <v>32</v>
      </c>
      <c r="Q45" s="284" t="s">
        <v>32</v>
      </c>
      <c r="R45" s="284" t="s">
        <v>32</v>
      </c>
      <c r="S45" s="284" t="s">
        <v>32</v>
      </c>
      <c r="T45" s="284" t="s">
        <v>32</v>
      </c>
      <c r="U45" s="284" t="s">
        <v>32</v>
      </c>
      <c r="V45" s="284" t="s">
        <v>32</v>
      </c>
      <c r="W45" s="284" t="s">
        <v>32</v>
      </c>
      <c r="X45" s="284" t="s">
        <v>32</v>
      </c>
      <c r="Y45" s="284" t="s">
        <v>32</v>
      </c>
      <c r="Z45" s="284" t="s">
        <v>32</v>
      </c>
      <c r="AA45" s="284" t="s">
        <v>32</v>
      </c>
      <c r="AB45" s="284" t="s">
        <v>32</v>
      </c>
      <c r="AC45" s="284" t="s">
        <v>32</v>
      </c>
      <c r="AD45" s="284" t="s">
        <v>32</v>
      </c>
      <c r="AE45" s="284" t="s">
        <v>32</v>
      </c>
      <c r="AF45" s="284" t="s">
        <v>32</v>
      </c>
      <c r="AG45" s="284" t="s">
        <v>32</v>
      </c>
      <c r="AH45" s="284" t="s">
        <v>32</v>
      </c>
      <c r="AI45" s="284" t="s">
        <v>32</v>
      </c>
      <c r="AJ45" s="284" t="s">
        <v>32</v>
      </c>
      <c r="AK45" s="284" t="s">
        <v>32</v>
      </c>
    </row>
    <row r="46" spans="1:37">
      <c r="A46" s="284" t="s">
        <v>20</v>
      </c>
      <c r="B46" s="287" t="s">
        <v>1060</v>
      </c>
      <c r="C46" s="284">
        <v>6890</v>
      </c>
      <c r="D46" s="284">
        <v>10150</v>
      </c>
      <c r="E46" s="284">
        <v>15261</v>
      </c>
      <c r="F46" s="284">
        <v>13450</v>
      </c>
      <c r="G46" s="284">
        <v>12589</v>
      </c>
      <c r="H46" s="284">
        <v>13094</v>
      </c>
      <c r="I46" s="284">
        <v>17105</v>
      </c>
      <c r="J46" s="284">
        <v>12142</v>
      </c>
      <c r="K46" s="284">
        <v>8603</v>
      </c>
      <c r="L46" s="284">
        <v>3848</v>
      </c>
      <c r="M46" s="284">
        <v>7503</v>
      </c>
      <c r="N46" s="284">
        <v>13489</v>
      </c>
      <c r="O46" s="284">
        <v>25077</v>
      </c>
      <c r="P46" s="284">
        <v>33736</v>
      </c>
      <c r="Q46" s="284">
        <v>36494</v>
      </c>
      <c r="R46" s="284">
        <v>47505</v>
      </c>
      <c r="S46" s="284">
        <v>42842</v>
      </c>
      <c r="T46" s="284">
        <v>57927</v>
      </c>
      <c r="U46" s="284">
        <v>62247</v>
      </c>
      <c r="V46" s="284">
        <v>19528</v>
      </c>
      <c r="W46" s="284">
        <v>49578</v>
      </c>
      <c r="X46" s="284">
        <v>83757</v>
      </c>
      <c r="Y46" s="284">
        <v>110270</v>
      </c>
      <c r="Z46" s="284">
        <v>131946</v>
      </c>
      <c r="AA46" s="284">
        <v>163365</v>
      </c>
      <c r="AB46" s="284">
        <v>142809</v>
      </c>
      <c r="AC46" s="284">
        <v>147430</v>
      </c>
      <c r="AD46" s="284">
        <v>119904</v>
      </c>
      <c r="AE46" s="284">
        <v>164451</v>
      </c>
      <c r="AF46" s="284">
        <v>184949</v>
      </c>
      <c r="AG46" s="284">
        <v>179319</v>
      </c>
      <c r="AH46" s="284">
        <v>192931</v>
      </c>
      <c r="AI46" s="284">
        <v>198107</v>
      </c>
      <c r="AJ46" s="284">
        <v>170380</v>
      </c>
      <c r="AK46" s="284">
        <v>185211</v>
      </c>
    </row>
    <row r="47" spans="1:37">
      <c r="A47" s="284" t="s">
        <v>19</v>
      </c>
      <c r="B47" s="284" t="s">
        <v>1055</v>
      </c>
      <c r="C47" s="284">
        <v>-49</v>
      </c>
      <c r="D47" s="284">
        <v>1858</v>
      </c>
      <c r="E47" s="284">
        <v>5513</v>
      </c>
      <c r="F47" s="284">
        <v>3917</v>
      </c>
      <c r="G47" s="284">
        <v>3736</v>
      </c>
      <c r="H47" s="284">
        <v>4251</v>
      </c>
      <c r="I47" s="284">
        <v>7239</v>
      </c>
      <c r="J47" s="284">
        <v>-169</v>
      </c>
      <c r="K47" s="284">
        <v>-4717</v>
      </c>
      <c r="L47" s="284">
        <v>-10711</v>
      </c>
      <c r="M47" s="284">
        <v>-4574</v>
      </c>
      <c r="N47" s="284">
        <v>1812</v>
      </c>
      <c r="O47" s="284">
        <v>15155</v>
      </c>
      <c r="P47" s="284">
        <v>22182</v>
      </c>
      <c r="Q47" s="284">
        <v>23992</v>
      </c>
      <c r="R47" s="284">
        <v>33770</v>
      </c>
      <c r="S47" s="284">
        <v>28055</v>
      </c>
      <c r="T47" s="284">
        <v>37695</v>
      </c>
      <c r="U47" s="284">
        <v>36071</v>
      </c>
      <c r="V47" s="284">
        <v>-7415</v>
      </c>
      <c r="W47" s="284">
        <v>24363</v>
      </c>
      <c r="X47" s="284">
        <v>63304</v>
      </c>
      <c r="Y47" s="284">
        <v>91580</v>
      </c>
      <c r="Z47" s="284">
        <v>110146</v>
      </c>
      <c r="AA47" s="284">
        <v>136522</v>
      </c>
      <c r="AB47" s="284">
        <v>108339</v>
      </c>
      <c r="AC47" s="284">
        <v>113211</v>
      </c>
      <c r="AD47" s="284">
        <v>88218</v>
      </c>
      <c r="AE47" s="284">
        <v>133917</v>
      </c>
      <c r="AF47" s="284">
        <v>153825</v>
      </c>
      <c r="AG47" s="284">
        <v>146521</v>
      </c>
      <c r="AH47" s="284">
        <v>157632</v>
      </c>
      <c r="AI47" s="284">
        <v>162437</v>
      </c>
      <c r="AJ47" s="284">
        <v>131237</v>
      </c>
      <c r="AK47" s="284">
        <v>138108</v>
      </c>
    </row>
    <row r="48" spans="1:37">
      <c r="A48" s="284" t="s">
        <v>18</v>
      </c>
      <c r="B48" s="284" t="s">
        <v>1054</v>
      </c>
      <c r="C48" s="284">
        <v>3486</v>
      </c>
      <c r="D48" s="284">
        <v>3345</v>
      </c>
      <c r="E48" s="284">
        <v>3507</v>
      </c>
      <c r="F48" s="284">
        <v>4574</v>
      </c>
      <c r="G48" s="284">
        <v>4699</v>
      </c>
      <c r="H48" s="284">
        <v>4784</v>
      </c>
      <c r="I48" s="284">
        <v>6114</v>
      </c>
      <c r="J48" s="284">
        <v>7958</v>
      </c>
      <c r="K48" s="284">
        <v>9367</v>
      </c>
      <c r="L48" s="284">
        <v>7601</v>
      </c>
      <c r="M48" s="284">
        <v>7037</v>
      </c>
      <c r="N48" s="284">
        <v>8875</v>
      </c>
      <c r="O48" s="284">
        <v>10272</v>
      </c>
      <c r="P48" s="284">
        <v>13757</v>
      </c>
      <c r="Q48" s="284">
        <v>15487</v>
      </c>
      <c r="R48" s="284">
        <v>18801</v>
      </c>
      <c r="S48" s="284">
        <v>25214</v>
      </c>
      <c r="T48" s="284">
        <v>33906</v>
      </c>
      <c r="U48" s="284">
        <v>37274</v>
      </c>
      <c r="V48" s="284">
        <v>25410</v>
      </c>
      <c r="W48" s="284">
        <v>21191</v>
      </c>
      <c r="X48" s="284">
        <v>43255</v>
      </c>
      <c r="Y48" s="284">
        <v>36287</v>
      </c>
      <c r="Z48" s="284">
        <v>64395</v>
      </c>
      <c r="AA48" s="284">
        <v>63230</v>
      </c>
      <c r="AB48" s="284">
        <v>53626</v>
      </c>
      <c r="AC48" s="284">
        <v>65716</v>
      </c>
      <c r="AD48" s="284">
        <v>59272</v>
      </c>
      <c r="AE48" s="284">
        <v>66549</v>
      </c>
      <c r="AF48" s="284">
        <v>69149</v>
      </c>
      <c r="AG48" s="284">
        <v>54878</v>
      </c>
      <c r="AH48" s="284">
        <v>69966</v>
      </c>
      <c r="AI48" s="284">
        <v>67595</v>
      </c>
      <c r="AJ48" s="284">
        <v>50490</v>
      </c>
      <c r="AK48" s="284">
        <v>40436</v>
      </c>
    </row>
    <row r="49" spans="1:37">
      <c r="A49" s="284" t="s">
        <v>17</v>
      </c>
      <c r="B49" s="284" t="s">
        <v>235</v>
      </c>
      <c r="C49" s="284">
        <v>-3536</v>
      </c>
      <c r="D49" s="284">
        <v>-1486</v>
      </c>
      <c r="E49" s="284">
        <v>2006</v>
      </c>
      <c r="F49" s="284">
        <v>-658</v>
      </c>
      <c r="G49" s="284">
        <v>-964</v>
      </c>
      <c r="H49" s="284">
        <v>-533</v>
      </c>
      <c r="I49" s="284">
        <v>1128</v>
      </c>
      <c r="J49" s="284">
        <v>-8127</v>
      </c>
      <c r="K49" s="284">
        <v>-14083</v>
      </c>
      <c r="L49" s="284">
        <v>-18312</v>
      </c>
      <c r="M49" s="284">
        <v>-11611</v>
      </c>
      <c r="N49" s="284">
        <v>-7061</v>
      </c>
      <c r="O49" s="284">
        <v>4883</v>
      </c>
      <c r="P49" s="284">
        <v>8425</v>
      </c>
      <c r="Q49" s="284">
        <v>8506</v>
      </c>
      <c r="R49" s="284">
        <v>14968</v>
      </c>
      <c r="S49" s="284">
        <v>2842</v>
      </c>
      <c r="T49" s="284">
        <v>3789</v>
      </c>
      <c r="U49" s="284">
        <v>-1203</v>
      </c>
      <c r="V49" s="284">
        <v>-32825</v>
      </c>
      <c r="W49" s="284">
        <v>3173</v>
      </c>
      <c r="X49" s="284">
        <v>20048</v>
      </c>
      <c r="Y49" s="284">
        <v>55293</v>
      </c>
      <c r="Z49" s="284">
        <v>45752</v>
      </c>
      <c r="AA49" s="284">
        <v>73292</v>
      </c>
      <c r="AB49" s="284">
        <v>54714</v>
      </c>
      <c r="AC49" s="284">
        <v>47494</v>
      </c>
      <c r="AD49" s="284">
        <v>28946</v>
      </c>
      <c r="AE49" s="284">
        <v>67367</v>
      </c>
      <c r="AF49" s="284">
        <v>84676</v>
      </c>
      <c r="AG49" s="284">
        <v>91643</v>
      </c>
      <c r="AH49" s="284">
        <v>87667</v>
      </c>
      <c r="AI49" s="284">
        <v>94842</v>
      </c>
      <c r="AJ49" s="284">
        <v>80747</v>
      </c>
      <c r="AK49" s="284">
        <v>97672</v>
      </c>
    </row>
    <row r="50" spans="1:37">
      <c r="A50" s="284" t="s">
        <v>16</v>
      </c>
      <c r="B50" s="284" t="s">
        <v>252</v>
      </c>
      <c r="C50" s="284">
        <v>6939</v>
      </c>
      <c r="D50" s="284">
        <v>8292</v>
      </c>
      <c r="E50" s="284">
        <v>9748</v>
      </c>
      <c r="F50" s="284">
        <v>9533</v>
      </c>
      <c r="G50" s="284">
        <v>8853</v>
      </c>
      <c r="H50" s="284">
        <v>8843</v>
      </c>
      <c r="I50" s="284">
        <v>9866</v>
      </c>
      <c r="J50" s="284">
        <v>12311</v>
      </c>
      <c r="K50" s="284">
        <v>13320</v>
      </c>
      <c r="L50" s="284">
        <v>14559</v>
      </c>
      <c r="M50" s="284">
        <v>12077</v>
      </c>
      <c r="N50" s="284">
        <v>11677</v>
      </c>
      <c r="O50" s="284">
        <v>9922</v>
      </c>
      <c r="P50" s="284">
        <v>11554</v>
      </c>
      <c r="Q50" s="284">
        <v>12502</v>
      </c>
      <c r="R50" s="284">
        <v>13735</v>
      </c>
      <c r="S50" s="284">
        <v>14787</v>
      </c>
      <c r="T50" s="284">
        <v>20232</v>
      </c>
      <c r="U50" s="284">
        <v>26176</v>
      </c>
      <c r="V50" s="284">
        <v>26943</v>
      </c>
      <c r="W50" s="284">
        <v>25215</v>
      </c>
      <c r="X50" s="284">
        <v>20453</v>
      </c>
      <c r="Y50" s="284">
        <v>18690</v>
      </c>
      <c r="Z50" s="284">
        <v>21800</v>
      </c>
      <c r="AA50" s="284">
        <v>26843</v>
      </c>
      <c r="AB50" s="284">
        <v>34470</v>
      </c>
      <c r="AC50" s="284">
        <v>34219</v>
      </c>
      <c r="AD50" s="284">
        <v>31686</v>
      </c>
      <c r="AE50" s="284">
        <v>30534</v>
      </c>
      <c r="AF50" s="284">
        <v>31124</v>
      </c>
      <c r="AG50" s="284">
        <v>32798</v>
      </c>
      <c r="AH50" s="284">
        <v>35299</v>
      </c>
      <c r="AI50" s="284">
        <v>35670</v>
      </c>
      <c r="AJ50" s="284">
        <v>39143</v>
      </c>
      <c r="AK50" s="284">
        <v>47103</v>
      </c>
    </row>
    <row r="51" spans="1:37">
      <c r="A51" s="284" t="s">
        <v>15</v>
      </c>
      <c r="B51" s="284" t="s">
        <v>234</v>
      </c>
      <c r="C51" s="284">
        <v>2801</v>
      </c>
      <c r="D51" s="284">
        <v>2820</v>
      </c>
      <c r="E51" s="284">
        <v>3565</v>
      </c>
      <c r="F51" s="284">
        <v>3753</v>
      </c>
      <c r="G51" s="284">
        <v>4007</v>
      </c>
      <c r="H51" s="284">
        <v>4674</v>
      </c>
      <c r="I51" s="284">
        <v>6229</v>
      </c>
      <c r="J51" s="284">
        <v>9117</v>
      </c>
      <c r="K51" s="284">
        <v>10141</v>
      </c>
      <c r="L51" s="284">
        <v>11073</v>
      </c>
      <c r="M51" s="284">
        <v>9332</v>
      </c>
      <c r="N51" s="284">
        <v>9102</v>
      </c>
      <c r="O51" s="284">
        <v>8360</v>
      </c>
      <c r="P51" s="284">
        <v>9671</v>
      </c>
      <c r="Q51" s="284">
        <v>10548</v>
      </c>
      <c r="R51" s="284">
        <v>10984</v>
      </c>
      <c r="S51" s="284">
        <v>12188</v>
      </c>
      <c r="T51" s="284">
        <v>16997</v>
      </c>
      <c r="U51" s="284">
        <v>22491</v>
      </c>
      <c r="V51" s="284">
        <v>23271</v>
      </c>
      <c r="W51" s="284">
        <v>22123</v>
      </c>
      <c r="X51" s="284">
        <v>17728</v>
      </c>
      <c r="Y51" s="284">
        <v>16187</v>
      </c>
      <c r="Z51" s="284">
        <v>18650</v>
      </c>
      <c r="AA51" s="284">
        <v>23029</v>
      </c>
      <c r="AB51" s="284">
        <v>30566</v>
      </c>
      <c r="AC51" s="284">
        <v>30190</v>
      </c>
      <c r="AD51" s="284">
        <v>28349</v>
      </c>
      <c r="AE51" s="284">
        <v>27928</v>
      </c>
      <c r="AF51" s="284">
        <v>28806</v>
      </c>
      <c r="AG51" s="284">
        <v>29872</v>
      </c>
      <c r="AH51" s="284">
        <v>30065</v>
      </c>
      <c r="AI51" s="284">
        <v>30003</v>
      </c>
      <c r="AJ51" s="284">
        <v>32843</v>
      </c>
      <c r="AK51" s="284">
        <v>39720</v>
      </c>
    </row>
    <row r="52" spans="1:37">
      <c r="A52" s="284" t="s">
        <v>14</v>
      </c>
      <c r="B52" s="284" t="s">
        <v>237</v>
      </c>
      <c r="C52" s="284">
        <v>4138</v>
      </c>
      <c r="D52" s="284">
        <v>5472</v>
      </c>
      <c r="E52" s="284">
        <v>6183</v>
      </c>
      <c r="F52" s="284">
        <v>5780</v>
      </c>
      <c r="G52" s="284">
        <v>4846</v>
      </c>
      <c r="H52" s="284">
        <v>4169</v>
      </c>
      <c r="I52" s="284">
        <v>3637</v>
      </c>
      <c r="J52" s="284">
        <v>3194</v>
      </c>
      <c r="K52" s="284">
        <v>3179</v>
      </c>
      <c r="L52" s="284">
        <v>3486</v>
      </c>
      <c r="M52" s="284">
        <v>2745</v>
      </c>
      <c r="N52" s="284">
        <v>2575</v>
      </c>
      <c r="O52" s="284">
        <v>1562</v>
      </c>
      <c r="P52" s="284">
        <v>1883</v>
      </c>
      <c r="Q52" s="284">
        <v>1954</v>
      </c>
      <c r="R52" s="284">
        <v>2751</v>
      </c>
      <c r="S52" s="284">
        <v>2599</v>
      </c>
      <c r="T52" s="284">
        <v>3235</v>
      </c>
      <c r="U52" s="284">
        <v>3685</v>
      </c>
      <c r="V52" s="284">
        <v>3672</v>
      </c>
      <c r="W52" s="284">
        <v>3093</v>
      </c>
      <c r="X52" s="284">
        <v>2725</v>
      </c>
      <c r="Y52" s="284">
        <v>2503</v>
      </c>
      <c r="Z52" s="284">
        <v>3150</v>
      </c>
      <c r="AA52" s="284">
        <v>3814</v>
      </c>
      <c r="AB52" s="284">
        <v>3904</v>
      </c>
      <c r="AC52" s="284">
        <v>4029</v>
      </c>
      <c r="AD52" s="284">
        <v>3337</v>
      </c>
      <c r="AE52" s="284">
        <v>2606</v>
      </c>
      <c r="AF52" s="284">
        <v>2318</v>
      </c>
      <c r="AG52" s="284">
        <v>2925</v>
      </c>
      <c r="AH52" s="284">
        <v>5235</v>
      </c>
      <c r="AI52" s="284">
        <v>5667</v>
      </c>
      <c r="AJ52" s="284">
        <v>6300</v>
      </c>
      <c r="AK52" s="284">
        <v>7382</v>
      </c>
    </row>
    <row r="53" spans="1:37">
      <c r="A53" s="284" t="s">
        <v>13</v>
      </c>
      <c r="B53" s="287" t="s">
        <v>1059</v>
      </c>
      <c r="C53" s="284">
        <v>4774</v>
      </c>
      <c r="D53" s="284">
        <v>6031</v>
      </c>
      <c r="E53" s="284">
        <v>6818</v>
      </c>
      <c r="F53" s="284">
        <v>6504</v>
      </c>
      <c r="G53" s="284">
        <v>5734</v>
      </c>
      <c r="H53" s="284">
        <v>5419</v>
      </c>
      <c r="I53" s="284">
        <v>4954</v>
      </c>
      <c r="J53" s="284">
        <v>5097</v>
      </c>
      <c r="K53" s="284">
        <v>5152</v>
      </c>
      <c r="L53" s="284">
        <v>6113</v>
      </c>
      <c r="M53" s="284">
        <v>5314</v>
      </c>
      <c r="N53" s="284">
        <v>5547</v>
      </c>
      <c r="O53" s="284">
        <v>2927</v>
      </c>
      <c r="P53" s="284">
        <v>3418</v>
      </c>
      <c r="Q53" s="284">
        <v>3402</v>
      </c>
      <c r="R53" s="284">
        <v>4553</v>
      </c>
      <c r="S53" s="284">
        <v>4424</v>
      </c>
      <c r="T53" s="284">
        <v>4805</v>
      </c>
      <c r="U53" s="284">
        <v>6227</v>
      </c>
      <c r="V53" s="284">
        <v>5688</v>
      </c>
      <c r="W53" s="284">
        <v>4739</v>
      </c>
      <c r="X53" s="284">
        <v>4243</v>
      </c>
      <c r="Y53" s="284">
        <v>4716</v>
      </c>
      <c r="Z53" s="284">
        <v>6526</v>
      </c>
      <c r="AA53" s="284">
        <v>8419</v>
      </c>
      <c r="AB53" s="284">
        <v>10087</v>
      </c>
      <c r="AC53" s="284">
        <v>9626</v>
      </c>
      <c r="AD53" s="284">
        <v>7781</v>
      </c>
      <c r="AE53" s="284">
        <v>6867</v>
      </c>
      <c r="AF53" s="284">
        <v>6687</v>
      </c>
      <c r="AG53" s="284">
        <v>6557</v>
      </c>
      <c r="AH53" s="284">
        <v>8816</v>
      </c>
      <c r="AI53" s="284">
        <v>10221</v>
      </c>
      <c r="AJ53" s="284">
        <v>11126</v>
      </c>
      <c r="AK53" s="284">
        <v>14257</v>
      </c>
    </row>
    <row r="54" spans="1:37">
      <c r="A54" s="284" t="s">
        <v>11</v>
      </c>
      <c r="B54" s="284" t="s">
        <v>1058</v>
      </c>
      <c r="C54" s="284">
        <v>4138</v>
      </c>
      <c r="D54" s="284">
        <v>5472</v>
      </c>
      <c r="E54" s="284">
        <v>6183</v>
      </c>
      <c r="F54" s="284">
        <v>5780</v>
      </c>
      <c r="G54" s="284">
        <v>4846</v>
      </c>
      <c r="H54" s="284">
        <v>4169</v>
      </c>
      <c r="I54" s="284">
        <v>3637</v>
      </c>
      <c r="J54" s="284">
        <v>3194</v>
      </c>
      <c r="K54" s="284">
        <v>3179</v>
      </c>
      <c r="L54" s="284">
        <v>3486</v>
      </c>
      <c r="M54" s="284">
        <v>2745</v>
      </c>
      <c r="N54" s="284">
        <v>2575</v>
      </c>
      <c r="O54" s="284">
        <v>1562</v>
      </c>
      <c r="P54" s="284">
        <v>1883</v>
      </c>
      <c r="Q54" s="284">
        <v>1954</v>
      </c>
      <c r="R54" s="284">
        <v>2751</v>
      </c>
      <c r="S54" s="284">
        <v>2599</v>
      </c>
      <c r="T54" s="284">
        <v>3235</v>
      </c>
      <c r="U54" s="284">
        <v>3685</v>
      </c>
      <c r="V54" s="284">
        <v>3672</v>
      </c>
      <c r="W54" s="284">
        <v>3093</v>
      </c>
      <c r="X54" s="284">
        <v>2725</v>
      </c>
      <c r="Y54" s="284">
        <v>2503</v>
      </c>
      <c r="Z54" s="284">
        <v>3150</v>
      </c>
      <c r="AA54" s="284">
        <v>3814</v>
      </c>
      <c r="AB54" s="284">
        <v>3904</v>
      </c>
      <c r="AC54" s="284">
        <v>4029</v>
      </c>
      <c r="AD54" s="284">
        <v>3337</v>
      </c>
      <c r="AE54" s="284">
        <v>2606</v>
      </c>
      <c r="AF54" s="284">
        <v>2318</v>
      </c>
      <c r="AG54" s="284">
        <v>2925</v>
      </c>
      <c r="AH54" s="284">
        <v>5235</v>
      </c>
      <c r="AI54" s="284">
        <v>5667</v>
      </c>
      <c r="AJ54" s="284">
        <v>6300</v>
      </c>
      <c r="AK54" s="284">
        <v>7382</v>
      </c>
    </row>
    <row r="55" spans="1:37">
      <c r="A55" s="284" t="s">
        <v>10</v>
      </c>
      <c r="B55" s="284" t="s">
        <v>1057</v>
      </c>
      <c r="C55" s="284">
        <v>636</v>
      </c>
      <c r="D55" s="284">
        <v>559</v>
      </c>
      <c r="E55" s="284">
        <v>635</v>
      </c>
      <c r="F55" s="284">
        <v>724</v>
      </c>
      <c r="G55" s="284">
        <v>888</v>
      </c>
      <c r="H55" s="284">
        <v>1250</v>
      </c>
      <c r="I55" s="284">
        <v>1317</v>
      </c>
      <c r="J55" s="284">
        <v>1903</v>
      </c>
      <c r="K55" s="284">
        <v>1973</v>
      </c>
      <c r="L55" s="284">
        <v>2627</v>
      </c>
      <c r="M55" s="284">
        <v>2569</v>
      </c>
      <c r="N55" s="284">
        <v>2972</v>
      </c>
      <c r="O55" s="284">
        <v>1365</v>
      </c>
      <c r="P55" s="284">
        <v>1535</v>
      </c>
      <c r="Q55" s="284">
        <v>1448</v>
      </c>
      <c r="R55" s="284">
        <v>1802</v>
      </c>
      <c r="S55" s="284">
        <v>1825</v>
      </c>
      <c r="T55" s="284">
        <v>1569</v>
      </c>
      <c r="U55" s="284">
        <v>2543</v>
      </c>
      <c r="V55" s="284">
        <v>2016</v>
      </c>
      <c r="W55" s="284">
        <v>1646</v>
      </c>
      <c r="X55" s="284">
        <v>1518</v>
      </c>
      <c r="Y55" s="284">
        <v>2213</v>
      </c>
      <c r="Z55" s="284">
        <v>3376</v>
      </c>
      <c r="AA55" s="284">
        <v>4605</v>
      </c>
      <c r="AB55" s="284">
        <v>6183</v>
      </c>
      <c r="AC55" s="284">
        <v>5597</v>
      </c>
      <c r="AD55" s="284">
        <v>4445</v>
      </c>
      <c r="AE55" s="284">
        <v>4261</v>
      </c>
      <c r="AF55" s="284">
        <v>4369</v>
      </c>
      <c r="AG55" s="284">
        <v>3632</v>
      </c>
      <c r="AH55" s="284">
        <v>3582</v>
      </c>
      <c r="AI55" s="284">
        <v>4554</v>
      </c>
      <c r="AJ55" s="284">
        <v>4826</v>
      </c>
      <c r="AK55" s="284">
        <v>6874</v>
      </c>
    </row>
    <row r="56" spans="1:37">
      <c r="A56" s="284" t="s">
        <v>9</v>
      </c>
      <c r="B56" s="287" t="s">
        <v>1056</v>
      </c>
      <c r="C56" s="284">
        <v>2116</v>
      </c>
      <c r="D56" s="284">
        <v>4119</v>
      </c>
      <c r="E56" s="284">
        <v>8443</v>
      </c>
      <c r="F56" s="284">
        <v>6946</v>
      </c>
      <c r="G56" s="284">
        <v>6855</v>
      </c>
      <c r="H56" s="284">
        <v>7675</v>
      </c>
      <c r="I56" s="284">
        <v>12151</v>
      </c>
      <c r="J56" s="284">
        <v>7045</v>
      </c>
      <c r="K56" s="284">
        <v>3451</v>
      </c>
      <c r="L56" s="284">
        <v>-2265</v>
      </c>
      <c r="M56" s="284">
        <v>2189</v>
      </c>
      <c r="N56" s="284">
        <v>7942</v>
      </c>
      <c r="O56" s="284">
        <v>22150</v>
      </c>
      <c r="P56" s="284">
        <v>30318</v>
      </c>
      <c r="Q56" s="284">
        <v>33092</v>
      </c>
      <c r="R56" s="284">
        <v>42952</v>
      </c>
      <c r="S56" s="284">
        <v>38418</v>
      </c>
      <c r="T56" s="284">
        <v>53123</v>
      </c>
      <c r="U56" s="284">
        <v>56019</v>
      </c>
      <c r="V56" s="284">
        <v>13840</v>
      </c>
      <c r="W56" s="284">
        <v>44839</v>
      </c>
      <c r="X56" s="284">
        <v>79514</v>
      </c>
      <c r="Y56" s="284">
        <v>105554</v>
      </c>
      <c r="Z56" s="284">
        <v>125420</v>
      </c>
      <c r="AA56" s="284">
        <v>154946</v>
      </c>
      <c r="AB56" s="284">
        <v>132723</v>
      </c>
      <c r="AC56" s="284">
        <v>137804</v>
      </c>
      <c r="AD56" s="284">
        <v>112123</v>
      </c>
      <c r="AE56" s="284">
        <v>157584</v>
      </c>
      <c r="AF56" s="284">
        <v>178262</v>
      </c>
      <c r="AG56" s="284">
        <v>172762</v>
      </c>
      <c r="AH56" s="284">
        <v>184115</v>
      </c>
      <c r="AI56" s="284">
        <v>187886</v>
      </c>
      <c r="AJ56" s="284">
        <v>159254</v>
      </c>
      <c r="AK56" s="284">
        <v>170954</v>
      </c>
    </row>
    <row r="57" spans="1:37">
      <c r="A57" s="284" t="s">
        <v>8</v>
      </c>
      <c r="B57" s="284" t="s">
        <v>1055</v>
      </c>
      <c r="C57" s="284">
        <v>-49</v>
      </c>
      <c r="D57" s="284">
        <v>1858</v>
      </c>
      <c r="E57" s="284">
        <v>5513</v>
      </c>
      <c r="F57" s="284">
        <v>3917</v>
      </c>
      <c r="G57" s="284">
        <v>3736</v>
      </c>
      <c r="H57" s="284">
        <v>4251</v>
      </c>
      <c r="I57" s="284">
        <v>7239</v>
      </c>
      <c r="J57" s="284">
        <v>-169</v>
      </c>
      <c r="K57" s="284">
        <v>-4717</v>
      </c>
      <c r="L57" s="284">
        <v>-10711</v>
      </c>
      <c r="M57" s="284">
        <v>-4574</v>
      </c>
      <c r="N57" s="284">
        <v>1812</v>
      </c>
      <c r="O57" s="284">
        <v>15155</v>
      </c>
      <c r="P57" s="284">
        <v>22182</v>
      </c>
      <c r="Q57" s="284">
        <v>23992</v>
      </c>
      <c r="R57" s="284">
        <v>33770</v>
      </c>
      <c r="S57" s="284">
        <v>28055</v>
      </c>
      <c r="T57" s="284">
        <v>37695</v>
      </c>
      <c r="U57" s="284">
        <v>36071</v>
      </c>
      <c r="V57" s="284">
        <v>-7415</v>
      </c>
      <c r="W57" s="284">
        <v>24363</v>
      </c>
      <c r="X57" s="284">
        <v>63304</v>
      </c>
      <c r="Y57" s="284">
        <v>91580</v>
      </c>
      <c r="Z57" s="284">
        <v>110146</v>
      </c>
      <c r="AA57" s="284">
        <v>136522</v>
      </c>
      <c r="AB57" s="284">
        <v>108339</v>
      </c>
      <c r="AC57" s="284">
        <v>113211</v>
      </c>
      <c r="AD57" s="284">
        <v>88218</v>
      </c>
      <c r="AE57" s="284">
        <v>133917</v>
      </c>
      <c r="AF57" s="284">
        <v>153825</v>
      </c>
      <c r="AG57" s="284">
        <v>146521</v>
      </c>
      <c r="AH57" s="284">
        <v>157632</v>
      </c>
      <c r="AI57" s="284">
        <v>162437</v>
      </c>
      <c r="AJ57" s="284">
        <v>131237</v>
      </c>
      <c r="AK57" s="284">
        <v>138108</v>
      </c>
    </row>
    <row r="58" spans="1:37">
      <c r="A58" s="284" t="s">
        <v>232</v>
      </c>
      <c r="B58" s="284" t="s">
        <v>1054</v>
      </c>
      <c r="C58" s="284">
        <v>3486</v>
      </c>
      <c r="D58" s="284">
        <v>3345</v>
      </c>
      <c r="E58" s="284">
        <v>3507</v>
      </c>
      <c r="F58" s="284">
        <v>4574</v>
      </c>
      <c r="G58" s="284">
        <v>4699</v>
      </c>
      <c r="H58" s="284">
        <v>4784</v>
      </c>
      <c r="I58" s="284">
        <v>6114</v>
      </c>
      <c r="J58" s="284">
        <v>7958</v>
      </c>
      <c r="K58" s="284">
        <v>9367</v>
      </c>
      <c r="L58" s="284">
        <v>7601</v>
      </c>
      <c r="M58" s="284">
        <v>7037</v>
      </c>
      <c r="N58" s="284">
        <v>8875</v>
      </c>
      <c r="O58" s="284">
        <v>10272</v>
      </c>
      <c r="P58" s="284">
        <v>13757</v>
      </c>
      <c r="Q58" s="284">
        <v>15487</v>
      </c>
      <c r="R58" s="284">
        <v>18801</v>
      </c>
      <c r="S58" s="284">
        <v>25214</v>
      </c>
      <c r="T58" s="284">
        <v>33906</v>
      </c>
      <c r="U58" s="284">
        <v>37274</v>
      </c>
      <c r="V58" s="284">
        <v>25410</v>
      </c>
      <c r="W58" s="284">
        <v>21191</v>
      </c>
      <c r="X58" s="284">
        <v>43255</v>
      </c>
      <c r="Y58" s="284">
        <v>36287</v>
      </c>
      <c r="Z58" s="284">
        <v>64395</v>
      </c>
      <c r="AA58" s="284">
        <v>63230</v>
      </c>
      <c r="AB58" s="284">
        <v>53626</v>
      </c>
      <c r="AC58" s="284">
        <v>65716</v>
      </c>
      <c r="AD58" s="284">
        <v>59272</v>
      </c>
      <c r="AE58" s="284">
        <v>66549</v>
      </c>
      <c r="AF58" s="284">
        <v>69149</v>
      </c>
      <c r="AG58" s="284">
        <v>54878</v>
      </c>
      <c r="AH58" s="284">
        <v>69966</v>
      </c>
      <c r="AI58" s="284">
        <v>67595</v>
      </c>
      <c r="AJ58" s="284">
        <v>50490</v>
      </c>
      <c r="AK58" s="284">
        <v>40436</v>
      </c>
    </row>
    <row r="59" spans="1:37">
      <c r="A59" s="284" t="s">
        <v>231</v>
      </c>
      <c r="B59" s="284" t="s">
        <v>235</v>
      </c>
      <c r="C59" s="284">
        <v>-3536</v>
      </c>
      <c r="D59" s="284">
        <v>-1486</v>
      </c>
      <c r="E59" s="284">
        <v>2006</v>
      </c>
      <c r="F59" s="284">
        <v>-658</v>
      </c>
      <c r="G59" s="284">
        <v>-964</v>
      </c>
      <c r="H59" s="284">
        <v>-533</v>
      </c>
      <c r="I59" s="284">
        <v>1128</v>
      </c>
      <c r="J59" s="284">
        <v>-8127</v>
      </c>
      <c r="K59" s="284">
        <v>-14083</v>
      </c>
      <c r="L59" s="284">
        <v>-18312</v>
      </c>
      <c r="M59" s="284">
        <v>-11611</v>
      </c>
      <c r="N59" s="284">
        <v>-7061</v>
      </c>
      <c r="O59" s="284">
        <v>4883</v>
      </c>
      <c r="P59" s="284">
        <v>8425</v>
      </c>
      <c r="Q59" s="284">
        <v>8506</v>
      </c>
      <c r="R59" s="284">
        <v>14968</v>
      </c>
      <c r="S59" s="284">
        <v>2842</v>
      </c>
      <c r="T59" s="284">
        <v>3789</v>
      </c>
      <c r="U59" s="284">
        <v>-1203</v>
      </c>
      <c r="V59" s="284">
        <v>-32825</v>
      </c>
      <c r="W59" s="284">
        <v>3173</v>
      </c>
      <c r="X59" s="284">
        <v>20048</v>
      </c>
      <c r="Y59" s="284">
        <v>55293</v>
      </c>
      <c r="Z59" s="284">
        <v>45752</v>
      </c>
      <c r="AA59" s="284">
        <v>73292</v>
      </c>
      <c r="AB59" s="284">
        <v>54714</v>
      </c>
      <c r="AC59" s="284">
        <v>47494</v>
      </c>
      <c r="AD59" s="284">
        <v>28946</v>
      </c>
      <c r="AE59" s="284">
        <v>67367</v>
      </c>
      <c r="AF59" s="284">
        <v>84676</v>
      </c>
      <c r="AG59" s="284">
        <v>91643</v>
      </c>
      <c r="AH59" s="284">
        <v>87667</v>
      </c>
      <c r="AI59" s="284">
        <v>94842</v>
      </c>
      <c r="AJ59" s="284">
        <v>80747</v>
      </c>
      <c r="AK59" s="284">
        <v>97672</v>
      </c>
    </row>
    <row r="60" spans="1:37">
      <c r="A60" s="284" t="s">
        <v>230</v>
      </c>
      <c r="B60" s="284" t="s">
        <v>254</v>
      </c>
      <c r="C60" s="284">
        <v>-2361</v>
      </c>
      <c r="D60" s="284">
        <v>-340</v>
      </c>
      <c r="E60" s="284">
        <v>3105</v>
      </c>
      <c r="F60" s="284">
        <v>90</v>
      </c>
      <c r="G60" s="284">
        <v>-239</v>
      </c>
      <c r="H60" s="284">
        <v>578</v>
      </c>
      <c r="I60" s="284">
        <v>1964</v>
      </c>
      <c r="J60" s="284">
        <v>-7391</v>
      </c>
      <c r="K60" s="284">
        <v>-14155</v>
      </c>
      <c r="L60" s="284">
        <v>-18683</v>
      </c>
      <c r="M60" s="284">
        <v>-12212</v>
      </c>
      <c r="N60" s="284">
        <v>-7760</v>
      </c>
      <c r="O60" s="284">
        <v>3857</v>
      </c>
      <c r="P60" s="284">
        <v>9421</v>
      </c>
      <c r="Q60" s="284">
        <v>6459</v>
      </c>
      <c r="R60" s="284">
        <v>12764</v>
      </c>
      <c r="S60" s="284">
        <v>-1769</v>
      </c>
      <c r="T60" s="284">
        <v>-1940</v>
      </c>
      <c r="U60" s="284">
        <v>-7528</v>
      </c>
      <c r="V60" s="284">
        <v>-41410</v>
      </c>
      <c r="W60" s="284">
        <v>-8331</v>
      </c>
      <c r="X60" s="284">
        <v>3683</v>
      </c>
      <c r="Y60" s="284">
        <v>39389</v>
      </c>
      <c r="Z60" s="284">
        <v>33869</v>
      </c>
      <c r="AA60" s="284">
        <v>63101</v>
      </c>
      <c r="AB60" s="284">
        <v>42951</v>
      </c>
      <c r="AC60" s="284">
        <v>35411</v>
      </c>
      <c r="AD60" s="284">
        <v>14814</v>
      </c>
      <c r="AE60" s="284">
        <v>54871</v>
      </c>
      <c r="AF60" s="284">
        <v>72383</v>
      </c>
      <c r="AG60" s="284">
        <v>79210</v>
      </c>
      <c r="AH60" s="284">
        <v>71787</v>
      </c>
      <c r="AI60" s="284">
        <v>84250</v>
      </c>
      <c r="AJ60" s="284">
        <v>69828</v>
      </c>
      <c r="AK60" s="284">
        <v>86467</v>
      </c>
    </row>
    <row r="61" spans="1:37">
      <c r="A61" s="284" t="s">
        <v>229</v>
      </c>
      <c r="B61" s="284" t="s">
        <v>253</v>
      </c>
      <c r="C61" s="284">
        <v>-1175</v>
      </c>
      <c r="D61" s="284">
        <v>-1146</v>
      </c>
      <c r="E61" s="284">
        <v>-1099</v>
      </c>
      <c r="F61" s="284">
        <v>-748</v>
      </c>
      <c r="G61" s="284">
        <v>-725</v>
      </c>
      <c r="H61" s="284">
        <v>-1111</v>
      </c>
      <c r="I61" s="284">
        <v>-836</v>
      </c>
      <c r="J61" s="284">
        <v>-736</v>
      </c>
      <c r="K61" s="284">
        <v>72</v>
      </c>
      <c r="L61" s="284">
        <v>371</v>
      </c>
      <c r="M61" s="284">
        <v>601</v>
      </c>
      <c r="N61" s="284">
        <v>699</v>
      </c>
      <c r="O61" s="284">
        <v>1026</v>
      </c>
      <c r="P61" s="284">
        <v>-996</v>
      </c>
      <c r="Q61" s="284">
        <v>2047</v>
      </c>
      <c r="R61" s="284">
        <v>2204</v>
      </c>
      <c r="S61" s="284">
        <v>4611</v>
      </c>
      <c r="T61" s="284">
        <v>5729</v>
      </c>
      <c r="U61" s="284">
        <v>6325</v>
      </c>
      <c r="V61" s="284">
        <v>8585</v>
      </c>
      <c r="W61" s="284">
        <v>11504</v>
      </c>
      <c r="X61" s="284">
        <v>16365</v>
      </c>
      <c r="Y61" s="284">
        <v>15904</v>
      </c>
      <c r="Z61" s="284">
        <v>11882</v>
      </c>
      <c r="AA61" s="284">
        <v>10191</v>
      </c>
      <c r="AB61" s="284">
        <v>11762</v>
      </c>
      <c r="AC61" s="284">
        <v>12083</v>
      </c>
      <c r="AD61" s="284">
        <v>14133</v>
      </c>
      <c r="AE61" s="284">
        <v>12496</v>
      </c>
      <c r="AF61" s="284">
        <v>12293</v>
      </c>
      <c r="AG61" s="284">
        <v>12434</v>
      </c>
      <c r="AH61" s="284">
        <v>15880</v>
      </c>
      <c r="AI61" s="284">
        <v>10592</v>
      </c>
      <c r="AJ61" s="284">
        <v>10919</v>
      </c>
      <c r="AK61" s="284">
        <v>11205</v>
      </c>
    </row>
    <row r="62" spans="1:37">
      <c r="A62" s="284" t="s">
        <v>228</v>
      </c>
      <c r="B62" s="284" t="s">
        <v>1053</v>
      </c>
      <c r="C62" s="284">
        <v>2165</v>
      </c>
      <c r="D62" s="284">
        <v>2261</v>
      </c>
      <c r="E62" s="284">
        <v>2930</v>
      </c>
      <c r="F62" s="284">
        <v>3029</v>
      </c>
      <c r="G62" s="284">
        <v>3119</v>
      </c>
      <c r="H62" s="284">
        <v>3424</v>
      </c>
      <c r="I62" s="284">
        <v>4912</v>
      </c>
      <c r="J62" s="284">
        <v>7214</v>
      </c>
      <c r="K62" s="284">
        <v>8168</v>
      </c>
      <c r="L62" s="284">
        <v>8446</v>
      </c>
      <c r="M62" s="284">
        <v>6763</v>
      </c>
      <c r="N62" s="284">
        <v>6130</v>
      </c>
      <c r="O62" s="284">
        <v>6995</v>
      </c>
      <c r="P62" s="284">
        <v>8136</v>
      </c>
      <c r="Q62" s="284">
        <v>9100</v>
      </c>
      <c r="R62" s="284">
        <v>9182</v>
      </c>
      <c r="S62" s="284">
        <v>10363</v>
      </c>
      <c r="T62" s="284">
        <v>15427</v>
      </c>
      <c r="U62" s="284">
        <v>19948</v>
      </c>
      <c r="V62" s="284">
        <v>21255</v>
      </c>
      <c r="W62" s="284">
        <v>20476</v>
      </c>
      <c r="X62" s="284">
        <v>16210</v>
      </c>
      <c r="Y62" s="284">
        <v>13974</v>
      </c>
      <c r="Z62" s="284">
        <v>15274</v>
      </c>
      <c r="AA62" s="284">
        <v>18424</v>
      </c>
      <c r="AB62" s="284">
        <v>24383</v>
      </c>
      <c r="AC62" s="284">
        <v>24593</v>
      </c>
      <c r="AD62" s="284">
        <v>23905</v>
      </c>
      <c r="AE62" s="284">
        <v>23667</v>
      </c>
      <c r="AF62" s="284">
        <v>24437</v>
      </c>
      <c r="AG62" s="284">
        <v>26241</v>
      </c>
      <c r="AH62" s="284">
        <v>26483</v>
      </c>
      <c r="AI62" s="284">
        <v>25449</v>
      </c>
      <c r="AJ62" s="284">
        <v>28017</v>
      </c>
      <c r="AK62" s="284">
        <v>32846</v>
      </c>
    </row>
    <row r="63" spans="1:37">
      <c r="A63" s="284" t="s">
        <v>227</v>
      </c>
      <c r="B63" s="284" t="s">
        <v>234</v>
      </c>
      <c r="C63" s="284">
        <v>2801</v>
      </c>
      <c r="D63" s="284">
        <v>2820</v>
      </c>
      <c r="E63" s="284">
        <v>3565</v>
      </c>
      <c r="F63" s="284">
        <v>3753</v>
      </c>
      <c r="G63" s="284">
        <v>4007</v>
      </c>
      <c r="H63" s="284">
        <v>4674</v>
      </c>
      <c r="I63" s="284">
        <v>6229</v>
      </c>
      <c r="J63" s="284">
        <v>9117</v>
      </c>
      <c r="K63" s="284">
        <v>10141</v>
      </c>
      <c r="L63" s="284">
        <v>11073</v>
      </c>
      <c r="M63" s="284">
        <v>9332</v>
      </c>
      <c r="N63" s="284">
        <v>9102</v>
      </c>
      <c r="O63" s="284">
        <v>8360</v>
      </c>
      <c r="P63" s="284">
        <v>9671</v>
      </c>
      <c r="Q63" s="284">
        <v>10548</v>
      </c>
      <c r="R63" s="284">
        <v>10984</v>
      </c>
      <c r="S63" s="284">
        <v>12188</v>
      </c>
      <c r="T63" s="284">
        <v>16997</v>
      </c>
      <c r="U63" s="284">
        <v>22491</v>
      </c>
      <c r="V63" s="284">
        <v>23271</v>
      </c>
      <c r="W63" s="284">
        <v>22123</v>
      </c>
      <c r="X63" s="284">
        <v>17728</v>
      </c>
      <c r="Y63" s="284">
        <v>16187</v>
      </c>
      <c r="Z63" s="284">
        <v>18650</v>
      </c>
      <c r="AA63" s="284">
        <v>23029</v>
      </c>
      <c r="AB63" s="284">
        <v>30566</v>
      </c>
      <c r="AC63" s="284">
        <v>30190</v>
      </c>
      <c r="AD63" s="284">
        <v>28349</v>
      </c>
      <c r="AE63" s="284">
        <v>27928</v>
      </c>
      <c r="AF63" s="284">
        <v>28806</v>
      </c>
      <c r="AG63" s="284">
        <v>29872</v>
      </c>
      <c r="AH63" s="284">
        <v>30065</v>
      </c>
      <c r="AI63" s="284">
        <v>30003</v>
      </c>
      <c r="AJ63" s="284">
        <v>32843</v>
      </c>
      <c r="AK63" s="284">
        <v>39720</v>
      </c>
    </row>
    <row r="64" spans="1:37">
      <c r="A64" s="284" t="s">
        <v>226</v>
      </c>
      <c r="B64" s="284" t="s">
        <v>233</v>
      </c>
      <c r="C64" s="284">
        <v>636</v>
      </c>
      <c r="D64" s="284">
        <v>559</v>
      </c>
      <c r="E64" s="284">
        <v>635</v>
      </c>
      <c r="F64" s="284">
        <v>724</v>
      </c>
      <c r="G64" s="284">
        <v>888</v>
      </c>
      <c r="H64" s="284">
        <v>1250</v>
      </c>
      <c r="I64" s="284">
        <v>1317</v>
      </c>
      <c r="J64" s="284">
        <v>1903</v>
      </c>
      <c r="K64" s="284">
        <v>1973</v>
      </c>
      <c r="L64" s="284">
        <v>2627</v>
      </c>
      <c r="M64" s="284">
        <v>2569</v>
      </c>
      <c r="N64" s="284">
        <v>2972</v>
      </c>
      <c r="O64" s="284">
        <v>1365</v>
      </c>
      <c r="P64" s="284">
        <v>1535</v>
      </c>
      <c r="Q64" s="284">
        <v>1448</v>
      </c>
      <c r="R64" s="284">
        <v>1802</v>
      </c>
      <c r="S64" s="284">
        <v>1825</v>
      </c>
      <c r="T64" s="284">
        <v>1569</v>
      </c>
      <c r="U64" s="284">
        <v>2543</v>
      </c>
      <c r="V64" s="284">
        <v>2016</v>
      </c>
      <c r="W64" s="284">
        <v>1646</v>
      </c>
      <c r="X64" s="284">
        <v>1518</v>
      </c>
      <c r="Y64" s="284">
        <v>2213</v>
      </c>
      <c r="Z64" s="284">
        <v>3376</v>
      </c>
      <c r="AA64" s="284">
        <v>4605</v>
      </c>
      <c r="AB64" s="284">
        <v>6183</v>
      </c>
      <c r="AC64" s="284">
        <v>5597</v>
      </c>
      <c r="AD64" s="284">
        <v>4445</v>
      </c>
      <c r="AE64" s="284">
        <v>4261</v>
      </c>
      <c r="AF64" s="284">
        <v>4369</v>
      </c>
      <c r="AG64" s="284">
        <v>3632</v>
      </c>
      <c r="AH64" s="284">
        <v>3582</v>
      </c>
      <c r="AI64" s="284">
        <v>4554</v>
      </c>
      <c r="AJ64" s="284">
        <v>4826</v>
      </c>
      <c r="AK64" s="284">
        <v>6874</v>
      </c>
    </row>
    <row r="65" spans="1:37">
      <c r="A65" s="284" t="s">
        <v>224</v>
      </c>
      <c r="B65" s="287" t="s">
        <v>1052</v>
      </c>
      <c r="C65" s="284">
        <v>3291</v>
      </c>
      <c r="D65" s="284">
        <v>5265</v>
      </c>
      <c r="E65" s="284">
        <v>9542</v>
      </c>
      <c r="F65" s="284">
        <v>7694</v>
      </c>
      <c r="G65" s="284">
        <v>7580</v>
      </c>
      <c r="H65" s="284">
        <v>8786</v>
      </c>
      <c r="I65" s="284">
        <v>12987</v>
      </c>
      <c r="J65" s="284">
        <v>7781</v>
      </c>
      <c r="K65" s="284">
        <v>3379</v>
      </c>
      <c r="L65" s="284">
        <v>-2636</v>
      </c>
      <c r="M65" s="284">
        <v>1588</v>
      </c>
      <c r="N65" s="284">
        <v>7243</v>
      </c>
      <c r="O65" s="284">
        <v>21124</v>
      </c>
      <c r="P65" s="284">
        <v>31314</v>
      </c>
      <c r="Q65" s="284">
        <v>31045</v>
      </c>
      <c r="R65" s="284">
        <v>40748</v>
      </c>
      <c r="S65" s="284">
        <v>33807</v>
      </c>
      <c r="T65" s="284">
        <v>47393</v>
      </c>
      <c r="U65" s="284">
        <v>49694</v>
      </c>
      <c r="V65" s="284">
        <v>5255</v>
      </c>
      <c r="W65" s="284">
        <v>33335</v>
      </c>
      <c r="X65" s="284">
        <v>63149</v>
      </c>
      <c r="Y65" s="284">
        <v>89650</v>
      </c>
      <c r="Z65" s="284">
        <v>113538</v>
      </c>
      <c r="AA65" s="284">
        <v>144755</v>
      </c>
      <c r="AB65" s="284">
        <v>120960</v>
      </c>
      <c r="AC65" s="284">
        <v>125721</v>
      </c>
      <c r="AD65" s="284">
        <v>97990</v>
      </c>
      <c r="AE65" s="284">
        <v>145088</v>
      </c>
      <c r="AF65" s="284">
        <v>165968</v>
      </c>
      <c r="AG65" s="284">
        <v>160328</v>
      </c>
      <c r="AH65" s="284">
        <v>168235</v>
      </c>
      <c r="AI65" s="284">
        <v>177294</v>
      </c>
      <c r="AJ65" s="284">
        <v>148335</v>
      </c>
      <c r="AK65" s="284">
        <v>159749</v>
      </c>
    </row>
    <row r="66" spans="1:37">
      <c r="A66" s="284" t="s">
        <v>223</v>
      </c>
      <c r="B66" s="284" t="s">
        <v>205</v>
      </c>
      <c r="C66" s="284" t="s">
        <v>583</v>
      </c>
      <c r="D66" s="284" t="s">
        <v>583</v>
      </c>
      <c r="E66" s="284" t="s">
        <v>583</v>
      </c>
      <c r="F66" s="284" t="s">
        <v>583</v>
      </c>
      <c r="G66" s="284" t="s">
        <v>583</v>
      </c>
      <c r="H66" s="284" t="s">
        <v>583</v>
      </c>
      <c r="I66" s="284" t="s">
        <v>583</v>
      </c>
      <c r="J66" s="284" t="s">
        <v>583</v>
      </c>
      <c r="K66" s="284" t="s">
        <v>583</v>
      </c>
      <c r="L66" s="284" t="s">
        <v>583</v>
      </c>
      <c r="M66" s="284" t="s">
        <v>583</v>
      </c>
      <c r="N66" s="284" t="s">
        <v>583</v>
      </c>
      <c r="O66" s="284" t="s">
        <v>583</v>
      </c>
      <c r="P66" s="284" t="s">
        <v>583</v>
      </c>
      <c r="Q66" s="284" t="s">
        <v>583</v>
      </c>
      <c r="R66" s="284" t="s">
        <v>583</v>
      </c>
      <c r="S66" s="284" t="s">
        <v>583</v>
      </c>
      <c r="T66" s="284">
        <v>29291</v>
      </c>
      <c r="U66" s="284">
        <v>25675</v>
      </c>
      <c r="V66" s="284">
        <v>4859</v>
      </c>
      <c r="W66" s="284">
        <v>23980</v>
      </c>
      <c r="X66" s="284">
        <v>23903</v>
      </c>
      <c r="Y66" s="284">
        <v>34637</v>
      </c>
      <c r="Z66" s="284">
        <v>47361</v>
      </c>
      <c r="AA66" s="284">
        <v>55253</v>
      </c>
      <c r="AB66" s="284">
        <v>46886</v>
      </c>
      <c r="AC66" s="284">
        <v>36323</v>
      </c>
      <c r="AD66" s="284">
        <v>38341</v>
      </c>
      <c r="AE66" s="284">
        <v>62882</v>
      </c>
      <c r="AF66" s="284">
        <v>67426</v>
      </c>
      <c r="AG66" s="284">
        <v>68706</v>
      </c>
      <c r="AH66" s="284">
        <v>64932</v>
      </c>
      <c r="AI66" s="284">
        <v>70634</v>
      </c>
      <c r="AJ66" s="284">
        <v>59998</v>
      </c>
      <c r="AK66" s="284">
        <v>78714</v>
      </c>
    </row>
    <row r="67" spans="1:37">
      <c r="A67" s="284" t="s">
        <v>222</v>
      </c>
      <c r="B67" s="284" t="s">
        <v>250</v>
      </c>
      <c r="C67" s="284" t="s">
        <v>583</v>
      </c>
      <c r="D67" s="284" t="s">
        <v>583</v>
      </c>
      <c r="E67" s="284" t="s">
        <v>583</v>
      </c>
      <c r="F67" s="284" t="s">
        <v>583</v>
      </c>
      <c r="G67" s="284" t="s">
        <v>583</v>
      </c>
      <c r="H67" s="284" t="s">
        <v>583</v>
      </c>
      <c r="I67" s="284" t="s">
        <v>583</v>
      </c>
      <c r="J67" s="284" t="s">
        <v>583</v>
      </c>
      <c r="K67" s="284" t="s">
        <v>583</v>
      </c>
      <c r="L67" s="284" t="s">
        <v>583</v>
      </c>
      <c r="M67" s="284" t="s">
        <v>583</v>
      </c>
      <c r="N67" s="284" t="s">
        <v>583</v>
      </c>
      <c r="O67" s="284" t="s">
        <v>583</v>
      </c>
      <c r="P67" s="284" t="s">
        <v>583</v>
      </c>
      <c r="Q67" s="284" t="s">
        <v>583</v>
      </c>
      <c r="R67" s="284" t="s">
        <v>583</v>
      </c>
      <c r="S67" s="284" t="s">
        <v>583</v>
      </c>
      <c r="T67" s="284">
        <v>6166</v>
      </c>
      <c r="U67" s="284">
        <v>13778</v>
      </c>
      <c r="V67" s="284">
        <v>9721</v>
      </c>
      <c r="W67" s="284">
        <v>11428</v>
      </c>
      <c r="X67" s="284">
        <v>19476</v>
      </c>
      <c r="Y67" s="284">
        <v>25638</v>
      </c>
      <c r="Z67" s="284">
        <v>27311</v>
      </c>
      <c r="AA67" s="284">
        <v>25295</v>
      </c>
      <c r="AB67" s="284">
        <v>24242</v>
      </c>
      <c r="AC67" s="284">
        <v>22733</v>
      </c>
      <c r="AD67" s="284">
        <v>4385</v>
      </c>
      <c r="AE67" s="284">
        <v>13469</v>
      </c>
      <c r="AF67" s="284">
        <v>15935</v>
      </c>
      <c r="AG67" s="284">
        <v>14965</v>
      </c>
      <c r="AH67" s="284">
        <v>21420</v>
      </c>
      <c r="AI67" s="284">
        <v>20769</v>
      </c>
      <c r="AJ67" s="284">
        <v>19237</v>
      </c>
      <c r="AK67" s="284">
        <v>9241</v>
      </c>
    </row>
    <row r="68" spans="1:37">
      <c r="A68" s="284" t="s">
        <v>221</v>
      </c>
      <c r="B68" s="284" t="s">
        <v>251</v>
      </c>
      <c r="C68" s="284" t="s">
        <v>583</v>
      </c>
      <c r="D68" s="284" t="s">
        <v>583</v>
      </c>
      <c r="E68" s="284" t="s">
        <v>583</v>
      </c>
      <c r="F68" s="284" t="s">
        <v>583</v>
      </c>
      <c r="G68" s="284" t="s">
        <v>583</v>
      </c>
      <c r="H68" s="284" t="s">
        <v>583</v>
      </c>
      <c r="I68" s="284" t="s">
        <v>583</v>
      </c>
      <c r="J68" s="284" t="s">
        <v>583</v>
      </c>
      <c r="K68" s="284" t="s">
        <v>583</v>
      </c>
      <c r="L68" s="284" t="s">
        <v>583</v>
      </c>
      <c r="M68" s="284" t="s">
        <v>583</v>
      </c>
      <c r="N68" s="284" t="s">
        <v>583</v>
      </c>
      <c r="O68" s="284" t="s">
        <v>583</v>
      </c>
      <c r="P68" s="284" t="s">
        <v>583</v>
      </c>
      <c r="Q68" s="284" t="s">
        <v>583</v>
      </c>
      <c r="R68" s="284" t="s">
        <v>583</v>
      </c>
      <c r="S68" s="284" t="s">
        <v>583</v>
      </c>
      <c r="T68" s="284">
        <v>6358</v>
      </c>
      <c r="U68" s="284">
        <v>7690</v>
      </c>
      <c r="V68" s="284">
        <v>874</v>
      </c>
      <c r="W68" s="284">
        <v>-2365</v>
      </c>
      <c r="X68" s="284">
        <v>9545</v>
      </c>
      <c r="Y68" s="284">
        <v>11136</v>
      </c>
      <c r="Z68" s="284">
        <v>8886</v>
      </c>
      <c r="AA68" s="284">
        <v>15374</v>
      </c>
      <c r="AB68" s="284">
        <v>10560</v>
      </c>
      <c r="AC68" s="284">
        <v>29789</v>
      </c>
      <c r="AD68" s="284">
        <v>21884</v>
      </c>
      <c r="AE68" s="284">
        <v>29177</v>
      </c>
      <c r="AF68" s="284">
        <v>31156</v>
      </c>
      <c r="AG68" s="284">
        <v>30047</v>
      </c>
      <c r="AH68" s="284">
        <v>37186</v>
      </c>
      <c r="AI68" s="284">
        <v>39181</v>
      </c>
      <c r="AJ68" s="284">
        <v>33166</v>
      </c>
      <c r="AK68" s="284">
        <v>37735</v>
      </c>
    </row>
    <row r="69" spans="1:37">
      <c r="A69" s="284" t="s">
        <v>220</v>
      </c>
      <c r="B69" s="284" t="s">
        <v>67</v>
      </c>
      <c r="C69" s="284" t="s">
        <v>583</v>
      </c>
      <c r="D69" s="284" t="s">
        <v>583</v>
      </c>
      <c r="E69" s="284" t="s">
        <v>583</v>
      </c>
      <c r="F69" s="284" t="s">
        <v>583</v>
      </c>
      <c r="G69" s="284" t="s">
        <v>583</v>
      </c>
      <c r="H69" s="284" t="s">
        <v>583</v>
      </c>
      <c r="I69" s="284" t="s">
        <v>583</v>
      </c>
      <c r="J69" s="284" t="s">
        <v>583</v>
      </c>
      <c r="K69" s="284" t="s">
        <v>583</v>
      </c>
      <c r="L69" s="284" t="s">
        <v>583</v>
      </c>
      <c r="M69" s="284" t="s">
        <v>583</v>
      </c>
      <c r="N69" s="284" t="s">
        <v>583</v>
      </c>
      <c r="O69" s="284" t="s">
        <v>583</v>
      </c>
      <c r="P69" s="284" t="s">
        <v>583</v>
      </c>
      <c r="Q69" s="284" t="s">
        <v>583</v>
      </c>
      <c r="R69" s="284" t="s">
        <v>583</v>
      </c>
      <c r="S69" s="284" t="s">
        <v>583</v>
      </c>
      <c r="T69" s="284">
        <v>5579</v>
      </c>
      <c r="U69" s="284">
        <v>2549</v>
      </c>
      <c r="V69" s="284">
        <v>-10197</v>
      </c>
      <c r="W69" s="284">
        <v>294</v>
      </c>
      <c r="X69" s="284">
        <v>10226</v>
      </c>
      <c r="Y69" s="284">
        <v>18239</v>
      </c>
      <c r="Z69" s="284">
        <v>29979</v>
      </c>
      <c r="AA69" s="284">
        <v>48832</v>
      </c>
      <c r="AB69" s="284">
        <v>39271</v>
      </c>
      <c r="AC69" s="284">
        <v>36876</v>
      </c>
      <c r="AD69" s="284">
        <v>33380</v>
      </c>
      <c r="AE69" s="284">
        <v>39560</v>
      </c>
      <c r="AF69" s="284">
        <v>51451</v>
      </c>
      <c r="AG69" s="284">
        <v>46611</v>
      </c>
      <c r="AH69" s="284">
        <v>44698</v>
      </c>
      <c r="AI69" s="284">
        <v>46711</v>
      </c>
      <c r="AJ69" s="284">
        <v>35934</v>
      </c>
      <c r="AK69" s="284">
        <v>34059</v>
      </c>
    </row>
    <row r="70" spans="1:37">
      <c r="A70" s="284" t="s">
        <v>219</v>
      </c>
      <c r="B70" s="284" t="s">
        <v>1051</v>
      </c>
      <c r="C70" s="284">
        <v>1126</v>
      </c>
      <c r="D70" s="284">
        <v>3004</v>
      </c>
      <c r="E70" s="284">
        <v>6612</v>
      </c>
      <c r="F70" s="284">
        <v>4665</v>
      </c>
      <c r="G70" s="284">
        <v>4461</v>
      </c>
      <c r="H70" s="284">
        <v>5362</v>
      </c>
      <c r="I70" s="284">
        <v>8075</v>
      </c>
      <c r="J70" s="284">
        <v>567</v>
      </c>
      <c r="K70" s="284">
        <v>-4789</v>
      </c>
      <c r="L70" s="284">
        <v>-11082</v>
      </c>
      <c r="M70" s="284">
        <v>-5175</v>
      </c>
      <c r="N70" s="284">
        <v>1113</v>
      </c>
      <c r="O70" s="284">
        <v>14129</v>
      </c>
      <c r="P70" s="284">
        <v>23178</v>
      </c>
      <c r="Q70" s="284">
        <v>21945</v>
      </c>
      <c r="R70" s="284">
        <v>31566</v>
      </c>
      <c r="S70" s="284">
        <v>23444</v>
      </c>
      <c r="T70" s="284">
        <v>31966</v>
      </c>
      <c r="U70" s="284">
        <v>29746</v>
      </c>
      <c r="V70" s="284">
        <v>-16000</v>
      </c>
      <c r="W70" s="284">
        <v>12859</v>
      </c>
      <c r="X70" s="284">
        <v>46939</v>
      </c>
      <c r="Y70" s="284">
        <v>75676</v>
      </c>
      <c r="Z70" s="284">
        <v>98264</v>
      </c>
      <c r="AA70" s="284">
        <v>126331</v>
      </c>
      <c r="AB70" s="284">
        <v>96577</v>
      </c>
      <c r="AC70" s="284">
        <v>101128</v>
      </c>
      <c r="AD70" s="284">
        <v>74086</v>
      </c>
      <c r="AE70" s="284">
        <v>121421</v>
      </c>
      <c r="AF70" s="284">
        <v>141532</v>
      </c>
      <c r="AG70" s="284">
        <v>134087</v>
      </c>
      <c r="AH70" s="284">
        <v>141752</v>
      </c>
      <c r="AI70" s="284">
        <v>151845</v>
      </c>
      <c r="AJ70" s="284">
        <v>120318</v>
      </c>
      <c r="AK70" s="284">
        <v>126903</v>
      </c>
    </row>
    <row r="71" spans="1:37">
      <c r="A71" s="284" t="s">
        <v>218</v>
      </c>
      <c r="B71" s="284" t="s">
        <v>205</v>
      </c>
      <c r="C71" s="284" t="s">
        <v>583</v>
      </c>
      <c r="D71" s="284" t="s">
        <v>583</v>
      </c>
      <c r="E71" s="284" t="s">
        <v>583</v>
      </c>
      <c r="F71" s="284" t="s">
        <v>583</v>
      </c>
      <c r="G71" s="284" t="s">
        <v>583</v>
      </c>
      <c r="H71" s="284" t="s">
        <v>583</v>
      </c>
      <c r="I71" s="284" t="s">
        <v>583</v>
      </c>
      <c r="J71" s="284" t="s">
        <v>583</v>
      </c>
      <c r="K71" s="284" t="s">
        <v>583</v>
      </c>
      <c r="L71" s="284" t="s">
        <v>583</v>
      </c>
      <c r="M71" s="284" t="s">
        <v>583</v>
      </c>
      <c r="N71" s="284" t="s">
        <v>583</v>
      </c>
      <c r="O71" s="284" t="s">
        <v>583</v>
      </c>
      <c r="P71" s="284" t="s">
        <v>583</v>
      </c>
      <c r="Q71" s="284" t="s">
        <v>583</v>
      </c>
      <c r="R71" s="284" t="s">
        <v>583</v>
      </c>
      <c r="S71" s="284" t="s">
        <v>583</v>
      </c>
      <c r="T71" s="284">
        <v>21001</v>
      </c>
      <c r="U71" s="284">
        <v>15006</v>
      </c>
      <c r="V71" s="284">
        <v>-6743</v>
      </c>
      <c r="W71" s="284">
        <v>12521</v>
      </c>
      <c r="X71" s="284">
        <v>15589</v>
      </c>
      <c r="Y71" s="284">
        <v>26852</v>
      </c>
      <c r="Z71" s="284">
        <v>39464</v>
      </c>
      <c r="AA71" s="284">
        <v>46499</v>
      </c>
      <c r="AB71" s="284">
        <v>36243</v>
      </c>
      <c r="AC71" s="284">
        <v>27685</v>
      </c>
      <c r="AD71" s="284">
        <v>29449</v>
      </c>
      <c r="AE71" s="284">
        <v>54902</v>
      </c>
      <c r="AF71" s="284">
        <v>58838</v>
      </c>
      <c r="AG71" s="284">
        <v>58265</v>
      </c>
      <c r="AH71" s="284">
        <v>53448</v>
      </c>
      <c r="AI71" s="284">
        <v>57630</v>
      </c>
      <c r="AJ71" s="284">
        <v>46000</v>
      </c>
      <c r="AK71" s="284">
        <v>61904</v>
      </c>
    </row>
    <row r="72" spans="1:37">
      <c r="A72" s="284" t="s">
        <v>217</v>
      </c>
      <c r="B72" s="284" t="s">
        <v>250</v>
      </c>
      <c r="C72" s="284" t="s">
        <v>583</v>
      </c>
      <c r="D72" s="284" t="s">
        <v>583</v>
      </c>
      <c r="E72" s="284" t="s">
        <v>583</v>
      </c>
      <c r="F72" s="284" t="s">
        <v>583</v>
      </c>
      <c r="G72" s="284" t="s">
        <v>583</v>
      </c>
      <c r="H72" s="284" t="s">
        <v>583</v>
      </c>
      <c r="I72" s="284" t="s">
        <v>583</v>
      </c>
      <c r="J72" s="284" t="s">
        <v>583</v>
      </c>
      <c r="K72" s="284" t="s">
        <v>583</v>
      </c>
      <c r="L72" s="284" t="s">
        <v>583</v>
      </c>
      <c r="M72" s="284" t="s">
        <v>583</v>
      </c>
      <c r="N72" s="284" t="s">
        <v>583</v>
      </c>
      <c r="O72" s="284" t="s">
        <v>583</v>
      </c>
      <c r="P72" s="284" t="s">
        <v>583</v>
      </c>
      <c r="Q72" s="284" t="s">
        <v>583</v>
      </c>
      <c r="R72" s="284" t="s">
        <v>583</v>
      </c>
      <c r="S72" s="284" t="s">
        <v>583</v>
      </c>
      <c r="T72" s="284">
        <v>5044</v>
      </c>
      <c r="U72" s="284">
        <v>12249</v>
      </c>
      <c r="V72" s="284">
        <v>8394</v>
      </c>
      <c r="W72" s="284">
        <v>10759</v>
      </c>
      <c r="X72" s="284">
        <v>18609</v>
      </c>
      <c r="Y72" s="284">
        <v>25263</v>
      </c>
      <c r="Z72" s="284">
        <v>26694</v>
      </c>
      <c r="AA72" s="284">
        <v>24323</v>
      </c>
      <c r="AB72" s="284">
        <v>22885</v>
      </c>
      <c r="AC72" s="284">
        <v>21134</v>
      </c>
      <c r="AD72" s="284">
        <v>3213</v>
      </c>
      <c r="AE72" s="284">
        <v>12185</v>
      </c>
      <c r="AF72" s="284">
        <v>14565</v>
      </c>
      <c r="AG72" s="284">
        <v>13290</v>
      </c>
      <c r="AH72" s="284">
        <v>19413</v>
      </c>
      <c r="AI72" s="284">
        <v>19187</v>
      </c>
      <c r="AJ72" s="284">
        <v>16872</v>
      </c>
      <c r="AK72" s="284">
        <v>7058</v>
      </c>
    </row>
    <row r="73" spans="1:37">
      <c r="A73" s="284" t="s">
        <v>216</v>
      </c>
      <c r="B73" s="284" t="s">
        <v>251</v>
      </c>
      <c r="C73" s="284" t="s">
        <v>583</v>
      </c>
      <c r="D73" s="284" t="s">
        <v>583</v>
      </c>
      <c r="E73" s="284" t="s">
        <v>583</v>
      </c>
      <c r="F73" s="284" t="s">
        <v>583</v>
      </c>
      <c r="G73" s="284" t="s">
        <v>583</v>
      </c>
      <c r="H73" s="284" t="s">
        <v>583</v>
      </c>
      <c r="I73" s="284" t="s">
        <v>583</v>
      </c>
      <c r="J73" s="284" t="s">
        <v>583</v>
      </c>
      <c r="K73" s="284" t="s">
        <v>583</v>
      </c>
      <c r="L73" s="284" t="s">
        <v>583</v>
      </c>
      <c r="M73" s="284" t="s">
        <v>583</v>
      </c>
      <c r="N73" s="284" t="s">
        <v>583</v>
      </c>
      <c r="O73" s="284" t="s">
        <v>583</v>
      </c>
      <c r="P73" s="284" t="s">
        <v>583</v>
      </c>
      <c r="Q73" s="284" t="s">
        <v>583</v>
      </c>
      <c r="R73" s="284" t="s">
        <v>583</v>
      </c>
      <c r="S73" s="284" t="s">
        <v>583</v>
      </c>
      <c r="T73" s="284">
        <v>4901</v>
      </c>
      <c r="U73" s="284">
        <v>5557</v>
      </c>
      <c r="V73" s="284">
        <v>-1688</v>
      </c>
      <c r="W73" s="284">
        <v>-3870</v>
      </c>
      <c r="X73" s="284">
        <v>8362</v>
      </c>
      <c r="Y73" s="284">
        <v>10458</v>
      </c>
      <c r="Z73" s="284">
        <v>8213</v>
      </c>
      <c r="AA73" s="284">
        <v>14504</v>
      </c>
      <c r="AB73" s="284">
        <v>8539</v>
      </c>
      <c r="AC73" s="284">
        <v>27460</v>
      </c>
      <c r="AD73" s="284">
        <v>19452</v>
      </c>
      <c r="AE73" s="284">
        <v>27427</v>
      </c>
      <c r="AF73" s="284">
        <v>29469</v>
      </c>
      <c r="AG73" s="284">
        <v>28148</v>
      </c>
      <c r="AH73" s="284">
        <v>35302</v>
      </c>
      <c r="AI73" s="284">
        <v>37523</v>
      </c>
      <c r="AJ73" s="284">
        <v>31705</v>
      </c>
      <c r="AK73" s="284">
        <v>35932</v>
      </c>
    </row>
    <row r="74" spans="1:37">
      <c r="A74" s="284" t="s">
        <v>215</v>
      </c>
      <c r="B74" s="284" t="s">
        <v>67</v>
      </c>
      <c r="C74" s="284" t="s">
        <v>583</v>
      </c>
      <c r="D74" s="284" t="s">
        <v>583</v>
      </c>
      <c r="E74" s="284" t="s">
        <v>583</v>
      </c>
      <c r="F74" s="284" t="s">
        <v>583</v>
      </c>
      <c r="G74" s="284" t="s">
        <v>583</v>
      </c>
      <c r="H74" s="284" t="s">
        <v>583</v>
      </c>
      <c r="I74" s="284" t="s">
        <v>583</v>
      </c>
      <c r="J74" s="284" t="s">
        <v>583</v>
      </c>
      <c r="K74" s="284" t="s">
        <v>583</v>
      </c>
      <c r="L74" s="284" t="s">
        <v>583</v>
      </c>
      <c r="M74" s="284" t="s">
        <v>583</v>
      </c>
      <c r="N74" s="284" t="s">
        <v>583</v>
      </c>
      <c r="O74" s="284" t="s">
        <v>583</v>
      </c>
      <c r="P74" s="284" t="s">
        <v>583</v>
      </c>
      <c r="Q74" s="284" t="s">
        <v>583</v>
      </c>
      <c r="R74" s="284" t="s">
        <v>583</v>
      </c>
      <c r="S74" s="284" t="s">
        <v>583</v>
      </c>
      <c r="T74" s="284">
        <v>1019</v>
      </c>
      <c r="U74" s="284">
        <v>-3066</v>
      </c>
      <c r="V74" s="284">
        <v>-15962</v>
      </c>
      <c r="W74" s="284">
        <v>-6552</v>
      </c>
      <c r="X74" s="284">
        <v>4380</v>
      </c>
      <c r="Y74" s="284">
        <v>13103</v>
      </c>
      <c r="Z74" s="284">
        <v>23892</v>
      </c>
      <c r="AA74" s="284">
        <v>41005</v>
      </c>
      <c r="AB74" s="284">
        <v>28909</v>
      </c>
      <c r="AC74" s="284">
        <v>24849</v>
      </c>
      <c r="AD74" s="284">
        <v>21972</v>
      </c>
      <c r="AE74" s="284">
        <v>26906</v>
      </c>
      <c r="AF74" s="284">
        <v>38659</v>
      </c>
      <c r="AG74" s="284">
        <v>34385</v>
      </c>
      <c r="AH74" s="284">
        <v>33589</v>
      </c>
      <c r="AI74" s="284">
        <v>37505</v>
      </c>
      <c r="AJ74" s="284">
        <v>25741</v>
      </c>
      <c r="AK74" s="284">
        <v>22010</v>
      </c>
    </row>
    <row r="75" spans="1:37">
      <c r="A75" s="284" t="s">
        <v>214</v>
      </c>
      <c r="B75" s="284" t="s">
        <v>1050</v>
      </c>
      <c r="C75" s="284">
        <v>2165</v>
      </c>
      <c r="D75" s="284">
        <v>2261</v>
      </c>
      <c r="E75" s="284">
        <v>2930</v>
      </c>
      <c r="F75" s="284">
        <v>3029</v>
      </c>
      <c r="G75" s="284">
        <v>3119</v>
      </c>
      <c r="H75" s="284">
        <v>3424</v>
      </c>
      <c r="I75" s="284">
        <v>4912</v>
      </c>
      <c r="J75" s="284">
        <v>7214</v>
      </c>
      <c r="K75" s="284">
        <v>8168</v>
      </c>
      <c r="L75" s="284">
        <v>8446</v>
      </c>
      <c r="M75" s="284">
        <v>6763</v>
      </c>
      <c r="N75" s="284">
        <v>6130</v>
      </c>
      <c r="O75" s="284">
        <v>6995</v>
      </c>
      <c r="P75" s="284">
        <v>8136</v>
      </c>
      <c r="Q75" s="284">
        <v>9100</v>
      </c>
      <c r="R75" s="284">
        <v>9182</v>
      </c>
      <c r="S75" s="284">
        <v>10363</v>
      </c>
      <c r="T75" s="284">
        <v>15427</v>
      </c>
      <c r="U75" s="284">
        <v>19948</v>
      </c>
      <c r="V75" s="284">
        <v>21255</v>
      </c>
      <c r="W75" s="284">
        <v>20476</v>
      </c>
      <c r="X75" s="284">
        <v>16210</v>
      </c>
      <c r="Y75" s="284">
        <v>13974</v>
      </c>
      <c r="Z75" s="284">
        <v>15274</v>
      </c>
      <c r="AA75" s="284">
        <v>18424</v>
      </c>
      <c r="AB75" s="284">
        <v>24383</v>
      </c>
      <c r="AC75" s="284">
        <v>24593</v>
      </c>
      <c r="AD75" s="284">
        <v>23905</v>
      </c>
      <c r="AE75" s="284">
        <v>23667</v>
      </c>
      <c r="AF75" s="284">
        <v>24437</v>
      </c>
      <c r="AG75" s="284">
        <v>26241</v>
      </c>
      <c r="AH75" s="284">
        <v>26483</v>
      </c>
      <c r="AI75" s="284">
        <v>25449</v>
      </c>
      <c r="AJ75" s="284">
        <v>28017</v>
      </c>
      <c r="AK75" s="284">
        <v>32846</v>
      </c>
    </row>
    <row r="76" spans="1:37">
      <c r="A76" s="284" t="s">
        <v>213</v>
      </c>
      <c r="B76" s="284" t="s">
        <v>205</v>
      </c>
      <c r="C76" s="284" t="s">
        <v>583</v>
      </c>
      <c r="D76" s="284" t="s">
        <v>583</v>
      </c>
      <c r="E76" s="284" t="s">
        <v>583</v>
      </c>
      <c r="F76" s="284" t="s">
        <v>583</v>
      </c>
      <c r="G76" s="284" t="s">
        <v>583</v>
      </c>
      <c r="H76" s="284" t="s">
        <v>583</v>
      </c>
      <c r="I76" s="284" t="s">
        <v>583</v>
      </c>
      <c r="J76" s="284" t="s">
        <v>583</v>
      </c>
      <c r="K76" s="284" t="s">
        <v>583</v>
      </c>
      <c r="L76" s="284" t="s">
        <v>583</v>
      </c>
      <c r="M76" s="284" t="s">
        <v>583</v>
      </c>
      <c r="N76" s="284" t="s">
        <v>583</v>
      </c>
      <c r="O76" s="284" t="s">
        <v>583</v>
      </c>
      <c r="P76" s="284" t="s">
        <v>583</v>
      </c>
      <c r="Q76" s="284" t="s">
        <v>583</v>
      </c>
      <c r="R76" s="284" t="s">
        <v>583</v>
      </c>
      <c r="S76" s="284" t="s">
        <v>583</v>
      </c>
      <c r="T76" s="284">
        <v>8290</v>
      </c>
      <c r="U76" s="284">
        <v>10669</v>
      </c>
      <c r="V76" s="284">
        <v>11603</v>
      </c>
      <c r="W76" s="284">
        <v>11458</v>
      </c>
      <c r="X76" s="284">
        <v>8313</v>
      </c>
      <c r="Y76" s="284">
        <v>7784</v>
      </c>
      <c r="Z76" s="284">
        <v>7897</v>
      </c>
      <c r="AA76" s="284">
        <v>8754</v>
      </c>
      <c r="AB76" s="284">
        <v>10643</v>
      </c>
      <c r="AC76" s="284">
        <v>8637</v>
      </c>
      <c r="AD76" s="284">
        <v>8892</v>
      </c>
      <c r="AE76" s="284">
        <v>7979</v>
      </c>
      <c r="AF76" s="284">
        <v>8588</v>
      </c>
      <c r="AG76" s="284">
        <v>10441</v>
      </c>
      <c r="AH76" s="284">
        <v>11484</v>
      </c>
      <c r="AI76" s="284">
        <v>13004</v>
      </c>
      <c r="AJ76" s="284">
        <v>13998</v>
      </c>
      <c r="AK76" s="284">
        <v>16810</v>
      </c>
    </row>
    <row r="77" spans="1:37">
      <c r="A77" s="284" t="s">
        <v>212</v>
      </c>
      <c r="B77" s="284" t="s">
        <v>250</v>
      </c>
      <c r="C77" s="284" t="s">
        <v>583</v>
      </c>
      <c r="D77" s="284" t="s">
        <v>583</v>
      </c>
      <c r="E77" s="284" t="s">
        <v>583</v>
      </c>
      <c r="F77" s="284" t="s">
        <v>583</v>
      </c>
      <c r="G77" s="284" t="s">
        <v>583</v>
      </c>
      <c r="H77" s="284" t="s">
        <v>583</v>
      </c>
      <c r="I77" s="284" t="s">
        <v>583</v>
      </c>
      <c r="J77" s="284" t="s">
        <v>583</v>
      </c>
      <c r="K77" s="284" t="s">
        <v>583</v>
      </c>
      <c r="L77" s="284" t="s">
        <v>583</v>
      </c>
      <c r="M77" s="284" t="s">
        <v>583</v>
      </c>
      <c r="N77" s="284" t="s">
        <v>583</v>
      </c>
      <c r="O77" s="284" t="s">
        <v>583</v>
      </c>
      <c r="P77" s="284" t="s">
        <v>583</v>
      </c>
      <c r="Q77" s="284" t="s">
        <v>583</v>
      </c>
      <c r="R77" s="284" t="s">
        <v>583</v>
      </c>
      <c r="S77" s="284" t="s">
        <v>583</v>
      </c>
      <c r="T77" s="284">
        <v>1122</v>
      </c>
      <c r="U77" s="284">
        <v>1529</v>
      </c>
      <c r="V77" s="284">
        <v>1327</v>
      </c>
      <c r="W77" s="284">
        <v>669</v>
      </c>
      <c r="X77" s="284">
        <v>868</v>
      </c>
      <c r="Y77" s="284">
        <v>375</v>
      </c>
      <c r="Z77" s="284">
        <v>617</v>
      </c>
      <c r="AA77" s="284">
        <v>972</v>
      </c>
      <c r="AB77" s="284">
        <v>1357</v>
      </c>
      <c r="AC77" s="284">
        <v>1600</v>
      </c>
      <c r="AD77" s="284">
        <v>1172</v>
      </c>
      <c r="AE77" s="284">
        <v>1284</v>
      </c>
      <c r="AF77" s="284">
        <v>1370</v>
      </c>
      <c r="AG77" s="284">
        <v>1675</v>
      </c>
      <c r="AH77" s="284">
        <v>2007</v>
      </c>
      <c r="AI77" s="284">
        <v>1582</v>
      </c>
      <c r="AJ77" s="284">
        <v>2365</v>
      </c>
      <c r="AK77" s="284">
        <v>2183</v>
      </c>
    </row>
    <row r="78" spans="1:37">
      <c r="A78" s="284" t="s">
        <v>211</v>
      </c>
      <c r="B78" s="284" t="s">
        <v>251</v>
      </c>
      <c r="C78" s="284" t="s">
        <v>583</v>
      </c>
      <c r="D78" s="284" t="s">
        <v>583</v>
      </c>
      <c r="E78" s="284" t="s">
        <v>583</v>
      </c>
      <c r="F78" s="284" t="s">
        <v>583</v>
      </c>
      <c r="G78" s="284" t="s">
        <v>583</v>
      </c>
      <c r="H78" s="284" t="s">
        <v>583</v>
      </c>
      <c r="I78" s="284" t="s">
        <v>583</v>
      </c>
      <c r="J78" s="284" t="s">
        <v>583</v>
      </c>
      <c r="K78" s="284" t="s">
        <v>583</v>
      </c>
      <c r="L78" s="284" t="s">
        <v>583</v>
      </c>
      <c r="M78" s="284" t="s">
        <v>583</v>
      </c>
      <c r="N78" s="284" t="s">
        <v>583</v>
      </c>
      <c r="O78" s="284" t="s">
        <v>583</v>
      </c>
      <c r="P78" s="284" t="s">
        <v>583</v>
      </c>
      <c r="Q78" s="284" t="s">
        <v>583</v>
      </c>
      <c r="R78" s="284" t="s">
        <v>583</v>
      </c>
      <c r="S78" s="284" t="s">
        <v>583</v>
      </c>
      <c r="T78" s="284">
        <v>1457</v>
      </c>
      <c r="U78" s="284">
        <v>2133</v>
      </c>
      <c r="V78" s="284">
        <v>2561</v>
      </c>
      <c r="W78" s="284">
        <v>1504</v>
      </c>
      <c r="X78" s="284">
        <v>1184</v>
      </c>
      <c r="Y78" s="284">
        <v>678</v>
      </c>
      <c r="Z78" s="284">
        <v>673</v>
      </c>
      <c r="AA78" s="284">
        <v>870</v>
      </c>
      <c r="AB78" s="284">
        <v>2021</v>
      </c>
      <c r="AC78" s="284">
        <v>2329</v>
      </c>
      <c r="AD78" s="284">
        <v>2432</v>
      </c>
      <c r="AE78" s="284">
        <v>1749</v>
      </c>
      <c r="AF78" s="284">
        <v>1687</v>
      </c>
      <c r="AG78" s="284">
        <v>1899</v>
      </c>
      <c r="AH78" s="284">
        <v>1883</v>
      </c>
      <c r="AI78" s="284">
        <v>1658</v>
      </c>
      <c r="AJ78" s="284">
        <v>1461</v>
      </c>
      <c r="AK78" s="284">
        <v>1803</v>
      </c>
    </row>
    <row r="79" spans="1:37">
      <c r="A79" s="284" t="s">
        <v>210</v>
      </c>
      <c r="B79" s="284" t="s">
        <v>67</v>
      </c>
      <c r="C79" s="284" t="s">
        <v>583</v>
      </c>
      <c r="D79" s="284" t="s">
        <v>583</v>
      </c>
      <c r="E79" s="284" t="s">
        <v>583</v>
      </c>
      <c r="F79" s="284" t="s">
        <v>583</v>
      </c>
      <c r="G79" s="284" t="s">
        <v>583</v>
      </c>
      <c r="H79" s="284" t="s">
        <v>583</v>
      </c>
      <c r="I79" s="284" t="s">
        <v>583</v>
      </c>
      <c r="J79" s="284" t="s">
        <v>583</v>
      </c>
      <c r="K79" s="284" t="s">
        <v>583</v>
      </c>
      <c r="L79" s="284" t="s">
        <v>583</v>
      </c>
      <c r="M79" s="284" t="s">
        <v>583</v>
      </c>
      <c r="N79" s="284" t="s">
        <v>583</v>
      </c>
      <c r="O79" s="284" t="s">
        <v>583</v>
      </c>
      <c r="P79" s="284" t="s">
        <v>583</v>
      </c>
      <c r="Q79" s="284" t="s">
        <v>583</v>
      </c>
      <c r="R79" s="284" t="s">
        <v>583</v>
      </c>
      <c r="S79" s="284" t="s">
        <v>583</v>
      </c>
      <c r="T79" s="284">
        <v>4560</v>
      </c>
      <c r="U79" s="284">
        <v>5615</v>
      </c>
      <c r="V79" s="284">
        <v>5765</v>
      </c>
      <c r="W79" s="284">
        <v>6846</v>
      </c>
      <c r="X79" s="284">
        <v>5847</v>
      </c>
      <c r="Y79" s="284">
        <v>5136</v>
      </c>
      <c r="Z79" s="284">
        <v>6087</v>
      </c>
      <c r="AA79" s="284">
        <v>7827</v>
      </c>
      <c r="AB79" s="284">
        <v>10362</v>
      </c>
      <c r="AC79" s="284">
        <v>12027</v>
      </c>
      <c r="AD79" s="284">
        <v>11409</v>
      </c>
      <c r="AE79" s="284">
        <v>12655</v>
      </c>
      <c r="AF79" s="284">
        <v>12792</v>
      </c>
      <c r="AG79" s="284">
        <v>12226</v>
      </c>
      <c r="AH79" s="284">
        <v>11109</v>
      </c>
      <c r="AI79" s="284">
        <v>9205</v>
      </c>
      <c r="AJ79" s="284">
        <v>10192</v>
      </c>
      <c r="AK79" s="284">
        <v>12049</v>
      </c>
    </row>
    <row r="80" spans="1:37" ht="13">
      <c r="A80" s="1944" t="s">
        <v>7</v>
      </c>
      <c r="B80" s="1976"/>
      <c r="C80" s="1976"/>
      <c r="D80" s="1976"/>
      <c r="E80" s="1976"/>
      <c r="F80" s="1976"/>
      <c r="G80" s="1976"/>
      <c r="H80" s="1976"/>
      <c r="I80" s="1976"/>
      <c r="J80" s="1976"/>
      <c r="K80" s="1976"/>
      <c r="L80" s="1976"/>
      <c r="M80" s="1976"/>
      <c r="N80" s="1976"/>
      <c r="O80" s="1976"/>
      <c r="P80" s="1976"/>
      <c r="Q80" s="1976"/>
      <c r="R80" s="1976"/>
      <c r="S80" s="1976"/>
      <c r="T80" s="1976"/>
      <c r="U80" s="1976"/>
      <c r="V80" s="1976"/>
      <c r="W80" s="1976"/>
      <c r="X80" s="1976"/>
      <c r="Y80" s="1976"/>
      <c r="Z80" s="1976"/>
      <c r="AA80" s="1976"/>
      <c r="AB80" s="1976"/>
      <c r="AC80" s="1976"/>
      <c r="AD80" s="1976"/>
      <c r="AE80" s="1976"/>
      <c r="AF80" s="1976"/>
      <c r="AG80" s="1976"/>
      <c r="AH80" s="1976"/>
      <c r="AI80" s="1976"/>
      <c r="AJ80" s="1976"/>
      <c r="AK80" s="1976"/>
    </row>
    <row r="81" spans="1:37">
      <c r="A81" s="1943" t="s">
        <v>983</v>
      </c>
      <c r="B81" s="1976"/>
      <c r="C81" s="1976"/>
      <c r="D81" s="1976"/>
      <c r="E81" s="1976"/>
      <c r="F81" s="1976"/>
      <c r="G81" s="1976"/>
      <c r="H81" s="1976"/>
      <c r="I81" s="1976"/>
      <c r="J81" s="1976"/>
      <c r="K81" s="1976"/>
      <c r="L81" s="1976"/>
      <c r="M81" s="1976"/>
      <c r="N81" s="1976"/>
      <c r="O81" s="1976"/>
      <c r="P81" s="1976"/>
      <c r="Q81" s="1976"/>
      <c r="R81" s="1976"/>
      <c r="S81" s="1976"/>
      <c r="T81" s="1976"/>
      <c r="U81" s="1976"/>
      <c r="V81" s="1976"/>
      <c r="W81" s="1976"/>
      <c r="X81" s="1976"/>
      <c r="Y81" s="1976"/>
      <c r="Z81" s="1976"/>
      <c r="AA81" s="1976"/>
      <c r="AB81" s="1976"/>
      <c r="AC81" s="1976"/>
      <c r="AD81" s="1976"/>
      <c r="AE81" s="1976"/>
      <c r="AF81" s="1976"/>
      <c r="AG81" s="1976"/>
      <c r="AH81" s="1976"/>
      <c r="AI81" s="1976"/>
      <c r="AJ81" s="1976"/>
      <c r="AK81" s="1976"/>
    </row>
    <row r="82" spans="1:37">
      <c r="A82" s="1943" t="s">
        <v>982</v>
      </c>
      <c r="B82" s="1976"/>
      <c r="C82" s="1976"/>
      <c r="D82" s="1976"/>
      <c r="E82" s="1976"/>
      <c r="F82" s="1976"/>
      <c r="G82" s="1976"/>
      <c r="H82" s="1976"/>
      <c r="I82" s="1976"/>
      <c r="J82" s="1976"/>
      <c r="K82" s="1976"/>
      <c r="L82" s="1976"/>
      <c r="M82" s="1976"/>
      <c r="N82" s="1976"/>
      <c r="O82" s="1976"/>
      <c r="P82" s="1976"/>
      <c r="Q82" s="1976"/>
      <c r="R82" s="1976"/>
      <c r="S82" s="1976"/>
      <c r="T82" s="1976"/>
      <c r="U82" s="1976"/>
      <c r="V82" s="1976"/>
      <c r="W82" s="1976"/>
      <c r="X82" s="1976"/>
      <c r="Y82" s="1976"/>
      <c r="Z82" s="1976"/>
      <c r="AA82" s="1976"/>
      <c r="AB82" s="1976"/>
      <c r="AC82" s="1976"/>
      <c r="AD82" s="1976"/>
      <c r="AE82" s="1976"/>
      <c r="AF82" s="1976"/>
      <c r="AG82" s="1976"/>
      <c r="AH82" s="1976"/>
      <c r="AI82" s="1976"/>
      <c r="AJ82" s="1976"/>
      <c r="AK82" s="1976"/>
    </row>
    <row r="83" spans="1:37">
      <c r="A83" s="1943" t="s">
        <v>200</v>
      </c>
      <c r="B83" s="1976"/>
      <c r="C83" s="1976"/>
      <c r="D83" s="1976"/>
      <c r="E83" s="1976"/>
      <c r="F83" s="1976"/>
      <c r="G83" s="1976"/>
      <c r="H83" s="1976"/>
      <c r="I83" s="1976"/>
      <c r="J83" s="1976"/>
      <c r="K83" s="1976"/>
      <c r="L83" s="1976"/>
      <c r="M83" s="1976"/>
      <c r="N83" s="1976"/>
      <c r="O83" s="1976"/>
      <c r="P83" s="1976"/>
      <c r="Q83" s="1976"/>
      <c r="R83" s="1976"/>
      <c r="S83" s="1976"/>
      <c r="T83" s="1976"/>
      <c r="U83" s="1976"/>
      <c r="V83" s="1976"/>
      <c r="W83" s="1976"/>
      <c r="X83" s="1976"/>
      <c r="Y83" s="1976"/>
      <c r="Z83" s="1976"/>
      <c r="AA83" s="1976"/>
      <c r="AB83" s="1976"/>
      <c r="AC83" s="1976"/>
      <c r="AD83" s="1976"/>
      <c r="AE83" s="1976"/>
      <c r="AF83" s="1976"/>
      <c r="AG83" s="1976"/>
      <c r="AH83" s="1976"/>
      <c r="AI83" s="1976"/>
      <c r="AJ83" s="1976"/>
      <c r="AK83" s="1976"/>
    </row>
    <row r="84" spans="1:37">
      <c r="A84" s="1943" t="s">
        <v>199</v>
      </c>
      <c r="B84" s="1976"/>
      <c r="C84" s="1976"/>
      <c r="D84" s="1976"/>
      <c r="E84" s="1976"/>
      <c r="F84" s="1976"/>
      <c r="G84" s="1976"/>
      <c r="H84" s="1976"/>
      <c r="I84" s="1976"/>
      <c r="J84" s="1976"/>
      <c r="K84" s="1976"/>
      <c r="L84" s="1976"/>
      <c r="M84" s="1976"/>
      <c r="N84" s="1976"/>
      <c r="O84" s="1976"/>
      <c r="P84" s="1976"/>
      <c r="Q84" s="1976"/>
      <c r="R84" s="1976"/>
      <c r="S84" s="1976"/>
      <c r="T84" s="1976"/>
      <c r="U84" s="1976"/>
      <c r="V84" s="1976"/>
      <c r="W84" s="1976"/>
      <c r="X84" s="1976"/>
      <c r="Y84" s="1976"/>
      <c r="Z84" s="1976"/>
      <c r="AA84" s="1976"/>
      <c r="AB84" s="1976"/>
      <c r="AC84" s="1976"/>
      <c r="AD84" s="1976"/>
      <c r="AE84" s="1976"/>
      <c r="AF84" s="1976"/>
      <c r="AG84" s="1976"/>
      <c r="AH84" s="1976"/>
      <c r="AI84" s="1976"/>
      <c r="AJ84" s="1976"/>
      <c r="AK84" s="1976"/>
    </row>
    <row r="85" spans="1:37">
      <c r="A85" s="1943" t="s">
        <v>981</v>
      </c>
      <c r="B85" s="1976"/>
      <c r="C85" s="1976"/>
      <c r="D85" s="1976"/>
      <c r="E85" s="1976"/>
      <c r="F85" s="1976"/>
      <c r="G85" s="1976"/>
      <c r="H85" s="1976"/>
      <c r="I85" s="1976"/>
      <c r="J85" s="1976"/>
      <c r="K85" s="1976"/>
      <c r="L85" s="1976"/>
      <c r="M85" s="1976"/>
      <c r="N85" s="1976"/>
      <c r="O85" s="1976"/>
      <c r="P85" s="1976"/>
      <c r="Q85" s="1976"/>
      <c r="R85" s="1976"/>
      <c r="S85" s="1976"/>
      <c r="T85" s="1976"/>
      <c r="U85" s="1976"/>
      <c r="V85" s="1976"/>
      <c r="W85" s="1976"/>
      <c r="X85" s="1976"/>
      <c r="Y85" s="1976"/>
      <c r="Z85" s="1976"/>
      <c r="AA85" s="1976"/>
      <c r="AB85" s="1976"/>
      <c r="AC85" s="1976"/>
      <c r="AD85" s="1976"/>
      <c r="AE85" s="1976"/>
      <c r="AF85" s="1976"/>
      <c r="AG85" s="1976"/>
      <c r="AH85" s="1976"/>
      <c r="AI85" s="1976"/>
      <c r="AJ85" s="1976"/>
      <c r="AK85" s="1976"/>
    </row>
    <row r="86" spans="1:37">
      <c r="A86" s="1943" t="s">
        <v>980</v>
      </c>
      <c r="B86" s="1976"/>
      <c r="C86" s="1976"/>
      <c r="D86" s="1976"/>
      <c r="E86" s="1976"/>
      <c r="F86" s="1976"/>
      <c r="G86" s="1976"/>
      <c r="H86" s="1976"/>
      <c r="I86" s="1976"/>
      <c r="J86" s="1976"/>
      <c r="K86" s="1976"/>
      <c r="L86" s="1976"/>
      <c r="M86" s="1976"/>
      <c r="N86" s="1976"/>
      <c r="O86" s="1976"/>
      <c r="P86" s="1976"/>
      <c r="Q86" s="1976"/>
      <c r="R86" s="1976"/>
      <c r="S86" s="1976"/>
      <c r="T86" s="1976"/>
      <c r="U86" s="1976"/>
      <c r="V86" s="1976"/>
      <c r="W86" s="1976"/>
      <c r="X86" s="1976"/>
      <c r="Y86" s="1976"/>
      <c r="Z86" s="1976"/>
      <c r="AA86" s="1976"/>
      <c r="AB86" s="1976"/>
      <c r="AC86" s="1976"/>
      <c r="AD86" s="1976"/>
      <c r="AE86" s="1976"/>
      <c r="AF86" s="1976"/>
      <c r="AG86" s="1976"/>
      <c r="AH86" s="1976"/>
      <c r="AI86" s="1976"/>
      <c r="AJ86" s="1976"/>
      <c r="AK86" s="1976"/>
    </row>
    <row r="87" spans="1:37">
      <c r="A87" s="1943" t="s">
        <v>1049</v>
      </c>
      <c r="B87" s="1976"/>
      <c r="C87" s="1976"/>
      <c r="D87" s="1976"/>
      <c r="E87" s="1976"/>
      <c r="F87" s="1976"/>
      <c r="G87" s="1976"/>
      <c r="H87" s="1976"/>
      <c r="I87" s="1976"/>
      <c r="J87" s="1976"/>
      <c r="K87" s="1976"/>
      <c r="L87" s="1976"/>
      <c r="M87" s="1976"/>
      <c r="N87" s="1976"/>
      <c r="O87" s="1976"/>
      <c r="P87" s="1976"/>
      <c r="Q87" s="1976"/>
      <c r="R87" s="1976"/>
      <c r="S87" s="1976"/>
      <c r="T87" s="1976"/>
      <c r="U87" s="1976"/>
      <c r="V87" s="1976"/>
      <c r="W87" s="1976"/>
      <c r="X87" s="1976"/>
      <c r="Y87" s="1976"/>
      <c r="Z87" s="1976"/>
      <c r="AA87" s="1976"/>
      <c r="AB87" s="1976"/>
      <c r="AC87" s="1976"/>
      <c r="AD87" s="1976"/>
      <c r="AE87" s="1976"/>
      <c r="AF87" s="1976"/>
      <c r="AG87" s="1976"/>
      <c r="AH87" s="1976"/>
      <c r="AI87" s="1976"/>
      <c r="AJ87" s="1976"/>
      <c r="AK87" s="1976"/>
    </row>
    <row r="88" spans="1:37">
      <c r="A88" s="1943" t="s">
        <v>1048</v>
      </c>
      <c r="B88" s="1976"/>
      <c r="C88" s="1976"/>
      <c r="D88" s="1976"/>
      <c r="E88" s="1976"/>
      <c r="F88" s="1976"/>
      <c r="G88" s="1976"/>
      <c r="H88" s="1976"/>
      <c r="I88" s="1976"/>
      <c r="J88" s="1976"/>
      <c r="K88" s="1976"/>
      <c r="L88" s="1976"/>
      <c r="M88" s="1976"/>
      <c r="N88" s="1976"/>
      <c r="O88" s="1976"/>
      <c r="P88" s="1976"/>
      <c r="Q88" s="1976"/>
      <c r="R88" s="1976"/>
      <c r="S88" s="1976"/>
      <c r="T88" s="1976"/>
      <c r="U88" s="1976"/>
      <c r="V88" s="1976"/>
      <c r="W88" s="1976"/>
      <c r="X88" s="1976"/>
      <c r="Y88" s="1976"/>
      <c r="Z88" s="1976"/>
      <c r="AA88" s="1976"/>
      <c r="AB88" s="1976"/>
      <c r="AC88" s="1976"/>
      <c r="AD88" s="1976"/>
      <c r="AE88" s="1976"/>
      <c r="AF88" s="1976"/>
      <c r="AG88" s="1976"/>
      <c r="AH88" s="1976"/>
      <c r="AI88" s="1976"/>
      <c r="AJ88" s="1976"/>
      <c r="AK88" s="1976"/>
    </row>
  </sheetData>
  <mergeCells count="50">
    <mergeCell ref="AJ6"/>
    <mergeCell ref="A85:AK85"/>
    <mergeCell ref="A86:AK86"/>
    <mergeCell ref="A87:AK87"/>
    <mergeCell ref="A88:AK88"/>
    <mergeCell ref="AK6"/>
    <mergeCell ref="A80:AK80"/>
    <mergeCell ref="A81:AK81"/>
    <mergeCell ref="A82:AK82"/>
    <mergeCell ref="A83:AK83"/>
    <mergeCell ref="A84:AK84"/>
    <mergeCell ref="AE6"/>
    <mergeCell ref="AF6"/>
    <mergeCell ref="AG6"/>
    <mergeCell ref="AH6"/>
    <mergeCell ref="AI6"/>
    <mergeCell ref="O6"/>
    <mergeCell ref="P6"/>
    <mergeCell ref="R6"/>
    <mergeCell ref="Q6"/>
    <mergeCell ref="AD6"/>
    <mergeCell ref="S6"/>
    <mergeCell ref="T6"/>
    <mergeCell ref="U6"/>
    <mergeCell ref="V6"/>
    <mergeCell ref="W6"/>
    <mergeCell ref="X6"/>
    <mergeCell ref="Y6"/>
    <mergeCell ref="Z6"/>
    <mergeCell ref="A1:AK1"/>
    <mergeCell ref="A2:AK2"/>
    <mergeCell ref="A3:AK3"/>
    <mergeCell ref="A4:AK4"/>
    <mergeCell ref="A6"/>
    <mergeCell ref="B6"/>
    <mergeCell ref="C6"/>
    <mergeCell ref="D6"/>
    <mergeCell ref="E6"/>
    <mergeCell ref="F6"/>
    <mergeCell ref="AA6"/>
    <mergeCell ref="AB6"/>
    <mergeCell ref="AC6"/>
    <mergeCell ref="L6"/>
    <mergeCell ref="M6"/>
    <mergeCell ref="N6"/>
    <mergeCell ref="G6"/>
    <mergeCell ref="H6"/>
    <mergeCell ref="I6"/>
    <mergeCell ref="J6"/>
    <mergeCell ref="K6"/>
  </mergeCell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9"/>
  <sheetViews>
    <sheetView workbookViewId="0">
      <pane xSplit="2" ySplit="6" topLeftCell="C7"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7.5703125" style="392"/>
    <col min="2" max="2" width="58.140625" style="392" customWidth="1"/>
    <col min="3" max="16384" width="7.5703125" style="392"/>
  </cols>
  <sheetData>
    <row r="1" spans="1:43" ht="17">
      <c r="A1" s="1978" t="s">
        <v>1255</v>
      </c>
      <c r="B1" s="1976"/>
      <c r="C1" s="1976"/>
      <c r="D1" s="1976"/>
      <c r="E1" s="1976"/>
      <c r="F1" s="1976"/>
      <c r="G1" s="1976"/>
      <c r="H1" s="1976"/>
      <c r="I1" s="1976"/>
      <c r="J1" s="1976"/>
      <c r="K1" s="1976"/>
      <c r="L1" s="1976"/>
      <c r="M1" s="1976"/>
      <c r="N1" s="1976"/>
      <c r="O1" s="1976"/>
      <c r="P1" s="1976"/>
      <c r="Q1" s="1976"/>
      <c r="R1" s="1976"/>
      <c r="S1" s="1976"/>
      <c r="T1" s="1976"/>
      <c r="U1" s="1976"/>
      <c r="V1" s="1976"/>
      <c r="W1" s="1976"/>
      <c r="X1" s="1976"/>
      <c r="Y1" s="1976"/>
      <c r="Z1" s="1976"/>
      <c r="AA1" s="1976"/>
      <c r="AB1" s="1976"/>
      <c r="AC1" s="1976"/>
      <c r="AD1" s="1976"/>
      <c r="AE1" s="1976"/>
      <c r="AF1" s="1976"/>
      <c r="AG1" s="1976"/>
      <c r="AH1" s="1976"/>
      <c r="AI1" s="1976"/>
      <c r="AJ1" s="1976"/>
      <c r="AK1" s="1976"/>
      <c r="AL1" s="1976"/>
      <c r="AM1" s="1976"/>
      <c r="AN1" s="1976"/>
      <c r="AO1" s="1976"/>
      <c r="AP1" s="1976"/>
      <c r="AQ1" s="1976"/>
    </row>
    <row r="2" spans="1:43" ht="16">
      <c r="A2" s="1979" t="s">
        <v>1110</v>
      </c>
      <c r="B2" s="1976"/>
      <c r="C2" s="1976"/>
      <c r="D2" s="1976"/>
      <c r="E2" s="1976"/>
      <c r="F2" s="1976"/>
      <c r="G2" s="1976"/>
      <c r="H2" s="1976"/>
      <c r="I2" s="1976"/>
      <c r="J2" s="1976"/>
      <c r="K2" s="1976"/>
      <c r="L2" s="1976"/>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76"/>
      <c r="AO2" s="1976"/>
      <c r="AP2" s="1976"/>
      <c r="AQ2" s="1976"/>
    </row>
    <row r="3" spans="1:43">
      <c r="A3" s="1976" t="s">
        <v>160</v>
      </c>
      <c r="B3" s="1976"/>
      <c r="C3" s="1976"/>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76"/>
      <c r="AO3" s="1976"/>
      <c r="AP3" s="1976"/>
      <c r="AQ3" s="1976"/>
    </row>
    <row r="4" spans="1:43">
      <c r="A4" s="1976" t="s">
        <v>1109</v>
      </c>
      <c r="B4" s="1976"/>
      <c r="C4" s="1976"/>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c r="AL4" s="1976"/>
      <c r="AM4" s="1976"/>
      <c r="AN4" s="1976"/>
      <c r="AO4" s="1976"/>
      <c r="AP4" s="1976"/>
      <c r="AQ4" s="1976"/>
    </row>
    <row r="6" spans="1:43">
      <c r="A6" s="1977" t="s">
        <v>159</v>
      </c>
      <c r="B6" s="1977" t="s">
        <v>1108</v>
      </c>
      <c r="C6" s="1977" t="s">
        <v>111</v>
      </c>
      <c r="D6" s="1977" t="s">
        <v>1254</v>
      </c>
      <c r="E6" s="1977" t="s">
        <v>109</v>
      </c>
      <c r="F6" s="1977" t="s">
        <v>1253</v>
      </c>
      <c r="G6" s="1977" t="s">
        <v>107</v>
      </c>
      <c r="H6" s="1977" t="s">
        <v>1252</v>
      </c>
      <c r="I6" s="1977" t="s">
        <v>105</v>
      </c>
      <c r="J6" s="1977" t="s">
        <v>1078</v>
      </c>
      <c r="K6" s="1977" t="s">
        <v>103</v>
      </c>
      <c r="L6" s="1977" t="s">
        <v>1077</v>
      </c>
      <c r="M6" s="1977" t="s">
        <v>101</v>
      </c>
      <c r="N6" s="1977" t="s">
        <v>1076</v>
      </c>
      <c r="O6" s="1977" t="s">
        <v>99</v>
      </c>
      <c r="P6" s="1977" t="s">
        <v>1075</v>
      </c>
      <c r="Q6" s="1977" t="s">
        <v>97</v>
      </c>
      <c r="R6" s="1977" t="s">
        <v>1074</v>
      </c>
      <c r="S6" s="1977" t="s">
        <v>95</v>
      </c>
      <c r="T6" s="1977" t="s">
        <v>1073</v>
      </c>
      <c r="U6" s="1977" t="s">
        <v>93</v>
      </c>
      <c r="V6" s="1977" t="s">
        <v>1072</v>
      </c>
      <c r="W6" s="1977" t="s">
        <v>91</v>
      </c>
      <c r="X6" s="1977" t="s">
        <v>1071</v>
      </c>
      <c r="Y6" s="1977" t="s">
        <v>89</v>
      </c>
      <c r="Z6" s="1977" t="s">
        <v>261</v>
      </c>
      <c r="AA6" s="1977" t="s">
        <v>87</v>
      </c>
      <c r="AB6" s="1977" t="s">
        <v>260</v>
      </c>
      <c r="AC6" s="1977" t="s">
        <v>85</v>
      </c>
      <c r="AD6" s="1977" t="s">
        <v>259</v>
      </c>
      <c r="AE6" s="1977" t="s">
        <v>83</v>
      </c>
      <c r="AF6" s="1977" t="s">
        <v>258</v>
      </c>
      <c r="AG6" s="1977" t="s">
        <v>81</v>
      </c>
      <c r="AH6" s="1977" t="s">
        <v>257</v>
      </c>
      <c r="AI6" s="1977" t="s">
        <v>79</v>
      </c>
      <c r="AJ6" s="1977" t="s">
        <v>256</v>
      </c>
      <c r="AK6" s="1977" t="s">
        <v>77</v>
      </c>
      <c r="AL6" s="1977" t="s">
        <v>255</v>
      </c>
      <c r="AM6" s="1977" t="s">
        <v>75</v>
      </c>
      <c r="AN6" s="1977" t="s">
        <v>794</v>
      </c>
      <c r="AO6" s="1977" t="s">
        <v>866</v>
      </c>
      <c r="AP6" s="1977" t="s">
        <v>1070</v>
      </c>
      <c r="AQ6" s="1977" t="s">
        <v>864</v>
      </c>
    </row>
    <row r="7" spans="1:43">
      <c r="A7" s="399" t="s">
        <v>73</v>
      </c>
      <c r="B7" s="399" t="s">
        <v>1251</v>
      </c>
      <c r="C7" s="399">
        <v>80539</v>
      </c>
      <c r="D7" s="399">
        <v>98585</v>
      </c>
      <c r="E7" s="399">
        <v>128273</v>
      </c>
      <c r="F7" s="399">
        <v>232250</v>
      </c>
      <c r="G7" s="399">
        <v>296862</v>
      </c>
      <c r="H7" s="399">
        <v>226992</v>
      </c>
      <c r="I7" s="399">
        <v>238366</v>
      </c>
      <c r="J7" s="399">
        <v>261494</v>
      </c>
      <c r="K7" s="399">
        <v>140140</v>
      </c>
      <c r="L7" s="399">
        <v>104281</v>
      </c>
      <c r="M7" s="399">
        <v>109232</v>
      </c>
      <c r="N7" s="399">
        <v>59616</v>
      </c>
      <c r="O7" s="399">
        <v>21479</v>
      </c>
      <c r="P7" s="399">
        <v>-33713</v>
      </c>
      <c r="Q7" s="399">
        <v>-149523</v>
      </c>
      <c r="R7" s="399">
        <v>-243314</v>
      </c>
      <c r="S7" s="399">
        <v>-432129</v>
      </c>
      <c r="T7" s="399">
        <v>-121772</v>
      </c>
      <c r="U7" s="399">
        <v>-110311</v>
      </c>
      <c r="V7" s="399">
        <v>-277567</v>
      </c>
      <c r="W7" s="399">
        <v>-328306</v>
      </c>
      <c r="X7" s="399">
        <v>-788225</v>
      </c>
      <c r="Y7" s="399">
        <v>-1033775</v>
      </c>
      <c r="Z7" s="399">
        <v>-1002268</v>
      </c>
      <c r="AA7" s="399">
        <v>-1536826</v>
      </c>
      <c r="AB7" s="399">
        <v>-2295050</v>
      </c>
      <c r="AC7" s="399">
        <v>-2410951</v>
      </c>
      <c r="AD7" s="399">
        <v>-2293013</v>
      </c>
      <c r="AE7" s="399">
        <v>-2363392</v>
      </c>
      <c r="AF7" s="399">
        <v>-1857865</v>
      </c>
      <c r="AG7" s="399">
        <v>-1808474</v>
      </c>
      <c r="AH7" s="399">
        <v>-1279493</v>
      </c>
      <c r="AI7" s="399">
        <v>-3995303</v>
      </c>
      <c r="AJ7" s="399">
        <v>-2627626</v>
      </c>
      <c r="AK7" s="399">
        <v>-2511788</v>
      </c>
      <c r="AL7" s="399">
        <v>-4454997</v>
      </c>
      <c r="AM7" s="399">
        <v>-4518300</v>
      </c>
      <c r="AN7" s="399">
        <v>-5372654</v>
      </c>
      <c r="AO7" s="399">
        <v>-6980245</v>
      </c>
      <c r="AP7" s="399">
        <v>-7493479</v>
      </c>
      <c r="AQ7" s="399">
        <v>-8318378</v>
      </c>
    </row>
    <row r="8" spans="1:43">
      <c r="A8" s="392" t="s">
        <v>72</v>
      </c>
      <c r="B8" s="392" t="s">
        <v>1250</v>
      </c>
      <c r="C8" s="392">
        <v>80539</v>
      </c>
      <c r="D8" s="392">
        <v>98585</v>
      </c>
      <c r="E8" s="392">
        <v>128273</v>
      </c>
      <c r="F8" s="392">
        <v>232250</v>
      </c>
      <c r="G8" s="392">
        <v>296862</v>
      </c>
      <c r="H8" s="392">
        <v>226992</v>
      </c>
      <c r="I8" s="392">
        <v>238366</v>
      </c>
      <c r="J8" s="392">
        <v>261494</v>
      </c>
      <c r="K8" s="392">
        <v>140140</v>
      </c>
      <c r="L8" s="392">
        <v>104281</v>
      </c>
      <c r="M8" s="392">
        <v>109232</v>
      </c>
      <c r="N8" s="392">
        <v>59616</v>
      </c>
      <c r="O8" s="392">
        <v>21479</v>
      </c>
      <c r="P8" s="392">
        <v>-33713</v>
      </c>
      <c r="Q8" s="392">
        <v>-149523</v>
      </c>
      <c r="R8" s="392">
        <v>-243314</v>
      </c>
      <c r="S8" s="392">
        <v>-432129</v>
      </c>
      <c r="T8" s="392">
        <v>-121772</v>
      </c>
      <c r="U8" s="392">
        <v>-110311</v>
      </c>
      <c r="V8" s="392">
        <v>-277567</v>
      </c>
      <c r="W8" s="392">
        <v>-328306</v>
      </c>
      <c r="X8" s="392">
        <v>-788225</v>
      </c>
      <c r="Y8" s="392">
        <v>-1033775</v>
      </c>
      <c r="Z8" s="392">
        <v>-1002268</v>
      </c>
      <c r="AA8" s="392">
        <v>-1536826</v>
      </c>
      <c r="AB8" s="392">
        <v>-2295050</v>
      </c>
      <c r="AC8" s="392">
        <v>-2410951</v>
      </c>
      <c r="AD8" s="392">
        <v>-2293013</v>
      </c>
      <c r="AE8" s="392">
        <v>-2363392</v>
      </c>
      <c r="AF8" s="392">
        <v>-1915780</v>
      </c>
      <c r="AG8" s="392">
        <v>-1868310</v>
      </c>
      <c r="AH8" s="392">
        <v>-1350965</v>
      </c>
      <c r="AI8" s="392">
        <v>-4154938</v>
      </c>
      <c r="AJ8" s="392">
        <v>-2753961</v>
      </c>
      <c r="AK8" s="392">
        <v>-2622170</v>
      </c>
      <c r="AL8" s="392">
        <v>-4541036</v>
      </c>
      <c r="AM8" s="392">
        <v>-4576076</v>
      </c>
      <c r="AN8" s="392">
        <v>-5450211</v>
      </c>
      <c r="AO8" s="392">
        <v>-7065777</v>
      </c>
      <c r="AP8" s="392">
        <v>-7549793</v>
      </c>
      <c r="AQ8" s="392">
        <v>-8379684</v>
      </c>
    </row>
    <row r="9" spans="1:43">
      <c r="A9" s="392" t="s">
        <v>70</v>
      </c>
      <c r="B9" s="392" t="s">
        <v>1249</v>
      </c>
      <c r="C9" s="392" t="s">
        <v>583</v>
      </c>
      <c r="D9" s="392" t="s">
        <v>583</v>
      </c>
      <c r="E9" s="392" t="s">
        <v>583</v>
      </c>
      <c r="F9" s="392" t="s">
        <v>583</v>
      </c>
      <c r="G9" s="392" t="s">
        <v>583</v>
      </c>
      <c r="H9" s="392" t="s">
        <v>583</v>
      </c>
      <c r="I9" s="392" t="s">
        <v>583</v>
      </c>
      <c r="J9" s="392" t="s">
        <v>583</v>
      </c>
      <c r="K9" s="392" t="s">
        <v>583</v>
      </c>
      <c r="L9" s="392" t="s">
        <v>583</v>
      </c>
      <c r="M9" s="392" t="s">
        <v>583</v>
      </c>
      <c r="N9" s="392" t="s">
        <v>583</v>
      </c>
      <c r="O9" s="392" t="s">
        <v>583</v>
      </c>
      <c r="P9" s="392" t="s">
        <v>583</v>
      </c>
      <c r="Q9" s="392" t="s">
        <v>583</v>
      </c>
      <c r="R9" s="392" t="s">
        <v>583</v>
      </c>
      <c r="S9" s="392" t="s">
        <v>583</v>
      </c>
      <c r="T9" s="392" t="s">
        <v>583</v>
      </c>
      <c r="U9" s="392" t="s">
        <v>583</v>
      </c>
      <c r="V9" s="392" t="s">
        <v>583</v>
      </c>
      <c r="W9" s="392" t="s">
        <v>583</v>
      </c>
      <c r="X9" s="392" t="s">
        <v>583</v>
      </c>
      <c r="Y9" s="392" t="s">
        <v>583</v>
      </c>
      <c r="Z9" s="392" t="s">
        <v>583</v>
      </c>
      <c r="AA9" s="392" t="s">
        <v>583</v>
      </c>
      <c r="AB9" s="392" t="s">
        <v>583</v>
      </c>
      <c r="AC9" s="392" t="s">
        <v>583</v>
      </c>
      <c r="AD9" s="392" t="s">
        <v>583</v>
      </c>
      <c r="AE9" s="392" t="s">
        <v>583</v>
      </c>
      <c r="AF9" s="392">
        <v>57915</v>
      </c>
      <c r="AG9" s="392">
        <v>59836</v>
      </c>
      <c r="AH9" s="392">
        <v>71472</v>
      </c>
      <c r="AI9" s="392">
        <v>159635</v>
      </c>
      <c r="AJ9" s="392">
        <v>126335</v>
      </c>
      <c r="AK9" s="392">
        <v>110382</v>
      </c>
      <c r="AL9" s="392">
        <v>86039</v>
      </c>
      <c r="AM9" s="392">
        <v>57776</v>
      </c>
      <c r="AN9" s="392">
        <v>77557</v>
      </c>
      <c r="AO9" s="392">
        <v>85532</v>
      </c>
      <c r="AP9" s="392">
        <v>56314</v>
      </c>
      <c r="AQ9" s="392">
        <v>61306</v>
      </c>
    </row>
    <row r="10" spans="1:43">
      <c r="A10" s="399" t="s">
        <v>69</v>
      </c>
      <c r="B10" s="399" t="s">
        <v>1248</v>
      </c>
      <c r="C10" s="399">
        <v>371424</v>
      </c>
      <c r="D10" s="399">
        <v>429060</v>
      </c>
      <c r="E10" s="399">
        <v>526090</v>
      </c>
      <c r="F10" s="399">
        <v>680460</v>
      </c>
      <c r="G10" s="399">
        <v>839083</v>
      </c>
      <c r="H10" s="399">
        <v>832943</v>
      </c>
      <c r="I10" s="399">
        <v>1030358</v>
      </c>
      <c r="J10" s="399">
        <v>1206656</v>
      </c>
      <c r="K10" s="399">
        <v>1214478</v>
      </c>
      <c r="L10" s="399">
        <v>1392053</v>
      </c>
      <c r="M10" s="399">
        <v>1679716</v>
      </c>
      <c r="N10" s="399">
        <v>1850216</v>
      </c>
      <c r="O10" s="399">
        <v>2098851</v>
      </c>
      <c r="P10" s="399">
        <v>2447740</v>
      </c>
      <c r="Q10" s="399">
        <v>2415654</v>
      </c>
      <c r="R10" s="399">
        <v>2605674</v>
      </c>
      <c r="S10" s="399">
        <v>2611230</v>
      </c>
      <c r="T10" s="399">
        <v>3234733</v>
      </c>
      <c r="U10" s="399">
        <v>3434637</v>
      </c>
      <c r="V10" s="399">
        <v>4094375</v>
      </c>
      <c r="W10" s="399">
        <v>4791796</v>
      </c>
      <c r="X10" s="399">
        <v>5536514</v>
      </c>
      <c r="Y10" s="399">
        <v>6368620</v>
      </c>
      <c r="Z10" s="399">
        <v>7611443</v>
      </c>
      <c r="AA10" s="399">
        <v>7641748</v>
      </c>
      <c r="AB10" s="399">
        <v>7170013</v>
      </c>
      <c r="AC10" s="399">
        <v>7065177</v>
      </c>
      <c r="AD10" s="399">
        <v>8620934</v>
      </c>
      <c r="AE10" s="399">
        <v>10589003</v>
      </c>
      <c r="AF10" s="399">
        <v>13357001</v>
      </c>
      <c r="AG10" s="399">
        <v>16409857</v>
      </c>
      <c r="AH10" s="399">
        <v>20704503</v>
      </c>
      <c r="AI10" s="399">
        <v>19423416</v>
      </c>
      <c r="AJ10" s="399">
        <v>19426459</v>
      </c>
      <c r="AK10" s="399">
        <v>21767827</v>
      </c>
      <c r="AL10" s="399">
        <v>22208896</v>
      </c>
      <c r="AM10" s="399">
        <v>22562162</v>
      </c>
      <c r="AN10" s="399">
        <v>24144775</v>
      </c>
      <c r="AO10" s="399">
        <v>24832583</v>
      </c>
      <c r="AP10" s="399">
        <v>23352371</v>
      </c>
      <c r="AQ10" s="399">
        <v>23849445</v>
      </c>
    </row>
    <row r="11" spans="1:43">
      <c r="A11" s="392" t="s">
        <v>68</v>
      </c>
      <c r="B11" s="392" t="s">
        <v>1247</v>
      </c>
      <c r="C11" s="392">
        <v>371424</v>
      </c>
      <c r="D11" s="392">
        <v>429060</v>
      </c>
      <c r="E11" s="392">
        <v>526090</v>
      </c>
      <c r="F11" s="392">
        <v>680460</v>
      </c>
      <c r="G11" s="392">
        <v>839083</v>
      </c>
      <c r="H11" s="392">
        <v>832943</v>
      </c>
      <c r="I11" s="392">
        <v>1030358</v>
      </c>
      <c r="J11" s="392">
        <v>1206656</v>
      </c>
      <c r="K11" s="392">
        <v>1214478</v>
      </c>
      <c r="L11" s="392">
        <v>1392053</v>
      </c>
      <c r="M11" s="392">
        <v>1679716</v>
      </c>
      <c r="N11" s="392">
        <v>1850216</v>
      </c>
      <c r="O11" s="392">
        <v>2098851</v>
      </c>
      <c r="P11" s="392">
        <v>2447740</v>
      </c>
      <c r="Q11" s="392">
        <v>2415654</v>
      </c>
      <c r="R11" s="392">
        <v>2605674</v>
      </c>
      <c r="S11" s="392">
        <v>2611230</v>
      </c>
      <c r="T11" s="392">
        <v>3234733</v>
      </c>
      <c r="U11" s="392">
        <v>3434637</v>
      </c>
      <c r="V11" s="392">
        <v>4094375</v>
      </c>
      <c r="W11" s="392">
        <v>4791796</v>
      </c>
      <c r="X11" s="392">
        <v>5536514</v>
      </c>
      <c r="Y11" s="392">
        <v>6368620</v>
      </c>
      <c r="Z11" s="392">
        <v>7611443</v>
      </c>
      <c r="AA11" s="392">
        <v>7641748</v>
      </c>
      <c r="AB11" s="392">
        <v>7170013</v>
      </c>
      <c r="AC11" s="392">
        <v>7065177</v>
      </c>
      <c r="AD11" s="392">
        <v>8620934</v>
      </c>
      <c r="AE11" s="392">
        <v>10589003</v>
      </c>
      <c r="AF11" s="392">
        <v>12166972</v>
      </c>
      <c r="AG11" s="392">
        <v>15170862</v>
      </c>
      <c r="AH11" s="392">
        <v>18145171</v>
      </c>
      <c r="AI11" s="392">
        <v>13295966</v>
      </c>
      <c r="AJ11" s="392">
        <v>15936680</v>
      </c>
      <c r="AK11" s="392">
        <v>18115514</v>
      </c>
      <c r="AL11" s="392">
        <v>17492318</v>
      </c>
      <c r="AM11" s="392">
        <v>18942401</v>
      </c>
      <c r="AN11" s="392">
        <v>21127675</v>
      </c>
      <c r="AO11" s="392">
        <v>21580275</v>
      </c>
      <c r="AP11" s="392">
        <v>20924130</v>
      </c>
      <c r="AQ11" s="392">
        <v>21640465</v>
      </c>
    </row>
    <row r="12" spans="1:43">
      <c r="A12" s="392" t="s">
        <v>66</v>
      </c>
      <c r="B12" s="392" t="s">
        <v>1246</v>
      </c>
      <c r="C12" s="392" t="s">
        <v>583</v>
      </c>
      <c r="D12" s="392" t="s">
        <v>583</v>
      </c>
      <c r="E12" s="392" t="s">
        <v>583</v>
      </c>
      <c r="F12" s="392" t="s">
        <v>583</v>
      </c>
      <c r="G12" s="392" t="s">
        <v>583</v>
      </c>
      <c r="H12" s="392" t="s">
        <v>583</v>
      </c>
      <c r="I12" s="392" t="s">
        <v>583</v>
      </c>
      <c r="J12" s="392" t="s">
        <v>583</v>
      </c>
      <c r="K12" s="392" t="s">
        <v>583</v>
      </c>
      <c r="L12" s="392" t="s">
        <v>583</v>
      </c>
      <c r="M12" s="392" t="s">
        <v>583</v>
      </c>
      <c r="N12" s="392" t="s">
        <v>583</v>
      </c>
      <c r="O12" s="392" t="s">
        <v>583</v>
      </c>
      <c r="P12" s="392" t="s">
        <v>583</v>
      </c>
      <c r="Q12" s="392" t="s">
        <v>583</v>
      </c>
      <c r="R12" s="392" t="s">
        <v>583</v>
      </c>
      <c r="S12" s="392" t="s">
        <v>583</v>
      </c>
      <c r="T12" s="392" t="s">
        <v>583</v>
      </c>
      <c r="U12" s="392" t="s">
        <v>583</v>
      </c>
      <c r="V12" s="392" t="s">
        <v>583</v>
      </c>
      <c r="W12" s="392" t="s">
        <v>583</v>
      </c>
      <c r="X12" s="392" t="s">
        <v>583</v>
      </c>
      <c r="Y12" s="392" t="s">
        <v>583</v>
      </c>
      <c r="Z12" s="392" t="s">
        <v>583</v>
      </c>
      <c r="AA12" s="392" t="s">
        <v>583</v>
      </c>
      <c r="AB12" s="392" t="s">
        <v>583</v>
      </c>
      <c r="AC12" s="392" t="s">
        <v>583</v>
      </c>
      <c r="AD12" s="392" t="s">
        <v>583</v>
      </c>
      <c r="AE12" s="392" t="s">
        <v>583</v>
      </c>
      <c r="AF12" s="392">
        <v>1190029</v>
      </c>
      <c r="AG12" s="392">
        <v>1238995</v>
      </c>
      <c r="AH12" s="392">
        <v>2559332</v>
      </c>
      <c r="AI12" s="392">
        <v>6127450</v>
      </c>
      <c r="AJ12" s="392">
        <v>3489779</v>
      </c>
      <c r="AK12" s="392">
        <v>3652313</v>
      </c>
      <c r="AL12" s="392">
        <v>4716578</v>
      </c>
      <c r="AM12" s="392">
        <v>3619761</v>
      </c>
      <c r="AN12" s="392">
        <v>3017100</v>
      </c>
      <c r="AO12" s="392">
        <v>3252308</v>
      </c>
      <c r="AP12" s="392">
        <v>2428241</v>
      </c>
      <c r="AQ12" s="392">
        <v>2208980</v>
      </c>
    </row>
    <row r="13" spans="1:43">
      <c r="A13" s="399" t="s">
        <v>32</v>
      </c>
      <c r="B13" s="399" t="s">
        <v>1240</v>
      </c>
      <c r="C13" s="399" t="s">
        <v>32</v>
      </c>
      <c r="D13" s="399" t="s">
        <v>32</v>
      </c>
      <c r="E13" s="399" t="s">
        <v>32</v>
      </c>
      <c r="F13" s="399" t="s">
        <v>32</v>
      </c>
      <c r="G13" s="399" t="s">
        <v>32</v>
      </c>
      <c r="H13" s="399" t="s">
        <v>32</v>
      </c>
      <c r="I13" s="399" t="s">
        <v>32</v>
      </c>
      <c r="J13" s="399" t="s">
        <v>32</v>
      </c>
      <c r="K13" s="399" t="s">
        <v>32</v>
      </c>
      <c r="L13" s="399" t="s">
        <v>32</v>
      </c>
      <c r="M13" s="399" t="s">
        <v>32</v>
      </c>
      <c r="N13" s="399" t="s">
        <v>32</v>
      </c>
      <c r="O13" s="399" t="s">
        <v>32</v>
      </c>
      <c r="P13" s="399" t="s">
        <v>32</v>
      </c>
      <c r="Q13" s="399" t="s">
        <v>32</v>
      </c>
      <c r="R13" s="399" t="s">
        <v>32</v>
      </c>
      <c r="S13" s="399" t="s">
        <v>32</v>
      </c>
      <c r="T13" s="399" t="s">
        <v>32</v>
      </c>
      <c r="U13" s="399" t="s">
        <v>32</v>
      </c>
      <c r="V13" s="399" t="s">
        <v>32</v>
      </c>
      <c r="W13" s="399" t="s">
        <v>32</v>
      </c>
      <c r="X13" s="399" t="s">
        <v>32</v>
      </c>
      <c r="Y13" s="399" t="s">
        <v>32</v>
      </c>
      <c r="Z13" s="399" t="s">
        <v>32</v>
      </c>
      <c r="AA13" s="399" t="s">
        <v>32</v>
      </c>
      <c r="AB13" s="399" t="s">
        <v>32</v>
      </c>
      <c r="AC13" s="399" t="s">
        <v>32</v>
      </c>
      <c r="AD13" s="399" t="s">
        <v>32</v>
      </c>
      <c r="AE13" s="399" t="s">
        <v>32</v>
      </c>
      <c r="AF13" s="399" t="s">
        <v>32</v>
      </c>
      <c r="AG13" s="399" t="s">
        <v>32</v>
      </c>
      <c r="AH13" s="399" t="s">
        <v>32</v>
      </c>
      <c r="AI13" s="399" t="s">
        <v>32</v>
      </c>
      <c r="AJ13" s="399" t="s">
        <v>32</v>
      </c>
      <c r="AK13" s="399" t="s">
        <v>32</v>
      </c>
      <c r="AL13" s="399" t="s">
        <v>32</v>
      </c>
      <c r="AM13" s="399" t="s">
        <v>32</v>
      </c>
      <c r="AN13" s="399" t="s">
        <v>32</v>
      </c>
      <c r="AO13" s="399" t="s">
        <v>32</v>
      </c>
      <c r="AP13" s="399" t="s">
        <v>32</v>
      </c>
      <c r="AQ13" s="399" t="s">
        <v>32</v>
      </c>
    </row>
    <row r="14" spans="1:43">
      <c r="A14" s="392" t="s">
        <v>65</v>
      </c>
      <c r="B14" s="392" t="s">
        <v>1239</v>
      </c>
      <c r="C14" s="392">
        <v>136743</v>
      </c>
      <c r="D14" s="392">
        <v>162860</v>
      </c>
      <c r="E14" s="392">
        <v>189868</v>
      </c>
      <c r="F14" s="392">
        <v>230060</v>
      </c>
      <c r="G14" s="392">
        <v>297349</v>
      </c>
      <c r="H14" s="392">
        <v>239080</v>
      </c>
      <c r="I14" s="392">
        <v>295981</v>
      </c>
      <c r="J14" s="392">
        <v>351325</v>
      </c>
      <c r="K14" s="392">
        <v>357920</v>
      </c>
      <c r="L14" s="392">
        <v>475693</v>
      </c>
      <c r="M14" s="392">
        <v>615138</v>
      </c>
      <c r="N14" s="392">
        <v>681751</v>
      </c>
      <c r="O14" s="392">
        <v>782947</v>
      </c>
      <c r="P14" s="392">
        <v>929965</v>
      </c>
      <c r="Q14" s="392">
        <v>853331</v>
      </c>
      <c r="R14" s="392">
        <v>962582</v>
      </c>
      <c r="S14" s="392">
        <v>943364</v>
      </c>
      <c r="T14" s="392">
        <v>1204611</v>
      </c>
      <c r="U14" s="392">
        <v>1234084</v>
      </c>
      <c r="V14" s="392">
        <v>1493609</v>
      </c>
      <c r="W14" s="392">
        <v>1749299</v>
      </c>
      <c r="X14" s="392">
        <v>2036671</v>
      </c>
      <c r="Y14" s="392">
        <v>2469095</v>
      </c>
      <c r="Z14" s="392">
        <v>3051404</v>
      </c>
      <c r="AA14" s="392">
        <v>2934570</v>
      </c>
      <c r="AB14" s="392">
        <v>2554463</v>
      </c>
      <c r="AC14" s="392">
        <v>2283141</v>
      </c>
      <c r="AD14" s="392">
        <v>3037312</v>
      </c>
      <c r="AE14" s="392">
        <v>3746863</v>
      </c>
      <c r="AF14" s="392">
        <v>4047170</v>
      </c>
      <c r="AG14" s="392">
        <v>4929892</v>
      </c>
      <c r="AH14" s="392">
        <v>5857923</v>
      </c>
      <c r="AI14" s="392">
        <v>3707211</v>
      </c>
      <c r="AJ14" s="392">
        <v>4945292</v>
      </c>
      <c r="AK14" s="392">
        <v>5486391</v>
      </c>
      <c r="AL14" s="392">
        <v>5214826</v>
      </c>
      <c r="AM14" s="392">
        <v>5969502</v>
      </c>
      <c r="AN14" s="392">
        <v>7120688</v>
      </c>
      <c r="AO14" s="392">
        <v>7189420</v>
      </c>
      <c r="AP14" s="392">
        <v>6998949</v>
      </c>
      <c r="AQ14" s="392">
        <v>7375049</v>
      </c>
    </row>
    <row r="15" spans="1:43">
      <c r="A15" s="392" t="s">
        <v>64</v>
      </c>
      <c r="B15" s="392" t="s">
        <v>1238</v>
      </c>
      <c r="C15" s="392">
        <v>44157</v>
      </c>
      <c r="D15" s="392">
        <v>49439</v>
      </c>
      <c r="E15" s="392">
        <v>58780</v>
      </c>
      <c r="F15" s="392">
        <v>69869</v>
      </c>
      <c r="G15" s="392">
        <v>78028</v>
      </c>
      <c r="H15" s="392">
        <v>88494</v>
      </c>
      <c r="I15" s="392">
        <v>104809</v>
      </c>
      <c r="J15" s="392">
        <v>110787</v>
      </c>
      <c r="K15" s="392">
        <v>112609</v>
      </c>
      <c r="L15" s="392">
        <v>138735</v>
      </c>
      <c r="M15" s="392">
        <v>182167</v>
      </c>
      <c r="N15" s="392">
        <v>215285</v>
      </c>
      <c r="O15" s="392">
        <v>305186</v>
      </c>
      <c r="P15" s="392">
        <v>395727</v>
      </c>
      <c r="Q15" s="392">
        <v>425538</v>
      </c>
      <c r="R15" s="392">
        <v>525355</v>
      </c>
      <c r="S15" s="392">
        <v>586206</v>
      </c>
      <c r="T15" s="392">
        <v>916315</v>
      </c>
      <c r="U15" s="392">
        <v>990838</v>
      </c>
      <c r="V15" s="392">
        <v>1278722</v>
      </c>
      <c r="W15" s="392">
        <v>1573208</v>
      </c>
      <c r="X15" s="392">
        <v>1841029</v>
      </c>
      <c r="Y15" s="392">
        <v>2149431</v>
      </c>
      <c r="Z15" s="392">
        <v>2650768</v>
      </c>
      <c r="AA15" s="392">
        <v>2556158</v>
      </c>
      <c r="AB15" s="392">
        <v>2316634</v>
      </c>
      <c r="AC15" s="392">
        <v>2276589</v>
      </c>
      <c r="AD15" s="392">
        <v>3176287</v>
      </c>
      <c r="AE15" s="392">
        <v>3828305</v>
      </c>
      <c r="AF15" s="392">
        <v>4628978</v>
      </c>
      <c r="AG15" s="392">
        <v>6017080</v>
      </c>
      <c r="AH15" s="392">
        <v>7262045</v>
      </c>
      <c r="AI15" s="392">
        <v>4320819</v>
      </c>
      <c r="AJ15" s="392">
        <v>6058554</v>
      </c>
      <c r="AK15" s="392">
        <v>7160366</v>
      </c>
      <c r="AL15" s="392">
        <v>6871732</v>
      </c>
      <c r="AM15" s="392">
        <v>7983961</v>
      </c>
      <c r="AN15" s="392">
        <v>9206105</v>
      </c>
      <c r="AO15" s="392">
        <v>9704248</v>
      </c>
      <c r="AP15" s="392">
        <v>9570185</v>
      </c>
      <c r="AQ15" s="392">
        <v>9879246</v>
      </c>
    </row>
    <row r="16" spans="1:43">
      <c r="A16" s="392" t="s">
        <v>63</v>
      </c>
      <c r="B16" s="392" t="s">
        <v>1245</v>
      </c>
      <c r="C16" s="392" t="s">
        <v>583</v>
      </c>
      <c r="D16" s="392" t="s">
        <v>583</v>
      </c>
      <c r="E16" s="392" t="s">
        <v>583</v>
      </c>
      <c r="F16" s="392" t="s">
        <v>583</v>
      </c>
      <c r="G16" s="392" t="s">
        <v>583</v>
      </c>
      <c r="H16" s="392" t="s">
        <v>583</v>
      </c>
      <c r="I16" s="392" t="s">
        <v>583</v>
      </c>
      <c r="J16" s="392" t="s">
        <v>583</v>
      </c>
      <c r="K16" s="392" t="s">
        <v>583</v>
      </c>
      <c r="L16" s="392" t="s">
        <v>583</v>
      </c>
      <c r="M16" s="392" t="s">
        <v>583</v>
      </c>
      <c r="N16" s="392" t="s">
        <v>583</v>
      </c>
      <c r="O16" s="392" t="s">
        <v>583</v>
      </c>
      <c r="P16" s="392" t="s">
        <v>583</v>
      </c>
      <c r="Q16" s="392" t="s">
        <v>583</v>
      </c>
      <c r="R16" s="392" t="s">
        <v>583</v>
      </c>
      <c r="S16" s="392" t="s">
        <v>583</v>
      </c>
      <c r="T16" s="392" t="s">
        <v>583</v>
      </c>
      <c r="U16" s="392" t="s">
        <v>583</v>
      </c>
      <c r="V16" s="392" t="s">
        <v>583</v>
      </c>
      <c r="W16" s="392" t="s">
        <v>583</v>
      </c>
      <c r="X16" s="392" t="s">
        <v>583</v>
      </c>
      <c r="Y16" s="392" t="s">
        <v>583</v>
      </c>
      <c r="Z16" s="392" t="s">
        <v>583</v>
      </c>
      <c r="AA16" s="392" t="s">
        <v>583</v>
      </c>
      <c r="AB16" s="392" t="s">
        <v>583</v>
      </c>
      <c r="AC16" s="392" t="s">
        <v>583</v>
      </c>
      <c r="AD16" s="392" t="s">
        <v>583</v>
      </c>
      <c r="AE16" s="392" t="s">
        <v>583</v>
      </c>
      <c r="AF16" s="392">
        <v>1190029</v>
      </c>
      <c r="AG16" s="392">
        <v>1238995</v>
      </c>
      <c r="AH16" s="392">
        <v>2559332</v>
      </c>
      <c r="AI16" s="392">
        <v>6127450</v>
      </c>
      <c r="AJ16" s="392">
        <v>3489779</v>
      </c>
      <c r="AK16" s="392">
        <v>3652313</v>
      </c>
      <c r="AL16" s="392">
        <v>4716578</v>
      </c>
      <c r="AM16" s="392">
        <v>3619761</v>
      </c>
      <c r="AN16" s="392">
        <v>3017100</v>
      </c>
      <c r="AO16" s="392">
        <v>3252308</v>
      </c>
      <c r="AP16" s="392">
        <v>2428241</v>
      </c>
      <c r="AQ16" s="392">
        <v>2208980</v>
      </c>
    </row>
    <row r="17" spans="1:43">
      <c r="A17" s="392" t="s">
        <v>61</v>
      </c>
      <c r="B17" s="392" t="s">
        <v>1236</v>
      </c>
      <c r="C17" s="392">
        <v>146430</v>
      </c>
      <c r="D17" s="392">
        <v>163385</v>
      </c>
      <c r="E17" s="392">
        <v>207992</v>
      </c>
      <c r="F17" s="392">
        <v>237271</v>
      </c>
      <c r="G17" s="392">
        <v>292294</v>
      </c>
      <c r="H17" s="392">
        <v>380801</v>
      </c>
      <c r="I17" s="392">
        <v>486123</v>
      </c>
      <c r="J17" s="392">
        <v>621434</v>
      </c>
      <c r="K17" s="392">
        <v>638909</v>
      </c>
      <c r="L17" s="392">
        <v>659695</v>
      </c>
      <c r="M17" s="392">
        <v>742536</v>
      </c>
      <c r="N17" s="392">
        <v>790810</v>
      </c>
      <c r="O17" s="392">
        <v>866539</v>
      </c>
      <c r="P17" s="392">
        <v>953334</v>
      </c>
      <c r="Q17" s="392">
        <v>962121</v>
      </c>
      <c r="R17" s="392">
        <v>958514</v>
      </c>
      <c r="S17" s="392">
        <v>934225</v>
      </c>
      <c r="T17" s="392">
        <v>948862</v>
      </c>
      <c r="U17" s="392">
        <v>1046321</v>
      </c>
      <c r="V17" s="392">
        <v>1145983</v>
      </c>
      <c r="W17" s="392">
        <v>1308550</v>
      </c>
      <c r="X17" s="392">
        <v>1523978</v>
      </c>
      <c r="Y17" s="392">
        <v>1604088</v>
      </c>
      <c r="Z17" s="392">
        <v>1772853</v>
      </c>
      <c r="AA17" s="392">
        <v>2022620</v>
      </c>
      <c r="AB17" s="392">
        <v>2168955</v>
      </c>
      <c r="AC17" s="392">
        <v>2346845</v>
      </c>
      <c r="AD17" s="392">
        <v>2223758</v>
      </c>
      <c r="AE17" s="392">
        <v>2824244</v>
      </c>
      <c r="AF17" s="392">
        <v>3302781</v>
      </c>
      <c r="AG17" s="392">
        <v>4004037</v>
      </c>
      <c r="AH17" s="392">
        <v>4747993</v>
      </c>
      <c r="AI17" s="392">
        <v>4974204</v>
      </c>
      <c r="AJ17" s="392">
        <v>4529030</v>
      </c>
      <c r="AK17" s="392">
        <v>4980084</v>
      </c>
      <c r="AL17" s="392">
        <v>4868723</v>
      </c>
      <c r="AM17" s="392">
        <v>4416570</v>
      </c>
      <c r="AN17" s="392">
        <v>4352549</v>
      </c>
      <c r="AO17" s="392">
        <v>4252356</v>
      </c>
      <c r="AP17" s="392">
        <v>3971396</v>
      </c>
      <c r="AQ17" s="392">
        <v>3978948</v>
      </c>
    </row>
    <row r="18" spans="1:43">
      <c r="A18" s="392" t="s">
        <v>60</v>
      </c>
      <c r="B18" s="392" t="s">
        <v>1244</v>
      </c>
      <c r="C18" s="392">
        <v>44094</v>
      </c>
      <c r="D18" s="392">
        <v>53376</v>
      </c>
      <c r="E18" s="392">
        <v>69450</v>
      </c>
      <c r="F18" s="392">
        <v>143260</v>
      </c>
      <c r="G18" s="392">
        <v>171412</v>
      </c>
      <c r="H18" s="392">
        <v>124568</v>
      </c>
      <c r="I18" s="392">
        <v>143445</v>
      </c>
      <c r="J18" s="392">
        <v>123110</v>
      </c>
      <c r="K18" s="392">
        <v>105040</v>
      </c>
      <c r="L18" s="392">
        <v>117930</v>
      </c>
      <c r="M18" s="392">
        <v>139875</v>
      </c>
      <c r="N18" s="392">
        <v>162370</v>
      </c>
      <c r="O18" s="392">
        <v>144179</v>
      </c>
      <c r="P18" s="392">
        <v>168714</v>
      </c>
      <c r="Q18" s="392">
        <v>174664</v>
      </c>
      <c r="R18" s="392">
        <v>159223</v>
      </c>
      <c r="S18" s="392">
        <v>147435</v>
      </c>
      <c r="T18" s="392">
        <v>164945</v>
      </c>
      <c r="U18" s="392">
        <v>163394</v>
      </c>
      <c r="V18" s="392">
        <v>176061</v>
      </c>
      <c r="W18" s="392">
        <v>160739</v>
      </c>
      <c r="X18" s="392">
        <v>134836</v>
      </c>
      <c r="Y18" s="392">
        <v>146006</v>
      </c>
      <c r="Z18" s="392">
        <v>136418</v>
      </c>
      <c r="AA18" s="392">
        <v>128400</v>
      </c>
      <c r="AB18" s="392">
        <v>129961</v>
      </c>
      <c r="AC18" s="392">
        <v>158602</v>
      </c>
      <c r="AD18" s="392">
        <v>183577</v>
      </c>
      <c r="AE18" s="392">
        <v>189591</v>
      </c>
      <c r="AF18" s="392">
        <v>188043</v>
      </c>
      <c r="AG18" s="392">
        <v>219853</v>
      </c>
      <c r="AH18" s="392">
        <v>277211</v>
      </c>
      <c r="AI18" s="392">
        <v>293732</v>
      </c>
      <c r="AJ18" s="392">
        <v>403804</v>
      </c>
      <c r="AK18" s="392">
        <v>488673</v>
      </c>
      <c r="AL18" s="392">
        <v>537037</v>
      </c>
      <c r="AM18" s="392">
        <v>572368</v>
      </c>
      <c r="AN18" s="392">
        <v>448333</v>
      </c>
      <c r="AO18" s="392">
        <v>434251</v>
      </c>
      <c r="AP18" s="392">
        <v>383601</v>
      </c>
      <c r="AQ18" s="392">
        <v>407223</v>
      </c>
    </row>
    <row r="19" spans="1:43">
      <c r="A19" s="399" t="s">
        <v>59</v>
      </c>
      <c r="B19" s="399" t="s">
        <v>1243</v>
      </c>
      <c r="C19" s="399">
        <v>290885</v>
      </c>
      <c r="D19" s="399">
        <v>330475</v>
      </c>
      <c r="E19" s="399">
        <v>397817</v>
      </c>
      <c r="F19" s="399">
        <v>448210</v>
      </c>
      <c r="G19" s="399">
        <v>542221</v>
      </c>
      <c r="H19" s="399">
        <v>605951</v>
      </c>
      <c r="I19" s="399">
        <v>791992</v>
      </c>
      <c r="J19" s="399">
        <v>945162</v>
      </c>
      <c r="K19" s="399">
        <v>1074338</v>
      </c>
      <c r="L19" s="399">
        <v>1287772</v>
      </c>
      <c r="M19" s="399">
        <v>1570484</v>
      </c>
      <c r="N19" s="399">
        <v>1790600</v>
      </c>
      <c r="O19" s="399">
        <v>2077372</v>
      </c>
      <c r="P19" s="399">
        <v>2481453</v>
      </c>
      <c r="Q19" s="399">
        <v>2565177</v>
      </c>
      <c r="R19" s="399">
        <v>2848988</v>
      </c>
      <c r="S19" s="399">
        <v>3043359</v>
      </c>
      <c r="T19" s="399">
        <v>3356505</v>
      </c>
      <c r="U19" s="399">
        <v>3544948</v>
      </c>
      <c r="V19" s="399">
        <v>4371942</v>
      </c>
      <c r="W19" s="399">
        <v>5120102</v>
      </c>
      <c r="X19" s="399">
        <v>6324739</v>
      </c>
      <c r="Y19" s="399">
        <v>7402395</v>
      </c>
      <c r="Z19" s="399">
        <v>8613711</v>
      </c>
      <c r="AA19" s="399">
        <v>9178574</v>
      </c>
      <c r="AB19" s="399">
        <v>9465063</v>
      </c>
      <c r="AC19" s="399">
        <v>9476128</v>
      </c>
      <c r="AD19" s="399">
        <v>10913947</v>
      </c>
      <c r="AE19" s="399">
        <v>12952395</v>
      </c>
      <c r="AF19" s="399">
        <v>15214866</v>
      </c>
      <c r="AG19" s="399">
        <v>18218331</v>
      </c>
      <c r="AH19" s="399">
        <v>21983996</v>
      </c>
      <c r="AI19" s="399">
        <v>23418718</v>
      </c>
      <c r="AJ19" s="399">
        <v>22054085</v>
      </c>
      <c r="AK19" s="399">
        <v>24279615</v>
      </c>
      <c r="AL19" s="399">
        <v>26663893</v>
      </c>
      <c r="AM19" s="399">
        <v>27080461</v>
      </c>
      <c r="AN19" s="399">
        <v>29517429</v>
      </c>
      <c r="AO19" s="399">
        <v>31812828</v>
      </c>
      <c r="AP19" s="399">
        <v>30845850</v>
      </c>
      <c r="AQ19" s="399">
        <v>32167823</v>
      </c>
    </row>
    <row r="20" spans="1:43">
      <c r="A20" s="392" t="s">
        <v>57</v>
      </c>
      <c r="B20" s="392" t="s">
        <v>1242</v>
      </c>
      <c r="C20" s="392">
        <v>290885</v>
      </c>
      <c r="D20" s="392">
        <v>330475</v>
      </c>
      <c r="E20" s="392">
        <v>397817</v>
      </c>
      <c r="F20" s="392">
        <v>448210</v>
      </c>
      <c r="G20" s="392">
        <v>542221</v>
      </c>
      <c r="H20" s="392">
        <v>605951</v>
      </c>
      <c r="I20" s="392">
        <v>791992</v>
      </c>
      <c r="J20" s="392">
        <v>945162</v>
      </c>
      <c r="K20" s="392">
        <v>1074338</v>
      </c>
      <c r="L20" s="392">
        <v>1287772</v>
      </c>
      <c r="M20" s="392">
        <v>1570484</v>
      </c>
      <c r="N20" s="392">
        <v>1790600</v>
      </c>
      <c r="O20" s="392">
        <v>2077372</v>
      </c>
      <c r="P20" s="392">
        <v>2481453</v>
      </c>
      <c r="Q20" s="392">
        <v>2565177</v>
      </c>
      <c r="R20" s="392">
        <v>2848988</v>
      </c>
      <c r="S20" s="392">
        <v>3043359</v>
      </c>
      <c r="T20" s="392">
        <v>3356505</v>
      </c>
      <c r="U20" s="392">
        <v>3544948</v>
      </c>
      <c r="V20" s="392">
        <v>4371942</v>
      </c>
      <c r="W20" s="392">
        <v>5120102</v>
      </c>
      <c r="X20" s="392">
        <v>6324739</v>
      </c>
      <c r="Y20" s="392">
        <v>7402395</v>
      </c>
      <c r="Z20" s="392">
        <v>8613711</v>
      </c>
      <c r="AA20" s="392">
        <v>9178574</v>
      </c>
      <c r="AB20" s="392">
        <v>9465063</v>
      </c>
      <c r="AC20" s="392">
        <v>9476128</v>
      </c>
      <c r="AD20" s="392">
        <v>10913947</v>
      </c>
      <c r="AE20" s="392">
        <v>12952395</v>
      </c>
      <c r="AF20" s="392">
        <v>14082752</v>
      </c>
      <c r="AG20" s="392">
        <v>17039172</v>
      </c>
      <c r="AH20" s="392">
        <v>19496136</v>
      </c>
      <c r="AI20" s="392">
        <v>17450903</v>
      </c>
      <c r="AJ20" s="392">
        <v>18690641</v>
      </c>
      <c r="AK20" s="392">
        <v>20737684</v>
      </c>
      <c r="AL20" s="392">
        <v>22033354</v>
      </c>
      <c r="AM20" s="392">
        <v>23518476</v>
      </c>
      <c r="AN20" s="392">
        <v>26577886</v>
      </c>
      <c r="AO20" s="392">
        <v>28646052</v>
      </c>
      <c r="AP20" s="392">
        <v>28473923</v>
      </c>
      <c r="AQ20" s="392">
        <v>30020149</v>
      </c>
    </row>
    <row r="21" spans="1:43">
      <c r="A21" s="392" t="s">
        <v>55</v>
      </c>
      <c r="B21" s="392" t="s">
        <v>1241</v>
      </c>
      <c r="C21" s="392" t="s">
        <v>583</v>
      </c>
      <c r="D21" s="392" t="s">
        <v>583</v>
      </c>
      <c r="E21" s="392" t="s">
        <v>583</v>
      </c>
      <c r="F21" s="392" t="s">
        <v>583</v>
      </c>
      <c r="G21" s="392" t="s">
        <v>583</v>
      </c>
      <c r="H21" s="392" t="s">
        <v>583</v>
      </c>
      <c r="I21" s="392" t="s">
        <v>583</v>
      </c>
      <c r="J21" s="392" t="s">
        <v>583</v>
      </c>
      <c r="K21" s="392" t="s">
        <v>583</v>
      </c>
      <c r="L21" s="392" t="s">
        <v>583</v>
      </c>
      <c r="M21" s="392" t="s">
        <v>583</v>
      </c>
      <c r="N21" s="392" t="s">
        <v>583</v>
      </c>
      <c r="O21" s="392" t="s">
        <v>583</v>
      </c>
      <c r="P21" s="392" t="s">
        <v>583</v>
      </c>
      <c r="Q21" s="392" t="s">
        <v>583</v>
      </c>
      <c r="R21" s="392" t="s">
        <v>583</v>
      </c>
      <c r="S21" s="392" t="s">
        <v>583</v>
      </c>
      <c r="T21" s="392" t="s">
        <v>583</v>
      </c>
      <c r="U21" s="392" t="s">
        <v>583</v>
      </c>
      <c r="V21" s="392" t="s">
        <v>583</v>
      </c>
      <c r="W21" s="392" t="s">
        <v>583</v>
      </c>
      <c r="X21" s="392" t="s">
        <v>583</v>
      </c>
      <c r="Y21" s="392" t="s">
        <v>583</v>
      </c>
      <c r="Z21" s="392" t="s">
        <v>583</v>
      </c>
      <c r="AA21" s="392" t="s">
        <v>583</v>
      </c>
      <c r="AB21" s="392" t="s">
        <v>583</v>
      </c>
      <c r="AC21" s="392" t="s">
        <v>583</v>
      </c>
      <c r="AD21" s="392" t="s">
        <v>583</v>
      </c>
      <c r="AE21" s="392" t="s">
        <v>583</v>
      </c>
      <c r="AF21" s="392">
        <v>1132114</v>
      </c>
      <c r="AG21" s="392">
        <v>1179159</v>
      </c>
      <c r="AH21" s="392">
        <v>2487860</v>
      </c>
      <c r="AI21" s="392">
        <v>5967815</v>
      </c>
      <c r="AJ21" s="392">
        <v>3363444</v>
      </c>
      <c r="AK21" s="392">
        <v>3541931</v>
      </c>
      <c r="AL21" s="392">
        <v>4630539</v>
      </c>
      <c r="AM21" s="392">
        <v>3561985</v>
      </c>
      <c r="AN21" s="392">
        <v>2939543</v>
      </c>
      <c r="AO21" s="392">
        <v>3166776</v>
      </c>
      <c r="AP21" s="392">
        <v>2371927</v>
      </c>
      <c r="AQ21" s="392">
        <v>2147674</v>
      </c>
    </row>
    <row r="22" spans="1:43">
      <c r="A22" s="399" t="s">
        <v>32</v>
      </c>
      <c r="B22" s="399" t="s">
        <v>1240</v>
      </c>
      <c r="C22" s="399" t="s">
        <v>32</v>
      </c>
      <c r="D22" s="399" t="s">
        <v>32</v>
      </c>
      <c r="E22" s="399" t="s">
        <v>32</v>
      </c>
      <c r="F22" s="399" t="s">
        <v>32</v>
      </c>
      <c r="G22" s="399" t="s">
        <v>32</v>
      </c>
      <c r="H22" s="399" t="s">
        <v>32</v>
      </c>
      <c r="I22" s="399" t="s">
        <v>32</v>
      </c>
      <c r="J22" s="399" t="s">
        <v>32</v>
      </c>
      <c r="K22" s="399" t="s">
        <v>32</v>
      </c>
      <c r="L22" s="399" t="s">
        <v>32</v>
      </c>
      <c r="M22" s="399" t="s">
        <v>32</v>
      </c>
      <c r="N22" s="399" t="s">
        <v>32</v>
      </c>
      <c r="O22" s="399" t="s">
        <v>32</v>
      </c>
      <c r="P22" s="399" t="s">
        <v>32</v>
      </c>
      <c r="Q22" s="399" t="s">
        <v>32</v>
      </c>
      <c r="R22" s="399" t="s">
        <v>32</v>
      </c>
      <c r="S22" s="399" t="s">
        <v>32</v>
      </c>
      <c r="T22" s="399" t="s">
        <v>32</v>
      </c>
      <c r="U22" s="399" t="s">
        <v>32</v>
      </c>
      <c r="V22" s="399" t="s">
        <v>32</v>
      </c>
      <c r="W22" s="399" t="s">
        <v>32</v>
      </c>
      <c r="X22" s="399" t="s">
        <v>32</v>
      </c>
      <c r="Y22" s="399" t="s">
        <v>32</v>
      </c>
      <c r="Z22" s="399" t="s">
        <v>32</v>
      </c>
      <c r="AA22" s="399" t="s">
        <v>32</v>
      </c>
      <c r="AB22" s="399" t="s">
        <v>32</v>
      </c>
      <c r="AC22" s="399" t="s">
        <v>32</v>
      </c>
      <c r="AD22" s="399" t="s">
        <v>32</v>
      </c>
      <c r="AE22" s="399" t="s">
        <v>32</v>
      </c>
      <c r="AF22" s="399" t="s">
        <v>32</v>
      </c>
      <c r="AG22" s="399" t="s">
        <v>32</v>
      </c>
      <c r="AH22" s="399" t="s">
        <v>32</v>
      </c>
      <c r="AI22" s="399" t="s">
        <v>32</v>
      </c>
      <c r="AJ22" s="399" t="s">
        <v>32</v>
      </c>
      <c r="AK22" s="399" t="s">
        <v>32</v>
      </c>
      <c r="AL22" s="399" t="s">
        <v>32</v>
      </c>
      <c r="AM22" s="399" t="s">
        <v>32</v>
      </c>
      <c r="AN22" s="399" t="s">
        <v>32</v>
      </c>
      <c r="AO22" s="399" t="s">
        <v>32</v>
      </c>
      <c r="AP22" s="399" t="s">
        <v>32</v>
      </c>
      <c r="AQ22" s="399" t="s">
        <v>32</v>
      </c>
    </row>
    <row r="23" spans="1:43">
      <c r="A23" s="392" t="s">
        <v>54</v>
      </c>
      <c r="B23" s="392" t="s">
        <v>1239</v>
      </c>
      <c r="C23" s="392">
        <v>44158</v>
      </c>
      <c r="D23" s="392">
        <v>43218</v>
      </c>
      <c r="E23" s="392">
        <v>50629</v>
      </c>
      <c r="F23" s="392">
        <v>65751</v>
      </c>
      <c r="G23" s="392">
        <v>99867</v>
      </c>
      <c r="H23" s="392">
        <v>109292</v>
      </c>
      <c r="I23" s="392">
        <v>199771</v>
      </c>
      <c r="J23" s="392">
        <v>230300</v>
      </c>
      <c r="K23" s="392">
        <v>259723</v>
      </c>
      <c r="L23" s="392">
        <v>309338</v>
      </c>
      <c r="M23" s="392">
        <v>358030</v>
      </c>
      <c r="N23" s="392">
        <v>407706</v>
      </c>
      <c r="O23" s="392">
        <v>482015</v>
      </c>
      <c r="P23" s="392">
        <v>632239</v>
      </c>
      <c r="Q23" s="392">
        <v>661170</v>
      </c>
      <c r="R23" s="392">
        <v>804182</v>
      </c>
      <c r="S23" s="392">
        <v>840912</v>
      </c>
      <c r="T23" s="392">
        <v>911710</v>
      </c>
      <c r="U23" s="392">
        <v>877354</v>
      </c>
      <c r="V23" s="392">
        <v>1135542</v>
      </c>
      <c r="W23" s="392">
        <v>1370076</v>
      </c>
      <c r="X23" s="392">
        <v>1794795</v>
      </c>
      <c r="Y23" s="392">
        <v>2368530</v>
      </c>
      <c r="Z23" s="392">
        <v>3009958</v>
      </c>
      <c r="AA23" s="392">
        <v>3023792</v>
      </c>
      <c r="AB23" s="392">
        <v>2799823</v>
      </c>
      <c r="AC23" s="392">
        <v>2282370</v>
      </c>
      <c r="AD23" s="392">
        <v>2763061</v>
      </c>
      <c r="AE23" s="392">
        <v>3101450</v>
      </c>
      <c r="AF23" s="392">
        <v>3227144</v>
      </c>
      <c r="AG23" s="392">
        <v>3752602</v>
      </c>
      <c r="AH23" s="392">
        <v>4134239</v>
      </c>
      <c r="AI23" s="392">
        <v>3091240</v>
      </c>
      <c r="AJ23" s="392">
        <v>3618630</v>
      </c>
      <c r="AK23" s="392">
        <v>4099097</v>
      </c>
      <c r="AL23" s="392">
        <v>4199225</v>
      </c>
      <c r="AM23" s="392">
        <v>4662434</v>
      </c>
      <c r="AN23" s="392">
        <v>5814935</v>
      </c>
      <c r="AO23" s="392">
        <v>6369524</v>
      </c>
      <c r="AP23" s="392">
        <v>6700834</v>
      </c>
      <c r="AQ23" s="392">
        <v>7569251</v>
      </c>
    </row>
    <row r="24" spans="1:43">
      <c r="A24" s="392" t="s">
        <v>53</v>
      </c>
      <c r="B24" s="392" t="s">
        <v>1238</v>
      </c>
      <c r="C24" s="392">
        <v>153067</v>
      </c>
      <c r="D24" s="392">
        <v>185303</v>
      </c>
      <c r="E24" s="392">
        <v>216917</v>
      </c>
      <c r="F24" s="392">
        <v>208756</v>
      </c>
      <c r="G24" s="392">
        <v>242620</v>
      </c>
      <c r="H24" s="392">
        <v>253037</v>
      </c>
      <c r="I24" s="392">
        <v>289863</v>
      </c>
      <c r="J24" s="392">
        <v>319827</v>
      </c>
      <c r="K24" s="392">
        <v>367974</v>
      </c>
      <c r="L24" s="392">
        <v>473731</v>
      </c>
      <c r="M24" s="392">
        <v>616611</v>
      </c>
      <c r="N24" s="392">
        <v>676649</v>
      </c>
      <c r="O24" s="392">
        <v>784911</v>
      </c>
      <c r="P24" s="392">
        <v>958808</v>
      </c>
      <c r="Q24" s="392">
        <v>946844</v>
      </c>
      <c r="R24" s="392">
        <v>1076499</v>
      </c>
      <c r="S24" s="392">
        <v>1180655</v>
      </c>
      <c r="T24" s="392">
        <v>1371827</v>
      </c>
      <c r="U24" s="392">
        <v>1456081</v>
      </c>
      <c r="V24" s="392">
        <v>1900950</v>
      </c>
      <c r="W24" s="392">
        <v>2356160</v>
      </c>
      <c r="X24" s="392">
        <v>2861123</v>
      </c>
      <c r="Y24" s="392">
        <v>3340370</v>
      </c>
      <c r="Z24" s="392">
        <v>3715693</v>
      </c>
      <c r="AA24" s="392">
        <v>4008473</v>
      </c>
      <c r="AB24" s="392">
        <v>4324590</v>
      </c>
      <c r="AC24" s="392">
        <v>4571348</v>
      </c>
      <c r="AD24" s="392">
        <v>5546317</v>
      </c>
      <c r="AE24" s="392">
        <v>6621226</v>
      </c>
      <c r="AF24" s="392">
        <v>7337835</v>
      </c>
      <c r="AG24" s="392">
        <v>8843523</v>
      </c>
      <c r="AH24" s="392">
        <v>10326974</v>
      </c>
      <c r="AI24" s="392">
        <v>9475873</v>
      </c>
      <c r="AJ24" s="392">
        <v>10463234</v>
      </c>
      <c r="AK24" s="392">
        <v>11869262</v>
      </c>
      <c r="AL24" s="392">
        <v>12647243</v>
      </c>
      <c r="AM24" s="392">
        <v>13978865</v>
      </c>
      <c r="AN24" s="392">
        <v>15541251</v>
      </c>
      <c r="AO24" s="392">
        <v>16921415</v>
      </c>
      <c r="AP24" s="392">
        <v>16645846</v>
      </c>
      <c r="AQ24" s="392">
        <v>17352317</v>
      </c>
    </row>
    <row r="25" spans="1:43">
      <c r="A25" s="392" t="s">
        <v>52</v>
      </c>
      <c r="B25" s="392" t="s">
        <v>1237</v>
      </c>
      <c r="C25" s="392" t="s">
        <v>583</v>
      </c>
      <c r="D25" s="392" t="s">
        <v>583</v>
      </c>
      <c r="E25" s="392" t="s">
        <v>583</v>
      </c>
      <c r="F25" s="392" t="s">
        <v>583</v>
      </c>
      <c r="G25" s="392" t="s">
        <v>583</v>
      </c>
      <c r="H25" s="392" t="s">
        <v>583</v>
      </c>
      <c r="I25" s="392" t="s">
        <v>583</v>
      </c>
      <c r="J25" s="392" t="s">
        <v>583</v>
      </c>
      <c r="K25" s="392" t="s">
        <v>583</v>
      </c>
      <c r="L25" s="392" t="s">
        <v>583</v>
      </c>
      <c r="M25" s="392" t="s">
        <v>583</v>
      </c>
      <c r="N25" s="392" t="s">
        <v>583</v>
      </c>
      <c r="O25" s="392" t="s">
        <v>583</v>
      </c>
      <c r="P25" s="392" t="s">
        <v>583</v>
      </c>
      <c r="Q25" s="392" t="s">
        <v>583</v>
      </c>
      <c r="R25" s="392" t="s">
        <v>583</v>
      </c>
      <c r="S25" s="392" t="s">
        <v>583</v>
      </c>
      <c r="T25" s="392" t="s">
        <v>583</v>
      </c>
      <c r="U25" s="392" t="s">
        <v>583</v>
      </c>
      <c r="V25" s="392" t="s">
        <v>583</v>
      </c>
      <c r="W25" s="392" t="s">
        <v>583</v>
      </c>
      <c r="X25" s="392" t="s">
        <v>583</v>
      </c>
      <c r="Y25" s="392" t="s">
        <v>583</v>
      </c>
      <c r="Z25" s="392" t="s">
        <v>583</v>
      </c>
      <c r="AA25" s="392" t="s">
        <v>583</v>
      </c>
      <c r="AB25" s="392" t="s">
        <v>583</v>
      </c>
      <c r="AC25" s="392" t="s">
        <v>583</v>
      </c>
      <c r="AD25" s="392" t="s">
        <v>583</v>
      </c>
      <c r="AE25" s="392" t="s">
        <v>583</v>
      </c>
      <c r="AF25" s="392">
        <v>1132114</v>
      </c>
      <c r="AG25" s="392">
        <v>1179159</v>
      </c>
      <c r="AH25" s="392">
        <v>2487860</v>
      </c>
      <c r="AI25" s="392">
        <v>5967815</v>
      </c>
      <c r="AJ25" s="392">
        <v>3363444</v>
      </c>
      <c r="AK25" s="392">
        <v>3541931</v>
      </c>
      <c r="AL25" s="392">
        <v>4630539</v>
      </c>
      <c r="AM25" s="392">
        <v>3561985</v>
      </c>
      <c r="AN25" s="392">
        <v>2939543</v>
      </c>
      <c r="AO25" s="392">
        <v>3166776</v>
      </c>
      <c r="AP25" s="392">
        <v>2371927</v>
      </c>
      <c r="AQ25" s="392">
        <v>2147674</v>
      </c>
    </row>
    <row r="26" spans="1:43">
      <c r="A26" s="392" t="s">
        <v>51</v>
      </c>
      <c r="B26" s="392" t="s">
        <v>1236</v>
      </c>
      <c r="C26" s="392">
        <v>93660</v>
      </c>
      <c r="D26" s="392">
        <v>101954</v>
      </c>
      <c r="E26" s="392">
        <v>130271</v>
      </c>
      <c r="F26" s="392">
        <v>173703</v>
      </c>
      <c r="G26" s="392">
        <v>199734</v>
      </c>
      <c r="H26" s="392">
        <v>243622</v>
      </c>
      <c r="I26" s="392">
        <v>302358</v>
      </c>
      <c r="J26" s="392">
        <v>395035</v>
      </c>
      <c r="K26" s="392">
        <v>446641</v>
      </c>
      <c r="L26" s="392">
        <v>504703</v>
      </c>
      <c r="M26" s="392">
        <v>595843</v>
      </c>
      <c r="N26" s="392">
        <v>706245</v>
      </c>
      <c r="O26" s="392">
        <v>810446</v>
      </c>
      <c r="P26" s="392">
        <v>890406</v>
      </c>
      <c r="Q26" s="392">
        <v>957163</v>
      </c>
      <c r="R26" s="392">
        <v>968307</v>
      </c>
      <c r="S26" s="392">
        <v>1021792</v>
      </c>
      <c r="T26" s="392">
        <v>1072968</v>
      </c>
      <c r="U26" s="392">
        <v>1211513</v>
      </c>
      <c r="V26" s="392">
        <v>1335450</v>
      </c>
      <c r="W26" s="392">
        <v>1393866</v>
      </c>
      <c r="X26" s="392">
        <v>1668821</v>
      </c>
      <c r="Y26" s="392">
        <v>1693495</v>
      </c>
      <c r="Z26" s="392">
        <v>1888060</v>
      </c>
      <c r="AA26" s="392">
        <v>2146309</v>
      </c>
      <c r="AB26" s="392">
        <v>2340650</v>
      </c>
      <c r="AC26" s="392">
        <v>2622410</v>
      </c>
      <c r="AD26" s="392">
        <v>2604569</v>
      </c>
      <c r="AE26" s="392">
        <v>3229719</v>
      </c>
      <c r="AF26" s="392">
        <v>3517773</v>
      </c>
      <c r="AG26" s="392">
        <v>4443047</v>
      </c>
      <c r="AH26" s="392">
        <v>5034923</v>
      </c>
      <c r="AI26" s="392">
        <v>4883790</v>
      </c>
      <c r="AJ26" s="392">
        <v>4608777</v>
      </c>
      <c r="AK26" s="392">
        <v>4769325</v>
      </c>
      <c r="AL26" s="392">
        <v>5186886</v>
      </c>
      <c r="AM26" s="392">
        <v>4877177</v>
      </c>
      <c r="AN26" s="392">
        <v>5221699</v>
      </c>
      <c r="AO26" s="392">
        <v>5355113</v>
      </c>
      <c r="AP26" s="392">
        <v>5127243</v>
      </c>
      <c r="AQ26" s="392">
        <v>5098581</v>
      </c>
    </row>
    <row r="27" spans="1:43" ht="13">
      <c r="A27" s="1944" t="s">
        <v>7</v>
      </c>
      <c r="B27" s="1976"/>
      <c r="C27" s="1976"/>
      <c r="D27" s="1976"/>
      <c r="E27" s="1976"/>
      <c r="F27" s="1976"/>
      <c r="G27" s="1976"/>
      <c r="H27" s="1976"/>
      <c r="I27" s="1976"/>
      <c r="J27" s="1976"/>
      <c r="K27" s="1976"/>
      <c r="L27" s="1976"/>
      <c r="M27" s="1976"/>
      <c r="N27" s="1976"/>
      <c r="O27" s="1976"/>
      <c r="P27" s="1976"/>
      <c r="Q27" s="1976"/>
      <c r="R27" s="1976"/>
      <c r="S27" s="1976"/>
      <c r="T27" s="1976"/>
      <c r="U27" s="1976"/>
      <c r="V27" s="1976"/>
      <c r="W27" s="1976"/>
      <c r="X27" s="1976"/>
      <c r="Y27" s="1976"/>
      <c r="Z27" s="1976"/>
      <c r="AA27" s="1976"/>
      <c r="AB27" s="1976"/>
      <c r="AC27" s="1976"/>
      <c r="AD27" s="1976"/>
      <c r="AE27" s="1976"/>
      <c r="AF27" s="1976"/>
      <c r="AG27" s="1976"/>
      <c r="AH27" s="1976"/>
      <c r="AI27" s="1976"/>
      <c r="AJ27" s="1976"/>
      <c r="AK27" s="1976"/>
      <c r="AL27" s="1976"/>
      <c r="AM27" s="1976"/>
      <c r="AN27" s="1976"/>
      <c r="AO27" s="1976"/>
      <c r="AP27" s="1976"/>
      <c r="AQ27" s="1976"/>
    </row>
    <row r="28" spans="1:43">
      <c r="A28" s="1943" t="s">
        <v>1084</v>
      </c>
      <c r="B28" s="1976"/>
      <c r="C28" s="1976"/>
      <c r="D28" s="1976"/>
      <c r="E28" s="1976"/>
      <c r="F28" s="1976"/>
      <c r="G28" s="1976"/>
      <c r="H28" s="1976"/>
      <c r="I28" s="1976"/>
      <c r="J28" s="1976"/>
      <c r="K28" s="1976"/>
      <c r="L28" s="1976"/>
      <c r="M28" s="1976"/>
      <c r="N28" s="1976"/>
      <c r="O28" s="1976"/>
      <c r="P28" s="1976"/>
      <c r="Q28" s="1976"/>
      <c r="R28" s="1976"/>
      <c r="S28" s="1976"/>
      <c r="T28" s="1976"/>
      <c r="U28" s="1976"/>
      <c r="V28" s="1976"/>
      <c r="W28" s="1976"/>
      <c r="X28" s="1976"/>
      <c r="Y28" s="1976"/>
      <c r="Z28" s="1976"/>
      <c r="AA28" s="1976"/>
      <c r="AB28" s="1976"/>
      <c r="AC28" s="1976"/>
      <c r="AD28" s="1976"/>
      <c r="AE28" s="1976"/>
      <c r="AF28" s="1976"/>
      <c r="AG28" s="1976"/>
      <c r="AH28" s="1976"/>
      <c r="AI28" s="1976"/>
      <c r="AJ28" s="1976"/>
      <c r="AK28" s="1976"/>
      <c r="AL28" s="1976"/>
      <c r="AM28" s="1976"/>
      <c r="AN28" s="1976"/>
      <c r="AO28" s="1976"/>
      <c r="AP28" s="1976"/>
      <c r="AQ28" s="1976"/>
    </row>
    <row r="29" spans="1:43">
      <c r="A29" s="1943" t="s">
        <v>1083</v>
      </c>
      <c r="B29" s="1976"/>
      <c r="C29" s="1976"/>
      <c r="D29" s="1976"/>
      <c r="E29" s="1976"/>
      <c r="F29" s="1976"/>
      <c r="G29" s="1976"/>
      <c r="H29" s="1976"/>
      <c r="I29" s="1976"/>
      <c r="J29" s="1976"/>
      <c r="K29" s="1976"/>
      <c r="L29" s="1976"/>
      <c r="M29" s="1976"/>
      <c r="N29" s="1976"/>
      <c r="O29" s="1976"/>
      <c r="P29" s="1976"/>
      <c r="Q29" s="1976"/>
      <c r="R29" s="1976"/>
      <c r="S29" s="1976"/>
      <c r="T29" s="1976"/>
      <c r="U29" s="1976"/>
      <c r="V29" s="1976"/>
      <c r="W29" s="1976"/>
      <c r="X29" s="1976"/>
      <c r="Y29" s="1976"/>
      <c r="Z29" s="1976"/>
      <c r="AA29" s="1976"/>
      <c r="AB29" s="1976"/>
      <c r="AC29" s="1976"/>
      <c r="AD29" s="1976"/>
      <c r="AE29" s="1976"/>
      <c r="AF29" s="1976"/>
      <c r="AG29" s="1976"/>
      <c r="AH29" s="1976"/>
      <c r="AI29" s="1976"/>
      <c r="AJ29" s="1976"/>
      <c r="AK29" s="1976"/>
      <c r="AL29" s="1976"/>
      <c r="AM29" s="1976"/>
      <c r="AN29" s="1976"/>
      <c r="AO29" s="1976"/>
      <c r="AP29" s="1976"/>
      <c r="AQ29" s="1976"/>
    </row>
  </sheetData>
  <mergeCells count="50">
    <mergeCell ref="A27:AQ27"/>
    <mergeCell ref="A28:AQ28"/>
    <mergeCell ref="A29:AQ29"/>
    <mergeCell ref="AK6"/>
    <mergeCell ref="AL6"/>
    <mergeCell ref="AM6"/>
    <mergeCell ref="AN6"/>
    <mergeCell ref="AO6"/>
    <mergeCell ref="AP6"/>
    <mergeCell ref="AG6"/>
    <mergeCell ref="AH6"/>
    <mergeCell ref="AI6"/>
    <mergeCell ref="AJ6"/>
    <mergeCell ref="AQ6"/>
    <mergeCell ref="AB6"/>
    <mergeCell ref="AC6"/>
    <mergeCell ref="AD6"/>
    <mergeCell ref="AE6"/>
    <mergeCell ref="AF6"/>
    <mergeCell ref="W6"/>
    <mergeCell ref="X6"/>
    <mergeCell ref="Y6"/>
    <mergeCell ref="Z6"/>
    <mergeCell ref="AA6"/>
    <mergeCell ref="R6"/>
    <mergeCell ref="S6"/>
    <mergeCell ref="T6"/>
    <mergeCell ref="U6"/>
    <mergeCell ref="V6"/>
    <mergeCell ref="M6"/>
    <mergeCell ref="N6"/>
    <mergeCell ref="O6"/>
    <mergeCell ref="P6"/>
    <mergeCell ref="Q6"/>
    <mergeCell ref="A1:AQ1"/>
    <mergeCell ref="A2:AQ2"/>
    <mergeCell ref="A3:AQ3"/>
    <mergeCell ref="A4:AQ4"/>
    <mergeCell ref="A6"/>
    <mergeCell ref="B6"/>
    <mergeCell ref="C6"/>
    <mergeCell ref="D6"/>
    <mergeCell ref="E6"/>
    <mergeCell ref="F6"/>
    <mergeCell ref="G6"/>
    <mergeCell ref="H6"/>
    <mergeCell ref="I6"/>
    <mergeCell ref="J6"/>
    <mergeCell ref="K6"/>
    <mergeCell ref="L6"/>
  </mergeCell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2"/>
  <sheetViews>
    <sheetView workbookViewId="0">
      <pane xSplit="2" ySplit="6" topLeftCell="C7"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7.5703125" style="735"/>
    <col min="2" max="2" width="56.28515625" style="735" customWidth="1"/>
    <col min="3" max="16384" width="7.5703125" style="735"/>
  </cols>
  <sheetData>
    <row r="1" spans="1:43" ht="17">
      <c r="A1" s="1957" t="s">
        <v>2376</v>
      </c>
      <c r="B1" s="1958"/>
      <c r="C1" s="1958"/>
      <c r="D1" s="1958"/>
      <c r="E1" s="1958"/>
      <c r="F1" s="1958"/>
      <c r="G1" s="1958"/>
      <c r="H1" s="1958"/>
      <c r="I1" s="1958"/>
      <c r="J1" s="1958"/>
      <c r="K1" s="1958"/>
      <c r="L1" s="1958"/>
      <c r="M1" s="1958"/>
      <c r="N1" s="1958"/>
      <c r="O1" s="1958"/>
      <c r="P1" s="1958"/>
      <c r="Q1" s="1958"/>
      <c r="R1" s="1958"/>
      <c r="S1" s="1958"/>
      <c r="T1" s="1958"/>
      <c r="U1" s="1958"/>
      <c r="V1" s="1958"/>
      <c r="W1" s="1958"/>
      <c r="X1" s="1958"/>
      <c r="Y1" s="1958"/>
      <c r="Z1" s="1958"/>
      <c r="AA1" s="1958"/>
      <c r="AB1" s="1958"/>
      <c r="AC1" s="1958"/>
      <c r="AD1" s="1958"/>
      <c r="AE1" s="1958"/>
      <c r="AF1" s="1958"/>
      <c r="AG1" s="1958"/>
      <c r="AH1" s="1958"/>
      <c r="AI1" s="1958"/>
      <c r="AJ1" s="1958"/>
      <c r="AK1" s="1958"/>
      <c r="AL1" s="1958"/>
      <c r="AM1" s="1958"/>
      <c r="AN1" s="1958"/>
      <c r="AO1" s="1958"/>
      <c r="AP1" s="1958"/>
      <c r="AQ1" s="1958"/>
    </row>
    <row r="2" spans="1:43" ht="16">
      <c r="A2" s="1959" t="s">
        <v>1110</v>
      </c>
      <c r="B2" s="1958"/>
      <c r="C2" s="1958"/>
      <c r="D2" s="1958"/>
      <c r="E2" s="1958"/>
      <c r="F2" s="1958"/>
      <c r="G2" s="1958"/>
      <c r="H2" s="1958"/>
      <c r="I2" s="1958"/>
      <c r="J2" s="1958"/>
      <c r="K2" s="1958"/>
      <c r="L2" s="1958"/>
      <c r="M2" s="1958"/>
      <c r="N2" s="1958"/>
      <c r="O2" s="1958"/>
      <c r="P2" s="1958"/>
      <c r="Q2" s="1958"/>
      <c r="R2" s="1958"/>
      <c r="S2" s="1958"/>
      <c r="T2" s="1958"/>
      <c r="U2" s="1958"/>
      <c r="V2" s="1958"/>
      <c r="W2" s="1958"/>
      <c r="X2" s="1958"/>
      <c r="Y2" s="1958"/>
      <c r="Z2" s="1958"/>
      <c r="AA2" s="1958"/>
      <c r="AB2" s="1958"/>
      <c r="AC2" s="1958"/>
      <c r="AD2" s="1958"/>
      <c r="AE2" s="1958"/>
      <c r="AF2" s="1958"/>
      <c r="AG2" s="1958"/>
      <c r="AH2" s="1958"/>
      <c r="AI2" s="1958"/>
      <c r="AJ2" s="1958"/>
      <c r="AK2" s="1958"/>
      <c r="AL2" s="1958"/>
      <c r="AM2" s="1958"/>
      <c r="AN2" s="1958"/>
      <c r="AO2" s="1958"/>
      <c r="AP2" s="1958"/>
      <c r="AQ2" s="1958"/>
    </row>
    <row r="3" spans="1:43">
      <c r="A3" s="1958" t="s">
        <v>160</v>
      </c>
      <c r="B3" s="1958"/>
      <c r="C3" s="1958"/>
      <c r="D3" s="1958"/>
      <c r="E3" s="1958"/>
      <c r="F3" s="1958"/>
      <c r="G3" s="1958"/>
      <c r="H3" s="1958"/>
      <c r="I3" s="1958"/>
      <c r="J3" s="1958"/>
      <c r="K3" s="1958"/>
      <c r="L3" s="1958"/>
      <c r="M3" s="1958"/>
      <c r="N3" s="1958"/>
      <c r="O3" s="1958"/>
      <c r="P3" s="1958"/>
      <c r="Q3" s="1958"/>
      <c r="R3" s="1958"/>
      <c r="S3" s="1958"/>
      <c r="T3" s="1958"/>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row>
    <row r="4" spans="1:43">
      <c r="A4" s="1958" t="s">
        <v>1109</v>
      </c>
      <c r="B4" s="1958"/>
      <c r="C4" s="1958"/>
      <c r="D4" s="1958"/>
      <c r="E4" s="1958"/>
      <c r="F4" s="1958"/>
      <c r="G4" s="1958"/>
      <c r="H4" s="1958"/>
      <c r="I4" s="1958"/>
      <c r="J4" s="1958"/>
      <c r="K4" s="1958"/>
      <c r="L4" s="1958"/>
      <c r="M4" s="1958"/>
      <c r="N4" s="1958"/>
      <c r="O4" s="1958"/>
      <c r="P4" s="1958"/>
      <c r="Q4" s="1958"/>
      <c r="R4" s="1958"/>
      <c r="S4" s="1958"/>
      <c r="T4" s="1958"/>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row>
    <row r="6" spans="1:43">
      <c r="A6" s="1960" t="s">
        <v>159</v>
      </c>
      <c r="B6" s="1960" t="s">
        <v>1108</v>
      </c>
      <c r="C6" s="1960" t="s">
        <v>111</v>
      </c>
      <c r="D6" s="1960" t="s">
        <v>1254</v>
      </c>
      <c r="E6" s="1960" t="s">
        <v>109</v>
      </c>
      <c r="F6" s="1960" t="s">
        <v>1253</v>
      </c>
      <c r="G6" s="1960" t="s">
        <v>107</v>
      </c>
      <c r="H6" s="1960" t="s">
        <v>1252</v>
      </c>
      <c r="I6" s="1960" t="s">
        <v>105</v>
      </c>
      <c r="J6" s="1960" t="s">
        <v>1078</v>
      </c>
      <c r="K6" s="1960" t="s">
        <v>103</v>
      </c>
      <c r="L6" s="1960" t="s">
        <v>1077</v>
      </c>
      <c r="M6" s="1960" t="s">
        <v>101</v>
      </c>
      <c r="N6" s="1960" t="s">
        <v>1076</v>
      </c>
      <c r="O6" s="1960" t="s">
        <v>99</v>
      </c>
      <c r="P6" s="1960" t="s">
        <v>1075</v>
      </c>
      <c r="Q6" s="1960" t="s">
        <v>97</v>
      </c>
      <c r="R6" s="1960" t="s">
        <v>1074</v>
      </c>
      <c r="S6" s="1960" t="s">
        <v>95</v>
      </c>
      <c r="T6" s="1960" t="s">
        <v>1073</v>
      </c>
      <c r="U6" s="1960" t="s">
        <v>93</v>
      </c>
      <c r="V6" s="1960" t="s">
        <v>1072</v>
      </c>
      <c r="W6" s="1960" t="s">
        <v>91</v>
      </c>
      <c r="X6" s="1960" t="s">
        <v>1071</v>
      </c>
      <c r="Y6" s="1960" t="s">
        <v>89</v>
      </c>
      <c r="Z6" s="1960" t="s">
        <v>261</v>
      </c>
      <c r="AA6" s="1960" t="s">
        <v>87</v>
      </c>
      <c r="AB6" s="1960" t="s">
        <v>260</v>
      </c>
      <c r="AC6" s="1960" t="s">
        <v>85</v>
      </c>
      <c r="AD6" s="1960" t="s">
        <v>259</v>
      </c>
      <c r="AE6" s="1960" t="s">
        <v>83</v>
      </c>
      <c r="AF6" s="1960" t="s">
        <v>258</v>
      </c>
      <c r="AG6" s="1960" t="s">
        <v>81</v>
      </c>
      <c r="AH6" s="1960" t="s">
        <v>257</v>
      </c>
      <c r="AI6" s="1960" t="s">
        <v>79</v>
      </c>
      <c r="AJ6" s="1960" t="s">
        <v>256</v>
      </c>
      <c r="AK6" s="1960" t="s">
        <v>77</v>
      </c>
      <c r="AL6" s="1960" t="s">
        <v>255</v>
      </c>
      <c r="AM6" s="1960" t="s">
        <v>75</v>
      </c>
      <c r="AN6" s="1960" t="s">
        <v>794</v>
      </c>
      <c r="AO6" s="1960" t="s">
        <v>866</v>
      </c>
      <c r="AP6" s="1960" t="s">
        <v>1070</v>
      </c>
      <c r="AQ6" s="1960" t="s">
        <v>864</v>
      </c>
    </row>
    <row r="7" spans="1:43">
      <c r="A7" s="752" t="s">
        <v>73</v>
      </c>
      <c r="B7" s="752" t="s">
        <v>2375</v>
      </c>
      <c r="C7" s="752">
        <v>80539</v>
      </c>
      <c r="D7" s="752">
        <v>98585</v>
      </c>
      <c r="E7" s="752">
        <v>128273</v>
      </c>
      <c r="F7" s="752">
        <v>232250</v>
      </c>
      <c r="G7" s="752">
        <v>296862</v>
      </c>
      <c r="H7" s="752">
        <v>226992</v>
      </c>
      <c r="I7" s="752">
        <v>238366</v>
      </c>
      <c r="J7" s="752">
        <v>261494</v>
      </c>
      <c r="K7" s="752">
        <v>140140</v>
      </c>
      <c r="L7" s="752">
        <v>104281</v>
      </c>
      <c r="M7" s="752">
        <v>109232</v>
      </c>
      <c r="N7" s="752">
        <v>59616</v>
      </c>
      <c r="O7" s="752">
        <v>21479</v>
      </c>
      <c r="P7" s="752">
        <v>-33713</v>
      </c>
      <c r="Q7" s="752">
        <v>-149523</v>
      </c>
      <c r="R7" s="752">
        <v>-243314</v>
      </c>
      <c r="S7" s="752">
        <v>-432129</v>
      </c>
      <c r="T7" s="752">
        <v>-121772</v>
      </c>
      <c r="U7" s="752">
        <v>-110311</v>
      </c>
      <c r="V7" s="752">
        <v>-277567</v>
      </c>
      <c r="W7" s="752">
        <v>-328306</v>
      </c>
      <c r="X7" s="752">
        <v>-788225</v>
      </c>
      <c r="Y7" s="752">
        <v>-1033775</v>
      </c>
      <c r="Z7" s="752">
        <v>-1002268</v>
      </c>
      <c r="AA7" s="752">
        <v>-1536826</v>
      </c>
      <c r="AB7" s="752">
        <v>-2295050</v>
      </c>
      <c r="AC7" s="752">
        <v>-2410951</v>
      </c>
      <c r="AD7" s="752">
        <v>-2293013</v>
      </c>
      <c r="AE7" s="752">
        <v>-2363392</v>
      </c>
      <c r="AF7" s="752">
        <v>-1857865</v>
      </c>
      <c r="AG7" s="752">
        <v>-1808474</v>
      </c>
      <c r="AH7" s="752">
        <v>-1279493</v>
      </c>
      <c r="AI7" s="752">
        <v>-3995303</v>
      </c>
      <c r="AJ7" s="752">
        <v>-2627626</v>
      </c>
      <c r="AK7" s="752">
        <v>-2511788</v>
      </c>
      <c r="AL7" s="752">
        <v>-4454997</v>
      </c>
      <c r="AM7" s="752">
        <v>-4518300</v>
      </c>
      <c r="AN7" s="752">
        <v>-5372654</v>
      </c>
      <c r="AO7" s="752">
        <v>-6980245</v>
      </c>
      <c r="AP7" s="752">
        <v>-7493479</v>
      </c>
      <c r="AQ7" s="752">
        <v>-8318378</v>
      </c>
    </row>
    <row r="8" spans="1:43">
      <c r="A8" s="735" t="s">
        <v>72</v>
      </c>
      <c r="B8" s="735" t="s">
        <v>2374</v>
      </c>
      <c r="C8" s="735">
        <v>80539</v>
      </c>
      <c r="D8" s="735">
        <v>98585</v>
      </c>
      <c r="E8" s="735">
        <v>128273</v>
      </c>
      <c r="F8" s="735">
        <v>232250</v>
      </c>
      <c r="G8" s="735">
        <v>296862</v>
      </c>
      <c r="H8" s="735">
        <v>226992</v>
      </c>
      <c r="I8" s="735">
        <v>238366</v>
      </c>
      <c r="J8" s="735">
        <v>261494</v>
      </c>
      <c r="K8" s="735">
        <v>140140</v>
      </c>
      <c r="L8" s="735">
        <v>104281</v>
      </c>
      <c r="M8" s="735">
        <v>109232</v>
      </c>
      <c r="N8" s="735">
        <v>59616</v>
      </c>
      <c r="O8" s="735">
        <v>21479</v>
      </c>
      <c r="P8" s="735">
        <v>-33713</v>
      </c>
      <c r="Q8" s="735">
        <v>-149523</v>
      </c>
      <c r="R8" s="735">
        <v>-243314</v>
      </c>
      <c r="S8" s="735">
        <v>-432129</v>
      </c>
      <c r="T8" s="735">
        <v>-121772</v>
      </c>
      <c r="U8" s="735">
        <v>-110311</v>
      </c>
      <c r="V8" s="735">
        <v>-277567</v>
      </c>
      <c r="W8" s="735">
        <v>-328306</v>
      </c>
      <c r="X8" s="735">
        <v>-788225</v>
      </c>
      <c r="Y8" s="735">
        <v>-1033775</v>
      </c>
      <c r="Z8" s="735">
        <v>-1002268</v>
      </c>
      <c r="AA8" s="735">
        <v>-1536826</v>
      </c>
      <c r="AB8" s="735">
        <v>-2295050</v>
      </c>
      <c r="AC8" s="735">
        <v>-2410951</v>
      </c>
      <c r="AD8" s="735">
        <v>-2293013</v>
      </c>
      <c r="AE8" s="735">
        <v>-2363392</v>
      </c>
      <c r="AF8" s="735">
        <v>-1915780</v>
      </c>
      <c r="AG8" s="735">
        <v>-1868310</v>
      </c>
      <c r="AH8" s="735">
        <v>-1350965</v>
      </c>
      <c r="AI8" s="735">
        <v>-4154938</v>
      </c>
      <c r="AJ8" s="735">
        <v>-2753961</v>
      </c>
      <c r="AK8" s="735">
        <v>-2622170</v>
      </c>
      <c r="AL8" s="735">
        <v>-4541036</v>
      </c>
      <c r="AM8" s="735">
        <v>-4576076</v>
      </c>
      <c r="AN8" s="735">
        <v>-5450211</v>
      </c>
      <c r="AO8" s="735">
        <v>-7065777</v>
      </c>
      <c r="AP8" s="735">
        <v>-7549793</v>
      </c>
      <c r="AQ8" s="735">
        <v>-8379684</v>
      </c>
    </row>
    <row r="9" spans="1:43">
      <c r="A9" s="735" t="s">
        <v>70</v>
      </c>
      <c r="B9" s="735" t="s">
        <v>2373</v>
      </c>
      <c r="C9" s="735" t="s">
        <v>583</v>
      </c>
      <c r="D9" s="735" t="s">
        <v>583</v>
      </c>
      <c r="E9" s="735" t="s">
        <v>583</v>
      </c>
      <c r="F9" s="735" t="s">
        <v>583</v>
      </c>
      <c r="G9" s="735" t="s">
        <v>583</v>
      </c>
      <c r="H9" s="735" t="s">
        <v>583</v>
      </c>
      <c r="I9" s="735" t="s">
        <v>583</v>
      </c>
      <c r="J9" s="735" t="s">
        <v>583</v>
      </c>
      <c r="K9" s="735" t="s">
        <v>583</v>
      </c>
      <c r="L9" s="735" t="s">
        <v>583</v>
      </c>
      <c r="M9" s="735" t="s">
        <v>583</v>
      </c>
      <c r="N9" s="735" t="s">
        <v>583</v>
      </c>
      <c r="O9" s="735" t="s">
        <v>583</v>
      </c>
      <c r="P9" s="735" t="s">
        <v>583</v>
      </c>
      <c r="Q9" s="735" t="s">
        <v>583</v>
      </c>
      <c r="R9" s="735" t="s">
        <v>583</v>
      </c>
      <c r="S9" s="735" t="s">
        <v>583</v>
      </c>
      <c r="T9" s="735" t="s">
        <v>583</v>
      </c>
      <c r="U9" s="735" t="s">
        <v>583</v>
      </c>
      <c r="V9" s="735" t="s">
        <v>583</v>
      </c>
      <c r="W9" s="735" t="s">
        <v>583</v>
      </c>
      <c r="X9" s="735" t="s">
        <v>583</v>
      </c>
      <c r="Y9" s="735" t="s">
        <v>583</v>
      </c>
      <c r="Z9" s="735" t="s">
        <v>583</v>
      </c>
      <c r="AA9" s="735" t="s">
        <v>583</v>
      </c>
      <c r="AB9" s="735" t="s">
        <v>583</v>
      </c>
      <c r="AC9" s="735" t="s">
        <v>583</v>
      </c>
      <c r="AD9" s="735" t="s">
        <v>583</v>
      </c>
      <c r="AE9" s="735" t="s">
        <v>583</v>
      </c>
      <c r="AF9" s="735">
        <v>57915</v>
      </c>
      <c r="AG9" s="735">
        <v>59836</v>
      </c>
      <c r="AH9" s="735">
        <v>71472</v>
      </c>
      <c r="AI9" s="735">
        <v>159635</v>
      </c>
      <c r="AJ9" s="735">
        <v>126335</v>
      </c>
      <c r="AK9" s="735">
        <v>110382</v>
      </c>
      <c r="AL9" s="735">
        <v>86039</v>
      </c>
      <c r="AM9" s="735">
        <v>57776</v>
      </c>
      <c r="AN9" s="735">
        <v>77557</v>
      </c>
      <c r="AO9" s="735">
        <v>85532</v>
      </c>
      <c r="AP9" s="735">
        <v>56314</v>
      </c>
      <c r="AQ9" s="735">
        <v>61306</v>
      </c>
    </row>
    <row r="10" spans="1:43">
      <c r="A10" s="752" t="s">
        <v>69</v>
      </c>
      <c r="B10" s="752" t="s">
        <v>1248</v>
      </c>
      <c r="C10" s="752">
        <v>371424</v>
      </c>
      <c r="D10" s="752">
        <v>429060</v>
      </c>
      <c r="E10" s="752">
        <v>526090</v>
      </c>
      <c r="F10" s="752">
        <v>680460</v>
      </c>
      <c r="G10" s="752">
        <v>839083</v>
      </c>
      <c r="H10" s="752">
        <v>832943</v>
      </c>
      <c r="I10" s="752">
        <v>1030358</v>
      </c>
      <c r="J10" s="752">
        <v>1206656</v>
      </c>
      <c r="K10" s="752">
        <v>1214478</v>
      </c>
      <c r="L10" s="752">
        <v>1392053</v>
      </c>
      <c r="M10" s="752">
        <v>1679716</v>
      </c>
      <c r="N10" s="752">
        <v>1850216</v>
      </c>
      <c r="O10" s="752">
        <v>2098851</v>
      </c>
      <c r="P10" s="752">
        <v>2447740</v>
      </c>
      <c r="Q10" s="752">
        <v>2415654</v>
      </c>
      <c r="R10" s="752">
        <v>2605674</v>
      </c>
      <c r="S10" s="752">
        <v>2611230</v>
      </c>
      <c r="T10" s="752">
        <v>3234733</v>
      </c>
      <c r="U10" s="752">
        <v>3434637</v>
      </c>
      <c r="V10" s="752">
        <v>4094375</v>
      </c>
      <c r="W10" s="752">
        <v>4791796</v>
      </c>
      <c r="X10" s="752">
        <v>5536514</v>
      </c>
      <c r="Y10" s="752">
        <v>6368620</v>
      </c>
      <c r="Z10" s="752">
        <v>7611443</v>
      </c>
      <c r="AA10" s="752">
        <v>7641748</v>
      </c>
      <c r="AB10" s="752">
        <v>7170013</v>
      </c>
      <c r="AC10" s="752">
        <v>7065177</v>
      </c>
      <c r="AD10" s="752">
        <v>8620934</v>
      </c>
      <c r="AE10" s="752">
        <v>10589003</v>
      </c>
      <c r="AF10" s="752">
        <v>13357001</v>
      </c>
      <c r="AG10" s="752">
        <v>16409857</v>
      </c>
      <c r="AH10" s="752">
        <v>20704503</v>
      </c>
      <c r="AI10" s="752">
        <v>19423416</v>
      </c>
      <c r="AJ10" s="752">
        <v>19426459</v>
      </c>
      <c r="AK10" s="752">
        <v>21767827</v>
      </c>
      <c r="AL10" s="752">
        <v>22208896</v>
      </c>
      <c r="AM10" s="752">
        <v>22562162</v>
      </c>
      <c r="AN10" s="752">
        <v>24144775</v>
      </c>
      <c r="AO10" s="752">
        <v>24832583</v>
      </c>
      <c r="AP10" s="752">
        <v>23352371</v>
      </c>
      <c r="AQ10" s="752">
        <v>23849445</v>
      </c>
    </row>
    <row r="11" spans="1:43">
      <c r="A11" s="735" t="s">
        <v>68</v>
      </c>
      <c r="B11" s="735" t="s">
        <v>2372</v>
      </c>
      <c r="C11" s="735">
        <v>371424</v>
      </c>
      <c r="D11" s="735">
        <v>429060</v>
      </c>
      <c r="E11" s="735">
        <v>526090</v>
      </c>
      <c r="F11" s="735">
        <v>680460</v>
      </c>
      <c r="G11" s="735">
        <v>839083</v>
      </c>
      <c r="H11" s="735">
        <v>832943</v>
      </c>
      <c r="I11" s="735">
        <v>1030358</v>
      </c>
      <c r="J11" s="735">
        <v>1206656</v>
      </c>
      <c r="K11" s="735">
        <v>1214478</v>
      </c>
      <c r="L11" s="735">
        <v>1392053</v>
      </c>
      <c r="M11" s="735">
        <v>1679716</v>
      </c>
      <c r="N11" s="735">
        <v>1850216</v>
      </c>
      <c r="O11" s="735">
        <v>2098851</v>
      </c>
      <c r="P11" s="735">
        <v>2447740</v>
      </c>
      <c r="Q11" s="735">
        <v>2415654</v>
      </c>
      <c r="R11" s="735">
        <v>2605674</v>
      </c>
      <c r="S11" s="735">
        <v>2611230</v>
      </c>
      <c r="T11" s="735">
        <v>3234733</v>
      </c>
      <c r="U11" s="735">
        <v>3434637</v>
      </c>
      <c r="V11" s="735">
        <v>4094375</v>
      </c>
      <c r="W11" s="735">
        <v>4791796</v>
      </c>
      <c r="X11" s="735">
        <v>5536514</v>
      </c>
      <c r="Y11" s="735">
        <v>6368620</v>
      </c>
      <c r="Z11" s="735">
        <v>7611443</v>
      </c>
      <c r="AA11" s="735">
        <v>7641748</v>
      </c>
      <c r="AB11" s="735">
        <v>7170013</v>
      </c>
      <c r="AC11" s="735">
        <v>7065177</v>
      </c>
      <c r="AD11" s="735">
        <v>8620934</v>
      </c>
      <c r="AE11" s="735">
        <v>10589003</v>
      </c>
      <c r="AF11" s="735">
        <v>12166972</v>
      </c>
      <c r="AG11" s="735">
        <v>15170862</v>
      </c>
      <c r="AH11" s="735">
        <v>18145171</v>
      </c>
      <c r="AI11" s="735">
        <v>13295966</v>
      </c>
      <c r="AJ11" s="735">
        <v>15936680</v>
      </c>
      <c r="AK11" s="735">
        <v>18115514</v>
      </c>
      <c r="AL11" s="735">
        <v>17492318</v>
      </c>
      <c r="AM11" s="735">
        <v>18942401</v>
      </c>
      <c r="AN11" s="735">
        <v>21127675</v>
      </c>
      <c r="AO11" s="735">
        <v>21580275</v>
      </c>
      <c r="AP11" s="735">
        <v>20924130</v>
      </c>
      <c r="AQ11" s="735">
        <v>21640465</v>
      </c>
    </row>
    <row r="12" spans="1:43">
      <c r="A12" s="735" t="s">
        <v>66</v>
      </c>
      <c r="B12" s="735" t="s">
        <v>2371</v>
      </c>
      <c r="C12" s="735" t="s">
        <v>583</v>
      </c>
      <c r="D12" s="735" t="s">
        <v>583</v>
      </c>
      <c r="E12" s="735" t="s">
        <v>583</v>
      </c>
      <c r="F12" s="735" t="s">
        <v>583</v>
      </c>
      <c r="G12" s="735" t="s">
        <v>583</v>
      </c>
      <c r="H12" s="735" t="s">
        <v>583</v>
      </c>
      <c r="I12" s="735" t="s">
        <v>583</v>
      </c>
      <c r="J12" s="735" t="s">
        <v>583</v>
      </c>
      <c r="K12" s="735" t="s">
        <v>583</v>
      </c>
      <c r="L12" s="735" t="s">
        <v>583</v>
      </c>
      <c r="M12" s="735" t="s">
        <v>583</v>
      </c>
      <c r="N12" s="735" t="s">
        <v>583</v>
      </c>
      <c r="O12" s="735" t="s">
        <v>583</v>
      </c>
      <c r="P12" s="735" t="s">
        <v>583</v>
      </c>
      <c r="Q12" s="735" t="s">
        <v>583</v>
      </c>
      <c r="R12" s="735" t="s">
        <v>583</v>
      </c>
      <c r="S12" s="735" t="s">
        <v>583</v>
      </c>
      <c r="T12" s="735" t="s">
        <v>583</v>
      </c>
      <c r="U12" s="735" t="s">
        <v>583</v>
      </c>
      <c r="V12" s="735" t="s">
        <v>583</v>
      </c>
      <c r="W12" s="735" t="s">
        <v>583</v>
      </c>
      <c r="X12" s="735" t="s">
        <v>583</v>
      </c>
      <c r="Y12" s="735" t="s">
        <v>583</v>
      </c>
      <c r="Z12" s="735" t="s">
        <v>583</v>
      </c>
      <c r="AA12" s="735" t="s">
        <v>583</v>
      </c>
      <c r="AB12" s="735" t="s">
        <v>583</v>
      </c>
      <c r="AC12" s="735" t="s">
        <v>583</v>
      </c>
      <c r="AD12" s="735" t="s">
        <v>583</v>
      </c>
      <c r="AE12" s="735" t="s">
        <v>583</v>
      </c>
      <c r="AF12" s="735">
        <v>1190029</v>
      </c>
      <c r="AG12" s="735">
        <v>1238995</v>
      </c>
      <c r="AH12" s="735">
        <v>2559332</v>
      </c>
      <c r="AI12" s="735">
        <v>6127450</v>
      </c>
      <c r="AJ12" s="735">
        <v>3489779</v>
      </c>
      <c r="AK12" s="735">
        <v>3652313</v>
      </c>
      <c r="AL12" s="735">
        <v>4716578</v>
      </c>
      <c r="AM12" s="735">
        <v>3619761</v>
      </c>
      <c r="AN12" s="735">
        <v>3017100</v>
      </c>
      <c r="AO12" s="735">
        <v>3252308</v>
      </c>
      <c r="AP12" s="735">
        <v>2428241</v>
      </c>
      <c r="AQ12" s="735">
        <v>2208980</v>
      </c>
    </row>
    <row r="13" spans="1:43">
      <c r="A13" s="752" t="s">
        <v>32</v>
      </c>
      <c r="B13" s="752" t="s">
        <v>1240</v>
      </c>
      <c r="C13" s="752" t="s">
        <v>32</v>
      </c>
      <c r="D13" s="752" t="s">
        <v>32</v>
      </c>
      <c r="E13" s="752" t="s">
        <v>32</v>
      </c>
      <c r="F13" s="752" t="s">
        <v>32</v>
      </c>
      <c r="G13" s="752" t="s">
        <v>32</v>
      </c>
      <c r="H13" s="752" t="s">
        <v>32</v>
      </c>
      <c r="I13" s="752" t="s">
        <v>32</v>
      </c>
      <c r="J13" s="752" t="s">
        <v>32</v>
      </c>
      <c r="K13" s="752" t="s">
        <v>32</v>
      </c>
      <c r="L13" s="752" t="s">
        <v>32</v>
      </c>
      <c r="M13" s="752" t="s">
        <v>32</v>
      </c>
      <c r="N13" s="752" t="s">
        <v>32</v>
      </c>
      <c r="O13" s="752" t="s">
        <v>32</v>
      </c>
      <c r="P13" s="752" t="s">
        <v>32</v>
      </c>
      <c r="Q13" s="752" t="s">
        <v>32</v>
      </c>
      <c r="R13" s="752" t="s">
        <v>32</v>
      </c>
      <c r="S13" s="752" t="s">
        <v>32</v>
      </c>
      <c r="T13" s="752" t="s">
        <v>32</v>
      </c>
      <c r="U13" s="752" t="s">
        <v>32</v>
      </c>
      <c r="V13" s="752" t="s">
        <v>32</v>
      </c>
      <c r="W13" s="752" t="s">
        <v>32</v>
      </c>
      <c r="X13" s="752" t="s">
        <v>32</v>
      </c>
      <c r="Y13" s="752" t="s">
        <v>32</v>
      </c>
      <c r="Z13" s="752" t="s">
        <v>32</v>
      </c>
      <c r="AA13" s="752" t="s">
        <v>32</v>
      </c>
      <c r="AB13" s="752" t="s">
        <v>32</v>
      </c>
      <c r="AC13" s="752" t="s">
        <v>32</v>
      </c>
      <c r="AD13" s="752" t="s">
        <v>32</v>
      </c>
      <c r="AE13" s="752" t="s">
        <v>32</v>
      </c>
      <c r="AF13" s="752" t="s">
        <v>32</v>
      </c>
      <c r="AG13" s="752" t="s">
        <v>32</v>
      </c>
      <c r="AH13" s="752" t="s">
        <v>32</v>
      </c>
      <c r="AI13" s="752" t="s">
        <v>32</v>
      </c>
      <c r="AJ13" s="752" t="s">
        <v>32</v>
      </c>
      <c r="AK13" s="752" t="s">
        <v>32</v>
      </c>
      <c r="AL13" s="752" t="s">
        <v>32</v>
      </c>
      <c r="AM13" s="752" t="s">
        <v>32</v>
      </c>
      <c r="AN13" s="752" t="s">
        <v>32</v>
      </c>
      <c r="AO13" s="752" t="s">
        <v>32</v>
      </c>
      <c r="AP13" s="752" t="s">
        <v>32</v>
      </c>
      <c r="AQ13" s="752" t="s">
        <v>32</v>
      </c>
    </row>
    <row r="14" spans="1:43">
      <c r="A14" s="735" t="s">
        <v>65</v>
      </c>
      <c r="B14" s="735" t="s">
        <v>1239</v>
      </c>
      <c r="C14" s="735">
        <v>136743</v>
      </c>
      <c r="D14" s="735">
        <v>162860</v>
      </c>
      <c r="E14" s="735">
        <v>189868</v>
      </c>
      <c r="F14" s="735">
        <v>230060</v>
      </c>
      <c r="G14" s="735">
        <v>297349</v>
      </c>
      <c r="H14" s="735">
        <v>239080</v>
      </c>
      <c r="I14" s="735">
        <v>295981</v>
      </c>
      <c r="J14" s="735">
        <v>351325</v>
      </c>
      <c r="K14" s="735">
        <v>357920</v>
      </c>
      <c r="L14" s="735">
        <v>475693</v>
      </c>
      <c r="M14" s="735">
        <v>615138</v>
      </c>
      <c r="N14" s="735">
        <v>681751</v>
      </c>
      <c r="O14" s="735">
        <v>782947</v>
      </c>
      <c r="P14" s="735">
        <v>929965</v>
      </c>
      <c r="Q14" s="735">
        <v>853331</v>
      </c>
      <c r="R14" s="735">
        <v>962582</v>
      </c>
      <c r="S14" s="735">
        <v>943364</v>
      </c>
      <c r="T14" s="735">
        <v>1204611</v>
      </c>
      <c r="U14" s="735">
        <v>1234084</v>
      </c>
      <c r="V14" s="735">
        <v>1493609</v>
      </c>
      <c r="W14" s="735">
        <v>1749299</v>
      </c>
      <c r="X14" s="735">
        <v>2036671</v>
      </c>
      <c r="Y14" s="735">
        <v>2469095</v>
      </c>
      <c r="Z14" s="735">
        <v>3051404</v>
      </c>
      <c r="AA14" s="735">
        <v>2934570</v>
      </c>
      <c r="AB14" s="735">
        <v>2554463</v>
      </c>
      <c r="AC14" s="735">
        <v>2283141</v>
      </c>
      <c r="AD14" s="735">
        <v>3037312</v>
      </c>
      <c r="AE14" s="735">
        <v>3746863</v>
      </c>
      <c r="AF14" s="735">
        <v>4047170</v>
      </c>
      <c r="AG14" s="735">
        <v>4929892</v>
      </c>
      <c r="AH14" s="735">
        <v>5857923</v>
      </c>
      <c r="AI14" s="735">
        <v>3707211</v>
      </c>
      <c r="AJ14" s="735">
        <v>4945292</v>
      </c>
      <c r="AK14" s="735">
        <v>5486391</v>
      </c>
      <c r="AL14" s="735">
        <v>5214826</v>
      </c>
      <c r="AM14" s="735">
        <v>5969502</v>
      </c>
      <c r="AN14" s="735">
        <v>7120688</v>
      </c>
      <c r="AO14" s="735">
        <v>7189420</v>
      </c>
      <c r="AP14" s="735">
        <v>6998949</v>
      </c>
      <c r="AQ14" s="735">
        <v>7375049</v>
      </c>
    </row>
    <row r="15" spans="1:43">
      <c r="A15" s="735" t="s">
        <v>64</v>
      </c>
      <c r="B15" s="735" t="s">
        <v>2360</v>
      </c>
      <c r="C15" s="735" t="s">
        <v>583</v>
      </c>
      <c r="D15" s="735" t="s">
        <v>583</v>
      </c>
      <c r="E15" s="735" t="s">
        <v>583</v>
      </c>
      <c r="F15" s="735" t="s">
        <v>583</v>
      </c>
      <c r="G15" s="735" t="s">
        <v>583</v>
      </c>
      <c r="H15" s="735" t="s">
        <v>583</v>
      </c>
      <c r="I15" s="735">
        <v>227369</v>
      </c>
      <c r="J15" s="735">
        <v>285799</v>
      </c>
      <c r="K15" s="735">
        <v>288987</v>
      </c>
      <c r="L15" s="735">
        <v>403897</v>
      </c>
      <c r="M15" s="735">
        <v>538513</v>
      </c>
      <c r="N15" s="735">
        <v>591850</v>
      </c>
      <c r="O15" s="735">
        <v>682896</v>
      </c>
      <c r="P15" s="735">
        <v>804307</v>
      </c>
      <c r="Q15" s="735">
        <v>704136</v>
      </c>
      <c r="R15" s="735">
        <v>803456</v>
      </c>
      <c r="S15" s="735">
        <v>762212</v>
      </c>
      <c r="T15" s="735">
        <v>1002299</v>
      </c>
      <c r="U15" s="735">
        <v>1054048</v>
      </c>
      <c r="V15" s="735">
        <v>1305643</v>
      </c>
      <c r="W15" s="735">
        <v>1540530</v>
      </c>
      <c r="X15" s="735">
        <v>1805484</v>
      </c>
      <c r="Y15" s="735">
        <v>2179807</v>
      </c>
      <c r="Z15" s="735">
        <v>2678797</v>
      </c>
      <c r="AA15" s="735">
        <v>2545603</v>
      </c>
      <c r="AB15" s="735">
        <v>2158911</v>
      </c>
      <c r="AC15" s="735">
        <v>1840110</v>
      </c>
      <c r="AD15" s="735">
        <v>2548435</v>
      </c>
      <c r="AE15" s="735">
        <v>3170545</v>
      </c>
      <c r="AF15" s="735">
        <v>3449302</v>
      </c>
      <c r="AG15" s="735">
        <v>4294301</v>
      </c>
      <c r="AH15" s="735">
        <v>5090968</v>
      </c>
      <c r="AI15" s="735">
        <v>2928147</v>
      </c>
      <c r="AJ15" s="735">
        <v>4097179</v>
      </c>
      <c r="AK15" s="735">
        <v>4620850</v>
      </c>
      <c r="AL15" s="735">
        <v>4320052</v>
      </c>
      <c r="AM15" s="735">
        <v>4983895</v>
      </c>
      <c r="AN15" s="735">
        <v>6054227</v>
      </c>
      <c r="AO15" s="735">
        <v>6040129</v>
      </c>
      <c r="AP15" s="735">
        <v>5787912</v>
      </c>
      <c r="AQ15" s="735">
        <v>6172334</v>
      </c>
    </row>
    <row r="16" spans="1:43">
      <c r="A16" s="735" t="s">
        <v>63</v>
      </c>
      <c r="B16" s="735" t="s">
        <v>2359</v>
      </c>
      <c r="C16" s="735" t="s">
        <v>583</v>
      </c>
      <c r="D16" s="735" t="s">
        <v>583</v>
      </c>
      <c r="E16" s="735" t="s">
        <v>583</v>
      </c>
      <c r="F16" s="735" t="s">
        <v>583</v>
      </c>
      <c r="G16" s="735" t="s">
        <v>583</v>
      </c>
      <c r="H16" s="735" t="s">
        <v>583</v>
      </c>
      <c r="I16" s="735">
        <v>68612</v>
      </c>
      <c r="J16" s="735">
        <v>65526</v>
      </c>
      <c r="K16" s="735">
        <v>68933</v>
      </c>
      <c r="L16" s="735">
        <v>71796</v>
      </c>
      <c r="M16" s="735">
        <v>76625</v>
      </c>
      <c r="N16" s="735">
        <v>89901</v>
      </c>
      <c r="O16" s="735">
        <v>100051</v>
      </c>
      <c r="P16" s="735">
        <v>125658</v>
      </c>
      <c r="Q16" s="735">
        <v>149195</v>
      </c>
      <c r="R16" s="735">
        <v>159126</v>
      </c>
      <c r="S16" s="735">
        <v>181152</v>
      </c>
      <c r="T16" s="735">
        <v>202312</v>
      </c>
      <c r="U16" s="735">
        <v>180036</v>
      </c>
      <c r="V16" s="735">
        <v>187966</v>
      </c>
      <c r="W16" s="735">
        <v>208769</v>
      </c>
      <c r="X16" s="735">
        <v>231187</v>
      </c>
      <c r="Y16" s="735">
        <v>289288</v>
      </c>
      <c r="Z16" s="735">
        <v>372607</v>
      </c>
      <c r="AA16" s="735">
        <v>388967</v>
      </c>
      <c r="AB16" s="735">
        <v>395552</v>
      </c>
      <c r="AC16" s="735">
        <v>443031</v>
      </c>
      <c r="AD16" s="735">
        <v>488877</v>
      </c>
      <c r="AE16" s="735">
        <v>576318</v>
      </c>
      <c r="AF16" s="735">
        <v>597868</v>
      </c>
      <c r="AG16" s="735">
        <v>635591</v>
      </c>
      <c r="AH16" s="735">
        <v>766955</v>
      </c>
      <c r="AI16" s="735">
        <v>779064</v>
      </c>
      <c r="AJ16" s="735">
        <v>848113</v>
      </c>
      <c r="AK16" s="735">
        <v>865541</v>
      </c>
      <c r="AL16" s="735">
        <v>894774</v>
      </c>
      <c r="AM16" s="735">
        <v>985607</v>
      </c>
      <c r="AN16" s="735">
        <v>1066461</v>
      </c>
      <c r="AO16" s="735">
        <v>1149291</v>
      </c>
      <c r="AP16" s="735">
        <v>1211037</v>
      </c>
      <c r="AQ16" s="735">
        <v>1202715</v>
      </c>
    </row>
    <row r="17" spans="1:43">
      <c r="A17" s="735" t="s">
        <v>61</v>
      </c>
      <c r="B17" s="735" t="s">
        <v>1238</v>
      </c>
      <c r="C17" s="735">
        <v>44157</v>
      </c>
      <c r="D17" s="735">
        <v>49439</v>
      </c>
      <c r="E17" s="735">
        <v>58780</v>
      </c>
      <c r="F17" s="735">
        <v>69869</v>
      </c>
      <c r="G17" s="735">
        <v>78028</v>
      </c>
      <c r="H17" s="735">
        <v>88494</v>
      </c>
      <c r="I17" s="735">
        <v>104809</v>
      </c>
      <c r="J17" s="735">
        <v>110787</v>
      </c>
      <c r="K17" s="735">
        <v>112609</v>
      </c>
      <c r="L17" s="735">
        <v>138735</v>
      </c>
      <c r="M17" s="735">
        <v>182167</v>
      </c>
      <c r="N17" s="735">
        <v>215285</v>
      </c>
      <c r="O17" s="735">
        <v>305186</v>
      </c>
      <c r="P17" s="735">
        <v>395727</v>
      </c>
      <c r="Q17" s="735">
        <v>425538</v>
      </c>
      <c r="R17" s="735">
        <v>525355</v>
      </c>
      <c r="S17" s="735">
        <v>586206</v>
      </c>
      <c r="T17" s="735">
        <v>916315</v>
      </c>
      <c r="U17" s="735">
        <v>990838</v>
      </c>
      <c r="V17" s="735">
        <v>1278722</v>
      </c>
      <c r="W17" s="735">
        <v>1573208</v>
      </c>
      <c r="X17" s="735">
        <v>1841029</v>
      </c>
      <c r="Y17" s="735">
        <v>2149431</v>
      </c>
      <c r="Z17" s="735">
        <v>2650768</v>
      </c>
      <c r="AA17" s="735">
        <v>2556158</v>
      </c>
      <c r="AB17" s="735">
        <v>2316634</v>
      </c>
      <c r="AC17" s="735">
        <v>2276589</v>
      </c>
      <c r="AD17" s="735">
        <v>3176287</v>
      </c>
      <c r="AE17" s="735">
        <v>3828305</v>
      </c>
      <c r="AF17" s="735">
        <v>4628978</v>
      </c>
      <c r="AG17" s="735">
        <v>6017080</v>
      </c>
      <c r="AH17" s="735">
        <v>7262045</v>
      </c>
      <c r="AI17" s="735">
        <v>4320819</v>
      </c>
      <c r="AJ17" s="735">
        <v>6058554</v>
      </c>
      <c r="AK17" s="735">
        <v>7160366</v>
      </c>
      <c r="AL17" s="735">
        <v>6871732</v>
      </c>
      <c r="AM17" s="735">
        <v>7983961</v>
      </c>
      <c r="AN17" s="735">
        <v>9206105</v>
      </c>
      <c r="AO17" s="735">
        <v>9704248</v>
      </c>
      <c r="AP17" s="735">
        <v>9570185</v>
      </c>
      <c r="AQ17" s="735">
        <v>9879246</v>
      </c>
    </row>
    <row r="18" spans="1:43">
      <c r="A18" s="735" t="s">
        <v>60</v>
      </c>
      <c r="B18" s="735" t="s">
        <v>2358</v>
      </c>
      <c r="C18" s="735">
        <v>9453</v>
      </c>
      <c r="D18" s="735">
        <v>10110</v>
      </c>
      <c r="E18" s="735">
        <v>11236</v>
      </c>
      <c r="F18" s="735">
        <v>14803</v>
      </c>
      <c r="G18" s="735">
        <v>18930</v>
      </c>
      <c r="H18" s="735">
        <v>16467</v>
      </c>
      <c r="I18" s="735">
        <v>17442</v>
      </c>
      <c r="J18" s="735">
        <v>26154</v>
      </c>
      <c r="K18" s="735">
        <v>25994</v>
      </c>
      <c r="L18" s="735">
        <v>44383</v>
      </c>
      <c r="M18" s="735">
        <v>72399</v>
      </c>
      <c r="N18" s="735">
        <v>94700</v>
      </c>
      <c r="O18" s="735">
        <v>128662</v>
      </c>
      <c r="P18" s="735">
        <v>197345</v>
      </c>
      <c r="Q18" s="735">
        <v>197596</v>
      </c>
      <c r="R18" s="735">
        <v>278976</v>
      </c>
      <c r="S18" s="735">
        <v>314266</v>
      </c>
      <c r="T18" s="735">
        <v>543862</v>
      </c>
      <c r="U18" s="735">
        <v>626762</v>
      </c>
      <c r="V18" s="735">
        <v>790615</v>
      </c>
      <c r="W18" s="735">
        <v>1006135</v>
      </c>
      <c r="X18" s="735">
        <v>1207787</v>
      </c>
      <c r="Y18" s="735">
        <v>1474983</v>
      </c>
      <c r="Z18" s="735">
        <v>2003716</v>
      </c>
      <c r="AA18" s="735">
        <v>1852842</v>
      </c>
      <c r="AB18" s="735">
        <v>1612673</v>
      </c>
      <c r="AC18" s="735">
        <v>1373980</v>
      </c>
      <c r="AD18" s="735">
        <v>2079422</v>
      </c>
      <c r="AE18" s="735">
        <v>2560418</v>
      </c>
      <c r="AF18" s="735">
        <v>3317705</v>
      </c>
      <c r="AG18" s="735">
        <v>4328960</v>
      </c>
      <c r="AH18" s="735">
        <v>5247990</v>
      </c>
      <c r="AI18" s="735">
        <v>2748428</v>
      </c>
      <c r="AJ18" s="735">
        <v>3995295</v>
      </c>
      <c r="AK18" s="735">
        <v>4900246</v>
      </c>
      <c r="AL18" s="735">
        <v>4501438</v>
      </c>
      <c r="AM18" s="735">
        <v>5321857</v>
      </c>
      <c r="AN18" s="735">
        <v>6472877</v>
      </c>
      <c r="AO18" s="735">
        <v>6770629</v>
      </c>
      <c r="AP18" s="735">
        <v>6756163</v>
      </c>
      <c r="AQ18" s="735">
        <v>6997004</v>
      </c>
    </row>
    <row r="19" spans="1:43">
      <c r="A19" s="735" t="s">
        <v>59</v>
      </c>
      <c r="B19" s="735" t="s">
        <v>2357</v>
      </c>
      <c r="C19" s="735">
        <v>34704</v>
      </c>
      <c r="D19" s="735">
        <v>39329</v>
      </c>
      <c r="E19" s="735">
        <v>47544</v>
      </c>
      <c r="F19" s="735">
        <v>55066</v>
      </c>
      <c r="G19" s="735">
        <v>59098</v>
      </c>
      <c r="H19" s="735">
        <v>72027</v>
      </c>
      <c r="I19" s="735">
        <v>87367</v>
      </c>
      <c r="J19" s="735">
        <v>84633</v>
      </c>
      <c r="K19" s="735">
        <v>86615</v>
      </c>
      <c r="L19" s="735">
        <v>94352</v>
      </c>
      <c r="M19" s="735">
        <v>109768</v>
      </c>
      <c r="N19" s="735">
        <v>120585</v>
      </c>
      <c r="O19" s="735">
        <v>176524</v>
      </c>
      <c r="P19" s="735">
        <v>198382</v>
      </c>
      <c r="Q19" s="735">
        <v>227942</v>
      </c>
      <c r="R19" s="735">
        <v>246379</v>
      </c>
      <c r="S19" s="735">
        <v>271940</v>
      </c>
      <c r="T19" s="735">
        <v>372453</v>
      </c>
      <c r="U19" s="735">
        <v>364076</v>
      </c>
      <c r="V19" s="735">
        <v>488107</v>
      </c>
      <c r="W19" s="735">
        <v>567073</v>
      </c>
      <c r="X19" s="735">
        <v>633242</v>
      </c>
      <c r="Y19" s="735">
        <v>674448</v>
      </c>
      <c r="Z19" s="735">
        <v>647052</v>
      </c>
      <c r="AA19" s="735">
        <v>703316</v>
      </c>
      <c r="AB19" s="735">
        <v>703961</v>
      </c>
      <c r="AC19" s="735">
        <v>902609</v>
      </c>
      <c r="AD19" s="735">
        <v>1096865</v>
      </c>
      <c r="AE19" s="735">
        <v>1267887</v>
      </c>
      <c r="AF19" s="735">
        <v>1311273</v>
      </c>
      <c r="AG19" s="735">
        <v>1688120</v>
      </c>
      <c r="AH19" s="735">
        <v>2014055</v>
      </c>
      <c r="AI19" s="735">
        <v>1572391</v>
      </c>
      <c r="AJ19" s="735">
        <v>2063259</v>
      </c>
      <c r="AK19" s="735">
        <v>2260120</v>
      </c>
      <c r="AL19" s="735">
        <v>2370294</v>
      </c>
      <c r="AM19" s="735">
        <v>2662104</v>
      </c>
      <c r="AN19" s="735">
        <v>2733228</v>
      </c>
      <c r="AO19" s="735">
        <v>2933619</v>
      </c>
      <c r="AP19" s="735">
        <v>2814022</v>
      </c>
      <c r="AQ19" s="735">
        <v>2882242</v>
      </c>
    </row>
    <row r="20" spans="1:43">
      <c r="A20" s="735" t="s">
        <v>57</v>
      </c>
      <c r="B20" s="735" t="s">
        <v>2356</v>
      </c>
      <c r="C20" s="735" t="s">
        <v>583</v>
      </c>
      <c r="D20" s="735" t="s">
        <v>583</v>
      </c>
      <c r="E20" s="735">
        <v>5396</v>
      </c>
      <c r="F20" s="735">
        <v>13100</v>
      </c>
      <c r="G20" s="735">
        <v>15574</v>
      </c>
      <c r="H20" s="735">
        <v>26352</v>
      </c>
      <c r="I20" s="735">
        <v>30763</v>
      </c>
      <c r="J20" s="735">
        <v>26064</v>
      </c>
      <c r="K20" s="735">
        <v>23805</v>
      </c>
      <c r="L20" s="735">
        <v>19332</v>
      </c>
      <c r="M20" s="735">
        <v>24044</v>
      </c>
      <c r="N20" s="735">
        <v>26696</v>
      </c>
      <c r="O20" s="735">
        <v>72337</v>
      </c>
      <c r="P20" s="735">
        <v>81433</v>
      </c>
      <c r="Q20" s="735">
        <v>83225</v>
      </c>
      <c r="R20" s="735">
        <v>69605</v>
      </c>
      <c r="S20" s="735">
        <v>71123</v>
      </c>
      <c r="T20" s="735">
        <v>62787</v>
      </c>
      <c r="U20" s="735">
        <v>53685</v>
      </c>
      <c r="V20" s="735">
        <v>74797</v>
      </c>
      <c r="W20" s="735">
        <v>85662</v>
      </c>
      <c r="X20" s="735">
        <v>89846</v>
      </c>
      <c r="Y20" s="735">
        <v>80048</v>
      </c>
      <c r="Z20" s="735">
        <v>98819</v>
      </c>
      <c r="AA20" s="735">
        <v>130624</v>
      </c>
      <c r="AB20" s="735">
        <v>146899</v>
      </c>
      <c r="AC20" s="735">
        <v>186360</v>
      </c>
      <c r="AD20" s="735">
        <v>215901</v>
      </c>
      <c r="AE20" s="735">
        <v>264467</v>
      </c>
      <c r="AF20" s="735">
        <v>274002</v>
      </c>
      <c r="AG20" s="735">
        <v>388839</v>
      </c>
      <c r="AH20" s="735">
        <v>383890</v>
      </c>
      <c r="AI20" s="735">
        <v>314103</v>
      </c>
      <c r="AJ20" s="735">
        <v>437491</v>
      </c>
      <c r="AK20" s="735">
        <v>472810</v>
      </c>
      <c r="AL20" s="735">
        <v>416631</v>
      </c>
      <c r="AM20" s="735">
        <v>414909</v>
      </c>
      <c r="AN20" s="735">
        <v>449683</v>
      </c>
      <c r="AO20" s="735">
        <v>447179</v>
      </c>
      <c r="AP20" s="735">
        <v>488045</v>
      </c>
      <c r="AQ20" s="735">
        <v>462329</v>
      </c>
    </row>
    <row r="21" spans="1:43">
      <c r="A21" s="735" t="s">
        <v>55</v>
      </c>
      <c r="B21" s="735" t="s">
        <v>2353</v>
      </c>
      <c r="C21" s="735">
        <v>34704</v>
      </c>
      <c r="D21" s="735">
        <v>39329</v>
      </c>
      <c r="E21" s="735">
        <v>42148</v>
      </c>
      <c r="F21" s="735">
        <v>41966</v>
      </c>
      <c r="G21" s="735">
        <v>43524</v>
      </c>
      <c r="H21" s="735">
        <v>45675</v>
      </c>
      <c r="I21" s="735">
        <v>56604</v>
      </c>
      <c r="J21" s="735">
        <v>58569</v>
      </c>
      <c r="K21" s="735">
        <v>62810</v>
      </c>
      <c r="L21" s="735">
        <v>75020</v>
      </c>
      <c r="M21" s="735">
        <v>85724</v>
      </c>
      <c r="N21" s="735">
        <v>93889</v>
      </c>
      <c r="O21" s="735">
        <v>104187</v>
      </c>
      <c r="P21" s="735">
        <v>116949</v>
      </c>
      <c r="Q21" s="735">
        <v>144717</v>
      </c>
      <c r="R21" s="735">
        <v>176774</v>
      </c>
      <c r="S21" s="735">
        <v>200817</v>
      </c>
      <c r="T21" s="735">
        <v>309666</v>
      </c>
      <c r="U21" s="735">
        <v>310391</v>
      </c>
      <c r="V21" s="735">
        <v>413310</v>
      </c>
      <c r="W21" s="735">
        <v>481411</v>
      </c>
      <c r="X21" s="735">
        <v>543396</v>
      </c>
      <c r="Y21" s="735">
        <v>594400</v>
      </c>
      <c r="Z21" s="735">
        <v>548233</v>
      </c>
      <c r="AA21" s="735">
        <v>572692</v>
      </c>
      <c r="AB21" s="735">
        <v>557062</v>
      </c>
      <c r="AC21" s="735">
        <v>716249</v>
      </c>
      <c r="AD21" s="735">
        <v>880963</v>
      </c>
      <c r="AE21" s="735">
        <v>1003420</v>
      </c>
      <c r="AF21" s="735">
        <v>1037271</v>
      </c>
      <c r="AG21" s="735">
        <v>1299281</v>
      </c>
      <c r="AH21" s="735">
        <v>1630165</v>
      </c>
      <c r="AI21" s="735">
        <v>1258288</v>
      </c>
      <c r="AJ21" s="735">
        <v>1625768</v>
      </c>
      <c r="AK21" s="735">
        <v>1787310</v>
      </c>
      <c r="AL21" s="735">
        <v>1953663</v>
      </c>
      <c r="AM21" s="735">
        <v>2247195</v>
      </c>
      <c r="AN21" s="735">
        <v>2283544</v>
      </c>
      <c r="AO21" s="735">
        <v>2486440</v>
      </c>
      <c r="AP21" s="735">
        <v>2325977</v>
      </c>
      <c r="AQ21" s="735">
        <v>2419912</v>
      </c>
    </row>
    <row r="22" spans="1:43">
      <c r="A22" s="735" t="s">
        <v>54</v>
      </c>
      <c r="B22" s="735" t="s">
        <v>1245</v>
      </c>
      <c r="C22" s="735" t="s">
        <v>583</v>
      </c>
      <c r="D22" s="735" t="s">
        <v>583</v>
      </c>
      <c r="E22" s="735" t="s">
        <v>583</v>
      </c>
      <c r="F22" s="735" t="s">
        <v>583</v>
      </c>
      <c r="G22" s="735" t="s">
        <v>583</v>
      </c>
      <c r="H22" s="735" t="s">
        <v>583</v>
      </c>
      <c r="I22" s="735" t="s">
        <v>583</v>
      </c>
      <c r="J22" s="735" t="s">
        <v>583</v>
      </c>
      <c r="K22" s="735" t="s">
        <v>583</v>
      </c>
      <c r="L22" s="735" t="s">
        <v>583</v>
      </c>
      <c r="M22" s="735" t="s">
        <v>583</v>
      </c>
      <c r="N22" s="735" t="s">
        <v>583</v>
      </c>
      <c r="O22" s="735" t="s">
        <v>583</v>
      </c>
      <c r="P22" s="735" t="s">
        <v>583</v>
      </c>
      <c r="Q22" s="735" t="s">
        <v>583</v>
      </c>
      <c r="R22" s="735" t="s">
        <v>583</v>
      </c>
      <c r="S22" s="735" t="s">
        <v>583</v>
      </c>
      <c r="T22" s="735" t="s">
        <v>583</v>
      </c>
      <c r="U22" s="735" t="s">
        <v>583</v>
      </c>
      <c r="V22" s="735" t="s">
        <v>583</v>
      </c>
      <c r="W22" s="735" t="s">
        <v>583</v>
      </c>
      <c r="X22" s="735" t="s">
        <v>583</v>
      </c>
      <c r="Y22" s="735" t="s">
        <v>583</v>
      </c>
      <c r="Z22" s="735" t="s">
        <v>583</v>
      </c>
      <c r="AA22" s="735" t="s">
        <v>583</v>
      </c>
      <c r="AB22" s="735" t="s">
        <v>583</v>
      </c>
      <c r="AC22" s="735" t="s">
        <v>583</v>
      </c>
      <c r="AD22" s="735" t="s">
        <v>583</v>
      </c>
      <c r="AE22" s="735" t="s">
        <v>583</v>
      </c>
      <c r="AF22" s="735">
        <v>1190029</v>
      </c>
      <c r="AG22" s="735">
        <v>1238995</v>
      </c>
      <c r="AH22" s="735">
        <v>2559332</v>
      </c>
      <c r="AI22" s="735">
        <v>6127450</v>
      </c>
      <c r="AJ22" s="735">
        <v>3489779</v>
      </c>
      <c r="AK22" s="735">
        <v>3652313</v>
      </c>
      <c r="AL22" s="735">
        <v>4716578</v>
      </c>
      <c r="AM22" s="735">
        <v>3619761</v>
      </c>
      <c r="AN22" s="735">
        <v>3017100</v>
      </c>
      <c r="AO22" s="735">
        <v>3252308</v>
      </c>
      <c r="AP22" s="735">
        <v>2428241</v>
      </c>
      <c r="AQ22" s="735">
        <v>2208980</v>
      </c>
    </row>
    <row r="23" spans="1:43">
      <c r="A23" s="735" t="s">
        <v>53</v>
      </c>
      <c r="B23" s="735" t="s">
        <v>2350</v>
      </c>
      <c r="C23" s="735" t="s">
        <v>583</v>
      </c>
      <c r="D23" s="735" t="s">
        <v>583</v>
      </c>
      <c r="E23" s="735" t="s">
        <v>583</v>
      </c>
      <c r="F23" s="735" t="s">
        <v>583</v>
      </c>
      <c r="G23" s="735" t="s">
        <v>583</v>
      </c>
      <c r="H23" s="735" t="s">
        <v>583</v>
      </c>
      <c r="I23" s="735" t="s">
        <v>583</v>
      </c>
      <c r="J23" s="735" t="s">
        <v>583</v>
      </c>
      <c r="K23" s="735" t="s">
        <v>583</v>
      </c>
      <c r="L23" s="735" t="s">
        <v>583</v>
      </c>
      <c r="M23" s="735" t="s">
        <v>583</v>
      </c>
      <c r="N23" s="735" t="s">
        <v>583</v>
      </c>
      <c r="O23" s="735" t="s">
        <v>583</v>
      </c>
      <c r="P23" s="735" t="s">
        <v>583</v>
      </c>
      <c r="Q23" s="735" t="s">
        <v>583</v>
      </c>
      <c r="R23" s="735" t="s">
        <v>583</v>
      </c>
      <c r="S23" s="735" t="s">
        <v>583</v>
      </c>
      <c r="T23" s="735" t="s">
        <v>583</v>
      </c>
      <c r="U23" s="735" t="s">
        <v>583</v>
      </c>
      <c r="V23" s="735" t="s">
        <v>583</v>
      </c>
      <c r="W23" s="735" t="s">
        <v>583</v>
      </c>
      <c r="X23" s="735" t="s">
        <v>583</v>
      </c>
      <c r="Y23" s="735" t="s">
        <v>583</v>
      </c>
      <c r="Z23" s="735" t="s">
        <v>583</v>
      </c>
      <c r="AA23" s="735" t="s">
        <v>583</v>
      </c>
      <c r="AB23" s="735" t="s">
        <v>583</v>
      </c>
      <c r="AC23" s="735" t="s">
        <v>583</v>
      </c>
      <c r="AD23" s="735" t="s">
        <v>583</v>
      </c>
      <c r="AE23" s="735" t="s">
        <v>583</v>
      </c>
      <c r="AF23" s="735">
        <v>1171172</v>
      </c>
      <c r="AG23" s="735">
        <v>1213354</v>
      </c>
      <c r="AH23" s="735">
        <v>2526075</v>
      </c>
      <c r="AI23" s="735">
        <v>6065174</v>
      </c>
      <c r="AJ23" s="735">
        <v>3460696</v>
      </c>
      <c r="AK23" s="735">
        <v>3621801</v>
      </c>
      <c r="AL23" s="735">
        <v>4668527</v>
      </c>
      <c r="AM23" s="735">
        <v>3585781</v>
      </c>
      <c r="AN23" s="735">
        <v>2980312</v>
      </c>
      <c r="AO23" s="735">
        <v>3182186</v>
      </c>
      <c r="AP23" s="735">
        <v>2384882</v>
      </c>
      <c r="AQ23" s="735">
        <v>2166919</v>
      </c>
    </row>
    <row r="24" spans="1:43">
      <c r="A24" s="735" t="s">
        <v>52</v>
      </c>
      <c r="B24" s="735" t="s">
        <v>2349</v>
      </c>
      <c r="C24" s="735" t="s">
        <v>583</v>
      </c>
      <c r="D24" s="735" t="s">
        <v>583</v>
      </c>
      <c r="E24" s="735" t="s">
        <v>583</v>
      </c>
      <c r="F24" s="735" t="s">
        <v>583</v>
      </c>
      <c r="G24" s="735" t="s">
        <v>583</v>
      </c>
      <c r="H24" s="735" t="s">
        <v>583</v>
      </c>
      <c r="I24" s="735" t="s">
        <v>583</v>
      </c>
      <c r="J24" s="735" t="s">
        <v>583</v>
      </c>
      <c r="K24" s="735" t="s">
        <v>583</v>
      </c>
      <c r="L24" s="735" t="s">
        <v>583</v>
      </c>
      <c r="M24" s="735" t="s">
        <v>583</v>
      </c>
      <c r="N24" s="735" t="s">
        <v>583</v>
      </c>
      <c r="O24" s="735" t="s">
        <v>583</v>
      </c>
      <c r="P24" s="735" t="s">
        <v>583</v>
      </c>
      <c r="Q24" s="735" t="s">
        <v>583</v>
      </c>
      <c r="R24" s="735" t="s">
        <v>583</v>
      </c>
      <c r="S24" s="735" t="s">
        <v>583</v>
      </c>
      <c r="T24" s="735" t="s">
        <v>583</v>
      </c>
      <c r="U24" s="735" t="s">
        <v>583</v>
      </c>
      <c r="V24" s="735" t="s">
        <v>583</v>
      </c>
      <c r="W24" s="735" t="s">
        <v>583</v>
      </c>
      <c r="X24" s="735" t="s">
        <v>583</v>
      </c>
      <c r="Y24" s="735" t="s">
        <v>583</v>
      </c>
      <c r="Z24" s="735" t="s">
        <v>583</v>
      </c>
      <c r="AA24" s="735" t="s">
        <v>583</v>
      </c>
      <c r="AB24" s="735" t="s">
        <v>583</v>
      </c>
      <c r="AC24" s="735" t="s">
        <v>583</v>
      </c>
      <c r="AD24" s="735" t="s">
        <v>583</v>
      </c>
      <c r="AE24" s="735" t="s">
        <v>583</v>
      </c>
      <c r="AF24" s="735">
        <v>853993</v>
      </c>
      <c r="AG24" s="735">
        <v>793057</v>
      </c>
      <c r="AH24" s="735">
        <v>1463086</v>
      </c>
      <c r="AI24" s="735">
        <v>4053356</v>
      </c>
      <c r="AJ24" s="735">
        <v>2596825</v>
      </c>
      <c r="AK24" s="735">
        <v>2844526</v>
      </c>
      <c r="AL24" s="735">
        <v>3861581</v>
      </c>
      <c r="AM24" s="735">
        <v>2973245</v>
      </c>
      <c r="AN24" s="735">
        <v>2388410</v>
      </c>
      <c r="AO24" s="735">
        <v>2485718</v>
      </c>
      <c r="AP24" s="735">
        <v>1842888</v>
      </c>
      <c r="AQ24" s="735">
        <v>1622206</v>
      </c>
    </row>
    <row r="25" spans="1:43">
      <c r="A25" s="735" t="s">
        <v>51</v>
      </c>
      <c r="B25" s="735" t="s">
        <v>2348</v>
      </c>
      <c r="C25" s="735" t="s">
        <v>583</v>
      </c>
      <c r="D25" s="735" t="s">
        <v>583</v>
      </c>
      <c r="E25" s="735" t="s">
        <v>583</v>
      </c>
      <c r="F25" s="735" t="s">
        <v>583</v>
      </c>
      <c r="G25" s="735" t="s">
        <v>583</v>
      </c>
      <c r="H25" s="735" t="s">
        <v>583</v>
      </c>
      <c r="I25" s="735" t="s">
        <v>583</v>
      </c>
      <c r="J25" s="735" t="s">
        <v>583</v>
      </c>
      <c r="K25" s="735" t="s">
        <v>583</v>
      </c>
      <c r="L25" s="735" t="s">
        <v>583</v>
      </c>
      <c r="M25" s="735" t="s">
        <v>583</v>
      </c>
      <c r="N25" s="735" t="s">
        <v>583</v>
      </c>
      <c r="O25" s="735" t="s">
        <v>583</v>
      </c>
      <c r="P25" s="735" t="s">
        <v>583</v>
      </c>
      <c r="Q25" s="735" t="s">
        <v>583</v>
      </c>
      <c r="R25" s="735" t="s">
        <v>583</v>
      </c>
      <c r="S25" s="735" t="s">
        <v>583</v>
      </c>
      <c r="T25" s="735" t="s">
        <v>583</v>
      </c>
      <c r="U25" s="735" t="s">
        <v>583</v>
      </c>
      <c r="V25" s="735" t="s">
        <v>583</v>
      </c>
      <c r="W25" s="735" t="s">
        <v>583</v>
      </c>
      <c r="X25" s="735" t="s">
        <v>583</v>
      </c>
      <c r="Y25" s="735" t="s">
        <v>583</v>
      </c>
      <c r="Z25" s="735" t="s">
        <v>583</v>
      </c>
      <c r="AA25" s="735" t="s">
        <v>583</v>
      </c>
      <c r="AB25" s="735" t="s">
        <v>583</v>
      </c>
      <c r="AC25" s="735" t="s">
        <v>583</v>
      </c>
      <c r="AD25" s="735" t="s">
        <v>583</v>
      </c>
      <c r="AE25" s="735" t="s">
        <v>583</v>
      </c>
      <c r="AF25" s="735">
        <v>147057</v>
      </c>
      <c r="AG25" s="735">
        <v>176267</v>
      </c>
      <c r="AH25" s="735">
        <v>290943</v>
      </c>
      <c r="AI25" s="735">
        <v>497234</v>
      </c>
      <c r="AJ25" s="735">
        <v>277387</v>
      </c>
      <c r="AK25" s="735">
        <v>330298</v>
      </c>
      <c r="AL25" s="735">
        <v>323413</v>
      </c>
      <c r="AM25" s="735">
        <v>280217</v>
      </c>
      <c r="AN25" s="735">
        <v>307972</v>
      </c>
      <c r="AO25" s="735">
        <v>419019</v>
      </c>
      <c r="AP25" s="735">
        <v>344929</v>
      </c>
      <c r="AQ25" s="735">
        <v>386677</v>
      </c>
    </row>
    <row r="26" spans="1:43">
      <c r="A26" s="735" t="s">
        <v>49</v>
      </c>
      <c r="B26" s="735" t="s">
        <v>2347</v>
      </c>
      <c r="C26" s="735" t="s">
        <v>583</v>
      </c>
      <c r="D26" s="735" t="s">
        <v>583</v>
      </c>
      <c r="E26" s="735" t="s">
        <v>583</v>
      </c>
      <c r="F26" s="735" t="s">
        <v>583</v>
      </c>
      <c r="G26" s="735" t="s">
        <v>583</v>
      </c>
      <c r="H26" s="735" t="s">
        <v>583</v>
      </c>
      <c r="I26" s="735" t="s">
        <v>583</v>
      </c>
      <c r="J26" s="735" t="s">
        <v>583</v>
      </c>
      <c r="K26" s="735" t="s">
        <v>583</v>
      </c>
      <c r="L26" s="735" t="s">
        <v>583</v>
      </c>
      <c r="M26" s="735" t="s">
        <v>583</v>
      </c>
      <c r="N26" s="735" t="s">
        <v>583</v>
      </c>
      <c r="O26" s="735" t="s">
        <v>583</v>
      </c>
      <c r="P26" s="735" t="s">
        <v>583</v>
      </c>
      <c r="Q26" s="735" t="s">
        <v>583</v>
      </c>
      <c r="R26" s="735" t="s">
        <v>583</v>
      </c>
      <c r="S26" s="735" t="s">
        <v>583</v>
      </c>
      <c r="T26" s="735" t="s">
        <v>583</v>
      </c>
      <c r="U26" s="735" t="s">
        <v>583</v>
      </c>
      <c r="V26" s="735" t="s">
        <v>583</v>
      </c>
      <c r="W26" s="735" t="s">
        <v>583</v>
      </c>
      <c r="X26" s="735" t="s">
        <v>583</v>
      </c>
      <c r="Y26" s="735" t="s">
        <v>583</v>
      </c>
      <c r="Z26" s="735" t="s">
        <v>583</v>
      </c>
      <c r="AA26" s="735" t="s">
        <v>583</v>
      </c>
      <c r="AB26" s="735" t="s">
        <v>583</v>
      </c>
      <c r="AC26" s="735" t="s">
        <v>583</v>
      </c>
      <c r="AD26" s="735" t="s">
        <v>583</v>
      </c>
      <c r="AE26" s="735" t="s">
        <v>583</v>
      </c>
      <c r="AF26" s="735">
        <v>170122</v>
      </c>
      <c r="AG26" s="735">
        <v>244030</v>
      </c>
      <c r="AH26" s="735">
        <v>772046</v>
      </c>
      <c r="AI26" s="735">
        <v>1514584</v>
      </c>
      <c r="AJ26" s="735">
        <v>586484</v>
      </c>
      <c r="AK26" s="735">
        <v>446977</v>
      </c>
      <c r="AL26" s="735">
        <v>483533</v>
      </c>
      <c r="AM26" s="735">
        <v>332319</v>
      </c>
      <c r="AN26" s="735">
        <v>283930</v>
      </c>
      <c r="AO26" s="735">
        <v>277449</v>
      </c>
      <c r="AP26" s="735">
        <v>197065</v>
      </c>
      <c r="AQ26" s="735">
        <v>158036</v>
      </c>
    </row>
    <row r="27" spans="1:43">
      <c r="A27" s="735" t="s">
        <v>47</v>
      </c>
      <c r="B27" s="735" t="s">
        <v>2346</v>
      </c>
      <c r="C27" s="735" t="s">
        <v>583</v>
      </c>
      <c r="D27" s="735" t="s">
        <v>583</v>
      </c>
      <c r="E27" s="735" t="s">
        <v>583</v>
      </c>
      <c r="F27" s="735" t="s">
        <v>583</v>
      </c>
      <c r="G27" s="735" t="s">
        <v>583</v>
      </c>
      <c r="H27" s="735" t="s">
        <v>583</v>
      </c>
      <c r="I27" s="735" t="s">
        <v>583</v>
      </c>
      <c r="J27" s="735" t="s">
        <v>583</v>
      </c>
      <c r="K27" s="735" t="s">
        <v>583</v>
      </c>
      <c r="L27" s="735" t="s">
        <v>583</v>
      </c>
      <c r="M27" s="735" t="s">
        <v>583</v>
      </c>
      <c r="N27" s="735" t="s">
        <v>583</v>
      </c>
      <c r="O27" s="735" t="s">
        <v>583</v>
      </c>
      <c r="P27" s="735" t="s">
        <v>583</v>
      </c>
      <c r="Q27" s="735" t="s">
        <v>583</v>
      </c>
      <c r="R27" s="735" t="s">
        <v>583</v>
      </c>
      <c r="S27" s="735" t="s">
        <v>583</v>
      </c>
      <c r="T27" s="735" t="s">
        <v>583</v>
      </c>
      <c r="U27" s="735" t="s">
        <v>583</v>
      </c>
      <c r="V27" s="735" t="s">
        <v>583</v>
      </c>
      <c r="W27" s="735" t="s">
        <v>583</v>
      </c>
      <c r="X27" s="735" t="s">
        <v>583</v>
      </c>
      <c r="Y27" s="735" t="s">
        <v>583</v>
      </c>
      <c r="Z27" s="735" t="s">
        <v>583</v>
      </c>
      <c r="AA27" s="735" t="s">
        <v>583</v>
      </c>
      <c r="AB27" s="735" t="s">
        <v>583</v>
      </c>
      <c r="AC27" s="735" t="s">
        <v>583</v>
      </c>
      <c r="AD27" s="735" t="s">
        <v>583</v>
      </c>
      <c r="AE27" s="735" t="s">
        <v>583</v>
      </c>
      <c r="AF27" s="735">
        <v>18857</v>
      </c>
      <c r="AG27" s="735">
        <v>25641</v>
      </c>
      <c r="AH27" s="735">
        <v>33257</v>
      </c>
      <c r="AI27" s="735">
        <v>62276</v>
      </c>
      <c r="AJ27" s="735">
        <v>29083</v>
      </c>
      <c r="AK27" s="735">
        <v>30512</v>
      </c>
      <c r="AL27" s="735">
        <v>48051</v>
      </c>
      <c r="AM27" s="735">
        <v>33980</v>
      </c>
      <c r="AN27" s="735">
        <v>36788</v>
      </c>
      <c r="AO27" s="735">
        <v>70122</v>
      </c>
      <c r="AP27" s="735">
        <v>43359</v>
      </c>
      <c r="AQ27" s="735">
        <v>42061</v>
      </c>
    </row>
    <row r="28" spans="1:43">
      <c r="A28" s="735" t="s">
        <v>45</v>
      </c>
      <c r="B28" s="735" t="s">
        <v>1236</v>
      </c>
      <c r="C28" s="735">
        <v>146430</v>
      </c>
      <c r="D28" s="735">
        <v>163385</v>
      </c>
      <c r="E28" s="735">
        <v>207992</v>
      </c>
      <c r="F28" s="735">
        <v>237271</v>
      </c>
      <c r="G28" s="735">
        <v>292294</v>
      </c>
      <c r="H28" s="735">
        <v>380801</v>
      </c>
      <c r="I28" s="735">
        <v>486123</v>
      </c>
      <c r="J28" s="735">
        <v>621434</v>
      </c>
      <c r="K28" s="735">
        <v>638909</v>
      </c>
      <c r="L28" s="735">
        <v>659695</v>
      </c>
      <c r="M28" s="735">
        <v>742536</v>
      </c>
      <c r="N28" s="735">
        <v>790810</v>
      </c>
      <c r="O28" s="735">
        <v>866539</v>
      </c>
      <c r="P28" s="735">
        <v>953334</v>
      </c>
      <c r="Q28" s="735">
        <v>962121</v>
      </c>
      <c r="R28" s="735">
        <v>958514</v>
      </c>
      <c r="S28" s="735">
        <v>934225</v>
      </c>
      <c r="T28" s="735">
        <v>948862</v>
      </c>
      <c r="U28" s="735">
        <v>1046321</v>
      </c>
      <c r="V28" s="735">
        <v>1145983</v>
      </c>
      <c r="W28" s="735">
        <v>1308550</v>
      </c>
      <c r="X28" s="735">
        <v>1523978</v>
      </c>
      <c r="Y28" s="735">
        <v>1604088</v>
      </c>
      <c r="Z28" s="735">
        <v>1772853</v>
      </c>
      <c r="AA28" s="735">
        <v>2022620</v>
      </c>
      <c r="AB28" s="735">
        <v>2168955</v>
      </c>
      <c r="AC28" s="735">
        <v>2346845</v>
      </c>
      <c r="AD28" s="735">
        <v>2223758</v>
      </c>
      <c r="AE28" s="735">
        <v>2824244</v>
      </c>
      <c r="AF28" s="735">
        <v>3302781</v>
      </c>
      <c r="AG28" s="735">
        <v>4004037</v>
      </c>
      <c r="AH28" s="735">
        <v>4747993</v>
      </c>
      <c r="AI28" s="735">
        <v>4974204</v>
      </c>
      <c r="AJ28" s="735">
        <v>4529030</v>
      </c>
      <c r="AK28" s="735">
        <v>4980084</v>
      </c>
      <c r="AL28" s="735">
        <v>4868723</v>
      </c>
      <c r="AM28" s="735">
        <v>4416570</v>
      </c>
      <c r="AN28" s="735">
        <v>4352549</v>
      </c>
      <c r="AO28" s="735">
        <v>4252356</v>
      </c>
      <c r="AP28" s="735">
        <v>3971396</v>
      </c>
      <c r="AQ28" s="735">
        <v>3978948</v>
      </c>
    </row>
    <row r="29" spans="1:43">
      <c r="A29" s="735" t="s">
        <v>43</v>
      </c>
      <c r="B29" s="735" t="s">
        <v>2345</v>
      </c>
      <c r="C29" s="735" t="s">
        <v>583</v>
      </c>
      <c r="D29" s="735" t="s">
        <v>583</v>
      </c>
      <c r="E29" s="735" t="s">
        <v>583</v>
      </c>
      <c r="F29" s="735" t="s">
        <v>583</v>
      </c>
      <c r="G29" s="735" t="s">
        <v>583</v>
      </c>
      <c r="H29" s="735" t="s">
        <v>583</v>
      </c>
      <c r="I29" s="735" t="s">
        <v>583</v>
      </c>
      <c r="J29" s="735" t="s">
        <v>583</v>
      </c>
      <c r="K29" s="735" t="s">
        <v>583</v>
      </c>
      <c r="L29" s="735" t="s">
        <v>583</v>
      </c>
      <c r="M29" s="735" t="s">
        <v>583</v>
      </c>
      <c r="N29" s="735" t="s">
        <v>583</v>
      </c>
      <c r="O29" s="735" t="s">
        <v>583</v>
      </c>
      <c r="P29" s="735" t="s">
        <v>583</v>
      </c>
      <c r="Q29" s="735" t="s">
        <v>583</v>
      </c>
      <c r="R29" s="735" t="s">
        <v>583</v>
      </c>
      <c r="S29" s="735" t="s">
        <v>583</v>
      </c>
      <c r="T29" s="735" t="s">
        <v>583</v>
      </c>
      <c r="U29" s="735" t="s">
        <v>583</v>
      </c>
      <c r="V29" s="735" t="s">
        <v>583</v>
      </c>
      <c r="W29" s="735" t="s">
        <v>583</v>
      </c>
      <c r="X29" s="735" t="s">
        <v>583</v>
      </c>
      <c r="Y29" s="735" t="s">
        <v>583</v>
      </c>
      <c r="Z29" s="735" t="s">
        <v>583</v>
      </c>
      <c r="AA29" s="735" t="s">
        <v>583</v>
      </c>
      <c r="AB29" s="735" t="s">
        <v>583</v>
      </c>
      <c r="AC29" s="735">
        <v>1059951</v>
      </c>
      <c r="AD29" s="735">
        <v>1210253</v>
      </c>
      <c r="AE29" s="735">
        <v>1517951</v>
      </c>
      <c r="AF29" s="735">
        <v>1661683</v>
      </c>
      <c r="AG29" s="735">
        <v>1960739</v>
      </c>
      <c r="AH29" s="735">
        <v>2316936</v>
      </c>
      <c r="AI29" s="735">
        <v>2813073</v>
      </c>
      <c r="AJ29" s="735">
        <v>2539562</v>
      </c>
      <c r="AK29" s="735">
        <v>2767247</v>
      </c>
      <c r="AL29" s="735">
        <v>2581531</v>
      </c>
      <c r="AM29" s="735">
        <v>2061681</v>
      </c>
      <c r="AN29" s="735">
        <v>1975717</v>
      </c>
      <c r="AO29" s="735">
        <v>1807094</v>
      </c>
      <c r="AP29" s="735">
        <v>1627520</v>
      </c>
      <c r="AQ29" s="735">
        <v>1559816</v>
      </c>
    </row>
    <row r="30" spans="1:43">
      <c r="A30" s="735" t="s">
        <v>42</v>
      </c>
      <c r="B30" s="735" t="s">
        <v>2344</v>
      </c>
      <c r="C30" s="735" t="s">
        <v>583</v>
      </c>
      <c r="D30" s="735" t="s">
        <v>583</v>
      </c>
      <c r="E30" s="735" t="s">
        <v>583</v>
      </c>
      <c r="F30" s="735" t="s">
        <v>583</v>
      </c>
      <c r="G30" s="735" t="s">
        <v>583</v>
      </c>
      <c r="H30" s="735" t="s">
        <v>583</v>
      </c>
      <c r="I30" s="735" t="s">
        <v>583</v>
      </c>
      <c r="J30" s="735" t="s">
        <v>583</v>
      </c>
      <c r="K30" s="735" t="s">
        <v>583</v>
      </c>
      <c r="L30" s="735" t="s">
        <v>583</v>
      </c>
      <c r="M30" s="735" t="s">
        <v>583</v>
      </c>
      <c r="N30" s="735" t="s">
        <v>583</v>
      </c>
      <c r="O30" s="735" t="s">
        <v>583</v>
      </c>
      <c r="P30" s="735" t="s">
        <v>583</v>
      </c>
      <c r="Q30" s="735" t="s">
        <v>583</v>
      </c>
      <c r="R30" s="735" t="s">
        <v>583</v>
      </c>
      <c r="S30" s="735" t="s">
        <v>583</v>
      </c>
      <c r="T30" s="735" t="s">
        <v>583</v>
      </c>
      <c r="U30" s="735" t="s">
        <v>583</v>
      </c>
      <c r="V30" s="735" t="s">
        <v>583</v>
      </c>
      <c r="W30" s="735" t="s">
        <v>583</v>
      </c>
      <c r="X30" s="735" t="s">
        <v>583</v>
      </c>
      <c r="Y30" s="735" t="s">
        <v>583</v>
      </c>
      <c r="Z30" s="735" t="s">
        <v>583</v>
      </c>
      <c r="AA30" s="735" t="s">
        <v>583</v>
      </c>
      <c r="AB30" s="735" t="s">
        <v>583</v>
      </c>
      <c r="AC30" s="735">
        <v>1256520</v>
      </c>
      <c r="AD30" s="735">
        <v>979903</v>
      </c>
      <c r="AE30" s="735">
        <v>1273578</v>
      </c>
      <c r="AF30" s="735">
        <v>1607542</v>
      </c>
      <c r="AG30" s="735">
        <v>2005912</v>
      </c>
      <c r="AH30" s="735">
        <v>2382672</v>
      </c>
      <c r="AI30" s="735">
        <v>2116729</v>
      </c>
      <c r="AJ30" s="735">
        <v>1944389</v>
      </c>
      <c r="AK30" s="735">
        <v>2161759</v>
      </c>
      <c r="AL30" s="735">
        <v>2232094</v>
      </c>
      <c r="AM30" s="735">
        <v>2299165</v>
      </c>
      <c r="AN30" s="735">
        <v>2323462</v>
      </c>
      <c r="AO30" s="735">
        <v>2398230</v>
      </c>
      <c r="AP30" s="735">
        <v>2299123</v>
      </c>
      <c r="AQ30" s="735">
        <v>2373735</v>
      </c>
    </row>
    <row r="31" spans="1:43">
      <c r="A31" s="735" t="s">
        <v>41</v>
      </c>
      <c r="B31" s="735" t="s">
        <v>2343</v>
      </c>
      <c r="C31" s="735" t="s">
        <v>583</v>
      </c>
      <c r="D31" s="735" t="s">
        <v>583</v>
      </c>
      <c r="E31" s="735" t="s">
        <v>583</v>
      </c>
      <c r="F31" s="735" t="s">
        <v>583</v>
      </c>
      <c r="G31" s="735" t="s">
        <v>583</v>
      </c>
      <c r="H31" s="735" t="s">
        <v>583</v>
      </c>
      <c r="I31" s="735" t="s">
        <v>583</v>
      </c>
      <c r="J31" s="735" t="s">
        <v>583</v>
      </c>
      <c r="K31" s="735" t="s">
        <v>583</v>
      </c>
      <c r="L31" s="735" t="s">
        <v>583</v>
      </c>
      <c r="M31" s="735" t="s">
        <v>583</v>
      </c>
      <c r="N31" s="735" t="s">
        <v>583</v>
      </c>
      <c r="O31" s="735" t="s">
        <v>583</v>
      </c>
      <c r="P31" s="735" t="s">
        <v>583</v>
      </c>
      <c r="Q31" s="735" t="s">
        <v>583</v>
      </c>
      <c r="R31" s="735" t="s">
        <v>583</v>
      </c>
      <c r="S31" s="735" t="s">
        <v>583</v>
      </c>
      <c r="T31" s="735" t="s">
        <v>583</v>
      </c>
      <c r="U31" s="735" t="s">
        <v>583</v>
      </c>
      <c r="V31" s="735" t="s">
        <v>583</v>
      </c>
      <c r="W31" s="735" t="s">
        <v>583</v>
      </c>
      <c r="X31" s="735" t="s">
        <v>583</v>
      </c>
      <c r="Y31" s="735" t="s">
        <v>583</v>
      </c>
      <c r="Z31" s="735" t="s">
        <v>583</v>
      </c>
      <c r="AA31" s="735" t="s">
        <v>583</v>
      </c>
      <c r="AB31" s="735" t="s">
        <v>583</v>
      </c>
      <c r="AC31" s="735" t="s">
        <v>583</v>
      </c>
      <c r="AD31" s="735" t="s">
        <v>583</v>
      </c>
      <c r="AE31" s="735" t="s">
        <v>583</v>
      </c>
      <c r="AF31" s="735" t="s">
        <v>583</v>
      </c>
      <c r="AG31" s="735" t="s">
        <v>583</v>
      </c>
      <c r="AH31" s="735" t="s">
        <v>583</v>
      </c>
      <c r="AI31" s="735" t="s">
        <v>583</v>
      </c>
      <c r="AJ31" s="735" t="s">
        <v>583</v>
      </c>
      <c r="AK31" s="735" t="s">
        <v>583</v>
      </c>
      <c r="AL31" s="735" t="s">
        <v>583</v>
      </c>
      <c r="AM31" s="735" t="s">
        <v>583</v>
      </c>
      <c r="AN31" s="735" t="s">
        <v>583</v>
      </c>
      <c r="AO31" s="735" t="s">
        <v>583</v>
      </c>
      <c r="AP31" s="735" t="s">
        <v>583</v>
      </c>
      <c r="AQ31" s="735" t="s">
        <v>583</v>
      </c>
    </row>
    <row r="32" spans="1:43">
      <c r="A32" s="735" t="s">
        <v>40</v>
      </c>
      <c r="B32" s="735" t="s">
        <v>2342</v>
      </c>
      <c r="C32" s="735" t="s">
        <v>583</v>
      </c>
      <c r="D32" s="735" t="s">
        <v>583</v>
      </c>
      <c r="E32" s="735">
        <v>11357</v>
      </c>
      <c r="F32" s="735">
        <v>12901</v>
      </c>
      <c r="G32" s="735">
        <v>14720</v>
      </c>
      <c r="H32" s="735">
        <v>15043</v>
      </c>
      <c r="I32" s="735">
        <v>11041</v>
      </c>
      <c r="J32" s="735">
        <v>11131</v>
      </c>
      <c r="K32" s="735">
        <v>10647</v>
      </c>
      <c r="L32" s="735">
        <v>9985</v>
      </c>
      <c r="M32" s="735">
        <v>9992</v>
      </c>
      <c r="N32" s="735">
        <v>10600</v>
      </c>
      <c r="O32" s="735">
        <v>12165</v>
      </c>
      <c r="P32" s="735">
        <v>13876</v>
      </c>
      <c r="Q32" s="735">
        <v>15475</v>
      </c>
      <c r="R32" s="735">
        <v>17380</v>
      </c>
      <c r="S32" s="735">
        <v>18564</v>
      </c>
      <c r="T32" s="735">
        <v>21388</v>
      </c>
      <c r="U32" s="735">
        <v>23991</v>
      </c>
      <c r="V32" s="735">
        <v>25111</v>
      </c>
      <c r="W32" s="735">
        <v>28374</v>
      </c>
      <c r="X32" s="735">
        <v>31169</v>
      </c>
      <c r="Y32" s="735">
        <v>31202</v>
      </c>
      <c r="Z32" s="735">
        <v>36411</v>
      </c>
      <c r="AA32" s="735">
        <v>37126</v>
      </c>
      <c r="AB32" s="735">
        <v>31795</v>
      </c>
      <c r="AC32" s="735">
        <v>30374</v>
      </c>
      <c r="AD32" s="735">
        <v>33602</v>
      </c>
      <c r="AE32" s="735">
        <v>32715</v>
      </c>
      <c r="AF32" s="735">
        <v>33556</v>
      </c>
      <c r="AG32" s="735">
        <v>37386</v>
      </c>
      <c r="AH32" s="735">
        <v>48385</v>
      </c>
      <c r="AI32" s="735">
        <v>44402</v>
      </c>
      <c r="AJ32" s="735">
        <v>45079</v>
      </c>
      <c r="AK32" s="735">
        <v>51078</v>
      </c>
      <c r="AL32" s="735">
        <v>55098</v>
      </c>
      <c r="AM32" s="735">
        <v>55724</v>
      </c>
      <c r="AN32" s="735">
        <v>53370</v>
      </c>
      <c r="AO32" s="735">
        <v>47032</v>
      </c>
      <c r="AP32" s="735">
        <v>44753</v>
      </c>
      <c r="AQ32" s="735">
        <v>45397</v>
      </c>
    </row>
    <row r="33" spans="1:43">
      <c r="A33" s="735" t="s">
        <v>37</v>
      </c>
      <c r="B33" s="735" t="s">
        <v>1244</v>
      </c>
      <c r="C33" s="735">
        <v>44094</v>
      </c>
      <c r="D33" s="735">
        <v>53376</v>
      </c>
      <c r="E33" s="735">
        <v>69450</v>
      </c>
      <c r="F33" s="735">
        <v>143260</v>
      </c>
      <c r="G33" s="735">
        <v>171412</v>
      </c>
      <c r="H33" s="735">
        <v>124568</v>
      </c>
      <c r="I33" s="735">
        <v>143445</v>
      </c>
      <c r="J33" s="735">
        <v>123110</v>
      </c>
      <c r="K33" s="735">
        <v>105040</v>
      </c>
      <c r="L33" s="735">
        <v>117930</v>
      </c>
      <c r="M33" s="735">
        <v>139875</v>
      </c>
      <c r="N33" s="735">
        <v>162370</v>
      </c>
      <c r="O33" s="735">
        <v>144179</v>
      </c>
      <c r="P33" s="735">
        <v>168714</v>
      </c>
      <c r="Q33" s="735">
        <v>174664</v>
      </c>
      <c r="R33" s="735">
        <v>159223</v>
      </c>
      <c r="S33" s="735">
        <v>147435</v>
      </c>
      <c r="T33" s="735">
        <v>164945</v>
      </c>
      <c r="U33" s="735">
        <v>163394</v>
      </c>
      <c r="V33" s="735">
        <v>176061</v>
      </c>
      <c r="W33" s="735">
        <v>160739</v>
      </c>
      <c r="X33" s="735">
        <v>134836</v>
      </c>
      <c r="Y33" s="735">
        <v>146006</v>
      </c>
      <c r="Z33" s="735">
        <v>136418</v>
      </c>
      <c r="AA33" s="735">
        <v>128400</v>
      </c>
      <c r="AB33" s="735">
        <v>129961</v>
      </c>
      <c r="AC33" s="735">
        <v>158602</v>
      </c>
      <c r="AD33" s="735">
        <v>183577</v>
      </c>
      <c r="AE33" s="735">
        <v>189591</v>
      </c>
      <c r="AF33" s="735">
        <v>188043</v>
      </c>
      <c r="AG33" s="735">
        <v>219853</v>
      </c>
      <c r="AH33" s="735">
        <v>277211</v>
      </c>
      <c r="AI33" s="735">
        <v>293732</v>
      </c>
      <c r="AJ33" s="735">
        <v>403804</v>
      </c>
      <c r="AK33" s="735">
        <v>488673</v>
      </c>
      <c r="AL33" s="735">
        <v>537037</v>
      </c>
      <c r="AM33" s="735">
        <v>572368</v>
      </c>
      <c r="AN33" s="735">
        <v>448333</v>
      </c>
      <c r="AO33" s="735">
        <v>434251</v>
      </c>
      <c r="AP33" s="735">
        <v>383601</v>
      </c>
      <c r="AQ33" s="735">
        <v>407223</v>
      </c>
    </row>
    <row r="34" spans="1:43">
      <c r="A34" s="735" t="s">
        <v>36</v>
      </c>
      <c r="B34" s="735" t="s">
        <v>2370</v>
      </c>
      <c r="C34" s="735">
        <v>36944</v>
      </c>
      <c r="D34" s="735">
        <v>45781</v>
      </c>
      <c r="E34" s="735">
        <v>62471</v>
      </c>
      <c r="F34" s="735">
        <v>135476</v>
      </c>
      <c r="G34" s="735">
        <v>155816</v>
      </c>
      <c r="H34" s="735">
        <v>105644</v>
      </c>
      <c r="I34" s="735">
        <v>120635</v>
      </c>
      <c r="J34" s="735">
        <v>100484</v>
      </c>
      <c r="K34" s="735">
        <v>81202</v>
      </c>
      <c r="L34" s="735">
        <v>85834</v>
      </c>
      <c r="M34" s="735">
        <v>102428</v>
      </c>
      <c r="N34" s="735">
        <v>127648</v>
      </c>
      <c r="O34" s="735">
        <v>107434</v>
      </c>
      <c r="P34" s="735">
        <v>105164</v>
      </c>
      <c r="Q34" s="735">
        <v>102406</v>
      </c>
      <c r="R34" s="735">
        <v>92561</v>
      </c>
      <c r="S34" s="735">
        <v>87168</v>
      </c>
      <c r="T34" s="735">
        <v>102556</v>
      </c>
      <c r="U34" s="735">
        <v>100110</v>
      </c>
      <c r="V34" s="735">
        <v>101279</v>
      </c>
      <c r="W34" s="735">
        <v>96698</v>
      </c>
      <c r="X34" s="735">
        <v>75929</v>
      </c>
      <c r="Y34" s="735">
        <v>75291</v>
      </c>
      <c r="Z34" s="735">
        <v>75950</v>
      </c>
      <c r="AA34" s="735">
        <v>71799</v>
      </c>
      <c r="AB34" s="735">
        <v>72328</v>
      </c>
      <c r="AC34" s="735">
        <v>90806</v>
      </c>
      <c r="AD34" s="735">
        <v>108866</v>
      </c>
      <c r="AE34" s="735">
        <v>113947</v>
      </c>
      <c r="AF34" s="735">
        <v>134175</v>
      </c>
      <c r="AG34" s="735">
        <v>165267</v>
      </c>
      <c r="AH34" s="735">
        <v>218025</v>
      </c>
      <c r="AI34" s="735">
        <v>227439</v>
      </c>
      <c r="AJ34" s="735">
        <v>284380</v>
      </c>
      <c r="AK34" s="735">
        <v>367537</v>
      </c>
      <c r="AL34" s="735">
        <v>400355</v>
      </c>
      <c r="AM34" s="735">
        <v>433434</v>
      </c>
      <c r="AN34" s="735">
        <v>314975</v>
      </c>
      <c r="AO34" s="735">
        <v>315368</v>
      </c>
      <c r="AP34" s="735">
        <v>277189</v>
      </c>
      <c r="AQ34" s="735">
        <v>301090</v>
      </c>
    </row>
    <row r="35" spans="1:43">
      <c r="A35" s="735" t="s">
        <v>35</v>
      </c>
      <c r="B35" s="735" t="s">
        <v>2369</v>
      </c>
      <c r="C35" s="735">
        <v>2395</v>
      </c>
      <c r="D35" s="735">
        <v>2629</v>
      </c>
      <c r="E35" s="735">
        <v>1558</v>
      </c>
      <c r="F35" s="735">
        <v>2724</v>
      </c>
      <c r="G35" s="735">
        <v>2610</v>
      </c>
      <c r="H35" s="735">
        <v>4096</v>
      </c>
      <c r="I35" s="735">
        <v>5250</v>
      </c>
      <c r="J35" s="735">
        <v>5025</v>
      </c>
      <c r="K35" s="735">
        <v>5641</v>
      </c>
      <c r="L35" s="735">
        <v>7293</v>
      </c>
      <c r="M35" s="735">
        <v>8395</v>
      </c>
      <c r="N35" s="735">
        <v>10283</v>
      </c>
      <c r="O35" s="735">
        <v>9637</v>
      </c>
      <c r="P35" s="735">
        <v>9951</v>
      </c>
      <c r="Q35" s="735">
        <v>10989</v>
      </c>
      <c r="R35" s="735">
        <v>11240</v>
      </c>
      <c r="S35" s="735">
        <v>8503</v>
      </c>
      <c r="T35" s="735">
        <v>9039</v>
      </c>
      <c r="U35" s="735">
        <v>10039</v>
      </c>
      <c r="V35" s="735">
        <v>11037</v>
      </c>
      <c r="W35" s="735">
        <v>10312</v>
      </c>
      <c r="X35" s="735">
        <v>10027</v>
      </c>
      <c r="Y35" s="735">
        <v>10603</v>
      </c>
      <c r="Z35" s="735">
        <v>10336</v>
      </c>
      <c r="AA35" s="735">
        <v>10539</v>
      </c>
      <c r="AB35" s="735">
        <v>10783</v>
      </c>
      <c r="AC35" s="735">
        <v>12166</v>
      </c>
      <c r="AD35" s="735">
        <v>12638</v>
      </c>
      <c r="AE35" s="735">
        <v>13628</v>
      </c>
      <c r="AF35" s="735">
        <v>8210</v>
      </c>
      <c r="AG35" s="735">
        <v>8870</v>
      </c>
      <c r="AH35" s="735">
        <v>9476</v>
      </c>
      <c r="AI35" s="735">
        <v>9340</v>
      </c>
      <c r="AJ35" s="735">
        <v>57814</v>
      </c>
      <c r="AK35" s="735">
        <v>56824</v>
      </c>
      <c r="AL35" s="735">
        <v>54956</v>
      </c>
      <c r="AM35" s="735">
        <v>55050</v>
      </c>
      <c r="AN35" s="735">
        <v>55184</v>
      </c>
      <c r="AO35" s="735">
        <v>51941</v>
      </c>
      <c r="AP35" s="735">
        <v>49688</v>
      </c>
      <c r="AQ35" s="735">
        <v>48883</v>
      </c>
    </row>
    <row r="36" spans="1:43">
      <c r="A36" s="735" t="s">
        <v>34</v>
      </c>
      <c r="B36" s="735" t="s">
        <v>2368</v>
      </c>
      <c r="C36" s="735">
        <v>4434</v>
      </c>
      <c r="D36" s="735">
        <v>4946</v>
      </c>
      <c r="E36" s="735">
        <v>1047</v>
      </c>
      <c r="F36" s="735">
        <v>1253</v>
      </c>
      <c r="G36" s="735">
        <v>2852</v>
      </c>
      <c r="H36" s="735">
        <v>5054</v>
      </c>
      <c r="I36" s="735">
        <v>7348</v>
      </c>
      <c r="J36" s="735">
        <v>11312</v>
      </c>
      <c r="K36" s="735">
        <v>11541</v>
      </c>
      <c r="L36" s="735">
        <v>11947</v>
      </c>
      <c r="M36" s="735">
        <v>11730</v>
      </c>
      <c r="N36" s="735">
        <v>11349</v>
      </c>
      <c r="O36" s="735">
        <v>9745</v>
      </c>
      <c r="P36" s="735">
        <v>9048</v>
      </c>
      <c r="Q36" s="735">
        <v>9076</v>
      </c>
      <c r="R36" s="735">
        <v>9488</v>
      </c>
      <c r="S36" s="735">
        <v>11759</v>
      </c>
      <c r="T36" s="735">
        <v>11818</v>
      </c>
      <c r="U36" s="735">
        <v>12030</v>
      </c>
      <c r="V36" s="735">
        <v>14649</v>
      </c>
      <c r="W36" s="735">
        <v>15435</v>
      </c>
      <c r="X36" s="735">
        <v>18071</v>
      </c>
      <c r="Y36" s="735">
        <v>24111</v>
      </c>
      <c r="Z36" s="735">
        <v>17950</v>
      </c>
      <c r="AA36" s="735">
        <v>14824</v>
      </c>
      <c r="AB36" s="735">
        <v>17869</v>
      </c>
      <c r="AC36" s="735">
        <v>21979</v>
      </c>
      <c r="AD36" s="735">
        <v>22535</v>
      </c>
      <c r="AE36" s="735">
        <v>19544</v>
      </c>
      <c r="AF36" s="735">
        <v>8036</v>
      </c>
      <c r="AG36" s="735">
        <v>5040</v>
      </c>
      <c r="AH36" s="735">
        <v>4244</v>
      </c>
      <c r="AI36" s="735">
        <v>7683</v>
      </c>
      <c r="AJ36" s="735">
        <v>11385</v>
      </c>
      <c r="AK36" s="735">
        <v>12492</v>
      </c>
      <c r="AL36" s="735">
        <v>30080</v>
      </c>
      <c r="AM36" s="735">
        <v>34161</v>
      </c>
      <c r="AN36" s="735">
        <v>30750</v>
      </c>
      <c r="AO36" s="735">
        <v>25164</v>
      </c>
      <c r="AP36" s="735">
        <v>17609</v>
      </c>
      <c r="AQ36" s="735">
        <v>18385</v>
      </c>
    </row>
    <row r="37" spans="1:43">
      <c r="A37" s="735" t="s">
        <v>30</v>
      </c>
      <c r="B37" s="735" t="s">
        <v>2367</v>
      </c>
      <c r="C37" s="735">
        <v>321</v>
      </c>
      <c r="D37" s="735">
        <v>20</v>
      </c>
      <c r="E37" s="735">
        <v>4374</v>
      </c>
      <c r="F37" s="735">
        <v>3807</v>
      </c>
      <c r="G37" s="735">
        <v>10134</v>
      </c>
      <c r="H37" s="735">
        <v>9774</v>
      </c>
      <c r="I37" s="735">
        <v>10212</v>
      </c>
      <c r="J37" s="735">
        <v>6289</v>
      </c>
      <c r="K37" s="735">
        <v>6656</v>
      </c>
      <c r="L37" s="735">
        <v>12856</v>
      </c>
      <c r="M37" s="735">
        <v>17322</v>
      </c>
      <c r="N37" s="735">
        <v>13090</v>
      </c>
      <c r="O37" s="735">
        <v>17363</v>
      </c>
      <c r="P37" s="735">
        <v>44551</v>
      </c>
      <c r="Q37" s="735">
        <v>52193</v>
      </c>
      <c r="R37" s="735">
        <v>45934</v>
      </c>
      <c r="S37" s="735">
        <v>40005</v>
      </c>
      <c r="T37" s="735">
        <v>41532</v>
      </c>
      <c r="U37" s="735">
        <v>41215</v>
      </c>
      <c r="V37" s="735">
        <v>49096</v>
      </c>
      <c r="W37" s="735">
        <v>38294</v>
      </c>
      <c r="X37" s="735">
        <v>30809</v>
      </c>
      <c r="Y37" s="735">
        <v>36001</v>
      </c>
      <c r="Z37" s="735">
        <v>32182</v>
      </c>
      <c r="AA37" s="735">
        <v>31238</v>
      </c>
      <c r="AB37" s="735">
        <v>28981</v>
      </c>
      <c r="AC37" s="735">
        <v>33651</v>
      </c>
      <c r="AD37" s="735">
        <v>39538</v>
      </c>
      <c r="AE37" s="735">
        <v>42472</v>
      </c>
      <c r="AF37" s="735">
        <v>37622</v>
      </c>
      <c r="AG37" s="735">
        <v>40676</v>
      </c>
      <c r="AH37" s="735">
        <v>45466</v>
      </c>
      <c r="AI37" s="735">
        <v>49270</v>
      </c>
      <c r="AJ37" s="735">
        <v>50225</v>
      </c>
      <c r="AK37" s="735">
        <v>51820</v>
      </c>
      <c r="AL37" s="735">
        <v>51646</v>
      </c>
      <c r="AM37" s="735">
        <v>49723</v>
      </c>
      <c r="AN37" s="735">
        <v>47424</v>
      </c>
      <c r="AO37" s="735">
        <v>41778</v>
      </c>
      <c r="AP37" s="735">
        <v>39115</v>
      </c>
      <c r="AQ37" s="735">
        <v>38865</v>
      </c>
    </row>
    <row r="38" spans="1:43">
      <c r="A38" s="735" t="s">
        <v>29</v>
      </c>
      <c r="B38" s="735" t="s">
        <v>2366</v>
      </c>
      <c r="C38" s="735" t="s">
        <v>583</v>
      </c>
      <c r="D38" s="735" t="s">
        <v>583</v>
      </c>
      <c r="E38" s="735" t="s">
        <v>583</v>
      </c>
      <c r="F38" s="735" t="s">
        <v>583</v>
      </c>
      <c r="G38" s="735" t="s">
        <v>583</v>
      </c>
      <c r="H38" s="735" t="s">
        <v>583</v>
      </c>
      <c r="I38" s="735" t="s">
        <v>583</v>
      </c>
      <c r="J38" s="735" t="s">
        <v>583</v>
      </c>
      <c r="K38" s="735" t="s">
        <v>583</v>
      </c>
      <c r="L38" s="735" t="s">
        <v>583</v>
      </c>
      <c r="M38" s="735" t="s">
        <v>583</v>
      </c>
      <c r="N38" s="735" t="s">
        <v>583</v>
      </c>
      <c r="O38" s="735" t="s">
        <v>583</v>
      </c>
      <c r="P38" s="735" t="s">
        <v>583</v>
      </c>
      <c r="Q38" s="735" t="s">
        <v>583</v>
      </c>
      <c r="R38" s="735" t="s">
        <v>583</v>
      </c>
      <c r="S38" s="735" t="s">
        <v>583</v>
      </c>
      <c r="T38" s="735" t="s">
        <v>583</v>
      </c>
      <c r="U38" s="735" t="s">
        <v>583</v>
      </c>
      <c r="V38" s="735" t="s">
        <v>583</v>
      </c>
      <c r="W38" s="735" t="s">
        <v>583</v>
      </c>
      <c r="X38" s="735" t="s">
        <v>583</v>
      </c>
      <c r="Y38" s="735" t="s">
        <v>583</v>
      </c>
      <c r="Z38" s="735" t="s">
        <v>583</v>
      </c>
      <c r="AA38" s="735" t="s">
        <v>583</v>
      </c>
      <c r="AB38" s="735" t="s">
        <v>583</v>
      </c>
      <c r="AC38" s="735">
        <v>20500</v>
      </c>
      <c r="AD38" s="735">
        <v>24295</v>
      </c>
      <c r="AE38" s="735">
        <v>22616</v>
      </c>
      <c r="AF38" s="735">
        <v>16036</v>
      </c>
      <c r="AG38" s="735">
        <v>17614</v>
      </c>
      <c r="AH38" s="735">
        <v>19886</v>
      </c>
      <c r="AI38" s="735">
        <v>18025</v>
      </c>
      <c r="AJ38" s="735">
        <v>21562</v>
      </c>
      <c r="AK38" s="735">
        <v>21847</v>
      </c>
      <c r="AL38" s="735">
        <v>26673</v>
      </c>
      <c r="AM38" s="735">
        <v>24934</v>
      </c>
      <c r="AN38" s="735">
        <v>20889</v>
      </c>
      <c r="AO38" s="735">
        <v>19003</v>
      </c>
      <c r="AP38" s="735">
        <v>17555</v>
      </c>
      <c r="AQ38" s="735">
        <v>17728</v>
      </c>
    </row>
    <row r="39" spans="1:43">
      <c r="A39" s="735" t="s">
        <v>27</v>
      </c>
      <c r="B39" s="735" t="s">
        <v>2365</v>
      </c>
      <c r="C39" s="735" t="s">
        <v>583</v>
      </c>
      <c r="D39" s="735" t="s">
        <v>583</v>
      </c>
      <c r="E39" s="735" t="s">
        <v>583</v>
      </c>
      <c r="F39" s="735" t="s">
        <v>583</v>
      </c>
      <c r="G39" s="735" t="s">
        <v>583</v>
      </c>
      <c r="H39" s="735" t="s">
        <v>583</v>
      </c>
      <c r="I39" s="735" t="s">
        <v>583</v>
      </c>
      <c r="J39" s="735" t="s">
        <v>583</v>
      </c>
      <c r="K39" s="735" t="s">
        <v>583</v>
      </c>
      <c r="L39" s="735" t="s">
        <v>583</v>
      </c>
      <c r="M39" s="735" t="s">
        <v>583</v>
      </c>
      <c r="N39" s="735" t="s">
        <v>583</v>
      </c>
      <c r="O39" s="735" t="s">
        <v>583</v>
      </c>
      <c r="P39" s="735" t="s">
        <v>583</v>
      </c>
      <c r="Q39" s="735" t="s">
        <v>583</v>
      </c>
      <c r="R39" s="735" t="s">
        <v>583</v>
      </c>
      <c r="S39" s="735" t="s">
        <v>583</v>
      </c>
      <c r="T39" s="735" t="s">
        <v>583</v>
      </c>
      <c r="U39" s="735" t="s">
        <v>583</v>
      </c>
      <c r="V39" s="735" t="s">
        <v>583</v>
      </c>
      <c r="W39" s="735" t="s">
        <v>583</v>
      </c>
      <c r="X39" s="735" t="s">
        <v>583</v>
      </c>
      <c r="Y39" s="735" t="s">
        <v>583</v>
      </c>
      <c r="Z39" s="735" t="s">
        <v>583</v>
      </c>
      <c r="AA39" s="735" t="s">
        <v>583</v>
      </c>
      <c r="AB39" s="735" t="s">
        <v>583</v>
      </c>
      <c r="AC39" s="735">
        <v>9956</v>
      </c>
      <c r="AD39" s="735">
        <v>11176</v>
      </c>
      <c r="AE39" s="735">
        <v>15572</v>
      </c>
      <c r="AF39" s="735">
        <v>17732</v>
      </c>
      <c r="AG39" s="735">
        <v>18637</v>
      </c>
      <c r="AH39" s="735">
        <v>20487</v>
      </c>
      <c r="AI39" s="735">
        <v>23095</v>
      </c>
      <c r="AJ39" s="735">
        <v>23482</v>
      </c>
      <c r="AK39" s="735">
        <v>25039</v>
      </c>
      <c r="AL39" s="735">
        <v>24973</v>
      </c>
      <c r="AM39" s="735">
        <v>23471</v>
      </c>
      <c r="AN39" s="735">
        <v>21436</v>
      </c>
      <c r="AO39" s="735">
        <v>22775</v>
      </c>
      <c r="AP39" s="735">
        <v>21560</v>
      </c>
      <c r="AQ39" s="735">
        <v>21137</v>
      </c>
    </row>
    <row r="40" spans="1:43">
      <c r="A40" s="735" t="s">
        <v>26</v>
      </c>
      <c r="B40" s="735" t="s">
        <v>2364</v>
      </c>
      <c r="C40" s="735" t="s">
        <v>579</v>
      </c>
      <c r="D40" s="735" t="s">
        <v>579</v>
      </c>
      <c r="E40" s="735" t="s">
        <v>579</v>
      </c>
      <c r="F40" s="735" t="s">
        <v>579</v>
      </c>
      <c r="G40" s="735" t="s">
        <v>579</v>
      </c>
      <c r="H40" s="735" t="s">
        <v>579</v>
      </c>
      <c r="I40" s="735" t="s">
        <v>579</v>
      </c>
      <c r="J40" s="735" t="s">
        <v>579</v>
      </c>
      <c r="K40" s="735" t="s">
        <v>579</v>
      </c>
      <c r="L40" s="735" t="s">
        <v>579</v>
      </c>
      <c r="M40" s="735" t="s">
        <v>579</v>
      </c>
      <c r="N40" s="735" t="s">
        <v>579</v>
      </c>
      <c r="O40" s="735" t="s">
        <v>579</v>
      </c>
      <c r="P40" s="735" t="s">
        <v>579</v>
      </c>
      <c r="Q40" s="735" t="s">
        <v>579</v>
      </c>
      <c r="R40" s="735" t="s">
        <v>579</v>
      </c>
      <c r="S40" s="735" t="s">
        <v>579</v>
      </c>
      <c r="T40" s="735" t="s">
        <v>579</v>
      </c>
      <c r="U40" s="735" t="s">
        <v>579</v>
      </c>
      <c r="V40" s="735" t="s">
        <v>579</v>
      </c>
      <c r="W40" s="735" t="s">
        <v>579</v>
      </c>
      <c r="X40" s="735" t="s">
        <v>579</v>
      </c>
      <c r="Y40" s="735" t="s">
        <v>579</v>
      </c>
      <c r="Z40" s="735" t="s">
        <v>579</v>
      </c>
      <c r="AA40" s="735" t="s">
        <v>579</v>
      </c>
      <c r="AB40" s="735" t="s">
        <v>579</v>
      </c>
      <c r="AC40" s="735" t="s">
        <v>579</v>
      </c>
      <c r="AD40" s="735" t="s">
        <v>579</v>
      </c>
      <c r="AE40" s="735" t="s">
        <v>579</v>
      </c>
      <c r="AF40" s="735" t="s">
        <v>579</v>
      </c>
      <c r="AG40" s="735" t="s">
        <v>579</v>
      </c>
      <c r="AH40" s="735" t="s">
        <v>579</v>
      </c>
      <c r="AI40" s="735" t="s">
        <v>579</v>
      </c>
      <c r="AJ40" s="735" t="s">
        <v>579</v>
      </c>
      <c r="AK40" s="735" t="s">
        <v>579</v>
      </c>
      <c r="AL40" s="735" t="s">
        <v>579</v>
      </c>
      <c r="AM40" s="735" t="s">
        <v>579</v>
      </c>
      <c r="AN40" s="735" t="s">
        <v>579</v>
      </c>
      <c r="AO40" s="735" t="s">
        <v>579</v>
      </c>
      <c r="AP40" s="735" t="s">
        <v>579</v>
      </c>
      <c r="AQ40" s="735" t="s">
        <v>579</v>
      </c>
    </row>
    <row r="41" spans="1:43">
      <c r="A41" s="735" t="s">
        <v>25</v>
      </c>
      <c r="B41" s="735" t="s">
        <v>2363</v>
      </c>
      <c r="C41" s="735" t="s">
        <v>583</v>
      </c>
      <c r="D41" s="735" t="s">
        <v>583</v>
      </c>
      <c r="E41" s="735" t="s">
        <v>583</v>
      </c>
      <c r="F41" s="735" t="s">
        <v>583</v>
      </c>
      <c r="G41" s="735" t="s">
        <v>583</v>
      </c>
      <c r="H41" s="735" t="s">
        <v>583</v>
      </c>
      <c r="I41" s="735" t="s">
        <v>583</v>
      </c>
      <c r="J41" s="735" t="s">
        <v>583</v>
      </c>
      <c r="K41" s="735" t="s">
        <v>583</v>
      </c>
      <c r="L41" s="735" t="s">
        <v>583</v>
      </c>
      <c r="M41" s="735" t="s">
        <v>583</v>
      </c>
      <c r="N41" s="735" t="s">
        <v>583</v>
      </c>
      <c r="O41" s="735" t="s">
        <v>583</v>
      </c>
      <c r="P41" s="735" t="s">
        <v>583</v>
      </c>
      <c r="Q41" s="735" t="s">
        <v>583</v>
      </c>
      <c r="R41" s="735" t="s">
        <v>583</v>
      </c>
      <c r="S41" s="735" t="s">
        <v>583</v>
      </c>
      <c r="T41" s="735" t="s">
        <v>583</v>
      </c>
      <c r="U41" s="735" t="s">
        <v>583</v>
      </c>
      <c r="V41" s="735" t="s">
        <v>583</v>
      </c>
      <c r="W41" s="735" t="s">
        <v>583</v>
      </c>
      <c r="X41" s="735" t="s">
        <v>583</v>
      </c>
      <c r="Y41" s="735" t="s">
        <v>583</v>
      </c>
      <c r="Z41" s="735" t="s">
        <v>583</v>
      </c>
      <c r="AA41" s="735" t="s">
        <v>583</v>
      </c>
      <c r="AB41" s="735" t="s">
        <v>583</v>
      </c>
      <c r="AC41" s="735">
        <v>3196</v>
      </c>
      <c r="AD41" s="735">
        <v>4067</v>
      </c>
      <c r="AE41" s="735">
        <v>4284</v>
      </c>
      <c r="AF41" s="735">
        <v>3854</v>
      </c>
      <c r="AG41" s="735">
        <v>4425</v>
      </c>
      <c r="AH41" s="735">
        <v>5093</v>
      </c>
      <c r="AI41" s="735">
        <v>8150</v>
      </c>
      <c r="AJ41" s="735">
        <v>5181</v>
      </c>
      <c r="AK41" s="735">
        <v>4934</v>
      </c>
      <c r="AL41" s="735">
        <v>0</v>
      </c>
      <c r="AM41" s="735">
        <v>1318</v>
      </c>
      <c r="AN41" s="735">
        <v>5099</v>
      </c>
      <c r="AO41" s="735">
        <v>0</v>
      </c>
      <c r="AP41" s="735">
        <v>0</v>
      </c>
      <c r="AQ41" s="735">
        <v>0</v>
      </c>
    </row>
    <row r="42" spans="1:43">
      <c r="A42" s="752" t="s">
        <v>23</v>
      </c>
      <c r="B42" s="752" t="s">
        <v>1243</v>
      </c>
      <c r="C42" s="752">
        <v>290885</v>
      </c>
      <c r="D42" s="752">
        <v>330475</v>
      </c>
      <c r="E42" s="752">
        <v>397817</v>
      </c>
      <c r="F42" s="752">
        <v>448210</v>
      </c>
      <c r="G42" s="752">
        <v>542221</v>
      </c>
      <c r="H42" s="752">
        <v>605951</v>
      </c>
      <c r="I42" s="752">
        <v>791992</v>
      </c>
      <c r="J42" s="752">
        <v>945162</v>
      </c>
      <c r="K42" s="752">
        <v>1074338</v>
      </c>
      <c r="L42" s="752">
        <v>1287772</v>
      </c>
      <c r="M42" s="752">
        <v>1570484</v>
      </c>
      <c r="N42" s="752">
        <v>1790600</v>
      </c>
      <c r="O42" s="752">
        <v>2077372</v>
      </c>
      <c r="P42" s="752">
        <v>2481453</v>
      </c>
      <c r="Q42" s="752">
        <v>2565177</v>
      </c>
      <c r="R42" s="752">
        <v>2848988</v>
      </c>
      <c r="S42" s="752">
        <v>3043359</v>
      </c>
      <c r="T42" s="752">
        <v>3356505</v>
      </c>
      <c r="U42" s="752">
        <v>3544948</v>
      </c>
      <c r="V42" s="752">
        <v>4371942</v>
      </c>
      <c r="W42" s="752">
        <v>5120102</v>
      </c>
      <c r="X42" s="752">
        <v>6324739</v>
      </c>
      <c r="Y42" s="752">
        <v>7402395</v>
      </c>
      <c r="Z42" s="752">
        <v>8613711</v>
      </c>
      <c r="AA42" s="752">
        <v>9178574</v>
      </c>
      <c r="AB42" s="752">
        <v>9465063</v>
      </c>
      <c r="AC42" s="752">
        <v>9476128</v>
      </c>
      <c r="AD42" s="752">
        <v>10913947</v>
      </c>
      <c r="AE42" s="752">
        <v>12952395</v>
      </c>
      <c r="AF42" s="752">
        <v>15214866</v>
      </c>
      <c r="AG42" s="752">
        <v>18218331</v>
      </c>
      <c r="AH42" s="752">
        <v>21983996</v>
      </c>
      <c r="AI42" s="752">
        <v>23418718</v>
      </c>
      <c r="AJ42" s="752">
        <v>22054085</v>
      </c>
      <c r="AK42" s="752">
        <v>24279615</v>
      </c>
      <c r="AL42" s="752">
        <v>26663893</v>
      </c>
      <c r="AM42" s="752">
        <v>27080461</v>
      </c>
      <c r="AN42" s="752">
        <v>29517429</v>
      </c>
      <c r="AO42" s="752">
        <v>31812828</v>
      </c>
      <c r="AP42" s="752">
        <v>30845850</v>
      </c>
      <c r="AQ42" s="752">
        <v>32167823</v>
      </c>
    </row>
    <row r="43" spans="1:43">
      <c r="A43" s="735" t="s">
        <v>22</v>
      </c>
      <c r="B43" s="735" t="s">
        <v>2362</v>
      </c>
      <c r="C43" s="735">
        <v>290885</v>
      </c>
      <c r="D43" s="735">
        <v>330475</v>
      </c>
      <c r="E43" s="735">
        <v>397817</v>
      </c>
      <c r="F43" s="735">
        <v>448210</v>
      </c>
      <c r="G43" s="735">
        <v>542221</v>
      </c>
      <c r="H43" s="735">
        <v>605951</v>
      </c>
      <c r="I43" s="735">
        <v>791992</v>
      </c>
      <c r="J43" s="735">
        <v>945162</v>
      </c>
      <c r="K43" s="735">
        <v>1074338</v>
      </c>
      <c r="L43" s="735">
        <v>1287772</v>
      </c>
      <c r="M43" s="735">
        <v>1570484</v>
      </c>
      <c r="N43" s="735">
        <v>1790600</v>
      </c>
      <c r="O43" s="735">
        <v>2077372</v>
      </c>
      <c r="P43" s="735">
        <v>2481453</v>
      </c>
      <c r="Q43" s="735">
        <v>2565177</v>
      </c>
      <c r="R43" s="735">
        <v>2848988</v>
      </c>
      <c r="S43" s="735">
        <v>3043359</v>
      </c>
      <c r="T43" s="735">
        <v>3356505</v>
      </c>
      <c r="U43" s="735">
        <v>3544948</v>
      </c>
      <c r="V43" s="735">
        <v>4371942</v>
      </c>
      <c r="W43" s="735">
        <v>5120102</v>
      </c>
      <c r="X43" s="735">
        <v>6324739</v>
      </c>
      <c r="Y43" s="735">
        <v>7402395</v>
      </c>
      <c r="Z43" s="735">
        <v>8613711</v>
      </c>
      <c r="AA43" s="735">
        <v>9178574</v>
      </c>
      <c r="AB43" s="735">
        <v>9465063</v>
      </c>
      <c r="AC43" s="735">
        <v>9476128</v>
      </c>
      <c r="AD43" s="735">
        <v>10913947</v>
      </c>
      <c r="AE43" s="735">
        <v>12952395</v>
      </c>
      <c r="AF43" s="735">
        <v>14082752</v>
      </c>
      <c r="AG43" s="735">
        <v>17039172</v>
      </c>
      <c r="AH43" s="735">
        <v>19496136</v>
      </c>
      <c r="AI43" s="735">
        <v>17450903</v>
      </c>
      <c r="AJ43" s="735">
        <v>18690641</v>
      </c>
      <c r="AK43" s="735">
        <v>20737684</v>
      </c>
      <c r="AL43" s="735">
        <v>22033354</v>
      </c>
      <c r="AM43" s="735">
        <v>23518476</v>
      </c>
      <c r="AN43" s="735">
        <v>26577886</v>
      </c>
      <c r="AO43" s="735">
        <v>28646052</v>
      </c>
      <c r="AP43" s="735">
        <v>28473923</v>
      </c>
      <c r="AQ43" s="735">
        <v>30020149</v>
      </c>
    </row>
    <row r="44" spans="1:43">
      <c r="A44" s="735" t="s">
        <v>21</v>
      </c>
      <c r="B44" s="735" t="s">
        <v>2361</v>
      </c>
      <c r="C44" s="735" t="s">
        <v>583</v>
      </c>
      <c r="D44" s="735" t="s">
        <v>583</v>
      </c>
      <c r="E44" s="735" t="s">
        <v>583</v>
      </c>
      <c r="F44" s="735" t="s">
        <v>583</v>
      </c>
      <c r="G44" s="735" t="s">
        <v>583</v>
      </c>
      <c r="H44" s="735" t="s">
        <v>583</v>
      </c>
      <c r="I44" s="735" t="s">
        <v>583</v>
      </c>
      <c r="J44" s="735" t="s">
        <v>583</v>
      </c>
      <c r="K44" s="735" t="s">
        <v>583</v>
      </c>
      <c r="L44" s="735" t="s">
        <v>583</v>
      </c>
      <c r="M44" s="735" t="s">
        <v>583</v>
      </c>
      <c r="N44" s="735" t="s">
        <v>583</v>
      </c>
      <c r="O44" s="735" t="s">
        <v>583</v>
      </c>
      <c r="P44" s="735" t="s">
        <v>583</v>
      </c>
      <c r="Q44" s="735" t="s">
        <v>583</v>
      </c>
      <c r="R44" s="735" t="s">
        <v>583</v>
      </c>
      <c r="S44" s="735" t="s">
        <v>583</v>
      </c>
      <c r="T44" s="735" t="s">
        <v>583</v>
      </c>
      <c r="U44" s="735" t="s">
        <v>583</v>
      </c>
      <c r="V44" s="735" t="s">
        <v>583</v>
      </c>
      <c r="W44" s="735" t="s">
        <v>583</v>
      </c>
      <c r="X44" s="735" t="s">
        <v>583</v>
      </c>
      <c r="Y44" s="735" t="s">
        <v>583</v>
      </c>
      <c r="Z44" s="735" t="s">
        <v>583</v>
      </c>
      <c r="AA44" s="735" t="s">
        <v>583</v>
      </c>
      <c r="AB44" s="735" t="s">
        <v>583</v>
      </c>
      <c r="AC44" s="735" t="s">
        <v>583</v>
      </c>
      <c r="AD44" s="735" t="s">
        <v>583</v>
      </c>
      <c r="AE44" s="735" t="s">
        <v>583</v>
      </c>
      <c r="AF44" s="735">
        <v>1132114</v>
      </c>
      <c r="AG44" s="735">
        <v>1179159</v>
      </c>
      <c r="AH44" s="735">
        <v>2487860</v>
      </c>
      <c r="AI44" s="735">
        <v>5967815</v>
      </c>
      <c r="AJ44" s="735">
        <v>3363444</v>
      </c>
      <c r="AK44" s="735">
        <v>3541931</v>
      </c>
      <c r="AL44" s="735">
        <v>4630539</v>
      </c>
      <c r="AM44" s="735">
        <v>3561985</v>
      </c>
      <c r="AN44" s="735">
        <v>2939543</v>
      </c>
      <c r="AO44" s="735">
        <v>3166776</v>
      </c>
      <c r="AP44" s="735">
        <v>2371927</v>
      </c>
      <c r="AQ44" s="735">
        <v>2147674</v>
      </c>
    </row>
    <row r="45" spans="1:43">
      <c r="A45" s="752" t="s">
        <v>32</v>
      </c>
      <c r="B45" s="752" t="s">
        <v>1240</v>
      </c>
      <c r="C45" s="752" t="s">
        <v>32</v>
      </c>
      <c r="D45" s="752" t="s">
        <v>32</v>
      </c>
      <c r="E45" s="752" t="s">
        <v>32</v>
      </c>
      <c r="F45" s="752" t="s">
        <v>32</v>
      </c>
      <c r="G45" s="752" t="s">
        <v>32</v>
      </c>
      <c r="H45" s="752" t="s">
        <v>32</v>
      </c>
      <c r="I45" s="752" t="s">
        <v>32</v>
      </c>
      <c r="J45" s="752" t="s">
        <v>32</v>
      </c>
      <c r="K45" s="752" t="s">
        <v>32</v>
      </c>
      <c r="L45" s="752" t="s">
        <v>32</v>
      </c>
      <c r="M45" s="752" t="s">
        <v>32</v>
      </c>
      <c r="N45" s="752" t="s">
        <v>32</v>
      </c>
      <c r="O45" s="752" t="s">
        <v>32</v>
      </c>
      <c r="P45" s="752" t="s">
        <v>32</v>
      </c>
      <c r="Q45" s="752" t="s">
        <v>32</v>
      </c>
      <c r="R45" s="752" t="s">
        <v>32</v>
      </c>
      <c r="S45" s="752" t="s">
        <v>32</v>
      </c>
      <c r="T45" s="752" t="s">
        <v>32</v>
      </c>
      <c r="U45" s="752" t="s">
        <v>32</v>
      </c>
      <c r="V45" s="752" t="s">
        <v>32</v>
      </c>
      <c r="W45" s="752" t="s">
        <v>32</v>
      </c>
      <c r="X45" s="752" t="s">
        <v>32</v>
      </c>
      <c r="Y45" s="752" t="s">
        <v>32</v>
      </c>
      <c r="Z45" s="752" t="s">
        <v>32</v>
      </c>
      <c r="AA45" s="752" t="s">
        <v>32</v>
      </c>
      <c r="AB45" s="752" t="s">
        <v>32</v>
      </c>
      <c r="AC45" s="752" t="s">
        <v>32</v>
      </c>
      <c r="AD45" s="752" t="s">
        <v>32</v>
      </c>
      <c r="AE45" s="752" t="s">
        <v>32</v>
      </c>
      <c r="AF45" s="752" t="s">
        <v>32</v>
      </c>
      <c r="AG45" s="752" t="s">
        <v>32</v>
      </c>
      <c r="AH45" s="752" t="s">
        <v>32</v>
      </c>
      <c r="AI45" s="752" t="s">
        <v>32</v>
      </c>
      <c r="AJ45" s="752" t="s">
        <v>32</v>
      </c>
      <c r="AK45" s="752" t="s">
        <v>32</v>
      </c>
      <c r="AL45" s="752" t="s">
        <v>32</v>
      </c>
      <c r="AM45" s="752" t="s">
        <v>32</v>
      </c>
      <c r="AN45" s="752" t="s">
        <v>32</v>
      </c>
      <c r="AO45" s="752" t="s">
        <v>32</v>
      </c>
      <c r="AP45" s="752" t="s">
        <v>32</v>
      </c>
      <c r="AQ45" s="752" t="s">
        <v>32</v>
      </c>
    </row>
    <row r="46" spans="1:43">
      <c r="A46" s="735" t="s">
        <v>20</v>
      </c>
      <c r="B46" s="735" t="s">
        <v>1239</v>
      </c>
      <c r="C46" s="735">
        <v>44158</v>
      </c>
      <c r="D46" s="735">
        <v>43218</v>
      </c>
      <c r="E46" s="735">
        <v>50629</v>
      </c>
      <c r="F46" s="735">
        <v>65751</v>
      </c>
      <c r="G46" s="735">
        <v>99867</v>
      </c>
      <c r="H46" s="735">
        <v>109292</v>
      </c>
      <c r="I46" s="735">
        <v>199771</v>
      </c>
      <c r="J46" s="735">
        <v>230300</v>
      </c>
      <c r="K46" s="735">
        <v>259723</v>
      </c>
      <c r="L46" s="735">
        <v>309338</v>
      </c>
      <c r="M46" s="735">
        <v>358030</v>
      </c>
      <c r="N46" s="735">
        <v>407706</v>
      </c>
      <c r="O46" s="735">
        <v>482015</v>
      </c>
      <c r="P46" s="735">
        <v>632239</v>
      </c>
      <c r="Q46" s="735">
        <v>661170</v>
      </c>
      <c r="R46" s="735">
        <v>804182</v>
      </c>
      <c r="S46" s="735">
        <v>840912</v>
      </c>
      <c r="T46" s="735">
        <v>911710</v>
      </c>
      <c r="U46" s="735">
        <v>877354</v>
      </c>
      <c r="V46" s="735">
        <v>1135542</v>
      </c>
      <c r="W46" s="735">
        <v>1370076</v>
      </c>
      <c r="X46" s="735">
        <v>1794795</v>
      </c>
      <c r="Y46" s="735">
        <v>2368530</v>
      </c>
      <c r="Z46" s="735">
        <v>3009958</v>
      </c>
      <c r="AA46" s="735">
        <v>3023792</v>
      </c>
      <c r="AB46" s="735">
        <v>2799823</v>
      </c>
      <c r="AC46" s="735">
        <v>2282370</v>
      </c>
      <c r="AD46" s="735">
        <v>2763061</v>
      </c>
      <c r="AE46" s="735">
        <v>3101450</v>
      </c>
      <c r="AF46" s="735">
        <v>3227144</v>
      </c>
      <c r="AG46" s="735">
        <v>3752602</v>
      </c>
      <c r="AH46" s="735">
        <v>4134239</v>
      </c>
      <c r="AI46" s="735">
        <v>3091240</v>
      </c>
      <c r="AJ46" s="735">
        <v>3618630</v>
      </c>
      <c r="AK46" s="735">
        <v>4099097</v>
      </c>
      <c r="AL46" s="735">
        <v>4199225</v>
      </c>
      <c r="AM46" s="735">
        <v>4662434</v>
      </c>
      <c r="AN46" s="735">
        <v>5814935</v>
      </c>
      <c r="AO46" s="735">
        <v>6369524</v>
      </c>
      <c r="AP46" s="735">
        <v>6700834</v>
      </c>
      <c r="AQ46" s="735">
        <v>7569251</v>
      </c>
    </row>
    <row r="47" spans="1:43">
      <c r="A47" s="735" t="s">
        <v>19</v>
      </c>
      <c r="B47" s="735" t="s">
        <v>2360</v>
      </c>
      <c r="C47" s="735" t="s">
        <v>583</v>
      </c>
      <c r="D47" s="735" t="s">
        <v>583</v>
      </c>
      <c r="E47" s="735" t="s">
        <v>583</v>
      </c>
      <c r="F47" s="735" t="s">
        <v>583</v>
      </c>
      <c r="G47" s="735" t="s">
        <v>583</v>
      </c>
      <c r="H47" s="735" t="s">
        <v>583</v>
      </c>
      <c r="I47" s="735">
        <v>99192</v>
      </c>
      <c r="J47" s="735">
        <v>118923</v>
      </c>
      <c r="K47" s="735">
        <v>130564</v>
      </c>
      <c r="L47" s="735">
        <v>172997</v>
      </c>
      <c r="M47" s="735">
        <v>214669</v>
      </c>
      <c r="N47" s="735">
        <v>240520</v>
      </c>
      <c r="O47" s="735">
        <v>304288</v>
      </c>
      <c r="P47" s="735">
        <v>422868</v>
      </c>
      <c r="Q47" s="735">
        <v>421396</v>
      </c>
      <c r="R47" s="735">
        <v>555259</v>
      </c>
      <c r="S47" s="735">
        <v>580997</v>
      </c>
      <c r="T47" s="735">
        <v>624467</v>
      </c>
      <c r="U47" s="735">
        <v>623868</v>
      </c>
      <c r="V47" s="735">
        <v>870280</v>
      </c>
      <c r="W47" s="735">
        <v>1079410</v>
      </c>
      <c r="X47" s="735">
        <v>1457942</v>
      </c>
      <c r="Y47" s="735">
        <v>1970457</v>
      </c>
      <c r="Z47" s="735">
        <v>2525861</v>
      </c>
      <c r="AA47" s="735">
        <v>2449008</v>
      </c>
      <c r="AB47" s="735">
        <v>2166097</v>
      </c>
      <c r="AC47" s="735">
        <v>1658552</v>
      </c>
      <c r="AD47" s="735">
        <v>2136541</v>
      </c>
      <c r="AE47" s="735">
        <v>2398717</v>
      </c>
      <c r="AF47" s="735">
        <v>2483696</v>
      </c>
      <c r="AG47" s="735">
        <v>2895531</v>
      </c>
      <c r="AH47" s="735">
        <v>3097513</v>
      </c>
      <c r="AI47" s="735">
        <v>2000508</v>
      </c>
      <c r="AJ47" s="735">
        <v>2513901</v>
      </c>
      <c r="AK47" s="735">
        <v>2927753</v>
      </c>
      <c r="AL47" s="735">
        <v>2968362</v>
      </c>
      <c r="AM47" s="735">
        <v>3415843</v>
      </c>
      <c r="AN47" s="735">
        <v>4443216</v>
      </c>
      <c r="AO47" s="735">
        <v>4895752</v>
      </c>
      <c r="AP47" s="735">
        <v>5076420</v>
      </c>
      <c r="AQ47" s="735">
        <v>5783500</v>
      </c>
    </row>
    <row r="48" spans="1:43">
      <c r="A48" s="735" t="s">
        <v>18</v>
      </c>
      <c r="B48" s="735" t="s">
        <v>2359</v>
      </c>
      <c r="C48" s="735" t="s">
        <v>583</v>
      </c>
      <c r="D48" s="735" t="s">
        <v>583</v>
      </c>
      <c r="E48" s="735" t="s">
        <v>583</v>
      </c>
      <c r="F48" s="735" t="s">
        <v>583</v>
      </c>
      <c r="G48" s="735" t="s">
        <v>583</v>
      </c>
      <c r="H48" s="735" t="s">
        <v>583</v>
      </c>
      <c r="I48" s="735">
        <v>100579</v>
      </c>
      <c r="J48" s="735">
        <v>111377</v>
      </c>
      <c r="K48" s="735">
        <v>129159</v>
      </c>
      <c r="L48" s="735">
        <v>136341</v>
      </c>
      <c r="M48" s="735">
        <v>143361</v>
      </c>
      <c r="N48" s="735">
        <v>167186</v>
      </c>
      <c r="O48" s="735">
        <v>177727</v>
      </c>
      <c r="P48" s="735">
        <v>209371</v>
      </c>
      <c r="Q48" s="735">
        <v>239774</v>
      </c>
      <c r="R48" s="735">
        <v>248923</v>
      </c>
      <c r="S48" s="735">
        <v>259915</v>
      </c>
      <c r="T48" s="735">
        <v>287243</v>
      </c>
      <c r="U48" s="735">
        <v>253486</v>
      </c>
      <c r="V48" s="735">
        <v>265262</v>
      </c>
      <c r="W48" s="735">
        <v>290666</v>
      </c>
      <c r="X48" s="735">
        <v>336853</v>
      </c>
      <c r="Y48" s="735">
        <v>398073</v>
      </c>
      <c r="Z48" s="735">
        <v>484097</v>
      </c>
      <c r="AA48" s="735">
        <v>574784</v>
      </c>
      <c r="AB48" s="735">
        <v>633726</v>
      </c>
      <c r="AC48" s="735">
        <v>623818</v>
      </c>
      <c r="AD48" s="735">
        <v>626520</v>
      </c>
      <c r="AE48" s="735">
        <v>702733</v>
      </c>
      <c r="AF48" s="735">
        <v>743448</v>
      </c>
      <c r="AG48" s="735">
        <v>857071</v>
      </c>
      <c r="AH48" s="735">
        <v>1036726</v>
      </c>
      <c r="AI48" s="735">
        <v>1090732</v>
      </c>
      <c r="AJ48" s="735">
        <v>1104729</v>
      </c>
      <c r="AK48" s="735">
        <v>1171344</v>
      </c>
      <c r="AL48" s="735">
        <v>1230863</v>
      </c>
      <c r="AM48" s="735">
        <v>1246591</v>
      </c>
      <c r="AN48" s="735">
        <v>1371719</v>
      </c>
      <c r="AO48" s="735">
        <v>1473772</v>
      </c>
      <c r="AP48" s="735">
        <v>1624414</v>
      </c>
      <c r="AQ48" s="735">
        <v>1785751</v>
      </c>
    </row>
    <row r="49" spans="1:43">
      <c r="A49" s="735" t="s">
        <v>17</v>
      </c>
      <c r="B49" s="735" t="s">
        <v>1238</v>
      </c>
      <c r="C49" s="735">
        <v>153067</v>
      </c>
      <c r="D49" s="735">
        <v>185303</v>
      </c>
      <c r="E49" s="735">
        <v>216917</v>
      </c>
      <c r="F49" s="735">
        <v>208756</v>
      </c>
      <c r="G49" s="735">
        <v>242620</v>
      </c>
      <c r="H49" s="735">
        <v>253037</v>
      </c>
      <c r="I49" s="735">
        <v>289863</v>
      </c>
      <c r="J49" s="735">
        <v>319827</v>
      </c>
      <c r="K49" s="735">
        <v>367974</v>
      </c>
      <c r="L49" s="735">
        <v>473731</v>
      </c>
      <c r="M49" s="735">
        <v>616611</v>
      </c>
      <c r="N49" s="735">
        <v>676649</v>
      </c>
      <c r="O49" s="735">
        <v>784911</v>
      </c>
      <c r="P49" s="735">
        <v>958808</v>
      </c>
      <c r="Q49" s="735">
        <v>946844</v>
      </c>
      <c r="R49" s="735">
        <v>1076499</v>
      </c>
      <c r="S49" s="735">
        <v>1180655</v>
      </c>
      <c r="T49" s="735">
        <v>1371827</v>
      </c>
      <c r="U49" s="735">
        <v>1456081</v>
      </c>
      <c r="V49" s="735">
        <v>1900950</v>
      </c>
      <c r="W49" s="735">
        <v>2356160</v>
      </c>
      <c r="X49" s="735">
        <v>2861123</v>
      </c>
      <c r="Y49" s="735">
        <v>3340370</v>
      </c>
      <c r="Z49" s="735">
        <v>3715693</v>
      </c>
      <c r="AA49" s="735">
        <v>4008473</v>
      </c>
      <c r="AB49" s="735">
        <v>4324590</v>
      </c>
      <c r="AC49" s="735">
        <v>4571348</v>
      </c>
      <c r="AD49" s="735">
        <v>5546317</v>
      </c>
      <c r="AE49" s="735">
        <v>6621226</v>
      </c>
      <c r="AF49" s="735">
        <v>7337835</v>
      </c>
      <c r="AG49" s="735">
        <v>8843523</v>
      </c>
      <c r="AH49" s="735">
        <v>10326974</v>
      </c>
      <c r="AI49" s="735">
        <v>9475873</v>
      </c>
      <c r="AJ49" s="735">
        <v>10463234</v>
      </c>
      <c r="AK49" s="735">
        <v>11869262</v>
      </c>
      <c r="AL49" s="735">
        <v>12647243</v>
      </c>
      <c r="AM49" s="735">
        <v>13978865</v>
      </c>
      <c r="AN49" s="735">
        <v>15541251</v>
      </c>
      <c r="AO49" s="735">
        <v>16921415</v>
      </c>
      <c r="AP49" s="735">
        <v>16645846</v>
      </c>
      <c r="AQ49" s="735">
        <v>17352317</v>
      </c>
    </row>
    <row r="50" spans="1:43">
      <c r="A50" s="735" t="s">
        <v>16</v>
      </c>
      <c r="B50" s="735" t="s">
        <v>2358</v>
      </c>
      <c r="C50" s="735">
        <v>47475</v>
      </c>
      <c r="D50" s="735">
        <v>45129</v>
      </c>
      <c r="E50" s="735">
        <v>47859</v>
      </c>
      <c r="F50" s="735">
        <v>55434</v>
      </c>
      <c r="G50" s="735">
        <v>74586</v>
      </c>
      <c r="H50" s="735">
        <v>74683</v>
      </c>
      <c r="I50" s="735">
        <v>88324</v>
      </c>
      <c r="J50" s="735">
        <v>109555</v>
      </c>
      <c r="K50" s="735">
        <v>104852</v>
      </c>
      <c r="L50" s="735">
        <v>136791</v>
      </c>
      <c r="M50" s="735">
        <v>183172</v>
      </c>
      <c r="N50" s="735">
        <v>189006</v>
      </c>
      <c r="O50" s="735">
        <v>213813</v>
      </c>
      <c r="P50" s="735">
        <v>276100</v>
      </c>
      <c r="Q50" s="735">
        <v>243789</v>
      </c>
      <c r="R50" s="735">
        <v>298957</v>
      </c>
      <c r="S50" s="735">
        <v>328988</v>
      </c>
      <c r="T50" s="735">
        <v>373521</v>
      </c>
      <c r="U50" s="735">
        <v>397720</v>
      </c>
      <c r="V50" s="735">
        <v>549513</v>
      </c>
      <c r="W50" s="735">
        <v>672397</v>
      </c>
      <c r="X50" s="735">
        <v>952893</v>
      </c>
      <c r="Y50" s="735">
        <v>1250342</v>
      </c>
      <c r="Z50" s="735">
        <v>1611534</v>
      </c>
      <c r="AA50" s="735">
        <v>1643205</v>
      </c>
      <c r="AB50" s="735">
        <v>1572681</v>
      </c>
      <c r="AC50" s="735">
        <v>1335792</v>
      </c>
      <c r="AD50" s="735">
        <v>1839509</v>
      </c>
      <c r="AE50" s="735">
        <v>2123259</v>
      </c>
      <c r="AF50" s="735">
        <v>2304013</v>
      </c>
      <c r="AG50" s="735">
        <v>2791893</v>
      </c>
      <c r="AH50" s="735">
        <v>3231651</v>
      </c>
      <c r="AI50" s="735">
        <v>2132433</v>
      </c>
      <c r="AJ50" s="735">
        <v>2917681</v>
      </c>
      <c r="AK50" s="735">
        <v>3545769</v>
      </c>
      <c r="AL50" s="735">
        <v>3841901</v>
      </c>
      <c r="AM50" s="735">
        <v>4545361</v>
      </c>
      <c r="AN50" s="735">
        <v>5864600</v>
      </c>
      <c r="AO50" s="735">
        <v>6642507</v>
      </c>
      <c r="AP50" s="735">
        <v>6209080</v>
      </c>
      <c r="AQ50" s="735">
        <v>6563950</v>
      </c>
    </row>
    <row r="51" spans="1:43">
      <c r="A51" s="735" t="s">
        <v>15</v>
      </c>
      <c r="B51" s="735" t="s">
        <v>2357</v>
      </c>
      <c r="C51" s="735">
        <v>105592</v>
      </c>
      <c r="D51" s="735">
        <v>140174</v>
      </c>
      <c r="E51" s="735">
        <v>169058</v>
      </c>
      <c r="F51" s="735">
        <v>153322</v>
      </c>
      <c r="G51" s="735">
        <v>168034</v>
      </c>
      <c r="H51" s="735">
        <v>178354</v>
      </c>
      <c r="I51" s="735">
        <v>201539</v>
      </c>
      <c r="J51" s="735">
        <v>210272</v>
      </c>
      <c r="K51" s="735">
        <v>263122</v>
      </c>
      <c r="L51" s="735">
        <v>336940</v>
      </c>
      <c r="M51" s="735">
        <v>433439</v>
      </c>
      <c r="N51" s="735">
        <v>487643</v>
      </c>
      <c r="O51" s="735">
        <v>571098</v>
      </c>
      <c r="P51" s="735">
        <v>682708</v>
      </c>
      <c r="Q51" s="735">
        <v>703055</v>
      </c>
      <c r="R51" s="735">
        <v>777542</v>
      </c>
      <c r="S51" s="735">
        <v>851667</v>
      </c>
      <c r="T51" s="735">
        <v>998306</v>
      </c>
      <c r="U51" s="735">
        <v>1058361</v>
      </c>
      <c r="V51" s="735">
        <v>1351437</v>
      </c>
      <c r="W51" s="735">
        <v>1683763</v>
      </c>
      <c r="X51" s="735">
        <v>1908230</v>
      </c>
      <c r="Y51" s="735">
        <v>2090028</v>
      </c>
      <c r="Z51" s="735">
        <v>2104159</v>
      </c>
      <c r="AA51" s="735">
        <v>2365268</v>
      </c>
      <c r="AB51" s="735">
        <v>2751909</v>
      </c>
      <c r="AC51" s="735">
        <v>3235556</v>
      </c>
      <c r="AD51" s="735">
        <v>3706808</v>
      </c>
      <c r="AE51" s="735">
        <v>4497967</v>
      </c>
      <c r="AF51" s="735">
        <v>5033822</v>
      </c>
      <c r="AG51" s="735">
        <v>6051630</v>
      </c>
      <c r="AH51" s="735">
        <v>7095323</v>
      </c>
      <c r="AI51" s="735">
        <v>7343440</v>
      </c>
      <c r="AJ51" s="735">
        <v>7545553</v>
      </c>
      <c r="AK51" s="735">
        <v>8323493</v>
      </c>
      <c r="AL51" s="735">
        <v>8805342</v>
      </c>
      <c r="AM51" s="735">
        <v>9433504</v>
      </c>
      <c r="AN51" s="735">
        <v>9676651</v>
      </c>
      <c r="AO51" s="735">
        <v>10278908</v>
      </c>
      <c r="AP51" s="735">
        <v>10436766</v>
      </c>
      <c r="AQ51" s="735">
        <v>10788367</v>
      </c>
    </row>
    <row r="52" spans="1:43">
      <c r="A52" s="735" t="s">
        <v>14</v>
      </c>
      <c r="B52" s="735" t="s">
        <v>2356</v>
      </c>
      <c r="C52" s="735">
        <v>53515</v>
      </c>
      <c r="D52" s="735">
        <v>62808</v>
      </c>
      <c r="E52" s="735">
        <v>85673</v>
      </c>
      <c r="F52" s="735">
        <v>67968</v>
      </c>
      <c r="G52" s="735">
        <v>77673</v>
      </c>
      <c r="H52" s="735">
        <v>74102</v>
      </c>
      <c r="I52" s="735">
        <v>76264</v>
      </c>
      <c r="J52" s="735">
        <v>86135</v>
      </c>
      <c r="K52" s="735">
        <v>95116</v>
      </c>
      <c r="L52" s="735">
        <v>87097</v>
      </c>
      <c r="M52" s="735">
        <v>105815</v>
      </c>
      <c r="N52" s="735">
        <v>118519</v>
      </c>
      <c r="O52" s="735">
        <v>131483</v>
      </c>
      <c r="P52" s="735">
        <v>110626</v>
      </c>
      <c r="Q52" s="735">
        <v>114374</v>
      </c>
      <c r="R52" s="735">
        <v>129398</v>
      </c>
      <c r="S52" s="735">
        <v>149618</v>
      </c>
      <c r="T52" s="735">
        <v>213028</v>
      </c>
      <c r="U52" s="735">
        <v>205477</v>
      </c>
      <c r="V52" s="735">
        <v>249555</v>
      </c>
      <c r="W52" s="735">
        <v>308885</v>
      </c>
      <c r="X52" s="735">
        <v>286881</v>
      </c>
      <c r="Y52" s="735">
        <v>325193</v>
      </c>
      <c r="Z52" s="735">
        <v>318292</v>
      </c>
      <c r="AA52" s="735">
        <v>323686</v>
      </c>
      <c r="AB52" s="735">
        <v>388986</v>
      </c>
      <c r="AC52" s="735">
        <v>498135</v>
      </c>
      <c r="AD52" s="735">
        <v>530216</v>
      </c>
      <c r="AE52" s="735">
        <v>642768</v>
      </c>
      <c r="AF52" s="735">
        <v>588894</v>
      </c>
      <c r="AG52" s="735">
        <v>621409</v>
      </c>
      <c r="AH52" s="735">
        <v>800047</v>
      </c>
      <c r="AI52" s="735">
        <v>1099788</v>
      </c>
      <c r="AJ52" s="735">
        <v>977437</v>
      </c>
      <c r="AK52" s="735">
        <v>919271</v>
      </c>
      <c r="AL52" s="735">
        <v>830725</v>
      </c>
      <c r="AM52" s="735">
        <v>844743</v>
      </c>
      <c r="AN52" s="735">
        <v>891646</v>
      </c>
      <c r="AO52" s="735">
        <v>911791</v>
      </c>
      <c r="AP52" s="735">
        <v>955267</v>
      </c>
      <c r="AQ52" s="735">
        <v>945879</v>
      </c>
    </row>
    <row r="53" spans="1:43">
      <c r="A53" s="735" t="s">
        <v>13</v>
      </c>
      <c r="B53" s="735" t="s">
        <v>2355</v>
      </c>
      <c r="C53" s="735">
        <v>40743</v>
      </c>
      <c r="D53" s="735">
        <v>48905</v>
      </c>
      <c r="E53" s="735">
        <v>68201</v>
      </c>
      <c r="F53" s="735">
        <v>48572</v>
      </c>
      <c r="G53" s="735">
        <v>57594</v>
      </c>
      <c r="H53" s="735">
        <v>55314</v>
      </c>
      <c r="I53" s="735">
        <v>55628</v>
      </c>
      <c r="J53" s="735">
        <v>68668</v>
      </c>
      <c r="K53" s="735">
        <v>76369</v>
      </c>
      <c r="L53" s="735">
        <v>69133</v>
      </c>
      <c r="M53" s="735">
        <v>90398</v>
      </c>
      <c r="N53" s="735">
        <v>101743</v>
      </c>
      <c r="O53" s="735">
        <v>115057</v>
      </c>
      <c r="P53" s="735">
        <v>91100</v>
      </c>
      <c r="Q53" s="735">
        <v>96796</v>
      </c>
      <c r="R53" s="735">
        <v>110734</v>
      </c>
      <c r="S53" s="735">
        <v>127644</v>
      </c>
      <c r="T53" s="735">
        <v>176739</v>
      </c>
      <c r="U53" s="735">
        <v>162938</v>
      </c>
      <c r="V53" s="735">
        <v>197355</v>
      </c>
      <c r="W53" s="735">
        <v>236874</v>
      </c>
      <c r="X53" s="735">
        <v>193240</v>
      </c>
      <c r="Y53" s="735">
        <v>183494</v>
      </c>
      <c r="Z53" s="735">
        <v>185675</v>
      </c>
      <c r="AA53" s="735">
        <v>177846</v>
      </c>
      <c r="AB53" s="735">
        <v>218237</v>
      </c>
      <c r="AC53" s="735">
        <v>268918</v>
      </c>
      <c r="AD53" s="735">
        <v>290919</v>
      </c>
      <c r="AE53" s="735">
        <v>323668</v>
      </c>
      <c r="AF53" s="735">
        <v>264728</v>
      </c>
      <c r="AG53" s="735">
        <v>253331</v>
      </c>
      <c r="AH53" s="735">
        <v>302698</v>
      </c>
      <c r="AI53" s="735">
        <v>758010</v>
      </c>
      <c r="AJ53" s="735">
        <v>750437</v>
      </c>
      <c r="AK53" s="735">
        <v>710280</v>
      </c>
      <c r="AL53" s="735">
        <v>647673</v>
      </c>
      <c r="AM53" s="735">
        <v>661654</v>
      </c>
      <c r="AN53" s="735">
        <v>685527</v>
      </c>
      <c r="AO53" s="735">
        <v>671636</v>
      </c>
      <c r="AP53" s="735">
        <v>724731</v>
      </c>
      <c r="AQ53" s="735">
        <v>672377</v>
      </c>
    </row>
    <row r="54" spans="1:43">
      <c r="A54" s="735" t="s">
        <v>11</v>
      </c>
      <c r="B54" s="735" t="s">
        <v>2354</v>
      </c>
      <c r="C54" s="735">
        <v>12772</v>
      </c>
      <c r="D54" s="735">
        <v>13903</v>
      </c>
      <c r="E54" s="735">
        <v>17472</v>
      </c>
      <c r="F54" s="735">
        <v>19396</v>
      </c>
      <c r="G54" s="735">
        <v>20079</v>
      </c>
      <c r="H54" s="735">
        <v>18788</v>
      </c>
      <c r="I54" s="735">
        <v>20636</v>
      </c>
      <c r="J54" s="735">
        <v>17467</v>
      </c>
      <c r="K54" s="735">
        <v>18747</v>
      </c>
      <c r="L54" s="735">
        <v>17964</v>
      </c>
      <c r="M54" s="735">
        <v>15417</v>
      </c>
      <c r="N54" s="735">
        <v>16776</v>
      </c>
      <c r="O54" s="735">
        <v>16426</v>
      </c>
      <c r="P54" s="735">
        <v>19526</v>
      </c>
      <c r="Q54" s="735">
        <v>17578</v>
      </c>
      <c r="R54" s="735">
        <v>18664</v>
      </c>
      <c r="S54" s="735">
        <v>21974</v>
      </c>
      <c r="T54" s="735">
        <v>36289</v>
      </c>
      <c r="U54" s="735">
        <v>42539</v>
      </c>
      <c r="V54" s="735">
        <v>52200</v>
      </c>
      <c r="W54" s="735">
        <v>72011</v>
      </c>
      <c r="X54" s="735">
        <v>93641</v>
      </c>
      <c r="Y54" s="735">
        <v>141699</v>
      </c>
      <c r="Z54" s="735">
        <v>132617</v>
      </c>
      <c r="AA54" s="735">
        <v>145840</v>
      </c>
      <c r="AB54" s="735">
        <v>170749</v>
      </c>
      <c r="AC54" s="735">
        <v>229217</v>
      </c>
      <c r="AD54" s="735">
        <v>239297</v>
      </c>
      <c r="AE54" s="735">
        <v>319100</v>
      </c>
      <c r="AF54" s="735">
        <v>324166</v>
      </c>
      <c r="AG54" s="735">
        <v>368078</v>
      </c>
      <c r="AH54" s="735">
        <v>497349</v>
      </c>
      <c r="AI54" s="735">
        <v>341778</v>
      </c>
      <c r="AJ54" s="735">
        <v>227000</v>
      </c>
      <c r="AK54" s="735">
        <v>208991</v>
      </c>
      <c r="AL54" s="735">
        <v>183052</v>
      </c>
      <c r="AM54" s="735">
        <v>183089</v>
      </c>
      <c r="AN54" s="735">
        <v>206119</v>
      </c>
      <c r="AO54" s="735">
        <v>240155</v>
      </c>
      <c r="AP54" s="735">
        <v>230536</v>
      </c>
      <c r="AQ54" s="735">
        <v>273502</v>
      </c>
    </row>
    <row r="55" spans="1:43">
      <c r="A55" s="735" t="s">
        <v>10</v>
      </c>
      <c r="B55" s="735" t="s">
        <v>2353</v>
      </c>
      <c r="C55" s="735">
        <v>52077</v>
      </c>
      <c r="D55" s="735">
        <v>77366</v>
      </c>
      <c r="E55" s="735">
        <v>83385</v>
      </c>
      <c r="F55" s="735">
        <v>85354</v>
      </c>
      <c r="G55" s="735">
        <v>90361</v>
      </c>
      <c r="H55" s="735">
        <v>104252</v>
      </c>
      <c r="I55" s="735">
        <v>125275</v>
      </c>
      <c r="J55" s="735">
        <v>124137</v>
      </c>
      <c r="K55" s="735">
        <v>168006</v>
      </c>
      <c r="L55" s="735">
        <v>249843</v>
      </c>
      <c r="M55" s="735">
        <v>327624</v>
      </c>
      <c r="N55" s="735">
        <v>369124</v>
      </c>
      <c r="O55" s="735">
        <v>439615</v>
      </c>
      <c r="P55" s="735">
        <v>572082</v>
      </c>
      <c r="Q55" s="735">
        <v>588681</v>
      </c>
      <c r="R55" s="735">
        <v>648144</v>
      </c>
      <c r="S55" s="735">
        <v>702049</v>
      </c>
      <c r="T55" s="735">
        <v>785278</v>
      </c>
      <c r="U55" s="735">
        <v>852884</v>
      </c>
      <c r="V55" s="735">
        <v>1101882</v>
      </c>
      <c r="W55" s="735">
        <v>1374878</v>
      </c>
      <c r="X55" s="735">
        <v>1621349</v>
      </c>
      <c r="Y55" s="735">
        <v>1764835</v>
      </c>
      <c r="Z55" s="735">
        <v>1785867</v>
      </c>
      <c r="AA55" s="735">
        <v>2041582</v>
      </c>
      <c r="AB55" s="735">
        <v>2362923</v>
      </c>
      <c r="AC55" s="735">
        <v>2737421</v>
      </c>
      <c r="AD55" s="735">
        <v>3176592</v>
      </c>
      <c r="AE55" s="735">
        <v>3855199</v>
      </c>
      <c r="AF55" s="735">
        <v>4444928</v>
      </c>
      <c r="AG55" s="735">
        <v>5430221</v>
      </c>
      <c r="AH55" s="735">
        <v>6295276</v>
      </c>
      <c r="AI55" s="735">
        <v>6243652</v>
      </c>
      <c r="AJ55" s="735">
        <v>6568116</v>
      </c>
      <c r="AK55" s="735">
        <v>7404223</v>
      </c>
      <c r="AL55" s="735">
        <v>7974617</v>
      </c>
      <c r="AM55" s="735">
        <v>8588761</v>
      </c>
      <c r="AN55" s="735">
        <v>8785005</v>
      </c>
      <c r="AO55" s="735">
        <v>9367117</v>
      </c>
      <c r="AP55" s="735">
        <v>9481499</v>
      </c>
      <c r="AQ55" s="735">
        <v>9842488</v>
      </c>
    </row>
    <row r="56" spans="1:43">
      <c r="A56" s="735" t="s">
        <v>9</v>
      </c>
      <c r="B56" s="735" t="s">
        <v>2352</v>
      </c>
      <c r="C56" s="735">
        <v>36840</v>
      </c>
      <c r="D56" s="735">
        <v>59749</v>
      </c>
      <c r="E56" s="735">
        <v>64700</v>
      </c>
      <c r="F56" s="735">
        <v>67386</v>
      </c>
      <c r="G56" s="735">
        <v>69855</v>
      </c>
      <c r="H56" s="735">
        <v>80195</v>
      </c>
      <c r="I56" s="735">
        <v>95059</v>
      </c>
      <c r="J56" s="735">
        <v>94894</v>
      </c>
      <c r="K56" s="735">
        <v>123920</v>
      </c>
      <c r="L56" s="735">
        <v>157259</v>
      </c>
      <c r="M56" s="735">
        <v>178990</v>
      </c>
      <c r="N56" s="735">
        <v>194558</v>
      </c>
      <c r="O56" s="735">
        <v>238782</v>
      </c>
      <c r="P56" s="735">
        <v>332642</v>
      </c>
      <c r="Q56" s="735">
        <v>341567</v>
      </c>
      <c r="R56" s="735">
        <v>365555</v>
      </c>
      <c r="S56" s="735">
        <v>392695</v>
      </c>
      <c r="T56" s="735">
        <v>417812</v>
      </c>
      <c r="U56" s="735">
        <v>469633</v>
      </c>
      <c r="V56" s="735">
        <v>619592</v>
      </c>
      <c r="W56" s="735">
        <v>803456</v>
      </c>
      <c r="X56" s="735">
        <v>959973</v>
      </c>
      <c r="Y56" s="735">
        <v>982750</v>
      </c>
      <c r="Z56" s="735">
        <v>872690</v>
      </c>
      <c r="AA56" s="735">
        <v>843580</v>
      </c>
      <c r="AB56" s="735">
        <v>876971</v>
      </c>
      <c r="AC56" s="735">
        <v>1016580</v>
      </c>
      <c r="AD56" s="735">
        <v>1222605</v>
      </c>
      <c r="AE56" s="735">
        <v>1489885</v>
      </c>
      <c r="AF56" s="735">
        <v>1719663</v>
      </c>
      <c r="AG56" s="735">
        <v>1872847</v>
      </c>
      <c r="AH56" s="735">
        <v>2073744</v>
      </c>
      <c r="AI56" s="735">
        <v>2494964</v>
      </c>
      <c r="AJ56" s="735">
        <v>2920160</v>
      </c>
      <c r="AK56" s="735">
        <v>3748544</v>
      </c>
      <c r="AL56" s="735">
        <v>4356681</v>
      </c>
      <c r="AM56" s="735">
        <v>4909828</v>
      </c>
      <c r="AN56" s="735">
        <v>5107089</v>
      </c>
      <c r="AO56" s="735">
        <v>5486018</v>
      </c>
      <c r="AP56" s="735">
        <v>5421490</v>
      </c>
      <c r="AQ56" s="735">
        <v>5333904</v>
      </c>
    </row>
    <row r="57" spans="1:43">
      <c r="A57" s="735" t="s">
        <v>8</v>
      </c>
      <c r="B57" s="735" t="s">
        <v>2351</v>
      </c>
      <c r="C57" s="735">
        <v>15237</v>
      </c>
      <c r="D57" s="735">
        <v>17617</v>
      </c>
      <c r="E57" s="735">
        <v>18685</v>
      </c>
      <c r="F57" s="735">
        <v>17968</v>
      </c>
      <c r="G57" s="735">
        <v>20506</v>
      </c>
      <c r="H57" s="735">
        <v>24057</v>
      </c>
      <c r="I57" s="735">
        <v>30216</v>
      </c>
      <c r="J57" s="735">
        <v>29243</v>
      </c>
      <c r="K57" s="735">
        <v>44086</v>
      </c>
      <c r="L57" s="735">
        <v>92584</v>
      </c>
      <c r="M57" s="735">
        <v>148634</v>
      </c>
      <c r="N57" s="735">
        <v>174566</v>
      </c>
      <c r="O57" s="735">
        <v>200833</v>
      </c>
      <c r="P57" s="735">
        <v>239440</v>
      </c>
      <c r="Q57" s="735">
        <v>247114</v>
      </c>
      <c r="R57" s="735">
        <v>282589</v>
      </c>
      <c r="S57" s="735">
        <v>309354</v>
      </c>
      <c r="T57" s="735">
        <v>367466</v>
      </c>
      <c r="U57" s="735">
        <v>383251</v>
      </c>
      <c r="V57" s="735">
        <v>482290</v>
      </c>
      <c r="W57" s="735">
        <v>571422</v>
      </c>
      <c r="X57" s="735">
        <v>661376</v>
      </c>
      <c r="Y57" s="735">
        <v>782085</v>
      </c>
      <c r="Z57" s="735">
        <v>913177</v>
      </c>
      <c r="AA57" s="735">
        <v>1198002</v>
      </c>
      <c r="AB57" s="735">
        <v>1485952</v>
      </c>
      <c r="AC57" s="735">
        <v>1720841</v>
      </c>
      <c r="AD57" s="735">
        <v>1953987</v>
      </c>
      <c r="AE57" s="735">
        <v>2365314</v>
      </c>
      <c r="AF57" s="735">
        <v>2725265</v>
      </c>
      <c r="AG57" s="735">
        <v>3557374</v>
      </c>
      <c r="AH57" s="735">
        <v>4221532</v>
      </c>
      <c r="AI57" s="735">
        <v>3748688</v>
      </c>
      <c r="AJ57" s="735">
        <v>3647956</v>
      </c>
      <c r="AK57" s="735">
        <v>3655679</v>
      </c>
      <c r="AL57" s="735">
        <v>3617936</v>
      </c>
      <c r="AM57" s="735">
        <v>3678933</v>
      </c>
      <c r="AN57" s="735">
        <v>3677916</v>
      </c>
      <c r="AO57" s="735">
        <v>3881099</v>
      </c>
      <c r="AP57" s="735">
        <v>4060009</v>
      </c>
      <c r="AQ57" s="735">
        <v>4508584</v>
      </c>
    </row>
    <row r="58" spans="1:43">
      <c r="A58" s="735" t="s">
        <v>232</v>
      </c>
      <c r="B58" s="735" t="s">
        <v>1237</v>
      </c>
      <c r="C58" s="735" t="s">
        <v>583</v>
      </c>
      <c r="D58" s="735" t="s">
        <v>583</v>
      </c>
      <c r="E58" s="735" t="s">
        <v>583</v>
      </c>
      <c r="F58" s="735" t="s">
        <v>583</v>
      </c>
      <c r="G58" s="735" t="s">
        <v>583</v>
      </c>
      <c r="H58" s="735" t="s">
        <v>583</v>
      </c>
      <c r="I58" s="735" t="s">
        <v>583</v>
      </c>
      <c r="J58" s="735" t="s">
        <v>583</v>
      </c>
      <c r="K58" s="735" t="s">
        <v>583</v>
      </c>
      <c r="L58" s="735" t="s">
        <v>583</v>
      </c>
      <c r="M58" s="735" t="s">
        <v>583</v>
      </c>
      <c r="N58" s="735" t="s">
        <v>583</v>
      </c>
      <c r="O58" s="735" t="s">
        <v>583</v>
      </c>
      <c r="P58" s="735" t="s">
        <v>583</v>
      </c>
      <c r="Q58" s="735" t="s">
        <v>583</v>
      </c>
      <c r="R58" s="735" t="s">
        <v>583</v>
      </c>
      <c r="S58" s="735" t="s">
        <v>583</v>
      </c>
      <c r="T58" s="735" t="s">
        <v>583</v>
      </c>
      <c r="U58" s="735" t="s">
        <v>583</v>
      </c>
      <c r="V58" s="735" t="s">
        <v>583</v>
      </c>
      <c r="W58" s="735" t="s">
        <v>583</v>
      </c>
      <c r="X58" s="735" t="s">
        <v>583</v>
      </c>
      <c r="Y58" s="735" t="s">
        <v>583</v>
      </c>
      <c r="Z58" s="735" t="s">
        <v>583</v>
      </c>
      <c r="AA58" s="735" t="s">
        <v>583</v>
      </c>
      <c r="AB58" s="735" t="s">
        <v>583</v>
      </c>
      <c r="AC58" s="735" t="s">
        <v>583</v>
      </c>
      <c r="AD58" s="735" t="s">
        <v>583</v>
      </c>
      <c r="AE58" s="735" t="s">
        <v>583</v>
      </c>
      <c r="AF58" s="735">
        <v>1132114</v>
      </c>
      <c r="AG58" s="735">
        <v>1179159</v>
      </c>
      <c r="AH58" s="735">
        <v>2487860</v>
      </c>
      <c r="AI58" s="735">
        <v>5967815</v>
      </c>
      <c r="AJ58" s="735">
        <v>3363444</v>
      </c>
      <c r="AK58" s="735">
        <v>3541931</v>
      </c>
      <c r="AL58" s="735">
        <v>4630539</v>
      </c>
      <c r="AM58" s="735">
        <v>3561985</v>
      </c>
      <c r="AN58" s="735">
        <v>2939543</v>
      </c>
      <c r="AO58" s="735">
        <v>3166776</v>
      </c>
      <c r="AP58" s="735">
        <v>2371927</v>
      </c>
      <c r="AQ58" s="735">
        <v>2147674</v>
      </c>
    </row>
    <row r="59" spans="1:43">
      <c r="A59" s="735" t="s">
        <v>231</v>
      </c>
      <c r="B59" s="735" t="s">
        <v>2350</v>
      </c>
      <c r="C59" s="735" t="s">
        <v>583</v>
      </c>
      <c r="D59" s="735" t="s">
        <v>583</v>
      </c>
      <c r="E59" s="735" t="s">
        <v>583</v>
      </c>
      <c r="F59" s="735" t="s">
        <v>583</v>
      </c>
      <c r="G59" s="735" t="s">
        <v>583</v>
      </c>
      <c r="H59" s="735" t="s">
        <v>583</v>
      </c>
      <c r="I59" s="735" t="s">
        <v>583</v>
      </c>
      <c r="J59" s="735" t="s">
        <v>583</v>
      </c>
      <c r="K59" s="735" t="s">
        <v>583</v>
      </c>
      <c r="L59" s="735" t="s">
        <v>583</v>
      </c>
      <c r="M59" s="735" t="s">
        <v>583</v>
      </c>
      <c r="N59" s="735" t="s">
        <v>583</v>
      </c>
      <c r="O59" s="735" t="s">
        <v>583</v>
      </c>
      <c r="P59" s="735" t="s">
        <v>583</v>
      </c>
      <c r="Q59" s="735" t="s">
        <v>583</v>
      </c>
      <c r="R59" s="735" t="s">
        <v>583</v>
      </c>
      <c r="S59" s="735" t="s">
        <v>583</v>
      </c>
      <c r="T59" s="735" t="s">
        <v>583</v>
      </c>
      <c r="U59" s="735" t="s">
        <v>583</v>
      </c>
      <c r="V59" s="735" t="s">
        <v>583</v>
      </c>
      <c r="W59" s="735" t="s">
        <v>583</v>
      </c>
      <c r="X59" s="735" t="s">
        <v>583</v>
      </c>
      <c r="Y59" s="735" t="s">
        <v>583</v>
      </c>
      <c r="Z59" s="735" t="s">
        <v>583</v>
      </c>
      <c r="AA59" s="735" t="s">
        <v>583</v>
      </c>
      <c r="AB59" s="735" t="s">
        <v>583</v>
      </c>
      <c r="AC59" s="735" t="s">
        <v>583</v>
      </c>
      <c r="AD59" s="735" t="s">
        <v>583</v>
      </c>
      <c r="AE59" s="735" t="s">
        <v>583</v>
      </c>
      <c r="AF59" s="735">
        <v>1116479</v>
      </c>
      <c r="AG59" s="735">
        <v>1156241</v>
      </c>
      <c r="AH59" s="735">
        <v>2456093</v>
      </c>
      <c r="AI59" s="735">
        <v>5904724</v>
      </c>
      <c r="AJ59" s="735">
        <v>3333846</v>
      </c>
      <c r="AK59" s="735">
        <v>3512342</v>
      </c>
      <c r="AL59" s="735">
        <v>4581255</v>
      </c>
      <c r="AM59" s="735">
        <v>3527668</v>
      </c>
      <c r="AN59" s="735">
        <v>2903000</v>
      </c>
      <c r="AO59" s="735">
        <v>3100777</v>
      </c>
      <c r="AP59" s="735">
        <v>2328938</v>
      </c>
      <c r="AQ59" s="735">
        <v>2104564</v>
      </c>
    </row>
    <row r="60" spans="1:43">
      <c r="A60" s="735" t="s">
        <v>230</v>
      </c>
      <c r="B60" s="735" t="s">
        <v>2349</v>
      </c>
      <c r="C60" s="735" t="s">
        <v>583</v>
      </c>
      <c r="D60" s="735" t="s">
        <v>583</v>
      </c>
      <c r="E60" s="735" t="s">
        <v>583</v>
      </c>
      <c r="F60" s="735" t="s">
        <v>583</v>
      </c>
      <c r="G60" s="735" t="s">
        <v>583</v>
      </c>
      <c r="H60" s="735" t="s">
        <v>583</v>
      </c>
      <c r="I60" s="735" t="s">
        <v>583</v>
      </c>
      <c r="J60" s="735" t="s">
        <v>583</v>
      </c>
      <c r="K60" s="735" t="s">
        <v>583</v>
      </c>
      <c r="L60" s="735" t="s">
        <v>583</v>
      </c>
      <c r="M60" s="735" t="s">
        <v>583</v>
      </c>
      <c r="N60" s="735" t="s">
        <v>583</v>
      </c>
      <c r="O60" s="735" t="s">
        <v>583</v>
      </c>
      <c r="P60" s="735" t="s">
        <v>583</v>
      </c>
      <c r="Q60" s="735" t="s">
        <v>583</v>
      </c>
      <c r="R60" s="735" t="s">
        <v>583</v>
      </c>
      <c r="S60" s="735" t="s">
        <v>583</v>
      </c>
      <c r="T60" s="735" t="s">
        <v>583</v>
      </c>
      <c r="U60" s="735" t="s">
        <v>583</v>
      </c>
      <c r="V60" s="735" t="s">
        <v>583</v>
      </c>
      <c r="W60" s="735" t="s">
        <v>583</v>
      </c>
      <c r="X60" s="735" t="s">
        <v>583</v>
      </c>
      <c r="Y60" s="735" t="s">
        <v>583</v>
      </c>
      <c r="Z60" s="735" t="s">
        <v>583</v>
      </c>
      <c r="AA60" s="735" t="s">
        <v>583</v>
      </c>
      <c r="AB60" s="735" t="s">
        <v>583</v>
      </c>
      <c r="AC60" s="735" t="s">
        <v>583</v>
      </c>
      <c r="AD60" s="735" t="s">
        <v>583</v>
      </c>
      <c r="AE60" s="735" t="s">
        <v>583</v>
      </c>
      <c r="AF60" s="735">
        <v>815068</v>
      </c>
      <c r="AG60" s="735">
        <v>749009</v>
      </c>
      <c r="AH60" s="735">
        <v>1434083</v>
      </c>
      <c r="AI60" s="735">
        <v>3977190</v>
      </c>
      <c r="AJ60" s="735">
        <v>2532612</v>
      </c>
      <c r="AK60" s="735">
        <v>2787529</v>
      </c>
      <c r="AL60" s="735">
        <v>3799720</v>
      </c>
      <c r="AM60" s="735">
        <v>2912113</v>
      </c>
      <c r="AN60" s="735">
        <v>2319871</v>
      </c>
      <c r="AO60" s="735">
        <v>2433398</v>
      </c>
      <c r="AP60" s="735">
        <v>1790942</v>
      </c>
      <c r="AQ60" s="735">
        <v>1568111</v>
      </c>
    </row>
    <row r="61" spans="1:43">
      <c r="A61" s="735" t="s">
        <v>229</v>
      </c>
      <c r="B61" s="735" t="s">
        <v>2348</v>
      </c>
      <c r="C61" s="735" t="s">
        <v>583</v>
      </c>
      <c r="D61" s="735" t="s">
        <v>583</v>
      </c>
      <c r="E61" s="735" t="s">
        <v>583</v>
      </c>
      <c r="F61" s="735" t="s">
        <v>583</v>
      </c>
      <c r="G61" s="735" t="s">
        <v>583</v>
      </c>
      <c r="H61" s="735" t="s">
        <v>583</v>
      </c>
      <c r="I61" s="735" t="s">
        <v>583</v>
      </c>
      <c r="J61" s="735" t="s">
        <v>583</v>
      </c>
      <c r="K61" s="735" t="s">
        <v>583</v>
      </c>
      <c r="L61" s="735" t="s">
        <v>583</v>
      </c>
      <c r="M61" s="735" t="s">
        <v>583</v>
      </c>
      <c r="N61" s="735" t="s">
        <v>583</v>
      </c>
      <c r="O61" s="735" t="s">
        <v>583</v>
      </c>
      <c r="P61" s="735" t="s">
        <v>583</v>
      </c>
      <c r="Q61" s="735" t="s">
        <v>583</v>
      </c>
      <c r="R61" s="735" t="s">
        <v>583</v>
      </c>
      <c r="S61" s="735" t="s">
        <v>583</v>
      </c>
      <c r="T61" s="735" t="s">
        <v>583</v>
      </c>
      <c r="U61" s="735" t="s">
        <v>583</v>
      </c>
      <c r="V61" s="735" t="s">
        <v>583</v>
      </c>
      <c r="W61" s="735" t="s">
        <v>583</v>
      </c>
      <c r="X61" s="735" t="s">
        <v>583</v>
      </c>
      <c r="Y61" s="735" t="s">
        <v>583</v>
      </c>
      <c r="Z61" s="735" t="s">
        <v>583</v>
      </c>
      <c r="AA61" s="735" t="s">
        <v>583</v>
      </c>
      <c r="AB61" s="735" t="s">
        <v>583</v>
      </c>
      <c r="AC61" s="735" t="s">
        <v>583</v>
      </c>
      <c r="AD61" s="735" t="s">
        <v>583</v>
      </c>
      <c r="AE61" s="735" t="s">
        <v>583</v>
      </c>
      <c r="AF61" s="735">
        <v>132101</v>
      </c>
      <c r="AG61" s="735">
        <v>151046</v>
      </c>
      <c r="AH61" s="735">
        <v>240138</v>
      </c>
      <c r="AI61" s="735">
        <v>481833</v>
      </c>
      <c r="AJ61" s="735">
        <v>245230</v>
      </c>
      <c r="AK61" s="735">
        <v>304088</v>
      </c>
      <c r="AL61" s="735">
        <v>330141</v>
      </c>
      <c r="AM61" s="735">
        <v>295181</v>
      </c>
      <c r="AN61" s="735">
        <v>306521</v>
      </c>
      <c r="AO61" s="735">
        <v>397168</v>
      </c>
      <c r="AP61" s="735">
        <v>346306</v>
      </c>
      <c r="AQ61" s="735">
        <v>366840</v>
      </c>
    </row>
    <row r="62" spans="1:43">
      <c r="A62" s="735" t="s">
        <v>228</v>
      </c>
      <c r="B62" s="735" t="s">
        <v>2347</v>
      </c>
      <c r="C62" s="735" t="s">
        <v>583</v>
      </c>
      <c r="D62" s="735" t="s">
        <v>583</v>
      </c>
      <c r="E62" s="735" t="s">
        <v>583</v>
      </c>
      <c r="F62" s="735" t="s">
        <v>583</v>
      </c>
      <c r="G62" s="735" t="s">
        <v>583</v>
      </c>
      <c r="H62" s="735" t="s">
        <v>583</v>
      </c>
      <c r="I62" s="735" t="s">
        <v>583</v>
      </c>
      <c r="J62" s="735" t="s">
        <v>583</v>
      </c>
      <c r="K62" s="735" t="s">
        <v>583</v>
      </c>
      <c r="L62" s="735" t="s">
        <v>583</v>
      </c>
      <c r="M62" s="735" t="s">
        <v>583</v>
      </c>
      <c r="N62" s="735" t="s">
        <v>583</v>
      </c>
      <c r="O62" s="735" t="s">
        <v>583</v>
      </c>
      <c r="P62" s="735" t="s">
        <v>583</v>
      </c>
      <c r="Q62" s="735" t="s">
        <v>583</v>
      </c>
      <c r="R62" s="735" t="s">
        <v>583</v>
      </c>
      <c r="S62" s="735" t="s">
        <v>583</v>
      </c>
      <c r="T62" s="735" t="s">
        <v>583</v>
      </c>
      <c r="U62" s="735" t="s">
        <v>583</v>
      </c>
      <c r="V62" s="735" t="s">
        <v>583</v>
      </c>
      <c r="W62" s="735" t="s">
        <v>583</v>
      </c>
      <c r="X62" s="735" t="s">
        <v>583</v>
      </c>
      <c r="Y62" s="735" t="s">
        <v>583</v>
      </c>
      <c r="Z62" s="735" t="s">
        <v>583</v>
      </c>
      <c r="AA62" s="735" t="s">
        <v>583</v>
      </c>
      <c r="AB62" s="735" t="s">
        <v>583</v>
      </c>
      <c r="AC62" s="735" t="s">
        <v>583</v>
      </c>
      <c r="AD62" s="735" t="s">
        <v>583</v>
      </c>
      <c r="AE62" s="735" t="s">
        <v>583</v>
      </c>
      <c r="AF62" s="735">
        <v>169310</v>
      </c>
      <c r="AG62" s="735">
        <v>256186</v>
      </c>
      <c r="AH62" s="735">
        <v>781872</v>
      </c>
      <c r="AI62" s="735">
        <v>1445701</v>
      </c>
      <c r="AJ62" s="735">
        <v>556004</v>
      </c>
      <c r="AK62" s="735">
        <v>420725</v>
      </c>
      <c r="AL62" s="735">
        <v>451394</v>
      </c>
      <c r="AM62" s="735">
        <v>320374</v>
      </c>
      <c r="AN62" s="735">
        <v>276608</v>
      </c>
      <c r="AO62" s="735">
        <v>270211</v>
      </c>
      <c r="AP62" s="735">
        <v>191690</v>
      </c>
      <c r="AQ62" s="735">
        <v>169613</v>
      </c>
    </row>
    <row r="63" spans="1:43">
      <c r="A63" s="735" t="s">
        <v>227</v>
      </c>
      <c r="B63" s="735" t="s">
        <v>2346</v>
      </c>
      <c r="C63" s="735" t="s">
        <v>583</v>
      </c>
      <c r="D63" s="735" t="s">
        <v>583</v>
      </c>
      <c r="E63" s="735" t="s">
        <v>583</v>
      </c>
      <c r="F63" s="735" t="s">
        <v>583</v>
      </c>
      <c r="G63" s="735" t="s">
        <v>583</v>
      </c>
      <c r="H63" s="735" t="s">
        <v>583</v>
      </c>
      <c r="I63" s="735" t="s">
        <v>583</v>
      </c>
      <c r="J63" s="735" t="s">
        <v>583</v>
      </c>
      <c r="K63" s="735" t="s">
        <v>583</v>
      </c>
      <c r="L63" s="735" t="s">
        <v>583</v>
      </c>
      <c r="M63" s="735" t="s">
        <v>583</v>
      </c>
      <c r="N63" s="735" t="s">
        <v>583</v>
      </c>
      <c r="O63" s="735" t="s">
        <v>583</v>
      </c>
      <c r="P63" s="735" t="s">
        <v>583</v>
      </c>
      <c r="Q63" s="735" t="s">
        <v>583</v>
      </c>
      <c r="R63" s="735" t="s">
        <v>583</v>
      </c>
      <c r="S63" s="735" t="s">
        <v>583</v>
      </c>
      <c r="T63" s="735" t="s">
        <v>583</v>
      </c>
      <c r="U63" s="735" t="s">
        <v>583</v>
      </c>
      <c r="V63" s="735" t="s">
        <v>583</v>
      </c>
      <c r="W63" s="735" t="s">
        <v>583</v>
      </c>
      <c r="X63" s="735" t="s">
        <v>583</v>
      </c>
      <c r="Y63" s="735" t="s">
        <v>583</v>
      </c>
      <c r="Z63" s="735" t="s">
        <v>583</v>
      </c>
      <c r="AA63" s="735" t="s">
        <v>583</v>
      </c>
      <c r="AB63" s="735" t="s">
        <v>583</v>
      </c>
      <c r="AC63" s="735" t="s">
        <v>583</v>
      </c>
      <c r="AD63" s="735" t="s">
        <v>583</v>
      </c>
      <c r="AE63" s="735" t="s">
        <v>583</v>
      </c>
      <c r="AF63" s="735">
        <v>15635</v>
      </c>
      <c r="AG63" s="735">
        <v>22918</v>
      </c>
      <c r="AH63" s="735">
        <v>31767</v>
      </c>
      <c r="AI63" s="735">
        <v>63091</v>
      </c>
      <c r="AJ63" s="735">
        <v>29598</v>
      </c>
      <c r="AK63" s="735">
        <v>29589</v>
      </c>
      <c r="AL63" s="735">
        <v>49284</v>
      </c>
      <c r="AM63" s="735">
        <v>34317</v>
      </c>
      <c r="AN63" s="735">
        <v>36543</v>
      </c>
      <c r="AO63" s="735">
        <v>65999</v>
      </c>
      <c r="AP63" s="735">
        <v>42989</v>
      </c>
      <c r="AQ63" s="735">
        <v>43110</v>
      </c>
    </row>
    <row r="64" spans="1:43">
      <c r="A64" s="735" t="s">
        <v>226</v>
      </c>
      <c r="B64" s="735" t="s">
        <v>1236</v>
      </c>
      <c r="C64" s="735">
        <v>93660</v>
      </c>
      <c r="D64" s="735">
        <v>101954</v>
      </c>
      <c r="E64" s="735">
        <v>130271</v>
      </c>
      <c r="F64" s="735">
        <v>173703</v>
      </c>
      <c r="G64" s="735">
        <v>199734</v>
      </c>
      <c r="H64" s="735">
        <v>243622</v>
      </c>
      <c r="I64" s="735">
        <v>302358</v>
      </c>
      <c r="J64" s="735">
        <v>395035</v>
      </c>
      <c r="K64" s="735">
        <v>446641</v>
      </c>
      <c r="L64" s="735">
        <v>504703</v>
      </c>
      <c r="M64" s="735">
        <v>595843</v>
      </c>
      <c r="N64" s="735">
        <v>706245</v>
      </c>
      <c r="O64" s="735">
        <v>810446</v>
      </c>
      <c r="P64" s="735">
        <v>890406</v>
      </c>
      <c r="Q64" s="735">
        <v>957163</v>
      </c>
      <c r="R64" s="735">
        <v>968307</v>
      </c>
      <c r="S64" s="735">
        <v>1021792</v>
      </c>
      <c r="T64" s="735">
        <v>1072968</v>
      </c>
      <c r="U64" s="735">
        <v>1211513</v>
      </c>
      <c r="V64" s="735">
        <v>1335450</v>
      </c>
      <c r="W64" s="735">
        <v>1393866</v>
      </c>
      <c r="X64" s="735">
        <v>1668821</v>
      </c>
      <c r="Y64" s="735">
        <v>1693495</v>
      </c>
      <c r="Z64" s="735">
        <v>1888060</v>
      </c>
      <c r="AA64" s="735">
        <v>2146309</v>
      </c>
      <c r="AB64" s="735">
        <v>2340650</v>
      </c>
      <c r="AC64" s="735">
        <v>2622410</v>
      </c>
      <c r="AD64" s="735">
        <v>2604569</v>
      </c>
      <c r="AE64" s="735">
        <v>3229719</v>
      </c>
      <c r="AF64" s="735">
        <v>3517773</v>
      </c>
      <c r="AG64" s="735">
        <v>4443047</v>
      </c>
      <c r="AH64" s="735">
        <v>5034923</v>
      </c>
      <c r="AI64" s="735">
        <v>4883790</v>
      </c>
      <c r="AJ64" s="735">
        <v>4608777</v>
      </c>
      <c r="AK64" s="735">
        <v>4769325</v>
      </c>
      <c r="AL64" s="735">
        <v>5186886</v>
      </c>
      <c r="AM64" s="735">
        <v>4877177</v>
      </c>
      <c r="AN64" s="735">
        <v>5221699</v>
      </c>
      <c r="AO64" s="735">
        <v>5355113</v>
      </c>
      <c r="AP64" s="735">
        <v>5127243</v>
      </c>
      <c r="AQ64" s="735">
        <v>5098581</v>
      </c>
    </row>
    <row r="65" spans="1:43">
      <c r="A65" s="735" t="s">
        <v>224</v>
      </c>
      <c r="B65" s="735" t="s">
        <v>2345</v>
      </c>
      <c r="C65" s="735" t="s">
        <v>583</v>
      </c>
      <c r="D65" s="735" t="s">
        <v>583</v>
      </c>
      <c r="E65" s="735" t="s">
        <v>583</v>
      </c>
      <c r="F65" s="735" t="s">
        <v>583</v>
      </c>
      <c r="G65" s="735" t="s">
        <v>583</v>
      </c>
      <c r="H65" s="735" t="s">
        <v>583</v>
      </c>
      <c r="I65" s="735" t="s">
        <v>583</v>
      </c>
      <c r="J65" s="735" t="s">
        <v>583</v>
      </c>
      <c r="K65" s="735" t="s">
        <v>583</v>
      </c>
      <c r="L65" s="735" t="s">
        <v>583</v>
      </c>
      <c r="M65" s="735" t="s">
        <v>583</v>
      </c>
      <c r="N65" s="735" t="s">
        <v>583</v>
      </c>
      <c r="O65" s="735" t="s">
        <v>583</v>
      </c>
      <c r="P65" s="735" t="s">
        <v>583</v>
      </c>
      <c r="Q65" s="735" t="s">
        <v>583</v>
      </c>
      <c r="R65" s="735" t="s">
        <v>583</v>
      </c>
      <c r="S65" s="735" t="s">
        <v>583</v>
      </c>
      <c r="T65" s="735" t="s">
        <v>583</v>
      </c>
      <c r="U65" s="735" t="s">
        <v>583</v>
      </c>
      <c r="V65" s="735" t="s">
        <v>583</v>
      </c>
      <c r="W65" s="735" t="s">
        <v>583</v>
      </c>
      <c r="X65" s="735" t="s">
        <v>583</v>
      </c>
      <c r="Y65" s="735" t="s">
        <v>583</v>
      </c>
      <c r="Z65" s="735" t="s">
        <v>583</v>
      </c>
      <c r="AA65" s="735" t="s">
        <v>583</v>
      </c>
      <c r="AB65" s="735" t="s">
        <v>583</v>
      </c>
      <c r="AC65" s="735">
        <v>1150135</v>
      </c>
      <c r="AD65" s="735">
        <v>1198071</v>
      </c>
      <c r="AE65" s="735">
        <v>1369520</v>
      </c>
      <c r="AF65" s="735">
        <v>1437342</v>
      </c>
      <c r="AG65" s="735">
        <v>1764543</v>
      </c>
      <c r="AH65" s="735">
        <v>2020793</v>
      </c>
      <c r="AI65" s="735">
        <v>2331692</v>
      </c>
      <c r="AJ65" s="735">
        <v>2248451</v>
      </c>
      <c r="AK65" s="735">
        <v>2364754</v>
      </c>
      <c r="AL65" s="735">
        <v>2838712</v>
      </c>
      <c r="AM65" s="735">
        <v>2601672</v>
      </c>
      <c r="AN65" s="735">
        <v>2674496</v>
      </c>
      <c r="AO65" s="735">
        <v>2889952</v>
      </c>
      <c r="AP65" s="735">
        <v>2947046</v>
      </c>
      <c r="AQ65" s="735">
        <v>2949843</v>
      </c>
    </row>
    <row r="66" spans="1:43">
      <c r="A66" s="735" t="s">
        <v>223</v>
      </c>
      <c r="B66" s="735" t="s">
        <v>2344</v>
      </c>
      <c r="C66" s="735" t="s">
        <v>583</v>
      </c>
      <c r="D66" s="735" t="s">
        <v>583</v>
      </c>
      <c r="E66" s="735" t="s">
        <v>583</v>
      </c>
      <c r="F66" s="735" t="s">
        <v>583</v>
      </c>
      <c r="G66" s="735" t="s">
        <v>583</v>
      </c>
      <c r="H66" s="735" t="s">
        <v>583</v>
      </c>
      <c r="I66" s="735" t="s">
        <v>583</v>
      </c>
      <c r="J66" s="735" t="s">
        <v>583</v>
      </c>
      <c r="K66" s="735" t="s">
        <v>583</v>
      </c>
      <c r="L66" s="735" t="s">
        <v>583</v>
      </c>
      <c r="M66" s="735" t="s">
        <v>583</v>
      </c>
      <c r="N66" s="735" t="s">
        <v>583</v>
      </c>
      <c r="O66" s="735" t="s">
        <v>583</v>
      </c>
      <c r="P66" s="735" t="s">
        <v>583</v>
      </c>
      <c r="Q66" s="735" t="s">
        <v>583</v>
      </c>
      <c r="R66" s="735" t="s">
        <v>583</v>
      </c>
      <c r="S66" s="735" t="s">
        <v>583</v>
      </c>
      <c r="T66" s="735" t="s">
        <v>583</v>
      </c>
      <c r="U66" s="735" t="s">
        <v>583</v>
      </c>
      <c r="V66" s="735" t="s">
        <v>583</v>
      </c>
      <c r="W66" s="735" t="s">
        <v>583</v>
      </c>
      <c r="X66" s="735" t="s">
        <v>583</v>
      </c>
      <c r="Y66" s="735" t="s">
        <v>583</v>
      </c>
      <c r="Z66" s="735" t="s">
        <v>583</v>
      </c>
      <c r="AA66" s="735" t="s">
        <v>583</v>
      </c>
      <c r="AB66" s="735" t="s">
        <v>583</v>
      </c>
      <c r="AC66" s="735">
        <v>1420584</v>
      </c>
      <c r="AD66" s="735">
        <v>1352706</v>
      </c>
      <c r="AE66" s="735">
        <v>1807141</v>
      </c>
      <c r="AF66" s="735">
        <v>2020101</v>
      </c>
      <c r="AG66" s="735">
        <v>2611946</v>
      </c>
      <c r="AH66" s="735">
        <v>2926354</v>
      </c>
      <c r="AI66" s="735">
        <v>2458056</v>
      </c>
      <c r="AJ66" s="735">
        <v>2211894</v>
      </c>
      <c r="AK66" s="735">
        <v>2238430</v>
      </c>
      <c r="AL66" s="735">
        <v>2165106</v>
      </c>
      <c r="AM66" s="735">
        <v>2080724</v>
      </c>
      <c r="AN66" s="735">
        <v>2344810</v>
      </c>
      <c r="AO66" s="735">
        <v>2253658</v>
      </c>
      <c r="AP66" s="735">
        <v>1962815</v>
      </c>
      <c r="AQ66" s="735">
        <v>1925794</v>
      </c>
    </row>
    <row r="67" spans="1:43">
      <c r="A67" s="735" t="s">
        <v>222</v>
      </c>
      <c r="B67" s="735" t="s">
        <v>2343</v>
      </c>
      <c r="C67" s="735" t="s">
        <v>583</v>
      </c>
      <c r="D67" s="735" t="s">
        <v>583</v>
      </c>
      <c r="E67" s="735" t="s">
        <v>583</v>
      </c>
      <c r="F67" s="735" t="s">
        <v>583</v>
      </c>
      <c r="G67" s="735" t="s">
        <v>583</v>
      </c>
      <c r="H67" s="735" t="s">
        <v>583</v>
      </c>
      <c r="I67" s="735" t="s">
        <v>583</v>
      </c>
      <c r="J67" s="735" t="s">
        <v>583</v>
      </c>
      <c r="K67" s="735" t="s">
        <v>583</v>
      </c>
      <c r="L67" s="735" t="s">
        <v>583</v>
      </c>
      <c r="M67" s="735" t="s">
        <v>583</v>
      </c>
      <c r="N67" s="735" t="s">
        <v>583</v>
      </c>
      <c r="O67" s="735" t="s">
        <v>583</v>
      </c>
      <c r="P67" s="735" t="s">
        <v>583</v>
      </c>
      <c r="Q67" s="735" t="s">
        <v>583</v>
      </c>
      <c r="R67" s="735" t="s">
        <v>583</v>
      </c>
      <c r="S67" s="735" t="s">
        <v>583</v>
      </c>
      <c r="T67" s="735" t="s">
        <v>583</v>
      </c>
      <c r="U67" s="735" t="s">
        <v>583</v>
      </c>
      <c r="V67" s="735" t="s">
        <v>583</v>
      </c>
      <c r="W67" s="735" t="s">
        <v>583</v>
      </c>
      <c r="X67" s="735" t="s">
        <v>583</v>
      </c>
      <c r="Y67" s="735" t="s">
        <v>583</v>
      </c>
      <c r="Z67" s="735" t="s">
        <v>583</v>
      </c>
      <c r="AA67" s="735" t="s">
        <v>583</v>
      </c>
      <c r="AB67" s="735" t="s">
        <v>583</v>
      </c>
      <c r="AC67" s="735" t="s">
        <v>583</v>
      </c>
      <c r="AD67" s="735" t="s">
        <v>583</v>
      </c>
      <c r="AE67" s="735" t="s">
        <v>583</v>
      </c>
      <c r="AF67" s="735" t="s">
        <v>583</v>
      </c>
      <c r="AG67" s="735" t="s">
        <v>583</v>
      </c>
      <c r="AH67" s="735" t="s">
        <v>583</v>
      </c>
      <c r="AI67" s="735" t="s">
        <v>583</v>
      </c>
      <c r="AJ67" s="735" t="s">
        <v>583</v>
      </c>
      <c r="AK67" s="735" t="s">
        <v>583</v>
      </c>
      <c r="AL67" s="735" t="s">
        <v>583</v>
      </c>
      <c r="AM67" s="735" t="s">
        <v>583</v>
      </c>
      <c r="AN67" s="735" t="s">
        <v>583</v>
      </c>
      <c r="AO67" s="735" t="s">
        <v>583</v>
      </c>
      <c r="AP67" s="735" t="s">
        <v>583</v>
      </c>
      <c r="AQ67" s="735" t="s">
        <v>583</v>
      </c>
    </row>
    <row r="68" spans="1:43">
      <c r="A68" s="735" t="s">
        <v>221</v>
      </c>
      <c r="B68" s="735" t="s">
        <v>2342</v>
      </c>
      <c r="C68" s="735" t="s">
        <v>583</v>
      </c>
      <c r="D68" s="735" t="s">
        <v>583</v>
      </c>
      <c r="E68" s="735">
        <v>21333</v>
      </c>
      <c r="F68" s="735">
        <v>22660</v>
      </c>
      <c r="G68" s="735">
        <v>31471</v>
      </c>
      <c r="H68" s="735">
        <v>29490</v>
      </c>
      <c r="I68" s="735">
        <v>30085</v>
      </c>
      <c r="J68" s="735">
        <v>29005</v>
      </c>
      <c r="K68" s="735">
        <v>29808</v>
      </c>
      <c r="L68" s="735">
        <v>30028</v>
      </c>
      <c r="M68" s="735">
        <v>31447</v>
      </c>
      <c r="N68" s="735">
        <v>31546</v>
      </c>
      <c r="O68" s="735">
        <v>33644</v>
      </c>
      <c r="P68" s="735">
        <v>36259</v>
      </c>
      <c r="Q68" s="735">
        <v>42568</v>
      </c>
      <c r="R68" s="735">
        <v>40800</v>
      </c>
      <c r="S68" s="735">
        <v>42471</v>
      </c>
      <c r="T68" s="735">
        <v>43484</v>
      </c>
      <c r="U68" s="735">
        <v>45033</v>
      </c>
      <c r="V68" s="735">
        <v>45780</v>
      </c>
      <c r="W68" s="735">
        <v>51325</v>
      </c>
      <c r="X68" s="735">
        <v>52217</v>
      </c>
      <c r="Y68" s="735">
        <v>45701</v>
      </c>
      <c r="Z68" s="735">
        <v>46181</v>
      </c>
      <c r="AA68" s="735">
        <v>45801</v>
      </c>
      <c r="AB68" s="735">
        <v>42652</v>
      </c>
      <c r="AC68" s="735">
        <v>45030</v>
      </c>
      <c r="AD68" s="735">
        <v>46511</v>
      </c>
      <c r="AE68" s="735">
        <v>45449</v>
      </c>
      <c r="AF68" s="735">
        <v>53327</v>
      </c>
      <c r="AG68" s="735">
        <v>59187</v>
      </c>
      <c r="AH68" s="735">
        <v>80034</v>
      </c>
      <c r="AI68" s="735">
        <v>86495</v>
      </c>
      <c r="AJ68" s="735">
        <v>93068</v>
      </c>
      <c r="AK68" s="735">
        <v>111754</v>
      </c>
      <c r="AL68" s="735">
        <v>128849</v>
      </c>
      <c r="AM68" s="735">
        <v>140504</v>
      </c>
      <c r="AN68" s="735">
        <v>148007</v>
      </c>
      <c r="AO68" s="735">
        <v>160337</v>
      </c>
      <c r="AP68" s="735">
        <v>168444</v>
      </c>
      <c r="AQ68" s="735">
        <v>175467</v>
      </c>
    </row>
    <row r="69" spans="1:43">
      <c r="A69" s="735" t="s">
        <v>220</v>
      </c>
      <c r="B69" s="735" t="s">
        <v>2341</v>
      </c>
      <c r="C69" s="735">
        <v>2665</v>
      </c>
      <c r="D69" s="735">
        <v>2787</v>
      </c>
      <c r="E69" s="735">
        <v>2989</v>
      </c>
      <c r="F69" s="735">
        <v>4173</v>
      </c>
      <c r="G69" s="735">
        <v>5155</v>
      </c>
      <c r="H69" s="735">
        <v>5703</v>
      </c>
      <c r="I69" s="735">
        <v>5405</v>
      </c>
      <c r="J69" s="735">
        <v>5130</v>
      </c>
      <c r="K69" s="735">
        <v>4803</v>
      </c>
      <c r="L69" s="735">
        <v>5382</v>
      </c>
      <c r="M69" s="735">
        <v>5993</v>
      </c>
      <c r="N69" s="735">
        <v>6951</v>
      </c>
      <c r="O69" s="735">
        <v>6593</v>
      </c>
      <c r="P69" s="735">
        <v>6439</v>
      </c>
      <c r="Q69" s="735">
        <v>6970</v>
      </c>
      <c r="R69" s="735">
        <v>7008</v>
      </c>
      <c r="S69" s="735">
        <v>6737</v>
      </c>
      <c r="T69" s="735">
        <v>6730</v>
      </c>
      <c r="U69" s="735">
        <v>7153</v>
      </c>
      <c r="V69" s="735">
        <v>7283</v>
      </c>
      <c r="W69" s="735">
        <v>7045</v>
      </c>
      <c r="X69" s="735">
        <v>6611</v>
      </c>
      <c r="Y69" s="735">
        <v>6899</v>
      </c>
      <c r="Z69" s="735">
        <v>6725</v>
      </c>
      <c r="AA69" s="735">
        <v>6384</v>
      </c>
      <c r="AB69" s="735">
        <v>6157</v>
      </c>
      <c r="AC69" s="735">
        <v>6661</v>
      </c>
      <c r="AD69" s="735">
        <v>7281</v>
      </c>
      <c r="AE69" s="735">
        <v>7609</v>
      </c>
      <c r="AF69" s="735">
        <v>7003</v>
      </c>
      <c r="AG69" s="735">
        <v>7371</v>
      </c>
      <c r="AH69" s="735">
        <v>7742</v>
      </c>
      <c r="AI69" s="735">
        <v>7547</v>
      </c>
      <c r="AJ69" s="735">
        <v>55364</v>
      </c>
      <c r="AK69" s="735">
        <v>54387</v>
      </c>
      <c r="AL69" s="735">
        <v>54219</v>
      </c>
      <c r="AM69" s="735">
        <v>54277</v>
      </c>
      <c r="AN69" s="735">
        <v>54386</v>
      </c>
      <c r="AO69" s="735">
        <v>51166</v>
      </c>
      <c r="AP69" s="735">
        <v>48938</v>
      </c>
      <c r="AQ69" s="735">
        <v>47476</v>
      </c>
    </row>
    <row r="70" spans="1:43" ht="13">
      <c r="A70" s="1961" t="s">
        <v>7</v>
      </c>
      <c r="B70" s="1958"/>
      <c r="C70" s="1958"/>
      <c r="D70" s="1958"/>
      <c r="E70" s="1958"/>
      <c r="F70" s="1958"/>
      <c r="G70" s="1958"/>
      <c r="H70" s="1958"/>
      <c r="I70" s="1958"/>
      <c r="J70" s="1958"/>
      <c r="K70" s="1958"/>
      <c r="L70" s="1958"/>
      <c r="M70" s="1958"/>
      <c r="N70" s="1958"/>
      <c r="O70" s="1958"/>
      <c r="P70" s="1958"/>
      <c r="Q70" s="1958"/>
      <c r="R70" s="1958"/>
      <c r="S70" s="1958"/>
      <c r="T70" s="1958"/>
      <c r="U70" s="1958"/>
      <c r="V70" s="1958"/>
      <c r="W70" s="1958"/>
      <c r="X70" s="1958"/>
      <c r="Y70" s="1958"/>
      <c r="Z70" s="1958"/>
      <c r="AA70" s="1958"/>
      <c r="AB70" s="1958"/>
      <c r="AC70" s="1958"/>
      <c r="AD70" s="1958"/>
      <c r="AE70" s="1958"/>
      <c r="AF70" s="1958"/>
      <c r="AG70" s="1958"/>
      <c r="AH70" s="1958"/>
      <c r="AI70" s="1958"/>
      <c r="AJ70" s="1958"/>
      <c r="AK70" s="1958"/>
      <c r="AL70" s="1958"/>
      <c r="AM70" s="1958"/>
      <c r="AN70" s="1958"/>
      <c r="AO70" s="1958"/>
      <c r="AP70" s="1958"/>
      <c r="AQ70" s="1958"/>
    </row>
    <row r="71" spans="1:43">
      <c r="A71" s="1962" t="s">
        <v>1084</v>
      </c>
      <c r="B71" s="1958"/>
      <c r="C71" s="1958"/>
      <c r="D71" s="1958"/>
      <c r="E71" s="1958"/>
      <c r="F71" s="1958"/>
      <c r="G71" s="1958"/>
      <c r="H71" s="1958"/>
      <c r="I71" s="1958"/>
      <c r="J71" s="1958"/>
      <c r="K71" s="1958"/>
      <c r="L71" s="1958"/>
      <c r="M71" s="1958"/>
      <c r="N71" s="1958"/>
      <c r="O71" s="1958"/>
      <c r="P71" s="1958"/>
      <c r="Q71" s="1958"/>
      <c r="R71" s="1958"/>
      <c r="S71" s="1958"/>
      <c r="T71" s="1958"/>
      <c r="U71" s="1958"/>
      <c r="V71" s="1958"/>
      <c r="W71" s="1958"/>
      <c r="X71" s="1958"/>
      <c r="Y71" s="1958"/>
      <c r="Z71" s="1958"/>
      <c r="AA71" s="1958"/>
      <c r="AB71" s="1958"/>
      <c r="AC71" s="1958"/>
      <c r="AD71" s="1958"/>
      <c r="AE71" s="1958"/>
      <c r="AF71" s="1958"/>
      <c r="AG71" s="1958"/>
      <c r="AH71" s="1958"/>
      <c r="AI71" s="1958"/>
      <c r="AJ71" s="1958"/>
      <c r="AK71" s="1958"/>
      <c r="AL71" s="1958"/>
      <c r="AM71" s="1958"/>
      <c r="AN71" s="1958"/>
      <c r="AO71" s="1958"/>
      <c r="AP71" s="1958"/>
      <c r="AQ71" s="1958"/>
    </row>
    <row r="72" spans="1:43">
      <c r="A72" s="1962" t="s">
        <v>1083</v>
      </c>
      <c r="B72" s="1958"/>
      <c r="C72" s="1958"/>
      <c r="D72" s="1958"/>
      <c r="E72" s="1958"/>
      <c r="F72" s="1958"/>
      <c r="G72" s="1958"/>
      <c r="H72" s="1958"/>
      <c r="I72" s="1958"/>
      <c r="J72" s="1958"/>
      <c r="K72" s="1958"/>
      <c r="L72" s="1958"/>
      <c r="M72" s="1958"/>
      <c r="N72" s="1958"/>
      <c r="O72" s="1958"/>
      <c r="P72" s="1958"/>
      <c r="Q72" s="1958"/>
      <c r="R72" s="1958"/>
      <c r="S72" s="1958"/>
      <c r="T72" s="1958"/>
      <c r="U72" s="1958"/>
      <c r="V72" s="1958"/>
      <c r="W72" s="1958"/>
      <c r="X72" s="1958"/>
      <c r="Y72" s="1958"/>
      <c r="Z72" s="1958"/>
      <c r="AA72" s="1958"/>
      <c r="AB72" s="1958"/>
      <c r="AC72" s="1958"/>
      <c r="AD72" s="1958"/>
      <c r="AE72" s="1958"/>
      <c r="AF72" s="1958"/>
      <c r="AG72" s="1958"/>
      <c r="AH72" s="1958"/>
      <c r="AI72" s="1958"/>
      <c r="AJ72" s="1958"/>
      <c r="AK72" s="1958"/>
      <c r="AL72" s="1958"/>
      <c r="AM72" s="1958"/>
      <c r="AN72" s="1958"/>
      <c r="AO72" s="1958"/>
      <c r="AP72" s="1958"/>
      <c r="AQ72" s="1958"/>
    </row>
  </sheetData>
  <mergeCells count="50">
    <mergeCell ref="A1:AQ1"/>
    <mergeCell ref="A2:AQ2"/>
    <mergeCell ref="A3:AQ3"/>
    <mergeCell ref="A4:AQ4"/>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V6"/>
    <mergeCell ref="AD6"/>
    <mergeCell ref="AE6"/>
    <mergeCell ref="AF6"/>
    <mergeCell ref="W6"/>
    <mergeCell ref="X6"/>
    <mergeCell ref="Y6"/>
    <mergeCell ref="Z6"/>
    <mergeCell ref="AA6"/>
    <mergeCell ref="A70:AQ70"/>
    <mergeCell ref="A71:AQ71"/>
    <mergeCell ref="A72:AQ72"/>
    <mergeCell ref="AK6"/>
    <mergeCell ref="AL6"/>
    <mergeCell ref="AM6"/>
    <mergeCell ref="AN6"/>
    <mergeCell ref="AO6"/>
    <mergeCell ref="AP6"/>
    <mergeCell ref="AG6"/>
    <mergeCell ref="AH6"/>
    <mergeCell ref="AI6"/>
    <mergeCell ref="AJ6"/>
    <mergeCell ref="AQ6"/>
    <mergeCell ref="AB6"/>
    <mergeCell ref="AC6"/>
  </mergeCell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8"/>
  <sheetViews>
    <sheetView workbookViewId="0">
      <pane xSplit="2" ySplit="7" topLeftCell="M8"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7.5703125" style="284"/>
    <col min="2" max="2" width="63.85546875" style="284" customWidth="1"/>
    <col min="3" max="16384" width="7.5703125" style="284"/>
  </cols>
  <sheetData>
    <row r="1" spans="1:37" ht="17">
      <c r="A1" s="1978" t="s">
        <v>1111</v>
      </c>
      <c r="B1" s="1976"/>
      <c r="C1" s="1976"/>
      <c r="D1" s="1976"/>
      <c r="E1" s="1976"/>
      <c r="F1" s="1976"/>
      <c r="G1" s="1976"/>
      <c r="H1" s="1976"/>
      <c r="I1" s="1976"/>
      <c r="J1" s="1976"/>
      <c r="K1" s="1976"/>
      <c r="L1" s="1976"/>
      <c r="M1" s="1976"/>
      <c r="N1" s="1976"/>
      <c r="O1" s="1976"/>
      <c r="P1" s="1976"/>
      <c r="Q1" s="1976"/>
      <c r="R1" s="1976"/>
      <c r="S1" s="1976"/>
      <c r="T1" s="1976"/>
      <c r="U1" s="1976"/>
      <c r="V1" s="1976"/>
      <c r="W1" s="1976"/>
      <c r="X1" s="1976"/>
      <c r="Y1" s="1976"/>
      <c r="Z1" s="1976"/>
      <c r="AA1" s="1976"/>
      <c r="AB1" s="1976"/>
      <c r="AC1" s="1976"/>
      <c r="AD1" s="1976"/>
      <c r="AE1" s="1976"/>
      <c r="AF1" s="1976"/>
      <c r="AG1" s="1976"/>
      <c r="AH1" s="1976"/>
      <c r="AI1" s="1976"/>
      <c r="AJ1" s="1976"/>
      <c r="AK1" s="1976"/>
    </row>
    <row r="2" spans="1:37" ht="16">
      <c r="A2" s="1979" t="s">
        <v>1110</v>
      </c>
      <c r="B2" s="1976"/>
      <c r="C2" s="1976"/>
      <c r="D2" s="1976"/>
      <c r="E2" s="1976"/>
      <c r="F2" s="1976"/>
      <c r="G2" s="1976"/>
      <c r="H2" s="1976"/>
      <c r="I2" s="1976"/>
      <c r="J2" s="1976"/>
      <c r="K2" s="1976"/>
      <c r="L2" s="1976"/>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row>
    <row r="3" spans="1:37">
      <c r="A3" s="1976" t="s">
        <v>160</v>
      </c>
      <c r="B3" s="1976"/>
      <c r="C3" s="1976"/>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row>
    <row r="4" spans="1:37">
      <c r="A4" s="1976" t="s">
        <v>1109</v>
      </c>
      <c r="B4" s="1976"/>
      <c r="C4" s="1976"/>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row>
    <row r="6" spans="1:37">
      <c r="A6" s="1977" t="s">
        <v>159</v>
      </c>
      <c r="B6" s="1977" t="s">
        <v>1108</v>
      </c>
      <c r="C6" s="1977" t="s">
        <v>105</v>
      </c>
      <c r="D6" s="1977" t="s">
        <v>1078</v>
      </c>
      <c r="E6" s="1977" t="s">
        <v>103</v>
      </c>
      <c r="F6" s="1977" t="s">
        <v>1077</v>
      </c>
      <c r="G6" s="1977" t="s">
        <v>101</v>
      </c>
      <c r="H6" s="1977" t="s">
        <v>1076</v>
      </c>
      <c r="I6" s="1977" t="s">
        <v>99</v>
      </c>
      <c r="J6" s="1977" t="s">
        <v>1075</v>
      </c>
      <c r="K6" s="1977" t="s">
        <v>97</v>
      </c>
      <c r="L6" s="1977" t="s">
        <v>1074</v>
      </c>
      <c r="M6" s="1977" t="s">
        <v>95</v>
      </c>
      <c r="N6" s="1977" t="s">
        <v>1073</v>
      </c>
      <c r="O6" s="1977" t="s">
        <v>93</v>
      </c>
      <c r="P6" s="1977" t="s">
        <v>1072</v>
      </c>
      <c r="Q6" s="1977" t="s">
        <v>91</v>
      </c>
      <c r="R6" s="1977" t="s">
        <v>1071</v>
      </c>
      <c r="S6" s="1977" t="s">
        <v>89</v>
      </c>
      <c r="T6" s="1977" t="s">
        <v>261</v>
      </c>
      <c r="U6" s="1977" t="s">
        <v>87</v>
      </c>
      <c r="V6" s="1977" t="s">
        <v>260</v>
      </c>
      <c r="W6" s="1977" t="s">
        <v>85</v>
      </c>
      <c r="X6" s="1977" t="s">
        <v>259</v>
      </c>
      <c r="Y6" s="1977" t="s">
        <v>83</v>
      </c>
      <c r="Z6" s="1977" t="s">
        <v>258</v>
      </c>
      <c r="AA6" s="1977" t="s">
        <v>81</v>
      </c>
      <c r="AB6" s="1977" t="s">
        <v>257</v>
      </c>
      <c r="AC6" s="1977" t="s">
        <v>79</v>
      </c>
      <c r="AD6" s="1977" t="s">
        <v>256</v>
      </c>
      <c r="AE6" s="1977" t="s">
        <v>77</v>
      </c>
      <c r="AF6" s="1977" t="s">
        <v>255</v>
      </c>
      <c r="AG6" s="1977" t="s">
        <v>75</v>
      </c>
      <c r="AH6" s="1977" t="s">
        <v>794</v>
      </c>
      <c r="AI6" s="1977" t="s">
        <v>866</v>
      </c>
      <c r="AJ6" s="1977" t="s">
        <v>1070</v>
      </c>
      <c r="AK6" s="1977" t="s">
        <v>864</v>
      </c>
    </row>
    <row r="7" spans="1:37">
      <c r="A7" s="284" t="s">
        <v>32</v>
      </c>
      <c r="B7" s="284" t="s">
        <v>1107</v>
      </c>
      <c r="C7" s="284" t="s">
        <v>32</v>
      </c>
      <c r="D7" s="284" t="s">
        <v>32</v>
      </c>
      <c r="E7" s="284" t="s">
        <v>32</v>
      </c>
      <c r="F7" s="284" t="s">
        <v>32</v>
      </c>
      <c r="G7" s="284" t="s">
        <v>32</v>
      </c>
      <c r="H7" s="284" t="s">
        <v>32</v>
      </c>
      <c r="I7" s="284" t="s">
        <v>32</v>
      </c>
      <c r="J7" s="284" t="s">
        <v>32</v>
      </c>
      <c r="K7" s="284" t="s">
        <v>32</v>
      </c>
      <c r="L7" s="284" t="s">
        <v>32</v>
      </c>
      <c r="M7" s="284" t="s">
        <v>32</v>
      </c>
      <c r="N7" s="284" t="s">
        <v>32</v>
      </c>
      <c r="O7" s="284" t="s">
        <v>32</v>
      </c>
      <c r="P7" s="284" t="s">
        <v>32</v>
      </c>
      <c r="Q7" s="284" t="s">
        <v>32</v>
      </c>
      <c r="R7" s="284" t="s">
        <v>32</v>
      </c>
      <c r="S7" s="284" t="s">
        <v>32</v>
      </c>
      <c r="T7" s="284" t="s">
        <v>32</v>
      </c>
      <c r="U7" s="284" t="s">
        <v>32</v>
      </c>
      <c r="V7" s="284" t="s">
        <v>32</v>
      </c>
      <c r="W7" s="284" t="s">
        <v>32</v>
      </c>
      <c r="X7" s="284" t="s">
        <v>32</v>
      </c>
      <c r="Y7" s="284" t="s">
        <v>32</v>
      </c>
      <c r="Z7" s="284" t="s">
        <v>32</v>
      </c>
      <c r="AA7" s="284" t="s">
        <v>32</v>
      </c>
      <c r="AB7" s="284" t="s">
        <v>32</v>
      </c>
      <c r="AC7" s="284" t="s">
        <v>32</v>
      </c>
      <c r="AD7" s="284" t="s">
        <v>32</v>
      </c>
      <c r="AE7" s="284" t="s">
        <v>32</v>
      </c>
      <c r="AF7" s="284" t="s">
        <v>32</v>
      </c>
      <c r="AG7" s="284" t="s">
        <v>32</v>
      </c>
      <c r="AH7" s="284" t="s">
        <v>32</v>
      </c>
      <c r="AI7" s="284" t="s">
        <v>32</v>
      </c>
      <c r="AJ7" s="284" t="s">
        <v>32</v>
      </c>
      <c r="AK7" s="284" t="s">
        <v>32</v>
      </c>
    </row>
    <row r="8" spans="1:37">
      <c r="A8" s="284" t="s">
        <v>73</v>
      </c>
      <c r="B8" s="287" t="s">
        <v>1106</v>
      </c>
      <c r="C8" s="284">
        <v>295981</v>
      </c>
      <c r="D8" s="284">
        <v>351325</v>
      </c>
      <c r="E8" s="284">
        <v>357920</v>
      </c>
      <c r="F8" s="284">
        <v>475693</v>
      </c>
      <c r="G8" s="284">
        <v>615138</v>
      </c>
      <c r="H8" s="284">
        <v>681751</v>
      </c>
      <c r="I8" s="284">
        <v>782947</v>
      </c>
      <c r="J8" s="284">
        <v>929965</v>
      </c>
      <c r="K8" s="284">
        <v>853331</v>
      </c>
      <c r="L8" s="284">
        <v>962582</v>
      </c>
      <c r="M8" s="284">
        <v>943364</v>
      </c>
      <c r="N8" s="284">
        <v>1204611</v>
      </c>
      <c r="O8" s="284">
        <v>1234084</v>
      </c>
      <c r="P8" s="284">
        <v>1493609</v>
      </c>
      <c r="Q8" s="284">
        <v>1749299</v>
      </c>
      <c r="R8" s="284">
        <v>2036671</v>
      </c>
      <c r="S8" s="284">
        <v>2469095</v>
      </c>
      <c r="T8" s="284">
        <v>3051404</v>
      </c>
      <c r="U8" s="284">
        <v>2934570</v>
      </c>
      <c r="V8" s="284">
        <v>2554463</v>
      </c>
      <c r="W8" s="284">
        <v>2283141</v>
      </c>
      <c r="X8" s="284">
        <v>3037312</v>
      </c>
      <c r="Y8" s="284">
        <v>3746863</v>
      </c>
      <c r="Z8" s="284">
        <v>4047170</v>
      </c>
      <c r="AA8" s="284">
        <v>4929892</v>
      </c>
      <c r="AB8" s="284">
        <v>5857923</v>
      </c>
      <c r="AC8" s="284">
        <v>3707211</v>
      </c>
      <c r="AD8" s="284">
        <v>4945292</v>
      </c>
      <c r="AE8" s="284">
        <v>5486391</v>
      </c>
      <c r="AF8" s="284">
        <v>5214826</v>
      </c>
      <c r="AG8" s="284">
        <v>5969502</v>
      </c>
      <c r="AH8" s="284">
        <v>7120688</v>
      </c>
      <c r="AI8" s="284">
        <v>7189420</v>
      </c>
      <c r="AJ8" s="284">
        <v>6998949</v>
      </c>
      <c r="AK8" s="284">
        <v>7375049</v>
      </c>
    </row>
    <row r="9" spans="1:37">
      <c r="A9" s="284" t="s">
        <v>72</v>
      </c>
      <c r="B9" s="284" t="s">
        <v>225</v>
      </c>
      <c r="C9" s="284">
        <v>227369</v>
      </c>
      <c r="D9" s="284">
        <v>285799</v>
      </c>
      <c r="E9" s="284">
        <v>288987</v>
      </c>
      <c r="F9" s="284">
        <v>403897</v>
      </c>
      <c r="G9" s="284">
        <v>538513</v>
      </c>
      <c r="H9" s="284">
        <v>591850</v>
      </c>
      <c r="I9" s="284">
        <v>682896</v>
      </c>
      <c r="J9" s="284">
        <v>804307</v>
      </c>
      <c r="K9" s="284">
        <v>704136</v>
      </c>
      <c r="L9" s="284">
        <v>803456</v>
      </c>
      <c r="M9" s="284">
        <v>762212</v>
      </c>
      <c r="N9" s="284">
        <v>1002299</v>
      </c>
      <c r="O9" s="284">
        <v>1054048</v>
      </c>
      <c r="P9" s="284">
        <v>1305643</v>
      </c>
      <c r="Q9" s="284">
        <v>1540530</v>
      </c>
      <c r="R9" s="284">
        <v>1805484</v>
      </c>
      <c r="S9" s="284">
        <v>2179807</v>
      </c>
      <c r="T9" s="284">
        <v>2678797</v>
      </c>
      <c r="U9" s="284">
        <v>2545603</v>
      </c>
      <c r="V9" s="284">
        <v>2158911</v>
      </c>
      <c r="W9" s="284">
        <v>1840110</v>
      </c>
      <c r="X9" s="284">
        <v>2548435</v>
      </c>
      <c r="Y9" s="284">
        <v>3170545</v>
      </c>
      <c r="Z9" s="284">
        <v>3449302</v>
      </c>
      <c r="AA9" s="284">
        <v>4294301</v>
      </c>
      <c r="AB9" s="284">
        <v>5090968</v>
      </c>
      <c r="AC9" s="284">
        <v>2928147</v>
      </c>
      <c r="AD9" s="284">
        <v>4097179</v>
      </c>
      <c r="AE9" s="284">
        <v>4620850</v>
      </c>
      <c r="AF9" s="284">
        <v>4320052</v>
      </c>
      <c r="AG9" s="284">
        <v>4983895</v>
      </c>
      <c r="AH9" s="284">
        <v>6054227</v>
      </c>
      <c r="AI9" s="284">
        <v>6040129</v>
      </c>
      <c r="AJ9" s="284">
        <v>5787912</v>
      </c>
      <c r="AK9" s="284">
        <v>6172334</v>
      </c>
    </row>
    <row r="10" spans="1:37">
      <c r="A10" s="284" t="s">
        <v>70</v>
      </c>
      <c r="B10" s="284" t="s">
        <v>1086</v>
      </c>
      <c r="C10" s="284">
        <v>68612</v>
      </c>
      <c r="D10" s="284">
        <v>65526</v>
      </c>
      <c r="E10" s="284">
        <v>68933</v>
      </c>
      <c r="F10" s="284">
        <v>71796</v>
      </c>
      <c r="G10" s="284">
        <v>76625</v>
      </c>
      <c r="H10" s="284">
        <v>89901</v>
      </c>
      <c r="I10" s="284">
        <v>100051</v>
      </c>
      <c r="J10" s="284">
        <v>125658</v>
      </c>
      <c r="K10" s="284">
        <v>149195</v>
      </c>
      <c r="L10" s="284">
        <v>159126</v>
      </c>
      <c r="M10" s="284">
        <v>181152</v>
      </c>
      <c r="N10" s="284">
        <v>202312</v>
      </c>
      <c r="O10" s="284">
        <v>180036</v>
      </c>
      <c r="P10" s="284">
        <v>187966</v>
      </c>
      <c r="Q10" s="284">
        <v>208769</v>
      </c>
      <c r="R10" s="284">
        <v>231187</v>
      </c>
      <c r="S10" s="284">
        <v>289288</v>
      </c>
      <c r="T10" s="284">
        <v>372607</v>
      </c>
      <c r="U10" s="284">
        <v>388967</v>
      </c>
      <c r="V10" s="284">
        <v>395552</v>
      </c>
      <c r="W10" s="284">
        <v>443031</v>
      </c>
      <c r="X10" s="284">
        <v>488877</v>
      </c>
      <c r="Y10" s="284">
        <v>576318</v>
      </c>
      <c r="Z10" s="284">
        <v>597868</v>
      </c>
      <c r="AA10" s="284">
        <v>635591</v>
      </c>
      <c r="AB10" s="284">
        <v>766955</v>
      </c>
      <c r="AC10" s="284">
        <v>779064</v>
      </c>
      <c r="AD10" s="284">
        <v>848113</v>
      </c>
      <c r="AE10" s="284">
        <v>865541</v>
      </c>
      <c r="AF10" s="284">
        <v>894774</v>
      </c>
      <c r="AG10" s="284">
        <v>985607</v>
      </c>
      <c r="AH10" s="284">
        <v>1066461</v>
      </c>
      <c r="AI10" s="284">
        <v>1149291</v>
      </c>
      <c r="AJ10" s="284">
        <v>1211037</v>
      </c>
      <c r="AK10" s="284">
        <v>1202715</v>
      </c>
    </row>
    <row r="11" spans="1:37">
      <c r="A11" s="284" t="s">
        <v>69</v>
      </c>
      <c r="B11" s="284" t="s">
        <v>1103</v>
      </c>
      <c r="C11" s="284">
        <v>59907</v>
      </c>
      <c r="D11" s="284">
        <v>54758</v>
      </c>
      <c r="E11" s="284">
        <v>56925</v>
      </c>
      <c r="F11" s="284">
        <v>56032</v>
      </c>
      <c r="G11" s="284">
        <v>58748</v>
      </c>
      <c r="H11" s="284">
        <v>64037</v>
      </c>
      <c r="I11" s="284">
        <v>67970</v>
      </c>
      <c r="J11" s="284">
        <v>92084</v>
      </c>
      <c r="K11" s="284">
        <v>101455</v>
      </c>
      <c r="L11" s="284">
        <v>101569</v>
      </c>
      <c r="M11" s="284">
        <v>112748</v>
      </c>
      <c r="N11" s="284">
        <v>138906</v>
      </c>
      <c r="O11" s="284">
        <v>140439</v>
      </c>
      <c r="P11" s="284">
        <v>147166</v>
      </c>
      <c r="Q11" s="284">
        <v>161120</v>
      </c>
      <c r="R11" s="284">
        <v>178106</v>
      </c>
      <c r="S11" s="284">
        <v>221355</v>
      </c>
      <c r="T11" s="284">
        <v>301962</v>
      </c>
      <c r="U11" s="284">
        <v>296428</v>
      </c>
      <c r="V11" s="284">
        <v>310334</v>
      </c>
      <c r="W11" s="284">
        <v>349729</v>
      </c>
      <c r="X11" s="284">
        <v>371406</v>
      </c>
      <c r="Y11" s="284">
        <v>433621</v>
      </c>
      <c r="Z11" s="284">
        <v>440594</v>
      </c>
      <c r="AA11" s="284">
        <v>463041</v>
      </c>
      <c r="AB11" s="284">
        <v>510102</v>
      </c>
      <c r="AC11" s="284">
        <v>504203</v>
      </c>
      <c r="AD11" s="284">
        <v>572022</v>
      </c>
      <c r="AE11" s="284">
        <v>586867</v>
      </c>
      <c r="AF11" s="284">
        <v>619084</v>
      </c>
      <c r="AG11" s="284">
        <v>659438</v>
      </c>
      <c r="AH11" s="284">
        <v>698148</v>
      </c>
      <c r="AI11" s="284">
        <v>764613</v>
      </c>
      <c r="AJ11" s="284">
        <v>802824</v>
      </c>
      <c r="AK11" s="284">
        <v>797183</v>
      </c>
    </row>
    <row r="12" spans="1:37">
      <c r="A12" s="284" t="s">
        <v>68</v>
      </c>
      <c r="B12" s="284" t="s">
        <v>1093</v>
      </c>
      <c r="C12" s="284">
        <v>8705</v>
      </c>
      <c r="D12" s="284">
        <v>10768</v>
      </c>
      <c r="E12" s="284">
        <v>12008</v>
      </c>
      <c r="F12" s="284">
        <v>15764</v>
      </c>
      <c r="G12" s="284">
        <v>17877</v>
      </c>
      <c r="H12" s="284">
        <v>25864</v>
      </c>
      <c r="I12" s="284">
        <v>32081</v>
      </c>
      <c r="J12" s="284">
        <v>33574</v>
      </c>
      <c r="K12" s="284">
        <v>47740</v>
      </c>
      <c r="L12" s="284">
        <v>57557</v>
      </c>
      <c r="M12" s="284">
        <v>68404</v>
      </c>
      <c r="N12" s="284">
        <v>63406</v>
      </c>
      <c r="O12" s="284">
        <v>39597</v>
      </c>
      <c r="P12" s="284">
        <v>40800</v>
      </c>
      <c r="Q12" s="284">
        <v>47649</v>
      </c>
      <c r="R12" s="284">
        <v>53081</v>
      </c>
      <c r="S12" s="284">
        <v>67934</v>
      </c>
      <c r="T12" s="284">
        <v>70645</v>
      </c>
      <c r="U12" s="284">
        <v>92539</v>
      </c>
      <c r="V12" s="284">
        <v>85218</v>
      </c>
      <c r="W12" s="284">
        <v>93302</v>
      </c>
      <c r="X12" s="284">
        <v>117471</v>
      </c>
      <c r="Y12" s="284">
        <v>142696</v>
      </c>
      <c r="Z12" s="284">
        <v>157274</v>
      </c>
      <c r="AA12" s="284">
        <v>172550</v>
      </c>
      <c r="AB12" s="284">
        <v>256853</v>
      </c>
      <c r="AC12" s="284">
        <v>274861</v>
      </c>
      <c r="AD12" s="284">
        <v>276091</v>
      </c>
      <c r="AE12" s="284">
        <v>278674</v>
      </c>
      <c r="AF12" s="284">
        <v>275690</v>
      </c>
      <c r="AG12" s="284">
        <v>326170</v>
      </c>
      <c r="AH12" s="284">
        <v>368313</v>
      </c>
      <c r="AI12" s="284">
        <v>384678</v>
      </c>
      <c r="AJ12" s="284">
        <v>408213</v>
      </c>
      <c r="AK12" s="284">
        <v>405531</v>
      </c>
    </row>
    <row r="13" spans="1:37">
      <c r="A13" s="284" t="s">
        <v>66</v>
      </c>
      <c r="B13" s="287" t="s">
        <v>1059</v>
      </c>
      <c r="C13" s="284">
        <v>69343</v>
      </c>
      <c r="D13" s="284">
        <v>76982</v>
      </c>
      <c r="E13" s="284">
        <v>87346</v>
      </c>
      <c r="F13" s="284">
        <v>89342</v>
      </c>
      <c r="G13" s="284">
        <v>85064</v>
      </c>
      <c r="H13" s="284">
        <v>91505</v>
      </c>
      <c r="I13" s="284">
        <v>90485</v>
      </c>
      <c r="J13" s="284">
        <v>97505</v>
      </c>
      <c r="K13" s="284">
        <v>121569</v>
      </c>
      <c r="L13" s="284">
        <v>135045</v>
      </c>
      <c r="M13" s="284">
        <v>144734</v>
      </c>
      <c r="N13" s="284">
        <v>143312</v>
      </c>
      <c r="O13" s="284">
        <v>119502</v>
      </c>
      <c r="P13" s="284">
        <v>129816</v>
      </c>
      <c r="Q13" s="284">
        <v>140958</v>
      </c>
      <c r="R13" s="284">
        <v>157386</v>
      </c>
      <c r="S13" s="284">
        <v>189495</v>
      </c>
      <c r="T13" s="284">
        <v>211765</v>
      </c>
      <c r="U13" s="284">
        <v>240556</v>
      </c>
      <c r="V13" s="284">
        <v>239529</v>
      </c>
      <c r="W13" s="284">
        <v>260553</v>
      </c>
      <c r="X13" s="284">
        <v>308185</v>
      </c>
      <c r="Y13" s="284">
        <v>384067</v>
      </c>
      <c r="Z13" s="284">
        <v>409174</v>
      </c>
      <c r="AA13" s="284">
        <v>459549</v>
      </c>
      <c r="AB13" s="284">
        <v>582932</v>
      </c>
      <c r="AC13" s="284">
        <v>604793</v>
      </c>
      <c r="AD13" s="284">
        <v>623170</v>
      </c>
      <c r="AE13" s="284">
        <v>676804</v>
      </c>
      <c r="AF13" s="284">
        <v>700499</v>
      </c>
      <c r="AG13" s="284">
        <v>746629</v>
      </c>
      <c r="AH13" s="284">
        <v>866517</v>
      </c>
      <c r="AI13" s="284">
        <v>912637</v>
      </c>
      <c r="AJ13" s="284">
        <v>991175</v>
      </c>
      <c r="AK13" s="284">
        <v>1013629</v>
      </c>
    </row>
    <row r="14" spans="1:37">
      <c r="A14" s="284" t="s">
        <v>65</v>
      </c>
      <c r="B14" s="284" t="s">
        <v>1098</v>
      </c>
      <c r="C14" s="284">
        <v>60638</v>
      </c>
      <c r="D14" s="284">
        <v>66214</v>
      </c>
      <c r="E14" s="284">
        <v>75338</v>
      </c>
      <c r="F14" s="284">
        <v>73578</v>
      </c>
      <c r="G14" s="284">
        <v>67187</v>
      </c>
      <c r="H14" s="284">
        <v>65641</v>
      </c>
      <c r="I14" s="284">
        <v>58404</v>
      </c>
      <c r="J14" s="284">
        <v>63931</v>
      </c>
      <c r="K14" s="284">
        <v>73829</v>
      </c>
      <c r="L14" s="284">
        <v>77488</v>
      </c>
      <c r="M14" s="284">
        <v>76330</v>
      </c>
      <c r="N14" s="284">
        <v>79906</v>
      </c>
      <c r="O14" s="284">
        <v>79904</v>
      </c>
      <c r="P14" s="284">
        <v>89016</v>
      </c>
      <c r="Q14" s="284">
        <v>93309</v>
      </c>
      <c r="R14" s="284">
        <v>104305</v>
      </c>
      <c r="S14" s="284">
        <v>121561</v>
      </c>
      <c r="T14" s="284">
        <v>141120</v>
      </c>
      <c r="U14" s="284">
        <v>148017</v>
      </c>
      <c r="V14" s="284">
        <v>154311</v>
      </c>
      <c r="W14" s="284">
        <v>167251</v>
      </c>
      <c r="X14" s="284">
        <v>190714</v>
      </c>
      <c r="Y14" s="284">
        <v>241371</v>
      </c>
      <c r="Z14" s="284">
        <v>251900</v>
      </c>
      <c r="AA14" s="284">
        <v>286999</v>
      </c>
      <c r="AB14" s="284">
        <v>326079</v>
      </c>
      <c r="AC14" s="284">
        <v>329933</v>
      </c>
      <c r="AD14" s="284">
        <v>347079</v>
      </c>
      <c r="AE14" s="284">
        <v>398130</v>
      </c>
      <c r="AF14" s="284">
        <v>424809</v>
      </c>
      <c r="AG14" s="284">
        <v>420459</v>
      </c>
      <c r="AH14" s="284">
        <v>498204</v>
      </c>
      <c r="AI14" s="284">
        <v>527958</v>
      </c>
      <c r="AJ14" s="284">
        <v>582963</v>
      </c>
      <c r="AK14" s="284">
        <v>608098</v>
      </c>
    </row>
    <row r="15" spans="1:37">
      <c r="A15" s="284" t="s">
        <v>64</v>
      </c>
      <c r="B15" s="284" t="s">
        <v>1097</v>
      </c>
      <c r="C15" s="284">
        <v>8705</v>
      </c>
      <c r="D15" s="284">
        <v>10768</v>
      </c>
      <c r="E15" s="284">
        <v>12008</v>
      </c>
      <c r="F15" s="284">
        <v>15764</v>
      </c>
      <c r="G15" s="284">
        <v>17877</v>
      </c>
      <c r="H15" s="284">
        <v>25864</v>
      </c>
      <c r="I15" s="284">
        <v>32081</v>
      </c>
      <c r="J15" s="284">
        <v>33574</v>
      </c>
      <c r="K15" s="284">
        <v>47740</v>
      </c>
      <c r="L15" s="284">
        <v>57557</v>
      </c>
      <c r="M15" s="284">
        <v>68404</v>
      </c>
      <c r="N15" s="284">
        <v>63406</v>
      </c>
      <c r="O15" s="284">
        <v>39597</v>
      </c>
      <c r="P15" s="284">
        <v>40800</v>
      </c>
      <c r="Q15" s="284">
        <v>47649</v>
      </c>
      <c r="R15" s="284">
        <v>53081</v>
      </c>
      <c r="S15" s="284">
        <v>67934</v>
      </c>
      <c r="T15" s="284">
        <v>70645</v>
      </c>
      <c r="U15" s="284">
        <v>92539</v>
      </c>
      <c r="V15" s="284">
        <v>85218</v>
      </c>
      <c r="W15" s="284">
        <v>93302</v>
      </c>
      <c r="X15" s="284">
        <v>117471</v>
      </c>
      <c r="Y15" s="284">
        <v>142696</v>
      </c>
      <c r="Z15" s="284">
        <v>157274</v>
      </c>
      <c r="AA15" s="284">
        <v>172550</v>
      </c>
      <c r="AB15" s="284">
        <v>256853</v>
      </c>
      <c r="AC15" s="284">
        <v>274861</v>
      </c>
      <c r="AD15" s="284">
        <v>276091</v>
      </c>
      <c r="AE15" s="284">
        <v>278674</v>
      </c>
      <c r="AF15" s="284">
        <v>275690</v>
      </c>
      <c r="AG15" s="284">
        <v>326170</v>
      </c>
      <c r="AH15" s="284">
        <v>368313</v>
      </c>
      <c r="AI15" s="284">
        <v>384678</v>
      </c>
      <c r="AJ15" s="284">
        <v>408213</v>
      </c>
      <c r="AK15" s="284">
        <v>405531</v>
      </c>
    </row>
    <row r="16" spans="1:37">
      <c r="A16" s="284" t="s">
        <v>63</v>
      </c>
      <c r="B16" s="287" t="s">
        <v>1105</v>
      </c>
      <c r="C16" s="284">
        <v>226638</v>
      </c>
      <c r="D16" s="284">
        <v>274342</v>
      </c>
      <c r="E16" s="284">
        <v>270574</v>
      </c>
      <c r="F16" s="284">
        <v>386352</v>
      </c>
      <c r="G16" s="284">
        <v>530074</v>
      </c>
      <c r="H16" s="284">
        <v>590246</v>
      </c>
      <c r="I16" s="284">
        <v>692461</v>
      </c>
      <c r="J16" s="284">
        <v>832460</v>
      </c>
      <c r="K16" s="284">
        <v>731762</v>
      </c>
      <c r="L16" s="284">
        <v>827537</v>
      </c>
      <c r="M16" s="284">
        <v>798630</v>
      </c>
      <c r="N16" s="284">
        <v>1061299</v>
      </c>
      <c r="O16" s="284">
        <v>1114582</v>
      </c>
      <c r="P16" s="284">
        <v>1363792</v>
      </c>
      <c r="Q16" s="284">
        <v>1608340</v>
      </c>
      <c r="R16" s="284">
        <v>1879285</v>
      </c>
      <c r="S16" s="284">
        <v>2279601</v>
      </c>
      <c r="T16" s="284">
        <v>2839639</v>
      </c>
      <c r="U16" s="284">
        <v>2694014</v>
      </c>
      <c r="V16" s="284">
        <v>2314934</v>
      </c>
      <c r="W16" s="284">
        <v>2022588</v>
      </c>
      <c r="X16" s="284">
        <v>2729126</v>
      </c>
      <c r="Y16" s="284">
        <v>3362796</v>
      </c>
      <c r="Z16" s="284">
        <v>3637996</v>
      </c>
      <c r="AA16" s="284">
        <v>4470343</v>
      </c>
      <c r="AB16" s="284">
        <v>5274991</v>
      </c>
      <c r="AC16" s="284">
        <v>3102418</v>
      </c>
      <c r="AD16" s="284">
        <v>4322122</v>
      </c>
      <c r="AE16" s="284">
        <v>4809587</v>
      </c>
      <c r="AF16" s="284">
        <v>4514327</v>
      </c>
      <c r="AG16" s="284">
        <v>5222873</v>
      </c>
      <c r="AH16" s="284">
        <v>6254171</v>
      </c>
      <c r="AI16" s="284">
        <v>6276783</v>
      </c>
      <c r="AJ16" s="284">
        <v>6007773</v>
      </c>
      <c r="AK16" s="284">
        <v>6361419</v>
      </c>
    </row>
    <row r="17" spans="1:37">
      <c r="A17" s="284" t="s">
        <v>61</v>
      </c>
      <c r="B17" s="284" t="s">
        <v>225</v>
      </c>
      <c r="C17" s="284">
        <v>227369</v>
      </c>
      <c r="D17" s="284">
        <v>285799</v>
      </c>
      <c r="E17" s="284">
        <v>288987</v>
      </c>
      <c r="F17" s="284">
        <v>403897</v>
      </c>
      <c r="G17" s="284">
        <v>538513</v>
      </c>
      <c r="H17" s="284">
        <v>591850</v>
      </c>
      <c r="I17" s="284">
        <v>682896</v>
      </c>
      <c r="J17" s="284">
        <v>804307</v>
      </c>
      <c r="K17" s="284">
        <v>704136</v>
      </c>
      <c r="L17" s="284">
        <v>803456</v>
      </c>
      <c r="M17" s="284">
        <v>762212</v>
      </c>
      <c r="N17" s="284">
        <v>1002299</v>
      </c>
      <c r="O17" s="284">
        <v>1054048</v>
      </c>
      <c r="P17" s="284">
        <v>1305643</v>
      </c>
      <c r="Q17" s="284">
        <v>1540530</v>
      </c>
      <c r="R17" s="284">
        <v>1805484</v>
      </c>
      <c r="S17" s="284">
        <v>2179807</v>
      </c>
      <c r="T17" s="284">
        <v>2678797</v>
      </c>
      <c r="U17" s="284">
        <v>2545603</v>
      </c>
      <c r="V17" s="284">
        <v>2158911</v>
      </c>
      <c r="W17" s="284">
        <v>1840110</v>
      </c>
      <c r="X17" s="284">
        <v>2548435</v>
      </c>
      <c r="Y17" s="284">
        <v>3170545</v>
      </c>
      <c r="Z17" s="284">
        <v>3449302</v>
      </c>
      <c r="AA17" s="284">
        <v>4294301</v>
      </c>
      <c r="AB17" s="284">
        <v>5090968</v>
      </c>
      <c r="AC17" s="284">
        <v>2928147</v>
      </c>
      <c r="AD17" s="284">
        <v>4097179</v>
      </c>
      <c r="AE17" s="284">
        <v>4620850</v>
      </c>
      <c r="AF17" s="284">
        <v>4320052</v>
      </c>
      <c r="AG17" s="284">
        <v>4983895</v>
      </c>
      <c r="AH17" s="284">
        <v>6054227</v>
      </c>
      <c r="AI17" s="284">
        <v>6040129</v>
      </c>
      <c r="AJ17" s="284">
        <v>5787912</v>
      </c>
      <c r="AK17" s="284">
        <v>6172334</v>
      </c>
    </row>
    <row r="18" spans="1:37">
      <c r="A18" s="284" t="s">
        <v>60</v>
      </c>
      <c r="B18" s="284" t="s">
        <v>1104</v>
      </c>
      <c r="C18" s="284">
        <v>-731</v>
      </c>
      <c r="D18" s="284">
        <v>-11457</v>
      </c>
      <c r="E18" s="284">
        <v>-18413</v>
      </c>
      <c r="F18" s="284">
        <v>-17545</v>
      </c>
      <c r="G18" s="284">
        <v>-8439</v>
      </c>
      <c r="H18" s="284">
        <v>-1604</v>
      </c>
      <c r="I18" s="284">
        <v>9565</v>
      </c>
      <c r="J18" s="284">
        <v>28153</v>
      </c>
      <c r="K18" s="284">
        <v>27626</v>
      </c>
      <c r="L18" s="284">
        <v>24081</v>
      </c>
      <c r="M18" s="284">
        <v>36418</v>
      </c>
      <c r="N18" s="284">
        <v>59000</v>
      </c>
      <c r="O18" s="284">
        <v>60534</v>
      </c>
      <c r="P18" s="284">
        <v>58149</v>
      </c>
      <c r="Q18" s="284">
        <v>67810</v>
      </c>
      <c r="R18" s="284">
        <v>73801</v>
      </c>
      <c r="S18" s="284">
        <v>99794</v>
      </c>
      <c r="T18" s="284">
        <v>160842</v>
      </c>
      <c r="U18" s="284">
        <v>148411</v>
      </c>
      <c r="V18" s="284">
        <v>156023</v>
      </c>
      <c r="W18" s="284">
        <v>182478</v>
      </c>
      <c r="X18" s="284">
        <v>180692</v>
      </c>
      <c r="Y18" s="284">
        <v>192251</v>
      </c>
      <c r="Z18" s="284">
        <v>188694</v>
      </c>
      <c r="AA18" s="284">
        <v>176042</v>
      </c>
      <c r="AB18" s="284">
        <v>184023</v>
      </c>
      <c r="AC18" s="284">
        <v>174271</v>
      </c>
      <c r="AD18" s="284">
        <v>224943</v>
      </c>
      <c r="AE18" s="284">
        <v>188737</v>
      </c>
      <c r="AF18" s="284">
        <v>194275</v>
      </c>
      <c r="AG18" s="284">
        <v>238978</v>
      </c>
      <c r="AH18" s="284">
        <v>199944</v>
      </c>
      <c r="AI18" s="284">
        <v>236654</v>
      </c>
      <c r="AJ18" s="284">
        <v>219861</v>
      </c>
      <c r="AK18" s="284">
        <v>189085</v>
      </c>
    </row>
    <row r="19" spans="1:37">
      <c r="A19" s="284" t="s">
        <v>59</v>
      </c>
      <c r="B19" s="284" t="s">
        <v>1103</v>
      </c>
      <c r="C19" s="284">
        <v>59907</v>
      </c>
      <c r="D19" s="284">
        <v>54758</v>
      </c>
      <c r="E19" s="284">
        <v>56925</v>
      </c>
      <c r="F19" s="284">
        <v>56032</v>
      </c>
      <c r="G19" s="284">
        <v>58748</v>
      </c>
      <c r="H19" s="284">
        <v>64037</v>
      </c>
      <c r="I19" s="284">
        <v>67970</v>
      </c>
      <c r="J19" s="284">
        <v>92084</v>
      </c>
      <c r="K19" s="284">
        <v>101455</v>
      </c>
      <c r="L19" s="284">
        <v>101569</v>
      </c>
      <c r="M19" s="284">
        <v>112748</v>
      </c>
      <c r="N19" s="284">
        <v>138906</v>
      </c>
      <c r="O19" s="284">
        <v>140439</v>
      </c>
      <c r="P19" s="284">
        <v>147166</v>
      </c>
      <c r="Q19" s="284">
        <v>161120</v>
      </c>
      <c r="R19" s="284">
        <v>178106</v>
      </c>
      <c r="S19" s="284">
        <v>221355</v>
      </c>
      <c r="T19" s="284">
        <v>301962</v>
      </c>
      <c r="U19" s="284">
        <v>296428</v>
      </c>
      <c r="V19" s="284">
        <v>310334</v>
      </c>
      <c r="W19" s="284">
        <v>349729</v>
      </c>
      <c r="X19" s="284">
        <v>371406</v>
      </c>
      <c r="Y19" s="284">
        <v>433621</v>
      </c>
      <c r="Z19" s="284">
        <v>440594</v>
      </c>
      <c r="AA19" s="284">
        <v>463041</v>
      </c>
      <c r="AB19" s="284">
        <v>510102</v>
      </c>
      <c r="AC19" s="284">
        <v>504203</v>
      </c>
      <c r="AD19" s="284">
        <v>572022</v>
      </c>
      <c r="AE19" s="284">
        <v>586867</v>
      </c>
      <c r="AF19" s="284">
        <v>619084</v>
      </c>
      <c r="AG19" s="284">
        <v>659438</v>
      </c>
      <c r="AH19" s="284">
        <v>698148</v>
      </c>
      <c r="AI19" s="284">
        <v>764613</v>
      </c>
      <c r="AJ19" s="284">
        <v>802824</v>
      </c>
      <c r="AK19" s="284">
        <v>797183</v>
      </c>
    </row>
    <row r="20" spans="1:37">
      <c r="A20" s="284" t="s">
        <v>57</v>
      </c>
      <c r="B20" s="284" t="s">
        <v>1099</v>
      </c>
      <c r="C20" s="284">
        <v>60638</v>
      </c>
      <c r="D20" s="284">
        <v>66214</v>
      </c>
      <c r="E20" s="284">
        <v>75338</v>
      </c>
      <c r="F20" s="284">
        <v>73578</v>
      </c>
      <c r="G20" s="284">
        <v>67187</v>
      </c>
      <c r="H20" s="284">
        <v>65641</v>
      </c>
      <c r="I20" s="284">
        <v>58404</v>
      </c>
      <c r="J20" s="284">
        <v>63931</v>
      </c>
      <c r="K20" s="284">
        <v>73829</v>
      </c>
      <c r="L20" s="284">
        <v>77488</v>
      </c>
      <c r="M20" s="284">
        <v>76330</v>
      </c>
      <c r="N20" s="284">
        <v>79906</v>
      </c>
      <c r="O20" s="284">
        <v>79904</v>
      </c>
      <c r="P20" s="284">
        <v>89016</v>
      </c>
      <c r="Q20" s="284">
        <v>93309</v>
      </c>
      <c r="R20" s="284">
        <v>104305</v>
      </c>
      <c r="S20" s="284">
        <v>121561</v>
      </c>
      <c r="T20" s="284">
        <v>141120</v>
      </c>
      <c r="U20" s="284">
        <v>148017</v>
      </c>
      <c r="V20" s="284">
        <v>154311</v>
      </c>
      <c r="W20" s="284">
        <v>167251</v>
      </c>
      <c r="X20" s="284">
        <v>190714</v>
      </c>
      <c r="Y20" s="284">
        <v>241371</v>
      </c>
      <c r="Z20" s="284">
        <v>251900</v>
      </c>
      <c r="AA20" s="284">
        <v>286999</v>
      </c>
      <c r="AB20" s="284">
        <v>326079</v>
      </c>
      <c r="AC20" s="284">
        <v>329933</v>
      </c>
      <c r="AD20" s="284">
        <v>347079</v>
      </c>
      <c r="AE20" s="284">
        <v>398130</v>
      </c>
      <c r="AF20" s="284">
        <v>424809</v>
      </c>
      <c r="AG20" s="284">
        <v>420459</v>
      </c>
      <c r="AH20" s="284">
        <v>498204</v>
      </c>
      <c r="AI20" s="284">
        <v>527958</v>
      </c>
      <c r="AJ20" s="284">
        <v>582963</v>
      </c>
      <c r="AK20" s="284">
        <v>608098</v>
      </c>
    </row>
    <row r="21" spans="1:37">
      <c r="A21" s="284" t="s">
        <v>55</v>
      </c>
      <c r="B21" s="287" t="s">
        <v>1092</v>
      </c>
      <c r="C21" s="284">
        <v>18886</v>
      </c>
      <c r="D21" s="284">
        <v>62192</v>
      </c>
      <c r="E21" s="284">
        <v>52481</v>
      </c>
      <c r="F21" s="284">
        <v>147983</v>
      </c>
      <c r="G21" s="284">
        <v>259602</v>
      </c>
      <c r="H21" s="284">
        <v>263993</v>
      </c>
      <c r="I21" s="284">
        <v>345282</v>
      </c>
      <c r="J21" s="284">
        <v>450679</v>
      </c>
      <c r="K21" s="284">
        <v>301241</v>
      </c>
      <c r="L21" s="284">
        <v>359693</v>
      </c>
      <c r="M21" s="284">
        <v>296567</v>
      </c>
      <c r="N21" s="284">
        <v>497015</v>
      </c>
      <c r="O21" s="284">
        <v>501689</v>
      </c>
      <c r="P21" s="284">
        <v>664777</v>
      </c>
      <c r="Q21" s="284">
        <v>813145</v>
      </c>
      <c r="R21" s="284">
        <v>1007969</v>
      </c>
      <c r="S21" s="284">
        <v>1278898</v>
      </c>
      <c r="T21" s="284">
        <v>1623679</v>
      </c>
      <c r="U21" s="284">
        <v>1377767</v>
      </c>
      <c r="V21" s="284">
        <v>854582</v>
      </c>
      <c r="W21" s="284">
        <v>406040</v>
      </c>
      <c r="X21" s="284">
        <v>959514</v>
      </c>
      <c r="Y21" s="284">
        <v>1201952</v>
      </c>
      <c r="Z21" s="284">
        <v>1396340</v>
      </c>
      <c r="AA21" s="284">
        <v>1993075</v>
      </c>
      <c r="AB21" s="284">
        <v>2281011</v>
      </c>
      <c r="AC21" s="284">
        <v>-130075</v>
      </c>
      <c r="AD21" s="284">
        <v>757102</v>
      </c>
      <c r="AE21" s="284">
        <v>1067677</v>
      </c>
      <c r="AF21" s="284">
        <v>464301</v>
      </c>
      <c r="AG21" s="284">
        <v>812859</v>
      </c>
      <c r="AH21" s="284">
        <v>1674458</v>
      </c>
      <c r="AI21" s="284">
        <v>1366718</v>
      </c>
      <c r="AJ21" s="284">
        <v>959000</v>
      </c>
      <c r="AK21" s="284">
        <v>1029194</v>
      </c>
    </row>
    <row r="22" spans="1:37">
      <c r="A22" s="284" t="s">
        <v>54</v>
      </c>
      <c r="B22" s="287" t="s">
        <v>1102</v>
      </c>
      <c r="C22" s="284">
        <v>207752</v>
      </c>
      <c r="D22" s="284">
        <v>212150</v>
      </c>
      <c r="E22" s="284">
        <v>218093</v>
      </c>
      <c r="F22" s="284">
        <v>238369</v>
      </c>
      <c r="G22" s="284">
        <v>270472</v>
      </c>
      <c r="H22" s="284">
        <v>326253</v>
      </c>
      <c r="I22" s="284">
        <v>347179</v>
      </c>
      <c r="J22" s="284">
        <v>381781</v>
      </c>
      <c r="K22" s="284">
        <v>430521</v>
      </c>
      <c r="L22" s="284">
        <v>467844</v>
      </c>
      <c r="M22" s="284">
        <v>502063</v>
      </c>
      <c r="N22" s="284">
        <v>564283</v>
      </c>
      <c r="O22" s="284">
        <v>612893</v>
      </c>
      <c r="P22" s="284">
        <v>699015</v>
      </c>
      <c r="Q22" s="284">
        <v>795195</v>
      </c>
      <c r="R22" s="284">
        <v>871316</v>
      </c>
      <c r="S22" s="284">
        <v>1000703</v>
      </c>
      <c r="T22" s="284">
        <v>1215960</v>
      </c>
      <c r="U22" s="284">
        <v>1316247</v>
      </c>
      <c r="V22" s="284">
        <v>1460352</v>
      </c>
      <c r="W22" s="284">
        <v>1616548</v>
      </c>
      <c r="X22" s="284">
        <v>1769613</v>
      </c>
      <c r="Y22" s="284">
        <v>2160844</v>
      </c>
      <c r="Z22" s="284">
        <v>2241656</v>
      </c>
      <c r="AA22" s="284">
        <v>2477268</v>
      </c>
      <c r="AB22" s="284">
        <v>2993980</v>
      </c>
      <c r="AC22" s="284">
        <v>3232493</v>
      </c>
      <c r="AD22" s="284">
        <v>3565020</v>
      </c>
      <c r="AE22" s="284">
        <v>3741910</v>
      </c>
      <c r="AF22" s="284">
        <v>4050026</v>
      </c>
      <c r="AG22" s="284">
        <v>4410015</v>
      </c>
      <c r="AH22" s="284">
        <v>4579713</v>
      </c>
      <c r="AI22" s="284">
        <v>4910065</v>
      </c>
      <c r="AJ22" s="284">
        <v>5048773</v>
      </c>
      <c r="AK22" s="284">
        <v>5332225</v>
      </c>
    </row>
    <row r="23" spans="1:37">
      <c r="A23" s="284" t="s">
        <v>53</v>
      </c>
      <c r="B23" s="284" t="s">
        <v>225</v>
      </c>
      <c r="C23" s="284">
        <v>208483</v>
      </c>
      <c r="D23" s="284">
        <v>223607</v>
      </c>
      <c r="E23" s="284">
        <v>236506</v>
      </c>
      <c r="F23" s="284">
        <v>255914</v>
      </c>
      <c r="G23" s="284">
        <v>278911</v>
      </c>
      <c r="H23" s="284">
        <v>327857</v>
      </c>
      <c r="I23" s="284">
        <v>337614</v>
      </c>
      <c r="J23" s="284">
        <v>353628</v>
      </c>
      <c r="K23" s="284">
        <v>402895</v>
      </c>
      <c r="L23" s="284">
        <v>443763</v>
      </c>
      <c r="M23" s="284">
        <v>465645</v>
      </c>
      <c r="N23" s="284">
        <v>505284</v>
      </c>
      <c r="O23" s="284">
        <v>552359</v>
      </c>
      <c r="P23" s="284">
        <v>640866</v>
      </c>
      <c r="Q23" s="284">
        <v>727384</v>
      </c>
      <c r="R23" s="284">
        <v>797514</v>
      </c>
      <c r="S23" s="284">
        <v>900909</v>
      </c>
      <c r="T23" s="284">
        <v>1055118</v>
      </c>
      <c r="U23" s="284">
        <v>1167836</v>
      </c>
      <c r="V23" s="284">
        <v>1304329</v>
      </c>
      <c r="W23" s="284">
        <v>1434070</v>
      </c>
      <c r="X23" s="284">
        <v>1588921</v>
      </c>
      <c r="Y23" s="284">
        <v>1968594</v>
      </c>
      <c r="Z23" s="284">
        <v>2052962</v>
      </c>
      <c r="AA23" s="284">
        <v>2301226</v>
      </c>
      <c r="AB23" s="284">
        <v>2809957</v>
      </c>
      <c r="AC23" s="284">
        <v>3058222</v>
      </c>
      <c r="AD23" s="284">
        <v>3340077</v>
      </c>
      <c r="AE23" s="284">
        <v>3553174</v>
      </c>
      <c r="AF23" s="284">
        <v>3855751</v>
      </c>
      <c r="AG23" s="284">
        <v>4171036</v>
      </c>
      <c r="AH23" s="284">
        <v>4379769</v>
      </c>
      <c r="AI23" s="284">
        <v>4673411</v>
      </c>
      <c r="AJ23" s="284">
        <v>4828912</v>
      </c>
      <c r="AK23" s="284">
        <v>5143140</v>
      </c>
    </row>
    <row r="24" spans="1:37">
      <c r="A24" s="284" t="s">
        <v>52</v>
      </c>
      <c r="B24" s="284" t="s">
        <v>1086</v>
      </c>
      <c r="C24" s="284">
        <v>-731</v>
      </c>
      <c r="D24" s="284">
        <v>-11457</v>
      </c>
      <c r="E24" s="284">
        <v>-18413</v>
      </c>
      <c r="F24" s="284">
        <v>-17545</v>
      </c>
      <c r="G24" s="284">
        <v>-8439</v>
      </c>
      <c r="H24" s="284">
        <v>-1604</v>
      </c>
      <c r="I24" s="284">
        <v>9565</v>
      </c>
      <c r="J24" s="284">
        <v>28153</v>
      </c>
      <c r="K24" s="284">
        <v>27626</v>
      </c>
      <c r="L24" s="284">
        <v>24081</v>
      </c>
      <c r="M24" s="284">
        <v>36418</v>
      </c>
      <c r="N24" s="284">
        <v>59000</v>
      </c>
      <c r="O24" s="284">
        <v>60534</v>
      </c>
      <c r="P24" s="284">
        <v>58149</v>
      </c>
      <c r="Q24" s="284">
        <v>67810</v>
      </c>
      <c r="R24" s="284">
        <v>73801</v>
      </c>
      <c r="S24" s="284">
        <v>99794</v>
      </c>
      <c r="T24" s="284">
        <v>160842</v>
      </c>
      <c r="U24" s="284">
        <v>148411</v>
      </c>
      <c r="V24" s="284">
        <v>156023</v>
      </c>
      <c r="W24" s="284">
        <v>182478</v>
      </c>
      <c r="X24" s="284">
        <v>180692</v>
      </c>
      <c r="Y24" s="284">
        <v>192251</v>
      </c>
      <c r="Z24" s="284">
        <v>188694</v>
      </c>
      <c r="AA24" s="284">
        <v>176042</v>
      </c>
      <c r="AB24" s="284">
        <v>184023</v>
      </c>
      <c r="AC24" s="284">
        <v>174271</v>
      </c>
      <c r="AD24" s="284">
        <v>224943</v>
      </c>
      <c r="AE24" s="284">
        <v>188737</v>
      </c>
      <c r="AF24" s="284">
        <v>194275</v>
      </c>
      <c r="AG24" s="284">
        <v>238978</v>
      </c>
      <c r="AH24" s="284">
        <v>199944</v>
      </c>
      <c r="AI24" s="284">
        <v>236654</v>
      </c>
      <c r="AJ24" s="284">
        <v>219861</v>
      </c>
      <c r="AK24" s="284">
        <v>189085</v>
      </c>
    </row>
    <row r="25" spans="1:37">
      <c r="A25" s="284" t="s">
        <v>32</v>
      </c>
      <c r="B25" s="284" t="s">
        <v>1101</v>
      </c>
      <c r="C25" s="284" t="s">
        <v>32</v>
      </c>
      <c r="D25" s="284" t="s">
        <v>32</v>
      </c>
      <c r="E25" s="284" t="s">
        <v>32</v>
      </c>
      <c r="F25" s="284" t="s">
        <v>32</v>
      </c>
      <c r="G25" s="284" t="s">
        <v>32</v>
      </c>
      <c r="H25" s="284" t="s">
        <v>32</v>
      </c>
      <c r="I25" s="284" t="s">
        <v>32</v>
      </c>
      <c r="J25" s="284" t="s">
        <v>32</v>
      </c>
      <c r="K25" s="284" t="s">
        <v>32</v>
      </c>
      <c r="L25" s="284" t="s">
        <v>32</v>
      </c>
      <c r="M25" s="284" t="s">
        <v>32</v>
      </c>
      <c r="N25" s="284" t="s">
        <v>32</v>
      </c>
      <c r="O25" s="284" t="s">
        <v>32</v>
      </c>
      <c r="P25" s="284" t="s">
        <v>32</v>
      </c>
      <c r="Q25" s="284" t="s">
        <v>32</v>
      </c>
      <c r="R25" s="284" t="s">
        <v>32</v>
      </c>
      <c r="S25" s="284" t="s">
        <v>32</v>
      </c>
      <c r="T25" s="284" t="s">
        <v>32</v>
      </c>
      <c r="U25" s="284" t="s">
        <v>32</v>
      </c>
      <c r="V25" s="284" t="s">
        <v>32</v>
      </c>
      <c r="W25" s="284" t="s">
        <v>32</v>
      </c>
      <c r="X25" s="284" t="s">
        <v>32</v>
      </c>
      <c r="Y25" s="284" t="s">
        <v>32</v>
      </c>
      <c r="Z25" s="284" t="s">
        <v>32</v>
      </c>
      <c r="AA25" s="284" t="s">
        <v>32</v>
      </c>
      <c r="AB25" s="284" t="s">
        <v>32</v>
      </c>
      <c r="AC25" s="284" t="s">
        <v>32</v>
      </c>
      <c r="AD25" s="284" t="s">
        <v>32</v>
      </c>
      <c r="AE25" s="284" t="s">
        <v>32</v>
      </c>
      <c r="AF25" s="284" t="s">
        <v>32</v>
      </c>
      <c r="AG25" s="284" t="s">
        <v>32</v>
      </c>
      <c r="AH25" s="284" t="s">
        <v>32</v>
      </c>
      <c r="AI25" s="284" t="s">
        <v>32</v>
      </c>
      <c r="AJ25" s="284" t="s">
        <v>32</v>
      </c>
      <c r="AK25" s="284" t="s">
        <v>32</v>
      </c>
    </row>
    <row r="26" spans="1:37">
      <c r="A26" s="284" t="s">
        <v>51</v>
      </c>
      <c r="B26" s="287" t="s">
        <v>1100</v>
      </c>
      <c r="C26" s="284">
        <v>199771</v>
      </c>
      <c r="D26" s="284">
        <v>230300</v>
      </c>
      <c r="E26" s="284">
        <v>259723</v>
      </c>
      <c r="F26" s="284">
        <v>309338</v>
      </c>
      <c r="G26" s="284">
        <v>358030</v>
      </c>
      <c r="H26" s="284">
        <v>407706</v>
      </c>
      <c r="I26" s="284">
        <v>482015</v>
      </c>
      <c r="J26" s="284">
        <v>632239</v>
      </c>
      <c r="K26" s="284">
        <v>661170</v>
      </c>
      <c r="L26" s="284">
        <v>804182</v>
      </c>
      <c r="M26" s="284">
        <v>840912</v>
      </c>
      <c r="N26" s="284">
        <v>911710</v>
      </c>
      <c r="O26" s="284">
        <v>877354</v>
      </c>
      <c r="P26" s="284">
        <v>1135542</v>
      </c>
      <c r="Q26" s="284">
        <v>1370076</v>
      </c>
      <c r="R26" s="284">
        <v>1794795</v>
      </c>
      <c r="S26" s="284">
        <v>2368530</v>
      </c>
      <c r="T26" s="284">
        <v>3009958</v>
      </c>
      <c r="U26" s="284">
        <v>3023792</v>
      </c>
      <c r="V26" s="284">
        <v>2799823</v>
      </c>
      <c r="W26" s="284">
        <v>2282370</v>
      </c>
      <c r="X26" s="284">
        <v>2763061</v>
      </c>
      <c r="Y26" s="284">
        <v>3101450</v>
      </c>
      <c r="Z26" s="284">
        <v>3227144</v>
      </c>
      <c r="AA26" s="284">
        <v>3752602</v>
      </c>
      <c r="AB26" s="284">
        <v>4134239</v>
      </c>
      <c r="AC26" s="284">
        <v>3091240</v>
      </c>
      <c r="AD26" s="284">
        <v>3618630</v>
      </c>
      <c r="AE26" s="284">
        <v>4099097</v>
      </c>
      <c r="AF26" s="284">
        <v>4199225</v>
      </c>
      <c r="AG26" s="284">
        <v>4662434</v>
      </c>
      <c r="AH26" s="284">
        <v>5814935</v>
      </c>
      <c r="AI26" s="284">
        <v>6369524</v>
      </c>
      <c r="AJ26" s="284">
        <v>6700834</v>
      </c>
      <c r="AK26" s="284">
        <v>7569251</v>
      </c>
    </row>
    <row r="27" spans="1:37">
      <c r="A27" s="284" t="s">
        <v>49</v>
      </c>
      <c r="B27" s="284" t="s">
        <v>225</v>
      </c>
      <c r="C27" s="284">
        <v>99192</v>
      </c>
      <c r="D27" s="284">
        <v>118923</v>
      </c>
      <c r="E27" s="284">
        <v>130564</v>
      </c>
      <c r="F27" s="284">
        <v>172997</v>
      </c>
      <c r="G27" s="284">
        <v>214669</v>
      </c>
      <c r="H27" s="284">
        <v>240520</v>
      </c>
      <c r="I27" s="284">
        <v>304288</v>
      </c>
      <c r="J27" s="284">
        <v>422868</v>
      </c>
      <c r="K27" s="284">
        <v>421396</v>
      </c>
      <c r="L27" s="284">
        <v>555259</v>
      </c>
      <c r="M27" s="284">
        <v>580997</v>
      </c>
      <c r="N27" s="284">
        <v>624467</v>
      </c>
      <c r="O27" s="284">
        <v>623868</v>
      </c>
      <c r="P27" s="284">
        <v>870280</v>
      </c>
      <c r="Q27" s="284">
        <v>1079410</v>
      </c>
      <c r="R27" s="284">
        <v>1457942</v>
      </c>
      <c r="S27" s="284">
        <v>1970457</v>
      </c>
      <c r="T27" s="284">
        <v>2525861</v>
      </c>
      <c r="U27" s="284">
        <v>2449008</v>
      </c>
      <c r="V27" s="284">
        <v>2166097</v>
      </c>
      <c r="W27" s="284">
        <v>1658552</v>
      </c>
      <c r="X27" s="284">
        <v>2136541</v>
      </c>
      <c r="Y27" s="284">
        <v>2398717</v>
      </c>
      <c r="Z27" s="284">
        <v>2483696</v>
      </c>
      <c r="AA27" s="284">
        <v>2895531</v>
      </c>
      <c r="AB27" s="284">
        <v>3097513</v>
      </c>
      <c r="AC27" s="284">
        <v>2000508</v>
      </c>
      <c r="AD27" s="284">
        <v>2513901</v>
      </c>
      <c r="AE27" s="284">
        <v>2927753</v>
      </c>
      <c r="AF27" s="284">
        <v>2968362</v>
      </c>
      <c r="AG27" s="284">
        <v>3415843</v>
      </c>
      <c r="AH27" s="284">
        <v>4443216</v>
      </c>
      <c r="AI27" s="284">
        <v>4895752</v>
      </c>
      <c r="AJ27" s="284">
        <v>5076420</v>
      </c>
      <c r="AK27" s="284">
        <v>5783500</v>
      </c>
    </row>
    <row r="28" spans="1:37">
      <c r="A28" s="284" t="s">
        <v>47</v>
      </c>
      <c r="B28" s="284" t="s">
        <v>1086</v>
      </c>
      <c r="C28" s="284">
        <v>100579</v>
      </c>
      <c r="D28" s="284">
        <v>111377</v>
      </c>
      <c r="E28" s="284">
        <v>129159</v>
      </c>
      <c r="F28" s="284">
        <v>136341</v>
      </c>
      <c r="G28" s="284">
        <v>143361</v>
      </c>
      <c r="H28" s="284">
        <v>167186</v>
      </c>
      <c r="I28" s="284">
        <v>177727</v>
      </c>
      <c r="J28" s="284">
        <v>209371</v>
      </c>
      <c r="K28" s="284">
        <v>239774</v>
      </c>
      <c r="L28" s="284">
        <v>248923</v>
      </c>
      <c r="M28" s="284">
        <v>259915</v>
      </c>
      <c r="N28" s="284">
        <v>287243</v>
      </c>
      <c r="O28" s="284">
        <v>253486</v>
      </c>
      <c r="P28" s="284">
        <v>265262</v>
      </c>
      <c r="Q28" s="284">
        <v>290666</v>
      </c>
      <c r="R28" s="284">
        <v>336853</v>
      </c>
      <c r="S28" s="284">
        <v>398073</v>
      </c>
      <c r="T28" s="284">
        <v>484097</v>
      </c>
      <c r="U28" s="284">
        <v>574784</v>
      </c>
      <c r="V28" s="284">
        <v>633726</v>
      </c>
      <c r="W28" s="284">
        <v>623818</v>
      </c>
      <c r="X28" s="284">
        <v>626520</v>
      </c>
      <c r="Y28" s="284">
        <v>702733</v>
      </c>
      <c r="Z28" s="284">
        <v>743448</v>
      </c>
      <c r="AA28" s="284">
        <v>857071</v>
      </c>
      <c r="AB28" s="284">
        <v>1036726</v>
      </c>
      <c r="AC28" s="284">
        <v>1090732</v>
      </c>
      <c r="AD28" s="284">
        <v>1104729</v>
      </c>
      <c r="AE28" s="284">
        <v>1171344</v>
      </c>
      <c r="AF28" s="284">
        <v>1230863</v>
      </c>
      <c r="AG28" s="284">
        <v>1246591</v>
      </c>
      <c r="AH28" s="284">
        <v>1371719</v>
      </c>
      <c r="AI28" s="284">
        <v>1473772</v>
      </c>
      <c r="AJ28" s="284">
        <v>1624414</v>
      </c>
      <c r="AK28" s="284">
        <v>1785751</v>
      </c>
    </row>
    <row r="29" spans="1:37">
      <c r="A29" s="284" t="s">
        <v>45</v>
      </c>
      <c r="B29" s="284" t="s">
        <v>1094</v>
      </c>
      <c r="C29" s="284">
        <v>39941</v>
      </c>
      <c r="D29" s="284">
        <v>45163</v>
      </c>
      <c r="E29" s="284">
        <v>53821</v>
      </c>
      <c r="F29" s="284">
        <v>62763</v>
      </c>
      <c r="G29" s="284">
        <v>76174</v>
      </c>
      <c r="H29" s="284">
        <v>101545</v>
      </c>
      <c r="I29" s="284">
        <v>119323</v>
      </c>
      <c r="J29" s="284">
        <v>145440</v>
      </c>
      <c r="K29" s="284">
        <v>165945</v>
      </c>
      <c r="L29" s="284">
        <v>171435</v>
      </c>
      <c r="M29" s="284">
        <v>183585</v>
      </c>
      <c r="N29" s="284">
        <v>207337</v>
      </c>
      <c r="O29" s="284">
        <v>173582</v>
      </c>
      <c r="P29" s="284">
        <v>176246</v>
      </c>
      <c r="Q29" s="284">
        <v>197357</v>
      </c>
      <c r="R29" s="284">
        <v>232547</v>
      </c>
      <c r="S29" s="284">
        <v>276512</v>
      </c>
      <c r="T29" s="284">
        <v>342977</v>
      </c>
      <c r="U29" s="284">
        <v>426767</v>
      </c>
      <c r="V29" s="284">
        <v>479415</v>
      </c>
      <c r="W29" s="284">
        <v>456567</v>
      </c>
      <c r="X29" s="284">
        <v>435806</v>
      </c>
      <c r="Y29" s="284">
        <v>461363</v>
      </c>
      <c r="Z29" s="284">
        <v>491548</v>
      </c>
      <c r="AA29" s="284">
        <v>570072</v>
      </c>
      <c r="AB29" s="284">
        <v>710647</v>
      </c>
      <c r="AC29" s="284">
        <v>760799</v>
      </c>
      <c r="AD29" s="284">
        <v>757650</v>
      </c>
      <c r="AE29" s="284">
        <v>773214</v>
      </c>
      <c r="AF29" s="284">
        <v>806054</v>
      </c>
      <c r="AG29" s="284">
        <v>826131</v>
      </c>
      <c r="AH29" s="284">
        <v>873515</v>
      </c>
      <c r="AI29" s="284">
        <v>945814</v>
      </c>
      <c r="AJ29" s="284">
        <v>1041451</v>
      </c>
      <c r="AK29" s="284">
        <v>1177653</v>
      </c>
    </row>
    <row r="30" spans="1:37">
      <c r="A30" s="284" t="s">
        <v>43</v>
      </c>
      <c r="B30" s="284" t="s">
        <v>1099</v>
      </c>
      <c r="C30" s="284">
        <v>60638</v>
      </c>
      <c r="D30" s="284">
        <v>66214</v>
      </c>
      <c r="E30" s="284">
        <v>75338</v>
      </c>
      <c r="F30" s="284">
        <v>73578</v>
      </c>
      <c r="G30" s="284">
        <v>67187</v>
      </c>
      <c r="H30" s="284">
        <v>65641</v>
      </c>
      <c r="I30" s="284">
        <v>58404</v>
      </c>
      <c r="J30" s="284">
        <v>63931</v>
      </c>
      <c r="K30" s="284">
        <v>73829</v>
      </c>
      <c r="L30" s="284">
        <v>77488</v>
      </c>
      <c r="M30" s="284">
        <v>76330</v>
      </c>
      <c r="N30" s="284">
        <v>79906</v>
      </c>
      <c r="O30" s="284">
        <v>79904</v>
      </c>
      <c r="P30" s="284">
        <v>89016</v>
      </c>
      <c r="Q30" s="284">
        <v>93309</v>
      </c>
      <c r="R30" s="284">
        <v>104305</v>
      </c>
      <c r="S30" s="284">
        <v>121561</v>
      </c>
      <c r="T30" s="284">
        <v>141120</v>
      </c>
      <c r="U30" s="284">
        <v>148017</v>
      </c>
      <c r="V30" s="284">
        <v>154311</v>
      </c>
      <c r="W30" s="284">
        <v>167251</v>
      </c>
      <c r="X30" s="284">
        <v>190714</v>
      </c>
      <c r="Y30" s="284">
        <v>241371</v>
      </c>
      <c r="Z30" s="284">
        <v>251900</v>
      </c>
      <c r="AA30" s="284">
        <v>286999</v>
      </c>
      <c r="AB30" s="284">
        <v>326079</v>
      </c>
      <c r="AC30" s="284">
        <v>329933</v>
      </c>
      <c r="AD30" s="284">
        <v>347079</v>
      </c>
      <c r="AE30" s="284">
        <v>398130</v>
      </c>
      <c r="AF30" s="284">
        <v>424809</v>
      </c>
      <c r="AG30" s="284">
        <v>420459</v>
      </c>
      <c r="AH30" s="284">
        <v>498204</v>
      </c>
      <c r="AI30" s="284">
        <v>527958</v>
      </c>
      <c r="AJ30" s="284">
        <v>582963</v>
      </c>
      <c r="AK30" s="284">
        <v>608098</v>
      </c>
    </row>
    <row r="31" spans="1:37">
      <c r="A31" s="284" t="s">
        <v>42</v>
      </c>
      <c r="B31" s="287" t="s">
        <v>1059</v>
      </c>
      <c r="C31" s="284">
        <v>69343</v>
      </c>
      <c r="D31" s="284">
        <v>76982</v>
      </c>
      <c r="E31" s="284">
        <v>87346</v>
      </c>
      <c r="F31" s="284">
        <v>89342</v>
      </c>
      <c r="G31" s="284">
        <v>85064</v>
      </c>
      <c r="H31" s="284">
        <v>91505</v>
      </c>
      <c r="I31" s="284">
        <v>90485</v>
      </c>
      <c r="J31" s="284">
        <v>97505</v>
      </c>
      <c r="K31" s="284">
        <v>121569</v>
      </c>
      <c r="L31" s="284">
        <v>135045</v>
      </c>
      <c r="M31" s="284">
        <v>144734</v>
      </c>
      <c r="N31" s="284">
        <v>143312</v>
      </c>
      <c r="O31" s="284">
        <v>119502</v>
      </c>
      <c r="P31" s="284">
        <v>129816</v>
      </c>
      <c r="Q31" s="284">
        <v>140958</v>
      </c>
      <c r="R31" s="284">
        <v>157386</v>
      </c>
      <c r="S31" s="284">
        <v>189495</v>
      </c>
      <c r="T31" s="284">
        <v>211765</v>
      </c>
      <c r="U31" s="284">
        <v>240556</v>
      </c>
      <c r="V31" s="284">
        <v>239529</v>
      </c>
      <c r="W31" s="284">
        <v>260553</v>
      </c>
      <c r="X31" s="284">
        <v>308185</v>
      </c>
      <c r="Y31" s="284">
        <v>384067</v>
      </c>
      <c r="Z31" s="284">
        <v>409174</v>
      </c>
      <c r="AA31" s="284">
        <v>459549</v>
      </c>
      <c r="AB31" s="284">
        <v>582932</v>
      </c>
      <c r="AC31" s="284">
        <v>604793</v>
      </c>
      <c r="AD31" s="284">
        <v>623170</v>
      </c>
      <c r="AE31" s="284">
        <v>676804</v>
      </c>
      <c r="AF31" s="284">
        <v>700499</v>
      </c>
      <c r="AG31" s="284">
        <v>746629</v>
      </c>
      <c r="AH31" s="284">
        <v>866517</v>
      </c>
      <c r="AI31" s="284">
        <v>912637</v>
      </c>
      <c r="AJ31" s="284">
        <v>991175</v>
      </c>
      <c r="AK31" s="284">
        <v>1013629</v>
      </c>
    </row>
    <row r="32" spans="1:37">
      <c r="A32" s="284" t="s">
        <v>41</v>
      </c>
      <c r="B32" s="284" t="s">
        <v>1098</v>
      </c>
      <c r="C32" s="284">
        <v>60638</v>
      </c>
      <c r="D32" s="284">
        <v>66214</v>
      </c>
      <c r="E32" s="284">
        <v>75338</v>
      </c>
      <c r="F32" s="284">
        <v>73578</v>
      </c>
      <c r="G32" s="284">
        <v>67187</v>
      </c>
      <c r="H32" s="284">
        <v>65641</v>
      </c>
      <c r="I32" s="284">
        <v>58404</v>
      </c>
      <c r="J32" s="284">
        <v>63931</v>
      </c>
      <c r="K32" s="284">
        <v>73829</v>
      </c>
      <c r="L32" s="284">
        <v>77488</v>
      </c>
      <c r="M32" s="284">
        <v>76330</v>
      </c>
      <c r="N32" s="284">
        <v>79906</v>
      </c>
      <c r="O32" s="284">
        <v>79904</v>
      </c>
      <c r="P32" s="284">
        <v>89016</v>
      </c>
      <c r="Q32" s="284">
        <v>93309</v>
      </c>
      <c r="R32" s="284">
        <v>104305</v>
      </c>
      <c r="S32" s="284">
        <v>121561</v>
      </c>
      <c r="T32" s="284">
        <v>141120</v>
      </c>
      <c r="U32" s="284">
        <v>148017</v>
      </c>
      <c r="V32" s="284">
        <v>154311</v>
      </c>
      <c r="W32" s="284">
        <v>167251</v>
      </c>
      <c r="X32" s="284">
        <v>190714</v>
      </c>
      <c r="Y32" s="284">
        <v>241371</v>
      </c>
      <c r="Z32" s="284">
        <v>251900</v>
      </c>
      <c r="AA32" s="284">
        <v>286999</v>
      </c>
      <c r="AB32" s="284">
        <v>326079</v>
      </c>
      <c r="AC32" s="284">
        <v>329933</v>
      </c>
      <c r="AD32" s="284">
        <v>347079</v>
      </c>
      <c r="AE32" s="284">
        <v>398130</v>
      </c>
      <c r="AF32" s="284">
        <v>424809</v>
      </c>
      <c r="AG32" s="284">
        <v>420459</v>
      </c>
      <c r="AH32" s="284">
        <v>498204</v>
      </c>
      <c r="AI32" s="284">
        <v>527958</v>
      </c>
      <c r="AJ32" s="284">
        <v>582963</v>
      </c>
      <c r="AK32" s="284">
        <v>608098</v>
      </c>
    </row>
    <row r="33" spans="1:37">
      <c r="A33" s="284" t="s">
        <v>40</v>
      </c>
      <c r="B33" s="284" t="s">
        <v>1097</v>
      </c>
      <c r="C33" s="284">
        <v>8705</v>
      </c>
      <c r="D33" s="284">
        <v>10768</v>
      </c>
      <c r="E33" s="284">
        <v>12008</v>
      </c>
      <c r="F33" s="284">
        <v>15764</v>
      </c>
      <c r="G33" s="284">
        <v>17877</v>
      </c>
      <c r="H33" s="284">
        <v>25864</v>
      </c>
      <c r="I33" s="284">
        <v>32081</v>
      </c>
      <c r="J33" s="284">
        <v>33574</v>
      </c>
      <c r="K33" s="284">
        <v>47740</v>
      </c>
      <c r="L33" s="284">
        <v>57557</v>
      </c>
      <c r="M33" s="284">
        <v>68404</v>
      </c>
      <c r="N33" s="284">
        <v>63406</v>
      </c>
      <c r="O33" s="284">
        <v>39597</v>
      </c>
      <c r="P33" s="284">
        <v>40800</v>
      </c>
      <c r="Q33" s="284">
        <v>47649</v>
      </c>
      <c r="R33" s="284">
        <v>53081</v>
      </c>
      <c r="S33" s="284">
        <v>67934</v>
      </c>
      <c r="T33" s="284">
        <v>70645</v>
      </c>
      <c r="U33" s="284">
        <v>92539</v>
      </c>
      <c r="V33" s="284">
        <v>85218</v>
      </c>
      <c r="W33" s="284">
        <v>93302</v>
      </c>
      <c r="X33" s="284">
        <v>117471</v>
      </c>
      <c r="Y33" s="284">
        <v>142696</v>
      </c>
      <c r="Z33" s="284">
        <v>157274</v>
      </c>
      <c r="AA33" s="284">
        <v>172550</v>
      </c>
      <c r="AB33" s="284">
        <v>256853</v>
      </c>
      <c r="AC33" s="284">
        <v>274861</v>
      </c>
      <c r="AD33" s="284">
        <v>276091</v>
      </c>
      <c r="AE33" s="284">
        <v>278674</v>
      </c>
      <c r="AF33" s="284">
        <v>275690</v>
      </c>
      <c r="AG33" s="284">
        <v>326170</v>
      </c>
      <c r="AH33" s="284">
        <v>368313</v>
      </c>
      <c r="AI33" s="284">
        <v>384678</v>
      </c>
      <c r="AJ33" s="284">
        <v>408213</v>
      </c>
      <c r="AK33" s="284">
        <v>405531</v>
      </c>
    </row>
    <row r="34" spans="1:37">
      <c r="A34" s="284" t="s">
        <v>37</v>
      </c>
      <c r="B34" s="287" t="s">
        <v>1096</v>
      </c>
      <c r="C34" s="284">
        <v>130428</v>
      </c>
      <c r="D34" s="284">
        <v>153318</v>
      </c>
      <c r="E34" s="284">
        <v>172377</v>
      </c>
      <c r="F34" s="284">
        <v>219996</v>
      </c>
      <c r="G34" s="284">
        <v>272966</v>
      </c>
      <c r="H34" s="284">
        <v>316200</v>
      </c>
      <c r="I34" s="284">
        <v>391530</v>
      </c>
      <c r="J34" s="284">
        <v>534734</v>
      </c>
      <c r="K34" s="284">
        <v>539601</v>
      </c>
      <c r="L34" s="284">
        <v>669137</v>
      </c>
      <c r="M34" s="284">
        <v>696177</v>
      </c>
      <c r="N34" s="284">
        <v>768398</v>
      </c>
      <c r="O34" s="284">
        <v>757853</v>
      </c>
      <c r="P34" s="284">
        <v>1005726</v>
      </c>
      <c r="Q34" s="284">
        <v>1229118</v>
      </c>
      <c r="R34" s="284">
        <v>1637408</v>
      </c>
      <c r="S34" s="284">
        <v>2179035</v>
      </c>
      <c r="T34" s="284">
        <v>2798193</v>
      </c>
      <c r="U34" s="284">
        <v>2783235</v>
      </c>
      <c r="V34" s="284">
        <v>2560294</v>
      </c>
      <c r="W34" s="284">
        <v>2021817</v>
      </c>
      <c r="X34" s="284">
        <v>2454877</v>
      </c>
      <c r="Y34" s="284">
        <v>2717383</v>
      </c>
      <c r="Z34" s="284">
        <v>2817970</v>
      </c>
      <c r="AA34" s="284">
        <v>3293053</v>
      </c>
      <c r="AB34" s="284">
        <v>3551307</v>
      </c>
      <c r="AC34" s="284">
        <v>2486446</v>
      </c>
      <c r="AD34" s="284">
        <v>2995459</v>
      </c>
      <c r="AE34" s="284">
        <v>3422293</v>
      </c>
      <c r="AF34" s="284">
        <v>3498726</v>
      </c>
      <c r="AG34" s="284">
        <v>3915805</v>
      </c>
      <c r="AH34" s="284">
        <v>4948418</v>
      </c>
      <c r="AI34" s="284">
        <v>5456888</v>
      </c>
      <c r="AJ34" s="284">
        <v>5709658</v>
      </c>
      <c r="AK34" s="284">
        <v>6555622</v>
      </c>
    </row>
    <row r="35" spans="1:37">
      <c r="A35" s="284" t="s">
        <v>36</v>
      </c>
      <c r="B35" s="284" t="s">
        <v>225</v>
      </c>
      <c r="C35" s="284">
        <v>99192</v>
      </c>
      <c r="D35" s="284">
        <v>118923</v>
      </c>
      <c r="E35" s="284">
        <v>130564</v>
      </c>
      <c r="F35" s="284">
        <v>172997</v>
      </c>
      <c r="G35" s="284">
        <v>214669</v>
      </c>
      <c r="H35" s="284">
        <v>240520</v>
      </c>
      <c r="I35" s="284">
        <v>304288</v>
      </c>
      <c r="J35" s="284">
        <v>422868</v>
      </c>
      <c r="K35" s="284">
        <v>421396</v>
      </c>
      <c r="L35" s="284">
        <v>555259</v>
      </c>
      <c r="M35" s="284">
        <v>580997</v>
      </c>
      <c r="N35" s="284">
        <v>624468</v>
      </c>
      <c r="O35" s="284">
        <v>623868</v>
      </c>
      <c r="P35" s="284">
        <v>870280</v>
      </c>
      <c r="Q35" s="284">
        <v>1079410</v>
      </c>
      <c r="R35" s="284">
        <v>1457942</v>
      </c>
      <c r="S35" s="284">
        <v>1970457</v>
      </c>
      <c r="T35" s="284">
        <v>2525861</v>
      </c>
      <c r="U35" s="284">
        <v>2449008</v>
      </c>
      <c r="V35" s="284">
        <v>2166097</v>
      </c>
      <c r="W35" s="284">
        <v>1658552</v>
      </c>
      <c r="X35" s="284">
        <v>2136541</v>
      </c>
      <c r="Y35" s="284">
        <v>2398717</v>
      </c>
      <c r="Z35" s="284">
        <v>2483696</v>
      </c>
      <c r="AA35" s="284">
        <v>2895531</v>
      </c>
      <c r="AB35" s="284">
        <v>3097513</v>
      </c>
      <c r="AC35" s="284">
        <v>2000508</v>
      </c>
      <c r="AD35" s="284">
        <v>2513901</v>
      </c>
      <c r="AE35" s="284">
        <v>2927753</v>
      </c>
      <c r="AF35" s="284">
        <v>2968362</v>
      </c>
      <c r="AG35" s="284">
        <v>3415843</v>
      </c>
      <c r="AH35" s="284">
        <v>4443216</v>
      </c>
      <c r="AI35" s="284">
        <v>4895752</v>
      </c>
      <c r="AJ35" s="284">
        <v>5076420</v>
      </c>
      <c r="AK35" s="284">
        <v>5783500</v>
      </c>
    </row>
    <row r="36" spans="1:37">
      <c r="A36" s="284" t="s">
        <v>35</v>
      </c>
      <c r="B36" s="284" t="s">
        <v>1095</v>
      </c>
      <c r="C36" s="284">
        <v>31236</v>
      </c>
      <c r="D36" s="284">
        <v>34395</v>
      </c>
      <c r="E36" s="284">
        <v>41813</v>
      </c>
      <c r="F36" s="284">
        <v>46999</v>
      </c>
      <c r="G36" s="284">
        <v>58297</v>
      </c>
      <c r="H36" s="284">
        <v>75680</v>
      </c>
      <c r="I36" s="284">
        <v>87242</v>
      </c>
      <c r="J36" s="284">
        <v>111866</v>
      </c>
      <c r="K36" s="284">
        <v>118205</v>
      </c>
      <c r="L36" s="284">
        <v>113878</v>
      </c>
      <c r="M36" s="284">
        <v>115181</v>
      </c>
      <c r="N36" s="284">
        <v>143931</v>
      </c>
      <c r="O36" s="284">
        <v>133985</v>
      </c>
      <c r="P36" s="284">
        <v>135446</v>
      </c>
      <c r="Q36" s="284">
        <v>149708</v>
      </c>
      <c r="R36" s="284">
        <v>179466</v>
      </c>
      <c r="S36" s="284">
        <v>208578</v>
      </c>
      <c r="T36" s="284">
        <v>272332</v>
      </c>
      <c r="U36" s="284">
        <v>334227</v>
      </c>
      <c r="V36" s="284">
        <v>394197</v>
      </c>
      <c r="W36" s="284">
        <v>363265</v>
      </c>
      <c r="X36" s="284">
        <v>318336</v>
      </c>
      <c r="Y36" s="284">
        <v>318666</v>
      </c>
      <c r="Z36" s="284">
        <v>334274</v>
      </c>
      <c r="AA36" s="284">
        <v>397522</v>
      </c>
      <c r="AB36" s="284">
        <v>453794</v>
      </c>
      <c r="AC36" s="284">
        <v>485938</v>
      </c>
      <c r="AD36" s="284">
        <v>481558</v>
      </c>
      <c r="AE36" s="284">
        <v>494540</v>
      </c>
      <c r="AF36" s="284">
        <v>530364</v>
      </c>
      <c r="AG36" s="284">
        <v>499962</v>
      </c>
      <c r="AH36" s="284">
        <v>505202</v>
      </c>
      <c r="AI36" s="284">
        <v>561136</v>
      </c>
      <c r="AJ36" s="284">
        <v>633238</v>
      </c>
      <c r="AK36" s="284">
        <v>772122</v>
      </c>
    </row>
    <row r="37" spans="1:37">
      <c r="A37" s="284" t="s">
        <v>34</v>
      </c>
      <c r="B37" s="284" t="s">
        <v>1094</v>
      </c>
      <c r="C37" s="284">
        <v>39941</v>
      </c>
      <c r="D37" s="284">
        <v>45163</v>
      </c>
      <c r="E37" s="284">
        <v>53821</v>
      </c>
      <c r="F37" s="284">
        <v>62763</v>
      </c>
      <c r="G37" s="284">
        <v>76174</v>
      </c>
      <c r="H37" s="284">
        <v>101545</v>
      </c>
      <c r="I37" s="284">
        <v>119323</v>
      </c>
      <c r="J37" s="284">
        <v>145440</v>
      </c>
      <c r="K37" s="284">
        <v>165945</v>
      </c>
      <c r="L37" s="284">
        <v>171435</v>
      </c>
      <c r="M37" s="284">
        <v>183585</v>
      </c>
      <c r="N37" s="284">
        <v>207337</v>
      </c>
      <c r="O37" s="284">
        <v>173582</v>
      </c>
      <c r="P37" s="284">
        <v>176246</v>
      </c>
      <c r="Q37" s="284">
        <v>197357</v>
      </c>
      <c r="R37" s="284">
        <v>232547</v>
      </c>
      <c r="S37" s="284">
        <v>276512</v>
      </c>
      <c r="T37" s="284">
        <v>342977</v>
      </c>
      <c r="U37" s="284">
        <v>426767</v>
      </c>
      <c r="V37" s="284">
        <v>479415</v>
      </c>
      <c r="W37" s="284">
        <v>456567</v>
      </c>
      <c r="X37" s="284">
        <v>435806</v>
      </c>
      <c r="Y37" s="284">
        <v>461363</v>
      </c>
      <c r="Z37" s="284">
        <v>491548</v>
      </c>
      <c r="AA37" s="284">
        <v>570072</v>
      </c>
      <c r="AB37" s="284">
        <v>710647</v>
      </c>
      <c r="AC37" s="284">
        <v>760799</v>
      </c>
      <c r="AD37" s="284">
        <v>757650</v>
      </c>
      <c r="AE37" s="284">
        <v>773214</v>
      </c>
      <c r="AF37" s="284">
        <v>806054</v>
      </c>
      <c r="AG37" s="284">
        <v>826131</v>
      </c>
      <c r="AH37" s="284">
        <v>873515</v>
      </c>
      <c r="AI37" s="284">
        <v>945814</v>
      </c>
      <c r="AJ37" s="284">
        <v>1041451</v>
      </c>
      <c r="AK37" s="284">
        <v>1177653</v>
      </c>
    </row>
    <row r="38" spans="1:37">
      <c r="A38" s="284" t="s">
        <v>30</v>
      </c>
      <c r="B38" s="284" t="s">
        <v>1093</v>
      </c>
      <c r="C38" s="284">
        <v>8705</v>
      </c>
      <c r="D38" s="284">
        <v>10768</v>
      </c>
      <c r="E38" s="284">
        <v>12008</v>
      </c>
      <c r="F38" s="284">
        <v>15764</v>
      </c>
      <c r="G38" s="284">
        <v>17877</v>
      </c>
      <c r="H38" s="284">
        <v>25864</v>
      </c>
      <c r="I38" s="284">
        <v>32081</v>
      </c>
      <c r="J38" s="284">
        <v>33574</v>
      </c>
      <c r="K38" s="284">
        <v>47740</v>
      </c>
      <c r="L38" s="284">
        <v>57557</v>
      </c>
      <c r="M38" s="284">
        <v>68404</v>
      </c>
      <c r="N38" s="284">
        <v>63406</v>
      </c>
      <c r="O38" s="284">
        <v>39597</v>
      </c>
      <c r="P38" s="284">
        <v>40800</v>
      </c>
      <c r="Q38" s="284">
        <v>47649</v>
      </c>
      <c r="R38" s="284">
        <v>53081</v>
      </c>
      <c r="S38" s="284">
        <v>67934</v>
      </c>
      <c r="T38" s="284">
        <v>70645</v>
      </c>
      <c r="U38" s="284">
        <v>92539</v>
      </c>
      <c r="V38" s="284">
        <v>85218</v>
      </c>
      <c r="W38" s="284">
        <v>93302</v>
      </c>
      <c r="X38" s="284">
        <v>117471</v>
      </c>
      <c r="Y38" s="284">
        <v>142696</v>
      </c>
      <c r="Z38" s="284">
        <v>157274</v>
      </c>
      <c r="AA38" s="284">
        <v>172550</v>
      </c>
      <c r="AB38" s="284">
        <v>256853</v>
      </c>
      <c r="AC38" s="284">
        <v>274861</v>
      </c>
      <c r="AD38" s="284">
        <v>276091</v>
      </c>
      <c r="AE38" s="284">
        <v>278674</v>
      </c>
      <c r="AF38" s="284">
        <v>275690</v>
      </c>
      <c r="AG38" s="284">
        <v>326170</v>
      </c>
      <c r="AH38" s="284">
        <v>368313</v>
      </c>
      <c r="AI38" s="284">
        <v>384678</v>
      </c>
      <c r="AJ38" s="284">
        <v>408213</v>
      </c>
      <c r="AK38" s="284">
        <v>405531</v>
      </c>
    </row>
    <row r="39" spans="1:37">
      <c r="A39" s="284" t="s">
        <v>29</v>
      </c>
      <c r="B39" s="287" t="s">
        <v>1092</v>
      </c>
      <c r="C39" s="284">
        <v>5751</v>
      </c>
      <c r="D39" s="284">
        <v>16257</v>
      </c>
      <c r="E39" s="284">
        <v>7794</v>
      </c>
      <c r="F39" s="284">
        <v>35381</v>
      </c>
      <c r="G39" s="284">
        <v>52552</v>
      </c>
      <c r="H39" s="284">
        <v>52806</v>
      </c>
      <c r="I39" s="284">
        <v>76776</v>
      </c>
      <c r="J39" s="284">
        <v>165810</v>
      </c>
      <c r="K39" s="284">
        <v>144690</v>
      </c>
      <c r="L39" s="284">
        <v>250029</v>
      </c>
      <c r="M39" s="284">
        <v>273047</v>
      </c>
      <c r="N39" s="284">
        <v>300986</v>
      </c>
      <c r="O39" s="284">
        <v>277186</v>
      </c>
      <c r="P39" s="284">
        <v>470174</v>
      </c>
      <c r="Q39" s="284">
        <v>631097</v>
      </c>
      <c r="R39" s="284">
        <v>955566</v>
      </c>
      <c r="S39" s="284">
        <v>1400616</v>
      </c>
      <c r="T39" s="284">
        <v>1842466</v>
      </c>
      <c r="U39" s="284">
        <v>1526368</v>
      </c>
      <c r="V39" s="284">
        <v>1216306</v>
      </c>
      <c r="W39" s="284">
        <v>694648</v>
      </c>
      <c r="X39" s="284">
        <v>1059718</v>
      </c>
      <c r="Y39" s="284">
        <v>1197067</v>
      </c>
      <c r="Z39" s="284">
        <v>1183848</v>
      </c>
      <c r="AA39" s="284">
        <v>1452590</v>
      </c>
      <c r="AB39" s="284">
        <v>1558151</v>
      </c>
      <c r="AC39" s="284">
        <v>439784</v>
      </c>
      <c r="AD39" s="284">
        <v>926021</v>
      </c>
      <c r="AE39" s="284">
        <v>1142249</v>
      </c>
      <c r="AF39" s="284">
        <v>1064878</v>
      </c>
      <c r="AG39" s="284">
        <v>1331097</v>
      </c>
      <c r="AH39" s="284">
        <v>2220593</v>
      </c>
      <c r="AI39" s="284">
        <v>2511093</v>
      </c>
      <c r="AJ39" s="284">
        <v>2406072</v>
      </c>
      <c r="AK39" s="284">
        <v>2830203</v>
      </c>
    </row>
    <row r="40" spans="1:37">
      <c r="A40" s="284" t="s">
        <v>27</v>
      </c>
      <c r="B40" s="287" t="s">
        <v>1091</v>
      </c>
      <c r="C40" s="284">
        <v>124677</v>
      </c>
      <c r="D40" s="284">
        <v>137061</v>
      </c>
      <c r="E40" s="284">
        <v>164583</v>
      </c>
      <c r="F40" s="284">
        <v>184615</v>
      </c>
      <c r="G40" s="284">
        <v>220414</v>
      </c>
      <c r="H40" s="284">
        <v>263394</v>
      </c>
      <c r="I40" s="284">
        <v>314754</v>
      </c>
      <c r="J40" s="284">
        <v>368924</v>
      </c>
      <c r="K40" s="284">
        <v>394911</v>
      </c>
      <c r="L40" s="284">
        <v>419108</v>
      </c>
      <c r="M40" s="284">
        <v>423131</v>
      </c>
      <c r="N40" s="284">
        <v>467412</v>
      </c>
      <c r="O40" s="284">
        <v>480667</v>
      </c>
      <c r="P40" s="284">
        <v>535553</v>
      </c>
      <c r="Q40" s="284">
        <v>598021</v>
      </c>
      <c r="R40" s="284">
        <v>681842</v>
      </c>
      <c r="S40" s="284">
        <v>778418</v>
      </c>
      <c r="T40" s="284">
        <v>955726</v>
      </c>
      <c r="U40" s="284">
        <v>1256867</v>
      </c>
      <c r="V40" s="284">
        <v>1343987</v>
      </c>
      <c r="W40" s="284">
        <v>1327170</v>
      </c>
      <c r="X40" s="284">
        <v>1395159</v>
      </c>
      <c r="Y40" s="284">
        <v>1520316</v>
      </c>
      <c r="Z40" s="284">
        <v>1634121</v>
      </c>
      <c r="AA40" s="284">
        <v>1840463</v>
      </c>
      <c r="AB40" s="284">
        <v>1993156</v>
      </c>
      <c r="AC40" s="284">
        <v>2046662</v>
      </c>
      <c r="AD40" s="284">
        <v>2069438</v>
      </c>
      <c r="AE40" s="284">
        <v>2280044</v>
      </c>
      <c r="AF40" s="284">
        <v>2433848</v>
      </c>
      <c r="AG40" s="284">
        <v>2584708</v>
      </c>
      <c r="AH40" s="284">
        <v>2727825</v>
      </c>
      <c r="AI40" s="284">
        <v>2945795</v>
      </c>
      <c r="AJ40" s="284">
        <v>3303586</v>
      </c>
      <c r="AK40" s="284">
        <v>3725418</v>
      </c>
    </row>
    <row r="41" spans="1:37">
      <c r="A41" s="284" t="s">
        <v>26</v>
      </c>
      <c r="B41" s="284" t="s">
        <v>225</v>
      </c>
      <c r="C41" s="284">
        <v>93441</v>
      </c>
      <c r="D41" s="284">
        <v>102666</v>
      </c>
      <c r="E41" s="284">
        <v>122771</v>
      </c>
      <c r="F41" s="284">
        <v>137617</v>
      </c>
      <c r="G41" s="284">
        <v>162117</v>
      </c>
      <c r="H41" s="284">
        <v>187714</v>
      </c>
      <c r="I41" s="284">
        <v>227512</v>
      </c>
      <c r="J41" s="284">
        <v>257058</v>
      </c>
      <c r="K41" s="284">
        <v>276706</v>
      </c>
      <c r="L41" s="284">
        <v>305230</v>
      </c>
      <c r="M41" s="284">
        <v>307950</v>
      </c>
      <c r="N41" s="284">
        <v>323482</v>
      </c>
      <c r="O41" s="284">
        <v>346682</v>
      </c>
      <c r="P41" s="284">
        <v>400107</v>
      </c>
      <c r="Q41" s="284">
        <v>448313</v>
      </c>
      <c r="R41" s="284">
        <v>502376</v>
      </c>
      <c r="S41" s="284">
        <v>569841</v>
      </c>
      <c r="T41" s="284">
        <v>683395</v>
      </c>
      <c r="U41" s="284">
        <v>922640</v>
      </c>
      <c r="V41" s="284">
        <v>949791</v>
      </c>
      <c r="W41" s="284">
        <v>963905</v>
      </c>
      <c r="X41" s="284">
        <v>1076823</v>
      </c>
      <c r="Y41" s="284">
        <v>1201649</v>
      </c>
      <c r="Z41" s="284">
        <v>1299847</v>
      </c>
      <c r="AA41" s="284">
        <v>1442940</v>
      </c>
      <c r="AB41" s="284">
        <v>1539362</v>
      </c>
      <c r="AC41" s="284">
        <v>1560723</v>
      </c>
      <c r="AD41" s="284">
        <v>1587880</v>
      </c>
      <c r="AE41" s="284">
        <v>1785504</v>
      </c>
      <c r="AF41" s="284">
        <v>1903484</v>
      </c>
      <c r="AG41" s="284">
        <v>2084746</v>
      </c>
      <c r="AH41" s="284">
        <v>2222623</v>
      </c>
      <c r="AI41" s="284">
        <v>2384659</v>
      </c>
      <c r="AJ41" s="284">
        <v>2670348</v>
      </c>
      <c r="AK41" s="284">
        <v>2953297</v>
      </c>
    </row>
    <row r="42" spans="1:37">
      <c r="A42" s="284" t="s">
        <v>25</v>
      </c>
      <c r="B42" s="284" t="s">
        <v>1086</v>
      </c>
      <c r="C42" s="284">
        <v>31236</v>
      </c>
      <c r="D42" s="284">
        <v>34395</v>
      </c>
      <c r="E42" s="284">
        <v>41813</v>
      </c>
      <c r="F42" s="284">
        <v>46999</v>
      </c>
      <c r="G42" s="284">
        <v>58297</v>
      </c>
      <c r="H42" s="284">
        <v>75680</v>
      </c>
      <c r="I42" s="284">
        <v>87242</v>
      </c>
      <c r="J42" s="284">
        <v>111866</v>
      </c>
      <c r="K42" s="284">
        <v>118205</v>
      </c>
      <c r="L42" s="284">
        <v>113878</v>
      </c>
      <c r="M42" s="284">
        <v>115181</v>
      </c>
      <c r="N42" s="284">
        <v>143931</v>
      </c>
      <c r="O42" s="284">
        <v>133985</v>
      </c>
      <c r="P42" s="284">
        <v>135446</v>
      </c>
      <c r="Q42" s="284">
        <v>149708</v>
      </c>
      <c r="R42" s="284">
        <v>179466</v>
      </c>
      <c r="S42" s="284">
        <v>208578</v>
      </c>
      <c r="T42" s="284">
        <v>272332</v>
      </c>
      <c r="U42" s="284">
        <v>334227</v>
      </c>
      <c r="V42" s="284">
        <v>394197</v>
      </c>
      <c r="W42" s="284">
        <v>363265</v>
      </c>
      <c r="X42" s="284">
        <v>318336</v>
      </c>
      <c r="Y42" s="284">
        <v>318666</v>
      </c>
      <c r="Z42" s="284">
        <v>334274</v>
      </c>
      <c r="AA42" s="284">
        <v>397522</v>
      </c>
      <c r="AB42" s="284">
        <v>453794</v>
      </c>
      <c r="AC42" s="284">
        <v>485938</v>
      </c>
      <c r="AD42" s="284">
        <v>481558</v>
      </c>
      <c r="AE42" s="284">
        <v>494540</v>
      </c>
      <c r="AF42" s="284">
        <v>530364</v>
      </c>
      <c r="AG42" s="284">
        <v>499962</v>
      </c>
      <c r="AH42" s="284">
        <v>505202</v>
      </c>
      <c r="AI42" s="284">
        <v>561136</v>
      </c>
      <c r="AJ42" s="284">
        <v>633238</v>
      </c>
      <c r="AK42" s="284">
        <v>772122</v>
      </c>
    </row>
    <row r="43" spans="1:37">
      <c r="A43" s="284" t="s">
        <v>32</v>
      </c>
      <c r="B43" s="284" t="s">
        <v>1090</v>
      </c>
      <c r="C43" s="284" t="s">
        <v>32</v>
      </c>
      <c r="D43" s="284" t="s">
        <v>32</v>
      </c>
      <c r="E43" s="284" t="s">
        <v>32</v>
      </c>
      <c r="F43" s="284" t="s">
        <v>32</v>
      </c>
      <c r="G43" s="284" t="s">
        <v>32</v>
      </c>
      <c r="H43" s="284" t="s">
        <v>32</v>
      </c>
      <c r="I43" s="284" t="s">
        <v>32</v>
      </c>
      <c r="J43" s="284" t="s">
        <v>32</v>
      </c>
      <c r="K43" s="284" t="s">
        <v>32</v>
      </c>
      <c r="L43" s="284" t="s">
        <v>32</v>
      </c>
      <c r="M43" s="284" t="s">
        <v>32</v>
      </c>
      <c r="N43" s="284" t="s">
        <v>32</v>
      </c>
      <c r="O43" s="284" t="s">
        <v>32</v>
      </c>
      <c r="P43" s="284" t="s">
        <v>32</v>
      </c>
      <c r="Q43" s="284" t="s">
        <v>32</v>
      </c>
      <c r="R43" s="284" t="s">
        <v>32</v>
      </c>
      <c r="S43" s="284" t="s">
        <v>32</v>
      </c>
      <c r="T43" s="284" t="s">
        <v>32</v>
      </c>
      <c r="U43" s="284" t="s">
        <v>32</v>
      </c>
      <c r="V43" s="284" t="s">
        <v>32</v>
      </c>
      <c r="W43" s="284" t="s">
        <v>32</v>
      </c>
      <c r="X43" s="284" t="s">
        <v>32</v>
      </c>
      <c r="Y43" s="284" t="s">
        <v>32</v>
      </c>
      <c r="Z43" s="284" t="s">
        <v>32</v>
      </c>
      <c r="AA43" s="284" t="s">
        <v>32</v>
      </c>
      <c r="AB43" s="284" t="s">
        <v>32</v>
      </c>
      <c r="AC43" s="284" t="s">
        <v>32</v>
      </c>
      <c r="AD43" s="284" t="s">
        <v>32</v>
      </c>
      <c r="AE43" s="284" t="s">
        <v>32</v>
      </c>
      <c r="AF43" s="284" t="s">
        <v>32</v>
      </c>
      <c r="AG43" s="284" t="s">
        <v>32</v>
      </c>
      <c r="AH43" s="284" t="s">
        <v>32</v>
      </c>
      <c r="AI43" s="284" t="s">
        <v>32</v>
      </c>
      <c r="AJ43" s="284" t="s">
        <v>32</v>
      </c>
      <c r="AK43" s="284" t="s">
        <v>32</v>
      </c>
    </row>
    <row r="44" spans="1:37">
      <c r="A44" s="284" t="s">
        <v>23</v>
      </c>
      <c r="B44" s="287" t="s">
        <v>1089</v>
      </c>
      <c r="C44" s="284">
        <v>443402</v>
      </c>
      <c r="D44" s="284">
        <v>432626</v>
      </c>
      <c r="E44" s="284">
        <v>435688</v>
      </c>
      <c r="F44" s="284">
        <v>460377</v>
      </c>
      <c r="G44" s="284">
        <v>489882</v>
      </c>
      <c r="H44" s="284">
        <v>569567</v>
      </c>
      <c r="I44" s="284">
        <v>604247</v>
      </c>
      <c r="J44" s="284">
        <v>650598</v>
      </c>
      <c r="K44" s="284">
        <v>738224</v>
      </c>
      <c r="L44" s="284">
        <v>778409</v>
      </c>
      <c r="M44" s="284">
        <v>808564</v>
      </c>
      <c r="N44" s="284">
        <v>866839</v>
      </c>
      <c r="O44" s="284">
        <v>906067</v>
      </c>
      <c r="P44" s="284">
        <v>1015323</v>
      </c>
      <c r="Q44" s="284">
        <v>1130768</v>
      </c>
      <c r="R44" s="284">
        <v>1225448</v>
      </c>
      <c r="S44" s="284">
        <v>1385515</v>
      </c>
      <c r="T44" s="284">
        <v>1636802</v>
      </c>
      <c r="U44" s="284">
        <v>1791429</v>
      </c>
      <c r="V44" s="284">
        <v>1967538</v>
      </c>
      <c r="W44" s="284">
        <v>2188964</v>
      </c>
      <c r="X44" s="284">
        <v>2431044</v>
      </c>
      <c r="Y44" s="284">
        <v>3008843</v>
      </c>
      <c r="Z44" s="284">
        <v>3236526</v>
      </c>
      <c r="AA44" s="284">
        <v>3599550</v>
      </c>
      <c r="AB44" s="284">
        <v>4306053</v>
      </c>
      <c r="AC44" s="284">
        <v>4534292</v>
      </c>
      <c r="AD44" s="284">
        <v>4824400</v>
      </c>
      <c r="AE44" s="284">
        <v>5064555</v>
      </c>
      <c r="AF44" s="284">
        <v>5433063</v>
      </c>
      <c r="AG44" s="284">
        <v>5870670</v>
      </c>
      <c r="AH44" s="284">
        <v>6162903</v>
      </c>
      <c r="AI44" s="284">
        <v>6545768</v>
      </c>
      <c r="AJ44" s="284">
        <v>6774912</v>
      </c>
      <c r="AK44" s="284">
        <v>7102351</v>
      </c>
    </row>
    <row r="45" spans="1:37">
      <c r="A45" s="284" t="s">
        <v>22</v>
      </c>
      <c r="B45" s="284" t="s">
        <v>225</v>
      </c>
      <c r="C45" s="284">
        <v>374790</v>
      </c>
      <c r="D45" s="284">
        <v>367100</v>
      </c>
      <c r="E45" s="284">
        <v>366755</v>
      </c>
      <c r="F45" s="284">
        <v>388581</v>
      </c>
      <c r="G45" s="284">
        <v>413257</v>
      </c>
      <c r="H45" s="284">
        <v>479666</v>
      </c>
      <c r="I45" s="284">
        <v>504196</v>
      </c>
      <c r="J45" s="284">
        <v>524940</v>
      </c>
      <c r="K45" s="284">
        <v>589029</v>
      </c>
      <c r="L45" s="284">
        <v>619283</v>
      </c>
      <c r="M45" s="284">
        <v>627412</v>
      </c>
      <c r="N45" s="284">
        <v>664527</v>
      </c>
      <c r="O45" s="284">
        <v>726031</v>
      </c>
      <c r="P45" s="284">
        <v>827357</v>
      </c>
      <c r="Q45" s="284">
        <v>921999</v>
      </c>
      <c r="R45" s="284">
        <v>994261</v>
      </c>
      <c r="S45" s="284">
        <v>1096227</v>
      </c>
      <c r="T45" s="284">
        <v>1264195</v>
      </c>
      <c r="U45" s="284">
        <v>1402462</v>
      </c>
      <c r="V45" s="284">
        <v>1571986</v>
      </c>
      <c r="W45" s="284">
        <v>1745933</v>
      </c>
      <c r="X45" s="284">
        <v>1942167</v>
      </c>
      <c r="Y45" s="284">
        <v>2432525</v>
      </c>
      <c r="Z45" s="284">
        <v>2638658</v>
      </c>
      <c r="AA45" s="284">
        <v>2963959</v>
      </c>
      <c r="AB45" s="284">
        <v>3539098</v>
      </c>
      <c r="AC45" s="284">
        <v>3755228</v>
      </c>
      <c r="AD45" s="284">
        <v>3976287</v>
      </c>
      <c r="AE45" s="284">
        <v>4199014</v>
      </c>
      <c r="AF45" s="284">
        <v>4538289</v>
      </c>
      <c r="AG45" s="284">
        <v>4885063</v>
      </c>
      <c r="AH45" s="284">
        <v>5096442</v>
      </c>
      <c r="AI45" s="284">
        <v>5396477</v>
      </c>
      <c r="AJ45" s="284">
        <v>5563875</v>
      </c>
      <c r="AK45" s="284">
        <v>5899636</v>
      </c>
    </row>
    <row r="46" spans="1:37">
      <c r="A46" s="284" t="s">
        <v>21</v>
      </c>
      <c r="B46" s="284" t="s">
        <v>1086</v>
      </c>
      <c r="C46" s="284">
        <v>68612</v>
      </c>
      <c r="D46" s="284">
        <v>65526</v>
      </c>
      <c r="E46" s="284">
        <v>68933</v>
      </c>
      <c r="F46" s="284">
        <v>71796</v>
      </c>
      <c r="G46" s="284">
        <v>76625</v>
      </c>
      <c r="H46" s="284">
        <v>89901</v>
      </c>
      <c r="I46" s="284">
        <v>100051</v>
      </c>
      <c r="J46" s="284">
        <v>125658</v>
      </c>
      <c r="K46" s="284">
        <v>149195</v>
      </c>
      <c r="L46" s="284">
        <v>159126</v>
      </c>
      <c r="M46" s="284">
        <v>181152</v>
      </c>
      <c r="N46" s="284">
        <v>202312</v>
      </c>
      <c r="O46" s="284">
        <v>180036</v>
      </c>
      <c r="P46" s="284">
        <v>187966</v>
      </c>
      <c r="Q46" s="284">
        <v>208769</v>
      </c>
      <c r="R46" s="284">
        <v>231187</v>
      </c>
      <c r="S46" s="284">
        <v>289288</v>
      </c>
      <c r="T46" s="284">
        <v>372607</v>
      </c>
      <c r="U46" s="284">
        <v>388967</v>
      </c>
      <c r="V46" s="284">
        <v>395552</v>
      </c>
      <c r="W46" s="284">
        <v>443031</v>
      </c>
      <c r="X46" s="284">
        <v>488877</v>
      </c>
      <c r="Y46" s="284">
        <v>576318</v>
      </c>
      <c r="Z46" s="284">
        <v>597868</v>
      </c>
      <c r="AA46" s="284">
        <v>635591</v>
      </c>
      <c r="AB46" s="284">
        <v>766955</v>
      </c>
      <c r="AC46" s="284">
        <v>779064</v>
      </c>
      <c r="AD46" s="284">
        <v>848113</v>
      </c>
      <c r="AE46" s="284">
        <v>865541</v>
      </c>
      <c r="AF46" s="284">
        <v>894774</v>
      </c>
      <c r="AG46" s="284">
        <v>985607</v>
      </c>
      <c r="AH46" s="284">
        <v>1066461</v>
      </c>
      <c r="AI46" s="284">
        <v>1149291</v>
      </c>
      <c r="AJ46" s="284">
        <v>1211037</v>
      </c>
      <c r="AK46" s="284">
        <v>1202715</v>
      </c>
    </row>
    <row r="47" spans="1:37">
      <c r="A47" s="284" t="s">
        <v>20</v>
      </c>
      <c r="B47" s="287" t="s">
        <v>1059</v>
      </c>
      <c r="C47" s="284">
        <v>69343</v>
      </c>
      <c r="D47" s="284">
        <v>76982</v>
      </c>
      <c r="E47" s="284">
        <v>87346</v>
      </c>
      <c r="F47" s="284">
        <v>89342</v>
      </c>
      <c r="G47" s="284">
        <v>85064</v>
      </c>
      <c r="H47" s="284">
        <v>91505</v>
      </c>
      <c r="I47" s="284">
        <v>90485</v>
      </c>
      <c r="J47" s="284">
        <v>97505</v>
      </c>
      <c r="K47" s="284">
        <v>121569</v>
      </c>
      <c r="L47" s="284">
        <v>135045</v>
      </c>
      <c r="M47" s="284">
        <v>144734</v>
      </c>
      <c r="N47" s="284">
        <v>143312</v>
      </c>
      <c r="O47" s="284">
        <v>119502</v>
      </c>
      <c r="P47" s="284">
        <v>129816</v>
      </c>
      <c r="Q47" s="284">
        <v>140958</v>
      </c>
      <c r="R47" s="284">
        <v>157386</v>
      </c>
      <c r="S47" s="284">
        <v>189495</v>
      </c>
      <c r="T47" s="284">
        <v>211765</v>
      </c>
      <c r="U47" s="284">
        <v>240556</v>
      </c>
      <c r="V47" s="284">
        <v>239529</v>
      </c>
      <c r="W47" s="284">
        <v>260553</v>
      </c>
      <c r="X47" s="284">
        <v>308185</v>
      </c>
      <c r="Y47" s="284">
        <v>384067</v>
      </c>
      <c r="Z47" s="284">
        <v>409174</v>
      </c>
      <c r="AA47" s="284">
        <v>459549</v>
      </c>
      <c r="AB47" s="284">
        <v>582932</v>
      </c>
      <c r="AC47" s="284">
        <v>604793</v>
      </c>
      <c r="AD47" s="284">
        <v>623170</v>
      </c>
      <c r="AE47" s="284">
        <v>676804</v>
      </c>
      <c r="AF47" s="284">
        <v>700499</v>
      </c>
      <c r="AG47" s="284">
        <v>746629</v>
      </c>
      <c r="AH47" s="284">
        <v>866517</v>
      </c>
      <c r="AI47" s="284">
        <v>912637</v>
      </c>
      <c r="AJ47" s="284">
        <v>991175</v>
      </c>
      <c r="AK47" s="284">
        <v>1013629</v>
      </c>
    </row>
    <row r="48" spans="1:37">
      <c r="A48" s="284" t="s">
        <v>19</v>
      </c>
      <c r="B48" s="287" t="s">
        <v>1088</v>
      </c>
      <c r="C48" s="284">
        <v>374059</v>
      </c>
      <c r="D48" s="284">
        <v>355643</v>
      </c>
      <c r="E48" s="284">
        <v>348342</v>
      </c>
      <c r="F48" s="284">
        <v>371036</v>
      </c>
      <c r="G48" s="284">
        <v>404818</v>
      </c>
      <c r="H48" s="284">
        <v>478062</v>
      </c>
      <c r="I48" s="284">
        <v>513761</v>
      </c>
      <c r="J48" s="284">
        <v>553093</v>
      </c>
      <c r="K48" s="284">
        <v>616655</v>
      </c>
      <c r="L48" s="284">
        <v>643364</v>
      </c>
      <c r="M48" s="284">
        <v>663830</v>
      </c>
      <c r="N48" s="284">
        <v>723526</v>
      </c>
      <c r="O48" s="284">
        <v>786565</v>
      </c>
      <c r="P48" s="284">
        <v>885506</v>
      </c>
      <c r="Q48" s="284">
        <v>989810</v>
      </c>
      <c r="R48" s="284">
        <v>1068063</v>
      </c>
      <c r="S48" s="284">
        <v>1196021</v>
      </c>
      <c r="T48" s="284">
        <v>1425037</v>
      </c>
      <c r="U48" s="284">
        <v>1550873</v>
      </c>
      <c r="V48" s="284">
        <v>1728009</v>
      </c>
      <c r="W48" s="284">
        <v>1928411</v>
      </c>
      <c r="X48" s="284">
        <v>2122859</v>
      </c>
      <c r="Y48" s="284">
        <v>2624776</v>
      </c>
      <c r="Z48" s="284">
        <v>2827352</v>
      </c>
      <c r="AA48" s="284">
        <v>3140001</v>
      </c>
      <c r="AB48" s="284">
        <v>3723121</v>
      </c>
      <c r="AC48" s="284">
        <v>3929499</v>
      </c>
      <c r="AD48" s="284">
        <v>4201230</v>
      </c>
      <c r="AE48" s="284">
        <v>4387751</v>
      </c>
      <c r="AF48" s="284">
        <v>4732564</v>
      </c>
      <c r="AG48" s="284">
        <v>5124041</v>
      </c>
      <c r="AH48" s="284">
        <v>5296386</v>
      </c>
      <c r="AI48" s="284">
        <v>5633131</v>
      </c>
      <c r="AJ48" s="284">
        <v>5783736</v>
      </c>
      <c r="AK48" s="284">
        <v>6088721</v>
      </c>
    </row>
    <row r="49" spans="1:37">
      <c r="A49" s="284" t="s">
        <v>18</v>
      </c>
      <c r="B49" s="287" t="s">
        <v>1087</v>
      </c>
      <c r="C49" s="284">
        <v>254185</v>
      </c>
      <c r="D49" s="284">
        <v>270690</v>
      </c>
      <c r="E49" s="284">
        <v>310885</v>
      </c>
      <c r="F49" s="284">
        <v>336566</v>
      </c>
      <c r="G49" s="284">
        <v>369765</v>
      </c>
      <c r="H49" s="284">
        <v>426058</v>
      </c>
      <c r="I49" s="284">
        <v>492251</v>
      </c>
      <c r="J49" s="284">
        <v>565391</v>
      </c>
      <c r="K49" s="284">
        <v>626915</v>
      </c>
      <c r="L49" s="284">
        <v>668449</v>
      </c>
      <c r="M49" s="284">
        <v>685004</v>
      </c>
      <c r="N49" s="284">
        <v>736626</v>
      </c>
      <c r="O49" s="284">
        <v>737483</v>
      </c>
      <c r="P49" s="284">
        <v>809882</v>
      </c>
      <c r="Q49" s="284">
        <v>886577</v>
      </c>
      <c r="R49" s="284">
        <v>981523</v>
      </c>
      <c r="S49" s="284">
        <v>1109540</v>
      </c>
      <c r="T49" s="284">
        <v>1333093</v>
      </c>
      <c r="U49" s="284">
        <v>1699648</v>
      </c>
      <c r="V49" s="284">
        <v>1811122</v>
      </c>
      <c r="W49" s="284">
        <v>1838498</v>
      </c>
      <c r="X49" s="284">
        <v>1966460</v>
      </c>
      <c r="Y49" s="284">
        <v>2214711</v>
      </c>
      <c r="Z49" s="284">
        <v>2416325</v>
      </c>
      <c r="AA49" s="284">
        <v>2715504</v>
      </c>
      <c r="AB49" s="284">
        <v>3046532</v>
      </c>
      <c r="AC49" s="284">
        <v>3203582</v>
      </c>
      <c r="AD49" s="284">
        <v>3183577</v>
      </c>
      <c r="AE49" s="284">
        <v>3468162</v>
      </c>
      <c r="AF49" s="284">
        <v>3690909</v>
      </c>
      <c r="AG49" s="284">
        <v>3905281</v>
      </c>
      <c r="AH49" s="284">
        <v>4187378</v>
      </c>
      <c r="AI49" s="284">
        <v>4453290</v>
      </c>
      <c r="AJ49" s="284">
        <v>4920910</v>
      </c>
      <c r="AK49" s="284">
        <v>5405261</v>
      </c>
    </row>
    <row r="50" spans="1:37">
      <c r="A50" s="284" t="s">
        <v>17</v>
      </c>
      <c r="B50" s="284" t="s">
        <v>225</v>
      </c>
      <c r="C50" s="284">
        <v>153606</v>
      </c>
      <c r="D50" s="284">
        <v>159313</v>
      </c>
      <c r="E50" s="284">
        <v>181726</v>
      </c>
      <c r="F50" s="284">
        <v>200225</v>
      </c>
      <c r="G50" s="284">
        <v>226404</v>
      </c>
      <c r="H50" s="284">
        <v>258872</v>
      </c>
      <c r="I50" s="284">
        <v>314524</v>
      </c>
      <c r="J50" s="284">
        <v>356020</v>
      </c>
      <c r="K50" s="284">
        <v>387141</v>
      </c>
      <c r="L50" s="284">
        <v>419526</v>
      </c>
      <c r="M50" s="284">
        <v>425089</v>
      </c>
      <c r="N50" s="284">
        <v>449383</v>
      </c>
      <c r="O50" s="284">
        <v>483997</v>
      </c>
      <c r="P50" s="284">
        <v>544620</v>
      </c>
      <c r="Q50" s="284">
        <v>595911</v>
      </c>
      <c r="R50" s="284">
        <v>644670</v>
      </c>
      <c r="S50" s="284">
        <v>711467</v>
      </c>
      <c r="T50" s="284">
        <v>848996</v>
      </c>
      <c r="U50" s="284">
        <v>1124864</v>
      </c>
      <c r="V50" s="284">
        <v>1177396</v>
      </c>
      <c r="W50" s="284">
        <v>1214680</v>
      </c>
      <c r="X50" s="284">
        <v>1339940</v>
      </c>
      <c r="Y50" s="284">
        <v>1511978</v>
      </c>
      <c r="Z50" s="284">
        <v>1672877</v>
      </c>
      <c r="AA50" s="284">
        <v>1858433</v>
      </c>
      <c r="AB50" s="284">
        <v>2009806</v>
      </c>
      <c r="AC50" s="284">
        <v>2112850</v>
      </c>
      <c r="AD50" s="284">
        <v>2078848</v>
      </c>
      <c r="AE50" s="284">
        <v>2296818</v>
      </c>
      <c r="AF50" s="284">
        <v>2460046</v>
      </c>
      <c r="AG50" s="284">
        <v>2658690</v>
      </c>
      <c r="AH50" s="284">
        <v>2815659</v>
      </c>
      <c r="AI50" s="284">
        <v>2979518</v>
      </c>
      <c r="AJ50" s="284">
        <v>3296496</v>
      </c>
      <c r="AK50" s="284">
        <v>3619510</v>
      </c>
    </row>
    <row r="51" spans="1:37">
      <c r="A51" s="284" t="s">
        <v>16</v>
      </c>
      <c r="B51" s="284" t="s">
        <v>1086</v>
      </c>
      <c r="C51" s="284">
        <v>100579</v>
      </c>
      <c r="D51" s="284">
        <v>111377</v>
      </c>
      <c r="E51" s="284">
        <v>129159</v>
      </c>
      <c r="F51" s="284">
        <v>136341</v>
      </c>
      <c r="G51" s="284">
        <v>143361</v>
      </c>
      <c r="H51" s="284">
        <v>167186</v>
      </c>
      <c r="I51" s="284">
        <v>177727</v>
      </c>
      <c r="J51" s="284">
        <v>209371</v>
      </c>
      <c r="K51" s="284">
        <v>239774</v>
      </c>
      <c r="L51" s="284">
        <v>248923</v>
      </c>
      <c r="M51" s="284">
        <v>259915</v>
      </c>
      <c r="N51" s="284">
        <v>287243</v>
      </c>
      <c r="O51" s="284">
        <v>253486</v>
      </c>
      <c r="P51" s="284">
        <v>265262</v>
      </c>
      <c r="Q51" s="284">
        <v>290666</v>
      </c>
      <c r="R51" s="284">
        <v>336853</v>
      </c>
      <c r="S51" s="284">
        <v>398073</v>
      </c>
      <c r="T51" s="284">
        <v>484097</v>
      </c>
      <c r="U51" s="284">
        <v>574784</v>
      </c>
      <c r="V51" s="284">
        <v>633726</v>
      </c>
      <c r="W51" s="284">
        <v>623818</v>
      </c>
      <c r="X51" s="284">
        <v>626520</v>
      </c>
      <c r="Y51" s="284">
        <v>702733</v>
      </c>
      <c r="Z51" s="284">
        <v>743448</v>
      </c>
      <c r="AA51" s="284">
        <v>857071</v>
      </c>
      <c r="AB51" s="284">
        <v>1036726</v>
      </c>
      <c r="AC51" s="284">
        <v>1090732</v>
      </c>
      <c r="AD51" s="284">
        <v>1104729</v>
      </c>
      <c r="AE51" s="284">
        <v>1171344</v>
      </c>
      <c r="AF51" s="284">
        <v>1230863</v>
      </c>
      <c r="AG51" s="284">
        <v>1246591</v>
      </c>
      <c r="AH51" s="284">
        <v>1371719</v>
      </c>
      <c r="AI51" s="284">
        <v>1473772</v>
      </c>
      <c r="AJ51" s="284">
        <v>1624414</v>
      </c>
      <c r="AK51" s="284">
        <v>1785751</v>
      </c>
    </row>
    <row r="52" spans="1:37">
      <c r="A52" s="284" t="s">
        <v>15</v>
      </c>
      <c r="B52" s="287" t="s">
        <v>1059</v>
      </c>
      <c r="C52" s="284">
        <v>69343</v>
      </c>
      <c r="D52" s="284">
        <v>76982</v>
      </c>
      <c r="E52" s="284">
        <v>87346</v>
      </c>
      <c r="F52" s="284">
        <v>89342</v>
      </c>
      <c r="G52" s="284">
        <v>85064</v>
      </c>
      <c r="H52" s="284">
        <v>91505</v>
      </c>
      <c r="I52" s="284">
        <v>90485</v>
      </c>
      <c r="J52" s="284">
        <v>97505</v>
      </c>
      <c r="K52" s="284">
        <v>121569</v>
      </c>
      <c r="L52" s="284">
        <v>135045</v>
      </c>
      <c r="M52" s="284">
        <v>144734</v>
      </c>
      <c r="N52" s="284">
        <v>143312</v>
      </c>
      <c r="O52" s="284">
        <v>119502</v>
      </c>
      <c r="P52" s="284">
        <v>129816</v>
      </c>
      <c r="Q52" s="284">
        <v>140958</v>
      </c>
      <c r="R52" s="284">
        <v>157386</v>
      </c>
      <c r="S52" s="284">
        <v>189495</v>
      </c>
      <c r="T52" s="284">
        <v>211765</v>
      </c>
      <c r="U52" s="284">
        <v>240556</v>
      </c>
      <c r="V52" s="284">
        <v>239529</v>
      </c>
      <c r="W52" s="284">
        <v>260553</v>
      </c>
      <c r="X52" s="284">
        <v>308185</v>
      </c>
      <c r="Y52" s="284">
        <v>384067</v>
      </c>
      <c r="Z52" s="284">
        <v>409174</v>
      </c>
      <c r="AA52" s="284">
        <v>459549</v>
      </c>
      <c r="AB52" s="284">
        <v>582932</v>
      </c>
      <c r="AC52" s="284">
        <v>604793</v>
      </c>
      <c r="AD52" s="284">
        <v>623170</v>
      </c>
      <c r="AE52" s="284">
        <v>676804</v>
      </c>
      <c r="AF52" s="284">
        <v>700499</v>
      </c>
      <c r="AG52" s="284">
        <v>746629</v>
      </c>
      <c r="AH52" s="284">
        <v>866517</v>
      </c>
      <c r="AI52" s="284">
        <v>912637</v>
      </c>
      <c r="AJ52" s="284">
        <v>991175</v>
      </c>
      <c r="AK52" s="284">
        <v>1013629</v>
      </c>
    </row>
    <row r="53" spans="1:37">
      <c r="A53" s="284" t="s">
        <v>14</v>
      </c>
      <c r="B53" s="287" t="s">
        <v>1085</v>
      </c>
      <c r="C53" s="284">
        <v>184842</v>
      </c>
      <c r="D53" s="284">
        <v>193708</v>
      </c>
      <c r="E53" s="284">
        <v>223538</v>
      </c>
      <c r="F53" s="284">
        <v>247223</v>
      </c>
      <c r="G53" s="284">
        <v>284701</v>
      </c>
      <c r="H53" s="284">
        <v>334552</v>
      </c>
      <c r="I53" s="284">
        <v>401766</v>
      </c>
      <c r="J53" s="284">
        <v>467886</v>
      </c>
      <c r="K53" s="284">
        <v>505346</v>
      </c>
      <c r="L53" s="284">
        <v>533404</v>
      </c>
      <c r="M53" s="284">
        <v>540270</v>
      </c>
      <c r="N53" s="284">
        <v>593313</v>
      </c>
      <c r="O53" s="284">
        <v>617982</v>
      </c>
      <c r="P53" s="284">
        <v>680066</v>
      </c>
      <c r="Q53" s="284">
        <v>745619</v>
      </c>
      <c r="R53" s="284">
        <v>824136</v>
      </c>
      <c r="S53" s="284">
        <v>920044</v>
      </c>
      <c r="T53" s="284">
        <v>1121328</v>
      </c>
      <c r="U53" s="284">
        <v>1459092</v>
      </c>
      <c r="V53" s="284">
        <v>1571593</v>
      </c>
      <c r="W53" s="284">
        <v>1577945</v>
      </c>
      <c r="X53" s="284">
        <v>1658275</v>
      </c>
      <c r="Y53" s="284">
        <v>1830644</v>
      </c>
      <c r="Z53" s="284">
        <v>2007151</v>
      </c>
      <c r="AA53" s="284">
        <v>2255955</v>
      </c>
      <c r="AB53" s="284">
        <v>2463600</v>
      </c>
      <c r="AC53" s="284">
        <v>2598789</v>
      </c>
      <c r="AD53" s="284">
        <v>2560407</v>
      </c>
      <c r="AE53" s="284">
        <v>2791358</v>
      </c>
      <c r="AF53" s="284">
        <v>2990410</v>
      </c>
      <c r="AG53" s="284">
        <v>3158652</v>
      </c>
      <c r="AH53" s="284">
        <v>3320861</v>
      </c>
      <c r="AI53" s="284">
        <v>3540654</v>
      </c>
      <c r="AJ53" s="284">
        <v>3929734</v>
      </c>
      <c r="AK53" s="284">
        <v>4391632</v>
      </c>
    </row>
    <row r="54" spans="1:37" ht="13">
      <c r="A54" s="1944" t="s">
        <v>7</v>
      </c>
      <c r="B54" s="1976"/>
      <c r="C54" s="1976"/>
      <c r="D54" s="1976"/>
      <c r="E54" s="1976"/>
      <c r="F54" s="1976"/>
      <c r="G54" s="1976"/>
      <c r="H54" s="1976"/>
      <c r="I54" s="1976"/>
      <c r="J54" s="1976"/>
      <c r="K54" s="1976"/>
      <c r="L54" s="1976"/>
      <c r="M54" s="1976"/>
      <c r="N54" s="1976"/>
      <c r="O54" s="1976"/>
      <c r="P54" s="1976"/>
      <c r="Q54" s="1976"/>
      <c r="R54" s="1976"/>
      <c r="S54" s="1976"/>
      <c r="T54" s="1976"/>
      <c r="U54" s="1976"/>
      <c r="V54" s="1976"/>
      <c r="W54" s="1976"/>
      <c r="X54" s="1976"/>
      <c r="Y54" s="1976"/>
      <c r="Z54" s="1976"/>
      <c r="AA54" s="1976"/>
      <c r="AB54" s="1976"/>
      <c r="AC54" s="1976"/>
      <c r="AD54" s="1976"/>
      <c r="AE54" s="1976"/>
      <c r="AF54" s="1976"/>
      <c r="AG54" s="1976"/>
      <c r="AH54" s="1976"/>
      <c r="AI54" s="1976"/>
      <c r="AJ54" s="1976"/>
      <c r="AK54" s="1976"/>
    </row>
    <row r="55" spans="1:37">
      <c r="A55" s="1943" t="s">
        <v>1084</v>
      </c>
      <c r="B55" s="1976"/>
      <c r="C55" s="1976"/>
      <c r="D55" s="1976"/>
      <c r="E55" s="1976"/>
      <c r="F55" s="1976"/>
      <c r="G55" s="1976"/>
      <c r="H55" s="1976"/>
      <c r="I55" s="1976"/>
      <c r="J55" s="1976"/>
      <c r="K55" s="1976"/>
      <c r="L55" s="1976"/>
      <c r="M55" s="1976"/>
      <c r="N55" s="1976"/>
      <c r="O55" s="1976"/>
      <c r="P55" s="1976"/>
      <c r="Q55" s="1976"/>
      <c r="R55" s="1976"/>
      <c r="S55" s="1976"/>
      <c r="T55" s="1976"/>
      <c r="U55" s="1976"/>
      <c r="V55" s="1976"/>
      <c r="W55" s="1976"/>
      <c r="X55" s="1976"/>
      <c r="Y55" s="1976"/>
      <c r="Z55" s="1976"/>
      <c r="AA55" s="1976"/>
      <c r="AB55" s="1976"/>
      <c r="AC55" s="1976"/>
      <c r="AD55" s="1976"/>
      <c r="AE55" s="1976"/>
      <c r="AF55" s="1976"/>
      <c r="AG55" s="1976"/>
      <c r="AH55" s="1976"/>
      <c r="AI55" s="1976"/>
      <c r="AJ55" s="1976"/>
      <c r="AK55" s="1976"/>
    </row>
    <row r="56" spans="1:37">
      <c r="A56" s="1943" t="s">
        <v>1083</v>
      </c>
      <c r="B56" s="1976"/>
      <c r="C56" s="1976"/>
      <c r="D56" s="1976"/>
      <c r="E56" s="1976"/>
      <c r="F56" s="1976"/>
      <c r="G56" s="1976"/>
      <c r="H56" s="1976"/>
      <c r="I56" s="1976"/>
      <c r="J56" s="1976"/>
      <c r="K56" s="1976"/>
      <c r="L56" s="1976"/>
      <c r="M56" s="1976"/>
      <c r="N56" s="1976"/>
      <c r="O56" s="1976"/>
      <c r="P56" s="1976"/>
      <c r="Q56" s="1976"/>
      <c r="R56" s="1976"/>
      <c r="S56" s="1976"/>
      <c r="T56" s="1976"/>
      <c r="U56" s="1976"/>
      <c r="V56" s="1976"/>
      <c r="W56" s="1976"/>
      <c r="X56" s="1976"/>
      <c r="Y56" s="1976"/>
      <c r="Z56" s="1976"/>
      <c r="AA56" s="1976"/>
      <c r="AB56" s="1976"/>
      <c r="AC56" s="1976"/>
      <c r="AD56" s="1976"/>
      <c r="AE56" s="1976"/>
      <c r="AF56" s="1976"/>
      <c r="AG56" s="1976"/>
      <c r="AH56" s="1976"/>
      <c r="AI56" s="1976"/>
      <c r="AJ56" s="1976"/>
      <c r="AK56" s="1976"/>
    </row>
    <row r="57" spans="1:37">
      <c r="A57" s="1943" t="s">
        <v>1082</v>
      </c>
      <c r="B57" s="1976"/>
      <c r="C57" s="1976"/>
      <c r="D57" s="1976"/>
      <c r="E57" s="1976"/>
      <c r="F57" s="1976"/>
      <c r="G57" s="1976"/>
      <c r="H57" s="1976"/>
      <c r="I57" s="1976"/>
      <c r="J57" s="1976"/>
      <c r="K57" s="1976"/>
      <c r="L57" s="1976"/>
      <c r="M57" s="1976"/>
      <c r="N57" s="1976"/>
      <c r="O57" s="1976"/>
      <c r="P57" s="1976"/>
      <c r="Q57" s="1976"/>
      <c r="R57" s="1976"/>
      <c r="S57" s="1976"/>
      <c r="T57" s="1976"/>
      <c r="U57" s="1976"/>
      <c r="V57" s="1976"/>
      <c r="W57" s="1976"/>
      <c r="X57" s="1976"/>
      <c r="Y57" s="1976"/>
      <c r="Z57" s="1976"/>
      <c r="AA57" s="1976"/>
      <c r="AB57" s="1976"/>
      <c r="AC57" s="1976"/>
      <c r="AD57" s="1976"/>
      <c r="AE57" s="1976"/>
      <c r="AF57" s="1976"/>
      <c r="AG57" s="1976"/>
      <c r="AH57" s="1976"/>
      <c r="AI57" s="1976"/>
      <c r="AJ57" s="1976"/>
      <c r="AK57" s="1976"/>
    </row>
    <row r="58" spans="1:37">
      <c r="A58" s="1943" t="s">
        <v>1081</v>
      </c>
      <c r="B58" s="1976"/>
      <c r="C58" s="1976"/>
      <c r="D58" s="1976"/>
      <c r="E58" s="1976"/>
      <c r="F58" s="1976"/>
      <c r="G58" s="1976"/>
      <c r="H58" s="1976"/>
      <c r="I58" s="1976"/>
      <c r="J58" s="1976"/>
      <c r="K58" s="1976"/>
      <c r="L58" s="1976"/>
      <c r="M58" s="1976"/>
      <c r="N58" s="1976"/>
      <c r="O58" s="1976"/>
      <c r="P58" s="1976"/>
      <c r="Q58" s="1976"/>
      <c r="R58" s="1976"/>
      <c r="S58" s="1976"/>
      <c r="T58" s="1976"/>
      <c r="U58" s="1976"/>
      <c r="V58" s="1976"/>
      <c r="W58" s="1976"/>
      <c r="X58" s="1976"/>
      <c r="Y58" s="1976"/>
      <c r="Z58" s="1976"/>
      <c r="AA58" s="1976"/>
      <c r="AB58" s="1976"/>
      <c r="AC58" s="1976"/>
      <c r="AD58" s="1976"/>
      <c r="AE58" s="1976"/>
      <c r="AF58" s="1976"/>
      <c r="AG58" s="1976"/>
      <c r="AH58" s="1976"/>
      <c r="AI58" s="1976"/>
      <c r="AJ58" s="1976"/>
      <c r="AK58" s="1976"/>
    </row>
  </sheetData>
  <mergeCells count="46">
    <mergeCell ref="L6"/>
    <mergeCell ref="A1:AK1"/>
    <mergeCell ref="A2:AK2"/>
    <mergeCell ref="A3:AK3"/>
    <mergeCell ref="A4:AK4"/>
    <mergeCell ref="A6"/>
    <mergeCell ref="B6"/>
    <mergeCell ref="C6"/>
    <mergeCell ref="D6"/>
    <mergeCell ref="E6"/>
    <mergeCell ref="F6"/>
    <mergeCell ref="G6"/>
    <mergeCell ref="H6"/>
    <mergeCell ref="I6"/>
    <mergeCell ref="J6"/>
    <mergeCell ref="K6"/>
    <mergeCell ref="M6"/>
    <mergeCell ref="N6"/>
    <mergeCell ref="O6"/>
    <mergeCell ref="P6"/>
    <mergeCell ref="Q6"/>
    <mergeCell ref="AD6"/>
    <mergeCell ref="R6"/>
    <mergeCell ref="S6"/>
    <mergeCell ref="T6"/>
    <mergeCell ref="U6"/>
    <mergeCell ref="V6"/>
    <mergeCell ref="W6"/>
    <mergeCell ref="X6"/>
    <mergeCell ref="AA6"/>
    <mergeCell ref="AI6"/>
    <mergeCell ref="AJ6"/>
    <mergeCell ref="Y6"/>
    <mergeCell ref="Z6"/>
    <mergeCell ref="A58:AK58"/>
    <mergeCell ref="AE6"/>
    <mergeCell ref="AF6"/>
    <mergeCell ref="AG6"/>
    <mergeCell ref="AH6"/>
    <mergeCell ref="AK6"/>
    <mergeCell ref="A54:AK54"/>
    <mergeCell ref="A55:AK55"/>
    <mergeCell ref="A56:AK56"/>
    <mergeCell ref="A57:AK57"/>
    <mergeCell ref="AB6"/>
    <mergeCell ref="AC6"/>
  </mergeCell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0.249977111117893"/>
  </sheetPr>
  <dimension ref="A1"/>
  <sheetViews>
    <sheetView workbookViewId="0">
      <selection activeCell="X67" sqref="X67"/>
    </sheetView>
  </sheetViews>
  <sheetFormatPr baseColWidth="10" defaultRowHeight="15" x14ac:dyDescent="0"/>
  <cols>
    <col min="1" max="16384" width="10.7109375" style="676"/>
  </cols>
  <sheetData/>
  <pageMargins left="0.75" right="0.75" top="1" bottom="1" header="0.5" footer="0.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P63"/>
  <sheetViews>
    <sheetView workbookViewId="0">
      <pane xSplit="1" ySplit="9" topLeftCell="B53" activePane="bottomRight" state="frozen"/>
      <selection activeCell="X67" sqref="X67"/>
      <selection pane="topRight" activeCell="X67" sqref="X67"/>
      <selection pane="bottomLeft" activeCell="X67" sqref="X67"/>
      <selection pane="bottomRight" activeCell="C58" sqref="C58"/>
    </sheetView>
  </sheetViews>
  <sheetFormatPr baseColWidth="10" defaultColWidth="9.28515625" defaultRowHeight="15" x14ac:dyDescent="0"/>
  <cols>
    <col min="1" max="1" width="16.28515625" style="805" customWidth="1"/>
    <col min="2" max="15" width="9.7109375" style="805" customWidth="1"/>
    <col min="16" max="16" width="11.140625" style="805" bestFit="1" customWidth="1"/>
    <col min="17" max="16384" width="9.28515625" style="805"/>
  </cols>
  <sheetData>
    <row r="1" spans="1:16">
      <c r="B1" s="829"/>
      <c r="F1" s="829"/>
      <c r="J1" s="829"/>
      <c r="N1" s="68"/>
    </row>
    <row r="2" spans="1:16" ht="16" thickBot="1"/>
    <row r="3" spans="1:16" ht="32" customHeight="1" thickTop="1">
      <c r="A3" s="1734" t="s">
        <v>2525</v>
      </c>
      <c r="B3" s="1735"/>
      <c r="C3" s="1735"/>
      <c r="D3" s="1735"/>
      <c r="E3" s="1735"/>
      <c r="F3" s="1735"/>
      <c r="G3" s="1735"/>
      <c r="H3" s="1735"/>
      <c r="I3" s="1735"/>
      <c r="J3" s="1735"/>
      <c r="K3" s="1735"/>
      <c r="L3" s="1735"/>
      <c r="M3" s="1735"/>
      <c r="N3" s="1735"/>
      <c r="O3" s="1736"/>
    </row>
    <row r="4" spans="1:16" ht="12" customHeight="1">
      <c r="A4" s="806"/>
      <c r="B4" s="807"/>
      <c r="C4" s="807"/>
      <c r="D4" s="807"/>
      <c r="E4" s="807"/>
      <c r="F4" s="807"/>
      <c r="G4" s="807"/>
      <c r="H4" s="807"/>
      <c r="I4" s="807"/>
      <c r="J4" s="807"/>
      <c r="K4" s="807"/>
      <c r="L4" s="807"/>
      <c r="M4" s="807"/>
      <c r="N4" s="807"/>
      <c r="O4" s="808"/>
    </row>
    <row r="5" spans="1:16" ht="16" thickBot="1">
      <c r="A5" s="809"/>
      <c r="B5" s="1200" t="s">
        <v>2411</v>
      </c>
      <c r="C5" s="1200" t="s">
        <v>2412</v>
      </c>
      <c r="D5" s="1200" t="s">
        <v>2413</v>
      </c>
      <c r="E5" s="1200" t="s">
        <v>2414</v>
      </c>
      <c r="F5" s="1200" t="s">
        <v>2415</v>
      </c>
      <c r="G5" s="1200" t="s">
        <v>2416</v>
      </c>
      <c r="H5" s="1200" t="s">
        <v>2417</v>
      </c>
      <c r="I5" s="1200" t="s">
        <v>2429</v>
      </c>
      <c r="J5" s="1200" t="s">
        <v>2430</v>
      </c>
      <c r="K5" s="1200" t="s">
        <v>2431</v>
      </c>
      <c r="L5" s="1200" t="s">
        <v>2432</v>
      </c>
      <c r="M5" s="839" t="s">
        <v>2433</v>
      </c>
      <c r="N5" s="839" t="s">
        <v>2450</v>
      </c>
      <c r="O5" s="840" t="s">
        <v>2461</v>
      </c>
    </row>
    <row r="6" spans="1:16" ht="21" customHeight="1">
      <c r="A6" s="809"/>
      <c r="B6" s="1737" t="s">
        <v>2418</v>
      </c>
      <c r="C6" s="1738"/>
      <c r="D6" s="1738"/>
      <c r="E6" s="1738"/>
      <c r="F6" s="1738"/>
      <c r="G6" s="1803"/>
      <c r="H6" s="1803"/>
      <c r="I6" s="1803"/>
      <c r="J6" s="1803"/>
      <c r="K6" s="1803"/>
      <c r="L6" s="1812" t="s">
        <v>2488</v>
      </c>
      <c r="M6" s="1813"/>
      <c r="N6" s="1805" t="s">
        <v>2489</v>
      </c>
      <c r="O6" s="1806"/>
    </row>
    <row r="7" spans="1:16" ht="21" customHeight="1">
      <c r="A7" s="809"/>
      <c r="B7" s="1748" t="s">
        <v>2476</v>
      </c>
      <c r="C7" s="1749"/>
      <c r="D7" s="1749"/>
      <c r="E7" s="1749"/>
      <c r="F7" s="1749"/>
      <c r="G7" s="1800" t="s">
        <v>2477</v>
      </c>
      <c r="H7" s="1801"/>
      <c r="I7" s="1801"/>
      <c r="J7" s="1801"/>
      <c r="K7" s="1801"/>
      <c r="L7" s="1807" t="s">
        <v>2522</v>
      </c>
      <c r="M7" s="1809" t="s">
        <v>2523</v>
      </c>
      <c r="N7" s="1807" t="s">
        <v>2485</v>
      </c>
      <c r="O7" s="1777" t="s">
        <v>2486</v>
      </c>
    </row>
    <row r="8" spans="1:16" ht="85" customHeight="1">
      <c r="A8" s="809"/>
      <c r="B8" s="1741" t="s">
        <v>2508</v>
      </c>
      <c r="C8" s="933" t="s">
        <v>2478</v>
      </c>
      <c r="D8" s="933" t="s">
        <v>2479</v>
      </c>
      <c r="E8" s="933" t="s">
        <v>2480</v>
      </c>
      <c r="F8" s="1809" t="s">
        <v>2481</v>
      </c>
      <c r="G8" s="1741" t="s">
        <v>2509</v>
      </c>
      <c r="H8" s="933" t="s">
        <v>2487</v>
      </c>
      <c r="I8" s="933" t="s">
        <v>2482</v>
      </c>
      <c r="J8" s="933" t="s">
        <v>2483</v>
      </c>
      <c r="K8" s="1774" t="s">
        <v>2484</v>
      </c>
      <c r="L8" s="1808"/>
      <c r="M8" s="1810"/>
      <c r="N8" s="1808"/>
      <c r="O8" s="1811"/>
      <c r="P8" s="813"/>
    </row>
    <row r="9" spans="1:16" ht="33" customHeight="1">
      <c r="A9" s="809"/>
      <c r="B9" s="1741"/>
      <c r="C9" s="1015"/>
      <c r="D9" s="1016"/>
      <c r="E9" s="1016"/>
      <c r="F9" s="1810"/>
      <c r="G9" s="1741"/>
      <c r="H9" s="1015"/>
      <c r="I9" s="1016"/>
      <c r="J9" s="1016"/>
      <c r="K9" s="1743"/>
      <c r="L9" s="1808"/>
      <c r="M9" s="1810"/>
      <c r="N9" s="1808"/>
      <c r="O9" s="1811"/>
      <c r="P9" s="813"/>
    </row>
    <row r="10" spans="1:16" ht="14" customHeight="1">
      <c r="A10" s="826">
        <v>1966</v>
      </c>
      <c r="B10" s="816">
        <f>C10+D10+E10</f>
        <v>64.227698403738685</v>
      </c>
      <c r="C10" s="828">
        <f>'Assets(BoP)'!MM58</f>
        <v>54.935781148754018</v>
      </c>
      <c r="D10" s="832">
        <f>'Assets(BoP)'!MG58</f>
        <v>8.8685684968237624</v>
      </c>
      <c r="E10" s="832">
        <f>'Assets(BoP)'!LX58</f>
        <v>0.42334875816090489</v>
      </c>
      <c r="F10" s="1011">
        <f t="shared" ref="F10:F25" si="0">C10+D10-J10</f>
        <v>59.042000000000002</v>
      </c>
      <c r="G10" s="816">
        <f>H10+I10+J10</f>
        <v>14.132698403738686</v>
      </c>
      <c r="H10" s="934">
        <f>Liabilities!GT58</f>
        <v>7.4702940087379623</v>
      </c>
      <c r="I10" s="874">
        <f>'Assets(BoP)'!MF58</f>
        <v>1.9000547494229423</v>
      </c>
      <c r="J10" s="1011">
        <f>'Assets(BoP)'!LW58</f>
        <v>4.7623496455777818</v>
      </c>
      <c r="K10" s="1024">
        <f t="shared" ref="K10:K25" si="1">H10+I10-E10</f>
        <v>8.9469999999999992</v>
      </c>
      <c r="L10" s="1030">
        <f t="shared" ref="L10:L25" si="2">(D10)/(C10+D10)</f>
        <v>0.1389962995640131</v>
      </c>
      <c r="M10" s="1031">
        <f t="shared" ref="M10:M25" si="3">(I10)/(I10+G10)</f>
        <v>0.118510821645642</v>
      </c>
      <c r="N10" s="1217">
        <f t="shared" ref="N10:N25" si="4">(D10+E10)/B10</f>
        <v>0.14467149665826709</v>
      </c>
      <c r="O10" s="1027">
        <f t="shared" ref="O10:O25" si="5">(J10+I10)/G10</f>
        <v>0.47141771547592365</v>
      </c>
      <c r="P10" s="813"/>
    </row>
    <row r="11" spans="1:16" ht="14" customHeight="1">
      <c r="A11" s="826">
        <v>1967</v>
      </c>
      <c r="B11" s="816">
        <f t="shared" ref="B11:B60" si="6">C11+D11+E11</f>
        <v>71.481774459328037</v>
      </c>
      <c r="C11" s="828">
        <f>'Assets(BoP)'!MM59</f>
        <v>61.046993685338421</v>
      </c>
      <c r="D11" s="832">
        <f>'Assets(BoP)'!MG59</f>
        <v>9.9754234760991398</v>
      </c>
      <c r="E11" s="832">
        <f>'Assets(BoP)'!LX59</f>
        <v>0.4593572978904733</v>
      </c>
      <c r="F11" s="1011">
        <f t="shared" si="0"/>
        <v>65.61</v>
      </c>
      <c r="G11" s="816">
        <f t="shared" ref="G11:G60" si="7">H11+I11+J11</f>
        <v>15.579774459328036</v>
      </c>
      <c r="H11" s="934">
        <f>Liabilities!GT59</f>
        <v>8.1056906490251635</v>
      </c>
      <c r="I11" s="874">
        <f>'Assets(BoP)'!MF59</f>
        <v>2.0616666488653093</v>
      </c>
      <c r="J11" s="1011">
        <f>'Assets(BoP)'!LW59</f>
        <v>5.4124171614375634</v>
      </c>
      <c r="K11" s="1024">
        <f t="shared" si="1"/>
        <v>9.7079999999999984</v>
      </c>
      <c r="L11" s="1030">
        <f t="shared" si="2"/>
        <v>0.140454575819695</v>
      </c>
      <c r="M11" s="1031">
        <f t="shared" si="3"/>
        <v>0.11686497923958118</v>
      </c>
      <c r="N11" s="1217">
        <f t="shared" si="4"/>
        <v>0.1459782000784946</v>
      </c>
      <c r="O11" s="1027">
        <f t="shared" si="5"/>
        <v>0.47972991071304849</v>
      </c>
      <c r="P11" s="813"/>
    </row>
    <row r="12" spans="1:16" ht="14" customHeight="1">
      <c r="A12" s="826">
        <v>1968</v>
      </c>
      <c r="B12" s="816">
        <f t="shared" si="6"/>
        <v>80.381162498996673</v>
      </c>
      <c r="C12" s="828">
        <f>'Assets(BoP)'!MM60</f>
        <v>68.545511016692515</v>
      </c>
      <c r="D12" s="832">
        <f>'Assets(BoP)'!MG60</f>
        <v>11.340332962081913</v>
      </c>
      <c r="E12" s="832">
        <f>'Assets(BoP)'!LX60</f>
        <v>0.49531852022223682</v>
      </c>
      <c r="F12" s="1011">
        <f t="shared" si="0"/>
        <v>73.668999999999997</v>
      </c>
      <c r="G12" s="816">
        <f t="shared" si="7"/>
        <v>17.180162498996673</v>
      </c>
      <c r="H12" s="934">
        <f>Liabilities!GT60</f>
        <v>8.7402523397193477</v>
      </c>
      <c r="I12" s="874">
        <f>'Assets(BoP)'!MF60</f>
        <v>2.2230661805028902</v>
      </c>
      <c r="J12" s="1011">
        <f>'Assets(BoP)'!LW60</f>
        <v>6.216843978774433</v>
      </c>
      <c r="K12" s="1024">
        <f t="shared" si="1"/>
        <v>10.468000000000002</v>
      </c>
      <c r="L12" s="1030">
        <f t="shared" si="2"/>
        <v>0.14195672721558811</v>
      </c>
      <c r="M12" s="1031">
        <f t="shared" si="3"/>
        <v>0.11457197238785655</v>
      </c>
      <c r="N12" s="1217">
        <f t="shared" si="4"/>
        <v>0.14724409444130498</v>
      </c>
      <c r="O12" s="1027">
        <f t="shared" si="5"/>
        <v>0.49125904133736903</v>
      </c>
      <c r="P12" s="813"/>
    </row>
    <row r="13" spans="1:16" ht="14" customHeight="1">
      <c r="A13" s="856">
        <v>1969</v>
      </c>
      <c r="B13" s="872">
        <f t="shared" si="6"/>
        <v>90.798048163778077</v>
      </c>
      <c r="C13" s="858">
        <f>'Assets(BoP)'!MM61</f>
        <v>77.295487066333152</v>
      </c>
      <c r="D13" s="876">
        <f>'Assets(BoP)'!MG61</f>
        <v>12.949704621491868</v>
      </c>
      <c r="E13" s="876">
        <f>'Assets(BoP)'!LX61</f>
        <v>0.55285647595305831</v>
      </c>
      <c r="F13" s="1012">
        <f t="shared" si="0"/>
        <v>83.072999999999979</v>
      </c>
      <c r="G13" s="872">
        <f t="shared" si="7"/>
        <v>19.409048163778088</v>
      </c>
      <c r="H13" s="935">
        <f>Liabilities!GT61</f>
        <v>9.7555510448300389</v>
      </c>
      <c r="I13" s="877">
        <f>'Assets(BoP)'!MF61</f>
        <v>2.4813054311230189</v>
      </c>
      <c r="J13" s="1012">
        <f>'Assets(BoP)'!LW61</f>
        <v>7.1721916878250322</v>
      </c>
      <c r="K13" s="1025">
        <f t="shared" si="1"/>
        <v>11.683999999999999</v>
      </c>
      <c r="L13" s="1032">
        <f t="shared" si="2"/>
        <v>0.14349467688303347</v>
      </c>
      <c r="M13" s="1033">
        <f t="shared" si="3"/>
        <v>0.1133515463953486</v>
      </c>
      <c r="N13" s="1218">
        <f t="shared" si="4"/>
        <v>0.14870981668118591</v>
      </c>
      <c r="O13" s="1028">
        <f t="shared" si="5"/>
        <v>0.49737097035823624</v>
      </c>
      <c r="P13" s="813"/>
    </row>
    <row r="14" spans="1:16" ht="14" customHeight="1">
      <c r="A14" s="826">
        <v>1970</v>
      </c>
      <c r="B14" s="816">
        <f t="shared" si="6"/>
        <v>103.309770065135</v>
      </c>
      <c r="C14" s="828">
        <f>'Assets(BoP)'!MM62</f>
        <v>87.787270343209798</v>
      </c>
      <c r="D14" s="832">
        <f>'Assets(BoP)'!MG62</f>
        <v>14.896774453352517</v>
      </c>
      <c r="E14" s="832">
        <f>'Assets(BoP)'!LX62</f>
        <v>0.62572526857268429</v>
      </c>
      <c r="F14" s="1011">
        <f t="shared" si="0"/>
        <v>94.349000000000004</v>
      </c>
      <c r="G14" s="816">
        <f t="shared" si="7"/>
        <v>22.184770065134998</v>
      </c>
      <c r="H14" s="934">
        <f>Liabilities!GT62</f>
        <v>11.041373418078777</v>
      </c>
      <c r="I14" s="874">
        <f>'Assets(BoP)'!MF62</f>
        <v>2.8083518504939069</v>
      </c>
      <c r="J14" s="1011">
        <f>'Assets(BoP)'!LW62</f>
        <v>8.3350447965623147</v>
      </c>
      <c r="K14" s="1024">
        <f t="shared" si="1"/>
        <v>13.223999999999998</v>
      </c>
      <c r="L14" s="1030">
        <f t="shared" si="2"/>
        <v>0.14507389617214644</v>
      </c>
      <c r="M14" s="1031">
        <f t="shared" si="3"/>
        <v>0.11236498825453915</v>
      </c>
      <c r="N14" s="1217">
        <f t="shared" si="4"/>
        <v>0.1502520014528978</v>
      </c>
      <c r="O14" s="1027">
        <f t="shared" si="5"/>
        <v>0.50229939793556344</v>
      </c>
      <c r="P14" s="813"/>
    </row>
    <row r="15" spans="1:16" ht="14" customHeight="1">
      <c r="A15" s="826">
        <v>1971</v>
      </c>
      <c r="B15" s="816">
        <f t="shared" si="6"/>
        <v>113.93226057520701</v>
      </c>
      <c r="C15" s="828">
        <f>'Assets(BoP)'!MM63</f>
        <v>96.675883827069541</v>
      </c>
      <c r="D15" s="832">
        <f>'Assets(BoP)'!MG63</f>
        <v>16.611819155238408</v>
      </c>
      <c r="E15" s="832">
        <f>'Assets(BoP)'!LX63</f>
        <v>0.64455759289905523</v>
      </c>
      <c r="F15" s="1011">
        <f t="shared" si="0"/>
        <v>103.902</v>
      </c>
      <c r="G15" s="816">
        <f t="shared" si="7"/>
        <v>23.652260575207006</v>
      </c>
      <c r="H15" s="934">
        <f>Liabilities!GT63</f>
        <v>11.373683356100205</v>
      </c>
      <c r="I15" s="874">
        <f>'Assets(BoP)'!MF63</f>
        <v>2.8928742367988507</v>
      </c>
      <c r="J15" s="1011">
        <f>'Assets(BoP)'!LW63</f>
        <v>9.3857029823079507</v>
      </c>
      <c r="K15" s="1024">
        <f t="shared" si="1"/>
        <v>13.622</v>
      </c>
      <c r="L15" s="1030">
        <f t="shared" si="2"/>
        <v>0.14663391275426127</v>
      </c>
      <c r="M15" s="1031">
        <f t="shared" si="3"/>
        <v>0.10897945168809085</v>
      </c>
      <c r="N15" s="1217">
        <f t="shared" si="4"/>
        <v>0.15146172524810458</v>
      </c>
      <c r="O15" s="1027">
        <f t="shared" si="5"/>
        <v>0.51912912002912592</v>
      </c>
      <c r="P15" s="813"/>
    </row>
    <row r="16" spans="1:16" ht="14" customHeight="1">
      <c r="A16" s="826">
        <v>1972</v>
      </c>
      <c r="B16" s="816">
        <f t="shared" si="6"/>
        <v>137.8256089106558</v>
      </c>
      <c r="C16" s="828">
        <f>'Assets(BoP)'!MM64</f>
        <v>116.78110314657562</v>
      </c>
      <c r="D16" s="832">
        <f>'Assets(BoP)'!MG64</f>
        <v>20.347189272628619</v>
      </c>
      <c r="E16" s="832">
        <f>'Assets(BoP)'!LX64</f>
        <v>0.69731649145157659</v>
      </c>
      <c r="F16" s="1011">
        <f t="shared" si="0"/>
        <v>125.51</v>
      </c>
      <c r="G16" s="816">
        <f t="shared" si="7"/>
        <v>27.052608910655799</v>
      </c>
      <c r="H16" s="934">
        <f>Liabilities!GT64</f>
        <v>12.304652152316011</v>
      </c>
      <c r="I16" s="874">
        <f>'Assets(BoP)'!MF64</f>
        <v>3.129664339135565</v>
      </c>
      <c r="J16" s="1011">
        <f>'Assets(BoP)'!LW64</f>
        <v>11.618292419204224</v>
      </c>
      <c r="K16" s="1024">
        <f t="shared" si="1"/>
        <v>14.736999999999998</v>
      </c>
      <c r="L16" s="1030">
        <f t="shared" si="2"/>
        <v>0.14838067997249474</v>
      </c>
      <c r="M16" s="1031">
        <f t="shared" si="3"/>
        <v>0.10369213455971872</v>
      </c>
      <c r="N16" s="1217">
        <f t="shared" si="4"/>
        <v>0.15268937268198179</v>
      </c>
      <c r="O16" s="1027">
        <f t="shared" si="5"/>
        <v>0.5451583914529845</v>
      </c>
      <c r="P16" s="813"/>
    </row>
    <row r="17" spans="1:16" ht="14" customHeight="1">
      <c r="A17" s="826">
        <v>1973</v>
      </c>
      <c r="B17" s="816">
        <f t="shared" si="6"/>
        <v>139.01672762949562</v>
      </c>
      <c r="C17" s="828">
        <f>'Assets(BoP)'!MM65</f>
        <v>117.46591624446326</v>
      </c>
      <c r="D17" s="832">
        <f>'Assets(BoP)'!MG65</f>
        <v>20.706432421202983</v>
      </c>
      <c r="E17" s="832">
        <f>'Assets(BoP)'!LX65</f>
        <v>0.84437896382936706</v>
      </c>
      <c r="F17" s="1011">
        <f t="shared" si="0"/>
        <v>126.24600000000001</v>
      </c>
      <c r="G17" s="816">
        <f t="shared" si="7"/>
        <v>30.615727629495609</v>
      </c>
      <c r="H17" s="934">
        <f>Liabilities!GT65</f>
        <v>14.89967548741801</v>
      </c>
      <c r="I17" s="874">
        <f>'Assets(BoP)'!MF65</f>
        <v>3.789703476411356</v>
      </c>
      <c r="J17" s="1011">
        <f>'Assets(BoP)'!LW65</f>
        <v>11.926348665666245</v>
      </c>
      <c r="K17" s="1024">
        <f t="shared" si="1"/>
        <v>17.844999999999999</v>
      </c>
      <c r="L17" s="1030">
        <f t="shared" si="2"/>
        <v>0.1498594517728439</v>
      </c>
      <c r="M17" s="1031">
        <f t="shared" si="3"/>
        <v>0.11014840839360136</v>
      </c>
      <c r="N17" s="1217">
        <f t="shared" si="4"/>
        <v>0.1550231526271364</v>
      </c>
      <c r="O17" s="1027">
        <f t="shared" si="5"/>
        <v>0.51333263518246552</v>
      </c>
      <c r="P17" s="813"/>
    </row>
    <row r="18" spans="1:16" ht="14" customHeight="1">
      <c r="A18" s="826">
        <v>1974</v>
      </c>
      <c r="B18" s="816">
        <f t="shared" si="6"/>
        <v>149.42909953698057</v>
      </c>
      <c r="C18" s="828">
        <f>'Assets(BoP)'!MM66</f>
        <v>125.8883729864185</v>
      </c>
      <c r="D18" s="832">
        <f>'Assets(BoP)'!MG66</f>
        <v>22.471069455783329</v>
      </c>
      <c r="E18" s="832">
        <f>'Assets(BoP)'!LX66</f>
        <v>1.0696570947787434</v>
      </c>
      <c r="F18" s="1011">
        <f t="shared" si="0"/>
        <v>135.298</v>
      </c>
      <c r="G18" s="816">
        <f t="shared" si="7"/>
        <v>36.73709953698058</v>
      </c>
      <c r="H18" s="934">
        <f>Liabilities!GT66</f>
        <v>18.87487049977986</v>
      </c>
      <c r="I18" s="874">
        <f>'Assets(BoP)'!MF66</f>
        <v>4.8007865949988862</v>
      </c>
      <c r="J18" s="1011">
        <f>'Assets(BoP)'!LW66</f>
        <v>13.06144244220183</v>
      </c>
      <c r="K18" s="1024">
        <f t="shared" si="1"/>
        <v>22.606000000000002</v>
      </c>
      <c r="L18" s="1030">
        <f t="shared" si="2"/>
        <v>0.15146369577748753</v>
      </c>
      <c r="M18" s="1031">
        <f t="shared" si="3"/>
        <v>0.11557609310558596</v>
      </c>
      <c r="N18" s="1217">
        <f t="shared" si="4"/>
        <v>0.15753776622829904</v>
      </c>
      <c r="O18" s="1027">
        <f t="shared" si="5"/>
        <v>0.48621772710227446</v>
      </c>
      <c r="P18" s="813"/>
    </row>
    <row r="19" spans="1:16" ht="14" customHeight="1">
      <c r="A19" s="826">
        <v>1975</v>
      </c>
      <c r="B19" s="816">
        <f t="shared" si="6"/>
        <v>165.49770049818139</v>
      </c>
      <c r="C19" s="1037">
        <f>'Assets(BoP)'!MM67</f>
        <v>139.1417395167334</v>
      </c>
      <c r="D19" s="882">
        <f>'Assets(BoP)'!MG67</f>
        <v>25.163136700182953</v>
      </c>
      <c r="E19" s="882">
        <f>'Assets(BoP)'!LX67</f>
        <v>1.1928242812650331</v>
      </c>
      <c r="F19" s="1038">
        <f t="shared" si="0"/>
        <v>149.542</v>
      </c>
      <c r="G19" s="816">
        <f t="shared" si="7"/>
        <v>41.164700498181382</v>
      </c>
      <c r="H19" s="1039">
        <f>Liabilities!GT67</f>
        <v>21.048244290407432</v>
      </c>
      <c r="I19" s="874">
        <f>'Assets(BoP)'!MF67</f>
        <v>5.3535799908576003</v>
      </c>
      <c r="J19" s="1011">
        <f>'Assets(BoP)'!LW67</f>
        <v>14.76287621691635</v>
      </c>
      <c r="K19" s="1040">
        <f t="shared" si="1"/>
        <v>25.209</v>
      </c>
      <c r="L19" s="1041">
        <f t="shared" si="2"/>
        <v>0.15314905606917242</v>
      </c>
      <c r="M19" s="1042">
        <f t="shared" si="3"/>
        <v>0.11508550906388412</v>
      </c>
      <c r="N19" s="1219">
        <f t="shared" si="4"/>
        <v>0.15925273222595382</v>
      </c>
      <c r="O19" s="1043">
        <f t="shared" si="5"/>
        <v>0.48868219528677675</v>
      </c>
      <c r="P19" s="813"/>
    </row>
    <row r="20" spans="1:16" ht="14" customHeight="1">
      <c r="A20" s="826">
        <v>1976</v>
      </c>
      <c r="B20" s="816">
        <f t="shared" si="6"/>
        <v>247.14816034305966</v>
      </c>
      <c r="C20" s="1037">
        <f>'Assets(BoP)'!MM68</f>
        <v>206.82379054043713</v>
      </c>
      <c r="D20" s="882">
        <f>'Assets(BoP)'!MG68</f>
        <v>38.075468519748782</v>
      </c>
      <c r="E20" s="882">
        <f>'Assets(BoP)'!LX68</f>
        <v>2.2489012828737556</v>
      </c>
      <c r="F20" s="1038">
        <f t="shared" si="0"/>
        <v>222.28299999999999</v>
      </c>
      <c r="G20" s="816">
        <f t="shared" si="7"/>
        <v>72.393160343059677</v>
      </c>
      <c r="H20" s="1039">
        <f>Liabilities!GT68</f>
        <v>39.683484256990937</v>
      </c>
      <c r="I20" s="874">
        <f>'Assets(BoP)'!MF68</f>
        <v>10.093417025882822</v>
      </c>
      <c r="J20" s="1011">
        <f>'Assets(BoP)'!LW68</f>
        <v>22.616259060185921</v>
      </c>
      <c r="K20" s="1040">
        <f t="shared" si="1"/>
        <v>47.528000000000006</v>
      </c>
      <c r="L20" s="1041">
        <f t="shared" si="2"/>
        <v>0.15547400455952967</v>
      </c>
      <c r="M20" s="1042">
        <f t="shared" si="3"/>
        <v>0.12236435730309683</v>
      </c>
      <c r="N20" s="1219">
        <f t="shared" si="4"/>
        <v>0.16315868888786941</v>
      </c>
      <c r="O20" s="1043">
        <f t="shared" si="5"/>
        <v>0.45183379108002447</v>
      </c>
      <c r="P20" s="813"/>
    </row>
    <row r="21" spans="1:16" ht="14" customHeight="1">
      <c r="A21" s="826">
        <v>1977</v>
      </c>
      <c r="B21" s="816">
        <f t="shared" si="6"/>
        <v>280.74781992246682</v>
      </c>
      <c r="C21" s="832">
        <f>'Assets(BoP)'!MM69</f>
        <v>235.59399999999999</v>
      </c>
      <c r="D21" s="832">
        <f>'Assets(BoP)'!MG69</f>
        <v>42.531820957900983</v>
      </c>
      <c r="E21" s="832">
        <f>'Assets(BoP)'!LX69</f>
        <v>2.6219989645658011</v>
      </c>
      <c r="F21" s="1011">
        <f t="shared" si="0"/>
        <v>248.29900000000001</v>
      </c>
      <c r="G21" s="816">
        <f t="shared" si="7"/>
        <v>87.861819922466793</v>
      </c>
      <c r="H21" s="934">
        <f>Liabilities!GT69</f>
        <v>46.267061797943079</v>
      </c>
      <c r="I21" s="874">
        <f>'Assets(BoP)'!MF69</f>
        <v>11.767937166622721</v>
      </c>
      <c r="J21" s="1011">
        <f>'Assets(BoP)'!LW69</f>
        <v>29.826820957900985</v>
      </c>
      <c r="K21" s="1024">
        <f t="shared" si="1"/>
        <v>55.412999999999997</v>
      </c>
      <c r="L21" s="1030">
        <f t="shared" si="2"/>
        <v>0.15292294980529292</v>
      </c>
      <c r="M21" s="1031">
        <f t="shared" si="3"/>
        <v>0.11811669033880874</v>
      </c>
      <c r="N21" s="912">
        <f t="shared" si="4"/>
        <v>0.16083408923687015</v>
      </c>
      <c r="O21" s="1027">
        <f t="shared" si="5"/>
        <v>0.47341106934990401</v>
      </c>
      <c r="P21" s="813"/>
    </row>
    <row r="22" spans="1:16" ht="14" customHeight="1">
      <c r="A22" s="826">
        <v>1978</v>
      </c>
      <c r="B22" s="816">
        <f t="shared" si="6"/>
        <v>325.31191206246564</v>
      </c>
      <c r="C22" s="832">
        <f>'Assets(BoP)'!MM70</f>
        <v>274.80600000000004</v>
      </c>
      <c r="D22" s="832">
        <f>'Assets(BoP)'!MG70</f>
        <v>47.242147231471208</v>
      </c>
      <c r="E22" s="832">
        <f>'Assets(BoP)'!LX70</f>
        <v>3.2637648309943641</v>
      </c>
      <c r="F22" s="1011">
        <f t="shared" si="0"/>
        <v>287.51100000000008</v>
      </c>
      <c r="G22" s="816">
        <f t="shared" si="7"/>
        <v>106.77691206246557</v>
      </c>
      <c r="H22" s="934">
        <f>Liabilities!GT70</f>
        <v>57.591483128055181</v>
      </c>
      <c r="I22" s="874">
        <f>'Assets(BoP)'!MF70</f>
        <v>14.64828170293918</v>
      </c>
      <c r="J22" s="832">
        <f>'Assets(BoP)'!LW70</f>
        <v>34.537147231471209</v>
      </c>
      <c r="K22" s="1024">
        <f t="shared" si="1"/>
        <v>68.975999999999999</v>
      </c>
      <c r="L22" s="1030">
        <f t="shared" si="2"/>
        <v>0.14669280862999667</v>
      </c>
      <c r="M22" s="1031">
        <f t="shared" si="3"/>
        <v>0.12063626376614951</v>
      </c>
      <c r="N22" s="912">
        <f t="shared" si="4"/>
        <v>0.15525380470164751</v>
      </c>
      <c r="O22" s="1027">
        <f t="shared" si="5"/>
        <v>0.46063730430447752</v>
      </c>
      <c r="P22" s="813"/>
    </row>
    <row r="23" spans="1:16" ht="14" customHeight="1">
      <c r="A23" s="856">
        <v>1979</v>
      </c>
      <c r="B23" s="872">
        <f t="shared" si="6"/>
        <v>385.68112778016484</v>
      </c>
      <c r="C23" s="876">
        <f>'Assets(BoP)'!MM71</f>
        <v>327.87299999999999</v>
      </c>
      <c r="D23" s="876">
        <f>'Assets(BoP)'!MG71</f>
        <v>53.616799999999998</v>
      </c>
      <c r="E23" s="876">
        <f>'Assets(BoP)'!LX71</f>
        <v>4.191327780164837</v>
      </c>
      <c r="F23" s="1012">
        <f t="shared" si="0"/>
        <v>340.57799999999997</v>
      </c>
      <c r="G23" s="872">
        <f t="shared" si="7"/>
        <v>133.68212778016482</v>
      </c>
      <c r="H23" s="935">
        <f>Liabilities!GT71</f>
        <v>73.959000000000003</v>
      </c>
      <c r="I23" s="877">
        <f>'Assets(BoP)'!MF71</f>
        <v>18.811327780164834</v>
      </c>
      <c r="J23" s="876">
        <f>'Assets(BoP)'!LW71</f>
        <v>40.911799999999999</v>
      </c>
      <c r="K23" s="1025">
        <f t="shared" si="1"/>
        <v>88.578999999999994</v>
      </c>
      <c r="L23" s="1032">
        <f t="shared" si="2"/>
        <v>0.14054582848610891</v>
      </c>
      <c r="M23" s="1033">
        <f t="shared" si="3"/>
        <v>0.12335826289097811</v>
      </c>
      <c r="N23" s="913">
        <f t="shared" si="4"/>
        <v>0.14988580881021227</v>
      </c>
      <c r="O23" s="1028">
        <f t="shared" si="5"/>
        <v>0.44675476648888507</v>
      </c>
      <c r="P23" s="813"/>
    </row>
    <row r="24" spans="1:16" ht="14" customHeight="1">
      <c r="A24" s="863">
        <v>1980</v>
      </c>
      <c r="B24" s="873">
        <f t="shared" si="6"/>
        <v>445.89548499147173</v>
      </c>
      <c r="C24" s="879">
        <f>'Assets(BoP)'!MM72</f>
        <v>383.35900000000004</v>
      </c>
      <c r="D24" s="879">
        <f>'Assets(BoP)'!MG72</f>
        <v>56.315599999999996</v>
      </c>
      <c r="E24" s="879">
        <f>'Assets(BoP)'!LX72</f>
        <v>6.2208849914716868</v>
      </c>
      <c r="F24" s="1013">
        <f t="shared" si="0"/>
        <v>396.06400000000008</v>
      </c>
      <c r="G24" s="873">
        <f t="shared" si="7"/>
        <v>176.9364849914717</v>
      </c>
      <c r="H24" s="936">
        <f>Liabilities!GT72</f>
        <v>109.77200000000001</v>
      </c>
      <c r="I24" s="880">
        <f>'Assets(BoP)'!MF72</f>
        <v>23.553884991471683</v>
      </c>
      <c r="J24" s="879">
        <f>'Assets(BoP)'!LW72</f>
        <v>43.610599999999998</v>
      </c>
      <c r="K24" s="1026">
        <f t="shared" si="1"/>
        <v>127.105</v>
      </c>
      <c r="L24" s="1034">
        <f t="shared" si="2"/>
        <v>0.12808472447578276</v>
      </c>
      <c r="M24" s="1035">
        <f t="shared" si="3"/>
        <v>0.11748137825011505</v>
      </c>
      <c r="N24" s="914">
        <f t="shared" si="4"/>
        <v>0.14024919986051834</v>
      </c>
      <c r="O24" s="1029">
        <f t="shared" si="5"/>
        <v>0.37959658232562377</v>
      </c>
      <c r="P24" s="813"/>
    </row>
    <row r="25" spans="1:16" ht="14" customHeight="1">
      <c r="A25" s="826">
        <v>1981</v>
      </c>
      <c r="B25" s="816">
        <f t="shared" si="6"/>
        <v>476.65658416337902</v>
      </c>
      <c r="C25" s="832">
        <f>'Assets(BoP)'!MM73</f>
        <v>409.048</v>
      </c>
      <c r="D25" s="832">
        <f>'Assets(BoP)'!MG73</f>
        <v>59.683999999999997</v>
      </c>
      <c r="E25" s="832">
        <f>'Assets(BoP)'!LX73</f>
        <v>7.9245841633790324</v>
      </c>
      <c r="F25" s="1011">
        <f t="shared" si="0"/>
        <v>421.75299999999999</v>
      </c>
      <c r="G25" s="816">
        <f t="shared" si="7"/>
        <v>219.52658416337903</v>
      </c>
      <c r="H25" s="934">
        <f>Liabilities!GT73</f>
        <v>139.83499999999998</v>
      </c>
      <c r="I25" s="874">
        <f>'Assets(BoP)'!MF73</f>
        <v>32.712584163379034</v>
      </c>
      <c r="J25" s="832">
        <f>'Assets(BoP)'!LW73</f>
        <v>46.978999999999999</v>
      </c>
      <c r="K25" s="1024">
        <f t="shared" si="1"/>
        <v>164.62299999999999</v>
      </c>
      <c r="L25" s="1030">
        <f t="shared" si="2"/>
        <v>0.12733075616770351</v>
      </c>
      <c r="M25" s="1031">
        <f t="shared" si="3"/>
        <v>0.12968875682702136</v>
      </c>
      <c r="N25" s="912">
        <f t="shared" si="4"/>
        <v>0.14183919074997081</v>
      </c>
      <c r="O25" s="1027">
        <f t="shared" si="5"/>
        <v>0.36301564326291291</v>
      </c>
      <c r="P25" s="813"/>
    </row>
    <row r="26" spans="1:16" ht="14" customHeight="1">
      <c r="A26" s="826">
        <v>1982</v>
      </c>
      <c r="B26" s="816">
        <f t="shared" si="6"/>
        <v>475.97599999999994</v>
      </c>
      <c r="C26" s="832">
        <f>'Assets(BoP)'!MM74</f>
        <v>407.36399999999998</v>
      </c>
      <c r="D26" s="832">
        <f>'Assets(BoP)'!MG74</f>
        <v>59.906999999999996</v>
      </c>
      <c r="E26" s="832">
        <f>'Assets(BoP)'!LX74</f>
        <v>8.7050000000000001</v>
      </c>
      <c r="F26" s="1011">
        <f>C26+D26-J26</f>
        <v>406.63299999999998</v>
      </c>
      <c r="G26" s="816">
        <f t="shared" si="7"/>
        <v>254.18500000000003</v>
      </c>
      <c r="H26" s="934">
        <f>Liabilities!GT74</f>
        <v>153.60600000000002</v>
      </c>
      <c r="I26" s="874">
        <f>'Assets(BoP)'!MF74</f>
        <v>39.941000000000003</v>
      </c>
      <c r="J26" s="832">
        <f>'Assets(BoP)'!LW74</f>
        <v>60.637999999999998</v>
      </c>
      <c r="K26" s="937">
        <f>H26+I26-E26</f>
        <v>184.84200000000001</v>
      </c>
      <c r="L26" s="942">
        <f>(D26)/(C26+D26)</f>
        <v>0.12820611593700443</v>
      </c>
      <c r="M26" s="943">
        <f>(I26)/(I26+G26)</f>
        <v>0.13579554340656724</v>
      </c>
      <c r="N26" s="912">
        <f t="shared" ref="N26:N59" si="8">(D26+E26)/B26</f>
        <v>0.14415012521639747</v>
      </c>
      <c r="O26" s="1027">
        <f>(J26+I26)/G26</f>
        <v>0.39569211401144833</v>
      </c>
      <c r="P26" s="813"/>
    </row>
    <row r="27" spans="1:16" ht="14" customHeight="1">
      <c r="A27" s="826">
        <v>1983</v>
      </c>
      <c r="B27" s="816">
        <f t="shared" si="6"/>
        <v>470.14599999999996</v>
      </c>
      <c r="C27" s="832">
        <f>'Assets(BoP)'!MM75</f>
        <v>404.62</v>
      </c>
      <c r="D27" s="832">
        <f>'Assets(BoP)'!MG75</f>
        <v>54.758000000000003</v>
      </c>
      <c r="E27" s="832">
        <f>'Assets(BoP)'!LX75</f>
        <v>10.768000000000001</v>
      </c>
      <c r="F27" s="832">
        <f t="shared" ref="F27:F60" si="9">C27+D27-J27</f>
        <v>393.16399999999999</v>
      </c>
      <c r="G27" s="816">
        <f t="shared" si="7"/>
        <v>270.69</v>
      </c>
      <c r="H27" s="934">
        <f>Liabilities!GT75</f>
        <v>159.31299999999999</v>
      </c>
      <c r="I27" s="874">
        <f>'Assets(BoP)'!MF75</f>
        <v>45.162999999999997</v>
      </c>
      <c r="J27" s="832">
        <f>'Assets(BoP)'!LW75</f>
        <v>66.213999999999999</v>
      </c>
      <c r="K27" s="937">
        <f t="shared" ref="K27:K60" si="10">H27+I27-E27</f>
        <v>193.708</v>
      </c>
      <c r="L27" s="942">
        <f t="shared" ref="L27:L60" si="11">(D27)/(C27+D27)</f>
        <v>0.11920030998437017</v>
      </c>
      <c r="M27" s="943">
        <f t="shared" ref="M27:M60" si="12">(I27)/(I27+G27)</f>
        <v>0.14298740236755705</v>
      </c>
      <c r="N27" s="912">
        <f t="shared" si="8"/>
        <v>0.13937372645944029</v>
      </c>
      <c r="O27" s="815">
        <f t="shared" ref="O27:O59" si="13">(J27+I27)/G27</f>
        <v>0.41145590897336437</v>
      </c>
      <c r="P27" s="813"/>
    </row>
    <row r="28" spans="1:16" ht="14" customHeight="1">
      <c r="A28" s="826">
        <v>1984</v>
      </c>
      <c r="B28" s="816">
        <f t="shared" si="6"/>
        <v>476.88900000000001</v>
      </c>
      <c r="C28" s="832">
        <f>'Assets(BoP)'!MM76</f>
        <v>407.95600000000002</v>
      </c>
      <c r="D28" s="832">
        <f>'Assets(BoP)'!MG76</f>
        <v>56.924999999999997</v>
      </c>
      <c r="E28" s="832">
        <f>'Assets(BoP)'!LX76</f>
        <v>12.007999999999999</v>
      </c>
      <c r="F28" s="832">
        <f t="shared" si="9"/>
        <v>389.54300000000001</v>
      </c>
      <c r="G28" s="816">
        <f t="shared" si="7"/>
        <v>310.88400000000001</v>
      </c>
      <c r="H28" s="934">
        <f>Liabilities!GT76</f>
        <v>181.72500000000002</v>
      </c>
      <c r="I28" s="874">
        <f>'Assets(BoP)'!MF76</f>
        <v>53.820999999999998</v>
      </c>
      <c r="J28" s="832">
        <f>'Assets(BoP)'!LW76</f>
        <v>75.337999999999994</v>
      </c>
      <c r="K28" s="937">
        <f t="shared" si="10"/>
        <v>223.53800000000001</v>
      </c>
      <c r="L28" s="942">
        <f t="shared" si="11"/>
        <v>0.12245069168238752</v>
      </c>
      <c r="M28" s="943">
        <f t="shared" si="12"/>
        <v>0.14757406671145171</v>
      </c>
      <c r="N28" s="912">
        <f t="shared" si="8"/>
        <v>0.14454726361899728</v>
      </c>
      <c r="O28" s="815">
        <f t="shared" si="13"/>
        <v>0.41545721233643412</v>
      </c>
      <c r="P28" s="813"/>
    </row>
    <row r="29" spans="1:16" ht="14" customHeight="1">
      <c r="A29" s="826">
        <v>1985</v>
      </c>
      <c r="B29" s="816">
        <f t="shared" si="6"/>
        <v>497.15600000000001</v>
      </c>
      <c r="C29" s="832">
        <f>'Assets(BoP)'!MM77</f>
        <v>425.36</v>
      </c>
      <c r="D29" s="832">
        <f>'Assets(BoP)'!MG77</f>
        <v>56.031999999999996</v>
      </c>
      <c r="E29" s="832">
        <f>'Assets(BoP)'!LX77</f>
        <v>15.763999999999999</v>
      </c>
      <c r="F29" s="832">
        <f t="shared" si="9"/>
        <v>407.81399999999996</v>
      </c>
      <c r="G29" s="816">
        <f t="shared" si="7"/>
        <v>336.56500000000005</v>
      </c>
      <c r="H29" s="934">
        <f>Liabilities!GT77</f>
        <v>200.22400000000002</v>
      </c>
      <c r="I29" s="874">
        <f>'Assets(BoP)'!MF77</f>
        <v>62.762999999999998</v>
      </c>
      <c r="J29" s="832">
        <f>'Assets(BoP)'!LW77</f>
        <v>73.578000000000003</v>
      </c>
      <c r="K29" s="937">
        <f t="shared" si="10"/>
        <v>247.22300000000001</v>
      </c>
      <c r="L29" s="942">
        <f t="shared" si="11"/>
        <v>0.11639578555522317</v>
      </c>
      <c r="M29" s="943">
        <f t="shared" si="12"/>
        <v>0.15717154820097762</v>
      </c>
      <c r="N29" s="912">
        <f t="shared" si="8"/>
        <v>0.14441342355317041</v>
      </c>
      <c r="O29" s="815">
        <f t="shared" si="13"/>
        <v>0.40509559817568669</v>
      </c>
      <c r="P29" s="813"/>
    </row>
    <row r="30" spans="1:16" ht="14" customHeight="1">
      <c r="A30" s="826">
        <v>1986</v>
      </c>
      <c r="B30" s="816">
        <f t="shared" si="6"/>
        <v>522.55600000000004</v>
      </c>
      <c r="C30" s="832">
        <f>'Assets(BoP)'!MM78</f>
        <v>445.93100000000004</v>
      </c>
      <c r="D30" s="832">
        <f>'Assets(BoP)'!MG78</f>
        <v>58.747999999999998</v>
      </c>
      <c r="E30" s="832">
        <f>'Assets(BoP)'!LX78</f>
        <v>17.876999999999999</v>
      </c>
      <c r="F30" s="832">
        <f t="shared" si="9"/>
        <v>437.49200000000002</v>
      </c>
      <c r="G30" s="816">
        <f t="shared" si="7"/>
        <v>369.76500000000004</v>
      </c>
      <c r="H30" s="934">
        <f>Liabilities!GT78</f>
        <v>226.40400000000002</v>
      </c>
      <c r="I30" s="874">
        <f>'Assets(BoP)'!MF78</f>
        <v>76.174000000000007</v>
      </c>
      <c r="J30" s="832">
        <f>'Assets(BoP)'!LW78</f>
        <v>67.186999999999998</v>
      </c>
      <c r="K30" s="937">
        <f t="shared" si="10"/>
        <v>284.70100000000002</v>
      </c>
      <c r="L30" s="942">
        <f t="shared" si="11"/>
        <v>0.11640666641568204</v>
      </c>
      <c r="M30" s="943">
        <f t="shared" si="12"/>
        <v>0.17081708484792762</v>
      </c>
      <c r="N30" s="912">
        <f t="shared" si="8"/>
        <v>0.14663500179885025</v>
      </c>
      <c r="O30" s="815">
        <f t="shared" si="13"/>
        <v>0.38770840939515633</v>
      </c>
      <c r="P30" s="813"/>
    </row>
    <row r="31" spans="1:16" ht="14" customHeight="1">
      <c r="A31" s="826">
        <v>1987</v>
      </c>
      <c r="B31" s="816">
        <f t="shared" si="6"/>
        <v>598.12900000000002</v>
      </c>
      <c r="C31" s="832">
        <f>'Assets(BoP)'!MM79</f>
        <v>508.22800000000001</v>
      </c>
      <c r="D31" s="832">
        <f>'Assets(BoP)'!MG79</f>
        <v>64.037000000000006</v>
      </c>
      <c r="E31" s="832">
        <f>'Assets(BoP)'!LX79</f>
        <v>25.864000000000001</v>
      </c>
      <c r="F31" s="832">
        <f t="shared" si="9"/>
        <v>506.62399999999997</v>
      </c>
      <c r="G31" s="816">
        <f t="shared" si="7"/>
        <v>426.05800000000005</v>
      </c>
      <c r="H31" s="934">
        <f>Liabilities!GT79</f>
        <v>258.87200000000001</v>
      </c>
      <c r="I31" s="874">
        <f>'Assets(BoP)'!MF79</f>
        <v>101.545</v>
      </c>
      <c r="J31" s="832">
        <f>'Assets(BoP)'!LW79</f>
        <v>65.641000000000005</v>
      </c>
      <c r="K31" s="937">
        <f t="shared" si="10"/>
        <v>334.55300000000005</v>
      </c>
      <c r="L31" s="942">
        <f t="shared" si="11"/>
        <v>0.1119009549771522</v>
      </c>
      <c r="M31" s="943">
        <f t="shared" si="12"/>
        <v>0.19246478886587071</v>
      </c>
      <c r="N31" s="912">
        <f t="shared" si="8"/>
        <v>0.15030369702856744</v>
      </c>
      <c r="O31" s="815">
        <f t="shared" si="13"/>
        <v>0.39240197344023581</v>
      </c>
      <c r="P31" s="813"/>
    </row>
    <row r="32" spans="1:16" ht="14" customHeight="1">
      <c r="A32" s="826">
        <v>1988</v>
      </c>
      <c r="B32" s="816">
        <f t="shared" si="6"/>
        <v>626.40599999999995</v>
      </c>
      <c r="C32" s="832">
        <f>'Assets(BoP)'!MM80</f>
        <v>526.3549999999999</v>
      </c>
      <c r="D32" s="832">
        <f>'Assets(BoP)'!MG80</f>
        <v>67.97</v>
      </c>
      <c r="E32" s="832">
        <f>'Assets(BoP)'!LX80</f>
        <v>32.081000000000003</v>
      </c>
      <c r="F32" s="832">
        <f t="shared" si="9"/>
        <v>535.92099999999994</v>
      </c>
      <c r="G32" s="816">
        <f t="shared" si="7"/>
        <v>492.25099999999998</v>
      </c>
      <c r="H32" s="934">
        <f>Liabilities!GT80</f>
        <v>314.524</v>
      </c>
      <c r="I32" s="874">
        <f>'Assets(BoP)'!MF80</f>
        <v>119.32299999999999</v>
      </c>
      <c r="J32" s="832">
        <f>'Assets(BoP)'!LW80</f>
        <v>58.404000000000003</v>
      </c>
      <c r="K32" s="937">
        <f t="shared" si="10"/>
        <v>401.76599999999996</v>
      </c>
      <c r="L32" s="942">
        <f t="shared" si="11"/>
        <v>0.11436503596517059</v>
      </c>
      <c r="M32" s="943">
        <f t="shared" si="12"/>
        <v>0.19510803271558308</v>
      </c>
      <c r="N32" s="912">
        <f t="shared" si="8"/>
        <v>0.15972228873925221</v>
      </c>
      <c r="O32" s="815">
        <f t="shared" si="13"/>
        <v>0.36104954586176569</v>
      </c>
      <c r="P32" s="813"/>
    </row>
    <row r="33" spans="1:16" ht="14" customHeight="1">
      <c r="A33" s="856">
        <v>1989</v>
      </c>
      <c r="B33" s="872">
        <f t="shared" si="6"/>
        <v>668.16</v>
      </c>
      <c r="C33" s="876">
        <f>'Assets(BoP)'!MM81</f>
        <v>542.50199999999995</v>
      </c>
      <c r="D33" s="876">
        <f>'Assets(BoP)'!MG81</f>
        <v>92.084000000000003</v>
      </c>
      <c r="E33" s="876">
        <f>'Assets(BoP)'!LX81</f>
        <v>33.573999999999998</v>
      </c>
      <c r="F33" s="876">
        <f t="shared" si="9"/>
        <v>570.65499999999997</v>
      </c>
      <c r="G33" s="872">
        <f t="shared" si="7"/>
        <v>565.39100000000008</v>
      </c>
      <c r="H33" s="935">
        <f>Liabilities!GT81</f>
        <v>356.02000000000004</v>
      </c>
      <c r="I33" s="877">
        <f>'Assets(BoP)'!MF81</f>
        <v>145.44</v>
      </c>
      <c r="J33" s="876">
        <f>'Assets(BoP)'!LW81</f>
        <v>63.930999999999997</v>
      </c>
      <c r="K33" s="938">
        <f t="shared" si="10"/>
        <v>467.88600000000002</v>
      </c>
      <c r="L33" s="944">
        <f t="shared" si="11"/>
        <v>0.14510877958227883</v>
      </c>
      <c r="M33" s="945">
        <f t="shared" si="12"/>
        <v>0.20460559542282197</v>
      </c>
      <c r="N33" s="913">
        <f t="shared" si="8"/>
        <v>0.18806573275862071</v>
      </c>
      <c r="O33" s="940">
        <f t="shared" si="13"/>
        <v>0.37031187266864868</v>
      </c>
      <c r="P33" s="813"/>
    </row>
    <row r="34" spans="1:16" ht="14" customHeight="1">
      <c r="A34" s="826">
        <v>1990</v>
      </c>
      <c r="B34" s="816">
        <f t="shared" si="6"/>
        <v>751.37300000000005</v>
      </c>
      <c r="C34" s="832">
        <f>'Assets(BoP)'!MM82</f>
        <v>602.178</v>
      </c>
      <c r="D34" s="832">
        <f>'Assets(BoP)'!MG82</f>
        <v>101.455</v>
      </c>
      <c r="E34" s="832">
        <f>'Assets(BoP)'!LX82</f>
        <v>47.74</v>
      </c>
      <c r="F34" s="832">
        <f t="shared" si="9"/>
        <v>629.80400000000009</v>
      </c>
      <c r="G34" s="816">
        <f t="shared" si="7"/>
        <v>626.91499999999996</v>
      </c>
      <c r="H34" s="934">
        <f>Liabilities!GT82</f>
        <v>387.14100000000002</v>
      </c>
      <c r="I34" s="874">
        <f>'Assets(BoP)'!MF82</f>
        <v>165.94499999999999</v>
      </c>
      <c r="J34" s="832">
        <f>'Assets(BoP)'!LW82</f>
        <v>73.828999999999994</v>
      </c>
      <c r="K34" s="937">
        <f t="shared" si="10"/>
        <v>505.346</v>
      </c>
      <c r="L34" s="942">
        <f t="shared" si="11"/>
        <v>0.14418738177430562</v>
      </c>
      <c r="M34" s="943">
        <f t="shared" si="12"/>
        <v>0.20929924576848374</v>
      </c>
      <c r="N34" s="912">
        <f t="shared" si="8"/>
        <v>0.19856316370165017</v>
      </c>
      <c r="O34" s="815">
        <f t="shared" si="13"/>
        <v>0.38246652257483077</v>
      </c>
      <c r="P34" s="813"/>
    </row>
    <row r="35" spans="1:16" ht="14" customHeight="1">
      <c r="A35" s="826">
        <v>1991</v>
      </c>
      <c r="B35" s="816">
        <f t="shared" si="6"/>
        <v>792.76199999999994</v>
      </c>
      <c r="C35" s="832">
        <f>'Assets(BoP)'!MM83</f>
        <v>633.63599999999997</v>
      </c>
      <c r="D35" s="832">
        <f>'Assets(BoP)'!MG83</f>
        <v>101.569</v>
      </c>
      <c r="E35" s="832">
        <f>'Assets(BoP)'!LX83</f>
        <v>57.557000000000002</v>
      </c>
      <c r="F35" s="832">
        <f t="shared" si="9"/>
        <v>657.71699999999987</v>
      </c>
      <c r="G35" s="816">
        <f t="shared" si="7"/>
        <v>668.44900000000007</v>
      </c>
      <c r="H35" s="934">
        <f>Liabilities!GT83</f>
        <v>419.52600000000001</v>
      </c>
      <c r="I35" s="874">
        <f>'Assets(BoP)'!MF83</f>
        <v>171.435</v>
      </c>
      <c r="J35" s="832">
        <f>'Assets(BoP)'!LW83</f>
        <v>77.488</v>
      </c>
      <c r="K35" s="937">
        <f t="shared" si="10"/>
        <v>533.404</v>
      </c>
      <c r="L35" s="942">
        <f t="shared" si="11"/>
        <v>0.13815058385076273</v>
      </c>
      <c r="M35" s="943">
        <f t="shared" si="12"/>
        <v>0.20411747336536951</v>
      </c>
      <c r="N35" s="912">
        <f t="shared" si="8"/>
        <v>0.20072354628501368</v>
      </c>
      <c r="O35" s="815">
        <f t="shared" si="13"/>
        <v>0.37238891822711978</v>
      </c>
      <c r="P35" s="813"/>
    </row>
    <row r="36" spans="1:16" ht="14" customHeight="1">
      <c r="A36" s="826">
        <v>1992</v>
      </c>
      <c r="B36" s="816">
        <f t="shared" si="6"/>
        <v>819.12</v>
      </c>
      <c r="C36" s="832">
        <f>'Assets(BoP)'!MM84</f>
        <v>637.96799999999996</v>
      </c>
      <c r="D36" s="832">
        <f>'Assets(BoP)'!MG84</f>
        <v>112.748</v>
      </c>
      <c r="E36" s="832">
        <f>'Assets(BoP)'!LX84</f>
        <v>68.403999999999996</v>
      </c>
      <c r="F36" s="832">
        <f t="shared" si="9"/>
        <v>674.38599999999997</v>
      </c>
      <c r="G36" s="816">
        <f t="shared" si="7"/>
        <v>685.00400000000002</v>
      </c>
      <c r="H36" s="934">
        <f>Liabilities!GT84</f>
        <v>425.089</v>
      </c>
      <c r="I36" s="874">
        <f>'Assets(BoP)'!MF84</f>
        <v>183.58500000000001</v>
      </c>
      <c r="J36" s="832">
        <f>'Assets(BoP)'!LW84</f>
        <v>76.33</v>
      </c>
      <c r="K36" s="937">
        <f t="shared" si="10"/>
        <v>540.27</v>
      </c>
      <c r="L36" s="942">
        <f t="shared" si="11"/>
        <v>0.1501872878691809</v>
      </c>
      <c r="M36" s="943">
        <f t="shared" si="12"/>
        <v>0.21136003334143075</v>
      </c>
      <c r="N36" s="912">
        <f t="shared" si="8"/>
        <v>0.22115440961031349</v>
      </c>
      <c r="O36" s="815">
        <f t="shared" si="13"/>
        <v>0.37943574052122325</v>
      </c>
      <c r="P36" s="813"/>
    </row>
    <row r="37" spans="1:16" ht="14" customHeight="1">
      <c r="A37" s="826">
        <v>1993</v>
      </c>
      <c r="B37" s="816">
        <f t="shared" si="6"/>
        <v>866.83799999999997</v>
      </c>
      <c r="C37" s="882">
        <f>'Assets(BoP)'!MM85</f>
        <v>664.52599999999995</v>
      </c>
      <c r="D37" s="882">
        <f>'Assets(BoP)'!MG85</f>
        <v>138.90600000000001</v>
      </c>
      <c r="E37" s="882">
        <f>'Assets(BoP)'!LX85</f>
        <v>63.405999999999999</v>
      </c>
      <c r="F37" s="832">
        <f t="shared" si="9"/>
        <v>723.52600000000007</v>
      </c>
      <c r="G37" s="816">
        <f t="shared" si="7"/>
        <v>736.625</v>
      </c>
      <c r="H37" s="934">
        <f>Liabilities!GT85</f>
        <v>449.38199999999995</v>
      </c>
      <c r="I37" s="874">
        <f>'Assets(BoP)'!MF85</f>
        <v>207.33699999999999</v>
      </c>
      <c r="J37" s="882">
        <f>'Assets(BoP)'!LW85</f>
        <v>79.906000000000006</v>
      </c>
      <c r="K37" s="937">
        <f t="shared" si="10"/>
        <v>593.31299999999999</v>
      </c>
      <c r="L37" s="942">
        <f t="shared" si="11"/>
        <v>0.17289079847454422</v>
      </c>
      <c r="M37" s="943">
        <f t="shared" si="12"/>
        <v>0.21964549420421584</v>
      </c>
      <c r="N37" s="912">
        <f t="shared" si="8"/>
        <v>0.23339078351433604</v>
      </c>
      <c r="O37" s="815">
        <f t="shared" si="13"/>
        <v>0.38994468012896655</v>
      </c>
      <c r="P37" s="813"/>
    </row>
    <row r="38" spans="1:16" ht="14" customHeight="1">
      <c r="A38" s="826">
        <v>1994</v>
      </c>
      <c r="B38" s="816">
        <f t="shared" si="6"/>
        <v>906.06700000000001</v>
      </c>
      <c r="C38" s="832">
        <f>'Assets(BoP)'!MM86</f>
        <v>726.03100000000006</v>
      </c>
      <c r="D38" s="832">
        <f>'Assets(BoP)'!MG86</f>
        <v>140.43899999999999</v>
      </c>
      <c r="E38" s="832">
        <f>'Assets(BoP)'!LX86</f>
        <v>39.597000000000001</v>
      </c>
      <c r="F38" s="832">
        <f t="shared" si="9"/>
        <v>786.56600000000003</v>
      </c>
      <c r="G38" s="816">
        <f t="shared" si="7"/>
        <v>737.48299999999995</v>
      </c>
      <c r="H38" s="934">
        <f>Liabilities!GT86</f>
        <v>483.99699999999996</v>
      </c>
      <c r="I38" s="874">
        <f>'Assets(BoP)'!MF86</f>
        <v>173.58199999999999</v>
      </c>
      <c r="J38" s="832">
        <f>'Assets(BoP)'!LW86</f>
        <v>79.903999999999996</v>
      </c>
      <c r="K38" s="937">
        <f t="shared" si="10"/>
        <v>617.98199999999997</v>
      </c>
      <c r="L38" s="942">
        <f t="shared" si="11"/>
        <v>0.1620817800962526</v>
      </c>
      <c r="M38" s="943">
        <f t="shared" si="12"/>
        <v>0.19052647176655893</v>
      </c>
      <c r="N38" s="912">
        <f t="shared" si="8"/>
        <v>0.19870053759821293</v>
      </c>
      <c r="O38" s="815">
        <f t="shared" si="13"/>
        <v>0.34371775349397887</v>
      </c>
      <c r="P38" s="813"/>
    </row>
    <row r="39" spans="1:16">
      <c r="A39" s="826">
        <v>1995</v>
      </c>
      <c r="B39" s="816">
        <f t="shared" si="6"/>
        <v>1015.3229999999999</v>
      </c>
      <c r="C39" s="832">
        <f>'Assets(BoP)'!MM87</f>
        <v>827.35699999999997</v>
      </c>
      <c r="D39" s="832">
        <f>'Assets(BoP)'!MG87</f>
        <v>147.166</v>
      </c>
      <c r="E39" s="832">
        <f>'Assets(BoP)'!LX87</f>
        <v>40.799999999999997</v>
      </c>
      <c r="F39" s="832">
        <f t="shared" si="9"/>
        <v>885.50699999999995</v>
      </c>
      <c r="G39" s="816">
        <f t="shared" si="7"/>
        <v>809.88199999999995</v>
      </c>
      <c r="H39" s="934">
        <f>Liabilities!GT87</f>
        <v>544.62</v>
      </c>
      <c r="I39" s="874">
        <f>'Assets(BoP)'!MF87</f>
        <v>176.24600000000001</v>
      </c>
      <c r="J39" s="832">
        <f>'Assets(BoP)'!LW87</f>
        <v>89.016000000000005</v>
      </c>
      <c r="K39" s="937">
        <f t="shared" si="10"/>
        <v>680.06600000000003</v>
      </c>
      <c r="L39" s="942">
        <f t="shared" si="11"/>
        <v>0.15101336756546538</v>
      </c>
      <c r="M39" s="943">
        <f t="shared" si="12"/>
        <v>0.17872527704314251</v>
      </c>
      <c r="N39" s="912">
        <f t="shared" si="8"/>
        <v>0.18512926428338572</v>
      </c>
      <c r="O39" s="815">
        <f t="shared" si="13"/>
        <v>0.32753166510676868</v>
      </c>
      <c r="P39" s="813"/>
    </row>
    <row r="40" spans="1:16">
      <c r="A40" s="826">
        <v>1996</v>
      </c>
      <c r="B40" s="816">
        <f t="shared" si="6"/>
        <v>1130.7689999999998</v>
      </c>
      <c r="C40" s="832">
        <f>'Assets(BoP)'!MM88</f>
        <v>922</v>
      </c>
      <c r="D40" s="832">
        <f>'Assets(BoP)'!MG88</f>
        <v>161.12</v>
      </c>
      <c r="E40" s="832">
        <f>'Assets(BoP)'!LX88</f>
        <v>47.649000000000001</v>
      </c>
      <c r="F40" s="832">
        <f t="shared" si="9"/>
        <v>989.81099999999992</v>
      </c>
      <c r="G40" s="816">
        <f t="shared" si="7"/>
        <v>886.577</v>
      </c>
      <c r="H40" s="934">
        <f>Liabilities!GT88</f>
        <v>595.91100000000006</v>
      </c>
      <c r="I40" s="874">
        <f>'Assets(BoP)'!MF88</f>
        <v>197.357</v>
      </c>
      <c r="J40" s="832">
        <f>'Assets(BoP)'!LW88</f>
        <v>93.308999999999997</v>
      </c>
      <c r="K40" s="937">
        <f t="shared" si="10"/>
        <v>745.61900000000003</v>
      </c>
      <c r="L40" s="942">
        <f t="shared" si="11"/>
        <v>0.14875544722653078</v>
      </c>
      <c r="M40" s="943">
        <f t="shared" si="12"/>
        <v>0.18207473886786466</v>
      </c>
      <c r="N40" s="912">
        <f t="shared" si="8"/>
        <v>0.18462568393721446</v>
      </c>
      <c r="O40" s="815">
        <f t="shared" si="13"/>
        <v>0.32785195194551631</v>
      </c>
      <c r="P40" s="813"/>
    </row>
    <row r="41" spans="1:16">
      <c r="A41" s="826">
        <v>1997</v>
      </c>
      <c r="B41" s="816">
        <f t="shared" si="6"/>
        <v>1225.4489999999998</v>
      </c>
      <c r="C41" s="832">
        <f>'Assets(BoP)'!MM89</f>
        <v>994.26200000000006</v>
      </c>
      <c r="D41" s="832">
        <f>'Assets(BoP)'!MG89</f>
        <v>178.10599999999999</v>
      </c>
      <c r="E41" s="832">
        <f>'Assets(BoP)'!LX89</f>
        <v>53.081000000000003</v>
      </c>
      <c r="F41" s="832">
        <f t="shared" si="9"/>
        <v>1068.0629999999999</v>
      </c>
      <c r="G41" s="816">
        <f t="shared" si="7"/>
        <v>981.52199999999993</v>
      </c>
      <c r="H41" s="934">
        <f>Liabilities!GT89</f>
        <v>644.66999999999996</v>
      </c>
      <c r="I41" s="874">
        <f>'Assets(BoP)'!MF89</f>
        <v>232.547</v>
      </c>
      <c r="J41" s="832">
        <f>'Assets(BoP)'!LW89</f>
        <v>104.30500000000001</v>
      </c>
      <c r="K41" s="937">
        <f t="shared" si="10"/>
        <v>824.13599999999997</v>
      </c>
      <c r="L41" s="942">
        <f t="shared" si="11"/>
        <v>0.15191987498805837</v>
      </c>
      <c r="M41" s="943">
        <f t="shared" si="12"/>
        <v>0.19154347899501595</v>
      </c>
      <c r="N41" s="912">
        <f t="shared" si="8"/>
        <v>0.18865493382425547</v>
      </c>
      <c r="O41" s="815">
        <f t="shared" si="13"/>
        <v>0.34319353004823122</v>
      </c>
      <c r="P41" s="813"/>
    </row>
    <row r="42" spans="1:16">
      <c r="A42" s="826">
        <v>1998</v>
      </c>
      <c r="B42" s="816">
        <f t="shared" si="6"/>
        <v>1385.5159999999998</v>
      </c>
      <c r="C42" s="832">
        <f>'Assets(BoP)'!MM90</f>
        <v>1096.2269999999999</v>
      </c>
      <c r="D42" s="832">
        <f>'Assets(BoP)'!MG90</f>
        <v>221.35499999999999</v>
      </c>
      <c r="E42" s="832">
        <f>'Assets(BoP)'!LX90</f>
        <v>67.933999999999997</v>
      </c>
      <c r="F42" s="832">
        <f t="shared" si="9"/>
        <v>1196.021</v>
      </c>
      <c r="G42" s="816">
        <f t="shared" si="7"/>
        <v>1109.539</v>
      </c>
      <c r="H42" s="934">
        <f>Liabilities!GT90</f>
        <v>711.46600000000001</v>
      </c>
      <c r="I42" s="874">
        <f>'Assets(BoP)'!MF90</f>
        <v>276.512</v>
      </c>
      <c r="J42" s="832">
        <f>'Assets(BoP)'!LW90</f>
        <v>121.56100000000001</v>
      </c>
      <c r="K42" s="937">
        <f t="shared" si="10"/>
        <v>920.0440000000001</v>
      </c>
      <c r="L42" s="942">
        <f t="shared" si="11"/>
        <v>0.16800092897443955</v>
      </c>
      <c r="M42" s="943">
        <f t="shared" si="12"/>
        <v>0.19949626673188794</v>
      </c>
      <c r="N42" s="912">
        <f t="shared" si="8"/>
        <v>0.20879513480898093</v>
      </c>
      <c r="O42" s="815">
        <f t="shared" si="13"/>
        <v>0.35877332838232812</v>
      </c>
      <c r="P42" s="813"/>
    </row>
    <row r="43" spans="1:16">
      <c r="A43" s="856">
        <v>1999</v>
      </c>
      <c r="B43" s="872">
        <f t="shared" si="6"/>
        <v>1636.8019999999999</v>
      </c>
      <c r="C43" s="876">
        <f>'Assets(BoP)'!MM91</f>
        <v>1264.1949999999999</v>
      </c>
      <c r="D43" s="876">
        <f>'Assets(BoP)'!MG91</f>
        <v>301.96199999999999</v>
      </c>
      <c r="E43" s="876">
        <f>'Assets(BoP)'!LX91</f>
        <v>70.644999999999996</v>
      </c>
      <c r="F43" s="876">
        <f t="shared" si="9"/>
        <v>1425.0369999999998</v>
      </c>
      <c r="G43" s="872">
        <f t="shared" si="7"/>
        <v>1333.0929999999998</v>
      </c>
      <c r="H43" s="935">
        <f>Liabilities!GT91</f>
        <v>848.99599999999998</v>
      </c>
      <c r="I43" s="877">
        <f>'Assets(BoP)'!MF91</f>
        <v>342.97699999999998</v>
      </c>
      <c r="J43" s="876">
        <f>'Assets(BoP)'!LW91</f>
        <v>141.12</v>
      </c>
      <c r="K43" s="938">
        <f t="shared" si="10"/>
        <v>1121.328</v>
      </c>
      <c r="L43" s="944">
        <f t="shared" si="11"/>
        <v>0.19280442509914394</v>
      </c>
      <c r="M43" s="945">
        <f t="shared" si="12"/>
        <v>0.20463166812841949</v>
      </c>
      <c r="N43" s="913">
        <f t="shared" si="8"/>
        <v>0.22764329466850602</v>
      </c>
      <c r="O43" s="939">
        <f t="shared" si="13"/>
        <v>0.36313820566157051</v>
      </c>
      <c r="P43" s="813"/>
    </row>
    <row r="44" spans="1:16">
      <c r="A44" s="826">
        <v>2000</v>
      </c>
      <c r="B44" s="816">
        <f t="shared" si="6"/>
        <v>1791.4289999999999</v>
      </c>
      <c r="C44" s="832">
        <f>'Assets(BoP)'!MM92</f>
        <v>1402.462</v>
      </c>
      <c r="D44" s="832">
        <f>'Assets(BoP)'!MG92</f>
        <v>296.428</v>
      </c>
      <c r="E44" s="832">
        <f>'Assets(BoP)'!LX92</f>
        <v>92.539000000000001</v>
      </c>
      <c r="F44" s="832">
        <f t="shared" si="9"/>
        <v>1550.8729999999998</v>
      </c>
      <c r="G44" s="816">
        <f t="shared" si="7"/>
        <v>1699.6490000000003</v>
      </c>
      <c r="H44" s="934">
        <f>Liabilities!GT92</f>
        <v>1124.8650000000002</v>
      </c>
      <c r="I44" s="874">
        <f>'Assets(BoP)'!MF92</f>
        <v>426.767</v>
      </c>
      <c r="J44" s="832">
        <f>'Assets(BoP)'!LW92</f>
        <v>148.017</v>
      </c>
      <c r="K44" s="937">
        <f t="shared" si="10"/>
        <v>1459.0930000000003</v>
      </c>
      <c r="L44" s="942">
        <f t="shared" si="11"/>
        <v>0.17448333912142636</v>
      </c>
      <c r="M44" s="943">
        <f t="shared" si="12"/>
        <v>0.2006977938465474</v>
      </c>
      <c r="N44" s="912">
        <f t="shared" si="8"/>
        <v>0.21712666256937899</v>
      </c>
      <c r="O44" s="815">
        <f t="shared" si="13"/>
        <v>0.33817805911691173</v>
      </c>
      <c r="P44" s="813"/>
    </row>
    <row r="45" spans="1:16">
      <c r="A45" s="826">
        <v>2001</v>
      </c>
      <c r="B45" s="816">
        <f t="shared" si="6"/>
        <v>1967.5380000000002</v>
      </c>
      <c r="C45" s="882">
        <f>'Assets(BoP)'!MM93</f>
        <v>1571.9860000000001</v>
      </c>
      <c r="D45" s="882">
        <f>'Assets(BoP)'!MG93</f>
        <v>310.334</v>
      </c>
      <c r="E45" s="882">
        <f>'Assets(BoP)'!LX93</f>
        <v>85.218000000000004</v>
      </c>
      <c r="F45" s="832">
        <f t="shared" si="9"/>
        <v>1728.0090000000002</v>
      </c>
      <c r="G45" s="816">
        <f t="shared" si="7"/>
        <v>1811.1220000000001</v>
      </c>
      <c r="H45" s="934">
        <f>Liabilities!GT93</f>
        <v>1177.3960000000002</v>
      </c>
      <c r="I45" s="874">
        <f>'Assets(BoP)'!MF93</f>
        <v>479.41500000000002</v>
      </c>
      <c r="J45" s="882">
        <f>'Assets(BoP)'!LW93</f>
        <v>154.31100000000001</v>
      </c>
      <c r="K45" s="937">
        <f t="shared" si="10"/>
        <v>1571.5930000000001</v>
      </c>
      <c r="L45" s="942">
        <f t="shared" si="11"/>
        <v>0.16486782268689701</v>
      </c>
      <c r="M45" s="943">
        <f t="shared" si="12"/>
        <v>0.20930244741735232</v>
      </c>
      <c r="N45" s="912">
        <f t="shared" si="8"/>
        <v>0.20103906506507116</v>
      </c>
      <c r="O45" s="815">
        <f t="shared" si="13"/>
        <v>0.34990795760859839</v>
      </c>
      <c r="P45" s="813"/>
    </row>
    <row r="46" spans="1:16">
      <c r="A46" s="826">
        <v>2002</v>
      </c>
      <c r="B46" s="816">
        <f t="shared" si="6"/>
        <v>2188.9639999999999</v>
      </c>
      <c r="C46" s="832">
        <f>'Assets(BoP)'!MM94</f>
        <v>1745.933</v>
      </c>
      <c r="D46" s="832">
        <f>'Assets(BoP)'!MG94</f>
        <v>349.72899999999998</v>
      </c>
      <c r="E46" s="832">
        <f>'Assets(BoP)'!LX94</f>
        <v>93.302000000000007</v>
      </c>
      <c r="F46" s="832">
        <f t="shared" si="9"/>
        <v>1928.4109999999998</v>
      </c>
      <c r="G46" s="816">
        <f t="shared" si="7"/>
        <v>1838.4979999999998</v>
      </c>
      <c r="H46" s="934">
        <f>Liabilities!GT94</f>
        <v>1214.6799999999998</v>
      </c>
      <c r="I46" s="874">
        <f>'Assets(BoP)'!MF94</f>
        <v>456.56700000000001</v>
      </c>
      <c r="J46" s="832">
        <f>'Assets(BoP)'!LW94</f>
        <v>167.251</v>
      </c>
      <c r="K46" s="937">
        <f t="shared" si="10"/>
        <v>1577.9449999999999</v>
      </c>
      <c r="L46" s="942">
        <f t="shared" si="11"/>
        <v>0.16688235030267287</v>
      </c>
      <c r="M46" s="943">
        <f t="shared" si="12"/>
        <v>0.19893423497809434</v>
      </c>
      <c r="N46" s="912">
        <f t="shared" si="8"/>
        <v>0.20239300417914594</v>
      </c>
      <c r="O46" s="815">
        <f t="shared" si="13"/>
        <v>0.33930850074354174</v>
      </c>
      <c r="P46" s="813"/>
    </row>
    <row r="47" spans="1:16">
      <c r="A47" s="826">
        <v>2003</v>
      </c>
      <c r="B47" s="816">
        <f t="shared" si="6"/>
        <v>2431.0439999999999</v>
      </c>
      <c r="C47" s="832">
        <f>'Assets(BoP)'!MM95</f>
        <v>1942.1669999999999</v>
      </c>
      <c r="D47" s="832">
        <f>'Assets(BoP)'!MG95</f>
        <v>371.40600000000001</v>
      </c>
      <c r="E47" s="832">
        <f>'Assets(BoP)'!LX95</f>
        <v>117.471</v>
      </c>
      <c r="F47" s="832">
        <f t="shared" si="9"/>
        <v>2122.8589999999999</v>
      </c>
      <c r="G47" s="816">
        <f t="shared" si="7"/>
        <v>1966.4590000000001</v>
      </c>
      <c r="H47" s="934">
        <f>Liabilities!GT95</f>
        <v>1339.9390000000001</v>
      </c>
      <c r="I47" s="874">
        <f>'Assets(BoP)'!MF95</f>
        <v>435.80599999999998</v>
      </c>
      <c r="J47" s="832">
        <f>'Assets(BoP)'!LW95</f>
        <v>190.714</v>
      </c>
      <c r="K47" s="937">
        <f t="shared" si="10"/>
        <v>1658.2740000000001</v>
      </c>
      <c r="L47" s="942">
        <f t="shared" si="11"/>
        <v>0.1605335124502231</v>
      </c>
      <c r="M47" s="943">
        <f t="shared" si="12"/>
        <v>0.18141462328261038</v>
      </c>
      <c r="N47" s="912">
        <f t="shared" si="8"/>
        <v>0.20109755315000472</v>
      </c>
      <c r="O47" s="815">
        <f t="shared" si="13"/>
        <v>0.31860313385633771</v>
      </c>
      <c r="P47" s="813"/>
    </row>
    <row r="48" spans="1:16">
      <c r="A48" s="826">
        <v>2004</v>
      </c>
      <c r="B48" s="816">
        <f t="shared" si="6"/>
        <v>3008.8419999999996</v>
      </c>
      <c r="C48" s="832">
        <f>'Assets(BoP)'!MM96</f>
        <v>2432.5249999999996</v>
      </c>
      <c r="D48" s="832">
        <f>'Assets(BoP)'!MG96</f>
        <v>433.62099999999998</v>
      </c>
      <c r="E48" s="832">
        <f>'Assets(BoP)'!LX96</f>
        <v>142.696</v>
      </c>
      <c r="F48" s="832">
        <f t="shared" si="9"/>
        <v>2624.7749999999996</v>
      </c>
      <c r="G48" s="816">
        <f t="shared" si="7"/>
        <v>2214.712</v>
      </c>
      <c r="H48" s="934">
        <f>Liabilities!GT96</f>
        <v>1511.9780000000001</v>
      </c>
      <c r="I48" s="874">
        <f>'Assets(BoP)'!MF96</f>
        <v>461.363</v>
      </c>
      <c r="J48" s="832">
        <f>'Assets(BoP)'!LW96</f>
        <v>241.37100000000001</v>
      </c>
      <c r="K48" s="937">
        <f t="shared" si="10"/>
        <v>1830.6450000000002</v>
      </c>
      <c r="L48" s="942">
        <f t="shared" si="11"/>
        <v>0.15129061813320047</v>
      </c>
      <c r="M48" s="943">
        <f t="shared" si="12"/>
        <v>0.1724028661379072</v>
      </c>
      <c r="N48" s="912">
        <f t="shared" si="8"/>
        <v>0.19154113110625287</v>
      </c>
      <c r="O48" s="815">
        <f t="shared" si="13"/>
        <v>0.31730265605640828</v>
      </c>
      <c r="P48" s="813"/>
    </row>
    <row r="49" spans="1:16">
      <c r="A49" s="826">
        <v>2005</v>
      </c>
      <c r="B49" s="816">
        <f t="shared" si="6"/>
        <v>3236.5259999999998</v>
      </c>
      <c r="C49" s="832">
        <f>'Assets(BoP)'!MM97</f>
        <v>2638.6579999999999</v>
      </c>
      <c r="D49" s="832">
        <f>'Assets(BoP)'!MG97</f>
        <v>440.59399999999999</v>
      </c>
      <c r="E49" s="832">
        <f>'Assets(BoP)'!LX97</f>
        <v>157.274</v>
      </c>
      <c r="F49" s="832">
        <f t="shared" si="9"/>
        <v>2827.3519999999999</v>
      </c>
      <c r="G49" s="816">
        <f t="shared" si="7"/>
        <v>2416.3250000000003</v>
      </c>
      <c r="H49" s="934">
        <f>Liabilities!GT97</f>
        <v>1672.877</v>
      </c>
      <c r="I49" s="874">
        <f>'Assets(BoP)'!MF97</f>
        <v>491.548</v>
      </c>
      <c r="J49" s="832">
        <f>'Assets(BoP)'!LW97</f>
        <v>251.9</v>
      </c>
      <c r="K49" s="937">
        <f t="shared" si="10"/>
        <v>2007.1510000000003</v>
      </c>
      <c r="L49" s="942">
        <f t="shared" si="11"/>
        <v>0.14308474915336583</v>
      </c>
      <c r="M49" s="943">
        <f t="shared" si="12"/>
        <v>0.1690403948177929</v>
      </c>
      <c r="N49" s="912">
        <f t="shared" si="8"/>
        <v>0.18472522698720789</v>
      </c>
      <c r="O49" s="815">
        <f t="shared" si="13"/>
        <v>0.30767715435630549</v>
      </c>
      <c r="P49" s="813"/>
    </row>
    <row r="50" spans="1:16">
      <c r="A50" s="826">
        <v>2006</v>
      </c>
      <c r="B50" s="816">
        <f t="shared" si="6"/>
        <v>3599.5500000000006</v>
      </c>
      <c r="C50" s="832">
        <f>'Assets(BoP)'!MM98</f>
        <v>2963.9590000000003</v>
      </c>
      <c r="D50" s="832">
        <f>'Assets(BoP)'!MG98</f>
        <v>463.041</v>
      </c>
      <c r="E50" s="832">
        <f>'Assets(BoP)'!LX98</f>
        <v>172.55</v>
      </c>
      <c r="F50" s="832">
        <f t="shared" si="9"/>
        <v>3140.0010000000002</v>
      </c>
      <c r="G50" s="816">
        <f t="shared" si="7"/>
        <v>2715.5039999999999</v>
      </c>
      <c r="H50" s="934">
        <f>Liabilities!GT98</f>
        <v>1858.433</v>
      </c>
      <c r="I50" s="874">
        <f>'Assets(BoP)'!MF98</f>
        <v>570.072</v>
      </c>
      <c r="J50" s="832">
        <f>'Assets(BoP)'!LW98</f>
        <v>286.99900000000002</v>
      </c>
      <c r="K50" s="937">
        <f t="shared" si="10"/>
        <v>2255.9549999999999</v>
      </c>
      <c r="L50" s="942">
        <f t="shared" si="11"/>
        <v>0.13511555296177413</v>
      </c>
      <c r="M50" s="943">
        <f t="shared" si="12"/>
        <v>0.17350747631465532</v>
      </c>
      <c r="N50" s="912">
        <f t="shared" si="8"/>
        <v>0.17657512744648635</v>
      </c>
      <c r="O50" s="815">
        <f t="shared" si="13"/>
        <v>0.31562133585514884</v>
      </c>
      <c r="P50" s="813"/>
    </row>
    <row r="51" spans="1:16">
      <c r="A51" s="826">
        <v>2007</v>
      </c>
      <c r="B51" s="816">
        <f t="shared" si="6"/>
        <v>4306.0529999999999</v>
      </c>
      <c r="C51" s="832">
        <f>'Assets(BoP)'!MM99</f>
        <v>3539.098</v>
      </c>
      <c r="D51" s="832">
        <f>'Assets(BoP)'!MG99</f>
        <v>510.10199999999998</v>
      </c>
      <c r="E51" s="832">
        <f>'Assets(BoP)'!LX99</f>
        <v>256.85300000000001</v>
      </c>
      <c r="F51" s="832">
        <f t="shared" si="9"/>
        <v>3723.1209999999996</v>
      </c>
      <c r="G51" s="816">
        <f t="shared" si="7"/>
        <v>3046.5320000000002</v>
      </c>
      <c r="H51" s="934">
        <f>Liabilities!GT99</f>
        <v>2009.806</v>
      </c>
      <c r="I51" s="874">
        <f>'Assets(BoP)'!MF99</f>
        <v>710.64700000000005</v>
      </c>
      <c r="J51" s="832">
        <f>'Assets(BoP)'!LW99</f>
        <v>326.07900000000001</v>
      </c>
      <c r="K51" s="937">
        <f t="shared" si="10"/>
        <v>2463.6</v>
      </c>
      <c r="L51" s="942">
        <f t="shared" si="11"/>
        <v>0.12597599525832262</v>
      </c>
      <c r="M51" s="943">
        <f t="shared" si="12"/>
        <v>0.18914376983369705</v>
      </c>
      <c r="N51" s="912">
        <f t="shared" si="8"/>
        <v>0.17811090574129021</v>
      </c>
      <c r="O51" s="815">
        <f t="shared" si="13"/>
        <v>0.34029709847131101</v>
      </c>
      <c r="P51" s="813"/>
    </row>
    <row r="52" spans="1:16">
      <c r="A52" s="826">
        <v>2008</v>
      </c>
      <c r="B52" s="816">
        <f t="shared" si="6"/>
        <v>4534.2919999999995</v>
      </c>
      <c r="C52" s="832">
        <f>'Assets(BoP)'!MM100</f>
        <v>3755.2279999999996</v>
      </c>
      <c r="D52" s="832">
        <f>'Assets(BoP)'!MG100</f>
        <v>504.20299999999997</v>
      </c>
      <c r="E52" s="832">
        <f>'Assets(BoP)'!LX100</f>
        <v>274.86099999999999</v>
      </c>
      <c r="F52" s="832">
        <f t="shared" si="9"/>
        <v>3929.4979999999996</v>
      </c>
      <c r="G52" s="816">
        <f t="shared" si="7"/>
        <v>3203.5830000000001</v>
      </c>
      <c r="H52" s="934">
        <f>Liabilities!GT100</f>
        <v>2112.8510000000001</v>
      </c>
      <c r="I52" s="874">
        <f>'Assets(BoP)'!MF100</f>
        <v>760.79899999999998</v>
      </c>
      <c r="J52" s="832">
        <f>'Assets(BoP)'!LW100</f>
        <v>329.93299999999999</v>
      </c>
      <c r="K52" s="937">
        <f t="shared" si="10"/>
        <v>2598.7890000000002</v>
      </c>
      <c r="L52" s="942">
        <f t="shared" si="11"/>
        <v>0.11837332263393867</v>
      </c>
      <c r="M52" s="943">
        <f t="shared" si="12"/>
        <v>0.1919086001298563</v>
      </c>
      <c r="N52" s="912">
        <f t="shared" si="8"/>
        <v>0.17181601890659007</v>
      </c>
      <c r="O52" s="815">
        <f t="shared" si="13"/>
        <v>0.34047252716723742</v>
      </c>
      <c r="P52" s="813"/>
    </row>
    <row r="53" spans="1:16">
      <c r="A53" s="856">
        <v>2009</v>
      </c>
      <c r="B53" s="872">
        <f t="shared" si="6"/>
        <v>4824.3999999999996</v>
      </c>
      <c r="C53" s="876">
        <f>'Assets(BoP)'!MM101</f>
        <v>3976.2869999999994</v>
      </c>
      <c r="D53" s="876">
        <f>'Assets(BoP)'!MG101</f>
        <v>572.02200000000005</v>
      </c>
      <c r="E53" s="876">
        <f>'Assets(BoP)'!LX101</f>
        <v>276.09100000000001</v>
      </c>
      <c r="F53" s="876">
        <f t="shared" si="9"/>
        <v>4201.2299999999996</v>
      </c>
      <c r="G53" s="872">
        <f t="shared" si="7"/>
        <v>3183.5780000000004</v>
      </c>
      <c r="H53" s="935">
        <f>Liabilities!GT101</f>
        <v>2078.8490000000002</v>
      </c>
      <c r="I53" s="877">
        <f>'Assets(BoP)'!MF101</f>
        <v>757.65</v>
      </c>
      <c r="J53" s="876">
        <f>'Assets(BoP)'!LW101</f>
        <v>347.07900000000001</v>
      </c>
      <c r="K53" s="938">
        <f t="shared" si="10"/>
        <v>2560.4080000000004</v>
      </c>
      <c r="L53" s="944">
        <f t="shared" si="11"/>
        <v>0.1257658615542612</v>
      </c>
      <c r="M53" s="945">
        <f t="shared" si="12"/>
        <v>0.19223703881125373</v>
      </c>
      <c r="N53" s="913">
        <f t="shared" si="8"/>
        <v>0.17579657573998841</v>
      </c>
      <c r="O53" s="940">
        <f t="shared" si="13"/>
        <v>0.34700861734815353</v>
      </c>
      <c r="P53" s="813"/>
    </row>
    <row r="54" spans="1:16">
      <c r="A54" s="826">
        <v>2010</v>
      </c>
      <c r="B54" s="816">
        <f t="shared" si="6"/>
        <v>5064.5550000000003</v>
      </c>
      <c r="C54" s="832">
        <f>'Assets(BoP)'!MM102</f>
        <v>4199.0140000000001</v>
      </c>
      <c r="D54" s="832">
        <f>'Assets(BoP)'!MG102</f>
        <v>586.86699999999996</v>
      </c>
      <c r="E54" s="832">
        <f>'Assets(BoP)'!LX102</f>
        <v>278.67399999999998</v>
      </c>
      <c r="F54" s="832">
        <f t="shared" si="9"/>
        <v>4387.7510000000002</v>
      </c>
      <c r="G54" s="816">
        <f t="shared" si="7"/>
        <v>3468.1620000000003</v>
      </c>
      <c r="H54" s="934">
        <f>Liabilities!GT102</f>
        <v>2296.8180000000002</v>
      </c>
      <c r="I54" s="874">
        <f>'Assets(BoP)'!MF102</f>
        <v>773.21400000000006</v>
      </c>
      <c r="J54" s="832">
        <f>'Assets(BoP)'!LW102</f>
        <v>398.13</v>
      </c>
      <c r="K54" s="937">
        <f t="shared" si="10"/>
        <v>2791.3580000000002</v>
      </c>
      <c r="L54" s="942">
        <f t="shared" si="11"/>
        <v>0.12262465364266265</v>
      </c>
      <c r="M54" s="943">
        <f t="shared" si="12"/>
        <v>0.18230263008985764</v>
      </c>
      <c r="N54" s="912">
        <f t="shared" si="8"/>
        <v>0.1709016883023286</v>
      </c>
      <c r="O54" s="815">
        <f t="shared" si="13"/>
        <v>0.33774200859129416</v>
      </c>
      <c r="P54" s="813"/>
    </row>
    <row r="55" spans="1:16">
      <c r="A55" s="826">
        <v>2011</v>
      </c>
      <c r="B55" s="816">
        <f t="shared" si="6"/>
        <v>5433.0630000000001</v>
      </c>
      <c r="C55" s="832">
        <f>'Assets(BoP)'!MM103</f>
        <v>4538.2890000000007</v>
      </c>
      <c r="D55" s="832">
        <f>'Assets(BoP)'!MG103</f>
        <v>619.08399999999995</v>
      </c>
      <c r="E55" s="832">
        <f>'Assets(BoP)'!LX103</f>
        <v>275.69</v>
      </c>
      <c r="F55" s="832">
        <f t="shared" si="9"/>
        <v>4732.5640000000003</v>
      </c>
      <c r="G55" s="816">
        <f t="shared" si="7"/>
        <v>3690.9090000000001</v>
      </c>
      <c r="H55" s="934">
        <f>Liabilities!GT103</f>
        <v>2460.0459999999998</v>
      </c>
      <c r="I55" s="874">
        <f>'Assets(BoP)'!MF103</f>
        <v>806.05399999999997</v>
      </c>
      <c r="J55" s="832">
        <f>'Assets(BoP)'!LW103</f>
        <v>424.80900000000003</v>
      </c>
      <c r="K55" s="937">
        <f t="shared" si="10"/>
        <v>2990.41</v>
      </c>
      <c r="L55" s="942">
        <f t="shared" si="11"/>
        <v>0.12003863207101753</v>
      </c>
      <c r="M55" s="943">
        <f t="shared" si="12"/>
        <v>0.1792440809497432</v>
      </c>
      <c r="N55" s="912">
        <f t="shared" si="8"/>
        <v>0.16469052539976067</v>
      </c>
      <c r="O55" s="815">
        <f t="shared" si="13"/>
        <v>0.3334850574750014</v>
      </c>
      <c r="P55" s="813"/>
    </row>
    <row r="56" spans="1:16">
      <c r="A56" s="826">
        <v>2012</v>
      </c>
      <c r="B56" s="816">
        <f t="shared" si="6"/>
        <v>5870.6710000000003</v>
      </c>
      <c r="C56" s="832">
        <f>'Assets(BoP)'!MM104</f>
        <v>4885.0630000000001</v>
      </c>
      <c r="D56" s="832">
        <f>'Assets(BoP)'!MG104</f>
        <v>659.43799999999999</v>
      </c>
      <c r="E56" s="832">
        <f>'Assets(BoP)'!LX104</f>
        <v>326.17</v>
      </c>
      <c r="F56" s="832">
        <f t="shared" si="9"/>
        <v>5124.0420000000004</v>
      </c>
      <c r="G56" s="816">
        <f t="shared" si="7"/>
        <v>3905.2799999999997</v>
      </c>
      <c r="H56" s="934">
        <f>Liabilities!GT104</f>
        <v>2658.69</v>
      </c>
      <c r="I56" s="874">
        <f>'Assets(BoP)'!MF104</f>
        <v>826.13099999999997</v>
      </c>
      <c r="J56" s="832">
        <f>'Assets(BoP)'!LW104</f>
        <v>420.459</v>
      </c>
      <c r="K56" s="937">
        <f t="shared" si="10"/>
        <v>3158.6509999999998</v>
      </c>
      <c r="L56" s="942">
        <f t="shared" si="11"/>
        <v>0.11893550023708174</v>
      </c>
      <c r="M56" s="943">
        <f t="shared" si="12"/>
        <v>0.17460563032888074</v>
      </c>
      <c r="N56" s="912">
        <f t="shared" si="8"/>
        <v>0.16788677137587849</v>
      </c>
      <c r="O56" s="815">
        <f t="shared" si="13"/>
        <v>0.31920630530973454</v>
      </c>
      <c r="P56" s="813"/>
    </row>
    <row r="57" spans="1:16">
      <c r="A57" s="826">
        <v>2013</v>
      </c>
      <c r="B57" s="816">
        <f t="shared" si="6"/>
        <v>6162.9030000000002</v>
      </c>
      <c r="C57" s="832">
        <f>'Assets(BoP)'!MM105</f>
        <v>5096.442</v>
      </c>
      <c r="D57" s="832">
        <f>'Assets(BoP)'!MG105</f>
        <v>698.14800000000002</v>
      </c>
      <c r="E57" s="832">
        <f>'Assets(BoP)'!LX105</f>
        <v>368.31299999999999</v>
      </c>
      <c r="F57" s="832">
        <f t="shared" si="9"/>
        <v>5296.3860000000004</v>
      </c>
      <c r="G57" s="816">
        <f t="shared" si="7"/>
        <v>4187.3779999999997</v>
      </c>
      <c r="H57" s="934">
        <f>Liabilities!GT105</f>
        <v>2815.6589999999997</v>
      </c>
      <c r="I57" s="874">
        <f>'Assets(BoP)'!MF105</f>
        <v>873.51499999999999</v>
      </c>
      <c r="J57" s="832">
        <f>'Assets(BoP)'!LW105</f>
        <v>498.20400000000001</v>
      </c>
      <c r="K57" s="937">
        <f t="shared" si="10"/>
        <v>3320.8609999999994</v>
      </c>
      <c r="L57" s="942">
        <f t="shared" si="11"/>
        <v>0.12048272612902725</v>
      </c>
      <c r="M57" s="943">
        <f t="shared" si="12"/>
        <v>0.17260096192509899</v>
      </c>
      <c r="N57" s="912">
        <f t="shared" si="8"/>
        <v>0.17304523533795679</v>
      </c>
      <c r="O57" s="815">
        <f t="shared" si="13"/>
        <v>0.32758423051370095</v>
      </c>
      <c r="P57" s="813"/>
    </row>
    <row r="58" spans="1:16">
      <c r="A58" s="826">
        <v>2014</v>
      </c>
      <c r="B58" s="816">
        <f t="shared" si="6"/>
        <v>6545.7680000000009</v>
      </c>
      <c r="C58" s="832">
        <f>'Assets(BoP)'!MM106</f>
        <v>5396.4770000000008</v>
      </c>
      <c r="D58" s="832">
        <f>'Assets(BoP)'!MG106</f>
        <v>764.61300000000006</v>
      </c>
      <c r="E58" s="832">
        <f>'Assets(BoP)'!LX106</f>
        <v>384.678</v>
      </c>
      <c r="F58" s="832">
        <f t="shared" si="9"/>
        <v>5633.1320000000014</v>
      </c>
      <c r="G58" s="816">
        <f t="shared" si="7"/>
        <v>4453.29</v>
      </c>
      <c r="H58" s="934">
        <f>Liabilities!GT106</f>
        <v>2979.518</v>
      </c>
      <c r="I58" s="874">
        <f>'Assets(BoP)'!MF106</f>
        <v>945.81399999999996</v>
      </c>
      <c r="J58" s="832">
        <f>'Assets(BoP)'!LW106</f>
        <v>527.95799999999997</v>
      </c>
      <c r="K58" s="937">
        <f t="shared" si="10"/>
        <v>3540.654</v>
      </c>
      <c r="L58" s="942">
        <f t="shared" si="11"/>
        <v>0.12410352713562046</v>
      </c>
      <c r="M58" s="943">
        <f t="shared" si="12"/>
        <v>0.17517980761252236</v>
      </c>
      <c r="N58" s="912">
        <f t="shared" si="8"/>
        <v>0.17557771677822984</v>
      </c>
      <c r="O58" s="815">
        <f t="shared" si="13"/>
        <v>0.33094004657230947</v>
      </c>
      <c r="P58" s="813"/>
    </row>
    <row r="59" spans="1:16">
      <c r="A59" s="826">
        <v>2015</v>
      </c>
      <c r="B59" s="816">
        <f t="shared" si="6"/>
        <v>6774.9119999999994</v>
      </c>
      <c r="C59" s="832">
        <f>'Assets(BoP)'!MM107</f>
        <v>5563.875</v>
      </c>
      <c r="D59" s="832">
        <f>'Assets(BoP)'!MG107</f>
        <v>802.82399999999996</v>
      </c>
      <c r="E59" s="832">
        <f>'Assets(BoP)'!LX107</f>
        <v>408.21300000000002</v>
      </c>
      <c r="F59" s="832">
        <f t="shared" si="9"/>
        <v>5783.7359999999999</v>
      </c>
      <c r="G59" s="816">
        <f t="shared" si="7"/>
        <v>4920.91</v>
      </c>
      <c r="H59" s="934">
        <f>Liabilities!GT107</f>
        <v>3296.4960000000001</v>
      </c>
      <c r="I59" s="874">
        <f>'Assets(BoP)'!MF107</f>
        <v>1041.451</v>
      </c>
      <c r="J59" s="832">
        <f>'Assets(BoP)'!LW107</f>
        <v>582.96299999999997</v>
      </c>
      <c r="K59" s="937">
        <f t="shared" si="10"/>
        <v>3929.7339999999999</v>
      </c>
      <c r="L59" s="942">
        <f t="shared" si="11"/>
        <v>0.12609737008141897</v>
      </c>
      <c r="M59" s="943">
        <f t="shared" si="12"/>
        <v>0.17467090637416957</v>
      </c>
      <c r="N59" s="912">
        <f t="shared" si="8"/>
        <v>0.17875317052088649</v>
      </c>
      <c r="O59" s="815">
        <f t="shared" si="13"/>
        <v>0.33010439126096597</v>
      </c>
      <c r="P59" s="813"/>
    </row>
    <row r="60" spans="1:16">
      <c r="A60" s="826">
        <v>2016</v>
      </c>
      <c r="B60" s="816">
        <f t="shared" si="6"/>
        <v>7102.3499999999995</v>
      </c>
      <c r="C60" s="832">
        <f>'Assets(BoP)'!MM108</f>
        <v>5899.6359999999995</v>
      </c>
      <c r="D60" s="832">
        <f>'Assets(BoP)'!MG108</f>
        <v>797.18299999999999</v>
      </c>
      <c r="E60" s="832">
        <f>'Assets(BoP)'!LX108</f>
        <v>405.53100000000001</v>
      </c>
      <c r="F60" s="832">
        <f t="shared" si="9"/>
        <v>6088.7209999999995</v>
      </c>
      <c r="G60" s="816">
        <f t="shared" si="7"/>
        <v>5405.2609999999995</v>
      </c>
      <c r="H60" s="934">
        <f>Liabilities!GT108</f>
        <v>3619.5099999999998</v>
      </c>
      <c r="I60" s="874">
        <f>'Assets(BoP)'!MF108</f>
        <v>1177.653</v>
      </c>
      <c r="J60" s="817">
        <f>'Assets(BoP)'!LW108</f>
        <v>608.09799999999996</v>
      </c>
      <c r="K60" s="937">
        <f t="shared" si="10"/>
        <v>4391.6319999999996</v>
      </c>
      <c r="L60" s="942">
        <f t="shared" si="11"/>
        <v>0.1190390542136498</v>
      </c>
      <c r="M60" s="943">
        <f t="shared" si="12"/>
        <v>0.17889539495730919</v>
      </c>
      <c r="N60" s="912">
        <f t="shared" ref="N60" si="14">(D60+E60)/B60</f>
        <v>0.16934028877765811</v>
      </c>
      <c r="O60" s="815">
        <f t="shared" ref="O60" si="15">(J60+I60)/G60</f>
        <v>0.33037276090830769</v>
      </c>
      <c r="P60" s="813"/>
    </row>
    <row r="61" spans="1:16" ht="16" thickBot="1">
      <c r="A61" s="819"/>
      <c r="B61" s="820"/>
      <c r="C61" s="821"/>
      <c r="D61" s="821"/>
      <c r="E61" s="821"/>
      <c r="F61" s="833"/>
      <c r="G61" s="820"/>
      <c r="H61" s="821"/>
      <c r="I61" s="821"/>
      <c r="J61" s="821"/>
      <c r="K61" s="821"/>
      <c r="L61" s="820"/>
      <c r="M61" s="822"/>
      <c r="N61" s="821"/>
      <c r="O61" s="823"/>
    </row>
    <row r="62" spans="1:16" ht="17" thickTop="1" thickBot="1">
      <c r="F62" s="824"/>
    </row>
    <row r="63" spans="1:16" s="825" customFormat="1" ht="28" customHeight="1" thickBot="1">
      <c r="A63" s="1745" t="s">
        <v>2502</v>
      </c>
      <c r="B63" s="1746"/>
      <c r="C63" s="1746"/>
      <c r="D63" s="1746"/>
      <c r="E63" s="1746"/>
      <c r="F63" s="1746"/>
      <c r="G63" s="1746"/>
      <c r="H63" s="1746"/>
      <c r="I63" s="1746"/>
      <c r="J63" s="1746"/>
      <c r="K63" s="1746"/>
      <c r="L63" s="1746"/>
      <c r="M63" s="1746"/>
      <c r="N63" s="1746"/>
      <c r="O63" s="1747"/>
      <c r="P63" s="805"/>
    </row>
  </sheetData>
  <mergeCells count="15">
    <mergeCell ref="A3:O3"/>
    <mergeCell ref="B6:K6"/>
    <mergeCell ref="B7:F7"/>
    <mergeCell ref="G7:K7"/>
    <mergeCell ref="B8:B9"/>
    <mergeCell ref="F8:F9"/>
    <mergeCell ref="G8:G9"/>
    <mergeCell ref="L6:M6"/>
    <mergeCell ref="K8:K9"/>
    <mergeCell ref="A63:O63"/>
    <mergeCell ref="N6:O6"/>
    <mergeCell ref="L7:L9"/>
    <mergeCell ref="M7:M9"/>
    <mergeCell ref="N7:N9"/>
    <mergeCell ref="O7:O9"/>
  </mergeCells>
  <pageMargins left="0.75" right="0.75" top="1" bottom="1" header="0.5" footer="0.5"/>
  <pageSetup scale="74" orientation="portrait" horizontalDpi="4294967292" verticalDpi="4294967292"/>
  <extLst>
    <ext xmlns:mx="http://schemas.microsoft.com/office/mac/excel/2008/main" uri="{64002731-A6B0-56B0-2670-7721B7C09600}">
      <mx:PLV Mode="0" OnePage="0" WScale="0"/>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76"/>
  <sheetViews>
    <sheetView workbookViewId="0">
      <pane xSplit="1" ySplit="7" topLeftCell="N110"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30.42578125" style="14" bestFit="1" customWidth="1"/>
    <col min="2" max="16384" width="7.5703125" style="14"/>
  </cols>
  <sheetData>
    <row r="1" spans="1:36" ht="17">
      <c r="A1" s="266" t="s">
        <v>1011</v>
      </c>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row>
    <row r="2" spans="1:36" ht="16">
      <c r="A2" s="267" t="s">
        <v>515</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row>
    <row r="3" spans="1:36" ht="15">
      <c r="A3" s="263" t="s">
        <v>160</v>
      </c>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row>
    <row r="4" spans="1:36" ht="15">
      <c r="A4" s="263" t="s">
        <v>513</v>
      </c>
      <c r="B4" s="263"/>
      <c r="C4" s="263"/>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row>
    <row r="5" spans="1:36" ht="1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row>
    <row r="6" spans="1:36">
      <c r="A6" s="264" t="s">
        <v>0</v>
      </c>
      <c r="B6" s="264" t="s">
        <v>1012</v>
      </c>
      <c r="C6" s="264"/>
      <c r="D6" s="264"/>
      <c r="E6" s="264"/>
      <c r="F6" s="264"/>
      <c r="G6" s="264"/>
      <c r="H6" s="264"/>
      <c r="I6" s="264"/>
      <c r="J6" s="264"/>
      <c r="K6" s="264"/>
      <c r="L6" s="264"/>
      <c r="M6" s="264"/>
      <c r="N6" s="264"/>
      <c r="O6" s="264"/>
      <c r="P6" s="264"/>
      <c r="Q6" s="264"/>
      <c r="R6" s="264"/>
      <c r="S6" s="264"/>
      <c r="T6" s="264"/>
      <c r="U6" s="264"/>
      <c r="V6" s="264"/>
      <c r="W6" s="264"/>
      <c r="X6" s="264"/>
      <c r="Y6" s="264"/>
      <c r="Z6" s="264"/>
      <c r="AA6" s="264"/>
      <c r="AB6" s="264"/>
      <c r="AC6" s="264"/>
      <c r="AD6" s="264"/>
      <c r="AE6" s="264"/>
      <c r="AF6" s="264"/>
      <c r="AG6" s="264"/>
      <c r="AH6" s="264"/>
      <c r="AI6" s="264"/>
      <c r="AJ6" s="264"/>
    </row>
    <row r="7" spans="1:36">
      <c r="A7" s="264"/>
      <c r="B7" s="264" t="s">
        <v>105</v>
      </c>
      <c r="C7" s="264" t="s">
        <v>104</v>
      </c>
      <c r="D7" s="264" t="s">
        <v>103</v>
      </c>
      <c r="E7" s="264" t="s">
        <v>102</v>
      </c>
      <c r="F7" s="264" t="s">
        <v>101</v>
      </c>
      <c r="G7" s="264" t="s">
        <v>100</v>
      </c>
      <c r="H7" s="264" t="s">
        <v>99</v>
      </c>
      <c r="I7" s="264" t="s">
        <v>98</v>
      </c>
      <c r="J7" s="264" t="s">
        <v>97</v>
      </c>
      <c r="K7" s="264" t="s">
        <v>96</v>
      </c>
      <c r="L7" s="264" t="s">
        <v>95</v>
      </c>
      <c r="M7" s="264" t="s">
        <v>94</v>
      </c>
      <c r="N7" s="264" t="s">
        <v>93</v>
      </c>
      <c r="O7" s="264" t="s">
        <v>92</v>
      </c>
      <c r="P7" s="264" t="s">
        <v>91</v>
      </c>
      <c r="Q7" s="264" t="s">
        <v>90</v>
      </c>
      <c r="R7" s="264" t="s">
        <v>89</v>
      </c>
      <c r="S7" s="264" t="s">
        <v>88</v>
      </c>
      <c r="T7" s="264" t="s">
        <v>87</v>
      </c>
      <c r="U7" s="264" t="s">
        <v>86</v>
      </c>
      <c r="V7" s="264" t="s">
        <v>85</v>
      </c>
      <c r="W7" s="264" t="s">
        <v>84</v>
      </c>
      <c r="X7" s="264" t="s">
        <v>83</v>
      </c>
      <c r="Y7" s="264" t="s">
        <v>82</v>
      </c>
      <c r="Z7" s="264" t="s">
        <v>81</v>
      </c>
      <c r="AA7" s="264" t="s">
        <v>80</v>
      </c>
      <c r="AB7" s="264" t="s">
        <v>79</v>
      </c>
      <c r="AC7" s="264" t="s">
        <v>78</v>
      </c>
      <c r="AD7" s="264" t="s">
        <v>77</v>
      </c>
      <c r="AE7" s="264" t="s">
        <v>76</v>
      </c>
      <c r="AF7" s="264" t="s">
        <v>75</v>
      </c>
      <c r="AG7" s="264" t="s">
        <v>74</v>
      </c>
      <c r="AH7" s="264" t="s">
        <v>866</v>
      </c>
      <c r="AI7" s="264" t="s">
        <v>865</v>
      </c>
      <c r="AJ7" s="264" t="s">
        <v>864</v>
      </c>
    </row>
    <row r="8" spans="1:36" ht="15">
      <c r="A8" s="263" t="s">
        <v>511</v>
      </c>
      <c r="B8" s="283">
        <v>24828</v>
      </c>
      <c r="C8" s="283">
        <v>27260</v>
      </c>
      <c r="D8" s="283">
        <v>30746</v>
      </c>
      <c r="E8" s="283">
        <v>28778</v>
      </c>
      <c r="F8" s="283">
        <v>31040</v>
      </c>
      <c r="G8" s="283">
        <v>40028</v>
      </c>
      <c r="H8" s="283">
        <v>52057</v>
      </c>
      <c r="I8" s="283">
        <v>53929</v>
      </c>
      <c r="J8" s="283">
        <v>58004</v>
      </c>
      <c r="K8" s="283">
        <v>52087</v>
      </c>
      <c r="L8" s="283">
        <v>50565</v>
      </c>
      <c r="M8" s="283">
        <v>59381</v>
      </c>
      <c r="N8" s="283">
        <v>68987</v>
      </c>
      <c r="O8" s="283">
        <v>87346</v>
      </c>
      <c r="P8" s="283">
        <v>93594</v>
      </c>
      <c r="Q8" s="283">
        <v>104794</v>
      </c>
      <c r="R8" s="283">
        <v>90676</v>
      </c>
      <c r="S8" s="283">
        <v>114348</v>
      </c>
      <c r="T8" s="283">
        <v>133692</v>
      </c>
      <c r="U8" s="283">
        <v>110029</v>
      </c>
      <c r="V8" s="283">
        <v>124940</v>
      </c>
      <c r="W8" s="283">
        <v>165203</v>
      </c>
      <c r="X8" s="283">
        <v>228165</v>
      </c>
      <c r="Y8" s="283">
        <v>271877</v>
      </c>
      <c r="Z8" s="283">
        <v>304114</v>
      </c>
      <c r="AA8" s="283">
        <v>350237</v>
      </c>
      <c r="AB8" s="283">
        <v>392954</v>
      </c>
      <c r="AC8" s="283">
        <v>340039</v>
      </c>
      <c r="AD8" s="283">
        <v>417605</v>
      </c>
      <c r="AE8" s="283">
        <v>448235</v>
      </c>
      <c r="AF8" s="283">
        <v>438089</v>
      </c>
      <c r="AG8" s="283">
        <v>448890</v>
      </c>
      <c r="AH8" s="283">
        <v>445815</v>
      </c>
      <c r="AI8" s="283">
        <v>406691</v>
      </c>
      <c r="AJ8" s="283">
        <v>409966</v>
      </c>
    </row>
    <row r="9" spans="1:36" ht="15">
      <c r="A9" s="263" t="s">
        <v>510</v>
      </c>
      <c r="B9" s="283">
        <v>2908</v>
      </c>
      <c r="C9" s="283">
        <v>5309</v>
      </c>
      <c r="D9" s="283">
        <v>6066</v>
      </c>
      <c r="E9" s="283">
        <v>5197</v>
      </c>
      <c r="F9" s="283">
        <v>5092</v>
      </c>
      <c r="G9" s="283">
        <v>5600</v>
      </c>
      <c r="H9" s="283">
        <v>7363</v>
      </c>
      <c r="I9" s="283">
        <v>6501</v>
      </c>
      <c r="J9" s="283">
        <v>4793</v>
      </c>
      <c r="K9" s="283">
        <v>3208</v>
      </c>
      <c r="L9" s="283">
        <v>2766</v>
      </c>
      <c r="M9" s="283">
        <v>3959</v>
      </c>
      <c r="N9" s="283">
        <v>6251</v>
      </c>
      <c r="O9" s="283">
        <v>8799</v>
      </c>
      <c r="P9" s="283">
        <v>9258</v>
      </c>
      <c r="Q9" s="283">
        <v>11024</v>
      </c>
      <c r="R9" s="283">
        <v>7601</v>
      </c>
      <c r="S9" s="283">
        <v>13529</v>
      </c>
      <c r="T9" s="283">
        <v>16181</v>
      </c>
      <c r="U9" s="283">
        <v>11836</v>
      </c>
      <c r="V9" s="283">
        <v>13297</v>
      </c>
      <c r="W9" s="283">
        <v>15826</v>
      </c>
      <c r="X9" s="283">
        <v>22835</v>
      </c>
      <c r="Y9" s="283">
        <v>20712</v>
      </c>
      <c r="Z9" s="283">
        <v>23542</v>
      </c>
      <c r="AA9" s="283">
        <v>21170</v>
      </c>
      <c r="AB9" s="283">
        <v>31419</v>
      </c>
      <c r="AC9" s="283">
        <v>15145</v>
      </c>
      <c r="AD9" s="283">
        <v>25253</v>
      </c>
      <c r="AE9" s="283">
        <v>35946</v>
      </c>
      <c r="AF9" s="283">
        <v>32248</v>
      </c>
      <c r="AG9" s="283">
        <v>31420</v>
      </c>
      <c r="AH9" s="283">
        <v>30682</v>
      </c>
      <c r="AI9" s="283">
        <v>18596</v>
      </c>
      <c r="AJ9" s="283">
        <v>18399</v>
      </c>
    </row>
    <row r="10" spans="1:36" ht="15">
      <c r="A10" s="263" t="s">
        <v>1013</v>
      </c>
      <c r="B10" s="283">
        <v>9573</v>
      </c>
      <c r="C10" s="283">
        <v>11869</v>
      </c>
      <c r="D10" s="283">
        <v>13210</v>
      </c>
      <c r="E10" s="283">
        <v>14204</v>
      </c>
      <c r="F10" s="283">
        <v>16832</v>
      </c>
      <c r="G10" s="283">
        <v>21718</v>
      </c>
      <c r="H10" s="283">
        <v>26580</v>
      </c>
      <c r="I10" s="283">
        <v>27637</v>
      </c>
      <c r="J10" s="283">
        <v>32647</v>
      </c>
      <c r="K10" s="283">
        <v>27963</v>
      </c>
      <c r="L10" s="283">
        <v>21758</v>
      </c>
      <c r="M10" s="283">
        <v>26660</v>
      </c>
      <c r="N10" s="283">
        <v>30541</v>
      </c>
      <c r="O10" s="283">
        <v>40853</v>
      </c>
      <c r="P10" s="283">
        <v>44286</v>
      </c>
      <c r="Q10" s="283">
        <v>48333</v>
      </c>
      <c r="R10" s="283">
        <v>50695</v>
      </c>
      <c r="S10" s="283">
        <v>58289</v>
      </c>
      <c r="T10" s="283">
        <v>65574</v>
      </c>
      <c r="U10" s="283">
        <v>53524</v>
      </c>
      <c r="V10" s="283">
        <v>64777</v>
      </c>
      <c r="W10" s="283">
        <v>86480</v>
      </c>
      <c r="X10" s="283">
        <v>114349</v>
      </c>
      <c r="Y10" s="283">
        <v>136038</v>
      </c>
      <c r="Z10" s="283">
        <v>153702</v>
      </c>
      <c r="AA10" s="283">
        <v>175702</v>
      </c>
      <c r="AB10" s="283">
        <v>196977</v>
      </c>
      <c r="AC10" s="283">
        <v>179279</v>
      </c>
      <c r="AD10" s="283">
        <v>216892</v>
      </c>
      <c r="AE10" s="283">
        <v>217478</v>
      </c>
      <c r="AF10" s="283">
        <v>222169</v>
      </c>
      <c r="AG10" s="283">
        <v>233520</v>
      </c>
      <c r="AH10" s="283">
        <v>232669</v>
      </c>
      <c r="AI10" s="283">
        <v>234623</v>
      </c>
      <c r="AJ10" s="283">
        <v>243260</v>
      </c>
    </row>
    <row r="11" spans="1:36" ht="15">
      <c r="A11" s="263" t="s">
        <v>509</v>
      </c>
      <c r="B11" s="283">
        <v>-119</v>
      </c>
      <c r="C11" s="283">
        <v>9</v>
      </c>
      <c r="D11" s="283">
        <v>69</v>
      </c>
      <c r="E11" s="283">
        <v>47</v>
      </c>
      <c r="F11" s="283">
        <v>76</v>
      </c>
      <c r="G11" s="283">
        <v>143</v>
      </c>
      <c r="H11" s="283">
        <v>223</v>
      </c>
      <c r="I11" s="283">
        <v>233</v>
      </c>
      <c r="J11" s="283">
        <v>308</v>
      </c>
      <c r="K11" s="283">
        <v>303</v>
      </c>
      <c r="L11" s="283">
        <v>167</v>
      </c>
      <c r="M11" s="283">
        <v>220</v>
      </c>
      <c r="N11" s="283">
        <v>284</v>
      </c>
      <c r="O11" s="283">
        <v>415</v>
      </c>
      <c r="P11" s="283">
        <v>352</v>
      </c>
      <c r="Q11" s="283">
        <v>376</v>
      </c>
      <c r="R11" s="283">
        <v>448</v>
      </c>
      <c r="S11" s="283">
        <v>494</v>
      </c>
      <c r="T11" s="283">
        <v>511</v>
      </c>
      <c r="U11" s="283">
        <v>242</v>
      </c>
      <c r="V11" s="283">
        <v>152</v>
      </c>
      <c r="W11" s="283">
        <v>411</v>
      </c>
      <c r="X11" s="283">
        <v>631</v>
      </c>
      <c r="Y11" s="283">
        <v>1855</v>
      </c>
      <c r="Z11" s="283">
        <v>3070</v>
      </c>
      <c r="AA11" s="283">
        <v>2658</v>
      </c>
      <c r="AB11" s="283">
        <v>2243</v>
      </c>
      <c r="AC11" s="283">
        <v>1497</v>
      </c>
      <c r="AD11" s="283">
        <v>2345</v>
      </c>
      <c r="AE11" s="283">
        <v>2302</v>
      </c>
      <c r="AF11" s="283">
        <v>2197</v>
      </c>
      <c r="AG11" s="283">
        <v>1376</v>
      </c>
      <c r="AH11" s="283">
        <v>2255</v>
      </c>
      <c r="AI11" s="283">
        <v>2646</v>
      </c>
      <c r="AJ11" s="283">
        <v>2591</v>
      </c>
    </row>
    <row r="12" spans="1:36" ht="15">
      <c r="A12" s="263" t="s">
        <v>508</v>
      </c>
      <c r="B12" s="283">
        <v>403</v>
      </c>
      <c r="C12" s="283">
        <v>515</v>
      </c>
      <c r="D12" s="283">
        <v>612</v>
      </c>
      <c r="E12" s="283">
        <v>634</v>
      </c>
      <c r="F12" s="283">
        <v>1011</v>
      </c>
      <c r="G12" s="283">
        <v>1187</v>
      </c>
      <c r="H12" s="283">
        <v>1376</v>
      </c>
      <c r="I12" s="283">
        <v>1169</v>
      </c>
      <c r="J12" s="283">
        <v>1597</v>
      </c>
      <c r="K12" s="283">
        <v>1692</v>
      </c>
      <c r="L12" s="283">
        <v>1156</v>
      </c>
      <c r="M12" s="283">
        <v>1025</v>
      </c>
      <c r="N12" s="283">
        <v>1590</v>
      </c>
      <c r="O12" s="283">
        <v>1757</v>
      </c>
      <c r="P12" s="283">
        <v>1517</v>
      </c>
      <c r="Q12" s="283">
        <v>1450</v>
      </c>
      <c r="R12" s="283">
        <v>1664</v>
      </c>
      <c r="S12" s="283">
        <v>1534</v>
      </c>
      <c r="T12" s="283">
        <v>1941</v>
      </c>
      <c r="U12" s="283">
        <v>1728</v>
      </c>
      <c r="V12" s="283">
        <v>1489</v>
      </c>
      <c r="W12" s="283">
        <v>1952</v>
      </c>
      <c r="X12" s="283">
        <v>3305</v>
      </c>
      <c r="Y12" s="283">
        <v>3190</v>
      </c>
      <c r="Z12" s="283">
        <v>3401</v>
      </c>
      <c r="AA12" s="283">
        <v>4304</v>
      </c>
      <c r="AB12" s="283">
        <v>2947</v>
      </c>
      <c r="AC12" s="283">
        <v>2325</v>
      </c>
      <c r="AD12" s="283">
        <v>1891</v>
      </c>
      <c r="AE12" s="283">
        <v>2585</v>
      </c>
      <c r="AF12" s="283">
        <v>2238</v>
      </c>
      <c r="AG12" s="283">
        <v>3070</v>
      </c>
      <c r="AH12" s="283">
        <v>3327</v>
      </c>
      <c r="AI12" s="283">
        <v>3403</v>
      </c>
      <c r="AJ12" s="283">
        <v>4318</v>
      </c>
    </row>
    <row r="13" spans="1:36" ht="15">
      <c r="A13" s="263" t="s">
        <v>507</v>
      </c>
      <c r="B13" s="283" t="s">
        <v>273</v>
      </c>
      <c r="C13" s="283" t="s">
        <v>273</v>
      </c>
      <c r="D13" s="283" t="s">
        <v>273</v>
      </c>
      <c r="E13" s="283" t="s">
        <v>273</v>
      </c>
      <c r="F13" s="283" t="s">
        <v>273</v>
      </c>
      <c r="G13" s="283" t="s">
        <v>273</v>
      </c>
      <c r="H13" s="283" t="s">
        <v>273</v>
      </c>
      <c r="I13" s="283" t="s">
        <v>273</v>
      </c>
      <c r="J13" s="283" t="s">
        <v>273</v>
      </c>
      <c r="K13" s="283" t="s">
        <v>273</v>
      </c>
      <c r="L13" s="283" t="s">
        <v>273</v>
      </c>
      <c r="M13" s="283" t="s">
        <v>273</v>
      </c>
      <c r="N13" s="283" t="s">
        <v>273</v>
      </c>
      <c r="O13" s="283" t="s">
        <v>273</v>
      </c>
      <c r="P13" s="283" t="s">
        <v>273</v>
      </c>
      <c r="Q13" s="283" t="s">
        <v>273</v>
      </c>
      <c r="R13" s="283" t="s">
        <v>273</v>
      </c>
      <c r="S13" s="283">
        <v>85</v>
      </c>
      <c r="T13" s="283">
        <v>93</v>
      </c>
      <c r="U13" s="283">
        <v>98</v>
      </c>
      <c r="V13" s="283">
        <v>78</v>
      </c>
      <c r="W13" s="283">
        <v>160</v>
      </c>
      <c r="X13" s="283">
        <v>356</v>
      </c>
      <c r="Y13" s="283">
        <v>261</v>
      </c>
      <c r="Z13" s="283">
        <v>509</v>
      </c>
      <c r="AA13" s="283">
        <v>558</v>
      </c>
      <c r="AB13" s="283">
        <v>632</v>
      </c>
      <c r="AC13" s="283">
        <v>621</v>
      </c>
      <c r="AD13" s="283">
        <v>787</v>
      </c>
      <c r="AE13" s="283">
        <v>798</v>
      </c>
      <c r="AF13" s="283">
        <v>634</v>
      </c>
      <c r="AG13" s="283">
        <v>518</v>
      </c>
      <c r="AH13" s="283">
        <v>751</v>
      </c>
      <c r="AI13" s="283">
        <v>548</v>
      </c>
      <c r="AJ13" s="283">
        <v>525</v>
      </c>
    </row>
    <row r="14" spans="1:36" ht="15">
      <c r="A14" s="263" t="s">
        <v>506</v>
      </c>
      <c r="B14" s="283">
        <v>110</v>
      </c>
      <c r="C14" s="283">
        <v>157</v>
      </c>
      <c r="D14" s="283">
        <v>156</v>
      </c>
      <c r="E14" s="283">
        <v>132</v>
      </c>
      <c r="F14" s="283">
        <v>190</v>
      </c>
      <c r="G14" s="283">
        <v>135</v>
      </c>
      <c r="H14" s="283">
        <v>129</v>
      </c>
      <c r="I14" s="283">
        <v>163</v>
      </c>
      <c r="J14" s="283">
        <v>234</v>
      </c>
      <c r="K14" s="283">
        <v>189</v>
      </c>
      <c r="L14" s="283">
        <v>121</v>
      </c>
      <c r="M14" s="283">
        <v>113</v>
      </c>
      <c r="N14" s="283">
        <v>233</v>
      </c>
      <c r="O14" s="283">
        <v>270</v>
      </c>
      <c r="P14" s="283">
        <v>236</v>
      </c>
      <c r="Q14" s="283">
        <v>317</v>
      </c>
      <c r="R14" s="283">
        <v>370</v>
      </c>
      <c r="S14" s="283">
        <v>476</v>
      </c>
      <c r="T14" s="283">
        <v>747</v>
      </c>
      <c r="U14" s="283">
        <v>570</v>
      </c>
      <c r="V14" s="283">
        <v>518</v>
      </c>
      <c r="W14" s="283">
        <v>747</v>
      </c>
      <c r="X14" s="283">
        <v>931</v>
      </c>
      <c r="Y14" s="283">
        <v>1146</v>
      </c>
      <c r="Z14" s="283">
        <v>1029</v>
      </c>
      <c r="AA14" s="283">
        <v>1581</v>
      </c>
      <c r="AB14" s="283">
        <v>1659</v>
      </c>
      <c r="AC14" s="283">
        <v>1863</v>
      </c>
      <c r="AD14" s="283">
        <v>1879</v>
      </c>
      <c r="AE14" s="283">
        <v>493</v>
      </c>
      <c r="AF14" s="283">
        <v>947</v>
      </c>
      <c r="AG14" s="283">
        <v>301</v>
      </c>
      <c r="AH14" s="283">
        <v>637</v>
      </c>
      <c r="AI14" s="283">
        <v>628</v>
      </c>
      <c r="AJ14" s="283">
        <v>621</v>
      </c>
    </row>
    <row r="15" spans="1:36" ht="15">
      <c r="A15" s="263" t="s">
        <v>505</v>
      </c>
      <c r="B15" s="283">
        <v>33</v>
      </c>
      <c r="C15" s="283">
        <v>50</v>
      </c>
      <c r="D15" s="283">
        <v>54</v>
      </c>
      <c r="E15" s="283">
        <v>71</v>
      </c>
      <c r="F15" s="283">
        <v>73</v>
      </c>
      <c r="G15" s="283">
        <v>109</v>
      </c>
      <c r="H15" s="283">
        <v>118</v>
      </c>
      <c r="I15" s="283">
        <v>110</v>
      </c>
      <c r="J15" s="283">
        <v>94</v>
      </c>
      <c r="K15" s="283">
        <v>17</v>
      </c>
      <c r="L15" s="283">
        <v>40</v>
      </c>
      <c r="M15" s="283">
        <v>28</v>
      </c>
      <c r="N15" s="283">
        <v>60</v>
      </c>
      <c r="O15" s="283">
        <v>195</v>
      </c>
      <c r="P15" s="283">
        <v>188</v>
      </c>
      <c r="Q15" s="283">
        <v>306</v>
      </c>
      <c r="R15" s="283">
        <v>305</v>
      </c>
      <c r="S15" s="283">
        <v>224</v>
      </c>
      <c r="T15" s="283">
        <v>177</v>
      </c>
      <c r="U15" s="283">
        <v>298</v>
      </c>
      <c r="V15" s="283">
        <v>193</v>
      </c>
      <c r="W15" s="283">
        <v>359</v>
      </c>
      <c r="X15" s="283">
        <v>323</v>
      </c>
      <c r="Y15" s="283">
        <v>556</v>
      </c>
      <c r="Z15" s="283">
        <v>216</v>
      </c>
      <c r="AA15" s="283">
        <v>203</v>
      </c>
      <c r="AB15" s="283">
        <v>261</v>
      </c>
      <c r="AC15" s="283">
        <v>73</v>
      </c>
      <c r="AD15" s="283">
        <v>89</v>
      </c>
      <c r="AE15" s="283">
        <v>163</v>
      </c>
      <c r="AF15" s="283">
        <v>88</v>
      </c>
      <c r="AG15" s="283">
        <v>-4</v>
      </c>
      <c r="AH15" s="283">
        <v>57</v>
      </c>
      <c r="AI15" s="283">
        <v>99</v>
      </c>
      <c r="AJ15" s="283">
        <v>137</v>
      </c>
    </row>
    <row r="16" spans="1:36" ht="15">
      <c r="A16" s="263" t="s">
        <v>504</v>
      </c>
      <c r="B16" s="283">
        <v>252</v>
      </c>
      <c r="C16" s="283">
        <v>592</v>
      </c>
      <c r="D16" s="283">
        <v>894</v>
      </c>
      <c r="E16" s="283">
        <v>881</v>
      </c>
      <c r="F16" s="283">
        <v>1213</v>
      </c>
      <c r="G16" s="283">
        <v>1551</v>
      </c>
      <c r="H16" s="283">
        <v>2087</v>
      </c>
      <c r="I16" s="283">
        <v>2163</v>
      </c>
      <c r="J16" s="283">
        <v>2494</v>
      </c>
      <c r="K16" s="283">
        <v>2171</v>
      </c>
      <c r="L16" s="283">
        <v>1498</v>
      </c>
      <c r="M16" s="283">
        <v>1319</v>
      </c>
      <c r="N16" s="283">
        <v>1237</v>
      </c>
      <c r="O16" s="283">
        <v>2707</v>
      </c>
      <c r="P16" s="283">
        <v>3224</v>
      </c>
      <c r="Q16" s="283">
        <v>2688</v>
      </c>
      <c r="R16" s="283">
        <v>2164</v>
      </c>
      <c r="S16" s="283">
        <v>1781</v>
      </c>
      <c r="T16" s="283">
        <v>2370</v>
      </c>
      <c r="U16" s="283">
        <v>1697</v>
      </c>
      <c r="V16" s="283">
        <v>2699</v>
      </c>
      <c r="W16" s="283">
        <v>4034</v>
      </c>
      <c r="X16" s="283">
        <v>5172</v>
      </c>
      <c r="Y16" s="283">
        <v>4475</v>
      </c>
      <c r="Z16" s="283">
        <v>5801</v>
      </c>
      <c r="AA16" s="283">
        <v>5494</v>
      </c>
      <c r="AB16" s="283">
        <v>5774</v>
      </c>
      <c r="AC16" s="283">
        <v>2746</v>
      </c>
      <c r="AD16" s="283">
        <v>4516</v>
      </c>
      <c r="AE16" s="283">
        <v>3404</v>
      </c>
      <c r="AF16" s="283">
        <v>2174</v>
      </c>
      <c r="AG16" s="283">
        <v>3124</v>
      </c>
      <c r="AH16" s="283">
        <v>4100</v>
      </c>
      <c r="AI16" s="283">
        <v>1883</v>
      </c>
      <c r="AJ16" s="283">
        <v>2808</v>
      </c>
    </row>
    <row r="17" spans="1:36" ht="15">
      <c r="A17" s="263" t="s">
        <v>503</v>
      </c>
      <c r="B17" s="283">
        <v>990</v>
      </c>
      <c r="C17" s="283">
        <v>1467</v>
      </c>
      <c r="D17" s="283">
        <v>1195</v>
      </c>
      <c r="E17" s="283">
        <v>1767</v>
      </c>
      <c r="F17" s="283">
        <v>2421</v>
      </c>
      <c r="G17" s="283">
        <v>2940</v>
      </c>
      <c r="H17" s="283">
        <v>3226</v>
      </c>
      <c r="I17" s="283">
        <v>3530</v>
      </c>
      <c r="J17" s="283">
        <v>4509</v>
      </c>
      <c r="K17" s="283">
        <v>4693</v>
      </c>
      <c r="L17" s="283">
        <v>2761</v>
      </c>
      <c r="M17" s="283">
        <v>3064</v>
      </c>
      <c r="N17" s="283">
        <v>2782</v>
      </c>
      <c r="O17" s="283">
        <v>4215</v>
      </c>
      <c r="P17" s="283">
        <v>3797</v>
      </c>
      <c r="Q17" s="283">
        <v>3707</v>
      </c>
      <c r="R17" s="283">
        <v>5081</v>
      </c>
      <c r="S17" s="283">
        <v>5086</v>
      </c>
      <c r="T17" s="283">
        <v>4736</v>
      </c>
      <c r="U17" s="283">
        <v>3407</v>
      </c>
      <c r="V17" s="283">
        <v>2977</v>
      </c>
      <c r="W17" s="283">
        <v>4584</v>
      </c>
      <c r="X17" s="283">
        <v>6488</v>
      </c>
      <c r="Y17" s="283">
        <v>6875</v>
      </c>
      <c r="Z17" s="283">
        <v>8081</v>
      </c>
      <c r="AA17" s="283">
        <v>9356</v>
      </c>
      <c r="AB17" s="283">
        <v>7718</v>
      </c>
      <c r="AC17" s="283">
        <v>3486</v>
      </c>
      <c r="AD17" s="283">
        <v>5892</v>
      </c>
      <c r="AE17" s="283">
        <v>4943</v>
      </c>
      <c r="AF17" s="283">
        <v>3298</v>
      </c>
      <c r="AG17" s="283">
        <v>1787</v>
      </c>
      <c r="AH17" s="283">
        <v>2472</v>
      </c>
      <c r="AI17" s="283">
        <v>3933</v>
      </c>
      <c r="AJ17" s="283">
        <v>4385</v>
      </c>
    </row>
    <row r="18" spans="1:36" ht="15">
      <c r="A18" s="263" t="s">
        <v>502</v>
      </c>
      <c r="B18" s="283">
        <v>39</v>
      </c>
      <c r="C18" s="283">
        <v>39</v>
      </c>
      <c r="D18" s="283">
        <v>-8</v>
      </c>
      <c r="E18" s="283">
        <v>-9</v>
      </c>
      <c r="F18" s="283">
        <v>-36</v>
      </c>
      <c r="G18" s="283">
        <v>29</v>
      </c>
      <c r="H18" s="283">
        <v>56</v>
      </c>
      <c r="I18" s="283">
        <v>56</v>
      </c>
      <c r="J18" s="283">
        <v>69</v>
      </c>
      <c r="K18" s="283">
        <v>30</v>
      </c>
      <c r="L18" s="283">
        <v>87</v>
      </c>
      <c r="M18" s="283">
        <v>91</v>
      </c>
      <c r="N18" s="283">
        <v>88</v>
      </c>
      <c r="O18" s="283">
        <v>97</v>
      </c>
      <c r="P18" s="283">
        <v>99</v>
      </c>
      <c r="Q18" s="283">
        <v>126</v>
      </c>
      <c r="R18" s="283">
        <v>59</v>
      </c>
      <c r="S18" s="283">
        <v>111</v>
      </c>
      <c r="T18" s="283">
        <v>110</v>
      </c>
      <c r="U18" s="283">
        <v>141</v>
      </c>
      <c r="V18" s="283">
        <v>119</v>
      </c>
      <c r="W18" s="283">
        <v>166</v>
      </c>
      <c r="X18" s="283">
        <v>221</v>
      </c>
      <c r="Y18" s="283">
        <v>233</v>
      </c>
      <c r="Z18" s="283">
        <v>224</v>
      </c>
      <c r="AA18" s="283">
        <v>285</v>
      </c>
      <c r="AB18" s="283">
        <v>97</v>
      </c>
      <c r="AC18" s="283">
        <v>99</v>
      </c>
      <c r="AD18" s="283">
        <v>-269</v>
      </c>
      <c r="AE18" s="283">
        <v>-226</v>
      </c>
      <c r="AF18" s="283">
        <v>-110</v>
      </c>
      <c r="AG18" s="283">
        <v>-140</v>
      </c>
      <c r="AH18" s="283">
        <v>235</v>
      </c>
      <c r="AI18" s="283">
        <v>32</v>
      </c>
      <c r="AJ18" s="283">
        <v>168</v>
      </c>
    </row>
    <row r="19" spans="1:36" ht="15">
      <c r="A19" s="263" t="s">
        <v>501</v>
      </c>
      <c r="B19" s="283" t="s">
        <v>273</v>
      </c>
      <c r="C19" s="283" t="s">
        <v>273</v>
      </c>
      <c r="D19" s="283" t="s">
        <v>273</v>
      </c>
      <c r="E19" s="283" t="s">
        <v>273</v>
      </c>
      <c r="F19" s="283" t="s">
        <v>273</v>
      </c>
      <c r="G19" s="283" t="s">
        <v>273</v>
      </c>
      <c r="H19" s="283" t="s">
        <v>273</v>
      </c>
      <c r="I19" s="283" t="s">
        <v>273</v>
      </c>
      <c r="J19" s="283" t="s">
        <v>273</v>
      </c>
      <c r="K19" s="283" t="s">
        <v>273</v>
      </c>
      <c r="L19" s="283" t="s">
        <v>273</v>
      </c>
      <c r="M19" s="283" t="s">
        <v>273</v>
      </c>
      <c r="N19" s="283" t="s">
        <v>273</v>
      </c>
      <c r="O19" s="283" t="s">
        <v>273</v>
      </c>
      <c r="P19" s="283" t="s">
        <v>273</v>
      </c>
      <c r="Q19" s="283" t="s">
        <v>273</v>
      </c>
      <c r="R19" s="283" t="s">
        <v>273</v>
      </c>
      <c r="S19" s="283">
        <v>470</v>
      </c>
      <c r="T19" s="283">
        <v>358</v>
      </c>
      <c r="U19" s="283">
        <v>255</v>
      </c>
      <c r="V19" s="283">
        <v>310</v>
      </c>
      <c r="W19" s="283">
        <v>380</v>
      </c>
      <c r="X19" s="283">
        <v>535</v>
      </c>
      <c r="Y19" s="283">
        <v>256</v>
      </c>
      <c r="Z19" s="283">
        <v>215</v>
      </c>
      <c r="AA19" s="283">
        <v>1179</v>
      </c>
      <c r="AB19" s="283">
        <v>563</v>
      </c>
      <c r="AC19" s="283">
        <v>97</v>
      </c>
      <c r="AD19" s="283">
        <v>334</v>
      </c>
      <c r="AE19" s="283">
        <v>642</v>
      </c>
      <c r="AF19" s="283">
        <v>622</v>
      </c>
      <c r="AG19" s="283">
        <v>526</v>
      </c>
      <c r="AH19" s="283">
        <v>489</v>
      </c>
      <c r="AI19" s="283">
        <v>542</v>
      </c>
      <c r="AJ19" s="283">
        <v>473</v>
      </c>
    </row>
    <row r="20" spans="1:36" ht="15">
      <c r="A20" s="263" t="s">
        <v>500</v>
      </c>
      <c r="B20" s="283">
        <v>421</v>
      </c>
      <c r="C20" s="283">
        <v>515</v>
      </c>
      <c r="D20" s="283">
        <v>527</v>
      </c>
      <c r="E20" s="283">
        <v>708</v>
      </c>
      <c r="F20" s="283">
        <v>774</v>
      </c>
      <c r="G20" s="283">
        <v>1046</v>
      </c>
      <c r="H20" s="283">
        <v>1172</v>
      </c>
      <c r="I20" s="283">
        <v>1286</v>
      </c>
      <c r="J20" s="283">
        <v>1433</v>
      </c>
      <c r="K20" s="283">
        <v>1556</v>
      </c>
      <c r="L20" s="283">
        <v>1817</v>
      </c>
      <c r="M20" s="283">
        <v>1755</v>
      </c>
      <c r="N20" s="283">
        <v>1543</v>
      </c>
      <c r="O20" s="283">
        <v>2152</v>
      </c>
      <c r="P20" s="283">
        <v>1982</v>
      </c>
      <c r="Q20" s="283">
        <v>2348</v>
      </c>
      <c r="R20" s="283">
        <v>4565</v>
      </c>
      <c r="S20" s="283">
        <v>4167</v>
      </c>
      <c r="T20" s="283">
        <v>5773</v>
      </c>
      <c r="U20" s="283">
        <v>5161</v>
      </c>
      <c r="V20" s="283">
        <v>6355</v>
      </c>
      <c r="W20" s="283">
        <v>9134</v>
      </c>
      <c r="X20" s="283">
        <v>14227</v>
      </c>
      <c r="Y20" s="283">
        <v>17082</v>
      </c>
      <c r="Z20" s="283">
        <v>17865</v>
      </c>
      <c r="AA20" s="283">
        <v>21994</v>
      </c>
      <c r="AB20" s="283">
        <v>30327</v>
      </c>
      <c r="AC20" s="283">
        <v>24838</v>
      </c>
      <c r="AD20" s="283">
        <v>26990</v>
      </c>
      <c r="AE20" s="283">
        <v>31607</v>
      </c>
      <c r="AF20" s="283">
        <v>38870</v>
      </c>
      <c r="AG20" s="283">
        <v>35203</v>
      </c>
      <c r="AH20" s="283">
        <v>43669</v>
      </c>
      <c r="AI20" s="283">
        <v>52065</v>
      </c>
      <c r="AJ20" s="283">
        <v>51210</v>
      </c>
    </row>
    <row r="21" spans="1:36" ht="15">
      <c r="A21" s="263" t="s">
        <v>499</v>
      </c>
      <c r="B21" s="283">
        <v>563</v>
      </c>
      <c r="C21" s="283">
        <v>801</v>
      </c>
      <c r="D21" s="283">
        <v>877</v>
      </c>
      <c r="E21" s="283">
        <v>970</v>
      </c>
      <c r="F21" s="283">
        <v>1601</v>
      </c>
      <c r="G21" s="283">
        <v>1370</v>
      </c>
      <c r="H21" s="283">
        <v>1710</v>
      </c>
      <c r="I21" s="283">
        <v>1408</v>
      </c>
      <c r="J21" s="283">
        <v>2070</v>
      </c>
      <c r="K21" s="283">
        <v>2256</v>
      </c>
      <c r="L21" s="283">
        <v>1790</v>
      </c>
      <c r="M21" s="283">
        <v>1246</v>
      </c>
      <c r="N21" s="283">
        <v>1802</v>
      </c>
      <c r="O21" s="283">
        <v>2047</v>
      </c>
      <c r="P21" s="283">
        <v>1312</v>
      </c>
      <c r="Q21" s="283">
        <v>1546</v>
      </c>
      <c r="R21" s="283">
        <v>2027</v>
      </c>
      <c r="S21" s="283">
        <v>2020</v>
      </c>
      <c r="T21" s="283">
        <v>2642</v>
      </c>
      <c r="U21" s="283">
        <v>1861</v>
      </c>
      <c r="V21" s="283">
        <v>1735</v>
      </c>
      <c r="W21" s="283">
        <v>2269</v>
      </c>
      <c r="X21" s="283">
        <v>1001</v>
      </c>
      <c r="Y21" s="283">
        <v>1930</v>
      </c>
      <c r="Z21" s="283">
        <v>3090</v>
      </c>
      <c r="AA21" s="283">
        <v>2679</v>
      </c>
      <c r="AB21" s="283">
        <v>2269</v>
      </c>
      <c r="AC21" s="283">
        <v>1862</v>
      </c>
      <c r="AD21" s="283">
        <v>810</v>
      </c>
      <c r="AE21" s="283">
        <v>1560</v>
      </c>
      <c r="AF21" s="283">
        <v>816</v>
      </c>
      <c r="AG21" s="283">
        <v>601</v>
      </c>
      <c r="AH21" s="283">
        <v>1404</v>
      </c>
      <c r="AI21" s="283">
        <v>1317</v>
      </c>
      <c r="AJ21" s="283">
        <v>1663</v>
      </c>
    </row>
    <row r="22" spans="1:36" ht="15">
      <c r="A22" s="263" t="s">
        <v>498</v>
      </c>
      <c r="B22" s="283">
        <v>161</v>
      </c>
      <c r="C22" s="283">
        <v>170</v>
      </c>
      <c r="D22" s="283">
        <v>123</v>
      </c>
      <c r="E22" s="283">
        <v>74</v>
      </c>
      <c r="F22" s="283">
        <v>114</v>
      </c>
      <c r="G22" s="283">
        <v>84</v>
      </c>
      <c r="H22" s="283">
        <v>104</v>
      </c>
      <c r="I22" s="283">
        <v>182</v>
      </c>
      <c r="J22" s="283">
        <v>177</v>
      </c>
      <c r="K22" s="283">
        <v>192</v>
      </c>
      <c r="L22" s="283">
        <v>202</v>
      </c>
      <c r="M22" s="283">
        <v>403</v>
      </c>
      <c r="N22" s="283">
        <v>1230</v>
      </c>
      <c r="O22" s="283">
        <v>1291</v>
      </c>
      <c r="P22" s="283">
        <v>1504</v>
      </c>
      <c r="Q22" s="283">
        <v>1558</v>
      </c>
      <c r="R22" s="283">
        <v>1743</v>
      </c>
      <c r="S22" s="283">
        <v>3561</v>
      </c>
      <c r="T22" s="283">
        <v>2891</v>
      </c>
      <c r="U22" s="283">
        <v>5079</v>
      </c>
      <c r="V22" s="283">
        <v>7537</v>
      </c>
      <c r="W22" s="283">
        <v>9377</v>
      </c>
      <c r="X22" s="283">
        <v>8665</v>
      </c>
      <c r="Y22" s="283">
        <v>12212</v>
      </c>
      <c r="Z22" s="283">
        <v>17338</v>
      </c>
      <c r="AA22" s="283">
        <v>19946</v>
      </c>
      <c r="AB22" s="283">
        <v>20762</v>
      </c>
      <c r="AC22" s="283">
        <v>20258</v>
      </c>
      <c r="AD22" s="283">
        <v>31781</v>
      </c>
      <c r="AE22" s="283">
        <v>23904</v>
      </c>
      <c r="AF22" s="283">
        <v>28962</v>
      </c>
      <c r="AG22" s="283">
        <v>37074</v>
      </c>
      <c r="AH22" s="283">
        <v>38571</v>
      </c>
      <c r="AI22" s="283">
        <v>32953</v>
      </c>
      <c r="AJ22" s="283">
        <v>32990</v>
      </c>
    </row>
    <row r="23" spans="1:36" ht="15">
      <c r="A23" s="263" t="s">
        <v>497</v>
      </c>
      <c r="B23" s="283">
        <v>1073</v>
      </c>
      <c r="C23" s="283">
        <v>1431</v>
      </c>
      <c r="D23" s="283">
        <v>1213</v>
      </c>
      <c r="E23" s="283">
        <v>1514</v>
      </c>
      <c r="F23" s="283">
        <v>2332</v>
      </c>
      <c r="G23" s="283">
        <v>2976</v>
      </c>
      <c r="H23" s="283">
        <v>2977</v>
      </c>
      <c r="I23" s="283">
        <v>3129</v>
      </c>
      <c r="J23" s="283">
        <v>4117</v>
      </c>
      <c r="K23" s="283">
        <v>3609</v>
      </c>
      <c r="L23" s="283">
        <v>3062</v>
      </c>
      <c r="M23" s="283">
        <v>2389</v>
      </c>
      <c r="N23" s="283">
        <v>5705</v>
      </c>
      <c r="O23" s="283">
        <v>7456</v>
      </c>
      <c r="P23" s="283">
        <v>9632</v>
      </c>
      <c r="Q23" s="283">
        <v>11588</v>
      </c>
      <c r="R23" s="283">
        <v>10078</v>
      </c>
      <c r="S23" s="283">
        <v>13646</v>
      </c>
      <c r="T23" s="283">
        <v>13402</v>
      </c>
      <c r="U23" s="283">
        <v>10922</v>
      </c>
      <c r="V23" s="283">
        <v>11756</v>
      </c>
      <c r="W23" s="283">
        <v>16595</v>
      </c>
      <c r="X23" s="283">
        <v>30132</v>
      </c>
      <c r="Y23" s="283">
        <v>33888</v>
      </c>
      <c r="Z23" s="283">
        <v>35644</v>
      </c>
      <c r="AA23" s="283">
        <v>44255</v>
      </c>
      <c r="AB23" s="283">
        <v>48312</v>
      </c>
      <c r="AC23" s="283">
        <v>56473</v>
      </c>
      <c r="AD23" s="283">
        <v>66112</v>
      </c>
      <c r="AE23" s="283">
        <v>76897</v>
      </c>
      <c r="AF23" s="283">
        <v>74824</v>
      </c>
      <c r="AG23" s="283">
        <v>78536</v>
      </c>
      <c r="AH23" s="283">
        <v>69213</v>
      </c>
      <c r="AI23" s="283">
        <v>62083</v>
      </c>
      <c r="AJ23" s="283">
        <v>65107</v>
      </c>
    </row>
    <row r="24" spans="1:36" ht="15">
      <c r="A24" s="263" t="s">
        <v>496</v>
      </c>
      <c r="B24" s="283">
        <v>1059</v>
      </c>
      <c r="C24" s="283">
        <v>811</v>
      </c>
      <c r="D24" s="283">
        <v>787</v>
      </c>
      <c r="E24" s="283">
        <v>579</v>
      </c>
      <c r="F24" s="283">
        <v>401</v>
      </c>
      <c r="G24" s="283">
        <v>285</v>
      </c>
      <c r="H24" s="283">
        <v>486</v>
      </c>
      <c r="I24" s="283">
        <v>738</v>
      </c>
      <c r="J24" s="283">
        <v>815</v>
      </c>
      <c r="K24" s="283">
        <v>962</v>
      </c>
      <c r="L24" s="283">
        <v>660</v>
      </c>
      <c r="M24" s="283">
        <v>677</v>
      </c>
      <c r="N24" s="283">
        <v>723</v>
      </c>
      <c r="O24" s="283">
        <v>686</v>
      </c>
      <c r="P24" s="283">
        <v>1148</v>
      </c>
      <c r="Q24" s="283">
        <v>1169</v>
      </c>
      <c r="R24" s="283">
        <v>855</v>
      </c>
      <c r="S24" s="283">
        <v>972</v>
      </c>
      <c r="T24" s="283">
        <v>1658</v>
      </c>
      <c r="U24" s="283">
        <v>1456</v>
      </c>
      <c r="V24" s="283">
        <v>1280</v>
      </c>
      <c r="W24" s="283">
        <v>1728</v>
      </c>
      <c r="X24" s="283">
        <v>2176</v>
      </c>
      <c r="Y24" s="283">
        <v>2414</v>
      </c>
      <c r="Z24" s="283">
        <v>3220</v>
      </c>
      <c r="AA24" s="283">
        <v>4300</v>
      </c>
      <c r="AB24" s="283">
        <v>10293</v>
      </c>
      <c r="AC24" s="283">
        <v>5896</v>
      </c>
      <c r="AD24" s="283">
        <v>9850</v>
      </c>
      <c r="AE24" s="283">
        <v>8249</v>
      </c>
      <c r="AF24" s="283">
        <v>6821</v>
      </c>
      <c r="AG24" s="283">
        <v>6206</v>
      </c>
      <c r="AH24" s="283">
        <v>4129</v>
      </c>
      <c r="AI24" s="283">
        <v>1663</v>
      </c>
      <c r="AJ24" s="283">
        <v>1053</v>
      </c>
    </row>
    <row r="25" spans="1:36" ht="15">
      <c r="A25" s="263" t="s">
        <v>495</v>
      </c>
      <c r="B25" s="283" t="s">
        <v>273</v>
      </c>
      <c r="C25" s="283" t="s">
        <v>273</v>
      </c>
      <c r="D25" s="283" t="s">
        <v>273</v>
      </c>
      <c r="E25" s="283" t="s">
        <v>273</v>
      </c>
      <c r="F25" s="283" t="s">
        <v>273</v>
      </c>
      <c r="G25" s="283" t="s">
        <v>273</v>
      </c>
      <c r="H25" s="283" t="s">
        <v>273</v>
      </c>
      <c r="I25" s="283" t="s">
        <v>273</v>
      </c>
      <c r="J25" s="283" t="s">
        <v>273</v>
      </c>
      <c r="K25" s="283" t="s">
        <v>273</v>
      </c>
      <c r="L25" s="283" t="s">
        <v>273</v>
      </c>
      <c r="M25" s="283" t="s">
        <v>273</v>
      </c>
      <c r="N25" s="283" t="s">
        <v>273</v>
      </c>
      <c r="O25" s="283" t="s">
        <v>273</v>
      </c>
      <c r="P25" s="283" t="s">
        <v>273</v>
      </c>
      <c r="Q25" s="283" t="s">
        <v>273</v>
      </c>
      <c r="R25" s="283" t="s">
        <v>273</v>
      </c>
      <c r="S25" s="283">
        <v>168</v>
      </c>
      <c r="T25" s="283">
        <v>124</v>
      </c>
      <c r="U25" s="283">
        <v>241</v>
      </c>
      <c r="V25" s="283">
        <v>341</v>
      </c>
      <c r="W25" s="283">
        <v>401</v>
      </c>
      <c r="X25" s="283">
        <v>939</v>
      </c>
      <c r="Y25" s="283">
        <v>549</v>
      </c>
      <c r="Z25" s="283">
        <v>897</v>
      </c>
      <c r="AA25" s="283">
        <v>1536</v>
      </c>
      <c r="AB25" s="283">
        <v>1543</v>
      </c>
      <c r="AC25" s="283">
        <v>380</v>
      </c>
      <c r="AD25" s="283">
        <v>583</v>
      </c>
      <c r="AE25" s="283">
        <v>829</v>
      </c>
      <c r="AF25" s="283">
        <v>752</v>
      </c>
      <c r="AG25" s="283">
        <v>686</v>
      </c>
      <c r="AH25" s="283">
        <v>672</v>
      </c>
      <c r="AI25" s="283">
        <v>491</v>
      </c>
      <c r="AJ25" s="283">
        <v>1096</v>
      </c>
    </row>
    <row r="26" spans="1:36" ht="15">
      <c r="A26" s="263" t="s">
        <v>494</v>
      </c>
      <c r="B26" s="283">
        <v>7</v>
      </c>
      <c r="C26" s="283">
        <v>2</v>
      </c>
      <c r="D26" s="283">
        <v>4</v>
      </c>
      <c r="E26" s="283">
        <v>39</v>
      </c>
      <c r="F26" s="283">
        <v>93</v>
      </c>
      <c r="G26" s="283">
        <v>148</v>
      </c>
      <c r="H26" s="283">
        <v>163</v>
      </c>
      <c r="I26" s="283">
        <v>130</v>
      </c>
      <c r="J26" s="283">
        <v>161</v>
      </c>
      <c r="K26" s="283">
        <v>138</v>
      </c>
      <c r="L26" s="283">
        <v>155</v>
      </c>
      <c r="M26" s="283">
        <v>193</v>
      </c>
      <c r="N26" s="283">
        <v>152</v>
      </c>
      <c r="O26" s="283">
        <v>207</v>
      </c>
      <c r="P26" s="283">
        <v>260</v>
      </c>
      <c r="Q26" s="283">
        <v>175</v>
      </c>
      <c r="R26" s="283">
        <v>280</v>
      </c>
      <c r="S26" s="283">
        <v>315</v>
      </c>
      <c r="T26" s="283">
        <v>240</v>
      </c>
      <c r="U26" s="283">
        <v>327</v>
      </c>
      <c r="V26" s="283">
        <v>182</v>
      </c>
      <c r="W26" s="283">
        <v>253</v>
      </c>
      <c r="X26" s="283">
        <v>313</v>
      </c>
      <c r="Y26" s="283">
        <v>402</v>
      </c>
      <c r="Z26" s="283">
        <v>523</v>
      </c>
      <c r="AA26" s="283">
        <v>457</v>
      </c>
      <c r="AB26" s="283">
        <v>312</v>
      </c>
      <c r="AC26" s="283">
        <v>179</v>
      </c>
      <c r="AD26" s="283">
        <v>359</v>
      </c>
      <c r="AE26" s="283">
        <v>202</v>
      </c>
      <c r="AF26" s="283">
        <v>107</v>
      </c>
      <c r="AG26" s="283">
        <v>241</v>
      </c>
      <c r="AH26" s="283">
        <v>278</v>
      </c>
      <c r="AI26" s="283">
        <v>184</v>
      </c>
      <c r="AJ26" s="283">
        <v>220</v>
      </c>
    </row>
    <row r="27" spans="1:36" ht="15">
      <c r="A27" s="263" t="s">
        <v>493</v>
      </c>
      <c r="B27" s="283" t="s">
        <v>273</v>
      </c>
      <c r="C27" s="283" t="s">
        <v>273</v>
      </c>
      <c r="D27" s="283" t="s">
        <v>273</v>
      </c>
      <c r="E27" s="283" t="s">
        <v>273</v>
      </c>
      <c r="F27" s="283" t="s">
        <v>273</v>
      </c>
      <c r="G27" s="283" t="s">
        <v>273</v>
      </c>
      <c r="H27" s="283" t="s">
        <v>273</v>
      </c>
      <c r="I27" s="283" t="s">
        <v>273</v>
      </c>
      <c r="J27" s="283" t="s">
        <v>273</v>
      </c>
      <c r="K27" s="283" t="s">
        <v>273</v>
      </c>
      <c r="L27" s="283" t="s">
        <v>273</v>
      </c>
      <c r="M27" s="283" t="s">
        <v>273</v>
      </c>
      <c r="N27" s="283" t="s">
        <v>273</v>
      </c>
      <c r="O27" s="283" t="s">
        <v>273</v>
      </c>
      <c r="P27" s="283" t="s">
        <v>273</v>
      </c>
      <c r="Q27" s="283" t="s">
        <v>273</v>
      </c>
      <c r="R27" s="283" t="s">
        <v>273</v>
      </c>
      <c r="S27" s="283">
        <v>-315</v>
      </c>
      <c r="T27" s="283">
        <v>168</v>
      </c>
      <c r="U27" s="283">
        <v>76</v>
      </c>
      <c r="V27" s="283">
        <v>240</v>
      </c>
      <c r="W27" s="283">
        <v>297</v>
      </c>
      <c r="X27" s="283">
        <v>521</v>
      </c>
      <c r="Y27" s="283">
        <v>1253</v>
      </c>
      <c r="Z27" s="283">
        <v>1980</v>
      </c>
      <c r="AA27" s="283">
        <v>2934</v>
      </c>
      <c r="AB27" s="283">
        <v>2339</v>
      </c>
      <c r="AC27" s="283">
        <v>1901</v>
      </c>
      <c r="AD27" s="283">
        <v>1690</v>
      </c>
      <c r="AE27" s="283">
        <v>1279</v>
      </c>
      <c r="AF27" s="283">
        <v>1357</v>
      </c>
      <c r="AG27" s="283">
        <v>646</v>
      </c>
      <c r="AH27" s="283">
        <v>243</v>
      </c>
      <c r="AI27" s="283">
        <v>674</v>
      </c>
      <c r="AJ27" s="283">
        <v>1219</v>
      </c>
    </row>
    <row r="28" spans="1:36" ht="15">
      <c r="A28" s="263" t="s">
        <v>492</v>
      </c>
      <c r="B28" s="283">
        <v>-90</v>
      </c>
      <c r="C28" s="283">
        <v>-42</v>
      </c>
      <c r="D28" s="283">
        <v>164</v>
      </c>
      <c r="E28" s="283">
        <v>367</v>
      </c>
      <c r="F28" s="283">
        <v>501</v>
      </c>
      <c r="G28" s="283">
        <v>837</v>
      </c>
      <c r="H28" s="283">
        <v>1258</v>
      </c>
      <c r="I28" s="283">
        <v>1501</v>
      </c>
      <c r="J28" s="283">
        <v>1424</v>
      </c>
      <c r="K28" s="283">
        <v>1210</v>
      </c>
      <c r="L28" s="283">
        <v>867</v>
      </c>
      <c r="M28" s="283">
        <v>53</v>
      </c>
      <c r="N28" s="283">
        <v>791</v>
      </c>
      <c r="O28" s="283">
        <v>1151</v>
      </c>
      <c r="P28" s="283">
        <v>1121</v>
      </c>
      <c r="Q28" s="283">
        <v>1173</v>
      </c>
      <c r="R28" s="283">
        <v>1818</v>
      </c>
      <c r="S28" s="283">
        <v>1531</v>
      </c>
      <c r="T28" s="283">
        <v>1488</v>
      </c>
      <c r="U28" s="283">
        <v>2680</v>
      </c>
      <c r="V28" s="283">
        <v>3992</v>
      </c>
      <c r="W28" s="283">
        <v>4555</v>
      </c>
      <c r="X28" s="283">
        <v>4499</v>
      </c>
      <c r="Y28" s="283">
        <v>4945</v>
      </c>
      <c r="Z28" s="283">
        <v>5057</v>
      </c>
      <c r="AA28" s="283">
        <v>8076</v>
      </c>
      <c r="AB28" s="283">
        <v>7661</v>
      </c>
      <c r="AC28" s="283">
        <v>5116</v>
      </c>
      <c r="AD28" s="283">
        <v>8674</v>
      </c>
      <c r="AE28" s="283">
        <v>3370</v>
      </c>
      <c r="AF28" s="283">
        <v>869</v>
      </c>
      <c r="AG28" s="283">
        <v>3210</v>
      </c>
      <c r="AH28" s="283">
        <v>2551</v>
      </c>
      <c r="AI28" s="283">
        <v>3492</v>
      </c>
      <c r="AJ28" s="283">
        <v>3401</v>
      </c>
    </row>
    <row r="29" spans="1:36" ht="15">
      <c r="A29" s="263" t="s">
        <v>491</v>
      </c>
      <c r="B29" s="283">
        <v>72</v>
      </c>
      <c r="C29" s="283">
        <v>71</v>
      </c>
      <c r="D29" s="283">
        <v>131</v>
      </c>
      <c r="E29" s="283">
        <v>129</v>
      </c>
      <c r="F29" s="283">
        <v>186</v>
      </c>
      <c r="G29" s="283">
        <v>126</v>
      </c>
      <c r="H29" s="283">
        <v>185</v>
      </c>
      <c r="I29" s="283">
        <v>275</v>
      </c>
      <c r="J29" s="283">
        <v>315</v>
      </c>
      <c r="K29" s="283">
        <v>155</v>
      </c>
      <c r="L29" s="283">
        <v>-19</v>
      </c>
      <c r="M29" s="283">
        <v>-70</v>
      </c>
      <c r="N29" s="283">
        <v>237</v>
      </c>
      <c r="O29" s="283">
        <v>817</v>
      </c>
      <c r="P29" s="283">
        <v>707</v>
      </c>
      <c r="Q29" s="283">
        <v>460</v>
      </c>
      <c r="R29" s="283">
        <v>746</v>
      </c>
      <c r="S29" s="283">
        <v>951</v>
      </c>
      <c r="T29" s="283">
        <v>1074</v>
      </c>
      <c r="U29" s="283">
        <v>444</v>
      </c>
      <c r="V29" s="283">
        <v>190</v>
      </c>
      <c r="W29" s="283">
        <v>1402</v>
      </c>
      <c r="X29" s="283">
        <v>1817</v>
      </c>
      <c r="Y29" s="283">
        <v>2008</v>
      </c>
      <c r="Z29" s="283">
        <v>1140</v>
      </c>
      <c r="AA29" s="283">
        <v>1227</v>
      </c>
      <c r="AB29" s="283">
        <v>1748</v>
      </c>
      <c r="AC29" s="283">
        <v>-878</v>
      </c>
      <c r="AD29" s="283">
        <v>934</v>
      </c>
      <c r="AE29" s="283">
        <v>1549</v>
      </c>
      <c r="AF29" s="283">
        <v>1767</v>
      </c>
      <c r="AG29" s="283">
        <v>1552</v>
      </c>
      <c r="AH29" s="283">
        <v>1447</v>
      </c>
      <c r="AI29" s="283">
        <v>807</v>
      </c>
      <c r="AJ29" s="283">
        <v>264</v>
      </c>
    </row>
    <row r="30" spans="1:36" ht="15">
      <c r="A30" s="263" t="s">
        <v>490</v>
      </c>
      <c r="B30" s="283">
        <v>1434</v>
      </c>
      <c r="C30" s="283">
        <v>1402</v>
      </c>
      <c r="D30" s="283">
        <v>1640</v>
      </c>
      <c r="E30" s="283">
        <v>1479</v>
      </c>
      <c r="F30" s="283">
        <v>1666</v>
      </c>
      <c r="G30" s="283">
        <v>2705</v>
      </c>
      <c r="H30" s="283">
        <v>2713</v>
      </c>
      <c r="I30" s="283">
        <v>3805</v>
      </c>
      <c r="J30" s="283">
        <v>4423</v>
      </c>
      <c r="K30" s="283">
        <v>3216</v>
      </c>
      <c r="L30" s="283">
        <v>2711</v>
      </c>
      <c r="M30" s="283">
        <v>4296</v>
      </c>
      <c r="N30" s="283">
        <v>4468</v>
      </c>
      <c r="O30" s="283">
        <v>4201</v>
      </c>
      <c r="P30" s="283">
        <v>4420</v>
      </c>
      <c r="Q30" s="283">
        <v>5071</v>
      </c>
      <c r="R30" s="283">
        <v>6152</v>
      </c>
      <c r="S30" s="283">
        <v>6686</v>
      </c>
      <c r="T30" s="283">
        <v>5027</v>
      </c>
      <c r="U30" s="283">
        <v>6636</v>
      </c>
      <c r="V30" s="283">
        <v>10921</v>
      </c>
      <c r="W30" s="283">
        <v>12643</v>
      </c>
      <c r="X30" s="283">
        <v>14494</v>
      </c>
      <c r="Y30" s="283">
        <v>15341</v>
      </c>
      <c r="Z30" s="283">
        <v>14231</v>
      </c>
      <c r="AA30" s="283">
        <v>14543</v>
      </c>
      <c r="AB30" s="283">
        <v>19621</v>
      </c>
      <c r="AC30" s="283">
        <v>17005</v>
      </c>
      <c r="AD30" s="283">
        <v>18860</v>
      </c>
      <c r="AE30" s="283">
        <v>18991</v>
      </c>
      <c r="AF30" s="283">
        <v>18608</v>
      </c>
      <c r="AG30" s="283">
        <v>23515</v>
      </c>
      <c r="AH30" s="283">
        <v>21922</v>
      </c>
      <c r="AI30" s="283">
        <v>25201</v>
      </c>
      <c r="AJ30" s="283">
        <v>26072</v>
      </c>
    </row>
    <row r="31" spans="1:36" ht="15">
      <c r="A31" s="263" t="s">
        <v>489</v>
      </c>
      <c r="B31" s="283">
        <v>20</v>
      </c>
      <c r="C31" s="283">
        <v>26</v>
      </c>
      <c r="D31" s="283">
        <v>48</v>
      </c>
      <c r="E31" s="283">
        <v>50</v>
      </c>
      <c r="F31" s="283">
        <v>46</v>
      </c>
      <c r="G31" s="283">
        <v>43</v>
      </c>
      <c r="H31" s="283">
        <v>36</v>
      </c>
      <c r="I31" s="283">
        <v>49</v>
      </c>
      <c r="J31" s="283">
        <v>102</v>
      </c>
      <c r="K31" s="283">
        <v>88</v>
      </c>
      <c r="L31" s="283">
        <v>143</v>
      </c>
      <c r="M31" s="283">
        <v>214</v>
      </c>
      <c r="N31" s="283">
        <v>93</v>
      </c>
      <c r="O31" s="283">
        <v>195</v>
      </c>
      <c r="P31" s="283">
        <v>134</v>
      </c>
      <c r="Q31" s="283">
        <v>115</v>
      </c>
      <c r="R31" s="283">
        <v>216</v>
      </c>
      <c r="S31" s="283">
        <v>242</v>
      </c>
      <c r="T31" s="283">
        <v>243</v>
      </c>
      <c r="U31" s="283">
        <v>-13</v>
      </c>
      <c r="V31" s="283">
        <v>-79</v>
      </c>
      <c r="W31" s="283">
        <v>130</v>
      </c>
      <c r="X31" s="283">
        <v>116</v>
      </c>
      <c r="Y31" s="283">
        <v>262</v>
      </c>
      <c r="Z31" s="283">
        <v>393</v>
      </c>
      <c r="AA31" s="283">
        <v>963</v>
      </c>
      <c r="AB31" s="283">
        <v>486</v>
      </c>
      <c r="AC31" s="283">
        <v>418</v>
      </c>
      <c r="AD31" s="283">
        <v>464</v>
      </c>
      <c r="AE31" s="283">
        <v>500</v>
      </c>
      <c r="AF31" s="283">
        <v>359</v>
      </c>
      <c r="AG31" s="283">
        <v>427</v>
      </c>
      <c r="AH31" s="283">
        <v>309</v>
      </c>
      <c r="AI31" s="283">
        <v>437</v>
      </c>
      <c r="AJ31" s="283">
        <v>320</v>
      </c>
    </row>
    <row r="32" spans="1:36" ht="15">
      <c r="A32" s="263" t="s">
        <v>488</v>
      </c>
      <c r="B32" s="283">
        <v>3080</v>
      </c>
      <c r="C32" s="283">
        <v>3807</v>
      </c>
      <c r="D32" s="283">
        <v>4715</v>
      </c>
      <c r="E32" s="283">
        <v>4742</v>
      </c>
      <c r="F32" s="283">
        <v>4150</v>
      </c>
      <c r="G32" s="283">
        <v>6017</v>
      </c>
      <c r="H32" s="283">
        <v>8542</v>
      </c>
      <c r="I32" s="283">
        <v>7672</v>
      </c>
      <c r="J32" s="283">
        <v>8237</v>
      </c>
      <c r="K32" s="283">
        <v>5427</v>
      </c>
      <c r="L32" s="283">
        <v>4587</v>
      </c>
      <c r="M32" s="283">
        <v>9680</v>
      </c>
      <c r="N32" s="283">
        <v>7737</v>
      </c>
      <c r="O32" s="283">
        <v>10921</v>
      </c>
      <c r="P32" s="283">
        <v>12220</v>
      </c>
      <c r="Q32" s="283">
        <v>13469</v>
      </c>
      <c r="R32" s="283">
        <v>11852</v>
      </c>
      <c r="S32" s="283">
        <v>13629</v>
      </c>
      <c r="T32" s="283">
        <v>19099</v>
      </c>
      <c r="U32" s="283">
        <v>9612</v>
      </c>
      <c r="V32" s="283">
        <v>11043</v>
      </c>
      <c r="W32" s="283">
        <v>13829</v>
      </c>
      <c r="X32" s="283">
        <v>16258</v>
      </c>
      <c r="Y32" s="283">
        <v>22836</v>
      </c>
      <c r="Z32" s="283">
        <v>26772</v>
      </c>
      <c r="AA32" s="283">
        <v>21412</v>
      </c>
      <c r="AB32" s="283">
        <v>24456</v>
      </c>
      <c r="AC32" s="283">
        <v>30122</v>
      </c>
      <c r="AD32" s="283">
        <v>28607</v>
      </c>
      <c r="AE32" s="283">
        <v>28258</v>
      </c>
      <c r="AF32" s="283">
        <v>32509</v>
      </c>
      <c r="AG32" s="283">
        <v>32030</v>
      </c>
      <c r="AH32" s="283">
        <v>35065</v>
      </c>
      <c r="AI32" s="283">
        <v>40100</v>
      </c>
      <c r="AJ32" s="283">
        <v>42983</v>
      </c>
    </row>
    <row r="33" spans="1:36" ht="15">
      <c r="A33" s="263" t="s">
        <v>236</v>
      </c>
      <c r="B33" s="283">
        <v>65</v>
      </c>
      <c r="C33" s="283">
        <v>48</v>
      </c>
      <c r="D33" s="283">
        <v>8</v>
      </c>
      <c r="E33" s="283">
        <v>28</v>
      </c>
      <c r="F33" s="283">
        <v>19</v>
      </c>
      <c r="G33" s="283">
        <v>-13</v>
      </c>
      <c r="H33" s="283">
        <v>19</v>
      </c>
      <c r="I33" s="283">
        <v>35</v>
      </c>
      <c r="J33" s="283">
        <v>68</v>
      </c>
      <c r="K33" s="283">
        <v>57</v>
      </c>
      <c r="L33" s="283">
        <v>-47</v>
      </c>
      <c r="M33" s="283">
        <v>-36</v>
      </c>
      <c r="N33" s="283">
        <v>-214</v>
      </c>
      <c r="O33" s="283">
        <v>72</v>
      </c>
      <c r="P33" s="283">
        <v>430</v>
      </c>
      <c r="Q33" s="283">
        <v>691</v>
      </c>
      <c r="R33" s="283">
        <v>270</v>
      </c>
      <c r="S33" s="283">
        <v>453</v>
      </c>
      <c r="T33" s="283">
        <v>704</v>
      </c>
      <c r="U33" s="283">
        <v>609</v>
      </c>
      <c r="V33" s="283">
        <v>749</v>
      </c>
      <c r="W33" s="283">
        <v>1073</v>
      </c>
      <c r="X33" s="283">
        <v>1228</v>
      </c>
      <c r="Y33" s="283">
        <v>2069</v>
      </c>
      <c r="Z33" s="283">
        <v>3007</v>
      </c>
      <c r="AA33" s="283">
        <v>5762</v>
      </c>
      <c r="AB33" s="283">
        <v>4954</v>
      </c>
      <c r="AC33" s="283">
        <v>2899</v>
      </c>
      <c r="AD33" s="283">
        <v>3712</v>
      </c>
      <c r="AE33" s="283">
        <v>5178</v>
      </c>
      <c r="AF33" s="283">
        <v>3460</v>
      </c>
      <c r="AG33" s="283">
        <v>3035</v>
      </c>
      <c r="AH33" s="283">
        <v>-1127</v>
      </c>
      <c r="AI33" s="283">
        <v>-558</v>
      </c>
      <c r="AJ33" s="283">
        <v>-362</v>
      </c>
    </row>
    <row r="34" spans="1:36" ht="15">
      <c r="A34" s="263" t="s">
        <v>487</v>
      </c>
      <c r="B34" s="283" t="s">
        <v>273</v>
      </c>
      <c r="C34" s="283" t="s">
        <v>273</v>
      </c>
      <c r="D34" s="283" t="s">
        <v>273</v>
      </c>
      <c r="E34" s="283" t="s">
        <v>273</v>
      </c>
      <c r="F34" s="283" t="s">
        <v>273</v>
      </c>
      <c r="G34" s="283" t="s">
        <v>273</v>
      </c>
      <c r="H34" s="283" t="s">
        <v>273</v>
      </c>
      <c r="I34" s="283">
        <v>0</v>
      </c>
      <c r="J34" s="283">
        <v>0</v>
      </c>
      <c r="K34" s="283">
        <v>0</v>
      </c>
      <c r="L34" s="283">
        <v>0</v>
      </c>
      <c r="M34" s="283">
        <v>0</v>
      </c>
      <c r="N34" s="283">
        <v>-14</v>
      </c>
      <c r="O34" s="283">
        <v>-4</v>
      </c>
      <c r="P34" s="283">
        <v>-4</v>
      </c>
      <c r="Q34" s="283">
        <v>-4</v>
      </c>
      <c r="R34" s="283">
        <v>-4</v>
      </c>
      <c r="S34" s="283">
        <v>-4</v>
      </c>
      <c r="T34" s="283">
        <v>-4</v>
      </c>
      <c r="U34" s="283">
        <v>-2</v>
      </c>
      <c r="V34" s="283">
        <v>-1</v>
      </c>
      <c r="W34" s="283">
        <v>-1</v>
      </c>
      <c r="X34" s="283" t="s">
        <v>306</v>
      </c>
      <c r="Y34" s="283" t="s">
        <v>306</v>
      </c>
      <c r="Z34" s="283" t="s">
        <v>306</v>
      </c>
      <c r="AA34" s="283" t="s">
        <v>306</v>
      </c>
      <c r="AB34" s="283" t="s">
        <v>306</v>
      </c>
      <c r="AC34" s="283" t="s">
        <v>306</v>
      </c>
      <c r="AD34" s="283" t="s">
        <v>306</v>
      </c>
      <c r="AE34" s="283" t="s">
        <v>306</v>
      </c>
      <c r="AF34" s="283" t="s">
        <v>306</v>
      </c>
      <c r="AG34" s="283" t="s">
        <v>306</v>
      </c>
      <c r="AH34" s="283" t="s">
        <v>306</v>
      </c>
      <c r="AI34" s="283">
        <v>2</v>
      </c>
      <c r="AJ34" s="283" t="s">
        <v>291</v>
      </c>
    </row>
    <row r="35" spans="1:36" ht="15">
      <c r="A35" s="263" t="s">
        <v>486</v>
      </c>
      <c r="B35" s="283" t="s">
        <v>273</v>
      </c>
      <c r="C35" s="283" t="s">
        <v>273</v>
      </c>
      <c r="D35" s="283" t="s">
        <v>273</v>
      </c>
      <c r="E35" s="283" t="s">
        <v>273</v>
      </c>
      <c r="F35" s="283" t="s">
        <v>273</v>
      </c>
      <c r="G35" s="283" t="s">
        <v>273</v>
      </c>
      <c r="H35" s="283" t="s">
        <v>273</v>
      </c>
      <c r="I35" s="283" t="s">
        <v>273</v>
      </c>
      <c r="J35" s="283" t="s">
        <v>273</v>
      </c>
      <c r="K35" s="283" t="s">
        <v>273</v>
      </c>
      <c r="L35" s="283" t="s">
        <v>273</v>
      </c>
      <c r="M35" s="283" t="s">
        <v>273</v>
      </c>
      <c r="N35" s="283" t="s">
        <v>273</v>
      </c>
      <c r="O35" s="283" t="s">
        <v>273</v>
      </c>
      <c r="P35" s="283" t="s">
        <v>273</v>
      </c>
      <c r="Q35" s="283" t="s">
        <v>273</v>
      </c>
      <c r="R35" s="283" t="s">
        <v>273</v>
      </c>
      <c r="S35" s="283" t="s">
        <v>306</v>
      </c>
      <c r="T35" s="283" t="s">
        <v>306</v>
      </c>
      <c r="U35" s="283" t="s">
        <v>306</v>
      </c>
      <c r="V35" s="283" t="s">
        <v>306</v>
      </c>
      <c r="W35" s="283" t="s">
        <v>306</v>
      </c>
      <c r="X35" s="283" t="s">
        <v>306</v>
      </c>
      <c r="Y35" s="283" t="s">
        <v>306</v>
      </c>
      <c r="Z35" s="283" t="s">
        <v>306</v>
      </c>
      <c r="AA35" s="283" t="s">
        <v>306</v>
      </c>
      <c r="AB35" s="283" t="s">
        <v>306</v>
      </c>
      <c r="AC35" s="283" t="s">
        <v>273</v>
      </c>
      <c r="AD35" s="283" t="s">
        <v>273</v>
      </c>
      <c r="AE35" s="283" t="s">
        <v>273</v>
      </c>
      <c r="AF35" s="283" t="s">
        <v>273</v>
      </c>
      <c r="AG35" s="283" t="s">
        <v>273</v>
      </c>
      <c r="AH35" s="283">
        <v>0</v>
      </c>
      <c r="AI35" s="283">
        <v>0</v>
      </c>
      <c r="AJ35" s="283">
        <v>0</v>
      </c>
    </row>
    <row r="36" spans="1:36" ht="15">
      <c r="A36" s="263" t="s">
        <v>485</v>
      </c>
      <c r="B36" s="283" t="s">
        <v>273</v>
      </c>
      <c r="C36" s="283" t="s">
        <v>273</v>
      </c>
      <c r="D36" s="283" t="s">
        <v>273</v>
      </c>
      <c r="E36" s="283" t="s">
        <v>273</v>
      </c>
      <c r="F36" s="283" t="s">
        <v>273</v>
      </c>
      <c r="G36" s="283" t="s">
        <v>273</v>
      </c>
      <c r="H36" s="283" t="s">
        <v>273</v>
      </c>
      <c r="I36" s="283" t="s">
        <v>273</v>
      </c>
      <c r="J36" s="283" t="s">
        <v>273</v>
      </c>
      <c r="K36" s="283" t="s">
        <v>273</v>
      </c>
      <c r="L36" s="283" t="s">
        <v>273</v>
      </c>
      <c r="M36" s="283" t="s">
        <v>273</v>
      </c>
      <c r="N36" s="283" t="s">
        <v>273</v>
      </c>
      <c r="O36" s="283" t="s">
        <v>273</v>
      </c>
      <c r="P36" s="283" t="s">
        <v>273</v>
      </c>
      <c r="Q36" s="283" t="s">
        <v>273</v>
      </c>
      <c r="R36" s="283" t="s">
        <v>273</v>
      </c>
      <c r="S36" s="283" t="s">
        <v>306</v>
      </c>
      <c r="T36" s="283" t="s">
        <v>306</v>
      </c>
      <c r="U36" s="283" t="s">
        <v>306</v>
      </c>
      <c r="V36" s="283" t="s">
        <v>306</v>
      </c>
      <c r="W36" s="283" t="s">
        <v>306</v>
      </c>
      <c r="X36" s="283">
        <v>1</v>
      </c>
      <c r="Y36" s="283">
        <v>1</v>
      </c>
      <c r="Z36" s="283">
        <v>1</v>
      </c>
      <c r="AA36" s="283">
        <v>1</v>
      </c>
      <c r="AB36" s="283">
        <v>1</v>
      </c>
      <c r="AC36" s="283" t="s">
        <v>306</v>
      </c>
      <c r="AD36" s="283" t="s">
        <v>306</v>
      </c>
      <c r="AE36" s="283" t="s">
        <v>306</v>
      </c>
      <c r="AF36" s="283" t="s">
        <v>306</v>
      </c>
      <c r="AG36" s="283" t="s">
        <v>306</v>
      </c>
      <c r="AH36" s="283" t="s">
        <v>306</v>
      </c>
      <c r="AI36" s="283" t="s">
        <v>306</v>
      </c>
      <c r="AJ36" s="283">
        <v>1</v>
      </c>
    </row>
    <row r="37" spans="1:36" ht="15">
      <c r="A37" s="263" t="s">
        <v>484</v>
      </c>
      <c r="B37" s="283" t="s">
        <v>273</v>
      </c>
      <c r="C37" s="283" t="s">
        <v>273</v>
      </c>
      <c r="D37" s="283" t="s">
        <v>273</v>
      </c>
      <c r="E37" s="283" t="s">
        <v>273</v>
      </c>
      <c r="F37" s="283" t="s">
        <v>273</v>
      </c>
      <c r="G37" s="283" t="s">
        <v>273</v>
      </c>
      <c r="H37" s="283" t="s">
        <v>273</v>
      </c>
      <c r="I37" s="283" t="s">
        <v>33</v>
      </c>
      <c r="J37" s="283" t="s">
        <v>33</v>
      </c>
      <c r="K37" s="283" t="s">
        <v>33</v>
      </c>
      <c r="L37" s="283" t="s">
        <v>291</v>
      </c>
      <c r="M37" s="283" t="s">
        <v>291</v>
      </c>
      <c r="N37" s="283" t="s">
        <v>291</v>
      </c>
      <c r="O37" s="283">
        <v>-67</v>
      </c>
      <c r="P37" s="283">
        <v>-61</v>
      </c>
      <c r="Q37" s="283">
        <v>-82</v>
      </c>
      <c r="R37" s="283">
        <v>-163</v>
      </c>
      <c r="S37" s="283">
        <v>-4</v>
      </c>
      <c r="T37" s="283">
        <v>106</v>
      </c>
      <c r="U37" s="283">
        <v>71</v>
      </c>
      <c r="V37" s="283">
        <v>55</v>
      </c>
      <c r="W37" s="283" t="s">
        <v>291</v>
      </c>
      <c r="X37" s="283">
        <v>261</v>
      </c>
      <c r="Y37" s="283" t="s">
        <v>291</v>
      </c>
      <c r="Z37" s="283">
        <v>1539</v>
      </c>
      <c r="AA37" s="283">
        <v>2696</v>
      </c>
      <c r="AB37" s="283">
        <v>2031</v>
      </c>
      <c r="AC37" s="283">
        <v>427</v>
      </c>
      <c r="AD37" s="283">
        <v>445</v>
      </c>
      <c r="AE37" s="283" t="s">
        <v>291</v>
      </c>
      <c r="AF37" s="283" t="s">
        <v>291</v>
      </c>
      <c r="AG37" s="283" t="s">
        <v>291</v>
      </c>
      <c r="AH37" s="283" t="s">
        <v>291</v>
      </c>
      <c r="AI37" s="283">
        <v>57</v>
      </c>
      <c r="AJ37" s="283">
        <v>25</v>
      </c>
    </row>
    <row r="38" spans="1:36" ht="15">
      <c r="A38" s="263" t="s">
        <v>483</v>
      </c>
      <c r="B38" s="283" t="s">
        <v>273</v>
      </c>
      <c r="C38" s="283" t="s">
        <v>273</v>
      </c>
      <c r="D38" s="283" t="s">
        <v>273</v>
      </c>
      <c r="E38" s="283" t="s">
        <v>273</v>
      </c>
      <c r="F38" s="283" t="s">
        <v>273</v>
      </c>
      <c r="G38" s="283" t="s">
        <v>273</v>
      </c>
      <c r="H38" s="283" t="s">
        <v>273</v>
      </c>
      <c r="I38" s="283" t="s">
        <v>273</v>
      </c>
      <c r="J38" s="283" t="s">
        <v>273</v>
      </c>
      <c r="K38" s="283" t="s">
        <v>273</v>
      </c>
      <c r="L38" s="283" t="s">
        <v>273</v>
      </c>
      <c r="M38" s="283" t="s">
        <v>273</v>
      </c>
      <c r="N38" s="283">
        <v>0</v>
      </c>
      <c r="O38" s="283">
        <v>0</v>
      </c>
      <c r="P38" s="283">
        <v>0</v>
      </c>
      <c r="Q38" s="283">
        <v>0</v>
      </c>
      <c r="R38" s="283">
        <v>-3</v>
      </c>
      <c r="S38" s="283">
        <v>-1</v>
      </c>
      <c r="T38" s="283">
        <v>-1</v>
      </c>
      <c r="U38" s="283">
        <v>-1</v>
      </c>
      <c r="V38" s="283" t="s">
        <v>306</v>
      </c>
      <c r="W38" s="283" t="s">
        <v>306</v>
      </c>
      <c r="X38" s="283">
        <v>1</v>
      </c>
      <c r="Y38" s="283">
        <v>1</v>
      </c>
      <c r="Z38" s="283">
        <v>1</v>
      </c>
      <c r="AA38" s="283">
        <v>1</v>
      </c>
      <c r="AB38" s="283">
        <v>1</v>
      </c>
      <c r="AC38" s="283">
        <v>2</v>
      </c>
      <c r="AD38" s="283">
        <v>2</v>
      </c>
      <c r="AE38" s="283">
        <v>2</v>
      </c>
      <c r="AF38" s="283">
        <v>2</v>
      </c>
      <c r="AG38" s="283">
        <v>2</v>
      </c>
      <c r="AH38" s="283">
        <v>2</v>
      </c>
      <c r="AI38" s="283">
        <v>2</v>
      </c>
      <c r="AJ38" s="283">
        <v>2</v>
      </c>
    </row>
    <row r="39" spans="1:36" ht="15">
      <c r="A39" s="263" t="s">
        <v>482</v>
      </c>
      <c r="B39" s="283" t="s">
        <v>273</v>
      </c>
      <c r="C39" s="283" t="s">
        <v>273</v>
      </c>
      <c r="D39" s="283" t="s">
        <v>273</v>
      </c>
      <c r="E39" s="283" t="s">
        <v>273</v>
      </c>
      <c r="F39" s="283" t="s">
        <v>273</v>
      </c>
      <c r="G39" s="283" t="s">
        <v>273</v>
      </c>
      <c r="H39" s="283" t="s">
        <v>273</v>
      </c>
      <c r="I39" s="283" t="s">
        <v>33</v>
      </c>
      <c r="J39" s="283" t="s">
        <v>33</v>
      </c>
      <c r="K39" s="283" t="s">
        <v>33</v>
      </c>
      <c r="L39" s="283">
        <v>0</v>
      </c>
      <c r="M39" s="283">
        <v>0</v>
      </c>
      <c r="N39" s="283">
        <v>-5</v>
      </c>
      <c r="O39" s="283">
        <v>-5</v>
      </c>
      <c r="P39" s="283">
        <v>-1</v>
      </c>
      <c r="Q39" s="283">
        <v>-2</v>
      </c>
      <c r="R39" s="283">
        <v>-2</v>
      </c>
      <c r="S39" s="283">
        <v>-2</v>
      </c>
      <c r="T39" s="283">
        <v>1</v>
      </c>
      <c r="U39" s="283" t="s">
        <v>306</v>
      </c>
      <c r="V39" s="283" t="s">
        <v>306</v>
      </c>
      <c r="W39" s="283" t="s">
        <v>306</v>
      </c>
      <c r="X39" s="283">
        <v>2</v>
      </c>
      <c r="Y39" s="283">
        <v>-1</v>
      </c>
      <c r="Z39" s="283">
        <v>-2</v>
      </c>
      <c r="AA39" s="283">
        <v>-1</v>
      </c>
      <c r="AB39" s="283">
        <v>-1</v>
      </c>
      <c r="AC39" s="283">
        <v>1</v>
      </c>
      <c r="AD39" s="283">
        <v>1</v>
      </c>
      <c r="AE39" s="283">
        <v>1</v>
      </c>
      <c r="AF39" s="283">
        <v>1</v>
      </c>
      <c r="AG39" s="283">
        <v>1</v>
      </c>
      <c r="AH39" s="283">
        <v>1</v>
      </c>
      <c r="AI39" s="283">
        <v>1</v>
      </c>
      <c r="AJ39" s="283">
        <v>1</v>
      </c>
    </row>
    <row r="40" spans="1:36" ht="15">
      <c r="A40" s="263" t="s">
        <v>481</v>
      </c>
      <c r="B40" s="283" t="s">
        <v>273</v>
      </c>
      <c r="C40" s="283" t="s">
        <v>273</v>
      </c>
      <c r="D40" s="283" t="s">
        <v>273</v>
      </c>
      <c r="E40" s="283" t="s">
        <v>273</v>
      </c>
      <c r="F40" s="283" t="s">
        <v>273</v>
      </c>
      <c r="G40" s="283" t="s">
        <v>273</v>
      </c>
      <c r="H40" s="283" t="s">
        <v>273</v>
      </c>
      <c r="I40" s="283">
        <v>0</v>
      </c>
      <c r="J40" s="283">
        <v>0</v>
      </c>
      <c r="K40" s="283">
        <v>0</v>
      </c>
      <c r="L40" s="283">
        <v>0</v>
      </c>
      <c r="M40" s="283">
        <v>0</v>
      </c>
      <c r="N40" s="283" t="s">
        <v>306</v>
      </c>
      <c r="O40" s="283">
        <v>10</v>
      </c>
      <c r="P40" s="283">
        <v>-1</v>
      </c>
      <c r="Q40" s="283">
        <v>-1</v>
      </c>
      <c r="R40" s="283">
        <v>-1</v>
      </c>
      <c r="S40" s="283">
        <v>-6</v>
      </c>
      <c r="T40" s="283">
        <v>5</v>
      </c>
      <c r="U40" s="283">
        <v>1</v>
      </c>
      <c r="V40" s="283">
        <v>5</v>
      </c>
      <c r="W40" s="283">
        <v>10</v>
      </c>
      <c r="X40" s="283">
        <v>41</v>
      </c>
      <c r="Y40" s="283">
        <v>43</v>
      </c>
      <c r="Z40" s="283">
        <v>19</v>
      </c>
      <c r="AA40" s="283">
        <v>15</v>
      </c>
      <c r="AB40" s="283">
        <v>19</v>
      </c>
      <c r="AC40" s="283">
        <v>64</v>
      </c>
      <c r="AD40" s="283">
        <v>75</v>
      </c>
      <c r="AE40" s="283">
        <v>80</v>
      </c>
      <c r="AF40" s="283">
        <v>73</v>
      </c>
      <c r="AG40" s="283">
        <v>74</v>
      </c>
      <c r="AH40" s="283">
        <v>74</v>
      </c>
      <c r="AI40" s="283">
        <v>73</v>
      </c>
      <c r="AJ40" s="283">
        <v>62</v>
      </c>
    </row>
    <row r="41" spans="1:36" ht="15">
      <c r="A41" s="263" t="s">
        <v>480</v>
      </c>
      <c r="B41" s="283" t="s">
        <v>273</v>
      </c>
      <c r="C41" s="283" t="s">
        <v>273</v>
      </c>
      <c r="D41" s="283" t="s">
        <v>273</v>
      </c>
      <c r="E41" s="283" t="s">
        <v>273</v>
      </c>
      <c r="F41" s="283" t="s">
        <v>273</v>
      </c>
      <c r="G41" s="283" t="s">
        <v>273</v>
      </c>
      <c r="H41" s="283" t="s">
        <v>273</v>
      </c>
      <c r="I41" s="283" t="s">
        <v>33</v>
      </c>
      <c r="J41" s="283" t="s">
        <v>33</v>
      </c>
      <c r="K41" s="283" t="s">
        <v>33</v>
      </c>
      <c r="L41" s="283">
        <v>0</v>
      </c>
      <c r="M41" s="283">
        <v>0</v>
      </c>
      <c r="N41" s="283">
        <v>0</v>
      </c>
      <c r="O41" s="283">
        <v>0</v>
      </c>
      <c r="P41" s="283">
        <v>0</v>
      </c>
      <c r="Q41" s="283">
        <v>0</v>
      </c>
      <c r="R41" s="283">
        <v>0</v>
      </c>
      <c r="S41" s="283">
        <v>-1</v>
      </c>
      <c r="T41" s="283">
        <v>-1</v>
      </c>
      <c r="U41" s="283">
        <v>12</v>
      </c>
      <c r="V41" s="283">
        <v>14</v>
      </c>
      <c r="W41" s="283" t="s">
        <v>306</v>
      </c>
      <c r="X41" s="283">
        <v>-1</v>
      </c>
      <c r="Y41" s="283">
        <v>-1</v>
      </c>
      <c r="Z41" s="283">
        <v>-1</v>
      </c>
      <c r="AA41" s="283">
        <v>-4</v>
      </c>
      <c r="AB41" s="283">
        <v>-31</v>
      </c>
      <c r="AC41" s="283">
        <v>-17</v>
      </c>
      <c r="AD41" s="283" t="s">
        <v>291</v>
      </c>
      <c r="AE41" s="283">
        <v>-47</v>
      </c>
      <c r="AF41" s="283">
        <v>12</v>
      </c>
      <c r="AG41" s="283">
        <v>-8</v>
      </c>
      <c r="AH41" s="283">
        <v>-8</v>
      </c>
      <c r="AI41" s="283">
        <v>-2</v>
      </c>
      <c r="AJ41" s="283">
        <v>11</v>
      </c>
    </row>
    <row r="42" spans="1:36" ht="15">
      <c r="A42" s="263" t="s">
        <v>479</v>
      </c>
      <c r="B42" s="283">
        <v>12</v>
      </c>
      <c r="C42" s="283">
        <v>12</v>
      </c>
      <c r="D42" s="283">
        <v>10</v>
      </c>
      <c r="E42" s="283">
        <v>10</v>
      </c>
      <c r="F42" s="283">
        <v>6</v>
      </c>
      <c r="G42" s="283">
        <v>5</v>
      </c>
      <c r="H42" s="283">
        <v>6</v>
      </c>
      <c r="I42" s="283">
        <v>3</v>
      </c>
      <c r="J42" s="283">
        <v>3</v>
      </c>
      <c r="K42" s="283">
        <v>8</v>
      </c>
      <c r="L42" s="283">
        <v>9</v>
      </c>
      <c r="M42" s="283">
        <v>13</v>
      </c>
      <c r="N42" s="283">
        <v>4</v>
      </c>
      <c r="O42" s="283">
        <v>7</v>
      </c>
      <c r="P42" s="283">
        <v>5</v>
      </c>
      <c r="Q42" s="283">
        <v>17</v>
      </c>
      <c r="R42" s="283">
        <v>14</v>
      </c>
      <c r="S42" s="283">
        <v>5</v>
      </c>
      <c r="T42" s="283">
        <v>5</v>
      </c>
      <c r="U42" s="283">
        <v>16</v>
      </c>
      <c r="V42" s="283">
        <v>27</v>
      </c>
      <c r="W42" s="283">
        <v>35</v>
      </c>
      <c r="X42" s="283">
        <v>31</v>
      </c>
      <c r="Y42" s="283">
        <v>144</v>
      </c>
      <c r="Z42" s="283">
        <v>135</v>
      </c>
      <c r="AA42" s="283">
        <v>227</v>
      </c>
      <c r="AB42" s="283">
        <v>120</v>
      </c>
      <c r="AC42" s="283">
        <v>81</v>
      </c>
      <c r="AD42" s="283">
        <v>72</v>
      </c>
      <c r="AE42" s="283">
        <v>117</v>
      </c>
      <c r="AF42" s="283">
        <v>136</v>
      </c>
      <c r="AG42" s="283">
        <v>138</v>
      </c>
      <c r="AH42" s="283">
        <v>104</v>
      </c>
      <c r="AI42" s="283">
        <v>134</v>
      </c>
      <c r="AJ42" s="283">
        <v>187</v>
      </c>
    </row>
    <row r="43" spans="1:36" ht="15">
      <c r="A43" s="263" t="s">
        <v>478</v>
      </c>
      <c r="B43" s="283" t="s">
        <v>273</v>
      </c>
      <c r="C43" s="283" t="s">
        <v>273</v>
      </c>
      <c r="D43" s="283" t="s">
        <v>273</v>
      </c>
      <c r="E43" s="283" t="s">
        <v>273</v>
      </c>
      <c r="F43" s="283" t="s">
        <v>273</v>
      </c>
      <c r="G43" s="283" t="s">
        <v>273</v>
      </c>
      <c r="H43" s="283" t="s">
        <v>273</v>
      </c>
      <c r="I43" s="283" t="s">
        <v>33</v>
      </c>
      <c r="J43" s="283" t="s">
        <v>33</v>
      </c>
      <c r="K43" s="283" t="s">
        <v>33</v>
      </c>
      <c r="L43" s="283" t="s">
        <v>33</v>
      </c>
      <c r="M43" s="283">
        <v>-8</v>
      </c>
      <c r="N43" s="283">
        <v>-8</v>
      </c>
      <c r="O43" s="283">
        <v>-8</v>
      </c>
      <c r="P43" s="283">
        <v>34</v>
      </c>
      <c r="Q43" s="283">
        <v>36</v>
      </c>
      <c r="R43" s="283">
        <v>53</v>
      </c>
      <c r="S43" s="283" t="s">
        <v>273</v>
      </c>
      <c r="T43" s="283" t="s">
        <v>273</v>
      </c>
      <c r="U43" s="283" t="s">
        <v>273</v>
      </c>
      <c r="V43" s="283" t="s">
        <v>273</v>
      </c>
      <c r="W43" s="283" t="s">
        <v>273</v>
      </c>
      <c r="X43" s="283" t="s">
        <v>273</v>
      </c>
      <c r="Y43" s="283" t="s">
        <v>273</v>
      </c>
      <c r="Z43" s="283" t="s">
        <v>273</v>
      </c>
      <c r="AA43" s="283" t="s">
        <v>273</v>
      </c>
      <c r="AB43" s="283" t="s">
        <v>273</v>
      </c>
      <c r="AC43" s="283" t="s">
        <v>273</v>
      </c>
      <c r="AD43" s="283" t="s">
        <v>273</v>
      </c>
      <c r="AE43" s="283" t="s">
        <v>273</v>
      </c>
      <c r="AF43" s="283" t="s">
        <v>273</v>
      </c>
      <c r="AG43" s="283" t="s">
        <v>273</v>
      </c>
      <c r="AH43" s="283" t="s">
        <v>273</v>
      </c>
      <c r="AI43" s="283" t="s">
        <v>273</v>
      </c>
      <c r="AJ43" s="283" t="s">
        <v>273</v>
      </c>
    </row>
    <row r="44" spans="1:36" ht="15">
      <c r="A44" s="263" t="s">
        <v>477</v>
      </c>
      <c r="B44" s="283" t="s">
        <v>273</v>
      </c>
      <c r="C44" s="283" t="s">
        <v>273</v>
      </c>
      <c r="D44" s="283" t="s">
        <v>273</v>
      </c>
      <c r="E44" s="283" t="s">
        <v>273</v>
      </c>
      <c r="F44" s="283" t="s">
        <v>273</v>
      </c>
      <c r="G44" s="283" t="s">
        <v>273</v>
      </c>
      <c r="H44" s="283" t="s">
        <v>273</v>
      </c>
      <c r="I44" s="283">
        <v>0</v>
      </c>
      <c r="J44" s="283">
        <v>0</v>
      </c>
      <c r="K44" s="283">
        <v>-1</v>
      </c>
      <c r="L44" s="283">
        <v>-14</v>
      </c>
      <c r="M44" s="283" t="s">
        <v>33</v>
      </c>
      <c r="N44" s="283" t="s">
        <v>273</v>
      </c>
      <c r="O44" s="283" t="s">
        <v>273</v>
      </c>
      <c r="P44" s="283" t="s">
        <v>273</v>
      </c>
      <c r="Q44" s="283" t="s">
        <v>273</v>
      </c>
      <c r="R44" s="283" t="s">
        <v>273</v>
      </c>
      <c r="S44" s="283" t="s">
        <v>273</v>
      </c>
      <c r="T44" s="283" t="s">
        <v>273</v>
      </c>
      <c r="U44" s="283" t="s">
        <v>273</v>
      </c>
      <c r="V44" s="283" t="s">
        <v>273</v>
      </c>
      <c r="W44" s="283" t="s">
        <v>273</v>
      </c>
      <c r="X44" s="283" t="s">
        <v>273</v>
      </c>
      <c r="Y44" s="283" t="s">
        <v>273</v>
      </c>
      <c r="Z44" s="283" t="s">
        <v>273</v>
      </c>
      <c r="AA44" s="283" t="s">
        <v>273</v>
      </c>
      <c r="AB44" s="283" t="s">
        <v>273</v>
      </c>
      <c r="AC44" s="283" t="s">
        <v>273</v>
      </c>
      <c r="AD44" s="283" t="s">
        <v>273</v>
      </c>
      <c r="AE44" s="283" t="s">
        <v>273</v>
      </c>
      <c r="AF44" s="283" t="s">
        <v>273</v>
      </c>
      <c r="AG44" s="283" t="s">
        <v>273</v>
      </c>
      <c r="AH44" s="283" t="s">
        <v>273</v>
      </c>
      <c r="AI44" s="283" t="s">
        <v>273</v>
      </c>
      <c r="AJ44" s="283" t="s">
        <v>273</v>
      </c>
    </row>
    <row r="45" spans="1:36" ht="15">
      <c r="A45" s="263" t="s">
        <v>476</v>
      </c>
      <c r="B45" s="283" t="s">
        <v>273</v>
      </c>
      <c r="C45" s="283" t="s">
        <v>273</v>
      </c>
      <c r="D45" s="283" t="s">
        <v>273</v>
      </c>
      <c r="E45" s="283" t="s">
        <v>273</v>
      </c>
      <c r="F45" s="283" t="s">
        <v>273</v>
      </c>
      <c r="G45" s="283" t="s">
        <v>273</v>
      </c>
      <c r="H45" s="283" t="s">
        <v>273</v>
      </c>
      <c r="I45" s="283" t="s">
        <v>33</v>
      </c>
      <c r="J45" s="283" t="s">
        <v>33</v>
      </c>
      <c r="K45" s="283">
        <v>0</v>
      </c>
      <c r="L45" s="283">
        <v>0</v>
      </c>
      <c r="M45" s="283">
        <v>0</v>
      </c>
      <c r="N45" s="283" t="s">
        <v>306</v>
      </c>
      <c r="O45" s="283">
        <v>1</v>
      </c>
      <c r="P45" s="283">
        <v>2</v>
      </c>
      <c r="Q45" s="283">
        <v>2</v>
      </c>
      <c r="R45" s="283">
        <v>1</v>
      </c>
      <c r="S45" s="283">
        <v>2</v>
      </c>
      <c r="T45" s="283" t="s">
        <v>291</v>
      </c>
      <c r="U45" s="283">
        <v>14</v>
      </c>
      <c r="V45" s="283">
        <v>1</v>
      </c>
      <c r="W45" s="283">
        <v>1</v>
      </c>
      <c r="X45" s="283" t="s">
        <v>306</v>
      </c>
      <c r="Y45" s="283">
        <v>-1</v>
      </c>
      <c r="Z45" s="283">
        <v>-1</v>
      </c>
      <c r="AA45" s="283" t="s">
        <v>306</v>
      </c>
      <c r="AB45" s="283">
        <v>2</v>
      </c>
      <c r="AC45" s="283">
        <v>18</v>
      </c>
      <c r="AD45" s="283">
        <v>9</v>
      </c>
      <c r="AE45" s="283">
        <v>11</v>
      </c>
      <c r="AF45" s="283">
        <v>-18</v>
      </c>
      <c r="AG45" s="283">
        <v>12</v>
      </c>
      <c r="AH45" s="283">
        <v>3</v>
      </c>
      <c r="AI45" s="283">
        <v>1</v>
      </c>
      <c r="AJ45" s="283">
        <v>6</v>
      </c>
    </row>
    <row r="46" spans="1:36" ht="15">
      <c r="A46" s="263" t="s">
        <v>475</v>
      </c>
      <c r="B46" s="283" t="s">
        <v>273</v>
      </c>
      <c r="C46" s="283" t="s">
        <v>273</v>
      </c>
      <c r="D46" s="283" t="s">
        <v>273</v>
      </c>
      <c r="E46" s="283" t="s">
        <v>273</v>
      </c>
      <c r="F46" s="283" t="s">
        <v>273</v>
      </c>
      <c r="G46" s="283" t="s">
        <v>273</v>
      </c>
      <c r="H46" s="283" t="s">
        <v>273</v>
      </c>
      <c r="I46" s="283" t="s">
        <v>273</v>
      </c>
      <c r="J46" s="283" t="s">
        <v>273</v>
      </c>
      <c r="K46" s="283" t="s">
        <v>273</v>
      </c>
      <c r="L46" s="283" t="s">
        <v>273</v>
      </c>
      <c r="M46" s="283" t="s">
        <v>273</v>
      </c>
      <c r="N46" s="283">
        <v>0</v>
      </c>
      <c r="O46" s="283">
        <v>0</v>
      </c>
      <c r="P46" s="283">
        <v>0</v>
      </c>
      <c r="Q46" s="283">
        <v>0</v>
      </c>
      <c r="R46" s="283">
        <v>0</v>
      </c>
      <c r="S46" s="283">
        <v>4</v>
      </c>
      <c r="T46" s="283">
        <v>27</v>
      </c>
      <c r="U46" s="283">
        <v>29</v>
      </c>
      <c r="V46" s="283">
        <v>58</v>
      </c>
      <c r="W46" s="283">
        <v>37</v>
      </c>
      <c r="X46" s="283">
        <v>22</v>
      </c>
      <c r="Y46" s="283">
        <v>36</v>
      </c>
      <c r="Z46" s="283">
        <v>36</v>
      </c>
      <c r="AA46" s="283" t="s">
        <v>291</v>
      </c>
      <c r="AB46" s="283">
        <v>1</v>
      </c>
      <c r="AC46" s="283" t="s">
        <v>306</v>
      </c>
      <c r="AD46" s="283" t="s">
        <v>306</v>
      </c>
      <c r="AE46" s="283" t="s">
        <v>306</v>
      </c>
      <c r="AF46" s="283" t="s">
        <v>306</v>
      </c>
      <c r="AG46" s="283" t="s">
        <v>306</v>
      </c>
      <c r="AH46" s="283" t="s">
        <v>306</v>
      </c>
      <c r="AI46" s="283">
        <v>6</v>
      </c>
      <c r="AJ46" s="283" t="s">
        <v>291</v>
      </c>
    </row>
    <row r="47" spans="1:36" ht="15">
      <c r="A47" s="263" t="s">
        <v>474</v>
      </c>
      <c r="B47" s="283">
        <v>0</v>
      </c>
      <c r="C47" s="283" t="s">
        <v>306</v>
      </c>
      <c r="D47" s="283" t="s">
        <v>306</v>
      </c>
      <c r="E47" s="283" t="s">
        <v>306</v>
      </c>
      <c r="F47" s="283" t="s">
        <v>306</v>
      </c>
      <c r="G47" s="283" t="s">
        <v>306</v>
      </c>
      <c r="H47" s="283" t="s">
        <v>306</v>
      </c>
      <c r="I47" s="283" t="s">
        <v>291</v>
      </c>
      <c r="J47" s="283" t="s">
        <v>291</v>
      </c>
      <c r="K47" s="283" t="s">
        <v>291</v>
      </c>
      <c r="L47" s="283" t="s">
        <v>291</v>
      </c>
      <c r="M47" s="283" t="s">
        <v>291</v>
      </c>
      <c r="N47" s="283" t="s">
        <v>291</v>
      </c>
      <c r="O47" s="283" t="s">
        <v>291</v>
      </c>
      <c r="P47" s="283" t="s">
        <v>291</v>
      </c>
      <c r="Q47" s="283" t="s">
        <v>291</v>
      </c>
      <c r="R47" s="283">
        <v>45</v>
      </c>
      <c r="S47" s="283" t="s">
        <v>291</v>
      </c>
      <c r="T47" s="283" t="s">
        <v>291</v>
      </c>
      <c r="U47" s="283">
        <v>2</v>
      </c>
      <c r="V47" s="283">
        <v>88</v>
      </c>
      <c r="W47" s="283">
        <v>57</v>
      </c>
      <c r="X47" s="283">
        <v>169</v>
      </c>
      <c r="Y47" s="283" t="s">
        <v>291</v>
      </c>
      <c r="Z47" s="283">
        <v>293</v>
      </c>
      <c r="AA47" s="283">
        <v>1335</v>
      </c>
      <c r="AB47" s="283">
        <v>1030</v>
      </c>
      <c r="AC47" s="283">
        <v>1140</v>
      </c>
      <c r="AD47" s="283">
        <v>1338</v>
      </c>
      <c r="AE47" s="283">
        <v>2106</v>
      </c>
      <c r="AF47" s="283">
        <v>801</v>
      </c>
      <c r="AG47" s="283">
        <v>-49</v>
      </c>
      <c r="AH47" s="283">
        <v>-3875</v>
      </c>
      <c r="AI47" s="283">
        <v>-1905</v>
      </c>
      <c r="AJ47" s="283">
        <v>-1619</v>
      </c>
    </row>
    <row r="48" spans="1:36" ht="15">
      <c r="A48" s="263" t="s">
        <v>473</v>
      </c>
      <c r="B48" s="283">
        <v>0</v>
      </c>
      <c r="C48" s="283">
        <v>0</v>
      </c>
      <c r="D48" s="283">
        <v>0</v>
      </c>
      <c r="E48" s="283">
        <v>-3</v>
      </c>
      <c r="F48" s="283" t="s">
        <v>291</v>
      </c>
      <c r="G48" s="283" t="s">
        <v>291</v>
      </c>
      <c r="H48" s="283" t="s">
        <v>291</v>
      </c>
      <c r="I48" s="283">
        <v>-5</v>
      </c>
      <c r="J48" s="283">
        <v>-2</v>
      </c>
      <c r="K48" s="283" t="s">
        <v>306</v>
      </c>
      <c r="L48" s="283" t="s">
        <v>306</v>
      </c>
      <c r="M48" s="283" t="s">
        <v>306</v>
      </c>
      <c r="N48" s="283" t="s">
        <v>273</v>
      </c>
      <c r="O48" s="283" t="s">
        <v>273</v>
      </c>
      <c r="P48" s="283" t="s">
        <v>273</v>
      </c>
      <c r="Q48" s="283" t="s">
        <v>273</v>
      </c>
      <c r="R48" s="283" t="s">
        <v>273</v>
      </c>
      <c r="S48" s="283">
        <v>-1</v>
      </c>
      <c r="T48" s="283">
        <v>-1</v>
      </c>
      <c r="U48" s="283">
        <v>-1</v>
      </c>
      <c r="V48" s="283">
        <v>-1</v>
      </c>
      <c r="W48" s="283">
        <v>-1</v>
      </c>
      <c r="X48" s="283" t="s">
        <v>273</v>
      </c>
      <c r="Y48" s="283" t="s">
        <v>273</v>
      </c>
      <c r="Z48" s="283" t="s">
        <v>273</v>
      </c>
      <c r="AA48" s="283" t="s">
        <v>273</v>
      </c>
      <c r="AB48" s="283" t="s">
        <v>273</v>
      </c>
      <c r="AC48" s="283" t="s">
        <v>273</v>
      </c>
      <c r="AD48" s="283" t="s">
        <v>273</v>
      </c>
      <c r="AE48" s="283" t="s">
        <v>273</v>
      </c>
      <c r="AF48" s="283" t="s">
        <v>273</v>
      </c>
      <c r="AG48" s="283" t="s">
        <v>273</v>
      </c>
      <c r="AH48" s="283">
        <v>0</v>
      </c>
      <c r="AI48" s="283">
        <v>0</v>
      </c>
      <c r="AJ48" s="283">
        <v>0</v>
      </c>
    </row>
    <row r="49" spans="1:36" ht="15">
      <c r="A49" s="263" t="s">
        <v>472</v>
      </c>
      <c r="B49" s="283">
        <v>0</v>
      </c>
      <c r="C49" s="283">
        <v>0</v>
      </c>
      <c r="D49" s="283">
        <v>0</v>
      </c>
      <c r="E49" s="283">
        <v>0</v>
      </c>
      <c r="F49" s="283">
        <v>1</v>
      </c>
      <c r="G49" s="283">
        <v>8</v>
      </c>
      <c r="H49" s="283" t="s">
        <v>291</v>
      </c>
      <c r="I49" s="283" t="s">
        <v>291</v>
      </c>
      <c r="J49" s="283">
        <v>1</v>
      </c>
      <c r="K49" s="283">
        <v>7</v>
      </c>
      <c r="L49" s="283">
        <v>-75</v>
      </c>
      <c r="M49" s="283">
        <v>13</v>
      </c>
      <c r="N49" s="283">
        <v>71</v>
      </c>
      <c r="O49" s="283">
        <v>121</v>
      </c>
      <c r="P49" s="283">
        <v>199</v>
      </c>
      <c r="Q49" s="283">
        <v>260</v>
      </c>
      <c r="R49" s="283">
        <v>550</v>
      </c>
      <c r="S49" s="283" t="s">
        <v>273</v>
      </c>
      <c r="T49" s="283" t="s">
        <v>273</v>
      </c>
      <c r="U49" s="283" t="s">
        <v>273</v>
      </c>
      <c r="V49" s="283" t="s">
        <v>273</v>
      </c>
      <c r="W49" s="283" t="s">
        <v>273</v>
      </c>
      <c r="X49" s="283" t="s">
        <v>273</v>
      </c>
      <c r="Y49" s="283" t="s">
        <v>273</v>
      </c>
      <c r="Z49" s="283" t="s">
        <v>273</v>
      </c>
      <c r="AA49" s="283" t="s">
        <v>273</v>
      </c>
      <c r="AB49" s="283" t="s">
        <v>273</v>
      </c>
      <c r="AC49" s="283" t="s">
        <v>273</v>
      </c>
      <c r="AD49" s="283" t="s">
        <v>273</v>
      </c>
      <c r="AE49" s="283" t="s">
        <v>273</v>
      </c>
      <c r="AF49" s="283" t="s">
        <v>273</v>
      </c>
      <c r="AG49" s="283" t="s">
        <v>273</v>
      </c>
      <c r="AH49" s="283" t="s">
        <v>273</v>
      </c>
      <c r="AI49" s="283" t="s">
        <v>273</v>
      </c>
      <c r="AJ49" s="283" t="s">
        <v>273</v>
      </c>
    </row>
    <row r="50" spans="1:36" ht="15">
      <c r="A50" s="263" t="s">
        <v>471</v>
      </c>
      <c r="B50" s="283" t="s">
        <v>291</v>
      </c>
      <c r="C50" s="283">
        <v>2</v>
      </c>
      <c r="D50" s="283">
        <v>2</v>
      </c>
      <c r="E50" s="283">
        <v>1</v>
      </c>
      <c r="F50" s="283">
        <v>1</v>
      </c>
      <c r="G50" s="283">
        <v>1</v>
      </c>
      <c r="H50" s="283">
        <v>1</v>
      </c>
      <c r="I50" s="283">
        <v>2</v>
      </c>
      <c r="J50" s="283">
        <v>6</v>
      </c>
      <c r="K50" s="283">
        <v>4</v>
      </c>
      <c r="L50" s="283" t="s">
        <v>306</v>
      </c>
      <c r="M50" s="283">
        <v>3</v>
      </c>
      <c r="N50" s="283">
        <v>1</v>
      </c>
      <c r="O50" s="283">
        <v>1</v>
      </c>
      <c r="P50" s="283">
        <v>1</v>
      </c>
      <c r="Q50" s="283">
        <v>1</v>
      </c>
      <c r="R50" s="283">
        <v>1</v>
      </c>
      <c r="S50" s="283">
        <v>2</v>
      </c>
      <c r="T50" s="283">
        <v>2</v>
      </c>
      <c r="U50" s="283">
        <v>2</v>
      </c>
      <c r="V50" s="283">
        <v>2</v>
      </c>
      <c r="W50" s="283">
        <v>1</v>
      </c>
      <c r="X50" s="283">
        <v>2</v>
      </c>
      <c r="Y50" s="283">
        <v>2</v>
      </c>
      <c r="Z50" s="283">
        <v>23</v>
      </c>
      <c r="AA50" s="283">
        <v>43</v>
      </c>
      <c r="AB50" s="283" t="s">
        <v>291</v>
      </c>
      <c r="AC50" s="283" t="s">
        <v>291</v>
      </c>
      <c r="AD50" s="283" t="s">
        <v>291</v>
      </c>
      <c r="AE50" s="283">
        <v>37</v>
      </c>
      <c r="AF50" s="283" t="s">
        <v>291</v>
      </c>
      <c r="AG50" s="283" t="s">
        <v>291</v>
      </c>
      <c r="AH50" s="283" t="s">
        <v>291</v>
      </c>
      <c r="AI50" s="283">
        <v>21</v>
      </c>
      <c r="AJ50" s="283">
        <v>25</v>
      </c>
    </row>
    <row r="51" spans="1:36" s="260" customFormat="1" ht="15">
      <c r="A51" s="263" t="s">
        <v>470</v>
      </c>
      <c r="B51" s="283" t="s">
        <v>273</v>
      </c>
      <c r="C51" s="283" t="s">
        <v>273</v>
      </c>
      <c r="D51" s="283" t="s">
        <v>273</v>
      </c>
      <c r="E51" s="283" t="s">
        <v>273</v>
      </c>
      <c r="F51" s="283" t="s">
        <v>273</v>
      </c>
      <c r="G51" s="283" t="s">
        <v>273</v>
      </c>
      <c r="H51" s="283" t="s">
        <v>273</v>
      </c>
      <c r="I51" s="283" t="s">
        <v>33</v>
      </c>
      <c r="J51" s="283" t="s">
        <v>33</v>
      </c>
      <c r="K51" s="283" t="s">
        <v>33</v>
      </c>
      <c r="L51" s="283" t="s">
        <v>291</v>
      </c>
      <c r="M51" s="283" t="s">
        <v>291</v>
      </c>
      <c r="N51" s="283">
        <v>-65</v>
      </c>
      <c r="O51" s="283">
        <v>-53</v>
      </c>
      <c r="P51" s="283">
        <v>79</v>
      </c>
      <c r="Q51" s="283">
        <v>171</v>
      </c>
      <c r="R51" s="283">
        <v>69</v>
      </c>
      <c r="S51" s="283">
        <v>229</v>
      </c>
      <c r="T51" s="283">
        <v>513</v>
      </c>
      <c r="U51" s="283">
        <v>236</v>
      </c>
      <c r="V51" s="283">
        <v>255</v>
      </c>
      <c r="W51" s="283">
        <v>314</v>
      </c>
      <c r="X51" s="283">
        <v>429</v>
      </c>
      <c r="Y51" s="283">
        <v>568</v>
      </c>
      <c r="Z51" s="283">
        <v>719</v>
      </c>
      <c r="AA51" s="283">
        <v>780</v>
      </c>
      <c r="AB51" s="283">
        <v>1201</v>
      </c>
      <c r="AC51" s="283" t="s">
        <v>291</v>
      </c>
      <c r="AD51" s="283">
        <v>1342</v>
      </c>
      <c r="AE51" s="283" t="s">
        <v>291</v>
      </c>
      <c r="AF51" s="283">
        <v>1605</v>
      </c>
      <c r="AG51" s="283" t="s">
        <v>291</v>
      </c>
      <c r="AH51" s="283" t="s">
        <v>291</v>
      </c>
      <c r="AI51" s="283">
        <v>825</v>
      </c>
      <c r="AJ51" s="283">
        <v>707</v>
      </c>
    </row>
    <row r="52" spans="1:36" ht="15">
      <c r="A52" s="263" t="s">
        <v>1014</v>
      </c>
      <c r="B52" s="283" t="s">
        <v>273</v>
      </c>
      <c r="C52" s="283" t="s">
        <v>273</v>
      </c>
      <c r="D52" s="283" t="s">
        <v>273</v>
      </c>
      <c r="E52" s="283" t="s">
        <v>273</v>
      </c>
      <c r="F52" s="283" t="s">
        <v>273</v>
      </c>
      <c r="G52" s="283" t="s">
        <v>273</v>
      </c>
      <c r="H52" s="283" t="s">
        <v>273</v>
      </c>
      <c r="I52" s="283" t="s">
        <v>273</v>
      </c>
      <c r="J52" s="283" t="s">
        <v>273</v>
      </c>
      <c r="K52" s="283" t="s">
        <v>273</v>
      </c>
      <c r="L52" s="283" t="s">
        <v>273</v>
      </c>
      <c r="M52" s="283" t="s">
        <v>273</v>
      </c>
      <c r="N52" s="283" t="s">
        <v>273</v>
      </c>
      <c r="O52" s="283" t="s">
        <v>273</v>
      </c>
      <c r="P52" s="283" t="s">
        <v>273</v>
      </c>
      <c r="Q52" s="283" t="s">
        <v>273</v>
      </c>
      <c r="R52" s="283" t="s">
        <v>273</v>
      </c>
      <c r="S52" s="283" t="s">
        <v>273</v>
      </c>
      <c r="T52" s="283" t="s">
        <v>273</v>
      </c>
      <c r="U52" s="283" t="s">
        <v>273</v>
      </c>
      <c r="V52" s="283" t="s">
        <v>273</v>
      </c>
      <c r="W52" s="283" t="s">
        <v>273</v>
      </c>
      <c r="X52" s="283" t="s">
        <v>273</v>
      </c>
      <c r="Y52" s="283" t="s">
        <v>273</v>
      </c>
      <c r="Z52" s="283" t="s">
        <v>273</v>
      </c>
      <c r="AA52" s="283" t="s">
        <v>273</v>
      </c>
      <c r="AB52" s="283" t="s">
        <v>273</v>
      </c>
      <c r="AC52" s="283" t="s">
        <v>273</v>
      </c>
      <c r="AD52" s="283" t="s">
        <v>273</v>
      </c>
      <c r="AE52" s="283" t="s">
        <v>273</v>
      </c>
      <c r="AF52" s="283" t="s">
        <v>273</v>
      </c>
      <c r="AG52" s="283" t="s">
        <v>273</v>
      </c>
      <c r="AH52" s="283">
        <v>0</v>
      </c>
      <c r="AI52" s="283">
        <v>0</v>
      </c>
      <c r="AJ52" s="283">
        <v>0</v>
      </c>
    </row>
    <row r="53" spans="1:36" ht="15">
      <c r="A53" s="263" t="s">
        <v>469</v>
      </c>
      <c r="B53" s="283" t="s">
        <v>273</v>
      </c>
      <c r="C53" s="283" t="s">
        <v>273</v>
      </c>
      <c r="D53" s="283" t="s">
        <v>273</v>
      </c>
      <c r="E53" s="283" t="s">
        <v>273</v>
      </c>
      <c r="F53" s="283" t="s">
        <v>273</v>
      </c>
      <c r="G53" s="283" t="s">
        <v>273</v>
      </c>
      <c r="H53" s="283" t="s">
        <v>273</v>
      </c>
      <c r="I53" s="283" t="s">
        <v>273</v>
      </c>
      <c r="J53" s="283" t="s">
        <v>273</v>
      </c>
      <c r="K53" s="283" t="s">
        <v>273</v>
      </c>
      <c r="L53" s="283" t="s">
        <v>273</v>
      </c>
      <c r="M53" s="283" t="s">
        <v>273</v>
      </c>
      <c r="N53" s="283" t="s">
        <v>273</v>
      </c>
      <c r="O53" s="283" t="s">
        <v>273</v>
      </c>
      <c r="P53" s="283" t="s">
        <v>273</v>
      </c>
      <c r="Q53" s="283" t="s">
        <v>273</v>
      </c>
      <c r="R53" s="283" t="s">
        <v>273</v>
      </c>
      <c r="S53" s="283">
        <v>-1</v>
      </c>
      <c r="T53" s="283">
        <v>-1</v>
      </c>
      <c r="U53" s="283">
        <v>-1</v>
      </c>
      <c r="V53" s="283">
        <v>-1</v>
      </c>
      <c r="W53" s="283">
        <v>-1</v>
      </c>
      <c r="X53" s="283" t="s">
        <v>273</v>
      </c>
      <c r="Y53" s="283" t="s">
        <v>273</v>
      </c>
      <c r="Z53" s="283" t="s">
        <v>273</v>
      </c>
      <c r="AA53" s="283" t="s">
        <v>273</v>
      </c>
      <c r="AB53" s="283" t="s">
        <v>273</v>
      </c>
      <c r="AC53" s="283" t="s">
        <v>306</v>
      </c>
      <c r="AD53" s="283" t="s">
        <v>306</v>
      </c>
      <c r="AE53" s="283" t="s">
        <v>306</v>
      </c>
      <c r="AF53" s="283" t="s">
        <v>306</v>
      </c>
      <c r="AG53" s="283" t="s">
        <v>306</v>
      </c>
      <c r="AH53" s="283" t="s">
        <v>306</v>
      </c>
      <c r="AI53" s="283" t="s">
        <v>291</v>
      </c>
      <c r="AJ53" s="283">
        <v>4</v>
      </c>
    </row>
    <row r="54" spans="1:36" ht="15">
      <c r="A54" s="263" t="s">
        <v>468</v>
      </c>
      <c r="B54" s="283" t="s">
        <v>273</v>
      </c>
      <c r="C54" s="283" t="s">
        <v>273</v>
      </c>
      <c r="D54" s="283" t="s">
        <v>273</v>
      </c>
      <c r="E54" s="283" t="s">
        <v>273</v>
      </c>
      <c r="F54" s="283" t="s">
        <v>273</v>
      </c>
      <c r="G54" s="283" t="s">
        <v>273</v>
      </c>
      <c r="H54" s="283" t="s">
        <v>273</v>
      </c>
      <c r="I54" s="283" t="s">
        <v>33</v>
      </c>
      <c r="J54" s="283" t="s">
        <v>33</v>
      </c>
      <c r="K54" s="283">
        <v>0</v>
      </c>
      <c r="L54" s="283">
        <v>0</v>
      </c>
      <c r="M54" s="283">
        <v>0</v>
      </c>
      <c r="N54" s="283">
        <v>-5</v>
      </c>
      <c r="O54" s="283">
        <v>-6</v>
      </c>
      <c r="P54" s="283">
        <v>-5</v>
      </c>
      <c r="Q54" s="283">
        <v>-18</v>
      </c>
      <c r="R54" s="283">
        <v>7</v>
      </c>
      <c r="S54" s="283">
        <v>-9</v>
      </c>
      <c r="T54" s="283">
        <v>-10</v>
      </c>
      <c r="U54" s="283">
        <v>-10</v>
      </c>
      <c r="V54" s="283">
        <v>-11</v>
      </c>
      <c r="W54" s="283">
        <v>-2</v>
      </c>
      <c r="X54" s="283">
        <v>4</v>
      </c>
      <c r="Y54" s="283">
        <v>6</v>
      </c>
      <c r="Z54" s="283">
        <v>9</v>
      </c>
      <c r="AA54" s="283">
        <v>3</v>
      </c>
      <c r="AB54" s="283">
        <v>-6</v>
      </c>
      <c r="AC54" s="283">
        <v>-32</v>
      </c>
      <c r="AD54" s="283" t="s">
        <v>306</v>
      </c>
      <c r="AE54" s="283">
        <v>-9</v>
      </c>
      <c r="AF54" s="283">
        <v>6</v>
      </c>
      <c r="AG54" s="283">
        <v>-6</v>
      </c>
      <c r="AH54" s="283" t="s">
        <v>306</v>
      </c>
      <c r="AI54" s="283">
        <v>1</v>
      </c>
      <c r="AJ54" s="283">
        <v>1</v>
      </c>
    </row>
    <row r="55" spans="1:36" ht="15">
      <c r="A55" s="263" t="s">
        <v>467</v>
      </c>
      <c r="B55" s="283">
        <v>60</v>
      </c>
      <c r="C55" s="283">
        <v>36</v>
      </c>
      <c r="D55" s="283">
        <v>26</v>
      </c>
      <c r="E55" s="283">
        <v>50</v>
      </c>
      <c r="F55" s="283">
        <v>51</v>
      </c>
      <c r="G55" s="283">
        <v>2</v>
      </c>
      <c r="H55" s="283">
        <v>20</v>
      </c>
      <c r="I55" s="283">
        <v>35</v>
      </c>
      <c r="J55" s="283">
        <v>40</v>
      </c>
      <c r="K55" s="283">
        <v>32</v>
      </c>
      <c r="L55" s="283">
        <v>29</v>
      </c>
      <c r="M55" s="283">
        <v>18</v>
      </c>
      <c r="N55" s="283">
        <v>-2</v>
      </c>
      <c r="O55" s="283">
        <v>-13</v>
      </c>
      <c r="P55" s="283">
        <v>20</v>
      </c>
      <c r="Q55" s="283">
        <v>28</v>
      </c>
      <c r="R55" s="283">
        <v>28</v>
      </c>
      <c r="S55" s="283">
        <v>62</v>
      </c>
      <c r="T55" s="283">
        <v>37</v>
      </c>
      <c r="U55" s="283">
        <v>45</v>
      </c>
      <c r="V55" s="283">
        <v>43</v>
      </c>
      <c r="W55" s="283">
        <v>49</v>
      </c>
      <c r="X55" s="283">
        <v>26</v>
      </c>
      <c r="Y55" s="283">
        <v>32</v>
      </c>
      <c r="Z55" s="283">
        <v>7</v>
      </c>
      <c r="AA55" s="283">
        <v>15</v>
      </c>
      <c r="AB55" s="283">
        <v>9</v>
      </c>
      <c r="AC55" s="283">
        <v>-20</v>
      </c>
      <c r="AD55" s="283">
        <v>-21</v>
      </c>
      <c r="AE55" s="283">
        <v>-17</v>
      </c>
      <c r="AF55" s="283">
        <v>-16</v>
      </c>
      <c r="AG55" s="283">
        <v>-26</v>
      </c>
      <c r="AH55" s="283">
        <v>-19</v>
      </c>
      <c r="AI55" s="283">
        <v>-18</v>
      </c>
      <c r="AJ55" s="283">
        <v>10</v>
      </c>
    </row>
    <row r="56" spans="1:36" ht="15">
      <c r="A56" s="263" t="s">
        <v>466</v>
      </c>
      <c r="B56" s="283" t="s">
        <v>273</v>
      </c>
      <c r="C56" s="283" t="s">
        <v>273</v>
      </c>
      <c r="D56" s="283" t="s">
        <v>273</v>
      </c>
      <c r="E56" s="283" t="s">
        <v>273</v>
      </c>
      <c r="F56" s="283" t="s">
        <v>273</v>
      </c>
      <c r="G56" s="283" t="s">
        <v>273</v>
      </c>
      <c r="H56" s="283" t="s">
        <v>273</v>
      </c>
      <c r="I56" s="283" t="s">
        <v>33</v>
      </c>
      <c r="J56" s="283" t="s">
        <v>33</v>
      </c>
      <c r="K56" s="283">
        <v>0</v>
      </c>
      <c r="L56" s="283">
        <v>0</v>
      </c>
      <c r="M56" s="283">
        <v>0</v>
      </c>
      <c r="N56" s="283">
        <v>3</v>
      </c>
      <c r="O56" s="283">
        <v>12</v>
      </c>
      <c r="P56" s="283">
        <v>17</v>
      </c>
      <c r="Q56" s="283">
        <v>22</v>
      </c>
      <c r="R56" s="283">
        <v>23</v>
      </c>
      <c r="S56" s="283">
        <v>14</v>
      </c>
      <c r="T56" s="283">
        <v>-4</v>
      </c>
      <c r="U56" s="283">
        <v>-11</v>
      </c>
      <c r="V56" s="283">
        <v>-4</v>
      </c>
      <c r="W56" s="283">
        <v>7</v>
      </c>
      <c r="X56" s="283">
        <v>2</v>
      </c>
      <c r="Y56" s="283">
        <v>3</v>
      </c>
      <c r="Z56" s="283">
        <v>5</v>
      </c>
      <c r="AA56" s="283">
        <v>2</v>
      </c>
      <c r="AB56" s="283">
        <v>3</v>
      </c>
      <c r="AC56" s="283">
        <v>8</v>
      </c>
      <c r="AD56" s="283">
        <v>4</v>
      </c>
      <c r="AE56" s="283">
        <v>4</v>
      </c>
      <c r="AF56" s="283">
        <v>4</v>
      </c>
      <c r="AG56" s="283">
        <v>4</v>
      </c>
      <c r="AH56" s="283">
        <v>9</v>
      </c>
      <c r="AI56" s="283">
        <v>5</v>
      </c>
      <c r="AJ56" s="283">
        <v>4</v>
      </c>
    </row>
    <row r="57" spans="1:36" ht="15">
      <c r="A57" s="263" t="s">
        <v>465</v>
      </c>
      <c r="B57" s="283" t="s">
        <v>273</v>
      </c>
      <c r="C57" s="283" t="s">
        <v>273</v>
      </c>
      <c r="D57" s="283" t="s">
        <v>273</v>
      </c>
      <c r="E57" s="283" t="s">
        <v>273</v>
      </c>
      <c r="F57" s="283" t="s">
        <v>273</v>
      </c>
      <c r="G57" s="283" t="s">
        <v>273</v>
      </c>
      <c r="H57" s="283" t="s">
        <v>273</v>
      </c>
      <c r="I57" s="283" t="s">
        <v>273</v>
      </c>
      <c r="J57" s="283" t="s">
        <v>273</v>
      </c>
      <c r="K57" s="283" t="s">
        <v>273</v>
      </c>
      <c r="L57" s="283" t="s">
        <v>273</v>
      </c>
      <c r="M57" s="283" t="s">
        <v>273</v>
      </c>
      <c r="N57" s="283" t="s">
        <v>273</v>
      </c>
      <c r="O57" s="283" t="s">
        <v>273</v>
      </c>
      <c r="P57" s="283" t="s">
        <v>273</v>
      </c>
      <c r="Q57" s="283" t="s">
        <v>273</v>
      </c>
      <c r="R57" s="283" t="s">
        <v>273</v>
      </c>
      <c r="S57" s="283" t="s">
        <v>306</v>
      </c>
      <c r="T57" s="283" t="s">
        <v>306</v>
      </c>
      <c r="U57" s="283" t="s">
        <v>306</v>
      </c>
      <c r="V57" s="283" t="s">
        <v>306</v>
      </c>
      <c r="W57" s="283" t="s">
        <v>306</v>
      </c>
      <c r="X57" s="283" t="s">
        <v>306</v>
      </c>
      <c r="Y57" s="283" t="s">
        <v>306</v>
      </c>
      <c r="Z57" s="283" t="s">
        <v>306</v>
      </c>
      <c r="AA57" s="283" t="s">
        <v>306</v>
      </c>
      <c r="AB57" s="283" t="s">
        <v>306</v>
      </c>
      <c r="AC57" s="283" t="s">
        <v>306</v>
      </c>
      <c r="AD57" s="283" t="s">
        <v>306</v>
      </c>
      <c r="AE57" s="283" t="s">
        <v>306</v>
      </c>
      <c r="AF57" s="283" t="s">
        <v>306</v>
      </c>
      <c r="AG57" s="283" t="s">
        <v>306</v>
      </c>
      <c r="AH57" s="283">
        <v>2</v>
      </c>
      <c r="AI57" s="283">
        <v>1</v>
      </c>
      <c r="AJ57" s="283" t="s">
        <v>306</v>
      </c>
    </row>
    <row r="58" spans="1:36" ht="15">
      <c r="A58" s="263" t="s">
        <v>464</v>
      </c>
      <c r="B58" s="283" t="s">
        <v>291</v>
      </c>
      <c r="C58" s="283">
        <v>-1</v>
      </c>
      <c r="D58" s="283">
        <v>2</v>
      </c>
      <c r="E58" s="283">
        <v>1</v>
      </c>
      <c r="F58" s="283" t="s">
        <v>306</v>
      </c>
      <c r="G58" s="283">
        <v>2</v>
      </c>
      <c r="H58" s="283">
        <v>2</v>
      </c>
      <c r="I58" s="283" t="s">
        <v>306</v>
      </c>
      <c r="J58" s="283">
        <v>1</v>
      </c>
      <c r="K58" s="283" t="s">
        <v>306</v>
      </c>
      <c r="L58" s="283" t="s">
        <v>291</v>
      </c>
      <c r="M58" s="283">
        <v>-9</v>
      </c>
      <c r="N58" s="283">
        <v>-4</v>
      </c>
      <c r="O58" s="283" t="s">
        <v>291</v>
      </c>
      <c r="P58" s="283">
        <v>-5</v>
      </c>
      <c r="Q58" s="283">
        <v>-1</v>
      </c>
      <c r="R58" s="283">
        <v>-4</v>
      </c>
      <c r="S58" s="283" t="s">
        <v>291</v>
      </c>
      <c r="T58" s="283">
        <v>26</v>
      </c>
      <c r="U58" s="283">
        <v>6</v>
      </c>
      <c r="V58" s="283">
        <v>6</v>
      </c>
      <c r="W58" s="283">
        <v>11</v>
      </c>
      <c r="X58" s="283">
        <v>18</v>
      </c>
      <c r="Y58" s="283">
        <v>17</v>
      </c>
      <c r="Z58" s="283">
        <v>-19</v>
      </c>
      <c r="AA58" s="283">
        <v>99</v>
      </c>
      <c r="AB58" s="283">
        <v>40</v>
      </c>
      <c r="AC58" s="283">
        <v>59</v>
      </c>
      <c r="AD58" s="283">
        <v>187</v>
      </c>
      <c r="AE58" s="283">
        <v>71</v>
      </c>
      <c r="AF58" s="283">
        <v>79</v>
      </c>
      <c r="AG58" s="283">
        <v>99</v>
      </c>
      <c r="AH58" s="283">
        <v>31</v>
      </c>
      <c r="AI58" s="283">
        <v>35</v>
      </c>
      <c r="AJ58" s="283">
        <v>29</v>
      </c>
    </row>
    <row r="59" spans="1:36" ht="15">
      <c r="A59" s="263" t="s">
        <v>463</v>
      </c>
      <c r="B59" s="283" t="s">
        <v>273</v>
      </c>
      <c r="C59" s="283" t="s">
        <v>273</v>
      </c>
      <c r="D59" s="283" t="s">
        <v>273</v>
      </c>
      <c r="E59" s="283" t="s">
        <v>273</v>
      </c>
      <c r="F59" s="283" t="s">
        <v>273</v>
      </c>
      <c r="G59" s="283" t="s">
        <v>273</v>
      </c>
      <c r="H59" s="283" t="s">
        <v>273</v>
      </c>
      <c r="I59" s="283" t="s">
        <v>273</v>
      </c>
      <c r="J59" s="283" t="s">
        <v>273</v>
      </c>
      <c r="K59" s="283" t="s">
        <v>273</v>
      </c>
      <c r="L59" s="283" t="s">
        <v>273</v>
      </c>
      <c r="M59" s="283" t="s">
        <v>273</v>
      </c>
      <c r="N59" s="283" t="s">
        <v>273</v>
      </c>
      <c r="O59" s="283" t="s">
        <v>273</v>
      </c>
      <c r="P59" s="283" t="s">
        <v>273</v>
      </c>
      <c r="Q59" s="283" t="s">
        <v>273</v>
      </c>
      <c r="R59" s="283" t="s">
        <v>273</v>
      </c>
      <c r="S59" s="283" t="s">
        <v>306</v>
      </c>
      <c r="T59" s="283" t="s">
        <v>306</v>
      </c>
      <c r="U59" s="283" t="s">
        <v>306</v>
      </c>
      <c r="V59" s="283" t="s">
        <v>306</v>
      </c>
      <c r="W59" s="283" t="s">
        <v>306</v>
      </c>
      <c r="X59" s="283">
        <v>1</v>
      </c>
      <c r="Y59" s="283">
        <v>1</v>
      </c>
      <c r="Z59" s="283">
        <v>1</v>
      </c>
      <c r="AA59" s="283">
        <v>1</v>
      </c>
      <c r="AB59" s="283">
        <v>1</v>
      </c>
      <c r="AC59" s="283">
        <v>-1</v>
      </c>
      <c r="AD59" s="283">
        <v>-1</v>
      </c>
      <c r="AE59" s="283">
        <v>-1</v>
      </c>
      <c r="AF59" s="283">
        <v>-1</v>
      </c>
      <c r="AG59" s="283">
        <v>-1</v>
      </c>
      <c r="AH59" s="283">
        <v>-1</v>
      </c>
      <c r="AI59" s="283">
        <v>-1</v>
      </c>
      <c r="AJ59" s="283" t="s">
        <v>306</v>
      </c>
    </row>
    <row r="60" spans="1:36" ht="15">
      <c r="A60" s="263" t="s">
        <v>462</v>
      </c>
      <c r="B60" s="283" t="s">
        <v>273</v>
      </c>
      <c r="C60" s="283" t="s">
        <v>273</v>
      </c>
      <c r="D60" s="283" t="s">
        <v>273</v>
      </c>
      <c r="E60" s="283" t="s">
        <v>273</v>
      </c>
      <c r="F60" s="283" t="s">
        <v>273</v>
      </c>
      <c r="G60" s="283" t="s">
        <v>273</v>
      </c>
      <c r="H60" s="283" t="s">
        <v>273</v>
      </c>
      <c r="I60" s="283" t="s">
        <v>273</v>
      </c>
      <c r="J60" s="283" t="s">
        <v>273</v>
      </c>
      <c r="K60" s="283" t="s">
        <v>273</v>
      </c>
      <c r="L60" s="283" t="s">
        <v>273</v>
      </c>
      <c r="M60" s="283" t="s">
        <v>273</v>
      </c>
      <c r="N60" s="283" t="s">
        <v>273</v>
      </c>
      <c r="O60" s="283" t="s">
        <v>273</v>
      </c>
      <c r="P60" s="283" t="s">
        <v>273</v>
      </c>
      <c r="Q60" s="283" t="s">
        <v>273</v>
      </c>
      <c r="R60" s="283" t="s">
        <v>273</v>
      </c>
      <c r="S60" s="283" t="s">
        <v>273</v>
      </c>
      <c r="T60" s="283" t="s">
        <v>273</v>
      </c>
      <c r="U60" s="283" t="s">
        <v>273</v>
      </c>
      <c r="V60" s="283" t="s">
        <v>273</v>
      </c>
      <c r="W60" s="283" t="s">
        <v>273</v>
      </c>
      <c r="X60" s="283" t="s">
        <v>517</v>
      </c>
      <c r="Y60" s="283" t="s">
        <v>517</v>
      </c>
      <c r="Z60" s="283" t="s">
        <v>517</v>
      </c>
      <c r="AA60" s="283">
        <v>3</v>
      </c>
      <c r="AB60" s="283">
        <v>3</v>
      </c>
      <c r="AC60" s="283">
        <v>-1</v>
      </c>
      <c r="AD60" s="283">
        <v>5</v>
      </c>
      <c r="AE60" s="283">
        <v>-8</v>
      </c>
      <c r="AF60" s="283">
        <v>3</v>
      </c>
      <c r="AG60" s="283">
        <v>8</v>
      </c>
      <c r="AH60" s="283">
        <v>5</v>
      </c>
      <c r="AI60" s="283">
        <v>1</v>
      </c>
      <c r="AJ60" s="283" t="s">
        <v>306</v>
      </c>
    </row>
    <row r="61" spans="1:36" ht="15">
      <c r="A61" s="263" t="s">
        <v>461</v>
      </c>
      <c r="B61" s="283" t="s">
        <v>273</v>
      </c>
      <c r="C61" s="283" t="s">
        <v>273</v>
      </c>
      <c r="D61" s="283" t="s">
        <v>273</v>
      </c>
      <c r="E61" s="283" t="s">
        <v>273</v>
      </c>
      <c r="F61" s="283" t="s">
        <v>273</v>
      </c>
      <c r="G61" s="283" t="s">
        <v>273</v>
      </c>
      <c r="H61" s="283" t="s">
        <v>273</v>
      </c>
      <c r="I61" s="283" t="s">
        <v>273</v>
      </c>
      <c r="J61" s="283" t="s">
        <v>273</v>
      </c>
      <c r="K61" s="283" t="s">
        <v>273</v>
      </c>
      <c r="L61" s="283" t="s">
        <v>273</v>
      </c>
      <c r="M61" s="283" t="s">
        <v>273</v>
      </c>
      <c r="N61" s="283" t="s">
        <v>273</v>
      </c>
      <c r="O61" s="283" t="s">
        <v>273</v>
      </c>
      <c r="P61" s="283" t="s">
        <v>273</v>
      </c>
      <c r="Q61" s="283" t="s">
        <v>273</v>
      </c>
      <c r="R61" s="283" t="s">
        <v>273</v>
      </c>
      <c r="S61" s="283" t="s">
        <v>273</v>
      </c>
      <c r="T61" s="283" t="s">
        <v>273</v>
      </c>
      <c r="U61" s="283" t="s">
        <v>273</v>
      </c>
      <c r="V61" s="283" t="s">
        <v>273</v>
      </c>
      <c r="W61" s="283" t="s">
        <v>273</v>
      </c>
      <c r="X61" s="283">
        <v>1</v>
      </c>
      <c r="Y61" s="283">
        <v>1</v>
      </c>
      <c r="Z61" s="283">
        <v>1</v>
      </c>
      <c r="AA61" s="283">
        <v>1</v>
      </c>
      <c r="AB61" s="283">
        <v>1</v>
      </c>
      <c r="AC61" s="283" t="s">
        <v>306</v>
      </c>
      <c r="AD61" s="283" t="s">
        <v>306</v>
      </c>
      <c r="AE61" s="283" t="s">
        <v>306</v>
      </c>
      <c r="AF61" s="283" t="s">
        <v>306</v>
      </c>
      <c r="AG61" s="283" t="s">
        <v>306</v>
      </c>
      <c r="AH61" s="283" t="s">
        <v>306</v>
      </c>
      <c r="AI61" s="283" t="s">
        <v>291</v>
      </c>
      <c r="AJ61" s="283" t="s">
        <v>306</v>
      </c>
    </row>
    <row r="62" spans="1:36" ht="15">
      <c r="A62" s="263" t="s">
        <v>460</v>
      </c>
      <c r="B62" s="283" t="s">
        <v>273</v>
      </c>
      <c r="C62" s="283" t="s">
        <v>273</v>
      </c>
      <c r="D62" s="283" t="s">
        <v>273</v>
      </c>
      <c r="E62" s="283" t="s">
        <v>273</v>
      </c>
      <c r="F62" s="283" t="s">
        <v>273</v>
      </c>
      <c r="G62" s="283" t="s">
        <v>273</v>
      </c>
      <c r="H62" s="283" t="s">
        <v>273</v>
      </c>
      <c r="I62" s="283">
        <v>0</v>
      </c>
      <c r="J62" s="283">
        <v>0</v>
      </c>
      <c r="K62" s="283" t="s">
        <v>306</v>
      </c>
      <c r="L62" s="283">
        <v>-7</v>
      </c>
      <c r="M62" s="283">
        <v>-17</v>
      </c>
      <c r="N62" s="283">
        <v>6</v>
      </c>
      <c r="O62" s="283">
        <v>104</v>
      </c>
      <c r="P62" s="283">
        <v>77</v>
      </c>
      <c r="Q62" s="283">
        <v>132</v>
      </c>
      <c r="R62" s="283">
        <v>232</v>
      </c>
      <c r="S62" s="283" t="s">
        <v>273</v>
      </c>
      <c r="T62" s="283" t="s">
        <v>273</v>
      </c>
      <c r="U62" s="283" t="s">
        <v>273</v>
      </c>
      <c r="V62" s="283" t="s">
        <v>273</v>
      </c>
      <c r="W62" s="283" t="s">
        <v>273</v>
      </c>
      <c r="X62" s="283" t="s">
        <v>273</v>
      </c>
      <c r="Y62" s="283" t="s">
        <v>273</v>
      </c>
      <c r="Z62" s="283" t="s">
        <v>273</v>
      </c>
      <c r="AA62" s="283" t="s">
        <v>273</v>
      </c>
      <c r="AB62" s="283" t="s">
        <v>273</v>
      </c>
      <c r="AC62" s="283" t="s">
        <v>273</v>
      </c>
      <c r="AD62" s="283" t="s">
        <v>273</v>
      </c>
      <c r="AE62" s="283" t="s">
        <v>273</v>
      </c>
      <c r="AF62" s="283" t="s">
        <v>273</v>
      </c>
      <c r="AG62" s="283" t="s">
        <v>273</v>
      </c>
      <c r="AH62" s="283" t="s">
        <v>273</v>
      </c>
      <c r="AI62" s="283" t="s">
        <v>273</v>
      </c>
      <c r="AJ62" s="283" t="s">
        <v>273</v>
      </c>
    </row>
    <row r="63" spans="1:36" ht="15">
      <c r="A63" s="263" t="s">
        <v>459</v>
      </c>
      <c r="B63" s="283" t="s">
        <v>306</v>
      </c>
      <c r="C63" s="283">
        <v>2</v>
      </c>
      <c r="D63" s="283">
        <v>3</v>
      </c>
      <c r="E63" s="283">
        <v>3</v>
      </c>
      <c r="F63" s="283">
        <v>2</v>
      </c>
      <c r="G63" s="283">
        <v>-6</v>
      </c>
      <c r="H63" s="283">
        <v>2</v>
      </c>
      <c r="I63" s="283">
        <v>2</v>
      </c>
      <c r="J63" s="283">
        <v>1</v>
      </c>
      <c r="K63" s="283">
        <v>3</v>
      </c>
      <c r="L63" s="283">
        <v>5</v>
      </c>
      <c r="M63" s="283">
        <v>15</v>
      </c>
      <c r="N63" s="283">
        <v>6</v>
      </c>
      <c r="O63" s="283">
        <v>12</v>
      </c>
      <c r="P63" s="283">
        <v>14</v>
      </c>
      <c r="Q63" s="283">
        <v>16</v>
      </c>
      <c r="R63" s="283">
        <v>3</v>
      </c>
      <c r="S63" s="283">
        <v>9</v>
      </c>
      <c r="T63" s="283">
        <v>18</v>
      </c>
      <c r="U63" s="283">
        <v>36</v>
      </c>
      <c r="V63" s="283">
        <v>53</v>
      </c>
      <c r="W63" s="283">
        <v>85</v>
      </c>
      <c r="X63" s="283">
        <v>90</v>
      </c>
      <c r="Y63" s="283">
        <v>82</v>
      </c>
      <c r="Z63" s="283">
        <v>139</v>
      </c>
      <c r="AA63" s="283">
        <v>277</v>
      </c>
      <c r="AB63" s="283">
        <v>221</v>
      </c>
      <c r="AC63" s="283">
        <v>184</v>
      </c>
      <c r="AD63" s="283">
        <v>119</v>
      </c>
      <c r="AE63" s="283">
        <v>150</v>
      </c>
      <c r="AF63" s="283">
        <v>107</v>
      </c>
      <c r="AG63" s="283">
        <v>153</v>
      </c>
      <c r="AH63" s="283">
        <v>161</v>
      </c>
      <c r="AI63" s="283">
        <v>79</v>
      </c>
      <c r="AJ63" s="283">
        <v>1</v>
      </c>
    </row>
    <row r="64" spans="1:36" s="260" customFormat="1" ht="15">
      <c r="A64" s="263" t="s">
        <v>1015</v>
      </c>
      <c r="B64" s="283" t="s">
        <v>273</v>
      </c>
      <c r="C64" s="283" t="s">
        <v>273</v>
      </c>
      <c r="D64" s="283" t="s">
        <v>273</v>
      </c>
      <c r="E64" s="283" t="s">
        <v>273</v>
      </c>
      <c r="F64" s="283" t="s">
        <v>273</v>
      </c>
      <c r="G64" s="283" t="s">
        <v>273</v>
      </c>
      <c r="H64" s="283" t="s">
        <v>273</v>
      </c>
      <c r="I64" s="283" t="s">
        <v>273</v>
      </c>
      <c r="J64" s="283" t="s">
        <v>273</v>
      </c>
      <c r="K64" s="283" t="s">
        <v>273</v>
      </c>
      <c r="L64" s="283" t="s">
        <v>273</v>
      </c>
      <c r="M64" s="283" t="s">
        <v>273</v>
      </c>
      <c r="N64" s="283" t="s">
        <v>273</v>
      </c>
      <c r="O64" s="283" t="s">
        <v>273</v>
      </c>
      <c r="P64" s="283" t="s">
        <v>273</v>
      </c>
      <c r="Q64" s="283" t="s">
        <v>273</v>
      </c>
      <c r="R64" s="283" t="s">
        <v>273</v>
      </c>
      <c r="S64" s="283" t="s">
        <v>273</v>
      </c>
      <c r="T64" s="283" t="s">
        <v>273</v>
      </c>
      <c r="U64" s="283" t="s">
        <v>273</v>
      </c>
      <c r="V64" s="283" t="s">
        <v>273</v>
      </c>
      <c r="W64" s="283" t="s">
        <v>273</v>
      </c>
      <c r="X64" s="283" t="s">
        <v>273</v>
      </c>
      <c r="Y64" s="283" t="s">
        <v>273</v>
      </c>
      <c r="Z64" s="283" t="s">
        <v>273</v>
      </c>
      <c r="AA64" s="283" t="s">
        <v>273</v>
      </c>
      <c r="AB64" s="283" t="s">
        <v>273</v>
      </c>
      <c r="AC64" s="283" t="s">
        <v>273</v>
      </c>
      <c r="AD64" s="283" t="s">
        <v>273</v>
      </c>
      <c r="AE64" s="283" t="s">
        <v>273</v>
      </c>
      <c r="AF64" s="283" t="s">
        <v>273</v>
      </c>
      <c r="AG64" s="283" t="s">
        <v>273</v>
      </c>
      <c r="AH64" s="283">
        <v>0</v>
      </c>
      <c r="AI64" s="283">
        <v>0</v>
      </c>
      <c r="AJ64" s="283">
        <v>0</v>
      </c>
    </row>
    <row r="65" spans="1:36" ht="15">
      <c r="A65" s="263" t="s">
        <v>458</v>
      </c>
      <c r="B65" s="283" t="s">
        <v>273</v>
      </c>
      <c r="C65" s="283" t="s">
        <v>273</v>
      </c>
      <c r="D65" s="283" t="s">
        <v>273</v>
      </c>
      <c r="E65" s="283" t="s">
        <v>273</v>
      </c>
      <c r="F65" s="283" t="s">
        <v>273</v>
      </c>
      <c r="G65" s="283" t="s">
        <v>273</v>
      </c>
      <c r="H65" s="283" t="s">
        <v>273</v>
      </c>
      <c r="I65" s="283" t="s">
        <v>33</v>
      </c>
      <c r="J65" s="283" t="s">
        <v>33</v>
      </c>
      <c r="K65" s="283" t="s">
        <v>33</v>
      </c>
      <c r="L65" s="283">
        <v>-2</v>
      </c>
      <c r="M65" s="283">
        <v>-26</v>
      </c>
      <c r="N65" s="283">
        <v>-255</v>
      </c>
      <c r="O65" s="283">
        <v>-130</v>
      </c>
      <c r="P65" s="283">
        <v>-95</v>
      </c>
      <c r="Q65" s="283">
        <v>-23</v>
      </c>
      <c r="R65" s="283">
        <v>-611</v>
      </c>
      <c r="S65" s="283" t="s">
        <v>273</v>
      </c>
      <c r="T65" s="283" t="s">
        <v>273</v>
      </c>
      <c r="U65" s="283" t="s">
        <v>273</v>
      </c>
      <c r="V65" s="283" t="s">
        <v>273</v>
      </c>
      <c r="W65" s="283" t="s">
        <v>273</v>
      </c>
      <c r="X65" s="283" t="s">
        <v>273</v>
      </c>
      <c r="Y65" s="283" t="s">
        <v>273</v>
      </c>
      <c r="Z65" s="283" t="s">
        <v>273</v>
      </c>
      <c r="AA65" s="283" t="s">
        <v>273</v>
      </c>
      <c r="AB65" s="283" t="s">
        <v>273</v>
      </c>
      <c r="AC65" s="283" t="s">
        <v>273</v>
      </c>
      <c r="AD65" s="283" t="s">
        <v>273</v>
      </c>
      <c r="AE65" s="283" t="s">
        <v>273</v>
      </c>
      <c r="AF65" s="283" t="s">
        <v>273</v>
      </c>
      <c r="AG65" s="283" t="s">
        <v>273</v>
      </c>
      <c r="AH65" s="283" t="s">
        <v>273</v>
      </c>
      <c r="AI65" s="283" t="s">
        <v>273</v>
      </c>
      <c r="AJ65" s="283" t="s">
        <v>273</v>
      </c>
    </row>
    <row r="66" spans="1:36" ht="15">
      <c r="A66" s="263" t="s">
        <v>457</v>
      </c>
      <c r="B66" s="283" t="s">
        <v>273</v>
      </c>
      <c r="C66" s="283" t="s">
        <v>273</v>
      </c>
      <c r="D66" s="283" t="s">
        <v>273</v>
      </c>
      <c r="E66" s="283" t="s">
        <v>273</v>
      </c>
      <c r="F66" s="283" t="s">
        <v>273</v>
      </c>
      <c r="G66" s="283" t="s">
        <v>273</v>
      </c>
      <c r="H66" s="283" t="s">
        <v>273</v>
      </c>
      <c r="I66" s="283" t="s">
        <v>33</v>
      </c>
      <c r="J66" s="283" t="s">
        <v>33</v>
      </c>
      <c r="K66" s="283" t="s">
        <v>33</v>
      </c>
      <c r="L66" s="283" t="s">
        <v>291</v>
      </c>
      <c r="M66" s="283">
        <v>8</v>
      </c>
      <c r="N66" s="283">
        <v>6</v>
      </c>
      <c r="O66" s="283">
        <v>43</v>
      </c>
      <c r="P66" s="283" t="s">
        <v>291</v>
      </c>
      <c r="Q66" s="283" t="s">
        <v>291</v>
      </c>
      <c r="R66" s="283">
        <v>4</v>
      </c>
      <c r="S66" s="283">
        <v>-3</v>
      </c>
      <c r="T66" s="283">
        <v>-3</v>
      </c>
      <c r="U66" s="283">
        <v>-1</v>
      </c>
      <c r="V66" s="283">
        <v>-1</v>
      </c>
      <c r="W66" s="283">
        <v>-1</v>
      </c>
      <c r="X66" s="283">
        <v>7</v>
      </c>
      <c r="Y66" s="283">
        <v>7</v>
      </c>
      <c r="Z66" s="283">
        <v>6</v>
      </c>
      <c r="AA66" s="283">
        <v>6</v>
      </c>
      <c r="AB66" s="283">
        <v>12</v>
      </c>
      <c r="AC66" s="283">
        <v>8</v>
      </c>
      <c r="AD66" s="283">
        <v>-2</v>
      </c>
      <c r="AE66" s="283">
        <v>7</v>
      </c>
      <c r="AF66" s="283">
        <v>3</v>
      </c>
      <c r="AG66" s="283">
        <v>5</v>
      </c>
      <c r="AH66" s="283">
        <v>1</v>
      </c>
      <c r="AI66" s="283" t="s">
        <v>306</v>
      </c>
      <c r="AJ66" s="283" t="s">
        <v>306</v>
      </c>
    </row>
    <row r="67" spans="1:36" ht="15">
      <c r="A67" s="263" t="s">
        <v>456</v>
      </c>
      <c r="B67" s="283" t="s">
        <v>273</v>
      </c>
      <c r="C67" s="283" t="s">
        <v>273</v>
      </c>
      <c r="D67" s="283" t="s">
        <v>273</v>
      </c>
      <c r="E67" s="283" t="s">
        <v>273</v>
      </c>
      <c r="F67" s="283" t="s">
        <v>273</v>
      </c>
      <c r="G67" s="283" t="s">
        <v>273</v>
      </c>
      <c r="H67" s="283" t="s">
        <v>273</v>
      </c>
      <c r="I67" s="283" t="s">
        <v>33</v>
      </c>
      <c r="J67" s="283" t="s">
        <v>33</v>
      </c>
      <c r="K67" s="283" t="s">
        <v>33</v>
      </c>
      <c r="L67" s="283" t="s">
        <v>33</v>
      </c>
      <c r="M67" s="283">
        <v>1</v>
      </c>
      <c r="N67" s="283">
        <v>3</v>
      </c>
      <c r="O67" s="283">
        <v>4</v>
      </c>
      <c r="P67" s="283">
        <v>7</v>
      </c>
      <c r="Q67" s="283">
        <v>11</v>
      </c>
      <c r="R67" s="283">
        <v>4</v>
      </c>
      <c r="S67" s="283">
        <v>19</v>
      </c>
      <c r="T67" s="283">
        <v>24</v>
      </c>
      <c r="U67" s="283">
        <v>131</v>
      </c>
      <c r="V67" s="283">
        <v>128</v>
      </c>
      <c r="W67" s="283">
        <v>261</v>
      </c>
      <c r="X67" s="283">
        <v>38</v>
      </c>
      <c r="Y67" s="283">
        <v>35</v>
      </c>
      <c r="Z67" s="283">
        <v>30</v>
      </c>
      <c r="AA67" s="283">
        <v>42</v>
      </c>
      <c r="AB67" s="283">
        <v>58</v>
      </c>
      <c r="AC67" s="283">
        <v>-5</v>
      </c>
      <c r="AD67" s="283">
        <v>-6</v>
      </c>
      <c r="AE67" s="283">
        <v>71</v>
      </c>
      <c r="AF67" s="283">
        <v>81</v>
      </c>
      <c r="AG67" s="283">
        <v>62</v>
      </c>
      <c r="AH67" s="283">
        <v>50</v>
      </c>
      <c r="AI67" s="283">
        <v>34</v>
      </c>
      <c r="AJ67" s="283">
        <v>39</v>
      </c>
    </row>
    <row r="68" spans="1:36" ht="15">
      <c r="A68" s="263" t="s">
        <v>455</v>
      </c>
      <c r="B68" s="283" t="s">
        <v>273</v>
      </c>
      <c r="C68" s="283" t="s">
        <v>273</v>
      </c>
      <c r="D68" s="283" t="s">
        <v>273</v>
      </c>
      <c r="E68" s="283" t="s">
        <v>273</v>
      </c>
      <c r="F68" s="283" t="s">
        <v>273</v>
      </c>
      <c r="G68" s="283" t="s">
        <v>273</v>
      </c>
      <c r="H68" s="283" t="s">
        <v>273</v>
      </c>
      <c r="I68" s="283" t="s">
        <v>33</v>
      </c>
      <c r="J68" s="283" t="s">
        <v>33</v>
      </c>
      <c r="K68" s="283" t="s">
        <v>33</v>
      </c>
      <c r="L68" s="283" t="s">
        <v>291</v>
      </c>
      <c r="M68" s="283">
        <v>-1</v>
      </c>
      <c r="N68" s="283" t="s">
        <v>306</v>
      </c>
      <c r="O68" s="283">
        <v>1</v>
      </c>
      <c r="P68" s="283">
        <v>1</v>
      </c>
      <c r="Q68" s="283">
        <v>4</v>
      </c>
      <c r="R68" s="283">
        <v>5</v>
      </c>
      <c r="S68" s="283">
        <v>10</v>
      </c>
      <c r="T68" s="283">
        <v>12</v>
      </c>
      <c r="U68" s="283">
        <v>7</v>
      </c>
      <c r="V68" s="283">
        <v>-30</v>
      </c>
      <c r="W68" s="283">
        <v>-32</v>
      </c>
      <c r="X68" s="283">
        <v>-1</v>
      </c>
      <c r="Y68" s="283">
        <v>-21</v>
      </c>
      <c r="Z68" s="283">
        <v>-20</v>
      </c>
      <c r="AA68" s="283">
        <v>24</v>
      </c>
      <c r="AB68" s="283">
        <v>40</v>
      </c>
      <c r="AC68" s="283">
        <v>23</v>
      </c>
      <c r="AD68" s="283">
        <v>20</v>
      </c>
      <c r="AE68" s="283">
        <v>29</v>
      </c>
      <c r="AF68" s="283">
        <v>20</v>
      </c>
      <c r="AG68" s="283">
        <v>28</v>
      </c>
      <c r="AH68" s="283">
        <v>21</v>
      </c>
      <c r="AI68" s="283">
        <v>26</v>
      </c>
      <c r="AJ68" s="283">
        <v>24</v>
      </c>
    </row>
    <row r="69" spans="1:36" ht="15">
      <c r="A69" s="263" t="s">
        <v>454</v>
      </c>
      <c r="B69" s="283" t="s">
        <v>273</v>
      </c>
      <c r="C69" s="283" t="s">
        <v>273</v>
      </c>
      <c r="D69" s="283" t="s">
        <v>273</v>
      </c>
      <c r="E69" s="283" t="s">
        <v>273</v>
      </c>
      <c r="F69" s="283" t="s">
        <v>273</v>
      </c>
      <c r="G69" s="283" t="s">
        <v>273</v>
      </c>
      <c r="H69" s="283" t="s">
        <v>273</v>
      </c>
      <c r="I69" s="283" t="s">
        <v>273</v>
      </c>
      <c r="J69" s="283" t="s">
        <v>273</v>
      </c>
      <c r="K69" s="283" t="s">
        <v>273</v>
      </c>
      <c r="L69" s="283" t="s">
        <v>273</v>
      </c>
      <c r="M69" s="283" t="s">
        <v>273</v>
      </c>
      <c r="N69" s="283" t="s">
        <v>273</v>
      </c>
      <c r="O69" s="283" t="s">
        <v>273</v>
      </c>
      <c r="P69" s="283" t="s">
        <v>273</v>
      </c>
      <c r="Q69" s="283" t="s">
        <v>273</v>
      </c>
      <c r="R69" s="283" t="s">
        <v>273</v>
      </c>
      <c r="S69" s="283" t="s">
        <v>273</v>
      </c>
      <c r="T69" s="283" t="s">
        <v>273</v>
      </c>
      <c r="U69" s="283" t="s">
        <v>273</v>
      </c>
      <c r="V69" s="283" t="s">
        <v>273</v>
      </c>
      <c r="W69" s="283" t="s">
        <v>273</v>
      </c>
      <c r="X69" s="283" t="s">
        <v>306</v>
      </c>
      <c r="Y69" s="283" t="s">
        <v>306</v>
      </c>
      <c r="Z69" s="283" t="s">
        <v>306</v>
      </c>
      <c r="AA69" s="283" t="s">
        <v>306</v>
      </c>
      <c r="AB69" s="283" t="s">
        <v>306</v>
      </c>
      <c r="AC69" s="283" t="s">
        <v>273</v>
      </c>
      <c r="AD69" s="283" t="s">
        <v>273</v>
      </c>
      <c r="AE69" s="283" t="s">
        <v>273</v>
      </c>
      <c r="AF69" s="283" t="s">
        <v>273</v>
      </c>
      <c r="AG69" s="283" t="s">
        <v>273</v>
      </c>
      <c r="AH69" s="283">
        <v>0</v>
      </c>
      <c r="AI69" s="283">
        <v>0</v>
      </c>
      <c r="AJ69" s="283">
        <v>0</v>
      </c>
    </row>
    <row r="70" spans="1:36" ht="15">
      <c r="A70" s="263" t="s">
        <v>453</v>
      </c>
      <c r="B70" s="283" t="s">
        <v>273</v>
      </c>
      <c r="C70" s="283" t="s">
        <v>273</v>
      </c>
      <c r="D70" s="283" t="s">
        <v>273</v>
      </c>
      <c r="E70" s="283" t="s">
        <v>273</v>
      </c>
      <c r="F70" s="283" t="s">
        <v>273</v>
      </c>
      <c r="G70" s="283" t="s">
        <v>273</v>
      </c>
      <c r="H70" s="283" t="s">
        <v>273</v>
      </c>
      <c r="I70" s="283" t="s">
        <v>273</v>
      </c>
      <c r="J70" s="283" t="s">
        <v>273</v>
      </c>
      <c r="K70" s="283" t="s">
        <v>273</v>
      </c>
      <c r="L70" s="283" t="s">
        <v>273</v>
      </c>
      <c r="M70" s="283" t="s">
        <v>273</v>
      </c>
      <c r="N70" s="283">
        <v>-3</v>
      </c>
      <c r="O70" s="283">
        <v>-3</v>
      </c>
      <c r="P70" s="283">
        <v>-2</v>
      </c>
      <c r="Q70" s="283">
        <v>-2</v>
      </c>
      <c r="R70" s="283">
        <v>2</v>
      </c>
      <c r="S70" s="283">
        <v>-34</v>
      </c>
      <c r="T70" s="283">
        <v>-33</v>
      </c>
      <c r="U70" s="283">
        <v>-9</v>
      </c>
      <c r="V70" s="283">
        <v>-5</v>
      </c>
      <c r="W70" s="283">
        <v>-2</v>
      </c>
      <c r="X70" s="283">
        <v>1</v>
      </c>
      <c r="Y70" s="283">
        <v>1</v>
      </c>
      <c r="Z70" s="283">
        <v>1</v>
      </c>
      <c r="AA70" s="283">
        <v>1</v>
      </c>
      <c r="AB70" s="283">
        <v>1</v>
      </c>
      <c r="AC70" s="283">
        <v>1</v>
      </c>
      <c r="AD70" s="283">
        <v>1</v>
      </c>
      <c r="AE70" s="283">
        <v>-7</v>
      </c>
      <c r="AF70" s="283">
        <v>-7</v>
      </c>
      <c r="AG70" s="283">
        <v>-4</v>
      </c>
      <c r="AH70" s="283" t="s">
        <v>306</v>
      </c>
      <c r="AI70" s="283">
        <v>-6</v>
      </c>
      <c r="AJ70" s="283">
        <v>-4</v>
      </c>
    </row>
    <row r="71" spans="1:36" ht="15">
      <c r="A71" s="263" t="s">
        <v>452</v>
      </c>
      <c r="B71" s="283" t="s">
        <v>273</v>
      </c>
      <c r="C71" s="283" t="s">
        <v>273</v>
      </c>
      <c r="D71" s="283" t="s">
        <v>273</v>
      </c>
      <c r="E71" s="283" t="s">
        <v>273</v>
      </c>
      <c r="F71" s="283" t="s">
        <v>273</v>
      </c>
      <c r="G71" s="283" t="s">
        <v>273</v>
      </c>
      <c r="H71" s="283" t="s">
        <v>273</v>
      </c>
      <c r="I71" s="283" t="s">
        <v>33</v>
      </c>
      <c r="J71" s="283" t="s">
        <v>33</v>
      </c>
      <c r="K71" s="283" t="s">
        <v>33</v>
      </c>
      <c r="L71" s="283">
        <v>0</v>
      </c>
      <c r="M71" s="283">
        <v>0</v>
      </c>
      <c r="N71" s="283">
        <v>-5</v>
      </c>
      <c r="O71" s="283">
        <v>-4</v>
      </c>
      <c r="P71" s="283" t="s">
        <v>306</v>
      </c>
      <c r="Q71" s="283">
        <v>-4</v>
      </c>
      <c r="R71" s="283">
        <v>2</v>
      </c>
      <c r="S71" s="283">
        <v>-11</v>
      </c>
      <c r="T71" s="283">
        <v>11</v>
      </c>
      <c r="U71" s="283">
        <v>20</v>
      </c>
      <c r="V71" s="283">
        <v>39</v>
      </c>
      <c r="W71" s="283">
        <v>41</v>
      </c>
      <c r="X71" s="283">
        <v>47</v>
      </c>
      <c r="Y71" s="283">
        <v>72</v>
      </c>
      <c r="Z71" s="283">
        <v>79</v>
      </c>
      <c r="AA71" s="283" t="s">
        <v>291</v>
      </c>
      <c r="AB71" s="283" t="s">
        <v>291</v>
      </c>
      <c r="AC71" s="283">
        <v>83</v>
      </c>
      <c r="AD71" s="283">
        <v>141</v>
      </c>
      <c r="AE71" s="283">
        <v>131</v>
      </c>
      <c r="AF71" s="283">
        <v>143</v>
      </c>
      <c r="AG71" s="283">
        <v>180</v>
      </c>
      <c r="AH71" s="283">
        <v>76</v>
      </c>
      <c r="AI71" s="283">
        <v>57</v>
      </c>
      <c r="AJ71" s="283">
        <v>55</v>
      </c>
    </row>
    <row r="72" spans="1:36" ht="15">
      <c r="A72" s="263" t="s">
        <v>451</v>
      </c>
      <c r="B72" s="283" t="s">
        <v>273</v>
      </c>
      <c r="C72" s="283" t="s">
        <v>273</v>
      </c>
      <c r="D72" s="283" t="s">
        <v>273</v>
      </c>
      <c r="E72" s="283" t="s">
        <v>273</v>
      </c>
      <c r="F72" s="283" t="s">
        <v>273</v>
      </c>
      <c r="G72" s="283" t="s">
        <v>273</v>
      </c>
      <c r="H72" s="283" t="s">
        <v>273</v>
      </c>
      <c r="I72" s="283">
        <v>1</v>
      </c>
      <c r="J72" s="283">
        <v>-14</v>
      </c>
      <c r="K72" s="283">
        <v>-49</v>
      </c>
      <c r="L72" s="283" t="s">
        <v>33</v>
      </c>
      <c r="M72" s="283" t="s">
        <v>33</v>
      </c>
      <c r="N72" s="283" t="s">
        <v>273</v>
      </c>
      <c r="O72" s="283" t="s">
        <v>273</v>
      </c>
      <c r="P72" s="283" t="s">
        <v>273</v>
      </c>
      <c r="Q72" s="283" t="s">
        <v>273</v>
      </c>
      <c r="R72" s="283" t="s">
        <v>273</v>
      </c>
      <c r="S72" s="283" t="s">
        <v>273</v>
      </c>
      <c r="T72" s="283" t="s">
        <v>273</v>
      </c>
      <c r="U72" s="283" t="s">
        <v>273</v>
      </c>
      <c r="V72" s="283" t="s">
        <v>273</v>
      </c>
      <c r="W72" s="283" t="s">
        <v>273</v>
      </c>
      <c r="X72" s="283" t="s">
        <v>273</v>
      </c>
      <c r="Y72" s="283" t="s">
        <v>273</v>
      </c>
      <c r="Z72" s="283" t="s">
        <v>273</v>
      </c>
      <c r="AA72" s="283" t="s">
        <v>273</v>
      </c>
      <c r="AB72" s="283" t="s">
        <v>273</v>
      </c>
      <c r="AC72" s="283" t="s">
        <v>273</v>
      </c>
      <c r="AD72" s="283" t="s">
        <v>273</v>
      </c>
      <c r="AE72" s="283" t="s">
        <v>273</v>
      </c>
      <c r="AF72" s="283" t="s">
        <v>273</v>
      </c>
      <c r="AG72" s="283" t="s">
        <v>273</v>
      </c>
      <c r="AH72" s="283" t="s">
        <v>273</v>
      </c>
      <c r="AI72" s="283" t="s">
        <v>273</v>
      </c>
      <c r="AJ72" s="283" t="s">
        <v>273</v>
      </c>
    </row>
    <row r="73" spans="1:36" ht="15">
      <c r="A73" s="263" t="s">
        <v>450</v>
      </c>
      <c r="B73" s="283" t="s">
        <v>273</v>
      </c>
      <c r="C73" s="283" t="s">
        <v>273</v>
      </c>
      <c r="D73" s="283" t="s">
        <v>273</v>
      </c>
      <c r="E73" s="283" t="s">
        <v>273</v>
      </c>
      <c r="F73" s="283" t="s">
        <v>273</v>
      </c>
      <c r="G73" s="283" t="s">
        <v>273</v>
      </c>
      <c r="H73" s="283" t="s">
        <v>273</v>
      </c>
      <c r="I73" s="283" t="s">
        <v>33</v>
      </c>
      <c r="J73" s="283" t="s">
        <v>33</v>
      </c>
      <c r="K73" s="283" t="s">
        <v>33</v>
      </c>
      <c r="L73" s="283">
        <v>0</v>
      </c>
      <c r="M73" s="283">
        <v>0</v>
      </c>
      <c r="N73" s="283">
        <v>-1</v>
      </c>
      <c r="O73" s="283">
        <v>-8</v>
      </c>
      <c r="P73" s="283">
        <v>6</v>
      </c>
      <c r="Q73" s="283">
        <v>4</v>
      </c>
      <c r="R73" s="283">
        <v>16</v>
      </c>
      <c r="S73" s="283">
        <v>21</v>
      </c>
      <c r="T73" s="283">
        <v>-9</v>
      </c>
      <c r="U73" s="283">
        <v>16</v>
      </c>
      <c r="V73" s="283">
        <v>31</v>
      </c>
      <c r="W73" s="283" t="s">
        <v>291</v>
      </c>
      <c r="X73" s="283">
        <v>38</v>
      </c>
      <c r="Y73" s="283">
        <v>11</v>
      </c>
      <c r="Z73" s="283">
        <v>6</v>
      </c>
      <c r="AA73" s="283">
        <v>-1</v>
      </c>
      <c r="AB73" s="283">
        <v>2</v>
      </c>
      <c r="AC73" s="283" t="s">
        <v>306</v>
      </c>
      <c r="AD73" s="283">
        <v>3</v>
      </c>
      <c r="AE73" s="283">
        <v>5</v>
      </c>
      <c r="AF73" s="283">
        <v>9</v>
      </c>
      <c r="AG73" s="283">
        <v>3</v>
      </c>
      <c r="AH73" s="283">
        <v>-5</v>
      </c>
      <c r="AI73" s="283" t="s">
        <v>291</v>
      </c>
      <c r="AJ73" s="283">
        <v>7</v>
      </c>
    </row>
    <row r="74" spans="1:36" s="260" customFormat="1" ht="15">
      <c r="A74" s="263" t="s">
        <v>1016</v>
      </c>
      <c r="B74" s="283" t="s">
        <v>273</v>
      </c>
      <c r="C74" s="283" t="s">
        <v>273</v>
      </c>
      <c r="D74" s="283" t="s">
        <v>273</v>
      </c>
      <c r="E74" s="283" t="s">
        <v>273</v>
      </c>
      <c r="F74" s="283" t="s">
        <v>273</v>
      </c>
      <c r="G74" s="283" t="s">
        <v>273</v>
      </c>
      <c r="H74" s="283" t="s">
        <v>273</v>
      </c>
      <c r="I74" s="283" t="s">
        <v>273</v>
      </c>
      <c r="J74" s="283" t="s">
        <v>273</v>
      </c>
      <c r="K74" s="283" t="s">
        <v>273</v>
      </c>
      <c r="L74" s="283" t="s">
        <v>273</v>
      </c>
      <c r="M74" s="283" t="s">
        <v>273</v>
      </c>
      <c r="N74" s="283" t="s">
        <v>273</v>
      </c>
      <c r="O74" s="283" t="s">
        <v>273</v>
      </c>
      <c r="P74" s="283" t="s">
        <v>273</v>
      </c>
      <c r="Q74" s="283" t="s">
        <v>273</v>
      </c>
      <c r="R74" s="283" t="s">
        <v>273</v>
      </c>
      <c r="S74" s="283" t="s">
        <v>273</v>
      </c>
      <c r="T74" s="283" t="s">
        <v>273</v>
      </c>
      <c r="U74" s="283" t="s">
        <v>273</v>
      </c>
      <c r="V74" s="283" t="s">
        <v>273</v>
      </c>
      <c r="W74" s="283" t="s">
        <v>273</v>
      </c>
      <c r="X74" s="283" t="s">
        <v>273</v>
      </c>
      <c r="Y74" s="283" t="s">
        <v>273</v>
      </c>
      <c r="Z74" s="283" t="s">
        <v>273</v>
      </c>
      <c r="AA74" s="283" t="s">
        <v>273</v>
      </c>
      <c r="AB74" s="283" t="s">
        <v>273</v>
      </c>
      <c r="AC74" s="283" t="s">
        <v>273</v>
      </c>
      <c r="AD74" s="283" t="s">
        <v>273</v>
      </c>
      <c r="AE74" s="283" t="s">
        <v>273</v>
      </c>
      <c r="AF74" s="283" t="s">
        <v>273</v>
      </c>
      <c r="AG74" s="283" t="s">
        <v>273</v>
      </c>
      <c r="AH74" s="283">
        <v>0</v>
      </c>
      <c r="AI74" s="283">
        <v>0</v>
      </c>
      <c r="AJ74" s="283">
        <v>0</v>
      </c>
    </row>
    <row r="75" spans="1:36" ht="15">
      <c r="A75" s="263" t="s">
        <v>449</v>
      </c>
      <c r="B75" s="283">
        <v>-19</v>
      </c>
      <c r="C75" s="283">
        <v>-4</v>
      </c>
      <c r="D75" s="283">
        <v>-35</v>
      </c>
      <c r="E75" s="283">
        <v>-34</v>
      </c>
      <c r="F75" s="283" t="s">
        <v>291</v>
      </c>
      <c r="G75" s="283" t="s">
        <v>291</v>
      </c>
      <c r="H75" s="283">
        <v>-8</v>
      </c>
      <c r="I75" s="283" t="s">
        <v>306</v>
      </c>
      <c r="J75" s="283" t="s">
        <v>291</v>
      </c>
      <c r="K75" s="283" t="s">
        <v>291</v>
      </c>
      <c r="L75" s="283" t="s">
        <v>33</v>
      </c>
      <c r="M75" s="283" t="s">
        <v>33</v>
      </c>
      <c r="N75" s="283" t="s">
        <v>273</v>
      </c>
      <c r="O75" s="283" t="s">
        <v>273</v>
      </c>
      <c r="P75" s="283" t="s">
        <v>273</v>
      </c>
      <c r="Q75" s="283" t="s">
        <v>273</v>
      </c>
      <c r="R75" s="283" t="s">
        <v>273</v>
      </c>
      <c r="S75" s="283" t="s">
        <v>273</v>
      </c>
      <c r="T75" s="283" t="s">
        <v>273</v>
      </c>
      <c r="U75" s="283" t="s">
        <v>273</v>
      </c>
      <c r="V75" s="283" t="s">
        <v>273</v>
      </c>
      <c r="W75" s="283" t="s">
        <v>273</v>
      </c>
      <c r="X75" s="283" t="s">
        <v>273</v>
      </c>
      <c r="Y75" s="283" t="s">
        <v>273</v>
      </c>
      <c r="Z75" s="283" t="s">
        <v>273</v>
      </c>
      <c r="AA75" s="283" t="s">
        <v>273</v>
      </c>
      <c r="AB75" s="283" t="s">
        <v>273</v>
      </c>
      <c r="AC75" s="283" t="s">
        <v>273</v>
      </c>
      <c r="AD75" s="283" t="s">
        <v>273</v>
      </c>
      <c r="AE75" s="283" t="s">
        <v>273</v>
      </c>
      <c r="AF75" s="283" t="s">
        <v>273</v>
      </c>
      <c r="AG75" s="283" t="s">
        <v>273</v>
      </c>
      <c r="AH75" s="283" t="s">
        <v>273</v>
      </c>
      <c r="AI75" s="283" t="s">
        <v>273</v>
      </c>
      <c r="AJ75" s="283" t="s">
        <v>273</v>
      </c>
    </row>
    <row r="76" spans="1:36" ht="15">
      <c r="A76" s="263" t="s">
        <v>448</v>
      </c>
      <c r="B76" s="283">
        <v>4553</v>
      </c>
      <c r="C76" s="283">
        <v>1877</v>
      </c>
      <c r="D76" s="283">
        <v>2585</v>
      </c>
      <c r="E76" s="283">
        <v>2704</v>
      </c>
      <c r="F76" s="283">
        <v>3595</v>
      </c>
      <c r="G76" s="283">
        <v>4266</v>
      </c>
      <c r="H76" s="283">
        <v>7480</v>
      </c>
      <c r="I76" s="283">
        <v>9245</v>
      </c>
      <c r="J76" s="283">
        <v>8685</v>
      </c>
      <c r="K76" s="283">
        <v>8993</v>
      </c>
      <c r="L76" s="283">
        <v>12073</v>
      </c>
      <c r="M76" s="283">
        <v>14275</v>
      </c>
      <c r="N76" s="283">
        <v>16546</v>
      </c>
      <c r="O76" s="283">
        <v>16210</v>
      </c>
      <c r="P76" s="283">
        <v>17762</v>
      </c>
      <c r="Q76" s="283">
        <v>21723</v>
      </c>
      <c r="R76" s="283">
        <v>17019</v>
      </c>
      <c r="S76" s="283">
        <v>19686</v>
      </c>
      <c r="T76" s="283">
        <v>19796</v>
      </c>
      <c r="U76" s="283">
        <v>18006</v>
      </c>
      <c r="V76" s="283">
        <v>16583</v>
      </c>
      <c r="W76" s="283">
        <v>24480</v>
      </c>
      <c r="X76" s="283">
        <v>38419</v>
      </c>
      <c r="Y76" s="283">
        <v>48049</v>
      </c>
      <c r="Z76" s="283">
        <v>53532</v>
      </c>
      <c r="AA76" s="283">
        <v>72600</v>
      </c>
      <c r="AB76" s="283">
        <v>82092</v>
      </c>
      <c r="AC76" s="283">
        <v>76771</v>
      </c>
      <c r="AD76" s="283">
        <v>87054</v>
      </c>
      <c r="AE76" s="283">
        <v>93425</v>
      </c>
      <c r="AF76" s="283">
        <v>86980</v>
      </c>
      <c r="AG76" s="283">
        <v>82947</v>
      </c>
      <c r="AH76" s="283">
        <v>84281</v>
      </c>
      <c r="AI76" s="283">
        <v>73398</v>
      </c>
      <c r="AJ76" s="283">
        <v>72064</v>
      </c>
    </row>
    <row r="77" spans="1:36" ht="15">
      <c r="A77" s="263" t="s">
        <v>447</v>
      </c>
      <c r="B77" s="283">
        <v>1939</v>
      </c>
      <c r="C77" s="283">
        <v>701</v>
      </c>
      <c r="D77" s="283">
        <v>1301</v>
      </c>
      <c r="E77" s="283">
        <v>1364</v>
      </c>
      <c r="F77" s="283">
        <v>2024</v>
      </c>
      <c r="G77" s="283">
        <v>2080</v>
      </c>
      <c r="H77" s="283">
        <v>3393</v>
      </c>
      <c r="I77" s="283">
        <v>4061</v>
      </c>
      <c r="J77" s="283">
        <v>2685</v>
      </c>
      <c r="K77" s="283">
        <v>2525</v>
      </c>
      <c r="L77" s="283">
        <v>4264</v>
      </c>
      <c r="M77" s="283">
        <v>6850</v>
      </c>
      <c r="N77" s="283">
        <v>7357</v>
      </c>
      <c r="O77" s="283">
        <v>7409</v>
      </c>
      <c r="P77" s="283">
        <v>8005</v>
      </c>
      <c r="Q77" s="283">
        <v>9045</v>
      </c>
      <c r="R77" s="283">
        <v>4552</v>
      </c>
      <c r="S77" s="283">
        <v>3461</v>
      </c>
      <c r="T77" s="283">
        <v>3826</v>
      </c>
      <c r="U77" s="283">
        <v>1584</v>
      </c>
      <c r="V77" s="283">
        <v>1341</v>
      </c>
      <c r="W77" s="283">
        <v>4418</v>
      </c>
      <c r="X77" s="283">
        <v>8378</v>
      </c>
      <c r="Y77" s="283">
        <v>10808</v>
      </c>
      <c r="Z77" s="283">
        <v>14521</v>
      </c>
      <c r="AA77" s="283">
        <v>18153</v>
      </c>
      <c r="AB77" s="283">
        <v>20439</v>
      </c>
      <c r="AC77" s="283">
        <v>16726</v>
      </c>
      <c r="AD77" s="283">
        <v>20735</v>
      </c>
      <c r="AE77" s="283">
        <v>21692</v>
      </c>
      <c r="AF77" s="283">
        <v>17407</v>
      </c>
      <c r="AG77" s="283">
        <v>14502</v>
      </c>
      <c r="AH77" s="283">
        <v>12161</v>
      </c>
      <c r="AI77" s="283">
        <v>7444</v>
      </c>
      <c r="AJ77" s="283">
        <v>5529</v>
      </c>
    </row>
    <row r="78" spans="1:36" ht="15">
      <c r="A78" s="263" t="s">
        <v>446</v>
      </c>
      <c r="B78" s="283">
        <v>232</v>
      </c>
      <c r="C78" s="283">
        <v>435</v>
      </c>
      <c r="D78" s="283">
        <v>20</v>
      </c>
      <c r="E78" s="283">
        <v>105</v>
      </c>
      <c r="F78" s="283">
        <v>435</v>
      </c>
      <c r="G78" s="283">
        <v>329</v>
      </c>
      <c r="H78" s="283">
        <v>370</v>
      </c>
      <c r="I78" s="283">
        <v>43</v>
      </c>
      <c r="J78" s="283">
        <v>405</v>
      </c>
      <c r="K78" s="283">
        <v>500</v>
      </c>
      <c r="L78" s="283">
        <v>518</v>
      </c>
      <c r="M78" s="283">
        <v>660</v>
      </c>
      <c r="N78" s="283">
        <v>921</v>
      </c>
      <c r="O78" s="283">
        <v>836</v>
      </c>
      <c r="P78" s="283">
        <v>913</v>
      </c>
      <c r="Q78" s="283">
        <v>865</v>
      </c>
      <c r="R78" s="283">
        <v>626</v>
      </c>
      <c r="S78" s="283">
        <v>419</v>
      </c>
      <c r="T78" s="283">
        <v>130</v>
      </c>
      <c r="U78" s="283">
        <v>-955</v>
      </c>
      <c r="V78" s="283">
        <v>-992</v>
      </c>
      <c r="W78" s="283">
        <v>639</v>
      </c>
      <c r="X78" s="283">
        <v>1081</v>
      </c>
      <c r="Y78" s="283">
        <v>1566</v>
      </c>
      <c r="Z78" s="283">
        <v>1900</v>
      </c>
      <c r="AA78" s="283">
        <v>1851</v>
      </c>
      <c r="AB78" s="283">
        <v>1473</v>
      </c>
      <c r="AC78" s="283">
        <v>688</v>
      </c>
      <c r="AD78" s="283">
        <v>1292</v>
      </c>
      <c r="AE78" s="283">
        <v>1720</v>
      </c>
      <c r="AF78" s="283">
        <v>1297</v>
      </c>
      <c r="AG78" s="283">
        <v>860</v>
      </c>
      <c r="AH78" s="283">
        <v>1082</v>
      </c>
      <c r="AI78" s="283">
        <v>1587</v>
      </c>
      <c r="AJ78" s="283">
        <v>1800</v>
      </c>
    </row>
    <row r="79" spans="1:36" ht="15">
      <c r="A79" s="263" t="s">
        <v>445</v>
      </c>
      <c r="B79" s="283">
        <v>932</v>
      </c>
      <c r="C79" s="283">
        <v>31</v>
      </c>
      <c r="D79" s="283">
        <v>752</v>
      </c>
      <c r="E79" s="283">
        <v>925</v>
      </c>
      <c r="F79" s="283">
        <v>986</v>
      </c>
      <c r="G79" s="283">
        <v>1311</v>
      </c>
      <c r="H79" s="283">
        <v>2363</v>
      </c>
      <c r="I79" s="283">
        <v>3505</v>
      </c>
      <c r="J79" s="283">
        <v>1427</v>
      </c>
      <c r="K79" s="283">
        <v>931</v>
      </c>
      <c r="L79" s="283">
        <v>2325</v>
      </c>
      <c r="M79" s="283">
        <v>4946</v>
      </c>
      <c r="N79" s="283">
        <v>4577</v>
      </c>
      <c r="O79" s="283">
        <v>3759</v>
      </c>
      <c r="P79" s="283">
        <v>4172</v>
      </c>
      <c r="Q79" s="283">
        <v>4965</v>
      </c>
      <c r="R79" s="283">
        <v>2807</v>
      </c>
      <c r="S79" s="283">
        <v>1180</v>
      </c>
      <c r="T79" s="283">
        <v>1621</v>
      </c>
      <c r="U79" s="283">
        <v>567</v>
      </c>
      <c r="V79" s="283">
        <v>837</v>
      </c>
      <c r="W79" s="283">
        <v>1465</v>
      </c>
      <c r="X79" s="283">
        <v>2624</v>
      </c>
      <c r="Y79" s="283">
        <v>3554</v>
      </c>
      <c r="Z79" s="283">
        <v>5253</v>
      </c>
      <c r="AA79" s="283">
        <v>7617</v>
      </c>
      <c r="AB79" s="283">
        <v>9251</v>
      </c>
      <c r="AC79" s="283">
        <v>7152</v>
      </c>
      <c r="AD79" s="283">
        <v>9986</v>
      </c>
      <c r="AE79" s="283">
        <v>10685</v>
      </c>
      <c r="AF79" s="283">
        <v>8335</v>
      </c>
      <c r="AG79" s="283">
        <v>6672</v>
      </c>
      <c r="AH79" s="283">
        <v>4810</v>
      </c>
      <c r="AI79" s="283">
        <v>2304</v>
      </c>
      <c r="AJ79" s="283">
        <v>1397</v>
      </c>
    </row>
    <row r="80" spans="1:36" ht="15">
      <c r="A80" s="263" t="s">
        <v>444</v>
      </c>
      <c r="B80" s="283">
        <v>-66</v>
      </c>
      <c r="C80" s="283">
        <v>42</v>
      </c>
      <c r="D80" s="283">
        <v>36</v>
      </c>
      <c r="E80" s="283">
        <v>57</v>
      </c>
      <c r="F80" s="283">
        <v>93</v>
      </c>
      <c r="G80" s="283">
        <v>130</v>
      </c>
      <c r="H80" s="283">
        <v>237</v>
      </c>
      <c r="I80" s="283">
        <v>303</v>
      </c>
      <c r="J80" s="283">
        <v>337</v>
      </c>
      <c r="K80" s="283">
        <v>321</v>
      </c>
      <c r="L80" s="283">
        <v>359</v>
      </c>
      <c r="M80" s="283">
        <v>256</v>
      </c>
      <c r="N80" s="283">
        <v>763</v>
      </c>
      <c r="O80" s="283">
        <v>1038</v>
      </c>
      <c r="P80" s="283">
        <v>1059</v>
      </c>
      <c r="Q80" s="283">
        <v>1198</v>
      </c>
      <c r="R80" s="283">
        <v>577</v>
      </c>
      <c r="S80" s="283">
        <v>704</v>
      </c>
      <c r="T80" s="283">
        <v>626</v>
      </c>
      <c r="U80" s="283">
        <v>602</v>
      </c>
      <c r="V80" s="283">
        <v>557</v>
      </c>
      <c r="W80" s="283">
        <v>809</v>
      </c>
      <c r="X80" s="283">
        <v>773</v>
      </c>
      <c r="Y80" s="283">
        <v>846</v>
      </c>
      <c r="Z80" s="283">
        <v>1480</v>
      </c>
      <c r="AA80" s="283">
        <v>4806</v>
      </c>
      <c r="AB80" s="283">
        <v>4353</v>
      </c>
      <c r="AC80" s="283">
        <v>3862</v>
      </c>
      <c r="AD80" s="283">
        <v>4577</v>
      </c>
      <c r="AE80" s="283">
        <v>3828</v>
      </c>
      <c r="AF80" s="283">
        <v>3068</v>
      </c>
      <c r="AG80" s="283">
        <v>3277</v>
      </c>
      <c r="AH80" s="283">
        <v>2789</v>
      </c>
      <c r="AI80" s="283">
        <v>1983</v>
      </c>
      <c r="AJ80" s="283">
        <v>1899</v>
      </c>
    </row>
    <row r="81" spans="1:36" ht="15">
      <c r="A81" s="263" t="s">
        <v>443</v>
      </c>
      <c r="B81" s="283">
        <v>220</v>
      </c>
      <c r="C81" s="283">
        <v>169</v>
      </c>
      <c r="D81" s="283">
        <v>189</v>
      </c>
      <c r="E81" s="283">
        <v>238</v>
      </c>
      <c r="F81" s="283">
        <v>183</v>
      </c>
      <c r="G81" s="283">
        <v>106</v>
      </c>
      <c r="H81" s="283">
        <v>182</v>
      </c>
      <c r="I81" s="283">
        <v>82</v>
      </c>
      <c r="J81" s="283">
        <v>342</v>
      </c>
      <c r="K81" s="283">
        <v>374</v>
      </c>
      <c r="L81" s="283">
        <v>457</v>
      </c>
      <c r="M81" s="283">
        <v>314</v>
      </c>
      <c r="N81" s="283">
        <v>413</v>
      </c>
      <c r="O81" s="283">
        <v>498</v>
      </c>
      <c r="P81" s="283">
        <v>576</v>
      </c>
      <c r="Q81" s="283">
        <v>767</v>
      </c>
      <c r="R81" s="283">
        <v>131</v>
      </c>
      <c r="S81" s="283">
        <v>396</v>
      </c>
      <c r="T81" s="283">
        <v>448</v>
      </c>
      <c r="U81" s="283">
        <v>271</v>
      </c>
      <c r="V81" s="283">
        <v>361</v>
      </c>
      <c r="W81" s="283">
        <v>357</v>
      </c>
      <c r="X81" s="283">
        <v>550</v>
      </c>
      <c r="Y81" s="283">
        <v>794</v>
      </c>
      <c r="Z81" s="283">
        <v>852</v>
      </c>
      <c r="AA81" s="283">
        <v>878</v>
      </c>
      <c r="AB81" s="283">
        <v>1268</v>
      </c>
      <c r="AC81" s="283">
        <v>864</v>
      </c>
      <c r="AD81" s="283">
        <v>1239</v>
      </c>
      <c r="AE81" s="283">
        <v>1412</v>
      </c>
      <c r="AF81" s="283">
        <v>1342</v>
      </c>
      <c r="AG81" s="283">
        <v>1001</v>
      </c>
      <c r="AH81" s="283">
        <v>783</v>
      </c>
      <c r="AI81" s="283">
        <v>265</v>
      </c>
      <c r="AJ81" s="283">
        <v>238</v>
      </c>
    </row>
    <row r="82" spans="1:36" ht="15">
      <c r="A82" s="263" t="s">
        <v>442</v>
      </c>
      <c r="B82" s="283">
        <v>58</v>
      </c>
      <c r="C82" s="283">
        <v>47</v>
      </c>
      <c r="D82" s="283">
        <v>88</v>
      </c>
      <c r="E82" s="283">
        <v>83</v>
      </c>
      <c r="F82" s="283">
        <v>84</v>
      </c>
      <c r="G82" s="283">
        <v>37</v>
      </c>
      <c r="H82" s="283">
        <v>4</v>
      </c>
      <c r="I82" s="283">
        <v>26</v>
      </c>
      <c r="J82" s="283">
        <v>29</v>
      </c>
      <c r="K82" s="283">
        <v>30</v>
      </c>
      <c r="L82" s="283">
        <v>9</v>
      </c>
      <c r="M82" s="283">
        <v>12</v>
      </c>
      <c r="N82" s="283">
        <v>32</v>
      </c>
      <c r="O82" s="283">
        <v>101</v>
      </c>
      <c r="P82" s="283">
        <v>101</v>
      </c>
      <c r="Q82" s="283">
        <v>73</v>
      </c>
      <c r="R82" s="283">
        <v>65</v>
      </c>
      <c r="S82" s="283">
        <v>62</v>
      </c>
      <c r="T82" s="283">
        <v>61</v>
      </c>
      <c r="U82" s="283">
        <v>64</v>
      </c>
      <c r="V82" s="283">
        <v>122</v>
      </c>
      <c r="W82" s="283">
        <v>149</v>
      </c>
      <c r="X82" s="283">
        <v>301</v>
      </c>
      <c r="Y82" s="283">
        <v>350</v>
      </c>
      <c r="Z82" s="283">
        <v>171</v>
      </c>
      <c r="AA82" s="283">
        <v>16</v>
      </c>
      <c r="AB82" s="283">
        <v>62</v>
      </c>
      <c r="AC82" s="283">
        <v>120</v>
      </c>
      <c r="AD82" s="283">
        <v>134</v>
      </c>
      <c r="AE82" s="283">
        <v>141</v>
      </c>
      <c r="AF82" s="283">
        <v>52</v>
      </c>
      <c r="AG82" s="283">
        <v>66</v>
      </c>
      <c r="AH82" s="283">
        <v>142</v>
      </c>
      <c r="AI82" s="283">
        <v>78</v>
      </c>
      <c r="AJ82" s="283">
        <v>115</v>
      </c>
    </row>
    <row r="83" spans="1:36" ht="15">
      <c r="A83" s="263" t="s">
        <v>441</v>
      </c>
      <c r="B83" s="283">
        <v>229</v>
      </c>
      <c r="C83" s="283">
        <v>115</v>
      </c>
      <c r="D83" s="283">
        <v>88</v>
      </c>
      <c r="E83" s="283">
        <v>-57</v>
      </c>
      <c r="F83" s="283">
        <v>-12</v>
      </c>
      <c r="G83" s="283">
        <v>-48</v>
      </c>
      <c r="H83" s="283">
        <v>-106</v>
      </c>
      <c r="I83" s="283">
        <v>-131</v>
      </c>
      <c r="J83" s="283">
        <v>-122</v>
      </c>
      <c r="K83" s="283">
        <v>-17</v>
      </c>
      <c r="L83" s="283">
        <v>30</v>
      </c>
      <c r="M83" s="283">
        <v>17</v>
      </c>
      <c r="N83" s="283">
        <v>130</v>
      </c>
      <c r="O83" s="283">
        <v>362</v>
      </c>
      <c r="P83" s="283">
        <v>371</v>
      </c>
      <c r="Q83" s="283">
        <v>303</v>
      </c>
      <c r="R83" s="283">
        <v>-143</v>
      </c>
      <c r="S83" s="283">
        <v>68</v>
      </c>
      <c r="T83" s="283">
        <v>49</v>
      </c>
      <c r="U83" s="283">
        <v>31</v>
      </c>
      <c r="V83" s="283">
        <v>97</v>
      </c>
      <c r="W83" s="283">
        <v>320</v>
      </c>
      <c r="X83" s="283">
        <v>1109</v>
      </c>
      <c r="Y83" s="283">
        <v>1670</v>
      </c>
      <c r="Z83" s="283">
        <v>1950</v>
      </c>
      <c r="AA83" s="283">
        <v>1715</v>
      </c>
      <c r="AB83" s="283">
        <v>1102</v>
      </c>
      <c r="AC83" s="283">
        <v>1346</v>
      </c>
      <c r="AD83" s="283">
        <v>1681</v>
      </c>
      <c r="AE83" s="283">
        <v>1658</v>
      </c>
      <c r="AF83" s="283">
        <v>1425</v>
      </c>
      <c r="AG83" s="283">
        <v>901</v>
      </c>
      <c r="AH83" s="283">
        <v>1156</v>
      </c>
      <c r="AI83" s="283">
        <v>225</v>
      </c>
      <c r="AJ83" s="283">
        <v>650</v>
      </c>
    </row>
    <row r="84" spans="1:36" ht="15">
      <c r="A84" s="263" t="s">
        <v>440</v>
      </c>
      <c r="B84" s="283">
        <v>329</v>
      </c>
      <c r="C84" s="283">
        <v>-157</v>
      </c>
      <c r="D84" s="283">
        <v>133</v>
      </c>
      <c r="E84" s="283">
        <v>61</v>
      </c>
      <c r="F84" s="283">
        <v>232</v>
      </c>
      <c r="G84" s="283">
        <v>209</v>
      </c>
      <c r="H84" s="283">
        <v>283</v>
      </c>
      <c r="I84" s="283">
        <v>111</v>
      </c>
      <c r="J84" s="283">
        <v>152</v>
      </c>
      <c r="K84" s="283">
        <v>276</v>
      </c>
      <c r="L84" s="283">
        <v>487</v>
      </c>
      <c r="M84" s="283">
        <v>542</v>
      </c>
      <c r="N84" s="283">
        <v>387</v>
      </c>
      <c r="O84" s="283">
        <v>631</v>
      </c>
      <c r="P84" s="283">
        <v>651</v>
      </c>
      <c r="Q84" s="283">
        <v>799</v>
      </c>
      <c r="R84" s="283">
        <v>407</v>
      </c>
      <c r="S84" s="283">
        <v>538</v>
      </c>
      <c r="T84" s="283">
        <v>858</v>
      </c>
      <c r="U84" s="283">
        <v>909</v>
      </c>
      <c r="V84" s="283">
        <v>291</v>
      </c>
      <c r="W84" s="283">
        <v>603</v>
      </c>
      <c r="X84" s="283">
        <v>1861</v>
      </c>
      <c r="Y84" s="283">
        <v>1934</v>
      </c>
      <c r="Z84" s="283">
        <v>2784</v>
      </c>
      <c r="AA84" s="283">
        <v>1073</v>
      </c>
      <c r="AB84" s="283">
        <v>2606</v>
      </c>
      <c r="AC84" s="283">
        <v>2671</v>
      </c>
      <c r="AD84" s="283">
        <v>1662</v>
      </c>
      <c r="AE84" s="283">
        <v>2068</v>
      </c>
      <c r="AF84" s="283">
        <v>1665</v>
      </c>
      <c r="AG84" s="283">
        <v>1600</v>
      </c>
      <c r="AH84" s="283">
        <v>1295</v>
      </c>
      <c r="AI84" s="283">
        <v>1155</v>
      </c>
      <c r="AJ84" s="283">
        <v>-529</v>
      </c>
    </row>
    <row r="85" spans="1:36" ht="15">
      <c r="A85" s="263" t="s">
        <v>67</v>
      </c>
      <c r="B85" s="283">
        <v>5</v>
      </c>
      <c r="C85" s="283">
        <v>19</v>
      </c>
      <c r="D85" s="283">
        <v>-4</v>
      </c>
      <c r="E85" s="283">
        <v>-46</v>
      </c>
      <c r="F85" s="283">
        <v>24</v>
      </c>
      <c r="G85" s="283">
        <v>7</v>
      </c>
      <c r="H85" s="283">
        <v>61</v>
      </c>
      <c r="I85" s="283">
        <v>122</v>
      </c>
      <c r="J85" s="283">
        <v>115</v>
      </c>
      <c r="K85" s="283">
        <v>109</v>
      </c>
      <c r="L85" s="283">
        <v>80</v>
      </c>
      <c r="M85" s="283">
        <v>104</v>
      </c>
      <c r="N85" s="283">
        <v>133</v>
      </c>
      <c r="O85" s="283">
        <v>183</v>
      </c>
      <c r="P85" s="283">
        <v>163</v>
      </c>
      <c r="Q85" s="283">
        <v>76</v>
      </c>
      <c r="R85" s="283">
        <v>81</v>
      </c>
      <c r="S85" s="283">
        <v>95</v>
      </c>
      <c r="T85" s="283">
        <v>33</v>
      </c>
      <c r="U85" s="283">
        <v>97</v>
      </c>
      <c r="V85" s="283">
        <v>67</v>
      </c>
      <c r="W85" s="283">
        <v>75</v>
      </c>
      <c r="X85" s="283">
        <v>79</v>
      </c>
      <c r="Y85" s="283">
        <v>95</v>
      </c>
      <c r="Z85" s="283">
        <v>131</v>
      </c>
      <c r="AA85" s="283">
        <v>198</v>
      </c>
      <c r="AB85" s="283">
        <v>323</v>
      </c>
      <c r="AC85" s="283">
        <v>24</v>
      </c>
      <c r="AD85" s="283">
        <v>166</v>
      </c>
      <c r="AE85" s="283">
        <v>180</v>
      </c>
      <c r="AF85" s="283">
        <v>222</v>
      </c>
      <c r="AG85" s="283">
        <v>126</v>
      </c>
      <c r="AH85" s="283">
        <v>103</v>
      </c>
      <c r="AI85" s="283">
        <v>-152</v>
      </c>
      <c r="AJ85" s="283">
        <v>-41</v>
      </c>
    </row>
    <row r="86" spans="1:36" ht="15">
      <c r="A86" s="263" t="s">
        <v>439</v>
      </c>
      <c r="B86" s="283">
        <v>30</v>
      </c>
      <c r="C86" s="283">
        <v>25</v>
      </c>
      <c r="D86" s="283">
        <v>10</v>
      </c>
      <c r="E86" s="283">
        <v>-14</v>
      </c>
      <c r="F86" s="283">
        <v>9</v>
      </c>
      <c r="G86" s="283">
        <v>-7</v>
      </c>
      <c r="H86" s="283">
        <v>-9</v>
      </c>
      <c r="I86" s="283">
        <v>10</v>
      </c>
      <c r="J86" s="283">
        <v>25</v>
      </c>
      <c r="K86" s="283">
        <v>26</v>
      </c>
      <c r="L86" s="283">
        <v>13</v>
      </c>
      <c r="M86" s="283">
        <v>18</v>
      </c>
      <c r="N86" s="283">
        <v>26</v>
      </c>
      <c r="O86" s="283">
        <v>33</v>
      </c>
      <c r="P86" s="283">
        <v>11</v>
      </c>
      <c r="Q86" s="283">
        <v>-9</v>
      </c>
      <c r="R86" s="283">
        <v>-42</v>
      </c>
      <c r="S86" s="283">
        <v>8</v>
      </c>
      <c r="T86" s="283">
        <v>-64</v>
      </c>
      <c r="U86" s="283">
        <v>-29</v>
      </c>
      <c r="V86" s="283">
        <v>6</v>
      </c>
      <c r="W86" s="283">
        <v>34</v>
      </c>
      <c r="X86" s="283">
        <v>4</v>
      </c>
      <c r="Y86" s="283">
        <v>-1</v>
      </c>
      <c r="Z86" s="283">
        <v>59</v>
      </c>
      <c r="AA86" s="283">
        <v>46</v>
      </c>
      <c r="AB86" s="283">
        <v>143</v>
      </c>
      <c r="AC86" s="283">
        <v>5</v>
      </c>
      <c r="AD86" s="283">
        <v>72</v>
      </c>
      <c r="AE86" s="283">
        <v>74</v>
      </c>
      <c r="AF86" s="283">
        <v>130</v>
      </c>
      <c r="AG86" s="283">
        <v>78</v>
      </c>
      <c r="AH86" s="283">
        <v>-6</v>
      </c>
      <c r="AI86" s="283">
        <v>24</v>
      </c>
      <c r="AJ86" s="283">
        <v>97</v>
      </c>
    </row>
    <row r="87" spans="1:36" ht="15">
      <c r="A87" s="263" t="s">
        <v>438</v>
      </c>
      <c r="B87" s="283">
        <v>1</v>
      </c>
      <c r="C87" s="283">
        <v>5</v>
      </c>
      <c r="D87" s="283">
        <v>2</v>
      </c>
      <c r="E87" s="283" t="s">
        <v>291</v>
      </c>
      <c r="F87" s="283">
        <v>3</v>
      </c>
      <c r="G87" s="283">
        <v>5</v>
      </c>
      <c r="H87" s="283" t="s">
        <v>291</v>
      </c>
      <c r="I87" s="283">
        <v>1</v>
      </c>
      <c r="J87" s="283">
        <v>2</v>
      </c>
      <c r="K87" s="283">
        <v>2</v>
      </c>
      <c r="L87" s="283">
        <v>2</v>
      </c>
      <c r="M87" s="283">
        <v>1</v>
      </c>
      <c r="N87" s="283">
        <v>1</v>
      </c>
      <c r="O87" s="283">
        <v>1</v>
      </c>
      <c r="P87" s="283">
        <v>1</v>
      </c>
      <c r="Q87" s="283">
        <v>1</v>
      </c>
      <c r="R87" s="283">
        <v>1</v>
      </c>
      <c r="S87" s="283">
        <v>1</v>
      </c>
      <c r="T87" s="283">
        <v>1</v>
      </c>
      <c r="U87" s="283">
        <v>1</v>
      </c>
      <c r="V87" s="283" t="s">
        <v>306</v>
      </c>
      <c r="W87" s="283" t="s">
        <v>306</v>
      </c>
      <c r="X87" s="283" t="s">
        <v>306</v>
      </c>
      <c r="Y87" s="283" t="s">
        <v>306</v>
      </c>
      <c r="Z87" s="283" t="s">
        <v>306</v>
      </c>
      <c r="AA87" s="283" t="s">
        <v>306</v>
      </c>
      <c r="AB87" s="283" t="s">
        <v>306</v>
      </c>
      <c r="AC87" s="283" t="s">
        <v>273</v>
      </c>
      <c r="AD87" s="283" t="s">
        <v>273</v>
      </c>
      <c r="AE87" s="283" t="s">
        <v>273</v>
      </c>
      <c r="AF87" s="283" t="s">
        <v>273</v>
      </c>
      <c r="AG87" s="283" t="s">
        <v>273</v>
      </c>
      <c r="AH87" s="283">
        <v>0</v>
      </c>
      <c r="AI87" s="283">
        <v>0</v>
      </c>
      <c r="AJ87" s="283">
        <v>0</v>
      </c>
    </row>
    <row r="88" spans="1:36" ht="15">
      <c r="A88" s="263" t="s">
        <v>437</v>
      </c>
      <c r="B88" s="283" t="s">
        <v>306</v>
      </c>
      <c r="C88" s="283">
        <v>1</v>
      </c>
      <c r="D88" s="283">
        <v>1</v>
      </c>
      <c r="E88" s="283">
        <v>-1</v>
      </c>
      <c r="F88" s="283" t="s">
        <v>306</v>
      </c>
      <c r="G88" s="283" t="s">
        <v>306</v>
      </c>
      <c r="H88" s="283" t="s">
        <v>306</v>
      </c>
      <c r="I88" s="283" t="s">
        <v>306</v>
      </c>
      <c r="J88" s="283">
        <v>-2</v>
      </c>
      <c r="K88" s="283">
        <v>5</v>
      </c>
      <c r="L88" s="283">
        <v>11</v>
      </c>
      <c r="M88" s="283">
        <v>7</v>
      </c>
      <c r="N88" s="283">
        <v>17</v>
      </c>
      <c r="O88" s="283">
        <v>20</v>
      </c>
      <c r="P88" s="283">
        <v>20</v>
      </c>
      <c r="Q88" s="283">
        <v>14</v>
      </c>
      <c r="R88" s="283">
        <v>14</v>
      </c>
      <c r="S88" s="283">
        <v>15</v>
      </c>
      <c r="T88" s="283">
        <v>12</v>
      </c>
      <c r="U88" s="283">
        <v>16</v>
      </c>
      <c r="V88" s="283">
        <v>14</v>
      </c>
      <c r="W88" s="283">
        <v>16</v>
      </c>
      <c r="X88" s="283">
        <v>15</v>
      </c>
      <c r="Y88" s="283">
        <v>16</v>
      </c>
      <c r="Z88" s="283">
        <v>20</v>
      </c>
      <c r="AA88" s="283">
        <v>11</v>
      </c>
      <c r="AB88" s="283">
        <v>18</v>
      </c>
      <c r="AC88" s="283">
        <v>15</v>
      </c>
      <c r="AD88" s="283">
        <v>11</v>
      </c>
      <c r="AE88" s="283">
        <v>9</v>
      </c>
      <c r="AF88" s="283">
        <v>7</v>
      </c>
      <c r="AG88" s="283">
        <v>8</v>
      </c>
      <c r="AH88" s="283">
        <v>7</v>
      </c>
      <c r="AI88" s="283" t="s">
        <v>291</v>
      </c>
      <c r="AJ88" s="283" t="s">
        <v>291</v>
      </c>
    </row>
    <row r="89" spans="1:36" ht="15">
      <c r="A89" s="263" t="s">
        <v>436</v>
      </c>
      <c r="B89" s="283">
        <v>-15</v>
      </c>
      <c r="C89" s="283">
        <v>-12</v>
      </c>
      <c r="D89" s="283">
        <v>-3</v>
      </c>
      <c r="E89" s="283">
        <v>-2</v>
      </c>
      <c r="F89" s="283">
        <v>-7</v>
      </c>
      <c r="G89" s="283">
        <v>-16</v>
      </c>
      <c r="H89" s="283">
        <v>-2</v>
      </c>
      <c r="I89" s="283">
        <v>-6</v>
      </c>
      <c r="J89" s="283">
        <v>3</v>
      </c>
      <c r="K89" s="283">
        <v>3</v>
      </c>
      <c r="L89" s="283">
        <v>4</v>
      </c>
      <c r="M89" s="283">
        <v>6</v>
      </c>
      <c r="N89" s="283">
        <v>10</v>
      </c>
      <c r="O89" s="283">
        <v>15</v>
      </c>
      <c r="P89" s="283">
        <v>22</v>
      </c>
      <c r="Q89" s="283">
        <v>32</v>
      </c>
      <c r="R89" s="283">
        <v>33</v>
      </c>
      <c r="S89" s="283">
        <v>27</v>
      </c>
      <c r="T89" s="283">
        <v>10</v>
      </c>
      <c r="U89" s="283">
        <v>32</v>
      </c>
      <c r="V89" s="283">
        <v>18</v>
      </c>
      <c r="W89" s="283">
        <v>22</v>
      </c>
      <c r="X89" s="283">
        <v>25</v>
      </c>
      <c r="Y89" s="283">
        <v>1</v>
      </c>
      <c r="Z89" s="283">
        <v>24</v>
      </c>
      <c r="AA89" s="283">
        <v>24</v>
      </c>
      <c r="AB89" s="283">
        <v>79</v>
      </c>
      <c r="AC89" s="283">
        <v>32</v>
      </c>
      <c r="AD89" s="283">
        <v>15</v>
      </c>
      <c r="AE89" s="283">
        <v>17</v>
      </c>
      <c r="AF89" s="283">
        <v>15</v>
      </c>
      <c r="AG89" s="283">
        <v>11</v>
      </c>
      <c r="AH89" s="283">
        <v>14</v>
      </c>
      <c r="AI89" s="283">
        <v>2</v>
      </c>
      <c r="AJ89" s="283" t="s">
        <v>291</v>
      </c>
    </row>
    <row r="90" spans="1:36" ht="15">
      <c r="A90" s="263" t="s">
        <v>435</v>
      </c>
      <c r="B90" s="283">
        <v>3</v>
      </c>
      <c r="C90" s="283">
        <v>11</v>
      </c>
      <c r="D90" s="283">
        <v>9</v>
      </c>
      <c r="E90" s="283" t="s">
        <v>291</v>
      </c>
      <c r="F90" s="283">
        <v>1</v>
      </c>
      <c r="G90" s="283">
        <v>18</v>
      </c>
      <c r="H90" s="283" t="s">
        <v>291</v>
      </c>
      <c r="I90" s="283" t="s">
        <v>291</v>
      </c>
      <c r="J90" s="283" t="s">
        <v>291</v>
      </c>
      <c r="K90" s="283">
        <v>35</v>
      </c>
      <c r="L90" s="283">
        <v>14</v>
      </c>
      <c r="M90" s="283">
        <v>23</v>
      </c>
      <c r="N90" s="283">
        <v>17</v>
      </c>
      <c r="O90" s="283">
        <v>38</v>
      </c>
      <c r="P90" s="283">
        <v>36</v>
      </c>
      <c r="Q90" s="283">
        <v>30</v>
      </c>
      <c r="R90" s="283">
        <v>15</v>
      </c>
      <c r="S90" s="283">
        <v>22</v>
      </c>
      <c r="T90" s="283">
        <v>33</v>
      </c>
      <c r="U90" s="283">
        <v>32</v>
      </c>
      <c r="V90" s="283">
        <v>26</v>
      </c>
      <c r="W90" s="283">
        <v>32</v>
      </c>
      <c r="X90" s="283">
        <v>37</v>
      </c>
      <c r="Y90" s="283">
        <v>31</v>
      </c>
      <c r="Z90" s="283">
        <v>41</v>
      </c>
      <c r="AA90" s="283">
        <v>45</v>
      </c>
      <c r="AB90" s="283">
        <v>29</v>
      </c>
      <c r="AC90" s="283">
        <v>-19</v>
      </c>
      <c r="AD90" s="283">
        <v>27</v>
      </c>
      <c r="AE90" s="283">
        <v>24</v>
      </c>
      <c r="AF90" s="283">
        <v>-4</v>
      </c>
      <c r="AG90" s="283">
        <v>3</v>
      </c>
      <c r="AH90" s="283">
        <v>8</v>
      </c>
      <c r="AI90" s="283" t="s">
        <v>291</v>
      </c>
      <c r="AJ90" s="283">
        <v>-20</v>
      </c>
    </row>
    <row r="91" spans="1:36" ht="15">
      <c r="A91" s="263" t="s">
        <v>434</v>
      </c>
      <c r="B91" s="283">
        <v>-15</v>
      </c>
      <c r="C91" s="283">
        <v>-10</v>
      </c>
      <c r="D91" s="283">
        <v>-22</v>
      </c>
      <c r="E91" s="283">
        <v>-11</v>
      </c>
      <c r="F91" s="283">
        <v>17</v>
      </c>
      <c r="G91" s="283">
        <v>7</v>
      </c>
      <c r="H91" s="283">
        <v>22</v>
      </c>
      <c r="I91" s="283" t="s">
        <v>291</v>
      </c>
      <c r="J91" s="283" t="s">
        <v>291</v>
      </c>
      <c r="K91" s="283">
        <v>37</v>
      </c>
      <c r="L91" s="283">
        <v>36</v>
      </c>
      <c r="M91" s="283">
        <v>49</v>
      </c>
      <c r="N91" s="283">
        <v>62</v>
      </c>
      <c r="O91" s="283">
        <v>76</v>
      </c>
      <c r="P91" s="283">
        <v>72</v>
      </c>
      <c r="Q91" s="283">
        <v>8</v>
      </c>
      <c r="R91" s="283">
        <v>61</v>
      </c>
      <c r="S91" s="283">
        <v>23</v>
      </c>
      <c r="T91" s="283">
        <v>40</v>
      </c>
      <c r="U91" s="283">
        <v>46</v>
      </c>
      <c r="V91" s="283">
        <v>2</v>
      </c>
      <c r="W91" s="283">
        <v>-29</v>
      </c>
      <c r="X91" s="283">
        <v>-3</v>
      </c>
      <c r="Y91" s="283">
        <v>48</v>
      </c>
      <c r="Z91" s="283">
        <v>-12</v>
      </c>
      <c r="AA91" s="283">
        <v>71</v>
      </c>
      <c r="AB91" s="283">
        <v>55</v>
      </c>
      <c r="AC91" s="283">
        <v>-9</v>
      </c>
      <c r="AD91" s="283">
        <v>41</v>
      </c>
      <c r="AE91" s="283">
        <v>56</v>
      </c>
      <c r="AF91" s="283">
        <v>74</v>
      </c>
      <c r="AG91" s="283">
        <v>25</v>
      </c>
      <c r="AH91" s="283">
        <v>81</v>
      </c>
      <c r="AI91" s="283">
        <v>38</v>
      </c>
      <c r="AJ91" s="283">
        <v>-17</v>
      </c>
    </row>
    <row r="92" spans="1:36" ht="15">
      <c r="A92" s="263" t="s">
        <v>433</v>
      </c>
      <c r="B92" s="283">
        <v>509</v>
      </c>
      <c r="C92" s="283">
        <v>649</v>
      </c>
      <c r="D92" s="283">
        <v>978</v>
      </c>
      <c r="E92" s="283">
        <v>993</v>
      </c>
      <c r="F92" s="283">
        <v>973</v>
      </c>
      <c r="G92" s="283">
        <v>1748</v>
      </c>
      <c r="H92" s="283">
        <v>2117</v>
      </c>
      <c r="I92" s="283">
        <v>2423</v>
      </c>
      <c r="J92" s="283">
        <v>2981</v>
      </c>
      <c r="K92" s="283">
        <v>3267</v>
      </c>
      <c r="L92" s="283">
        <v>3601</v>
      </c>
      <c r="M92" s="283">
        <v>3582</v>
      </c>
      <c r="N92" s="283">
        <v>3669</v>
      </c>
      <c r="O92" s="283">
        <v>3460</v>
      </c>
      <c r="P92" s="283">
        <v>4291</v>
      </c>
      <c r="Q92" s="283">
        <v>5602</v>
      </c>
      <c r="R92" s="283">
        <v>5629</v>
      </c>
      <c r="S92" s="283">
        <v>6802</v>
      </c>
      <c r="T92" s="283">
        <v>5162</v>
      </c>
      <c r="U92" s="283">
        <v>4682</v>
      </c>
      <c r="V92" s="283">
        <v>4782</v>
      </c>
      <c r="W92" s="283">
        <v>6206</v>
      </c>
      <c r="X92" s="283">
        <v>8029</v>
      </c>
      <c r="Y92" s="283">
        <v>9686</v>
      </c>
      <c r="Z92" s="283">
        <v>10404</v>
      </c>
      <c r="AA92" s="283">
        <v>12797</v>
      </c>
      <c r="AB92" s="283">
        <v>11206</v>
      </c>
      <c r="AC92" s="283">
        <v>8919</v>
      </c>
      <c r="AD92" s="283">
        <v>10283</v>
      </c>
      <c r="AE92" s="283">
        <v>12662</v>
      </c>
      <c r="AF92" s="283">
        <v>12351</v>
      </c>
      <c r="AG92" s="283">
        <v>10292</v>
      </c>
      <c r="AH92" s="283">
        <v>7016</v>
      </c>
      <c r="AI92" s="283">
        <v>7716</v>
      </c>
      <c r="AJ92" s="283">
        <v>8169</v>
      </c>
    </row>
    <row r="93" spans="1:36" ht="15">
      <c r="A93" s="263" t="s">
        <v>432</v>
      </c>
      <c r="B93" s="283">
        <v>10</v>
      </c>
      <c r="C93" s="283">
        <v>18</v>
      </c>
      <c r="D93" s="283">
        <v>14</v>
      </c>
      <c r="E93" s="283">
        <v>2</v>
      </c>
      <c r="F93" s="283">
        <v>13</v>
      </c>
      <c r="G93" s="283">
        <v>30</v>
      </c>
      <c r="H93" s="283">
        <v>24</v>
      </c>
      <c r="I93" s="283">
        <v>30</v>
      </c>
      <c r="J93" s="283">
        <v>41</v>
      </c>
      <c r="K93" s="283">
        <v>27</v>
      </c>
      <c r="L93" s="283">
        <v>211</v>
      </c>
      <c r="M93" s="283">
        <v>150</v>
      </c>
      <c r="N93" s="283">
        <v>278</v>
      </c>
      <c r="O93" s="283">
        <v>343</v>
      </c>
      <c r="P93" s="283">
        <v>307</v>
      </c>
      <c r="Q93" s="283">
        <v>252</v>
      </c>
      <c r="R93" s="283">
        <v>-78</v>
      </c>
      <c r="S93" s="283">
        <v>-8</v>
      </c>
      <c r="T93" s="283">
        <v>-16</v>
      </c>
      <c r="U93" s="283">
        <v>70</v>
      </c>
      <c r="V93" s="283">
        <v>49</v>
      </c>
      <c r="W93" s="283">
        <v>256</v>
      </c>
      <c r="X93" s="283">
        <v>353</v>
      </c>
      <c r="Y93" s="283">
        <v>321</v>
      </c>
      <c r="Z93" s="283">
        <v>194</v>
      </c>
      <c r="AA93" s="283">
        <v>223</v>
      </c>
      <c r="AB93" s="283">
        <v>119</v>
      </c>
      <c r="AC93" s="283">
        <v>39</v>
      </c>
      <c r="AD93" s="283">
        <v>230</v>
      </c>
      <c r="AE93" s="283">
        <v>187</v>
      </c>
      <c r="AF93" s="283">
        <v>198</v>
      </c>
      <c r="AG93" s="283">
        <v>263</v>
      </c>
      <c r="AH93" s="283">
        <v>258</v>
      </c>
      <c r="AI93" s="283">
        <v>203</v>
      </c>
      <c r="AJ93" s="283">
        <v>178</v>
      </c>
    </row>
    <row r="94" spans="1:36" ht="15">
      <c r="A94" s="263" t="s">
        <v>431</v>
      </c>
      <c r="B94" s="283">
        <v>8</v>
      </c>
      <c r="C94" s="283">
        <v>22</v>
      </c>
      <c r="D94" s="283">
        <v>16</v>
      </c>
      <c r="E94" s="283">
        <v>-7</v>
      </c>
      <c r="F94" s="283">
        <v>6</v>
      </c>
      <c r="G94" s="283">
        <v>4</v>
      </c>
      <c r="H94" s="283">
        <v>27</v>
      </c>
      <c r="I94" s="283">
        <v>15</v>
      </c>
      <c r="J94" s="283">
        <v>21</v>
      </c>
      <c r="K94" s="283">
        <v>8</v>
      </c>
      <c r="L94" s="283">
        <v>22</v>
      </c>
      <c r="M94" s="283">
        <v>30</v>
      </c>
      <c r="N94" s="283">
        <v>44</v>
      </c>
      <c r="O94" s="283">
        <v>47</v>
      </c>
      <c r="P94" s="283">
        <v>67</v>
      </c>
      <c r="Q94" s="283">
        <v>72</v>
      </c>
      <c r="R94" s="283">
        <v>88</v>
      </c>
      <c r="S94" s="283" t="s">
        <v>273</v>
      </c>
      <c r="T94" s="283" t="s">
        <v>273</v>
      </c>
      <c r="U94" s="283" t="s">
        <v>273</v>
      </c>
      <c r="V94" s="283" t="s">
        <v>273</v>
      </c>
      <c r="W94" s="283" t="s">
        <v>273</v>
      </c>
      <c r="X94" s="283" t="s">
        <v>273</v>
      </c>
      <c r="Y94" s="283" t="s">
        <v>273</v>
      </c>
      <c r="Z94" s="283" t="s">
        <v>273</v>
      </c>
      <c r="AA94" s="283" t="s">
        <v>273</v>
      </c>
      <c r="AB94" s="283" t="s">
        <v>273</v>
      </c>
      <c r="AC94" s="283" t="s">
        <v>273</v>
      </c>
      <c r="AD94" s="283" t="s">
        <v>273</v>
      </c>
      <c r="AE94" s="283" t="s">
        <v>273</v>
      </c>
      <c r="AF94" s="283" t="s">
        <v>273</v>
      </c>
      <c r="AG94" s="283" t="s">
        <v>273</v>
      </c>
      <c r="AH94" s="283" t="s">
        <v>273</v>
      </c>
      <c r="AI94" s="283" t="s">
        <v>273</v>
      </c>
      <c r="AJ94" s="283" t="s">
        <v>273</v>
      </c>
    </row>
    <row r="95" spans="1:36" ht="15">
      <c r="A95" s="263" t="s">
        <v>430</v>
      </c>
      <c r="B95" s="283">
        <v>-9</v>
      </c>
      <c r="C95" s="283">
        <v>7</v>
      </c>
      <c r="D95" s="283">
        <v>-7</v>
      </c>
      <c r="E95" s="283">
        <v>13</v>
      </c>
      <c r="F95" s="283">
        <v>20</v>
      </c>
      <c r="G95" s="283">
        <v>48</v>
      </c>
      <c r="H95" s="283">
        <v>39</v>
      </c>
      <c r="I95" s="283">
        <v>22</v>
      </c>
      <c r="J95" s="283">
        <v>-8</v>
      </c>
      <c r="K95" s="283">
        <v>-7</v>
      </c>
      <c r="L95" s="283">
        <v>-31</v>
      </c>
      <c r="M95" s="283">
        <v>4</v>
      </c>
      <c r="N95" s="283">
        <v>-4</v>
      </c>
      <c r="O95" s="283">
        <v>26</v>
      </c>
      <c r="P95" s="283">
        <v>-2</v>
      </c>
      <c r="Q95" s="283">
        <v>38</v>
      </c>
      <c r="R95" s="283">
        <v>-53</v>
      </c>
      <c r="S95" s="283">
        <v>20</v>
      </c>
      <c r="T95" s="283">
        <v>67</v>
      </c>
      <c r="U95" s="283">
        <v>35</v>
      </c>
      <c r="V95" s="283">
        <v>21</v>
      </c>
      <c r="W95" s="283">
        <v>62</v>
      </c>
      <c r="X95" s="283">
        <v>73</v>
      </c>
      <c r="Y95" s="283">
        <v>64</v>
      </c>
      <c r="Z95" s="283">
        <v>58</v>
      </c>
      <c r="AA95" s="283">
        <v>49</v>
      </c>
      <c r="AB95" s="283">
        <v>7</v>
      </c>
      <c r="AC95" s="283">
        <v>50</v>
      </c>
      <c r="AD95" s="283">
        <v>81</v>
      </c>
      <c r="AE95" s="283">
        <v>84</v>
      </c>
      <c r="AF95" s="283">
        <v>71</v>
      </c>
      <c r="AG95" s="283">
        <v>42</v>
      </c>
      <c r="AH95" s="283">
        <v>32</v>
      </c>
      <c r="AI95" s="283">
        <v>74</v>
      </c>
      <c r="AJ95" s="283">
        <v>127</v>
      </c>
    </row>
    <row r="96" spans="1:36" ht="15">
      <c r="A96" s="263" t="s">
        <v>429</v>
      </c>
      <c r="B96" s="283">
        <v>-48</v>
      </c>
      <c r="C96" s="283">
        <v>-194</v>
      </c>
      <c r="D96" s="283">
        <v>287</v>
      </c>
      <c r="E96" s="283">
        <v>370</v>
      </c>
      <c r="F96" s="283">
        <v>-75</v>
      </c>
      <c r="G96" s="283">
        <v>720</v>
      </c>
      <c r="H96" s="283">
        <v>1290</v>
      </c>
      <c r="I96" s="283">
        <v>1417</v>
      </c>
      <c r="J96" s="283">
        <v>1850</v>
      </c>
      <c r="K96" s="283">
        <v>2267</v>
      </c>
      <c r="L96" s="283">
        <v>2457</v>
      </c>
      <c r="M96" s="283">
        <v>2525</v>
      </c>
      <c r="N96" s="283">
        <v>2379</v>
      </c>
      <c r="O96" s="283">
        <v>1585</v>
      </c>
      <c r="P96" s="283">
        <v>2721</v>
      </c>
      <c r="Q96" s="283">
        <v>3893</v>
      </c>
      <c r="R96" s="283">
        <v>3760</v>
      </c>
      <c r="S96" s="283">
        <v>4350</v>
      </c>
      <c r="T96" s="283">
        <v>4431</v>
      </c>
      <c r="U96" s="283">
        <v>4034</v>
      </c>
      <c r="V96" s="283">
        <v>3834</v>
      </c>
      <c r="W96" s="283">
        <v>5343</v>
      </c>
      <c r="X96" s="283">
        <v>7102</v>
      </c>
      <c r="Y96" s="283">
        <v>8634</v>
      </c>
      <c r="Z96" s="283">
        <v>9606</v>
      </c>
      <c r="AA96" s="283">
        <v>11634</v>
      </c>
      <c r="AB96" s="283">
        <v>10239</v>
      </c>
      <c r="AC96" s="283">
        <v>8157</v>
      </c>
      <c r="AD96" s="283">
        <v>9379</v>
      </c>
      <c r="AE96" s="283">
        <v>11994</v>
      </c>
      <c r="AF96" s="283">
        <v>11566</v>
      </c>
      <c r="AG96" s="283">
        <v>9622</v>
      </c>
      <c r="AH96" s="283">
        <v>6481</v>
      </c>
      <c r="AI96" s="283">
        <v>7045</v>
      </c>
      <c r="AJ96" s="283">
        <v>6811</v>
      </c>
    </row>
    <row r="97" spans="1:36" ht="15">
      <c r="A97" s="263" t="s">
        <v>428</v>
      </c>
      <c r="B97" s="283">
        <v>566</v>
      </c>
      <c r="C97" s="283">
        <v>855</v>
      </c>
      <c r="D97" s="283">
        <v>664</v>
      </c>
      <c r="E97" s="283">
        <v>607</v>
      </c>
      <c r="F97" s="283">
        <v>990</v>
      </c>
      <c r="G97" s="283">
        <v>898</v>
      </c>
      <c r="H97" s="283">
        <v>718</v>
      </c>
      <c r="I97" s="283">
        <v>929</v>
      </c>
      <c r="J97" s="283">
        <v>1075</v>
      </c>
      <c r="K97" s="283">
        <v>955</v>
      </c>
      <c r="L97" s="283">
        <v>909</v>
      </c>
      <c r="M97" s="283">
        <v>833</v>
      </c>
      <c r="N97" s="283">
        <v>925</v>
      </c>
      <c r="O97" s="283">
        <v>1421</v>
      </c>
      <c r="P97" s="283">
        <v>1153</v>
      </c>
      <c r="Q97" s="283">
        <v>1277</v>
      </c>
      <c r="R97" s="283">
        <v>1823</v>
      </c>
      <c r="S97" s="283">
        <v>2265</v>
      </c>
      <c r="T97" s="283">
        <v>553</v>
      </c>
      <c r="U97" s="283">
        <v>424</v>
      </c>
      <c r="V97" s="283">
        <v>679</v>
      </c>
      <c r="W97" s="283">
        <v>416</v>
      </c>
      <c r="X97" s="283">
        <v>379</v>
      </c>
      <c r="Y97" s="283">
        <v>545</v>
      </c>
      <c r="Z97" s="283">
        <v>452</v>
      </c>
      <c r="AA97" s="283">
        <v>585</v>
      </c>
      <c r="AB97" s="283">
        <v>656</v>
      </c>
      <c r="AC97" s="283">
        <v>428</v>
      </c>
      <c r="AD97" s="283">
        <v>255</v>
      </c>
      <c r="AE97" s="283">
        <v>126</v>
      </c>
      <c r="AF97" s="283">
        <v>200</v>
      </c>
      <c r="AG97" s="283">
        <v>2</v>
      </c>
      <c r="AH97" s="283">
        <v>20</v>
      </c>
      <c r="AI97" s="283">
        <v>294</v>
      </c>
      <c r="AJ97" s="283">
        <v>538</v>
      </c>
    </row>
    <row r="98" spans="1:36" ht="15">
      <c r="A98" s="263" t="s">
        <v>67</v>
      </c>
      <c r="B98" s="283">
        <v>-17</v>
      </c>
      <c r="C98" s="283">
        <v>-58</v>
      </c>
      <c r="D98" s="283">
        <v>5</v>
      </c>
      <c r="E98" s="283">
        <v>7</v>
      </c>
      <c r="F98" s="283">
        <v>19</v>
      </c>
      <c r="G98" s="283">
        <v>49</v>
      </c>
      <c r="H98" s="283">
        <v>18</v>
      </c>
      <c r="I98" s="283">
        <v>11</v>
      </c>
      <c r="J98" s="283">
        <v>2</v>
      </c>
      <c r="K98" s="283">
        <v>17</v>
      </c>
      <c r="L98" s="283">
        <v>32</v>
      </c>
      <c r="M98" s="283">
        <v>40</v>
      </c>
      <c r="N98" s="283">
        <v>46</v>
      </c>
      <c r="O98" s="283">
        <v>39</v>
      </c>
      <c r="P98" s="283">
        <v>46</v>
      </c>
      <c r="Q98" s="283">
        <v>70</v>
      </c>
      <c r="R98" s="283">
        <v>88</v>
      </c>
      <c r="S98" s="283">
        <v>175</v>
      </c>
      <c r="T98" s="283">
        <v>128</v>
      </c>
      <c r="U98" s="283">
        <v>119</v>
      </c>
      <c r="V98" s="283">
        <v>198</v>
      </c>
      <c r="W98" s="283">
        <v>128</v>
      </c>
      <c r="X98" s="283">
        <v>123</v>
      </c>
      <c r="Y98" s="283">
        <v>121</v>
      </c>
      <c r="Z98" s="283">
        <v>94</v>
      </c>
      <c r="AA98" s="283">
        <v>305</v>
      </c>
      <c r="AB98" s="283">
        <v>185</v>
      </c>
      <c r="AC98" s="283">
        <v>245</v>
      </c>
      <c r="AD98" s="283">
        <v>340</v>
      </c>
      <c r="AE98" s="283">
        <v>270</v>
      </c>
      <c r="AF98" s="283">
        <v>316</v>
      </c>
      <c r="AG98" s="283">
        <v>363</v>
      </c>
      <c r="AH98" s="283">
        <v>226</v>
      </c>
      <c r="AI98" s="283">
        <v>100</v>
      </c>
      <c r="AJ98" s="283">
        <v>515</v>
      </c>
    </row>
    <row r="99" spans="1:36" ht="15">
      <c r="A99" s="263" t="s">
        <v>427</v>
      </c>
      <c r="B99" s="283">
        <v>-8</v>
      </c>
      <c r="C99" s="283" t="s">
        <v>291</v>
      </c>
      <c r="D99" s="283">
        <v>-6</v>
      </c>
      <c r="E99" s="283">
        <v>-6</v>
      </c>
      <c r="F99" s="283">
        <v>-6</v>
      </c>
      <c r="G99" s="283">
        <v>-2</v>
      </c>
      <c r="H99" s="283" t="s">
        <v>306</v>
      </c>
      <c r="I99" s="283" t="s">
        <v>306</v>
      </c>
      <c r="J99" s="283" t="s">
        <v>291</v>
      </c>
      <c r="K99" s="283">
        <v>1</v>
      </c>
      <c r="L99" s="283">
        <v>1</v>
      </c>
      <c r="M99" s="283">
        <v>1</v>
      </c>
      <c r="N99" s="283">
        <v>2</v>
      </c>
      <c r="O99" s="283">
        <v>1</v>
      </c>
      <c r="P99" s="283" t="s">
        <v>291</v>
      </c>
      <c r="Q99" s="283">
        <v>6</v>
      </c>
      <c r="R99" s="283">
        <v>7</v>
      </c>
      <c r="S99" s="283">
        <v>9</v>
      </c>
      <c r="T99" s="283">
        <v>6</v>
      </c>
      <c r="U99" s="283">
        <v>8</v>
      </c>
      <c r="V99" s="283">
        <v>2</v>
      </c>
      <c r="W99" s="283">
        <v>3</v>
      </c>
      <c r="X99" s="283">
        <v>6</v>
      </c>
      <c r="Y99" s="283">
        <v>-3</v>
      </c>
      <c r="Z99" s="283">
        <v>-5</v>
      </c>
      <c r="AA99" s="283">
        <v>-3</v>
      </c>
      <c r="AB99" s="283">
        <v>-3</v>
      </c>
      <c r="AC99" s="283">
        <v>-1</v>
      </c>
      <c r="AD99" s="283">
        <v>2</v>
      </c>
      <c r="AE99" s="283" t="s">
        <v>306</v>
      </c>
      <c r="AF99" s="283">
        <v>2</v>
      </c>
      <c r="AG99" s="283">
        <v>2</v>
      </c>
      <c r="AH99" s="283">
        <v>2</v>
      </c>
      <c r="AI99" s="283">
        <v>2</v>
      </c>
      <c r="AJ99" s="283">
        <v>2</v>
      </c>
    </row>
    <row r="100" spans="1:36" ht="15">
      <c r="A100" s="263" t="s">
        <v>426</v>
      </c>
      <c r="B100" s="283">
        <v>5</v>
      </c>
      <c r="C100" s="283">
        <v>16</v>
      </c>
      <c r="D100" s="283">
        <v>15</v>
      </c>
      <c r="E100" s="283">
        <v>16</v>
      </c>
      <c r="F100" s="283">
        <v>11</v>
      </c>
      <c r="G100" s="283">
        <v>11</v>
      </c>
      <c r="H100" s="283">
        <v>9</v>
      </c>
      <c r="I100" s="283">
        <v>16</v>
      </c>
      <c r="J100" s="283">
        <v>15</v>
      </c>
      <c r="K100" s="283">
        <v>21</v>
      </c>
      <c r="L100" s="283">
        <v>23</v>
      </c>
      <c r="M100" s="283">
        <v>33</v>
      </c>
      <c r="N100" s="283">
        <v>37</v>
      </c>
      <c r="O100" s="283">
        <v>36</v>
      </c>
      <c r="P100" s="283">
        <v>44</v>
      </c>
      <c r="Q100" s="283">
        <v>63</v>
      </c>
      <c r="R100" s="283">
        <v>74</v>
      </c>
      <c r="S100" s="283">
        <v>89</v>
      </c>
      <c r="T100" s="283">
        <v>69</v>
      </c>
      <c r="U100" s="283">
        <v>53</v>
      </c>
      <c r="V100" s="283">
        <v>162</v>
      </c>
      <c r="W100" s="283">
        <v>75</v>
      </c>
      <c r="X100" s="283">
        <v>61</v>
      </c>
      <c r="Y100" s="283">
        <v>58</v>
      </c>
      <c r="Z100" s="283">
        <v>61</v>
      </c>
      <c r="AA100" s="283">
        <v>210</v>
      </c>
      <c r="AB100" s="283">
        <v>165</v>
      </c>
      <c r="AC100" s="283">
        <v>104</v>
      </c>
      <c r="AD100" s="283">
        <v>185</v>
      </c>
      <c r="AE100" s="283">
        <v>160</v>
      </c>
      <c r="AF100" s="283">
        <v>193</v>
      </c>
      <c r="AG100" s="283">
        <v>242</v>
      </c>
      <c r="AH100" s="283">
        <v>120</v>
      </c>
      <c r="AI100" s="283">
        <v>32</v>
      </c>
      <c r="AJ100" s="283">
        <v>485</v>
      </c>
    </row>
    <row r="101" spans="1:36" ht="15">
      <c r="A101" s="263" t="s">
        <v>425</v>
      </c>
      <c r="B101" s="283" t="s">
        <v>273</v>
      </c>
      <c r="C101" s="283" t="s">
        <v>273</v>
      </c>
      <c r="D101" s="283" t="s">
        <v>273</v>
      </c>
      <c r="E101" s="283" t="s">
        <v>273</v>
      </c>
      <c r="F101" s="283" t="s">
        <v>273</v>
      </c>
      <c r="G101" s="283" t="s">
        <v>273</v>
      </c>
      <c r="H101" s="283" t="s">
        <v>273</v>
      </c>
      <c r="I101" s="283" t="s">
        <v>273</v>
      </c>
      <c r="J101" s="283" t="s">
        <v>273</v>
      </c>
      <c r="K101" s="283" t="s">
        <v>273</v>
      </c>
      <c r="L101" s="283" t="s">
        <v>273</v>
      </c>
      <c r="M101" s="283" t="s">
        <v>273</v>
      </c>
      <c r="N101" s="283" t="s">
        <v>273</v>
      </c>
      <c r="O101" s="283" t="s">
        <v>273</v>
      </c>
      <c r="P101" s="283" t="s">
        <v>273</v>
      </c>
      <c r="Q101" s="283" t="s">
        <v>273</v>
      </c>
      <c r="R101" s="283" t="s">
        <v>273</v>
      </c>
      <c r="S101" s="283">
        <v>62</v>
      </c>
      <c r="T101" s="283">
        <v>35</v>
      </c>
      <c r="U101" s="283">
        <v>15</v>
      </c>
      <c r="V101" s="283">
        <v>-32</v>
      </c>
      <c r="W101" s="283">
        <v>30</v>
      </c>
      <c r="X101" s="283">
        <v>47</v>
      </c>
      <c r="Y101" s="283">
        <v>56</v>
      </c>
      <c r="Z101" s="283">
        <v>21</v>
      </c>
      <c r="AA101" s="283">
        <v>94</v>
      </c>
      <c r="AB101" s="283">
        <v>30</v>
      </c>
      <c r="AC101" s="283">
        <v>130</v>
      </c>
      <c r="AD101" s="283">
        <v>129</v>
      </c>
      <c r="AE101" s="283">
        <v>104</v>
      </c>
      <c r="AF101" s="283">
        <v>129</v>
      </c>
      <c r="AG101" s="283">
        <v>115</v>
      </c>
      <c r="AH101" s="283">
        <v>103</v>
      </c>
      <c r="AI101" s="283">
        <v>76</v>
      </c>
      <c r="AJ101" s="283">
        <v>59</v>
      </c>
    </row>
    <row r="102" spans="1:36" ht="15">
      <c r="A102" s="263" t="s">
        <v>424</v>
      </c>
      <c r="B102" s="283">
        <v>-14</v>
      </c>
      <c r="C102" s="283" t="s">
        <v>291</v>
      </c>
      <c r="D102" s="283">
        <v>-4</v>
      </c>
      <c r="E102" s="283">
        <v>-4</v>
      </c>
      <c r="F102" s="283">
        <v>14</v>
      </c>
      <c r="G102" s="283">
        <v>40</v>
      </c>
      <c r="H102" s="283">
        <v>9</v>
      </c>
      <c r="I102" s="283">
        <v>-5</v>
      </c>
      <c r="J102" s="283" t="s">
        <v>291</v>
      </c>
      <c r="K102" s="283">
        <v>-6</v>
      </c>
      <c r="L102" s="283">
        <v>8</v>
      </c>
      <c r="M102" s="283">
        <v>6</v>
      </c>
      <c r="N102" s="283">
        <v>7</v>
      </c>
      <c r="O102" s="283">
        <v>2</v>
      </c>
      <c r="P102" s="283" t="s">
        <v>291</v>
      </c>
      <c r="Q102" s="283">
        <v>1</v>
      </c>
      <c r="R102" s="283">
        <v>8</v>
      </c>
      <c r="S102" s="283">
        <v>15</v>
      </c>
      <c r="T102" s="283">
        <v>18</v>
      </c>
      <c r="U102" s="283">
        <v>42</v>
      </c>
      <c r="V102" s="283">
        <v>67</v>
      </c>
      <c r="W102" s="283">
        <v>19</v>
      </c>
      <c r="X102" s="283">
        <v>9</v>
      </c>
      <c r="Y102" s="283">
        <v>11</v>
      </c>
      <c r="Z102" s="283">
        <v>17</v>
      </c>
      <c r="AA102" s="283">
        <v>3</v>
      </c>
      <c r="AB102" s="283">
        <v>-8</v>
      </c>
      <c r="AC102" s="283">
        <v>12</v>
      </c>
      <c r="AD102" s="283">
        <v>24</v>
      </c>
      <c r="AE102" s="283">
        <v>5</v>
      </c>
      <c r="AF102" s="283">
        <v>-8</v>
      </c>
      <c r="AG102" s="283">
        <v>5</v>
      </c>
      <c r="AH102" s="283" t="s">
        <v>306</v>
      </c>
      <c r="AI102" s="283">
        <v>-10</v>
      </c>
      <c r="AJ102" s="283">
        <v>-30</v>
      </c>
    </row>
    <row r="103" spans="1:36" ht="15">
      <c r="A103" s="263" t="s">
        <v>423</v>
      </c>
      <c r="B103" s="283">
        <v>2105</v>
      </c>
      <c r="C103" s="283">
        <v>527</v>
      </c>
      <c r="D103" s="283">
        <v>306</v>
      </c>
      <c r="E103" s="283">
        <v>347</v>
      </c>
      <c r="F103" s="283">
        <v>598</v>
      </c>
      <c r="G103" s="283">
        <v>438</v>
      </c>
      <c r="H103" s="283">
        <v>1969</v>
      </c>
      <c r="I103" s="283">
        <v>2761</v>
      </c>
      <c r="J103" s="283">
        <v>3019</v>
      </c>
      <c r="K103" s="283">
        <v>3201</v>
      </c>
      <c r="L103" s="283">
        <v>4208</v>
      </c>
      <c r="M103" s="283">
        <v>3843</v>
      </c>
      <c r="N103" s="283">
        <v>5520</v>
      </c>
      <c r="O103" s="283">
        <v>5341</v>
      </c>
      <c r="P103" s="283">
        <v>5467</v>
      </c>
      <c r="Q103" s="283">
        <v>7076</v>
      </c>
      <c r="R103" s="283">
        <v>6838</v>
      </c>
      <c r="S103" s="283">
        <v>9423</v>
      </c>
      <c r="T103" s="283">
        <v>10807</v>
      </c>
      <c r="U103" s="283">
        <v>11741</v>
      </c>
      <c r="V103" s="283">
        <v>10460</v>
      </c>
      <c r="W103" s="283">
        <v>13857</v>
      </c>
      <c r="X103" s="283">
        <v>22012</v>
      </c>
      <c r="Y103" s="283">
        <v>27555</v>
      </c>
      <c r="Z103" s="283">
        <v>28607</v>
      </c>
      <c r="AA103" s="283">
        <v>41650</v>
      </c>
      <c r="AB103" s="283">
        <v>50447</v>
      </c>
      <c r="AC103" s="283">
        <v>51126</v>
      </c>
      <c r="AD103" s="283">
        <v>56035</v>
      </c>
      <c r="AE103" s="283">
        <v>59071</v>
      </c>
      <c r="AF103" s="283">
        <v>57223</v>
      </c>
      <c r="AG103" s="283">
        <v>58153</v>
      </c>
      <c r="AH103" s="283">
        <v>65104</v>
      </c>
      <c r="AI103" s="283">
        <v>58238</v>
      </c>
      <c r="AJ103" s="283">
        <v>58366</v>
      </c>
    </row>
    <row r="104" spans="1:36" ht="15">
      <c r="A104" s="263" t="s">
        <v>422</v>
      </c>
      <c r="B104" s="283">
        <v>1162</v>
      </c>
      <c r="C104" s="283">
        <v>1126</v>
      </c>
      <c r="D104" s="283">
        <v>1028</v>
      </c>
      <c r="E104" s="283">
        <v>985</v>
      </c>
      <c r="F104" s="283">
        <v>867</v>
      </c>
      <c r="G104" s="283">
        <v>225</v>
      </c>
      <c r="H104" s="283">
        <v>308</v>
      </c>
      <c r="I104" s="283">
        <v>63</v>
      </c>
      <c r="J104" s="283">
        <v>438</v>
      </c>
      <c r="K104" s="283">
        <v>306</v>
      </c>
      <c r="L104" s="283">
        <v>756</v>
      </c>
      <c r="M104" s="283">
        <v>33</v>
      </c>
      <c r="N104" s="283">
        <v>364</v>
      </c>
      <c r="O104" s="283">
        <v>65</v>
      </c>
      <c r="P104" s="283">
        <v>-1</v>
      </c>
      <c r="Q104" s="283">
        <v>156</v>
      </c>
      <c r="R104" s="283">
        <v>-252</v>
      </c>
      <c r="S104" s="283" t="s">
        <v>273</v>
      </c>
      <c r="T104" s="283" t="s">
        <v>273</v>
      </c>
      <c r="U104" s="283" t="s">
        <v>273</v>
      </c>
      <c r="V104" s="283" t="s">
        <v>273</v>
      </c>
      <c r="W104" s="283" t="s">
        <v>273</v>
      </c>
      <c r="X104" s="283" t="s">
        <v>273</v>
      </c>
      <c r="Y104" s="283" t="s">
        <v>273</v>
      </c>
      <c r="Z104" s="283" t="s">
        <v>273</v>
      </c>
      <c r="AA104" s="283" t="s">
        <v>273</v>
      </c>
      <c r="AB104" s="283" t="s">
        <v>273</v>
      </c>
      <c r="AC104" s="283" t="s">
        <v>273</v>
      </c>
      <c r="AD104" s="283" t="s">
        <v>273</v>
      </c>
      <c r="AE104" s="283" t="s">
        <v>273</v>
      </c>
      <c r="AF104" s="283" t="s">
        <v>273</v>
      </c>
      <c r="AG104" s="283" t="s">
        <v>273</v>
      </c>
      <c r="AH104" s="283" t="s">
        <v>273</v>
      </c>
      <c r="AI104" s="283" t="s">
        <v>273</v>
      </c>
      <c r="AJ104" s="283" t="s">
        <v>273</v>
      </c>
    </row>
    <row r="105" spans="1:36" ht="15">
      <c r="A105" s="263" t="s">
        <v>421</v>
      </c>
      <c r="B105" s="283">
        <v>5</v>
      </c>
      <c r="C105" s="283">
        <v>13</v>
      </c>
      <c r="D105" s="283">
        <v>16</v>
      </c>
      <c r="E105" s="283">
        <v>36</v>
      </c>
      <c r="F105" s="283">
        <v>10</v>
      </c>
      <c r="G105" s="283">
        <v>42</v>
      </c>
      <c r="H105" s="283">
        <v>81</v>
      </c>
      <c r="I105" s="283">
        <v>123</v>
      </c>
      <c r="J105" s="283">
        <v>163</v>
      </c>
      <c r="K105" s="283">
        <v>239</v>
      </c>
      <c r="L105" s="283">
        <v>299</v>
      </c>
      <c r="M105" s="283">
        <v>303</v>
      </c>
      <c r="N105" s="283">
        <v>358</v>
      </c>
      <c r="O105" s="283">
        <v>464</v>
      </c>
      <c r="P105" s="283">
        <v>605</v>
      </c>
      <c r="Q105" s="283">
        <v>626</v>
      </c>
      <c r="R105" s="283">
        <v>1070</v>
      </c>
      <c r="S105" s="283">
        <v>1258</v>
      </c>
      <c r="T105" s="283">
        <v>1584</v>
      </c>
      <c r="U105" s="283">
        <v>1105</v>
      </c>
      <c r="V105" s="283">
        <v>606</v>
      </c>
      <c r="W105" s="283">
        <v>320</v>
      </c>
      <c r="X105" s="283">
        <v>695</v>
      </c>
      <c r="Y105" s="283">
        <v>655</v>
      </c>
      <c r="Z105" s="283">
        <v>506</v>
      </c>
      <c r="AA105" s="283">
        <v>1415</v>
      </c>
      <c r="AB105" s="283">
        <v>1535</v>
      </c>
      <c r="AC105" s="283">
        <v>399</v>
      </c>
      <c r="AD105" s="283">
        <v>1595</v>
      </c>
      <c r="AE105" s="283">
        <v>1952</v>
      </c>
      <c r="AF105" s="283">
        <v>1510</v>
      </c>
      <c r="AG105" s="283">
        <v>1069</v>
      </c>
      <c r="AH105" s="283">
        <v>1721</v>
      </c>
      <c r="AI105" s="283">
        <v>1455</v>
      </c>
      <c r="AJ105" s="283">
        <v>930</v>
      </c>
    </row>
    <row r="106" spans="1:36" ht="15">
      <c r="A106" s="263" t="s">
        <v>420</v>
      </c>
      <c r="B106" s="283">
        <v>1395</v>
      </c>
      <c r="C106" s="283">
        <v>1342</v>
      </c>
      <c r="D106" s="283">
        <v>1507</v>
      </c>
      <c r="E106" s="283">
        <v>1311</v>
      </c>
      <c r="F106" s="283">
        <v>1579</v>
      </c>
      <c r="G106" s="283">
        <v>1702</v>
      </c>
      <c r="H106" s="283">
        <v>2214</v>
      </c>
      <c r="I106" s="283">
        <v>2652</v>
      </c>
      <c r="J106" s="283">
        <v>2067</v>
      </c>
      <c r="K106" s="283">
        <v>2016</v>
      </c>
      <c r="L106" s="283">
        <v>2090</v>
      </c>
      <c r="M106" s="283">
        <v>3040</v>
      </c>
      <c r="N106" s="283">
        <v>3272</v>
      </c>
      <c r="O106" s="283">
        <v>3023</v>
      </c>
      <c r="P106" s="283">
        <v>3362</v>
      </c>
      <c r="Q106" s="283">
        <v>3965</v>
      </c>
      <c r="R106" s="283">
        <v>3658</v>
      </c>
      <c r="S106" s="283">
        <v>4655</v>
      </c>
      <c r="T106" s="283">
        <v>6446</v>
      </c>
      <c r="U106" s="283">
        <v>5250</v>
      </c>
      <c r="V106" s="283">
        <v>4569</v>
      </c>
      <c r="W106" s="283">
        <v>7089</v>
      </c>
      <c r="X106" s="283">
        <v>10086</v>
      </c>
      <c r="Y106" s="283">
        <v>11547</v>
      </c>
      <c r="Z106" s="283">
        <v>15586</v>
      </c>
      <c r="AA106" s="283">
        <v>23176</v>
      </c>
      <c r="AB106" s="283">
        <v>25033</v>
      </c>
      <c r="AC106" s="283">
        <v>29425</v>
      </c>
      <c r="AD106" s="283">
        <v>28649</v>
      </c>
      <c r="AE106" s="283">
        <v>31952</v>
      </c>
      <c r="AF106" s="283">
        <v>29343</v>
      </c>
      <c r="AG106" s="283">
        <v>33598</v>
      </c>
      <c r="AH106" s="283">
        <v>35515</v>
      </c>
      <c r="AI106" s="283">
        <v>30408</v>
      </c>
      <c r="AJ106" s="283">
        <v>28111</v>
      </c>
    </row>
    <row r="107" spans="1:36" ht="15">
      <c r="A107" s="263" t="s">
        <v>419</v>
      </c>
      <c r="B107" s="283">
        <v>15</v>
      </c>
      <c r="C107" s="283">
        <v>30</v>
      </c>
      <c r="D107" s="283">
        <v>29</v>
      </c>
      <c r="E107" s="283">
        <v>25</v>
      </c>
      <c r="F107" s="283">
        <v>12</v>
      </c>
      <c r="G107" s="283">
        <v>25</v>
      </c>
      <c r="H107" s="283">
        <v>23</v>
      </c>
      <c r="I107" s="283">
        <v>147</v>
      </c>
      <c r="J107" s="283">
        <v>162</v>
      </c>
      <c r="K107" s="283">
        <v>171</v>
      </c>
      <c r="L107" s="283">
        <v>216</v>
      </c>
      <c r="M107" s="283">
        <v>235</v>
      </c>
      <c r="N107" s="283">
        <v>71</v>
      </c>
      <c r="O107" s="283">
        <v>116</v>
      </c>
      <c r="P107" s="283">
        <v>117</v>
      </c>
      <c r="Q107" s="283">
        <v>169</v>
      </c>
      <c r="R107" s="283">
        <v>167</v>
      </c>
      <c r="S107" s="283">
        <v>274</v>
      </c>
      <c r="T107" s="283">
        <v>356</v>
      </c>
      <c r="U107" s="283">
        <v>202</v>
      </c>
      <c r="V107" s="283">
        <v>87</v>
      </c>
      <c r="W107" s="283">
        <v>-28</v>
      </c>
      <c r="X107" s="283">
        <v>145</v>
      </c>
      <c r="Y107" s="283">
        <v>70</v>
      </c>
      <c r="Z107" s="283">
        <v>129</v>
      </c>
      <c r="AA107" s="283">
        <v>117</v>
      </c>
      <c r="AB107" s="283">
        <v>27</v>
      </c>
      <c r="AC107" s="283">
        <v>125</v>
      </c>
      <c r="AD107" s="283">
        <v>207</v>
      </c>
      <c r="AE107" s="283">
        <v>238</v>
      </c>
      <c r="AF107" s="283">
        <v>258</v>
      </c>
      <c r="AG107" s="283">
        <v>228</v>
      </c>
      <c r="AH107" s="283">
        <v>186</v>
      </c>
      <c r="AI107" s="283">
        <v>312</v>
      </c>
      <c r="AJ107" s="283">
        <v>301</v>
      </c>
    </row>
    <row r="108" spans="1:36" ht="15">
      <c r="A108" s="263" t="s">
        <v>418</v>
      </c>
      <c r="B108" s="283">
        <v>31</v>
      </c>
      <c r="C108" s="283">
        <v>5</v>
      </c>
      <c r="D108" s="283">
        <v>11</v>
      </c>
      <c r="E108" s="283">
        <v>9</v>
      </c>
      <c r="F108" s="283">
        <v>31</v>
      </c>
      <c r="G108" s="283">
        <v>70</v>
      </c>
      <c r="H108" s="283">
        <v>129</v>
      </c>
      <c r="I108" s="283">
        <v>254</v>
      </c>
      <c r="J108" s="283">
        <v>170</v>
      </c>
      <c r="K108" s="283">
        <v>132</v>
      </c>
      <c r="L108" s="283">
        <v>125</v>
      </c>
      <c r="M108" s="283">
        <v>22</v>
      </c>
      <c r="N108" s="283">
        <v>92</v>
      </c>
      <c r="O108" s="283">
        <v>77</v>
      </c>
      <c r="P108" s="283">
        <v>177</v>
      </c>
      <c r="Q108" s="283">
        <v>121</v>
      </c>
      <c r="R108" s="283">
        <v>42</v>
      </c>
      <c r="S108" s="283" t="s">
        <v>273</v>
      </c>
      <c r="T108" s="283" t="s">
        <v>273</v>
      </c>
      <c r="U108" s="283" t="s">
        <v>273</v>
      </c>
      <c r="V108" s="283" t="s">
        <v>273</v>
      </c>
      <c r="W108" s="283" t="s">
        <v>273</v>
      </c>
      <c r="X108" s="283" t="s">
        <v>273</v>
      </c>
      <c r="Y108" s="283" t="s">
        <v>273</v>
      </c>
      <c r="Z108" s="283" t="s">
        <v>273</v>
      </c>
      <c r="AA108" s="283" t="s">
        <v>273</v>
      </c>
      <c r="AB108" s="283" t="s">
        <v>273</v>
      </c>
      <c r="AC108" s="283" t="s">
        <v>273</v>
      </c>
      <c r="AD108" s="283" t="s">
        <v>273</v>
      </c>
      <c r="AE108" s="283" t="s">
        <v>273</v>
      </c>
      <c r="AF108" s="283" t="s">
        <v>273</v>
      </c>
      <c r="AG108" s="283" t="s">
        <v>273</v>
      </c>
      <c r="AH108" s="283" t="s">
        <v>273</v>
      </c>
      <c r="AI108" s="283" t="s">
        <v>273</v>
      </c>
      <c r="AJ108" s="283" t="s">
        <v>273</v>
      </c>
    </row>
    <row r="109" spans="1:36" ht="15">
      <c r="A109" s="263" t="s">
        <v>1017</v>
      </c>
      <c r="B109" s="283">
        <v>-1800</v>
      </c>
      <c r="C109" s="283">
        <v>-3189</v>
      </c>
      <c r="D109" s="283">
        <v>-3306</v>
      </c>
      <c r="E109" s="283">
        <v>-3134</v>
      </c>
      <c r="F109" s="283">
        <v>-2708</v>
      </c>
      <c r="G109" s="283">
        <v>-2176</v>
      </c>
      <c r="H109" s="283">
        <v>-1908</v>
      </c>
      <c r="I109" s="283">
        <v>-1309</v>
      </c>
      <c r="J109" s="283">
        <v>-932</v>
      </c>
      <c r="K109" s="283">
        <v>-888</v>
      </c>
      <c r="L109" s="283">
        <v>-417</v>
      </c>
      <c r="M109" s="283">
        <v>-387</v>
      </c>
      <c r="N109" s="283">
        <v>461</v>
      </c>
      <c r="O109" s="283">
        <v>295</v>
      </c>
      <c r="P109" s="283">
        <v>286</v>
      </c>
      <c r="Q109" s="283">
        <v>201</v>
      </c>
      <c r="R109" s="283">
        <v>78</v>
      </c>
      <c r="S109" s="302" t="s">
        <v>273</v>
      </c>
      <c r="T109" s="302" t="s">
        <v>273</v>
      </c>
      <c r="U109" s="302" t="s">
        <v>273</v>
      </c>
      <c r="V109" s="302" t="s">
        <v>273</v>
      </c>
      <c r="W109" s="302" t="s">
        <v>273</v>
      </c>
      <c r="X109" s="302" t="s">
        <v>273</v>
      </c>
      <c r="Y109" s="302" t="s">
        <v>273</v>
      </c>
      <c r="Z109" s="302" t="s">
        <v>273</v>
      </c>
      <c r="AA109" s="302" t="s">
        <v>273</v>
      </c>
      <c r="AB109" s="302" t="s">
        <v>273</v>
      </c>
      <c r="AC109" s="302" t="s">
        <v>273</v>
      </c>
      <c r="AD109" s="302" t="s">
        <v>273</v>
      </c>
      <c r="AE109" s="302" t="s">
        <v>273</v>
      </c>
      <c r="AF109" s="302" t="s">
        <v>273</v>
      </c>
      <c r="AG109" s="302" t="s">
        <v>273</v>
      </c>
      <c r="AH109" s="302" t="s">
        <v>273</v>
      </c>
      <c r="AI109" s="302" t="s">
        <v>273</v>
      </c>
      <c r="AJ109" s="302" t="s">
        <v>273</v>
      </c>
    </row>
    <row r="110" spans="1:36" ht="15">
      <c r="A110" s="263" t="s">
        <v>416</v>
      </c>
      <c r="B110" s="283">
        <v>83</v>
      </c>
      <c r="C110" s="283">
        <v>72</v>
      </c>
      <c r="D110" s="283">
        <v>62</v>
      </c>
      <c r="E110" s="283">
        <v>212</v>
      </c>
      <c r="F110" s="283">
        <v>78</v>
      </c>
      <c r="G110" s="283">
        <v>49</v>
      </c>
      <c r="H110" s="283">
        <v>57</v>
      </c>
      <c r="I110" s="283">
        <v>75</v>
      </c>
      <c r="J110" s="283">
        <v>105</v>
      </c>
      <c r="K110" s="283">
        <v>130</v>
      </c>
      <c r="L110" s="283">
        <v>161</v>
      </c>
      <c r="M110" s="283">
        <v>66</v>
      </c>
      <c r="N110" s="283">
        <v>44</v>
      </c>
      <c r="O110" s="283">
        <v>139</v>
      </c>
      <c r="P110" s="283">
        <v>181</v>
      </c>
      <c r="Q110" s="283">
        <v>127</v>
      </c>
      <c r="R110" s="283">
        <v>56</v>
      </c>
      <c r="S110" s="283" t="s">
        <v>273</v>
      </c>
      <c r="T110" s="283" t="s">
        <v>273</v>
      </c>
      <c r="U110" s="283" t="s">
        <v>273</v>
      </c>
      <c r="V110" s="283" t="s">
        <v>273</v>
      </c>
      <c r="W110" s="283" t="s">
        <v>273</v>
      </c>
      <c r="X110" s="283" t="s">
        <v>273</v>
      </c>
      <c r="Y110" s="283" t="s">
        <v>273</v>
      </c>
      <c r="Z110" s="283" t="s">
        <v>273</v>
      </c>
      <c r="AA110" s="283" t="s">
        <v>273</v>
      </c>
      <c r="AB110" s="283" t="s">
        <v>273</v>
      </c>
      <c r="AC110" s="283" t="s">
        <v>273</v>
      </c>
      <c r="AD110" s="283" t="s">
        <v>273</v>
      </c>
      <c r="AE110" s="283" t="s">
        <v>273</v>
      </c>
      <c r="AF110" s="283" t="s">
        <v>273</v>
      </c>
      <c r="AG110" s="283" t="s">
        <v>273</v>
      </c>
      <c r="AH110" s="283" t="s">
        <v>273</v>
      </c>
      <c r="AI110" s="283" t="s">
        <v>273</v>
      </c>
      <c r="AJ110" s="283" t="s">
        <v>273</v>
      </c>
    </row>
    <row r="111" spans="1:36" ht="15">
      <c r="A111" s="263" t="s">
        <v>1018</v>
      </c>
      <c r="B111" s="283">
        <v>1214</v>
      </c>
      <c r="C111" s="283">
        <v>1107</v>
      </c>
      <c r="D111" s="283">
        <v>949</v>
      </c>
      <c r="E111" s="283">
        <v>890</v>
      </c>
      <c r="F111" s="283">
        <v>714</v>
      </c>
      <c r="G111" s="283">
        <v>479</v>
      </c>
      <c r="H111" s="283">
        <v>1045</v>
      </c>
      <c r="I111" s="283">
        <v>701</v>
      </c>
      <c r="J111" s="283">
        <v>789</v>
      </c>
      <c r="K111" s="283">
        <v>1073</v>
      </c>
      <c r="L111" s="283">
        <v>946</v>
      </c>
      <c r="M111" s="283">
        <v>499</v>
      </c>
      <c r="N111" s="283">
        <v>797</v>
      </c>
      <c r="O111" s="283">
        <v>1034</v>
      </c>
      <c r="P111" s="283">
        <v>683</v>
      </c>
      <c r="Q111" s="283">
        <v>1650</v>
      </c>
      <c r="R111" s="283">
        <v>1909</v>
      </c>
      <c r="S111" s="283">
        <v>2466</v>
      </c>
      <c r="T111" s="283">
        <v>1606</v>
      </c>
      <c r="U111" s="283">
        <v>3719</v>
      </c>
      <c r="V111" s="283">
        <v>4161</v>
      </c>
      <c r="W111" s="283">
        <v>5388</v>
      </c>
      <c r="X111" s="283">
        <v>7322</v>
      </c>
      <c r="Y111" s="283">
        <v>9239</v>
      </c>
      <c r="Z111" s="283">
        <v>5112</v>
      </c>
      <c r="AA111" s="283">
        <v>10431</v>
      </c>
      <c r="AB111" s="283">
        <v>13289</v>
      </c>
      <c r="AC111" s="283">
        <v>16380</v>
      </c>
      <c r="AD111" s="283">
        <v>19967</v>
      </c>
      <c r="AE111" s="283">
        <v>19863</v>
      </c>
      <c r="AF111" s="283">
        <v>23113</v>
      </c>
      <c r="AG111" s="283">
        <v>19398</v>
      </c>
      <c r="AH111" s="283">
        <v>22782</v>
      </c>
      <c r="AI111" s="283">
        <v>23312</v>
      </c>
      <c r="AJ111" s="283">
        <v>27784</v>
      </c>
    </row>
    <row r="112" spans="1:36" ht="15">
      <c r="A112" s="263" t="s">
        <v>67</v>
      </c>
      <c r="B112" s="283" t="s">
        <v>306</v>
      </c>
      <c r="C112" s="283">
        <v>21</v>
      </c>
      <c r="D112" s="283">
        <v>9</v>
      </c>
      <c r="E112" s="283">
        <v>12</v>
      </c>
      <c r="F112" s="283">
        <v>15</v>
      </c>
      <c r="G112" s="283">
        <v>22</v>
      </c>
      <c r="H112" s="283">
        <v>20</v>
      </c>
      <c r="I112" s="283">
        <v>55</v>
      </c>
      <c r="J112" s="283">
        <v>56</v>
      </c>
      <c r="K112" s="283">
        <v>20</v>
      </c>
      <c r="L112" s="283">
        <v>32</v>
      </c>
      <c r="M112" s="283">
        <v>32</v>
      </c>
      <c r="N112" s="283">
        <v>61</v>
      </c>
      <c r="O112" s="283">
        <v>129</v>
      </c>
      <c r="P112" s="283">
        <v>59</v>
      </c>
      <c r="Q112" s="283">
        <v>62</v>
      </c>
      <c r="R112" s="283">
        <v>110</v>
      </c>
      <c r="S112" s="283">
        <v>770</v>
      </c>
      <c r="T112" s="283">
        <v>815</v>
      </c>
      <c r="U112" s="283">
        <v>1464</v>
      </c>
      <c r="V112" s="283">
        <v>1036</v>
      </c>
      <c r="W112" s="283">
        <v>1087</v>
      </c>
      <c r="X112" s="283">
        <v>3764</v>
      </c>
      <c r="Y112" s="283">
        <v>6043</v>
      </c>
      <c r="Z112" s="283">
        <v>7274</v>
      </c>
      <c r="AA112" s="283">
        <v>6512</v>
      </c>
      <c r="AB112" s="283">
        <v>10563</v>
      </c>
      <c r="AC112" s="283">
        <v>4798</v>
      </c>
      <c r="AD112" s="283">
        <v>5616</v>
      </c>
      <c r="AE112" s="283">
        <v>5066</v>
      </c>
      <c r="AF112" s="283">
        <v>2999</v>
      </c>
      <c r="AG112" s="283">
        <v>3859</v>
      </c>
      <c r="AH112" s="283">
        <v>4900</v>
      </c>
      <c r="AI112" s="283">
        <v>2750</v>
      </c>
      <c r="AJ112" s="283">
        <v>1240</v>
      </c>
    </row>
    <row r="113" spans="1:36" ht="15">
      <c r="A113" s="263" t="s">
        <v>414</v>
      </c>
      <c r="B113" s="283" t="s">
        <v>273</v>
      </c>
      <c r="C113" s="283" t="s">
        <v>273</v>
      </c>
      <c r="D113" s="283" t="s">
        <v>273</v>
      </c>
      <c r="E113" s="283" t="s">
        <v>273</v>
      </c>
      <c r="F113" s="283" t="s">
        <v>273</v>
      </c>
      <c r="G113" s="283" t="s">
        <v>273</v>
      </c>
      <c r="H113" s="283" t="s">
        <v>273</v>
      </c>
      <c r="I113" s="283" t="s">
        <v>273</v>
      </c>
      <c r="J113" s="283" t="s">
        <v>273</v>
      </c>
      <c r="K113" s="283" t="s">
        <v>273</v>
      </c>
      <c r="L113" s="283" t="s">
        <v>273</v>
      </c>
      <c r="M113" s="283" t="s">
        <v>273</v>
      </c>
      <c r="N113" s="283" t="s">
        <v>273</v>
      </c>
      <c r="O113" s="283" t="s">
        <v>273</v>
      </c>
      <c r="P113" s="283" t="s">
        <v>273</v>
      </c>
      <c r="Q113" s="283" t="s">
        <v>273</v>
      </c>
      <c r="R113" s="283" t="s">
        <v>273</v>
      </c>
      <c r="S113" s="283">
        <v>-2</v>
      </c>
      <c r="T113" s="283">
        <v>-2</v>
      </c>
      <c r="U113" s="283">
        <v>-2</v>
      </c>
      <c r="V113" s="283">
        <v>-2</v>
      </c>
      <c r="W113" s="283">
        <v>-2</v>
      </c>
      <c r="X113" s="283" t="s">
        <v>306</v>
      </c>
      <c r="Y113" s="283" t="s">
        <v>306</v>
      </c>
      <c r="Z113" s="283" t="s">
        <v>306</v>
      </c>
      <c r="AA113" s="283" t="s">
        <v>306</v>
      </c>
      <c r="AB113" s="283" t="s">
        <v>306</v>
      </c>
      <c r="AC113" s="283" t="s">
        <v>306</v>
      </c>
      <c r="AD113" s="283" t="s">
        <v>306</v>
      </c>
      <c r="AE113" s="283">
        <v>2</v>
      </c>
      <c r="AF113" s="283" t="s">
        <v>291</v>
      </c>
      <c r="AG113" s="283">
        <v>5</v>
      </c>
      <c r="AH113" s="283">
        <v>5</v>
      </c>
      <c r="AI113" s="283" t="s">
        <v>291</v>
      </c>
      <c r="AJ113" s="283" t="s">
        <v>291</v>
      </c>
    </row>
    <row r="114" spans="1:36" ht="15">
      <c r="A114" s="263" t="s">
        <v>413</v>
      </c>
      <c r="B114" s="283">
        <v>1</v>
      </c>
      <c r="C114" s="283">
        <v>1</v>
      </c>
      <c r="D114" s="283">
        <v>1</v>
      </c>
      <c r="E114" s="283">
        <v>1</v>
      </c>
      <c r="F114" s="283">
        <v>1</v>
      </c>
      <c r="G114" s="283">
        <v>1</v>
      </c>
      <c r="H114" s="283" t="s">
        <v>306</v>
      </c>
      <c r="I114" s="283" t="s">
        <v>306</v>
      </c>
      <c r="J114" s="283">
        <v>1</v>
      </c>
      <c r="K114" s="283">
        <v>1</v>
      </c>
      <c r="L114" s="283">
        <v>1</v>
      </c>
      <c r="M114" s="283">
        <v>1</v>
      </c>
      <c r="N114" s="283" t="s">
        <v>306</v>
      </c>
      <c r="O114" s="283" t="s">
        <v>306</v>
      </c>
      <c r="P114" s="283" t="s">
        <v>306</v>
      </c>
      <c r="Q114" s="283" t="s">
        <v>306</v>
      </c>
      <c r="R114" s="283" t="s">
        <v>306</v>
      </c>
      <c r="S114" s="283">
        <v>7</v>
      </c>
      <c r="T114" s="283">
        <v>12</v>
      </c>
      <c r="U114" s="283">
        <v>26</v>
      </c>
      <c r="V114" s="283">
        <v>8</v>
      </c>
      <c r="W114" s="283" t="s">
        <v>306</v>
      </c>
      <c r="X114" s="283" t="s">
        <v>291</v>
      </c>
      <c r="Y114" s="283">
        <v>5</v>
      </c>
      <c r="Z114" s="283">
        <v>6</v>
      </c>
      <c r="AA114" s="283">
        <v>5</v>
      </c>
      <c r="AB114" s="283">
        <v>5</v>
      </c>
      <c r="AC114" s="283" t="s">
        <v>306</v>
      </c>
      <c r="AD114" s="283" t="s">
        <v>306</v>
      </c>
      <c r="AE114" s="283" t="s">
        <v>306</v>
      </c>
      <c r="AF114" s="283" t="s">
        <v>306</v>
      </c>
      <c r="AG114" s="283" t="s">
        <v>306</v>
      </c>
      <c r="AH114" s="283" t="s">
        <v>306</v>
      </c>
      <c r="AI114" s="283" t="s">
        <v>306</v>
      </c>
      <c r="AJ114" s="283" t="s">
        <v>306</v>
      </c>
    </row>
    <row r="115" spans="1:36" ht="15">
      <c r="A115" s="263" t="s">
        <v>412</v>
      </c>
      <c r="B115" s="283" t="s">
        <v>516</v>
      </c>
      <c r="C115" s="283" t="s">
        <v>516</v>
      </c>
      <c r="D115" s="283" t="s">
        <v>516</v>
      </c>
      <c r="E115" s="283" t="s">
        <v>516</v>
      </c>
      <c r="F115" s="283" t="s">
        <v>516</v>
      </c>
      <c r="G115" s="283">
        <v>1</v>
      </c>
      <c r="H115" s="283">
        <v>1</v>
      </c>
      <c r="I115" s="283" t="s">
        <v>291</v>
      </c>
      <c r="J115" s="283" t="s">
        <v>291</v>
      </c>
      <c r="K115" s="283" t="s">
        <v>291</v>
      </c>
      <c r="L115" s="283" t="s">
        <v>291</v>
      </c>
      <c r="M115" s="283">
        <v>9</v>
      </c>
      <c r="N115" s="283" t="s">
        <v>291</v>
      </c>
      <c r="O115" s="283" t="s">
        <v>291</v>
      </c>
      <c r="P115" s="283">
        <v>49</v>
      </c>
      <c r="Q115" s="283">
        <v>35</v>
      </c>
      <c r="R115" s="283" t="s">
        <v>291</v>
      </c>
      <c r="S115" s="283">
        <v>48</v>
      </c>
      <c r="T115" s="283">
        <v>21</v>
      </c>
      <c r="U115" s="283">
        <v>-38</v>
      </c>
      <c r="V115" s="283">
        <v>-94</v>
      </c>
      <c r="W115" s="283" t="s">
        <v>291</v>
      </c>
      <c r="X115" s="283">
        <v>-21</v>
      </c>
      <c r="Y115" s="283">
        <v>36</v>
      </c>
      <c r="Z115" s="283">
        <v>38</v>
      </c>
      <c r="AA115" s="283">
        <v>101</v>
      </c>
      <c r="AB115" s="283">
        <v>-29</v>
      </c>
      <c r="AC115" s="283">
        <v>12</v>
      </c>
      <c r="AD115" s="283" t="s">
        <v>291</v>
      </c>
      <c r="AE115" s="283">
        <v>15</v>
      </c>
      <c r="AF115" s="283">
        <v>40</v>
      </c>
      <c r="AG115" s="283">
        <v>-2</v>
      </c>
      <c r="AH115" s="283">
        <v>15</v>
      </c>
      <c r="AI115" s="283">
        <v>-3</v>
      </c>
      <c r="AJ115" s="283">
        <v>-17</v>
      </c>
    </row>
    <row r="116" spans="1:36" ht="15">
      <c r="A116" s="263" t="s">
        <v>411</v>
      </c>
      <c r="B116" s="283" t="s">
        <v>273</v>
      </c>
      <c r="C116" s="283" t="s">
        <v>273</v>
      </c>
      <c r="D116" s="283" t="s">
        <v>273</v>
      </c>
      <c r="E116" s="283" t="s">
        <v>273</v>
      </c>
      <c r="F116" s="283" t="s">
        <v>273</v>
      </c>
      <c r="G116" s="283" t="s">
        <v>273</v>
      </c>
      <c r="H116" s="283" t="s">
        <v>273</v>
      </c>
      <c r="I116" s="283" t="s">
        <v>273</v>
      </c>
      <c r="J116" s="283" t="s">
        <v>273</v>
      </c>
      <c r="K116" s="283" t="s">
        <v>273</v>
      </c>
      <c r="L116" s="283" t="s">
        <v>273</v>
      </c>
      <c r="M116" s="283" t="s">
        <v>273</v>
      </c>
      <c r="N116" s="283" t="s">
        <v>273</v>
      </c>
      <c r="O116" s="283" t="s">
        <v>273</v>
      </c>
      <c r="P116" s="283" t="s">
        <v>273</v>
      </c>
      <c r="Q116" s="283" t="s">
        <v>273</v>
      </c>
      <c r="R116" s="283" t="s">
        <v>273</v>
      </c>
      <c r="S116" s="283">
        <v>302</v>
      </c>
      <c r="T116" s="283">
        <v>142</v>
      </c>
      <c r="U116" s="283">
        <v>708</v>
      </c>
      <c r="V116" s="283">
        <v>532</v>
      </c>
      <c r="W116" s="283">
        <v>1146</v>
      </c>
      <c r="X116" s="283">
        <v>1386</v>
      </c>
      <c r="Y116" s="283">
        <v>1622</v>
      </c>
      <c r="Z116" s="283">
        <v>2278</v>
      </c>
      <c r="AA116" s="283">
        <v>2247</v>
      </c>
      <c r="AB116" s="283">
        <v>2463</v>
      </c>
      <c r="AC116" s="283">
        <v>1693</v>
      </c>
      <c r="AD116" s="283">
        <v>2144</v>
      </c>
      <c r="AE116" s="283">
        <v>1774</v>
      </c>
      <c r="AF116" s="283">
        <v>1982</v>
      </c>
      <c r="AG116" s="283">
        <v>2659</v>
      </c>
      <c r="AH116" s="283">
        <v>4115</v>
      </c>
      <c r="AI116" s="283">
        <v>2288</v>
      </c>
      <c r="AJ116" s="283">
        <v>1342</v>
      </c>
    </row>
    <row r="117" spans="1:36" ht="15">
      <c r="A117" s="263" t="s">
        <v>410</v>
      </c>
      <c r="B117" s="283" t="s">
        <v>291</v>
      </c>
      <c r="C117" s="283" t="s">
        <v>291</v>
      </c>
      <c r="D117" s="283" t="s">
        <v>291</v>
      </c>
      <c r="E117" s="283" t="s">
        <v>291</v>
      </c>
      <c r="F117" s="283" t="s">
        <v>291</v>
      </c>
      <c r="G117" s="283" t="s">
        <v>291</v>
      </c>
      <c r="H117" s="283" t="s">
        <v>291</v>
      </c>
      <c r="I117" s="283" t="s">
        <v>291</v>
      </c>
      <c r="J117" s="283" t="s">
        <v>291</v>
      </c>
      <c r="K117" s="283" t="s">
        <v>291</v>
      </c>
      <c r="L117" s="283" t="s">
        <v>291</v>
      </c>
      <c r="M117" s="283">
        <v>-3</v>
      </c>
      <c r="N117" s="283" t="s">
        <v>291</v>
      </c>
      <c r="O117" s="283" t="s">
        <v>291</v>
      </c>
      <c r="P117" s="283">
        <v>-9</v>
      </c>
      <c r="Q117" s="283">
        <v>-7</v>
      </c>
      <c r="R117" s="283">
        <v>-6</v>
      </c>
      <c r="S117" s="283">
        <v>-7</v>
      </c>
      <c r="T117" s="283">
        <v>-10</v>
      </c>
      <c r="U117" s="283">
        <v>-1</v>
      </c>
      <c r="V117" s="283" t="s">
        <v>306</v>
      </c>
      <c r="W117" s="283" t="s">
        <v>306</v>
      </c>
      <c r="X117" s="283" t="s">
        <v>306</v>
      </c>
      <c r="Y117" s="283" t="s">
        <v>306</v>
      </c>
      <c r="Z117" s="283">
        <v>-1</v>
      </c>
      <c r="AA117" s="283">
        <v>-1</v>
      </c>
      <c r="AB117" s="283">
        <v>-1</v>
      </c>
      <c r="AC117" s="283" t="s">
        <v>306</v>
      </c>
      <c r="AD117" s="283" t="s">
        <v>306</v>
      </c>
      <c r="AE117" s="283" t="s">
        <v>306</v>
      </c>
      <c r="AF117" s="283" t="s">
        <v>306</v>
      </c>
      <c r="AG117" s="283" t="s">
        <v>306</v>
      </c>
      <c r="AH117" s="283" t="s">
        <v>306</v>
      </c>
      <c r="AI117" s="283" t="s">
        <v>306</v>
      </c>
      <c r="AJ117" s="283" t="s">
        <v>306</v>
      </c>
    </row>
    <row r="118" spans="1:36" ht="15">
      <c r="A118" s="263" t="s">
        <v>1019</v>
      </c>
      <c r="B118" s="283" t="s">
        <v>273</v>
      </c>
      <c r="C118" s="283" t="s">
        <v>273</v>
      </c>
      <c r="D118" s="283" t="s">
        <v>273</v>
      </c>
      <c r="E118" s="283" t="s">
        <v>273</v>
      </c>
      <c r="F118" s="283" t="s">
        <v>273</v>
      </c>
      <c r="G118" s="283" t="s">
        <v>273</v>
      </c>
      <c r="H118" s="283" t="s">
        <v>273</v>
      </c>
      <c r="I118" s="283" t="s">
        <v>273</v>
      </c>
      <c r="J118" s="283" t="s">
        <v>273</v>
      </c>
      <c r="K118" s="283" t="s">
        <v>273</v>
      </c>
      <c r="L118" s="283" t="s">
        <v>273</v>
      </c>
      <c r="M118" s="283" t="s">
        <v>273</v>
      </c>
      <c r="N118" s="283" t="s">
        <v>273</v>
      </c>
      <c r="O118" s="283" t="s">
        <v>273</v>
      </c>
      <c r="P118" s="283" t="s">
        <v>273</v>
      </c>
      <c r="Q118" s="283" t="s">
        <v>273</v>
      </c>
      <c r="R118" s="283" t="s">
        <v>273</v>
      </c>
      <c r="S118" s="283" t="s">
        <v>273</v>
      </c>
      <c r="T118" s="283" t="s">
        <v>273</v>
      </c>
      <c r="U118" s="283" t="s">
        <v>273</v>
      </c>
      <c r="V118" s="283" t="s">
        <v>273</v>
      </c>
      <c r="W118" s="283" t="s">
        <v>273</v>
      </c>
      <c r="X118" s="283" t="s">
        <v>273</v>
      </c>
      <c r="Y118" s="283" t="s">
        <v>273</v>
      </c>
      <c r="Z118" s="283" t="s">
        <v>273</v>
      </c>
      <c r="AA118" s="283" t="s">
        <v>273</v>
      </c>
      <c r="AB118" s="283" t="s">
        <v>273</v>
      </c>
      <c r="AC118" s="283" t="s">
        <v>402</v>
      </c>
      <c r="AD118" s="283" t="s">
        <v>402</v>
      </c>
      <c r="AE118" s="283">
        <v>2012</v>
      </c>
      <c r="AF118" s="283">
        <v>18</v>
      </c>
      <c r="AG118" s="283">
        <v>235</v>
      </c>
      <c r="AH118" s="283">
        <v>196</v>
      </c>
      <c r="AI118" s="283">
        <v>57</v>
      </c>
      <c r="AJ118" s="283">
        <v>98</v>
      </c>
    </row>
    <row r="119" spans="1:36" ht="15">
      <c r="A119" s="263" t="s">
        <v>408</v>
      </c>
      <c r="B119" s="283">
        <v>0</v>
      </c>
      <c r="C119" s="283">
        <v>0</v>
      </c>
      <c r="D119" s="283" t="s">
        <v>306</v>
      </c>
      <c r="E119" s="283" t="s">
        <v>306</v>
      </c>
      <c r="F119" s="283" t="s">
        <v>306</v>
      </c>
      <c r="G119" s="283" t="s">
        <v>306</v>
      </c>
      <c r="H119" s="283" t="s">
        <v>306</v>
      </c>
      <c r="I119" s="283" t="s">
        <v>306</v>
      </c>
      <c r="J119" s="283" t="s">
        <v>306</v>
      </c>
      <c r="K119" s="283" t="s">
        <v>306</v>
      </c>
      <c r="L119" s="283" t="s">
        <v>306</v>
      </c>
      <c r="M119" s="283" t="s">
        <v>306</v>
      </c>
      <c r="N119" s="283">
        <v>1</v>
      </c>
      <c r="O119" s="283">
        <v>2</v>
      </c>
      <c r="P119" s="283">
        <v>2</v>
      </c>
      <c r="Q119" s="283">
        <v>3</v>
      </c>
      <c r="R119" s="283">
        <v>5</v>
      </c>
      <c r="S119" s="283">
        <v>5</v>
      </c>
      <c r="T119" s="283">
        <v>4</v>
      </c>
      <c r="U119" s="283">
        <v>3</v>
      </c>
      <c r="V119" s="283">
        <v>3</v>
      </c>
      <c r="W119" s="283">
        <v>4</v>
      </c>
      <c r="X119" s="283" t="s">
        <v>291</v>
      </c>
      <c r="Y119" s="283">
        <v>4</v>
      </c>
      <c r="Z119" s="283">
        <v>6</v>
      </c>
      <c r="AA119" s="283">
        <v>7</v>
      </c>
      <c r="AB119" s="283">
        <v>6</v>
      </c>
      <c r="AC119" s="283" t="s">
        <v>306</v>
      </c>
      <c r="AD119" s="283" t="s">
        <v>306</v>
      </c>
      <c r="AE119" s="283" t="s">
        <v>306</v>
      </c>
      <c r="AF119" s="283" t="s">
        <v>306</v>
      </c>
      <c r="AG119" s="283" t="s">
        <v>306</v>
      </c>
      <c r="AH119" s="283" t="s">
        <v>306</v>
      </c>
      <c r="AI119" s="283" t="s">
        <v>306</v>
      </c>
      <c r="AJ119" s="283" t="s">
        <v>306</v>
      </c>
    </row>
    <row r="120" spans="1:36" ht="15">
      <c r="A120" s="263" t="s">
        <v>407</v>
      </c>
      <c r="B120" s="283">
        <v>-2</v>
      </c>
      <c r="C120" s="283" t="s">
        <v>306</v>
      </c>
      <c r="D120" s="283" t="s">
        <v>306</v>
      </c>
      <c r="E120" s="283">
        <v>1</v>
      </c>
      <c r="F120" s="283">
        <v>4</v>
      </c>
      <c r="G120" s="283">
        <v>5</v>
      </c>
      <c r="H120" s="283">
        <v>5</v>
      </c>
      <c r="I120" s="283">
        <v>8</v>
      </c>
      <c r="J120" s="283">
        <v>12</v>
      </c>
      <c r="K120" s="283">
        <v>13</v>
      </c>
      <c r="L120" s="283">
        <v>13</v>
      </c>
      <c r="M120" s="283">
        <v>13</v>
      </c>
      <c r="N120" s="283">
        <v>19</v>
      </c>
      <c r="O120" s="283">
        <v>25</v>
      </c>
      <c r="P120" s="283">
        <v>11</v>
      </c>
      <c r="Q120" s="283">
        <v>25</v>
      </c>
      <c r="R120" s="283" t="s">
        <v>291</v>
      </c>
      <c r="S120" s="283">
        <v>8</v>
      </c>
      <c r="T120" s="283">
        <v>5</v>
      </c>
      <c r="U120" s="283">
        <v>-10</v>
      </c>
      <c r="V120" s="283">
        <v>-9</v>
      </c>
      <c r="W120" s="283">
        <v>-9</v>
      </c>
      <c r="X120" s="283" t="s">
        <v>291</v>
      </c>
      <c r="Y120" s="283" t="s">
        <v>306</v>
      </c>
      <c r="Z120" s="283">
        <v>15</v>
      </c>
      <c r="AA120" s="283">
        <v>46</v>
      </c>
      <c r="AB120" s="283">
        <v>38</v>
      </c>
      <c r="AC120" s="283" t="s">
        <v>291</v>
      </c>
      <c r="AD120" s="283">
        <v>-183</v>
      </c>
      <c r="AE120" s="283">
        <v>54</v>
      </c>
      <c r="AF120" s="283">
        <v>11</v>
      </c>
      <c r="AG120" s="283">
        <v>6</v>
      </c>
      <c r="AH120" s="283">
        <v>9</v>
      </c>
      <c r="AI120" s="283">
        <v>4</v>
      </c>
      <c r="AJ120" s="283">
        <v>4</v>
      </c>
    </row>
    <row r="121" spans="1:36" ht="15">
      <c r="A121" s="263" t="s">
        <v>406</v>
      </c>
      <c r="B121" s="283">
        <v>0</v>
      </c>
      <c r="C121" s="283">
        <v>0</v>
      </c>
      <c r="D121" s="283">
        <v>0</v>
      </c>
      <c r="E121" s="283">
        <v>0</v>
      </c>
      <c r="F121" s="283">
        <v>0</v>
      </c>
      <c r="G121" s="283">
        <v>0</v>
      </c>
      <c r="H121" s="283">
        <v>0</v>
      </c>
      <c r="I121" s="283" t="s">
        <v>306</v>
      </c>
      <c r="J121" s="283" t="s">
        <v>306</v>
      </c>
      <c r="K121" s="283" t="s">
        <v>306</v>
      </c>
      <c r="L121" s="283" t="s">
        <v>306</v>
      </c>
      <c r="M121" s="283">
        <v>1</v>
      </c>
      <c r="N121" s="283" t="s">
        <v>306</v>
      </c>
      <c r="O121" s="283" t="s">
        <v>306</v>
      </c>
      <c r="P121" s="283" t="s">
        <v>306</v>
      </c>
      <c r="Q121" s="283" t="s">
        <v>306</v>
      </c>
      <c r="R121" s="283" t="s">
        <v>306</v>
      </c>
      <c r="S121" s="283">
        <v>1</v>
      </c>
      <c r="T121" s="283">
        <v>1</v>
      </c>
      <c r="U121" s="283">
        <v>1</v>
      </c>
      <c r="V121" s="283" t="s">
        <v>306</v>
      </c>
      <c r="W121" s="283" t="s">
        <v>306</v>
      </c>
      <c r="X121" s="283" t="s">
        <v>291</v>
      </c>
      <c r="Y121" s="283">
        <v>-3</v>
      </c>
      <c r="Z121" s="283">
        <v>-3</v>
      </c>
      <c r="AA121" s="283">
        <v>0</v>
      </c>
      <c r="AB121" s="283">
        <v>0</v>
      </c>
      <c r="AC121" s="283" t="s">
        <v>306</v>
      </c>
      <c r="AD121" s="283" t="s">
        <v>306</v>
      </c>
      <c r="AE121" s="283" t="s">
        <v>306</v>
      </c>
      <c r="AF121" s="283" t="s">
        <v>306</v>
      </c>
      <c r="AG121" s="283" t="s">
        <v>306</v>
      </c>
      <c r="AH121" s="283" t="s">
        <v>306</v>
      </c>
      <c r="AI121" s="283" t="s">
        <v>306</v>
      </c>
      <c r="AJ121" s="283" t="s">
        <v>306</v>
      </c>
    </row>
    <row r="122" spans="1:36" ht="15">
      <c r="A122" s="263" t="s">
        <v>405</v>
      </c>
      <c r="B122" s="283">
        <v>6</v>
      </c>
      <c r="C122" s="283">
        <v>8</v>
      </c>
      <c r="D122" s="283">
        <v>6</v>
      </c>
      <c r="E122" s="283">
        <v>8</v>
      </c>
      <c r="F122" s="283">
        <v>7</v>
      </c>
      <c r="G122" s="283">
        <v>6</v>
      </c>
      <c r="H122" s="283">
        <v>6</v>
      </c>
      <c r="I122" s="283">
        <v>5</v>
      </c>
      <c r="J122" s="283">
        <v>4</v>
      </c>
      <c r="K122" s="283">
        <v>1</v>
      </c>
      <c r="L122" s="283">
        <v>3</v>
      </c>
      <c r="M122" s="283">
        <v>5</v>
      </c>
      <c r="N122" s="283">
        <v>-1</v>
      </c>
      <c r="O122" s="283">
        <v>6</v>
      </c>
      <c r="P122" s="283">
        <v>3</v>
      </c>
      <c r="Q122" s="283">
        <v>4</v>
      </c>
      <c r="R122" s="283">
        <v>6</v>
      </c>
      <c r="S122" s="283">
        <v>6</v>
      </c>
      <c r="T122" s="283" t="s">
        <v>306</v>
      </c>
      <c r="U122" s="283">
        <v>4</v>
      </c>
      <c r="V122" s="283">
        <v>14</v>
      </c>
      <c r="W122" s="283">
        <v>15</v>
      </c>
      <c r="X122" s="283">
        <v>17</v>
      </c>
      <c r="Y122" s="283">
        <v>22</v>
      </c>
      <c r="Z122" s="283">
        <v>20</v>
      </c>
      <c r="AA122" s="283">
        <v>1</v>
      </c>
      <c r="AB122" s="283">
        <v>1</v>
      </c>
      <c r="AC122" s="283">
        <v>5</v>
      </c>
      <c r="AD122" s="283">
        <v>-4</v>
      </c>
      <c r="AE122" s="283">
        <v>-10</v>
      </c>
      <c r="AF122" s="283">
        <v>-1</v>
      </c>
      <c r="AG122" s="283" t="s">
        <v>306</v>
      </c>
      <c r="AH122" s="283">
        <v>1</v>
      </c>
      <c r="AI122" s="283">
        <v>1</v>
      </c>
      <c r="AJ122" s="283">
        <v>3</v>
      </c>
    </row>
    <row r="123" spans="1:36" ht="15">
      <c r="A123" s="263" t="s">
        <v>404</v>
      </c>
      <c r="B123" s="283" t="s">
        <v>273</v>
      </c>
      <c r="C123" s="283" t="s">
        <v>273</v>
      </c>
      <c r="D123" s="283" t="s">
        <v>273</v>
      </c>
      <c r="E123" s="283" t="s">
        <v>273</v>
      </c>
      <c r="F123" s="283" t="s">
        <v>273</v>
      </c>
      <c r="G123" s="283" t="s">
        <v>273</v>
      </c>
      <c r="H123" s="283" t="s">
        <v>273</v>
      </c>
      <c r="I123" s="283" t="s">
        <v>273</v>
      </c>
      <c r="J123" s="283" t="s">
        <v>273</v>
      </c>
      <c r="K123" s="283" t="s">
        <v>273</v>
      </c>
      <c r="L123" s="283" t="s">
        <v>273</v>
      </c>
      <c r="M123" s="283" t="s">
        <v>273</v>
      </c>
      <c r="N123" s="283" t="s">
        <v>273</v>
      </c>
      <c r="O123" s="283" t="s">
        <v>273</v>
      </c>
      <c r="P123" s="283" t="s">
        <v>273</v>
      </c>
      <c r="Q123" s="283" t="s">
        <v>273</v>
      </c>
      <c r="R123" s="283" t="s">
        <v>273</v>
      </c>
      <c r="S123" s="283">
        <v>113</v>
      </c>
      <c r="T123" s="283">
        <v>68</v>
      </c>
      <c r="U123" s="283">
        <v>60</v>
      </c>
      <c r="V123" s="283">
        <v>68</v>
      </c>
      <c r="W123" s="283">
        <v>59</v>
      </c>
      <c r="X123" s="283" t="s">
        <v>291</v>
      </c>
      <c r="Y123" s="283">
        <v>88</v>
      </c>
      <c r="Z123" s="283">
        <v>91</v>
      </c>
      <c r="AA123" s="283">
        <v>35</v>
      </c>
      <c r="AB123" s="283">
        <v>-21</v>
      </c>
      <c r="AC123" s="283">
        <v>10</v>
      </c>
      <c r="AD123" s="283">
        <v>12</v>
      </c>
      <c r="AE123" s="283">
        <v>3</v>
      </c>
      <c r="AF123" s="283">
        <v>6</v>
      </c>
      <c r="AG123" s="283">
        <v>-4</v>
      </c>
      <c r="AH123" s="283">
        <v>12</v>
      </c>
      <c r="AI123" s="283">
        <v>11</v>
      </c>
      <c r="AJ123" s="283">
        <v>1</v>
      </c>
    </row>
    <row r="124" spans="1:36" ht="15">
      <c r="A124" s="263" t="s">
        <v>1020</v>
      </c>
      <c r="B124" s="283" t="s">
        <v>273</v>
      </c>
      <c r="C124" s="283" t="s">
        <v>273</v>
      </c>
      <c r="D124" s="283" t="s">
        <v>273</v>
      </c>
      <c r="E124" s="283" t="s">
        <v>273</v>
      </c>
      <c r="F124" s="283" t="s">
        <v>273</v>
      </c>
      <c r="G124" s="283" t="s">
        <v>273</v>
      </c>
      <c r="H124" s="283" t="s">
        <v>273</v>
      </c>
      <c r="I124" s="283" t="s">
        <v>273</v>
      </c>
      <c r="J124" s="283" t="s">
        <v>273</v>
      </c>
      <c r="K124" s="283" t="s">
        <v>273</v>
      </c>
      <c r="L124" s="283" t="s">
        <v>273</v>
      </c>
      <c r="M124" s="283" t="s">
        <v>273</v>
      </c>
      <c r="N124" s="283" t="s">
        <v>273</v>
      </c>
      <c r="O124" s="283" t="s">
        <v>273</v>
      </c>
      <c r="P124" s="283" t="s">
        <v>273</v>
      </c>
      <c r="Q124" s="283" t="s">
        <v>273</v>
      </c>
      <c r="R124" s="283" t="s">
        <v>273</v>
      </c>
      <c r="S124" s="283">
        <v>94</v>
      </c>
      <c r="T124" s="283">
        <v>222</v>
      </c>
      <c r="U124" s="283">
        <v>309</v>
      </c>
      <c r="V124" s="283">
        <v>168</v>
      </c>
      <c r="W124" s="261">
        <f t="shared" ref="W124:AB124" si="0">V124</f>
        <v>168</v>
      </c>
      <c r="X124" s="261">
        <f t="shared" si="0"/>
        <v>168</v>
      </c>
      <c r="Y124" s="261">
        <f t="shared" si="0"/>
        <v>168</v>
      </c>
      <c r="Z124" s="261">
        <f t="shared" si="0"/>
        <v>168</v>
      </c>
      <c r="AA124" s="261">
        <f t="shared" si="0"/>
        <v>168</v>
      </c>
      <c r="AB124" s="261">
        <f t="shared" si="0"/>
        <v>168</v>
      </c>
      <c r="AC124" s="283">
        <v>2222</v>
      </c>
      <c r="AD124" s="283">
        <v>2670</v>
      </c>
      <c r="AE124" s="283" t="s">
        <v>402</v>
      </c>
      <c r="AF124" s="283" t="s">
        <v>402</v>
      </c>
      <c r="AG124" s="283" t="s">
        <v>402</v>
      </c>
      <c r="AH124" s="283" t="s">
        <v>402</v>
      </c>
      <c r="AI124" s="283" t="s">
        <v>402</v>
      </c>
      <c r="AJ124" s="283" t="s">
        <v>402</v>
      </c>
    </row>
    <row r="125" spans="1:36" ht="15">
      <c r="A125" s="263" t="s">
        <v>1021</v>
      </c>
      <c r="B125" s="302">
        <f t="shared" ref="B125:Q125" si="1">B109</f>
        <v>-1800</v>
      </c>
      <c r="C125" s="302">
        <f t="shared" si="1"/>
        <v>-3189</v>
      </c>
      <c r="D125" s="302">
        <f t="shared" si="1"/>
        <v>-3306</v>
      </c>
      <c r="E125" s="302">
        <f t="shared" si="1"/>
        <v>-3134</v>
      </c>
      <c r="F125" s="302">
        <f t="shared" si="1"/>
        <v>-2708</v>
      </c>
      <c r="G125" s="302">
        <f t="shared" si="1"/>
        <v>-2176</v>
      </c>
      <c r="H125" s="302">
        <f t="shared" si="1"/>
        <v>-1908</v>
      </c>
      <c r="I125" s="302">
        <f t="shared" si="1"/>
        <v>-1309</v>
      </c>
      <c r="J125" s="302">
        <f t="shared" si="1"/>
        <v>-932</v>
      </c>
      <c r="K125" s="302">
        <f t="shared" si="1"/>
        <v>-888</v>
      </c>
      <c r="L125" s="302">
        <f t="shared" si="1"/>
        <v>-417</v>
      </c>
      <c r="M125" s="302">
        <f t="shared" si="1"/>
        <v>-387</v>
      </c>
      <c r="N125" s="302">
        <f t="shared" si="1"/>
        <v>461</v>
      </c>
      <c r="O125" s="302">
        <f t="shared" si="1"/>
        <v>295</v>
      </c>
      <c r="P125" s="302">
        <f t="shared" si="1"/>
        <v>286</v>
      </c>
      <c r="Q125" s="302">
        <f t="shared" si="1"/>
        <v>201</v>
      </c>
      <c r="R125" s="283">
        <f>R109</f>
        <v>78</v>
      </c>
      <c r="S125" s="302">
        <f t="shared" ref="S125:AC125" si="2">S124</f>
        <v>94</v>
      </c>
      <c r="T125" s="302">
        <f t="shared" si="2"/>
        <v>222</v>
      </c>
      <c r="U125" s="302">
        <f t="shared" si="2"/>
        <v>309</v>
      </c>
      <c r="V125" s="302">
        <f t="shared" si="2"/>
        <v>168</v>
      </c>
      <c r="W125" s="302">
        <f t="shared" si="2"/>
        <v>168</v>
      </c>
      <c r="X125" s="302">
        <f t="shared" si="2"/>
        <v>168</v>
      </c>
      <c r="Y125" s="302">
        <f t="shared" si="2"/>
        <v>168</v>
      </c>
      <c r="Z125" s="302">
        <f t="shared" si="2"/>
        <v>168</v>
      </c>
      <c r="AA125" s="302">
        <f t="shared" si="2"/>
        <v>168</v>
      </c>
      <c r="AB125" s="302">
        <f t="shared" si="2"/>
        <v>168</v>
      </c>
      <c r="AC125" s="302">
        <f t="shared" si="2"/>
        <v>2222</v>
      </c>
      <c r="AD125" s="283">
        <f>AD124</f>
        <v>2670</v>
      </c>
      <c r="AE125" s="261">
        <f>AF125</f>
        <v>15</v>
      </c>
      <c r="AF125" s="283">
        <v>15</v>
      </c>
      <c r="AG125" s="261">
        <f>AF125</f>
        <v>15</v>
      </c>
      <c r="AH125" s="261">
        <f>AG125</f>
        <v>15</v>
      </c>
      <c r="AI125" s="261">
        <f>AH125</f>
        <v>15</v>
      </c>
      <c r="AJ125" s="261">
        <f>AI125</f>
        <v>15</v>
      </c>
    </row>
    <row r="126" spans="1:36" ht="15">
      <c r="A126" s="263" t="s">
        <v>1022</v>
      </c>
      <c r="B126" s="283" t="s">
        <v>273</v>
      </c>
      <c r="C126" s="283" t="s">
        <v>273</v>
      </c>
      <c r="D126" s="283" t="s">
        <v>273</v>
      </c>
      <c r="E126" s="283" t="s">
        <v>273</v>
      </c>
      <c r="F126" s="283" t="s">
        <v>273</v>
      </c>
      <c r="G126" s="283" t="s">
        <v>273</v>
      </c>
      <c r="H126" s="283" t="s">
        <v>273</v>
      </c>
      <c r="I126" s="283" t="s">
        <v>273</v>
      </c>
      <c r="J126" s="283" t="s">
        <v>273</v>
      </c>
      <c r="K126" s="283" t="s">
        <v>273</v>
      </c>
      <c r="L126" s="283" t="s">
        <v>273</v>
      </c>
      <c r="M126" s="283" t="s">
        <v>273</v>
      </c>
      <c r="N126" s="283" t="s">
        <v>273</v>
      </c>
      <c r="O126" s="283" t="s">
        <v>273</v>
      </c>
      <c r="P126" s="283" t="s">
        <v>273</v>
      </c>
      <c r="Q126" s="283" t="s">
        <v>273</v>
      </c>
      <c r="R126" s="283" t="s">
        <v>273</v>
      </c>
      <c r="S126" s="283" t="s">
        <v>273</v>
      </c>
      <c r="T126" s="283" t="s">
        <v>273</v>
      </c>
      <c r="U126" s="283" t="s">
        <v>273</v>
      </c>
      <c r="V126" s="283" t="s">
        <v>273</v>
      </c>
      <c r="W126" s="283" t="s">
        <v>273</v>
      </c>
      <c r="X126" s="283" t="s">
        <v>273</v>
      </c>
      <c r="Y126" s="283" t="s">
        <v>273</v>
      </c>
      <c r="Z126" s="283" t="s">
        <v>273</v>
      </c>
      <c r="AA126" s="283" t="s">
        <v>273</v>
      </c>
      <c r="AB126" s="283" t="s">
        <v>273</v>
      </c>
      <c r="AC126" s="283" t="s">
        <v>402</v>
      </c>
      <c r="AD126" s="283" t="s">
        <v>402</v>
      </c>
      <c r="AE126" s="283">
        <v>-44</v>
      </c>
      <c r="AF126" s="283">
        <v>-46</v>
      </c>
      <c r="AG126" s="283" t="s">
        <v>291</v>
      </c>
      <c r="AH126" s="283" t="s">
        <v>291</v>
      </c>
      <c r="AI126" s="283" t="s">
        <v>291</v>
      </c>
      <c r="AJ126" s="283" t="s">
        <v>291</v>
      </c>
    </row>
    <row r="127" spans="1:36" ht="15">
      <c r="A127" s="263" t="s">
        <v>399</v>
      </c>
      <c r="B127" s="283">
        <v>0</v>
      </c>
      <c r="C127" s="283" t="s">
        <v>306</v>
      </c>
      <c r="D127" s="283">
        <v>0</v>
      </c>
      <c r="E127" s="283">
        <v>0</v>
      </c>
      <c r="F127" s="283">
        <v>0</v>
      </c>
      <c r="G127" s="283" t="s">
        <v>306</v>
      </c>
      <c r="H127" s="283" t="s">
        <v>306</v>
      </c>
      <c r="I127" s="283" t="s">
        <v>306</v>
      </c>
      <c r="J127" s="283">
        <v>-1</v>
      </c>
      <c r="K127" s="283" t="s">
        <v>306</v>
      </c>
      <c r="L127" s="283" t="s">
        <v>306</v>
      </c>
      <c r="M127" s="283" t="s">
        <v>306</v>
      </c>
      <c r="N127" s="283" t="s">
        <v>306</v>
      </c>
      <c r="O127" s="283" t="s">
        <v>306</v>
      </c>
      <c r="P127" s="283" t="s">
        <v>306</v>
      </c>
      <c r="Q127" s="283" t="s">
        <v>306</v>
      </c>
      <c r="R127" s="283" t="s">
        <v>306</v>
      </c>
      <c r="S127" s="283">
        <v>-1</v>
      </c>
      <c r="T127" s="283">
        <v>-1</v>
      </c>
      <c r="U127" s="283">
        <v>-1</v>
      </c>
      <c r="V127" s="283" t="s">
        <v>306</v>
      </c>
      <c r="W127" s="283" t="s">
        <v>306</v>
      </c>
      <c r="X127" s="283" t="s">
        <v>306</v>
      </c>
      <c r="Y127" s="283">
        <v>14</v>
      </c>
      <c r="Z127" s="283">
        <v>35</v>
      </c>
      <c r="AA127" s="283" t="s">
        <v>306</v>
      </c>
      <c r="AB127" s="283" t="s">
        <v>306</v>
      </c>
      <c r="AC127" s="283">
        <v>-1</v>
      </c>
      <c r="AD127" s="283">
        <v>-1</v>
      </c>
      <c r="AE127" s="283">
        <v>-1</v>
      </c>
      <c r="AF127" s="283">
        <v>-1</v>
      </c>
      <c r="AG127" s="283">
        <v>-1</v>
      </c>
      <c r="AH127" s="283">
        <v>-1</v>
      </c>
      <c r="AI127" s="283">
        <v>-1</v>
      </c>
      <c r="AJ127" s="283">
        <v>-1</v>
      </c>
    </row>
    <row r="128" spans="1:36" ht="15">
      <c r="A128" s="263" t="s">
        <v>398</v>
      </c>
      <c r="B128" s="283" t="s">
        <v>291</v>
      </c>
      <c r="C128" s="283" t="s">
        <v>291</v>
      </c>
      <c r="D128" s="283" t="s">
        <v>291</v>
      </c>
      <c r="E128" s="283" t="s">
        <v>291</v>
      </c>
      <c r="F128" s="283" t="s">
        <v>291</v>
      </c>
      <c r="G128" s="283" t="s">
        <v>291</v>
      </c>
      <c r="H128" s="283" t="s">
        <v>291</v>
      </c>
      <c r="I128" s="283">
        <v>7</v>
      </c>
      <c r="J128" s="283">
        <v>8</v>
      </c>
      <c r="K128" s="283">
        <v>3</v>
      </c>
      <c r="L128" s="283">
        <v>4</v>
      </c>
      <c r="M128" s="283">
        <v>6</v>
      </c>
      <c r="N128" s="283">
        <v>7</v>
      </c>
      <c r="O128" s="283">
        <v>4</v>
      </c>
      <c r="P128" s="283">
        <v>1</v>
      </c>
      <c r="Q128" s="283">
        <v>2</v>
      </c>
      <c r="R128" s="283">
        <v>2</v>
      </c>
      <c r="S128" s="283">
        <v>1</v>
      </c>
      <c r="T128" s="283">
        <v>2</v>
      </c>
      <c r="U128" s="283">
        <v>9</v>
      </c>
      <c r="V128" s="283">
        <v>10</v>
      </c>
      <c r="W128" s="283">
        <v>5</v>
      </c>
      <c r="X128" s="283" t="s">
        <v>291</v>
      </c>
      <c r="Y128" s="283">
        <v>28</v>
      </c>
      <c r="Z128" s="283">
        <v>41</v>
      </c>
      <c r="AA128" s="283">
        <v>47</v>
      </c>
      <c r="AB128" s="283">
        <v>44</v>
      </c>
      <c r="AC128" s="283" t="s">
        <v>291</v>
      </c>
      <c r="AD128" s="283" t="s">
        <v>291</v>
      </c>
      <c r="AE128" s="283" t="s">
        <v>291</v>
      </c>
      <c r="AF128" s="283" t="s">
        <v>291</v>
      </c>
      <c r="AG128" s="283" t="s">
        <v>291</v>
      </c>
      <c r="AH128" s="283" t="s">
        <v>291</v>
      </c>
      <c r="AI128" s="283" t="s">
        <v>291</v>
      </c>
      <c r="AJ128" s="283" t="s">
        <v>291</v>
      </c>
    </row>
    <row r="129" spans="1:36" s="260" customFormat="1" ht="15">
      <c r="A129" s="263" t="s">
        <v>1023</v>
      </c>
      <c r="B129" s="283" t="s">
        <v>273</v>
      </c>
      <c r="C129" s="283" t="s">
        <v>273</v>
      </c>
      <c r="D129" s="283" t="s">
        <v>273</v>
      </c>
      <c r="E129" s="283" t="s">
        <v>273</v>
      </c>
      <c r="F129" s="283" t="s">
        <v>273</v>
      </c>
      <c r="G129" s="283" t="s">
        <v>273</v>
      </c>
      <c r="H129" s="283" t="s">
        <v>273</v>
      </c>
      <c r="I129" s="283" t="s">
        <v>273</v>
      </c>
      <c r="J129" s="283" t="s">
        <v>273</v>
      </c>
      <c r="K129" s="283" t="s">
        <v>273</v>
      </c>
      <c r="L129" s="283" t="s">
        <v>273</v>
      </c>
      <c r="M129" s="283" t="s">
        <v>273</v>
      </c>
      <c r="N129" s="283" t="s">
        <v>273</v>
      </c>
      <c r="O129" s="283" t="s">
        <v>273</v>
      </c>
      <c r="P129" s="283" t="s">
        <v>273</v>
      </c>
      <c r="Q129" s="283" t="s">
        <v>273</v>
      </c>
      <c r="R129" s="283" t="s">
        <v>273</v>
      </c>
      <c r="S129" s="283" t="s">
        <v>273</v>
      </c>
      <c r="T129" s="283" t="s">
        <v>273</v>
      </c>
      <c r="U129" s="283" t="s">
        <v>273</v>
      </c>
      <c r="V129" s="283" t="s">
        <v>273</v>
      </c>
      <c r="W129" s="283" t="s">
        <v>273</v>
      </c>
      <c r="X129" s="283" t="s">
        <v>273</v>
      </c>
      <c r="Y129" s="283" t="s">
        <v>273</v>
      </c>
      <c r="Z129" s="283" t="s">
        <v>273</v>
      </c>
      <c r="AA129" s="283" t="s">
        <v>273</v>
      </c>
      <c r="AB129" s="283" t="s">
        <v>273</v>
      </c>
      <c r="AC129" s="283" t="s">
        <v>273</v>
      </c>
      <c r="AD129" s="283" t="s">
        <v>273</v>
      </c>
      <c r="AE129" s="283" t="s">
        <v>273</v>
      </c>
      <c r="AF129" s="283" t="s">
        <v>273</v>
      </c>
      <c r="AG129" s="283" t="s">
        <v>273</v>
      </c>
      <c r="AH129" s="283">
        <v>0</v>
      </c>
      <c r="AI129" s="283">
        <v>0</v>
      </c>
      <c r="AJ129" s="283">
        <v>0</v>
      </c>
    </row>
    <row r="130" spans="1:36" ht="15">
      <c r="A130" s="263" t="s">
        <v>397</v>
      </c>
      <c r="B130" s="283">
        <v>0</v>
      </c>
      <c r="C130" s="283">
        <v>0</v>
      </c>
      <c r="D130" s="283" t="s">
        <v>306</v>
      </c>
      <c r="E130" s="283" t="s">
        <v>306</v>
      </c>
      <c r="F130" s="283" t="s">
        <v>306</v>
      </c>
      <c r="G130" s="283" t="s">
        <v>306</v>
      </c>
      <c r="H130" s="283" t="s">
        <v>306</v>
      </c>
      <c r="I130" s="283" t="s">
        <v>306</v>
      </c>
      <c r="J130" s="283" t="s">
        <v>306</v>
      </c>
      <c r="K130" s="283" t="s">
        <v>306</v>
      </c>
      <c r="L130" s="283">
        <v>1</v>
      </c>
      <c r="M130" s="283">
        <v>1</v>
      </c>
      <c r="N130" s="283" t="s">
        <v>306</v>
      </c>
      <c r="O130" s="283" t="s">
        <v>306</v>
      </c>
      <c r="P130" s="283" t="s">
        <v>306</v>
      </c>
      <c r="Q130" s="283" t="s">
        <v>306</v>
      </c>
      <c r="R130" s="283" t="s">
        <v>306</v>
      </c>
      <c r="S130" s="283">
        <v>1</v>
      </c>
      <c r="T130" s="283">
        <v>1</v>
      </c>
      <c r="U130" s="283">
        <v>1</v>
      </c>
      <c r="V130" s="283">
        <v>1</v>
      </c>
      <c r="W130" s="283">
        <v>1</v>
      </c>
      <c r="X130" s="283">
        <v>-3</v>
      </c>
      <c r="Y130" s="283">
        <v>-3</v>
      </c>
      <c r="Z130" s="283">
        <v>-3</v>
      </c>
      <c r="AA130" s="283">
        <v>0</v>
      </c>
      <c r="AB130" s="283">
        <v>0</v>
      </c>
      <c r="AC130" s="283" t="s">
        <v>306</v>
      </c>
      <c r="AD130" s="283" t="s">
        <v>306</v>
      </c>
      <c r="AE130" s="283" t="s">
        <v>306</v>
      </c>
      <c r="AF130" s="283" t="s">
        <v>306</v>
      </c>
      <c r="AG130" s="283" t="s">
        <v>306</v>
      </c>
      <c r="AH130" s="283" t="s">
        <v>306</v>
      </c>
      <c r="AI130" s="283" t="s">
        <v>306</v>
      </c>
      <c r="AJ130" s="283" t="s">
        <v>306</v>
      </c>
    </row>
    <row r="131" spans="1:36" ht="15">
      <c r="A131" s="263" t="s">
        <v>396</v>
      </c>
      <c r="B131" s="283" t="s">
        <v>273</v>
      </c>
      <c r="C131" s="283" t="s">
        <v>273</v>
      </c>
      <c r="D131" s="283" t="s">
        <v>273</v>
      </c>
      <c r="E131" s="283" t="s">
        <v>273</v>
      </c>
      <c r="F131" s="283" t="s">
        <v>273</v>
      </c>
      <c r="G131" s="283" t="s">
        <v>273</v>
      </c>
      <c r="H131" s="283" t="s">
        <v>273</v>
      </c>
      <c r="I131" s="283" t="s">
        <v>273</v>
      </c>
      <c r="J131" s="283" t="s">
        <v>273</v>
      </c>
      <c r="K131" s="283" t="s">
        <v>273</v>
      </c>
      <c r="L131" s="283" t="s">
        <v>273</v>
      </c>
      <c r="M131" s="283" t="s">
        <v>273</v>
      </c>
      <c r="N131" s="283" t="s">
        <v>273</v>
      </c>
      <c r="O131" s="283" t="s">
        <v>273</v>
      </c>
      <c r="P131" s="283" t="s">
        <v>273</v>
      </c>
      <c r="Q131" s="283" t="s">
        <v>273</v>
      </c>
      <c r="R131" s="283" t="s">
        <v>273</v>
      </c>
      <c r="S131" s="283">
        <v>194</v>
      </c>
      <c r="T131" s="283">
        <v>350</v>
      </c>
      <c r="U131" s="283">
        <v>395</v>
      </c>
      <c r="V131" s="283">
        <v>337</v>
      </c>
      <c r="W131" s="283">
        <v>267</v>
      </c>
      <c r="X131" s="283">
        <v>952</v>
      </c>
      <c r="Y131" s="283" t="s">
        <v>291</v>
      </c>
      <c r="Z131" s="283" t="s">
        <v>291</v>
      </c>
      <c r="AA131" s="283" t="s">
        <v>291</v>
      </c>
      <c r="AB131" s="283" t="s">
        <v>291</v>
      </c>
      <c r="AC131" s="283">
        <v>685</v>
      </c>
      <c r="AD131" s="283">
        <v>945</v>
      </c>
      <c r="AE131" s="283">
        <v>1179</v>
      </c>
      <c r="AF131" s="283">
        <v>656</v>
      </c>
      <c r="AG131" s="283">
        <v>594</v>
      </c>
      <c r="AH131" s="283">
        <v>555</v>
      </c>
      <c r="AI131" s="283">
        <v>101</v>
      </c>
      <c r="AJ131" s="283">
        <v>-210</v>
      </c>
    </row>
    <row r="132" spans="1:36" ht="15">
      <c r="A132" s="263" t="s">
        <v>858</v>
      </c>
      <c r="B132" s="283" t="s">
        <v>273</v>
      </c>
      <c r="C132" s="283" t="s">
        <v>273</v>
      </c>
      <c r="D132" s="283" t="s">
        <v>273</v>
      </c>
      <c r="E132" s="283" t="s">
        <v>273</v>
      </c>
      <c r="F132" s="283" t="s">
        <v>273</v>
      </c>
      <c r="G132" s="283" t="s">
        <v>273</v>
      </c>
      <c r="H132" s="283" t="s">
        <v>273</v>
      </c>
      <c r="I132" s="283" t="s">
        <v>273</v>
      </c>
      <c r="J132" s="283" t="s">
        <v>273</v>
      </c>
      <c r="K132" s="283" t="s">
        <v>273</v>
      </c>
      <c r="L132" s="283" t="s">
        <v>273</v>
      </c>
      <c r="M132" s="283" t="s">
        <v>273</v>
      </c>
      <c r="N132" s="283">
        <v>0</v>
      </c>
      <c r="O132" s="283">
        <v>0</v>
      </c>
      <c r="P132" s="283">
        <v>0</v>
      </c>
      <c r="Q132" s="283">
        <v>0</v>
      </c>
      <c r="R132" s="283">
        <v>0</v>
      </c>
      <c r="S132" s="283" t="s">
        <v>306</v>
      </c>
      <c r="T132" s="283" t="s">
        <v>306</v>
      </c>
      <c r="U132" s="283" t="s">
        <v>306</v>
      </c>
      <c r="V132" s="283" t="s">
        <v>306</v>
      </c>
      <c r="W132" s="283" t="s">
        <v>306</v>
      </c>
      <c r="X132" s="283" t="s">
        <v>306</v>
      </c>
      <c r="Y132" s="283" t="s">
        <v>306</v>
      </c>
      <c r="Z132" s="283">
        <v>3</v>
      </c>
      <c r="AA132" s="283">
        <v>10</v>
      </c>
      <c r="AB132" s="283">
        <v>2</v>
      </c>
      <c r="AC132" s="283">
        <v>-8</v>
      </c>
      <c r="AD132" s="283">
        <v>17</v>
      </c>
      <c r="AE132" s="283">
        <v>-17</v>
      </c>
      <c r="AF132" s="283">
        <v>268</v>
      </c>
      <c r="AG132" s="283" t="s">
        <v>291</v>
      </c>
      <c r="AH132" s="283">
        <v>-49</v>
      </c>
      <c r="AI132" s="283">
        <v>179</v>
      </c>
      <c r="AJ132" s="283">
        <v>-76</v>
      </c>
    </row>
    <row r="133" spans="1:36" ht="15">
      <c r="A133" s="263" t="s">
        <v>394</v>
      </c>
      <c r="B133" s="283">
        <v>784</v>
      </c>
      <c r="C133" s="283">
        <v>1033</v>
      </c>
      <c r="D133" s="283">
        <v>1280</v>
      </c>
      <c r="E133" s="283">
        <v>962</v>
      </c>
      <c r="F133" s="283">
        <v>537</v>
      </c>
      <c r="G133" s="283">
        <v>926</v>
      </c>
      <c r="H133" s="283">
        <v>783</v>
      </c>
      <c r="I133" s="283">
        <v>775</v>
      </c>
      <c r="J133" s="283">
        <v>902</v>
      </c>
      <c r="K133" s="283">
        <v>1143</v>
      </c>
      <c r="L133" s="283">
        <v>1172</v>
      </c>
      <c r="M133" s="283">
        <v>1226</v>
      </c>
      <c r="N133" s="283">
        <v>1297</v>
      </c>
      <c r="O133" s="283">
        <v>1797</v>
      </c>
      <c r="P133" s="283">
        <v>1801</v>
      </c>
      <c r="Q133" s="283">
        <v>1948</v>
      </c>
      <c r="R133" s="283">
        <v>1399</v>
      </c>
      <c r="S133" s="283">
        <v>1803</v>
      </c>
      <c r="T133" s="283">
        <v>2010</v>
      </c>
      <c r="U133" s="283">
        <v>1554</v>
      </c>
      <c r="V133" s="283">
        <v>1895</v>
      </c>
      <c r="W133" s="283">
        <v>3156</v>
      </c>
      <c r="X133" s="283">
        <v>4256</v>
      </c>
      <c r="Y133" s="283">
        <v>5282</v>
      </c>
      <c r="Z133" s="283">
        <v>7208</v>
      </c>
      <c r="AA133" s="283">
        <v>6726</v>
      </c>
      <c r="AB133" s="283">
        <v>8133</v>
      </c>
      <c r="AC133" s="283">
        <v>5297</v>
      </c>
      <c r="AD133" s="283">
        <v>6903</v>
      </c>
      <c r="AE133" s="283">
        <v>8787</v>
      </c>
      <c r="AF133" s="283">
        <v>7584</v>
      </c>
      <c r="AG133" s="283">
        <v>6876</v>
      </c>
      <c r="AH133" s="283">
        <v>5348</v>
      </c>
      <c r="AI133" s="283">
        <v>2094</v>
      </c>
      <c r="AJ133" s="283">
        <v>572</v>
      </c>
    </row>
    <row r="134" spans="1:36" ht="15">
      <c r="A134" s="263" t="s">
        <v>393</v>
      </c>
      <c r="B134" s="283">
        <v>650</v>
      </c>
      <c r="C134" s="283">
        <v>605</v>
      </c>
      <c r="D134" s="283">
        <v>586</v>
      </c>
      <c r="E134" s="283">
        <v>490</v>
      </c>
      <c r="F134" s="283">
        <v>97</v>
      </c>
      <c r="G134" s="283">
        <v>214</v>
      </c>
      <c r="H134" s="283">
        <v>207</v>
      </c>
      <c r="I134" s="283">
        <v>286</v>
      </c>
      <c r="J134" s="283">
        <v>407</v>
      </c>
      <c r="K134" s="283">
        <v>324</v>
      </c>
      <c r="L134" s="283">
        <v>343</v>
      </c>
      <c r="M134" s="283">
        <v>244</v>
      </c>
      <c r="N134" s="283">
        <v>246</v>
      </c>
      <c r="O134" s="283">
        <v>280</v>
      </c>
      <c r="P134" s="283">
        <v>359</v>
      </c>
      <c r="Q134" s="283">
        <v>315</v>
      </c>
      <c r="R134" s="283">
        <v>176</v>
      </c>
      <c r="S134" s="283">
        <v>485</v>
      </c>
      <c r="T134" s="283">
        <v>425</v>
      </c>
      <c r="U134" s="283">
        <v>421</v>
      </c>
      <c r="V134" s="283">
        <v>513</v>
      </c>
      <c r="W134" s="283">
        <v>500</v>
      </c>
      <c r="X134" s="283">
        <v>648</v>
      </c>
      <c r="Y134" s="283">
        <v>952</v>
      </c>
      <c r="Z134" s="283">
        <v>1090</v>
      </c>
      <c r="AA134" s="283">
        <v>1444</v>
      </c>
      <c r="AB134" s="283">
        <v>1759</v>
      </c>
      <c r="AC134" s="283">
        <v>1622</v>
      </c>
      <c r="AD134" s="283">
        <v>1973</v>
      </c>
      <c r="AE134" s="283">
        <v>2509</v>
      </c>
      <c r="AF134" s="283">
        <v>2369</v>
      </c>
      <c r="AG134" s="283">
        <v>1665</v>
      </c>
      <c r="AH134" s="283">
        <v>1130</v>
      </c>
      <c r="AI134" s="283">
        <v>112</v>
      </c>
      <c r="AJ134" s="283">
        <v>241</v>
      </c>
    </row>
    <row r="135" spans="1:36" ht="15">
      <c r="A135" s="263" t="s">
        <v>392</v>
      </c>
      <c r="B135" s="283">
        <v>123</v>
      </c>
      <c r="C135" s="283">
        <v>189</v>
      </c>
      <c r="D135" s="283">
        <v>337</v>
      </c>
      <c r="E135" s="283">
        <v>334</v>
      </c>
      <c r="F135" s="283">
        <v>532</v>
      </c>
      <c r="G135" s="283">
        <v>218</v>
      </c>
      <c r="H135" s="283">
        <v>145</v>
      </c>
      <c r="I135" s="283">
        <v>200</v>
      </c>
      <c r="J135" s="283">
        <v>197</v>
      </c>
      <c r="K135" s="283">
        <v>642</v>
      </c>
      <c r="L135" s="283">
        <v>620</v>
      </c>
      <c r="M135" s="283">
        <v>571</v>
      </c>
      <c r="N135" s="283">
        <v>539</v>
      </c>
      <c r="O135" s="283">
        <v>776</v>
      </c>
      <c r="P135" s="283">
        <v>774</v>
      </c>
      <c r="Q135" s="283">
        <v>779</v>
      </c>
      <c r="R135" s="283">
        <v>514</v>
      </c>
      <c r="S135" s="283">
        <v>639</v>
      </c>
      <c r="T135" s="283">
        <v>723</v>
      </c>
      <c r="U135" s="283">
        <v>317</v>
      </c>
      <c r="V135" s="283">
        <v>388</v>
      </c>
      <c r="W135" s="283">
        <v>528</v>
      </c>
      <c r="X135" s="283">
        <v>647</v>
      </c>
      <c r="Y135" s="283">
        <v>74</v>
      </c>
      <c r="Z135" s="283">
        <v>1596</v>
      </c>
      <c r="AA135" s="283">
        <v>1221</v>
      </c>
      <c r="AB135" s="283">
        <v>1458</v>
      </c>
      <c r="AC135" s="283">
        <v>923</v>
      </c>
      <c r="AD135" s="283">
        <v>1365</v>
      </c>
      <c r="AE135" s="283">
        <v>1450</v>
      </c>
      <c r="AF135" s="283">
        <v>1544</v>
      </c>
      <c r="AG135" s="283">
        <v>1372</v>
      </c>
      <c r="AH135" s="283">
        <v>1106</v>
      </c>
      <c r="AI135" s="283">
        <v>639</v>
      </c>
      <c r="AJ135" s="283">
        <v>254</v>
      </c>
    </row>
    <row r="136" spans="1:36" ht="15">
      <c r="A136" s="263" t="s">
        <v>391</v>
      </c>
      <c r="B136" s="283">
        <v>246</v>
      </c>
      <c r="C136" s="283">
        <v>286</v>
      </c>
      <c r="D136" s="283">
        <v>231</v>
      </c>
      <c r="E136" s="283">
        <v>149</v>
      </c>
      <c r="F136" s="283">
        <v>284</v>
      </c>
      <c r="G136" s="283">
        <v>242</v>
      </c>
      <c r="H136" s="283">
        <v>169</v>
      </c>
      <c r="I136" s="283">
        <v>122</v>
      </c>
      <c r="J136" s="283">
        <v>163</v>
      </c>
      <c r="K136" s="283">
        <v>158</v>
      </c>
      <c r="L136" s="283">
        <v>156</v>
      </c>
      <c r="M136" s="283">
        <v>174</v>
      </c>
      <c r="N136" s="283">
        <v>167</v>
      </c>
      <c r="O136" s="283">
        <v>170</v>
      </c>
      <c r="P136" s="283">
        <v>99</v>
      </c>
      <c r="Q136" s="283">
        <v>244</v>
      </c>
      <c r="R136" s="283">
        <v>334</v>
      </c>
      <c r="S136" s="283">
        <v>187</v>
      </c>
      <c r="T136" s="283">
        <v>74</v>
      </c>
      <c r="U136" s="283">
        <v>23</v>
      </c>
      <c r="V136" s="283">
        <v>87</v>
      </c>
      <c r="W136" s="283">
        <v>479</v>
      </c>
      <c r="X136" s="283">
        <v>661</v>
      </c>
      <c r="Y136" s="283">
        <v>708</v>
      </c>
      <c r="Z136" s="283">
        <v>767</v>
      </c>
      <c r="AA136" s="283">
        <v>953</v>
      </c>
      <c r="AB136" s="283">
        <v>461</v>
      </c>
      <c r="AC136" s="283">
        <v>350</v>
      </c>
      <c r="AD136" s="283">
        <v>781</v>
      </c>
      <c r="AE136" s="283">
        <v>672</v>
      </c>
      <c r="AF136" s="283">
        <v>657</v>
      </c>
      <c r="AG136" s="283">
        <v>570</v>
      </c>
      <c r="AH136" s="283">
        <v>505</v>
      </c>
      <c r="AI136" s="283">
        <v>409</v>
      </c>
      <c r="AJ136" s="283">
        <v>116</v>
      </c>
    </row>
    <row r="137" spans="1:36" ht="15">
      <c r="A137" s="263" t="s">
        <v>236</v>
      </c>
      <c r="B137" s="283">
        <v>-236</v>
      </c>
      <c r="C137" s="283">
        <v>-47</v>
      </c>
      <c r="D137" s="283">
        <v>127</v>
      </c>
      <c r="E137" s="283">
        <v>-11</v>
      </c>
      <c r="F137" s="283">
        <v>-377</v>
      </c>
      <c r="G137" s="283">
        <v>252</v>
      </c>
      <c r="H137" s="283">
        <v>263</v>
      </c>
      <c r="I137" s="283">
        <v>166</v>
      </c>
      <c r="J137" s="283">
        <v>135</v>
      </c>
      <c r="K137" s="283">
        <v>19</v>
      </c>
      <c r="L137" s="283">
        <v>53</v>
      </c>
      <c r="M137" s="283">
        <v>237</v>
      </c>
      <c r="N137" s="283">
        <v>345</v>
      </c>
      <c r="O137" s="283">
        <v>571</v>
      </c>
      <c r="P137" s="283">
        <v>569</v>
      </c>
      <c r="Q137" s="283">
        <v>610</v>
      </c>
      <c r="R137" s="283">
        <v>373</v>
      </c>
      <c r="S137" s="283">
        <v>492</v>
      </c>
      <c r="T137" s="283">
        <v>788</v>
      </c>
      <c r="U137" s="283">
        <v>793</v>
      </c>
      <c r="V137" s="283">
        <v>907</v>
      </c>
      <c r="W137" s="283">
        <v>1649</v>
      </c>
      <c r="X137" s="283">
        <v>2300</v>
      </c>
      <c r="Y137" s="283">
        <v>3548</v>
      </c>
      <c r="Z137" s="283">
        <v>3755</v>
      </c>
      <c r="AA137" s="283">
        <v>3108</v>
      </c>
      <c r="AB137" s="283">
        <v>4454</v>
      </c>
      <c r="AC137" s="283">
        <v>2402</v>
      </c>
      <c r="AD137" s="283">
        <v>2784</v>
      </c>
      <c r="AE137" s="283">
        <v>4156</v>
      </c>
      <c r="AF137" s="283">
        <v>3014</v>
      </c>
      <c r="AG137" s="283">
        <v>3270</v>
      </c>
      <c r="AH137" s="283">
        <v>2607</v>
      </c>
      <c r="AI137" s="283">
        <v>935</v>
      </c>
      <c r="AJ137" s="283">
        <v>-39</v>
      </c>
    </row>
    <row r="138" spans="1:36" ht="15">
      <c r="A138" s="263" t="s">
        <v>390</v>
      </c>
      <c r="B138" s="283">
        <v>-2</v>
      </c>
      <c r="C138" s="283">
        <v>4</v>
      </c>
      <c r="D138" s="283">
        <v>10</v>
      </c>
      <c r="E138" s="283" t="s">
        <v>291</v>
      </c>
      <c r="F138" s="283">
        <v>-1</v>
      </c>
      <c r="G138" s="283">
        <v>10</v>
      </c>
      <c r="H138" s="283">
        <v>1</v>
      </c>
      <c r="I138" s="283" t="s">
        <v>306</v>
      </c>
      <c r="J138" s="283" t="s">
        <v>306</v>
      </c>
      <c r="K138" s="283">
        <v>1</v>
      </c>
      <c r="L138" s="283" t="s">
        <v>291</v>
      </c>
      <c r="M138" s="283">
        <v>-24</v>
      </c>
      <c r="N138" s="283">
        <v>24</v>
      </c>
      <c r="O138" s="283">
        <v>77</v>
      </c>
      <c r="P138" s="283" t="s">
        <v>291</v>
      </c>
      <c r="Q138" s="283">
        <v>35</v>
      </c>
      <c r="R138" s="283">
        <v>153</v>
      </c>
      <c r="S138" s="283" t="s">
        <v>291</v>
      </c>
      <c r="T138" s="283">
        <v>257</v>
      </c>
      <c r="U138" s="283">
        <v>103</v>
      </c>
      <c r="V138" s="283">
        <v>317</v>
      </c>
      <c r="W138" s="283">
        <v>364</v>
      </c>
      <c r="X138" s="283">
        <v>443</v>
      </c>
      <c r="Y138" s="283">
        <v>1012</v>
      </c>
      <c r="Z138" s="283">
        <v>994</v>
      </c>
      <c r="AA138" s="283">
        <v>269</v>
      </c>
      <c r="AB138" s="283">
        <v>220</v>
      </c>
      <c r="AC138" s="283">
        <v>328</v>
      </c>
      <c r="AD138" s="283">
        <v>662</v>
      </c>
      <c r="AE138" s="283">
        <v>1010</v>
      </c>
      <c r="AF138" s="283">
        <v>1135</v>
      </c>
      <c r="AG138" s="283">
        <v>1123</v>
      </c>
      <c r="AH138" s="283">
        <v>1106</v>
      </c>
      <c r="AI138" s="283">
        <v>461</v>
      </c>
      <c r="AJ138" s="283">
        <v>494</v>
      </c>
    </row>
    <row r="139" spans="1:36" ht="15">
      <c r="A139" s="263" t="s">
        <v>389</v>
      </c>
      <c r="B139" s="283">
        <v>-120</v>
      </c>
      <c r="C139" s="283">
        <v>26</v>
      </c>
      <c r="D139" s="283">
        <v>87</v>
      </c>
      <c r="E139" s="283">
        <v>74</v>
      </c>
      <c r="F139" s="283">
        <v>38</v>
      </c>
      <c r="G139" s="283" t="s">
        <v>291</v>
      </c>
      <c r="H139" s="283" t="s">
        <v>291</v>
      </c>
      <c r="I139" s="283" t="s">
        <v>291</v>
      </c>
      <c r="J139" s="283" t="s">
        <v>291</v>
      </c>
      <c r="K139" s="283" t="s">
        <v>291</v>
      </c>
      <c r="L139" s="283" t="s">
        <v>291</v>
      </c>
      <c r="M139" s="283" t="s">
        <v>291</v>
      </c>
      <c r="N139" s="283" t="s">
        <v>291</v>
      </c>
      <c r="O139" s="283" t="s">
        <v>291</v>
      </c>
      <c r="P139" s="283" t="s">
        <v>291</v>
      </c>
      <c r="Q139" s="283">
        <v>183</v>
      </c>
      <c r="R139" s="283" t="s">
        <v>291</v>
      </c>
      <c r="S139" s="283">
        <v>133</v>
      </c>
      <c r="T139" s="283">
        <v>-65</v>
      </c>
      <c r="U139" s="283">
        <v>-146</v>
      </c>
      <c r="V139" s="283">
        <v>-79</v>
      </c>
      <c r="W139" s="283">
        <v>30</v>
      </c>
      <c r="X139" s="283">
        <v>-147</v>
      </c>
      <c r="Y139" s="283">
        <v>49</v>
      </c>
      <c r="Z139" s="283">
        <v>331</v>
      </c>
      <c r="AA139" s="283">
        <v>38</v>
      </c>
      <c r="AB139" s="283">
        <v>1096</v>
      </c>
      <c r="AC139" s="283">
        <v>268</v>
      </c>
      <c r="AD139" s="283">
        <v>191</v>
      </c>
      <c r="AE139" s="283">
        <v>217</v>
      </c>
      <c r="AF139" s="283">
        <v>-244</v>
      </c>
      <c r="AG139" s="283">
        <v>-76</v>
      </c>
      <c r="AH139" s="283">
        <v>-223</v>
      </c>
      <c r="AI139" s="283">
        <v>-454</v>
      </c>
      <c r="AJ139" s="283">
        <v>-214</v>
      </c>
    </row>
    <row r="140" spans="1:36" ht="15">
      <c r="A140" s="263" t="s">
        <v>388</v>
      </c>
      <c r="B140" s="283" t="s">
        <v>273</v>
      </c>
      <c r="C140" s="283" t="s">
        <v>273</v>
      </c>
      <c r="D140" s="283" t="s">
        <v>273</v>
      </c>
      <c r="E140" s="283" t="s">
        <v>273</v>
      </c>
      <c r="F140" s="283" t="s">
        <v>273</v>
      </c>
      <c r="G140" s="283" t="s">
        <v>273</v>
      </c>
      <c r="H140" s="283" t="s">
        <v>273</v>
      </c>
      <c r="I140" s="283" t="s">
        <v>273</v>
      </c>
      <c r="J140" s="283" t="s">
        <v>273</v>
      </c>
      <c r="K140" s="283" t="s">
        <v>273</v>
      </c>
      <c r="L140" s="283" t="s">
        <v>273</v>
      </c>
      <c r="M140" s="283" t="s">
        <v>273</v>
      </c>
      <c r="N140" s="283" t="s">
        <v>273</v>
      </c>
      <c r="O140" s="283" t="s">
        <v>273</v>
      </c>
      <c r="P140" s="283" t="s">
        <v>273</v>
      </c>
      <c r="Q140" s="283" t="s">
        <v>273</v>
      </c>
      <c r="R140" s="283" t="s">
        <v>273</v>
      </c>
      <c r="S140" s="283" t="s">
        <v>273</v>
      </c>
      <c r="T140" s="283" t="s">
        <v>273</v>
      </c>
      <c r="U140" s="283" t="s">
        <v>273</v>
      </c>
      <c r="V140" s="283" t="s">
        <v>273</v>
      </c>
      <c r="W140" s="283" t="s">
        <v>273</v>
      </c>
      <c r="X140" s="283">
        <v>2</v>
      </c>
      <c r="Y140" s="283">
        <v>2</v>
      </c>
      <c r="Z140" s="283">
        <v>2</v>
      </c>
      <c r="AA140" s="283">
        <v>2</v>
      </c>
      <c r="AB140" s="283">
        <v>2</v>
      </c>
      <c r="AC140" s="283" t="s">
        <v>306</v>
      </c>
      <c r="AD140" s="283" t="s">
        <v>306</v>
      </c>
      <c r="AE140" s="283" t="s">
        <v>306</v>
      </c>
      <c r="AF140" s="283" t="s">
        <v>306</v>
      </c>
      <c r="AG140" s="283" t="s">
        <v>306</v>
      </c>
      <c r="AH140" s="283" t="s">
        <v>306</v>
      </c>
      <c r="AI140" s="283" t="s">
        <v>306</v>
      </c>
      <c r="AJ140" s="283" t="s">
        <v>306</v>
      </c>
    </row>
    <row r="141" spans="1:36" ht="15">
      <c r="A141" s="263" t="s">
        <v>387</v>
      </c>
      <c r="B141" s="283" t="s">
        <v>291</v>
      </c>
      <c r="C141" s="283" t="s">
        <v>291</v>
      </c>
      <c r="D141" s="283" t="s">
        <v>291</v>
      </c>
      <c r="E141" s="283" t="s">
        <v>291</v>
      </c>
      <c r="F141" s="283" t="s">
        <v>291</v>
      </c>
      <c r="G141" s="283" t="s">
        <v>291</v>
      </c>
      <c r="H141" s="283" t="s">
        <v>291</v>
      </c>
      <c r="I141" s="283">
        <v>3</v>
      </c>
      <c r="J141" s="283">
        <v>10</v>
      </c>
      <c r="K141" s="283">
        <v>3</v>
      </c>
      <c r="L141" s="283" t="s">
        <v>291</v>
      </c>
      <c r="M141" s="283">
        <v>6</v>
      </c>
      <c r="N141" s="283">
        <v>-7</v>
      </c>
      <c r="O141" s="283">
        <v>2</v>
      </c>
      <c r="P141" s="283">
        <v>1</v>
      </c>
      <c r="Q141" s="283">
        <v>0</v>
      </c>
      <c r="R141" s="283">
        <v>2</v>
      </c>
      <c r="S141" s="283">
        <v>4</v>
      </c>
      <c r="T141" s="283" t="s">
        <v>291</v>
      </c>
      <c r="U141" s="283">
        <v>6</v>
      </c>
      <c r="V141" s="283">
        <v>5</v>
      </c>
      <c r="W141" s="283">
        <v>2</v>
      </c>
      <c r="X141" s="283">
        <v>3</v>
      </c>
      <c r="Y141" s="283">
        <v>3</v>
      </c>
      <c r="Z141" s="283">
        <v>3</v>
      </c>
      <c r="AA141" s="283">
        <v>3</v>
      </c>
      <c r="AB141" s="283">
        <v>2</v>
      </c>
      <c r="AC141" s="283">
        <v>3</v>
      </c>
      <c r="AD141" s="283">
        <v>3</v>
      </c>
      <c r="AE141" s="283">
        <v>3</v>
      </c>
      <c r="AF141" s="283">
        <v>4</v>
      </c>
      <c r="AG141" s="283">
        <v>1</v>
      </c>
      <c r="AH141" s="283">
        <v>-2</v>
      </c>
      <c r="AI141" s="283">
        <v>-2</v>
      </c>
      <c r="AJ141" s="283">
        <v>-3</v>
      </c>
    </row>
    <row r="142" spans="1:36" ht="15">
      <c r="A142" s="263" t="s">
        <v>386</v>
      </c>
      <c r="B142" s="283">
        <v>1</v>
      </c>
      <c r="C142" s="283">
        <v>1</v>
      </c>
      <c r="D142" s="283">
        <v>1</v>
      </c>
      <c r="E142" s="283">
        <v>2</v>
      </c>
      <c r="F142" s="283">
        <v>1</v>
      </c>
      <c r="G142" s="283">
        <v>2</v>
      </c>
      <c r="H142" s="283">
        <v>1</v>
      </c>
      <c r="I142" s="283" t="s">
        <v>306</v>
      </c>
      <c r="J142" s="283" t="s">
        <v>306</v>
      </c>
      <c r="K142" s="283" t="s">
        <v>306</v>
      </c>
      <c r="L142" s="283" t="s">
        <v>306</v>
      </c>
      <c r="M142" s="283" t="s">
        <v>306</v>
      </c>
      <c r="N142" s="283" t="s">
        <v>306</v>
      </c>
      <c r="O142" s="283" t="s">
        <v>306</v>
      </c>
      <c r="P142" s="283" t="s">
        <v>306</v>
      </c>
      <c r="Q142" s="283" t="s">
        <v>306</v>
      </c>
      <c r="R142" s="283">
        <v>1</v>
      </c>
      <c r="S142" s="283" t="s">
        <v>306</v>
      </c>
      <c r="T142" s="283" t="s">
        <v>306</v>
      </c>
      <c r="U142" s="283">
        <v>-1</v>
      </c>
      <c r="V142" s="283">
        <v>-1</v>
      </c>
      <c r="W142" s="283" t="s">
        <v>306</v>
      </c>
      <c r="X142" s="283">
        <v>-3</v>
      </c>
      <c r="Y142" s="283">
        <v>0</v>
      </c>
      <c r="Z142" s="283">
        <v>0</v>
      </c>
      <c r="AA142" s="283" t="s">
        <v>273</v>
      </c>
      <c r="AB142" s="283" t="s">
        <v>273</v>
      </c>
      <c r="AC142" s="283" t="s">
        <v>273</v>
      </c>
      <c r="AD142" s="283" t="s">
        <v>273</v>
      </c>
      <c r="AE142" s="283" t="s">
        <v>273</v>
      </c>
      <c r="AF142" s="283" t="s">
        <v>273</v>
      </c>
      <c r="AG142" s="283" t="s">
        <v>273</v>
      </c>
      <c r="AH142" s="283">
        <v>0</v>
      </c>
      <c r="AI142" s="283">
        <v>0</v>
      </c>
      <c r="AJ142" s="283">
        <v>0</v>
      </c>
    </row>
    <row r="143" spans="1:36" ht="15">
      <c r="A143" s="263" t="s">
        <v>385</v>
      </c>
      <c r="B143" s="283">
        <v>0</v>
      </c>
      <c r="C143" s="283">
        <v>0</v>
      </c>
      <c r="D143" s="283">
        <v>0</v>
      </c>
      <c r="E143" s="283">
        <v>0</v>
      </c>
      <c r="F143" s="283">
        <v>0</v>
      </c>
      <c r="G143" s="283">
        <v>0</v>
      </c>
      <c r="H143" s="283">
        <v>0</v>
      </c>
      <c r="I143" s="283" t="s">
        <v>273</v>
      </c>
      <c r="J143" s="283" t="s">
        <v>273</v>
      </c>
      <c r="K143" s="283" t="s">
        <v>273</v>
      </c>
      <c r="L143" s="283" t="s">
        <v>273</v>
      </c>
      <c r="M143" s="283" t="s">
        <v>273</v>
      </c>
      <c r="N143" s="283" t="s">
        <v>273</v>
      </c>
      <c r="O143" s="283" t="s">
        <v>273</v>
      </c>
      <c r="P143" s="283" t="s">
        <v>273</v>
      </c>
      <c r="Q143" s="283" t="s">
        <v>273</v>
      </c>
      <c r="R143" s="283" t="s">
        <v>273</v>
      </c>
      <c r="S143" s="283" t="s">
        <v>273</v>
      </c>
      <c r="T143" s="283" t="s">
        <v>273</v>
      </c>
      <c r="U143" s="283" t="s">
        <v>273</v>
      </c>
      <c r="V143" s="283" t="s">
        <v>273</v>
      </c>
      <c r="W143" s="283" t="s">
        <v>273</v>
      </c>
      <c r="X143" s="283" t="s">
        <v>306</v>
      </c>
      <c r="Y143" s="283" t="s">
        <v>306</v>
      </c>
      <c r="Z143" s="283" t="s">
        <v>306</v>
      </c>
      <c r="AA143" s="283" t="s">
        <v>306</v>
      </c>
      <c r="AB143" s="283" t="s">
        <v>306</v>
      </c>
      <c r="AC143" s="283" t="s">
        <v>306</v>
      </c>
      <c r="AD143" s="283" t="s">
        <v>306</v>
      </c>
      <c r="AE143" s="283" t="s">
        <v>306</v>
      </c>
      <c r="AF143" s="283" t="s">
        <v>306</v>
      </c>
      <c r="AG143" s="283" t="s">
        <v>306</v>
      </c>
      <c r="AH143" s="283" t="s">
        <v>306</v>
      </c>
      <c r="AI143" s="283" t="s">
        <v>306</v>
      </c>
      <c r="AJ143" s="283" t="s">
        <v>306</v>
      </c>
    </row>
    <row r="144" spans="1:36" s="260" customFormat="1" ht="15">
      <c r="A144" s="263" t="s">
        <v>1024</v>
      </c>
      <c r="B144" s="283" t="s">
        <v>273</v>
      </c>
      <c r="C144" s="283" t="s">
        <v>273</v>
      </c>
      <c r="D144" s="283" t="s">
        <v>273</v>
      </c>
      <c r="E144" s="283" t="s">
        <v>273</v>
      </c>
      <c r="F144" s="283" t="s">
        <v>273</v>
      </c>
      <c r="G144" s="283" t="s">
        <v>273</v>
      </c>
      <c r="H144" s="283" t="s">
        <v>273</v>
      </c>
      <c r="I144" s="283" t="s">
        <v>273</v>
      </c>
      <c r="J144" s="283" t="s">
        <v>273</v>
      </c>
      <c r="K144" s="283" t="s">
        <v>273</v>
      </c>
      <c r="L144" s="283" t="s">
        <v>273</v>
      </c>
      <c r="M144" s="283" t="s">
        <v>273</v>
      </c>
      <c r="N144" s="283" t="s">
        <v>273</v>
      </c>
      <c r="O144" s="283" t="s">
        <v>273</v>
      </c>
      <c r="P144" s="283" t="s">
        <v>273</v>
      </c>
      <c r="Q144" s="283" t="s">
        <v>273</v>
      </c>
      <c r="R144" s="283" t="s">
        <v>273</v>
      </c>
      <c r="S144" s="283" t="s">
        <v>273</v>
      </c>
      <c r="T144" s="283" t="s">
        <v>273</v>
      </c>
      <c r="U144" s="283" t="s">
        <v>273</v>
      </c>
      <c r="V144" s="283" t="s">
        <v>273</v>
      </c>
      <c r="W144" s="283" t="s">
        <v>273</v>
      </c>
      <c r="X144" s="283" t="s">
        <v>273</v>
      </c>
      <c r="Y144" s="283" t="s">
        <v>273</v>
      </c>
      <c r="Z144" s="283" t="s">
        <v>273</v>
      </c>
      <c r="AA144" s="283" t="s">
        <v>273</v>
      </c>
      <c r="AB144" s="283" t="s">
        <v>273</v>
      </c>
      <c r="AC144" s="283" t="s">
        <v>273</v>
      </c>
      <c r="AD144" s="283" t="s">
        <v>273</v>
      </c>
      <c r="AE144" s="283" t="s">
        <v>273</v>
      </c>
      <c r="AF144" s="283">
        <v>0</v>
      </c>
      <c r="AG144" s="283">
        <v>-2</v>
      </c>
      <c r="AH144" s="283">
        <v>0</v>
      </c>
      <c r="AI144" s="283">
        <v>0</v>
      </c>
      <c r="AJ144" s="283">
        <v>0</v>
      </c>
    </row>
    <row r="145" spans="1:36" ht="15">
      <c r="A145" s="263" t="s">
        <v>384</v>
      </c>
      <c r="B145" s="283" t="s">
        <v>291</v>
      </c>
      <c r="C145" s="283">
        <v>48</v>
      </c>
      <c r="D145" s="283">
        <v>21</v>
      </c>
      <c r="E145" s="283">
        <v>29</v>
      </c>
      <c r="F145" s="283">
        <v>12</v>
      </c>
      <c r="G145" s="283" t="s">
        <v>291</v>
      </c>
      <c r="H145" s="283" t="s">
        <v>291</v>
      </c>
      <c r="I145" s="283" t="s">
        <v>291</v>
      </c>
      <c r="J145" s="283" t="s">
        <v>291</v>
      </c>
      <c r="K145" s="283">
        <v>34</v>
      </c>
      <c r="L145" s="283">
        <v>43</v>
      </c>
      <c r="M145" s="283">
        <v>22</v>
      </c>
      <c r="N145" s="283">
        <v>-22</v>
      </c>
      <c r="O145" s="283">
        <v>25</v>
      </c>
      <c r="P145" s="283">
        <v>43</v>
      </c>
      <c r="Q145" s="283">
        <v>64</v>
      </c>
      <c r="R145" s="283">
        <v>28</v>
      </c>
      <c r="S145" s="283">
        <v>26</v>
      </c>
      <c r="T145" s="283">
        <v>55</v>
      </c>
      <c r="U145" s="283">
        <v>38</v>
      </c>
      <c r="V145" s="283">
        <v>16</v>
      </c>
      <c r="W145" s="283" t="s">
        <v>291</v>
      </c>
      <c r="X145" s="283">
        <v>63</v>
      </c>
      <c r="Y145" s="283">
        <v>56</v>
      </c>
      <c r="Z145" s="283">
        <v>44</v>
      </c>
      <c r="AA145" s="283">
        <v>25</v>
      </c>
      <c r="AB145" s="283">
        <v>37</v>
      </c>
      <c r="AC145" s="283">
        <v>8</v>
      </c>
      <c r="AD145" s="283">
        <v>18</v>
      </c>
      <c r="AE145" s="283">
        <v>-3</v>
      </c>
      <c r="AF145" s="283" t="s">
        <v>306</v>
      </c>
      <c r="AG145" s="283">
        <v>-2</v>
      </c>
      <c r="AH145" s="283" t="s">
        <v>291</v>
      </c>
      <c r="AI145" s="283">
        <v>-27</v>
      </c>
      <c r="AJ145" s="283">
        <v>-34</v>
      </c>
    </row>
    <row r="146" spans="1:36" ht="15">
      <c r="A146" s="263" t="s">
        <v>383</v>
      </c>
      <c r="B146" s="283" t="s">
        <v>306</v>
      </c>
      <c r="C146" s="283" t="s">
        <v>306</v>
      </c>
      <c r="D146" s="283" t="s">
        <v>306</v>
      </c>
      <c r="E146" s="283">
        <v>-1</v>
      </c>
      <c r="F146" s="283">
        <v>-3</v>
      </c>
      <c r="G146" s="283" t="s">
        <v>306</v>
      </c>
      <c r="H146" s="283" t="s">
        <v>306</v>
      </c>
      <c r="I146" s="283" t="s">
        <v>273</v>
      </c>
      <c r="J146" s="283" t="s">
        <v>273</v>
      </c>
      <c r="K146" s="283" t="s">
        <v>273</v>
      </c>
      <c r="L146" s="283" t="s">
        <v>273</v>
      </c>
      <c r="M146" s="283" t="s">
        <v>273</v>
      </c>
      <c r="N146" s="283" t="s">
        <v>273</v>
      </c>
      <c r="O146" s="283" t="s">
        <v>273</v>
      </c>
      <c r="P146" s="283" t="s">
        <v>273</v>
      </c>
      <c r="Q146" s="283" t="s">
        <v>273</v>
      </c>
      <c r="R146" s="283" t="s">
        <v>273</v>
      </c>
      <c r="S146" s="283" t="s">
        <v>306</v>
      </c>
      <c r="T146" s="283" t="s">
        <v>306</v>
      </c>
      <c r="U146" s="283" t="s">
        <v>306</v>
      </c>
      <c r="V146" s="283" t="s">
        <v>306</v>
      </c>
      <c r="W146" s="283" t="s">
        <v>306</v>
      </c>
      <c r="X146" s="283" t="s">
        <v>291</v>
      </c>
      <c r="Y146" s="283" t="s">
        <v>291</v>
      </c>
      <c r="Z146" s="283" t="s">
        <v>291</v>
      </c>
      <c r="AA146" s="283" t="s">
        <v>273</v>
      </c>
      <c r="AB146" s="283" t="s">
        <v>273</v>
      </c>
      <c r="AC146" s="283">
        <v>1</v>
      </c>
      <c r="AD146" s="283">
        <v>1</v>
      </c>
      <c r="AE146" s="283" t="s">
        <v>291</v>
      </c>
      <c r="AF146" s="283" t="s">
        <v>291</v>
      </c>
      <c r="AG146" s="283" t="s">
        <v>291</v>
      </c>
      <c r="AH146" s="283" t="s">
        <v>291</v>
      </c>
      <c r="AI146" s="283" t="s">
        <v>291</v>
      </c>
      <c r="AJ146" s="283" t="s">
        <v>291</v>
      </c>
    </row>
    <row r="147" spans="1:36" ht="15">
      <c r="A147" s="263" t="s">
        <v>382</v>
      </c>
      <c r="B147" s="283" t="s">
        <v>306</v>
      </c>
      <c r="C147" s="283" t="s">
        <v>306</v>
      </c>
      <c r="D147" s="283">
        <v>1</v>
      </c>
      <c r="E147" s="283">
        <v>-9</v>
      </c>
      <c r="F147" s="283" t="s">
        <v>291</v>
      </c>
      <c r="G147" s="283" t="s">
        <v>306</v>
      </c>
      <c r="H147" s="283">
        <v>-1</v>
      </c>
      <c r="I147" s="283" t="s">
        <v>291</v>
      </c>
      <c r="J147" s="283" t="s">
        <v>291</v>
      </c>
      <c r="K147" s="283" t="s">
        <v>291</v>
      </c>
      <c r="L147" s="283">
        <v>-21</v>
      </c>
      <c r="M147" s="283" t="s">
        <v>291</v>
      </c>
      <c r="N147" s="283">
        <v>-4</v>
      </c>
      <c r="O147" s="283">
        <v>-12</v>
      </c>
      <c r="P147" s="283">
        <v>-12</v>
      </c>
      <c r="Q147" s="283">
        <v>-11</v>
      </c>
      <c r="R147" s="283">
        <v>-9</v>
      </c>
      <c r="S147" s="283">
        <v>-12</v>
      </c>
      <c r="T147" s="283">
        <v>-16</v>
      </c>
      <c r="U147" s="283">
        <v>-11</v>
      </c>
      <c r="V147" s="283">
        <v>-29</v>
      </c>
      <c r="W147" s="283">
        <v>-15</v>
      </c>
      <c r="X147" s="283" t="s">
        <v>306</v>
      </c>
      <c r="Y147" s="283" t="s">
        <v>306</v>
      </c>
      <c r="Z147" s="283" t="s">
        <v>306</v>
      </c>
      <c r="AA147" s="283" t="s">
        <v>291</v>
      </c>
      <c r="AB147" s="283" t="s">
        <v>291</v>
      </c>
      <c r="AC147" s="283">
        <v>213</v>
      </c>
      <c r="AD147" s="283">
        <v>286</v>
      </c>
      <c r="AE147" s="283">
        <v>411</v>
      </c>
      <c r="AF147" s="283">
        <v>402</v>
      </c>
      <c r="AG147" s="283">
        <v>298</v>
      </c>
      <c r="AH147" s="283">
        <v>155</v>
      </c>
      <c r="AI147" s="283">
        <v>-24</v>
      </c>
      <c r="AJ147" s="283">
        <v>-60</v>
      </c>
    </row>
    <row r="148" spans="1:36" ht="15">
      <c r="A148" s="263" t="s">
        <v>381</v>
      </c>
      <c r="B148" s="283" t="s">
        <v>273</v>
      </c>
      <c r="C148" s="283" t="s">
        <v>273</v>
      </c>
      <c r="D148" s="283" t="s">
        <v>273</v>
      </c>
      <c r="E148" s="283" t="s">
        <v>273</v>
      </c>
      <c r="F148" s="283" t="s">
        <v>273</v>
      </c>
      <c r="G148" s="283" t="s">
        <v>273</v>
      </c>
      <c r="H148" s="283" t="s">
        <v>273</v>
      </c>
      <c r="I148" s="283" t="s">
        <v>273</v>
      </c>
      <c r="J148" s="283" t="s">
        <v>273</v>
      </c>
      <c r="K148" s="283" t="s">
        <v>273</v>
      </c>
      <c r="L148" s="283" t="s">
        <v>273</v>
      </c>
      <c r="M148" s="283" t="s">
        <v>273</v>
      </c>
      <c r="N148" s="283" t="s">
        <v>273</v>
      </c>
      <c r="O148" s="283" t="s">
        <v>273</v>
      </c>
      <c r="P148" s="283" t="s">
        <v>273</v>
      </c>
      <c r="Q148" s="283" t="s">
        <v>273</v>
      </c>
      <c r="R148" s="283" t="s">
        <v>273</v>
      </c>
      <c r="S148" s="283">
        <v>0</v>
      </c>
      <c r="T148" s="283">
        <v>0</v>
      </c>
      <c r="U148" s="283">
        <v>0</v>
      </c>
      <c r="V148" s="283">
        <v>0</v>
      </c>
      <c r="W148" s="283">
        <v>0</v>
      </c>
      <c r="X148" s="283" t="s">
        <v>273</v>
      </c>
      <c r="Y148" s="283" t="s">
        <v>273</v>
      </c>
      <c r="Z148" s="283" t="s">
        <v>273</v>
      </c>
      <c r="AA148" s="283" t="s">
        <v>306</v>
      </c>
      <c r="AB148" s="283" t="s">
        <v>306</v>
      </c>
      <c r="AC148" s="283" t="s">
        <v>306</v>
      </c>
      <c r="AD148" s="283" t="s">
        <v>306</v>
      </c>
      <c r="AE148" s="283" t="s">
        <v>306</v>
      </c>
      <c r="AF148" s="283" t="s">
        <v>306</v>
      </c>
      <c r="AG148" s="283" t="s">
        <v>306</v>
      </c>
      <c r="AH148" s="283" t="s">
        <v>306</v>
      </c>
      <c r="AI148" s="283" t="s">
        <v>306</v>
      </c>
      <c r="AJ148" s="283" t="s">
        <v>306</v>
      </c>
    </row>
    <row r="149" spans="1:36" ht="15">
      <c r="A149" s="263" t="s">
        <v>380</v>
      </c>
      <c r="B149" s="283">
        <v>1</v>
      </c>
      <c r="C149" s="283">
        <v>-6</v>
      </c>
      <c r="D149" s="283">
        <v>5</v>
      </c>
      <c r="E149" s="283">
        <v>-4</v>
      </c>
      <c r="F149" s="283">
        <v>-3</v>
      </c>
      <c r="G149" s="283">
        <v>-2</v>
      </c>
      <c r="H149" s="283" t="s">
        <v>291</v>
      </c>
      <c r="I149" s="283" t="s">
        <v>291</v>
      </c>
      <c r="J149" s="283" t="s">
        <v>291</v>
      </c>
      <c r="K149" s="283" t="s">
        <v>291</v>
      </c>
      <c r="L149" s="283" t="s">
        <v>291</v>
      </c>
      <c r="M149" s="283">
        <v>-14</v>
      </c>
      <c r="N149" s="283">
        <v>24</v>
      </c>
      <c r="O149" s="283">
        <v>23</v>
      </c>
      <c r="P149" s="283">
        <v>12</v>
      </c>
      <c r="Q149" s="283">
        <v>3</v>
      </c>
      <c r="R149" s="283">
        <v>-24</v>
      </c>
      <c r="S149" s="283">
        <v>4</v>
      </c>
      <c r="T149" s="283">
        <v>3</v>
      </c>
      <c r="U149" s="283" t="s">
        <v>291</v>
      </c>
      <c r="V149" s="283">
        <v>-4</v>
      </c>
      <c r="W149" s="283">
        <v>26</v>
      </c>
      <c r="X149" s="283">
        <v>31</v>
      </c>
      <c r="Y149" s="283">
        <v>31</v>
      </c>
      <c r="Z149" s="283" t="s">
        <v>306</v>
      </c>
      <c r="AA149" s="283">
        <v>-1</v>
      </c>
      <c r="AB149" s="283">
        <v>5</v>
      </c>
      <c r="AC149" s="283">
        <v>-12</v>
      </c>
      <c r="AD149" s="283">
        <v>-50</v>
      </c>
      <c r="AE149" s="283">
        <v>-12</v>
      </c>
      <c r="AF149" s="283" t="s">
        <v>291</v>
      </c>
      <c r="AG149" s="283">
        <v>-117</v>
      </c>
      <c r="AH149" s="283">
        <v>67</v>
      </c>
      <c r="AI149" s="283" t="s">
        <v>291</v>
      </c>
      <c r="AJ149" s="283" t="s">
        <v>291</v>
      </c>
    </row>
    <row r="150" spans="1:36" ht="15">
      <c r="A150" s="263" t="s">
        <v>379</v>
      </c>
      <c r="B150" s="283" t="s">
        <v>273</v>
      </c>
      <c r="C150" s="283" t="s">
        <v>273</v>
      </c>
      <c r="D150" s="283" t="s">
        <v>273</v>
      </c>
      <c r="E150" s="283" t="s">
        <v>273</v>
      </c>
      <c r="F150" s="283" t="s">
        <v>273</v>
      </c>
      <c r="G150" s="283" t="s">
        <v>273</v>
      </c>
      <c r="H150" s="283" t="s">
        <v>273</v>
      </c>
      <c r="I150" s="283" t="s">
        <v>273</v>
      </c>
      <c r="J150" s="283" t="s">
        <v>273</v>
      </c>
      <c r="K150" s="283" t="s">
        <v>273</v>
      </c>
      <c r="L150" s="283" t="s">
        <v>273</v>
      </c>
      <c r="M150" s="283" t="s">
        <v>273</v>
      </c>
      <c r="N150" s="283">
        <v>-19</v>
      </c>
      <c r="O150" s="283">
        <v>-9</v>
      </c>
      <c r="P150" s="283">
        <v>9</v>
      </c>
      <c r="Q150" s="283">
        <v>13</v>
      </c>
      <c r="R150" s="283">
        <v>1</v>
      </c>
      <c r="S150" s="283">
        <v>-17</v>
      </c>
      <c r="T150" s="283">
        <v>-9</v>
      </c>
      <c r="U150" s="283">
        <v>-16</v>
      </c>
      <c r="V150" s="283">
        <v>-27</v>
      </c>
      <c r="W150" s="283">
        <v>-13</v>
      </c>
      <c r="X150" s="283">
        <v>-3</v>
      </c>
      <c r="Y150" s="283">
        <v>-3</v>
      </c>
      <c r="Z150" s="283">
        <v>-2</v>
      </c>
      <c r="AA150" s="283">
        <v>-28</v>
      </c>
      <c r="AB150" s="283">
        <v>-8</v>
      </c>
      <c r="AC150" s="283">
        <v>-22</v>
      </c>
      <c r="AD150" s="283">
        <v>100</v>
      </c>
      <c r="AE150" s="283">
        <v>248</v>
      </c>
      <c r="AF150" s="283">
        <v>130</v>
      </c>
      <c r="AG150" s="283">
        <v>130</v>
      </c>
      <c r="AH150" s="283">
        <v>106</v>
      </c>
      <c r="AI150" s="283">
        <v>202</v>
      </c>
      <c r="AJ150" s="283">
        <v>1</v>
      </c>
    </row>
    <row r="151" spans="1:36" ht="15">
      <c r="A151" s="263" t="s">
        <v>378</v>
      </c>
      <c r="B151" s="283">
        <v>-106</v>
      </c>
      <c r="C151" s="283">
        <v>-138</v>
      </c>
      <c r="D151" s="283">
        <v>-41</v>
      </c>
      <c r="E151" s="283">
        <v>-42</v>
      </c>
      <c r="F151" s="283" t="s">
        <v>291</v>
      </c>
      <c r="G151" s="283">
        <v>24</v>
      </c>
      <c r="H151" s="283">
        <v>40</v>
      </c>
      <c r="I151" s="283">
        <v>1</v>
      </c>
      <c r="J151" s="283">
        <v>5</v>
      </c>
      <c r="K151" s="283">
        <v>-1</v>
      </c>
      <c r="L151" s="283" t="s">
        <v>306</v>
      </c>
      <c r="M151" s="283">
        <v>3</v>
      </c>
      <c r="N151" s="283">
        <v>7</v>
      </c>
      <c r="O151" s="283">
        <v>9</v>
      </c>
      <c r="P151" s="283">
        <v>14</v>
      </c>
      <c r="Q151" s="283">
        <v>6</v>
      </c>
      <c r="R151" s="283">
        <v>-9</v>
      </c>
      <c r="S151" s="283">
        <v>28</v>
      </c>
      <c r="T151" s="283">
        <v>13</v>
      </c>
      <c r="U151" s="283">
        <v>5</v>
      </c>
      <c r="V151" s="283">
        <v>9</v>
      </c>
      <c r="W151" s="283">
        <v>13</v>
      </c>
      <c r="X151" s="283">
        <v>25</v>
      </c>
      <c r="Y151" s="283">
        <v>27</v>
      </c>
      <c r="Z151" s="283">
        <v>23</v>
      </c>
      <c r="AA151" s="283">
        <v>30</v>
      </c>
      <c r="AB151" s="283">
        <v>-7</v>
      </c>
      <c r="AC151" s="283">
        <v>-11</v>
      </c>
      <c r="AD151" s="283">
        <v>-14</v>
      </c>
      <c r="AE151" s="283">
        <v>-10</v>
      </c>
      <c r="AF151" s="283">
        <v>-50</v>
      </c>
      <c r="AG151" s="283" t="s">
        <v>291</v>
      </c>
      <c r="AH151" s="283">
        <v>-39</v>
      </c>
      <c r="AI151" s="283">
        <v>-70</v>
      </c>
      <c r="AJ151" s="283">
        <v>-52</v>
      </c>
    </row>
    <row r="152" spans="1:36" ht="15">
      <c r="A152" s="263" t="s">
        <v>377</v>
      </c>
      <c r="B152" s="283">
        <v>1</v>
      </c>
      <c r="C152" s="283">
        <v>1</v>
      </c>
      <c r="D152" s="283">
        <v>1</v>
      </c>
      <c r="E152" s="283">
        <v>1</v>
      </c>
      <c r="F152" s="283">
        <v>-2</v>
      </c>
      <c r="G152" s="283">
        <v>-2</v>
      </c>
      <c r="H152" s="283">
        <v>1</v>
      </c>
      <c r="I152" s="283">
        <v>1</v>
      </c>
      <c r="J152" s="283">
        <v>2</v>
      </c>
      <c r="K152" s="283" t="s">
        <v>306</v>
      </c>
      <c r="L152" s="283">
        <v>3</v>
      </c>
      <c r="M152" s="283">
        <v>2</v>
      </c>
      <c r="N152" s="283">
        <v>1</v>
      </c>
      <c r="O152" s="283" t="s">
        <v>306</v>
      </c>
      <c r="P152" s="283">
        <v>1</v>
      </c>
      <c r="Q152" s="283">
        <v>2</v>
      </c>
      <c r="R152" s="283">
        <v>3</v>
      </c>
      <c r="S152" s="283">
        <v>1</v>
      </c>
      <c r="T152" s="283" t="s">
        <v>306</v>
      </c>
      <c r="U152" s="283">
        <v>-1</v>
      </c>
      <c r="V152" s="283">
        <v>-1</v>
      </c>
      <c r="W152" s="283">
        <v>-1</v>
      </c>
      <c r="X152" s="283">
        <v>1</v>
      </c>
      <c r="Y152" s="283">
        <v>1</v>
      </c>
      <c r="Z152" s="283" t="s">
        <v>306</v>
      </c>
      <c r="AA152" s="283" t="s">
        <v>306</v>
      </c>
      <c r="AB152" s="283">
        <v>0</v>
      </c>
      <c r="AC152" s="283">
        <v>1</v>
      </c>
      <c r="AD152" s="283">
        <v>1</v>
      </c>
      <c r="AE152" s="283">
        <v>1</v>
      </c>
      <c r="AF152" s="283">
        <v>1</v>
      </c>
      <c r="AG152" s="283">
        <v>1</v>
      </c>
      <c r="AH152" s="283">
        <v>1</v>
      </c>
      <c r="AI152" s="283">
        <v>5</v>
      </c>
      <c r="AJ152" s="283" t="s">
        <v>291</v>
      </c>
    </row>
    <row r="153" spans="1:36" ht="15">
      <c r="A153" s="263" t="s">
        <v>376</v>
      </c>
      <c r="B153" s="283" t="s">
        <v>273</v>
      </c>
      <c r="C153" s="283" t="s">
        <v>273</v>
      </c>
      <c r="D153" s="283" t="s">
        <v>273</v>
      </c>
      <c r="E153" s="283" t="s">
        <v>273</v>
      </c>
      <c r="F153" s="283" t="s">
        <v>273</v>
      </c>
      <c r="G153" s="283" t="s">
        <v>273</v>
      </c>
      <c r="H153" s="283" t="s">
        <v>273</v>
      </c>
      <c r="I153" s="283">
        <v>0</v>
      </c>
      <c r="J153" s="283">
        <v>0</v>
      </c>
      <c r="K153" s="283">
        <v>0</v>
      </c>
      <c r="L153" s="283">
        <v>-4</v>
      </c>
      <c r="M153" s="283">
        <v>2</v>
      </c>
      <c r="N153" s="283">
        <v>4</v>
      </c>
      <c r="O153" s="283">
        <v>7</v>
      </c>
      <c r="P153" s="283">
        <v>29</v>
      </c>
      <c r="Q153" s="283">
        <v>119</v>
      </c>
      <c r="R153" s="283">
        <v>-13</v>
      </c>
      <c r="S153" s="283">
        <v>148</v>
      </c>
      <c r="T153" s="283">
        <v>427</v>
      </c>
      <c r="U153" s="283">
        <v>472</v>
      </c>
      <c r="V153" s="283">
        <v>597</v>
      </c>
      <c r="W153" s="283">
        <v>894</v>
      </c>
      <c r="X153" s="283" t="s">
        <v>291</v>
      </c>
      <c r="Y153" s="283">
        <v>1686</v>
      </c>
      <c r="Z153" s="283">
        <v>1697</v>
      </c>
      <c r="AA153" s="283">
        <v>1641</v>
      </c>
      <c r="AB153" s="283">
        <v>1771</v>
      </c>
      <c r="AC153" s="283">
        <v>745</v>
      </c>
      <c r="AD153" s="283">
        <v>823</v>
      </c>
      <c r="AE153" s="283" t="s">
        <v>291</v>
      </c>
      <c r="AF153" s="283" t="s">
        <v>291</v>
      </c>
      <c r="AG153" s="283">
        <v>954</v>
      </c>
      <c r="AH153" s="283" t="s">
        <v>291</v>
      </c>
      <c r="AI153" s="283" t="s">
        <v>291</v>
      </c>
      <c r="AJ153" s="283" t="s">
        <v>291</v>
      </c>
    </row>
    <row r="154" spans="1:36" ht="15">
      <c r="A154" s="263" t="s">
        <v>375</v>
      </c>
      <c r="B154" s="283" t="s">
        <v>273</v>
      </c>
      <c r="C154" s="283" t="s">
        <v>273</v>
      </c>
      <c r="D154" s="283" t="s">
        <v>273</v>
      </c>
      <c r="E154" s="283" t="s">
        <v>273</v>
      </c>
      <c r="F154" s="283" t="s">
        <v>273</v>
      </c>
      <c r="G154" s="283" t="s">
        <v>273</v>
      </c>
      <c r="H154" s="283" t="s">
        <v>273</v>
      </c>
      <c r="I154" s="283" t="s">
        <v>273</v>
      </c>
      <c r="J154" s="283" t="s">
        <v>273</v>
      </c>
      <c r="K154" s="283" t="s">
        <v>273</v>
      </c>
      <c r="L154" s="283" t="s">
        <v>273</v>
      </c>
      <c r="M154" s="283" t="s">
        <v>273</v>
      </c>
      <c r="N154" s="283">
        <v>0</v>
      </c>
      <c r="O154" s="283">
        <v>0</v>
      </c>
      <c r="P154" s="283">
        <v>0</v>
      </c>
      <c r="Q154" s="283" t="s">
        <v>306</v>
      </c>
      <c r="R154" s="283" t="s">
        <v>306</v>
      </c>
      <c r="S154" s="283">
        <v>-15</v>
      </c>
      <c r="T154" s="283">
        <v>-15</v>
      </c>
      <c r="U154" s="283">
        <v>-15</v>
      </c>
      <c r="V154" s="283">
        <v>-15</v>
      </c>
      <c r="W154" s="283">
        <v>-13</v>
      </c>
      <c r="X154" s="283">
        <v>-6</v>
      </c>
      <c r="Y154" s="283">
        <v>0</v>
      </c>
      <c r="Z154" s="283">
        <v>0</v>
      </c>
      <c r="AA154" s="283">
        <v>0</v>
      </c>
      <c r="AB154" s="283">
        <v>0</v>
      </c>
      <c r="AC154" s="283">
        <v>1</v>
      </c>
      <c r="AD154" s="283">
        <v>1</v>
      </c>
      <c r="AE154" s="283">
        <v>1</v>
      </c>
      <c r="AF154" s="283">
        <v>1</v>
      </c>
      <c r="AG154" s="283">
        <v>1</v>
      </c>
      <c r="AH154" s="283">
        <v>1</v>
      </c>
      <c r="AI154" s="283">
        <v>1</v>
      </c>
      <c r="AJ154" s="283">
        <v>1</v>
      </c>
    </row>
    <row r="155" spans="1:36" ht="15">
      <c r="A155" s="263" t="s">
        <v>374</v>
      </c>
      <c r="B155" s="283" t="s">
        <v>306</v>
      </c>
      <c r="C155" s="283" t="s">
        <v>306</v>
      </c>
      <c r="D155" s="283" t="s">
        <v>306</v>
      </c>
      <c r="E155" s="283" t="s">
        <v>306</v>
      </c>
      <c r="F155" s="283" t="s">
        <v>306</v>
      </c>
      <c r="G155" s="283" t="s">
        <v>306</v>
      </c>
      <c r="H155" s="283" t="s">
        <v>306</v>
      </c>
      <c r="I155" s="283">
        <v>1</v>
      </c>
      <c r="J155" s="283">
        <v>1</v>
      </c>
      <c r="K155" s="283">
        <v>1</v>
      </c>
      <c r="L155" s="283">
        <v>1</v>
      </c>
      <c r="M155" s="283">
        <v>1</v>
      </c>
      <c r="N155" s="283">
        <v>3</v>
      </c>
      <c r="O155" s="283" t="s">
        <v>291</v>
      </c>
      <c r="P155" s="283">
        <v>1</v>
      </c>
      <c r="Q155" s="283">
        <v>4</v>
      </c>
      <c r="R155" s="283">
        <v>5</v>
      </c>
      <c r="S155" s="283">
        <v>3</v>
      </c>
      <c r="T155" s="283">
        <v>5</v>
      </c>
      <c r="U155" s="283">
        <v>5</v>
      </c>
      <c r="V155" s="283">
        <v>5</v>
      </c>
      <c r="W155" s="283">
        <v>3</v>
      </c>
      <c r="X155" s="283">
        <v>2</v>
      </c>
      <c r="Y155" s="283">
        <v>2</v>
      </c>
      <c r="Z155" s="283">
        <v>2</v>
      </c>
      <c r="AA155" s="283">
        <v>0</v>
      </c>
      <c r="AB155" s="283">
        <v>0</v>
      </c>
      <c r="AC155" s="283">
        <v>1</v>
      </c>
      <c r="AD155" s="283">
        <v>4</v>
      </c>
      <c r="AE155" s="283">
        <v>4</v>
      </c>
      <c r="AF155" s="283">
        <v>4</v>
      </c>
      <c r="AG155" s="283">
        <v>-9</v>
      </c>
      <c r="AH155" s="283" t="s">
        <v>291</v>
      </c>
      <c r="AI155" s="283" t="s">
        <v>291</v>
      </c>
      <c r="AJ155" s="283">
        <v>1</v>
      </c>
    </row>
    <row r="156" spans="1:36" ht="15">
      <c r="A156" s="263" t="s">
        <v>373</v>
      </c>
      <c r="B156" s="283">
        <v>23</v>
      </c>
      <c r="C156" s="283">
        <v>7</v>
      </c>
      <c r="D156" s="283">
        <v>7</v>
      </c>
      <c r="E156" s="283">
        <v>5</v>
      </c>
      <c r="F156" s="283">
        <v>-48</v>
      </c>
      <c r="G156" s="283">
        <v>6</v>
      </c>
      <c r="H156" s="283" t="s">
        <v>306</v>
      </c>
      <c r="I156" s="283">
        <v>-40</v>
      </c>
      <c r="J156" s="283">
        <v>-47</v>
      </c>
      <c r="K156" s="283">
        <v>-4</v>
      </c>
      <c r="L156" s="283">
        <v>6</v>
      </c>
      <c r="M156" s="283">
        <v>-7</v>
      </c>
      <c r="N156" s="283">
        <v>14</v>
      </c>
      <c r="O156" s="283">
        <v>12</v>
      </c>
      <c r="P156" s="283">
        <v>43</v>
      </c>
      <c r="Q156" s="283">
        <v>38</v>
      </c>
      <c r="R156" s="283">
        <v>-20</v>
      </c>
      <c r="S156" s="283">
        <v>10</v>
      </c>
      <c r="T156" s="283">
        <v>62</v>
      </c>
      <c r="U156" s="283">
        <v>81</v>
      </c>
      <c r="V156" s="283">
        <v>136</v>
      </c>
      <c r="W156" s="283">
        <v>140</v>
      </c>
      <c r="X156" s="283">
        <v>85</v>
      </c>
      <c r="Y156" s="283">
        <v>20</v>
      </c>
      <c r="Z156" s="283">
        <v>61</v>
      </c>
      <c r="AA156" s="283">
        <v>53</v>
      </c>
      <c r="AB156" s="283" t="s">
        <v>291</v>
      </c>
      <c r="AC156" s="283">
        <v>96</v>
      </c>
      <c r="AD156" s="283">
        <v>380</v>
      </c>
      <c r="AE156" s="283">
        <v>47</v>
      </c>
      <c r="AF156" s="283">
        <v>61</v>
      </c>
      <c r="AG156" s="283">
        <v>14</v>
      </c>
      <c r="AH156" s="283">
        <v>-26</v>
      </c>
      <c r="AI156" s="283">
        <v>-65</v>
      </c>
      <c r="AJ156" s="283">
        <v>-107</v>
      </c>
    </row>
    <row r="157" spans="1:36" ht="15">
      <c r="A157" s="263" t="s">
        <v>372</v>
      </c>
      <c r="B157" s="283">
        <v>0</v>
      </c>
      <c r="C157" s="283">
        <v>0</v>
      </c>
      <c r="D157" s="283">
        <v>0</v>
      </c>
      <c r="E157" s="283">
        <v>0</v>
      </c>
      <c r="F157" s="283">
        <v>0</v>
      </c>
      <c r="G157" s="283">
        <v>0</v>
      </c>
      <c r="H157" s="283">
        <v>0</v>
      </c>
      <c r="I157" s="283" t="s">
        <v>273</v>
      </c>
      <c r="J157" s="283" t="s">
        <v>273</v>
      </c>
      <c r="K157" s="283" t="s">
        <v>273</v>
      </c>
      <c r="L157" s="283" t="s">
        <v>273</v>
      </c>
      <c r="M157" s="283" t="s">
        <v>273</v>
      </c>
      <c r="N157" s="283" t="s">
        <v>273</v>
      </c>
      <c r="O157" s="283" t="s">
        <v>273</v>
      </c>
      <c r="P157" s="283" t="s">
        <v>273</v>
      </c>
      <c r="Q157" s="283" t="s">
        <v>273</v>
      </c>
      <c r="R157" s="283" t="s">
        <v>273</v>
      </c>
      <c r="S157" s="283" t="s">
        <v>273</v>
      </c>
      <c r="T157" s="283" t="s">
        <v>273</v>
      </c>
      <c r="U157" s="283" t="s">
        <v>273</v>
      </c>
      <c r="V157" s="283" t="s">
        <v>273</v>
      </c>
      <c r="W157" s="283" t="s">
        <v>273</v>
      </c>
      <c r="X157" s="283" t="s">
        <v>306</v>
      </c>
      <c r="Y157" s="283" t="s">
        <v>306</v>
      </c>
      <c r="Z157" s="283" t="s">
        <v>306</v>
      </c>
      <c r="AA157" s="283" t="s">
        <v>306</v>
      </c>
      <c r="AB157" s="283" t="s">
        <v>306</v>
      </c>
      <c r="AC157" s="283" t="s">
        <v>273</v>
      </c>
      <c r="AD157" s="283" t="s">
        <v>273</v>
      </c>
      <c r="AE157" s="283" t="s">
        <v>273</v>
      </c>
      <c r="AF157" s="283" t="s">
        <v>273</v>
      </c>
      <c r="AG157" s="283" t="s">
        <v>273</v>
      </c>
      <c r="AH157" s="283">
        <v>0</v>
      </c>
      <c r="AI157" s="283">
        <v>0</v>
      </c>
      <c r="AJ157" s="283">
        <v>0</v>
      </c>
    </row>
    <row r="158" spans="1:36" ht="15">
      <c r="A158" s="263" t="s">
        <v>371</v>
      </c>
      <c r="B158" s="283">
        <v>-11</v>
      </c>
      <c r="C158" s="283">
        <v>-12</v>
      </c>
      <c r="D158" s="283">
        <v>-8</v>
      </c>
      <c r="E158" s="283">
        <v>-1</v>
      </c>
      <c r="F158" s="283">
        <v>4</v>
      </c>
      <c r="G158" s="283" t="s">
        <v>291</v>
      </c>
      <c r="H158" s="283" t="s">
        <v>291</v>
      </c>
      <c r="I158" s="283">
        <v>25</v>
      </c>
      <c r="J158" s="283">
        <v>2</v>
      </c>
      <c r="K158" s="283">
        <v>-4</v>
      </c>
      <c r="L158" s="283">
        <v>4</v>
      </c>
      <c r="M158" s="283">
        <v>4</v>
      </c>
      <c r="N158" s="283">
        <v>48</v>
      </c>
      <c r="O158" s="283">
        <v>86</v>
      </c>
      <c r="P158" s="283">
        <v>26</v>
      </c>
      <c r="Q158" s="283">
        <v>36</v>
      </c>
      <c r="R158" s="283">
        <v>11</v>
      </c>
      <c r="S158" s="283" t="s">
        <v>306</v>
      </c>
      <c r="T158" s="283">
        <v>19</v>
      </c>
      <c r="U158" s="283">
        <v>31</v>
      </c>
      <c r="V158" s="283">
        <v>3</v>
      </c>
      <c r="W158" s="283" t="s">
        <v>291</v>
      </c>
      <c r="X158" s="283">
        <v>2</v>
      </c>
      <c r="Y158" s="283">
        <v>14</v>
      </c>
      <c r="Z158" s="283">
        <v>70</v>
      </c>
      <c r="AA158" s="283">
        <v>86</v>
      </c>
      <c r="AB158" s="283" t="s">
        <v>291</v>
      </c>
      <c r="AC158" s="283">
        <v>197</v>
      </c>
      <c r="AD158" s="283">
        <v>138</v>
      </c>
      <c r="AE158" s="283">
        <v>489</v>
      </c>
      <c r="AF158" s="283" t="s">
        <v>291</v>
      </c>
      <c r="AG158" s="283" t="s">
        <v>291</v>
      </c>
      <c r="AH158" s="283" t="s">
        <v>291</v>
      </c>
      <c r="AI158" s="283">
        <v>149</v>
      </c>
      <c r="AJ158" s="283">
        <v>-15</v>
      </c>
    </row>
    <row r="159" spans="1:36" ht="15">
      <c r="A159" s="263" t="s">
        <v>370</v>
      </c>
      <c r="B159" s="283" t="s">
        <v>291</v>
      </c>
      <c r="C159" s="283" t="s">
        <v>291</v>
      </c>
      <c r="D159" s="283" t="s">
        <v>291</v>
      </c>
      <c r="E159" s="283" t="s">
        <v>291</v>
      </c>
      <c r="F159" s="283" t="s">
        <v>291</v>
      </c>
      <c r="G159" s="283" t="s">
        <v>291</v>
      </c>
      <c r="H159" s="283" t="s">
        <v>291</v>
      </c>
      <c r="I159" s="283" t="s">
        <v>291</v>
      </c>
      <c r="J159" s="283" t="s">
        <v>291</v>
      </c>
      <c r="K159" s="283" t="s">
        <v>291</v>
      </c>
      <c r="L159" s="283" t="s">
        <v>291</v>
      </c>
      <c r="M159" s="283" t="s">
        <v>291</v>
      </c>
      <c r="N159" s="283" t="s">
        <v>306</v>
      </c>
      <c r="O159" s="283">
        <v>15</v>
      </c>
      <c r="P159" s="283">
        <v>33</v>
      </c>
      <c r="Q159" s="283">
        <v>36</v>
      </c>
      <c r="R159" s="283" t="s">
        <v>291</v>
      </c>
      <c r="S159" s="283">
        <v>16</v>
      </c>
      <c r="T159" s="283" t="s">
        <v>291</v>
      </c>
      <c r="U159" s="283" t="s">
        <v>291</v>
      </c>
      <c r="V159" s="283">
        <v>32</v>
      </c>
      <c r="W159" s="283">
        <v>32</v>
      </c>
      <c r="X159" s="283">
        <v>23</v>
      </c>
      <c r="Y159" s="283" t="s">
        <v>291</v>
      </c>
      <c r="Z159" s="283" t="s">
        <v>291</v>
      </c>
      <c r="AA159" s="283" t="s">
        <v>291</v>
      </c>
      <c r="AB159" s="283" t="s">
        <v>291</v>
      </c>
      <c r="AC159" s="283" t="s">
        <v>291</v>
      </c>
      <c r="AD159" s="283" t="s">
        <v>291</v>
      </c>
      <c r="AE159" s="283" t="s">
        <v>291</v>
      </c>
      <c r="AF159" s="283">
        <v>62</v>
      </c>
      <c r="AG159" s="283">
        <v>43</v>
      </c>
      <c r="AH159" s="283" t="s">
        <v>291</v>
      </c>
      <c r="AI159" s="283" t="s">
        <v>291</v>
      </c>
      <c r="AJ159" s="283" t="s">
        <v>291</v>
      </c>
    </row>
    <row r="160" spans="1:36" s="260" customFormat="1" ht="15">
      <c r="A160" s="263" t="s">
        <v>1025</v>
      </c>
      <c r="B160" s="283" t="s">
        <v>273</v>
      </c>
      <c r="C160" s="283" t="s">
        <v>273</v>
      </c>
      <c r="D160" s="283" t="s">
        <v>273</v>
      </c>
      <c r="E160" s="283" t="s">
        <v>273</v>
      </c>
      <c r="F160" s="283" t="s">
        <v>273</v>
      </c>
      <c r="G160" s="283" t="s">
        <v>273</v>
      </c>
      <c r="H160" s="283" t="s">
        <v>273</v>
      </c>
      <c r="I160" s="283" t="s">
        <v>273</v>
      </c>
      <c r="J160" s="283" t="s">
        <v>273</v>
      </c>
      <c r="K160" s="283" t="s">
        <v>273</v>
      </c>
      <c r="L160" s="283" t="s">
        <v>273</v>
      </c>
      <c r="M160" s="283" t="s">
        <v>273</v>
      </c>
      <c r="N160" s="283" t="s">
        <v>273</v>
      </c>
      <c r="O160" s="283" t="s">
        <v>273</v>
      </c>
      <c r="P160" s="283" t="s">
        <v>273</v>
      </c>
      <c r="Q160" s="283" t="s">
        <v>273</v>
      </c>
      <c r="R160" s="283" t="s">
        <v>273</v>
      </c>
      <c r="S160" s="283" t="s">
        <v>273</v>
      </c>
      <c r="T160" s="283" t="s">
        <v>273</v>
      </c>
      <c r="U160" s="283" t="s">
        <v>273</v>
      </c>
      <c r="V160" s="283" t="s">
        <v>273</v>
      </c>
      <c r="W160" s="283" t="s">
        <v>273</v>
      </c>
      <c r="X160" s="283" t="s">
        <v>273</v>
      </c>
      <c r="Y160" s="283" t="s">
        <v>273</v>
      </c>
      <c r="Z160" s="283" t="s">
        <v>273</v>
      </c>
      <c r="AA160" s="283" t="s">
        <v>273</v>
      </c>
      <c r="AB160" s="283" t="s">
        <v>273</v>
      </c>
      <c r="AC160" s="283" t="s">
        <v>273</v>
      </c>
      <c r="AD160" s="283" t="s">
        <v>273</v>
      </c>
      <c r="AE160" s="283" t="s">
        <v>273</v>
      </c>
      <c r="AF160" s="283" t="s">
        <v>273</v>
      </c>
      <c r="AG160" s="283" t="s">
        <v>273</v>
      </c>
      <c r="AH160" s="283">
        <v>0</v>
      </c>
      <c r="AI160" s="283">
        <v>0</v>
      </c>
      <c r="AJ160" s="283">
        <v>0</v>
      </c>
    </row>
    <row r="161" spans="1:36" ht="15">
      <c r="A161" s="263" t="s">
        <v>369</v>
      </c>
      <c r="B161" s="283">
        <v>14</v>
      </c>
      <c r="C161" s="283">
        <v>4</v>
      </c>
      <c r="D161" s="283">
        <v>3</v>
      </c>
      <c r="E161" s="283">
        <v>-2</v>
      </c>
      <c r="F161" s="283">
        <v>7</v>
      </c>
      <c r="G161" s="283">
        <v>7</v>
      </c>
      <c r="H161" s="283">
        <v>13</v>
      </c>
      <c r="I161" s="283">
        <v>-4</v>
      </c>
      <c r="J161" s="283">
        <v>-6</v>
      </c>
      <c r="K161" s="283">
        <v>10</v>
      </c>
      <c r="L161" s="283">
        <v>17</v>
      </c>
      <c r="M161" s="283">
        <v>14</v>
      </c>
      <c r="N161" s="283">
        <v>28</v>
      </c>
      <c r="O161" s="283">
        <v>20</v>
      </c>
      <c r="P161" s="283">
        <v>18</v>
      </c>
      <c r="Q161" s="283">
        <v>56</v>
      </c>
      <c r="R161" s="283">
        <v>38</v>
      </c>
      <c r="S161" s="283">
        <v>10</v>
      </c>
      <c r="T161" s="283">
        <v>-3</v>
      </c>
      <c r="U161" s="283">
        <v>13</v>
      </c>
      <c r="V161" s="283">
        <v>12</v>
      </c>
      <c r="W161" s="283">
        <v>18</v>
      </c>
      <c r="X161" s="283">
        <v>-1</v>
      </c>
      <c r="Y161" s="283">
        <v>6</v>
      </c>
      <c r="Z161" s="283">
        <v>2</v>
      </c>
      <c r="AA161" s="283">
        <v>9</v>
      </c>
      <c r="AB161" s="283">
        <v>9</v>
      </c>
      <c r="AC161" s="283">
        <v>25</v>
      </c>
      <c r="AD161" s="283">
        <v>27</v>
      </c>
      <c r="AE161" s="283">
        <v>-43</v>
      </c>
      <c r="AF161" s="283">
        <v>-102</v>
      </c>
      <c r="AG161" s="283">
        <v>-82</v>
      </c>
      <c r="AH161" s="283">
        <v>4</v>
      </c>
      <c r="AI161" s="283">
        <v>30</v>
      </c>
      <c r="AJ161" s="283">
        <v>55</v>
      </c>
    </row>
    <row r="162" spans="1:36" ht="15">
      <c r="A162" s="263" t="s">
        <v>368</v>
      </c>
      <c r="B162" s="283">
        <v>-1</v>
      </c>
      <c r="C162" s="283">
        <v>-1</v>
      </c>
      <c r="D162" s="283">
        <v>-1</v>
      </c>
      <c r="E162" s="283">
        <v>-1</v>
      </c>
      <c r="F162" s="283">
        <v>-2</v>
      </c>
      <c r="G162" s="283">
        <v>-1</v>
      </c>
      <c r="H162" s="283">
        <v>-1</v>
      </c>
      <c r="I162" s="283" t="s">
        <v>306</v>
      </c>
      <c r="J162" s="283" t="s">
        <v>306</v>
      </c>
      <c r="K162" s="283" t="s">
        <v>306</v>
      </c>
      <c r="L162" s="283" t="s">
        <v>306</v>
      </c>
      <c r="M162" s="283" t="s">
        <v>306</v>
      </c>
      <c r="N162" s="283" t="s">
        <v>306</v>
      </c>
      <c r="O162" s="283" t="s">
        <v>306</v>
      </c>
      <c r="P162" s="283" t="s">
        <v>306</v>
      </c>
      <c r="Q162" s="283" t="s">
        <v>306</v>
      </c>
      <c r="R162" s="283" t="s">
        <v>306</v>
      </c>
      <c r="S162" s="283">
        <v>1</v>
      </c>
      <c r="T162" s="283" t="s">
        <v>306</v>
      </c>
      <c r="U162" s="283" t="s">
        <v>306</v>
      </c>
      <c r="V162" s="283" t="s">
        <v>306</v>
      </c>
      <c r="W162" s="283" t="s">
        <v>306</v>
      </c>
      <c r="X162" s="283" t="s">
        <v>273</v>
      </c>
      <c r="Y162" s="283" t="s">
        <v>273</v>
      </c>
      <c r="Z162" s="283" t="s">
        <v>273</v>
      </c>
      <c r="AA162" s="283">
        <v>0</v>
      </c>
      <c r="AB162" s="283">
        <v>0</v>
      </c>
      <c r="AC162" s="283" t="s">
        <v>306</v>
      </c>
      <c r="AD162" s="283" t="s">
        <v>306</v>
      </c>
      <c r="AE162" s="283" t="s">
        <v>306</v>
      </c>
      <c r="AF162" s="283" t="s">
        <v>306</v>
      </c>
      <c r="AG162" s="283" t="s">
        <v>306</v>
      </c>
      <c r="AH162" s="283" t="s">
        <v>306</v>
      </c>
      <c r="AI162" s="283" t="s">
        <v>306</v>
      </c>
      <c r="AJ162" s="283" t="s">
        <v>306</v>
      </c>
    </row>
    <row r="163" spans="1:36" ht="15">
      <c r="A163" s="263" t="s">
        <v>367</v>
      </c>
      <c r="B163" s="283">
        <v>-55</v>
      </c>
      <c r="C163" s="283">
        <v>-3</v>
      </c>
      <c r="D163" s="283">
        <v>-14</v>
      </c>
      <c r="E163" s="283">
        <v>-48</v>
      </c>
      <c r="F163" s="283">
        <v>18</v>
      </c>
      <c r="G163" s="283">
        <v>25</v>
      </c>
      <c r="H163" s="283">
        <v>41</v>
      </c>
      <c r="I163" s="283">
        <v>38</v>
      </c>
      <c r="J163" s="283">
        <v>13</v>
      </c>
      <c r="K163" s="283">
        <v>-16</v>
      </c>
      <c r="L163" s="283">
        <v>2</v>
      </c>
      <c r="M163" s="283">
        <v>6</v>
      </c>
      <c r="N163" s="283">
        <v>16</v>
      </c>
      <c r="O163" s="283">
        <v>20</v>
      </c>
      <c r="P163" s="283">
        <v>16</v>
      </c>
      <c r="Q163" s="283">
        <v>1</v>
      </c>
      <c r="R163" s="283">
        <v>7</v>
      </c>
      <c r="S163" s="283">
        <v>-150</v>
      </c>
      <c r="T163" s="283">
        <v>-121</v>
      </c>
      <c r="U163" s="283">
        <v>-41</v>
      </c>
      <c r="V163" s="283">
        <v>-62</v>
      </c>
      <c r="W163" s="283">
        <v>36</v>
      </c>
      <c r="X163" s="283">
        <v>174</v>
      </c>
      <c r="Y163" s="283">
        <v>166</v>
      </c>
      <c r="Z163" s="283">
        <v>122</v>
      </c>
      <c r="AA163" s="283">
        <v>93</v>
      </c>
      <c r="AB163" s="283">
        <v>91</v>
      </c>
      <c r="AC163" s="283" t="s">
        <v>291</v>
      </c>
      <c r="AD163" s="283">
        <v>59</v>
      </c>
      <c r="AE163" s="283">
        <v>39</v>
      </c>
      <c r="AF163" s="283">
        <v>4</v>
      </c>
      <c r="AG163" s="283">
        <v>-67</v>
      </c>
      <c r="AH163" s="283">
        <v>-141</v>
      </c>
      <c r="AI163" s="283">
        <v>-79</v>
      </c>
      <c r="AJ163" s="283">
        <v>-60</v>
      </c>
    </row>
    <row r="164" spans="1:36" ht="15">
      <c r="A164" s="263" t="s">
        <v>366</v>
      </c>
      <c r="B164" s="283">
        <v>155</v>
      </c>
      <c r="C164" s="283">
        <v>244</v>
      </c>
      <c r="D164" s="283">
        <v>108</v>
      </c>
      <c r="E164" s="283">
        <v>95</v>
      </c>
      <c r="F164" s="283">
        <v>-26</v>
      </c>
      <c r="G164" s="283">
        <v>-6</v>
      </c>
      <c r="H164" s="283">
        <v>-3</v>
      </c>
      <c r="I164" s="283">
        <v>-7</v>
      </c>
      <c r="J164" s="283">
        <v>-2</v>
      </c>
      <c r="K164" s="283">
        <v>-5</v>
      </c>
      <c r="L164" s="283">
        <v>-2</v>
      </c>
      <c r="M164" s="283">
        <v>-1</v>
      </c>
      <c r="N164" s="283">
        <v>6</v>
      </c>
      <c r="O164" s="283">
        <v>9</v>
      </c>
      <c r="P164" s="283" t="s">
        <v>291</v>
      </c>
      <c r="Q164" s="283" t="s">
        <v>291</v>
      </c>
      <c r="R164" s="283" t="s">
        <v>291</v>
      </c>
      <c r="S164" s="283" t="s">
        <v>291</v>
      </c>
      <c r="T164" s="283">
        <v>3</v>
      </c>
      <c r="U164" s="283">
        <v>3</v>
      </c>
      <c r="V164" s="283">
        <v>2</v>
      </c>
      <c r="W164" s="283">
        <v>4</v>
      </c>
      <c r="X164" s="283">
        <v>-12</v>
      </c>
      <c r="Y164" s="283" t="s">
        <v>291</v>
      </c>
      <c r="Z164" s="283">
        <v>-3</v>
      </c>
      <c r="AA164" s="283" t="s">
        <v>291</v>
      </c>
      <c r="AB164" s="283">
        <v>150</v>
      </c>
      <c r="AC164" s="283">
        <v>-181</v>
      </c>
      <c r="AD164" s="283" t="s">
        <v>291</v>
      </c>
      <c r="AE164" s="283" t="s">
        <v>291</v>
      </c>
      <c r="AF164" s="283">
        <v>318</v>
      </c>
      <c r="AG164" s="283">
        <v>70</v>
      </c>
      <c r="AH164" s="283">
        <v>41</v>
      </c>
      <c r="AI164" s="283" t="s">
        <v>291</v>
      </c>
      <c r="AJ164" s="283">
        <v>-148</v>
      </c>
    </row>
    <row r="165" spans="1:36" ht="15">
      <c r="A165" s="263" t="s">
        <v>365</v>
      </c>
      <c r="B165" s="283">
        <v>-9</v>
      </c>
      <c r="C165" s="283" t="s">
        <v>291</v>
      </c>
      <c r="D165" s="283" t="s">
        <v>291</v>
      </c>
      <c r="E165" s="283" t="s">
        <v>291</v>
      </c>
      <c r="F165" s="283" t="s">
        <v>291</v>
      </c>
      <c r="G165" s="283">
        <v>-9</v>
      </c>
      <c r="H165" s="283">
        <v>-4</v>
      </c>
      <c r="I165" s="283">
        <v>-4</v>
      </c>
      <c r="J165" s="283">
        <v>-4</v>
      </c>
      <c r="K165" s="283" t="s">
        <v>291</v>
      </c>
      <c r="L165" s="283" t="s">
        <v>291</v>
      </c>
      <c r="M165" s="283">
        <v>-5</v>
      </c>
      <c r="N165" s="283" t="s">
        <v>273</v>
      </c>
      <c r="O165" s="283" t="s">
        <v>273</v>
      </c>
      <c r="P165" s="283" t="s">
        <v>273</v>
      </c>
      <c r="Q165" s="283" t="s">
        <v>273</v>
      </c>
      <c r="R165" s="283" t="s">
        <v>273</v>
      </c>
      <c r="S165" s="283" t="s">
        <v>306</v>
      </c>
      <c r="T165" s="283" t="s">
        <v>306</v>
      </c>
      <c r="U165" s="283" t="s">
        <v>306</v>
      </c>
      <c r="V165" s="283" t="s">
        <v>306</v>
      </c>
      <c r="W165" s="283" t="s">
        <v>306</v>
      </c>
      <c r="X165" s="283">
        <v>-11</v>
      </c>
      <c r="Y165" s="283">
        <v>-11</v>
      </c>
      <c r="Z165" s="283">
        <v>-11</v>
      </c>
      <c r="AA165" s="283">
        <v>-12</v>
      </c>
      <c r="AB165" s="283">
        <v>-9</v>
      </c>
      <c r="AC165" s="283">
        <v>3</v>
      </c>
      <c r="AD165" s="283">
        <v>3</v>
      </c>
      <c r="AE165" s="283">
        <v>3</v>
      </c>
      <c r="AF165" s="283">
        <v>3</v>
      </c>
      <c r="AG165" s="283">
        <v>3</v>
      </c>
      <c r="AH165" s="283">
        <v>3</v>
      </c>
      <c r="AI165" s="283">
        <v>3</v>
      </c>
      <c r="AJ165" s="283">
        <v>3</v>
      </c>
    </row>
    <row r="166" spans="1:36" ht="15">
      <c r="A166" s="263" t="s">
        <v>364</v>
      </c>
      <c r="B166" s="283">
        <v>1</v>
      </c>
      <c r="C166" s="283" t="s">
        <v>306</v>
      </c>
      <c r="D166" s="283">
        <v>2</v>
      </c>
      <c r="E166" s="283">
        <v>2</v>
      </c>
      <c r="F166" s="283">
        <v>2</v>
      </c>
      <c r="G166" s="283">
        <v>1</v>
      </c>
      <c r="H166" s="283">
        <v>1</v>
      </c>
      <c r="I166" s="283" t="s">
        <v>306</v>
      </c>
      <c r="J166" s="283" t="s">
        <v>306</v>
      </c>
      <c r="K166" s="283" t="s">
        <v>306</v>
      </c>
      <c r="L166" s="283" t="s">
        <v>306</v>
      </c>
      <c r="M166" s="283">
        <v>-2</v>
      </c>
      <c r="N166" s="283">
        <v>1</v>
      </c>
      <c r="O166" s="283">
        <v>2</v>
      </c>
      <c r="P166" s="283">
        <v>1</v>
      </c>
      <c r="Q166" s="283">
        <v>2</v>
      </c>
      <c r="R166" s="283">
        <v>-1</v>
      </c>
      <c r="S166" s="283">
        <v>-3</v>
      </c>
      <c r="T166" s="283">
        <v>-4</v>
      </c>
      <c r="U166" s="283">
        <v>-4</v>
      </c>
      <c r="V166" s="283">
        <v>-4</v>
      </c>
      <c r="W166" s="283">
        <v>1</v>
      </c>
      <c r="X166" s="283" t="s">
        <v>306</v>
      </c>
      <c r="Y166" s="283" t="s">
        <v>306</v>
      </c>
      <c r="Z166" s="283" t="s">
        <v>306</v>
      </c>
      <c r="AA166" s="283" t="s">
        <v>306</v>
      </c>
      <c r="AB166" s="283" t="s">
        <v>306</v>
      </c>
      <c r="AC166" s="283" t="s">
        <v>306</v>
      </c>
      <c r="AD166" s="283" t="s">
        <v>306</v>
      </c>
      <c r="AE166" s="283" t="s">
        <v>306</v>
      </c>
      <c r="AF166" s="283" t="s">
        <v>306</v>
      </c>
      <c r="AG166" s="283" t="s">
        <v>306</v>
      </c>
      <c r="AH166" s="283" t="s">
        <v>306</v>
      </c>
      <c r="AI166" s="283">
        <v>4</v>
      </c>
      <c r="AJ166" s="283">
        <v>6</v>
      </c>
    </row>
    <row r="167" spans="1:36" ht="15">
      <c r="A167" s="263" t="s">
        <v>363</v>
      </c>
      <c r="B167" s="283">
        <v>-9</v>
      </c>
      <c r="C167" s="283">
        <v>-1</v>
      </c>
      <c r="D167" s="283">
        <v>2</v>
      </c>
      <c r="E167" s="283">
        <v>1</v>
      </c>
      <c r="F167" s="283">
        <v>1</v>
      </c>
      <c r="G167" s="283" t="s">
        <v>306</v>
      </c>
      <c r="H167" s="283" t="s">
        <v>306</v>
      </c>
      <c r="I167" s="283">
        <v>1</v>
      </c>
      <c r="J167" s="283">
        <v>2</v>
      </c>
      <c r="K167" s="283">
        <v>1</v>
      </c>
      <c r="L167" s="283" t="s">
        <v>306</v>
      </c>
      <c r="M167" s="283">
        <v>1</v>
      </c>
      <c r="N167" s="283">
        <v>2</v>
      </c>
      <c r="O167" s="283" t="s">
        <v>306</v>
      </c>
      <c r="P167" s="283">
        <v>16</v>
      </c>
      <c r="Q167" s="283">
        <v>23</v>
      </c>
      <c r="R167" s="283" t="s">
        <v>306</v>
      </c>
      <c r="S167" s="283">
        <v>1</v>
      </c>
      <c r="T167" s="283">
        <v>1</v>
      </c>
      <c r="U167" s="283" t="s">
        <v>306</v>
      </c>
      <c r="V167" s="283">
        <v>-5</v>
      </c>
      <c r="W167" s="283">
        <v>-5</v>
      </c>
      <c r="X167" s="283" t="s">
        <v>306</v>
      </c>
      <c r="Y167" s="283">
        <v>0</v>
      </c>
      <c r="Z167" s="283">
        <v>0</v>
      </c>
      <c r="AA167" s="283" t="s">
        <v>273</v>
      </c>
      <c r="AB167" s="283" t="s">
        <v>273</v>
      </c>
      <c r="AC167" s="283">
        <v>0</v>
      </c>
      <c r="AD167" s="283">
        <v>0</v>
      </c>
      <c r="AE167" s="283">
        <v>0</v>
      </c>
      <c r="AF167" s="283">
        <v>0</v>
      </c>
      <c r="AG167" s="283">
        <v>0</v>
      </c>
      <c r="AH167" s="283">
        <v>0</v>
      </c>
      <c r="AI167" s="283">
        <v>0</v>
      </c>
      <c r="AJ167" s="283">
        <v>0</v>
      </c>
    </row>
    <row r="168" spans="1:36" ht="15">
      <c r="A168" s="263" t="s">
        <v>362</v>
      </c>
      <c r="B168" s="283" t="s">
        <v>306</v>
      </c>
      <c r="C168" s="283">
        <v>1</v>
      </c>
      <c r="D168" s="283" t="s">
        <v>306</v>
      </c>
      <c r="E168" s="283" t="s">
        <v>306</v>
      </c>
      <c r="F168" s="283" t="s">
        <v>306</v>
      </c>
      <c r="G168" s="283" t="s">
        <v>306</v>
      </c>
      <c r="H168" s="283" t="s">
        <v>306</v>
      </c>
      <c r="I168" s="283">
        <v>-5</v>
      </c>
      <c r="J168" s="283">
        <v>-5</v>
      </c>
      <c r="K168" s="283">
        <v>-5</v>
      </c>
      <c r="L168" s="283">
        <v>-5</v>
      </c>
      <c r="M168" s="283">
        <v>-5</v>
      </c>
      <c r="N168" s="283" t="s">
        <v>273</v>
      </c>
      <c r="O168" s="283" t="s">
        <v>273</v>
      </c>
      <c r="P168" s="283" t="s">
        <v>273</v>
      </c>
      <c r="Q168" s="283" t="s">
        <v>273</v>
      </c>
      <c r="R168" s="283" t="s">
        <v>273</v>
      </c>
      <c r="S168" s="283" t="s">
        <v>306</v>
      </c>
      <c r="T168" s="283" t="s">
        <v>306</v>
      </c>
      <c r="U168" s="283" t="s">
        <v>306</v>
      </c>
      <c r="V168" s="283" t="s">
        <v>306</v>
      </c>
      <c r="W168" s="283" t="s">
        <v>306</v>
      </c>
      <c r="X168" s="283" t="s">
        <v>306</v>
      </c>
      <c r="Y168" s="283" t="s">
        <v>306</v>
      </c>
      <c r="Z168" s="283" t="s">
        <v>306</v>
      </c>
      <c r="AA168" s="283" t="s">
        <v>306</v>
      </c>
      <c r="AB168" s="283" t="s">
        <v>306</v>
      </c>
      <c r="AC168" s="283" t="s">
        <v>273</v>
      </c>
      <c r="AD168" s="283" t="s">
        <v>273</v>
      </c>
      <c r="AE168" s="283" t="s">
        <v>273</v>
      </c>
      <c r="AF168" s="283" t="s">
        <v>273</v>
      </c>
      <c r="AG168" s="283" t="s">
        <v>273</v>
      </c>
      <c r="AH168" s="283">
        <v>0</v>
      </c>
      <c r="AI168" s="283">
        <v>0</v>
      </c>
      <c r="AJ168" s="283" t="s">
        <v>291</v>
      </c>
    </row>
    <row r="169" spans="1:36" ht="15">
      <c r="A169" s="263" t="s">
        <v>361</v>
      </c>
      <c r="B169" s="283" t="s">
        <v>306</v>
      </c>
      <c r="C169" s="283" t="s">
        <v>306</v>
      </c>
      <c r="D169" s="283" t="s">
        <v>306</v>
      </c>
      <c r="E169" s="283" t="s">
        <v>306</v>
      </c>
      <c r="F169" s="283">
        <v>1</v>
      </c>
      <c r="G169" s="283">
        <v>2</v>
      </c>
      <c r="H169" s="283" t="s">
        <v>306</v>
      </c>
      <c r="I169" s="283" t="s">
        <v>306</v>
      </c>
      <c r="J169" s="283" t="s">
        <v>306</v>
      </c>
      <c r="K169" s="283" t="s">
        <v>306</v>
      </c>
      <c r="L169" s="283" t="s">
        <v>306</v>
      </c>
      <c r="M169" s="283" t="s">
        <v>306</v>
      </c>
      <c r="N169" s="283">
        <v>1</v>
      </c>
      <c r="O169" s="283">
        <v>2</v>
      </c>
      <c r="P169" s="283">
        <v>4</v>
      </c>
      <c r="Q169" s="283">
        <v>2</v>
      </c>
      <c r="R169" s="283">
        <v>33</v>
      </c>
      <c r="S169" s="283">
        <v>-6</v>
      </c>
      <c r="T169" s="283">
        <v>-16</v>
      </c>
      <c r="U169" s="283">
        <v>60</v>
      </c>
      <c r="V169" s="283">
        <v>-142</v>
      </c>
      <c r="W169" s="283">
        <v>-55</v>
      </c>
      <c r="X169" s="283">
        <v>19</v>
      </c>
      <c r="Y169" s="283">
        <v>108</v>
      </c>
      <c r="Z169" s="283">
        <v>81</v>
      </c>
      <c r="AA169" s="283">
        <v>285</v>
      </c>
      <c r="AB169" s="283">
        <v>-151</v>
      </c>
      <c r="AC169" s="283">
        <v>448</v>
      </c>
      <c r="AD169" s="283">
        <v>237</v>
      </c>
      <c r="AE169" s="283">
        <v>228</v>
      </c>
      <c r="AF169" s="283">
        <v>-22</v>
      </c>
      <c r="AG169" s="283">
        <v>477</v>
      </c>
      <c r="AH169" s="283">
        <v>360</v>
      </c>
      <c r="AI169" s="283">
        <v>447</v>
      </c>
      <c r="AJ169" s="283">
        <v>56</v>
      </c>
    </row>
    <row r="170" spans="1:36" ht="15">
      <c r="A170" s="263" t="s">
        <v>360</v>
      </c>
      <c r="B170" s="283">
        <v>-15</v>
      </c>
      <c r="C170" s="283">
        <v>-21</v>
      </c>
      <c r="D170" s="283">
        <v>-11</v>
      </c>
      <c r="E170" s="283">
        <v>-41</v>
      </c>
      <c r="F170" s="283">
        <v>-1</v>
      </c>
      <c r="G170" s="283">
        <v>-1</v>
      </c>
      <c r="H170" s="283">
        <v>1</v>
      </c>
      <c r="I170" s="283">
        <v>15</v>
      </c>
      <c r="J170" s="283">
        <v>16</v>
      </c>
      <c r="K170" s="283">
        <v>14</v>
      </c>
      <c r="L170" s="283">
        <v>15</v>
      </c>
      <c r="M170" s="283">
        <v>15</v>
      </c>
      <c r="N170" s="283">
        <v>13</v>
      </c>
      <c r="O170" s="283">
        <v>18</v>
      </c>
      <c r="P170" s="283">
        <v>11</v>
      </c>
      <c r="Q170" s="283">
        <v>-1</v>
      </c>
      <c r="R170" s="283">
        <v>9</v>
      </c>
      <c r="S170" s="283">
        <v>59</v>
      </c>
      <c r="T170" s="283">
        <v>53</v>
      </c>
      <c r="U170" s="283">
        <v>61</v>
      </c>
      <c r="V170" s="283">
        <v>56</v>
      </c>
      <c r="W170" s="283">
        <v>20</v>
      </c>
      <c r="X170" s="283">
        <v>-4</v>
      </c>
      <c r="Y170" s="283">
        <v>-4</v>
      </c>
      <c r="Z170" s="283">
        <v>-23</v>
      </c>
      <c r="AA170" s="283">
        <v>107</v>
      </c>
      <c r="AB170" s="283">
        <v>30</v>
      </c>
      <c r="AC170" s="283">
        <v>48</v>
      </c>
      <c r="AD170" s="283">
        <v>31</v>
      </c>
      <c r="AE170" s="283">
        <v>40</v>
      </c>
      <c r="AF170" s="283">
        <v>92</v>
      </c>
      <c r="AG170" s="283">
        <v>38</v>
      </c>
      <c r="AH170" s="283">
        <v>3</v>
      </c>
      <c r="AI170" s="283">
        <v>23</v>
      </c>
      <c r="AJ170" s="283">
        <v>-31</v>
      </c>
    </row>
    <row r="171" spans="1:36" ht="15">
      <c r="A171" s="263" t="s">
        <v>359</v>
      </c>
      <c r="B171" s="283" t="s">
        <v>306</v>
      </c>
      <c r="C171" s="283" t="s">
        <v>306</v>
      </c>
      <c r="D171" s="283">
        <v>-6</v>
      </c>
      <c r="E171" s="283">
        <v>-2</v>
      </c>
      <c r="F171" s="283">
        <v>-8</v>
      </c>
      <c r="G171" s="283">
        <v>0</v>
      </c>
      <c r="H171" s="283">
        <v>0</v>
      </c>
      <c r="I171" s="283" t="s">
        <v>273</v>
      </c>
      <c r="J171" s="283" t="s">
        <v>273</v>
      </c>
      <c r="K171" s="283" t="s">
        <v>273</v>
      </c>
      <c r="L171" s="283" t="s">
        <v>273</v>
      </c>
      <c r="M171" s="283" t="s">
        <v>273</v>
      </c>
      <c r="N171" s="283">
        <v>1</v>
      </c>
      <c r="O171" s="283">
        <v>1</v>
      </c>
      <c r="P171" s="283">
        <v>1</v>
      </c>
      <c r="Q171" s="283">
        <v>1</v>
      </c>
      <c r="R171" s="283">
        <v>1</v>
      </c>
      <c r="S171" s="283">
        <v>1</v>
      </c>
      <c r="T171" s="283">
        <v>1</v>
      </c>
      <c r="U171" s="283">
        <v>4</v>
      </c>
      <c r="V171" s="283">
        <v>1</v>
      </c>
      <c r="W171" s="283">
        <v>2</v>
      </c>
      <c r="X171" s="283" t="s">
        <v>306</v>
      </c>
      <c r="Y171" s="283" t="s">
        <v>306</v>
      </c>
      <c r="Z171" s="283">
        <v>-3</v>
      </c>
      <c r="AA171" s="283">
        <v>-3</v>
      </c>
      <c r="AB171" s="283">
        <v>-3</v>
      </c>
      <c r="AC171" s="283" t="s">
        <v>306</v>
      </c>
      <c r="AD171" s="283" t="s">
        <v>306</v>
      </c>
      <c r="AE171" s="283" t="s">
        <v>306</v>
      </c>
      <c r="AF171" s="283">
        <v>8</v>
      </c>
      <c r="AG171" s="283" t="s">
        <v>291</v>
      </c>
      <c r="AH171" s="283" t="s">
        <v>291</v>
      </c>
      <c r="AI171" s="283" t="s">
        <v>291</v>
      </c>
      <c r="AJ171" s="283">
        <v>9</v>
      </c>
    </row>
    <row r="172" spans="1:36" ht="15">
      <c r="A172" s="263" t="s">
        <v>358</v>
      </c>
      <c r="B172" s="283">
        <v>-9</v>
      </c>
      <c r="C172" s="283">
        <v>-8</v>
      </c>
      <c r="D172" s="283">
        <v>-8</v>
      </c>
      <c r="E172" s="283" t="s">
        <v>306</v>
      </c>
      <c r="F172" s="283">
        <v>-1</v>
      </c>
      <c r="G172" s="283">
        <v>-5</v>
      </c>
      <c r="H172" s="283">
        <v>-1</v>
      </c>
      <c r="I172" s="283">
        <v>0</v>
      </c>
      <c r="J172" s="283">
        <v>0</v>
      </c>
      <c r="K172" s="283">
        <v>0</v>
      </c>
      <c r="L172" s="283">
        <v>0</v>
      </c>
      <c r="M172" s="283">
        <v>0</v>
      </c>
      <c r="N172" s="283" t="s">
        <v>306</v>
      </c>
      <c r="O172" s="283">
        <v>1</v>
      </c>
      <c r="P172" s="283">
        <v>1</v>
      </c>
      <c r="Q172" s="283">
        <v>1</v>
      </c>
      <c r="R172" s="283">
        <v>1</v>
      </c>
      <c r="S172" s="283" t="s">
        <v>306</v>
      </c>
      <c r="T172" s="283" t="s">
        <v>306</v>
      </c>
      <c r="U172" s="283" t="s">
        <v>306</v>
      </c>
      <c r="V172" s="283" t="s">
        <v>306</v>
      </c>
      <c r="W172" s="283" t="s">
        <v>306</v>
      </c>
      <c r="X172" s="283" t="s">
        <v>306</v>
      </c>
      <c r="Y172" s="283" t="s">
        <v>306</v>
      </c>
      <c r="Z172" s="283" t="s">
        <v>306</v>
      </c>
      <c r="AA172" s="283" t="s">
        <v>306</v>
      </c>
      <c r="AB172" s="283" t="s">
        <v>306</v>
      </c>
      <c r="AC172" s="283">
        <v>2</v>
      </c>
      <c r="AD172" s="283">
        <v>2</v>
      </c>
      <c r="AE172" s="283">
        <v>2</v>
      </c>
      <c r="AF172" s="283">
        <v>2</v>
      </c>
      <c r="AG172" s="283">
        <v>2</v>
      </c>
      <c r="AH172" s="283">
        <v>2</v>
      </c>
      <c r="AI172" s="283">
        <v>2</v>
      </c>
      <c r="AJ172" s="283">
        <v>1</v>
      </c>
    </row>
    <row r="173" spans="1:36" ht="15">
      <c r="A173" s="263" t="s">
        <v>357</v>
      </c>
      <c r="B173" s="283">
        <v>-2</v>
      </c>
      <c r="C173" s="283">
        <v>-3</v>
      </c>
      <c r="D173" s="283">
        <v>1</v>
      </c>
      <c r="E173" s="283" t="s">
        <v>306</v>
      </c>
      <c r="F173" s="283">
        <v>-2</v>
      </c>
      <c r="G173" s="283">
        <v>1</v>
      </c>
      <c r="H173" s="283" t="s">
        <v>306</v>
      </c>
      <c r="I173" s="283">
        <v>1</v>
      </c>
      <c r="J173" s="283" t="s">
        <v>306</v>
      </c>
      <c r="K173" s="283" t="s">
        <v>306</v>
      </c>
      <c r="L173" s="283" t="s">
        <v>306</v>
      </c>
      <c r="M173" s="283">
        <v>1</v>
      </c>
      <c r="N173" s="283">
        <v>-2</v>
      </c>
      <c r="O173" s="283">
        <v>-5</v>
      </c>
      <c r="P173" s="283">
        <v>-4</v>
      </c>
      <c r="Q173" s="283">
        <v>-3</v>
      </c>
      <c r="R173" s="283">
        <v>-4</v>
      </c>
      <c r="S173" s="283">
        <v>-2</v>
      </c>
      <c r="T173" s="283">
        <v>-1</v>
      </c>
      <c r="U173" s="283">
        <v>-1</v>
      </c>
      <c r="V173" s="283">
        <v>-1</v>
      </c>
      <c r="W173" s="283">
        <v>-1</v>
      </c>
      <c r="X173" s="283" t="s">
        <v>306</v>
      </c>
      <c r="Y173" s="283" t="s">
        <v>306</v>
      </c>
      <c r="Z173" s="283" t="s">
        <v>306</v>
      </c>
      <c r="AA173" s="283" t="s">
        <v>306</v>
      </c>
      <c r="AB173" s="283" t="s">
        <v>306</v>
      </c>
      <c r="AC173" s="283" t="s">
        <v>273</v>
      </c>
      <c r="AD173" s="283" t="s">
        <v>273</v>
      </c>
      <c r="AE173" s="283" t="s">
        <v>273</v>
      </c>
      <c r="AF173" s="283" t="s">
        <v>273</v>
      </c>
      <c r="AG173" s="283" t="s">
        <v>273</v>
      </c>
      <c r="AH173" s="283">
        <v>0</v>
      </c>
      <c r="AI173" s="283">
        <v>0</v>
      </c>
      <c r="AJ173" s="283">
        <v>0</v>
      </c>
    </row>
    <row r="174" spans="1:36" ht="15">
      <c r="A174" s="263" t="s">
        <v>356</v>
      </c>
      <c r="B174" s="283" t="s">
        <v>306</v>
      </c>
      <c r="C174" s="283" t="s">
        <v>306</v>
      </c>
      <c r="D174" s="283">
        <v>1</v>
      </c>
      <c r="E174" s="283">
        <v>1</v>
      </c>
      <c r="F174" s="283" t="s">
        <v>306</v>
      </c>
      <c r="G174" s="283" t="s">
        <v>306</v>
      </c>
      <c r="H174" s="283" t="s">
        <v>306</v>
      </c>
      <c r="I174" s="283" t="s">
        <v>306</v>
      </c>
      <c r="J174" s="283" t="s">
        <v>306</v>
      </c>
      <c r="K174" s="283" t="s">
        <v>306</v>
      </c>
      <c r="L174" s="283" t="s">
        <v>306</v>
      </c>
      <c r="M174" s="283" t="s">
        <v>306</v>
      </c>
      <c r="N174" s="283" t="s">
        <v>273</v>
      </c>
      <c r="O174" s="283" t="s">
        <v>273</v>
      </c>
      <c r="P174" s="283" t="s">
        <v>273</v>
      </c>
      <c r="Q174" s="283" t="s">
        <v>273</v>
      </c>
      <c r="R174" s="283" t="s">
        <v>273</v>
      </c>
      <c r="S174" s="283" t="s">
        <v>273</v>
      </c>
      <c r="T174" s="283" t="s">
        <v>273</v>
      </c>
      <c r="U174" s="283" t="s">
        <v>273</v>
      </c>
      <c r="V174" s="283" t="s">
        <v>273</v>
      </c>
      <c r="W174" s="283" t="s">
        <v>273</v>
      </c>
      <c r="X174" s="283">
        <v>1</v>
      </c>
      <c r="Y174" s="283">
        <v>1</v>
      </c>
      <c r="Z174" s="283">
        <v>1</v>
      </c>
      <c r="AA174" s="283">
        <v>1</v>
      </c>
      <c r="AB174" s="283">
        <v>1</v>
      </c>
      <c r="AC174" s="283" t="s">
        <v>273</v>
      </c>
      <c r="AD174" s="283" t="s">
        <v>273</v>
      </c>
      <c r="AE174" s="283" t="s">
        <v>273</v>
      </c>
      <c r="AF174" s="283" t="s">
        <v>273</v>
      </c>
      <c r="AG174" s="283" t="s">
        <v>273</v>
      </c>
      <c r="AH174" s="283">
        <v>0</v>
      </c>
      <c r="AI174" s="283">
        <v>0</v>
      </c>
      <c r="AJ174" s="283">
        <v>0</v>
      </c>
    </row>
    <row r="175" spans="1:36" ht="15">
      <c r="A175" s="263" t="s">
        <v>355</v>
      </c>
      <c r="B175" s="283" t="s">
        <v>273</v>
      </c>
      <c r="C175" s="283" t="s">
        <v>273</v>
      </c>
      <c r="D175" s="283" t="s">
        <v>273</v>
      </c>
      <c r="E175" s="283" t="s">
        <v>273</v>
      </c>
      <c r="F175" s="283" t="s">
        <v>273</v>
      </c>
      <c r="G175" s="283" t="s">
        <v>273</v>
      </c>
      <c r="H175" s="283" t="s">
        <v>273</v>
      </c>
      <c r="I175" s="283" t="s">
        <v>273</v>
      </c>
      <c r="J175" s="283" t="s">
        <v>273</v>
      </c>
      <c r="K175" s="283" t="s">
        <v>273</v>
      </c>
      <c r="L175" s="283" t="s">
        <v>273</v>
      </c>
      <c r="M175" s="283" t="s">
        <v>273</v>
      </c>
      <c r="N175" s="283" t="s">
        <v>273</v>
      </c>
      <c r="O175" s="283" t="s">
        <v>273</v>
      </c>
      <c r="P175" s="283" t="s">
        <v>273</v>
      </c>
      <c r="Q175" s="283" t="s">
        <v>273</v>
      </c>
      <c r="R175" s="283" t="s">
        <v>273</v>
      </c>
      <c r="S175" s="283" t="s">
        <v>273</v>
      </c>
      <c r="T175" s="283" t="s">
        <v>273</v>
      </c>
      <c r="U175" s="283" t="s">
        <v>273</v>
      </c>
      <c r="V175" s="283" t="s">
        <v>273</v>
      </c>
      <c r="W175" s="283" t="s">
        <v>273</v>
      </c>
      <c r="X175" s="283" t="s">
        <v>306</v>
      </c>
      <c r="Y175" s="283" t="s">
        <v>306</v>
      </c>
      <c r="Z175" s="283" t="s">
        <v>306</v>
      </c>
      <c r="AA175" s="283">
        <v>1</v>
      </c>
      <c r="AB175" s="283" t="s">
        <v>306</v>
      </c>
      <c r="AC175" s="283">
        <v>1</v>
      </c>
      <c r="AD175" s="283" t="s">
        <v>306</v>
      </c>
      <c r="AE175" s="283">
        <v>-5</v>
      </c>
      <c r="AF175" s="283">
        <v>-4</v>
      </c>
      <c r="AG175" s="283" t="s">
        <v>291</v>
      </c>
      <c r="AH175" s="283" t="s">
        <v>306</v>
      </c>
      <c r="AI175" s="283" t="s">
        <v>306</v>
      </c>
      <c r="AJ175" s="283" t="s">
        <v>306</v>
      </c>
    </row>
    <row r="176" spans="1:36" ht="15">
      <c r="A176" s="263" t="s">
        <v>354</v>
      </c>
      <c r="B176" s="283">
        <v>2</v>
      </c>
      <c r="C176" s="283">
        <v>3</v>
      </c>
      <c r="D176" s="283">
        <v>4</v>
      </c>
      <c r="E176" s="283">
        <v>1</v>
      </c>
      <c r="F176" s="283">
        <v>1</v>
      </c>
      <c r="G176" s="283">
        <v>1</v>
      </c>
      <c r="H176" s="283" t="s">
        <v>306</v>
      </c>
      <c r="I176" s="283">
        <v>2</v>
      </c>
      <c r="J176" s="283">
        <v>1</v>
      </c>
      <c r="K176" s="283" t="s">
        <v>306</v>
      </c>
      <c r="L176" s="283">
        <v>-2</v>
      </c>
      <c r="M176" s="283">
        <v>3</v>
      </c>
      <c r="N176" s="283">
        <v>8</v>
      </c>
      <c r="O176" s="283">
        <v>8</v>
      </c>
      <c r="P176" s="283">
        <v>11</v>
      </c>
      <c r="Q176" s="283">
        <v>11</v>
      </c>
      <c r="R176" s="283">
        <v>10</v>
      </c>
      <c r="S176" s="283">
        <v>12</v>
      </c>
      <c r="T176" s="283">
        <v>6</v>
      </c>
      <c r="U176" s="283">
        <v>6</v>
      </c>
      <c r="V176" s="283">
        <v>1</v>
      </c>
      <c r="W176" s="283">
        <v>-5</v>
      </c>
      <c r="X176" s="283">
        <v>-6</v>
      </c>
      <c r="Y176" s="283">
        <v>-9</v>
      </c>
      <c r="Z176" s="283">
        <v>5</v>
      </c>
      <c r="AA176" s="283">
        <v>-3</v>
      </c>
      <c r="AB176" s="283">
        <v>-6</v>
      </c>
      <c r="AC176" s="283">
        <v>-14</v>
      </c>
      <c r="AD176" s="283">
        <v>-54</v>
      </c>
      <c r="AE176" s="283">
        <v>-9</v>
      </c>
      <c r="AF176" s="283">
        <v>-9</v>
      </c>
      <c r="AG176" s="283">
        <v>2</v>
      </c>
      <c r="AH176" s="283">
        <v>2</v>
      </c>
      <c r="AI176" s="283">
        <v>1</v>
      </c>
      <c r="AJ176" s="283">
        <v>2</v>
      </c>
    </row>
    <row r="177" spans="1:36" ht="15">
      <c r="A177" s="263" t="s">
        <v>353</v>
      </c>
      <c r="B177" s="283" t="s">
        <v>273</v>
      </c>
      <c r="C177" s="283" t="s">
        <v>273</v>
      </c>
      <c r="D177" s="283" t="s">
        <v>273</v>
      </c>
      <c r="E177" s="283" t="s">
        <v>273</v>
      </c>
      <c r="F177" s="283" t="s">
        <v>273</v>
      </c>
      <c r="G177" s="283" t="s">
        <v>273</v>
      </c>
      <c r="H177" s="283" t="s">
        <v>273</v>
      </c>
      <c r="I177" s="283" t="s">
        <v>273</v>
      </c>
      <c r="J177" s="283" t="s">
        <v>273</v>
      </c>
      <c r="K177" s="283" t="s">
        <v>273</v>
      </c>
      <c r="L177" s="283" t="s">
        <v>273</v>
      </c>
      <c r="M177" s="283" t="s">
        <v>273</v>
      </c>
      <c r="N177" s="283" t="s">
        <v>273</v>
      </c>
      <c r="O177" s="283" t="s">
        <v>273</v>
      </c>
      <c r="P177" s="283" t="s">
        <v>273</v>
      </c>
      <c r="Q177" s="283" t="s">
        <v>273</v>
      </c>
      <c r="R177" s="283" t="s">
        <v>273</v>
      </c>
      <c r="S177" s="283" t="s">
        <v>306</v>
      </c>
      <c r="T177" s="283" t="s">
        <v>306</v>
      </c>
      <c r="U177" s="283" t="s">
        <v>306</v>
      </c>
      <c r="V177" s="283">
        <v>21</v>
      </c>
      <c r="W177" s="283">
        <v>27</v>
      </c>
      <c r="X177" s="283" t="s">
        <v>306</v>
      </c>
      <c r="Y177" s="283">
        <v>14</v>
      </c>
      <c r="Z177" s="283">
        <v>0</v>
      </c>
      <c r="AA177" s="283">
        <v>0</v>
      </c>
      <c r="AB177" s="283">
        <v>5</v>
      </c>
      <c r="AC177" s="283">
        <v>0</v>
      </c>
      <c r="AD177" s="283">
        <v>0</v>
      </c>
      <c r="AE177" s="283">
        <v>0</v>
      </c>
      <c r="AF177" s="283">
        <v>0</v>
      </c>
      <c r="AG177" s="283">
        <v>0</v>
      </c>
      <c r="AH177" s="283" t="s">
        <v>291</v>
      </c>
      <c r="AI177" s="283" t="s">
        <v>291</v>
      </c>
      <c r="AJ177" s="283" t="s">
        <v>291</v>
      </c>
    </row>
    <row r="178" spans="1:36" ht="15">
      <c r="A178" s="263" t="s">
        <v>352</v>
      </c>
      <c r="B178" s="283">
        <v>-50</v>
      </c>
      <c r="C178" s="283" t="s">
        <v>291</v>
      </c>
      <c r="D178" s="283">
        <v>8</v>
      </c>
      <c r="E178" s="283">
        <v>8</v>
      </c>
      <c r="F178" s="283" t="s">
        <v>291</v>
      </c>
      <c r="G178" s="283" t="s">
        <v>291</v>
      </c>
      <c r="H178" s="283">
        <v>8</v>
      </c>
      <c r="I178" s="283" t="s">
        <v>291</v>
      </c>
      <c r="J178" s="283" t="s">
        <v>291</v>
      </c>
      <c r="K178" s="283" t="s">
        <v>291</v>
      </c>
      <c r="L178" s="283" t="s">
        <v>291</v>
      </c>
      <c r="M178" s="283">
        <v>4</v>
      </c>
      <c r="N178" s="283" t="s">
        <v>306</v>
      </c>
      <c r="O178" s="283">
        <v>-5</v>
      </c>
      <c r="P178" s="283">
        <v>-5</v>
      </c>
      <c r="Q178" s="283">
        <v>-4</v>
      </c>
      <c r="R178" s="283" t="s">
        <v>306</v>
      </c>
      <c r="S178" s="283" t="s">
        <v>306</v>
      </c>
      <c r="T178" s="283">
        <v>2</v>
      </c>
      <c r="U178" s="283">
        <v>2</v>
      </c>
      <c r="V178" s="283">
        <v>2</v>
      </c>
      <c r="W178" s="283">
        <v>4</v>
      </c>
      <c r="X178" s="283">
        <v>3</v>
      </c>
      <c r="Y178" s="283">
        <v>2</v>
      </c>
      <c r="Z178" s="283" t="s">
        <v>306</v>
      </c>
      <c r="AA178" s="283" t="s">
        <v>306</v>
      </c>
      <c r="AB178" s="283" t="s">
        <v>306</v>
      </c>
      <c r="AC178" s="283">
        <v>-2</v>
      </c>
      <c r="AD178" s="283">
        <v>-3</v>
      </c>
      <c r="AE178" s="283">
        <v>-10</v>
      </c>
      <c r="AF178" s="283" t="s">
        <v>291</v>
      </c>
      <c r="AG178" s="283" t="s">
        <v>291</v>
      </c>
      <c r="AH178" s="283">
        <v>-1</v>
      </c>
      <c r="AI178" s="283">
        <v>-1</v>
      </c>
      <c r="AJ178" s="283">
        <v>-1</v>
      </c>
    </row>
    <row r="179" spans="1:36" ht="15">
      <c r="A179" s="263" t="s">
        <v>351</v>
      </c>
      <c r="B179" s="283" t="s">
        <v>291</v>
      </c>
      <c r="C179" s="283">
        <v>-3</v>
      </c>
      <c r="D179" s="283">
        <v>-14</v>
      </c>
      <c r="E179" s="283" t="s">
        <v>291</v>
      </c>
      <c r="F179" s="283">
        <v>-4</v>
      </c>
      <c r="G179" s="283">
        <v>-2</v>
      </c>
      <c r="H179" s="283">
        <v>-1</v>
      </c>
      <c r="I179" s="283" t="s">
        <v>291</v>
      </c>
      <c r="J179" s="283" t="s">
        <v>291</v>
      </c>
      <c r="K179" s="283" t="s">
        <v>291</v>
      </c>
      <c r="L179" s="283" t="s">
        <v>291</v>
      </c>
      <c r="M179" s="283" t="s">
        <v>291</v>
      </c>
      <c r="N179" s="283" t="s">
        <v>306</v>
      </c>
      <c r="O179" s="283" t="s">
        <v>306</v>
      </c>
      <c r="P179" s="283" t="s">
        <v>306</v>
      </c>
      <c r="Q179" s="283" t="s">
        <v>306</v>
      </c>
      <c r="R179" s="283" t="s">
        <v>306</v>
      </c>
      <c r="S179" s="283">
        <v>3</v>
      </c>
      <c r="T179" s="283">
        <v>3</v>
      </c>
      <c r="U179" s="283">
        <v>3</v>
      </c>
      <c r="V179" s="283">
        <v>3</v>
      </c>
      <c r="W179" s="283">
        <v>3</v>
      </c>
      <c r="X179" s="283">
        <v>0</v>
      </c>
      <c r="Y179" s="283">
        <v>0</v>
      </c>
      <c r="Z179" s="283">
        <v>0</v>
      </c>
      <c r="AA179" s="283">
        <v>0</v>
      </c>
      <c r="AB179" s="283">
        <v>0</v>
      </c>
      <c r="AC179" s="283" t="s">
        <v>306</v>
      </c>
      <c r="AD179" s="283" t="s">
        <v>306</v>
      </c>
      <c r="AE179" s="283" t="s">
        <v>306</v>
      </c>
      <c r="AF179" s="283" t="s">
        <v>306</v>
      </c>
      <c r="AG179" s="283" t="s">
        <v>306</v>
      </c>
      <c r="AH179" s="283" t="s">
        <v>306</v>
      </c>
      <c r="AI179" s="283" t="s">
        <v>306</v>
      </c>
      <c r="AJ179" s="283" t="s">
        <v>306</v>
      </c>
    </row>
    <row r="180" spans="1:36" s="260" customFormat="1" ht="15">
      <c r="A180" s="263" t="s">
        <v>1026</v>
      </c>
      <c r="B180" s="283" t="s">
        <v>273</v>
      </c>
      <c r="C180" s="283" t="s">
        <v>273</v>
      </c>
      <c r="D180" s="283" t="s">
        <v>273</v>
      </c>
      <c r="E180" s="283" t="s">
        <v>273</v>
      </c>
      <c r="F180" s="283" t="s">
        <v>273</v>
      </c>
      <c r="G180" s="283" t="s">
        <v>273</v>
      </c>
      <c r="H180" s="283" t="s">
        <v>273</v>
      </c>
      <c r="I180" s="283" t="s">
        <v>273</v>
      </c>
      <c r="J180" s="283" t="s">
        <v>273</v>
      </c>
      <c r="K180" s="283" t="s">
        <v>273</v>
      </c>
      <c r="L180" s="283" t="s">
        <v>273</v>
      </c>
      <c r="M180" s="283" t="s">
        <v>273</v>
      </c>
      <c r="N180" s="283" t="s">
        <v>273</v>
      </c>
      <c r="O180" s="283" t="s">
        <v>273</v>
      </c>
      <c r="P180" s="283" t="s">
        <v>273</v>
      </c>
      <c r="Q180" s="283" t="s">
        <v>273</v>
      </c>
      <c r="R180" s="283" t="s">
        <v>273</v>
      </c>
      <c r="S180" s="283" t="s">
        <v>273</v>
      </c>
      <c r="T180" s="283" t="s">
        <v>273</v>
      </c>
      <c r="U180" s="283" t="s">
        <v>273</v>
      </c>
      <c r="V180" s="283" t="s">
        <v>273</v>
      </c>
      <c r="W180" s="283" t="s">
        <v>273</v>
      </c>
      <c r="X180" s="283" t="s">
        <v>273</v>
      </c>
      <c r="Y180" s="283" t="s">
        <v>273</v>
      </c>
      <c r="Z180" s="283" t="s">
        <v>273</v>
      </c>
      <c r="AA180" s="283" t="s">
        <v>273</v>
      </c>
      <c r="AB180" s="283" t="s">
        <v>273</v>
      </c>
      <c r="AC180" s="283" t="s">
        <v>273</v>
      </c>
      <c r="AD180" s="283" t="s">
        <v>273</v>
      </c>
      <c r="AE180" s="283" t="s">
        <v>273</v>
      </c>
      <c r="AF180" s="283" t="s">
        <v>273</v>
      </c>
      <c r="AG180" s="283" t="s">
        <v>273</v>
      </c>
      <c r="AH180" s="283">
        <v>0</v>
      </c>
      <c r="AI180" s="283">
        <v>0</v>
      </c>
      <c r="AJ180" s="283">
        <v>0</v>
      </c>
    </row>
    <row r="181" spans="1:36" ht="15">
      <c r="A181" s="263" t="s">
        <v>1027</v>
      </c>
      <c r="B181" s="283">
        <v>-182</v>
      </c>
      <c r="C181" s="283">
        <v>-118</v>
      </c>
      <c r="D181" s="283">
        <v>27</v>
      </c>
      <c r="E181" s="283">
        <v>-29</v>
      </c>
      <c r="F181" s="283" t="s">
        <v>291</v>
      </c>
      <c r="G181" s="283">
        <v>-26</v>
      </c>
      <c r="H181" s="283" t="s">
        <v>291</v>
      </c>
      <c r="I181" s="283">
        <v>-19</v>
      </c>
      <c r="J181" s="283">
        <v>-12</v>
      </c>
      <c r="K181" s="283">
        <v>-7</v>
      </c>
      <c r="L181" s="283">
        <v>-12</v>
      </c>
      <c r="M181" s="283">
        <v>-13</v>
      </c>
      <c r="N181" s="283">
        <v>-1</v>
      </c>
      <c r="O181" s="283">
        <v>-1</v>
      </c>
      <c r="P181" s="283" t="s">
        <v>306</v>
      </c>
      <c r="Q181" s="283">
        <v>2</v>
      </c>
      <c r="R181" s="283">
        <v>-1</v>
      </c>
      <c r="S181" s="283">
        <v>6</v>
      </c>
      <c r="T181" s="283">
        <v>6</v>
      </c>
      <c r="U181" s="283">
        <v>6</v>
      </c>
      <c r="V181" s="283">
        <v>5</v>
      </c>
      <c r="W181" s="283">
        <v>5</v>
      </c>
      <c r="X181" s="283" t="s">
        <v>273</v>
      </c>
      <c r="Y181" s="283" t="s">
        <v>273</v>
      </c>
      <c r="Z181" s="283" t="s">
        <v>273</v>
      </c>
      <c r="AA181" s="283" t="s">
        <v>273</v>
      </c>
      <c r="AB181" s="283" t="s">
        <v>273</v>
      </c>
      <c r="AC181" s="283" t="s">
        <v>306</v>
      </c>
      <c r="AD181" s="283" t="s">
        <v>306</v>
      </c>
      <c r="AE181" s="283" t="s">
        <v>306</v>
      </c>
      <c r="AF181" s="283" t="s">
        <v>306</v>
      </c>
      <c r="AG181" s="283" t="s">
        <v>306</v>
      </c>
      <c r="AH181" s="283" t="s">
        <v>306</v>
      </c>
      <c r="AI181" s="283" t="s">
        <v>306</v>
      </c>
      <c r="AJ181" s="283" t="s">
        <v>306</v>
      </c>
    </row>
    <row r="182" spans="1:36" ht="15">
      <c r="A182" s="263" t="s">
        <v>349</v>
      </c>
      <c r="B182" s="283" t="s">
        <v>306</v>
      </c>
      <c r="C182" s="283" t="s">
        <v>306</v>
      </c>
      <c r="D182" s="283" t="s">
        <v>306</v>
      </c>
      <c r="E182" s="283" t="s">
        <v>306</v>
      </c>
      <c r="F182" s="283" t="s">
        <v>306</v>
      </c>
      <c r="G182" s="283" t="s">
        <v>291</v>
      </c>
      <c r="H182" s="283" t="s">
        <v>291</v>
      </c>
      <c r="I182" s="283" t="s">
        <v>306</v>
      </c>
      <c r="J182" s="283" t="s">
        <v>306</v>
      </c>
      <c r="K182" s="283">
        <v>1</v>
      </c>
      <c r="L182" s="283" t="s">
        <v>306</v>
      </c>
      <c r="M182" s="283">
        <v>79</v>
      </c>
      <c r="N182" s="283" t="s">
        <v>291</v>
      </c>
      <c r="O182" s="283">
        <v>46</v>
      </c>
      <c r="P182" s="283">
        <v>1</v>
      </c>
      <c r="Q182" s="283">
        <v>1</v>
      </c>
      <c r="R182" s="283">
        <v>1</v>
      </c>
      <c r="S182" s="283">
        <v>5</v>
      </c>
      <c r="T182" s="283">
        <v>5</v>
      </c>
      <c r="U182" s="283">
        <v>5</v>
      </c>
      <c r="V182" s="283">
        <v>5</v>
      </c>
      <c r="W182" s="283">
        <v>5</v>
      </c>
      <c r="X182" s="283" t="s">
        <v>306</v>
      </c>
      <c r="Y182" s="283" t="s">
        <v>306</v>
      </c>
      <c r="Z182" s="283" t="s">
        <v>306</v>
      </c>
      <c r="AA182" s="283" t="s">
        <v>306</v>
      </c>
      <c r="AB182" s="283" t="s">
        <v>306</v>
      </c>
      <c r="AC182" s="283">
        <v>1</v>
      </c>
      <c r="AD182" s="283">
        <v>1</v>
      </c>
      <c r="AE182" s="283">
        <v>1</v>
      </c>
      <c r="AF182" s="283">
        <v>1</v>
      </c>
      <c r="AG182" s="283">
        <v>1</v>
      </c>
      <c r="AH182" s="283">
        <v>1</v>
      </c>
      <c r="AI182" s="283">
        <v>1</v>
      </c>
      <c r="AJ182" s="283">
        <v>1</v>
      </c>
    </row>
    <row r="183" spans="1:36" ht="15">
      <c r="A183" s="263" t="s">
        <v>348</v>
      </c>
      <c r="B183" s="283">
        <v>-7</v>
      </c>
      <c r="C183" s="283">
        <v>-11</v>
      </c>
      <c r="D183" s="283">
        <v>-16</v>
      </c>
      <c r="E183" s="283">
        <v>-25</v>
      </c>
      <c r="F183" s="283">
        <v>-5</v>
      </c>
      <c r="G183" s="283">
        <v>-4</v>
      </c>
      <c r="H183" s="283">
        <v>-2</v>
      </c>
      <c r="I183" s="283" t="s">
        <v>306</v>
      </c>
      <c r="J183" s="283">
        <v>2</v>
      </c>
      <c r="K183" s="283">
        <v>1</v>
      </c>
      <c r="L183" s="283">
        <v>2</v>
      </c>
      <c r="M183" s="283">
        <v>3</v>
      </c>
      <c r="N183" s="283">
        <v>1</v>
      </c>
      <c r="O183" s="283">
        <v>-6</v>
      </c>
      <c r="P183" s="283">
        <v>-22</v>
      </c>
      <c r="Q183" s="283">
        <v>-6</v>
      </c>
      <c r="R183" s="283">
        <v>-6</v>
      </c>
      <c r="S183" s="283">
        <v>2</v>
      </c>
      <c r="T183" s="283">
        <v>4</v>
      </c>
      <c r="U183" s="283" t="s">
        <v>306</v>
      </c>
      <c r="V183" s="283" t="s">
        <v>306</v>
      </c>
      <c r="W183" s="283">
        <v>-2</v>
      </c>
      <c r="X183" s="283">
        <v>-3</v>
      </c>
      <c r="Y183" s="283" t="s">
        <v>306</v>
      </c>
      <c r="Z183" s="283">
        <v>6</v>
      </c>
      <c r="AA183" s="283">
        <v>9</v>
      </c>
      <c r="AB183" s="283">
        <v>3</v>
      </c>
      <c r="AC183" s="283">
        <v>-8</v>
      </c>
      <c r="AD183" s="283">
        <v>-7</v>
      </c>
      <c r="AE183" s="283">
        <v>-9</v>
      </c>
      <c r="AF183" s="283">
        <v>-9</v>
      </c>
      <c r="AG183" s="283">
        <v>-27</v>
      </c>
      <c r="AH183" s="283">
        <v>-39</v>
      </c>
      <c r="AI183" s="283">
        <v>-3</v>
      </c>
      <c r="AJ183" s="283">
        <v>-22</v>
      </c>
    </row>
    <row r="184" spans="1:36" ht="15">
      <c r="A184" s="263" t="s">
        <v>347</v>
      </c>
      <c r="B184" s="283">
        <v>1</v>
      </c>
      <c r="C184" s="283">
        <v>3</v>
      </c>
      <c r="D184" s="283">
        <v>1</v>
      </c>
      <c r="E184" s="283">
        <v>3</v>
      </c>
      <c r="F184" s="283">
        <v>3</v>
      </c>
      <c r="G184" s="283">
        <v>3</v>
      </c>
      <c r="H184" s="283">
        <v>1</v>
      </c>
      <c r="I184" s="283">
        <v>1</v>
      </c>
      <c r="J184" s="283">
        <v>1</v>
      </c>
      <c r="K184" s="283">
        <v>1</v>
      </c>
      <c r="L184" s="283" t="s">
        <v>306</v>
      </c>
      <c r="M184" s="283" t="s">
        <v>306</v>
      </c>
      <c r="N184" s="283">
        <v>1</v>
      </c>
      <c r="O184" s="283" t="s">
        <v>306</v>
      </c>
      <c r="P184" s="283">
        <v>1</v>
      </c>
      <c r="Q184" s="283">
        <v>1</v>
      </c>
      <c r="R184" s="283">
        <v>1</v>
      </c>
      <c r="S184" s="283">
        <v>1</v>
      </c>
      <c r="T184" s="283">
        <v>1</v>
      </c>
      <c r="U184" s="283">
        <v>1</v>
      </c>
      <c r="V184" s="283" t="s">
        <v>306</v>
      </c>
      <c r="W184" s="283" t="s">
        <v>306</v>
      </c>
      <c r="X184" s="283" t="s">
        <v>306</v>
      </c>
      <c r="Y184" s="283">
        <v>1</v>
      </c>
      <c r="Z184" s="283" t="s">
        <v>306</v>
      </c>
      <c r="AA184" s="283" t="s">
        <v>306</v>
      </c>
      <c r="AB184" s="283" t="s">
        <v>306</v>
      </c>
      <c r="AC184" s="283">
        <v>0</v>
      </c>
      <c r="AD184" s="283">
        <v>0</v>
      </c>
      <c r="AE184" s="283">
        <v>0</v>
      </c>
      <c r="AF184" s="283">
        <v>0</v>
      </c>
      <c r="AG184" s="283">
        <v>0</v>
      </c>
      <c r="AH184" s="283">
        <v>0</v>
      </c>
      <c r="AI184" s="283">
        <v>0</v>
      </c>
      <c r="AJ184" s="283">
        <v>0</v>
      </c>
    </row>
    <row r="185" spans="1:36" ht="15">
      <c r="A185" s="263" t="s">
        <v>346</v>
      </c>
      <c r="B185" s="283">
        <v>-43</v>
      </c>
      <c r="C185" s="283">
        <v>-89</v>
      </c>
      <c r="D185" s="283">
        <v>-57</v>
      </c>
      <c r="E185" s="283" t="s">
        <v>291</v>
      </c>
      <c r="F185" s="283">
        <v>-60</v>
      </c>
      <c r="G185" s="283" t="s">
        <v>291</v>
      </c>
      <c r="H185" s="283">
        <v>-6</v>
      </c>
      <c r="I185" s="283" t="s">
        <v>306</v>
      </c>
      <c r="J185" s="283">
        <v>2</v>
      </c>
      <c r="K185" s="283">
        <v>-20</v>
      </c>
      <c r="L185" s="283">
        <v>-30</v>
      </c>
      <c r="M185" s="283">
        <v>5</v>
      </c>
      <c r="N185" s="283">
        <v>1</v>
      </c>
      <c r="O185" s="283">
        <v>-6</v>
      </c>
      <c r="P185" s="283">
        <v>20</v>
      </c>
      <c r="Q185" s="283">
        <v>23</v>
      </c>
      <c r="R185" s="283">
        <v>20</v>
      </c>
      <c r="S185" s="283">
        <v>31</v>
      </c>
      <c r="T185" s="283">
        <v>27</v>
      </c>
      <c r="U185" s="283">
        <v>22</v>
      </c>
      <c r="V185" s="283">
        <v>14</v>
      </c>
      <c r="W185" s="283">
        <v>29</v>
      </c>
      <c r="X185" s="283">
        <v>25</v>
      </c>
      <c r="Y185" s="283">
        <v>-2</v>
      </c>
      <c r="Z185" s="283">
        <v>11</v>
      </c>
      <c r="AA185" s="283">
        <v>26</v>
      </c>
      <c r="AB185" s="283">
        <v>53</v>
      </c>
      <c r="AC185" s="283">
        <v>31</v>
      </c>
      <c r="AD185" s="283">
        <v>65</v>
      </c>
      <c r="AE185" s="283">
        <v>27</v>
      </c>
      <c r="AF185" s="283">
        <v>22</v>
      </c>
      <c r="AG185" s="283">
        <v>26</v>
      </c>
      <c r="AH185" s="283">
        <v>31</v>
      </c>
      <c r="AI185" s="283">
        <v>14</v>
      </c>
      <c r="AJ185" s="283">
        <v>13</v>
      </c>
    </row>
    <row r="186" spans="1:36" ht="15">
      <c r="A186" s="263" t="s">
        <v>345</v>
      </c>
      <c r="B186" s="283">
        <v>1</v>
      </c>
      <c r="C186" s="283">
        <v>5</v>
      </c>
      <c r="D186" s="283">
        <v>4</v>
      </c>
      <c r="E186" s="283">
        <v>4</v>
      </c>
      <c r="F186" s="283">
        <v>3</v>
      </c>
      <c r="G186" s="283">
        <v>1</v>
      </c>
      <c r="H186" s="283" t="s">
        <v>306</v>
      </c>
      <c r="I186" s="283">
        <v>1</v>
      </c>
      <c r="J186" s="283">
        <v>1</v>
      </c>
      <c r="K186" s="283">
        <v>1</v>
      </c>
      <c r="L186" s="283">
        <v>1</v>
      </c>
      <c r="M186" s="283">
        <v>1</v>
      </c>
      <c r="N186" s="283">
        <v>3</v>
      </c>
      <c r="O186" s="283">
        <v>2</v>
      </c>
      <c r="P186" s="283">
        <v>1</v>
      </c>
      <c r="Q186" s="283">
        <v>3</v>
      </c>
      <c r="R186" s="283">
        <v>5</v>
      </c>
      <c r="S186" s="283">
        <v>4</v>
      </c>
      <c r="T186" s="283" t="s">
        <v>306</v>
      </c>
      <c r="U186" s="283" t="s">
        <v>306</v>
      </c>
      <c r="V186" s="283" t="s">
        <v>306</v>
      </c>
      <c r="W186" s="283" t="s">
        <v>306</v>
      </c>
      <c r="X186" s="283" t="s">
        <v>306</v>
      </c>
      <c r="Y186" s="283">
        <v>1</v>
      </c>
      <c r="Z186" s="283">
        <v>1</v>
      </c>
      <c r="AA186" s="283">
        <v>6</v>
      </c>
      <c r="AB186" s="283">
        <v>4</v>
      </c>
      <c r="AC186" s="283">
        <v>2</v>
      </c>
      <c r="AD186" s="283">
        <v>6</v>
      </c>
      <c r="AE186" s="283">
        <v>1</v>
      </c>
      <c r="AF186" s="283">
        <v>7</v>
      </c>
      <c r="AG186" s="283">
        <v>10</v>
      </c>
      <c r="AH186" s="283">
        <v>6</v>
      </c>
      <c r="AI186" s="283">
        <v>1</v>
      </c>
      <c r="AJ186" s="283">
        <v>13</v>
      </c>
    </row>
    <row r="187" spans="1:36" ht="15">
      <c r="A187" s="263" t="s">
        <v>344</v>
      </c>
      <c r="B187" s="283" t="s">
        <v>273</v>
      </c>
      <c r="C187" s="283" t="s">
        <v>273</v>
      </c>
      <c r="D187" s="283" t="s">
        <v>273</v>
      </c>
      <c r="E187" s="283" t="s">
        <v>273</v>
      </c>
      <c r="F187" s="283" t="s">
        <v>273</v>
      </c>
      <c r="G187" s="283" t="s">
        <v>273</v>
      </c>
      <c r="H187" s="283" t="s">
        <v>273</v>
      </c>
      <c r="I187" s="283" t="s">
        <v>273</v>
      </c>
      <c r="J187" s="283" t="s">
        <v>273</v>
      </c>
      <c r="K187" s="283" t="s">
        <v>273</v>
      </c>
      <c r="L187" s="283" t="s">
        <v>273</v>
      </c>
      <c r="M187" s="283" t="s">
        <v>273</v>
      </c>
      <c r="N187" s="283" t="s">
        <v>273</v>
      </c>
      <c r="O187" s="283" t="s">
        <v>273</v>
      </c>
      <c r="P187" s="283" t="s">
        <v>273</v>
      </c>
      <c r="Q187" s="283" t="s">
        <v>273</v>
      </c>
      <c r="R187" s="283" t="s">
        <v>273</v>
      </c>
      <c r="S187" s="283" t="s">
        <v>273</v>
      </c>
      <c r="T187" s="283" t="s">
        <v>273</v>
      </c>
      <c r="U187" s="283" t="s">
        <v>273</v>
      </c>
      <c r="V187" s="283" t="s">
        <v>273</v>
      </c>
      <c r="W187" s="283" t="s">
        <v>273</v>
      </c>
      <c r="X187" s="283" t="s">
        <v>273</v>
      </c>
      <c r="Y187" s="283" t="s">
        <v>273</v>
      </c>
      <c r="Z187" s="283" t="s">
        <v>273</v>
      </c>
      <c r="AA187" s="283" t="s">
        <v>273</v>
      </c>
      <c r="AB187" s="283" t="s">
        <v>273</v>
      </c>
      <c r="AC187" s="283">
        <v>1</v>
      </c>
      <c r="AD187" s="283">
        <v>1</v>
      </c>
      <c r="AE187" s="283">
        <v>1</v>
      </c>
      <c r="AF187" s="283">
        <v>1</v>
      </c>
      <c r="AG187" s="283">
        <v>1</v>
      </c>
      <c r="AH187" s="283">
        <v>1</v>
      </c>
      <c r="AI187" s="283">
        <v>1</v>
      </c>
      <c r="AJ187" s="283">
        <v>1</v>
      </c>
    </row>
    <row r="188" spans="1:36" s="260" customFormat="1" ht="15">
      <c r="A188" s="263" t="s">
        <v>1028</v>
      </c>
      <c r="B188" s="283" t="s">
        <v>273</v>
      </c>
      <c r="C188" s="283" t="s">
        <v>273</v>
      </c>
      <c r="D188" s="283" t="s">
        <v>273</v>
      </c>
      <c r="E188" s="283" t="s">
        <v>273</v>
      </c>
      <c r="F188" s="283" t="s">
        <v>273</v>
      </c>
      <c r="G188" s="283" t="s">
        <v>273</v>
      </c>
      <c r="H188" s="283" t="s">
        <v>273</v>
      </c>
      <c r="I188" s="283" t="s">
        <v>273</v>
      </c>
      <c r="J188" s="283" t="s">
        <v>273</v>
      </c>
      <c r="K188" s="283" t="s">
        <v>273</v>
      </c>
      <c r="L188" s="283" t="s">
        <v>273</v>
      </c>
      <c r="M188" s="283" t="s">
        <v>273</v>
      </c>
      <c r="N188" s="283" t="s">
        <v>273</v>
      </c>
      <c r="O188" s="283" t="s">
        <v>273</v>
      </c>
      <c r="P188" s="283" t="s">
        <v>273</v>
      </c>
      <c r="Q188" s="283" t="s">
        <v>273</v>
      </c>
      <c r="R188" s="283" t="s">
        <v>273</v>
      </c>
      <c r="S188" s="283" t="s">
        <v>273</v>
      </c>
      <c r="T188" s="283" t="s">
        <v>273</v>
      </c>
      <c r="U188" s="283" t="s">
        <v>273</v>
      </c>
      <c r="V188" s="283" t="s">
        <v>273</v>
      </c>
      <c r="W188" s="283" t="s">
        <v>273</v>
      </c>
      <c r="X188" s="283" t="s">
        <v>273</v>
      </c>
      <c r="Y188" s="283" t="s">
        <v>273</v>
      </c>
      <c r="Z188" s="283" t="s">
        <v>273</v>
      </c>
      <c r="AA188" s="283" t="s">
        <v>273</v>
      </c>
      <c r="AB188" s="283" t="s">
        <v>273</v>
      </c>
      <c r="AC188" s="283" t="s">
        <v>273</v>
      </c>
      <c r="AD188" s="283" t="s">
        <v>273</v>
      </c>
      <c r="AE188" s="283" t="s">
        <v>273</v>
      </c>
      <c r="AF188" s="283" t="s">
        <v>273</v>
      </c>
      <c r="AG188" s="283" t="s">
        <v>273</v>
      </c>
      <c r="AH188" s="283">
        <v>0</v>
      </c>
      <c r="AI188" s="283">
        <v>0</v>
      </c>
      <c r="AJ188" s="283">
        <v>0</v>
      </c>
    </row>
    <row r="189" spans="1:36" ht="15">
      <c r="A189" s="263" t="s">
        <v>343</v>
      </c>
      <c r="B189" s="283">
        <v>12</v>
      </c>
      <c r="C189" s="283">
        <v>21</v>
      </c>
      <c r="D189" s="283">
        <v>19</v>
      </c>
      <c r="E189" s="283">
        <v>30</v>
      </c>
      <c r="F189" s="283">
        <v>-22</v>
      </c>
      <c r="G189" s="283">
        <v>7</v>
      </c>
      <c r="H189" s="283">
        <v>11</v>
      </c>
      <c r="I189" s="283">
        <v>14</v>
      </c>
      <c r="J189" s="283">
        <v>22</v>
      </c>
      <c r="K189" s="283">
        <v>15</v>
      </c>
      <c r="L189" s="283">
        <v>11</v>
      </c>
      <c r="M189" s="283">
        <v>13</v>
      </c>
      <c r="N189" s="283" t="s">
        <v>273</v>
      </c>
      <c r="O189" s="283" t="s">
        <v>273</v>
      </c>
      <c r="P189" s="283" t="s">
        <v>273</v>
      </c>
      <c r="Q189" s="283" t="s">
        <v>273</v>
      </c>
      <c r="R189" s="283" t="s">
        <v>273</v>
      </c>
      <c r="S189" s="283" t="s">
        <v>273</v>
      </c>
      <c r="T189" s="283" t="s">
        <v>273</v>
      </c>
      <c r="U189" s="283" t="s">
        <v>273</v>
      </c>
      <c r="V189" s="283" t="s">
        <v>273</v>
      </c>
      <c r="W189" s="283" t="s">
        <v>273</v>
      </c>
      <c r="X189" s="283" t="s">
        <v>273</v>
      </c>
      <c r="Y189" s="283" t="s">
        <v>273</v>
      </c>
      <c r="Z189" s="283" t="s">
        <v>273</v>
      </c>
      <c r="AA189" s="283" t="s">
        <v>273</v>
      </c>
      <c r="AB189" s="283" t="s">
        <v>273</v>
      </c>
      <c r="AC189" s="283" t="s">
        <v>273</v>
      </c>
      <c r="AD189" s="283" t="s">
        <v>273</v>
      </c>
      <c r="AE189" s="283" t="s">
        <v>273</v>
      </c>
      <c r="AF189" s="283" t="s">
        <v>273</v>
      </c>
      <c r="AG189" s="283" t="s">
        <v>273</v>
      </c>
      <c r="AH189" s="283" t="s">
        <v>273</v>
      </c>
      <c r="AI189" s="283" t="s">
        <v>273</v>
      </c>
      <c r="AJ189" s="283" t="s">
        <v>273</v>
      </c>
    </row>
    <row r="190" spans="1:36" ht="15">
      <c r="A190" s="263" t="s">
        <v>342</v>
      </c>
      <c r="B190" s="283">
        <v>10</v>
      </c>
      <c r="C190" s="283">
        <v>9</v>
      </c>
      <c r="D190" s="283">
        <v>6</v>
      </c>
      <c r="E190" s="283">
        <v>9</v>
      </c>
      <c r="F190" s="283">
        <v>5</v>
      </c>
      <c r="G190" s="283">
        <v>5</v>
      </c>
      <c r="H190" s="283">
        <v>7</v>
      </c>
      <c r="I190" s="283" t="s">
        <v>306</v>
      </c>
      <c r="J190" s="283" t="s">
        <v>306</v>
      </c>
      <c r="K190" s="283">
        <v>-2</v>
      </c>
      <c r="L190" s="283">
        <v>9</v>
      </c>
      <c r="M190" s="283">
        <v>12</v>
      </c>
      <c r="N190" s="283">
        <v>5</v>
      </c>
      <c r="O190" s="283">
        <v>7</v>
      </c>
      <c r="P190" s="283">
        <v>5</v>
      </c>
      <c r="Q190" s="283">
        <v>4</v>
      </c>
      <c r="R190" s="283">
        <v>3</v>
      </c>
      <c r="S190" s="283">
        <v>2</v>
      </c>
      <c r="T190" s="283">
        <v>3</v>
      </c>
      <c r="U190" s="283">
        <v>3</v>
      </c>
      <c r="V190" s="283">
        <v>3</v>
      </c>
      <c r="W190" s="283">
        <v>1</v>
      </c>
      <c r="X190" s="283" t="s">
        <v>306</v>
      </c>
      <c r="Y190" s="283">
        <v>5</v>
      </c>
      <c r="Z190" s="283">
        <v>-2</v>
      </c>
      <c r="AA190" s="283">
        <v>5</v>
      </c>
      <c r="AB190" s="283">
        <v>-1</v>
      </c>
      <c r="AC190" s="283">
        <v>7</v>
      </c>
      <c r="AD190" s="283">
        <v>13</v>
      </c>
      <c r="AE190" s="283">
        <v>1</v>
      </c>
      <c r="AF190" s="283">
        <v>2</v>
      </c>
      <c r="AG190" s="283">
        <v>-3</v>
      </c>
      <c r="AH190" s="283">
        <v>13</v>
      </c>
      <c r="AI190" s="283">
        <v>-9</v>
      </c>
      <c r="AJ190" s="283">
        <v>4</v>
      </c>
    </row>
    <row r="191" spans="1:36" ht="15">
      <c r="A191" s="263" t="s">
        <v>341</v>
      </c>
      <c r="B191" s="283">
        <v>13</v>
      </c>
      <c r="C191" s="283">
        <v>16</v>
      </c>
      <c r="D191" s="283">
        <v>11</v>
      </c>
      <c r="E191" s="283">
        <v>11</v>
      </c>
      <c r="F191" s="283">
        <v>10</v>
      </c>
      <c r="G191" s="283">
        <v>10</v>
      </c>
      <c r="H191" s="283">
        <v>10</v>
      </c>
      <c r="I191" s="283">
        <v>13</v>
      </c>
      <c r="J191" s="283">
        <v>15</v>
      </c>
      <c r="K191" s="283">
        <v>11</v>
      </c>
      <c r="L191" s="283">
        <v>20</v>
      </c>
      <c r="M191" s="283">
        <v>21</v>
      </c>
      <c r="N191" s="283">
        <v>24</v>
      </c>
      <c r="O191" s="283">
        <v>29</v>
      </c>
      <c r="P191" s="283">
        <v>36</v>
      </c>
      <c r="Q191" s="283" t="s">
        <v>291</v>
      </c>
      <c r="R191" s="283">
        <v>27</v>
      </c>
      <c r="S191" s="283">
        <v>20</v>
      </c>
      <c r="T191" s="283">
        <v>28</v>
      </c>
      <c r="U191" s="283">
        <v>29</v>
      </c>
      <c r="V191" s="283">
        <v>32</v>
      </c>
      <c r="W191" s="283">
        <v>39</v>
      </c>
      <c r="X191" s="283">
        <v>-1</v>
      </c>
      <c r="Y191" s="283">
        <v>6</v>
      </c>
      <c r="Z191" s="283">
        <v>7</v>
      </c>
      <c r="AA191" s="283">
        <v>10</v>
      </c>
      <c r="AB191" s="283">
        <v>7</v>
      </c>
      <c r="AC191" s="283">
        <v>-10</v>
      </c>
      <c r="AD191" s="283">
        <v>9</v>
      </c>
      <c r="AE191" s="283">
        <v>36</v>
      </c>
      <c r="AF191" s="283">
        <v>9</v>
      </c>
      <c r="AG191" s="283" t="s">
        <v>291</v>
      </c>
      <c r="AH191" s="283" t="s">
        <v>291</v>
      </c>
      <c r="AI191" s="283" t="s">
        <v>291</v>
      </c>
      <c r="AJ191" s="283">
        <v>-26</v>
      </c>
    </row>
    <row r="192" spans="1:36" ht="15">
      <c r="A192" s="263" t="s">
        <v>340</v>
      </c>
      <c r="B192" s="283">
        <v>1266</v>
      </c>
      <c r="C192" s="283">
        <v>1002</v>
      </c>
      <c r="D192" s="283">
        <v>860</v>
      </c>
      <c r="E192" s="283">
        <v>406</v>
      </c>
      <c r="F192" s="283">
        <v>154</v>
      </c>
      <c r="G192" s="283">
        <v>556</v>
      </c>
      <c r="H192" s="283">
        <v>825</v>
      </c>
      <c r="I192" s="283">
        <v>646</v>
      </c>
      <c r="J192" s="283">
        <v>1071</v>
      </c>
      <c r="K192" s="283">
        <v>978</v>
      </c>
      <c r="L192" s="283">
        <v>1028</v>
      </c>
      <c r="M192" s="283">
        <v>875</v>
      </c>
      <c r="N192" s="283">
        <v>1021</v>
      </c>
      <c r="O192" s="283">
        <v>1373</v>
      </c>
      <c r="P192" s="283">
        <v>1412</v>
      </c>
      <c r="Q192" s="283">
        <v>1340</v>
      </c>
      <c r="R192" s="283">
        <v>1021</v>
      </c>
      <c r="S192" s="283">
        <v>1334</v>
      </c>
      <c r="T192" s="283">
        <v>2272</v>
      </c>
      <c r="U192" s="283">
        <v>1545</v>
      </c>
      <c r="V192" s="283">
        <v>1891</v>
      </c>
      <c r="W192" s="283">
        <v>2640</v>
      </c>
      <c r="X192" s="283">
        <v>4253</v>
      </c>
      <c r="Y192" s="283">
        <v>5110</v>
      </c>
      <c r="Z192" s="283">
        <v>6043</v>
      </c>
      <c r="AA192" s="283">
        <v>7692</v>
      </c>
      <c r="AB192" s="283">
        <v>8817</v>
      </c>
      <c r="AC192" s="283">
        <v>4932</v>
      </c>
      <c r="AD192" s="283">
        <v>8959</v>
      </c>
      <c r="AE192" s="283">
        <v>15439</v>
      </c>
      <c r="AF192" s="283">
        <v>15359</v>
      </c>
      <c r="AG192" s="283">
        <v>15986</v>
      </c>
      <c r="AH192" s="283">
        <v>14380</v>
      </c>
      <c r="AI192" s="283">
        <v>9138</v>
      </c>
      <c r="AJ192" s="283">
        <v>5764</v>
      </c>
    </row>
    <row r="193" spans="1:36" ht="15">
      <c r="A193" s="263" t="s">
        <v>339</v>
      </c>
      <c r="B193" s="283">
        <v>105</v>
      </c>
      <c r="C193" s="283">
        <v>104</v>
      </c>
      <c r="D193" s="283">
        <v>133</v>
      </c>
      <c r="E193" s="283">
        <v>71</v>
      </c>
      <c r="F193" s="283">
        <v>106</v>
      </c>
      <c r="G193" s="283">
        <v>84</v>
      </c>
      <c r="H193" s="283">
        <v>97</v>
      </c>
      <c r="I193" s="283">
        <v>106</v>
      </c>
      <c r="J193" s="283">
        <v>132</v>
      </c>
      <c r="K193" s="283">
        <v>115</v>
      </c>
      <c r="L193" s="283">
        <v>221</v>
      </c>
      <c r="M193" s="283">
        <v>259</v>
      </c>
      <c r="N193" s="283">
        <v>227</v>
      </c>
      <c r="O193" s="283">
        <v>246</v>
      </c>
      <c r="P193" s="283">
        <v>209</v>
      </c>
      <c r="Q193" s="283">
        <v>200</v>
      </c>
      <c r="R193" s="283">
        <v>247</v>
      </c>
      <c r="S193" s="283">
        <v>352</v>
      </c>
      <c r="T193" s="283">
        <v>472</v>
      </c>
      <c r="U193" s="283">
        <v>126</v>
      </c>
      <c r="V193" s="283">
        <v>312</v>
      </c>
      <c r="W193" s="283">
        <v>484</v>
      </c>
      <c r="X193" s="283">
        <v>546</v>
      </c>
      <c r="Y193" s="283">
        <v>581</v>
      </c>
      <c r="Z193" s="283">
        <v>850</v>
      </c>
      <c r="AA193" s="283">
        <v>645</v>
      </c>
      <c r="AB193" s="283">
        <v>260</v>
      </c>
      <c r="AC193" s="283">
        <v>81</v>
      </c>
      <c r="AD193" s="283">
        <v>689</v>
      </c>
      <c r="AE193" s="283">
        <v>575</v>
      </c>
      <c r="AF193" s="283">
        <v>638</v>
      </c>
      <c r="AG193" s="283">
        <v>487</v>
      </c>
      <c r="AH193" s="283">
        <v>423</v>
      </c>
      <c r="AI193" s="283">
        <v>325</v>
      </c>
      <c r="AJ193" s="283">
        <v>655</v>
      </c>
    </row>
    <row r="194" spans="1:36" ht="15">
      <c r="A194" s="263" t="s">
        <v>338</v>
      </c>
      <c r="B194" s="283">
        <v>804</v>
      </c>
      <c r="C194" s="283">
        <v>641</v>
      </c>
      <c r="D194" s="283">
        <v>523</v>
      </c>
      <c r="E194" s="283">
        <v>277</v>
      </c>
      <c r="F194" s="283">
        <v>324</v>
      </c>
      <c r="G194" s="283">
        <v>378</v>
      </c>
      <c r="H194" s="283">
        <v>479</v>
      </c>
      <c r="I194" s="283">
        <v>370</v>
      </c>
      <c r="J194" s="283">
        <v>454</v>
      </c>
      <c r="K194" s="283">
        <v>472</v>
      </c>
      <c r="L194" s="283">
        <v>256</v>
      </c>
      <c r="M194" s="283">
        <v>249</v>
      </c>
      <c r="N194" s="283">
        <v>314</v>
      </c>
      <c r="O194" s="283">
        <v>619</v>
      </c>
      <c r="P194" s="283">
        <v>383</v>
      </c>
      <c r="Q194" s="283">
        <v>327</v>
      </c>
      <c r="R194" s="283">
        <v>351</v>
      </c>
      <c r="S194" s="283">
        <v>332</v>
      </c>
      <c r="T194" s="283">
        <v>292</v>
      </c>
      <c r="U194" s="283">
        <v>194</v>
      </c>
      <c r="V194" s="283">
        <v>195</v>
      </c>
      <c r="W194" s="283">
        <v>599</v>
      </c>
      <c r="X194" s="283">
        <v>1476</v>
      </c>
      <c r="Y194" s="283">
        <v>1593</v>
      </c>
      <c r="Z194" s="283">
        <v>1644</v>
      </c>
      <c r="AA194" s="283">
        <v>2377</v>
      </c>
      <c r="AB194" s="283">
        <v>2248</v>
      </c>
      <c r="AC194" s="283">
        <v>1337</v>
      </c>
      <c r="AD194" s="283">
        <v>1363</v>
      </c>
      <c r="AE194" s="283">
        <v>1786</v>
      </c>
      <c r="AF194" s="283">
        <v>1664</v>
      </c>
      <c r="AG194" s="283">
        <v>1655</v>
      </c>
      <c r="AH194" s="283">
        <v>1788</v>
      </c>
      <c r="AI194" s="283">
        <v>1291</v>
      </c>
      <c r="AJ194" s="283">
        <v>989</v>
      </c>
    </row>
    <row r="195" spans="1:36" ht="15">
      <c r="A195" s="263" t="s">
        <v>337</v>
      </c>
      <c r="B195" s="283">
        <v>221</v>
      </c>
      <c r="C195" s="283">
        <v>192</v>
      </c>
      <c r="D195" s="283">
        <v>182</v>
      </c>
      <c r="E195" s="283">
        <v>137</v>
      </c>
      <c r="F195" s="283">
        <v>74</v>
      </c>
      <c r="G195" s="283">
        <v>160</v>
      </c>
      <c r="H195" s="283">
        <v>103</v>
      </c>
      <c r="I195" s="283">
        <v>93</v>
      </c>
      <c r="J195" s="283">
        <v>133</v>
      </c>
      <c r="K195" s="283">
        <v>140</v>
      </c>
      <c r="L195" s="283">
        <v>259</v>
      </c>
      <c r="M195" s="283">
        <v>124</v>
      </c>
      <c r="N195" s="283">
        <v>175</v>
      </c>
      <c r="O195" s="283">
        <v>181</v>
      </c>
      <c r="P195" s="283">
        <v>190</v>
      </c>
      <c r="Q195" s="283">
        <v>194</v>
      </c>
      <c r="R195" s="283">
        <v>94</v>
      </c>
      <c r="S195" s="283">
        <v>74</v>
      </c>
      <c r="T195" s="283">
        <v>276</v>
      </c>
      <c r="U195" s="283">
        <v>180</v>
      </c>
      <c r="V195" s="283">
        <v>202</v>
      </c>
      <c r="W195" s="283">
        <v>241</v>
      </c>
      <c r="X195" s="283">
        <v>341</v>
      </c>
      <c r="Y195" s="283">
        <v>400</v>
      </c>
      <c r="Z195" s="283">
        <v>399</v>
      </c>
      <c r="AA195" s="283">
        <v>415</v>
      </c>
      <c r="AB195" s="283">
        <v>415</v>
      </c>
      <c r="AC195" s="283">
        <v>589</v>
      </c>
      <c r="AD195" s="283">
        <v>748</v>
      </c>
      <c r="AE195" s="283">
        <v>1108</v>
      </c>
      <c r="AF195" s="283">
        <v>1508</v>
      </c>
      <c r="AG195" s="283">
        <v>1806</v>
      </c>
      <c r="AH195" s="283">
        <v>1725</v>
      </c>
      <c r="AI195" s="283">
        <v>1563</v>
      </c>
      <c r="AJ195" s="283">
        <v>1287</v>
      </c>
    </row>
    <row r="196" spans="1:36" ht="15">
      <c r="A196" s="263" t="s">
        <v>236</v>
      </c>
      <c r="B196" s="283">
        <v>135</v>
      </c>
      <c r="C196" s="283">
        <v>65</v>
      </c>
      <c r="D196" s="283">
        <v>23</v>
      </c>
      <c r="E196" s="283">
        <v>-78</v>
      </c>
      <c r="F196" s="283">
        <v>-351</v>
      </c>
      <c r="G196" s="283">
        <v>-65</v>
      </c>
      <c r="H196" s="283">
        <v>146</v>
      </c>
      <c r="I196" s="283">
        <v>77</v>
      </c>
      <c r="J196" s="283">
        <v>352</v>
      </c>
      <c r="K196" s="283">
        <v>251</v>
      </c>
      <c r="L196" s="283">
        <v>291</v>
      </c>
      <c r="M196" s="283">
        <v>244</v>
      </c>
      <c r="N196" s="283">
        <v>306</v>
      </c>
      <c r="O196" s="283">
        <v>327</v>
      </c>
      <c r="P196" s="283">
        <v>630</v>
      </c>
      <c r="Q196" s="283">
        <v>619</v>
      </c>
      <c r="R196" s="283">
        <v>329</v>
      </c>
      <c r="S196" s="283">
        <v>576</v>
      </c>
      <c r="T196" s="283">
        <v>1232</v>
      </c>
      <c r="U196" s="283">
        <v>1046</v>
      </c>
      <c r="V196" s="283">
        <v>1181</v>
      </c>
      <c r="W196" s="283">
        <v>1315</v>
      </c>
      <c r="X196" s="283">
        <v>1890</v>
      </c>
      <c r="Y196" s="283">
        <v>2535</v>
      </c>
      <c r="Z196" s="283">
        <v>3150</v>
      </c>
      <c r="AA196" s="283">
        <v>4254</v>
      </c>
      <c r="AB196" s="283">
        <v>5894</v>
      </c>
      <c r="AC196" s="283">
        <v>2925</v>
      </c>
      <c r="AD196" s="283">
        <v>6158</v>
      </c>
      <c r="AE196" s="283">
        <v>11970</v>
      </c>
      <c r="AF196" s="283">
        <v>11549</v>
      </c>
      <c r="AG196" s="283">
        <v>12037</v>
      </c>
      <c r="AH196" s="283">
        <v>10444</v>
      </c>
      <c r="AI196" s="283">
        <v>5959</v>
      </c>
      <c r="AJ196" s="283">
        <v>2833</v>
      </c>
    </row>
    <row r="197" spans="1:36" ht="15">
      <c r="A197" s="263" t="s">
        <v>336</v>
      </c>
      <c r="B197" s="283">
        <v>148</v>
      </c>
      <c r="C197" s="283">
        <v>114</v>
      </c>
      <c r="D197" s="283">
        <v>88</v>
      </c>
      <c r="E197" s="283">
        <v>-54</v>
      </c>
      <c r="F197" s="283">
        <v>-148</v>
      </c>
      <c r="G197" s="283">
        <v>-102</v>
      </c>
      <c r="H197" s="283">
        <v>-14</v>
      </c>
      <c r="I197" s="283">
        <v>-18</v>
      </c>
      <c r="J197" s="283">
        <v>-27</v>
      </c>
      <c r="K197" s="283">
        <v>17</v>
      </c>
      <c r="L197" s="283">
        <v>55</v>
      </c>
      <c r="M197" s="283">
        <v>53</v>
      </c>
      <c r="N197" s="283">
        <v>81</v>
      </c>
      <c r="O197" s="283">
        <v>-47</v>
      </c>
      <c r="P197" s="283">
        <v>62</v>
      </c>
      <c r="Q197" s="283">
        <v>12</v>
      </c>
      <c r="R197" s="283">
        <v>9</v>
      </c>
      <c r="S197" s="283">
        <v>-9</v>
      </c>
      <c r="T197" s="283">
        <v>43</v>
      </c>
      <c r="U197" s="283">
        <v>56</v>
      </c>
      <c r="V197" s="283">
        <v>136</v>
      </c>
      <c r="W197" s="283">
        <v>72</v>
      </c>
      <c r="X197" s="283">
        <v>76</v>
      </c>
      <c r="Y197" s="283">
        <v>62</v>
      </c>
      <c r="Z197" s="283">
        <v>-5</v>
      </c>
      <c r="AA197" s="283">
        <v>78</v>
      </c>
      <c r="AB197" s="283">
        <v>96</v>
      </c>
      <c r="AC197" s="283" t="s">
        <v>291</v>
      </c>
      <c r="AD197" s="283">
        <v>67</v>
      </c>
      <c r="AE197" s="283">
        <v>2</v>
      </c>
      <c r="AF197" s="283">
        <v>-170</v>
      </c>
      <c r="AG197" s="283">
        <v>14</v>
      </c>
      <c r="AH197" s="283">
        <v>-37</v>
      </c>
      <c r="AI197" s="283">
        <v>87</v>
      </c>
      <c r="AJ197" s="283">
        <v>97</v>
      </c>
    </row>
    <row r="198" spans="1:36" ht="15">
      <c r="A198" s="263" t="s">
        <v>335</v>
      </c>
      <c r="B198" s="283">
        <v>-6</v>
      </c>
      <c r="C198" s="283">
        <v>-10</v>
      </c>
      <c r="D198" s="283">
        <v>-23</v>
      </c>
      <c r="E198" s="283">
        <v>34</v>
      </c>
      <c r="F198" s="283">
        <v>-2</v>
      </c>
      <c r="G198" s="283">
        <v>-1</v>
      </c>
      <c r="H198" s="283" t="s">
        <v>306</v>
      </c>
      <c r="I198" s="283" t="s">
        <v>306</v>
      </c>
      <c r="J198" s="283">
        <v>1</v>
      </c>
      <c r="K198" s="283">
        <v>1</v>
      </c>
      <c r="L198" s="283">
        <v>1</v>
      </c>
      <c r="M198" s="283">
        <v>1</v>
      </c>
      <c r="N198" s="283">
        <v>0</v>
      </c>
      <c r="O198" s="283">
        <v>0</v>
      </c>
      <c r="P198" s="283" t="s">
        <v>306</v>
      </c>
      <c r="Q198" s="283">
        <v>0</v>
      </c>
      <c r="R198" s="283">
        <v>0</v>
      </c>
      <c r="S198" s="283" t="s">
        <v>306</v>
      </c>
      <c r="T198" s="283" t="s">
        <v>306</v>
      </c>
      <c r="U198" s="283">
        <v>1</v>
      </c>
      <c r="V198" s="283">
        <v>1</v>
      </c>
      <c r="W198" s="283">
        <v>1</v>
      </c>
      <c r="X198" s="283">
        <v>5</v>
      </c>
      <c r="Y198" s="283">
        <v>8</v>
      </c>
      <c r="Z198" s="283">
        <v>3</v>
      </c>
      <c r="AA198" s="283">
        <v>-3</v>
      </c>
      <c r="AB198" s="283">
        <v>-1</v>
      </c>
      <c r="AC198" s="283" t="s">
        <v>306</v>
      </c>
      <c r="AD198" s="283" t="s">
        <v>306</v>
      </c>
      <c r="AE198" s="283" t="s">
        <v>306</v>
      </c>
      <c r="AF198" s="283" t="s">
        <v>306</v>
      </c>
      <c r="AG198" s="283" t="s">
        <v>306</v>
      </c>
      <c r="AH198" s="283" t="s">
        <v>306</v>
      </c>
      <c r="AI198" s="283" t="s">
        <v>306</v>
      </c>
      <c r="AJ198" s="283" t="s">
        <v>306</v>
      </c>
    </row>
    <row r="199" spans="1:36" ht="15">
      <c r="A199" s="263" t="s">
        <v>334</v>
      </c>
      <c r="B199" s="283" t="s">
        <v>306</v>
      </c>
      <c r="C199" s="283">
        <v>-1</v>
      </c>
      <c r="D199" s="283" t="s">
        <v>306</v>
      </c>
      <c r="E199" s="283" t="s">
        <v>306</v>
      </c>
      <c r="F199" s="283" t="s">
        <v>306</v>
      </c>
      <c r="G199" s="283" t="s">
        <v>306</v>
      </c>
      <c r="H199" s="283" t="s">
        <v>306</v>
      </c>
      <c r="I199" s="283" t="s">
        <v>273</v>
      </c>
      <c r="J199" s="283" t="s">
        <v>273</v>
      </c>
      <c r="K199" s="283" t="s">
        <v>273</v>
      </c>
      <c r="L199" s="283" t="s">
        <v>273</v>
      </c>
      <c r="M199" s="283" t="s">
        <v>273</v>
      </c>
      <c r="N199" s="283" t="s">
        <v>273</v>
      </c>
      <c r="O199" s="283" t="s">
        <v>273</v>
      </c>
      <c r="P199" s="283" t="s">
        <v>273</v>
      </c>
      <c r="Q199" s="283" t="s">
        <v>273</v>
      </c>
      <c r="R199" s="283" t="s">
        <v>273</v>
      </c>
      <c r="S199" s="283">
        <v>0</v>
      </c>
      <c r="T199" s="283">
        <v>0</v>
      </c>
      <c r="U199" s="283">
        <v>0</v>
      </c>
      <c r="V199" s="283">
        <v>0</v>
      </c>
      <c r="W199" s="283">
        <v>44</v>
      </c>
      <c r="X199" s="283" t="s">
        <v>291</v>
      </c>
      <c r="Y199" s="283">
        <v>-9</v>
      </c>
      <c r="Z199" s="283" t="s">
        <v>291</v>
      </c>
      <c r="AA199" s="283">
        <v>-4</v>
      </c>
      <c r="AB199" s="283">
        <v>-15</v>
      </c>
      <c r="AC199" s="283">
        <v>-42</v>
      </c>
      <c r="AD199" s="283">
        <v>-167</v>
      </c>
      <c r="AE199" s="283" t="s">
        <v>291</v>
      </c>
      <c r="AF199" s="283">
        <v>24</v>
      </c>
      <c r="AG199" s="283">
        <v>-139</v>
      </c>
      <c r="AH199" s="283">
        <v>-459</v>
      </c>
      <c r="AI199" s="283">
        <v>-396</v>
      </c>
      <c r="AJ199" s="283">
        <v>-42</v>
      </c>
    </row>
    <row r="200" spans="1:36" ht="15">
      <c r="A200" s="263" t="s">
        <v>333</v>
      </c>
      <c r="B200" s="283" t="s">
        <v>291</v>
      </c>
      <c r="C200" s="283">
        <v>0</v>
      </c>
      <c r="D200" s="283">
        <v>0</v>
      </c>
      <c r="E200" s="283">
        <v>0</v>
      </c>
      <c r="F200" s="283">
        <v>0</v>
      </c>
      <c r="G200" s="283">
        <v>0</v>
      </c>
      <c r="H200" s="283">
        <v>0</v>
      </c>
      <c r="I200" s="283" t="s">
        <v>273</v>
      </c>
      <c r="J200" s="283" t="s">
        <v>273</v>
      </c>
      <c r="K200" s="283" t="s">
        <v>273</v>
      </c>
      <c r="L200" s="283" t="s">
        <v>273</v>
      </c>
      <c r="M200" s="283" t="s">
        <v>273</v>
      </c>
      <c r="N200" s="283" t="s">
        <v>273</v>
      </c>
      <c r="O200" s="283" t="s">
        <v>273</v>
      </c>
      <c r="P200" s="283" t="s">
        <v>273</v>
      </c>
      <c r="Q200" s="283" t="s">
        <v>273</v>
      </c>
      <c r="R200" s="283" t="s">
        <v>273</v>
      </c>
      <c r="S200" s="283" t="s">
        <v>273</v>
      </c>
      <c r="T200" s="283" t="s">
        <v>273</v>
      </c>
      <c r="U200" s="283" t="s">
        <v>273</v>
      </c>
      <c r="V200" s="283" t="s">
        <v>273</v>
      </c>
      <c r="W200" s="283" t="s">
        <v>273</v>
      </c>
      <c r="X200" s="283" t="s">
        <v>273</v>
      </c>
      <c r="Y200" s="283" t="s">
        <v>273</v>
      </c>
      <c r="Z200" s="283" t="s">
        <v>273</v>
      </c>
      <c r="AA200" s="283" t="s">
        <v>273</v>
      </c>
      <c r="AB200" s="283" t="s">
        <v>273</v>
      </c>
      <c r="AC200" s="283" t="s">
        <v>273</v>
      </c>
      <c r="AD200" s="283" t="s">
        <v>273</v>
      </c>
      <c r="AE200" s="283" t="s">
        <v>273</v>
      </c>
      <c r="AF200" s="283" t="s">
        <v>273</v>
      </c>
      <c r="AG200" s="283" t="s">
        <v>273</v>
      </c>
      <c r="AH200" s="283" t="s">
        <v>273</v>
      </c>
      <c r="AI200" s="283" t="s">
        <v>273</v>
      </c>
      <c r="AJ200" s="283" t="s">
        <v>273</v>
      </c>
    </row>
    <row r="201" spans="1:36" ht="15">
      <c r="A201" s="263" t="s">
        <v>332</v>
      </c>
      <c r="B201" s="283">
        <v>3</v>
      </c>
      <c r="C201" s="283">
        <v>2</v>
      </c>
      <c r="D201" s="283">
        <v>-3</v>
      </c>
      <c r="E201" s="283">
        <v>-1</v>
      </c>
      <c r="F201" s="283">
        <v>2</v>
      </c>
      <c r="G201" s="283">
        <v>1</v>
      </c>
      <c r="H201" s="283">
        <v>1</v>
      </c>
      <c r="I201" s="283">
        <v>5</v>
      </c>
      <c r="J201" s="283">
        <v>2</v>
      </c>
      <c r="K201" s="283">
        <v>2</v>
      </c>
      <c r="L201" s="283">
        <v>1</v>
      </c>
      <c r="M201" s="283">
        <v>3</v>
      </c>
      <c r="N201" s="283">
        <v>2</v>
      </c>
      <c r="O201" s="283">
        <v>2</v>
      </c>
      <c r="P201" s="283" t="s">
        <v>291</v>
      </c>
      <c r="Q201" s="283">
        <v>5</v>
      </c>
      <c r="R201" s="283" t="s">
        <v>291</v>
      </c>
      <c r="S201" s="283" t="s">
        <v>291</v>
      </c>
      <c r="T201" s="283" t="s">
        <v>291</v>
      </c>
      <c r="U201" s="283">
        <v>3</v>
      </c>
      <c r="V201" s="283">
        <v>5</v>
      </c>
      <c r="W201" s="283" t="s">
        <v>291</v>
      </c>
      <c r="X201" s="283">
        <v>7</v>
      </c>
      <c r="Y201" s="283">
        <v>8</v>
      </c>
      <c r="Z201" s="283">
        <v>8</v>
      </c>
      <c r="AA201" s="283">
        <v>14</v>
      </c>
      <c r="AB201" s="283">
        <v>37</v>
      </c>
      <c r="AC201" s="283">
        <v>17</v>
      </c>
      <c r="AD201" s="283">
        <v>20</v>
      </c>
      <c r="AE201" s="283">
        <v>24</v>
      </c>
      <c r="AF201" s="283">
        <v>31</v>
      </c>
      <c r="AG201" s="283">
        <v>34</v>
      </c>
      <c r="AH201" s="283">
        <v>37</v>
      </c>
      <c r="AI201" s="283">
        <v>23</v>
      </c>
      <c r="AJ201" s="283">
        <v>29</v>
      </c>
    </row>
    <row r="202" spans="1:36" ht="15">
      <c r="A202" s="263" t="s">
        <v>331</v>
      </c>
      <c r="B202" s="283">
        <v>13</v>
      </c>
      <c r="C202" s="283">
        <v>10</v>
      </c>
      <c r="D202" s="283">
        <v>14</v>
      </c>
      <c r="E202" s="283">
        <v>6</v>
      </c>
      <c r="F202" s="283">
        <v>19</v>
      </c>
      <c r="G202" s="283">
        <v>11</v>
      </c>
      <c r="H202" s="283">
        <v>4</v>
      </c>
      <c r="I202" s="283" t="s">
        <v>291</v>
      </c>
      <c r="J202" s="283" t="s">
        <v>291</v>
      </c>
      <c r="K202" s="283" t="s">
        <v>291</v>
      </c>
      <c r="L202" s="283" t="s">
        <v>291</v>
      </c>
      <c r="M202" s="283">
        <v>40</v>
      </c>
      <c r="N202" s="283">
        <v>30</v>
      </c>
      <c r="O202" s="283">
        <v>39</v>
      </c>
      <c r="P202" s="283">
        <v>43</v>
      </c>
      <c r="Q202" s="283" t="s">
        <v>291</v>
      </c>
      <c r="R202" s="283" t="s">
        <v>291</v>
      </c>
      <c r="S202" s="283" t="s">
        <v>291</v>
      </c>
      <c r="T202" s="283">
        <v>196</v>
      </c>
      <c r="U202" s="283">
        <v>159</v>
      </c>
      <c r="V202" s="283">
        <v>81</v>
      </c>
      <c r="W202" s="283">
        <v>164</v>
      </c>
      <c r="X202" s="283" t="s">
        <v>291</v>
      </c>
      <c r="Y202" s="283" t="s">
        <v>291</v>
      </c>
      <c r="Z202" s="283" t="s">
        <v>291</v>
      </c>
      <c r="AA202" s="283" t="s">
        <v>291</v>
      </c>
      <c r="AB202" s="283" t="s">
        <v>291</v>
      </c>
      <c r="AC202" s="283">
        <v>25</v>
      </c>
      <c r="AD202" s="283">
        <v>20</v>
      </c>
      <c r="AE202" s="283">
        <v>21</v>
      </c>
      <c r="AF202" s="283">
        <v>20</v>
      </c>
      <c r="AG202" s="283">
        <v>67</v>
      </c>
      <c r="AH202" s="283">
        <v>54</v>
      </c>
      <c r="AI202" s="283" t="s">
        <v>291</v>
      </c>
      <c r="AJ202" s="283">
        <v>-22</v>
      </c>
    </row>
    <row r="203" spans="1:36" ht="15">
      <c r="A203" s="263" t="s">
        <v>330</v>
      </c>
      <c r="B203" s="283">
        <v>-10</v>
      </c>
      <c r="C203" s="283">
        <v>-6</v>
      </c>
      <c r="D203" s="283">
        <v>2</v>
      </c>
      <c r="E203" s="283">
        <v>-1</v>
      </c>
      <c r="F203" s="283">
        <v>5</v>
      </c>
      <c r="G203" s="283">
        <v>5</v>
      </c>
      <c r="H203" s="283" t="s">
        <v>306</v>
      </c>
      <c r="I203" s="283">
        <v>-5</v>
      </c>
      <c r="J203" s="283" t="s">
        <v>306</v>
      </c>
      <c r="K203" s="283" t="s">
        <v>306</v>
      </c>
      <c r="L203" s="283">
        <v>1</v>
      </c>
      <c r="M203" s="283">
        <v>4</v>
      </c>
      <c r="N203" s="283" t="s">
        <v>291</v>
      </c>
      <c r="O203" s="283">
        <v>8</v>
      </c>
      <c r="P203" s="283">
        <v>11</v>
      </c>
      <c r="Q203" s="283">
        <v>15</v>
      </c>
      <c r="R203" s="283">
        <v>20</v>
      </c>
      <c r="S203" s="283">
        <v>21</v>
      </c>
      <c r="T203" s="283">
        <v>39</v>
      </c>
      <c r="U203" s="283" t="s">
        <v>291</v>
      </c>
      <c r="V203" s="283">
        <v>2</v>
      </c>
      <c r="W203" s="283">
        <v>22</v>
      </c>
      <c r="X203" s="283">
        <v>40</v>
      </c>
      <c r="Y203" s="283">
        <v>-1</v>
      </c>
      <c r="Z203" s="283">
        <v>32</v>
      </c>
      <c r="AA203" s="283">
        <v>24</v>
      </c>
      <c r="AB203" s="283">
        <v>30</v>
      </c>
      <c r="AC203" s="283">
        <v>48</v>
      </c>
      <c r="AD203" s="283">
        <v>37</v>
      </c>
      <c r="AE203" s="283">
        <v>27</v>
      </c>
      <c r="AF203" s="283">
        <v>26</v>
      </c>
      <c r="AG203" s="283">
        <v>24</v>
      </c>
      <c r="AH203" s="283">
        <v>43</v>
      </c>
      <c r="AI203" s="283">
        <v>73</v>
      </c>
      <c r="AJ203" s="283">
        <v>47</v>
      </c>
    </row>
    <row r="204" spans="1:36" ht="15">
      <c r="A204" s="263" t="s">
        <v>329</v>
      </c>
      <c r="B204" s="283">
        <v>-31</v>
      </c>
      <c r="C204" s="283">
        <v>-30</v>
      </c>
      <c r="D204" s="283">
        <v>-54</v>
      </c>
      <c r="E204" s="283">
        <v>-47</v>
      </c>
      <c r="F204" s="283">
        <v>-33</v>
      </c>
      <c r="G204" s="283">
        <v>-3</v>
      </c>
      <c r="H204" s="283">
        <v>11</v>
      </c>
      <c r="I204" s="283">
        <v>12</v>
      </c>
      <c r="J204" s="283" t="s">
        <v>291</v>
      </c>
      <c r="K204" s="283" t="s">
        <v>291</v>
      </c>
      <c r="L204" s="283" t="s">
        <v>291</v>
      </c>
      <c r="M204" s="283">
        <v>24</v>
      </c>
      <c r="N204" s="283">
        <v>12</v>
      </c>
      <c r="O204" s="283">
        <v>23</v>
      </c>
      <c r="P204" s="283">
        <v>44</v>
      </c>
      <c r="Q204" s="283">
        <v>30</v>
      </c>
      <c r="R204" s="283">
        <v>-5</v>
      </c>
      <c r="S204" s="283">
        <v>23</v>
      </c>
      <c r="T204" s="283" t="s">
        <v>291</v>
      </c>
      <c r="U204" s="283" t="s">
        <v>291</v>
      </c>
      <c r="V204" s="283" t="s">
        <v>291</v>
      </c>
      <c r="W204" s="283">
        <v>92</v>
      </c>
      <c r="X204" s="283" t="s">
        <v>291</v>
      </c>
      <c r="Y204" s="283" t="s">
        <v>291</v>
      </c>
      <c r="Z204" s="283" t="s">
        <v>291</v>
      </c>
      <c r="AA204" s="283" t="s">
        <v>291</v>
      </c>
      <c r="AB204" s="283" t="s">
        <v>291</v>
      </c>
      <c r="AC204" s="283" t="s">
        <v>291</v>
      </c>
      <c r="AD204" s="283" t="s">
        <v>291</v>
      </c>
      <c r="AE204" s="283" t="s">
        <v>291</v>
      </c>
      <c r="AF204" s="283" t="s">
        <v>291</v>
      </c>
      <c r="AG204" s="283" t="s">
        <v>291</v>
      </c>
      <c r="AH204" s="283" t="s">
        <v>291</v>
      </c>
      <c r="AI204" s="283">
        <v>-13</v>
      </c>
      <c r="AJ204" s="283" t="s">
        <v>291</v>
      </c>
    </row>
    <row r="205" spans="1:36" ht="15">
      <c r="A205" s="263" t="s">
        <v>328</v>
      </c>
      <c r="B205" s="283">
        <v>5</v>
      </c>
      <c r="C205" s="283">
        <v>5</v>
      </c>
      <c r="D205" s="283">
        <v>4</v>
      </c>
      <c r="E205" s="283">
        <v>3</v>
      </c>
      <c r="F205" s="283">
        <v>2</v>
      </c>
      <c r="G205" s="283" t="s">
        <v>306</v>
      </c>
      <c r="H205" s="283">
        <v>1</v>
      </c>
      <c r="I205" s="283">
        <v>-3</v>
      </c>
      <c r="J205" s="283">
        <v>-2</v>
      </c>
      <c r="K205" s="283">
        <v>11</v>
      </c>
      <c r="L205" s="283">
        <v>-3</v>
      </c>
      <c r="M205" s="283">
        <v>-6</v>
      </c>
      <c r="N205" s="283">
        <v>-10</v>
      </c>
      <c r="O205" s="283">
        <v>62</v>
      </c>
      <c r="P205" s="283">
        <v>153</v>
      </c>
      <c r="Q205" s="283">
        <v>192</v>
      </c>
      <c r="R205" s="283">
        <v>124</v>
      </c>
      <c r="S205" s="283">
        <v>224</v>
      </c>
      <c r="T205" s="283">
        <v>483</v>
      </c>
      <c r="U205" s="283">
        <v>438</v>
      </c>
      <c r="V205" s="283">
        <v>477</v>
      </c>
      <c r="W205" s="283">
        <v>522</v>
      </c>
      <c r="X205" s="283">
        <v>796</v>
      </c>
      <c r="Y205" s="283">
        <v>1330</v>
      </c>
      <c r="Z205" s="283">
        <v>2113</v>
      </c>
      <c r="AA205" s="283">
        <v>3030</v>
      </c>
      <c r="AB205" s="283" t="s">
        <v>291</v>
      </c>
      <c r="AC205" s="283">
        <v>2609</v>
      </c>
      <c r="AD205" s="283" t="s">
        <v>291</v>
      </c>
      <c r="AE205" s="283">
        <v>10305</v>
      </c>
      <c r="AF205" s="283">
        <v>10428</v>
      </c>
      <c r="AG205" s="283">
        <v>11131</v>
      </c>
      <c r="AH205" s="283">
        <v>10041</v>
      </c>
      <c r="AI205" s="283">
        <v>6243</v>
      </c>
      <c r="AJ205" s="283">
        <v>3331</v>
      </c>
    </row>
    <row r="206" spans="1:36" ht="15">
      <c r="A206" s="263" t="s">
        <v>327</v>
      </c>
      <c r="B206" s="283" t="s">
        <v>291</v>
      </c>
      <c r="C206" s="283">
        <v>-16</v>
      </c>
      <c r="D206" s="283">
        <v>-5</v>
      </c>
      <c r="E206" s="283" t="s">
        <v>291</v>
      </c>
      <c r="F206" s="283" t="s">
        <v>291</v>
      </c>
      <c r="G206" s="283" t="s">
        <v>291</v>
      </c>
      <c r="H206" s="283" t="s">
        <v>291</v>
      </c>
      <c r="I206" s="283">
        <v>34</v>
      </c>
      <c r="J206" s="283">
        <v>50</v>
      </c>
      <c r="K206" s="283">
        <v>90</v>
      </c>
      <c r="L206" s="283">
        <v>53</v>
      </c>
      <c r="M206" s="283">
        <v>64</v>
      </c>
      <c r="N206" s="283" t="s">
        <v>291</v>
      </c>
      <c r="O206" s="283">
        <v>54</v>
      </c>
      <c r="P206" s="283" t="s">
        <v>291</v>
      </c>
      <c r="Q206" s="283" t="s">
        <v>291</v>
      </c>
      <c r="R206" s="283" t="s">
        <v>291</v>
      </c>
      <c r="S206" s="283" t="s">
        <v>306</v>
      </c>
      <c r="T206" s="283" t="s">
        <v>306</v>
      </c>
      <c r="U206" s="283" t="s">
        <v>306</v>
      </c>
      <c r="V206" s="283" t="s">
        <v>291</v>
      </c>
      <c r="W206" s="283" t="s">
        <v>291</v>
      </c>
      <c r="X206" s="283" t="s">
        <v>291</v>
      </c>
      <c r="Y206" s="283" t="s">
        <v>291</v>
      </c>
      <c r="Z206" s="283">
        <v>-9</v>
      </c>
      <c r="AA206" s="283">
        <v>1</v>
      </c>
      <c r="AB206" s="283" t="s">
        <v>306</v>
      </c>
      <c r="AC206" s="283">
        <v>1</v>
      </c>
      <c r="AD206" s="283">
        <v>1</v>
      </c>
      <c r="AE206" s="283">
        <v>1</v>
      </c>
      <c r="AF206" s="283" t="s">
        <v>306</v>
      </c>
      <c r="AG206" s="283" t="s">
        <v>306</v>
      </c>
      <c r="AH206" s="283" t="s">
        <v>306</v>
      </c>
      <c r="AI206" s="283" t="s">
        <v>306</v>
      </c>
      <c r="AJ206" s="283">
        <v>1</v>
      </c>
    </row>
    <row r="207" spans="1:36" ht="15">
      <c r="A207" s="263" t="s">
        <v>326</v>
      </c>
      <c r="B207" s="283">
        <v>0</v>
      </c>
      <c r="C207" s="283">
        <v>-1</v>
      </c>
      <c r="D207" s="283" t="s">
        <v>306</v>
      </c>
      <c r="E207" s="283" t="s">
        <v>306</v>
      </c>
      <c r="F207" s="283" t="s">
        <v>306</v>
      </c>
      <c r="G207" s="283" t="s">
        <v>306</v>
      </c>
      <c r="H207" s="283" t="s">
        <v>306</v>
      </c>
      <c r="I207" s="283">
        <v>-9</v>
      </c>
      <c r="J207" s="283" t="s">
        <v>33</v>
      </c>
      <c r="K207" s="283" t="s">
        <v>33</v>
      </c>
      <c r="L207" s="283" t="s">
        <v>33</v>
      </c>
      <c r="M207" s="283" t="s">
        <v>33</v>
      </c>
      <c r="N207" s="283" t="s">
        <v>273</v>
      </c>
      <c r="O207" s="283" t="s">
        <v>273</v>
      </c>
      <c r="P207" s="283" t="s">
        <v>273</v>
      </c>
      <c r="Q207" s="283" t="s">
        <v>273</v>
      </c>
      <c r="R207" s="283" t="s">
        <v>273</v>
      </c>
      <c r="S207" s="283" t="s">
        <v>273</v>
      </c>
      <c r="T207" s="283" t="s">
        <v>273</v>
      </c>
      <c r="U207" s="283" t="s">
        <v>273</v>
      </c>
      <c r="V207" s="283" t="s">
        <v>273</v>
      </c>
      <c r="W207" s="283" t="s">
        <v>273</v>
      </c>
      <c r="X207" s="283" t="s">
        <v>273</v>
      </c>
      <c r="Y207" s="283" t="s">
        <v>273</v>
      </c>
      <c r="Z207" s="283" t="s">
        <v>273</v>
      </c>
      <c r="AA207" s="283" t="s">
        <v>273</v>
      </c>
      <c r="AB207" s="283" t="s">
        <v>273</v>
      </c>
      <c r="AC207" s="283" t="s">
        <v>273</v>
      </c>
      <c r="AD207" s="283" t="s">
        <v>273</v>
      </c>
      <c r="AE207" s="283" t="s">
        <v>273</v>
      </c>
      <c r="AF207" s="283" t="s">
        <v>273</v>
      </c>
      <c r="AG207" s="283" t="s">
        <v>273</v>
      </c>
      <c r="AH207" s="283" t="s">
        <v>273</v>
      </c>
      <c r="AI207" s="283" t="s">
        <v>273</v>
      </c>
      <c r="AJ207" s="283" t="s">
        <v>273</v>
      </c>
    </row>
    <row r="208" spans="1:36" ht="15">
      <c r="A208" s="263" t="s">
        <v>325</v>
      </c>
      <c r="B208" s="283">
        <v>-1</v>
      </c>
      <c r="C208" s="283">
        <v>-2</v>
      </c>
      <c r="D208" s="283">
        <v>-1</v>
      </c>
      <c r="E208" s="283" t="s">
        <v>291</v>
      </c>
      <c r="F208" s="283" t="s">
        <v>291</v>
      </c>
      <c r="G208" s="283" t="s">
        <v>291</v>
      </c>
      <c r="H208" s="283" t="s">
        <v>291</v>
      </c>
      <c r="I208" s="283" t="s">
        <v>273</v>
      </c>
      <c r="J208" s="283" t="s">
        <v>273</v>
      </c>
      <c r="K208" s="283" t="s">
        <v>273</v>
      </c>
      <c r="L208" s="283" t="s">
        <v>273</v>
      </c>
      <c r="M208" s="283" t="s">
        <v>273</v>
      </c>
      <c r="N208" s="283" t="s">
        <v>273</v>
      </c>
      <c r="O208" s="283" t="s">
        <v>273</v>
      </c>
      <c r="P208" s="283" t="s">
        <v>273</v>
      </c>
      <c r="Q208" s="283" t="s">
        <v>273</v>
      </c>
      <c r="R208" s="283" t="s">
        <v>273</v>
      </c>
      <c r="S208" s="283" t="s">
        <v>273</v>
      </c>
      <c r="T208" s="283" t="s">
        <v>273</v>
      </c>
      <c r="U208" s="283" t="s">
        <v>273</v>
      </c>
      <c r="V208" s="283" t="s">
        <v>273</v>
      </c>
      <c r="W208" s="283" t="s">
        <v>273</v>
      </c>
      <c r="X208" s="283" t="s">
        <v>273</v>
      </c>
      <c r="Y208" s="283" t="s">
        <v>273</v>
      </c>
      <c r="Z208" s="283" t="s">
        <v>273</v>
      </c>
      <c r="AA208" s="283" t="s">
        <v>273</v>
      </c>
      <c r="AB208" s="283" t="s">
        <v>273</v>
      </c>
      <c r="AC208" s="283" t="s">
        <v>273</v>
      </c>
      <c r="AD208" s="283" t="s">
        <v>273</v>
      </c>
      <c r="AE208" s="283" t="s">
        <v>273</v>
      </c>
      <c r="AF208" s="283" t="s">
        <v>273</v>
      </c>
      <c r="AG208" s="283" t="s">
        <v>273</v>
      </c>
      <c r="AH208" s="283" t="s">
        <v>273</v>
      </c>
      <c r="AI208" s="283" t="s">
        <v>273</v>
      </c>
      <c r="AJ208" s="283" t="s">
        <v>273</v>
      </c>
    </row>
    <row r="209" spans="1:36" ht="15">
      <c r="A209" s="263" t="s">
        <v>324</v>
      </c>
      <c r="B209" s="283" t="s">
        <v>273</v>
      </c>
      <c r="C209" s="283" t="s">
        <v>273</v>
      </c>
      <c r="D209" s="283" t="s">
        <v>273</v>
      </c>
      <c r="E209" s="283" t="s">
        <v>273</v>
      </c>
      <c r="F209" s="283" t="s">
        <v>273</v>
      </c>
      <c r="G209" s="283" t="s">
        <v>273</v>
      </c>
      <c r="H209" s="283" t="s">
        <v>273</v>
      </c>
      <c r="I209" s="283">
        <v>32</v>
      </c>
      <c r="J209" s="283">
        <v>252</v>
      </c>
      <c r="K209" s="283">
        <v>166</v>
      </c>
      <c r="L209" s="283">
        <v>68</v>
      </c>
      <c r="M209" s="283">
        <v>61</v>
      </c>
      <c r="N209" s="283">
        <v>120</v>
      </c>
      <c r="O209" s="283">
        <v>186</v>
      </c>
      <c r="P209" s="283">
        <v>249</v>
      </c>
      <c r="Q209" s="283">
        <v>215</v>
      </c>
      <c r="R209" s="283">
        <v>134</v>
      </c>
      <c r="S209" s="283">
        <v>241</v>
      </c>
      <c r="T209" s="283">
        <v>427</v>
      </c>
      <c r="U209" s="283">
        <v>321</v>
      </c>
      <c r="V209" s="283">
        <v>349</v>
      </c>
      <c r="W209" s="283">
        <v>352</v>
      </c>
      <c r="X209" s="283">
        <v>454</v>
      </c>
      <c r="Y209" s="283">
        <v>562</v>
      </c>
      <c r="Z209" s="283" t="s">
        <v>291</v>
      </c>
      <c r="AA209" s="283" t="s">
        <v>291</v>
      </c>
      <c r="AB209" s="283" t="s">
        <v>291</v>
      </c>
      <c r="AC209" s="283" t="s">
        <v>291</v>
      </c>
      <c r="AD209" s="283" t="s">
        <v>291</v>
      </c>
      <c r="AE209" s="283" t="s">
        <v>291</v>
      </c>
      <c r="AF209" s="283" t="s">
        <v>291</v>
      </c>
      <c r="AG209" s="283" t="s">
        <v>291</v>
      </c>
      <c r="AH209" s="283" t="s">
        <v>291</v>
      </c>
      <c r="AI209" s="283" t="s">
        <v>291</v>
      </c>
      <c r="AJ209" s="283" t="s">
        <v>291</v>
      </c>
    </row>
    <row r="210" spans="1:36" ht="15">
      <c r="A210" s="263" t="s">
        <v>323</v>
      </c>
      <c r="B210" s="283">
        <v>4672</v>
      </c>
      <c r="C210" s="283">
        <v>5202</v>
      </c>
      <c r="D210" s="283">
        <v>6202</v>
      </c>
      <c r="E210" s="283">
        <v>5016</v>
      </c>
      <c r="F210" s="283">
        <v>5014</v>
      </c>
      <c r="G210" s="283">
        <v>7071</v>
      </c>
      <c r="H210" s="283">
        <v>8930</v>
      </c>
      <c r="I210" s="283">
        <v>8973</v>
      </c>
      <c r="J210" s="283">
        <v>9677</v>
      </c>
      <c r="K210" s="283">
        <v>9316</v>
      </c>
      <c r="L210" s="283">
        <v>11483</v>
      </c>
      <c r="M210" s="283">
        <v>12117</v>
      </c>
      <c r="N210" s="283">
        <v>13218</v>
      </c>
      <c r="O210" s="283">
        <v>18146</v>
      </c>
      <c r="P210" s="283">
        <v>18795</v>
      </c>
      <c r="Q210" s="283">
        <v>20009</v>
      </c>
      <c r="R210" s="283">
        <v>12380</v>
      </c>
      <c r="S210" s="283">
        <v>19707</v>
      </c>
      <c r="T210" s="283">
        <v>27861</v>
      </c>
      <c r="U210" s="283">
        <v>23564</v>
      </c>
      <c r="V210" s="283">
        <v>26498</v>
      </c>
      <c r="W210" s="283">
        <v>32621</v>
      </c>
      <c r="X210" s="283">
        <v>44053</v>
      </c>
      <c r="Y210" s="283">
        <v>56688</v>
      </c>
      <c r="Z210" s="283">
        <v>60086</v>
      </c>
      <c r="AA210" s="283">
        <v>66347</v>
      </c>
      <c r="AB210" s="283">
        <v>65517</v>
      </c>
      <c r="AC210" s="283">
        <v>58615</v>
      </c>
      <c r="AD210" s="283">
        <v>72545</v>
      </c>
      <c r="AE210" s="283">
        <v>77158</v>
      </c>
      <c r="AF210" s="283">
        <v>73749</v>
      </c>
      <c r="AG210" s="283">
        <v>78141</v>
      </c>
      <c r="AH210" s="283">
        <v>78456</v>
      </c>
      <c r="AI210" s="283">
        <v>68842</v>
      </c>
      <c r="AJ210" s="283">
        <v>69907</v>
      </c>
    </row>
    <row r="211" spans="1:36" ht="15">
      <c r="A211" s="263" t="s">
        <v>322</v>
      </c>
      <c r="B211" s="283">
        <v>635</v>
      </c>
      <c r="C211" s="283">
        <v>715</v>
      </c>
      <c r="D211" s="283">
        <v>1167</v>
      </c>
      <c r="E211" s="283">
        <v>856</v>
      </c>
      <c r="F211" s="283">
        <v>543</v>
      </c>
      <c r="G211" s="283">
        <v>1096</v>
      </c>
      <c r="H211" s="283">
        <v>1945</v>
      </c>
      <c r="I211" s="283">
        <v>2006</v>
      </c>
      <c r="J211" s="283">
        <v>1888</v>
      </c>
      <c r="K211" s="283">
        <v>749</v>
      </c>
      <c r="L211" s="283">
        <v>2234</v>
      </c>
      <c r="M211" s="283">
        <v>2271</v>
      </c>
      <c r="N211" s="283">
        <v>2383</v>
      </c>
      <c r="O211" s="283">
        <v>2769</v>
      </c>
      <c r="P211" s="283">
        <v>2851</v>
      </c>
      <c r="Q211" s="283">
        <v>3674</v>
      </c>
      <c r="R211" s="283">
        <v>1908</v>
      </c>
      <c r="S211" s="283">
        <v>2397</v>
      </c>
      <c r="T211" s="283">
        <v>3415</v>
      </c>
      <c r="U211" s="283">
        <v>1503</v>
      </c>
      <c r="V211" s="283">
        <v>2037</v>
      </c>
      <c r="W211" s="283">
        <v>3406</v>
      </c>
      <c r="X211" s="283">
        <v>5227</v>
      </c>
      <c r="Y211" s="283">
        <v>6269</v>
      </c>
      <c r="Z211" s="283">
        <v>6596</v>
      </c>
      <c r="AA211" s="283">
        <v>7840</v>
      </c>
      <c r="AB211" s="283">
        <v>8588</v>
      </c>
      <c r="AC211" s="283">
        <v>5543</v>
      </c>
      <c r="AD211" s="283">
        <v>10180</v>
      </c>
      <c r="AE211" s="283">
        <v>11411</v>
      </c>
      <c r="AF211" s="283">
        <v>14780</v>
      </c>
      <c r="AG211" s="283">
        <v>11953</v>
      </c>
      <c r="AH211" s="283">
        <v>9056</v>
      </c>
      <c r="AI211" s="283">
        <v>6535</v>
      </c>
      <c r="AJ211" s="283">
        <v>6535</v>
      </c>
    </row>
    <row r="212" spans="1:36" ht="15">
      <c r="A212" s="263" t="s">
        <v>321</v>
      </c>
      <c r="B212" s="283">
        <v>-3</v>
      </c>
      <c r="C212" s="283">
        <v>-46</v>
      </c>
      <c r="D212" s="283">
        <v>-91</v>
      </c>
      <c r="E212" s="283">
        <v>-87</v>
      </c>
      <c r="F212" s="283">
        <v>-61</v>
      </c>
      <c r="G212" s="283">
        <v>-72</v>
      </c>
      <c r="H212" s="283">
        <v>-36</v>
      </c>
      <c r="I212" s="283">
        <v>-56</v>
      </c>
      <c r="J212" s="283">
        <v>-20</v>
      </c>
      <c r="K212" s="283">
        <v>-12</v>
      </c>
      <c r="L212" s="283">
        <v>2</v>
      </c>
      <c r="M212" s="283">
        <v>128</v>
      </c>
      <c r="N212" s="283">
        <v>68</v>
      </c>
      <c r="O212" s="283">
        <v>200</v>
      </c>
      <c r="P212" s="283">
        <v>567</v>
      </c>
      <c r="Q212" s="283">
        <v>799</v>
      </c>
      <c r="R212" s="283">
        <v>332</v>
      </c>
      <c r="S212" s="283">
        <v>755</v>
      </c>
      <c r="T212" s="283">
        <v>1211</v>
      </c>
      <c r="U212" s="283">
        <v>1590</v>
      </c>
      <c r="V212" s="283">
        <v>1689</v>
      </c>
      <c r="W212" s="283">
        <v>2275</v>
      </c>
      <c r="X212" s="283">
        <v>3417</v>
      </c>
      <c r="Y212" s="283">
        <v>3768</v>
      </c>
      <c r="Z212" s="283">
        <v>5109</v>
      </c>
      <c r="AA212" s="283">
        <v>5772</v>
      </c>
      <c r="AB212" s="283">
        <v>7513</v>
      </c>
      <c r="AC212" s="283">
        <v>6994</v>
      </c>
      <c r="AD212" s="283">
        <v>8890</v>
      </c>
      <c r="AE212" s="283">
        <v>8938</v>
      </c>
      <c r="AF212" s="283">
        <v>5995</v>
      </c>
      <c r="AG212" s="283">
        <v>9686</v>
      </c>
      <c r="AH212" s="283">
        <v>12002</v>
      </c>
      <c r="AI212" s="283">
        <v>10577</v>
      </c>
      <c r="AJ212" s="283">
        <v>11834</v>
      </c>
    </row>
    <row r="213" spans="1:36" ht="15">
      <c r="A213" s="263" t="s">
        <v>320</v>
      </c>
      <c r="B213" s="283">
        <v>638</v>
      </c>
      <c r="C213" s="283">
        <v>660</v>
      </c>
      <c r="D213" s="283">
        <v>637</v>
      </c>
      <c r="E213" s="283">
        <v>543</v>
      </c>
      <c r="F213" s="283">
        <v>682</v>
      </c>
      <c r="G213" s="283">
        <v>1087</v>
      </c>
      <c r="H213" s="283">
        <v>1058</v>
      </c>
      <c r="I213" s="283">
        <v>1282</v>
      </c>
      <c r="J213" s="283">
        <v>1200</v>
      </c>
      <c r="K213" s="283">
        <v>1540</v>
      </c>
      <c r="L213" s="283">
        <v>1855</v>
      </c>
      <c r="M213" s="283">
        <v>2120</v>
      </c>
      <c r="N213" s="283">
        <v>2058</v>
      </c>
      <c r="O213" s="283">
        <v>2310</v>
      </c>
      <c r="P213" s="283">
        <v>2221</v>
      </c>
      <c r="Q213" s="283">
        <v>2336</v>
      </c>
      <c r="R213" s="283">
        <v>1701</v>
      </c>
      <c r="S213" s="283">
        <v>3170</v>
      </c>
      <c r="T213" s="283">
        <v>5163</v>
      </c>
      <c r="U213" s="283">
        <v>4897</v>
      </c>
      <c r="V213" s="283">
        <v>3906</v>
      </c>
      <c r="W213" s="283">
        <v>3718</v>
      </c>
      <c r="X213" s="283">
        <v>4822</v>
      </c>
      <c r="Y213" s="283">
        <v>5056</v>
      </c>
      <c r="Z213" s="283">
        <v>8130</v>
      </c>
      <c r="AA213" s="283">
        <v>7681</v>
      </c>
      <c r="AB213" s="283">
        <v>5659</v>
      </c>
      <c r="AC213" s="283">
        <v>6526</v>
      </c>
      <c r="AD213" s="283">
        <v>6034</v>
      </c>
      <c r="AE213" s="283">
        <v>5125</v>
      </c>
      <c r="AF213" s="283">
        <v>4848</v>
      </c>
      <c r="AG213" s="283">
        <v>4887</v>
      </c>
      <c r="AH213" s="283">
        <v>4619</v>
      </c>
      <c r="AI213" s="283">
        <v>4615</v>
      </c>
      <c r="AJ213" s="283">
        <v>4404</v>
      </c>
    </row>
    <row r="214" spans="1:36" ht="15">
      <c r="A214" s="263" t="s">
        <v>319</v>
      </c>
      <c r="B214" s="283">
        <v>60</v>
      </c>
      <c r="C214" s="283">
        <v>62</v>
      </c>
      <c r="D214" s="283">
        <v>63</v>
      </c>
      <c r="E214" s="283">
        <v>63</v>
      </c>
      <c r="F214" s="283">
        <v>80</v>
      </c>
      <c r="G214" s="283">
        <v>81</v>
      </c>
      <c r="H214" s="283">
        <v>90</v>
      </c>
      <c r="I214" s="283">
        <v>61</v>
      </c>
      <c r="J214" s="283">
        <v>78</v>
      </c>
      <c r="K214" s="283">
        <v>58</v>
      </c>
      <c r="L214" s="283">
        <v>66</v>
      </c>
      <c r="M214" s="283">
        <v>72</v>
      </c>
      <c r="N214" s="283">
        <v>119</v>
      </c>
      <c r="O214" s="283">
        <v>132</v>
      </c>
      <c r="P214" s="283">
        <v>94</v>
      </c>
      <c r="Q214" s="283">
        <v>-8</v>
      </c>
      <c r="R214" s="283">
        <v>-7</v>
      </c>
      <c r="S214" s="283">
        <v>7</v>
      </c>
      <c r="T214" s="283">
        <v>220</v>
      </c>
      <c r="U214" s="283">
        <v>133</v>
      </c>
      <c r="V214" s="283">
        <v>344</v>
      </c>
      <c r="W214" s="283">
        <v>489</v>
      </c>
      <c r="X214" s="283">
        <v>1035</v>
      </c>
      <c r="Y214" s="283">
        <v>1185</v>
      </c>
      <c r="Z214" s="283">
        <v>1696</v>
      </c>
      <c r="AA214" s="283">
        <v>2269</v>
      </c>
      <c r="AB214" s="283">
        <v>2342</v>
      </c>
      <c r="AC214" s="283">
        <v>2706</v>
      </c>
      <c r="AD214" s="283">
        <v>3174</v>
      </c>
      <c r="AE214" s="283">
        <v>3199</v>
      </c>
      <c r="AF214" s="283">
        <v>3508</v>
      </c>
      <c r="AG214" s="283">
        <v>3119</v>
      </c>
      <c r="AH214" s="283">
        <v>3233</v>
      </c>
      <c r="AI214" s="283">
        <v>3100</v>
      </c>
      <c r="AJ214" s="283">
        <v>4186</v>
      </c>
    </row>
    <row r="215" spans="1:36" ht="15">
      <c r="A215" s="263" t="s">
        <v>318</v>
      </c>
      <c r="B215" s="283">
        <v>1734</v>
      </c>
      <c r="C215" s="283">
        <v>1658</v>
      </c>
      <c r="D215" s="283">
        <v>1985</v>
      </c>
      <c r="E215" s="283">
        <v>1434</v>
      </c>
      <c r="F215" s="283">
        <v>667</v>
      </c>
      <c r="G215" s="283">
        <v>944</v>
      </c>
      <c r="H215" s="283">
        <v>859</v>
      </c>
      <c r="I215" s="283">
        <v>1057</v>
      </c>
      <c r="J215" s="283">
        <v>1886</v>
      </c>
      <c r="K215" s="283">
        <v>1785</v>
      </c>
      <c r="L215" s="283">
        <v>1509</v>
      </c>
      <c r="M215" s="283">
        <v>1262</v>
      </c>
      <c r="N215" s="283">
        <v>1223</v>
      </c>
      <c r="O215" s="283">
        <v>1572</v>
      </c>
      <c r="P215" s="283">
        <v>1969</v>
      </c>
      <c r="Q215" s="283">
        <v>1765</v>
      </c>
      <c r="R215" s="283">
        <v>1106</v>
      </c>
      <c r="S215" s="283">
        <v>1688</v>
      </c>
      <c r="T215" s="283">
        <v>1659</v>
      </c>
      <c r="U215" s="283">
        <v>1420</v>
      </c>
      <c r="V215" s="283">
        <v>1130</v>
      </c>
      <c r="W215" s="283">
        <v>1356</v>
      </c>
      <c r="X215" s="283">
        <v>1610</v>
      </c>
      <c r="Y215" s="283">
        <v>2319</v>
      </c>
      <c r="Z215" s="283">
        <v>3106</v>
      </c>
      <c r="AA215" s="283">
        <v>3281</v>
      </c>
      <c r="AB215" s="283">
        <v>3473</v>
      </c>
      <c r="AC215" s="283">
        <v>3235</v>
      </c>
      <c r="AD215" s="283">
        <v>4219</v>
      </c>
      <c r="AE215" s="283">
        <v>4498</v>
      </c>
      <c r="AF215" s="283">
        <v>2973</v>
      </c>
      <c r="AG215" s="283">
        <v>2482</v>
      </c>
      <c r="AH215" s="283">
        <v>2168</v>
      </c>
      <c r="AI215" s="283">
        <v>1145</v>
      </c>
      <c r="AJ215" s="283">
        <v>503</v>
      </c>
    </row>
    <row r="216" spans="1:36" ht="15">
      <c r="A216" s="263" t="s">
        <v>317</v>
      </c>
      <c r="B216" s="283">
        <v>601</v>
      </c>
      <c r="C216" s="283">
        <v>863</v>
      </c>
      <c r="D216" s="283">
        <v>870</v>
      </c>
      <c r="E216" s="283">
        <v>823</v>
      </c>
      <c r="F216" s="283">
        <v>1788</v>
      </c>
      <c r="G216" s="283">
        <v>2026</v>
      </c>
      <c r="H216" s="283">
        <v>2621</v>
      </c>
      <c r="I216" s="283">
        <v>2070</v>
      </c>
      <c r="J216" s="283">
        <v>1722</v>
      </c>
      <c r="K216" s="283">
        <v>2293</v>
      </c>
      <c r="L216" s="283">
        <v>1979</v>
      </c>
      <c r="M216" s="283">
        <v>1801</v>
      </c>
      <c r="N216" s="283">
        <v>1972</v>
      </c>
      <c r="O216" s="283">
        <v>4091</v>
      </c>
      <c r="P216" s="283">
        <v>3475</v>
      </c>
      <c r="Q216" s="283">
        <v>3511</v>
      </c>
      <c r="R216" s="283">
        <v>2010</v>
      </c>
      <c r="S216" s="283">
        <v>4146</v>
      </c>
      <c r="T216" s="283">
        <v>5988</v>
      </c>
      <c r="U216" s="283">
        <v>4892</v>
      </c>
      <c r="V216" s="283">
        <v>7146</v>
      </c>
      <c r="W216" s="283">
        <v>8103</v>
      </c>
      <c r="X216" s="283">
        <v>9527</v>
      </c>
      <c r="Y216" s="283">
        <v>10803</v>
      </c>
      <c r="Z216" s="283">
        <v>7627</v>
      </c>
      <c r="AA216" s="283">
        <v>7862</v>
      </c>
      <c r="AB216" s="283">
        <v>7491</v>
      </c>
      <c r="AC216" s="283">
        <v>12810</v>
      </c>
      <c r="AD216" s="283">
        <v>8990</v>
      </c>
      <c r="AE216" s="283">
        <v>9706</v>
      </c>
      <c r="AF216" s="283">
        <v>9646</v>
      </c>
      <c r="AG216" s="283">
        <v>9211</v>
      </c>
      <c r="AH216" s="283">
        <v>8287</v>
      </c>
      <c r="AI216" s="283">
        <v>9703</v>
      </c>
      <c r="AJ216" s="283">
        <v>11105</v>
      </c>
    </row>
    <row r="217" spans="1:36" ht="15">
      <c r="A217" s="263" t="s">
        <v>316</v>
      </c>
      <c r="B217" s="283">
        <v>69</v>
      </c>
      <c r="C217" s="283">
        <v>59</v>
      </c>
      <c r="D217" s="283">
        <v>174</v>
      </c>
      <c r="E217" s="283">
        <v>181</v>
      </c>
      <c r="F217" s="283">
        <v>109</v>
      </c>
      <c r="G217" s="283">
        <v>132</v>
      </c>
      <c r="H217" s="283">
        <v>196</v>
      </c>
      <c r="I217" s="283">
        <v>245</v>
      </c>
      <c r="J217" s="283">
        <v>269</v>
      </c>
      <c r="K217" s="283">
        <v>70</v>
      </c>
      <c r="L217" s="283">
        <v>143</v>
      </c>
      <c r="M217" s="283">
        <v>266</v>
      </c>
      <c r="N217" s="283">
        <v>477</v>
      </c>
      <c r="O217" s="283">
        <v>773</v>
      </c>
      <c r="P217" s="283">
        <v>926</v>
      </c>
      <c r="Q217" s="283">
        <v>528</v>
      </c>
      <c r="R217" s="283">
        <v>701</v>
      </c>
      <c r="S217" s="283">
        <v>1134</v>
      </c>
      <c r="T217" s="283">
        <v>1324</v>
      </c>
      <c r="U217" s="283">
        <v>1114</v>
      </c>
      <c r="V217" s="283">
        <v>1455</v>
      </c>
      <c r="W217" s="283">
        <v>1486</v>
      </c>
      <c r="X217" s="283">
        <v>2078</v>
      </c>
      <c r="Y217" s="283">
        <v>2588</v>
      </c>
      <c r="Z217" s="283">
        <v>3154</v>
      </c>
      <c r="AA217" s="283">
        <v>3257</v>
      </c>
      <c r="AB217" s="283">
        <v>3343</v>
      </c>
      <c r="AC217" s="283">
        <v>3459</v>
      </c>
      <c r="AD217" s="283">
        <v>4330</v>
      </c>
      <c r="AE217" s="283">
        <v>3919</v>
      </c>
      <c r="AF217" s="283">
        <v>3286</v>
      </c>
      <c r="AG217" s="283">
        <v>2505</v>
      </c>
      <c r="AH217" s="283">
        <v>2164</v>
      </c>
      <c r="AI217" s="283">
        <v>2455</v>
      </c>
      <c r="AJ217" s="283">
        <v>2712</v>
      </c>
    </row>
    <row r="218" spans="1:36" ht="15">
      <c r="A218" s="263" t="s">
        <v>315</v>
      </c>
      <c r="B218" s="283">
        <v>270</v>
      </c>
      <c r="C218" s="283">
        <v>372</v>
      </c>
      <c r="D218" s="283">
        <v>377</v>
      </c>
      <c r="E218" s="283">
        <v>324</v>
      </c>
      <c r="F218" s="283">
        <v>125</v>
      </c>
      <c r="G218" s="283">
        <v>227</v>
      </c>
      <c r="H218" s="283">
        <v>380</v>
      </c>
      <c r="I218" s="283">
        <v>231</v>
      </c>
      <c r="J218" s="283">
        <v>469</v>
      </c>
      <c r="K218" s="283">
        <v>505</v>
      </c>
      <c r="L218" s="283">
        <v>666</v>
      </c>
      <c r="M218" s="283">
        <v>699</v>
      </c>
      <c r="N218" s="283">
        <v>771</v>
      </c>
      <c r="O218" s="283">
        <v>1103</v>
      </c>
      <c r="P218" s="283">
        <v>1244</v>
      </c>
      <c r="Q218" s="283">
        <v>1333</v>
      </c>
      <c r="R218" s="283">
        <v>243</v>
      </c>
      <c r="S218" s="283">
        <v>1193</v>
      </c>
      <c r="T218" s="283">
        <v>1550</v>
      </c>
      <c r="U218" s="283">
        <v>1415</v>
      </c>
      <c r="V218" s="283">
        <v>1453</v>
      </c>
      <c r="W218" s="283">
        <v>1758</v>
      </c>
      <c r="X218" s="283">
        <v>2182</v>
      </c>
      <c r="Y218" s="283">
        <v>2721</v>
      </c>
      <c r="Z218" s="283">
        <v>2772</v>
      </c>
      <c r="AA218" s="283">
        <v>3148</v>
      </c>
      <c r="AB218" s="283">
        <v>3843</v>
      </c>
      <c r="AC218" s="283">
        <v>2496</v>
      </c>
      <c r="AD218" s="283">
        <v>3084</v>
      </c>
      <c r="AE218" s="283">
        <v>3041</v>
      </c>
      <c r="AF218" s="283">
        <v>2280</v>
      </c>
      <c r="AG218" s="283">
        <v>2799</v>
      </c>
      <c r="AH218" s="283">
        <v>1701</v>
      </c>
      <c r="AI218" s="283">
        <v>1275</v>
      </c>
      <c r="AJ218" s="283">
        <v>1110</v>
      </c>
    </row>
    <row r="219" spans="1:36" ht="15">
      <c r="A219" s="263" t="s">
        <v>314</v>
      </c>
      <c r="B219" s="283">
        <v>39</v>
      </c>
      <c r="C219" s="283">
        <v>49</v>
      </c>
      <c r="D219" s="283">
        <v>44</v>
      </c>
      <c r="E219" s="283">
        <v>65</v>
      </c>
      <c r="F219" s="283">
        <v>81</v>
      </c>
      <c r="G219" s="283">
        <v>105</v>
      </c>
      <c r="H219" s="283">
        <v>88</v>
      </c>
      <c r="I219" s="283">
        <v>87</v>
      </c>
      <c r="J219" s="283">
        <v>78</v>
      </c>
      <c r="K219" s="283">
        <v>130</v>
      </c>
      <c r="L219" s="283">
        <v>210</v>
      </c>
      <c r="M219" s="283">
        <v>186</v>
      </c>
      <c r="N219" s="283">
        <v>466</v>
      </c>
      <c r="O219" s="283">
        <v>607</v>
      </c>
      <c r="P219" s="283">
        <v>628</v>
      </c>
      <c r="Q219" s="283">
        <v>700</v>
      </c>
      <c r="R219" s="283">
        <v>338</v>
      </c>
      <c r="S219" s="283">
        <v>347</v>
      </c>
      <c r="T219" s="283">
        <v>258</v>
      </c>
      <c r="U219" s="283">
        <v>255</v>
      </c>
      <c r="V219" s="283">
        <v>156</v>
      </c>
      <c r="W219" s="283">
        <v>454</v>
      </c>
      <c r="X219" s="283">
        <v>149</v>
      </c>
      <c r="Y219" s="283">
        <v>640</v>
      </c>
      <c r="Z219" s="283">
        <v>508</v>
      </c>
      <c r="AA219" s="283">
        <v>370</v>
      </c>
      <c r="AB219" s="283">
        <v>315</v>
      </c>
      <c r="AC219" s="283">
        <v>356</v>
      </c>
      <c r="AD219" s="283">
        <v>415</v>
      </c>
      <c r="AE219" s="283">
        <v>691</v>
      </c>
      <c r="AF219" s="283">
        <v>641</v>
      </c>
      <c r="AG219" s="283">
        <v>374</v>
      </c>
      <c r="AH219" s="283">
        <v>400</v>
      </c>
      <c r="AI219" s="283">
        <v>539</v>
      </c>
      <c r="AJ219" s="283">
        <v>502</v>
      </c>
    </row>
    <row r="220" spans="1:36" ht="15">
      <c r="A220" s="263" t="s">
        <v>313</v>
      </c>
      <c r="B220" s="283">
        <v>27</v>
      </c>
      <c r="C220" s="283">
        <v>76</v>
      </c>
      <c r="D220" s="283">
        <v>129</v>
      </c>
      <c r="E220" s="283">
        <v>103</v>
      </c>
      <c r="F220" s="283">
        <v>168</v>
      </c>
      <c r="G220" s="283">
        <v>146</v>
      </c>
      <c r="H220" s="283">
        <v>206</v>
      </c>
      <c r="I220" s="283">
        <v>270</v>
      </c>
      <c r="J220" s="283">
        <v>227</v>
      </c>
      <c r="K220" s="283">
        <v>232</v>
      </c>
      <c r="L220" s="283">
        <v>369</v>
      </c>
      <c r="M220" s="283">
        <v>407</v>
      </c>
      <c r="N220" s="283">
        <v>421</v>
      </c>
      <c r="O220" s="283">
        <v>543</v>
      </c>
      <c r="P220" s="283">
        <v>551</v>
      </c>
      <c r="Q220" s="283">
        <v>551</v>
      </c>
      <c r="R220" s="283">
        <v>473</v>
      </c>
      <c r="S220" s="283">
        <v>466</v>
      </c>
      <c r="T220" s="283">
        <v>461</v>
      </c>
      <c r="U220" s="283">
        <v>377</v>
      </c>
      <c r="V220" s="283">
        <v>692</v>
      </c>
      <c r="W220" s="283">
        <v>722</v>
      </c>
      <c r="X220" s="283">
        <v>976</v>
      </c>
      <c r="Y220" s="283">
        <v>702</v>
      </c>
      <c r="Z220" s="283">
        <v>887</v>
      </c>
      <c r="AA220" s="283">
        <v>979</v>
      </c>
      <c r="AB220" s="283">
        <v>454</v>
      </c>
      <c r="AC220" s="283">
        <v>462</v>
      </c>
      <c r="AD220" s="283">
        <v>688</v>
      </c>
      <c r="AE220" s="283">
        <v>688</v>
      </c>
      <c r="AF220" s="283">
        <v>592</v>
      </c>
      <c r="AG220" s="283">
        <v>835</v>
      </c>
      <c r="AH220" s="283">
        <v>665</v>
      </c>
      <c r="AI220" s="283">
        <v>548</v>
      </c>
      <c r="AJ220" s="283">
        <v>537</v>
      </c>
    </row>
    <row r="221" spans="1:36" ht="15">
      <c r="A221" s="263" t="s">
        <v>312</v>
      </c>
      <c r="B221" s="283">
        <v>473</v>
      </c>
      <c r="C221" s="283">
        <v>524</v>
      </c>
      <c r="D221" s="283">
        <v>524</v>
      </c>
      <c r="E221" s="283">
        <v>402</v>
      </c>
      <c r="F221" s="283">
        <v>519</v>
      </c>
      <c r="G221" s="283">
        <v>729</v>
      </c>
      <c r="H221" s="283">
        <v>825</v>
      </c>
      <c r="I221" s="283">
        <v>727</v>
      </c>
      <c r="J221" s="283">
        <v>1127</v>
      </c>
      <c r="K221" s="283">
        <v>1138</v>
      </c>
      <c r="L221" s="283">
        <v>1539</v>
      </c>
      <c r="M221" s="283">
        <v>1932</v>
      </c>
      <c r="N221" s="283">
        <v>2135</v>
      </c>
      <c r="O221" s="283">
        <v>2466</v>
      </c>
      <c r="P221" s="283">
        <v>2751</v>
      </c>
      <c r="Q221" s="283">
        <v>3465</v>
      </c>
      <c r="R221" s="283">
        <v>1771</v>
      </c>
      <c r="S221" s="283">
        <v>2604</v>
      </c>
      <c r="T221" s="283">
        <v>4045</v>
      </c>
      <c r="U221" s="283">
        <v>3334</v>
      </c>
      <c r="V221" s="283">
        <v>4438</v>
      </c>
      <c r="W221" s="283">
        <v>5987</v>
      </c>
      <c r="X221" s="283">
        <v>8619</v>
      </c>
      <c r="Y221" s="283">
        <v>15809</v>
      </c>
      <c r="Z221" s="283">
        <v>15563</v>
      </c>
      <c r="AA221" s="283">
        <v>19045</v>
      </c>
      <c r="AB221" s="283">
        <v>17195</v>
      </c>
      <c r="AC221" s="283">
        <v>10298</v>
      </c>
      <c r="AD221" s="283">
        <v>16137</v>
      </c>
      <c r="AE221" s="283">
        <v>21437</v>
      </c>
      <c r="AF221" s="283">
        <v>21319</v>
      </c>
      <c r="AG221" s="283">
        <v>26525</v>
      </c>
      <c r="AH221" s="283">
        <v>30926</v>
      </c>
      <c r="AI221" s="283">
        <v>25049</v>
      </c>
      <c r="AJ221" s="283">
        <v>23152</v>
      </c>
    </row>
    <row r="222" spans="1:36" ht="15">
      <c r="A222" s="263" t="s">
        <v>311</v>
      </c>
      <c r="B222" s="283">
        <v>126</v>
      </c>
      <c r="C222" s="283">
        <v>157</v>
      </c>
      <c r="D222" s="283">
        <v>193</v>
      </c>
      <c r="E222" s="283">
        <v>107</v>
      </c>
      <c r="F222" s="283">
        <v>107</v>
      </c>
      <c r="G222" s="283">
        <v>318</v>
      </c>
      <c r="H222" s="283">
        <v>344</v>
      </c>
      <c r="I222" s="283">
        <v>443</v>
      </c>
      <c r="J222" s="283">
        <v>341</v>
      </c>
      <c r="K222" s="283">
        <v>414</v>
      </c>
      <c r="L222" s="283">
        <v>411</v>
      </c>
      <c r="M222" s="283">
        <v>422</v>
      </c>
      <c r="N222" s="283">
        <v>465</v>
      </c>
      <c r="O222" s="283">
        <v>700</v>
      </c>
      <c r="P222" s="283">
        <v>617</v>
      </c>
      <c r="Q222" s="283">
        <v>660</v>
      </c>
      <c r="R222" s="283">
        <v>787</v>
      </c>
      <c r="S222" s="283">
        <v>1066</v>
      </c>
      <c r="T222" s="283">
        <v>1368</v>
      </c>
      <c r="U222" s="283">
        <v>1240</v>
      </c>
      <c r="V222" s="283">
        <v>1107</v>
      </c>
      <c r="W222" s="283">
        <v>1329</v>
      </c>
      <c r="X222" s="283">
        <v>1809</v>
      </c>
      <c r="Y222" s="283">
        <v>2120</v>
      </c>
      <c r="Z222" s="283">
        <v>2065</v>
      </c>
      <c r="AA222" s="283">
        <v>1976</v>
      </c>
      <c r="AB222" s="283">
        <v>2127</v>
      </c>
      <c r="AC222" s="283">
        <v>1258</v>
      </c>
      <c r="AD222" s="283">
        <v>2125</v>
      </c>
      <c r="AE222" s="283">
        <v>1968</v>
      </c>
      <c r="AF222" s="283">
        <v>1706</v>
      </c>
      <c r="AG222" s="283">
        <v>1180</v>
      </c>
      <c r="AH222" s="283">
        <v>1259</v>
      </c>
      <c r="AI222" s="283">
        <v>1110</v>
      </c>
      <c r="AJ222" s="283">
        <v>1170</v>
      </c>
    </row>
    <row r="223" spans="1:36" ht="15">
      <c r="A223" s="263" t="s">
        <v>310</v>
      </c>
      <c r="B223" s="283">
        <v>-29</v>
      </c>
      <c r="C223" s="283">
        <v>19</v>
      </c>
      <c r="D223" s="283">
        <v>95</v>
      </c>
      <c r="E223" s="283">
        <v>154</v>
      </c>
      <c r="F223" s="283">
        <v>154</v>
      </c>
      <c r="G223" s="283">
        <v>179</v>
      </c>
      <c r="H223" s="283">
        <v>296</v>
      </c>
      <c r="I223" s="283">
        <v>471</v>
      </c>
      <c r="J223" s="283">
        <v>358</v>
      </c>
      <c r="K223" s="283">
        <v>408</v>
      </c>
      <c r="L223" s="283">
        <v>435</v>
      </c>
      <c r="M223" s="283">
        <v>462</v>
      </c>
      <c r="N223" s="283">
        <v>674</v>
      </c>
      <c r="O223" s="283">
        <v>823</v>
      </c>
      <c r="P223" s="283">
        <v>805</v>
      </c>
      <c r="Q223" s="283">
        <v>576</v>
      </c>
      <c r="R223" s="283">
        <v>1065</v>
      </c>
      <c r="S223" s="283">
        <v>718</v>
      </c>
      <c r="T223" s="283">
        <v>945</v>
      </c>
      <c r="U223" s="283">
        <v>919</v>
      </c>
      <c r="V223" s="283">
        <v>789</v>
      </c>
      <c r="W223" s="283">
        <v>1123</v>
      </c>
      <c r="X223" s="283">
        <v>1805</v>
      </c>
      <c r="Y223" s="283">
        <v>1874</v>
      </c>
      <c r="Z223" s="283">
        <v>1999</v>
      </c>
      <c r="AA223" s="283">
        <v>2006</v>
      </c>
      <c r="AB223" s="283">
        <v>2011</v>
      </c>
      <c r="AC223" s="283">
        <v>1905</v>
      </c>
      <c r="AD223" s="283">
        <v>3592</v>
      </c>
      <c r="AE223" s="283">
        <v>1681</v>
      </c>
      <c r="AF223" s="283">
        <v>1491</v>
      </c>
      <c r="AG223" s="283">
        <v>1705</v>
      </c>
      <c r="AH223" s="283">
        <v>549</v>
      </c>
      <c r="AI223" s="283">
        <v>1316</v>
      </c>
      <c r="AJ223" s="283">
        <v>1445</v>
      </c>
    </row>
    <row r="224" spans="1:36" ht="15">
      <c r="A224" s="263" t="s">
        <v>236</v>
      </c>
      <c r="B224" s="283">
        <v>33</v>
      </c>
      <c r="C224" s="283">
        <v>34</v>
      </c>
      <c r="D224" s="283">
        <v>36</v>
      </c>
      <c r="E224" s="283">
        <v>47</v>
      </c>
      <c r="F224" s="283">
        <v>51</v>
      </c>
      <c r="G224" s="283">
        <v>74</v>
      </c>
      <c r="H224" s="283">
        <v>57</v>
      </c>
      <c r="I224" s="283">
        <v>78</v>
      </c>
      <c r="J224" s="283">
        <v>54</v>
      </c>
      <c r="K224" s="283">
        <v>8</v>
      </c>
      <c r="L224" s="283">
        <v>65</v>
      </c>
      <c r="M224" s="283">
        <v>88</v>
      </c>
      <c r="N224" s="283">
        <v>-14</v>
      </c>
      <c r="O224" s="283">
        <v>58</v>
      </c>
      <c r="P224" s="283">
        <v>95</v>
      </c>
      <c r="Q224" s="283">
        <v>121</v>
      </c>
      <c r="R224" s="283">
        <v>-48</v>
      </c>
      <c r="S224" s="283">
        <v>17</v>
      </c>
      <c r="T224" s="283">
        <v>252</v>
      </c>
      <c r="U224" s="283">
        <v>476</v>
      </c>
      <c r="V224" s="283">
        <v>155</v>
      </c>
      <c r="W224" s="283">
        <v>415</v>
      </c>
      <c r="X224" s="283">
        <v>796</v>
      </c>
      <c r="Y224" s="283">
        <v>835</v>
      </c>
      <c r="Z224" s="283">
        <v>875</v>
      </c>
      <c r="AA224" s="283">
        <v>862</v>
      </c>
      <c r="AB224" s="283">
        <v>1164</v>
      </c>
      <c r="AC224" s="283">
        <v>569</v>
      </c>
      <c r="AD224" s="283">
        <v>688</v>
      </c>
      <c r="AE224" s="283">
        <v>856</v>
      </c>
      <c r="AF224" s="283">
        <v>685</v>
      </c>
      <c r="AG224" s="283">
        <v>882</v>
      </c>
      <c r="AH224" s="283">
        <v>1426</v>
      </c>
      <c r="AI224" s="283">
        <v>875</v>
      </c>
      <c r="AJ224" s="283">
        <v>712</v>
      </c>
    </row>
    <row r="225" spans="1:36" ht="15">
      <c r="A225" s="263" t="s">
        <v>309</v>
      </c>
      <c r="B225" s="283">
        <v>0</v>
      </c>
      <c r="C225" s="283">
        <v>0</v>
      </c>
      <c r="D225" s="283">
        <v>0</v>
      </c>
      <c r="E225" s="283">
        <v>0</v>
      </c>
      <c r="F225" s="283">
        <v>0</v>
      </c>
      <c r="G225" s="283">
        <v>0</v>
      </c>
      <c r="H225" s="283">
        <v>0</v>
      </c>
      <c r="I225" s="283" t="s">
        <v>273</v>
      </c>
      <c r="J225" s="283" t="s">
        <v>273</v>
      </c>
      <c r="K225" s="283" t="s">
        <v>273</v>
      </c>
      <c r="L225" s="283" t="s">
        <v>273</v>
      </c>
      <c r="M225" s="283" t="s">
        <v>273</v>
      </c>
      <c r="N225" s="283" t="s">
        <v>273</v>
      </c>
      <c r="O225" s="283" t="s">
        <v>273</v>
      </c>
      <c r="P225" s="283" t="s">
        <v>273</v>
      </c>
      <c r="Q225" s="283" t="s">
        <v>273</v>
      </c>
      <c r="R225" s="283" t="s">
        <v>273</v>
      </c>
      <c r="S225" s="283" t="s">
        <v>273</v>
      </c>
      <c r="T225" s="283" t="s">
        <v>273</v>
      </c>
      <c r="U225" s="283" t="s">
        <v>273</v>
      </c>
      <c r="V225" s="283" t="s">
        <v>273</v>
      </c>
      <c r="W225" s="283" t="s">
        <v>273</v>
      </c>
      <c r="X225" s="283">
        <v>0</v>
      </c>
      <c r="Y225" s="283">
        <v>0</v>
      </c>
      <c r="Z225" s="283">
        <v>0</v>
      </c>
      <c r="AA225" s="283">
        <v>0</v>
      </c>
      <c r="AB225" s="283">
        <v>0</v>
      </c>
      <c r="AC225" s="283">
        <v>-1</v>
      </c>
      <c r="AD225" s="283">
        <v>-1</v>
      </c>
      <c r="AE225" s="283">
        <v>-1</v>
      </c>
      <c r="AF225" s="283">
        <v>-1</v>
      </c>
      <c r="AG225" s="283">
        <v>-1</v>
      </c>
      <c r="AH225" s="283">
        <v>-1</v>
      </c>
      <c r="AI225" s="283">
        <v>-1</v>
      </c>
      <c r="AJ225" s="283">
        <v>-1</v>
      </c>
    </row>
    <row r="226" spans="1:36" ht="15">
      <c r="A226" s="263" t="s">
        <v>308</v>
      </c>
      <c r="B226" s="283">
        <v>3</v>
      </c>
      <c r="C226" s="283">
        <v>3</v>
      </c>
      <c r="D226" s="283">
        <v>4</v>
      </c>
      <c r="E226" s="283">
        <v>3</v>
      </c>
      <c r="F226" s="283">
        <v>3</v>
      </c>
      <c r="G226" s="283">
        <v>4</v>
      </c>
      <c r="H226" s="283">
        <v>2</v>
      </c>
      <c r="I226" s="283">
        <v>2</v>
      </c>
      <c r="J226" s="283">
        <v>2</v>
      </c>
      <c r="K226" s="283">
        <v>3</v>
      </c>
      <c r="L226" s="283">
        <v>4</v>
      </c>
      <c r="M226" s="283">
        <v>7</v>
      </c>
      <c r="N226" s="283">
        <v>7</v>
      </c>
      <c r="O226" s="283">
        <v>5</v>
      </c>
      <c r="P226" s="283">
        <v>6</v>
      </c>
      <c r="Q226" s="283">
        <v>-20</v>
      </c>
      <c r="R226" s="283">
        <v>-17</v>
      </c>
      <c r="S226" s="283">
        <v>-11</v>
      </c>
      <c r="T226" s="283">
        <v>20</v>
      </c>
      <c r="U226" s="283">
        <v>22</v>
      </c>
      <c r="V226" s="283" t="s">
        <v>291</v>
      </c>
      <c r="W226" s="283">
        <v>12</v>
      </c>
      <c r="X226" s="283">
        <v>59</v>
      </c>
      <c r="Y226" s="283">
        <v>76</v>
      </c>
      <c r="Z226" s="283">
        <v>32</v>
      </c>
      <c r="AA226" s="283">
        <v>13</v>
      </c>
      <c r="AB226" s="283">
        <v>13</v>
      </c>
      <c r="AC226" s="283">
        <v>33</v>
      </c>
      <c r="AD226" s="283">
        <v>28</v>
      </c>
      <c r="AE226" s="283">
        <v>58</v>
      </c>
      <c r="AF226" s="283" t="s">
        <v>291</v>
      </c>
      <c r="AG226" s="283">
        <v>63</v>
      </c>
      <c r="AH226" s="283">
        <v>61</v>
      </c>
      <c r="AI226" s="283">
        <v>44</v>
      </c>
      <c r="AJ226" s="283">
        <v>38</v>
      </c>
    </row>
    <row r="227" spans="1:36" ht="15">
      <c r="A227" s="263" t="s">
        <v>307</v>
      </c>
      <c r="B227" s="283" t="s">
        <v>273</v>
      </c>
      <c r="C227" s="283" t="s">
        <v>273</v>
      </c>
      <c r="D227" s="283" t="s">
        <v>273</v>
      </c>
      <c r="E227" s="283" t="s">
        <v>273</v>
      </c>
      <c r="F227" s="283" t="s">
        <v>273</v>
      </c>
      <c r="G227" s="283" t="s">
        <v>273</v>
      </c>
      <c r="H227" s="283" t="s">
        <v>273</v>
      </c>
      <c r="I227" s="283" t="s">
        <v>273</v>
      </c>
      <c r="J227" s="283" t="s">
        <v>273</v>
      </c>
      <c r="K227" s="283" t="s">
        <v>273</v>
      </c>
      <c r="L227" s="283" t="s">
        <v>273</v>
      </c>
      <c r="M227" s="283" t="s">
        <v>273</v>
      </c>
      <c r="N227" s="283" t="s">
        <v>273</v>
      </c>
      <c r="O227" s="283" t="s">
        <v>273</v>
      </c>
      <c r="P227" s="283" t="s">
        <v>273</v>
      </c>
      <c r="Q227" s="283" t="s">
        <v>273</v>
      </c>
      <c r="R227" s="283" t="s">
        <v>273</v>
      </c>
      <c r="S227" s="283">
        <v>1</v>
      </c>
      <c r="T227" s="283">
        <v>1</v>
      </c>
      <c r="U227" s="283">
        <v>1</v>
      </c>
      <c r="V227" s="283">
        <v>1</v>
      </c>
      <c r="W227" s="283">
        <v>1</v>
      </c>
      <c r="X227" s="283" t="s">
        <v>306</v>
      </c>
      <c r="Y227" s="283" t="s">
        <v>306</v>
      </c>
      <c r="Z227" s="283" t="s">
        <v>306</v>
      </c>
      <c r="AA227" s="283" t="s">
        <v>306</v>
      </c>
      <c r="AB227" s="283" t="s">
        <v>306</v>
      </c>
      <c r="AC227" s="283" t="s">
        <v>306</v>
      </c>
      <c r="AD227" s="283" t="s">
        <v>306</v>
      </c>
      <c r="AE227" s="283" t="s">
        <v>306</v>
      </c>
      <c r="AF227" s="283" t="s">
        <v>306</v>
      </c>
      <c r="AG227" s="283" t="s">
        <v>306</v>
      </c>
      <c r="AH227" s="283" t="s">
        <v>306</v>
      </c>
      <c r="AI227" s="283" t="s">
        <v>306</v>
      </c>
      <c r="AJ227" s="283" t="s">
        <v>306</v>
      </c>
    </row>
    <row r="228" spans="1:36" ht="15">
      <c r="A228" s="263" t="s">
        <v>305</v>
      </c>
      <c r="B228" s="283">
        <v>24</v>
      </c>
      <c r="C228" s="283">
        <v>18</v>
      </c>
      <c r="D228" s="283">
        <v>6</v>
      </c>
      <c r="E228" s="283">
        <v>1</v>
      </c>
      <c r="F228" s="283" t="s">
        <v>306</v>
      </c>
      <c r="G228" s="283" t="s">
        <v>306</v>
      </c>
      <c r="H228" s="283">
        <v>9</v>
      </c>
      <c r="I228" s="283">
        <v>18</v>
      </c>
      <c r="J228" s="283">
        <v>21</v>
      </c>
      <c r="K228" s="283">
        <v>22</v>
      </c>
      <c r="L228" s="283">
        <v>26</v>
      </c>
      <c r="M228" s="283">
        <v>25</v>
      </c>
      <c r="N228" s="283">
        <v>22</v>
      </c>
      <c r="O228" s="283">
        <v>24</v>
      </c>
      <c r="P228" s="283">
        <v>19</v>
      </c>
      <c r="Q228" s="283">
        <v>20</v>
      </c>
      <c r="R228" s="283">
        <v>6</v>
      </c>
      <c r="S228" s="283">
        <v>7</v>
      </c>
      <c r="T228" s="283" t="s">
        <v>306</v>
      </c>
      <c r="U228" s="283">
        <v>2</v>
      </c>
      <c r="V228" s="283">
        <v>-12</v>
      </c>
      <c r="W228" s="283">
        <v>-11</v>
      </c>
      <c r="X228" s="283">
        <v>7</v>
      </c>
      <c r="Y228" s="283">
        <v>6</v>
      </c>
      <c r="Z228" s="283">
        <v>18</v>
      </c>
      <c r="AA228" s="283">
        <v>17</v>
      </c>
      <c r="AB228" s="283">
        <v>9</v>
      </c>
      <c r="AC228" s="283">
        <v>18</v>
      </c>
      <c r="AD228" s="283">
        <v>10</v>
      </c>
      <c r="AE228" s="283">
        <v>8</v>
      </c>
      <c r="AF228" s="283">
        <v>6</v>
      </c>
      <c r="AG228" s="283">
        <v>-14</v>
      </c>
      <c r="AH228" s="283">
        <v>-1</v>
      </c>
      <c r="AI228" s="283">
        <v>3</v>
      </c>
      <c r="AJ228" s="283">
        <v>1</v>
      </c>
    </row>
    <row r="229" spans="1:36" ht="15">
      <c r="A229" s="263" t="s">
        <v>304</v>
      </c>
      <c r="B229" s="283">
        <v>0</v>
      </c>
      <c r="C229" s="283">
        <v>0</v>
      </c>
      <c r="D229" s="283">
        <v>0</v>
      </c>
      <c r="E229" s="283">
        <v>0</v>
      </c>
      <c r="F229" s="283">
        <v>0</v>
      </c>
      <c r="G229" s="283" t="s">
        <v>306</v>
      </c>
      <c r="H229" s="283" t="s">
        <v>306</v>
      </c>
      <c r="I229" s="283">
        <v>-1</v>
      </c>
      <c r="J229" s="283" t="s">
        <v>306</v>
      </c>
      <c r="K229" s="283" t="s">
        <v>291</v>
      </c>
      <c r="L229" s="283" t="s">
        <v>291</v>
      </c>
      <c r="M229" s="283">
        <v>-9</v>
      </c>
      <c r="N229" s="283">
        <v>-34</v>
      </c>
      <c r="O229" s="283">
        <v>-11</v>
      </c>
      <c r="P229" s="283">
        <v>2</v>
      </c>
      <c r="Q229" s="283">
        <v>-20</v>
      </c>
      <c r="R229" s="283">
        <v>-33</v>
      </c>
      <c r="S229" s="283">
        <v>-6</v>
      </c>
      <c r="T229" s="283">
        <v>10</v>
      </c>
      <c r="U229" s="283">
        <v>33</v>
      </c>
      <c r="V229" s="283">
        <v>33</v>
      </c>
      <c r="W229" s="283">
        <v>25</v>
      </c>
      <c r="X229" s="283">
        <v>0</v>
      </c>
      <c r="Y229" s="283">
        <v>0</v>
      </c>
      <c r="Z229" s="283">
        <v>0</v>
      </c>
      <c r="AA229" s="283">
        <v>0</v>
      </c>
      <c r="AB229" s="283">
        <v>0</v>
      </c>
      <c r="AC229" s="283" t="s">
        <v>306</v>
      </c>
      <c r="AD229" s="283" t="s">
        <v>306</v>
      </c>
      <c r="AE229" s="283" t="s">
        <v>306</v>
      </c>
      <c r="AF229" s="283" t="s">
        <v>306</v>
      </c>
      <c r="AG229" s="283" t="s">
        <v>306</v>
      </c>
      <c r="AH229" s="283" t="s">
        <v>306</v>
      </c>
      <c r="AI229" s="283" t="s">
        <v>306</v>
      </c>
      <c r="AJ229" s="283" t="s">
        <v>306</v>
      </c>
    </row>
    <row r="230" spans="1:36" ht="15">
      <c r="A230" s="263" t="s">
        <v>303</v>
      </c>
      <c r="B230" s="283" t="s">
        <v>273</v>
      </c>
      <c r="C230" s="283" t="s">
        <v>273</v>
      </c>
      <c r="D230" s="283" t="s">
        <v>273</v>
      </c>
      <c r="E230" s="283" t="s">
        <v>273</v>
      </c>
      <c r="F230" s="283" t="s">
        <v>273</v>
      </c>
      <c r="G230" s="283" t="s">
        <v>273</v>
      </c>
      <c r="H230" s="283" t="s">
        <v>273</v>
      </c>
      <c r="I230" s="283" t="s">
        <v>273</v>
      </c>
      <c r="J230" s="283" t="s">
        <v>273</v>
      </c>
      <c r="K230" s="283" t="s">
        <v>273</v>
      </c>
      <c r="L230" s="283" t="s">
        <v>273</v>
      </c>
      <c r="M230" s="283" t="s">
        <v>273</v>
      </c>
      <c r="N230" s="283">
        <v>0</v>
      </c>
      <c r="O230" s="283">
        <v>0</v>
      </c>
      <c r="P230" s="283">
        <v>0</v>
      </c>
      <c r="Q230" s="283">
        <v>0</v>
      </c>
      <c r="R230" s="283">
        <v>-1</v>
      </c>
      <c r="S230" s="283">
        <v>-2</v>
      </c>
      <c r="T230" s="283">
        <v>1</v>
      </c>
      <c r="U230" s="283" t="s">
        <v>306</v>
      </c>
      <c r="V230" s="283" t="s">
        <v>306</v>
      </c>
      <c r="W230" s="283" t="s">
        <v>306</v>
      </c>
      <c r="X230" s="283" t="s">
        <v>306</v>
      </c>
      <c r="Y230" s="283" t="s">
        <v>306</v>
      </c>
      <c r="Z230" s="283" t="s">
        <v>306</v>
      </c>
      <c r="AA230" s="283" t="s">
        <v>306</v>
      </c>
      <c r="AB230" s="283" t="s">
        <v>306</v>
      </c>
      <c r="AC230" s="283">
        <v>2</v>
      </c>
      <c r="AD230" s="283">
        <v>6</v>
      </c>
      <c r="AE230" s="283">
        <v>7</v>
      </c>
      <c r="AF230" s="283">
        <v>18</v>
      </c>
      <c r="AG230" s="283">
        <v>11</v>
      </c>
      <c r="AH230" s="283" t="s">
        <v>291</v>
      </c>
      <c r="AI230" s="283">
        <v>12</v>
      </c>
      <c r="AJ230" s="283" t="s">
        <v>291</v>
      </c>
    </row>
    <row r="231" spans="1:36" ht="15">
      <c r="A231" s="263" t="s">
        <v>302</v>
      </c>
      <c r="B231" s="283" t="s">
        <v>273</v>
      </c>
      <c r="C231" s="283" t="s">
        <v>273</v>
      </c>
      <c r="D231" s="283" t="s">
        <v>273</v>
      </c>
      <c r="E231" s="283" t="s">
        <v>273</v>
      </c>
      <c r="F231" s="283" t="s">
        <v>273</v>
      </c>
      <c r="G231" s="283" t="s">
        <v>273</v>
      </c>
      <c r="H231" s="283" t="s">
        <v>273</v>
      </c>
      <c r="I231" s="283" t="s">
        <v>273</v>
      </c>
      <c r="J231" s="283" t="s">
        <v>273</v>
      </c>
      <c r="K231" s="283" t="s">
        <v>273</v>
      </c>
      <c r="L231" s="283" t="s">
        <v>273</v>
      </c>
      <c r="M231" s="283" t="s">
        <v>273</v>
      </c>
      <c r="N231" s="283" t="s">
        <v>273</v>
      </c>
      <c r="O231" s="283" t="s">
        <v>273</v>
      </c>
      <c r="P231" s="283" t="s">
        <v>273</v>
      </c>
      <c r="Q231" s="283" t="s">
        <v>273</v>
      </c>
      <c r="R231" s="283" t="s">
        <v>273</v>
      </c>
      <c r="S231" s="283" t="s">
        <v>273</v>
      </c>
      <c r="T231" s="283" t="s">
        <v>273</v>
      </c>
      <c r="U231" s="283" t="s">
        <v>273</v>
      </c>
      <c r="V231" s="283">
        <v>0</v>
      </c>
      <c r="W231" s="283">
        <v>6</v>
      </c>
      <c r="X231" s="283" t="s">
        <v>291</v>
      </c>
      <c r="Y231" s="283">
        <v>4</v>
      </c>
      <c r="Z231" s="283">
        <v>0</v>
      </c>
      <c r="AA231" s="283">
        <v>0</v>
      </c>
      <c r="AB231" s="283">
        <v>0</v>
      </c>
      <c r="AC231" s="283" t="s">
        <v>273</v>
      </c>
      <c r="AD231" s="283" t="s">
        <v>273</v>
      </c>
      <c r="AE231" s="283" t="s">
        <v>273</v>
      </c>
      <c r="AF231" s="283" t="s">
        <v>273</v>
      </c>
      <c r="AG231" s="283" t="s">
        <v>273</v>
      </c>
      <c r="AH231" s="283" t="s">
        <v>273</v>
      </c>
      <c r="AI231" s="283" t="s">
        <v>273</v>
      </c>
      <c r="AJ231" s="283" t="s">
        <v>273</v>
      </c>
    </row>
    <row r="232" spans="1:36" ht="15">
      <c r="A232" s="263" t="s">
        <v>301</v>
      </c>
      <c r="B232" s="283">
        <v>0</v>
      </c>
      <c r="C232" s="283">
        <v>0</v>
      </c>
      <c r="D232" s="283">
        <v>0</v>
      </c>
      <c r="E232" s="283">
        <v>0</v>
      </c>
      <c r="F232" s="283">
        <v>0</v>
      </c>
      <c r="G232" s="283">
        <v>3</v>
      </c>
      <c r="H232" s="283">
        <v>4</v>
      </c>
      <c r="I232" s="283">
        <v>6</v>
      </c>
      <c r="J232" s="283">
        <v>6</v>
      </c>
      <c r="K232" s="283" t="s">
        <v>291</v>
      </c>
      <c r="L232" s="283" t="s">
        <v>291</v>
      </c>
      <c r="M232" s="283" t="s">
        <v>291</v>
      </c>
      <c r="N232" s="283" t="s">
        <v>273</v>
      </c>
      <c r="O232" s="283" t="s">
        <v>273</v>
      </c>
      <c r="P232" s="283" t="s">
        <v>273</v>
      </c>
      <c r="Q232" s="283" t="s">
        <v>273</v>
      </c>
      <c r="R232" s="283" t="s">
        <v>273</v>
      </c>
      <c r="S232" s="283" t="s">
        <v>273</v>
      </c>
      <c r="T232" s="283" t="s">
        <v>273</v>
      </c>
      <c r="U232" s="283" t="s">
        <v>273</v>
      </c>
      <c r="V232" s="283" t="s">
        <v>273</v>
      </c>
      <c r="W232" s="283" t="s">
        <v>273</v>
      </c>
      <c r="X232" s="283" t="s">
        <v>273</v>
      </c>
      <c r="Y232" s="283" t="s">
        <v>273</v>
      </c>
      <c r="Z232" s="283" t="s">
        <v>273</v>
      </c>
      <c r="AA232" s="283" t="s">
        <v>273</v>
      </c>
      <c r="AB232" s="283" t="s">
        <v>273</v>
      </c>
      <c r="AC232" s="283" t="s">
        <v>273</v>
      </c>
      <c r="AD232" s="283" t="s">
        <v>273</v>
      </c>
      <c r="AE232" s="283" t="s">
        <v>273</v>
      </c>
      <c r="AF232" s="283" t="s">
        <v>273</v>
      </c>
      <c r="AG232" s="283" t="s">
        <v>273</v>
      </c>
      <c r="AH232" s="283" t="s">
        <v>273</v>
      </c>
      <c r="AI232" s="283" t="s">
        <v>273</v>
      </c>
      <c r="AJ232" s="283" t="s">
        <v>273</v>
      </c>
    </row>
    <row r="233" spans="1:36" ht="15">
      <c r="A233" s="263" t="s">
        <v>300</v>
      </c>
      <c r="B233" s="283">
        <v>1</v>
      </c>
      <c r="C233" s="283">
        <v>1</v>
      </c>
      <c r="D233" s="283">
        <v>-1</v>
      </c>
      <c r="E233" s="283">
        <v>2</v>
      </c>
      <c r="F233" s="283">
        <v>2</v>
      </c>
      <c r="G233" s="283">
        <v>1</v>
      </c>
      <c r="H233" s="283" t="s">
        <v>306</v>
      </c>
      <c r="I233" s="283" t="s">
        <v>306</v>
      </c>
      <c r="J233" s="283" t="s">
        <v>306</v>
      </c>
      <c r="K233" s="283" t="s">
        <v>306</v>
      </c>
      <c r="L233" s="283" t="s">
        <v>306</v>
      </c>
      <c r="M233" s="283" t="s">
        <v>306</v>
      </c>
      <c r="N233" s="283">
        <v>-1</v>
      </c>
      <c r="O233" s="283">
        <v>1</v>
      </c>
      <c r="P233" s="283">
        <v>1</v>
      </c>
      <c r="Q233" s="283">
        <v>4</v>
      </c>
      <c r="R233" s="283">
        <v>1</v>
      </c>
      <c r="S233" s="283">
        <v>7</v>
      </c>
      <c r="T233" s="283">
        <v>-14</v>
      </c>
      <c r="U233" s="283">
        <v>1</v>
      </c>
      <c r="V233" s="283">
        <v>3</v>
      </c>
      <c r="W233" s="283">
        <v>4</v>
      </c>
      <c r="X233" s="283">
        <v>6</v>
      </c>
      <c r="Y233" s="283">
        <v>5</v>
      </c>
      <c r="Z233" s="283">
        <v>1</v>
      </c>
      <c r="AA233" s="283" t="s">
        <v>306</v>
      </c>
      <c r="AB233" s="283">
        <v>-1</v>
      </c>
      <c r="AC233" s="283">
        <v>3</v>
      </c>
      <c r="AD233" s="283">
        <v>-5</v>
      </c>
      <c r="AE233" s="283">
        <v>-28</v>
      </c>
      <c r="AF233" s="283">
        <v>-5</v>
      </c>
      <c r="AG233" s="283">
        <v>-8</v>
      </c>
      <c r="AH233" s="283">
        <v>5</v>
      </c>
      <c r="AI233" s="283">
        <v>14</v>
      </c>
      <c r="AJ233" s="283">
        <v>14</v>
      </c>
    </row>
    <row r="234" spans="1:36" ht="15">
      <c r="A234" s="263" t="s">
        <v>299</v>
      </c>
      <c r="B234" s="283" t="s">
        <v>306</v>
      </c>
      <c r="C234" s="283" t="s">
        <v>306</v>
      </c>
      <c r="D234" s="283" t="s">
        <v>306</v>
      </c>
      <c r="E234" s="283" t="s">
        <v>306</v>
      </c>
      <c r="F234" s="283" t="s">
        <v>306</v>
      </c>
      <c r="G234" s="283">
        <v>1</v>
      </c>
      <c r="H234" s="283">
        <v>2</v>
      </c>
      <c r="I234" s="283" t="s">
        <v>306</v>
      </c>
      <c r="J234" s="283">
        <v>1</v>
      </c>
      <c r="K234" s="283">
        <v>1</v>
      </c>
      <c r="L234" s="283">
        <v>1</v>
      </c>
      <c r="M234" s="283">
        <v>1</v>
      </c>
      <c r="N234" s="283">
        <v>2</v>
      </c>
      <c r="O234" s="283">
        <v>4</v>
      </c>
      <c r="P234" s="283">
        <v>1</v>
      </c>
      <c r="Q234" s="283">
        <v>3</v>
      </c>
      <c r="R234" s="283">
        <v>5</v>
      </c>
      <c r="S234" s="283">
        <v>1</v>
      </c>
      <c r="T234" s="283" t="s">
        <v>306</v>
      </c>
      <c r="U234" s="283">
        <v>2</v>
      </c>
      <c r="V234" s="283">
        <v>2</v>
      </c>
      <c r="W234" s="283">
        <v>3</v>
      </c>
      <c r="X234" s="283" t="s">
        <v>291</v>
      </c>
      <c r="Y234" s="283">
        <v>1</v>
      </c>
      <c r="Z234" s="283">
        <v>4</v>
      </c>
      <c r="AA234" s="283">
        <v>1</v>
      </c>
      <c r="AB234" s="283" t="s">
        <v>306</v>
      </c>
      <c r="AC234" s="283">
        <v>0</v>
      </c>
      <c r="AD234" s="283">
        <v>0</v>
      </c>
      <c r="AE234" s="283">
        <v>0</v>
      </c>
      <c r="AF234" s="283">
        <v>0</v>
      </c>
      <c r="AG234" s="283">
        <v>0</v>
      </c>
      <c r="AH234" s="283">
        <v>0</v>
      </c>
      <c r="AI234" s="283">
        <v>0</v>
      </c>
      <c r="AJ234" s="283">
        <v>0</v>
      </c>
    </row>
    <row r="235" spans="1:36" ht="15">
      <c r="A235" s="263" t="s">
        <v>298</v>
      </c>
      <c r="B235" s="283">
        <v>1</v>
      </c>
      <c r="C235" s="283">
        <v>1</v>
      </c>
      <c r="D235" s="283">
        <v>2</v>
      </c>
      <c r="E235" s="283">
        <v>1</v>
      </c>
      <c r="F235" s="283">
        <v>1</v>
      </c>
      <c r="G235" s="283">
        <v>1</v>
      </c>
      <c r="H235" s="283">
        <v>5</v>
      </c>
      <c r="I235" s="283">
        <v>4</v>
      </c>
      <c r="J235" s="283">
        <v>4</v>
      </c>
      <c r="K235" s="283">
        <v>7</v>
      </c>
      <c r="L235" s="283">
        <v>8</v>
      </c>
      <c r="M235" s="283">
        <v>6</v>
      </c>
      <c r="N235" s="283">
        <v>6</v>
      </c>
      <c r="O235" s="283">
        <v>5</v>
      </c>
      <c r="P235" s="283">
        <v>9</v>
      </c>
      <c r="Q235" s="283">
        <v>12</v>
      </c>
      <c r="R235" s="283">
        <v>7</v>
      </c>
      <c r="S235" s="283">
        <v>11</v>
      </c>
      <c r="T235" s="283">
        <v>8</v>
      </c>
      <c r="U235" s="283">
        <v>9</v>
      </c>
      <c r="V235" s="283">
        <v>3</v>
      </c>
      <c r="W235" s="283">
        <v>-1</v>
      </c>
      <c r="X235" s="283" t="s">
        <v>306</v>
      </c>
      <c r="Y235" s="283">
        <v>-1</v>
      </c>
      <c r="Z235" s="283">
        <v>5</v>
      </c>
      <c r="AA235" s="283">
        <v>1</v>
      </c>
      <c r="AB235" s="283">
        <v>7</v>
      </c>
      <c r="AC235" s="283">
        <v>3</v>
      </c>
      <c r="AD235" s="283">
        <v>3</v>
      </c>
      <c r="AE235" s="283">
        <v>4</v>
      </c>
      <c r="AF235" s="283">
        <v>6</v>
      </c>
      <c r="AG235" s="283">
        <v>4</v>
      </c>
      <c r="AH235" s="283">
        <v>4</v>
      </c>
      <c r="AI235" s="283" t="s">
        <v>306</v>
      </c>
      <c r="AJ235" s="283">
        <v>-5</v>
      </c>
    </row>
    <row r="236" spans="1:36" s="260" customFormat="1" ht="15">
      <c r="A236" s="263" t="s">
        <v>1029</v>
      </c>
      <c r="B236" s="283" t="s">
        <v>273</v>
      </c>
      <c r="C236" s="283" t="s">
        <v>273</v>
      </c>
      <c r="D236" s="283" t="s">
        <v>273</v>
      </c>
      <c r="E236" s="283" t="s">
        <v>273</v>
      </c>
      <c r="F236" s="283" t="s">
        <v>273</v>
      </c>
      <c r="G236" s="283" t="s">
        <v>273</v>
      </c>
      <c r="H236" s="283" t="s">
        <v>273</v>
      </c>
      <c r="I236" s="283" t="s">
        <v>273</v>
      </c>
      <c r="J236" s="283" t="s">
        <v>273</v>
      </c>
      <c r="K236" s="283" t="s">
        <v>273</v>
      </c>
      <c r="L236" s="283" t="s">
        <v>273</v>
      </c>
      <c r="M236" s="283" t="s">
        <v>273</v>
      </c>
      <c r="N236" s="283" t="s">
        <v>273</v>
      </c>
      <c r="O236" s="283" t="s">
        <v>273</v>
      </c>
      <c r="P236" s="283" t="s">
        <v>273</v>
      </c>
      <c r="Q236" s="283" t="s">
        <v>273</v>
      </c>
      <c r="R236" s="283" t="s">
        <v>273</v>
      </c>
      <c r="S236" s="283" t="s">
        <v>273</v>
      </c>
      <c r="T236" s="283" t="s">
        <v>273</v>
      </c>
      <c r="U236" s="283" t="s">
        <v>273</v>
      </c>
      <c r="V236" s="283" t="s">
        <v>273</v>
      </c>
      <c r="W236" s="283" t="s">
        <v>273</v>
      </c>
      <c r="X236" s="283" t="s">
        <v>273</v>
      </c>
      <c r="Y236" s="283" t="s">
        <v>273</v>
      </c>
      <c r="Z236" s="283" t="s">
        <v>273</v>
      </c>
      <c r="AA236" s="283" t="s">
        <v>273</v>
      </c>
      <c r="AB236" s="283" t="s">
        <v>273</v>
      </c>
      <c r="AC236" s="283" t="s">
        <v>273</v>
      </c>
      <c r="AD236" s="283" t="s">
        <v>273</v>
      </c>
      <c r="AE236" s="283" t="s">
        <v>273</v>
      </c>
      <c r="AF236" s="283" t="s">
        <v>273</v>
      </c>
      <c r="AG236" s="283" t="s">
        <v>273</v>
      </c>
      <c r="AH236" s="283">
        <v>0</v>
      </c>
      <c r="AI236" s="283">
        <v>0</v>
      </c>
      <c r="AJ236" s="283">
        <v>0</v>
      </c>
    </row>
    <row r="237" spans="1:36" ht="15">
      <c r="A237" s="263" t="s">
        <v>297</v>
      </c>
      <c r="B237" s="283" t="s">
        <v>273</v>
      </c>
      <c r="C237" s="283" t="s">
        <v>273</v>
      </c>
      <c r="D237" s="283" t="s">
        <v>273</v>
      </c>
      <c r="E237" s="283" t="s">
        <v>273</v>
      </c>
      <c r="F237" s="283" t="s">
        <v>273</v>
      </c>
      <c r="G237" s="283" t="s">
        <v>273</v>
      </c>
      <c r="H237" s="283" t="s">
        <v>273</v>
      </c>
      <c r="I237" s="283">
        <v>0</v>
      </c>
      <c r="J237" s="283">
        <v>0</v>
      </c>
      <c r="K237" s="283">
        <v>0</v>
      </c>
      <c r="L237" s="283">
        <v>0</v>
      </c>
      <c r="M237" s="283">
        <v>0</v>
      </c>
      <c r="N237" s="283">
        <v>-3</v>
      </c>
      <c r="O237" s="283">
        <v>-2</v>
      </c>
      <c r="P237" s="283">
        <v>-2</v>
      </c>
      <c r="Q237" s="283">
        <v>-2</v>
      </c>
      <c r="R237" s="283">
        <v>-2</v>
      </c>
      <c r="S237" s="283" t="s">
        <v>306</v>
      </c>
      <c r="T237" s="283" t="s">
        <v>306</v>
      </c>
      <c r="U237" s="283" t="s">
        <v>306</v>
      </c>
      <c r="V237" s="283" t="s">
        <v>306</v>
      </c>
      <c r="W237" s="283" t="s">
        <v>306</v>
      </c>
      <c r="X237" s="283" t="s">
        <v>306</v>
      </c>
      <c r="Y237" s="283" t="s">
        <v>306</v>
      </c>
      <c r="Z237" s="283" t="s">
        <v>306</v>
      </c>
      <c r="AA237" s="283" t="s">
        <v>306</v>
      </c>
      <c r="AB237" s="283" t="s">
        <v>306</v>
      </c>
      <c r="AC237" s="283">
        <v>0</v>
      </c>
      <c r="AD237" s="283">
        <v>0</v>
      </c>
      <c r="AE237" s="283">
        <v>0</v>
      </c>
      <c r="AF237" s="283">
        <v>0</v>
      </c>
      <c r="AG237" s="283">
        <v>0</v>
      </c>
      <c r="AH237" s="283" t="s">
        <v>291</v>
      </c>
      <c r="AI237" s="283">
        <v>331</v>
      </c>
      <c r="AJ237" s="283">
        <v>309</v>
      </c>
    </row>
    <row r="238" spans="1:36" ht="15">
      <c r="A238" s="263" t="s">
        <v>296</v>
      </c>
      <c r="B238" s="283">
        <v>0</v>
      </c>
      <c r="C238" s="283" t="s">
        <v>306</v>
      </c>
      <c r="D238" s="283" t="s">
        <v>306</v>
      </c>
      <c r="E238" s="283" t="s">
        <v>306</v>
      </c>
      <c r="F238" s="283" t="s">
        <v>306</v>
      </c>
      <c r="G238" s="283">
        <v>1</v>
      </c>
      <c r="H238" s="283">
        <v>1</v>
      </c>
      <c r="I238" s="283">
        <v>1</v>
      </c>
      <c r="J238" s="283">
        <v>1</v>
      </c>
      <c r="K238" s="283">
        <v>1</v>
      </c>
      <c r="L238" s="283" t="s">
        <v>306</v>
      </c>
      <c r="M238" s="283" t="s">
        <v>306</v>
      </c>
      <c r="N238" s="283">
        <v>2</v>
      </c>
      <c r="O238" s="283">
        <v>2</v>
      </c>
      <c r="P238" s="283">
        <v>2</v>
      </c>
      <c r="Q238" s="283">
        <v>2</v>
      </c>
      <c r="R238" s="283">
        <v>2</v>
      </c>
      <c r="S238" s="283">
        <v>3</v>
      </c>
      <c r="T238" s="283">
        <v>3</v>
      </c>
      <c r="U238" s="283">
        <v>3</v>
      </c>
      <c r="V238" s="283" t="s">
        <v>291</v>
      </c>
      <c r="W238" s="283">
        <v>41</v>
      </c>
      <c r="X238" s="283">
        <v>62</v>
      </c>
      <c r="Y238" s="283">
        <v>5</v>
      </c>
      <c r="Z238" s="283">
        <v>38</v>
      </c>
      <c r="AA238" s="283" t="s">
        <v>291</v>
      </c>
      <c r="AB238" s="283" t="s">
        <v>291</v>
      </c>
      <c r="AC238" s="283">
        <v>208</v>
      </c>
      <c r="AD238" s="283">
        <v>424</v>
      </c>
      <c r="AE238" s="283" t="s">
        <v>291</v>
      </c>
      <c r="AF238" s="283" t="s">
        <v>291</v>
      </c>
      <c r="AG238" s="283" t="s">
        <v>291</v>
      </c>
      <c r="AH238" s="283" t="s">
        <v>273</v>
      </c>
      <c r="AI238" s="283" t="s">
        <v>273</v>
      </c>
      <c r="AJ238" s="283" t="s">
        <v>273</v>
      </c>
    </row>
    <row r="239" spans="1:36" ht="15">
      <c r="A239" s="263" t="s">
        <v>295</v>
      </c>
      <c r="B239" s="283" t="s">
        <v>273</v>
      </c>
      <c r="C239" s="283" t="s">
        <v>273</v>
      </c>
      <c r="D239" s="283" t="s">
        <v>273</v>
      </c>
      <c r="E239" s="283" t="s">
        <v>273</v>
      </c>
      <c r="F239" s="283" t="s">
        <v>273</v>
      </c>
      <c r="G239" s="283" t="s">
        <v>273</v>
      </c>
      <c r="H239" s="283" t="s">
        <v>273</v>
      </c>
      <c r="I239" s="283" t="s">
        <v>273</v>
      </c>
      <c r="J239" s="283" t="s">
        <v>273</v>
      </c>
      <c r="K239" s="283" t="s">
        <v>273</v>
      </c>
      <c r="L239" s="283" t="s">
        <v>273</v>
      </c>
      <c r="M239" s="283" t="s">
        <v>273</v>
      </c>
      <c r="N239" s="283" t="s">
        <v>273</v>
      </c>
      <c r="O239" s="283" t="s">
        <v>273</v>
      </c>
      <c r="P239" s="283" t="s">
        <v>273</v>
      </c>
      <c r="Q239" s="283" t="s">
        <v>273</v>
      </c>
      <c r="R239" s="283" t="s">
        <v>273</v>
      </c>
      <c r="S239" s="283" t="s">
        <v>273</v>
      </c>
      <c r="T239" s="283" t="s">
        <v>273</v>
      </c>
      <c r="U239" s="283" t="s">
        <v>273</v>
      </c>
      <c r="V239" s="283" t="s">
        <v>273</v>
      </c>
      <c r="W239" s="283" t="s">
        <v>273</v>
      </c>
      <c r="X239" s="283">
        <v>0</v>
      </c>
      <c r="Y239" s="283">
        <v>0</v>
      </c>
      <c r="Z239" s="283">
        <v>0</v>
      </c>
      <c r="AA239" s="283">
        <v>0</v>
      </c>
      <c r="AB239" s="283">
        <v>0</v>
      </c>
      <c r="AC239" s="283">
        <v>-1</v>
      </c>
      <c r="AD239" s="283">
        <v>-1</v>
      </c>
      <c r="AE239" s="283">
        <v>-1</v>
      </c>
      <c r="AF239" s="283">
        <v>-1</v>
      </c>
      <c r="AG239" s="283">
        <v>-1</v>
      </c>
      <c r="AH239" s="283" t="s">
        <v>291</v>
      </c>
      <c r="AI239" s="283" t="s">
        <v>291</v>
      </c>
      <c r="AJ239" s="283" t="s">
        <v>291</v>
      </c>
    </row>
    <row r="240" spans="1:36" ht="15">
      <c r="A240" s="263" t="s">
        <v>294</v>
      </c>
      <c r="B240" s="283">
        <v>0</v>
      </c>
      <c r="C240" s="283">
        <v>0</v>
      </c>
      <c r="D240" s="283">
        <v>0</v>
      </c>
      <c r="E240" s="283">
        <v>0</v>
      </c>
      <c r="F240" s="283">
        <v>0</v>
      </c>
      <c r="G240" s="283" t="s">
        <v>306</v>
      </c>
      <c r="H240" s="283" t="s">
        <v>306</v>
      </c>
      <c r="I240" s="283">
        <v>1</v>
      </c>
      <c r="J240" s="283">
        <v>1</v>
      </c>
      <c r="K240" s="283">
        <v>1</v>
      </c>
      <c r="L240" s="283" t="s">
        <v>306</v>
      </c>
      <c r="M240" s="283">
        <v>1</v>
      </c>
      <c r="N240" s="283">
        <v>-5</v>
      </c>
      <c r="O240" s="283">
        <v>-5</v>
      </c>
      <c r="P240" s="283">
        <v>-5</v>
      </c>
      <c r="Q240" s="283">
        <v>-4</v>
      </c>
      <c r="R240" s="283">
        <v>-3</v>
      </c>
      <c r="S240" s="283">
        <v>-15</v>
      </c>
      <c r="T240" s="283">
        <v>141</v>
      </c>
      <c r="U240" s="283">
        <v>240</v>
      </c>
      <c r="V240" s="283">
        <v>44</v>
      </c>
      <c r="W240" s="283">
        <v>114</v>
      </c>
      <c r="X240" s="283" t="s">
        <v>291</v>
      </c>
      <c r="Y240" s="283" t="s">
        <v>291</v>
      </c>
      <c r="Z240" s="283" t="s">
        <v>291</v>
      </c>
      <c r="AA240" s="283" t="s">
        <v>291</v>
      </c>
      <c r="AB240" s="283" t="s">
        <v>291</v>
      </c>
      <c r="AC240" s="283">
        <v>39</v>
      </c>
      <c r="AD240" s="283">
        <v>57</v>
      </c>
      <c r="AE240" s="283">
        <v>-83</v>
      </c>
      <c r="AF240" s="283">
        <v>-170</v>
      </c>
      <c r="AG240" s="283">
        <v>9</v>
      </c>
      <c r="AH240" s="283" t="s">
        <v>291</v>
      </c>
      <c r="AI240" s="283">
        <v>236</v>
      </c>
      <c r="AJ240" s="283">
        <v>34</v>
      </c>
    </row>
    <row r="241" spans="1:36" ht="15">
      <c r="A241" s="263" t="s">
        <v>293</v>
      </c>
      <c r="B241" s="283" t="s">
        <v>273</v>
      </c>
      <c r="C241" s="283" t="s">
        <v>273</v>
      </c>
      <c r="D241" s="283" t="s">
        <v>273</v>
      </c>
      <c r="E241" s="283" t="s">
        <v>273</v>
      </c>
      <c r="F241" s="283" t="s">
        <v>273</v>
      </c>
      <c r="G241" s="283" t="s">
        <v>273</v>
      </c>
      <c r="H241" s="283" t="s">
        <v>273</v>
      </c>
      <c r="I241" s="283" t="s">
        <v>273</v>
      </c>
      <c r="J241" s="283" t="s">
        <v>273</v>
      </c>
      <c r="K241" s="283" t="s">
        <v>273</v>
      </c>
      <c r="L241" s="283" t="s">
        <v>273</v>
      </c>
      <c r="M241" s="283" t="s">
        <v>273</v>
      </c>
      <c r="N241" s="283">
        <v>6</v>
      </c>
      <c r="O241" s="283">
        <v>9</v>
      </c>
      <c r="P241" s="283">
        <v>8</v>
      </c>
      <c r="Q241" s="283">
        <v>8</v>
      </c>
      <c r="R241" s="283">
        <v>9</v>
      </c>
      <c r="S241" s="283">
        <v>9</v>
      </c>
      <c r="T241" s="283">
        <v>13</v>
      </c>
      <c r="U241" s="283">
        <v>12</v>
      </c>
      <c r="V241" s="283">
        <v>13</v>
      </c>
      <c r="W241" s="283">
        <v>12</v>
      </c>
      <c r="X241" s="283">
        <v>10</v>
      </c>
      <c r="Y241" s="283">
        <v>13</v>
      </c>
      <c r="Z241" s="283">
        <v>11</v>
      </c>
      <c r="AA241" s="283">
        <v>18</v>
      </c>
      <c r="AB241" s="283">
        <v>14</v>
      </c>
      <c r="AC241" s="283">
        <v>3</v>
      </c>
      <c r="AD241" s="283">
        <v>2</v>
      </c>
      <c r="AE241" s="283">
        <v>2</v>
      </c>
      <c r="AF241" s="283">
        <v>2</v>
      </c>
      <c r="AG241" s="283">
        <v>2</v>
      </c>
      <c r="AH241" s="283">
        <v>1</v>
      </c>
      <c r="AI241" s="283">
        <v>1</v>
      </c>
      <c r="AJ241" s="283">
        <v>1</v>
      </c>
    </row>
    <row r="242" spans="1:36" ht="15">
      <c r="A242" s="263" t="s">
        <v>292</v>
      </c>
      <c r="B242" s="283" t="s">
        <v>273</v>
      </c>
      <c r="C242" s="283" t="s">
        <v>273</v>
      </c>
      <c r="D242" s="283" t="s">
        <v>273</v>
      </c>
      <c r="E242" s="283" t="s">
        <v>273</v>
      </c>
      <c r="F242" s="283" t="s">
        <v>273</v>
      </c>
      <c r="G242" s="283" t="s">
        <v>273</v>
      </c>
      <c r="H242" s="283" t="s">
        <v>273</v>
      </c>
      <c r="I242" s="283" t="s">
        <v>273</v>
      </c>
      <c r="J242" s="283" t="s">
        <v>273</v>
      </c>
      <c r="K242" s="283" t="s">
        <v>273</v>
      </c>
      <c r="L242" s="283" t="s">
        <v>273</v>
      </c>
      <c r="M242" s="283" t="s">
        <v>273</v>
      </c>
      <c r="N242" s="283" t="s">
        <v>273</v>
      </c>
      <c r="O242" s="283" t="s">
        <v>273</v>
      </c>
      <c r="P242" s="283" t="s">
        <v>273</v>
      </c>
      <c r="Q242" s="283" t="s">
        <v>273</v>
      </c>
      <c r="R242" s="283" t="s">
        <v>273</v>
      </c>
      <c r="S242" s="283" t="s">
        <v>273</v>
      </c>
      <c r="T242" s="283" t="s">
        <v>273</v>
      </c>
      <c r="U242" s="283" t="s">
        <v>273</v>
      </c>
      <c r="V242" s="283" t="s">
        <v>273</v>
      </c>
      <c r="W242" s="283" t="s">
        <v>273</v>
      </c>
      <c r="X242" s="283">
        <v>0</v>
      </c>
      <c r="Y242" s="283">
        <v>0</v>
      </c>
      <c r="Z242" s="283">
        <v>0</v>
      </c>
      <c r="AA242" s="283">
        <v>0</v>
      </c>
      <c r="AB242" s="283" t="s">
        <v>306</v>
      </c>
      <c r="AC242" s="283">
        <v>-1</v>
      </c>
      <c r="AD242" s="283">
        <v>-1</v>
      </c>
      <c r="AE242" s="283">
        <v>9</v>
      </c>
      <c r="AF242" s="283">
        <v>13</v>
      </c>
      <c r="AG242" s="283" t="s">
        <v>291</v>
      </c>
      <c r="AH242" s="283" t="s">
        <v>291</v>
      </c>
      <c r="AI242" s="283" t="s">
        <v>291</v>
      </c>
      <c r="AJ242" s="283" t="s">
        <v>291</v>
      </c>
    </row>
    <row r="243" spans="1:36" ht="15">
      <c r="A243" s="263" t="s">
        <v>290</v>
      </c>
      <c r="B243" s="283" t="s">
        <v>273</v>
      </c>
      <c r="C243" s="283" t="s">
        <v>273</v>
      </c>
      <c r="D243" s="283" t="s">
        <v>273</v>
      </c>
      <c r="E243" s="283" t="s">
        <v>273</v>
      </c>
      <c r="F243" s="283" t="s">
        <v>273</v>
      </c>
      <c r="G243" s="283" t="s">
        <v>273</v>
      </c>
      <c r="H243" s="283" t="s">
        <v>273</v>
      </c>
      <c r="I243" s="283" t="s">
        <v>273</v>
      </c>
      <c r="J243" s="283" t="s">
        <v>273</v>
      </c>
      <c r="K243" s="283" t="s">
        <v>273</v>
      </c>
      <c r="L243" s="283" t="s">
        <v>273</v>
      </c>
      <c r="M243" s="283" t="s">
        <v>273</v>
      </c>
      <c r="N243" s="283" t="s">
        <v>273</v>
      </c>
      <c r="O243" s="283" t="s">
        <v>273</v>
      </c>
      <c r="P243" s="283" t="s">
        <v>273</v>
      </c>
      <c r="Q243" s="283" t="s">
        <v>273</v>
      </c>
      <c r="R243" s="283" t="s">
        <v>273</v>
      </c>
      <c r="S243" s="283">
        <v>1</v>
      </c>
      <c r="T243" s="283">
        <v>1</v>
      </c>
      <c r="U243" s="283">
        <v>1</v>
      </c>
      <c r="V243" s="283">
        <v>1</v>
      </c>
      <c r="W243" s="283">
        <v>1</v>
      </c>
      <c r="X243" s="283" t="s">
        <v>273</v>
      </c>
      <c r="Y243" s="283" t="s">
        <v>273</v>
      </c>
      <c r="Z243" s="283" t="s">
        <v>273</v>
      </c>
      <c r="AA243" s="283" t="s">
        <v>273</v>
      </c>
      <c r="AB243" s="283" t="s">
        <v>273</v>
      </c>
      <c r="AC243" s="283" t="s">
        <v>273</v>
      </c>
      <c r="AD243" s="283" t="s">
        <v>273</v>
      </c>
      <c r="AE243" s="283" t="s">
        <v>273</v>
      </c>
      <c r="AF243" s="283" t="s">
        <v>273</v>
      </c>
      <c r="AG243" s="283" t="s">
        <v>273</v>
      </c>
      <c r="AH243" s="283">
        <v>0</v>
      </c>
      <c r="AI243" s="283">
        <v>0</v>
      </c>
      <c r="AJ243" s="283">
        <v>0</v>
      </c>
    </row>
    <row r="244" spans="1:36" ht="15">
      <c r="A244" s="263" t="s">
        <v>289</v>
      </c>
      <c r="B244" s="283" t="s">
        <v>273</v>
      </c>
      <c r="C244" s="283" t="s">
        <v>273</v>
      </c>
      <c r="D244" s="283" t="s">
        <v>273</v>
      </c>
      <c r="E244" s="283" t="s">
        <v>273</v>
      </c>
      <c r="F244" s="283" t="s">
        <v>273</v>
      </c>
      <c r="G244" s="283" t="s">
        <v>273</v>
      </c>
      <c r="H244" s="283" t="s">
        <v>273</v>
      </c>
      <c r="I244" s="283" t="s">
        <v>273</v>
      </c>
      <c r="J244" s="283" t="s">
        <v>273</v>
      </c>
      <c r="K244" s="283" t="s">
        <v>273</v>
      </c>
      <c r="L244" s="283" t="s">
        <v>273</v>
      </c>
      <c r="M244" s="283" t="s">
        <v>273</v>
      </c>
      <c r="N244" s="283" t="s">
        <v>273</v>
      </c>
      <c r="O244" s="283" t="s">
        <v>273</v>
      </c>
      <c r="P244" s="283" t="s">
        <v>273</v>
      </c>
      <c r="Q244" s="283" t="s">
        <v>273</v>
      </c>
      <c r="R244" s="283" t="s">
        <v>273</v>
      </c>
      <c r="S244" s="283" t="s">
        <v>306</v>
      </c>
      <c r="T244" s="283" t="s">
        <v>306</v>
      </c>
      <c r="U244" s="283" t="s">
        <v>306</v>
      </c>
      <c r="V244" s="283" t="s">
        <v>306</v>
      </c>
      <c r="W244" s="283" t="s">
        <v>306</v>
      </c>
      <c r="X244" s="283" t="s">
        <v>291</v>
      </c>
      <c r="Y244" s="283">
        <v>-1</v>
      </c>
      <c r="Z244" s="283">
        <v>-1</v>
      </c>
      <c r="AA244" s="283">
        <v>-1</v>
      </c>
      <c r="AB244" s="283">
        <v>1</v>
      </c>
      <c r="AC244" s="283">
        <v>-1</v>
      </c>
      <c r="AD244" s="283">
        <v>1</v>
      </c>
      <c r="AE244" s="283">
        <v>1</v>
      </c>
      <c r="AF244" s="283">
        <v>1</v>
      </c>
      <c r="AG244" s="283">
        <v>2</v>
      </c>
      <c r="AH244" s="283">
        <v>2</v>
      </c>
      <c r="AI244" s="283" t="s">
        <v>291</v>
      </c>
      <c r="AJ244" s="283">
        <v>2</v>
      </c>
    </row>
    <row r="245" spans="1:36" s="260" customFormat="1" ht="15">
      <c r="A245" s="263" t="s">
        <v>1030</v>
      </c>
      <c r="B245" s="283" t="s">
        <v>273</v>
      </c>
      <c r="C245" s="283" t="s">
        <v>273</v>
      </c>
      <c r="D245" s="283" t="s">
        <v>273</v>
      </c>
      <c r="E245" s="283" t="s">
        <v>273</v>
      </c>
      <c r="F245" s="283" t="s">
        <v>273</v>
      </c>
      <c r="G245" s="283" t="s">
        <v>273</v>
      </c>
      <c r="H245" s="283" t="s">
        <v>273</v>
      </c>
      <c r="I245" s="283" t="s">
        <v>273</v>
      </c>
      <c r="J245" s="283" t="s">
        <v>273</v>
      </c>
      <c r="K245" s="283" t="s">
        <v>273</v>
      </c>
      <c r="L245" s="283" t="s">
        <v>273</v>
      </c>
      <c r="M245" s="283" t="s">
        <v>273</v>
      </c>
      <c r="N245" s="283" t="s">
        <v>273</v>
      </c>
      <c r="O245" s="283" t="s">
        <v>273</v>
      </c>
      <c r="P245" s="283" t="s">
        <v>273</v>
      </c>
      <c r="Q245" s="283" t="s">
        <v>273</v>
      </c>
      <c r="R245" s="283" t="s">
        <v>273</v>
      </c>
      <c r="S245" s="283" t="s">
        <v>273</v>
      </c>
      <c r="T245" s="283" t="s">
        <v>273</v>
      </c>
      <c r="U245" s="283" t="s">
        <v>273</v>
      </c>
      <c r="V245" s="283" t="s">
        <v>273</v>
      </c>
      <c r="W245" s="283" t="s">
        <v>273</v>
      </c>
      <c r="X245" s="283" t="s">
        <v>273</v>
      </c>
      <c r="Y245" s="283" t="s">
        <v>273</v>
      </c>
      <c r="Z245" s="283" t="s">
        <v>273</v>
      </c>
      <c r="AA245" s="283" t="s">
        <v>273</v>
      </c>
      <c r="AB245" s="283" t="s">
        <v>273</v>
      </c>
      <c r="AC245" s="283" t="s">
        <v>273</v>
      </c>
      <c r="AD245" s="283" t="s">
        <v>273</v>
      </c>
      <c r="AE245" s="283" t="s">
        <v>273</v>
      </c>
      <c r="AF245" s="283" t="s">
        <v>273</v>
      </c>
      <c r="AG245" s="283" t="s">
        <v>273</v>
      </c>
      <c r="AH245" s="283">
        <v>0</v>
      </c>
      <c r="AI245" s="283">
        <v>0</v>
      </c>
      <c r="AJ245" s="283">
        <v>0</v>
      </c>
    </row>
    <row r="246" spans="1:36" ht="15">
      <c r="A246" s="263" t="s">
        <v>288</v>
      </c>
      <c r="B246" s="283">
        <v>10</v>
      </c>
      <c r="C246" s="283">
        <v>7</v>
      </c>
      <c r="D246" s="283">
        <v>27</v>
      </c>
      <c r="E246" s="283">
        <v>48</v>
      </c>
      <c r="F246" s="283">
        <v>36</v>
      </c>
      <c r="G246" s="283">
        <v>53</v>
      </c>
      <c r="H246" s="283">
        <v>25</v>
      </c>
      <c r="I246" s="283">
        <v>39</v>
      </c>
      <c r="J246" s="283">
        <v>63</v>
      </c>
      <c r="K246" s="283">
        <v>14</v>
      </c>
      <c r="L246" s="283">
        <v>46</v>
      </c>
      <c r="M246" s="283">
        <v>27</v>
      </c>
      <c r="N246" s="283">
        <v>48</v>
      </c>
      <c r="O246" s="283">
        <v>50</v>
      </c>
      <c r="P246" s="283">
        <v>71</v>
      </c>
      <c r="Q246" s="283">
        <v>48</v>
      </c>
      <c r="R246" s="283">
        <v>-1</v>
      </c>
      <c r="S246" s="283">
        <v>20</v>
      </c>
      <c r="T246" s="283">
        <v>70</v>
      </c>
      <c r="U246" s="283">
        <v>113</v>
      </c>
      <c r="V246" s="283">
        <v>173</v>
      </c>
      <c r="W246" s="283">
        <v>173</v>
      </c>
      <c r="X246" s="283">
        <v>193</v>
      </c>
      <c r="Y246" s="283" t="s">
        <v>291</v>
      </c>
      <c r="Z246" s="283" t="s">
        <v>291</v>
      </c>
      <c r="AA246" s="283">
        <v>126</v>
      </c>
      <c r="AB246" s="283">
        <v>31</v>
      </c>
      <c r="AC246" s="283">
        <v>196</v>
      </c>
      <c r="AD246" s="283">
        <v>103</v>
      </c>
      <c r="AE246" s="283" t="s">
        <v>291</v>
      </c>
      <c r="AF246" s="283">
        <v>44</v>
      </c>
      <c r="AG246" s="283">
        <v>17</v>
      </c>
      <c r="AH246" s="283">
        <v>60</v>
      </c>
      <c r="AI246" s="283">
        <v>77</v>
      </c>
      <c r="AJ246" s="283">
        <v>98</v>
      </c>
    </row>
    <row r="247" spans="1:36" ht="15">
      <c r="A247" s="263" t="s">
        <v>287</v>
      </c>
      <c r="B247" s="283">
        <v>0</v>
      </c>
      <c r="C247" s="283">
        <v>0</v>
      </c>
      <c r="D247" s="283">
        <v>0</v>
      </c>
      <c r="E247" s="283">
        <v>0</v>
      </c>
      <c r="F247" s="283">
        <v>0</v>
      </c>
      <c r="G247" s="283" t="s">
        <v>306</v>
      </c>
      <c r="H247" s="283" t="s">
        <v>306</v>
      </c>
      <c r="I247" s="283">
        <v>1</v>
      </c>
      <c r="J247" s="283">
        <v>1</v>
      </c>
      <c r="K247" s="283">
        <v>1</v>
      </c>
      <c r="L247" s="283">
        <v>1</v>
      </c>
      <c r="M247" s="283">
        <v>1</v>
      </c>
      <c r="N247" s="283">
        <v>1</v>
      </c>
      <c r="O247" s="283">
        <v>2</v>
      </c>
      <c r="P247" s="283">
        <v>2</v>
      </c>
      <c r="Q247" s="283">
        <v>2</v>
      </c>
      <c r="R247" s="283">
        <v>2</v>
      </c>
      <c r="S247" s="283">
        <v>3</v>
      </c>
      <c r="T247" s="283">
        <v>3</v>
      </c>
      <c r="U247" s="283">
        <v>3</v>
      </c>
      <c r="V247" s="283">
        <v>3</v>
      </c>
      <c r="W247" s="283">
        <v>4</v>
      </c>
      <c r="X247" s="283" t="s">
        <v>291</v>
      </c>
      <c r="Y247" s="283">
        <v>4</v>
      </c>
      <c r="Z247" s="283">
        <v>4</v>
      </c>
      <c r="AA247" s="283">
        <v>4</v>
      </c>
      <c r="AB247" s="283">
        <v>4</v>
      </c>
      <c r="AC247" s="283">
        <v>3</v>
      </c>
      <c r="AD247" s="283">
        <v>3</v>
      </c>
      <c r="AE247" s="283">
        <v>3</v>
      </c>
      <c r="AF247" s="283">
        <v>3</v>
      </c>
      <c r="AG247" s="283">
        <v>3</v>
      </c>
      <c r="AH247" s="283">
        <v>3</v>
      </c>
      <c r="AI247" s="283">
        <v>3</v>
      </c>
      <c r="AJ247" s="283">
        <v>3</v>
      </c>
    </row>
    <row r="248" spans="1:36" ht="15">
      <c r="A248" s="263" t="s">
        <v>286</v>
      </c>
      <c r="B248" s="283">
        <v>-12</v>
      </c>
      <c r="C248" s="283">
        <v>-4</v>
      </c>
      <c r="D248" s="283">
        <v>-7</v>
      </c>
      <c r="E248" s="283">
        <v>-16</v>
      </c>
      <c r="F248" s="283">
        <v>2</v>
      </c>
      <c r="G248" s="283">
        <v>3</v>
      </c>
      <c r="H248" s="283">
        <v>7</v>
      </c>
      <c r="I248" s="283">
        <v>4</v>
      </c>
      <c r="J248" s="283">
        <v>-51</v>
      </c>
      <c r="K248" s="283">
        <v>-30</v>
      </c>
      <c r="L248" s="283">
        <v>2</v>
      </c>
      <c r="M248" s="283">
        <v>3</v>
      </c>
      <c r="N248" s="283">
        <v>-19</v>
      </c>
      <c r="O248" s="283">
        <v>-3</v>
      </c>
      <c r="P248" s="283" t="s">
        <v>306</v>
      </c>
      <c r="Q248" s="283">
        <v>74</v>
      </c>
      <c r="R248" s="283">
        <v>4</v>
      </c>
      <c r="S248" s="283">
        <v>3</v>
      </c>
      <c r="T248" s="283">
        <v>-13</v>
      </c>
      <c r="U248" s="283">
        <v>7</v>
      </c>
      <c r="V248" s="283">
        <v>7</v>
      </c>
      <c r="W248" s="283">
        <v>8</v>
      </c>
      <c r="X248" s="283" t="s">
        <v>291</v>
      </c>
      <c r="Y248" s="283">
        <v>10</v>
      </c>
      <c r="Z248" s="283">
        <v>16</v>
      </c>
      <c r="AA248" s="283">
        <v>13</v>
      </c>
      <c r="AB248" s="283">
        <v>3</v>
      </c>
      <c r="AC248" s="283">
        <v>7</v>
      </c>
      <c r="AD248" s="283">
        <v>11</v>
      </c>
      <c r="AE248" s="283">
        <v>9</v>
      </c>
      <c r="AF248" s="283">
        <v>9</v>
      </c>
      <c r="AG248" s="283" t="s">
        <v>291</v>
      </c>
      <c r="AH248" s="283">
        <v>3</v>
      </c>
      <c r="AI248" s="283">
        <v>6</v>
      </c>
      <c r="AJ248" s="283">
        <v>14</v>
      </c>
    </row>
    <row r="249" spans="1:36" ht="15">
      <c r="A249" s="263" t="s">
        <v>285</v>
      </c>
      <c r="B249" s="283" t="s">
        <v>273</v>
      </c>
      <c r="C249" s="283" t="s">
        <v>273</v>
      </c>
      <c r="D249" s="283" t="s">
        <v>273</v>
      </c>
      <c r="E249" s="283" t="s">
        <v>273</v>
      </c>
      <c r="F249" s="283" t="s">
        <v>273</v>
      </c>
      <c r="G249" s="283" t="s">
        <v>273</v>
      </c>
      <c r="H249" s="283" t="s">
        <v>273</v>
      </c>
      <c r="I249" s="283" t="s">
        <v>273</v>
      </c>
      <c r="J249" s="283" t="s">
        <v>273</v>
      </c>
      <c r="K249" s="283" t="s">
        <v>273</v>
      </c>
      <c r="L249" s="283" t="s">
        <v>273</v>
      </c>
      <c r="M249" s="283" t="s">
        <v>273</v>
      </c>
      <c r="N249" s="283" t="s">
        <v>306</v>
      </c>
      <c r="O249" s="283" t="s">
        <v>306</v>
      </c>
      <c r="P249" s="283" t="s">
        <v>306</v>
      </c>
      <c r="Q249" s="283" t="s">
        <v>306</v>
      </c>
      <c r="R249" s="283" t="s">
        <v>306</v>
      </c>
      <c r="S249" s="283" t="s">
        <v>306</v>
      </c>
      <c r="T249" s="283" t="s">
        <v>306</v>
      </c>
      <c r="U249" s="283">
        <v>0</v>
      </c>
      <c r="V249" s="283">
        <v>0</v>
      </c>
      <c r="W249" s="283">
        <v>0</v>
      </c>
      <c r="X249" s="283" t="s">
        <v>306</v>
      </c>
      <c r="Y249" s="283" t="s">
        <v>306</v>
      </c>
      <c r="Z249" s="283" t="s">
        <v>306</v>
      </c>
      <c r="AA249" s="283" t="s">
        <v>306</v>
      </c>
      <c r="AB249" s="283" t="s">
        <v>306</v>
      </c>
      <c r="AC249" s="283">
        <v>1</v>
      </c>
      <c r="AD249" s="283">
        <v>1</v>
      </c>
      <c r="AE249" s="283">
        <v>1</v>
      </c>
      <c r="AF249" s="283">
        <v>1</v>
      </c>
      <c r="AG249" s="283">
        <v>1</v>
      </c>
      <c r="AH249" s="283">
        <v>1</v>
      </c>
      <c r="AI249" s="283">
        <v>1</v>
      </c>
      <c r="AJ249" s="283">
        <v>1</v>
      </c>
    </row>
    <row r="250" spans="1:36" ht="15">
      <c r="A250" s="263" t="s">
        <v>284</v>
      </c>
      <c r="B250" s="283" t="s">
        <v>273</v>
      </c>
      <c r="C250" s="283" t="s">
        <v>273</v>
      </c>
      <c r="D250" s="283" t="s">
        <v>273</v>
      </c>
      <c r="E250" s="283" t="s">
        <v>273</v>
      </c>
      <c r="F250" s="283" t="s">
        <v>273</v>
      </c>
      <c r="G250" s="283" t="s">
        <v>273</v>
      </c>
      <c r="H250" s="283" t="s">
        <v>273</v>
      </c>
      <c r="I250" s="283">
        <v>0</v>
      </c>
      <c r="J250" s="283">
        <v>0</v>
      </c>
      <c r="K250" s="283">
        <v>0</v>
      </c>
      <c r="L250" s="283">
        <v>0</v>
      </c>
      <c r="M250" s="283">
        <v>0</v>
      </c>
      <c r="N250" s="283" t="s">
        <v>306</v>
      </c>
      <c r="O250" s="283">
        <v>1</v>
      </c>
      <c r="P250" s="283" t="s">
        <v>306</v>
      </c>
      <c r="Q250" s="283">
        <v>1</v>
      </c>
      <c r="R250" s="283">
        <v>1</v>
      </c>
      <c r="S250" s="283">
        <v>2</v>
      </c>
      <c r="T250" s="283">
        <v>1</v>
      </c>
      <c r="U250" s="283" t="s">
        <v>306</v>
      </c>
      <c r="V250" s="283">
        <v>0</v>
      </c>
      <c r="W250" s="283">
        <v>0</v>
      </c>
      <c r="X250" s="283" t="s">
        <v>273</v>
      </c>
      <c r="Y250" s="283" t="s">
        <v>273</v>
      </c>
      <c r="Z250" s="283" t="s">
        <v>273</v>
      </c>
      <c r="AA250" s="283" t="s">
        <v>273</v>
      </c>
      <c r="AB250" s="283" t="s">
        <v>273</v>
      </c>
      <c r="AC250" s="283" t="s">
        <v>273</v>
      </c>
      <c r="AD250" s="283" t="s">
        <v>273</v>
      </c>
      <c r="AE250" s="283" t="s">
        <v>273</v>
      </c>
      <c r="AF250" s="283" t="s">
        <v>273</v>
      </c>
      <c r="AG250" s="283" t="s">
        <v>273</v>
      </c>
      <c r="AH250" s="283">
        <v>0</v>
      </c>
      <c r="AI250" s="283">
        <v>0</v>
      </c>
      <c r="AJ250" s="283">
        <v>0</v>
      </c>
    </row>
    <row r="251" spans="1:36" ht="15">
      <c r="A251" s="263" t="s">
        <v>283</v>
      </c>
      <c r="B251" s="283" t="s">
        <v>306</v>
      </c>
      <c r="C251" s="283">
        <v>2</v>
      </c>
      <c r="D251" s="283">
        <v>1</v>
      </c>
      <c r="E251" s="283">
        <v>3</v>
      </c>
      <c r="F251" s="283">
        <v>1</v>
      </c>
      <c r="G251" s="283">
        <v>3</v>
      </c>
      <c r="H251" s="283">
        <v>3</v>
      </c>
      <c r="I251" s="283">
        <v>2</v>
      </c>
      <c r="J251" s="283">
        <v>3</v>
      </c>
      <c r="K251" s="283">
        <v>3</v>
      </c>
      <c r="L251" s="283">
        <v>2</v>
      </c>
      <c r="M251" s="283">
        <v>2</v>
      </c>
      <c r="N251" s="283">
        <v>4</v>
      </c>
      <c r="O251" s="283">
        <v>2</v>
      </c>
      <c r="P251" s="283">
        <v>2</v>
      </c>
      <c r="Q251" s="283">
        <v>2</v>
      </c>
      <c r="R251" s="283">
        <v>4</v>
      </c>
      <c r="S251" s="283">
        <v>5</v>
      </c>
      <c r="T251" s="283">
        <v>5</v>
      </c>
      <c r="U251" s="283">
        <v>2</v>
      </c>
      <c r="V251" s="283" t="s">
        <v>306</v>
      </c>
      <c r="W251" s="283">
        <v>1</v>
      </c>
      <c r="X251" s="283" t="s">
        <v>291</v>
      </c>
      <c r="Y251" s="283">
        <v>7</v>
      </c>
      <c r="Z251" s="283">
        <v>4</v>
      </c>
      <c r="AA251" s="283">
        <v>8</v>
      </c>
      <c r="AB251" s="283">
        <v>26</v>
      </c>
      <c r="AC251" s="283">
        <v>5</v>
      </c>
      <c r="AD251" s="283">
        <v>2</v>
      </c>
      <c r="AE251" s="283">
        <v>3</v>
      </c>
      <c r="AF251" s="283">
        <v>7</v>
      </c>
      <c r="AG251" s="283">
        <v>7</v>
      </c>
      <c r="AH251" s="283">
        <v>5</v>
      </c>
      <c r="AI251" s="283">
        <v>6</v>
      </c>
      <c r="AJ251" s="283">
        <v>15</v>
      </c>
    </row>
    <row r="252" spans="1:36" ht="15">
      <c r="A252" s="263" t="s">
        <v>282</v>
      </c>
      <c r="B252" s="283" t="s">
        <v>273</v>
      </c>
      <c r="C252" s="283" t="s">
        <v>273</v>
      </c>
      <c r="D252" s="283" t="s">
        <v>273</v>
      </c>
      <c r="E252" s="283" t="s">
        <v>273</v>
      </c>
      <c r="F252" s="283" t="s">
        <v>273</v>
      </c>
      <c r="G252" s="283" t="s">
        <v>273</v>
      </c>
      <c r="H252" s="283" t="s">
        <v>273</v>
      </c>
      <c r="I252" s="283" t="s">
        <v>273</v>
      </c>
      <c r="J252" s="283" t="s">
        <v>273</v>
      </c>
      <c r="K252" s="283" t="s">
        <v>273</v>
      </c>
      <c r="L252" s="283" t="s">
        <v>273</v>
      </c>
      <c r="M252" s="283" t="s">
        <v>273</v>
      </c>
      <c r="N252" s="283" t="s">
        <v>273</v>
      </c>
      <c r="O252" s="283" t="s">
        <v>273</v>
      </c>
      <c r="P252" s="283" t="s">
        <v>273</v>
      </c>
      <c r="Q252" s="283" t="s">
        <v>273</v>
      </c>
      <c r="R252" s="283" t="s">
        <v>273</v>
      </c>
      <c r="S252" s="283" t="s">
        <v>273</v>
      </c>
      <c r="T252" s="283" t="s">
        <v>273</v>
      </c>
      <c r="U252" s="283" t="s">
        <v>273</v>
      </c>
      <c r="V252" s="283" t="s">
        <v>273</v>
      </c>
      <c r="W252" s="283" t="s">
        <v>273</v>
      </c>
      <c r="X252" s="283" t="s">
        <v>273</v>
      </c>
      <c r="Y252" s="283" t="s">
        <v>273</v>
      </c>
      <c r="Z252" s="283" t="s">
        <v>273</v>
      </c>
      <c r="AA252" s="283" t="s">
        <v>273</v>
      </c>
      <c r="AB252" s="283" t="s">
        <v>273</v>
      </c>
      <c r="AC252" s="283">
        <v>1</v>
      </c>
      <c r="AD252" s="283">
        <v>1</v>
      </c>
      <c r="AE252" s="283">
        <v>1</v>
      </c>
      <c r="AF252" s="283">
        <v>1</v>
      </c>
      <c r="AG252" s="283">
        <v>1</v>
      </c>
      <c r="AH252" s="283">
        <v>1</v>
      </c>
      <c r="AI252" s="283">
        <v>1</v>
      </c>
      <c r="AJ252" s="283">
        <v>1</v>
      </c>
    </row>
    <row r="253" spans="1:36" ht="15">
      <c r="A253" s="263" t="s">
        <v>281</v>
      </c>
      <c r="B253" s="283" t="s">
        <v>306</v>
      </c>
      <c r="C253" s="283" t="s">
        <v>306</v>
      </c>
      <c r="D253" s="283" t="s">
        <v>306</v>
      </c>
      <c r="E253" s="283" t="s">
        <v>306</v>
      </c>
      <c r="F253" s="283">
        <v>1</v>
      </c>
      <c r="G253" s="283" t="s">
        <v>306</v>
      </c>
      <c r="H253" s="283">
        <v>1</v>
      </c>
      <c r="I253" s="283" t="s">
        <v>306</v>
      </c>
      <c r="J253" s="283">
        <v>1</v>
      </c>
      <c r="K253" s="283" t="s">
        <v>306</v>
      </c>
      <c r="L253" s="283">
        <v>1</v>
      </c>
      <c r="M253" s="283" t="s">
        <v>306</v>
      </c>
      <c r="N253" s="283" t="s">
        <v>306</v>
      </c>
      <c r="O253" s="283" t="s">
        <v>306</v>
      </c>
      <c r="P253" s="283" t="s">
        <v>306</v>
      </c>
      <c r="Q253" s="283" t="s">
        <v>306</v>
      </c>
      <c r="R253" s="283">
        <v>1</v>
      </c>
      <c r="S253" s="283">
        <v>1</v>
      </c>
      <c r="T253" s="283">
        <v>1</v>
      </c>
      <c r="U253" s="283" t="s">
        <v>306</v>
      </c>
      <c r="V253" s="283" t="s">
        <v>306</v>
      </c>
      <c r="W253" s="283" t="s">
        <v>306</v>
      </c>
      <c r="X253" s="283" t="s">
        <v>306</v>
      </c>
      <c r="Y253" s="283" t="s">
        <v>306</v>
      </c>
      <c r="Z253" s="283" t="s">
        <v>306</v>
      </c>
      <c r="AA253" s="283" t="s">
        <v>306</v>
      </c>
      <c r="AB253" s="283" t="s">
        <v>306</v>
      </c>
      <c r="AC253" s="283" t="s">
        <v>273</v>
      </c>
      <c r="AD253" s="283" t="s">
        <v>273</v>
      </c>
      <c r="AE253" s="283" t="s">
        <v>273</v>
      </c>
      <c r="AF253" s="283" t="s">
        <v>273</v>
      </c>
      <c r="AG253" s="283" t="s">
        <v>273</v>
      </c>
      <c r="AH253" s="283">
        <v>0</v>
      </c>
      <c r="AI253" s="283">
        <v>0</v>
      </c>
      <c r="AJ253" s="283">
        <v>0</v>
      </c>
    </row>
    <row r="254" spans="1:36" ht="15">
      <c r="A254" s="263" t="s">
        <v>280</v>
      </c>
      <c r="B254" s="283" t="s">
        <v>273</v>
      </c>
      <c r="C254" s="283" t="s">
        <v>273</v>
      </c>
      <c r="D254" s="283" t="s">
        <v>273</v>
      </c>
      <c r="E254" s="283" t="s">
        <v>273</v>
      </c>
      <c r="F254" s="283" t="s">
        <v>273</v>
      </c>
      <c r="G254" s="283" t="s">
        <v>273</v>
      </c>
      <c r="H254" s="283" t="s">
        <v>273</v>
      </c>
      <c r="I254" s="283" t="s">
        <v>273</v>
      </c>
      <c r="J254" s="283" t="s">
        <v>273</v>
      </c>
      <c r="K254" s="283" t="s">
        <v>273</v>
      </c>
      <c r="L254" s="283" t="s">
        <v>273</v>
      </c>
      <c r="M254" s="283" t="s">
        <v>273</v>
      </c>
      <c r="N254" s="283" t="s">
        <v>273</v>
      </c>
      <c r="O254" s="283" t="s">
        <v>273</v>
      </c>
      <c r="P254" s="283" t="s">
        <v>273</v>
      </c>
      <c r="Q254" s="283" t="s">
        <v>273</v>
      </c>
      <c r="R254" s="283" t="s">
        <v>273</v>
      </c>
      <c r="S254" s="283" t="s">
        <v>273</v>
      </c>
      <c r="T254" s="283" t="s">
        <v>273</v>
      </c>
      <c r="U254" s="283" t="s">
        <v>273</v>
      </c>
      <c r="V254" s="283" t="s">
        <v>273</v>
      </c>
      <c r="W254" s="283" t="s">
        <v>273</v>
      </c>
      <c r="X254" s="283" t="s">
        <v>306</v>
      </c>
      <c r="Y254" s="283" t="s">
        <v>306</v>
      </c>
      <c r="Z254" s="283" t="s">
        <v>306</v>
      </c>
      <c r="AA254" s="283" t="s">
        <v>306</v>
      </c>
      <c r="AB254" s="283" t="s">
        <v>306</v>
      </c>
      <c r="AC254" s="283">
        <v>0</v>
      </c>
      <c r="AD254" s="283">
        <v>0</v>
      </c>
      <c r="AE254" s="283">
        <v>0</v>
      </c>
      <c r="AF254" s="283">
        <v>0</v>
      </c>
      <c r="AG254" s="283">
        <v>0</v>
      </c>
      <c r="AH254" s="283">
        <v>0</v>
      </c>
      <c r="AI254" s="283">
        <v>0</v>
      </c>
      <c r="AJ254" s="283">
        <v>0</v>
      </c>
    </row>
    <row r="255" spans="1:36" ht="15">
      <c r="A255" s="263" t="s">
        <v>279</v>
      </c>
      <c r="B255" s="283" t="s">
        <v>273</v>
      </c>
      <c r="C255" s="283" t="s">
        <v>273</v>
      </c>
      <c r="D255" s="283" t="s">
        <v>273</v>
      </c>
      <c r="E255" s="283" t="s">
        <v>273</v>
      </c>
      <c r="F255" s="283" t="s">
        <v>273</v>
      </c>
      <c r="G255" s="283" t="s">
        <v>273</v>
      </c>
      <c r="H255" s="283" t="s">
        <v>273</v>
      </c>
      <c r="I255" s="283" t="s">
        <v>273</v>
      </c>
      <c r="J255" s="283" t="s">
        <v>273</v>
      </c>
      <c r="K255" s="283" t="s">
        <v>273</v>
      </c>
      <c r="L255" s="283" t="s">
        <v>273</v>
      </c>
      <c r="M255" s="283" t="s">
        <v>273</v>
      </c>
      <c r="N255" s="283" t="s">
        <v>273</v>
      </c>
      <c r="O255" s="283" t="s">
        <v>273</v>
      </c>
      <c r="P255" s="283" t="s">
        <v>273</v>
      </c>
      <c r="Q255" s="283" t="s">
        <v>273</v>
      </c>
      <c r="R255" s="283" t="s">
        <v>273</v>
      </c>
      <c r="S255" s="283" t="s">
        <v>273</v>
      </c>
      <c r="T255" s="283" t="s">
        <v>273</v>
      </c>
      <c r="U255" s="283" t="s">
        <v>273</v>
      </c>
      <c r="V255" s="283" t="s">
        <v>273</v>
      </c>
      <c r="W255" s="283" t="s">
        <v>273</v>
      </c>
      <c r="X255" s="283" t="s">
        <v>306</v>
      </c>
      <c r="Y255" s="283" t="s">
        <v>306</v>
      </c>
      <c r="Z255" s="283" t="s">
        <v>306</v>
      </c>
      <c r="AA255" s="283" t="s">
        <v>306</v>
      </c>
      <c r="AB255" s="283" t="s">
        <v>306</v>
      </c>
      <c r="AC255" s="283" t="s">
        <v>273</v>
      </c>
      <c r="AD255" s="283" t="s">
        <v>273</v>
      </c>
      <c r="AE255" s="283" t="s">
        <v>273</v>
      </c>
      <c r="AF255" s="283" t="s">
        <v>273</v>
      </c>
      <c r="AG255" s="283" t="s">
        <v>273</v>
      </c>
      <c r="AH255" s="283">
        <v>0</v>
      </c>
      <c r="AI255" s="283">
        <v>0</v>
      </c>
      <c r="AJ255" s="283">
        <v>0</v>
      </c>
    </row>
    <row r="256" spans="1:36" ht="15">
      <c r="A256" s="263" t="s">
        <v>278</v>
      </c>
      <c r="B256" s="283">
        <v>0</v>
      </c>
      <c r="C256" s="283" t="s">
        <v>306</v>
      </c>
      <c r="D256" s="283" t="s">
        <v>306</v>
      </c>
      <c r="E256" s="283" t="s">
        <v>306</v>
      </c>
      <c r="F256" s="283" t="s">
        <v>306</v>
      </c>
      <c r="G256" s="283" t="s">
        <v>306</v>
      </c>
      <c r="H256" s="283" t="s">
        <v>306</v>
      </c>
      <c r="I256" s="283" t="s">
        <v>306</v>
      </c>
      <c r="J256" s="283" t="s">
        <v>306</v>
      </c>
      <c r="K256" s="283" t="s">
        <v>306</v>
      </c>
      <c r="L256" s="283" t="s">
        <v>306</v>
      </c>
      <c r="M256" s="283" t="s">
        <v>306</v>
      </c>
      <c r="N256" s="283" t="s">
        <v>273</v>
      </c>
      <c r="O256" s="283" t="s">
        <v>273</v>
      </c>
      <c r="P256" s="283" t="s">
        <v>273</v>
      </c>
      <c r="Q256" s="283" t="s">
        <v>273</v>
      </c>
      <c r="R256" s="283" t="s">
        <v>273</v>
      </c>
      <c r="S256" s="283" t="s">
        <v>273</v>
      </c>
      <c r="T256" s="283" t="s">
        <v>273</v>
      </c>
      <c r="U256" s="283" t="s">
        <v>273</v>
      </c>
      <c r="V256" s="283" t="s">
        <v>273</v>
      </c>
      <c r="W256" s="283" t="s">
        <v>273</v>
      </c>
      <c r="X256" s="283" t="s">
        <v>291</v>
      </c>
      <c r="Y256" s="283">
        <v>1</v>
      </c>
      <c r="Z256" s="283">
        <v>11</v>
      </c>
      <c r="AA256" s="283">
        <v>21</v>
      </c>
      <c r="AB256" s="283">
        <v>1</v>
      </c>
      <c r="AC256" s="283" t="s">
        <v>306</v>
      </c>
      <c r="AD256" s="283" t="s">
        <v>306</v>
      </c>
      <c r="AE256" s="283" t="s">
        <v>306</v>
      </c>
      <c r="AF256" s="283" t="s">
        <v>306</v>
      </c>
      <c r="AG256" s="283" t="s">
        <v>306</v>
      </c>
      <c r="AH256" s="283" t="s">
        <v>306</v>
      </c>
      <c r="AI256" s="283" t="s">
        <v>306</v>
      </c>
      <c r="AJ256" s="283" t="s">
        <v>306</v>
      </c>
    </row>
    <row r="257" spans="1:36" ht="15">
      <c r="A257" s="263" t="s">
        <v>277</v>
      </c>
      <c r="B257" s="283">
        <v>5</v>
      </c>
      <c r="C257" s="283">
        <v>5</v>
      </c>
      <c r="D257" s="283">
        <v>5</v>
      </c>
      <c r="E257" s="283">
        <v>5</v>
      </c>
      <c r="F257" s="283">
        <v>4</v>
      </c>
      <c r="G257" s="283">
        <v>3</v>
      </c>
      <c r="H257" s="283" t="s">
        <v>306</v>
      </c>
      <c r="I257" s="283" t="s">
        <v>306</v>
      </c>
      <c r="J257" s="283" t="s">
        <v>306</v>
      </c>
      <c r="K257" s="283">
        <v>1</v>
      </c>
      <c r="L257" s="283" t="s">
        <v>306</v>
      </c>
      <c r="M257" s="283" t="s">
        <v>291</v>
      </c>
      <c r="N257" s="283">
        <v>-1</v>
      </c>
      <c r="O257" s="283">
        <v>1</v>
      </c>
      <c r="P257" s="283">
        <v>7</v>
      </c>
      <c r="Q257" s="283">
        <v>11</v>
      </c>
      <c r="R257" s="283">
        <v>12</v>
      </c>
      <c r="S257" s="283">
        <v>4</v>
      </c>
      <c r="T257" s="283">
        <v>7</v>
      </c>
      <c r="U257" s="283">
        <v>13</v>
      </c>
      <c r="V257" s="283">
        <v>9</v>
      </c>
      <c r="W257" s="283">
        <v>4</v>
      </c>
      <c r="X257" s="283" t="s">
        <v>291</v>
      </c>
      <c r="Y257" s="283">
        <v>7</v>
      </c>
      <c r="Z257" s="283">
        <v>7</v>
      </c>
      <c r="AA257" s="283">
        <v>9</v>
      </c>
      <c r="AB257" s="283">
        <v>9</v>
      </c>
      <c r="AC257" s="283">
        <v>11</v>
      </c>
      <c r="AD257" s="283">
        <v>8</v>
      </c>
      <c r="AE257" s="283">
        <v>7</v>
      </c>
      <c r="AF257" s="283">
        <v>8</v>
      </c>
      <c r="AG257" s="283">
        <v>8</v>
      </c>
      <c r="AH257" s="283">
        <v>2</v>
      </c>
      <c r="AI257" s="283">
        <v>2</v>
      </c>
      <c r="AJ257" s="283">
        <v>2</v>
      </c>
    </row>
    <row r="258" spans="1:36" ht="15">
      <c r="A258" s="263" t="s">
        <v>276</v>
      </c>
      <c r="B258" s="283">
        <v>0</v>
      </c>
      <c r="C258" s="283">
        <v>0</v>
      </c>
      <c r="D258" s="283">
        <v>0</v>
      </c>
      <c r="E258" s="283">
        <v>0</v>
      </c>
      <c r="F258" s="283">
        <v>0</v>
      </c>
      <c r="G258" s="283">
        <v>0</v>
      </c>
      <c r="H258" s="283">
        <v>0</v>
      </c>
      <c r="I258" s="283">
        <v>0</v>
      </c>
      <c r="J258" s="283">
        <v>0</v>
      </c>
      <c r="K258" s="283">
        <v>0</v>
      </c>
      <c r="L258" s="283">
        <v>0</v>
      </c>
      <c r="M258" s="283">
        <v>0</v>
      </c>
      <c r="N258" s="283">
        <v>-48</v>
      </c>
      <c r="O258" s="283">
        <v>-30</v>
      </c>
      <c r="P258" s="283">
        <v>-29</v>
      </c>
      <c r="Q258" s="283">
        <v>-20</v>
      </c>
      <c r="R258" s="283">
        <v>-45</v>
      </c>
      <c r="S258" s="283">
        <v>-26</v>
      </c>
      <c r="T258" s="283">
        <v>-5</v>
      </c>
      <c r="U258" s="283">
        <v>12</v>
      </c>
      <c r="V258" s="283">
        <v>8</v>
      </c>
      <c r="W258" s="283">
        <v>17</v>
      </c>
      <c r="X258" s="283" t="s">
        <v>291</v>
      </c>
      <c r="Y258" s="283">
        <v>30</v>
      </c>
      <c r="Z258" s="283">
        <v>43</v>
      </c>
      <c r="AA258" s="283">
        <v>55</v>
      </c>
      <c r="AB258" s="283">
        <v>45</v>
      </c>
      <c r="AC258" s="283">
        <v>41</v>
      </c>
      <c r="AD258" s="283">
        <v>39</v>
      </c>
      <c r="AE258" s="283">
        <v>46</v>
      </c>
      <c r="AF258" s="283">
        <v>85</v>
      </c>
      <c r="AG258" s="283">
        <v>77</v>
      </c>
      <c r="AH258" s="283">
        <v>61</v>
      </c>
      <c r="AI258" s="283">
        <v>94</v>
      </c>
      <c r="AJ258" s="283">
        <v>126</v>
      </c>
    </row>
    <row r="259" spans="1:36" ht="15">
      <c r="A259" s="263" t="s">
        <v>275</v>
      </c>
      <c r="B259" s="283" t="s">
        <v>306</v>
      </c>
      <c r="C259" s="283" t="s">
        <v>306</v>
      </c>
      <c r="D259" s="283" t="s">
        <v>306</v>
      </c>
      <c r="E259" s="283" t="s">
        <v>306</v>
      </c>
      <c r="F259" s="283" t="s">
        <v>306</v>
      </c>
      <c r="G259" s="283" t="s">
        <v>306</v>
      </c>
      <c r="H259" s="283" t="s">
        <v>306</v>
      </c>
      <c r="I259" s="283" t="s">
        <v>306</v>
      </c>
      <c r="J259" s="283" t="s">
        <v>306</v>
      </c>
      <c r="K259" s="283" t="s">
        <v>306</v>
      </c>
      <c r="L259" s="283" t="s">
        <v>306</v>
      </c>
      <c r="M259" s="283" t="s">
        <v>306</v>
      </c>
      <c r="N259" s="283" t="s">
        <v>273</v>
      </c>
      <c r="O259" s="283" t="s">
        <v>273</v>
      </c>
      <c r="P259" s="283" t="s">
        <v>273</v>
      </c>
      <c r="Q259" s="283" t="s">
        <v>273</v>
      </c>
      <c r="R259" s="283" t="s">
        <v>273</v>
      </c>
      <c r="S259" s="283" t="s">
        <v>273</v>
      </c>
      <c r="T259" s="283" t="s">
        <v>273</v>
      </c>
      <c r="U259" s="283" t="s">
        <v>273</v>
      </c>
      <c r="V259" s="283" t="s">
        <v>273</v>
      </c>
      <c r="W259" s="283" t="s">
        <v>273</v>
      </c>
      <c r="X259" s="283" t="s">
        <v>273</v>
      </c>
      <c r="Y259" s="283" t="s">
        <v>273</v>
      </c>
      <c r="Z259" s="283" t="s">
        <v>273</v>
      </c>
      <c r="AA259" s="283" t="s">
        <v>273</v>
      </c>
      <c r="AB259" s="283" t="s">
        <v>273</v>
      </c>
      <c r="AC259" s="283" t="s">
        <v>273</v>
      </c>
      <c r="AD259" s="283" t="s">
        <v>273</v>
      </c>
      <c r="AE259" s="283" t="s">
        <v>273</v>
      </c>
      <c r="AF259" s="283" t="s">
        <v>273</v>
      </c>
      <c r="AG259" s="283" t="s">
        <v>273</v>
      </c>
      <c r="AH259" s="283" t="s">
        <v>273</v>
      </c>
      <c r="AI259" s="283" t="s">
        <v>273</v>
      </c>
      <c r="AJ259" s="283" t="s">
        <v>273</v>
      </c>
    </row>
    <row r="260" spans="1:36" ht="15">
      <c r="A260" s="263" t="s">
        <v>274</v>
      </c>
      <c r="B260" s="283">
        <v>1072</v>
      </c>
      <c r="C260" s="283">
        <v>966</v>
      </c>
      <c r="D260" s="283">
        <v>542</v>
      </c>
      <c r="E260" s="283">
        <v>287</v>
      </c>
      <c r="F260" s="283">
        <v>-182</v>
      </c>
      <c r="G260" s="283">
        <v>-110</v>
      </c>
      <c r="H260" s="283">
        <v>97</v>
      </c>
      <c r="I260" s="283">
        <v>154</v>
      </c>
      <c r="J260" s="283">
        <v>230</v>
      </c>
      <c r="K260" s="283">
        <v>487</v>
      </c>
      <c r="L260" s="283">
        <v>284</v>
      </c>
      <c r="M260" s="283">
        <v>269</v>
      </c>
      <c r="N260" s="283">
        <v>115</v>
      </c>
      <c r="O260" s="283">
        <v>167</v>
      </c>
      <c r="P260" s="283">
        <v>278</v>
      </c>
      <c r="Q260" s="283">
        <v>416</v>
      </c>
      <c r="R260" s="283">
        <v>561</v>
      </c>
      <c r="S260" s="283" t="s">
        <v>273</v>
      </c>
      <c r="T260" s="283" t="s">
        <v>273</v>
      </c>
      <c r="U260" s="283" t="s">
        <v>273</v>
      </c>
      <c r="V260" s="283" t="s">
        <v>273</v>
      </c>
      <c r="W260" s="283" t="s">
        <v>273</v>
      </c>
      <c r="X260" s="283" t="s">
        <v>273</v>
      </c>
      <c r="Y260" s="283" t="s">
        <v>273</v>
      </c>
      <c r="Z260" s="283" t="s">
        <v>273</v>
      </c>
      <c r="AA260" s="283" t="s">
        <v>273</v>
      </c>
      <c r="AB260" s="283" t="s">
        <v>273</v>
      </c>
      <c r="AC260" s="283" t="s">
        <v>273</v>
      </c>
      <c r="AD260" s="283" t="s">
        <v>273</v>
      </c>
      <c r="AE260" s="283" t="s">
        <v>273</v>
      </c>
      <c r="AF260" s="283" t="s">
        <v>273</v>
      </c>
      <c r="AG260" s="283" t="s">
        <v>273</v>
      </c>
      <c r="AH260" s="283" t="s">
        <v>273</v>
      </c>
      <c r="AI260" s="283" t="s">
        <v>273</v>
      </c>
      <c r="AJ260" s="283" t="s">
        <v>273</v>
      </c>
    </row>
    <row r="261" spans="1:36" ht="13" customHeight="1">
      <c r="A261" s="265" t="s">
        <v>7</v>
      </c>
      <c r="B261" s="263"/>
      <c r="C261" s="263"/>
      <c r="D261" s="263"/>
      <c r="E261" s="263"/>
      <c r="F261" s="263"/>
      <c r="G261" s="263"/>
      <c r="H261" s="263"/>
      <c r="I261" s="263"/>
      <c r="J261" s="263"/>
      <c r="K261" s="263"/>
      <c r="L261" s="263"/>
      <c r="M261" s="263"/>
      <c r="N261" s="263"/>
      <c r="O261" s="263"/>
      <c r="P261" s="263"/>
      <c r="Q261" s="263"/>
      <c r="R261" s="263"/>
      <c r="S261" s="263"/>
      <c r="T261" s="263"/>
      <c r="U261" s="263"/>
      <c r="V261" s="263"/>
      <c r="W261" s="263"/>
      <c r="X261" s="263"/>
      <c r="Y261" s="263"/>
      <c r="Z261" s="263"/>
      <c r="AA261" s="263"/>
      <c r="AB261" s="263"/>
      <c r="AC261" s="263"/>
      <c r="AD261" s="263"/>
      <c r="AE261" s="263"/>
      <c r="AF261" s="263"/>
      <c r="AG261" s="263"/>
      <c r="AH261" s="263"/>
      <c r="AI261" s="263"/>
      <c r="AJ261" s="263"/>
    </row>
    <row r="262" spans="1:36" ht="12" customHeight="1">
      <c r="A262" s="262" t="s">
        <v>272</v>
      </c>
      <c r="B262" s="263"/>
      <c r="C262" s="263"/>
      <c r="D262" s="263"/>
      <c r="E262" s="263"/>
      <c r="F262" s="263"/>
      <c r="G262" s="263"/>
      <c r="H262" s="263"/>
      <c r="I262" s="263"/>
      <c r="J262" s="263"/>
      <c r="K262" s="263"/>
      <c r="L262" s="263"/>
      <c r="M262" s="263"/>
      <c r="N262" s="263"/>
      <c r="O262" s="263"/>
      <c r="P262" s="263"/>
      <c r="Q262" s="263"/>
      <c r="R262" s="263"/>
      <c r="S262" s="263"/>
      <c r="T262" s="263"/>
      <c r="U262" s="263"/>
      <c r="V262" s="263"/>
      <c r="W262" s="263"/>
      <c r="X262" s="263"/>
      <c r="Y262" s="263"/>
      <c r="Z262" s="263"/>
      <c r="AA262" s="263"/>
      <c r="AB262" s="263"/>
      <c r="AC262" s="263"/>
      <c r="AD262" s="263"/>
      <c r="AE262" s="263"/>
      <c r="AF262" s="263"/>
      <c r="AG262" s="263"/>
      <c r="AH262" s="263"/>
      <c r="AI262" s="263"/>
      <c r="AJ262" s="263"/>
    </row>
    <row r="263" spans="1:36" ht="12" customHeight="1">
      <c r="A263" s="262" t="s">
        <v>1031</v>
      </c>
      <c r="B263" s="263"/>
      <c r="C263" s="263"/>
      <c r="D263" s="263"/>
      <c r="E263" s="263"/>
      <c r="F263" s="263"/>
      <c r="G263" s="263"/>
      <c r="H263" s="263"/>
      <c r="I263" s="263"/>
      <c r="J263" s="263"/>
      <c r="K263" s="263"/>
      <c r="L263" s="263"/>
      <c r="M263" s="263"/>
      <c r="N263" s="263"/>
      <c r="O263" s="263"/>
      <c r="P263" s="263"/>
      <c r="Q263" s="263"/>
      <c r="R263" s="263"/>
      <c r="S263" s="263"/>
      <c r="T263" s="263"/>
      <c r="U263" s="263"/>
      <c r="V263" s="263"/>
      <c r="W263" s="263"/>
      <c r="X263" s="263"/>
      <c r="Y263" s="263"/>
      <c r="Z263" s="263"/>
      <c r="AA263" s="263"/>
      <c r="AB263" s="263"/>
      <c r="AC263" s="263"/>
      <c r="AD263" s="263"/>
      <c r="AE263" s="263"/>
      <c r="AF263" s="263"/>
      <c r="AG263" s="263"/>
      <c r="AH263" s="263"/>
      <c r="AI263" s="263"/>
      <c r="AJ263" s="263"/>
    </row>
    <row r="264" spans="1:36" ht="12" customHeight="1">
      <c r="A264" s="262" t="s">
        <v>1032</v>
      </c>
      <c r="B264" s="263"/>
      <c r="C264" s="263"/>
      <c r="D264" s="263"/>
      <c r="E264" s="263"/>
      <c r="F264" s="263"/>
      <c r="G264" s="263"/>
      <c r="H264" s="263"/>
      <c r="I264" s="263"/>
      <c r="J264" s="263"/>
      <c r="K264" s="263"/>
      <c r="L264" s="263"/>
      <c r="M264" s="263"/>
      <c r="N264" s="263"/>
      <c r="O264" s="263"/>
      <c r="P264" s="263"/>
      <c r="Q264" s="263"/>
      <c r="R264" s="263"/>
      <c r="S264" s="263"/>
      <c r="T264" s="263"/>
      <c r="U264" s="263"/>
      <c r="V264" s="263"/>
      <c r="W264" s="263"/>
      <c r="X264" s="263"/>
      <c r="Y264" s="263"/>
      <c r="Z264" s="263"/>
      <c r="AA264" s="263"/>
      <c r="AB264" s="263"/>
      <c r="AC264" s="263"/>
      <c r="AD264" s="263"/>
      <c r="AE264" s="263"/>
      <c r="AF264" s="263"/>
      <c r="AG264" s="263"/>
      <c r="AH264" s="263"/>
      <c r="AI264" s="263"/>
      <c r="AJ264" s="263"/>
    </row>
    <row r="265" spans="1:36" ht="12" customHeight="1">
      <c r="A265" s="262" t="s">
        <v>1033</v>
      </c>
      <c r="B265" s="263"/>
      <c r="C265" s="263"/>
      <c r="D265" s="263"/>
      <c r="E265" s="263"/>
      <c r="F265" s="263"/>
      <c r="G265" s="263"/>
      <c r="H265" s="263"/>
      <c r="I265" s="263"/>
      <c r="J265" s="263"/>
      <c r="K265" s="263"/>
      <c r="L265" s="263"/>
      <c r="M265" s="263"/>
      <c r="N265" s="263"/>
      <c r="O265" s="263"/>
      <c r="P265" s="263"/>
      <c r="Q265" s="263"/>
      <c r="R265" s="263"/>
      <c r="S265" s="263"/>
      <c r="T265" s="263"/>
      <c r="U265" s="263"/>
      <c r="V265" s="263"/>
      <c r="W265" s="263"/>
      <c r="X265" s="263"/>
      <c r="Y265" s="263"/>
      <c r="Z265" s="263"/>
      <c r="AA265" s="263"/>
      <c r="AB265" s="263"/>
      <c r="AC265" s="263"/>
      <c r="AD265" s="263"/>
      <c r="AE265" s="263"/>
      <c r="AF265" s="263"/>
      <c r="AG265" s="263"/>
      <c r="AH265" s="263"/>
      <c r="AI265" s="263"/>
      <c r="AJ265" s="263"/>
    </row>
    <row r="266" spans="1:36" ht="12" customHeight="1">
      <c r="A266" s="262" t="s">
        <v>268</v>
      </c>
      <c r="B266" s="263"/>
      <c r="C266" s="263"/>
      <c r="D266" s="263"/>
      <c r="E266" s="263"/>
      <c r="F266" s="263"/>
      <c r="G266" s="263"/>
      <c r="H266" s="263"/>
      <c r="I266" s="263"/>
      <c r="J266" s="263"/>
      <c r="K266" s="263"/>
      <c r="L266" s="263"/>
      <c r="M266" s="263"/>
      <c r="N266" s="263"/>
      <c r="O266" s="263"/>
      <c r="P266" s="263"/>
      <c r="Q266" s="263"/>
      <c r="R266" s="263"/>
      <c r="S266" s="263"/>
      <c r="T266" s="263"/>
      <c r="U266" s="263"/>
      <c r="V266" s="263"/>
      <c r="W266" s="263"/>
      <c r="X266" s="263"/>
      <c r="Y266" s="263"/>
      <c r="Z266" s="263"/>
      <c r="AA266" s="263"/>
      <c r="AB266" s="263"/>
      <c r="AC266" s="263"/>
      <c r="AD266" s="263"/>
      <c r="AE266" s="263"/>
      <c r="AF266" s="263"/>
      <c r="AG266" s="263"/>
      <c r="AH266" s="263"/>
      <c r="AI266" s="263"/>
      <c r="AJ266" s="263"/>
    </row>
    <row r="267" spans="1:36" ht="12" customHeight="1">
      <c r="A267" s="262" t="s">
        <v>267</v>
      </c>
      <c r="B267" s="263"/>
      <c r="C267" s="263"/>
      <c r="D267" s="263"/>
      <c r="E267" s="263"/>
      <c r="F267" s="263"/>
      <c r="G267" s="263"/>
      <c r="H267" s="263"/>
      <c r="I267" s="263"/>
      <c r="J267" s="263"/>
      <c r="K267" s="263"/>
      <c r="L267" s="263"/>
      <c r="M267" s="263"/>
      <c r="N267" s="263"/>
      <c r="O267" s="263"/>
      <c r="P267" s="263"/>
      <c r="Q267" s="263"/>
      <c r="R267" s="263"/>
      <c r="S267" s="263"/>
      <c r="T267" s="263"/>
      <c r="U267" s="263"/>
      <c r="V267" s="263"/>
      <c r="W267" s="263"/>
      <c r="X267" s="263"/>
      <c r="Y267" s="263"/>
      <c r="Z267" s="263"/>
      <c r="AA267" s="263"/>
      <c r="AB267" s="263"/>
      <c r="AC267" s="263"/>
      <c r="AD267" s="263"/>
      <c r="AE267" s="263"/>
      <c r="AF267" s="263"/>
      <c r="AG267" s="263"/>
      <c r="AH267" s="263"/>
      <c r="AI267" s="263"/>
      <c r="AJ267" s="263"/>
    </row>
    <row r="268" spans="1:36" ht="12" customHeight="1">
      <c r="A268" s="262" t="s">
        <v>265</v>
      </c>
      <c r="B268" s="263"/>
      <c r="C268" s="263"/>
      <c r="D268" s="263"/>
      <c r="E268" s="263"/>
      <c r="F268" s="263"/>
      <c r="G268" s="263"/>
      <c r="H268" s="263"/>
      <c r="I268" s="263"/>
      <c r="J268" s="263"/>
      <c r="K268" s="263"/>
      <c r="L268" s="263"/>
      <c r="M268" s="263"/>
      <c r="N268" s="263"/>
      <c r="O268" s="263"/>
      <c r="P268" s="263"/>
      <c r="Q268" s="263"/>
      <c r="R268" s="263"/>
      <c r="S268" s="263"/>
      <c r="T268" s="263"/>
      <c r="U268" s="263"/>
      <c r="V268" s="263"/>
      <c r="W268" s="263"/>
      <c r="X268" s="263"/>
      <c r="Y268" s="263"/>
      <c r="Z268" s="263"/>
      <c r="AA268" s="263"/>
      <c r="AB268" s="263"/>
      <c r="AC268" s="263"/>
      <c r="AD268" s="263"/>
      <c r="AE268" s="263"/>
      <c r="AF268" s="263"/>
      <c r="AG268" s="263"/>
      <c r="AH268" s="263"/>
      <c r="AI268" s="263"/>
      <c r="AJ268" s="263"/>
    </row>
    <row r="269" spans="1:36" ht="12" customHeight="1">
      <c r="A269" s="262" t="s">
        <v>264</v>
      </c>
      <c r="B269" s="263"/>
      <c r="C269" s="263"/>
      <c r="D269" s="263"/>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c r="AA269" s="263"/>
      <c r="AB269" s="263"/>
      <c r="AC269" s="263"/>
      <c r="AD269" s="263"/>
      <c r="AE269" s="263"/>
      <c r="AF269" s="263"/>
      <c r="AG269" s="263"/>
      <c r="AH269" s="263"/>
      <c r="AI269" s="263"/>
      <c r="AJ269" s="263"/>
    </row>
    <row r="270" spans="1:36" ht="12" customHeight="1">
      <c r="A270" s="262" t="s">
        <v>262</v>
      </c>
      <c r="B270" s="263"/>
      <c r="C270" s="263"/>
      <c r="D270" s="263"/>
      <c r="E270" s="263"/>
      <c r="F270" s="263"/>
      <c r="G270" s="263"/>
      <c r="H270" s="263"/>
      <c r="I270" s="263"/>
      <c r="J270" s="263"/>
      <c r="K270" s="263"/>
      <c r="L270" s="263"/>
      <c r="M270" s="263"/>
      <c r="N270" s="263"/>
      <c r="O270" s="263"/>
      <c r="P270" s="263"/>
      <c r="Q270" s="263"/>
      <c r="R270" s="263"/>
      <c r="S270" s="263"/>
      <c r="T270" s="263"/>
      <c r="U270" s="263"/>
      <c r="V270" s="263"/>
      <c r="W270" s="263"/>
      <c r="X270" s="263"/>
      <c r="Y270" s="263"/>
      <c r="Z270" s="263"/>
      <c r="AA270" s="263"/>
      <c r="AB270" s="263"/>
      <c r="AC270" s="263"/>
      <c r="AD270" s="263"/>
      <c r="AE270" s="263"/>
      <c r="AF270" s="263"/>
      <c r="AG270" s="263"/>
      <c r="AH270" s="263"/>
      <c r="AI270" s="263"/>
      <c r="AJ270" s="263"/>
    </row>
    <row r="271" spans="1:36" ht="12" customHeight="1">
      <c r="A271" s="262" t="s">
        <v>1034</v>
      </c>
      <c r="B271" s="263"/>
      <c r="C271" s="263"/>
      <c r="D271" s="263"/>
      <c r="E271" s="263"/>
      <c r="F271" s="263"/>
      <c r="G271" s="263"/>
      <c r="H271" s="263"/>
      <c r="I271" s="263"/>
      <c r="J271" s="263"/>
      <c r="K271" s="263"/>
      <c r="L271" s="263"/>
      <c r="M271" s="263"/>
      <c r="N271" s="263"/>
      <c r="O271" s="263"/>
      <c r="P271" s="263"/>
      <c r="Q271" s="263"/>
      <c r="R271" s="263"/>
      <c r="S271" s="263"/>
      <c r="T271" s="263"/>
      <c r="U271" s="263"/>
      <c r="V271" s="263"/>
      <c r="W271" s="263"/>
      <c r="X271" s="263"/>
      <c r="Y271" s="263"/>
      <c r="Z271" s="263"/>
      <c r="AA271" s="263"/>
      <c r="AB271" s="263"/>
      <c r="AC271" s="263"/>
      <c r="AD271" s="263"/>
      <c r="AE271" s="263"/>
      <c r="AF271" s="263"/>
      <c r="AG271" s="263"/>
      <c r="AH271" s="263"/>
      <c r="AI271" s="263"/>
      <c r="AJ271" s="263"/>
    </row>
    <row r="272" spans="1:36" ht="15" customHeight="1">
      <c r="A272" s="262" t="s">
        <v>1035</v>
      </c>
      <c r="B272" s="263"/>
      <c r="C272" s="263"/>
      <c r="D272" s="263"/>
      <c r="E272" s="263"/>
      <c r="F272" s="263"/>
      <c r="G272" s="263"/>
      <c r="H272" s="263"/>
      <c r="I272" s="263"/>
      <c r="J272" s="263"/>
      <c r="K272" s="263"/>
      <c r="L272" s="263"/>
      <c r="M272" s="263"/>
      <c r="N272" s="263"/>
      <c r="O272" s="263"/>
      <c r="P272" s="263"/>
      <c r="Q272" s="263"/>
      <c r="R272" s="263"/>
      <c r="S272" s="263"/>
      <c r="T272" s="263"/>
      <c r="U272" s="263"/>
      <c r="V272" s="263"/>
      <c r="W272" s="263"/>
      <c r="X272" s="263"/>
      <c r="Y272" s="263"/>
      <c r="Z272" s="263"/>
      <c r="AA272" s="263"/>
      <c r="AB272" s="263"/>
      <c r="AC272" s="263"/>
      <c r="AD272" s="263"/>
      <c r="AE272" s="263"/>
      <c r="AF272" s="263"/>
      <c r="AG272" s="263"/>
      <c r="AH272" s="263"/>
      <c r="AI272" s="263"/>
      <c r="AJ272" s="263"/>
    </row>
    <row r="273" spans="1:36" ht="25">
      <c r="A273" s="262" t="s">
        <v>1036</v>
      </c>
      <c r="B273" s="263"/>
      <c r="C273" s="263"/>
      <c r="D273" s="263"/>
      <c r="E273" s="263"/>
      <c r="F273" s="263"/>
      <c r="G273" s="263"/>
      <c r="H273" s="263"/>
      <c r="I273" s="263"/>
      <c r="J273" s="263"/>
      <c r="K273" s="263"/>
      <c r="L273" s="263"/>
      <c r="M273" s="263"/>
      <c r="N273" s="263"/>
      <c r="O273" s="263"/>
      <c r="P273" s="263"/>
      <c r="Q273" s="263"/>
      <c r="R273" s="263"/>
      <c r="S273" s="263"/>
      <c r="T273" s="263"/>
      <c r="U273" s="263"/>
      <c r="V273" s="263"/>
      <c r="W273" s="263"/>
      <c r="X273" s="263"/>
      <c r="Y273" s="263"/>
      <c r="Z273" s="263"/>
      <c r="AA273" s="263"/>
      <c r="AB273" s="263"/>
      <c r="AC273" s="263"/>
      <c r="AD273" s="263"/>
      <c r="AE273" s="263"/>
      <c r="AF273" s="263"/>
      <c r="AG273" s="263"/>
      <c r="AH273" s="263"/>
      <c r="AI273" s="263"/>
      <c r="AJ273" s="263"/>
    </row>
    <row r="274" spans="1:36" ht="37">
      <c r="A274" s="262" t="s">
        <v>1037</v>
      </c>
      <c r="B274" s="263"/>
      <c r="C274" s="263"/>
      <c r="D274" s="263"/>
      <c r="E274" s="263"/>
      <c r="F274" s="263"/>
      <c r="G274" s="263"/>
      <c r="H274" s="263"/>
      <c r="I274" s="263"/>
      <c r="J274" s="263"/>
      <c r="K274" s="263"/>
      <c r="L274" s="263"/>
      <c r="M274" s="263"/>
      <c r="N274" s="263"/>
      <c r="O274" s="263"/>
      <c r="P274" s="263"/>
      <c r="Q274" s="263"/>
      <c r="R274" s="263"/>
      <c r="S274" s="263"/>
      <c r="T274" s="263"/>
      <c r="U274" s="263"/>
      <c r="V274" s="263"/>
      <c r="W274" s="263"/>
      <c r="X274" s="263"/>
      <c r="Y274" s="263"/>
      <c r="Z274" s="263"/>
      <c r="AA274" s="263"/>
      <c r="AB274" s="263"/>
      <c r="AC274" s="263"/>
      <c r="AD274" s="263"/>
      <c r="AE274" s="263"/>
      <c r="AF274" s="263"/>
      <c r="AG274" s="263"/>
      <c r="AH274" s="263"/>
      <c r="AI274" s="263"/>
      <c r="AJ274" s="263"/>
    </row>
    <row r="275" spans="1:36" ht="25">
      <c r="A275" s="262" t="s">
        <v>1038</v>
      </c>
      <c r="B275" s="263"/>
      <c r="C275" s="263"/>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row>
    <row r="276" spans="1:36" ht="49">
      <c r="A276" s="262" t="s">
        <v>263</v>
      </c>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row>
  </sheetData>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8"/>
  <sheetViews>
    <sheetView workbookViewId="0">
      <pane xSplit="1" ySplit="7" topLeftCell="B287"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33" style="510" customWidth="1"/>
    <col min="2" max="16384" width="7.5703125" style="510"/>
  </cols>
  <sheetData>
    <row r="1" spans="1:19" ht="17">
      <c r="A1" s="1978" t="s">
        <v>1822</v>
      </c>
      <c r="B1" s="1976"/>
      <c r="C1" s="1976"/>
      <c r="D1" s="1976"/>
      <c r="E1" s="1976"/>
      <c r="F1" s="1976"/>
      <c r="G1" s="1976"/>
      <c r="H1" s="1976"/>
      <c r="I1" s="1976"/>
      <c r="J1" s="1976"/>
      <c r="K1" s="1976"/>
      <c r="L1" s="1976"/>
      <c r="M1" s="1976"/>
      <c r="N1" s="1976"/>
      <c r="O1" s="1976"/>
      <c r="P1" s="1976"/>
      <c r="Q1" s="1976"/>
      <c r="R1" s="1976"/>
      <c r="S1" s="1976"/>
    </row>
    <row r="2" spans="1:19" ht="16">
      <c r="A2" s="1979" t="s">
        <v>515</v>
      </c>
      <c r="B2" s="1976"/>
      <c r="C2" s="1976"/>
      <c r="D2" s="1976"/>
      <c r="E2" s="1976"/>
      <c r="F2" s="1976"/>
      <c r="G2" s="1976"/>
      <c r="H2" s="1976"/>
      <c r="I2" s="1976"/>
      <c r="J2" s="1976"/>
      <c r="K2" s="1976"/>
      <c r="L2" s="1976"/>
      <c r="M2" s="1976"/>
      <c r="N2" s="1976"/>
      <c r="O2" s="1976"/>
      <c r="P2" s="1976"/>
      <c r="Q2" s="1976"/>
      <c r="R2" s="1976"/>
      <c r="S2" s="1976"/>
    </row>
    <row r="3" spans="1:19">
      <c r="A3" s="1976" t="s">
        <v>160</v>
      </c>
      <c r="B3" s="1976"/>
      <c r="C3" s="1976"/>
      <c r="D3" s="1976"/>
      <c r="E3" s="1976"/>
      <c r="F3" s="1976"/>
      <c r="G3" s="1976"/>
      <c r="H3" s="1976"/>
      <c r="I3" s="1976"/>
      <c r="J3" s="1976"/>
      <c r="K3" s="1976"/>
      <c r="L3" s="1976"/>
      <c r="M3" s="1976"/>
      <c r="N3" s="1976"/>
      <c r="O3" s="1976"/>
      <c r="P3" s="1976"/>
      <c r="Q3" s="1976"/>
      <c r="R3" s="1976"/>
      <c r="S3" s="1976"/>
    </row>
    <row r="4" spans="1:19">
      <c r="A4" s="1976" t="s">
        <v>1821</v>
      </c>
      <c r="B4" s="1976"/>
      <c r="C4" s="1976"/>
      <c r="D4" s="1976"/>
      <c r="E4" s="1976"/>
      <c r="F4" s="1976"/>
      <c r="G4" s="1976"/>
      <c r="H4" s="1976"/>
      <c r="I4" s="1976"/>
      <c r="J4" s="1976"/>
      <c r="K4" s="1976"/>
      <c r="L4" s="1976"/>
      <c r="M4" s="1976"/>
      <c r="N4" s="1976"/>
      <c r="O4" s="1976"/>
      <c r="P4" s="1976"/>
      <c r="Q4" s="1976"/>
      <c r="R4" s="1976"/>
      <c r="S4" s="1976"/>
    </row>
    <row r="6" spans="1:19">
      <c r="A6" s="1977" t="s">
        <v>0</v>
      </c>
      <c r="B6" s="1977" t="s">
        <v>1012</v>
      </c>
      <c r="C6" s="1977"/>
      <c r="D6" s="1977"/>
      <c r="E6" s="1977"/>
      <c r="F6" s="1977"/>
      <c r="G6" s="1977"/>
      <c r="H6" s="1977"/>
      <c r="I6" s="1977"/>
      <c r="J6" s="1977"/>
      <c r="K6" s="1977"/>
      <c r="L6" s="1977"/>
      <c r="M6" s="1977"/>
      <c r="N6" s="1977"/>
      <c r="O6" s="1977"/>
      <c r="P6" s="1977"/>
      <c r="Q6" s="1977"/>
      <c r="R6" s="1977"/>
      <c r="S6" s="1977"/>
    </row>
    <row r="7" spans="1:19">
      <c r="A7" s="1977"/>
      <c r="B7" s="1977" t="s">
        <v>88</v>
      </c>
      <c r="C7" s="1977" t="s">
        <v>87</v>
      </c>
      <c r="D7" s="1977" t="s">
        <v>86</v>
      </c>
      <c r="E7" s="1977" t="s">
        <v>85</v>
      </c>
      <c r="F7" s="1977" t="s">
        <v>84</v>
      </c>
      <c r="G7" s="1977" t="s">
        <v>83</v>
      </c>
      <c r="H7" s="1977" t="s">
        <v>82</v>
      </c>
      <c r="I7" s="1977" t="s">
        <v>81</v>
      </c>
      <c r="J7" s="1977" t="s">
        <v>80</v>
      </c>
      <c r="K7" s="1977" t="s">
        <v>79</v>
      </c>
      <c r="L7" s="1977" t="s">
        <v>78</v>
      </c>
      <c r="M7" s="1977" t="s">
        <v>77</v>
      </c>
      <c r="N7" s="1977" t="s">
        <v>76</v>
      </c>
      <c r="O7" s="1977" t="s">
        <v>75</v>
      </c>
      <c r="P7" s="1977" t="s">
        <v>74</v>
      </c>
      <c r="Q7" s="1977" t="s">
        <v>866</v>
      </c>
      <c r="R7" s="1977" t="s">
        <v>865</v>
      </c>
      <c r="S7" s="1977" t="s">
        <v>864</v>
      </c>
    </row>
    <row r="8" spans="1:19">
      <c r="A8" s="510" t="s">
        <v>512</v>
      </c>
      <c r="B8" s="510">
        <v>114348</v>
      </c>
      <c r="C8" s="510">
        <v>133692</v>
      </c>
      <c r="D8" s="510">
        <v>110029</v>
      </c>
      <c r="E8" s="510">
        <v>124940</v>
      </c>
      <c r="F8" s="510">
        <v>165203</v>
      </c>
      <c r="G8" s="510">
        <v>228165</v>
      </c>
      <c r="H8" s="510">
        <v>271877</v>
      </c>
      <c r="I8" s="510">
        <v>304114</v>
      </c>
      <c r="J8" s="510">
        <v>350237</v>
      </c>
      <c r="K8" s="510">
        <v>392954</v>
      </c>
      <c r="L8" s="510">
        <v>340039</v>
      </c>
      <c r="M8" s="510">
        <v>417605</v>
      </c>
      <c r="N8" s="510">
        <v>448235</v>
      </c>
      <c r="O8" s="510">
        <v>438089</v>
      </c>
      <c r="P8" s="510">
        <v>448890</v>
      </c>
      <c r="Q8" s="510">
        <v>445815</v>
      </c>
      <c r="R8" s="510">
        <v>406691</v>
      </c>
      <c r="S8" s="510">
        <v>409966</v>
      </c>
    </row>
    <row r="9" spans="1:19">
      <c r="A9" s="510" t="s">
        <v>1820</v>
      </c>
      <c r="B9" s="510">
        <v>8451</v>
      </c>
      <c r="C9" s="510">
        <v>13164</v>
      </c>
      <c r="D9" s="510">
        <v>9262</v>
      </c>
      <c r="E9" s="510">
        <v>8915</v>
      </c>
      <c r="F9" s="510">
        <v>11189</v>
      </c>
      <c r="G9" s="510">
        <v>17789</v>
      </c>
      <c r="H9" s="510">
        <v>24559</v>
      </c>
      <c r="I9" s="510">
        <v>29848</v>
      </c>
      <c r="J9" s="510">
        <v>32315</v>
      </c>
      <c r="K9" s="510">
        <v>39822</v>
      </c>
      <c r="L9" s="510">
        <v>23699</v>
      </c>
      <c r="M9" s="510">
        <v>29138</v>
      </c>
      <c r="N9" s="510">
        <v>38620</v>
      </c>
      <c r="O9" s="510">
        <v>29005</v>
      </c>
      <c r="P9" s="510">
        <v>26047</v>
      </c>
      <c r="Q9" s="510">
        <v>19383</v>
      </c>
      <c r="R9" s="510">
        <v>3665</v>
      </c>
      <c r="S9" s="510">
        <v>2107</v>
      </c>
    </row>
    <row r="10" spans="1:19">
      <c r="A10" s="510" t="s">
        <v>1819</v>
      </c>
      <c r="B10" s="510">
        <v>7057</v>
      </c>
      <c r="C10" s="510">
        <v>12013</v>
      </c>
      <c r="D10" s="510">
        <v>7665</v>
      </c>
      <c r="E10" s="510">
        <v>7060</v>
      </c>
      <c r="F10" s="510">
        <v>9519</v>
      </c>
      <c r="G10" s="510">
        <v>14551</v>
      </c>
      <c r="H10" s="510">
        <v>19182</v>
      </c>
      <c r="I10" s="510">
        <v>21805</v>
      </c>
      <c r="J10" s="510">
        <v>22003</v>
      </c>
      <c r="K10" s="510">
        <v>29876</v>
      </c>
      <c r="L10" s="510">
        <v>12909</v>
      </c>
      <c r="M10" s="510">
        <v>16372</v>
      </c>
      <c r="N10" s="510">
        <v>22644</v>
      </c>
      <c r="O10" s="510">
        <v>17655</v>
      </c>
      <c r="P10" s="510">
        <v>16558</v>
      </c>
      <c r="Q10" s="510">
        <v>12033</v>
      </c>
      <c r="R10" s="510">
        <v>386</v>
      </c>
      <c r="S10" s="510">
        <v>-1499</v>
      </c>
    </row>
    <row r="11" spans="1:19">
      <c r="A11" s="510" t="s">
        <v>236</v>
      </c>
      <c r="B11" s="510">
        <v>1393</v>
      </c>
      <c r="C11" s="510">
        <v>1151</v>
      </c>
      <c r="D11" s="510">
        <v>1597</v>
      </c>
      <c r="E11" s="510">
        <v>1854</v>
      </c>
      <c r="F11" s="510">
        <v>1670</v>
      </c>
      <c r="G11" s="510">
        <v>3238</v>
      </c>
      <c r="H11" s="510">
        <v>5377</v>
      </c>
      <c r="I11" s="510">
        <v>8043</v>
      </c>
      <c r="J11" s="510">
        <v>10312</v>
      </c>
      <c r="K11" s="510">
        <v>9947</v>
      </c>
      <c r="L11" s="510">
        <v>10789</v>
      </c>
      <c r="M11" s="510">
        <v>12766</v>
      </c>
      <c r="N11" s="510">
        <v>15977</v>
      </c>
      <c r="O11" s="510">
        <v>11350</v>
      </c>
      <c r="P11" s="510">
        <v>9489</v>
      </c>
      <c r="Q11" s="510">
        <v>7350</v>
      </c>
      <c r="R11" s="510">
        <v>3279</v>
      </c>
      <c r="S11" s="510">
        <v>3606</v>
      </c>
    </row>
    <row r="12" spans="1:19">
      <c r="A12" s="510" t="s">
        <v>1818</v>
      </c>
      <c r="B12" s="510">
        <v>2</v>
      </c>
      <c r="C12" s="510">
        <v>33</v>
      </c>
      <c r="D12" s="510">
        <v>78</v>
      </c>
      <c r="E12" s="510">
        <v>64</v>
      </c>
      <c r="F12" s="510">
        <v>97</v>
      </c>
      <c r="G12" s="510">
        <v>152</v>
      </c>
      <c r="H12" s="510">
        <v>199</v>
      </c>
      <c r="I12" s="510">
        <v>238</v>
      </c>
      <c r="J12" s="510">
        <v>76</v>
      </c>
      <c r="K12" s="510">
        <v>668</v>
      </c>
      <c r="L12" s="510">
        <v>346</v>
      </c>
      <c r="M12" s="510">
        <v>450</v>
      </c>
      <c r="N12" s="510">
        <v>471</v>
      </c>
      <c r="O12" s="510">
        <v>119</v>
      </c>
      <c r="P12" s="510">
        <v>206</v>
      </c>
      <c r="Q12" s="510">
        <v>-110</v>
      </c>
      <c r="R12" s="510">
        <v>-121</v>
      </c>
      <c r="S12" s="510">
        <v>26</v>
      </c>
    </row>
    <row r="13" spans="1:19">
      <c r="A13" s="510" t="s">
        <v>1817</v>
      </c>
      <c r="B13" s="510">
        <v>251</v>
      </c>
      <c r="C13" s="510">
        <v>181</v>
      </c>
      <c r="D13" s="510">
        <v>322</v>
      </c>
      <c r="E13" s="510">
        <v>360</v>
      </c>
      <c r="F13" s="510">
        <v>140</v>
      </c>
      <c r="G13" s="510">
        <v>197</v>
      </c>
      <c r="H13" s="510">
        <v>206</v>
      </c>
      <c r="I13" s="510">
        <v>125</v>
      </c>
      <c r="J13" s="510">
        <v>63</v>
      </c>
      <c r="K13" s="510">
        <v>290</v>
      </c>
      <c r="L13" s="510">
        <v>352</v>
      </c>
      <c r="M13" s="510">
        <v>154</v>
      </c>
      <c r="N13" s="510">
        <v>463</v>
      </c>
      <c r="O13" s="510">
        <v>314</v>
      </c>
      <c r="P13" s="510">
        <v>119</v>
      </c>
      <c r="Q13" s="510">
        <v>478</v>
      </c>
      <c r="R13" s="510">
        <v>88</v>
      </c>
      <c r="S13" s="510">
        <v>100</v>
      </c>
    </row>
    <row r="14" spans="1:19">
      <c r="A14" s="510" t="s">
        <v>1816</v>
      </c>
      <c r="B14" s="510">
        <v>687</v>
      </c>
      <c r="C14" s="510">
        <v>660</v>
      </c>
      <c r="D14" s="510">
        <v>606</v>
      </c>
      <c r="E14" s="510">
        <v>966</v>
      </c>
      <c r="F14" s="510">
        <v>1126</v>
      </c>
      <c r="G14" s="510">
        <v>2469</v>
      </c>
      <c r="H14" s="510">
        <v>4050</v>
      </c>
      <c r="I14" s="510">
        <v>5869</v>
      </c>
      <c r="J14" s="510">
        <v>7682</v>
      </c>
      <c r="K14" s="510">
        <v>5429</v>
      </c>
      <c r="L14" s="510">
        <v>6276</v>
      </c>
      <c r="M14" s="510">
        <v>9640</v>
      </c>
      <c r="N14" s="510">
        <v>11702</v>
      </c>
      <c r="O14" s="510">
        <v>7761</v>
      </c>
      <c r="P14" s="510">
        <v>6288</v>
      </c>
      <c r="Q14" s="510">
        <v>4435</v>
      </c>
      <c r="R14" s="510">
        <v>2833</v>
      </c>
      <c r="S14" s="510">
        <v>3655</v>
      </c>
    </row>
    <row r="15" spans="1:19">
      <c r="A15" s="510" t="s">
        <v>1815</v>
      </c>
      <c r="B15" s="510" t="s">
        <v>291</v>
      </c>
      <c r="C15" s="510">
        <v>47</v>
      </c>
      <c r="D15" s="510">
        <v>72</v>
      </c>
      <c r="E15" s="510">
        <v>59</v>
      </c>
      <c r="F15" s="510" t="s">
        <v>291</v>
      </c>
      <c r="G15" s="510" t="s">
        <v>291</v>
      </c>
      <c r="H15" s="510" t="s">
        <v>291</v>
      </c>
      <c r="I15" s="510">
        <v>662</v>
      </c>
      <c r="J15" s="510">
        <v>278</v>
      </c>
      <c r="K15" s="510">
        <v>494</v>
      </c>
      <c r="L15" s="510">
        <v>353</v>
      </c>
      <c r="M15" s="510">
        <v>1423</v>
      </c>
      <c r="N15" s="510">
        <v>1618</v>
      </c>
      <c r="O15" s="510">
        <v>368</v>
      </c>
      <c r="P15" s="510" t="s">
        <v>291</v>
      </c>
      <c r="Q15" s="510" t="s">
        <v>291</v>
      </c>
      <c r="R15" s="510">
        <v>67</v>
      </c>
      <c r="S15" s="510">
        <v>236</v>
      </c>
    </row>
    <row r="16" spans="1:19">
      <c r="A16" s="510" t="s">
        <v>1814</v>
      </c>
      <c r="B16" s="510" t="s">
        <v>291</v>
      </c>
      <c r="C16" s="510">
        <v>15</v>
      </c>
      <c r="D16" s="510">
        <v>135</v>
      </c>
      <c r="E16" s="510">
        <v>296</v>
      </c>
      <c r="F16" s="510">
        <v>108</v>
      </c>
      <c r="G16" s="510">
        <v>447</v>
      </c>
      <c r="H16" s="510">
        <v>523</v>
      </c>
      <c r="I16" s="510">
        <v>726</v>
      </c>
      <c r="J16" s="510">
        <v>-444</v>
      </c>
      <c r="K16" s="510">
        <v>-82</v>
      </c>
      <c r="L16" s="510">
        <v>-192</v>
      </c>
      <c r="M16" s="510">
        <v>805</v>
      </c>
      <c r="N16" s="510">
        <v>2464</v>
      </c>
      <c r="O16" s="510">
        <v>1816</v>
      </c>
      <c r="P16" s="510">
        <v>1298</v>
      </c>
      <c r="Q16" s="510">
        <v>760</v>
      </c>
      <c r="R16" s="510">
        <v>694</v>
      </c>
      <c r="S16" s="510">
        <v>1391</v>
      </c>
    </row>
    <row r="17" spans="1:19">
      <c r="A17" s="510" t="s">
        <v>1813</v>
      </c>
      <c r="B17" s="510">
        <v>486</v>
      </c>
      <c r="C17" s="510">
        <v>529</v>
      </c>
      <c r="D17" s="510">
        <v>285</v>
      </c>
      <c r="E17" s="510">
        <v>515</v>
      </c>
      <c r="F17" s="510">
        <v>785</v>
      </c>
      <c r="G17" s="510">
        <v>1621</v>
      </c>
      <c r="H17" s="510">
        <v>2938</v>
      </c>
      <c r="I17" s="510">
        <v>4402</v>
      </c>
      <c r="J17" s="510">
        <v>7804</v>
      </c>
      <c r="K17" s="510">
        <v>4926</v>
      </c>
      <c r="L17" s="510">
        <v>6066</v>
      </c>
      <c r="M17" s="510">
        <v>7328</v>
      </c>
      <c r="N17" s="510">
        <v>7526</v>
      </c>
      <c r="O17" s="510">
        <v>5530</v>
      </c>
      <c r="P17" s="510">
        <v>4196</v>
      </c>
      <c r="Q17" s="510">
        <v>3325</v>
      </c>
      <c r="R17" s="510">
        <v>2192</v>
      </c>
      <c r="S17" s="510">
        <v>1922</v>
      </c>
    </row>
    <row r="18" spans="1:19">
      <c r="A18" s="510" t="s">
        <v>1812</v>
      </c>
      <c r="B18" s="510">
        <v>52</v>
      </c>
      <c r="C18" s="510">
        <v>69</v>
      </c>
      <c r="D18" s="510">
        <v>114</v>
      </c>
      <c r="E18" s="510">
        <v>96</v>
      </c>
      <c r="F18" s="510" t="s">
        <v>291</v>
      </c>
      <c r="G18" s="510" t="s">
        <v>291</v>
      </c>
      <c r="H18" s="510" t="s">
        <v>291</v>
      </c>
      <c r="I18" s="510">
        <v>79</v>
      </c>
      <c r="J18" s="510">
        <v>44</v>
      </c>
      <c r="K18" s="510">
        <v>91</v>
      </c>
      <c r="L18" s="510">
        <v>49</v>
      </c>
      <c r="M18" s="510">
        <v>85</v>
      </c>
      <c r="N18" s="510">
        <v>94</v>
      </c>
      <c r="O18" s="510">
        <v>47</v>
      </c>
      <c r="P18" s="510" t="s">
        <v>291</v>
      </c>
      <c r="Q18" s="510" t="s">
        <v>291</v>
      </c>
      <c r="R18" s="510">
        <v>-119</v>
      </c>
      <c r="S18" s="510">
        <v>105</v>
      </c>
    </row>
    <row r="19" spans="1:19">
      <c r="A19" s="510" t="s">
        <v>1811</v>
      </c>
      <c r="B19" s="510">
        <v>453</v>
      </c>
      <c r="C19" s="510">
        <v>277</v>
      </c>
      <c r="D19" s="510">
        <v>590</v>
      </c>
      <c r="E19" s="510">
        <v>465</v>
      </c>
      <c r="F19" s="510">
        <v>307</v>
      </c>
      <c r="G19" s="510">
        <v>420</v>
      </c>
      <c r="H19" s="510">
        <v>921</v>
      </c>
      <c r="I19" s="510">
        <v>1810</v>
      </c>
      <c r="J19" s="510">
        <v>2492</v>
      </c>
      <c r="K19" s="510">
        <v>3559</v>
      </c>
      <c r="L19" s="510">
        <v>3816</v>
      </c>
      <c r="M19" s="510">
        <v>2523</v>
      </c>
      <c r="N19" s="510">
        <v>3341</v>
      </c>
      <c r="O19" s="510">
        <v>3156</v>
      </c>
      <c r="P19" s="510">
        <v>2876</v>
      </c>
      <c r="Q19" s="510">
        <v>2548</v>
      </c>
      <c r="R19" s="510">
        <v>479</v>
      </c>
      <c r="S19" s="510">
        <v>-174</v>
      </c>
    </row>
    <row r="20" spans="1:19">
      <c r="A20" s="510" t="s">
        <v>1810</v>
      </c>
      <c r="B20" s="510">
        <v>460</v>
      </c>
      <c r="C20" s="510">
        <v>281</v>
      </c>
      <c r="D20" s="510">
        <v>599</v>
      </c>
      <c r="E20" s="510">
        <v>468</v>
      </c>
      <c r="F20" s="510">
        <v>302</v>
      </c>
      <c r="G20" s="510">
        <v>406</v>
      </c>
      <c r="H20" s="510">
        <v>927</v>
      </c>
      <c r="I20" s="510">
        <v>1812</v>
      </c>
      <c r="J20" s="510">
        <v>2496</v>
      </c>
      <c r="K20" s="510">
        <v>3568</v>
      </c>
      <c r="L20" s="510">
        <v>3789</v>
      </c>
      <c r="M20" s="510">
        <v>2532</v>
      </c>
      <c r="N20" s="510">
        <v>3287</v>
      </c>
      <c r="O20" s="510">
        <v>3112</v>
      </c>
      <c r="P20" s="510">
        <v>2851</v>
      </c>
      <c r="Q20" s="510">
        <v>2536</v>
      </c>
      <c r="R20" s="510">
        <v>437</v>
      </c>
      <c r="S20" s="510">
        <v>-387</v>
      </c>
    </row>
    <row r="21" spans="1:19">
      <c r="A21" s="510" t="s">
        <v>1809</v>
      </c>
      <c r="B21" s="510">
        <v>-7</v>
      </c>
      <c r="C21" s="510">
        <v>-4</v>
      </c>
      <c r="D21" s="510">
        <v>-9</v>
      </c>
      <c r="E21" s="510">
        <v>-3</v>
      </c>
      <c r="F21" s="510">
        <v>5</v>
      </c>
      <c r="G21" s="510">
        <v>14</v>
      </c>
      <c r="H21" s="510">
        <v>-6</v>
      </c>
      <c r="I21" s="510">
        <v>-2</v>
      </c>
      <c r="J21" s="510">
        <v>-4</v>
      </c>
      <c r="K21" s="510">
        <v>-9</v>
      </c>
      <c r="L21" s="510">
        <v>27</v>
      </c>
      <c r="M21" s="510">
        <v>-10</v>
      </c>
      <c r="N21" s="510">
        <v>54</v>
      </c>
      <c r="O21" s="510">
        <v>45</v>
      </c>
      <c r="P21" s="510">
        <v>25</v>
      </c>
      <c r="Q21" s="510">
        <v>12</v>
      </c>
      <c r="R21" s="510">
        <v>42</v>
      </c>
      <c r="S21" s="510">
        <v>213</v>
      </c>
    </row>
    <row r="22" spans="1:19">
      <c r="A22" s="510" t="s">
        <v>1808</v>
      </c>
      <c r="B22" s="510">
        <v>1503</v>
      </c>
      <c r="C22" s="510">
        <v>1610</v>
      </c>
      <c r="D22" s="510" t="s">
        <v>273</v>
      </c>
      <c r="E22" s="510" t="s">
        <v>273</v>
      </c>
      <c r="F22" s="510" t="s">
        <v>273</v>
      </c>
      <c r="G22" s="510" t="s">
        <v>273</v>
      </c>
      <c r="H22" s="510" t="s">
        <v>273</v>
      </c>
      <c r="I22" s="510" t="s">
        <v>273</v>
      </c>
      <c r="J22" s="510" t="s">
        <v>273</v>
      </c>
      <c r="K22" s="510" t="s">
        <v>273</v>
      </c>
      <c r="L22" s="510" t="s">
        <v>273</v>
      </c>
      <c r="M22" s="510" t="s">
        <v>273</v>
      </c>
      <c r="N22" s="510" t="s">
        <v>273</v>
      </c>
      <c r="O22" s="510" t="s">
        <v>273</v>
      </c>
      <c r="P22" s="510" t="s">
        <v>273</v>
      </c>
      <c r="Q22" s="510" t="s">
        <v>273</v>
      </c>
      <c r="R22" s="510" t="s">
        <v>273</v>
      </c>
      <c r="S22" s="510" t="s">
        <v>273</v>
      </c>
    </row>
    <row r="23" spans="1:19">
      <c r="A23" s="510" t="s">
        <v>1807</v>
      </c>
      <c r="B23" s="510">
        <v>1449</v>
      </c>
      <c r="C23" s="510">
        <v>1451</v>
      </c>
      <c r="D23" s="510" t="s">
        <v>273</v>
      </c>
      <c r="E23" s="510" t="s">
        <v>273</v>
      </c>
      <c r="F23" s="510" t="s">
        <v>273</v>
      </c>
      <c r="G23" s="510" t="s">
        <v>273</v>
      </c>
      <c r="H23" s="510" t="s">
        <v>273</v>
      </c>
      <c r="I23" s="510" t="s">
        <v>273</v>
      </c>
      <c r="J23" s="510" t="s">
        <v>273</v>
      </c>
      <c r="K23" s="510" t="s">
        <v>273</v>
      </c>
      <c r="L23" s="510" t="s">
        <v>273</v>
      </c>
      <c r="M23" s="510" t="s">
        <v>273</v>
      </c>
      <c r="N23" s="510" t="s">
        <v>273</v>
      </c>
      <c r="O23" s="510" t="s">
        <v>273</v>
      </c>
      <c r="P23" s="510" t="s">
        <v>273</v>
      </c>
      <c r="Q23" s="510" t="s">
        <v>273</v>
      </c>
      <c r="R23" s="510" t="s">
        <v>273</v>
      </c>
      <c r="S23" s="510" t="s">
        <v>273</v>
      </c>
    </row>
    <row r="24" spans="1:19">
      <c r="A24" s="510" t="s">
        <v>1806</v>
      </c>
      <c r="B24" s="510">
        <v>35</v>
      </c>
      <c r="C24" s="510">
        <v>99</v>
      </c>
      <c r="D24" s="510" t="s">
        <v>273</v>
      </c>
      <c r="E24" s="510" t="s">
        <v>273</v>
      </c>
      <c r="F24" s="510" t="s">
        <v>273</v>
      </c>
      <c r="G24" s="510" t="s">
        <v>273</v>
      </c>
      <c r="H24" s="510" t="s">
        <v>273</v>
      </c>
      <c r="I24" s="510" t="s">
        <v>273</v>
      </c>
      <c r="J24" s="510" t="s">
        <v>273</v>
      </c>
      <c r="K24" s="510" t="s">
        <v>273</v>
      </c>
      <c r="L24" s="510" t="s">
        <v>273</v>
      </c>
      <c r="M24" s="510" t="s">
        <v>273</v>
      </c>
      <c r="N24" s="510" t="s">
        <v>273</v>
      </c>
      <c r="O24" s="510" t="s">
        <v>273</v>
      </c>
      <c r="P24" s="510" t="s">
        <v>273</v>
      </c>
      <c r="Q24" s="510" t="s">
        <v>273</v>
      </c>
      <c r="R24" s="510" t="s">
        <v>273</v>
      </c>
      <c r="S24" s="510" t="s">
        <v>273</v>
      </c>
    </row>
    <row r="25" spans="1:19">
      <c r="A25" s="510" t="s">
        <v>1805</v>
      </c>
      <c r="B25" s="510">
        <v>19</v>
      </c>
      <c r="C25" s="510">
        <v>61</v>
      </c>
      <c r="D25" s="510" t="s">
        <v>273</v>
      </c>
      <c r="E25" s="510" t="s">
        <v>273</v>
      </c>
      <c r="F25" s="510" t="s">
        <v>273</v>
      </c>
      <c r="G25" s="510" t="s">
        <v>273</v>
      </c>
      <c r="H25" s="510" t="s">
        <v>273</v>
      </c>
      <c r="I25" s="510" t="s">
        <v>273</v>
      </c>
      <c r="J25" s="510" t="s">
        <v>273</v>
      </c>
      <c r="K25" s="510" t="s">
        <v>273</v>
      </c>
      <c r="L25" s="510" t="s">
        <v>273</v>
      </c>
      <c r="M25" s="510" t="s">
        <v>273</v>
      </c>
      <c r="N25" s="510" t="s">
        <v>273</v>
      </c>
      <c r="O25" s="510" t="s">
        <v>273</v>
      </c>
      <c r="P25" s="510" t="s">
        <v>273</v>
      </c>
      <c r="Q25" s="510" t="s">
        <v>273</v>
      </c>
      <c r="R25" s="510" t="s">
        <v>273</v>
      </c>
      <c r="S25" s="510" t="s">
        <v>273</v>
      </c>
    </row>
    <row r="26" spans="1:19">
      <c r="A26" s="510" t="s">
        <v>1804</v>
      </c>
      <c r="B26" s="510">
        <v>35637</v>
      </c>
      <c r="C26" s="510">
        <v>42230</v>
      </c>
      <c r="D26" s="510">
        <v>27603</v>
      </c>
      <c r="E26" s="510">
        <v>26411</v>
      </c>
      <c r="F26" s="510">
        <v>34594</v>
      </c>
      <c r="G26" s="510">
        <v>46486</v>
      </c>
      <c r="H26" s="510">
        <v>46896</v>
      </c>
      <c r="I26" s="510">
        <v>57677</v>
      </c>
      <c r="J26" s="510">
        <v>66435</v>
      </c>
      <c r="K26" s="510">
        <v>60144</v>
      </c>
      <c r="L26" s="510">
        <v>40239</v>
      </c>
      <c r="M26" s="510">
        <v>61240</v>
      </c>
      <c r="N26" s="510">
        <v>66666</v>
      </c>
      <c r="O26" s="510">
        <v>60903</v>
      </c>
      <c r="P26" s="510">
        <v>63772</v>
      </c>
      <c r="Q26" s="510">
        <v>59565</v>
      </c>
      <c r="R26" s="510">
        <v>60508</v>
      </c>
      <c r="S26" s="510">
        <v>64966</v>
      </c>
    </row>
    <row r="27" spans="1:19">
      <c r="A27" s="510" t="s">
        <v>1803</v>
      </c>
      <c r="B27" s="510">
        <v>3020</v>
      </c>
      <c r="C27" s="510">
        <v>2681</v>
      </c>
      <c r="D27" s="510">
        <v>2597</v>
      </c>
      <c r="E27" s="510">
        <v>2604</v>
      </c>
      <c r="F27" s="510">
        <v>3631</v>
      </c>
      <c r="G27" s="510">
        <v>3906</v>
      </c>
      <c r="H27" s="510">
        <v>3558</v>
      </c>
      <c r="I27" s="510">
        <v>4278</v>
      </c>
      <c r="J27" s="510">
        <v>4525</v>
      </c>
      <c r="K27" s="510">
        <v>3603</v>
      </c>
      <c r="L27" s="510">
        <v>2847</v>
      </c>
      <c r="M27" s="510">
        <v>4322</v>
      </c>
      <c r="N27" s="510">
        <v>5604</v>
      </c>
      <c r="O27" s="510">
        <v>4957</v>
      </c>
      <c r="P27" s="510">
        <v>5019</v>
      </c>
      <c r="Q27" s="510">
        <v>4737</v>
      </c>
      <c r="R27" s="510">
        <v>3657</v>
      </c>
      <c r="S27" s="510">
        <v>3999</v>
      </c>
    </row>
    <row r="28" spans="1:19">
      <c r="A28" s="510" t="s">
        <v>1802</v>
      </c>
      <c r="B28" s="510">
        <v>68</v>
      </c>
      <c r="C28" s="510">
        <v>50</v>
      </c>
      <c r="D28" s="510">
        <v>42</v>
      </c>
      <c r="E28" s="510">
        <v>87</v>
      </c>
      <c r="F28" s="510">
        <v>124</v>
      </c>
      <c r="G28" s="510">
        <v>98</v>
      </c>
      <c r="H28" s="510">
        <v>134</v>
      </c>
      <c r="I28" s="510">
        <v>137</v>
      </c>
      <c r="J28" s="510">
        <v>158</v>
      </c>
      <c r="K28" s="510">
        <v>108</v>
      </c>
      <c r="L28" s="510">
        <v>171</v>
      </c>
      <c r="M28" s="510">
        <v>143</v>
      </c>
      <c r="N28" s="510">
        <v>184</v>
      </c>
      <c r="O28" s="510">
        <v>190</v>
      </c>
      <c r="P28" s="510">
        <v>184</v>
      </c>
      <c r="Q28" s="510">
        <v>186</v>
      </c>
      <c r="R28" s="510">
        <v>105</v>
      </c>
      <c r="S28" s="510" t="s">
        <v>291</v>
      </c>
    </row>
    <row r="29" spans="1:19">
      <c r="A29" s="510" t="s">
        <v>1801</v>
      </c>
      <c r="B29" s="510">
        <v>420</v>
      </c>
      <c r="C29" s="510">
        <v>302</v>
      </c>
      <c r="D29" s="510">
        <v>484</v>
      </c>
      <c r="E29" s="510">
        <v>547</v>
      </c>
      <c r="F29" s="510">
        <v>556</v>
      </c>
      <c r="G29" s="510">
        <v>730</v>
      </c>
      <c r="H29" s="510">
        <v>675</v>
      </c>
      <c r="I29" s="510">
        <v>669</v>
      </c>
      <c r="J29" s="510">
        <v>813</v>
      </c>
      <c r="K29" s="510">
        <v>743</v>
      </c>
      <c r="L29" s="510">
        <v>796</v>
      </c>
      <c r="M29" s="510">
        <v>969</v>
      </c>
      <c r="N29" s="510">
        <v>1112</v>
      </c>
      <c r="O29" s="510">
        <v>1011</v>
      </c>
      <c r="P29" s="510">
        <v>878</v>
      </c>
      <c r="Q29" s="510">
        <v>939</v>
      </c>
      <c r="R29" s="510">
        <v>736</v>
      </c>
      <c r="S29" s="510">
        <v>1245</v>
      </c>
    </row>
    <row r="30" spans="1:19">
      <c r="A30" s="510" t="s">
        <v>1800</v>
      </c>
      <c r="B30" s="510">
        <v>229</v>
      </c>
      <c r="C30" s="510">
        <v>125</v>
      </c>
      <c r="D30" s="510">
        <v>139</v>
      </c>
      <c r="E30" s="510">
        <v>334</v>
      </c>
      <c r="F30" s="510">
        <v>198</v>
      </c>
      <c r="G30" s="510">
        <v>396</v>
      </c>
      <c r="H30" s="510">
        <v>389</v>
      </c>
      <c r="I30" s="510">
        <v>444</v>
      </c>
      <c r="J30" s="510">
        <v>620</v>
      </c>
      <c r="K30" s="510">
        <v>863</v>
      </c>
      <c r="L30" s="510">
        <v>442</v>
      </c>
      <c r="M30" s="510">
        <v>946</v>
      </c>
      <c r="N30" s="510">
        <v>1104</v>
      </c>
      <c r="O30" s="510">
        <v>1142</v>
      </c>
      <c r="P30" s="510">
        <v>1102</v>
      </c>
      <c r="Q30" s="510">
        <v>1289</v>
      </c>
      <c r="R30" s="510">
        <v>1016</v>
      </c>
      <c r="S30" s="510">
        <v>898</v>
      </c>
    </row>
    <row r="31" spans="1:19">
      <c r="A31" s="510" t="s">
        <v>1799</v>
      </c>
      <c r="B31" s="510">
        <v>665</v>
      </c>
      <c r="C31" s="510">
        <v>677</v>
      </c>
      <c r="D31" s="510">
        <v>677</v>
      </c>
      <c r="E31" s="510">
        <v>224</v>
      </c>
      <c r="F31" s="510">
        <v>682</v>
      </c>
      <c r="G31" s="510">
        <v>555</v>
      </c>
      <c r="H31" s="510">
        <v>474</v>
      </c>
      <c r="I31" s="510">
        <v>518</v>
      </c>
      <c r="J31" s="510">
        <v>536</v>
      </c>
      <c r="K31" s="510">
        <v>108</v>
      </c>
      <c r="L31" s="510">
        <v>137</v>
      </c>
      <c r="M31" s="510">
        <v>549</v>
      </c>
      <c r="N31" s="510">
        <v>461</v>
      </c>
      <c r="O31" s="510">
        <v>393</v>
      </c>
      <c r="P31" s="510">
        <v>379</v>
      </c>
      <c r="Q31" s="510">
        <v>513</v>
      </c>
      <c r="R31" s="510">
        <v>348</v>
      </c>
      <c r="S31" s="510">
        <v>281</v>
      </c>
    </row>
    <row r="32" spans="1:19">
      <c r="A32" s="510" t="s">
        <v>1798</v>
      </c>
      <c r="B32" s="510">
        <v>105</v>
      </c>
      <c r="C32" s="510">
        <v>123</v>
      </c>
      <c r="D32" s="510">
        <v>87</v>
      </c>
      <c r="E32" s="510">
        <v>151</v>
      </c>
      <c r="F32" s="510">
        <v>213</v>
      </c>
      <c r="G32" s="510">
        <v>132</v>
      </c>
      <c r="H32" s="510">
        <v>155</v>
      </c>
      <c r="I32" s="510">
        <v>116</v>
      </c>
      <c r="J32" s="510">
        <v>96</v>
      </c>
      <c r="K32" s="510">
        <v>78</v>
      </c>
      <c r="L32" s="510">
        <v>148</v>
      </c>
      <c r="M32" s="510">
        <v>212</v>
      </c>
      <c r="N32" s="510">
        <v>425</v>
      </c>
      <c r="O32" s="510">
        <v>362</v>
      </c>
      <c r="P32" s="510">
        <v>325</v>
      </c>
      <c r="Q32" s="510">
        <v>112</v>
      </c>
      <c r="R32" s="510">
        <v>159</v>
      </c>
      <c r="S32" s="510">
        <v>309</v>
      </c>
    </row>
    <row r="33" spans="1:19">
      <c r="A33" s="510" t="s">
        <v>1797</v>
      </c>
      <c r="B33" s="510">
        <v>234</v>
      </c>
      <c r="C33" s="510">
        <v>149</v>
      </c>
      <c r="D33" s="510">
        <v>95</v>
      </c>
      <c r="E33" s="510">
        <v>158</v>
      </c>
      <c r="F33" s="510">
        <v>144</v>
      </c>
      <c r="G33" s="510">
        <v>216</v>
      </c>
      <c r="H33" s="510">
        <v>211</v>
      </c>
      <c r="I33" s="510">
        <v>51</v>
      </c>
      <c r="J33" s="510">
        <v>164</v>
      </c>
      <c r="K33" s="510">
        <v>187</v>
      </c>
      <c r="L33" s="510">
        <v>110</v>
      </c>
      <c r="M33" s="510">
        <v>163</v>
      </c>
      <c r="N33" s="510">
        <v>8</v>
      </c>
      <c r="O33" s="510">
        <v>14</v>
      </c>
      <c r="P33" s="510">
        <v>295</v>
      </c>
      <c r="Q33" s="510">
        <v>502</v>
      </c>
      <c r="R33" s="510">
        <v>273</v>
      </c>
      <c r="S33" s="510">
        <v>145</v>
      </c>
    </row>
    <row r="34" spans="1:19">
      <c r="A34" s="510" t="s">
        <v>1796</v>
      </c>
      <c r="B34" s="510">
        <v>-5</v>
      </c>
      <c r="C34" s="510">
        <v>-12</v>
      </c>
      <c r="D34" s="510">
        <v>57</v>
      </c>
      <c r="E34" s="510">
        <v>46</v>
      </c>
      <c r="F34" s="510">
        <v>39</v>
      </c>
      <c r="G34" s="510">
        <v>-1</v>
      </c>
      <c r="H34" s="510">
        <v>18</v>
      </c>
      <c r="I34" s="510" t="s">
        <v>306</v>
      </c>
      <c r="J34" s="510" t="s">
        <v>306</v>
      </c>
      <c r="K34" s="510">
        <v>3</v>
      </c>
      <c r="L34" s="510">
        <v>-1</v>
      </c>
      <c r="M34" s="510">
        <v>-1</v>
      </c>
      <c r="N34" s="510" t="s">
        <v>306</v>
      </c>
      <c r="O34" s="510" t="s">
        <v>306</v>
      </c>
      <c r="P34" s="510" t="s">
        <v>306</v>
      </c>
      <c r="Q34" s="510" t="s">
        <v>306</v>
      </c>
      <c r="R34" s="510">
        <v>4</v>
      </c>
      <c r="S34" s="510" t="s">
        <v>291</v>
      </c>
    </row>
    <row r="35" spans="1:19">
      <c r="A35" s="510" t="s">
        <v>1795</v>
      </c>
      <c r="B35" s="510">
        <v>113</v>
      </c>
      <c r="C35" s="510">
        <v>149</v>
      </c>
      <c r="D35" s="510">
        <v>221</v>
      </c>
      <c r="E35" s="510">
        <v>273</v>
      </c>
      <c r="F35" s="510">
        <v>215</v>
      </c>
      <c r="G35" s="510">
        <v>81</v>
      </c>
      <c r="H35" s="510">
        <v>68</v>
      </c>
      <c r="I35" s="510">
        <v>212</v>
      </c>
      <c r="J35" s="510">
        <v>294</v>
      </c>
      <c r="K35" s="510">
        <v>112</v>
      </c>
      <c r="L35" s="510">
        <v>116</v>
      </c>
      <c r="M35" s="510">
        <v>119</v>
      </c>
      <c r="N35" s="510">
        <v>159</v>
      </c>
      <c r="O35" s="510">
        <v>274</v>
      </c>
      <c r="P35" s="510">
        <v>250</v>
      </c>
      <c r="Q35" s="510">
        <v>68</v>
      </c>
      <c r="R35" s="510">
        <v>78</v>
      </c>
      <c r="S35" s="510">
        <v>183</v>
      </c>
    </row>
    <row r="36" spans="1:19">
      <c r="A36" s="510" t="s">
        <v>1794</v>
      </c>
      <c r="B36" s="510">
        <v>1191</v>
      </c>
      <c r="C36" s="510">
        <v>1118</v>
      </c>
      <c r="D36" s="510">
        <v>794</v>
      </c>
      <c r="E36" s="510">
        <v>784</v>
      </c>
      <c r="F36" s="510">
        <v>1462</v>
      </c>
      <c r="G36" s="510">
        <v>1699</v>
      </c>
      <c r="H36" s="510">
        <v>1434</v>
      </c>
      <c r="I36" s="510">
        <v>2131</v>
      </c>
      <c r="J36" s="510">
        <v>1843</v>
      </c>
      <c r="K36" s="510">
        <v>1401</v>
      </c>
      <c r="L36" s="510">
        <v>927</v>
      </c>
      <c r="M36" s="510">
        <v>1223</v>
      </c>
      <c r="N36" s="510">
        <v>2151</v>
      </c>
      <c r="O36" s="510">
        <v>1571</v>
      </c>
      <c r="P36" s="510">
        <v>1608</v>
      </c>
      <c r="Q36" s="510">
        <v>1128</v>
      </c>
      <c r="R36" s="510">
        <v>937</v>
      </c>
      <c r="S36" s="510">
        <v>851</v>
      </c>
    </row>
    <row r="37" spans="1:19">
      <c r="A37" s="510" t="s">
        <v>1793</v>
      </c>
      <c r="B37" s="510">
        <v>2333</v>
      </c>
      <c r="C37" s="510">
        <v>2432</v>
      </c>
      <c r="D37" s="510" t="s">
        <v>273</v>
      </c>
      <c r="E37" s="510" t="s">
        <v>273</v>
      </c>
      <c r="F37" s="510" t="s">
        <v>273</v>
      </c>
      <c r="G37" s="510" t="s">
        <v>273</v>
      </c>
      <c r="H37" s="510" t="s">
        <v>273</v>
      </c>
      <c r="I37" s="510" t="s">
        <v>273</v>
      </c>
      <c r="J37" s="510" t="s">
        <v>273</v>
      </c>
      <c r="K37" s="510" t="s">
        <v>273</v>
      </c>
      <c r="L37" s="510" t="s">
        <v>273</v>
      </c>
      <c r="M37" s="510" t="s">
        <v>273</v>
      </c>
      <c r="N37" s="510" t="s">
        <v>273</v>
      </c>
      <c r="O37" s="510" t="s">
        <v>273</v>
      </c>
      <c r="P37" s="510" t="s">
        <v>273</v>
      </c>
      <c r="Q37" s="510" t="s">
        <v>273</v>
      </c>
      <c r="R37" s="510" t="s">
        <v>273</v>
      </c>
      <c r="S37" s="510" t="s">
        <v>273</v>
      </c>
    </row>
    <row r="38" spans="1:19">
      <c r="A38" s="510" t="s">
        <v>1792</v>
      </c>
      <c r="B38" s="510" t="s">
        <v>291</v>
      </c>
      <c r="C38" s="510" t="s">
        <v>291</v>
      </c>
      <c r="D38" s="510" t="s">
        <v>273</v>
      </c>
      <c r="E38" s="510" t="s">
        <v>273</v>
      </c>
      <c r="F38" s="510" t="s">
        <v>273</v>
      </c>
      <c r="G38" s="510" t="s">
        <v>273</v>
      </c>
      <c r="H38" s="510" t="s">
        <v>273</v>
      </c>
      <c r="I38" s="510" t="s">
        <v>273</v>
      </c>
      <c r="J38" s="510" t="s">
        <v>273</v>
      </c>
      <c r="K38" s="510" t="s">
        <v>273</v>
      </c>
      <c r="L38" s="510" t="s">
        <v>273</v>
      </c>
      <c r="M38" s="510" t="s">
        <v>273</v>
      </c>
      <c r="N38" s="510" t="s">
        <v>273</v>
      </c>
      <c r="O38" s="510" t="s">
        <v>273</v>
      </c>
      <c r="P38" s="510" t="s">
        <v>273</v>
      </c>
      <c r="Q38" s="510" t="s">
        <v>273</v>
      </c>
      <c r="R38" s="510" t="s">
        <v>273</v>
      </c>
      <c r="S38" s="510" t="s">
        <v>273</v>
      </c>
    </row>
    <row r="39" spans="1:19">
      <c r="A39" s="510" t="s">
        <v>1791</v>
      </c>
      <c r="B39" s="510" t="s">
        <v>291</v>
      </c>
      <c r="C39" s="510" t="s">
        <v>291</v>
      </c>
      <c r="D39" s="510" t="s">
        <v>273</v>
      </c>
      <c r="E39" s="510" t="s">
        <v>273</v>
      </c>
      <c r="F39" s="510" t="s">
        <v>273</v>
      </c>
      <c r="G39" s="510" t="s">
        <v>273</v>
      </c>
      <c r="H39" s="510" t="s">
        <v>273</v>
      </c>
      <c r="I39" s="510" t="s">
        <v>273</v>
      </c>
      <c r="J39" s="510" t="s">
        <v>273</v>
      </c>
      <c r="K39" s="510" t="s">
        <v>273</v>
      </c>
      <c r="L39" s="510" t="s">
        <v>273</v>
      </c>
      <c r="M39" s="510" t="s">
        <v>273</v>
      </c>
      <c r="N39" s="510" t="s">
        <v>273</v>
      </c>
      <c r="O39" s="510" t="s">
        <v>273</v>
      </c>
      <c r="P39" s="510" t="s">
        <v>273</v>
      </c>
      <c r="Q39" s="510" t="s">
        <v>273</v>
      </c>
      <c r="R39" s="510" t="s">
        <v>273</v>
      </c>
      <c r="S39" s="510" t="s">
        <v>273</v>
      </c>
    </row>
    <row r="40" spans="1:19">
      <c r="A40" s="510" t="s">
        <v>1790</v>
      </c>
      <c r="B40" s="510">
        <v>413</v>
      </c>
      <c r="C40" s="510">
        <v>402</v>
      </c>
      <c r="D40" s="510" t="s">
        <v>273</v>
      </c>
      <c r="E40" s="510" t="s">
        <v>273</v>
      </c>
      <c r="F40" s="510" t="s">
        <v>273</v>
      </c>
      <c r="G40" s="510" t="s">
        <v>273</v>
      </c>
      <c r="H40" s="510" t="s">
        <v>273</v>
      </c>
      <c r="I40" s="510" t="s">
        <v>273</v>
      </c>
      <c r="J40" s="510" t="s">
        <v>273</v>
      </c>
      <c r="K40" s="510" t="s">
        <v>273</v>
      </c>
      <c r="L40" s="510" t="s">
        <v>273</v>
      </c>
      <c r="M40" s="510" t="s">
        <v>273</v>
      </c>
      <c r="N40" s="510" t="s">
        <v>273</v>
      </c>
      <c r="O40" s="510" t="s">
        <v>273</v>
      </c>
      <c r="P40" s="510" t="s">
        <v>273</v>
      </c>
      <c r="Q40" s="510" t="s">
        <v>273</v>
      </c>
      <c r="R40" s="510" t="s">
        <v>273</v>
      </c>
      <c r="S40" s="510" t="s">
        <v>273</v>
      </c>
    </row>
    <row r="41" spans="1:19">
      <c r="A41" s="510" t="s">
        <v>1789</v>
      </c>
      <c r="B41" s="510">
        <v>35</v>
      </c>
      <c r="C41" s="510">
        <v>47</v>
      </c>
      <c r="D41" s="510" t="s">
        <v>273</v>
      </c>
      <c r="E41" s="510" t="s">
        <v>273</v>
      </c>
      <c r="F41" s="510" t="s">
        <v>273</v>
      </c>
      <c r="G41" s="510" t="s">
        <v>273</v>
      </c>
      <c r="H41" s="510" t="s">
        <v>273</v>
      </c>
      <c r="I41" s="510" t="s">
        <v>273</v>
      </c>
      <c r="J41" s="510" t="s">
        <v>273</v>
      </c>
      <c r="K41" s="510" t="s">
        <v>273</v>
      </c>
      <c r="L41" s="510" t="s">
        <v>273</v>
      </c>
      <c r="M41" s="510" t="s">
        <v>273</v>
      </c>
      <c r="N41" s="510" t="s">
        <v>273</v>
      </c>
      <c r="O41" s="510" t="s">
        <v>273</v>
      </c>
      <c r="P41" s="510" t="s">
        <v>273</v>
      </c>
      <c r="Q41" s="510" t="s">
        <v>273</v>
      </c>
      <c r="R41" s="510" t="s">
        <v>273</v>
      </c>
      <c r="S41" s="510" t="s">
        <v>273</v>
      </c>
    </row>
    <row r="42" spans="1:19">
      <c r="A42" s="510" t="s">
        <v>1788</v>
      </c>
      <c r="B42" s="510">
        <v>100</v>
      </c>
      <c r="C42" s="510">
        <v>72</v>
      </c>
      <c r="D42" s="510" t="s">
        <v>273</v>
      </c>
      <c r="E42" s="510" t="s">
        <v>273</v>
      </c>
      <c r="F42" s="510" t="s">
        <v>273</v>
      </c>
      <c r="G42" s="510" t="s">
        <v>273</v>
      </c>
      <c r="H42" s="510" t="s">
        <v>273</v>
      </c>
      <c r="I42" s="510" t="s">
        <v>273</v>
      </c>
      <c r="J42" s="510" t="s">
        <v>273</v>
      </c>
      <c r="K42" s="510" t="s">
        <v>273</v>
      </c>
      <c r="L42" s="510" t="s">
        <v>273</v>
      </c>
      <c r="M42" s="510" t="s">
        <v>273</v>
      </c>
      <c r="N42" s="510" t="s">
        <v>273</v>
      </c>
      <c r="O42" s="510" t="s">
        <v>273</v>
      </c>
      <c r="P42" s="510" t="s">
        <v>273</v>
      </c>
      <c r="Q42" s="510" t="s">
        <v>273</v>
      </c>
      <c r="R42" s="510" t="s">
        <v>273</v>
      </c>
      <c r="S42" s="510" t="s">
        <v>273</v>
      </c>
    </row>
    <row r="43" spans="1:19">
      <c r="A43" s="510" t="s">
        <v>1787</v>
      </c>
      <c r="B43" s="510">
        <v>259</v>
      </c>
      <c r="C43" s="510">
        <v>265</v>
      </c>
      <c r="D43" s="510" t="s">
        <v>273</v>
      </c>
      <c r="E43" s="510" t="s">
        <v>273</v>
      </c>
      <c r="F43" s="510" t="s">
        <v>273</v>
      </c>
      <c r="G43" s="510" t="s">
        <v>273</v>
      </c>
      <c r="H43" s="510" t="s">
        <v>273</v>
      </c>
      <c r="I43" s="510" t="s">
        <v>273</v>
      </c>
      <c r="J43" s="510" t="s">
        <v>273</v>
      </c>
      <c r="K43" s="510" t="s">
        <v>273</v>
      </c>
      <c r="L43" s="510" t="s">
        <v>273</v>
      </c>
      <c r="M43" s="510" t="s">
        <v>273</v>
      </c>
      <c r="N43" s="510" t="s">
        <v>273</v>
      </c>
      <c r="O43" s="510" t="s">
        <v>273</v>
      </c>
      <c r="P43" s="510" t="s">
        <v>273</v>
      </c>
      <c r="Q43" s="510" t="s">
        <v>273</v>
      </c>
      <c r="R43" s="510" t="s">
        <v>273</v>
      </c>
      <c r="S43" s="510" t="s">
        <v>273</v>
      </c>
    </row>
    <row r="44" spans="1:19">
      <c r="A44" s="510" t="s">
        <v>1786</v>
      </c>
      <c r="B44" s="510">
        <v>19</v>
      </c>
      <c r="C44" s="510">
        <v>19</v>
      </c>
      <c r="D44" s="510" t="s">
        <v>273</v>
      </c>
      <c r="E44" s="510" t="s">
        <v>273</v>
      </c>
      <c r="F44" s="510" t="s">
        <v>273</v>
      </c>
      <c r="G44" s="510" t="s">
        <v>273</v>
      </c>
      <c r="H44" s="510" t="s">
        <v>273</v>
      </c>
      <c r="I44" s="510" t="s">
        <v>273</v>
      </c>
      <c r="J44" s="510" t="s">
        <v>273</v>
      </c>
      <c r="K44" s="510" t="s">
        <v>273</v>
      </c>
      <c r="L44" s="510" t="s">
        <v>273</v>
      </c>
      <c r="M44" s="510" t="s">
        <v>273</v>
      </c>
      <c r="N44" s="510" t="s">
        <v>273</v>
      </c>
      <c r="O44" s="510" t="s">
        <v>273</v>
      </c>
      <c r="P44" s="510" t="s">
        <v>273</v>
      </c>
      <c r="Q44" s="510" t="s">
        <v>273</v>
      </c>
      <c r="R44" s="510" t="s">
        <v>273</v>
      </c>
      <c r="S44" s="510" t="s">
        <v>273</v>
      </c>
    </row>
    <row r="45" spans="1:19">
      <c r="A45" s="510" t="s">
        <v>1785</v>
      </c>
      <c r="B45" s="510">
        <v>266</v>
      </c>
      <c r="C45" s="510">
        <v>387</v>
      </c>
      <c r="D45" s="510" t="s">
        <v>273</v>
      </c>
      <c r="E45" s="510" t="s">
        <v>273</v>
      </c>
      <c r="F45" s="510" t="s">
        <v>273</v>
      </c>
      <c r="G45" s="510" t="s">
        <v>273</v>
      </c>
      <c r="H45" s="510" t="s">
        <v>273</v>
      </c>
      <c r="I45" s="510" t="s">
        <v>273</v>
      </c>
      <c r="J45" s="510" t="s">
        <v>273</v>
      </c>
      <c r="K45" s="510" t="s">
        <v>273</v>
      </c>
      <c r="L45" s="510" t="s">
        <v>273</v>
      </c>
      <c r="M45" s="510" t="s">
        <v>273</v>
      </c>
      <c r="N45" s="510" t="s">
        <v>273</v>
      </c>
      <c r="O45" s="510" t="s">
        <v>273</v>
      </c>
      <c r="P45" s="510" t="s">
        <v>273</v>
      </c>
      <c r="Q45" s="510" t="s">
        <v>273</v>
      </c>
      <c r="R45" s="510" t="s">
        <v>273</v>
      </c>
      <c r="S45" s="510" t="s">
        <v>273</v>
      </c>
    </row>
    <row r="46" spans="1:19">
      <c r="A46" s="510" t="s">
        <v>1784</v>
      </c>
      <c r="B46" s="510">
        <v>883</v>
      </c>
      <c r="C46" s="510">
        <v>1118</v>
      </c>
      <c r="D46" s="510" t="s">
        <v>273</v>
      </c>
      <c r="E46" s="510" t="s">
        <v>273</v>
      </c>
      <c r="F46" s="510" t="s">
        <v>273</v>
      </c>
      <c r="G46" s="510" t="s">
        <v>273</v>
      </c>
      <c r="H46" s="510" t="s">
        <v>273</v>
      </c>
      <c r="I46" s="510" t="s">
        <v>273</v>
      </c>
      <c r="J46" s="510" t="s">
        <v>273</v>
      </c>
      <c r="K46" s="510" t="s">
        <v>273</v>
      </c>
      <c r="L46" s="510" t="s">
        <v>273</v>
      </c>
      <c r="M46" s="510" t="s">
        <v>273</v>
      </c>
      <c r="N46" s="510" t="s">
        <v>273</v>
      </c>
      <c r="O46" s="510" t="s">
        <v>273</v>
      </c>
      <c r="P46" s="510" t="s">
        <v>273</v>
      </c>
      <c r="Q46" s="510" t="s">
        <v>273</v>
      </c>
      <c r="R46" s="510" t="s">
        <v>273</v>
      </c>
      <c r="S46" s="510" t="s">
        <v>273</v>
      </c>
    </row>
    <row r="47" spans="1:19">
      <c r="A47" s="510" t="s">
        <v>1783</v>
      </c>
      <c r="B47" s="510">
        <v>250</v>
      </c>
      <c r="C47" s="510">
        <v>399</v>
      </c>
      <c r="D47" s="510" t="s">
        <v>273</v>
      </c>
      <c r="E47" s="510" t="s">
        <v>273</v>
      </c>
      <c r="F47" s="510" t="s">
        <v>273</v>
      </c>
      <c r="G47" s="510" t="s">
        <v>273</v>
      </c>
      <c r="H47" s="510" t="s">
        <v>273</v>
      </c>
      <c r="I47" s="510" t="s">
        <v>273</v>
      </c>
      <c r="J47" s="510" t="s">
        <v>273</v>
      </c>
      <c r="K47" s="510" t="s">
        <v>273</v>
      </c>
      <c r="L47" s="510" t="s">
        <v>273</v>
      </c>
      <c r="M47" s="510" t="s">
        <v>273</v>
      </c>
      <c r="N47" s="510" t="s">
        <v>273</v>
      </c>
      <c r="O47" s="510" t="s">
        <v>273</v>
      </c>
      <c r="P47" s="510" t="s">
        <v>273</v>
      </c>
      <c r="Q47" s="510" t="s">
        <v>273</v>
      </c>
      <c r="R47" s="510" t="s">
        <v>273</v>
      </c>
      <c r="S47" s="510" t="s">
        <v>273</v>
      </c>
    </row>
    <row r="48" spans="1:19">
      <c r="A48" s="510" t="s">
        <v>1782</v>
      </c>
      <c r="B48" s="510">
        <v>632</v>
      </c>
      <c r="C48" s="510">
        <v>719</v>
      </c>
      <c r="D48" s="510" t="s">
        <v>273</v>
      </c>
      <c r="E48" s="510" t="s">
        <v>273</v>
      </c>
      <c r="F48" s="510" t="s">
        <v>273</v>
      </c>
      <c r="G48" s="510" t="s">
        <v>273</v>
      </c>
      <c r="H48" s="510" t="s">
        <v>273</v>
      </c>
      <c r="I48" s="510" t="s">
        <v>273</v>
      </c>
      <c r="J48" s="510" t="s">
        <v>273</v>
      </c>
      <c r="K48" s="510" t="s">
        <v>273</v>
      </c>
      <c r="L48" s="510" t="s">
        <v>273</v>
      </c>
      <c r="M48" s="510" t="s">
        <v>273</v>
      </c>
      <c r="N48" s="510" t="s">
        <v>273</v>
      </c>
      <c r="O48" s="510" t="s">
        <v>273</v>
      </c>
      <c r="P48" s="510" t="s">
        <v>273</v>
      </c>
      <c r="Q48" s="510" t="s">
        <v>273</v>
      </c>
      <c r="R48" s="510" t="s">
        <v>273</v>
      </c>
      <c r="S48" s="510" t="s">
        <v>273</v>
      </c>
    </row>
    <row r="49" spans="1:19">
      <c r="A49" s="510" t="s">
        <v>1781</v>
      </c>
      <c r="B49" s="510">
        <v>118</v>
      </c>
      <c r="C49" s="510">
        <v>110</v>
      </c>
      <c r="D49" s="510" t="s">
        <v>273</v>
      </c>
      <c r="E49" s="510" t="s">
        <v>273</v>
      </c>
      <c r="F49" s="510" t="s">
        <v>273</v>
      </c>
      <c r="G49" s="510" t="s">
        <v>273</v>
      </c>
      <c r="H49" s="510" t="s">
        <v>273</v>
      </c>
      <c r="I49" s="510" t="s">
        <v>273</v>
      </c>
      <c r="J49" s="510" t="s">
        <v>273</v>
      </c>
      <c r="K49" s="510" t="s">
        <v>273</v>
      </c>
      <c r="L49" s="510" t="s">
        <v>273</v>
      </c>
      <c r="M49" s="510" t="s">
        <v>273</v>
      </c>
      <c r="N49" s="510" t="s">
        <v>273</v>
      </c>
      <c r="O49" s="510" t="s">
        <v>273</v>
      </c>
      <c r="P49" s="510" t="s">
        <v>273</v>
      </c>
      <c r="Q49" s="510" t="s">
        <v>273</v>
      </c>
      <c r="R49" s="510" t="s">
        <v>273</v>
      </c>
      <c r="S49" s="510" t="s">
        <v>273</v>
      </c>
    </row>
    <row r="50" spans="1:19">
      <c r="A50" s="510" t="s">
        <v>1780</v>
      </c>
      <c r="B50" s="510">
        <v>1108</v>
      </c>
      <c r="C50" s="510">
        <v>2536</v>
      </c>
      <c r="D50" s="510" t="s">
        <v>273</v>
      </c>
      <c r="E50" s="510" t="s">
        <v>273</v>
      </c>
      <c r="F50" s="510" t="s">
        <v>273</v>
      </c>
      <c r="G50" s="510" t="s">
        <v>273</v>
      </c>
      <c r="H50" s="510" t="s">
        <v>273</v>
      </c>
      <c r="I50" s="510" t="s">
        <v>273</v>
      </c>
      <c r="J50" s="510" t="s">
        <v>273</v>
      </c>
      <c r="K50" s="510" t="s">
        <v>273</v>
      </c>
      <c r="L50" s="510" t="s">
        <v>273</v>
      </c>
      <c r="M50" s="510" t="s">
        <v>273</v>
      </c>
      <c r="N50" s="510" t="s">
        <v>273</v>
      </c>
      <c r="O50" s="510" t="s">
        <v>273</v>
      </c>
      <c r="P50" s="510" t="s">
        <v>273</v>
      </c>
      <c r="Q50" s="510" t="s">
        <v>273</v>
      </c>
      <c r="R50" s="510" t="s">
        <v>273</v>
      </c>
      <c r="S50" s="510" t="s">
        <v>273</v>
      </c>
    </row>
    <row r="51" spans="1:19">
      <c r="A51" s="510" t="s">
        <v>1779</v>
      </c>
      <c r="B51" s="510">
        <v>468</v>
      </c>
      <c r="C51" s="510" t="s">
        <v>291</v>
      </c>
      <c r="D51" s="510" t="s">
        <v>273</v>
      </c>
      <c r="E51" s="510" t="s">
        <v>273</v>
      </c>
      <c r="F51" s="510" t="s">
        <v>273</v>
      </c>
      <c r="G51" s="510" t="s">
        <v>273</v>
      </c>
      <c r="H51" s="510" t="s">
        <v>273</v>
      </c>
      <c r="I51" s="510" t="s">
        <v>273</v>
      </c>
      <c r="J51" s="510" t="s">
        <v>273</v>
      </c>
      <c r="K51" s="510" t="s">
        <v>273</v>
      </c>
      <c r="L51" s="510" t="s">
        <v>273</v>
      </c>
      <c r="M51" s="510" t="s">
        <v>273</v>
      </c>
      <c r="N51" s="510" t="s">
        <v>273</v>
      </c>
      <c r="O51" s="510" t="s">
        <v>273</v>
      </c>
      <c r="P51" s="510" t="s">
        <v>273</v>
      </c>
      <c r="Q51" s="510" t="s">
        <v>273</v>
      </c>
      <c r="R51" s="510" t="s">
        <v>273</v>
      </c>
      <c r="S51" s="510" t="s">
        <v>273</v>
      </c>
    </row>
    <row r="52" spans="1:19">
      <c r="A52" s="510" t="s">
        <v>1778</v>
      </c>
      <c r="B52" s="510">
        <v>630</v>
      </c>
      <c r="C52" s="510" t="s">
        <v>291</v>
      </c>
      <c r="D52" s="510" t="s">
        <v>273</v>
      </c>
      <c r="E52" s="510" t="s">
        <v>273</v>
      </c>
      <c r="F52" s="510" t="s">
        <v>273</v>
      </c>
      <c r="G52" s="510" t="s">
        <v>273</v>
      </c>
      <c r="H52" s="510" t="s">
        <v>273</v>
      </c>
      <c r="I52" s="510" t="s">
        <v>273</v>
      </c>
      <c r="J52" s="510" t="s">
        <v>273</v>
      </c>
      <c r="K52" s="510" t="s">
        <v>273</v>
      </c>
      <c r="L52" s="510" t="s">
        <v>273</v>
      </c>
      <c r="M52" s="510" t="s">
        <v>273</v>
      </c>
      <c r="N52" s="510" t="s">
        <v>273</v>
      </c>
      <c r="O52" s="510" t="s">
        <v>273</v>
      </c>
      <c r="P52" s="510" t="s">
        <v>273</v>
      </c>
      <c r="Q52" s="510" t="s">
        <v>273</v>
      </c>
      <c r="R52" s="510" t="s">
        <v>273</v>
      </c>
      <c r="S52" s="510" t="s">
        <v>273</v>
      </c>
    </row>
    <row r="53" spans="1:19">
      <c r="A53" s="510" t="s">
        <v>1777</v>
      </c>
      <c r="B53" s="510">
        <v>10</v>
      </c>
      <c r="C53" s="510">
        <v>15</v>
      </c>
      <c r="D53" s="510" t="s">
        <v>273</v>
      </c>
      <c r="E53" s="510" t="s">
        <v>273</v>
      </c>
      <c r="F53" s="510" t="s">
        <v>273</v>
      </c>
      <c r="G53" s="510" t="s">
        <v>273</v>
      </c>
      <c r="H53" s="510" t="s">
        <v>273</v>
      </c>
      <c r="I53" s="510" t="s">
        <v>273</v>
      </c>
      <c r="J53" s="510" t="s">
        <v>273</v>
      </c>
      <c r="K53" s="510" t="s">
        <v>273</v>
      </c>
      <c r="L53" s="510" t="s">
        <v>273</v>
      </c>
      <c r="M53" s="510" t="s">
        <v>273</v>
      </c>
      <c r="N53" s="510" t="s">
        <v>273</v>
      </c>
      <c r="O53" s="510" t="s">
        <v>273</v>
      </c>
      <c r="P53" s="510" t="s">
        <v>273</v>
      </c>
      <c r="Q53" s="510" t="s">
        <v>273</v>
      </c>
      <c r="R53" s="510" t="s">
        <v>273</v>
      </c>
      <c r="S53" s="510" t="s">
        <v>273</v>
      </c>
    </row>
    <row r="54" spans="1:19">
      <c r="A54" s="510" t="s">
        <v>1776</v>
      </c>
      <c r="B54" s="510">
        <v>9026</v>
      </c>
      <c r="C54" s="510">
        <v>11552</v>
      </c>
      <c r="D54" s="510">
        <v>7161</v>
      </c>
      <c r="E54" s="510">
        <v>8632</v>
      </c>
      <c r="F54" s="510">
        <v>9921</v>
      </c>
      <c r="G54" s="510">
        <v>12083</v>
      </c>
      <c r="H54" s="510">
        <v>13056</v>
      </c>
      <c r="I54" s="510">
        <v>12523</v>
      </c>
      <c r="J54" s="510">
        <v>14154</v>
      </c>
      <c r="K54" s="510">
        <v>14475</v>
      </c>
      <c r="L54" s="510">
        <v>12366</v>
      </c>
      <c r="M54" s="510">
        <v>14088</v>
      </c>
      <c r="N54" s="510">
        <v>15622</v>
      </c>
      <c r="O54" s="510">
        <v>15172</v>
      </c>
      <c r="P54" s="510">
        <v>16254</v>
      </c>
      <c r="Q54" s="510">
        <v>15983</v>
      </c>
      <c r="R54" s="510">
        <v>14497</v>
      </c>
      <c r="S54" s="510">
        <v>16934</v>
      </c>
    </row>
    <row r="55" spans="1:19">
      <c r="A55" s="510" t="s">
        <v>1775</v>
      </c>
      <c r="B55" s="510">
        <v>1036</v>
      </c>
      <c r="C55" s="510">
        <v>857</v>
      </c>
      <c r="D55" s="510">
        <v>944</v>
      </c>
      <c r="E55" s="510">
        <v>1141</v>
      </c>
      <c r="F55" s="510">
        <v>1296</v>
      </c>
      <c r="G55" s="510">
        <v>2344</v>
      </c>
      <c r="H55" s="510">
        <v>2918</v>
      </c>
      <c r="I55" s="510">
        <v>2413</v>
      </c>
      <c r="J55" s="510">
        <v>2625</v>
      </c>
      <c r="K55" s="510">
        <v>1975</v>
      </c>
      <c r="L55" s="510">
        <v>1867</v>
      </c>
      <c r="M55" s="510">
        <v>2177</v>
      </c>
      <c r="N55" s="510">
        <v>1807</v>
      </c>
      <c r="O55" s="510">
        <v>2164</v>
      </c>
      <c r="P55" s="510">
        <v>2503</v>
      </c>
      <c r="Q55" s="510">
        <v>1732</v>
      </c>
      <c r="R55" s="510">
        <v>1532</v>
      </c>
      <c r="S55" s="510">
        <v>2020</v>
      </c>
    </row>
    <row r="56" spans="1:19">
      <c r="A56" s="510" t="s">
        <v>1774</v>
      </c>
      <c r="B56" s="510">
        <v>603</v>
      </c>
      <c r="C56" s="510">
        <v>811</v>
      </c>
      <c r="D56" s="510">
        <v>231</v>
      </c>
      <c r="E56" s="510">
        <v>467</v>
      </c>
      <c r="F56" s="510">
        <v>511</v>
      </c>
      <c r="G56" s="510">
        <v>863</v>
      </c>
      <c r="H56" s="510">
        <v>1457</v>
      </c>
      <c r="I56" s="510">
        <v>733</v>
      </c>
      <c r="J56" s="510">
        <v>1073</v>
      </c>
      <c r="K56" s="510">
        <v>731</v>
      </c>
      <c r="L56" s="510">
        <v>635</v>
      </c>
      <c r="M56" s="510">
        <v>1142</v>
      </c>
      <c r="N56" s="510">
        <v>1122</v>
      </c>
      <c r="O56" s="510">
        <v>285</v>
      </c>
      <c r="P56" s="510">
        <v>193</v>
      </c>
      <c r="Q56" s="510">
        <v>476</v>
      </c>
      <c r="R56" s="510">
        <v>283</v>
      </c>
      <c r="S56" s="510">
        <v>541</v>
      </c>
    </row>
    <row r="57" spans="1:19">
      <c r="A57" s="510" t="s">
        <v>1773</v>
      </c>
      <c r="B57" s="510">
        <v>4182</v>
      </c>
      <c r="C57" s="510">
        <v>6189</v>
      </c>
      <c r="D57" s="510">
        <v>3396</v>
      </c>
      <c r="E57" s="510">
        <v>4347</v>
      </c>
      <c r="F57" s="510">
        <v>5060</v>
      </c>
      <c r="G57" s="510">
        <v>4856</v>
      </c>
      <c r="H57" s="510">
        <v>4432</v>
      </c>
      <c r="I57" s="510">
        <v>5267</v>
      </c>
      <c r="J57" s="510">
        <v>4973</v>
      </c>
      <c r="K57" s="510">
        <v>5055</v>
      </c>
      <c r="L57" s="510">
        <v>4566</v>
      </c>
      <c r="M57" s="510">
        <v>6171</v>
      </c>
      <c r="N57" s="510">
        <v>6184</v>
      </c>
      <c r="O57" s="510">
        <v>6677</v>
      </c>
      <c r="P57" s="510">
        <v>7548</v>
      </c>
      <c r="Q57" s="510">
        <v>8142</v>
      </c>
      <c r="R57" s="510">
        <v>8026</v>
      </c>
      <c r="S57" s="510">
        <v>9825</v>
      </c>
    </row>
    <row r="58" spans="1:19">
      <c r="A58" s="510" t="s">
        <v>1772</v>
      </c>
      <c r="B58" s="510">
        <v>1367</v>
      </c>
      <c r="C58" s="510">
        <v>1642</v>
      </c>
      <c r="D58" s="510">
        <v>1298</v>
      </c>
      <c r="E58" s="510">
        <v>1453</v>
      </c>
      <c r="F58" s="510">
        <v>1748</v>
      </c>
      <c r="G58" s="510">
        <v>2141</v>
      </c>
      <c r="H58" s="510">
        <v>1995</v>
      </c>
      <c r="I58" s="510">
        <v>1971</v>
      </c>
      <c r="J58" s="510">
        <v>2744</v>
      </c>
      <c r="K58" s="510">
        <v>3368</v>
      </c>
      <c r="L58" s="510">
        <v>3763</v>
      </c>
      <c r="M58" s="510">
        <v>2490</v>
      </c>
      <c r="N58" s="510">
        <v>3650</v>
      </c>
      <c r="O58" s="510">
        <v>3527</v>
      </c>
      <c r="P58" s="510">
        <v>3805</v>
      </c>
      <c r="Q58" s="510">
        <v>3855</v>
      </c>
      <c r="R58" s="510">
        <v>2733</v>
      </c>
      <c r="S58" s="510">
        <v>2645</v>
      </c>
    </row>
    <row r="59" spans="1:19">
      <c r="A59" s="510" t="s">
        <v>67</v>
      </c>
      <c r="B59" s="510">
        <v>1838</v>
      </c>
      <c r="C59" s="510">
        <v>2053</v>
      </c>
      <c r="D59" s="510">
        <v>1292</v>
      </c>
      <c r="E59" s="510">
        <v>1224</v>
      </c>
      <c r="F59" s="510">
        <v>1306</v>
      </c>
      <c r="G59" s="510">
        <v>1879</v>
      </c>
      <c r="H59" s="510">
        <v>2255</v>
      </c>
      <c r="I59" s="510">
        <v>2139</v>
      </c>
      <c r="J59" s="510">
        <v>2739</v>
      </c>
      <c r="K59" s="510">
        <v>3345</v>
      </c>
      <c r="L59" s="510">
        <v>1535</v>
      </c>
      <c r="M59" s="510">
        <v>2109</v>
      </c>
      <c r="N59" s="510">
        <v>2859</v>
      </c>
      <c r="O59" s="510">
        <v>2518</v>
      </c>
      <c r="P59" s="510">
        <v>2205</v>
      </c>
      <c r="Q59" s="510">
        <v>1778</v>
      </c>
      <c r="R59" s="510">
        <v>1924</v>
      </c>
      <c r="S59" s="510">
        <v>1903</v>
      </c>
    </row>
    <row r="60" spans="1:19">
      <c r="A60" s="510" t="s">
        <v>1771</v>
      </c>
      <c r="B60" s="510">
        <v>174</v>
      </c>
      <c r="C60" s="510">
        <v>136</v>
      </c>
      <c r="D60" s="510">
        <v>113</v>
      </c>
      <c r="E60" s="510">
        <v>-117</v>
      </c>
      <c r="F60" s="510">
        <v>13</v>
      </c>
      <c r="G60" s="510">
        <v>23</v>
      </c>
      <c r="H60" s="510">
        <v>559</v>
      </c>
      <c r="I60" s="510">
        <v>614</v>
      </c>
      <c r="J60" s="510">
        <v>684</v>
      </c>
      <c r="K60" s="510">
        <v>1096</v>
      </c>
      <c r="L60" s="510">
        <v>-77</v>
      </c>
      <c r="M60" s="510">
        <v>48</v>
      </c>
      <c r="N60" s="510">
        <v>313</v>
      </c>
      <c r="O60" s="510">
        <v>601</v>
      </c>
      <c r="P60" s="510">
        <v>347</v>
      </c>
      <c r="Q60" s="510">
        <v>246</v>
      </c>
      <c r="R60" s="510">
        <v>330</v>
      </c>
      <c r="S60" s="510">
        <v>296</v>
      </c>
    </row>
    <row r="61" spans="1:19">
      <c r="A61" s="510" t="s">
        <v>1770</v>
      </c>
      <c r="B61" s="510">
        <v>219</v>
      </c>
      <c r="C61" s="510">
        <v>278</v>
      </c>
      <c r="D61" s="510">
        <v>248</v>
      </c>
      <c r="E61" s="510">
        <v>354</v>
      </c>
      <c r="F61" s="510">
        <v>271</v>
      </c>
      <c r="G61" s="510">
        <v>329</v>
      </c>
      <c r="H61" s="510">
        <v>351</v>
      </c>
      <c r="I61" s="510">
        <v>491</v>
      </c>
      <c r="J61" s="510">
        <v>701</v>
      </c>
      <c r="K61" s="510">
        <v>542</v>
      </c>
      <c r="L61" s="510">
        <v>383</v>
      </c>
      <c r="M61" s="510">
        <v>783</v>
      </c>
      <c r="N61" s="510">
        <v>1479</v>
      </c>
      <c r="O61" s="510">
        <v>932</v>
      </c>
      <c r="P61" s="510">
        <v>671</v>
      </c>
      <c r="Q61" s="510">
        <v>778</v>
      </c>
      <c r="R61" s="510">
        <v>578</v>
      </c>
      <c r="S61" s="510">
        <v>657</v>
      </c>
    </row>
    <row r="62" spans="1:19">
      <c r="A62" s="510" t="s">
        <v>1769</v>
      </c>
      <c r="B62" s="510">
        <v>1445</v>
      </c>
      <c r="C62" s="510">
        <v>1640</v>
      </c>
      <c r="D62" s="510">
        <v>931</v>
      </c>
      <c r="E62" s="510">
        <v>987</v>
      </c>
      <c r="F62" s="510">
        <v>1023</v>
      </c>
      <c r="G62" s="510">
        <v>1527</v>
      </c>
      <c r="H62" s="510">
        <v>1345</v>
      </c>
      <c r="I62" s="510">
        <v>1033</v>
      </c>
      <c r="J62" s="510">
        <v>1354</v>
      </c>
      <c r="K62" s="510">
        <v>1708</v>
      </c>
      <c r="L62" s="510">
        <v>1230</v>
      </c>
      <c r="M62" s="510">
        <v>1277</v>
      </c>
      <c r="N62" s="510">
        <v>1067</v>
      </c>
      <c r="O62" s="510">
        <v>985</v>
      </c>
      <c r="P62" s="510">
        <v>1187</v>
      </c>
      <c r="Q62" s="510">
        <v>753</v>
      </c>
      <c r="R62" s="510">
        <v>1016</v>
      </c>
      <c r="S62" s="510">
        <v>950</v>
      </c>
    </row>
    <row r="63" spans="1:19">
      <c r="A63" s="510" t="s">
        <v>1768</v>
      </c>
      <c r="B63" s="510">
        <v>971</v>
      </c>
      <c r="C63" s="510">
        <v>747</v>
      </c>
      <c r="D63" s="510" t="s">
        <v>273</v>
      </c>
      <c r="E63" s="510" t="s">
        <v>273</v>
      </c>
      <c r="F63" s="510" t="s">
        <v>273</v>
      </c>
      <c r="G63" s="510" t="s">
        <v>273</v>
      </c>
      <c r="H63" s="510" t="s">
        <v>273</v>
      </c>
      <c r="I63" s="510" t="s">
        <v>273</v>
      </c>
      <c r="J63" s="510" t="s">
        <v>273</v>
      </c>
      <c r="K63" s="510" t="s">
        <v>273</v>
      </c>
      <c r="L63" s="510" t="s">
        <v>273</v>
      </c>
      <c r="M63" s="510" t="s">
        <v>273</v>
      </c>
      <c r="N63" s="510" t="s">
        <v>273</v>
      </c>
      <c r="O63" s="510" t="s">
        <v>273</v>
      </c>
      <c r="P63" s="510" t="s">
        <v>273</v>
      </c>
      <c r="Q63" s="510" t="s">
        <v>273</v>
      </c>
      <c r="R63" s="510" t="s">
        <v>273</v>
      </c>
      <c r="S63" s="510" t="s">
        <v>273</v>
      </c>
    </row>
    <row r="64" spans="1:19">
      <c r="A64" s="510" t="s">
        <v>1767</v>
      </c>
      <c r="B64" s="510">
        <v>511</v>
      </c>
      <c r="C64" s="510">
        <v>471</v>
      </c>
      <c r="D64" s="510" t="s">
        <v>273</v>
      </c>
      <c r="E64" s="510" t="s">
        <v>273</v>
      </c>
      <c r="F64" s="510" t="s">
        <v>273</v>
      </c>
      <c r="G64" s="510" t="s">
        <v>273</v>
      </c>
      <c r="H64" s="510" t="s">
        <v>273</v>
      </c>
      <c r="I64" s="510" t="s">
        <v>273</v>
      </c>
      <c r="J64" s="510" t="s">
        <v>273</v>
      </c>
      <c r="K64" s="510" t="s">
        <v>273</v>
      </c>
      <c r="L64" s="510" t="s">
        <v>273</v>
      </c>
      <c r="M64" s="510" t="s">
        <v>273</v>
      </c>
      <c r="N64" s="510" t="s">
        <v>273</v>
      </c>
      <c r="O64" s="510" t="s">
        <v>273</v>
      </c>
      <c r="P64" s="510" t="s">
        <v>273</v>
      </c>
      <c r="Q64" s="510" t="s">
        <v>273</v>
      </c>
      <c r="R64" s="510" t="s">
        <v>273</v>
      </c>
      <c r="S64" s="510" t="s">
        <v>273</v>
      </c>
    </row>
    <row r="65" spans="1:19">
      <c r="A65" s="510" t="s">
        <v>1766</v>
      </c>
      <c r="B65" s="510">
        <v>460</v>
      </c>
      <c r="C65" s="510">
        <v>276</v>
      </c>
      <c r="D65" s="510" t="s">
        <v>273</v>
      </c>
      <c r="E65" s="510" t="s">
        <v>273</v>
      </c>
      <c r="F65" s="510" t="s">
        <v>273</v>
      </c>
      <c r="G65" s="510" t="s">
        <v>273</v>
      </c>
      <c r="H65" s="510" t="s">
        <v>273</v>
      </c>
      <c r="I65" s="510" t="s">
        <v>273</v>
      </c>
      <c r="J65" s="510" t="s">
        <v>273</v>
      </c>
      <c r="K65" s="510" t="s">
        <v>273</v>
      </c>
      <c r="L65" s="510" t="s">
        <v>273</v>
      </c>
      <c r="M65" s="510" t="s">
        <v>273</v>
      </c>
      <c r="N65" s="510" t="s">
        <v>273</v>
      </c>
      <c r="O65" s="510" t="s">
        <v>273</v>
      </c>
      <c r="P65" s="510" t="s">
        <v>273</v>
      </c>
      <c r="Q65" s="510" t="s">
        <v>273</v>
      </c>
      <c r="R65" s="510" t="s">
        <v>273</v>
      </c>
      <c r="S65" s="510" t="s">
        <v>273</v>
      </c>
    </row>
    <row r="66" spans="1:19">
      <c r="A66" s="510" t="s">
        <v>1765</v>
      </c>
      <c r="B66" s="510">
        <v>211</v>
      </c>
      <c r="C66" s="510">
        <v>634</v>
      </c>
      <c r="D66" s="510" t="s">
        <v>273</v>
      </c>
      <c r="E66" s="510" t="s">
        <v>273</v>
      </c>
      <c r="F66" s="510" t="s">
        <v>273</v>
      </c>
      <c r="G66" s="510" t="s">
        <v>273</v>
      </c>
      <c r="H66" s="510" t="s">
        <v>273</v>
      </c>
      <c r="I66" s="510" t="s">
        <v>273</v>
      </c>
      <c r="J66" s="510" t="s">
        <v>273</v>
      </c>
      <c r="K66" s="510" t="s">
        <v>273</v>
      </c>
      <c r="L66" s="510" t="s">
        <v>273</v>
      </c>
      <c r="M66" s="510" t="s">
        <v>273</v>
      </c>
      <c r="N66" s="510" t="s">
        <v>273</v>
      </c>
      <c r="O66" s="510" t="s">
        <v>273</v>
      </c>
      <c r="P66" s="510" t="s">
        <v>273</v>
      </c>
      <c r="Q66" s="510" t="s">
        <v>273</v>
      </c>
      <c r="R66" s="510" t="s">
        <v>273</v>
      </c>
      <c r="S66" s="510" t="s">
        <v>273</v>
      </c>
    </row>
    <row r="67" spans="1:19">
      <c r="A67" s="510" t="s">
        <v>1764</v>
      </c>
      <c r="B67" s="510">
        <v>-10</v>
      </c>
      <c r="C67" s="510">
        <v>71</v>
      </c>
      <c r="D67" s="510" t="s">
        <v>273</v>
      </c>
      <c r="E67" s="510" t="s">
        <v>273</v>
      </c>
      <c r="F67" s="510" t="s">
        <v>273</v>
      </c>
      <c r="G67" s="510" t="s">
        <v>273</v>
      </c>
      <c r="H67" s="510" t="s">
        <v>273</v>
      </c>
      <c r="I67" s="510" t="s">
        <v>273</v>
      </c>
      <c r="J67" s="510" t="s">
        <v>273</v>
      </c>
      <c r="K67" s="510" t="s">
        <v>273</v>
      </c>
      <c r="L67" s="510" t="s">
        <v>273</v>
      </c>
      <c r="M67" s="510" t="s">
        <v>273</v>
      </c>
      <c r="N67" s="510" t="s">
        <v>273</v>
      </c>
      <c r="O67" s="510" t="s">
        <v>273</v>
      </c>
      <c r="P67" s="510" t="s">
        <v>273</v>
      </c>
      <c r="Q67" s="510" t="s">
        <v>273</v>
      </c>
      <c r="R67" s="510" t="s">
        <v>273</v>
      </c>
      <c r="S67" s="510" t="s">
        <v>273</v>
      </c>
    </row>
    <row r="68" spans="1:19">
      <c r="A68" s="510" t="s">
        <v>1763</v>
      </c>
      <c r="B68" s="510">
        <v>71</v>
      </c>
      <c r="C68" s="510">
        <v>408</v>
      </c>
      <c r="D68" s="510" t="s">
        <v>273</v>
      </c>
      <c r="E68" s="510" t="s">
        <v>273</v>
      </c>
      <c r="F68" s="510" t="s">
        <v>273</v>
      </c>
      <c r="G68" s="510" t="s">
        <v>273</v>
      </c>
      <c r="H68" s="510" t="s">
        <v>273</v>
      </c>
      <c r="I68" s="510" t="s">
        <v>273</v>
      </c>
      <c r="J68" s="510" t="s">
        <v>273</v>
      </c>
      <c r="K68" s="510" t="s">
        <v>273</v>
      </c>
      <c r="L68" s="510" t="s">
        <v>273</v>
      </c>
      <c r="M68" s="510" t="s">
        <v>273</v>
      </c>
      <c r="N68" s="510" t="s">
        <v>273</v>
      </c>
      <c r="O68" s="510" t="s">
        <v>273</v>
      </c>
      <c r="P68" s="510" t="s">
        <v>273</v>
      </c>
      <c r="Q68" s="510" t="s">
        <v>273</v>
      </c>
      <c r="R68" s="510" t="s">
        <v>273</v>
      </c>
      <c r="S68" s="510" t="s">
        <v>273</v>
      </c>
    </row>
    <row r="69" spans="1:19">
      <c r="A69" s="510" t="s">
        <v>1762</v>
      </c>
      <c r="B69" s="510">
        <v>100</v>
      </c>
      <c r="C69" s="510">
        <v>128</v>
      </c>
      <c r="D69" s="510" t="s">
        <v>273</v>
      </c>
      <c r="E69" s="510" t="s">
        <v>273</v>
      </c>
      <c r="F69" s="510" t="s">
        <v>273</v>
      </c>
      <c r="G69" s="510" t="s">
        <v>273</v>
      </c>
      <c r="H69" s="510" t="s">
        <v>273</v>
      </c>
      <c r="I69" s="510" t="s">
        <v>273</v>
      </c>
      <c r="J69" s="510" t="s">
        <v>273</v>
      </c>
      <c r="K69" s="510" t="s">
        <v>273</v>
      </c>
      <c r="L69" s="510" t="s">
        <v>273</v>
      </c>
      <c r="M69" s="510" t="s">
        <v>273</v>
      </c>
      <c r="N69" s="510" t="s">
        <v>273</v>
      </c>
      <c r="O69" s="510" t="s">
        <v>273</v>
      </c>
      <c r="P69" s="510" t="s">
        <v>273</v>
      </c>
      <c r="Q69" s="510" t="s">
        <v>273</v>
      </c>
      <c r="R69" s="510" t="s">
        <v>273</v>
      </c>
      <c r="S69" s="510" t="s">
        <v>273</v>
      </c>
    </row>
    <row r="70" spans="1:19">
      <c r="A70" s="510" t="s">
        <v>1761</v>
      </c>
      <c r="B70" s="510">
        <v>34</v>
      </c>
      <c r="C70" s="510">
        <v>31</v>
      </c>
      <c r="D70" s="510" t="s">
        <v>273</v>
      </c>
      <c r="E70" s="510" t="s">
        <v>273</v>
      </c>
      <c r="F70" s="510" t="s">
        <v>273</v>
      </c>
      <c r="G70" s="510" t="s">
        <v>273</v>
      </c>
      <c r="H70" s="510" t="s">
        <v>273</v>
      </c>
      <c r="I70" s="510" t="s">
        <v>273</v>
      </c>
      <c r="J70" s="510" t="s">
        <v>273</v>
      </c>
      <c r="K70" s="510" t="s">
        <v>273</v>
      </c>
      <c r="L70" s="510" t="s">
        <v>273</v>
      </c>
      <c r="M70" s="510" t="s">
        <v>273</v>
      </c>
      <c r="N70" s="510" t="s">
        <v>273</v>
      </c>
      <c r="O70" s="510" t="s">
        <v>273</v>
      </c>
      <c r="P70" s="510" t="s">
        <v>273</v>
      </c>
      <c r="Q70" s="510" t="s">
        <v>273</v>
      </c>
      <c r="R70" s="510" t="s">
        <v>273</v>
      </c>
      <c r="S70" s="510" t="s">
        <v>273</v>
      </c>
    </row>
    <row r="71" spans="1:19">
      <c r="A71" s="510" t="s">
        <v>1760</v>
      </c>
      <c r="B71" s="510">
        <v>17</v>
      </c>
      <c r="C71" s="510">
        <v>-3</v>
      </c>
      <c r="D71" s="510" t="s">
        <v>273</v>
      </c>
      <c r="E71" s="510" t="s">
        <v>273</v>
      </c>
      <c r="F71" s="510" t="s">
        <v>273</v>
      </c>
      <c r="G71" s="510" t="s">
        <v>273</v>
      </c>
      <c r="H71" s="510" t="s">
        <v>273</v>
      </c>
      <c r="I71" s="510" t="s">
        <v>273</v>
      </c>
      <c r="J71" s="510" t="s">
        <v>273</v>
      </c>
      <c r="K71" s="510" t="s">
        <v>273</v>
      </c>
      <c r="L71" s="510" t="s">
        <v>273</v>
      </c>
      <c r="M71" s="510" t="s">
        <v>273</v>
      </c>
      <c r="N71" s="510" t="s">
        <v>273</v>
      </c>
      <c r="O71" s="510" t="s">
        <v>273</v>
      </c>
      <c r="P71" s="510" t="s">
        <v>273</v>
      </c>
      <c r="Q71" s="510" t="s">
        <v>273</v>
      </c>
      <c r="R71" s="510" t="s">
        <v>273</v>
      </c>
      <c r="S71" s="510" t="s">
        <v>273</v>
      </c>
    </row>
    <row r="72" spans="1:19">
      <c r="A72" s="510" t="s">
        <v>1759</v>
      </c>
      <c r="B72" s="510">
        <v>1552</v>
      </c>
      <c r="C72" s="510">
        <v>1536</v>
      </c>
      <c r="D72" s="510">
        <v>1422</v>
      </c>
      <c r="E72" s="510">
        <v>1158</v>
      </c>
      <c r="F72" s="510">
        <v>1710</v>
      </c>
      <c r="G72" s="510">
        <v>2351</v>
      </c>
      <c r="H72" s="510">
        <v>1815</v>
      </c>
      <c r="I72" s="510">
        <v>2044</v>
      </c>
      <c r="J72" s="510">
        <v>2405</v>
      </c>
      <c r="K72" s="510">
        <v>1967</v>
      </c>
      <c r="L72" s="510">
        <v>719</v>
      </c>
      <c r="M72" s="510">
        <v>1349</v>
      </c>
      <c r="N72" s="510">
        <v>1617</v>
      </c>
      <c r="O72" s="510">
        <v>1531</v>
      </c>
      <c r="P72" s="510">
        <v>1668</v>
      </c>
      <c r="Q72" s="510">
        <v>1216</v>
      </c>
      <c r="R72" s="510">
        <v>1635</v>
      </c>
      <c r="S72" s="510">
        <v>1655</v>
      </c>
    </row>
    <row r="73" spans="1:19">
      <c r="A73" s="510" t="s">
        <v>1758</v>
      </c>
      <c r="B73" s="510">
        <v>694</v>
      </c>
      <c r="C73" s="510">
        <v>946</v>
      </c>
      <c r="D73" s="510">
        <v>753</v>
      </c>
      <c r="E73" s="510">
        <v>587</v>
      </c>
      <c r="F73" s="510">
        <v>1097</v>
      </c>
      <c r="G73" s="510">
        <v>1364</v>
      </c>
      <c r="H73" s="510">
        <v>1117</v>
      </c>
      <c r="I73" s="510">
        <v>621</v>
      </c>
      <c r="J73" s="510">
        <v>649</v>
      </c>
      <c r="K73" s="510">
        <v>634</v>
      </c>
      <c r="L73" s="510">
        <v>-108</v>
      </c>
      <c r="M73" s="510">
        <v>243</v>
      </c>
      <c r="N73" s="510">
        <v>369</v>
      </c>
      <c r="O73" s="510">
        <v>387</v>
      </c>
      <c r="P73" s="510">
        <v>619</v>
      </c>
      <c r="Q73" s="510">
        <v>273</v>
      </c>
      <c r="R73" s="510">
        <v>458</v>
      </c>
      <c r="S73" s="510">
        <v>410</v>
      </c>
    </row>
    <row r="74" spans="1:19">
      <c r="A74" s="510" t="s">
        <v>1757</v>
      </c>
      <c r="B74" s="510">
        <v>60</v>
      </c>
      <c r="C74" s="510">
        <v>6</v>
      </c>
      <c r="D74" s="510">
        <v>107</v>
      </c>
      <c r="E74" s="510">
        <v>92</v>
      </c>
      <c r="F74" s="510">
        <v>259</v>
      </c>
      <c r="G74" s="510">
        <v>29</v>
      </c>
      <c r="H74" s="510">
        <v>59</v>
      </c>
      <c r="I74" s="510">
        <v>66</v>
      </c>
      <c r="J74" s="510">
        <v>10</v>
      </c>
      <c r="K74" s="510">
        <v>19</v>
      </c>
      <c r="L74" s="510">
        <v>-101</v>
      </c>
      <c r="M74" s="510">
        <v>-72</v>
      </c>
      <c r="N74" s="510">
        <v>-50</v>
      </c>
      <c r="O74" s="510">
        <v>-2</v>
      </c>
      <c r="P74" s="510">
        <v>4</v>
      </c>
      <c r="Q74" s="510">
        <v>-11</v>
      </c>
      <c r="R74" s="510">
        <v>-123</v>
      </c>
      <c r="S74" s="510">
        <v>-14</v>
      </c>
    </row>
    <row r="75" spans="1:19">
      <c r="A75" s="510" t="s">
        <v>1756</v>
      </c>
      <c r="B75" s="510">
        <v>32</v>
      </c>
      <c r="C75" s="510">
        <v>52</v>
      </c>
      <c r="D75" s="510">
        <v>62</v>
      </c>
      <c r="E75" s="510">
        <v>77</v>
      </c>
      <c r="F75" s="510">
        <v>85</v>
      </c>
      <c r="G75" s="510">
        <v>283</v>
      </c>
      <c r="H75" s="510">
        <v>241</v>
      </c>
      <c r="I75" s="510">
        <v>330</v>
      </c>
      <c r="J75" s="510">
        <v>375</v>
      </c>
      <c r="K75" s="510">
        <v>395</v>
      </c>
      <c r="L75" s="510">
        <v>81</v>
      </c>
      <c r="M75" s="510">
        <v>84</v>
      </c>
      <c r="N75" s="510">
        <v>200</v>
      </c>
      <c r="O75" s="510">
        <v>164</v>
      </c>
      <c r="P75" s="510">
        <v>235</v>
      </c>
      <c r="Q75" s="510">
        <v>198</v>
      </c>
      <c r="R75" s="510">
        <v>214</v>
      </c>
      <c r="S75" s="510">
        <v>238</v>
      </c>
    </row>
    <row r="76" spans="1:19">
      <c r="A76" s="510" t="s">
        <v>1755</v>
      </c>
      <c r="B76" s="510">
        <v>486</v>
      </c>
      <c r="C76" s="510">
        <v>759</v>
      </c>
      <c r="D76" s="510" t="s">
        <v>291</v>
      </c>
      <c r="E76" s="510">
        <v>464</v>
      </c>
      <c r="F76" s="510">
        <v>663</v>
      </c>
      <c r="G76" s="510">
        <v>768</v>
      </c>
      <c r="H76" s="510">
        <v>712</v>
      </c>
      <c r="I76" s="510">
        <v>67</v>
      </c>
      <c r="J76" s="510">
        <v>29</v>
      </c>
      <c r="K76" s="510">
        <v>-98</v>
      </c>
      <c r="L76" s="510">
        <v>-115</v>
      </c>
      <c r="M76" s="510">
        <v>64</v>
      </c>
      <c r="N76" s="510">
        <v>77</v>
      </c>
      <c r="O76" s="510">
        <v>106</v>
      </c>
      <c r="P76" s="510">
        <v>139</v>
      </c>
      <c r="Q76" s="510">
        <v>-54</v>
      </c>
      <c r="R76" s="510">
        <v>187</v>
      </c>
      <c r="S76" s="510">
        <v>73</v>
      </c>
    </row>
    <row r="77" spans="1:19">
      <c r="A77" s="510" t="s">
        <v>1754</v>
      </c>
      <c r="B77" s="510">
        <v>79</v>
      </c>
      <c r="C77" s="510">
        <v>96</v>
      </c>
      <c r="D77" s="510" t="s">
        <v>291</v>
      </c>
      <c r="E77" s="510">
        <v>-29</v>
      </c>
      <c r="F77" s="510">
        <v>-47</v>
      </c>
      <c r="G77" s="510">
        <v>-59</v>
      </c>
      <c r="H77" s="510">
        <v>81</v>
      </c>
      <c r="I77" s="510">
        <v>136</v>
      </c>
      <c r="J77" s="510">
        <v>239</v>
      </c>
      <c r="K77" s="510">
        <v>302</v>
      </c>
      <c r="L77" s="510" t="s">
        <v>306</v>
      </c>
      <c r="M77" s="510">
        <v>136</v>
      </c>
      <c r="N77" s="510">
        <v>109</v>
      </c>
      <c r="O77" s="510">
        <v>87</v>
      </c>
      <c r="P77" s="510">
        <v>206</v>
      </c>
      <c r="Q77" s="510">
        <v>119</v>
      </c>
      <c r="R77" s="510">
        <v>164</v>
      </c>
      <c r="S77" s="510">
        <v>103</v>
      </c>
    </row>
    <row r="78" spans="1:19">
      <c r="A78" s="510" t="s">
        <v>1753</v>
      </c>
      <c r="B78" s="510">
        <v>37</v>
      </c>
      <c r="C78" s="510">
        <v>33</v>
      </c>
      <c r="D78" s="510">
        <v>-11</v>
      </c>
      <c r="E78" s="510">
        <v>-17</v>
      </c>
      <c r="F78" s="510">
        <v>137</v>
      </c>
      <c r="G78" s="510">
        <v>342</v>
      </c>
      <c r="H78" s="510">
        <v>25</v>
      </c>
      <c r="I78" s="510">
        <v>22</v>
      </c>
      <c r="J78" s="510">
        <v>-5</v>
      </c>
      <c r="K78" s="510">
        <v>16</v>
      </c>
      <c r="L78" s="510">
        <v>28</v>
      </c>
      <c r="M78" s="510">
        <v>32</v>
      </c>
      <c r="N78" s="510">
        <v>34</v>
      </c>
      <c r="O78" s="510">
        <v>32</v>
      </c>
      <c r="P78" s="510">
        <v>35</v>
      </c>
      <c r="Q78" s="510">
        <v>20</v>
      </c>
      <c r="R78" s="510">
        <v>16</v>
      </c>
      <c r="S78" s="510">
        <v>10</v>
      </c>
    </row>
    <row r="79" spans="1:19">
      <c r="A79" s="510" t="s">
        <v>1752</v>
      </c>
      <c r="B79" s="510">
        <v>857</v>
      </c>
      <c r="C79" s="510">
        <v>590</v>
      </c>
      <c r="D79" s="510">
        <v>668</v>
      </c>
      <c r="E79" s="510">
        <v>571</v>
      </c>
      <c r="F79" s="510">
        <v>614</v>
      </c>
      <c r="G79" s="510">
        <v>987</v>
      </c>
      <c r="H79" s="510">
        <v>698</v>
      </c>
      <c r="I79" s="510">
        <v>1423</v>
      </c>
      <c r="J79" s="510">
        <v>1756</v>
      </c>
      <c r="K79" s="510">
        <v>1333</v>
      </c>
      <c r="L79" s="510">
        <v>826</v>
      </c>
      <c r="M79" s="510">
        <v>1106</v>
      </c>
      <c r="N79" s="510">
        <v>1248</v>
      </c>
      <c r="O79" s="510">
        <v>1144</v>
      </c>
      <c r="P79" s="510">
        <v>1049</v>
      </c>
      <c r="Q79" s="510">
        <v>944</v>
      </c>
      <c r="R79" s="510">
        <v>1177</v>
      </c>
      <c r="S79" s="510">
        <v>1244</v>
      </c>
    </row>
    <row r="80" spans="1:19">
      <c r="A80" s="510" t="s">
        <v>1751</v>
      </c>
      <c r="B80" s="510">
        <v>123</v>
      </c>
      <c r="C80" s="510">
        <v>3</v>
      </c>
      <c r="D80" s="510" t="s">
        <v>306</v>
      </c>
      <c r="E80" s="510">
        <v>76</v>
      </c>
      <c r="F80" s="510">
        <v>74</v>
      </c>
      <c r="G80" s="510">
        <v>187</v>
      </c>
      <c r="H80" s="510">
        <v>-258</v>
      </c>
      <c r="I80" s="510">
        <v>310</v>
      </c>
      <c r="J80" s="510">
        <v>357</v>
      </c>
      <c r="K80" s="510">
        <v>385</v>
      </c>
      <c r="L80" s="510">
        <v>216</v>
      </c>
      <c r="M80" s="510">
        <v>168</v>
      </c>
      <c r="N80" s="510">
        <v>197</v>
      </c>
      <c r="O80" s="510">
        <v>198</v>
      </c>
      <c r="P80" s="510">
        <v>202</v>
      </c>
      <c r="Q80" s="510">
        <v>233</v>
      </c>
      <c r="R80" s="510">
        <v>177</v>
      </c>
      <c r="S80" s="510">
        <v>197</v>
      </c>
    </row>
    <row r="81" spans="1:19">
      <c r="A81" s="510" t="s">
        <v>1750</v>
      </c>
      <c r="B81" s="510">
        <v>350</v>
      </c>
      <c r="C81" s="510">
        <v>252</v>
      </c>
      <c r="D81" s="510">
        <v>302</v>
      </c>
      <c r="E81" s="510">
        <v>275</v>
      </c>
      <c r="F81" s="510">
        <v>275</v>
      </c>
      <c r="G81" s="510">
        <v>201</v>
      </c>
      <c r="H81" s="510">
        <v>191</v>
      </c>
      <c r="I81" s="510">
        <v>285</v>
      </c>
      <c r="J81" s="510">
        <v>453</v>
      </c>
      <c r="K81" s="510">
        <v>138</v>
      </c>
      <c r="L81" s="510">
        <v>72</v>
      </c>
      <c r="M81" s="510">
        <v>112</v>
      </c>
      <c r="N81" s="510">
        <v>113</v>
      </c>
      <c r="O81" s="510">
        <v>27</v>
      </c>
      <c r="P81" s="510">
        <v>-31</v>
      </c>
      <c r="Q81" s="510">
        <v>90</v>
      </c>
      <c r="R81" s="510">
        <v>103</v>
      </c>
      <c r="S81" s="510">
        <v>131</v>
      </c>
    </row>
    <row r="82" spans="1:19">
      <c r="A82" s="510" t="s">
        <v>1749</v>
      </c>
      <c r="B82" s="510">
        <v>30</v>
      </c>
      <c r="C82" s="510">
        <v>52</v>
      </c>
      <c r="D82" s="510">
        <v>24</v>
      </c>
      <c r="E82" s="510">
        <v>51</v>
      </c>
      <c r="F82" s="510">
        <v>16</v>
      </c>
      <c r="G82" s="510">
        <v>58</v>
      </c>
      <c r="H82" s="510">
        <v>106</v>
      </c>
      <c r="I82" s="510">
        <v>15</v>
      </c>
      <c r="J82" s="510">
        <v>116</v>
      </c>
      <c r="K82" s="510">
        <v>-46</v>
      </c>
      <c r="L82" s="510">
        <v>-96</v>
      </c>
      <c r="M82" s="510">
        <v>24</v>
      </c>
      <c r="N82" s="510">
        <v>69</v>
      </c>
      <c r="O82" s="510">
        <v>54</v>
      </c>
      <c r="P82" s="510">
        <v>-16</v>
      </c>
      <c r="Q82" s="510" t="s">
        <v>291</v>
      </c>
      <c r="R82" s="510">
        <v>-83</v>
      </c>
      <c r="S82" s="510">
        <v>-69</v>
      </c>
    </row>
    <row r="83" spans="1:19">
      <c r="A83" s="510" t="s">
        <v>1748</v>
      </c>
      <c r="B83" s="510">
        <v>97</v>
      </c>
      <c r="C83" s="510">
        <v>91</v>
      </c>
      <c r="D83" s="510">
        <v>170</v>
      </c>
      <c r="E83" s="510">
        <v>93</v>
      </c>
      <c r="F83" s="510">
        <v>24</v>
      </c>
      <c r="G83" s="510">
        <v>68</v>
      </c>
      <c r="H83" s="510">
        <v>37</v>
      </c>
      <c r="I83" s="510">
        <v>39</v>
      </c>
      <c r="J83" s="510">
        <v>24</v>
      </c>
      <c r="K83" s="510">
        <v>60</v>
      </c>
      <c r="L83" s="510">
        <v>188</v>
      </c>
      <c r="M83" s="510">
        <v>90</v>
      </c>
      <c r="N83" s="510">
        <v>111</v>
      </c>
      <c r="O83" s="510">
        <v>120</v>
      </c>
      <c r="P83" s="510">
        <v>113</v>
      </c>
      <c r="Q83" s="510">
        <v>39</v>
      </c>
      <c r="R83" s="510">
        <v>75</v>
      </c>
      <c r="S83" s="510">
        <v>96</v>
      </c>
    </row>
    <row r="84" spans="1:19">
      <c r="A84" s="510" t="s">
        <v>1747</v>
      </c>
      <c r="B84" s="510">
        <v>12</v>
      </c>
      <c r="C84" s="510">
        <v>14</v>
      </c>
      <c r="D84" s="510">
        <v>29</v>
      </c>
      <c r="E84" s="510">
        <v>18</v>
      </c>
      <c r="F84" s="510">
        <v>7</v>
      </c>
      <c r="G84" s="510">
        <v>44</v>
      </c>
      <c r="H84" s="510">
        <v>6</v>
      </c>
      <c r="I84" s="510">
        <v>52</v>
      </c>
      <c r="J84" s="510">
        <v>72</v>
      </c>
      <c r="K84" s="510">
        <v>41</v>
      </c>
      <c r="L84" s="510">
        <v>10</v>
      </c>
      <c r="M84" s="510">
        <v>22</v>
      </c>
      <c r="N84" s="510">
        <v>54</v>
      </c>
      <c r="O84" s="510">
        <v>35</v>
      </c>
      <c r="P84" s="510">
        <v>3</v>
      </c>
      <c r="Q84" s="510">
        <v>-59</v>
      </c>
      <c r="R84" s="510">
        <v>-36</v>
      </c>
      <c r="S84" s="510">
        <v>-9</v>
      </c>
    </row>
    <row r="85" spans="1:19">
      <c r="A85" s="510" t="s">
        <v>1746</v>
      </c>
      <c r="B85" s="510" t="s">
        <v>306</v>
      </c>
      <c r="C85" s="510">
        <v>3</v>
      </c>
      <c r="D85" s="510">
        <v>-2</v>
      </c>
      <c r="E85" s="510">
        <v>20</v>
      </c>
      <c r="F85" s="510">
        <v>1</v>
      </c>
      <c r="G85" s="510">
        <v>-6</v>
      </c>
      <c r="H85" s="510">
        <v>13</v>
      </c>
      <c r="I85" s="510">
        <v>16</v>
      </c>
      <c r="J85" s="510">
        <v>9</v>
      </c>
      <c r="K85" s="510">
        <v>5</v>
      </c>
      <c r="L85" s="510">
        <v>50</v>
      </c>
      <c r="M85" s="510">
        <v>56</v>
      </c>
      <c r="N85" s="510">
        <v>54</v>
      </c>
      <c r="O85" s="510">
        <v>51</v>
      </c>
      <c r="P85" s="510">
        <v>52</v>
      </c>
      <c r="Q85" s="510">
        <v>44</v>
      </c>
      <c r="R85" s="510">
        <v>33</v>
      </c>
      <c r="S85" s="510">
        <v>62</v>
      </c>
    </row>
    <row r="86" spans="1:19">
      <c r="A86" s="510" t="s">
        <v>1745</v>
      </c>
      <c r="B86" s="510">
        <v>44</v>
      </c>
      <c r="C86" s="510">
        <v>21</v>
      </c>
      <c r="D86" s="510">
        <v>9</v>
      </c>
      <c r="E86" s="510">
        <v>-16</v>
      </c>
      <c r="F86" s="510">
        <v>13</v>
      </c>
      <c r="G86" s="510">
        <v>38</v>
      </c>
      <c r="H86" s="510">
        <v>74</v>
      </c>
      <c r="I86" s="510">
        <v>84</v>
      </c>
      <c r="J86" s="510">
        <v>61</v>
      </c>
      <c r="K86" s="510">
        <v>72</v>
      </c>
      <c r="L86" s="510">
        <v>72</v>
      </c>
      <c r="M86" s="510">
        <v>55</v>
      </c>
      <c r="N86" s="510">
        <v>53</v>
      </c>
      <c r="O86" s="510">
        <v>46</v>
      </c>
      <c r="P86" s="510">
        <v>154</v>
      </c>
      <c r="Q86" s="510">
        <v>118</v>
      </c>
      <c r="R86" s="510">
        <v>131</v>
      </c>
      <c r="S86" s="510">
        <v>177</v>
      </c>
    </row>
    <row r="87" spans="1:19">
      <c r="A87" s="510" t="s">
        <v>1744</v>
      </c>
      <c r="B87" s="510">
        <v>3</v>
      </c>
      <c r="C87" s="510">
        <v>-1</v>
      </c>
      <c r="D87" s="510">
        <v>6</v>
      </c>
      <c r="E87" s="510">
        <v>20</v>
      </c>
      <c r="F87" s="510">
        <v>14</v>
      </c>
      <c r="G87" s="510" t="s">
        <v>306</v>
      </c>
      <c r="H87" s="510">
        <v>10</v>
      </c>
      <c r="I87" s="510">
        <v>40</v>
      </c>
      <c r="J87" s="510">
        <v>47</v>
      </c>
      <c r="K87" s="510">
        <v>50</v>
      </c>
      <c r="L87" s="510">
        <v>58</v>
      </c>
      <c r="M87" s="510">
        <v>19</v>
      </c>
      <c r="N87" s="510">
        <v>33</v>
      </c>
      <c r="O87" s="510">
        <v>21</v>
      </c>
      <c r="P87" s="510">
        <v>20</v>
      </c>
      <c r="Q87" s="510">
        <v>19</v>
      </c>
      <c r="R87" s="510">
        <v>37</v>
      </c>
      <c r="S87" s="510">
        <v>39</v>
      </c>
    </row>
    <row r="88" spans="1:19">
      <c r="A88" s="510" t="s">
        <v>1743</v>
      </c>
      <c r="B88" s="510">
        <v>198</v>
      </c>
      <c r="C88" s="510">
        <v>154</v>
      </c>
      <c r="D88" s="510">
        <v>130</v>
      </c>
      <c r="E88" s="510">
        <v>34</v>
      </c>
      <c r="F88" s="510">
        <v>189</v>
      </c>
      <c r="G88" s="510">
        <v>398</v>
      </c>
      <c r="H88" s="510">
        <v>521</v>
      </c>
      <c r="I88" s="510">
        <v>583</v>
      </c>
      <c r="J88" s="510">
        <v>617</v>
      </c>
      <c r="K88" s="510">
        <v>627</v>
      </c>
      <c r="L88" s="510">
        <v>256</v>
      </c>
      <c r="M88" s="510">
        <v>561</v>
      </c>
      <c r="N88" s="510">
        <v>564</v>
      </c>
      <c r="O88" s="510">
        <v>590</v>
      </c>
      <c r="P88" s="510">
        <v>552</v>
      </c>
      <c r="Q88" s="510" t="s">
        <v>291</v>
      </c>
      <c r="R88" s="510">
        <v>740</v>
      </c>
      <c r="S88" s="510">
        <v>621</v>
      </c>
    </row>
    <row r="89" spans="1:19">
      <c r="A89" s="510" t="s">
        <v>1742</v>
      </c>
      <c r="B89" s="510">
        <v>2048</v>
      </c>
      <c r="C89" s="510">
        <v>2257</v>
      </c>
      <c r="D89" s="510">
        <v>1313</v>
      </c>
      <c r="E89" s="510">
        <v>1926</v>
      </c>
      <c r="F89" s="510">
        <v>2314</v>
      </c>
      <c r="G89" s="510">
        <v>2214</v>
      </c>
      <c r="H89" s="510">
        <v>2253</v>
      </c>
      <c r="I89" s="510">
        <v>3344</v>
      </c>
      <c r="J89" s="510">
        <v>5735</v>
      </c>
      <c r="K89" s="510">
        <v>5057</v>
      </c>
      <c r="L89" s="510">
        <v>3574</v>
      </c>
      <c r="M89" s="510">
        <v>4465</v>
      </c>
      <c r="N89" s="510">
        <v>5129</v>
      </c>
      <c r="O89" s="510">
        <v>5538</v>
      </c>
      <c r="P89" s="510">
        <v>5297</v>
      </c>
      <c r="Q89" s="510">
        <v>3433</v>
      </c>
      <c r="R89" s="510">
        <v>2141</v>
      </c>
      <c r="S89" s="510">
        <v>3151</v>
      </c>
    </row>
    <row r="90" spans="1:19">
      <c r="A90" s="510" t="s">
        <v>1741</v>
      </c>
      <c r="B90" s="510">
        <v>13</v>
      </c>
      <c r="C90" s="510">
        <v>181</v>
      </c>
      <c r="D90" s="510">
        <v>276</v>
      </c>
      <c r="E90" s="510">
        <v>390</v>
      </c>
      <c r="F90" s="510">
        <v>517</v>
      </c>
      <c r="G90" s="510">
        <v>419</v>
      </c>
      <c r="H90" s="510">
        <v>487</v>
      </c>
      <c r="I90" s="510">
        <v>839</v>
      </c>
      <c r="J90" s="510">
        <v>1288</v>
      </c>
      <c r="K90" s="510">
        <v>1426</v>
      </c>
      <c r="L90" s="510">
        <v>1445</v>
      </c>
      <c r="M90" s="510">
        <v>1709</v>
      </c>
      <c r="N90" s="510">
        <v>2176</v>
      </c>
      <c r="O90" s="510">
        <v>1770</v>
      </c>
      <c r="P90" s="510">
        <v>1482</v>
      </c>
      <c r="Q90" s="510">
        <v>594</v>
      </c>
      <c r="R90" s="510">
        <v>511</v>
      </c>
      <c r="S90" s="510">
        <v>388</v>
      </c>
    </row>
    <row r="91" spans="1:19">
      <c r="A91" s="510" t="s">
        <v>1740</v>
      </c>
      <c r="B91" s="510">
        <v>173</v>
      </c>
      <c r="C91" s="510">
        <v>521</v>
      </c>
      <c r="D91" s="510">
        <v>291</v>
      </c>
      <c r="E91" s="510">
        <v>255</v>
      </c>
      <c r="F91" s="510">
        <v>239</v>
      </c>
      <c r="G91" s="510">
        <v>316</v>
      </c>
      <c r="H91" s="510">
        <v>274</v>
      </c>
      <c r="I91" s="510">
        <v>797</v>
      </c>
      <c r="J91" s="510">
        <v>1088</v>
      </c>
      <c r="K91" s="510">
        <v>565</v>
      </c>
      <c r="L91" s="510">
        <v>770</v>
      </c>
      <c r="M91" s="510">
        <v>927</v>
      </c>
      <c r="N91" s="510">
        <v>1239</v>
      </c>
      <c r="O91" s="510">
        <v>1153</v>
      </c>
      <c r="P91" s="510">
        <v>1072</v>
      </c>
      <c r="Q91" s="510">
        <v>1333</v>
      </c>
      <c r="R91" s="510">
        <v>346</v>
      </c>
      <c r="S91" s="510">
        <v>41</v>
      </c>
    </row>
    <row r="92" spans="1:19">
      <c r="A92" s="510" t="s">
        <v>67</v>
      </c>
      <c r="B92" s="510">
        <v>1861</v>
      </c>
      <c r="C92" s="510">
        <v>1554</v>
      </c>
      <c r="D92" s="510">
        <v>746</v>
      </c>
      <c r="E92" s="510">
        <v>1281</v>
      </c>
      <c r="F92" s="510">
        <v>1559</v>
      </c>
      <c r="G92" s="510">
        <v>1480</v>
      </c>
      <c r="H92" s="510">
        <v>1492</v>
      </c>
      <c r="I92" s="510">
        <v>1708</v>
      </c>
      <c r="J92" s="510">
        <v>3359</v>
      </c>
      <c r="K92" s="510">
        <v>3066</v>
      </c>
      <c r="L92" s="510">
        <v>1359</v>
      </c>
      <c r="M92" s="510">
        <v>1829</v>
      </c>
      <c r="N92" s="510">
        <v>1714</v>
      </c>
      <c r="O92" s="510">
        <v>2615</v>
      </c>
      <c r="P92" s="510">
        <v>2743</v>
      </c>
      <c r="Q92" s="510">
        <v>1506</v>
      </c>
      <c r="R92" s="510">
        <v>1284</v>
      </c>
      <c r="S92" s="510">
        <v>2722</v>
      </c>
    </row>
    <row r="93" spans="1:19">
      <c r="A93" s="510" t="s">
        <v>1739</v>
      </c>
      <c r="B93" s="510">
        <v>1023</v>
      </c>
      <c r="C93" s="510">
        <v>519</v>
      </c>
      <c r="D93" s="510">
        <v>50</v>
      </c>
      <c r="E93" s="510">
        <v>497</v>
      </c>
      <c r="F93" s="510">
        <v>461</v>
      </c>
      <c r="G93" s="510">
        <v>202</v>
      </c>
      <c r="H93" s="510">
        <v>-69</v>
      </c>
      <c r="I93" s="510">
        <v>97</v>
      </c>
      <c r="J93" s="510">
        <v>125</v>
      </c>
      <c r="K93" s="510">
        <v>177</v>
      </c>
      <c r="L93" s="510">
        <v>21</v>
      </c>
      <c r="M93" s="510">
        <v>20</v>
      </c>
      <c r="N93" s="510">
        <v>-30</v>
      </c>
      <c r="O93" s="510">
        <v>36</v>
      </c>
      <c r="P93" s="510">
        <v>81</v>
      </c>
      <c r="Q93" s="510" t="s">
        <v>306</v>
      </c>
      <c r="R93" s="510">
        <v>233</v>
      </c>
      <c r="S93" s="510">
        <v>387</v>
      </c>
    </row>
    <row r="94" spans="1:19">
      <c r="A94" s="510" t="s">
        <v>1738</v>
      </c>
      <c r="B94" s="510">
        <v>193</v>
      </c>
      <c r="C94" s="510">
        <v>304</v>
      </c>
      <c r="D94" s="510">
        <v>257</v>
      </c>
      <c r="E94" s="510">
        <v>298</v>
      </c>
      <c r="F94" s="510">
        <v>442</v>
      </c>
      <c r="G94" s="510">
        <v>555</v>
      </c>
      <c r="H94" s="510">
        <v>419</v>
      </c>
      <c r="I94" s="510">
        <v>471</v>
      </c>
      <c r="J94" s="510">
        <v>799</v>
      </c>
      <c r="K94" s="510">
        <v>856</v>
      </c>
      <c r="L94" s="510">
        <v>487</v>
      </c>
      <c r="M94" s="510">
        <v>514</v>
      </c>
      <c r="N94" s="510">
        <v>-100</v>
      </c>
      <c r="O94" s="510">
        <v>1071</v>
      </c>
      <c r="P94" s="510">
        <v>925</v>
      </c>
      <c r="Q94" s="510">
        <v>470</v>
      </c>
      <c r="R94" s="510">
        <v>372</v>
      </c>
      <c r="S94" s="510">
        <v>575</v>
      </c>
    </row>
    <row r="95" spans="1:19">
      <c r="A95" s="510" t="s">
        <v>1737</v>
      </c>
      <c r="B95" s="510">
        <v>22</v>
      </c>
      <c r="C95" s="510">
        <v>32</v>
      </c>
      <c r="D95" s="510">
        <v>79</v>
      </c>
      <c r="E95" s="510">
        <v>-1</v>
      </c>
      <c r="F95" s="510">
        <v>28</v>
      </c>
      <c r="G95" s="510">
        <v>65</v>
      </c>
      <c r="H95" s="510">
        <v>23</v>
      </c>
      <c r="I95" s="510">
        <v>87</v>
      </c>
      <c r="J95" s="510">
        <v>154</v>
      </c>
      <c r="K95" s="510">
        <v>101</v>
      </c>
      <c r="L95" s="510">
        <v>-5</v>
      </c>
      <c r="M95" s="510">
        <v>61</v>
      </c>
      <c r="N95" s="510">
        <v>179</v>
      </c>
      <c r="O95" s="510">
        <v>112</v>
      </c>
      <c r="P95" s="510">
        <v>129</v>
      </c>
      <c r="Q95" s="510">
        <v>103</v>
      </c>
      <c r="R95" s="510">
        <v>-59</v>
      </c>
      <c r="S95" s="510">
        <v>196</v>
      </c>
    </row>
    <row r="96" spans="1:19">
      <c r="A96" s="510" t="s">
        <v>1736</v>
      </c>
      <c r="B96" s="510">
        <v>200</v>
      </c>
      <c r="C96" s="510">
        <v>288</v>
      </c>
      <c r="D96" s="510">
        <v>45</v>
      </c>
      <c r="E96" s="510">
        <v>216</v>
      </c>
      <c r="F96" s="510">
        <v>210</v>
      </c>
      <c r="G96" s="510">
        <v>131</v>
      </c>
      <c r="H96" s="510">
        <v>232</v>
      </c>
      <c r="I96" s="510">
        <v>213</v>
      </c>
      <c r="J96" s="510">
        <v>726</v>
      </c>
      <c r="K96" s="510">
        <v>685</v>
      </c>
      <c r="L96" s="510">
        <v>494</v>
      </c>
      <c r="M96" s="510">
        <v>511</v>
      </c>
      <c r="N96" s="510">
        <v>670</v>
      </c>
      <c r="O96" s="510">
        <v>453</v>
      </c>
      <c r="P96" s="510">
        <v>460</v>
      </c>
      <c r="Q96" s="510">
        <v>412</v>
      </c>
      <c r="R96" s="510">
        <v>243</v>
      </c>
      <c r="S96" s="510">
        <v>870</v>
      </c>
    </row>
    <row r="97" spans="1:19">
      <c r="A97" s="510" t="s">
        <v>1735</v>
      </c>
      <c r="B97" s="510">
        <v>423</v>
      </c>
      <c r="C97" s="510">
        <v>411</v>
      </c>
      <c r="D97" s="510">
        <v>314</v>
      </c>
      <c r="E97" s="510">
        <v>271</v>
      </c>
      <c r="F97" s="510">
        <v>418</v>
      </c>
      <c r="G97" s="510">
        <v>526</v>
      </c>
      <c r="H97" s="510">
        <v>887</v>
      </c>
      <c r="I97" s="510">
        <v>839</v>
      </c>
      <c r="J97" s="510">
        <v>1555</v>
      </c>
      <c r="K97" s="510">
        <v>1248</v>
      </c>
      <c r="L97" s="510">
        <v>362</v>
      </c>
      <c r="M97" s="510">
        <v>723</v>
      </c>
      <c r="N97" s="510">
        <v>995</v>
      </c>
      <c r="O97" s="510">
        <v>943</v>
      </c>
      <c r="P97" s="510">
        <v>1148</v>
      </c>
      <c r="Q97" s="510">
        <v>522</v>
      </c>
      <c r="R97" s="510">
        <v>496</v>
      </c>
      <c r="S97" s="510">
        <v>695</v>
      </c>
    </row>
    <row r="98" spans="1:19">
      <c r="A98" s="510" t="s">
        <v>1734</v>
      </c>
      <c r="B98" s="510">
        <v>6430</v>
      </c>
      <c r="C98" s="510">
        <v>8860</v>
      </c>
      <c r="D98" s="510">
        <v>4335</v>
      </c>
      <c r="E98" s="510">
        <v>1519</v>
      </c>
      <c r="F98" s="510">
        <v>4345</v>
      </c>
      <c r="G98" s="510">
        <v>6791</v>
      </c>
      <c r="H98" s="510">
        <v>7714</v>
      </c>
      <c r="I98" s="510">
        <v>12542</v>
      </c>
      <c r="J98" s="510">
        <v>12253</v>
      </c>
      <c r="K98" s="510">
        <v>11565</v>
      </c>
      <c r="L98" s="510">
        <v>6574</v>
      </c>
      <c r="M98" s="510">
        <v>11440</v>
      </c>
      <c r="N98" s="510">
        <v>9915</v>
      </c>
      <c r="O98" s="510">
        <v>6677</v>
      </c>
      <c r="P98" s="510">
        <v>9503</v>
      </c>
      <c r="Q98" s="510">
        <v>11976</v>
      </c>
      <c r="R98" s="510">
        <v>12738</v>
      </c>
      <c r="S98" s="510">
        <v>12677</v>
      </c>
    </row>
    <row r="99" spans="1:19">
      <c r="A99" s="510" t="s">
        <v>1733</v>
      </c>
      <c r="B99" s="510">
        <v>2425</v>
      </c>
      <c r="C99" s="510">
        <v>3511</v>
      </c>
      <c r="D99" s="510">
        <v>2229</v>
      </c>
      <c r="E99" s="510">
        <v>780</v>
      </c>
      <c r="F99" s="510">
        <v>1315</v>
      </c>
      <c r="G99" s="510">
        <v>1305</v>
      </c>
      <c r="H99" s="510">
        <v>1031</v>
      </c>
      <c r="I99" s="510">
        <v>2122</v>
      </c>
      <c r="J99" s="510">
        <v>2432</v>
      </c>
      <c r="K99" s="510">
        <v>2907</v>
      </c>
      <c r="L99" s="510">
        <v>2460</v>
      </c>
      <c r="M99" s="510">
        <v>4243</v>
      </c>
      <c r="N99" s="510">
        <v>3751</v>
      </c>
      <c r="O99" s="510">
        <v>1658</v>
      </c>
      <c r="P99" s="510">
        <v>2212</v>
      </c>
      <c r="Q99" s="510">
        <v>2411</v>
      </c>
      <c r="R99" s="510">
        <v>4626</v>
      </c>
      <c r="S99" s="510">
        <v>4341</v>
      </c>
    </row>
    <row r="100" spans="1:19">
      <c r="A100" s="510" t="s">
        <v>1732</v>
      </c>
      <c r="B100" s="510">
        <v>2056</v>
      </c>
      <c r="C100" s="510">
        <v>2095</v>
      </c>
      <c r="D100" s="510">
        <v>764</v>
      </c>
      <c r="E100" s="510">
        <v>-753</v>
      </c>
      <c r="F100" s="510">
        <v>484</v>
      </c>
      <c r="G100" s="510">
        <v>1656</v>
      </c>
      <c r="H100" s="510">
        <v>1572</v>
      </c>
      <c r="I100" s="510">
        <v>3844</v>
      </c>
      <c r="J100" s="510">
        <v>2877</v>
      </c>
      <c r="K100" s="510">
        <v>2564</v>
      </c>
      <c r="L100" s="510">
        <v>2013</v>
      </c>
      <c r="M100" s="510">
        <v>737</v>
      </c>
      <c r="N100" s="510">
        <v>582</v>
      </c>
      <c r="O100" s="510">
        <v>274</v>
      </c>
      <c r="P100" s="510">
        <v>502</v>
      </c>
      <c r="Q100" s="510">
        <v>740</v>
      </c>
      <c r="R100" s="510">
        <v>491</v>
      </c>
      <c r="S100" s="510">
        <v>396</v>
      </c>
    </row>
    <row r="101" spans="1:19">
      <c r="A101" s="510" t="s">
        <v>1731</v>
      </c>
      <c r="B101" s="510">
        <v>-346</v>
      </c>
      <c r="C101" s="510">
        <v>-141</v>
      </c>
      <c r="D101" s="510">
        <v>62</v>
      </c>
      <c r="E101" s="510">
        <v>134</v>
      </c>
      <c r="F101" s="510">
        <v>189</v>
      </c>
      <c r="G101" s="510">
        <v>282</v>
      </c>
      <c r="H101" s="510">
        <v>268</v>
      </c>
      <c r="I101" s="510">
        <v>418</v>
      </c>
      <c r="J101" s="510">
        <v>380</v>
      </c>
      <c r="K101" s="510">
        <v>165</v>
      </c>
      <c r="L101" s="510">
        <v>375</v>
      </c>
      <c r="M101" s="510">
        <v>-17</v>
      </c>
      <c r="N101" s="510">
        <v>-13</v>
      </c>
      <c r="O101" s="510">
        <v>111</v>
      </c>
      <c r="P101" s="510">
        <v>-47</v>
      </c>
      <c r="Q101" s="510">
        <v>178</v>
      </c>
      <c r="R101" s="510">
        <v>-49</v>
      </c>
      <c r="S101" s="510">
        <v>142</v>
      </c>
    </row>
    <row r="102" spans="1:19">
      <c r="A102" s="510" t="s">
        <v>1730</v>
      </c>
      <c r="B102" s="510">
        <v>2166</v>
      </c>
      <c r="C102" s="510">
        <v>3354</v>
      </c>
      <c r="D102" s="510">
        <v>1244</v>
      </c>
      <c r="E102" s="510">
        <v>1337</v>
      </c>
      <c r="F102" s="510">
        <v>1728</v>
      </c>
      <c r="G102" s="510">
        <v>2656</v>
      </c>
      <c r="H102" s="510">
        <v>3093</v>
      </c>
      <c r="I102" s="510">
        <v>4645</v>
      </c>
      <c r="J102" s="510">
        <v>4387</v>
      </c>
      <c r="K102" s="510">
        <v>4236</v>
      </c>
      <c r="L102" s="510">
        <v>213</v>
      </c>
      <c r="M102" s="510">
        <v>4864</v>
      </c>
      <c r="N102" s="510">
        <v>3674</v>
      </c>
      <c r="O102" s="510">
        <v>2733</v>
      </c>
      <c r="P102" s="510">
        <v>4070</v>
      </c>
      <c r="Q102" s="510">
        <v>6194</v>
      </c>
      <c r="R102" s="510">
        <v>4983</v>
      </c>
      <c r="S102" s="510">
        <v>4843</v>
      </c>
    </row>
    <row r="103" spans="1:19">
      <c r="A103" s="510" t="s">
        <v>1729</v>
      </c>
      <c r="B103" s="510">
        <v>314</v>
      </c>
      <c r="C103" s="510">
        <v>298</v>
      </c>
      <c r="D103" s="510">
        <v>433</v>
      </c>
      <c r="E103" s="510">
        <v>471</v>
      </c>
      <c r="F103" s="510">
        <v>427</v>
      </c>
      <c r="G103" s="510">
        <v>672</v>
      </c>
      <c r="H103" s="510">
        <v>1498</v>
      </c>
      <c r="I103" s="510">
        <v>1137</v>
      </c>
      <c r="J103" s="510">
        <v>1704</v>
      </c>
      <c r="K103" s="510">
        <v>1509</v>
      </c>
      <c r="L103" s="510">
        <v>1414</v>
      </c>
      <c r="M103" s="510">
        <v>1637</v>
      </c>
      <c r="N103" s="510">
        <v>1859</v>
      </c>
      <c r="O103" s="510">
        <v>1832</v>
      </c>
      <c r="P103" s="510">
        <v>2798</v>
      </c>
      <c r="Q103" s="510">
        <v>2425</v>
      </c>
      <c r="R103" s="510">
        <v>2634</v>
      </c>
      <c r="S103" s="510">
        <v>2939</v>
      </c>
    </row>
    <row r="104" spans="1:19">
      <c r="A104" s="510" t="s">
        <v>1728</v>
      </c>
      <c r="B104" s="510">
        <v>-185</v>
      </c>
      <c r="C104" s="510">
        <v>-257</v>
      </c>
      <c r="D104" s="510">
        <v>-397</v>
      </c>
      <c r="E104" s="510">
        <v>-450</v>
      </c>
      <c r="F104" s="510">
        <v>203</v>
      </c>
      <c r="G104" s="510">
        <v>221</v>
      </c>
      <c r="H104" s="510">
        <v>253</v>
      </c>
      <c r="I104" s="510">
        <v>377</v>
      </c>
      <c r="J104" s="510">
        <v>472</v>
      </c>
      <c r="K104" s="510">
        <v>185</v>
      </c>
      <c r="L104" s="510">
        <v>99</v>
      </c>
      <c r="M104" s="510">
        <v>-24</v>
      </c>
      <c r="N104" s="510">
        <v>62</v>
      </c>
      <c r="O104" s="510">
        <v>70</v>
      </c>
      <c r="P104" s="510">
        <v>-32</v>
      </c>
      <c r="Q104" s="510">
        <v>28</v>
      </c>
      <c r="R104" s="510">
        <v>53</v>
      </c>
      <c r="S104" s="510">
        <v>16</v>
      </c>
    </row>
    <row r="105" spans="1:19">
      <c r="A105" s="510" t="s">
        <v>1727</v>
      </c>
      <c r="B105" s="510">
        <v>998</v>
      </c>
      <c r="C105" s="510">
        <v>1079</v>
      </c>
      <c r="D105" s="510">
        <v>669</v>
      </c>
      <c r="E105" s="510">
        <v>509</v>
      </c>
      <c r="F105" s="510">
        <v>583</v>
      </c>
      <c r="G105" s="510">
        <v>1231</v>
      </c>
      <c r="H105" s="510">
        <v>1703</v>
      </c>
      <c r="I105" s="510">
        <v>1919</v>
      </c>
      <c r="J105" s="510">
        <v>1870</v>
      </c>
      <c r="K105" s="510">
        <v>2009</v>
      </c>
      <c r="L105" s="510">
        <v>1425</v>
      </c>
      <c r="M105" s="510">
        <v>1653</v>
      </c>
      <c r="N105" s="510">
        <v>1076</v>
      </c>
      <c r="O105" s="510">
        <v>1299</v>
      </c>
      <c r="P105" s="510">
        <v>1564</v>
      </c>
      <c r="Q105" s="510">
        <v>1278</v>
      </c>
      <c r="R105" s="510">
        <v>1126</v>
      </c>
      <c r="S105" s="510">
        <v>1094</v>
      </c>
    </row>
    <row r="106" spans="1:19">
      <c r="A106" s="510" t="s">
        <v>1726</v>
      </c>
      <c r="B106" s="510">
        <v>184</v>
      </c>
      <c r="C106" s="510">
        <v>190</v>
      </c>
      <c r="D106" s="510">
        <v>77</v>
      </c>
      <c r="E106" s="510">
        <v>82</v>
      </c>
      <c r="F106" s="510">
        <v>74</v>
      </c>
      <c r="G106" s="510">
        <v>147</v>
      </c>
      <c r="H106" s="510">
        <v>81</v>
      </c>
      <c r="I106" s="510">
        <v>128</v>
      </c>
      <c r="J106" s="510">
        <v>121</v>
      </c>
      <c r="K106" s="510">
        <v>13</v>
      </c>
      <c r="L106" s="510">
        <v>134</v>
      </c>
      <c r="M106" s="510">
        <v>82</v>
      </c>
      <c r="N106" s="510">
        <v>92</v>
      </c>
      <c r="O106" s="510">
        <v>92</v>
      </c>
      <c r="P106" s="510">
        <v>-44</v>
      </c>
      <c r="Q106" s="510">
        <v>70</v>
      </c>
      <c r="R106" s="510">
        <v>-12</v>
      </c>
      <c r="S106" s="510">
        <v>97</v>
      </c>
    </row>
    <row r="107" spans="1:19">
      <c r="A107" s="510" t="s">
        <v>1725</v>
      </c>
      <c r="B107" s="510">
        <v>269</v>
      </c>
      <c r="C107" s="510">
        <v>268</v>
      </c>
      <c r="D107" s="510">
        <v>196</v>
      </c>
      <c r="E107" s="510">
        <v>182</v>
      </c>
      <c r="F107" s="510">
        <v>149</v>
      </c>
      <c r="G107" s="510">
        <v>402</v>
      </c>
      <c r="H107" s="510">
        <v>288</v>
      </c>
      <c r="I107" s="510">
        <v>153</v>
      </c>
      <c r="J107" s="510">
        <v>148</v>
      </c>
      <c r="K107" s="510">
        <v>187</v>
      </c>
      <c r="L107" s="510">
        <v>249</v>
      </c>
      <c r="M107" s="510">
        <v>111</v>
      </c>
      <c r="N107" s="510">
        <v>226</v>
      </c>
      <c r="O107" s="510">
        <v>166</v>
      </c>
      <c r="P107" s="510">
        <v>115</v>
      </c>
      <c r="Q107" s="510">
        <v>235</v>
      </c>
      <c r="R107" s="510">
        <v>286</v>
      </c>
      <c r="S107" s="510">
        <v>65</v>
      </c>
    </row>
    <row r="108" spans="1:19">
      <c r="A108" s="510" t="s">
        <v>1724</v>
      </c>
      <c r="B108" s="510">
        <v>251</v>
      </c>
      <c r="C108" s="510">
        <v>312</v>
      </c>
      <c r="D108" s="510">
        <v>273</v>
      </c>
      <c r="E108" s="510">
        <v>183</v>
      </c>
      <c r="F108" s="510">
        <v>283</v>
      </c>
      <c r="G108" s="510">
        <v>493</v>
      </c>
      <c r="H108" s="510">
        <v>729</v>
      </c>
      <c r="I108" s="510">
        <v>845</v>
      </c>
      <c r="J108" s="510">
        <v>938</v>
      </c>
      <c r="K108" s="510">
        <v>1265</v>
      </c>
      <c r="L108" s="510">
        <v>979</v>
      </c>
      <c r="M108" s="510">
        <v>1187</v>
      </c>
      <c r="N108" s="510">
        <v>453</v>
      </c>
      <c r="O108" s="510">
        <v>544</v>
      </c>
      <c r="P108" s="510">
        <v>1003</v>
      </c>
      <c r="Q108" s="510">
        <v>617</v>
      </c>
      <c r="R108" s="510">
        <v>492</v>
      </c>
      <c r="S108" s="510">
        <v>423</v>
      </c>
    </row>
    <row r="109" spans="1:19">
      <c r="A109" s="510" t="s">
        <v>1723</v>
      </c>
      <c r="B109" s="510">
        <v>294</v>
      </c>
      <c r="C109" s="510">
        <v>310</v>
      </c>
      <c r="D109" s="510">
        <v>123</v>
      </c>
      <c r="E109" s="510">
        <v>63</v>
      </c>
      <c r="F109" s="510">
        <v>78</v>
      </c>
      <c r="G109" s="510">
        <v>189</v>
      </c>
      <c r="H109" s="510">
        <v>605</v>
      </c>
      <c r="I109" s="510">
        <v>793</v>
      </c>
      <c r="J109" s="510">
        <v>663</v>
      </c>
      <c r="K109" s="510">
        <v>544</v>
      </c>
      <c r="L109" s="510">
        <v>63</v>
      </c>
      <c r="M109" s="510">
        <v>273</v>
      </c>
      <c r="N109" s="510">
        <v>305</v>
      </c>
      <c r="O109" s="510">
        <v>498</v>
      </c>
      <c r="P109" s="510">
        <v>490</v>
      </c>
      <c r="Q109" s="510">
        <v>356</v>
      </c>
      <c r="R109" s="510">
        <v>360</v>
      </c>
      <c r="S109" s="510">
        <v>509</v>
      </c>
    </row>
    <row r="110" spans="1:19">
      <c r="A110" s="510" t="s">
        <v>1722</v>
      </c>
      <c r="B110" s="510">
        <v>4770</v>
      </c>
      <c r="C110" s="510">
        <v>4107</v>
      </c>
      <c r="D110" s="510">
        <v>2148</v>
      </c>
      <c r="E110" s="510">
        <v>1190</v>
      </c>
      <c r="F110" s="510">
        <v>2152</v>
      </c>
      <c r="G110" s="510">
        <v>4230</v>
      </c>
      <c r="H110" s="510">
        <v>1936</v>
      </c>
      <c r="I110" s="510">
        <v>4257</v>
      </c>
      <c r="J110" s="510">
        <v>5733</v>
      </c>
      <c r="K110" s="510">
        <v>1326</v>
      </c>
      <c r="L110" s="510">
        <v>-826</v>
      </c>
      <c r="M110" s="510">
        <v>6471</v>
      </c>
      <c r="N110" s="510">
        <v>8825</v>
      </c>
      <c r="O110" s="510">
        <v>6455</v>
      </c>
      <c r="P110" s="510">
        <v>7545</v>
      </c>
      <c r="Q110" s="510">
        <v>5713</v>
      </c>
      <c r="R110" s="510">
        <v>10027</v>
      </c>
      <c r="S110" s="510">
        <v>10474</v>
      </c>
    </row>
    <row r="111" spans="1:19">
      <c r="A111" s="510" t="s">
        <v>1721</v>
      </c>
      <c r="B111" s="510">
        <v>4091</v>
      </c>
      <c r="C111" s="510">
        <v>3401</v>
      </c>
      <c r="D111" s="510">
        <v>1532</v>
      </c>
      <c r="E111" s="510">
        <v>789</v>
      </c>
      <c r="F111" s="510">
        <v>1642</v>
      </c>
      <c r="G111" s="510">
        <v>3931</v>
      </c>
      <c r="H111" s="510">
        <v>1652</v>
      </c>
      <c r="I111" s="510">
        <v>3446</v>
      </c>
      <c r="J111" s="510">
        <v>3895</v>
      </c>
      <c r="K111" s="510">
        <v>344</v>
      </c>
      <c r="L111" s="510">
        <v>-1733</v>
      </c>
      <c r="M111" s="510">
        <v>5431</v>
      </c>
      <c r="N111" s="510">
        <v>7362</v>
      </c>
      <c r="O111" s="510">
        <v>5024</v>
      </c>
      <c r="P111" s="510">
        <v>5896</v>
      </c>
      <c r="Q111" s="510">
        <v>4102</v>
      </c>
      <c r="R111" s="510">
        <v>8328</v>
      </c>
      <c r="S111" s="510">
        <v>8614</v>
      </c>
    </row>
    <row r="112" spans="1:19">
      <c r="A112" s="510" t="s">
        <v>1720</v>
      </c>
      <c r="B112" s="510">
        <v>2544</v>
      </c>
      <c r="C112" s="510">
        <v>1686</v>
      </c>
      <c r="D112" s="510">
        <v>531</v>
      </c>
      <c r="E112" s="510">
        <v>-588</v>
      </c>
      <c r="F112" s="510">
        <v>-303</v>
      </c>
      <c r="G112" s="510">
        <v>1407</v>
      </c>
      <c r="H112" s="510">
        <v>-114</v>
      </c>
      <c r="I112" s="510">
        <v>932</v>
      </c>
      <c r="J112" s="510">
        <v>1415</v>
      </c>
      <c r="K112" s="510">
        <v>-1045</v>
      </c>
      <c r="L112" s="510">
        <v>-2787</v>
      </c>
      <c r="M112" s="510">
        <v>1927</v>
      </c>
      <c r="N112" s="510">
        <v>3182</v>
      </c>
      <c r="O112" s="510">
        <v>2571</v>
      </c>
      <c r="P112" s="510">
        <v>2847</v>
      </c>
      <c r="Q112" s="510">
        <v>1123</v>
      </c>
      <c r="R112" s="510">
        <v>4507</v>
      </c>
      <c r="S112" s="510">
        <v>4668</v>
      </c>
    </row>
    <row r="113" spans="1:19">
      <c r="A113" s="510" t="s">
        <v>1719</v>
      </c>
      <c r="B113" s="510">
        <v>48</v>
      </c>
      <c r="C113" s="510">
        <v>-127</v>
      </c>
      <c r="D113" s="510">
        <v>42</v>
      </c>
      <c r="E113" s="510">
        <v>29</v>
      </c>
      <c r="F113" s="510">
        <v>4</v>
      </c>
      <c r="G113" s="510">
        <v>9</v>
      </c>
      <c r="H113" s="510">
        <v>9</v>
      </c>
      <c r="I113" s="510">
        <v>33</v>
      </c>
      <c r="J113" s="510">
        <v>-11</v>
      </c>
      <c r="K113" s="510">
        <v>11</v>
      </c>
      <c r="L113" s="510">
        <v>6</v>
      </c>
      <c r="M113" s="510">
        <v>25</v>
      </c>
      <c r="N113" s="510">
        <v>14</v>
      </c>
      <c r="O113" s="510">
        <v>14</v>
      </c>
      <c r="P113" s="510">
        <v>14</v>
      </c>
      <c r="Q113" s="510">
        <v>18</v>
      </c>
      <c r="R113" s="510">
        <v>18</v>
      </c>
      <c r="S113" s="510">
        <v>12</v>
      </c>
    </row>
    <row r="114" spans="1:19">
      <c r="A114" s="510" t="s">
        <v>1718</v>
      </c>
      <c r="B114" s="510">
        <v>1499</v>
      </c>
      <c r="C114" s="510">
        <v>1842</v>
      </c>
      <c r="D114" s="510">
        <v>958</v>
      </c>
      <c r="E114" s="510">
        <v>1348</v>
      </c>
      <c r="F114" s="510">
        <v>1940</v>
      </c>
      <c r="G114" s="510">
        <v>2515</v>
      </c>
      <c r="H114" s="510">
        <v>1757</v>
      </c>
      <c r="I114" s="510">
        <v>2481</v>
      </c>
      <c r="J114" s="510">
        <v>2492</v>
      </c>
      <c r="K114" s="510">
        <v>1378</v>
      </c>
      <c r="L114" s="510">
        <v>1048</v>
      </c>
      <c r="M114" s="510">
        <v>3479</v>
      </c>
      <c r="N114" s="510">
        <v>4166</v>
      </c>
      <c r="O114" s="510">
        <v>2439</v>
      </c>
      <c r="P114" s="510">
        <v>3034</v>
      </c>
      <c r="Q114" s="510">
        <v>2961</v>
      </c>
      <c r="R114" s="510">
        <v>3803</v>
      </c>
      <c r="S114" s="510">
        <v>3934</v>
      </c>
    </row>
    <row r="115" spans="1:19">
      <c r="A115" s="510" t="s">
        <v>67</v>
      </c>
      <c r="B115" s="510">
        <v>680</v>
      </c>
      <c r="C115" s="510">
        <v>706</v>
      </c>
      <c r="D115" s="510">
        <v>616</v>
      </c>
      <c r="E115" s="510">
        <v>401</v>
      </c>
      <c r="F115" s="510">
        <v>510</v>
      </c>
      <c r="G115" s="510">
        <v>299</v>
      </c>
      <c r="H115" s="510">
        <v>283</v>
      </c>
      <c r="I115" s="510">
        <v>811</v>
      </c>
      <c r="J115" s="510">
        <v>1838</v>
      </c>
      <c r="K115" s="510">
        <v>982</v>
      </c>
      <c r="L115" s="510">
        <v>907</v>
      </c>
      <c r="M115" s="510">
        <v>1040</v>
      </c>
      <c r="N115" s="510">
        <v>1462</v>
      </c>
      <c r="O115" s="510">
        <v>1431</v>
      </c>
      <c r="P115" s="510">
        <v>1649</v>
      </c>
      <c r="Q115" s="510">
        <v>1611</v>
      </c>
      <c r="R115" s="510">
        <v>1699</v>
      </c>
      <c r="S115" s="510">
        <v>1861</v>
      </c>
    </row>
    <row r="116" spans="1:19">
      <c r="A116" s="510" t="s">
        <v>1717</v>
      </c>
      <c r="B116" s="510">
        <v>287</v>
      </c>
      <c r="C116" s="510">
        <v>567</v>
      </c>
      <c r="D116" s="510">
        <v>557</v>
      </c>
      <c r="E116" s="510">
        <v>455</v>
      </c>
      <c r="F116" s="510">
        <v>484</v>
      </c>
      <c r="G116" s="510">
        <v>463</v>
      </c>
      <c r="H116" s="510">
        <v>553</v>
      </c>
      <c r="I116" s="510">
        <v>706</v>
      </c>
      <c r="J116" s="510">
        <v>1710</v>
      </c>
      <c r="K116" s="510">
        <v>991</v>
      </c>
      <c r="L116" s="510">
        <v>734</v>
      </c>
      <c r="M116" s="510">
        <v>673</v>
      </c>
      <c r="N116" s="510">
        <v>971</v>
      </c>
      <c r="O116" s="510">
        <v>1015</v>
      </c>
      <c r="P116" s="510">
        <v>1268</v>
      </c>
      <c r="Q116" s="510">
        <v>1136</v>
      </c>
      <c r="R116" s="510">
        <v>1336</v>
      </c>
      <c r="S116" s="510">
        <v>1525</v>
      </c>
    </row>
    <row r="117" spans="1:19">
      <c r="A117" s="510" t="s">
        <v>1716</v>
      </c>
      <c r="B117" s="510">
        <v>22</v>
      </c>
      <c r="C117" s="510">
        <v>25</v>
      </c>
      <c r="D117" s="510">
        <v>-5</v>
      </c>
      <c r="E117" s="510">
        <v>-52</v>
      </c>
      <c r="F117" s="510">
        <v>2</v>
      </c>
      <c r="G117" s="510">
        <v>3</v>
      </c>
      <c r="H117" s="510">
        <v>37</v>
      </c>
      <c r="I117" s="510">
        <v>40</v>
      </c>
      <c r="J117" s="510">
        <v>-35</v>
      </c>
      <c r="K117" s="510">
        <v>18</v>
      </c>
      <c r="L117" s="510">
        <v>39</v>
      </c>
      <c r="M117" s="510">
        <v>49</v>
      </c>
      <c r="N117" s="510">
        <v>62</v>
      </c>
      <c r="O117" s="510">
        <v>69</v>
      </c>
      <c r="P117" s="510">
        <v>86</v>
      </c>
      <c r="Q117" s="510">
        <v>177</v>
      </c>
      <c r="R117" s="510">
        <v>322</v>
      </c>
      <c r="S117" s="510">
        <v>316</v>
      </c>
    </row>
    <row r="118" spans="1:19">
      <c r="A118" s="510" t="s">
        <v>1715</v>
      </c>
      <c r="B118" s="510">
        <v>1</v>
      </c>
      <c r="C118" s="510">
        <v>1</v>
      </c>
      <c r="D118" s="510">
        <v>1</v>
      </c>
      <c r="E118" s="510">
        <v>1</v>
      </c>
      <c r="F118" s="510">
        <v>1</v>
      </c>
      <c r="G118" s="510" t="s">
        <v>291</v>
      </c>
      <c r="H118" s="510">
        <v>-374</v>
      </c>
      <c r="I118" s="510">
        <v>-4</v>
      </c>
      <c r="J118" s="510">
        <v>-19</v>
      </c>
      <c r="K118" s="510">
        <v>-294</v>
      </c>
      <c r="L118" s="510">
        <v>-59</v>
      </c>
      <c r="M118" s="510">
        <v>-6</v>
      </c>
      <c r="N118" s="510">
        <v>-6</v>
      </c>
      <c r="O118" s="510">
        <v>15</v>
      </c>
      <c r="P118" s="510">
        <v>15</v>
      </c>
      <c r="Q118" s="510">
        <v>4</v>
      </c>
      <c r="R118" s="510">
        <v>11</v>
      </c>
      <c r="S118" s="510">
        <v>9</v>
      </c>
    </row>
    <row r="119" spans="1:19">
      <c r="A119" s="510" t="s">
        <v>1714</v>
      </c>
      <c r="B119" s="510">
        <v>370</v>
      </c>
      <c r="C119" s="510">
        <v>114</v>
      </c>
      <c r="D119" s="510">
        <v>64</v>
      </c>
      <c r="E119" s="510">
        <v>-2</v>
      </c>
      <c r="F119" s="510">
        <v>24</v>
      </c>
      <c r="G119" s="510" t="s">
        <v>291</v>
      </c>
      <c r="H119" s="510">
        <v>67</v>
      </c>
      <c r="I119" s="510">
        <v>68</v>
      </c>
      <c r="J119" s="510">
        <v>181</v>
      </c>
      <c r="K119" s="510">
        <v>268</v>
      </c>
      <c r="L119" s="510">
        <v>193</v>
      </c>
      <c r="M119" s="510">
        <v>324</v>
      </c>
      <c r="N119" s="510">
        <v>435</v>
      </c>
      <c r="O119" s="510">
        <v>332</v>
      </c>
      <c r="P119" s="510">
        <v>280</v>
      </c>
      <c r="Q119" s="510">
        <v>294</v>
      </c>
      <c r="R119" s="510">
        <v>30</v>
      </c>
      <c r="S119" s="510">
        <v>11</v>
      </c>
    </row>
    <row r="120" spans="1:19">
      <c r="A120" s="510" t="s">
        <v>1713</v>
      </c>
      <c r="B120" s="510" t="s">
        <v>273</v>
      </c>
      <c r="C120" s="510" t="s">
        <v>273</v>
      </c>
      <c r="D120" s="510">
        <v>7960</v>
      </c>
      <c r="E120" s="510">
        <v>8872</v>
      </c>
      <c r="F120" s="510">
        <v>9937</v>
      </c>
      <c r="G120" s="510">
        <v>13679</v>
      </c>
      <c r="H120" s="510">
        <v>14862</v>
      </c>
      <c r="I120" s="510">
        <v>16771</v>
      </c>
      <c r="J120" s="510">
        <v>19762</v>
      </c>
      <c r="K120" s="510">
        <v>20142</v>
      </c>
      <c r="L120" s="510">
        <v>13561</v>
      </c>
      <c r="M120" s="510">
        <v>17452</v>
      </c>
      <c r="N120" s="510">
        <v>18880</v>
      </c>
      <c r="O120" s="510">
        <v>19274</v>
      </c>
      <c r="P120" s="510">
        <v>16921</v>
      </c>
      <c r="Q120" s="510">
        <v>15229</v>
      </c>
      <c r="R120" s="510">
        <v>14685</v>
      </c>
      <c r="S120" s="510">
        <v>14982</v>
      </c>
    </row>
    <row r="121" spans="1:19">
      <c r="A121" s="510" t="s">
        <v>1712</v>
      </c>
      <c r="B121" s="510" t="s">
        <v>273</v>
      </c>
      <c r="C121" s="510" t="s">
        <v>273</v>
      </c>
      <c r="D121" s="510">
        <v>1981</v>
      </c>
      <c r="E121" s="510">
        <v>2522</v>
      </c>
      <c r="F121" s="510">
        <v>2788</v>
      </c>
      <c r="G121" s="510">
        <v>3219</v>
      </c>
      <c r="H121" s="510">
        <v>3570</v>
      </c>
      <c r="I121" s="510">
        <v>3898</v>
      </c>
      <c r="J121" s="510">
        <v>4702</v>
      </c>
      <c r="K121" s="510">
        <v>5146</v>
      </c>
      <c r="L121" s="510">
        <v>4590</v>
      </c>
      <c r="M121" s="510">
        <v>4716</v>
      </c>
      <c r="N121" s="510">
        <v>5381</v>
      </c>
      <c r="O121" s="510">
        <v>5320</v>
      </c>
      <c r="P121" s="510">
        <v>4582</v>
      </c>
      <c r="Q121" s="510">
        <v>4618</v>
      </c>
      <c r="R121" s="510">
        <v>3459</v>
      </c>
      <c r="S121" s="510">
        <v>3568</v>
      </c>
    </row>
    <row r="122" spans="1:19">
      <c r="A122" s="510" t="s">
        <v>1711</v>
      </c>
      <c r="B122" s="510" t="s">
        <v>273</v>
      </c>
      <c r="C122" s="510" t="s">
        <v>273</v>
      </c>
      <c r="D122" s="510">
        <v>1849</v>
      </c>
      <c r="E122" s="510">
        <v>2431</v>
      </c>
      <c r="F122" s="510">
        <v>2663</v>
      </c>
      <c r="G122" s="510">
        <v>3138</v>
      </c>
      <c r="H122" s="510">
        <v>3478</v>
      </c>
      <c r="I122" s="510">
        <v>3768</v>
      </c>
      <c r="J122" s="510">
        <v>4575</v>
      </c>
      <c r="K122" s="510">
        <v>5044</v>
      </c>
      <c r="L122" s="510">
        <v>4515</v>
      </c>
      <c r="M122" s="510">
        <v>4607</v>
      </c>
      <c r="N122" s="510">
        <v>5329</v>
      </c>
      <c r="O122" s="510">
        <v>5281</v>
      </c>
      <c r="P122" s="510">
        <v>4480</v>
      </c>
      <c r="Q122" s="510">
        <v>4560</v>
      </c>
      <c r="R122" s="510">
        <v>3400</v>
      </c>
      <c r="S122" s="510">
        <v>3482</v>
      </c>
    </row>
    <row r="123" spans="1:19">
      <c r="A123" s="510" t="s">
        <v>1710</v>
      </c>
      <c r="B123" s="510" t="s">
        <v>273</v>
      </c>
      <c r="C123" s="510" t="s">
        <v>273</v>
      </c>
      <c r="D123" s="510">
        <v>133</v>
      </c>
      <c r="E123" s="510">
        <v>91</v>
      </c>
      <c r="F123" s="510">
        <v>125</v>
      </c>
      <c r="G123" s="510">
        <v>81</v>
      </c>
      <c r="H123" s="510">
        <v>92</v>
      </c>
      <c r="I123" s="510">
        <v>130</v>
      </c>
      <c r="J123" s="510">
        <v>126</v>
      </c>
      <c r="K123" s="510">
        <v>102</v>
      </c>
      <c r="L123" s="510">
        <v>75</v>
      </c>
      <c r="M123" s="510">
        <v>108</v>
      </c>
      <c r="N123" s="510">
        <v>52</v>
      </c>
      <c r="O123" s="510">
        <v>39</v>
      </c>
      <c r="P123" s="510">
        <v>102</v>
      </c>
      <c r="Q123" s="510">
        <v>58</v>
      </c>
      <c r="R123" s="510">
        <v>59</v>
      </c>
      <c r="S123" s="510">
        <v>86</v>
      </c>
    </row>
    <row r="124" spans="1:19">
      <c r="A124" s="510" t="s">
        <v>1709</v>
      </c>
      <c r="B124" s="510" t="s">
        <v>273</v>
      </c>
      <c r="C124" s="510" t="s">
        <v>273</v>
      </c>
      <c r="D124" s="510">
        <v>214</v>
      </c>
      <c r="E124" s="510">
        <v>200</v>
      </c>
      <c r="F124" s="510">
        <v>243</v>
      </c>
      <c r="G124" s="510">
        <v>364</v>
      </c>
      <c r="H124" s="510">
        <v>680</v>
      </c>
      <c r="I124" s="510">
        <v>664</v>
      </c>
      <c r="J124" s="510">
        <v>900</v>
      </c>
      <c r="K124" s="510">
        <v>665</v>
      </c>
      <c r="L124" s="510">
        <v>367</v>
      </c>
      <c r="M124" s="510">
        <v>527</v>
      </c>
      <c r="N124" s="510">
        <v>682</v>
      </c>
      <c r="O124" s="510">
        <v>374</v>
      </c>
      <c r="P124" s="510">
        <v>577</v>
      </c>
      <c r="Q124" s="510">
        <v>499</v>
      </c>
      <c r="R124" s="510">
        <v>608</v>
      </c>
      <c r="S124" s="510">
        <v>672</v>
      </c>
    </row>
    <row r="125" spans="1:19">
      <c r="A125" s="510" t="s">
        <v>1708</v>
      </c>
      <c r="B125" s="510" t="s">
        <v>273</v>
      </c>
      <c r="C125" s="510" t="s">
        <v>273</v>
      </c>
      <c r="D125" s="510">
        <v>-65</v>
      </c>
      <c r="E125" s="510">
        <v>-46</v>
      </c>
      <c r="F125" s="510">
        <v>-67</v>
      </c>
      <c r="G125" s="510">
        <v>33</v>
      </c>
      <c r="H125" s="510">
        <v>123</v>
      </c>
      <c r="I125" s="510">
        <v>26</v>
      </c>
      <c r="J125" s="510">
        <v>49</v>
      </c>
      <c r="K125" s="510">
        <v>6</v>
      </c>
      <c r="L125" s="510">
        <v>35</v>
      </c>
      <c r="M125" s="510">
        <v>61</v>
      </c>
      <c r="N125" s="510">
        <v>43</v>
      </c>
      <c r="O125" s="510">
        <v>24</v>
      </c>
      <c r="P125" s="510">
        <v>26</v>
      </c>
      <c r="Q125" s="510">
        <v>5</v>
      </c>
      <c r="R125" s="510">
        <v>5</v>
      </c>
      <c r="S125" s="510">
        <v>6</v>
      </c>
    </row>
    <row r="126" spans="1:19">
      <c r="A126" s="510" t="s">
        <v>1707</v>
      </c>
      <c r="B126" s="510" t="s">
        <v>273</v>
      </c>
      <c r="C126" s="510" t="s">
        <v>273</v>
      </c>
      <c r="D126" s="510">
        <v>79</v>
      </c>
      <c r="E126" s="510">
        <v>23</v>
      </c>
      <c r="F126" s="510">
        <v>2</v>
      </c>
      <c r="G126" s="510">
        <v>-30</v>
      </c>
      <c r="H126" s="510">
        <v>-33</v>
      </c>
      <c r="I126" s="510">
        <v>-103</v>
      </c>
      <c r="J126" s="510">
        <v>64</v>
      </c>
      <c r="K126" s="510">
        <v>61</v>
      </c>
      <c r="L126" s="510">
        <v>189</v>
      </c>
      <c r="M126" s="510">
        <v>193</v>
      </c>
      <c r="N126" s="510">
        <v>235</v>
      </c>
      <c r="O126" s="510">
        <v>79</v>
      </c>
      <c r="P126" s="510">
        <v>79</v>
      </c>
      <c r="Q126" s="510">
        <v>95</v>
      </c>
      <c r="R126" s="510">
        <v>82</v>
      </c>
      <c r="S126" s="510">
        <v>102</v>
      </c>
    </row>
    <row r="127" spans="1:19">
      <c r="A127" s="510" t="s">
        <v>1706</v>
      </c>
      <c r="B127" s="510" t="s">
        <v>273</v>
      </c>
      <c r="C127" s="510" t="s">
        <v>273</v>
      </c>
      <c r="D127" s="510">
        <v>218</v>
      </c>
      <c r="E127" s="510">
        <v>239</v>
      </c>
      <c r="F127" s="510">
        <v>315</v>
      </c>
      <c r="G127" s="510">
        <v>360</v>
      </c>
      <c r="H127" s="510">
        <v>575</v>
      </c>
      <c r="I127" s="510">
        <v>712</v>
      </c>
      <c r="J127" s="510">
        <v>740</v>
      </c>
      <c r="K127" s="510">
        <v>541</v>
      </c>
      <c r="L127" s="510">
        <v>157</v>
      </c>
      <c r="M127" s="510">
        <v>259</v>
      </c>
      <c r="N127" s="510">
        <v>409</v>
      </c>
      <c r="O127" s="510">
        <v>243</v>
      </c>
      <c r="P127" s="510">
        <v>396</v>
      </c>
      <c r="Q127" s="510">
        <v>334</v>
      </c>
      <c r="R127" s="510">
        <v>494</v>
      </c>
      <c r="S127" s="510">
        <v>537</v>
      </c>
    </row>
    <row r="128" spans="1:19">
      <c r="A128" s="510" t="s">
        <v>1705</v>
      </c>
      <c r="B128" s="510" t="s">
        <v>273</v>
      </c>
      <c r="C128" s="510" t="s">
        <v>273</v>
      </c>
      <c r="D128" s="510">
        <v>-18</v>
      </c>
      <c r="E128" s="510">
        <v>-15</v>
      </c>
      <c r="F128" s="510">
        <v>-7</v>
      </c>
      <c r="G128" s="510" t="s">
        <v>306</v>
      </c>
      <c r="H128" s="510">
        <v>15</v>
      </c>
      <c r="I128" s="510">
        <v>29</v>
      </c>
      <c r="J128" s="510">
        <v>48</v>
      </c>
      <c r="K128" s="510">
        <v>58</v>
      </c>
      <c r="L128" s="510">
        <v>-14</v>
      </c>
      <c r="M128" s="510">
        <v>14</v>
      </c>
      <c r="N128" s="510">
        <v>-6</v>
      </c>
      <c r="O128" s="510">
        <v>27</v>
      </c>
      <c r="P128" s="510">
        <v>75</v>
      </c>
      <c r="Q128" s="510">
        <v>65</v>
      </c>
      <c r="R128" s="510">
        <v>26</v>
      </c>
      <c r="S128" s="510">
        <v>27</v>
      </c>
    </row>
    <row r="129" spans="1:19">
      <c r="A129" s="510" t="s">
        <v>1704</v>
      </c>
      <c r="B129" s="510" t="s">
        <v>273</v>
      </c>
      <c r="C129" s="510" t="s">
        <v>273</v>
      </c>
      <c r="D129" s="510">
        <v>-36</v>
      </c>
      <c r="E129" s="510">
        <v>256</v>
      </c>
      <c r="F129" s="510">
        <v>35</v>
      </c>
      <c r="G129" s="510">
        <v>690</v>
      </c>
      <c r="H129" s="510">
        <v>-237</v>
      </c>
      <c r="I129" s="510">
        <v>74</v>
      </c>
      <c r="J129" s="510">
        <v>46</v>
      </c>
      <c r="K129" s="510">
        <v>-141</v>
      </c>
      <c r="L129" s="510">
        <v>-414</v>
      </c>
      <c r="M129" s="510">
        <v>2</v>
      </c>
      <c r="N129" s="510">
        <v>118</v>
      </c>
      <c r="O129" s="510">
        <v>205</v>
      </c>
      <c r="P129" s="510">
        <v>124</v>
      </c>
      <c r="Q129" s="510">
        <v>128</v>
      </c>
      <c r="R129" s="510">
        <v>138</v>
      </c>
      <c r="S129" s="510">
        <v>498</v>
      </c>
    </row>
    <row r="130" spans="1:19">
      <c r="A130" s="510" t="s">
        <v>1703</v>
      </c>
      <c r="B130" s="510" t="s">
        <v>273</v>
      </c>
      <c r="C130" s="510" t="s">
        <v>273</v>
      </c>
      <c r="D130" s="510">
        <v>1182</v>
      </c>
      <c r="E130" s="510">
        <v>798</v>
      </c>
      <c r="F130" s="510">
        <v>362</v>
      </c>
      <c r="G130" s="510">
        <v>854</v>
      </c>
      <c r="H130" s="510">
        <v>940</v>
      </c>
      <c r="I130" s="510">
        <v>918</v>
      </c>
      <c r="J130" s="510">
        <v>1265</v>
      </c>
      <c r="K130" s="510">
        <v>445</v>
      </c>
      <c r="L130" s="510">
        <v>373</v>
      </c>
      <c r="M130" s="510">
        <v>702</v>
      </c>
      <c r="N130" s="510">
        <v>644</v>
      </c>
      <c r="O130" s="510">
        <v>783</v>
      </c>
      <c r="P130" s="510">
        <v>521</v>
      </c>
      <c r="Q130" s="510">
        <v>482</v>
      </c>
      <c r="R130" s="510">
        <v>695</v>
      </c>
      <c r="S130" s="510">
        <v>819</v>
      </c>
    </row>
    <row r="131" spans="1:19">
      <c r="A131" s="510" t="s">
        <v>1702</v>
      </c>
      <c r="B131" s="510" t="s">
        <v>273</v>
      </c>
      <c r="C131" s="510" t="s">
        <v>273</v>
      </c>
      <c r="D131" s="510">
        <v>362</v>
      </c>
      <c r="E131" s="510">
        <v>89</v>
      </c>
      <c r="F131" s="510">
        <v>-77</v>
      </c>
      <c r="G131" s="510">
        <v>179</v>
      </c>
      <c r="H131" s="510">
        <v>161</v>
      </c>
      <c r="I131" s="510">
        <v>87</v>
      </c>
      <c r="J131" s="510">
        <v>468</v>
      </c>
      <c r="K131" s="510">
        <v>-161</v>
      </c>
      <c r="L131" s="510">
        <v>25</v>
      </c>
      <c r="M131" s="510">
        <v>181</v>
      </c>
      <c r="N131" s="510">
        <v>369</v>
      </c>
      <c r="O131" s="510">
        <v>601</v>
      </c>
      <c r="P131" s="510">
        <v>369</v>
      </c>
      <c r="Q131" s="510">
        <v>292</v>
      </c>
      <c r="R131" s="510">
        <v>214</v>
      </c>
      <c r="S131" s="510">
        <v>338</v>
      </c>
    </row>
    <row r="132" spans="1:19">
      <c r="A132" s="510" t="s">
        <v>1701</v>
      </c>
      <c r="B132" s="510" t="s">
        <v>273</v>
      </c>
      <c r="C132" s="510" t="s">
        <v>273</v>
      </c>
      <c r="D132" s="510">
        <v>820</v>
      </c>
      <c r="E132" s="510">
        <v>709</v>
      </c>
      <c r="F132" s="510">
        <v>440</v>
      </c>
      <c r="G132" s="510">
        <v>676</v>
      </c>
      <c r="H132" s="510">
        <v>779</v>
      </c>
      <c r="I132" s="510">
        <v>831</v>
      </c>
      <c r="J132" s="510">
        <v>797</v>
      </c>
      <c r="K132" s="510">
        <v>606</v>
      </c>
      <c r="L132" s="510">
        <v>349</v>
      </c>
      <c r="M132" s="510">
        <v>521</v>
      </c>
      <c r="N132" s="510">
        <v>274</v>
      </c>
      <c r="O132" s="510">
        <v>182</v>
      </c>
      <c r="P132" s="510">
        <v>152</v>
      </c>
      <c r="Q132" s="510">
        <v>190</v>
      </c>
      <c r="R132" s="510">
        <v>481</v>
      </c>
      <c r="S132" s="510">
        <v>481</v>
      </c>
    </row>
    <row r="133" spans="1:19">
      <c r="A133" s="510" t="s">
        <v>1700</v>
      </c>
      <c r="B133" s="510" t="s">
        <v>273</v>
      </c>
      <c r="C133" s="510" t="s">
        <v>273</v>
      </c>
      <c r="D133" s="510">
        <v>20</v>
      </c>
      <c r="E133" s="510">
        <v>66</v>
      </c>
      <c r="F133" s="510">
        <v>145</v>
      </c>
      <c r="G133" s="510">
        <v>209</v>
      </c>
      <c r="H133" s="510">
        <v>171</v>
      </c>
      <c r="I133" s="510">
        <v>271</v>
      </c>
      <c r="J133" s="510">
        <v>-91</v>
      </c>
      <c r="K133" s="510">
        <v>-252</v>
      </c>
      <c r="L133" s="510">
        <v>138</v>
      </c>
      <c r="M133" s="510">
        <v>94</v>
      </c>
      <c r="N133" s="510">
        <v>-35</v>
      </c>
      <c r="O133" s="510">
        <v>-120</v>
      </c>
      <c r="P133" s="510" t="s">
        <v>306</v>
      </c>
      <c r="Q133" s="510">
        <v>-33</v>
      </c>
      <c r="R133" s="510">
        <v>133</v>
      </c>
      <c r="S133" s="510">
        <v>171</v>
      </c>
    </row>
    <row r="134" spans="1:19">
      <c r="A134" s="510" t="s">
        <v>1699</v>
      </c>
      <c r="B134" s="510" t="s">
        <v>273</v>
      </c>
      <c r="C134" s="510" t="s">
        <v>273</v>
      </c>
      <c r="D134" s="510">
        <v>1350</v>
      </c>
      <c r="E134" s="510">
        <v>1076</v>
      </c>
      <c r="F134" s="510">
        <v>1621</v>
      </c>
      <c r="G134" s="510">
        <v>2812</v>
      </c>
      <c r="H134" s="510">
        <v>2863</v>
      </c>
      <c r="I134" s="510">
        <v>4095</v>
      </c>
      <c r="J134" s="510">
        <v>3934</v>
      </c>
      <c r="K134" s="510">
        <v>4685</v>
      </c>
      <c r="L134" s="510">
        <v>1613</v>
      </c>
      <c r="M134" s="510">
        <v>1602</v>
      </c>
      <c r="N134" s="510">
        <v>2415</v>
      </c>
      <c r="O134" s="510">
        <v>3886</v>
      </c>
      <c r="P134" s="510">
        <v>2390</v>
      </c>
      <c r="Q134" s="510">
        <v>1646</v>
      </c>
      <c r="R134" s="510">
        <v>1876</v>
      </c>
      <c r="S134" s="510">
        <v>364</v>
      </c>
    </row>
    <row r="135" spans="1:19">
      <c r="A135" s="510" t="s">
        <v>1698</v>
      </c>
      <c r="B135" s="510" t="s">
        <v>273</v>
      </c>
      <c r="C135" s="510" t="s">
        <v>273</v>
      </c>
      <c r="D135" s="510">
        <v>656</v>
      </c>
      <c r="E135" s="510">
        <v>513</v>
      </c>
      <c r="F135" s="510">
        <v>884</v>
      </c>
      <c r="G135" s="510">
        <v>1302</v>
      </c>
      <c r="H135" s="510">
        <v>1542</v>
      </c>
      <c r="I135" s="510" t="s">
        <v>291</v>
      </c>
      <c r="J135" s="510" t="s">
        <v>291</v>
      </c>
      <c r="K135" s="510" t="s">
        <v>291</v>
      </c>
      <c r="L135" s="510">
        <v>945</v>
      </c>
      <c r="M135" s="510">
        <v>939</v>
      </c>
      <c r="N135" s="510">
        <v>2016</v>
      </c>
      <c r="O135" s="510" t="s">
        <v>291</v>
      </c>
      <c r="P135" s="510" t="s">
        <v>291</v>
      </c>
      <c r="Q135" s="510" t="s">
        <v>291</v>
      </c>
      <c r="R135" s="510" t="s">
        <v>291</v>
      </c>
      <c r="S135" s="510" t="s">
        <v>291</v>
      </c>
    </row>
    <row r="136" spans="1:19">
      <c r="A136" s="510" t="s">
        <v>1697</v>
      </c>
      <c r="B136" s="510" t="s">
        <v>273</v>
      </c>
      <c r="C136" s="510" t="s">
        <v>273</v>
      </c>
      <c r="D136" s="510">
        <v>409</v>
      </c>
      <c r="E136" s="510">
        <v>84</v>
      </c>
      <c r="F136" s="510">
        <v>455</v>
      </c>
      <c r="G136" s="510" t="s">
        <v>291</v>
      </c>
      <c r="H136" s="510" t="s">
        <v>291</v>
      </c>
      <c r="I136" s="510">
        <v>641</v>
      </c>
      <c r="J136" s="510">
        <v>958</v>
      </c>
      <c r="K136" s="510">
        <v>839</v>
      </c>
      <c r="L136" s="510">
        <v>213</v>
      </c>
      <c r="M136" s="510">
        <v>445</v>
      </c>
      <c r="N136" s="510" t="s">
        <v>291</v>
      </c>
      <c r="O136" s="510" t="s">
        <v>291</v>
      </c>
      <c r="P136" s="510">
        <v>676</v>
      </c>
      <c r="Q136" s="510" t="s">
        <v>291</v>
      </c>
      <c r="R136" s="510" t="s">
        <v>291</v>
      </c>
      <c r="S136" s="510">
        <v>233</v>
      </c>
    </row>
    <row r="137" spans="1:19">
      <c r="A137" s="510" t="s">
        <v>1696</v>
      </c>
      <c r="B137" s="510" t="s">
        <v>273</v>
      </c>
      <c r="C137" s="510" t="s">
        <v>273</v>
      </c>
      <c r="D137" s="510">
        <v>285</v>
      </c>
      <c r="E137" s="510">
        <v>479</v>
      </c>
      <c r="F137" s="510">
        <v>282</v>
      </c>
      <c r="G137" s="510" t="s">
        <v>291</v>
      </c>
      <c r="H137" s="510" t="s">
        <v>291</v>
      </c>
      <c r="I137" s="510" t="s">
        <v>291</v>
      </c>
      <c r="J137" s="510" t="s">
        <v>291</v>
      </c>
      <c r="K137" s="510" t="s">
        <v>291</v>
      </c>
      <c r="L137" s="510">
        <v>454</v>
      </c>
      <c r="M137" s="510">
        <v>219</v>
      </c>
      <c r="N137" s="510" t="s">
        <v>291</v>
      </c>
      <c r="O137" s="510">
        <v>-44</v>
      </c>
      <c r="P137" s="510" t="s">
        <v>291</v>
      </c>
      <c r="Q137" s="510">
        <v>21</v>
      </c>
      <c r="R137" s="510">
        <v>5</v>
      </c>
      <c r="S137" s="510" t="s">
        <v>291</v>
      </c>
    </row>
    <row r="138" spans="1:19">
      <c r="A138" s="510" t="s">
        <v>1695</v>
      </c>
      <c r="B138" s="510" t="s">
        <v>273</v>
      </c>
      <c r="C138" s="510" t="s">
        <v>273</v>
      </c>
      <c r="D138" s="510">
        <v>475</v>
      </c>
      <c r="E138" s="510">
        <v>1061</v>
      </c>
      <c r="F138" s="510">
        <v>1132</v>
      </c>
      <c r="G138" s="510">
        <v>667</v>
      </c>
      <c r="H138" s="510">
        <v>1257</v>
      </c>
      <c r="I138" s="510">
        <v>1065</v>
      </c>
      <c r="J138" s="510">
        <v>1856</v>
      </c>
      <c r="K138" s="510">
        <v>1641</v>
      </c>
      <c r="L138" s="510">
        <v>1141</v>
      </c>
      <c r="M138" s="510">
        <v>1530</v>
      </c>
      <c r="N138" s="510">
        <v>1560</v>
      </c>
      <c r="O138" s="510">
        <v>1368</v>
      </c>
      <c r="P138" s="510">
        <v>1786</v>
      </c>
      <c r="Q138" s="510">
        <v>1158</v>
      </c>
      <c r="R138" s="510">
        <v>1516</v>
      </c>
      <c r="S138" s="510">
        <v>1954</v>
      </c>
    </row>
    <row r="139" spans="1:19">
      <c r="A139" s="510" t="s">
        <v>1694</v>
      </c>
      <c r="B139" s="510" t="s">
        <v>273</v>
      </c>
      <c r="C139" s="510" t="s">
        <v>273</v>
      </c>
      <c r="D139" s="510">
        <v>541</v>
      </c>
      <c r="E139" s="510">
        <v>602</v>
      </c>
      <c r="F139" s="510">
        <v>738</v>
      </c>
      <c r="G139" s="510">
        <v>409</v>
      </c>
      <c r="H139" s="510">
        <v>803</v>
      </c>
      <c r="I139" s="510">
        <v>588</v>
      </c>
      <c r="J139" s="510">
        <v>1003</v>
      </c>
      <c r="K139" s="510">
        <v>1082</v>
      </c>
      <c r="L139" s="510">
        <v>694</v>
      </c>
      <c r="M139" s="510">
        <v>1024</v>
      </c>
      <c r="N139" s="510">
        <v>915</v>
      </c>
      <c r="O139" s="510">
        <v>987</v>
      </c>
      <c r="P139" s="510">
        <v>1040</v>
      </c>
      <c r="Q139" s="510">
        <v>853</v>
      </c>
      <c r="R139" s="510">
        <v>1141</v>
      </c>
      <c r="S139" s="510">
        <v>1190</v>
      </c>
    </row>
    <row r="140" spans="1:19">
      <c r="A140" s="510" t="s">
        <v>1693</v>
      </c>
      <c r="B140" s="510" t="s">
        <v>273</v>
      </c>
      <c r="C140" s="510" t="s">
        <v>273</v>
      </c>
      <c r="D140" s="510">
        <v>-66</v>
      </c>
      <c r="E140" s="510">
        <v>459</v>
      </c>
      <c r="F140" s="510">
        <v>393</v>
      </c>
      <c r="G140" s="510">
        <v>258</v>
      </c>
      <c r="H140" s="510">
        <v>454</v>
      </c>
      <c r="I140" s="510">
        <v>477</v>
      </c>
      <c r="J140" s="510">
        <v>853</v>
      </c>
      <c r="K140" s="510">
        <v>560</v>
      </c>
      <c r="L140" s="510">
        <v>447</v>
      </c>
      <c r="M140" s="510">
        <v>506</v>
      </c>
      <c r="N140" s="510">
        <v>644</v>
      </c>
      <c r="O140" s="510">
        <v>381</v>
      </c>
      <c r="P140" s="510">
        <v>746</v>
      </c>
      <c r="Q140" s="510">
        <v>304</v>
      </c>
      <c r="R140" s="510">
        <v>376</v>
      </c>
      <c r="S140" s="510">
        <v>763</v>
      </c>
    </row>
    <row r="141" spans="1:19">
      <c r="A141" s="510" t="s">
        <v>1692</v>
      </c>
      <c r="B141" s="510" t="s">
        <v>273</v>
      </c>
      <c r="C141" s="510" t="s">
        <v>273</v>
      </c>
      <c r="D141" s="510">
        <v>814</v>
      </c>
      <c r="E141" s="510">
        <v>904</v>
      </c>
      <c r="F141" s="510">
        <v>763</v>
      </c>
      <c r="G141" s="510">
        <v>1424</v>
      </c>
      <c r="H141" s="510">
        <v>1940</v>
      </c>
      <c r="I141" s="510">
        <v>2252</v>
      </c>
      <c r="J141" s="510">
        <v>2284</v>
      </c>
      <c r="K141" s="510">
        <v>2169</v>
      </c>
      <c r="L141" s="510">
        <v>1714</v>
      </c>
      <c r="M141" s="510">
        <v>2615</v>
      </c>
      <c r="N141" s="510">
        <v>2083</v>
      </c>
      <c r="O141" s="510">
        <v>1641</v>
      </c>
      <c r="P141" s="510">
        <v>1242</v>
      </c>
      <c r="Q141" s="510">
        <v>997</v>
      </c>
      <c r="R141" s="510">
        <v>1323</v>
      </c>
      <c r="S141" s="510">
        <v>1348</v>
      </c>
    </row>
    <row r="142" spans="1:19">
      <c r="A142" s="510" t="s">
        <v>1691</v>
      </c>
      <c r="B142" s="510" t="s">
        <v>273</v>
      </c>
      <c r="C142" s="510" t="s">
        <v>273</v>
      </c>
      <c r="D142" s="510">
        <v>-1</v>
      </c>
      <c r="E142" s="510">
        <v>2</v>
      </c>
      <c r="F142" s="510">
        <v>32</v>
      </c>
      <c r="G142" s="510">
        <v>71</v>
      </c>
      <c r="H142" s="510">
        <v>93</v>
      </c>
      <c r="I142" s="510">
        <v>152</v>
      </c>
      <c r="J142" s="510">
        <v>530</v>
      </c>
      <c r="K142" s="510">
        <v>-2</v>
      </c>
      <c r="L142" s="510">
        <v>13</v>
      </c>
      <c r="M142" s="510">
        <v>127</v>
      </c>
      <c r="N142" s="510">
        <v>163</v>
      </c>
      <c r="O142" s="510">
        <v>161</v>
      </c>
      <c r="P142" s="510">
        <v>160</v>
      </c>
      <c r="Q142" s="510">
        <v>218</v>
      </c>
      <c r="R142" s="510">
        <v>112</v>
      </c>
      <c r="S142" s="510">
        <v>309</v>
      </c>
    </row>
    <row r="143" spans="1:19">
      <c r="A143" s="510" t="s">
        <v>1690</v>
      </c>
      <c r="B143" s="510" t="s">
        <v>273</v>
      </c>
      <c r="C143" s="510" t="s">
        <v>273</v>
      </c>
      <c r="D143" s="510">
        <v>551</v>
      </c>
      <c r="E143" s="510">
        <v>611</v>
      </c>
      <c r="F143" s="510">
        <v>526</v>
      </c>
      <c r="G143" s="510">
        <v>1080</v>
      </c>
      <c r="H143" s="510">
        <v>1553</v>
      </c>
      <c r="I143" s="510">
        <v>1679</v>
      </c>
      <c r="J143" s="510">
        <v>1197</v>
      </c>
      <c r="K143" s="510">
        <v>1643</v>
      </c>
      <c r="L143" s="510">
        <v>1444</v>
      </c>
      <c r="M143" s="510">
        <v>2093</v>
      </c>
      <c r="N143" s="510">
        <v>1385</v>
      </c>
      <c r="O143" s="510">
        <v>903</v>
      </c>
      <c r="P143" s="510">
        <v>561</v>
      </c>
      <c r="Q143" s="510">
        <v>308</v>
      </c>
      <c r="R143" s="510">
        <v>457</v>
      </c>
      <c r="S143" s="510">
        <v>534</v>
      </c>
    </row>
    <row r="144" spans="1:19">
      <c r="A144" s="510" t="s">
        <v>1689</v>
      </c>
      <c r="B144" s="510" t="s">
        <v>273</v>
      </c>
      <c r="C144" s="510" t="s">
        <v>273</v>
      </c>
      <c r="D144" s="510">
        <v>211</v>
      </c>
      <c r="E144" s="510">
        <v>239</v>
      </c>
      <c r="F144" s="510">
        <v>144</v>
      </c>
      <c r="G144" s="510">
        <v>180</v>
      </c>
      <c r="H144" s="510">
        <v>176</v>
      </c>
      <c r="I144" s="510">
        <v>231</v>
      </c>
      <c r="J144" s="510">
        <v>342</v>
      </c>
      <c r="K144" s="510">
        <v>382</v>
      </c>
      <c r="L144" s="510">
        <v>238</v>
      </c>
      <c r="M144" s="510">
        <v>285</v>
      </c>
      <c r="N144" s="510">
        <v>321</v>
      </c>
      <c r="O144" s="510">
        <v>341</v>
      </c>
      <c r="P144" s="510" t="s">
        <v>291</v>
      </c>
      <c r="Q144" s="510">
        <v>361</v>
      </c>
      <c r="R144" s="510">
        <v>576</v>
      </c>
      <c r="S144" s="510">
        <v>262</v>
      </c>
    </row>
    <row r="145" spans="1:19">
      <c r="A145" s="510" t="s">
        <v>1688</v>
      </c>
      <c r="B145" s="510" t="s">
        <v>273</v>
      </c>
      <c r="C145" s="510" t="s">
        <v>273</v>
      </c>
      <c r="D145" s="510">
        <v>27</v>
      </c>
      <c r="E145" s="510">
        <v>30</v>
      </c>
      <c r="F145" s="510">
        <v>37</v>
      </c>
      <c r="G145" s="510">
        <v>43</v>
      </c>
      <c r="H145" s="510" t="s">
        <v>291</v>
      </c>
      <c r="I145" s="510">
        <v>58</v>
      </c>
      <c r="J145" s="510">
        <v>32</v>
      </c>
      <c r="K145" s="510">
        <v>-5</v>
      </c>
      <c r="L145" s="510">
        <v>10</v>
      </c>
      <c r="M145" s="510">
        <v>30</v>
      </c>
      <c r="N145" s="510">
        <v>31</v>
      </c>
      <c r="O145" s="510">
        <v>53</v>
      </c>
      <c r="P145" s="510" t="s">
        <v>291</v>
      </c>
      <c r="Q145" s="510" t="s">
        <v>291</v>
      </c>
      <c r="R145" s="510" t="s">
        <v>291</v>
      </c>
      <c r="S145" s="510" t="s">
        <v>291</v>
      </c>
    </row>
    <row r="146" spans="1:19">
      <c r="A146" s="510" t="s">
        <v>1687</v>
      </c>
      <c r="B146" s="510" t="s">
        <v>273</v>
      </c>
      <c r="C146" s="510" t="s">
        <v>273</v>
      </c>
      <c r="D146" s="510">
        <v>25</v>
      </c>
      <c r="E146" s="510">
        <v>22</v>
      </c>
      <c r="F146" s="510">
        <v>25</v>
      </c>
      <c r="G146" s="510">
        <v>50</v>
      </c>
      <c r="H146" s="510" t="s">
        <v>291</v>
      </c>
      <c r="I146" s="510">
        <v>132</v>
      </c>
      <c r="J146" s="510">
        <v>183</v>
      </c>
      <c r="K146" s="510">
        <v>150</v>
      </c>
      <c r="L146" s="510">
        <v>8</v>
      </c>
      <c r="M146" s="510">
        <v>79</v>
      </c>
      <c r="N146" s="510">
        <v>182</v>
      </c>
      <c r="O146" s="510">
        <v>183</v>
      </c>
      <c r="P146" s="510">
        <v>166</v>
      </c>
      <c r="Q146" s="510" t="s">
        <v>291</v>
      </c>
      <c r="R146" s="510" t="s">
        <v>291</v>
      </c>
      <c r="S146" s="510" t="s">
        <v>291</v>
      </c>
    </row>
    <row r="147" spans="1:19">
      <c r="A147" s="510" t="s">
        <v>1686</v>
      </c>
      <c r="B147" s="510" t="s">
        <v>273</v>
      </c>
      <c r="C147" s="510" t="s">
        <v>273</v>
      </c>
      <c r="D147" s="510">
        <v>81</v>
      </c>
      <c r="E147" s="510">
        <v>-10</v>
      </c>
      <c r="F147" s="510">
        <v>-58</v>
      </c>
      <c r="G147" s="510">
        <v>-51</v>
      </c>
      <c r="H147" s="510">
        <v>36</v>
      </c>
      <c r="I147" s="510">
        <v>-24</v>
      </c>
      <c r="J147" s="510">
        <v>114</v>
      </c>
      <c r="K147" s="510">
        <v>39</v>
      </c>
      <c r="L147" s="510">
        <v>-51</v>
      </c>
      <c r="M147" s="510">
        <v>32</v>
      </c>
      <c r="N147" s="510">
        <v>88</v>
      </c>
      <c r="O147" s="510">
        <v>17</v>
      </c>
      <c r="P147" s="510">
        <v>-9</v>
      </c>
      <c r="Q147" s="510">
        <v>15</v>
      </c>
      <c r="R147" s="510">
        <v>71</v>
      </c>
      <c r="S147" s="510">
        <v>103</v>
      </c>
    </row>
    <row r="148" spans="1:19">
      <c r="A148" s="510" t="s">
        <v>1685</v>
      </c>
      <c r="B148" s="510" t="s">
        <v>273</v>
      </c>
      <c r="C148" s="510" t="s">
        <v>273</v>
      </c>
      <c r="D148" s="510">
        <v>1878</v>
      </c>
      <c r="E148" s="510">
        <v>1999</v>
      </c>
      <c r="F148" s="510">
        <v>2905</v>
      </c>
      <c r="G148" s="510">
        <v>3492</v>
      </c>
      <c r="H148" s="510">
        <v>3641</v>
      </c>
      <c r="I148" s="510">
        <v>3558</v>
      </c>
      <c r="J148" s="510">
        <v>4751</v>
      </c>
      <c r="K148" s="510">
        <v>5744</v>
      </c>
      <c r="L148" s="510">
        <v>4090</v>
      </c>
      <c r="M148" s="510">
        <v>5633</v>
      </c>
      <c r="N148" s="510">
        <v>5946</v>
      </c>
      <c r="O148" s="510">
        <v>5800</v>
      </c>
      <c r="P148" s="510">
        <v>5709</v>
      </c>
      <c r="Q148" s="510">
        <v>5719</v>
      </c>
      <c r="R148" s="510">
        <v>4865</v>
      </c>
      <c r="S148" s="510">
        <v>5486</v>
      </c>
    </row>
    <row r="149" spans="1:19">
      <c r="A149" s="510" t="s">
        <v>1684</v>
      </c>
      <c r="B149" s="510" t="s">
        <v>273</v>
      </c>
      <c r="C149" s="510" t="s">
        <v>273</v>
      </c>
      <c r="D149" s="510">
        <v>1653</v>
      </c>
      <c r="E149" s="510">
        <v>1614</v>
      </c>
      <c r="F149" s="510">
        <v>2342</v>
      </c>
      <c r="G149" s="510">
        <v>2762</v>
      </c>
      <c r="H149" s="510">
        <v>3112</v>
      </c>
      <c r="I149" s="510">
        <v>3009</v>
      </c>
      <c r="J149" s="510">
        <v>4095</v>
      </c>
      <c r="K149" s="510">
        <v>4680</v>
      </c>
      <c r="L149" s="510">
        <v>3467</v>
      </c>
      <c r="M149" s="510">
        <v>5179</v>
      </c>
      <c r="N149" s="510">
        <v>5386</v>
      </c>
      <c r="O149" s="510">
        <v>5079</v>
      </c>
      <c r="P149" s="510">
        <v>4965</v>
      </c>
      <c r="Q149" s="510">
        <v>5096</v>
      </c>
      <c r="R149" s="510">
        <v>4488</v>
      </c>
      <c r="S149" s="510">
        <v>4483</v>
      </c>
    </row>
    <row r="150" spans="1:19">
      <c r="A150" s="510" t="s">
        <v>1683</v>
      </c>
      <c r="B150" s="510" t="s">
        <v>273</v>
      </c>
      <c r="C150" s="510" t="s">
        <v>273</v>
      </c>
      <c r="D150" s="510">
        <v>225</v>
      </c>
      <c r="E150" s="510">
        <v>386</v>
      </c>
      <c r="F150" s="510">
        <v>563</v>
      </c>
      <c r="G150" s="510">
        <v>730</v>
      </c>
      <c r="H150" s="510">
        <v>529</v>
      </c>
      <c r="I150" s="510">
        <v>549</v>
      </c>
      <c r="J150" s="510">
        <v>656</v>
      </c>
      <c r="K150" s="510">
        <v>1065</v>
      </c>
      <c r="L150" s="510">
        <v>623</v>
      </c>
      <c r="M150" s="510">
        <v>454</v>
      </c>
      <c r="N150" s="510">
        <v>559</v>
      </c>
      <c r="O150" s="510">
        <v>721</v>
      </c>
      <c r="P150" s="510">
        <v>744</v>
      </c>
      <c r="Q150" s="510">
        <v>624</v>
      </c>
      <c r="R150" s="510">
        <v>377</v>
      </c>
      <c r="S150" s="510">
        <v>1003</v>
      </c>
    </row>
    <row r="151" spans="1:19">
      <c r="A151" s="510" t="s">
        <v>1682</v>
      </c>
      <c r="B151" s="510">
        <v>21</v>
      </c>
      <c r="C151" s="510">
        <v>124</v>
      </c>
      <c r="D151" s="510" t="s">
        <v>273</v>
      </c>
      <c r="E151" s="510" t="s">
        <v>273</v>
      </c>
      <c r="F151" s="510" t="s">
        <v>273</v>
      </c>
      <c r="G151" s="510" t="s">
        <v>273</v>
      </c>
      <c r="H151" s="510" t="s">
        <v>273</v>
      </c>
      <c r="I151" s="510" t="s">
        <v>273</v>
      </c>
      <c r="J151" s="510" t="s">
        <v>273</v>
      </c>
      <c r="K151" s="510" t="s">
        <v>273</v>
      </c>
      <c r="L151" s="510" t="s">
        <v>273</v>
      </c>
      <c r="M151" s="510" t="s">
        <v>273</v>
      </c>
      <c r="N151" s="510" t="s">
        <v>273</v>
      </c>
      <c r="O151" s="510" t="s">
        <v>273</v>
      </c>
      <c r="P151" s="510" t="s">
        <v>273</v>
      </c>
      <c r="Q151" s="510" t="s">
        <v>273</v>
      </c>
      <c r="R151" s="510" t="s">
        <v>273</v>
      </c>
      <c r="S151" s="510" t="s">
        <v>273</v>
      </c>
    </row>
    <row r="152" spans="1:19">
      <c r="A152" s="510" t="s">
        <v>1681</v>
      </c>
      <c r="B152" s="510">
        <v>1468</v>
      </c>
      <c r="C152" s="510">
        <v>1667</v>
      </c>
      <c r="D152" s="510" t="s">
        <v>273</v>
      </c>
      <c r="E152" s="510" t="s">
        <v>273</v>
      </c>
      <c r="F152" s="510" t="s">
        <v>273</v>
      </c>
      <c r="G152" s="510" t="s">
        <v>273</v>
      </c>
      <c r="H152" s="510" t="s">
        <v>273</v>
      </c>
      <c r="I152" s="510" t="s">
        <v>273</v>
      </c>
      <c r="J152" s="510" t="s">
        <v>273</v>
      </c>
      <c r="K152" s="510" t="s">
        <v>273</v>
      </c>
      <c r="L152" s="510" t="s">
        <v>273</v>
      </c>
      <c r="M152" s="510" t="s">
        <v>273</v>
      </c>
      <c r="N152" s="510" t="s">
        <v>273</v>
      </c>
      <c r="O152" s="510" t="s">
        <v>273</v>
      </c>
      <c r="P152" s="510" t="s">
        <v>273</v>
      </c>
      <c r="Q152" s="510" t="s">
        <v>273</v>
      </c>
      <c r="R152" s="510" t="s">
        <v>273</v>
      </c>
      <c r="S152" s="510" t="s">
        <v>273</v>
      </c>
    </row>
    <row r="153" spans="1:19">
      <c r="A153" s="510" t="s">
        <v>1680</v>
      </c>
      <c r="B153" s="510">
        <v>1101</v>
      </c>
      <c r="C153" s="510">
        <v>1327</v>
      </c>
      <c r="D153" s="510" t="s">
        <v>273</v>
      </c>
      <c r="E153" s="510" t="s">
        <v>273</v>
      </c>
      <c r="F153" s="510" t="s">
        <v>273</v>
      </c>
      <c r="G153" s="510" t="s">
        <v>273</v>
      </c>
      <c r="H153" s="510" t="s">
        <v>273</v>
      </c>
      <c r="I153" s="510" t="s">
        <v>273</v>
      </c>
      <c r="J153" s="510" t="s">
        <v>273</v>
      </c>
      <c r="K153" s="510" t="s">
        <v>273</v>
      </c>
      <c r="L153" s="510" t="s">
        <v>273</v>
      </c>
      <c r="M153" s="510" t="s">
        <v>273</v>
      </c>
      <c r="N153" s="510" t="s">
        <v>273</v>
      </c>
      <c r="O153" s="510" t="s">
        <v>273</v>
      </c>
      <c r="P153" s="510" t="s">
        <v>273</v>
      </c>
      <c r="Q153" s="510" t="s">
        <v>273</v>
      </c>
      <c r="R153" s="510" t="s">
        <v>273</v>
      </c>
      <c r="S153" s="510" t="s">
        <v>273</v>
      </c>
    </row>
    <row r="154" spans="1:19">
      <c r="A154" s="510" t="s">
        <v>1679</v>
      </c>
      <c r="B154" s="510">
        <v>367</v>
      </c>
      <c r="C154" s="510">
        <v>340</v>
      </c>
      <c r="D154" s="510" t="s">
        <v>273</v>
      </c>
      <c r="E154" s="510" t="s">
        <v>273</v>
      </c>
      <c r="F154" s="510" t="s">
        <v>273</v>
      </c>
      <c r="G154" s="510" t="s">
        <v>273</v>
      </c>
      <c r="H154" s="510" t="s">
        <v>273</v>
      </c>
      <c r="I154" s="510" t="s">
        <v>273</v>
      </c>
      <c r="J154" s="510" t="s">
        <v>273</v>
      </c>
      <c r="K154" s="510" t="s">
        <v>273</v>
      </c>
      <c r="L154" s="510" t="s">
        <v>273</v>
      </c>
      <c r="M154" s="510" t="s">
        <v>273</v>
      </c>
      <c r="N154" s="510" t="s">
        <v>273</v>
      </c>
      <c r="O154" s="510" t="s">
        <v>273</v>
      </c>
      <c r="P154" s="510" t="s">
        <v>273</v>
      </c>
      <c r="Q154" s="510" t="s">
        <v>273</v>
      </c>
      <c r="R154" s="510" t="s">
        <v>273</v>
      </c>
      <c r="S154" s="510" t="s">
        <v>273</v>
      </c>
    </row>
    <row r="155" spans="1:19">
      <c r="A155" s="510" t="s">
        <v>1678</v>
      </c>
      <c r="B155" s="510">
        <v>12414</v>
      </c>
      <c r="C155" s="510">
        <v>14198</v>
      </c>
      <c r="D155" s="510">
        <v>13706</v>
      </c>
      <c r="E155" s="510">
        <v>13382</v>
      </c>
      <c r="F155" s="510">
        <v>18440</v>
      </c>
      <c r="G155" s="510">
        <v>23389</v>
      </c>
      <c r="H155" s="510">
        <v>24494</v>
      </c>
      <c r="I155" s="510">
        <v>24321</v>
      </c>
      <c r="J155" s="510">
        <v>28527</v>
      </c>
      <c r="K155" s="510">
        <v>28773</v>
      </c>
      <c r="L155" s="510">
        <v>19512</v>
      </c>
      <c r="M155" s="510">
        <v>24538</v>
      </c>
      <c r="N155" s="510">
        <v>27854</v>
      </c>
      <c r="O155" s="510">
        <v>25789</v>
      </c>
      <c r="P155" s="510">
        <v>24716</v>
      </c>
      <c r="Q155" s="510">
        <v>27442</v>
      </c>
      <c r="R155" s="510">
        <v>19697</v>
      </c>
      <c r="S155" s="510">
        <v>21832</v>
      </c>
    </row>
    <row r="156" spans="1:19">
      <c r="A156" s="510" t="s">
        <v>1677</v>
      </c>
      <c r="B156" s="510">
        <v>4144</v>
      </c>
      <c r="C156" s="510">
        <v>4203</v>
      </c>
      <c r="D156" s="510">
        <v>4069</v>
      </c>
      <c r="E156" s="510">
        <v>4121</v>
      </c>
      <c r="F156" s="510">
        <v>6095</v>
      </c>
      <c r="G156" s="510">
        <v>6043</v>
      </c>
      <c r="H156" s="510">
        <v>5984</v>
      </c>
      <c r="I156" s="510">
        <v>4662</v>
      </c>
      <c r="J156" s="510">
        <v>5352</v>
      </c>
      <c r="K156" s="510">
        <v>4337</v>
      </c>
      <c r="L156" s="510">
        <v>4960</v>
      </c>
      <c r="M156" s="510">
        <v>4871</v>
      </c>
      <c r="N156" s="510">
        <v>4848</v>
      </c>
      <c r="O156" s="510">
        <v>4643</v>
      </c>
      <c r="P156" s="510">
        <v>4061</v>
      </c>
      <c r="Q156" s="510">
        <v>4144</v>
      </c>
      <c r="R156" s="510">
        <v>3325</v>
      </c>
      <c r="S156" s="510">
        <v>3720</v>
      </c>
    </row>
    <row r="157" spans="1:19">
      <c r="A157" s="510" t="s">
        <v>1676</v>
      </c>
      <c r="B157" s="510">
        <v>2981</v>
      </c>
      <c r="C157" s="510">
        <v>4565</v>
      </c>
      <c r="D157" s="510">
        <v>4563</v>
      </c>
      <c r="E157" s="510">
        <v>3304</v>
      </c>
      <c r="F157" s="510">
        <v>5069</v>
      </c>
      <c r="G157" s="510" t="s">
        <v>273</v>
      </c>
      <c r="H157" s="510" t="s">
        <v>273</v>
      </c>
      <c r="I157" s="510" t="s">
        <v>273</v>
      </c>
      <c r="J157" s="510" t="s">
        <v>273</v>
      </c>
      <c r="K157" s="510" t="s">
        <v>273</v>
      </c>
      <c r="L157" s="510" t="s">
        <v>273</v>
      </c>
      <c r="M157" s="510" t="s">
        <v>273</v>
      </c>
      <c r="N157" s="510" t="s">
        <v>273</v>
      </c>
      <c r="O157" s="510" t="s">
        <v>273</v>
      </c>
      <c r="P157" s="510" t="s">
        <v>273</v>
      </c>
      <c r="Q157" s="510" t="s">
        <v>273</v>
      </c>
      <c r="R157" s="510" t="s">
        <v>273</v>
      </c>
      <c r="S157" s="510" t="s">
        <v>273</v>
      </c>
    </row>
    <row r="158" spans="1:19">
      <c r="A158" s="510" t="s">
        <v>1671</v>
      </c>
      <c r="B158" s="510">
        <v>176</v>
      </c>
      <c r="C158" s="510">
        <v>763</v>
      </c>
      <c r="D158" s="510">
        <v>819</v>
      </c>
      <c r="E158" s="510">
        <v>705</v>
      </c>
      <c r="F158" s="510">
        <v>1199</v>
      </c>
      <c r="G158" s="510" t="s">
        <v>273</v>
      </c>
      <c r="H158" s="510" t="s">
        <v>273</v>
      </c>
      <c r="I158" s="510" t="s">
        <v>273</v>
      </c>
      <c r="J158" s="510" t="s">
        <v>273</v>
      </c>
      <c r="K158" s="510" t="s">
        <v>273</v>
      </c>
      <c r="L158" s="510" t="s">
        <v>273</v>
      </c>
      <c r="M158" s="510" t="s">
        <v>273</v>
      </c>
      <c r="N158" s="510" t="s">
        <v>273</v>
      </c>
      <c r="O158" s="510" t="s">
        <v>273</v>
      </c>
      <c r="P158" s="510" t="s">
        <v>273</v>
      </c>
      <c r="Q158" s="510" t="s">
        <v>273</v>
      </c>
      <c r="R158" s="510" t="s">
        <v>273</v>
      </c>
      <c r="S158" s="510" t="s">
        <v>273</v>
      </c>
    </row>
    <row r="159" spans="1:19">
      <c r="A159" s="510" t="s">
        <v>1670</v>
      </c>
      <c r="B159" s="510">
        <v>12</v>
      </c>
      <c r="C159" s="510">
        <v>25</v>
      </c>
      <c r="D159" s="510">
        <v>-6</v>
      </c>
      <c r="E159" s="510">
        <v>-1</v>
      </c>
      <c r="F159" s="510" t="s">
        <v>306</v>
      </c>
      <c r="G159" s="510" t="s">
        <v>273</v>
      </c>
      <c r="H159" s="510" t="s">
        <v>273</v>
      </c>
      <c r="I159" s="510" t="s">
        <v>273</v>
      </c>
      <c r="J159" s="510" t="s">
        <v>273</v>
      </c>
      <c r="K159" s="510" t="s">
        <v>273</v>
      </c>
      <c r="L159" s="510" t="s">
        <v>273</v>
      </c>
      <c r="M159" s="510" t="s">
        <v>273</v>
      </c>
      <c r="N159" s="510" t="s">
        <v>273</v>
      </c>
      <c r="O159" s="510" t="s">
        <v>273</v>
      </c>
      <c r="P159" s="510" t="s">
        <v>273</v>
      </c>
      <c r="Q159" s="510" t="s">
        <v>273</v>
      </c>
      <c r="R159" s="510" t="s">
        <v>273</v>
      </c>
      <c r="S159" s="510" t="s">
        <v>273</v>
      </c>
    </row>
    <row r="160" spans="1:19">
      <c r="A160" s="510" t="s">
        <v>1669</v>
      </c>
      <c r="B160" s="510">
        <v>5</v>
      </c>
      <c r="C160" s="510">
        <v>-3</v>
      </c>
      <c r="D160" s="510">
        <v>-8</v>
      </c>
      <c r="E160" s="510" t="s">
        <v>306</v>
      </c>
      <c r="F160" s="510">
        <v>3</v>
      </c>
      <c r="G160" s="510" t="s">
        <v>273</v>
      </c>
      <c r="H160" s="510" t="s">
        <v>273</v>
      </c>
      <c r="I160" s="510" t="s">
        <v>273</v>
      </c>
      <c r="J160" s="510" t="s">
        <v>273</v>
      </c>
      <c r="K160" s="510" t="s">
        <v>273</v>
      </c>
      <c r="L160" s="510" t="s">
        <v>273</v>
      </c>
      <c r="M160" s="510" t="s">
        <v>273</v>
      </c>
      <c r="N160" s="510" t="s">
        <v>273</v>
      </c>
      <c r="O160" s="510" t="s">
        <v>273</v>
      </c>
      <c r="P160" s="510" t="s">
        <v>273</v>
      </c>
      <c r="Q160" s="510" t="s">
        <v>273</v>
      </c>
      <c r="R160" s="510" t="s">
        <v>273</v>
      </c>
      <c r="S160" s="510" t="s">
        <v>273</v>
      </c>
    </row>
    <row r="161" spans="1:19">
      <c r="A161" s="510" t="s">
        <v>1668</v>
      </c>
      <c r="B161" s="510">
        <v>81</v>
      </c>
      <c r="C161" s="510">
        <v>166</v>
      </c>
      <c r="D161" s="510">
        <v>25</v>
      </c>
      <c r="E161" s="510">
        <v>67</v>
      </c>
      <c r="F161" s="510">
        <v>9</v>
      </c>
      <c r="G161" s="510" t="s">
        <v>273</v>
      </c>
      <c r="H161" s="510" t="s">
        <v>273</v>
      </c>
      <c r="I161" s="510" t="s">
        <v>273</v>
      </c>
      <c r="J161" s="510" t="s">
        <v>273</v>
      </c>
      <c r="K161" s="510" t="s">
        <v>273</v>
      </c>
      <c r="L161" s="510" t="s">
        <v>273</v>
      </c>
      <c r="M161" s="510" t="s">
        <v>273</v>
      </c>
      <c r="N161" s="510" t="s">
        <v>273</v>
      </c>
      <c r="O161" s="510" t="s">
        <v>273</v>
      </c>
      <c r="P161" s="510" t="s">
        <v>273</v>
      </c>
      <c r="Q161" s="510" t="s">
        <v>273</v>
      </c>
      <c r="R161" s="510" t="s">
        <v>273</v>
      </c>
      <c r="S161" s="510" t="s">
        <v>273</v>
      </c>
    </row>
    <row r="162" spans="1:19">
      <c r="A162" s="510" t="s">
        <v>1667</v>
      </c>
      <c r="B162" s="510">
        <v>1303</v>
      </c>
      <c r="C162" s="510">
        <v>1583</v>
      </c>
      <c r="D162" s="510">
        <v>1746</v>
      </c>
      <c r="E162" s="510">
        <v>1381</v>
      </c>
      <c r="F162" s="510">
        <v>2247</v>
      </c>
      <c r="G162" s="510" t="s">
        <v>273</v>
      </c>
      <c r="H162" s="510" t="s">
        <v>273</v>
      </c>
      <c r="I162" s="510" t="s">
        <v>273</v>
      </c>
      <c r="J162" s="510" t="s">
        <v>273</v>
      </c>
      <c r="K162" s="510" t="s">
        <v>273</v>
      </c>
      <c r="L162" s="510" t="s">
        <v>273</v>
      </c>
      <c r="M162" s="510" t="s">
        <v>273</v>
      </c>
      <c r="N162" s="510" t="s">
        <v>273</v>
      </c>
      <c r="O162" s="510" t="s">
        <v>273</v>
      </c>
      <c r="P162" s="510" t="s">
        <v>273</v>
      </c>
      <c r="Q162" s="510" t="s">
        <v>273</v>
      </c>
      <c r="R162" s="510" t="s">
        <v>273</v>
      </c>
      <c r="S162" s="510" t="s">
        <v>273</v>
      </c>
    </row>
    <row r="163" spans="1:19">
      <c r="A163" s="510" t="s">
        <v>1666</v>
      </c>
      <c r="B163" s="510">
        <v>21</v>
      </c>
      <c r="C163" s="510">
        <v>50</v>
      </c>
      <c r="D163" s="510">
        <v>23</v>
      </c>
      <c r="E163" s="510">
        <v>62</v>
      </c>
      <c r="F163" s="510">
        <v>54</v>
      </c>
      <c r="G163" s="510" t="s">
        <v>273</v>
      </c>
      <c r="H163" s="510" t="s">
        <v>273</v>
      </c>
      <c r="I163" s="510" t="s">
        <v>273</v>
      </c>
      <c r="J163" s="510" t="s">
        <v>273</v>
      </c>
      <c r="K163" s="510" t="s">
        <v>273</v>
      </c>
      <c r="L163" s="510" t="s">
        <v>273</v>
      </c>
      <c r="M163" s="510" t="s">
        <v>273</v>
      </c>
      <c r="N163" s="510" t="s">
        <v>273</v>
      </c>
      <c r="O163" s="510" t="s">
        <v>273</v>
      </c>
      <c r="P163" s="510" t="s">
        <v>273</v>
      </c>
      <c r="Q163" s="510" t="s">
        <v>273</v>
      </c>
      <c r="R163" s="510" t="s">
        <v>273</v>
      </c>
      <c r="S163" s="510" t="s">
        <v>273</v>
      </c>
    </row>
    <row r="164" spans="1:19">
      <c r="A164" s="510" t="s">
        <v>1665</v>
      </c>
      <c r="B164" s="510">
        <v>938</v>
      </c>
      <c r="C164" s="510">
        <v>1397</v>
      </c>
      <c r="D164" s="510">
        <v>1421</v>
      </c>
      <c r="E164" s="510">
        <v>716</v>
      </c>
      <c r="F164" s="510">
        <v>766</v>
      </c>
      <c r="G164" s="510" t="s">
        <v>273</v>
      </c>
      <c r="H164" s="510" t="s">
        <v>273</v>
      </c>
      <c r="I164" s="510" t="s">
        <v>273</v>
      </c>
      <c r="J164" s="510" t="s">
        <v>273</v>
      </c>
      <c r="K164" s="510" t="s">
        <v>273</v>
      </c>
      <c r="L164" s="510" t="s">
        <v>273</v>
      </c>
      <c r="M164" s="510" t="s">
        <v>273</v>
      </c>
      <c r="N164" s="510" t="s">
        <v>273</v>
      </c>
      <c r="O164" s="510" t="s">
        <v>273</v>
      </c>
      <c r="P164" s="510" t="s">
        <v>273</v>
      </c>
      <c r="Q164" s="510" t="s">
        <v>273</v>
      </c>
      <c r="R164" s="510" t="s">
        <v>273</v>
      </c>
      <c r="S164" s="510" t="s">
        <v>273</v>
      </c>
    </row>
    <row r="165" spans="1:19">
      <c r="A165" s="510" t="s">
        <v>1664</v>
      </c>
      <c r="B165" s="510">
        <v>446</v>
      </c>
      <c r="C165" s="510">
        <v>584</v>
      </c>
      <c r="D165" s="510">
        <v>543</v>
      </c>
      <c r="E165" s="510">
        <v>374</v>
      </c>
      <c r="F165" s="510">
        <v>792</v>
      </c>
      <c r="G165" s="510" t="s">
        <v>273</v>
      </c>
      <c r="H165" s="510" t="s">
        <v>273</v>
      </c>
      <c r="I165" s="510" t="s">
        <v>273</v>
      </c>
      <c r="J165" s="510" t="s">
        <v>273</v>
      </c>
      <c r="K165" s="510" t="s">
        <v>273</v>
      </c>
      <c r="L165" s="510" t="s">
        <v>273</v>
      </c>
      <c r="M165" s="510" t="s">
        <v>273</v>
      </c>
      <c r="N165" s="510" t="s">
        <v>273</v>
      </c>
      <c r="O165" s="510" t="s">
        <v>273</v>
      </c>
      <c r="P165" s="510" t="s">
        <v>273</v>
      </c>
      <c r="Q165" s="510" t="s">
        <v>273</v>
      </c>
      <c r="R165" s="510" t="s">
        <v>273</v>
      </c>
      <c r="S165" s="510" t="s">
        <v>273</v>
      </c>
    </row>
    <row r="166" spans="1:19">
      <c r="A166" s="510" t="s">
        <v>1675</v>
      </c>
      <c r="B166" s="510">
        <v>1389</v>
      </c>
      <c r="C166" s="510">
        <v>1249</v>
      </c>
      <c r="D166" s="510">
        <v>31</v>
      </c>
      <c r="E166" s="510">
        <v>161</v>
      </c>
      <c r="F166" s="510">
        <v>431</v>
      </c>
      <c r="G166" s="510">
        <v>657</v>
      </c>
      <c r="H166" s="510">
        <v>987</v>
      </c>
      <c r="I166" s="510">
        <v>1032</v>
      </c>
      <c r="J166" s="510">
        <v>789</v>
      </c>
      <c r="K166" s="510">
        <v>1665</v>
      </c>
      <c r="L166" s="510">
        <v>788</v>
      </c>
      <c r="M166" s="510">
        <v>1356</v>
      </c>
      <c r="N166" s="510">
        <v>1652</v>
      </c>
      <c r="O166" s="510">
        <v>1037</v>
      </c>
      <c r="P166" s="510">
        <v>928</v>
      </c>
      <c r="Q166" s="510">
        <v>1182</v>
      </c>
      <c r="R166" s="510">
        <v>937</v>
      </c>
      <c r="S166" s="510">
        <v>659</v>
      </c>
    </row>
    <row r="167" spans="1:19">
      <c r="A167" s="510" t="s">
        <v>1674</v>
      </c>
      <c r="B167" s="510">
        <v>3899</v>
      </c>
      <c r="C167" s="510">
        <v>4181</v>
      </c>
      <c r="D167" s="510">
        <v>5044</v>
      </c>
      <c r="E167" s="510">
        <v>5797</v>
      </c>
      <c r="F167" s="510">
        <v>6845</v>
      </c>
      <c r="G167" s="510" t="s">
        <v>273</v>
      </c>
      <c r="H167" s="510" t="s">
        <v>273</v>
      </c>
      <c r="I167" s="510" t="s">
        <v>273</v>
      </c>
      <c r="J167" s="510" t="s">
        <v>273</v>
      </c>
      <c r="K167" s="510" t="s">
        <v>273</v>
      </c>
      <c r="L167" s="510" t="s">
        <v>273</v>
      </c>
      <c r="M167" s="510" t="s">
        <v>273</v>
      </c>
      <c r="N167" s="510" t="s">
        <v>273</v>
      </c>
      <c r="O167" s="510" t="s">
        <v>273</v>
      </c>
      <c r="P167" s="510" t="s">
        <v>273</v>
      </c>
      <c r="Q167" s="510" t="s">
        <v>273</v>
      </c>
      <c r="R167" s="510" t="s">
        <v>273</v>
      </c>
      <c r="S167" s="510" t="s">
        <v>273</v>
      </c>
    </row>
    <row r="168" spans="1:19">
      <c r="A168" s="510" t="s">
        <v>1663</v>
      </c>
      <c r="B168" s="510">
        <v>107</v>
      </c>
      <c r="C168" s="510">
        <v>123</v>
      </c>
      <c r="D168" s="510">
        <v>97</v>
      </c>
      <c r="E168" s="510">
        <v>181</v>
      </c>
      <c r="F168" s="510">
        <v>96</v>
      </c>
      <c r="G168" s="510" t="s">
        <v>273</v>
      </c>
      <c r="H168" s="510" t="s">
        <v>273</v>
      </c>
      <c r="I168" s="510" t="s">
        <v>273</v>
      </c>
      <c r="J168" s="510" t="s">
        <v>273</v>
      </c>
      <c r="K168" s="510" t="s">
        <v>273</v>
      </c>
      <c r="L168" s="510" t="s">
        <v>273</v>
      </c>
      <c r="M168" s="510" t="s">
        <v>273</v>
      </c>
      <c r="N168" s="510" t="s">
        <v>273</v>
      </c>
      <c r="O168" s="510" t="s">
        <v>273</v>
      </c>
      <c r="P168" s="510" t="s">
        <v>273</v>
      </c>
      <c r="Q168" s="510" t="s">
        <v>273</v>
      </c>
      <c r="R168" s="510" t="s">
        <v>273</v>
      </c>
      <c r="S168" s="510" t="s">
        <v>273</v>
      </c>
    </row>
    <row r="169" spans="1:19">
      <c r="A169" s="510" t="s">
        <v>1673</v>
      </c>
      <c r="B169" s="510">
        <v>2212</v>
      </c>
      <c r="C169" s="510">
        <v>2143</v>
      </c>
      <c r="D169" s="510">
        <v>2947</v>
      </c>
      <c r="E169" s="510">
        <v>2991</v>
      </c>
      <c r="F169" s="510">
        <v>3883</v>
      </c>
      <c r="G169" s="510" t="s">
        <v>273</v>
      </c>
      <c r="H169" s="510" t="s">
        <v>273</v>
      </c>
      <c r="I169" s="510" t="s">
        <v>273</v>
      </c>
      <c r="J169" s="510" t="s">
        <v>273</v>
      </c>
      <c r="K169" s="510" t="s">
        <v>273</v>
      </c>
      <c r="L169" s="510" t="s">
        <v>273</v>
      </c>
      <c r="M169" s="510" t="s">
        <v>273</v>
      </c>
      <c r="N169" s="510" t="s">
        <v>273</v>
      </c>
      <c r="O169" s="510" t="s">
        <v>273</v>
      </c>
      <c r="P169" s="510" t="s">
        <v>273</v>
      </c>
      <c r="Q169" s="510" t="s">
        <v>273</v>
      </c>
      <c r="R169" s="510" t="s">
        <v>273</v>
      </c>
      <c r="S169" s="510" t="s">
        <v>273</v>
      </c>
    </row>
    <row r="170" spans="1:19">
      <c r="A170" s="510" t="s">
        <v>1662</v>
      </c>
      <c r="B170" s="510">
        <v>443</v>
      </c>
      <c r="C170" s="510">
        <v>484</v>
      </c>
      <c r="D170" s="510">
        <v>531</v>
      </c>
      <c r="E170" s="510">
        <v>997</v>
      </c>
      <c r="F170" s="510">
        <v>918</v>
      </c>
      <c r="G170" s="510" t="s">
        <v>273</v>
      </c>
      <c r="H170" s="510" t="s">
        <v>273</v>
      </c>
      <c r="I170" s="510" t="s">
        <v>273</v>
      </c>
      <c r="J170" s="510" t="s">
        <v>273</v>
      </c>
      <c r="K170" s="510" t="s">
        <v>273</v>
      </c>
      <c r="L170" s="510" t="s">
        <v>273</v>
      </c>
      <c r="M170" s="510" t="s">
        <v>273</v>
      </c>
      <c r="N170" s="510" t="s">
        <v>273</v>
      </c>
      <c r="O170" s="510" t="s">
        <v>273</v>
      </c>
      <c r="P170" s="510" t="s">
        <v>273</v>
      </c>
      <c r="Q170" s="510" t="s">
        <v>273</v>
      </c>
      <c r="R170" s="510" t="s">
        <v>273</v>
      </c>
      <c r="S170" s="510" t="s">
        <v>273</v>
      </c>
    </row>
    <row r="171" spans="1:19">
      <c r="A171" s="510" t="s">
        <v>1661</v>
      </c>
      <c r="B171" s="510">
        <v>137</v>
      </c>
      <c r="C171" s="510">
        <v>408</v>
      </c>
      <c r="D171" s="510">
        <v>331</v>
      </c>
      <c r="E171" s="510">
        <v>488</v>
      </c>
      <c r="F171" s="510">
        <v>506</v>
      </c>
      <c r="G171" s="510" t="s">
        <v>273</v>
      </c>
      <c r="H171" s="510" t="s">
        <v>273</v>
      </c>
      <c r="I171" s="510" t="s">
        <v>273</v>
      </c>
      <c r="J171" s="510" t="s">
        <v>273</v>
      </c>
      <c r="K171" s="510" t="s">
        <v>273</v>
      </c>
      <c r="L171" s="510" t="s">
        <v>273</v>
      </c>
      <c r="M171" s="510" t="s">
        <v>273</v>
      </c>
      <c r="N171" s="510" t="s">
        <v>273</v>
      </c>
      <c r="O171" s="510" t="s">
        <v>273</v>
      </c>
      <c r="P171" s="510" t="s">
        <v>273</v>
      </c>
      <c r="Q171" s="510" t="s">
        <v>273</v>
      </c>
      <c r="R171" s="510" t="s">
        <v>273</v>
      </c>
      <c r="S171" s="510" t="s">
        <v>273</v>
      </c>
    </row>
    <row r="172" spans="1:19">
      <c r="A172" s="510" t="s">
        <v>1660</v>
      </c>
      <c r="B172" s="510">
        <v>256</v>
      </c>
      <c r="C172" s="510">
        <v>157</v>
      </c>
      <c r="D172" s="510">
        <v>235</v>
      </c>
      <c r="E172" s="510">
        <v>204</v>
      </c>
      <c r="F172" s="510">
        <v>319</v>
      </c>
      <c r="G172" s="510" t="s">
        <v>273</v>
      </c>
      <c r="H172" s="510" t="s">
        <v>273</v>
      </c>
      <c r="I172" s="510" t="s">
        <v>273</v>
      </c>
      <c r="J172" s="510" t="s">
        <v>273</v>
      </c>
      <c r="K172" s="510" t="s">
        <v>273</v>
      </c>
      <c r="L172" s="510" t="s">
        <v>273</v>
      </c>
      <c r="M172" s="510" t="s">
        <v>273</v>
      </c>
      <c r="N172" s="510" t="s">
        <v>273</v>
      </c>
      <c r="O172" s="510" t="s">
        <v>273</v>
      </c>
      <c r="P172" s="510" t="s">
        <v>273</v>
      </c>
      <c r="Q172" s="510" t="s">
        <v>273</v>
      </c>
      <c r="R172" s="510" t="s">
        <v>273</v>
      </c>
      <c r="S172" s="510" t="s">
        <v>273</v>
      </c>
    </row>
    <row r="173" spans="1:19">
      <c r="A173" s="510" t="s">
        <v>1659</v>
      </c>
      <c r="B173" s="510">
        <v>154</v>
      </c>
      <c r="C173" s="510">
        <v>388</v>
      </c>
      <c r="D173" s="510">
        <v>383</v>
      </c>
      <c r="E173" s="510">
        <v>371</v>
      </c>
      <c r="F173" s="510">
        <v>334</v>
      </c>
      <c r="G173" s="510" t="s">
        <v>273</v>
      </c>
      <c r="H173" s="510" t="s">
        <v>273</v>
      </c>
      <c r="I173" s="510" t="s">
        <v>273</v>
      </c>
      <c r="J173" s="510" t="s">
        <v>273</v>
      </c>
      <c r="K173" s="510" t="s">
        <v>273</v>
      </c>
      <c r="L173" s="510" t="s">
        <v>273</v>
      </c>
      <c r="M173" s="510" t="s">
        <v>273</v>
      </c>
      <c r="N173" s="510" t="s">
        <v>273</v>
      </c>
      <c r="O173" s="510" t="s">
        <v>273</v>
      </c>
      <c r="P173" s="510" t="s">
        <v>273</v>
      </c>
      <c r="Q173" s="510" t="s">
        <v>273</v>
      </c>
      <c r="R173" s="510" t="s">
        <v>273</v>
      </c>
      <c r="S173" s="510" t="s">
        <v>273</v>
      </c>
    </row>
    <row r="174" spans="1:19">
      <c r="A174" s="510" t="s">
        <v>1658</v>
      </c>
      <c r="B174" s="510">
        <v>2</v>
      </c>
      <c r="C174" s="510">
        <v>-1</v>
      </c>
      <c r="D174" s="510">
        <v>1</v>
      </c>
      <c r="E174" s="510">
        <v>-9</v>
      </c>
      <c r="F174" s="510">
        <v>-9</v>
      </c>
      <c r="G174" s="510" t="s">
        <v>273</v>
      </c>
      <c r="H174" s="510" t="s">
        <v>273</v>
      </c>
      <c r="I174" s="510" t="s">
        <v>273</v>
      </c>
      <c r="J174" s="510" t="s">
        <v>273</v>
      </c>
      <c r="K174" s="510" t="s">
        <v>273</v>
      </c>
      <c r="L174" s="510" t="s">
        <v>273</v>
      </c>
      <c r="M174" s="510" t="s">
        <v>273</v>
      </c>
      <c r="N174" s="510" t="s">
        <v>273</v>
      </c>
      <c r="O174" s="510" t="s">
        <v>273</v>
      </c>
      <c r="P174" s="510" t="s">
        <v>273</v>
      </c>
      <c r="Q174" s="510" t="s">
        <v>273</v>
      </c>
      <c r="R174" s="510" t="s">
        <v>273</v>
      </c>
      <c r="S174" s="510" t="s">
        <v>273</v>
      </c>
    </row>
    <row r="175" spans="1:19">
      <c r="A175" s="510" t="s">
        <v>1657</v>
      </c>
      <c r="B175" s="510">
        <v>588</v>
      </c>
      <c r="C175" s="510">
        <v>477</v>
      </c>
      <c r="D175" s="510">
        <v>519</v>
      </c>
      <c r="E175" s="510">
        <v>574</v>
      </c>
      <c r="F175" s="510">
        <v>798</v>
      </c>
      <c r="G175" s="510" t="s">
        <v>273</v>
      </c>
      <c r="H175" s="510" t="s">
        <v>273</v>
      </c>
      <c r="I175" s="510" t="s">
        <v>273</v>
      </c>
      <c r="J175" s="510" t="s">
        <v>273</v>
      </c>
      <c r="K175" s="510" t="s">
        <v>273</v>
      </c>
      <c r="L175" s="510" t="s">
        <v>273</v>
      </c>
      <c r="M175" s="510" t="s">
        <v>273</v>
      </c>
      <c r="N175" s="510" t="s">
        <v>273</v>
      </c>
      <c r="O175" s="510" t="s">
        <v>273</v>
      </c>
      <c r="P175" s="510" t="s">
        <v>273</v>
      </c>
      <c r="Q175" s="510" t="s">
        <v>273</v>
      </c>
      <c r="R175" s="510" t="s">
        <v>273</v>
      </c>
      <c r="S175" s="510" t="s">
        <v>273</v>
      </c>
    </row>
    <row r="176" spans="1:19">
      <c r="A176" s="510" t="s">
        <v>1672</v>
      </c>
      <c r="B176" s="510" t="s">
        <v>273</v>
      </c>
      <c r="C176" s="510" t="s">
        <v>273</v>
      </c>
      <c r="D176" s="510" t="s">
        <v>273</v>
      </c>
      <c r="E176" s="510" t="s">
        <v>273</v>
      </c>
      <c r="F176" s="510" t="s">
        <v>273</v>
      </c>
      <c r="G176" s="510">
        <v>3814</v>
      </c>
      <c r="H176" s="510">
        <v>4547</v>
      </c>
      <c r="I176" s="510">
        <v>5451</v>
      </c>
      <c r="J176" s="510">
        <v>5347</v>
      </c>
      <c r="K176" s="510">
        <v>6825</v>
      </c>
      <c r="L176" s="510">
        <v>3930</v>
      </c>
      <c r="M176" s="510">
        <v>3696</v>
      </c>
      <c r="N176" s="510">
        <v>3303</v>
      </c>
      <c r="O176" s="510">
        <v>3837</v>
      </c>
      <c r="P176" s="510">
        <v>4652</v>
      </c>
      <c r="Q176" s="510">
        <v>6563</v>
      </c>
      <c r="R176" s="510">
        <v>3441</v>
      </c>
      <c r="S176" s="510">
        <v>2669</v>
      </c>
    </row>
    <row r="177" spans="1:19">
      <c r="A177" s="510" t="s">
        <v>236</v>
      </c>
      <c r="B177" s="510" t="s">
        <v>273</v>
      </c>
      <c r="C177" s="510" t="s">
        <v>273</v>
      </c>
      <c r="D177" s="510" t="s">
        <v>273</v>
      </c>
      <c r="E177" s="510" t="s">
        <v>273</v>
      </c>
      <c r="F177" s="510" t="s">
        <v>273</v>
      </c>
      <c r="G177" s="510">
        <v>12874</v>
      </c>
      <c r="H177" s="510">
        <v>12976</v>
      </c>
      <c r="I177" s="510">
        <v>13177</v>
      </c>
      <c r="J177" s="510">
        <v>17040</v>
      </c>
      <c r="K177" s="510">
        <v>15946</v>
      </c>
      <c r="L177" s="510">
        <v>9834</v>
      </c>
      <c r="M177" s="510">
        <v>14615</v>
      </c>
      <c r="N177" s="510">
        <v>18051</v>
      </c>
      <c r="O177" s="510">
        <v>16272</v>
      </c>
      <c r="P177" s="510">
        <v>15076</v>
      </c>
      <c r="Q177" s="510">
        <v>15554</v>
      </c>
      <c r="R177" s="510">
        <v>11994</v>
      </c>
      <c r="S177" s="510">
        <v>14785</v>
      </c>
    </row>
    <row r="178" spans="1:19">
      <c r="A178" s="510" t="s">
        <v>1671</v>
      </c>
      <c r="B178" s="510" t="s">
        <v>273</v>
      </c>
      <c r="C178" s="510" t="s">
        <v>273</v>
      </c>
      <c r="D178" s="510" t="s">
        <v>273</v>
      </c>
      <c r="E178" s="510" t="s">
        <v>273</v>
      </c>
      <c r="F178" s="510" t="s">
        <v>273</v>
      </c>
      <c r="G178" s="510">
        <v>1465</v>
      </c>
      <c r="H178" s="510">
        <v>1210</v>
      </c>
      <c r="I178" s="510">
        <v>1194</v>
      </c>
      <c r="J178" s="510">
        <v>2368</v>
      </c>
      <c r="K178" s="510">
        <v>814</v>
      </c>
      <c r="L178" s="510">
        <v>668</v>
      </c>
      <c r="M178" s="510">
        <v>1625</v>
      </c>
      <c r="N178" s="510">
        <v>1733</v>
      </c>
      <c r="O178" s="510">
        <v>1906</v>
      </c>
      <c r="P178" s="510">
        <v>1275</v>
      </c>
      <c r="Q178" s="510">
        <v>1524</v>
      </c>
      <c r="R178" s="510">
        <v>1267</v>
      </c>
      <c r="S178" s="510">
        <v>1444</v>
      </c>
    </row>
    <row r="179" spans="1:19">
      <c r="A179" s="510" t="s">
        <v>1670</v>
      </c>
      <c r="B179" s="510" t="s">
        <v>273</v>
      </c>
      <c r="C179" s="510" t="s">
        <v>273</v>
      </c>
      <c r="D179" s="510" t="s">
        <v>273</v>
      </c>
      <c r="E179" s="510" t="s">
        <v>273</v>
      </c>
      <c r="F179" s="510" t="s">
        <v>273</v>
      </c>
      <c r="G179" s="510">
        <v>40</v>
      </c>
      <c r="H179" s="510">
        <v>-14</v>
      </c>
      <c r="I179" s="510">
        <v>34</v>
      </c>
      <c r="J179" s="510">
        <v>14</v>
      </c>
      <c r="K179" s="510">
        <v>84</v>
      </c>
      <c r="L179" s="510">
        <v>76</v>
      </c>
      <c r="M179" s="510">
        <v>89</v>
      </c>
      <c r="N179" s="510">
        <v>82</v>
      </c>
      <c r="O179" s="510">
        <v>48</v>
      </c>
      <c r="P179" s="510">
        <v>34</v>
      </c>
      <c r="Q179" s="510">
        <v>20</v>
      </c>
      <c r="R179" s="510">
        <v>21</v>
      </c>
      <c r="S179" s="510">
        <v>20</v>
      </c>
    </row>
    <row r="180" spans="1:19">
      <c r="A180" s="510" t="s">
        <v>1669</v>
      </c>
      <c r="B180" s="510" t="s">
        <v>273</v>
      </c>
      <c r="C180" s="510" t="s">
        <v>273</v>
      </c>
      <c r="D180" s="510" t="s">
        <v>273</v>
      </c>
      <c r="E180" s="510" t="s">
        <v>273</v>
      </c>
      <c r="F180" s="510" t="s">
        <v>273</v>
      </c>
      <c r="G180" s="510">
        <v>21</v>
      </c>
      <c r="H180" s="510">
        <v>17</v>
      </c>
      <c r="I180" s="510">
        <v>29</v>
      </c>
      <c r="J180" s="510">
        <v>2</v>
      </c>
      <c r="K180" s="510">
        <v>12</v>
      </c>
      <c r="L180" s="510">
        <v>8</v>
      </c>
      <c r="M180" s="510">
        <v>25</v>
      </c>
      <c r="N180" s="510">
        <v>4</v>
      </c>
      <c r="O180" s="510">
        <v>12</v>
      </c>
      <c r="P180" s="510">
        <v>11</v>
      </c>
      <c r="Q180" s="510">
        <v>2</v>
      </c>
      <c r="R180" s="510">
        <v>10</v>
      </c>
      <c r="S180" s="510">
        <v>7</v>
      </c>
    </row>
    <row r="181" spans="1:19">
      <c r="A181" s="510" t="s">
        <v>1668</v>
      </c>
      <c r="B181" s="510" t="s">
        <v>273</v>
      </c>
      <c r="C181" s="510" t="s">
        <v>273</v>
      </c>
      <c r="D181" s="510" t="s">
        <v>273</v>
      </c>
      <c r="E181" s="510" t="s">
        <v>273</v>
      </c>
      <c r="F181" s="510" t="s">
        <v>273</v>
      </c>
      <c r="G181" s="510">
        <v>188</v>
      </c>
      <c r="H181" s="510">
        <v>66</v>
      </c>
      <c r="I181" s="510">
        <v>344</v>
      </c>
      <c r="J181" s="510">
        <v>387</v>
      </c>
      <c r="K181" s="510">
        <v>610</v>
      </c>
      <c r="L181" s="510">
        <v>330</v>
      </c>
      <c r="M181" s="510">
        <v>269</v>
      </c>
      <c r="N181" s="510">
        <v>-1</v>
      </c>
      <c r="O181" s="510">
        <v>-12</v>
      </c>
      <c r="P181" s="510">
        <v>-73</v>
      </c>
      <c r="Q181" s="510">
        <v>152</v>
      </c>
      <c r="R181" s="510">
        <v>73</v>
      </c>
      <c r="S181" s="510">
        <v>59</v>
      </c>
    </row>
    <row r="182" spans="1:19">
      <c r="A182" s="510" t="s">
        <v>1667</v>
      </c>
      <c r="B182" s="510" t="s">
        <v>273</v>
      </c>
      <c r="C182" s="510" t="s">
        <v>273</v>
      </c>
      <c r="D182" s="510" t="s">
        <v>273</v>
      </c>
      <c r="E182" s="510" t="s">
        <v>273</v>
      </c>
      <c r="F182" s="510" t="s">
        <v>273</v>
      </c>
      <c r="G182" s="510">
        <v>3669</v>
      </c>
      <c r="H182" s="510">
        <v>4452</v>
      </c>
      <c r="I182" s="510">
        <v>4945</v>
      </c>
      <c r="J182" s="510">
        <v>6506</v>
      </c>
      <c r="K182" s="510">
        <v>5267</v>
      </c>
      <c r="L182" s="510">
        <v>3023</v>
      </c>
      <c r="M182" s="510">
        <v>5244</v>
      </c>
      <c r="N182" s="510">
        <v>5553</v>
      </c>
      <c r="O182" s="510">
        <v>5809</v>
      </c>
      <c r="P182" s="510">
        <v>6374</v>
      </c>
      <c r="Q182" s="510">
        <v>7246</v>
      </c>
      <c r="R182" s="510">
        <v>4946</v>
      </c>
      <c r="S182" s="510">
        <v>5879</v>
      </c>
    </row>
    <row r="183" spans="1:19">
      <c r="A183" s="510" t="s">
        <v>1666</v>
      </c>
      <c r="B183" s="510" t="s">
        <v>273</v>
      </c>
      <c r="C183" s="510" t="s">
        <v>273</v>
      </c>
      <c r="D183" s="510" t="s">
        <v>273</v>
      </c>
      <c r="E183" s="510" t="s">
        <v>273</v>
      </c>
      <c r="F183" s="510" t="s">
        <v>273</v>
      </c>
      <c r="G183" s="510">
        <v>267</v>
      </c>
      <c r="H183" s="510">
        <v>298</v>
      </c>
      <c r="I183" s="510">
        <v>456</v>
      </c>
      <c r="J183" s="510">
        <v>555</v>
      </c>
      <c r="K183" s="510">
        <v>180</v>
      </c>
      <c r="L183" s="510">
        <v>159</v>
      </c>
      <c r="M183" s="510">
        <v>211</v>
      </c>
      <c r="N183" s="510">
        <v>276</v>
      </c>
      <c r="O183" s="510">
        <v>112</v>
      </c>
      <c r="P183" s="510">
        <v>258</v>
      </c>
      <c r="Q183" s="510">
        <v>162</v>
      </c>
      <c r="R183" s="510">
        <v>85</v>
      </c>
      <c r="S183" s="510">
        <v>83</v>
      </c>
    </row>
    <row r="184" spans="1:19">
      <c r="A184" s="510" t="s">
        <v>1665</v>
      </c>
      <c r="B184" s="510" t="s">
        <v>273</v>
      </c>
      <c r="C184" s="510" t="s">
        <v>273</v>
      </c>
      <c r="D184" s="510" t="s">
        <v>273</v>
      </c>
      <c r="E184" s="510" t="s">
        <v>273</v>
      </c>
      <c r="F184" s="510" t="s">
        <v>273</v>
      </c>
      <c r="G184" s="510">
        <v>1498</v>
      </c>
      <c r="H184" s="510">
        <v>1283</v>
      </c>
      <c r="I184" s="510">
        <v>1199</v>
      </c>
      <c r="J184" s="510">
        <v>1553</v>
      </c>
      <c r="K184" s="510">
        <v>1689</v>
      </c>
      <c r="L184" s="510">
        <v>868</v>
      </c>
      <c r="M184" s="510">
        <v>1661</v>
      </c>
      <c r="N184" s="510">
        <v>3044</v>
      </c>
      <c r="O184" s="510">
        <v>1869</v>
      </c>
      <c r="P184" s="510">
        <v>1652</v>
      </c>
      <c r="Q184" s="510">
        <v>1895</v>
      </c>
      <c r="R184" s="510">
        <v>1444</v>
      </c>
      <c r="S184" s="510">
        <v>1620</v>
      </c>
    </row>
    <row r="185" spans="1:19">
      <c r="A185" s="510" t="s">
        <v>1664</v>
      </c>
      <c r="B185" s="510" t="s">
        <v>273</v>
      </c>
      <c r="C185" s="510" t="s">
        <v>273</v>
      </c>
      <c r="D185" s="510" t="s">
        <v>273</v>
      </c>
      <c r="E185" s="510" t="s">
        <v>273</v>
      </c>
      <c r="F185" s="510" t="s">
        <v>273</v>
      </c>
      <c r="G185" s="510">
        <v>738</v>
      </c>
      <c r="H185" s="510">
        <v>782</v>
      </c>
      <c r="I185" s="510">
        <v>900</v>
      </c>
      <c r="J185" s="510">
        <v>668</v>
      </c>
      <c r="K185" s="510">
        <v>834</v>
      </c>
      <c r="L185" s="510">
        <v>620</v>
      </c>
      <c r="M185" s="510">
        <v>690</v>
      </c>
      <c r="N185" s="510">
        <v>626</v>
      </c>
      <c r="O185" s="510">
        <v>549</v>
      </c>
      <c r="P185" s="510">
        <v>426</v>
      </c>
      <c r="Q185" s="510">
        <v>421</v>
      </c>
      <c r="R185" s="510">
        <v>787</v>
      </c>
      <c r="S185" s="510">
        <v>1293</v>
      </c>
    </row>
    <row r="186" spans="1:19">
      <c r="A186" s="510" t="s">
        <v>1663</v>
      </c>
      <c r="B186" s="510" t="s">
        <v>273</v>
      </c>
      <c r="C186" s="510" t="s">
        <v>273</v>
      </c>
      <c r="D186" s="510" t="s">
        <v>273</v>
      </c>
      <c r="E186" s="510" t="s">
        <v>273</v>
      </c>
      <c r="F186" s="510" t="s">
        <v>273</v>
      </c>
      <c r="G186" s="510">
        <v>79</v>
      </c>
      <c r="H186" s="510">
        <v>44</v>
      </c>
      <c r="I186" s="510">
        <v>44</v>
      </c>
      <c r="J186" s="510">
        <v>55</v>
      </c>
      <c r="K186" s="510">
        <v>30</v>
      </c>
      <c r="L186" s="510">
        <v>112</v>
      </c>
      <c r="M186" s="510">
        <v>84</v>
      </c>
      <c r="N186" s="510">
        <v>109</v>
      </c>
      <c r="O186" s="510">
        <v>87</v>
      </c>
      <c r="P186" s="510">
        <v>95</v>
      </c>
      <c r="Q186" s="510">
        <v>115</v>
      </c>
      <c r="R186" s="510">
        <v>51</v>
      </c>
      <c r="S186" s="510">
        <v>80</v>
      </c>
    </row>
    <row r="187" spans="1:19">
      <c r="A187" s="510" t="s">
        <v>1662</v>
      </c>
      <c r="B187" s="510" t="s">
        <v>273</v>
      </c>
      <c r="C187" s="510" t="s">
        <v>273</v>
      </c>
      <c r="D187" s="510" t="s">
        <v>273</v>
      </c>
      <c r="E187" s="510" t="s">
        <v>273</v>
      </c>
      <c r="F187" s="510" t="s">
        <v>273</v>
      </c>
      <c r="G187" s="510">
        <v>1255</v>
      </c>
      <c r="H187" s="510">
        <v>1287</v>
      </c>
      <c r="I187" s="510">
        <v>1343</v>
      </c>
      <c r="J187" s="510">
        <v>1522</v>
      </c>
      <c r="K187" s="510">
        <v>2059</v>
      </c>
      <c r="L187" s="510">
        <v>328</v>
      </c>
      <c r="M187" s="510">
        <v>141</v>
      </c>
      <c r="N187" s="510">
        <v>401</v>
      </c>
      <c r="O187" s="510">
        <v>282</v>
      </c>
      <c r="P187" s="510">
        <v>276</v>
      </c>
      <c r="Q187" s="510">
        <v>219</v>
      </c>
      <c r="R187" s="510">
        <v>394</v>
      </c>
      <c r="S187" s="510">
        <v>253</v>
      </c>
    </row>
    <row r="188" spans="1:19">
      <c r="A188" s="510" t="s">
        <v>1661</v>
      </c>
      <c r="B188" s="510" t="s">
        <v>273</v>
      </c>
      <c r="C188" s="510" t="s">
        <v>273</v>
      </c>
      <c r="D188" s="510" t="s">
        <v>273</v>
      </c>
      <c r="E188" s="510" t="s">
        <v>273</v>
      </c>
      <c r="F188" s="510" t="s">
        <v>273</v>
      </c>
      <c r="G188" s="510">
        <v>715</v>
      </c>
      <c r="H188" s="510">
        <v>1032</v>
      </c>
      <c r="I188" s="510">
        <v>376</v>
      </c>
      <c r="J188" s="510">
        <v>470</v>
      </c>
      <c r="K188" s="510">
        <v>596</v>
      </c>
      <c r="L188" s="510">
        <v>429</v>
      </c>
      <c r="M188" s="510">
        <v>213</v>
      </c>
      <c r="N188" s="510">
        <v>1004</v>
      </c>
      <c r="O188" s="510">
        <v>1233</v>
      </c>
      <c r="P188" s="510">
        <v>1116</v>
      </c>
      <c r="Q188" s="510">
        <v>1073</v>
      </c>
      <c r="R188" s="510">
        <v>1064</v>
      </c>
      <c r="S188" s="510">
        <v>1438</v>
      </c>
    </row>
    <row r="189" spans="1:19">
      <c r="A189" s="510" t="s">
        <v>1660</v>
      </c>
      <c r="B189" s="510" t="s">
        <v>273</v>
      </c>
      <c r="C189" s="510" t="s">
        <v>273</v>
      </c>
      <c r="D189" s="510" t="s">
        <v>273</v>
      </c>
      <c r="E189" s="510" t="s">
        <v>273</v>
      </c>
      <c r="F189" s="510" t="s">
        <v>273</v>
      </c>
      <c r="G189" s="510">
        <v>504</v>
      </c>
      <c r="H189" s="510">
        <v>407</v>
      </c>
      <c r="I189" s="510">
        <v>403</v>
      </c>
      <c r="J189" s="510">
        <v>395</v>
      </c>
      <c r="K189" s="510">
        <v>1036</v>
      </c>
      <c r="L189" s="510">
        <v>299</v>
      </c>
      <c r="M189" s="510">
        <v>59</v>
      </c>
      <c r="N189" s="510">
        <v>242</v>
      </c>
      <c r="O189" s="510">
        <v>204</v>
      </c>
      <c r="P189" s="510">
        <v>137</v>
      </c>
      <c r="Q189" s="510">
        <v>111</v>
      </c>
      <c r="R189" s="510">
        <v>49</v>
      </c>
      <c r="S189" s="510">
        <v>234</v>
      </c>
    </row>
    <row r="190" spans="1:19">
      <c r="A190" s="510" t="s">
        <v>1659</v>
      </c>
      <c r="B190" s="510" t="s">
        <v>273</v>
      </c>
      <c r="C190" s="510" t="s">
        <v>273</v>
      </c>
      <c r="D190" s="510" t="s">
        <v>273</v>
      </c>
      <c r="E190" s="510" t="s">
        <v>273</v>
      </c>
      <c r="F190" s="510" t="s">
        <v>273</v>
      </c>
      <c r="G190" s="510">
        <v>1032</v>
      </c>
      <c r="H190" s="510">
        <v>726</v>
      </c>
      <c r="I190" s="510">
        <v>821</v>
      </c>
      <c r="J190" s="510">
        <v>998</v>
      </c>
      <c r="K190" s="510">
        <v>1108</v>
      </c>
      <c r="L190" s="510">
        <v>720</v>
      </c>
      <c r="M190" s="510">
        <v>1299</v>
      </c>
      <c r="N190" s="510">
        <v>1679</v>
      </c>
      <c r="O190" s="510">
        <v>1028</v>
      </c>
      <c r="P190" s="510">
        <v>708</v>
      </c>
      <c r="Q190" s="510">
        <v>850</v>
      </c>
      <c r="R190" s="510">
        <v>426</v>
      </c>
      <c r="S190" s="510">
        <v>980</v>
      </c>
    </row>
    <row r="191" spans="1:19">
      <c r="A191" s="510" t="s">
        <v>1658</v>
      </c>
      <c r="B191" s="510" t="s">
        <v>273</v>
      </c>
      <c r="C191" s="510" t="s">
        <v>273</v>
      </c>
      <c r="D191" s="510" t="s">
        <v>273</v>
      </c>
      <c r="E191" s="510" t="s">
        <v>273</v>
      </c>
      <c r="F191" s="510" t="s">
        <v>273</v>
      </c>
      <c r="G191" s="510">
        <v>53</v>
      </c>
      <c r="H191" s="510">
        <v>19</v>
      </c>
      <c r="I191" s="510">
        <v>48</v>
      </c>
      <c r="J191" s="510">
        <v>154</v>
      </c>
      <c r="K191" s="510">
        <v>68</v>
      </c>
      <c r="L191" s="510">
        <v>104</v>
      </c>
      <c r="M191" s="510">
        <v>138</v>
      </c>
      <c r="N191" s="510">
        <v>210</v>
      </c>
      <c r="O191" s="510">
        <v>128</v>
      </c>
      <c r="P191" s="510">
        <v>111</v>
      </c>
      <c r="Q191" s="510">
        <v>79</v>
      </c>
      <c r="R191" s="510">
        <v>62</v>
      </c>
      <c r="S191" s="510">
        <v>77</v>
      </c>
    </row>
    <row r="192" spans="1:19">
      <c r="A192" s="510" t="s">
        <v>1657</v>
      </c>
      <c r="B192" s="510" t="s">
        <v>273</v>
      </c>
      <c r="C192" s="510" t="s">
        <v>273</v>
      </c>
      <c r="D192" s="510" t="s">
        <v>273</v>
      </c>
      <c r="E192" s="510" t="s">
        <v>273</v>
      </c>
      <c r="F192" s="510" t="s">
        <v>273</v>
      </c>
      <c r="G192" s="510">
        <v>969</v>
      </c>
      <c r="H192" s="510">
        <v>1160</v>
      </c>
      <c r="I192" s="510">
        <v>951</v>
      </c>
      <c r="J192" s="510">
        <v>1289</v>
      </c>
      <c r="K192" s="510">
        <v>1440</v>
      </c>
      <c r="L192" s="510">
        <v>2044</v>
      </c>
      <c r="M192" s="510">
        <v>2825</v>
      </c>
      <c r="N192" s="510">
        <v>3047</v>
      </c>
      <c r="O192" s="510">
        <v>2981</v>
      </c>
      <c r="P192" s="510">
        <v>2645</v>
      </c>
      <c r="Q192" s="510">
        <v>1584</v>
      </c>
      <c r="R192" s="510">
        <v>1235</v>
      </c>
      <c r="S192" s="510">
        <v>1233</v>
      </c>
    </row>
    <row r="193" spans="1:19">
      <c r="A193" s="510" t="s">
        <v>1656</v>
      </c>
      <c r="B193" s="510" t="s">
        <v>273</v>
      </c>
      <c r="C193" s="510" t="s">
        <v>273</v>
      </c>
      <c r="D193" s="510" t="s">
        <v>273</v>
      </c>
      <c r="E193" s="510" t="s">
        <v>273</v>
      </c>
      <c r="F193" s="510" t="s">
        <v>273</v>
      </c>
      <c r="G193" s="510">
        <v>382</v>
      </c>
      <c r="H193" s="510">
        <v>209</v>
      </c>
      <c r="I193" s="510">
        <v>91</v>
      </c>
      <c r="J193" s="510">
        <v>104</v>
      </c>
      <c r="K193" s="510">
        <v>120</v>
      </c>
      <c r="L193" s="510">
        <v>45</v>
      </c>
      <c r="M193" s="510">
        <v>41</v>
      </c>
      <c r="N193" s="510">
        <v>43</v>
      </c>
      <c r="O193" s="510">
        <v>36</v>
      </c>
      <c r="P193" s="510">
        <v>29</v>
      </c>
      <c r="Q193" s="510">
        <v>102</v>
      </c>
      <c r="R193" s="510">
        <v>78</v>
      </c>
      <c r="S193" s="510">
        <v>86</v>
      </c>
    </row>
    <row r="194" spans="1:19">
      <c r="A194" s="510" t="s">
        <v>1655</v>
      </c>
      <c r="B194" s="510">
        <v>752</v>
      </c>
      <c r="C194" s="510">
        <v>-964</v>
      </c>
      <c r="D194" s="510">
        <v>-3084</v>
      </c>
      <c r="E194" s="510">
        <v>1320</v>
      </c>
      <c r="F194" s="510">
        <v>6221</v>
      </c>
      <c r="G194" s="510">
        <v>9261</v>
      </c>
      <c r="H194" s="510">
        <v>10832</v>
      </c>
      <c r="I194" s="510">
        <v>11526</v>
      </c>
      <c r="J194" s="510">
        <v>11144</v>
      </c>
      <c r="K194" s="510">
        <v>14400</v>
      </c>
      <c r="L194" s="510">
        <v>13378</v>
      </c>
      <c r="M194" s="510">
        <v>12229</v>
      </c>
      <c r="N194" s="510">
        <v>14103</v>
      </c>
      <c r="O194" s="510">
        <v>15483</v>
      </c>
      <c r="P194" s="510">
        <v>15367</v>
      </c>
      <c r="Q194" s="510">
        <v>15571</v>
      </c>
      <c r="R194" s="510">
        <v>13634</v>
      </c>
      <c r="S194" s="510">
        <v>14468</v>
      </c>
    </row>
    <row r="195" spans="1:19">
      <c r="A195" s="510" t="s">
        <v>1654</v>
      </c>
      <c r="B195" s="510">
        <v>1461</v>
      </c>
      <c r="C195" s="510">
        <v>2134</v>
      </c>
      <c r="D195" s="510">
        <v>1657</v>
      </c>
      <c r="E195" s="510">
        <v>3221</v>
      </c>
      <c r="F195" s="510">
        <v>4886</v>
      </c>
      <c r="G195" s="510">
        <v>5081</v>
      </c>
      <c r="H195" s="510">
        <v>6860</v>
      </c>
      <c r="I195" s="510">
        <v>7263</v>
      </c>
      <c r="J195" s="510">
        <v>7116</v>
      </c>
      <c r="K195" s="510">
        <v>9777</v>
      </c>
      <c r="L195" s="510">
        <v>9157</v>
      </c>
      <c r="M195" s="510">
        <v>6824</v>
      </c>
      <c r="N195" s="510">
        <v>7685</v>
      </c>
      <c r="O195" s="510">
        <v>8192</v>
      </c>
      <c r="P195" s="510">
        <v>9707</v>
      </c>
      <c r="Q195" s="510">
        <v>9504</v>
      </c>
      <c r="R195" s="510">
        <v>9055</v>
      </c>
      <c r="S195" s="510">
        <v>8716</v>
      </c>
    </row>
    <row r="196" spans="1:19">
      <c r="A196" s="510" t="s">
        <v>1653</v>
      </c>
      <c r="B196" s="510">
        <v>153</v>
      </c>
      <c r="C196" s="510">
        <v>276</v>
      </c>
      <c r="D196" s="510">
        <v>163</v>
      </c>
      <c r="E196" s="510">
        <v>156</v>
      </c>
      <c r="F196" s="510">
        <v>345</v>
      </c>
      <c r="G196" s="510">
        <v>500</v>
      </c>
      <c r="H196" s="510">
        <v>1456</v>
      </c>
      <c r="I196" s="510">
        <v>1369</v>
      </c>
      <c r="J196" s="510">
        <v>1404</v>
      </c>
      <c r="K196" s="510">
        <v>1284</v>
      </c>
      <c r="L196" s="510">
        <v>701</v>
      </c>
      <c r="M196" s="510">
        <v>936</v>
      </c>
      <c r="N196" s="510">
        <v>1019</v>
      </c>
      <c r="O196" s="510">
        <v>944</v>
      </c>
      <c r="P196" s="510">
        <v>880</v>
      </c>
      <c r="Q196" s="510">
        <v>1170</v>
      </c>
      <c r="R196" s="510">
        <v>432</v>
      </c>
      <c r="S196" s="510">
        <v>320</v>
      </c>
    </row>
    <row r="197" spans="1:19">
      <c r="A197" s="510" t="s">
        <v>1652</v>
      </c>
      <c r="B197" s="510">
        <v>1308</v>
      </c>
      <c r="C197" s="510">
        <v>1858</v>
      </c>
      <c r="D197" s="510">
        <v>1494</v>
      </c>
      <c r="E197" s="510">
        <v>3065</v>
      </c>
      <c r="F197" s="510">
        <v>4540</v>
      </c>
      <c r="G197" s="510">
        <v>4581</v>
      </c>
      <c r="H197" s="510">
        <v>5404</v>
      </c>
      <c r="I197" s="510">
        <v>5894</v>
      </c>
      <c r="J197" s="510">
        <v>5712</v>
      </c>
      <c r="K197" s="510">
        <v>8493</v>
      </c>
      <c r="L197" s="510">
        <v>8456</v>
      </c>
      <c r="M197" s="510">
        <v>5888</v>
      </c>
      <c r="N197" s="510">
        <v>6666</v>
      </c>
      <c r="O197" s="510">
        <v>7248</v>
      </c>
      <c r="P197" s="510">
        <v>8827</v>
      </c>
      <c r="Q197" s="510">
        <v>8334</v>
      </c>
      <c r="R197" s="510">
        <v>8623</v>
      </c>
      <c r="S197" s="510">
        <v>8396</v>
      </c>
    </row>
    <row r="198" spans="1:19">
      <c r="A198" s="510" t="s">
        <v>1651</v>
      </c>
      <c r="B198" s="510">
        <v>399</v>
      </c>
      <c r="C198" s="510">
        <v>297</v>
      </c>
      <c r="D198" s="510">
        <v>268</v>
      </c>
      <c r="E198" s="510">
        <v>319</v>
      </c>
      <c r="F198" s="510">
        <v>693</v>
      </c>
      <c r="G198" s="510">
        <v>1638</v>
      </c>
      <c r="H198" s="510">
        <v>1072</v>
      </c>
      <c r="I198" s="510">
        <v>985</v>
      </c>
      <c r="J198" s="510">
        <v>570</v>
      </c>
      <c r="K198" s="510">
        <v>582</v>
      </c>
      <c r="L198" s="510">
        <v>626</v>
      </c>
      <c r="M198" s="510">
        <v>955</v>
      </c>
      <c r="N198" s="510">
        <v>787</v>
      </c>
      <c r="O198" s="510">
        <v>607</v>
      </c>
      <c r="P198" s="510">
        <v>911</v>
      </c>
      <c r="Q198" s="510">
        <v>1087</v>
      </c>
      <c r="R198" s="510">
        <v>866</v>
      </c>
      <c r="S198" s="510">
        <v>1024</v>
      </c>
    </row>
    <row r="199" spans="1:19">
      <c r="A199" s="510" t="s">
        <v>1650</v>
      </c>
      <c r="B199" s="510">
        <v>267</v>
      </c>
      <c r="C199" s="510">
        <v>172</v>
      </c>
      <c r="D199" s="510">
        <v>142</v>
      </c>
      <c r="E199" s="510">
        <v>199</v>
      </c>
      <c r="F199" s="510">
        <v>591</v>
      </c>
      <c r="G199" s="510">
        <v>1336</v>
      </c>
      <c r="H199" s="510">
        <v>880</v>
      </c>
      <c r="I199" s="510">
        <v>444</v>
      </c>
      <c r="J199" s="510">
        <v>443</v>
      </c>
      <c r="K199" s="510">
        <v>527</v>
      </c>
      <c r="L199" s="510">
        <v>515</v>
      </c>
      <c r="M199" s="510">
        <v>773</v>
      </c>
      <c r="N199" s="510">
        <v>615</v>
      </c>
      <c r="O199" s="510">
        <v>681</v>
      </c>
      <c r="P199" s="510">
        <v>969</v>
      </c>
      <c r="Q199" s="510">
        <v>1042</v>
      </c>
      <c r="R199" s="510">
        <v>895</v>
      </c>
      <c r="S199" s="510">
        <v>971</v>
      </c>
    </row>
    <row r="200" spans="1:19">
      <c r="A200" s="510" t="s">
        <v>1649</v>
      </c>
      <c r="B200" s="510">
        <v>133</v>
      </c>
      <c r="C200" s="510">
        <v>125</v>
      </c>
      <c r="D200" s="510">
        <v>125</v>
      </c>
      <c r="E200" s="510">
        <v>120</v>
      </c>
      <c r="F200" s="510">
        <v>102</v>
      </c>
      <c r="G200" s="510">
        <v>302</v>
      </c>
      <c r="H200" s="510">
        <v>192</v>
      </c>
      <c r="I200" s="510">
        <v>541</v>
      </c>
      <c r="J200" s="510">
        <v>127</v>
      </c>
      <c r="K200" s="510">
        <v>56</v>
      </c>
      <c r="L200" s="510">
        <v>111</v>
      </c>
      <c r="M200" s="510">
        <v>183</v>
      </c>
      <c r="N200" s="510">
        <v>172</v>
      </c>
      <c r="O200" s="510">
        <v>-73</v>
      </c>
      <c r="P200" s="510">
        <v>-58</v>
      </c>
      <c r="Q200" s="510">
        <v>45</v>
      </c>
      <c r="R200" s="510">
        <v>-28</v>
      </c>
      <c r="S200" s="510">
        <v>53</v>
      </c>
    </row>
    <row r="201" spans="1:19">
      <c r="A201" s="510" t="s">
        <v>1648</v>
      </c>
      <c r="B201" s="510">
        <v>-1800</v>
      </c>
      <c r="C201" s="510">
        <v>-4125</v>
      </c>
      <c r="D201" s="510">
        <v>-5859</v>
      </c>
      <c r="E201" s="510">
        <v>-2579</v>
      </c>
      <c r="F201" s="510">
        <v>181</v>
      </c>
      <c r="G201" s="510" t="s">
        <v>273</v>
      </c>
      <c r="H201" s="510" t="s">
        <v>273</v>
      </c>
      <c r="I201" s="510" t="s">
        <v>273</v>
      </c>
      <c r="J201" s="510" t="s">
        <v>273</v>
      </c>
      <c r="K201" s="510" t="s">
        <v>273</v>
      </c>
      <c r="L201" s="510" t="s">
        <v>273</v>
      </c>
      <c r="M201" s="510" t="s">
        <v>273</v>
      </c>
      <c r="N201" s="510" t="s">
        <v>273</v>
      </c>
      <c r="O201" s="510" t="s">
        <v>273</v>
      </c>
      <c r="P201" s="510" t="s">
        <v>273</v>
      </c>
      <c r="Q201" s="510" t="s">
        <v>273</v>
      </c>
      <c r="R201" s="510" t="s">
        <v>273</v>
      </c>
      <c r="S201" s="510" t="s">
        <v>273</v>
      </c>
    </row>
    <row r="202" spans="1:19">
      <c r="A202" s="510" t="s">
        <v>1647</v>
      </c>
      <c r="B202" s="510">
        <v>-268</v>
      </c>
      <c r="C202" s="510">
        <v>-318</v>
      </c>
      <c r="D202" s="510">
        <v>-211</v>
      </c>
      <c r="E202" s="510">
        <v>-702</v>
      </c>
      <c r="F202" s="510">
        <v>-47</v>
      </c>
      <c r="G202" s="510" t="s">
        <v>273</v>
      </c>
      <c r="H202" s="510" t="s">
        <v>273</v>
      </c>
      <c r="I202" s="510" t="s">
        <v>273</v>
      </c>
      <c r="J202" s="510" t="s">
        <v>273</v>
      </c>
      <c r="K202" s="510" t="s">
        <v>273</v>
      </c>
      <c r="L202" s="510" t="s">
        <v>273</v>
      </c>
      <c r="M202" s="510" t="s">
        <v>273</v>
      </c>
      <c r="N202" s="510" t="s">
        <v>273</v>
      </c>
      <c r="O202" s="510" t="s">
        <v>273</v>
      </c>
      <c r="P202" s="510" t="s">
        <v>273</v>
      </c>
      <c r="Q202" s="510" t="s">
        <v>273</v>
      </c>
      <c r="R202" s="510" t="s">
        <v>273</v>
      </c>
      <c r="S202" s="510" t="s">
        <v>273</v>
      </c>
    </row>
    <row r="203" spans="1:19">
      <c r="A203" s="510" t="s">
        <v>1643</v>
      </c>
      <c r="B203" s="510">
        <v>-36</v>
      </c>
      <c r="C203" s="510">
        <v>-95</v>
      </c>
      <c r="D203" s="510">
        <v>-89</v>
      </c>
      <c r="E203" s="510">
        <v>-65</v>
      </c>
      <c r="F203" s="510">
        <v>-87</v>
      </c>
      <c r="G203" s="510" t="s">
        <v>273</v>
      </c>
      <c r="H203" s="510" t="s">
        <v>273</v>
      </c>
      <c r="I203" s="510" t="s">
        <v>273</v>
      </c>
      <c r="J203" s="510" t="s">
        <v>273</v>
      </c>
      <c r="K203" s="510" t="s">
        <v>273</v>
      </c>
      <c r="L203" s="510" t="s">
        <v>273</v>
      </c>
      <c r="M203" s="510" t="s">
        <v>273</v>
      </c>
      <c r="N203" s="510" t="s">
        <v>273</v>
      </c>
      <c r="O203" s="510" t="s">
        <v>273</v>
      </c>
      <c r="P203" s="510" t="s">
        <v>273</v>
      </c>
      <c r="Q203" s="510" t="s">
        <v>273</v>
      </c>
      <c r="R203" s="510" t="s">
        <v>273</v>
      </c>
      <c r="S203" s="510" t="s">
        <v>273</v>
      </c>
    </row>
    <row r="204" spans="1:19">
      <c r="A204" s="510" t="s">
        <v>1646</v>
      </c>
      <c r="B204" s="510">
        <v>-232</v>
      </c>
      <c r="C204" s="510">
        <v>-224</v>
      </c>
      <c r="D204" s="510">
        <v>-122</v>
      </c>
      <c r="E204" s="510">
        <v>-637</v>
      </c>
      <c r="F204" s="510">
        <v>40</v>
      </c>
      <c r="G204" s="510" t="s">
        <v>273</v>
      </c>
      <c r="H204" s="510" t="s">
        <v>273</v>
      </c>
      <c r="I204" s="510" t="s">
        <v>273</v>
      </c>
      <c r="J204" s="510" t="s">
        <v>273</v>
      </c>
      <c r="K204" s="510" t="s">
        <v>273</v>
      </c>
      <c r="L204" s="510" t="s">
        <v>273</v>
      </c>
      <c r="M204" s="510" t="s">
        <v>273</v>
      </c>
      <c r="N204" s="510" t="s">
        <v>273</v>
      </c>
      <c r="O204" s="510" t="s">
        <v>273</v>
      </c>
      <c r="P204" s="510" t="s">
        <v>273</v>
      </c>
      <c r="Q204" s="510" t="s">
        <v>273</v>
      </c>
      <c r="R204" s="510" t="s">
        <v>273</v>
      </c>
      <c r="S204" s="510" t="s">
        <v>273</v>
      </c>
    </row>
    <row r="205" spans="1:19">
      <c r="A205" s="510" t="s">
        <v>1641</v>
      </c>
      <c r="B205" s="510">
        <v>-1532</v>
      </c>
      <c r="C205" s="510">
        <v>-3806</v>
      </c>
      <c r="D205" s="510">
        <v>-5648</v>
      </c>
      <c r="E205" s="510">
        <v>-1878</v>
      </c>
      <c r="F205" s="510">
        <v>229</v>
      </c>
      <c r="G205" s="510" t="s">
        <v>273</v>
      </c>
      <c r="H205" s="510" t="s">
        <v>273</v>
      </c>
      <c r="I205" s="510" t="s">
        <v>273</v>
      </c>
      <c r="J205" s="510" t="s">
        <v>273</v>
      </c>
      <c r="K205" s="510" t="s">
        <v>273</v>
      </c>
      <c r="L205" s="510" t="s">
        <v>273</v>
      </c>
      <c r="M205" s="510" t="s">
        <v>273</v>
      </c>
      <c r="N205" s="510" t="s">
        <v>273</v>
      </c>
      <c r="O205" s="510" t="s">
        <v>273</v>
      </c>
      <c r="P205" s="510" t="s">
        <v>273</v>
      </c>
      <c r="Q205" s="510" t="s">
        <v>273</v>
      </c>
      <c r="R205" s="510" t="s">
        <v>273</v>
      </c>
      <c r="S205" s="510" t="s">
        <v>273</v>
      </c>
    </row>
    <row r="206" spans="1:19">
      <c r="A206" s="510" t="s">
        <v>1645</v>
      </c>
      <c r="B206" s="510" t="s">
        <v>273</v>
      </c>
      <c r="C206" s="510" t="s">
        <v>273</v>
      </c>
      <c r="D206" s="510" t="s">
        <v>273</v>
      </c>
      <c r="E206" s="510" t="s">
        <v>273</v>
      </c>
      <c r="F206" s="510" t="s">
        <v>273</v>
      </c>
      <c r="G206" s="510">
        <v>878</v>
      </c>
      <c r="H206" s="510">
        <v>670</v>
      </c>
      <c r="I206" s="510">
        <v>1162</v>
      </c>
      <c r="J206" s="510">
        <v>1227</v>
      </c>
      <c r="K206" s="510">
        <v>1556</v>
      </c>
      <c r="L206" s="510">
        <v>1352</v>
      </c>
      <c r="M206" s="510">
        <v>2014</v>
      </c>
      <c r="N206" s="510">
        <v>2474</v>
      </c>
      <c r="O206" s="510">
        <v>3230</v>
      </c>
      <c r="P206" s="510">
        <v>1139</v>
      </c>
      <c r="Q206" s="510">
        <v>1588</v>
      </c>
      <c r="R206" s="510">
        <v>770</v>
      </c>
      <c r="S206" s="510">
        <v>1734</v>
      </c>
    </row>
    <row r="207" spans="1:19">
      <c r="A207" s="510" t="s">
        <v>1644</v>
      </c>
      <c r="B207" s="510" t="s">
        <v>273</v>
      </c>
      <c r="C207" s="510" t="s">
        <v>273</v>
      </c>
      <c r="D207" s="510" t="s">
        <v>273</v>
      </c>
      <c r="E207" s="510" t="s">
        <v>273</v>
      </c>
      <c r="F207" s="510" t="s">
        <v>273</v>
      </c>
      <c r="G207" s="510">
        <v>-225</v>
      </c>
      <c r="H207" s="510">
        <v>-35</v>
      </c>
      <c r="I207" s="510">
        <v>359</v>
      </c>
      <c r="J207" s="510">
        <v>552</v>
      </c>
      <c r="K207" s="510">
        <v>522</v>
      </c>
      <c r="L207" s="510">
        <v>151</v>
      </c>
      <c r="M207" s="510">
        <v>198</v>
      </c>
      <c r="N207" s="510">
        <v>533</v>
      </c>
      <c r="O207" s="510">
        <v>1429</v>
      </c>
      <c r="P207" s="510">
        <v>1383</v>
      </c>
      <c r="Q207" s="510">
        <v>1324</v>
      </c>
      <c r="R207" s="510">
        <v>1546</v>
      </c>
      <c r="S207" s="510">
        <v>1879</v>
      </c>
    </row>
    <row r="208" spans="1:19">
      <c r="A208" s="510" t="s">
        <v>1643</v>
      </c>
      <c r="B208" s="510" t="s">
        <v>273</v>
      </c>
      <c r="C208" s="510" t="s">
        <v>273</v>
      </c>
      <c r="D208" s="510" t="s">
        <v>273</v>
      </c>
      <c r="E208" s="510" t="s">
        <v>273</v>
      </c>
      <c r="F208" s="510" t="s">
        <v>273</v>
      </c>
      <c r="G208" s="510">
        <v>47</v>
      </c>
      <c r="H208" s="510">
        <v>61</v>
      </c>
      <c r="I208" s="510">
        <v>91</v>
      </c>
      <c r="J208" s="510">
        <v>240</v>
      </c>
      <c r="K208" s="510">
        <v>144</v>
      </c>
      <c r="L208" s="510">
        <v>-14</v>
      </c>
      <c r="M208" s="510">
        <v>37</v>
      </c>
      <c r="N208" s="510">
        <v>138</v>
      </c>
      <c r="O208" s="510">
        <v>369</v>
      </c>
      <c r="P208" s="510">
        <v>403</v>
      </c>
      <c r="Q208" s="510">
        <v>408</v>
      </c>
      <c r="R208" s="510">
        <v>581</v>
      </c>
      <c r="S208" s="510">
        <v>868</v>
      </c>
    </row>
    <row r="209" spans="1:19">
      <c r="A209" s="510" t="s">
        <v>1642</v>
      </c>
      <c r="B209" s="510" t="s">
        <v>273</v>
      </c>
      <c r="C209" s="510" t="s">
        <v>273</v>
      </c>
      <c r="D209" s="510" t="s">
        <v>273</v>
      </c>
      <c r="E209" s="510" t="s">
        <v>273</v>
      </c>
      <c r="F209" s="510" t="s">
        <v>273</v>
      </c>
      <c r="G209" s="510">
        <v>-273</v>
      </c>
      <c r="H209" s="510">
        <v>-97</v>
      </c>
      <c r="I209" s="510">
        <v>268</v>
      </c>
      <c r="J209" s="510">
        <v>312</v>
      </c>
      <c r="K209" s="510">
        <v>377</v>
      </c>
      <c r="L209" s="510">
        <v>165</v>
      </c>
      <c r="M209" s="510">
        <v>161</v>
      </c>
      <c r="N209" s="510">
        <v>395</v>
      </c>
      <c r="O209" s="510">
        <v>1060</v>
      </c>
      <c r="P209" s="510">
        <v>980</v>
      </c>
      <c r="Q209" s="510">
        <v>916</v>
      </c>
      <c r="R209" s="510">
        <v>965</v>
      </c>
      <c r="S209" s="510">
        <v>1010</v>
      </c>
    </row>
    <row r="210" spans="1:19">
      <c r="A210" s="510" t="s">
        <v>1641</v>
      </c>
      <c r="B210" s="510" t="s">
        <v>273</v>
      </c>
      <c r="C210" s="510" t="s">
        <v>273</v>
      </c>
      <c r="D210" s="510" t="s">
        <v>273</v>
      </c>
      <c r="E210" s="510" t="s">
        <v>273</v>
      </c>
      <c r="F210" s="510" t="s">
        <v>273</v>
      </c>
      <c r="G210" s="510">
        <v>1103</v>
      </c>
      <c r="H210" s="510">
        <v>705</v>
      </c>
      <c r="I210" s="510">
        <v>803</v>
      </c>
      <c r="J210" s="510">
        <v>675</v>
      </c>
      <c r="K210" s="510">
        <v>1035</v>
      </c>
      <c r="L210" s="510">
        <v>1200</v>
      </c>
      <c r="M210" s="510">
        <v>1816</v>
      </c>
      <c r="N210" s="510">
        <v>1942</v>
      </c>
      <c r="O210" s="510">
        <v>1802</v>
      </c>
      <c r="P210" s="510">
        <v>-244</v>
      </c>
      <c r="Q210" s="510">
        <v>264</v>
      </c>
      <c r="R210" s="510">
        <v>-776</v>
      </c>
      <c r="S210" s="510">
        <v>-144</v>
      </c>
    </row>
    <row r="211" spans="1:19">
      <c r="A211" s="510" t="s">
        <v>1640</v>
      </c>
      <c r="B211" s="510" t="s">
        <v>273</v>
      </c>
      <c r="C211" s="510" t="s">
        <v>273</v>
      </c>
      <c r="D211" s="510" t="s">
        <v>273</v>
      </c>
      <c r="E211" s="510" t="s">
        <v>273</v>
      </c>
      <c r="F211" s="510" t="s">
        <v>273</v>
      </c>
      <c r="G211" s="510">
        <v>-538</v>
      </c>
      <c r="H211" s="510">
        <v>-640</v>
      </c>
      <c r="I211" s="510">
        <v>-307</v>
      </c>
      <c r="J211" s="510">
        <v>-590</v>
      </c>
      <c r="K211" s="510">
        <v>340</v>
      </c>
      <c r="L211" s="510">
        <v>378</v>
      </c>
      <c r="M211" s="510">
        <v>986</v>
      </c>
      <c r="N211" s="510">
        <v>1008</v>
      </c>
      <c r="O211" s="510">
        <v>1173</v>
      </c>
      <c r="P211" s="510">
        <v>-8</v>
      </c>
      <c r="Q211" s="510">
        <v>724</v>
      </c>
      <c r="R211" s="510">
        <v>-452</v>
      </c>
      <c r="S211" s="510">
        <v>738</v>
      </c>
    </row>
    <row r="212" spans="1:19">
      <c r="A212" s="510" t="s">
        <v>1639</v>
      </c>
      <c r="B212" s="510" t="s">
        <v>273</v>
      </c>
      <c r="C212" s="510" t="s">
        <v>273</v>
      </c>
      <c r="D212" s="510" t="s">
        <v>273</v>
      </c>
      <c r="E212" s="510" t="s">
        <v>273</v>
      </c>
      <c r="F212" s="510" t="s">
        <v>273</v>
      </c>
      <c r="G212" s="510">
        <v>902</v>
      </c>
      <c r="H212" s="510">
        <v>774</v>
      </c>
      <c r="I212" s="510">
        <v>679</v>
      </c>
      <c r="J212" s="510">
        <v>762</v>
      </c>
      <c r="K212" s="510">
        <v>722</v>
      </c>
      <c r="L212" s="510">
        <v>609</v>
      </c>
      <c r="M212" s="510">
        <v>627</v>
      </c>
      <c r="N212" s="510">
        <v>746</v>
      </c>
      <c r="O212" s="510">
        <v>-73</v>
      </c>
      <c r="P212" s="510">
        <v>-1089</v>
      </c>
      <c r="Q212" s="510" t="s">
        <v>291</v>
      </c>
      <c r="R212" s="510">
        <v>-993</v>
      </c>
      <c r="S212" s="510">
        <v>-1315</v>
      </c>
    </row>
    <row r="213" spans="1:19">
      <c r="A213" s="510" t="s">
        <v>1638</v>
      </c>
      <c r="B213" s="510" t="s">
        <v>273</v>
      </c>
      <c r="C213" s="510" t="s">
        <v>273</v>
      </c>
      <c r="D213" s="510" t="s">
        <v>273</v>
      </c>
      <c r="E213" s="510" t="s">
        <v>273</v>
      </c>
      <c r="F213" s="510" t="s">
        <v>273</v>
      </c>
      <c r="G213" s="510">
        <v>11</v>
      </c>
      <c r="H213" s="510">
        <v>-79</v>
      </c>
      <c r="I213" s="510">
        <v>-100</v>
      </c>
      <c r="J213" s="510">
        <v>26</v>
      </c>
      <c r="K213" s="510">
        <v>-34</v>
      </c>
      <c r="L213" s="510" t="s">
        <v>273</v>
      </c>
      <c r="M213" s="510" t="s">
        <v>273</v>
      </c>
      <c r="N213" s="510" t="s">
        <v>273</v>
      </c>
      <c r="O213" s="510" t="s">
        <v>273</v>
      </c>
      <c r="P213" s="510" t="s">
        <v>273</v>
      </c>
      <c r="Q213" s="510" t="s">
        <v>273</v>
      </c>
      <c r="R213" s="510" t="s">
        <v>273</v>
      </c>
      <c r="S213" s="510" t="s">
        <v>273</v>
      </c>
    </row>
    <row r="214" spans="1:19">
      <c r="A214" s="510" t="s">
        <v>1637</v>
      </c>
      <c r="B214" s="510" t="s">
        <v>273</v>
      </c>
      <c r="C214" s="510" t="s">
        <v>273</v>
      </c>
      <c r="D214" s="510" t="s">
        <v>273</v>
      </c>
      <c r="E214" s="510" t="s">
        <v>273</v>
      </c>
      <c r="F214" s="510" t="s">
        <v>273</v>
      </c>
      <c r="G214" s="510">
        <v>658</v>
      </c>
      <c r="H214" s="510" t="s">
        <v>291</v>
      </c>
      <c r="I214" s="510">
        <v>338</v>
      </c>
      <c r="J214" s="510" t="s">
        <v>291</v>
      </c>
      <c r="K214" s="510">
        <v>61</v>
      </c>
      <c r="L214" s="510">
        <v>41</v>
      </c>
      <c r="M214" s="510">
        <v>144</v>
      </c>
      <c r="N214" s="510">
        <v>346</v>
      </c>
      <c r="O214" s="510">
        <v>733</v>
      </c>
      <c r="P214" s="510" t="s">
        <v>291</v>
      </c>
      <c r="Q214" s="510" t="s">
        <v>291</v>
      </c>
      <c r="R214" s="510" t="s">
        <v>291</v>
      </c>
      <c r="S214" s="510">
        <v>422</v>
      </c>
    </row>
    <row r="215" spans="1:19">
      <c r="A215" s="510" t="s">
        <v>1636</v>
      </c>
      <c r="B215" s="510" t="s">
        <v>273</v>
      </c>
      <c r="C215" s="510" t="s">
        <v>273</v>
      </c>
      <c r="D215" s="510" t="s">
        <v>273</v>
      </c>
      <c r="E215" s="510" t="s">
        <v>273</v>
      </c>
      <c r="F215" s="510" t="s">
        <v>273</v>
      </c>
      <c r="G215" s="510">
        <v>68</v>
      </c>
      <c r="H215" s="510">
        <v>132</v>
      </c>
      <c r="I215" s="510">
        <v>132</v>
      </c>
      <c r="J215" s="510" t="s">
        <v>291</v>
      </c>
      <c r="K215" s="510">
        <v>475</v>
      </c>
      <c r="L215" s="510" t="s">
        <v>273</v>
      </c>
      <c r="M215" s="510" t="s">
        <v>273</v>
      </c>
      <c r="N215" s="510" t="s">
        <v>273</v>
      </c>
      <c r="O215" s="510" t="s">
        <v>273</v>
      </c>
      <c r="P215" s="510" t="s">
        <v>273</v>
      </c>
      <c r="Q215" s="510" t="s">
        <v>273</v>
      </c>
      <c r="R215" s="510" t="s">
        <v>273</v>
      </c>
      <c r="S215" s="510" t="s">
        <v>273</v>
      </c>
    </row>
    <row r="216" spans="1:19">
      <c r="A216" s="510" t="s">
        <v>1635</v>
      </c>
      <c r="B216" s="510" t="s">
        <v>273</v>
      </c>
      <c r="C216" s="510" t="s">
        <v>273</v>
      </c>
      <c r="D216" s="510" t="s">
        <v>273</v>
      </c>
      <c r="E216" s="510" t="s">
        <v>273</v>
      </c>
      <c r="F216" s="510" t="s">
        <v>273</v>
      </c>
      <c r="G216" s="510">
        <v>2</v>
      </c>
      <c r="H216" s="510" t="s">
        <v>291</v>
      </c>
      <c r="I216" s="510">
        <v>61</v>
      </c>
      <c r="J216" s="510">
        <v>-61</v>
      </c>
      <c r="K216" s="510">
        <v>-529</v>
      </c>
      <c r="L216" s="510">
        <v>172</v>
      </c>
      <c r="M216" s="510">
        <v>58</v>
      </c>
      <c r="N216" s="510">
        <v>-158</v>
      </c>
      <c r="O216" s="510">
        <v>-32</v>
      </c>
      <c r="P216" s="510" t="s">
        <v>291</v>
      </c>
      <c r="Q216" s="510">
        <v>103</v>
      </c>
      <c r="R216" s="510" t="s">
        <v>291</v>
      </c>
      <c r="S216" s="510">
        <v>12</v>
      </c>
    </row>
    <row r="217" spans="1:19">
      <c r="A217" s="510" t="s">
        <v>1634</v>
      </c>
      <c r="B217" s="510" t="s">
        <v>273</v>
      </c>
      <c r="C217" s="510" t="s">
        <v>273</v>
      </c>
      <c r="D217" s="510" t="s">
        <v>273</v>
      </c>
      <c r="E217" s="510" t="s">
        <v>273</v>
      </c>
      <c r="F217" s="510" t="s">
        <v>273</v>
      </c>
      <c r="G217" s="510" t="s">
        <v>273</v>
      </c>
      <c r="H217" s="510" t="s">
        <v>273</v>
      </c>
      <c r="I217" s="510" t="s">
        <v>273</v>
      </c>
      <c r="J217" s="510" t="s">
        <v>273</v>
      </c>
      <c r="K217" s="510" t="s">
        <v>273</v>
      </c>
      <c r="L217" s="510">
        <v>421</v>
      </c>
      <c r="M217" s="510">
        <v>345</v>
      </c>
      <c r="N217" s="510">
        <v>530</v>
      </c>
      <c r="O217" s="510">
        <v>247</v>
      </c>
      <c r="P217" s="510">
        <v>934</v>
      </c>
      <c r="Q217" s="510">
        <v>454</v>
      </c>
      <c r="R217" s="510">
        <v>492</v>
      </c>
      <c r="S217" s="510">
        <v>373</v>
      </c>
    </row>
    <row r="218" spans="1:19">
      <c r="A218" s="510" t="s">
        <v>1633</v>
      </c>
      <c r="B218" s="510" t="s">
        <v>273</v>
      </c>
      <c r="C218" s="510" t="s">
        <v>273</v>
      </c>
      <c r="D218" s="510" t="s">
        <v>273</v>
      </c>
      <c r="E218" s="510" t="s">
        <v>273</v>
      </c>
      <c r="F218" s="510" t="s">
        <v>273</v>
      </c>
      <c r="G218" s="510" t="s">
        <v>273</v>
      </c>
      <c r="H218" s="510" t="s">
        <v>273</v>
      </c>
      <c r="I218" s="510" t="s">
        <v>273</v>
      </c>
      <c r="J218" s="510" t="s">
        <v>273</v>
      </c>
      <c r="K218" s="510" t="s">
        <v>273</v>
      </c>
      <c r="L218" s="510">
        <v>1823</v>
      </c>
      <c r="M218" s="510">
        <v>2090</v>
      </c>
      <c r="N218" s="510">
        <v>2627</v>
      </c>
      <c r="O218" s="510">
        <v>3207</v>
      </c>
      <c r="P218" s="510">
        <v>2676</v>
      </c>
      <c r="Q218" s="510">
        <v>2938</v>
      </c>
      <c r="R218" s="510">
        <v>2451</v>
      </c>
      <c r="S218" s="510">
        <v>2620</v>
      </c>
    </row>
    <row r="219" spans="1:19">
      <c r="A219" s="510" t="s">
        <v>1632</v>
      </c>
      <c r="B219" s="510" t="s">
        <v>273</v>
      </c>
      <c r="C219" s="510" t="s">
        <v>273</v>
      </c>
      <c r="D219" s="510" t="s">
        <v>273</v>
      </c>
      <c r="E219" s="510" t="s">
        <v>273</v>
      </c>
      <c r="F219" s="510" t="s">
        <v>273</v>
      </c>
      <c r="G219" s="510">
        <v>1664</v>
      </c>
      <c r="H219" s="510">
        <v>2230</v>
      </c>
      <c r="I219" s="510">
        <v>2117</v>
      </c>
      <c r="J219" s="510">
        <v>2231</v>
      </c>
      <c r="K219" s="510">
        <v>2484</v>
      </c>
      <c r="L219" s="510" t="s">
        <v>273</v>
      </c>
      <c r="M219" s="510" t="s">
        <v>273</v>
      </c>
      <c r="N219" s="510" t="s">
        <v>273</v>
      </c>
      <c r="O219" s="510" t="s">
        <v>273</v>
      </c>
      <c r="P219" s="510" t="s">
        <v>273</v>
      </c>
      <c r="Q219" s="510" t="s">
        <v>273</v>
      </c>
      <c r="R219" s="510" t="s">
        <v>273</v>
      </c>
      <c r="S219" s="510" t="s">
        <v>273</v>
      </c>
    </row>
    <row r="220" spans="1:19">
      <c r="A220" s="510" t="s">
        <v>1631</v>
      </c>
      <c r="B220" s="510" t="s">
        <v>273</v>
      </c>
      <c r="C220" s="510" t="s">
        <v>273</v>
      </c>
      <c r="D220" s="510" t="s">
        <v>273</v>
      </c>
      <c r="E220" s="510" t="s">
        <v>273</v>
      </c>
      <c r="F220" s="510" t="s">
        <v>273</v>
      </c>
      <c r="G220" s="510">
        <v>-6</v>
      </c>
      <c r="H220" s="510">
        <v>-6</v>
      </c>
      <c r="I220" s="510">
        <v>-2</v>
      </c>
      <c r="J220" s="510">
        <v>-1</v>
      </c>
      <c r="K220" s="510">
        <v>1</v>
      </c>
      <c r="L220" s="510" t="s">
        <v>273</v>
      </c>
      <c r="M220" s="510" t="s">
        <v>273</v>
      </c>
      <c r="N220" s="510" t="s">
        <v>273</v>
      </c>
      <c r="O220" s="510" t="s">
        <v>273</v>
      </c>
      <c r="P220" s="510" t="s">
        <v>273</v>
      </c>
      <c r="Q220" s="510" t="s">
        <v>273</v>
      </c>
      <c r="R220" s="510" t="s">
        <v>273</v>
      </c>
      <c r="S220" s="510" t="s">
        <v>273</v>
      </c>
    </row>
    <row r="221" spans="1:19">
      <c r="A221" s="510" t="s">
        <v>1630</v>
      </c>
      <c r="B221" s="510" t="s">
        <v>273</v>
      </c>
      <c r="C221" s="510" t="s">
        <v>273</v>
      </c>
      <c r="D221" s="510" t="s">
        <v>273</v>
      </c>
      <c r="E221" s="510" t="s">
        <v>273</v>
      </c>
      <c r="F221" s="510" t="s">
        <v>273</v>
      </c>
      <c r="G221" s="510">
        <v>156</v>
      </c>
      <c r="H221" s="510">
        <v>285</v>
      </c>
      <c r="I221" s="510">
        <v>327</v>
      </c>
      <c r="J221" s="510">
        <v>484</v>
      </c>
      <c r="K221" s="510">
        <v>328</v>
      </c>
      <c r="L221" s="510" t="s">
        <v>273</v>
      </c>
      <c r="M221" s="510" t="s">
        <v>273</v>
      </c>
      <c r="N221" s="510" t="s">
        <v>273</v>
      </c>
      <c r="O221" s="510" t="s">
        <v>273</v>
      </c>
      <c r="P221" s="510" t="s">
        <v>273</v>
      </c>
      <c r="Q221" s="510" t="s">
        <v>273</v>
      </c>
      <c r="R221" s="510" t="s">
        <v>273</v>
      </c>
      <c r="S221" s="510" t="s">
        <v>273</v>
      </c>
    </row>
    <row r="222" spans="1:19">
      <c r="A222" s="510" t="s">
        <v>1629</v>
      </c>
      <c r="B222" s="510" t="s">
        <v>273</v>
      </c>
      <c r="C222" s="510" t="s">
        <v>273</v>
      </c>
      <c r="D222" s="510" t="s">
        <v>273</v>
      </c>
      <c r="E222" s="510" t="s">
        <v>273</v>
      </c>
      <c r="F222" s="510" t="s">
        <v>273</v>
      </c>
      <c r="G222" s="510">
        <v>245</v>
      </c>
      <c r="H222" s="510">
        <v>638</v>
      </c>
      <c r="I222" s="510">
        <v>193</v>
      </c>
      <c r="J222" s="510">
        <v>173</v>
      </c>
      <c r="K222" s="510">
        <v>206</v>
      </c>
      <c r="L222" s="510" t="s">
        <v>273</v>
      </c>
      <c r="M222" s="510" t="s">
        <v>273</v>
      </c>
      <c r="N222" s="510" t="s">
        <v>273</v>
      </c>
      <c r="O222" s="510" t="s">
        <v>273</v>
      </c>
      <c r="P222" s="510" t="s">
        <v>273</v>
      </c>
      <c r="Q222" s="510" t="s">
        <v>273</v>
      </c>
      <c r="R222" s="510" t="s">
        <v>273</v>
      </c>
      <c r="S222" s="510" t="s">
        <v>273</v>
      </c>
    </row>
    <row r="223" spans="1:19">
      <c r="A223" s="510" t="s">
        <v>1628</v>
      </c>
      <c r="B223" s="510" t="s">
        <v>273</v>
      </c>
      <c r="C223" s="510" t="s">
        <v>273</v>
      </c>
      <c r="D223" s="510" t="s">
        <v>273</v>
      </c>
      <c r="E223" s="510" t="s">
        <v>273</v>
      </c>
      <c r="F223" s="510" t="s">
        <v>273</v>
      </c>
      <c r="G223" s="510">
        <v>1268</v>
      </c>
      <c r="H223" s="510">
        <v>1313</v>
      </c>
      <c r="I223" s="510">
        <v>1598</v>
      </c>
      <c r="J223" s="510">
        <v>1574</v>
      </c>
      <c r="K223" s="510">
        <v>1949</v>
      </c>
      <c r="L223" s="510" t="s">
        <v>273</v>
      </c>
      <c r="M223" s="510" t="s">
        <v>273</v>
      </c>
      <c r="N223" s="510" t="s">
        <v>273</v>
      </c>
      <c r="O223" s="510" t="s">
        <v>273</v>
      </c>
      <c r="P223" s="510" t="s">
        <v>273</v>
      </c>
      <c r="Q223" s="510" t="s">
        <v>273</v>
      </c>
      <c r="R223" s="510" t="s">
        <v>273</v>
      </c>
      <c r="S223" s="510" t="s">
        <v>273</v>
      </c>
    </row>
    <row r="224" spans="1:19">
      <c r="A224" s="510" t="s">
        <v>1627</v>
      </c>
      <c r="B224" s="510">
        <v>691</v>
      </c>
      <c r="C224" s="510">
        <v>730</v>
      </c>
      <c r="D224" s="510">
        <v>850</v>
      </c>
      <c r="E224" s="510">
        <v>360</v>
      </c>
      <c r="F224" s="510">
        <v>461</v>
      </c>
      <c r="G224" s="510" t="s">
        <v>273</v>
      </c>
      <c r="H224" s="510" t="s">
        <v>273</v>
      </c>
      <c r="I224" s="510" t="s">
        <v>273</v>
      </c>
      <c r="J224" s="510" t="s">
        <v>273</v>
      </c>
      <c r="K224" s="510" t="s">
        <v>273</v>
      </c>
      <c r="L224" s="510" t="s">
        <v>273</v>
      </c>
      <c r="M224" s="510" t="s">
        <v>273</v>
      </c>
      <c r="N224" s="510" t="s">
        <v>273</v>
      </c>
      <c r="O224" s="510" t="s">
        <v>273</v>
      </c>
      <c r="P224" s="510" t="s">
        <v>273</v>
      </c>
      <c r="Q224" s="510" t="s">
        <v>273</v>
      </c>
      <c r="R224" s="510" t="s">
        <v>273</v>
      </c>
      <c r="S224" s="510" t="s">
        <v>273</v>
      </c>
    </row>
    <row r="225" spans="1:19">
      <c r="A225" s="510" t="s">
        <v>1626</v>
      </c>
      <c r="B225" s="510">
        <v>492</v>
      </c>
      <c r="C225" s="510">
        <v>666</v>
      </c>
      <c r="D225" s="510">
        <v>778</v>
      </c>
      <c r="E225" s="510">
        <v>408</v>
      </c>
      <c r="F225" s="510">
        <v>481</v>
      </c>
      <c r="G225" s="510" t="s">
        <v>273</v>
      </c>
      <c r="H225" s="510" t="s">
        <v>273</v>
      </c>
      <c r="I225" s="510" t="s">
        <v>273</v>
      </c>
      <c r="J225" s="510" t="s">
        <v>273</v>
      </c>
      <c r="K225" s="510" t="s">
        <v>273</v>
      </c>
      <c r="L225" s="510" t="s">
        <v>273</v>
      </c>
      <c r="M225" s="510" t="s">
        <v>273</v>
      </c>
      <c r="N225" s="510" t="s">
        <v>273</v>
      </c>
      <c r="O225" s="510" t="s">
        <v>273</v>
      </c>
      <c r="P225" s="510" t="s">
        <v>273</v>
      </c>
      <c r="Q225" s="510" t="s">
        <v>273</v>
      </c>
      <c r="R225" s="510" t="s">
        <v>273</v>
      </c>
      <c r="S225" s="510" t="s">
        <v>273</v>
      </c>
    </row>
    <row r="226" spans="1:19">
      <c r="A226" s="510" t="s">
        <v>1625</v>
      </c>
      <c r="B226" s="510">
        <v>199</v>
      </c>
      <c r="C226" s="510">
        <v>64</v>
      </c>
      <c r="D226" s="510">
        <v>72</v>
      </c>
      <c r="E226" s="510">
        <v>-47</v>
      </c>
      <c r="F226" s="510">
        <v>-20</v>
      </c>
      <c r="G226" s="510" t="s">
        <v>273</v>
      </c>
      <c r="H226" s="510" t="s">
        <v>273</v>
      </c>
      <c r="I226" s="510" t="s">
        <v>273</v>
      </c>
      <c r="J226" s="510" t="s">
        <v>273</v>
      </c>
      <c r="K226" s="510" t="s">
        <v>273</v>
      </c>
      <c r="L226" s="510" t="s">
        <v>273</v>
      </c>
      <c r="M226" s="510" t="s">
        <v>273</v>
      </c>
      <c r="N226" s="510" t="s">
        <v>273</v>
      </c>
      <c r="O226" s="510" t="s">
        <v>273</v>
      </c>
      <c r="P226" s="510" t="s">
        <v>273</v>
      </c>
      <c r="Q226" s="510" t="s">
        <v>273</v>
      </c>
      <c r="R226" s="510" t="s">
        <v>273</v>
      </c>
      <c r="S226" s="510" t="s">
        <v>273</v>
      </c>
    </row>
    <row r="227" spans="1:19">
      <c r="A227" s="510" t="s">
        <v>1624</v>
      </c>
      <c r="B227" s="510">
        <v>968</v>
      </c>
      <c r="C227" s="510">
        <v>2191</v>
      </c>
      <c r="D227" s="510">
        <v>2343</v>
      </c>
      <c r="E227" s="510">
        <v>1347</v>
      </c>
      <c r="F227" s="510">
        <v>2268</v>
      </c>
      <c r="G227" s="510">
        <v>1301</v>
      </c>
      <c r="H227" s="510">
        <v>164</v>
      </c>
      <c r="I227" s="510">
        <v>-6362</v>
      </c>
      <c r="J227" s="510">
        <v>-7927</v>
      </c>
      <c r="K227" s="510">
        <v>1013</v>
      </c>
      <c r="L227" s="510">
        <v>2120</v>
      </c>
      <c r="M227" s="510">
        <v>1328</v>
      </c>
      <c r="N227" s="510">
        <v>7818</v>
      </c>
      <c r="O227" s="510">
        <v>10385</v>
      </c>
      <c r="P227" s="510">
        <v>7616</v>
      </c>
      <c r="Q227" s="510">
        <v>4700</v>
      </c>
      <c r="R227" s="510">
        <v>4747</v>
      </c>
      <c r="S227" s="510">
        <v>7362</v>
      </c>
    </row>
    <row r="228" spans="1:19">
      <c r="A228" s="510" t="s">
        <v>1623</v>
      </c>
      <c r="B228" s="510">
        <v>914</v>
      </c>
      <c r="C228" s="510">
        <v>2124</v>
      </c>
      <c r="D228" s="510">
        <v>2335</v>
      </c>
      <c r="E228" s="510">
        <v>1270</v>
      </c>
      <c r="F228" s="510">
        <v>2148</v>
      </c>
      <c r="G228" s="510">
        <v>976</v>
      </c>
      <c r="H228" s="510">
        <v>116</v>
      </c>
      <c r="I228" s="510">
        <v>-6427</v>
      </c>
      <c r="J228" s="510">
        <v>-7313</v>
      </c>
      <c r="K228" s="510">
        <v>511</v>
      </c>
      <c r="L228" s="510">
        <v>912</v>
      </c>
      <c r="M228" s="510">
        <v>925</v>
      </c>
      <c r="N228" s="510">
        <v>7471</v>
      </c>
      <c r="O228" s="510">
        <v>10206</v>
      </c>
      <c r="P228" s="510">
        <v>7006</v>
      </c>
      <c r="Q228" s="510">
        <v>4274</v>
      </c>
      <c r="R228" s="510">
        <v>4485</v>
      </c>
      <c r="S228" s="510">
        <v>6995</v>
      </c>
    </row>
    <row r="229" spans="1:19">
      <c r="A229" s="510" t="s">
        <v>1622</v>
      </c>
      <c r="B229" s="510">
        <v>54</v>
      </c>
      <c r="C229" s="510">
        <v>67</v>
      </c>
      <c r="D229" s="510">
        <v>9</v>
      </c>
      <c r="E229" s="510">
        <v>77</v>
      </c>
      <c r="F229" s="510">
        <v>121</v>
      </c>
      <c r="G229" s="510">
        <v>325</v>
      </c>
      <c r="H229" s="510">
        <v>48</v>
      </c>
      <c r="I229" s="510">
        <v>65</v>
      </c>
      <c r="J229" s="510">
        <v>-614</v>
      </c>
      <c r="K229" s="510">
        <v>502</v>
      </c>
      <c r="L229" s="510">
        <v>1209</v>
      </c>
      <c r="M229" s="510">
        <v>403</v>
      </c>
      <c r="N229" s="510">
        <v>348</v>
      </c>
      <c r="O229" s="510">
        <v>178</v>
      </c>
      <c r="P229" s="510">
        <v>610</v>
      </c>
      <c r="Q229" s="510">
        <v>426</v>
      </c>
      <c r="R229" s="510">
        <v>261</v>
      </c>
      <c r="S229" s="510">
        <v>367</v>
      </c>
    </row>
    <row r="230" spans="1:19">
      <c r="A230" s="510" t="s">
        <v>1621</v>
      </c>
      <c r="B230" s="510">
        <v>13097</v>
      </c>
      <c r="C230" s="510">
        <v>15210</v>
      </c>
      <c r="D230" s="510">
        <v>9224</v>
      </c>
      <c r="E230" s="510">
        <v>14585</v>
      </c>
      <c r="F230" s="510">
        <v>19623</v>
      </c>
      <c r="G230" s="510">
        <v>27477</v>
      </c>
      <c r="H230" s="510">
        <v>27911</v>
      </c>
      <c r="I230" s="510">
        <v>39402</v>
      </c>
      <c r="J230" s="510">
        <v>42802</v>
      </c>
      <c r="K230" s="510">
        <v>43618</v>
      </c>
      <c r="L230" s="510">
        <v>41237</v>
      </c>
      <c r="M230" s="510">
        <v>35143</v>
      </c>
      <c r="N230" s="510">
        <v>33636</v>
      </c>
      <c r="O230" s="510">
        <v>38081</v>
      </c>
      <c r="P230" s="510">
        <v>36999</v>
      </c>
      <c r="Q230" s="510">
        <v>36339</v>
      </c>
      <c r="R230" s="510">
        <v>38620</v>
      </c>
      <c r="S230" s="510">
        <v>42054</v>
      </c>
    </row>
    <row r="231" spans="1:19">
      <c r="A231" s="510" t="s">
        <v>1620</v>
      </c>
      <c r="B231" s="510">
        <v>9063</v>
      </c>
      <c r="C231" s="510">
        <v>10228</v>
      </c>
      <c r="D231" s="510">
        <v>5586</v>
      </c>
      <c r="E231" s="510">
        <v>8472</v>
      </c>
      <c r="F231" s="510">
        <v>10780</v>
      </c>
      <c r="G231" s="510">
        <v>15519</v>
      </c>
      <c r="H231" s="510">
        <v>15915</v>
      </c>
      <c r="I231" s="510">
        <v>26273</v>
      </c>
      <c r="J231" s="510">
        <v>27114</v>
      </c>
      <c r="K231" s="510">
        <v>28900</v>
      </c>
      <c r="L231" s="510">
        <v>23414</v>
      </c>
      <c r="M231" s="510">
        <v>21230</v>
      </c>
      <c r="N231" s="510">
        <v>23611</v>
      </c>
      <c r="O231" s="510">
        <v>23819</v>
      </c>
      <c r="P231" s="510">
        <v>25457</v>
      </c>
      <c r="Q231" s="510">
        <v>26511</v>
      </c>
      <c r="R231" s="510">
        <v>25979</v>
      </c>
      <c r="S231" s="510">
        <v>31528</v>
      </c>
    </row>
    <row r="232" spans="1:19">
      <c r="A232" s="510" t="s">
        <v>1619</v>
      </c>
      <c r="B232" s="510">
        <v>5287</v>
      </c>
      <c r="C232" s="510">
        <v>4741</v>
      </c>
      <c r="D232" s="510">
        <v>457</v>
      </c>
      <c r="E232" s="510">
        <v>2728</v>
      </c>
      <c r="F232" s="510">
        <v>5658</v>
      </c>
      <c r="G232" s="510">
        <v>7979</v>
      </c>
      <c r="H232" s="510">
        <v>10352</v>
      </c>
      <c r="I232" s="510">
        <v>16625</v>
      </c>
      <c r="J232" s="510">
        <v>18590</v>
      </c>
      <c r="K232" s="510">
        <v>20784</v>
      </c>
      <c r="L232" s="510">
        <v>14568</v>
      </c>
      <c r="M232" s="510">
        <v>10996</v>
      </c>
      <c r="N232" s="510">
        <v>12796</v>
      </c>
      <c r="O232" s="510">
        <v>10947</v>
      </c>
      <c r="P232" s="510">
        <v>14587</v>
      </c>
      <c r="Q232" s="510">
        <v>12933</v>
      </c>
      <c r="R232" s="510">
        <v>15814</v>
      </c>
      <c r="S232" s="510">
        <v>16894</v>
      </c>
    </row>
    <row r="233" spans="1:19">
      <c r="A233" s="510" t="s">
        <v>1618</v>
      </c>
      <c r="B233" s="510">
        <v>578</v>
      </c>
      <c r="C233" s="510">
        <v>804</v>
      </c>
      <c r="D233" s="510">
        <v>-1083</v>
      </c>
      <c r="E233" s="510">
        <v>1633</v>
      </c>
      <c r="F233" s="510">
        <v>1756</v>
      </c>
      <c r="G233" s="510">
        <v>2476</v>
      </c>
      <c r="H233" s="510">
        <v>3240</v>
      </c>
      <c r="I233" s="510">
        <v>3324</v>
      </c>
      <c r="J233" s="510">
        <v>2655</v>
      </c>
      <c r="K233" s="510">
        <v>740</v>
      </c>
      <c r="L233" s="510">
        <v>2976</v>
      </c>
      <c r="M233" s="510">
        <v>7409</v>
      </c>
      <c r="N233" s="510">
        <v>7122</v>
      </c>
      <c r="O233" s="510">
        <v>4835</v>
      </c>
      <c r="P233" s="510">
        <v>6273</v>
      </c>
      <c r="Q233" s="510">
        <v>1315</v>
      </c>
      <c r="R233" s="510">
        <v>3091</v>
      </c>
      <c r="S233" s="510">
        <v>1034</v>
      </c>
    </row>
    <row r="234" spans="1:19">
      <c r="A234" s="510" t="s">
        <v>1617</v>
      </c>
      <c r="B234" s="510">
        <v>4709</v>
      </c>
      <c r="C234" s="510">
        <v>3937</v>
      </c>
      <c r="D234" s="510">
        <v>1540</v>
      </c>
      <c r="E234" s="510">
        <v>1095</v>
      </c>
      <c r="F234" s="510">
        <v>3902</v>
      </c>
      <c r="G234" s="510">
        <v>5503</v>
      </c>
      <c r="H234" s="510">
        <v>7112</v>
      </c>
      <c r="I234" s="510">
        <v>13301</v>
      </c>
      <c r="J234" s="510">
        <v>15934</v>
      </c>
      <c r="K234" s="510">
        <v>20044</v>
      </c>
      <c r="L234" s="510">
        <v>11591</v>
      </c>
      <c r="M234" s="510">
        <v>3587</v>
      </c>
      <c r="N234" s="510">
        <v>5675</v>
      </c>
      <c r="O234" s="510">
        <v>6112</v>
      </c>
      <c r="P234" s="510">
        <v>8314</v>
      </c>
      <c r="Q234" s="510">
        <v>11618</v>
      </c>
      <c r="R234" s="510">
        <v>12723</v>
      </c>
      <c r="S234" s="510">
        <v>15859</v>
      </c>
    </row>
    <row r="235" spans="1:19">
      <c r="A235" s="510" t="s">
        <v>1616</v>
      </c>
      <c r="B235" s="510">
        <v>3776</v>
      </c>
      <c r="C235" s="510">
        <v>5487</v>
      </c>
      <c r="D235" s="510">
        <v>5129</v>
      </c>
      <c r="E235" s="510">
        <v>5744</v>
      </c>
      <c r="F235" s="510">
        <v>5121</v>
      </c>
      <c r="G235" s="510">
        <v>7540</v>
      </c>
      <c r="H235" s="510">
        <v>5562</v>
      </c>
      <c r="I235" s="510">
        <v>9648</v>
      </c>
      <c r="J235" s="510">
        <v>8525</v>
      </c>
      <c r="K235" s="510">
        <v>8116</v>
      </c>
      <c r="L235" s="510">
        <v>8847</v>
      </c>
      <c r="M235" s="510">
        <v>10234</v>
      </c>
      <c r="N235" s="510">
        <v>10815</v>
      </c>
      <c r="O235" s="510">
        <v>12872</v>
      </c>
      <c r="P235" s="510">
        <v>10869</v>
      </c>
      <c r="Q235" s="510">
        <v>13579</v>
      </c>
      <c r="R235" s="510">
        <v>10165</v>
      </c>
      <c r="S235" s="510">
        <v>14634</v>
      </c>
    </row>
    <row r="236" spans="1:19">
      <c r="A236" s="510" t="s">
        <v>1615</v>
      </c>
      <c r="B236" s="510">
        <v>3501</v>
      </c>
      <c r="C236" s="510">
        <v>5235</v>
      </c>
      <c r="D236" s="510">
        <v>4933</v>
      </c>
      <c r="E236" s="510">
        <v>5349</v>
      </c>
      <c r="F236" s="510">
        <v>4506</v>
      </c>
      <c r="G236" s="510">
        <v>6855</v>
      </c>
      <c r="H236" s="510">
        <v>4858</v>
      </c>
      <c r="I236" s="510">
        <v>7584</v>
      </c>
      <c r="J236" s="510">
        <v>7237</v>
      </c>
      <c r="K236" s="510">
        <v>6958</v>
      </c>
      <c r="L236" s="510">
        <v>7360</v>
      </c>
      <c r="M236" s="510">
        <v>8542</v>
      </c>
      <c r="N236" s="510">
        <v>8920</v>
      </c>
      <c r="O236" s="510">
        <v>11233</v>
      </c>
      <c r="P236" s="510">
        <v>9407</v>
      </c>
      <c r="Q236" s="510">
        <v>9671</v>
      </c>
      <c r="R236" s="510">
        <v>8413</v>
      </c>
      <c r="S236" s="510">
        <v>10520</v>
      </c>
    </row>
    <row r="237" spans="1:19">
      <c r="A237" s="510" t="s">
        <v>1614</v>
      </c>
      <c r="B237" s="510" t="s">
        <v>273</v>
      </c>
      <c r="C237" s="510" t="s">
        <v>273</v>
      </c>
      <c r="D237" s="510" t="s">
        <v>273</v>
      </c>
      <c r="E237" s="510" t="s">
        <v>273</v>
      </c>
      <c r="F237" s="510" t="s">
        <v>273</v>
      </c>
      <c r="G237" s="510" t="s">
        <v>273</v>
      </c>
      <c r="H237" s="510" t="s">
        <v>273</v>
      </c>
      <c r="I237" s="510" t="s">
        <v>273</v>
      </c>
      <c r="J237" s="510" t="s">
        <v>273</v>
      </c>
      <c r="K237" s="510" t="s">
        <v>273</v>
      </c>
      <c r="L237" s="510" t="s">
        <v>273</v>
      </c>
      <c r="M237" s="510" t="s">
        <v>273</v>
      </c>
      <c r="N237" s="510" t="s">
        <v>273</v>
      </c>
      <c r="O237" s="510">
        <v>5126</v>
      </c>
      <c r="P237" s="510">
        <v>4560</v>
      </c>
      <c r="Q237" s="510">
        <v>4739</v>
      </c>
      <c r="R237" s="510">
        <v>4774</v>
      </c>
      <c r="S237" s="510">
        <v>4533</v>
      </c>
    </row>
    <row r="238" spans="1:19">
      <c r="A238" s="510" t="s">
        <v>1613</v>
      </c>
      <c r="B238" s="510">
        <v>2976</v>
      </c>
      <c r="C238" s="510">
        <v>4767</v>
      </c>
      <c r="D238" s="510">
        <v>4300</v>
      </c>
      <c r="E238" s="510">
        <v>5150</v>
      </c>
      <c r="F238" s="510">
        <v>4159</v>
      </c>
      <c r="G238" s="510">
        <v>6153</v>
      </c>
      <c r="H238" s="510">
        <v>4193</v>
      </c>
      <c r="I238" s="510">
        <v>6618</v>
      </c>
      <c r="J238" s="510">
        <v>5748</v>
      </c>
      <c r="K238" s="510">
        <v>4028</v>
      </c>
      <c r="L238" s="510">
        <v>4743</v>
      </c>
      <c r="M238" s="510">
        <v>5512</v>
      </c>
      <c r="N238" s="510">
        <v>4888</v>
      </c>
      <c r="O238" s="510" t="s">
        <v>273</v>
      </c>
      <c r="P238" s="510" t="s">
        <v>273</v>
      </c>
      <c r="Q238" s="510" t="s">
        <v>273</v>
      </c>
      <c r="R238" s="510" t="s">
        <v>273</v>
      </c>
      <c r="S238" s="510" t="s">
        <v>273</v>
      </c>
    </row>
    <row r="239" spans="1:19">
      <c r="A239" s="510" t="s">
        <v>1612</v>
      </c>
      <c r="B239" s="510">
        <v>525</v>
      </c>
      <c r="C239" s="510">
        <v>468</v>
      </c>
      <c r="D239" s="510">
        <v>633</v>
      </c>
      <c r="E239" s="510">
        <v>199</v>
      </c>
      <c r="F239" s="510">
        <v>347</v>
      </c>
      <c r="G239" s="510">
        <v>702</v>
      </c>
      <c r="H239" s="510">
        <v>666</v>
      </c>
      <c r="I239" s="510">
        <v>966</v>
      </c>
      <c r="J239" s="510">
        <v>1489</v>
      </c>
      <c r="K239" s="510">
        <v>2929</v>
      </c>
      <c r="L239" s="510">
        <v>2618</v>
      </c>
      <c r="M239" s="510">
        <v>3031</v>
      </c>
      <c r="N239" s="510">
        <v>4032</v>
      </c>
      <c r="O239" s="510">
        <v>6108</v>
      </c>
      <c r="P239" s="510">
        <v>4848</v>
      </c>
      <c r="Q239" s="510">
        <v>4932</v>
      </c>
      <c r="R239" s="510">
        <v>3639</v>
      </c>
      <c r="S239" s="510">
        <v>5987</v>
      </c>
    </row>
    <row r="240" spans="1:19">
      <c r="A240" s="510" t="s">
        <v>1611</v>
      </c>
      <c r="B240" s="510">
        <v>275</v>
      </c>
      <c r="C240" s="510">
        <v>252</v>
      </c>
      <c r="D240" s="510">
        <v>195</v>
      </c>
      <c r="E240" s="510">
        <v>395</v>
      </c>
      <c r="F240" s="510">
        <v>615</v>
      </c>
      <c r="G240" s="510">
        <v>685</v>
      </c>
      <c r="H240" s="510">
        <v>704</v>
      </c>
      <c r="I240" s="510">
        <v>2064</v>
      </c>
      <c r="J240" s="510">
        <v>1288</v>
      </c>
      <c r="K240" s="510">
        <v>1159</v>
      </c>
      <c r="L240" s="510">
        <v>1486</v>
      </c>
      <c r="M240" s="510">
        <v>1691</v>
      </c>
      <c r="N240" s="510">
        <v>1895</v>
      </c>
      <c r="O240" s="510">
        <v>1639</v>
      </c>
      <c r="P240" s="510">
        <v>1462</v>
      </c>
      <c r="Q240" s="510">
        <v>3908</v>
      </c>
      <c r="R240" s="510">
        <v>1752</v>
      </c>
      <c r="S240" s="510">
        <v>4114</v>
      </c>
    </row>
    <row r="241" spans="1:19">
      <c r="A241" s="510" t="s">
        <v>1610</v>
      </c>
      <c r="B241" s="510">
        <v>4034</v>
      </c>
      <c r="C241" s="510">
        <v>4982</v>
      </c>
      <c r="D241" s="510">
        <v>3638</v>
      </c>
      <c r="E241" s="510">
        <v>6113</v>
      </c>
      <c r="F241" s="510">
        <v>8843</v>
      </c>
      <c r="G241" s="510">
        <v>11958</v>
      </c>
      <c r="H241" s="510">
        <v>11996</v>
      </c>
      <c r="I241" s="510">
        <v>13129</v>
      </c>
      <c r="J241" s="510">
        <v>15687</v>
      </c>
      <c r="K241" s="510">
        <v>14718</v>
      </c>
      <c r="L241" s="510">
        <v>17823</v>
      </c>
      <c r="M241" s="510">
        <v>13913</v>
      </c>
      <c r="N241" s="510">
        <v>10025</v>
      </c>
      <c r="O241" s="510">
        <v>14262</v>
      </c>
      <c r="P241" s="510">
        <v>11542</v>
      </c>
      <c r="Q241" s="510">
        <v>9828</v>
      </c>
      <c r="R241" s="510">
        <v>12641</v>
      </c>
      <c r="S241" s="510">
        <v>10525</v>
      </c>
    </row>
    <row r="242" spans="1:19">
      <c r="A242" s="510" t="s">
        <v>1609</v>
      </c>
      <c r="B242" s="510">
        <v>2653</v>
      </c>
      <c r="C242" s="510">
        <v>3172</v>
      </c>
      <c r="D242" s="510">
        <v>1156</v>
      </c>
      <c r="E242" s="510">
        <v>2473</v>
      </c>
      <c r="F242" s="510">
        <v>5208</v>
      </c>
      <c r="G242" s="510">
        <v>7545</v>
      </c>
      <c r="H242" s="510">
        <v>6278</v>
      </c>
      <c r="I242" s="510">
        <v>9536</v>
      </c>
      <c r="J242" s="510">
        <v>8619</v>
      </c>
      <c r="K242" s="510">
        <v>5234</v>
      </c>
      <c r="L242" s="510">
        <v>7084</v>
      </c>
      <c r="M242" s="510">
        <v>5639</v>
      </c>
      <c r="N242" s="510">
        <v>3172</v>
      </c>
      <c r="O242" s="510">
        <v>7113</v>
      </c>
      <c r="P242" s="510">
        <v>6834</v>
      </c>
      <c r="Q242" s="510">
        <v>6396</v>
      </c>
      <c r="R242" s="510">
        <v>6243</v>
      </c>
      <c r="S242" s="510">
        <v>5285</v>
      </c>
    </row>
    <row r="243" spans="1:19">
      <c r="A243" s="510" t="s">
        <v>1608</v>
      </c>
      <c r="B243" s="510">
        <v>1109</v>
      </c>
      <c r="C243" s="510">
        <v>1409</v>
      </c>
      <c r="D243" s="510">
        <v>1935</v>
      </c>
      <c r="E243" s="510">
        <v>2700</v>
      </c>
      <c r="F243" s="510">
        <v>2959</v>
      </c>
      <c r="G243" s="510">
        <v>3628</v>
      </c>
      <c r="H243" s="510">
        <v>5136</v>
      </c>
      <c r="I243" s="510">
        <v>2792</v>
      </c>
      <c r="J243" s="510">
        <v>5990</v>
      </c>
      <c r="K243" s="510">
        <v>8125</v>
      </c>
      <c r="L243" s="510">
        <v>9374</v>
      </c>
      <c r="M243" s="510">
        <v>6677</v>
      </c>
      <c r="N243" s="510">
        <v>5586</v>
      </c>
      <c r="O243" s="510">
        <v>5874</v>
      </c>
      <c r="P243" s="510">
        <v>2976</v>
      </c>
      <c r="Q243" s="510">
        <v>1670</v>
      </c>
      <c r="R243" s="510">
        <v>4327</v>
      </c>
      <c r="S243" s="510">
        <v>3406</v>
      </c>
    </row>
    <row r="244" spans="1:19">
      <c r="A244" s="510" t="s">
        <v>1607</v>
      </c>
      <c r="B244" s="510">
        <v>272</v>
      </c>
      <c r="C244" s="510">
        <v>401</v>
      </c>
      <c r="D244" s="510">
        <v>547</v>
      </c>
      <c r="E244" s="510">
        <v>940</v>
      </c>
      <c r="F244" s="510">
        <v>677</v>
      </c>
      <c r="G244" s="510">
        <v>785</v>
      </c>
      <c r="H244" s="510">
        <v>582</v>
      </c>
      <c r="I244" s="510">
        <v>801</v>
      </c>
      <c r="J244" s="510">
        <v>1078</v>
      </c>
      <c r="K244" s="510">
        <v>1358</v>
      </c>
      <c r="L244" s="510">
        <v>1365</v>
      </c>
      <c r="M244" s="510">
        <v>1597</v>
      </c>
      <c r="N244" s="510">
        <v>1267</v>
      </c>
      <c r="O244" s="510">
        <v>1275</v>
      </c>
      <c r="P244" s="510">
        <v>1733</v>
      </c>
      <c r="Q244" s="510">
        <v>1762</v>
      </c>
      <c r="R244" s="510">
        <v>2071</v>
      </c>
      <c r="S244" s="510">
        <v>1835</v>
      </c>
    </row>
    <row r="245" spans="1:19">
      <c r="A245" s="510" t="s">
        <v>1606</v>
      </c>
      <c r="B245" s="510">
        <v>2985</v>
      </c>
      <c r="C245" s="510">
        <v>3548</v>
      </c>
      <c r="D245" s="510">
        <v>1741</v>
      </c>
      <c r="E245" s="510">
        <v>2219</v>
      </c>
      <c r="F245" s="510">
        <v>3250</v>
      </c>
      <c r="G245" s="510">
        <v>6805</v>
      </c>
      <c r="H245" s="510">
        <v>9272</v>
      </c>
      <c r="I245" s="510">
        <v>9480</v>
      </c>
      <c r="J245" s="510">
        <v>8953</v>
      </c>
      <c r="K245" s="510">
        <v>6865</v>
      </c>
      <c r="L245" s="510">
        <v>8390</v>
      </c>
      <c r="M245" s="510">
        <v>8856</v>
      </c>
      <c r="N245" s="510">
        <v>10304</v>
      </c>
      <c r="O245" s="510">
        <v>9750</v>
      </c>
      <c r="P245" s="510">
        <v>10906</v>
      </c>
      <c r="Q245" s="510">
        <v>11177</v>
      </c>
      <c r="R245" s="510">
        <v>11327</v>
      </c>
      <c r="S245" s="510">
        <v>14478</v>
      </c>
    </row>
    <row r="246" spans="1:19">
      <c r="A246" s="510" t="s">
        <v>1605</v>
      </c>
      <c r="B246" s="510">
        <v>198</v>
      </c>
      <c r="C246" s="510">
        <v>293</v>
      </c>
      <c r="D246" s="510">
        <v>196</v>
      </c>
      <c r="E246" s="510">
        <v>7</v>
      </c>
      <c r="F246" s="510">
        <v>53</v>
      </c>
      <c r="G246" s="510">
        <v>162</v>
      </c>
      <c r="H246" s="510">
        <v>380</v>
      </c>
      <c r="I246" s="510">
        <v>566</v>
      </c>
      <c r="J246" s="510">
        <v>174</v>
      </c>
      <c r="K246" s="510">
        <v>352</v>
      </c>
      <c r="L246" s="510">
        <v>1114</v>
      </c>
      <c r="M246" s="510">
        <v>357</v>
      </c>
      <c r="N246" s="510">
        <v>858</v>
      </c>
      <c r="O246" s="510">
        <v>775</v>
      </c>
      <c r="P246" s="510">
        <v>516</v>
      </c>
      <c r="Q246" s="510">
        <v>830</v>
      </c>
      <c r="R246" s="510">
        <v>1007</v>
      </c>
      <c r="S246" s="510">
        <v>1216</v>
      </c>
    </row>
    <row r="247" spans="1:19">
      <c r="A247" s="510" t="s">
        <v>1604</v>
      </c>
      <c r="B247" s="510">
        <v>1669</v>
      </c>
      <c r="C247" s="510">
        <v>1912</v>
      </c>
      <c r="D247" s="510">
        <v>1211</v>
      </c>
      <c r="E247" s="510">
        <v>1802</v>
      </c>
      <c r="F247" s="510">
        <v>2420</v>
      </c>
      <c r="G247" s="510">
        <v>4352</v>
      </c>
      <c r="H247" s="510">
        <v>5442</v>
      </c>
      <c r="I247" s="510">
        <v>4912</v>
      </c>
      <c r="J247" s="510">
        <v>4651</v>
      </c>
      <c r="K247" s="510">
        <v>2604</v>
      </c>
      <c r="L247" s="510">
        <v>3231</v>
      </c>
      <c r="M247" s="510">
        <v>3388</v>
      </c>
      <c r="N247" s="510">
        <v>3651</v>
      </c>
      <c r="O247" s="510">
        <v>4288</v>
      </c>
      <c r="P247" s="510">
        <v>4810</v>
      </c>
      <c r="Q247" s="510">
        <v>4538</v>
      </c>
      <c r="R247" s="510">
        <v>4361</v>
      </c>
      <c r="S247" s="510">
        <v>5270</v>
      </c>
    </row>
    <row r="248" spans="1:19">
      <c r="A248" s="510" t="s">
        <v>1603</v>
      </c>
      <c r="B248" s="510">
        <v>288</v>
      </c>
      <c r="C248" s="510">
        <v>500</v>
      </c>
      <c r="D248" s="510">
        <v>240</v>
      </c>
      <c r="E248" s="510">
        <v>204</v>
      </c>
      <c r="F248" s="510">
        <v>372</v>
      </c>
      <c r="G248" s="510">
        <v>617</v>
      </c>
      <c r="H248" s="510">
        <v>1555</v>
      </c>
      <c r="I248" s="510">
        <v>1349</v>
      </c>
      <c r="J248" s="510">
        <v>1687</v>
      </c>
      <c r="K248" s="510">
        <v>1207</v>
      </c>
      <c r="L248" s="510">
        <v>1174</v>
      </c>
      <c r="M248" s="510">
        <v>1435</v>
      </c>
      <c r="N248" s="510">
        <v>1727</v>
      </c>
      <c r="O248" s="510">
        <v>1899</v>
      </c>
      <c r="P248" s="510">
        <v>2304</v>
      </c>
      <c r="Q248" s="510">
        <v>2418</v>
      </c>
      <c r="R248" s="510">
        <v>2776</v>
      </c>
      <c r="S248" s="510">
        <v>3620</v>
      </c>
    </row>
    <row r="249" spans="1:19">
      <c r="A249" s="510" t="s">
        <v>1602</v>
      </c>
      <c r="B249" s="510">
        <v>263</v>
      </c>
      <c r="C249" s="510">
        <v>273</v>
      </c>
      <c r="D249" s="510">
        <v>106</v>
      </c>
      <c r="E249" s="510">
        <v>-383</v>
      </c>
      <c r="F249" s="510">
        <v>79</v>
      </c>
      <c r="G249" s="510">
        <v>378</v>
      </c>
      <c r="H249" s="510">
        <v>347</v>
      </c>
      <c r="I249" s="510">
        <v>435</v>
      </c>
      <c r="J249" s="510">
        <v>766</v>
      </c>
      <c r="K249" s="510">
        <v>437</v>
      </c>
      <c r="L249" s="510">
        <v>654</v>
      </c>
      <c r="M249" s="510">
        <v>1129</v>
      </c>
      <c r="N249" s="510">
        <v>901</v>
      </c>
      <c r="O249" s="510">
        <v>779</v>
      </c>
      <c r="P249" s="510">
        <v>967</v>
      </c>
      <c r="Q249" s="510">
        <v>1245</v>
      </c>
      <c r="R249" s="510">
        <v>1213</v>
      </c>
      <c r="S249" s="510">
        <v>947</v>
      </c>
    </row>
    <row r="250" spans="1:19">
      <c r="A250" s="510" t="s">
        <v>236</v>
      </c>
      <c r="B250" s="510">
        <v>567</v>
      </c>
      <c r="C250" s="510">
        <v>570</v>
      </c>
      <c r="D250" s="510">
        <v>-12</v>
      </c>
      <c r="E250" s="510">
        <v>588</v>
      </c>
      <c r="F250" s="510">
        <v>326</v>
      </c>
      <c r="G250" s="510">
        <v>1296</v>
      </c>
      <c r="H250" s="510">
        <v>1549</v>
      </c>
      <c r="I250" s="510">
        <v>2217</v>
      </c>
      <c r="J250" s="510">
        <v>1675</v>
      </c>
      <c r="K250" s="510">
        <v>2265</v>
      </c>
      <c r="L250" s="510">
        <v>2218</v>
      </c>
      <c r="M250" s="510">
        <v>2548</v>
      </c>
      <c r="N250" s="510">
        <v>3166</v>
      </c>
      <c r="O250" s="510">
        <v>2010</v>
      </c>
      <c r="P250" s="510">
        <v>2310</v>
      </c>
      <c r="Q250" s="510">
        <v>2146</v>
      </c>
      <c r="R250" s="510">
        <v>1969</v>
      </c>
      <c r="S250" s="510">
        <v>3424</v>
      </c>
    </row>
    <row r="251" spans="1:19">
      <c r="A251" s="510" t="s">
        <v>1601</v>
      </c>
      <c r="B251" s="510">
        <v>230</v>
      </c>
      <c r="C251" s="510">
        <v>247</v>
      </c>
      <c r="D251" s="510">
        <v>241</v>
      </c>
      <c r="E251" s="510">
        <v>241</v>
      </c>
      <c r="F251" s="510">
        <v>253</v>
      </c>
      <c r="G251" s="510">
        <v>579</v>
      </c>
      <c r="H251" s="510">
        <v>691</v>
      </c>
      <c r="I251" s="510">
        <v>883</v>
      </c>
      <c r="J251" s="510">
        <v>1099</v>
      </c>
      <c r="K251" s="510">
        <v>1017</v>
      </c>
      <c r="L251" s="510">
        <v>1590</v>
      </c>
      <c r="M251" s="510">
        <v>1560</v>
      </c>
      <c r="N251" s="510">
        <v>1999</v>
      </c>
      <c r="O251" s="510">
        <v>1596</v>
      </c>
      <c r="P251" s="510">
        <v>1616</v>
      </c>
      <c r="Q251" s="510">
        <v>1899</v>
      </c>
      <c r="R251" s="510">
        <v>1589</v>
      </c>
      <c r="S251" s="510">
        <v>2098</v>
      </c>
    </row>
    <row r="252" spans="1:19">
      <c r="A252" s="510" t="s">
        <v>1600</v>
      </c>
      <c r="B252" s="510">
        <v>5</v>
      </c>
      <c r="C252" s="510">
        <v>41</v>
      </c>
      <c r="D252" s="510">
        <v>33</v>
      </c>
      <c r="E252" s="510">
        <v>51</v>
      </c>
      <c r="F252" s="510">
        <v>44</v>
      </c>
      <c r="G252" s="510">
        <v>122</v>
      </c>
      <c r="H252" s="510">
        <v>57</v>
      </c>
      <c r="I252" s="510">
        <v>376</v>
      </c>
      <c r="J252" s="510">
        <v>5</v>
      </c>
      <c r="K252" s="510">
        <v>261</v>
      </c>
      <c r="L252" s="510">
        <v>19</v>
      </c>
      <c r="M252" s="510">
        <v>78</v>
      </c>
      <c r="N252" s="510">
        <v>144</v>
      </c>
      <c r="O252" s="510">
        <v>221</v>
      </c>
      <c r="P252" s="510">
        <v>197</v>
      </c>
      <c r="Q252" s="510">
        <v>112</v>
      </c>
      <c r="R252" s="510">
        <v>155</v>
      </c>
      <c r="S252" s="510">
        <v>448</v>
      </c>
    </row>
    <row r="253" spans="1:19">
      <c r="A253" s="510" t="s">
        <v>1599</v>
      </c>
      <c r="B253" s="510">
        <v>8</v>
      </c>
      <c r="C253" s="510">
        <v>12</v>
      </c>
      <c r="D253" s="510">
        <v>-1</v>
      </c>
      <c r="E253" s="510" t="s">
        <v>306</v>
      </c>
      <c r="F253" s="510">
        <v>-1</v>
      </c>
      <c r="G253" s="510">
        <v>11</v>
      </c>
      <c r="H253" s="510">
        <v>35</v>
      </c>
      <c r="I253" s="510">
        <v>3</v>
      </c>
      <c r="J253" s="510">
        <v>12</v>
      </c>
      <c r="K253" s="510">
        <v>12</v>
      </c>
      <c r="L253" s="510">
        <v>12</v>
      </c>
      <c r="M253" s="510">
        <v>21</v>
      </c>
      <c r="N253" s="510">
        <v>23</v>
      </c>
      <c r="O253" s="510">
        <v>11</v>
      </c>
      <c r="P253" s="510">
        <v>5</v>
      </c>
      <c r="Q253" s="510">
        <v>14</v>
      </c>
      <c r="R253" s="510">
        <v>-80</v>
      </c>
      <c r="S253" s="510">
        <v>-12</v>
      </c>
    </row>
    <row r="254" spans="1:19">
      <c r="A254" s="510" t="s">
        <v>1598</v>
      </c>
      <c r="B254" s="510">
        <v>43</v>
      </c>
      <c r="C254" s="510">
        <v>69</v>
      </c>
      <c r="D254" s="510">
        <v>-22</v>
      </c>
      <c r="E254" s="510">
        <v>154</v>
      </c>
      <c r="F254" s="510">
        <v>113</v>
      </c>
      <c r="G254" s="510">
        <v>-116</v>
      </c>
      <c r="H254" s="510">
        <v>100</v>
      </c>
      <c r="I254" s="510">
        <v>-87</v>
      </c>
      <c r="J254" s="510">
        <v>28</v>
      </c>
      <c r="K254" s="510">
        <v>253</v>
      </c>
      <c r="L254" s="510">
        <v>207</v>
      </c>
      <c r="M254" s="510">
        <v>197</v>
      </c>
      <c r="N254" s="510">
        <v>271</v>
      </c>
      <c r="O254" s="510">
        <v>137</v>
      </c>
      <c r="P254" s="510">
        <v>148</v>
      </c>
      <c r="Q254" s="510">
        <v>140</v>
      </c>
      <c r="R254" s="510">
        <v>312</v>
      </c>
      <c r="S254" s="510">
        <v>455</v>
      </c>
    </row>
    <row r="255" spans="1:19">
      <c r="A255" s="510" t="s">
        <v>1597</v>
      </c>
      <c r="B255" s="510">
        <v>282</v>
      </c>
      <c r="C255" s="510">
        <v>200</v>
      </c>
      <c r="D255" s="510">
        <v>-263</v>
      </c>
      <c r="E255" s="510">
        <v>142</v>
      </c>
      <c r="F255" s="510">
        <v>-82</v>
      </c>
      <c r="G255" s="510">
        <v>700</v>
      </c>
      <c r="H255" s="510">
        <v>665</v>
      </c>
      <c r="I255" s="510">
        <v>1042</v>
      </c>
      <c r="J255" s="510">
        <v>532</v>
      </c>
      <c r="K255" s="510">
        <v>722</v>
      </c>
      <c r="L255" s="510">
        <v>391</v>
      </c>
      <c r="M255" s="510">
        <v>693</v>
      </c>
      <c r="N255" s="510">
        <v>729</v>
      </c>
      <c r="O255" s="510">
        <v>45</v>
      </c>
      <c r="P255" s="510">
        <v>344</v>
      </c>
      <c r="Q255" s="510">
        <v>-19</v>
      </c>
      <c r="R255" s="510">
        <v>-7</v>
      </c>
      <c r="S255" s="510">
        <v>435</v>
      </c>
    </row>
    <row r="256" spans="1:19">
      <c r="A256" s="510" t="s">
        <v>1596</v>
      </c>
      <c r="B256" s="510" t="s">
        <v>273</v>
      </c>
      <c r="C256" s="510" t="s">
        <v>273</v>
      </c>
      <c r="D256" s="510">
        <v>41483</v>
      </c>
      <c r="E256" s="510">
        <v>48277</v>
      </c>
      <c r="F256" s="510">
        <v>59248</v>
      </c>
      <c r="G256" s="510">
        <v>79844</v>
      </c>
      <c r="H256" s="510">
        <v>109566</v>
      </c>
      <c r="I256" s="510">
        <v>120884</v>
      </c>
      <c r="J256" s="510">
        <v>146576</v>
      </c>
      <c r="K256" s="510">
        <v>179733</v>
      </c>
      <c r="L256" s="510">
        <v>170226</v>
      </c>
      <c r="M256" s="510">
        <v>220101</v>
      </c>
      <c r="N256" s="510">
        <v>223612</v>
      </c>
      <c r="O256" s="510">
        <v>217706</v>
      </c>
      <c r="P256" s="510">
        <v>230409</v>
      </c>
      <c r="Q256" s="510">
        <v>239331</v>
      </c>
      <c r="R256" s="510">
        <v>221141</v>
      </c>
      <c r="S256" s="510">
        <v>206032</v>
      </c>
    </row>
    <row r="257" spans="1:19">
      <c r="A257" s="510" t="s">
        <v>1595</v>
      </c>
      <c r="B257" s="510" t="s">
        <v>273</v>
      </c>
      <c r="C257" s="510" t="s">
        <v>273</v>
      </c>
      <c r="D257" s="510">
        <v>41212</v>
      </c>
      <c r="E257" s="510">
        <v>47668</v>
      </c>
      <c r="F257" s="510">
        <v>58303</v>
      </c>
      <c r="G257" s="510">
        <v>79557</v>
      </c>
      <c r="H257" s="510">
        <v>109359</v>
      </c>
      <c r="I257" s="510">
        <v>120538</v>
      </c>
      <c r="J257" s="510">
        <v>146394</v>
      </c>
      <c r="K257" s="510">
        <v>178975</v>
      </c>
      <c r="L257" s="510">
        <v>170227</v>
      </c>
      <c r="M257" s="510">
        <v>220098</v>
      </c>
      <c r="N257" s="510">
        <v>223704</v>
      </c>
      <c r="O257" s="510">
        <v>217884</v>
      </c>
      <c r="P257" s="510">
        <v>230406</v>
      </c>
      <c r="Q257" s="510" t="s">
        <v>291</v>
      </c>
      <c r="R257" s="510">
        <v>221344</v>
      </c>
      <c r="S257" s="510">
        <v>206119</v>
      </c>
    </row>
    <row r="258" spans="1:19">
      <c r="A258" s="510" t="s">
        <v>1594</v>
      </c>
      <c r="B258" s="510" t="s">
        <v>273</v>
      </c>
      <c r="C258" s="510" t="s">
        <v>273</v>
      </c>
      <c r="D258" s="510">
        <v>271</v>
      </c>
      <c r="E258" s="510">
        <v>609</v>
      </c>
      <c r="F258" s="510">
        <v>945</v>
      </c>
      <c r="G258" s="510">
        <v>287</v>
      </c>
      <c r="H258" s="510">
        <v>207</v>
      </c>
      <c r="I258" s="510">
        <v>346</v>
      </c>
      <c r="J258" s="510">
        <v>182</v>
      </c>
      <c r="K258" s="510">
        <v>757</v>
      </c>
      <c r="L258" s="510" t="s">
        <v>306</v>
      </c>
      <c r="M258" s="510">
        <v>3</v>
      </c>
      <c r="N258" s="510">
        <v>-92</v>
      </c>
      <c r="O258" s="510">
        <v>-178</v>
      </c>
      <c r="P258" s="510">
        <v>3</v>
      </c>
      <c r="Q258" s="510" t="s">
        <v>291</v>
      </c>
      <c r="R258" s="510">
        <v>-203</v>
      </c>
      <c r="S258" s="510">
        <v>-87</v>
      </c>
    </row>
    <row r="259" spans="1:19">
      <c r="A259" s="510" t="s">
        <v>1593</v>
      </c>
      <c r="B259" s="510">
        <v>38542</v>
      </c>
      <c r="C259" s="510">
        <v>42504</v>
      </c>
      <c r="D259" s="510">
        <v>7751</v>
      </c>
      <c r="E259" s="510">
        <v>8484</v>
      </c>
      <c r="F259" s="510">
        <v>10370</v>
      </c>
      <c r="G259" s="510">
        <v>15813</v>
      </c>
      <c r="H259" s="510">
        <v>18184</v>
      </c>
      <c r="I259" s="510">
        <v>17338</v>
      </c>
      <c r="J259" s="510">
        <v>21411</v>
      </c>
      <c r="K259" s="510">
        <v>18587</v>
      </c>
      <c r="L259" s="510">
        <v>21237</v>
      </c>
      <c r="M259" s="510">
        <v>25033</v>
      </c>
      <c r="N259" s="510">
        <v>25621</v>
      </c>
      <c r="O259" s="510">
        <v>30987</v>
      </c>
      <c r="P259" s="510">
        <v>33058</v>
      </c>
      <c r="Q259" s="510">
        <v>32307</v>
      </c>
      <c r="R259" s="510">
        <v>33353</v>
      </c>
      <c r="S259" s="510">
        <v>36668</v>
      </c>
    </row>
    <row r="260" spans="1:19">
      <c r="A260" s="510" t="s">
        <v>1592</v>
      </c>
      <c r="B260" s="510">
        <v>57</v>
      </c>
      <c r="C260" s="510">
        <v>51</v>
      </c>
      <c r="D260" s="510">
        <v>-66</v>
      </c>
      <c r="E260" s="510">
        <v>-7</v>
      </c>
      <c r="F260" s="510">
        <v>108</v>
      </c>
      <c r="G260" s="510">
        <v>151</v>
      </c>
      <c r="H260" s="510">
        <v>115</v>
      </c>
      <c r="I260" s="510">
        <v>98</v>
      </c>
      <c r="J260" s="510">
        <v>101</v>
      </c>
      <c r="K260" s="510">
        <v>7</v>
      </c>
      <c r="L260" s="510">
        <v>44</v>
      </c>
      <c r="M260" s="510">
        <v>339</v>
      </c>
      <c r="N260" s="510">
        <v>163</v>
      </c>
      <c r="O260" s="510">
        <v>506</v>
      </c>
      <c r="P260" s="510">
        <v>503</v>
      </c>
      <c r="Q260" s="510">
        <v>386</v>
      </c>
      <c r="R260" s="510">
        <v>270</v>
      </c>
      <c r="S260" s="510">
        <v>419</v>
      </c>
    </row>
    <row r="261" spans="1:19">
      <c r="A261" s="510" t="s">
        <v>1591</v>
      </c>
      <c r="B261" s="510">
        <v>69</v>
      </c>
      <c r="C261" s="510">
        <v>45</v>
      </c>
      <c r="D261" s="510">
        <v>-105</v>
      </c>
      <c r="E261" s="510">
        <v>-20</v>
      </c>
      <c r="F261" s="510">
        <v>82</v>
      </c>
      <c r="G261" s="510">
        <v>108</v>
      </c>
      <c r="H261" s="510">
        <v>77</v>
      </c>
      <c r="I261" s="510">
        <v>61</v>
      </c>
      <c r="J261" s="510">
        <v>26</v>
      </c>
      <c r="K261" s="510">
        <v>-24</v>
      </c>
      <c r="L261" s="510">
        <v>-25</v>
      </c>
      <c r="M261" s="510">
        <v>112</v>
      </c>
      <c r="N261" s="510">
        <v>308</v>
      </c>
      <c r="O261" s="510">
        <v>411</v>
      </c>
      <c r="P261" s="510">
        <v>371</v>
      </c>
      <c r="Q261" s="510">
        <v>231</v>
      </c>
      <c r="R261" s="510">
        <v>178</v>
      </c>
      <c r="S261" s="510">
        <v>251</v>
      </c>
    </row>
    <row r="262" spans="1:19">
      <c r="A262" s="510" t="s">
        <v>1590</v>
      </c>
      <c r="B262" s="510">
        <v>17</v>
      </c>
      <c r="C262" s="510">
        <v>32</v>
      </c>
      <c r="D262" s="510">
        <v>30</v>
      </c>
      <c r="E262" s="510">
        <v>23</v>
      </c>
      <c r="F262" s="510">
        <v>34</v>
      </c>
      <c r="G262" s="510">
        <v>37</v>
      </c>
      <c r="H262" s="510">
        <v>38</v>
      </c>
      <c r="I262" s="510">
        <v>38</v>
      </c>
      <c r="J262" s="510">
        <v>78</v>
      </c>
      <c r="K262" s="510">
        <v>21</v>
      </c>
      <c r="L262" s="510">
        <v>89</v>
      </c>
      <c r="M262" s="510">
        <v>200</v>
      </c>
      <c r="N262" s="510">
        <v>-70</v>
      </c>
      <c r="O262" s="510">
        <v>110</v>
      </c>
      <c r="P262" s="510">
        <v>133</v>
      </c>
      <c r="Q262" s="510">
        <v>177</v>
      </c>
      <c r="R262" s="510">
        <v>113</v>
      </c>
      <c r="S262" s="510">
        <v>175</v>
      </c>
    </row>
    <row r="263" spans="1:19">
      <c r="A263" s="510" t="s">
        <v>1589</v>
      </c>
      <c r="B263" s="510">
        <v>-32</v>
      </c>
      <c r="C263" s="510">
        <v>-31</v>
      </c>
      <c r="D263" s="510">
        <v>3</v>
      </c>
      <c r="E263" s="510">
        <v>-11</v>
      </c>
      <c r="F263" s="510">
        <v>-16</v>
      </c>
      <c r="G263" s="510">
        <v>1</v>
      </c>
      <c r="H263" s="510">
        <v>1</v>
      </c>
      <c r="I263" s="510" t="s">
        <v>306</v>
      </c>
      <c r="J263" s="510" t="s">
        <v>306</v>
      </c>
      <c r="K263" s="510">
        <v>2</v>
      </c>
      <c r="L263" s="510">
        <v>-5</v>
      </c>
      <c r="M263" s="510" t="s">
        <v>291</v>
      </c>
      <c r="N263" s="510">
        <v>4</v>
      </c>
      <c r="O263" s="510">
        <v>2</v>
      </c>
      <c r="P263" s="510" t="s">
        <v>291</v>
      </c>
      <c r="Q263" s="510">
        <v>-2</v>
      </c>
      <c r="R263" s="510">
        <v>3</v>
      </c>
      <c r="S263" s="510">
        <v>28</v>
      </c>
    </row>
    <row r="264" spans="1:19">
      <c r="A264" s="510" t="s">
        <v>1588</v>
      </c>
      <c r="B264" s="510">
        <v>2</v>
      </c>
      <c r="C264" s="510">
        <v>4</v>
      </c>
      <c r="D264" s="510">
        <v>4</v>
      </c>
      <c r="E264" s="510">
        <v>2</v>
      </c>
      <c r="F264" s="510">
        <v>1</v>
      </c>
      <c r="G264" s="510">
        <v>-1</v>
      </c>
      <c r="H264" s="510" t="s">
        <v>306</v>
      </c>
      <c r="I264" s="510" t="s">
        <v>306</v>
      </c>
      <c r="J264" s="510" t="s">
        <v>306</v>
      </c>
      <c r="K264" s="510" t="s">
        <v>306</v>
      </c>
      <c r="L264" s="510" t="s">
        <v>306</v>
      </c>
      <c r="M264" s="510" t="s">
        <v>306</v>
      </c>
      <c r="N264" s="510" t="s">
        <v>306</v>
      </c>
      <c r="O264" s="510" t="s">
        <v>306</v>
      </c>
      <c r="P264" s="510" t="s">
        <v>306</v>
      </c>
      <c r="Q264" s="510" t="s">
        <v>306</v>
      </c>
      <c r="R264" s="510" t="s">
        <v>306</v>
      </c>
      <c r="S264" s="510" t="s">
        <v>306</v>
      </c>
    </row>
    <row r="265" spans="1:19">
      <c r="A265" s="510" t="s">
        <v>1587</v>
      </c>
      <c r="B265" s="510">
        <v>1</v>
      </c>
      <c r="C265" s="510">
        <v>1</v>
      </c>
      <c r="D265" s="510">
        <v>2</v>
      </c>
      <c r="E265" s="510" t="s">
        <v>306</v>
      </c>
      <c r="F265" s="510">
        <v>5</v>
      </c>
      <c r="G265" s="510">
        <v>6</v>
      </c>
      <c r="H265" s="510" t="s">
        <v>306</v>
      </c>
      <c r="I265" s="510" t="s">
        <v>306</v>
      </c>
      <c r="J265" s="510">
        <v>-3</v>
      </c>
      <c r="K265" s="510">
        <v>8</v>
      </c>
      <c r="L265" s="510">
        <v>-15</v>
      </c>
      <c r="M265" s="510" t="s">
        <v>291</v>
      </c>
      <c r="N265" s="510">
        <v>-79</v>
      </c>
      <c r="O265" s="510">
        <v>-17</v>
      </c>
      <c r="P265" s="510" t="s">
        <v>291</v>
      </c>
      <c r="Q265" s="510">
        <v>-19</v>
      </c>
      <c r="R265" s="510">
        <v>-23</v>
      </c>
      <c r="S265" s="510">
        <v>-35</v>
      </c>
    </row>
    <row r="266" spans="1:19">
      <c r="A266" s="510" t="s">
        <v>1586</v>
      </c>
      <c r="B266" s="510" t="s">
        <v>273</v>
      </c>
      <c r="C266" s="510" t="s">
        <v>273</v>
      </c>
      <c r="D266" s="510">
        <v>2068</v>
      </c>
      <c r="E266" s="510">
        <v>2095</v>
      </c>
      <c r="F266" s="510">
        <v>1874</v>
      </c>
      <c r="G266" s="510">
        <v>1941</v>
      </c>
      <c r="H266" s="510">
        <v>812</v>
      </c>
      <c r="I266" s="510">
        <v>1366</v>
      </c>
      <c r="J266" s="510">
        <v>1187</v>
      </c>
      <c r="K266" s="510">
        <v>1407</v>
      </c>
      <c r="L266" s="510">
        <v>912</v>
      </c>
      <c r="M266" s="510">
        <v>711</v>
      </c>
      <c r="N266" s="510">
        <v>853</v>
      </c>
      <c r="O266" s="510">
        <v>1699</v>
      </c>
      <c r="P266" s="510">
        <v>1363</v>
      </c>
      <c r="Q266" s="510">
        <v>1806</v>
      </c>
      <c r="R266" s="510">
        <v>1417</v>
      </c>
      <c r="S266" s="510">
        <v>1738</v>
      </c>
    </row>
    <row r="267" spans="1:19">
      <c r="A267" s="510" t="s">
        <v>1585</v>
      </c>
      <c r="B267" s="510" t="s">
        <v>273</v>
      </c>
      <c r="C267" s="510" t="s">
        <v>273</v>
      </c>
      <c r="D267" s="510">
        <v>1719</v>
      </c>
      <c r="E267" s="510">
        <v>1636</v>
      </c>
      <c r="F267" s="510">
        <v>1466</v>
      </c>
      <c r="G267" s="510">
        <v>1761</v>
      </c>
      <c r="H267" s="510">
        <v>768</v>
      </c>
      <c r="I267" s="510">
        <v>1559</v>
      </c>
      <c r="J267" s="510">
        <v>1199</v>
      </c>
      <c r="K267" s="510">
        <v>1464</v>
      </c>
      <c r="L267" s="510">
        <v>833</v>
      </c>
      <c r="M267" s="510">
        <v>711</v>
      </c>
      <c r="N267" s="510">
        <v>881</v>
      </c>
      <c r="O267" s="510">
        <v>1655</v>
      </c>
      <c r="P267" s="510">
        <v>1305</v>
      </c>
      <c r="Q267" s="510" t="s">
        <v>291</v>
      </c>
      <c r="R267" s="510">
        <v>1428</v>
      </c>
      <c r="S267" s="510">
        <v>1687</v>
      </c>
    </row>
    <row r="268" spans="1:19">
      <c r="A268" s="510" t="s">
        <v>1584</v>
      </c>
      <c r="B268" s="510" t="s">
        <v>273</v>
      </c>
      <c r="C268" s="510" t="s">
        <v>273</v>
      </c>
      <c r="D268" s="510">
        <v>366</v>
      </c>
      <c r="E268" s="510">
        <v>461</v>
      </c>
      <c r="F268" s="510">
        <v>428</v>
      </c>
      <c r="G268" s="510">
        <v>167</v>
      </c>
      <c r="H268" s="510">
        <v>38</v>
      </c>
      <c r="I268" s="510">
        <v>-191</v>
      </c>
      <c r="J268" s="510">
        <v>-31</v>
      </c>
      <c r="K268" s="510">
        <v>-61</v>
      </c>
      <c r="L268" s="510">
        <v>82</v>
      </c>
      <c r="M268" s="510">
        <v>1</v>
      </c>
      <c r="N268" s="510">
        <v>-25</v>
      </c>
      <c r="O268" s="510">
        <v>42</v>
      </c>
      <c r="P268" s="510">
        <v>60</v>
      </c>
      <c r="Q268" s="510" t="s">
        <v>291</v>
      </c>
      <c r="R268" s="510" t="s">
        <v>291</v>
      </c>
      <c r="S268" s="510" t="s">
        <v>291</v>
      </c>
    </row>
    <row r="269" spans="1:19">
      <c r="A269" s="510" t="s">
        <v>1583</v>
      </c>
      <c r="B269" s="510" t="s">
        <v>273</v>
      </c>
      <c r="C269" s="510" t="s">
        <v>273</v>
      </c>
      <c r="D269" s="510">
        <v>-17</v>
      </c>
      <c r="E269" s="510">
        <v>-3</v>
      </c>
      <c r="F269" s="510">
        <v>-20</v>
      </c>
      <c r="G269" s="510">
        <v>13</v>
      </c>
      <c r="H269" s="510">
        <v>6</v>
      </c>
      <c r="I269" s="510">
        <v>-2</v>
      </c>
      <c r="J269" s="510">
        <v>19</v>
      </c>
      <c r="K269" s="510">
        <v>4</v>
      </c>
      <c r="L269" s="510">
        <v>-3</v>
      </c>
      <c r="M269" s="510">
        <v>-1</v>
      </c>
      <c r="N269" s="510">
        <v>-3</v>
      </c>
      <c r="O269" s="510">
        <v>2</v>
      </c>
      <c r="P269" s="510">
        <v>-2</v>
      </c>
      <c r="Q269" s="510">
        <v>5</v>
      </c>
      <c r="R269" s="510" t="s">
        <v>291</v>
      </c>
      <c r="S269" s="510" t="s">
        <v>291</v>
      </c>
    </row>
    <row r="270" spans="1:19">
      <c r="A270" s="510" t="s">
        <v>1582</v>
      </c>
      <c r="B270" s="510">
        <v>212</v>
      </c>
      <c r="C270" s="510">
        <v>104</v>
      </c>
      <c r="D270" s="510">
        <v>39</v>
      </c>
      <c r="E270" s="510">
        <v>272</v>
      </c>
      <c r="F270" s="510">
        <v>285</v>
      </c>
      <c r="G270" s="510">
        <v>208</v>
      </c>
      <c r="H270" s="510">
        <v>226</v>
      </c>
      <c r="I270" s="510">
        <v>480</v>
      </c>
      <c r="J270" s="510">
        <v>509</v>
      </c>
      <c r="K270" s="510">
        <v>612</v>
      </c>
      <c r="L270" s="510">
        <v>817</v>
      </c>
      <c r="M270" s="510">
        <v>714</v>
      </c>
      <c r="N270" s="510">
        <v>989</v>
      </c>
      <c r="O270" s="510">
        <v>1239</v>
      </c>
      <c r="P270" s="510">
        <v>1597</v>
      </c>
      <c r="Q270" s="510">
        <v>1384</v>
      </c>
      <c r="R270" s="510">
        <v>522</v>
      </c>
      <c r="S270" s="510">
        <v>177</v>
      </c>
    </row>
    <row r="271" spans="1:19">
      <c r="A271" s="510" t="s">
        <v>1581</v>
      </c>
      <c r="B271" s="510">
        <v>166</v>
      </c>
      <c r="C271" s="510">
        <v>89</v>
      </c>
      <c r="D271" s="510">
        <v>18</v>
      </c>
      <c r="E271" s="510">
        <v>99</v>
      </c>
      <c r="F271" s="510">
        <v>193</v>
      </c>
      <c r="G271" s="510" t="s">
        <v>273</v>
      </c>
      <c r="H271" s="510" t="s">
        <v>273</v>
      </c>
      <c r="I271" s="510" t="s">
        <v>273</v>
      </c>
      <c r="J271" s="510" t="s">
        <v>273</v>
      </c>
      <c r="K271" s="510" t="s">
        <v>273</v>
      </c>
      <c r="L271" s="510" t="s">
        <v>273</v>
      </c>
      <c r="M271" s="510" t="s">
        <v>273</v>
      </c>
      <c r="N271" s="510" t="s">
        <v>273</v>
      </c>
      <c r="O271" s="510" t="s">
        <v>273</v>
      </c>
      <c r="P271" s="510" t="s">
        <v>273</v>
      </c>
      <c r="Q271" s="510" t="s">
        <v>273</v>
      </c>
      <c r="R271" s="510" t="s">
        <v>273</v>
      </c>
      <c r="S271" s="510" t="s">
        <v>273</v>
      </c>
    </row>
    <row r="272" spans="1:19">
      <c r="A272" s="510" t="s">
        <v>1580</v>
      </c>
      <c r="B272" s="510" t="s">
        <v>273</v>
      </c>
      <c r="C272" s="510" t="s">
        <v>273</v>
      </c>
      <c r="D272" s="510" t="s">
        <v>273</v>
      </c>
      <c r="E272" s="510" t="s">
        <v>273</v>
      </c>
      <c r="F272" s="510" t="s">
        <v>273</v>
      </c>
      <c r="G272" s="510">
        <v>35</v>
      </c>
      <c r="H272" s="510">
        <v>31</v>
      </c>
      <c r="I272" s="510">
        <v>77</v>
      </c>
      <c r="J272" s="510">
        <v>192</v>
      </c>
      <c r="K272" s="510">
        <v>141</v>
      </c>
      <c r="L272" s="510">
        <v>76</v>
      </c>
      <c r="M272" s="510">
        <v>29</v>
      </c>
      <c r="N272" s="510">
        <v>53</v>
      </c>
      <c r="O272" s="510">
        <v>70</v>
      </c>
      <c r="P272" s="510">
        <v>33</v>
      </c>
      <c r="Q272" s="510">
        <v>40</v>
      </c>
      <c r="R272" s="510">
        <v>35</v>
      </c>
      <c r="S272" s="510">
        <v>-9</v>
      </c>
    </row>
    <row r="273" spans="1:19">
      <c r="A273" s="510" t="s">
        <v>1579</v>
      </c>
      <c r="B273" s="510">
        <v>61</v>
      </c>
      <c r="C273" s="510">
        <v>36</v>
      </c>
      <c r="D273" s="510">
        <v>-2</v>
      </c>
      <c r="E273" s="510">
        <v>180</v>
      </c>
      <c r="F273" s="510">
        <v>117</v>
      </c>
      <c r="G273" s="510">
        <v>165</v>
      </c>
      <c r="H273" s="510">
        <v>147</v>
      </c>
      <c r="I273" s="510">
        <v>303</v>
      </c>
      <c r="J273" s="510">
        <v>254</v>
      </c>
      <c r="K273" s="510">
        <v>370</v>
      </c>
      <c r="L273" s="510">
        <v>580</v>
      </c>
      <c r="M273" s="510">
        <v>590</v>
      </c>
      <c r="N273" s="510">
        <v>797</v>
      </c>
      <c r="O273" s="510">
        <v>1061</v>
      </c>
      <c r="P273" s="510">
        <v>1473</v>
      </c>
      <c r="Q273" s="510">
        <v>1224</v>
      </c>
      <c r="R273" s="510">
        <v>355</v>
      </c>
      <c r="S273" s="510">
        <v>71</v>
      </c>
    </row>
    <row r="274" spans="1:19">
      <c r="A274" s="510" t="s">
        <v>1578</v>
      </c>
      <c r="B274" s="510">
        <v>-16</v>
      </c>
      <c r="C274" s="510">
        <v>-21</v>
      </c>
      <c r="D274" s="510">
        <v>23</v>
      </c>
      <c r="E274" s="510">
        <v>-7</v>
      </c>
      <c r="F274" s="510">
        <v>-24</v>
      </c>
      <c r="G274" s="510">
        <v>9</v>
      </c>
      <c r="H274" s="510">
        <v>48</v>
      </c>
      <c r="I274" s="510">
        <v>99</v>
      </c>
      <c r="J274" s="510">
        <v>63</v>
      </c>
      <c r="K274" s="510">
        <v>101</v>
      </c>
      <c r="L274" s="510">
        <v>161</v>
      </c>
      <c r="M274" s="510">
        <v>96</v>
      </c>
      <c r="N274" s="510">
        <v>139</v>
      </c>
      <c r="O274" s="510">
        <v>107</v>
      </c>
      <c r="P274" s="510">
        <v>91</v>
      </c>
      <c r="Q274" s="510">
        <v>120</v>
      </c>
      <c r="R274" s="510">
        <v>131</v>
      </c>
      <c r="S274" s="510">
        <v>115</v>
      </c>
    </row>
    <row r="275" spans="1:19">
      <c r="A275" s="510" t="s">
        <v>1577</v>
      </c>
      <c r="B275" s="510">
        <v>1005</v>
      </c>
      <c r="C275" s="510">
        <v>734</v>
      </c>
      <c r="D275" s="510">
        <v>1739</v>
      </c>
      <c r="E275" s="510">
        <v>1942</v>
      </c>
      <c r="F275" s="510">
        <v>2609</v>
      </c>
      <c r="G275" s="510">
        <v>2248</v>
      </c>
      <c r="H275" s="510">
        <v>2748</v>
      </c>
      <c r="I275" s="510">
        <v>3444</v>
      </c>
      <c r="J275" s="510">
        <v>4135</v>
      </c>
      <c r="K275" s="510">
        <v>4309</v>
      </c>
      <c r="L275" s="510">
        <v>3940</v>
      </c>
      <c r="M275" s="510">
        <v>4900</v>
      </c>
      <c r="N275" s="510">
        <v>3818</v>
      </c>
      <c r="O275" s="510">
        <v>4951</v>
      </c>
      <c r="P275" s="510">
        <v>5199</v>
      </c>
      <c r="Q275" s="510">
        <v>4219</v>
      </c>
      <c r="R275" s="510">
        <v>4393</v>
      </c>
      <c r="S275" s="510">
        <v>6136</v>
      </c>
    </row>
    <row r="276" spans="1:19">
      <c r="A276" s="510" t="s">
        <v>1576</v>
      </c>
      <c r="B276" s="510">
        <v>-5</v>
      </c>
      <c r="C276" s="510">
        <v>-10</v>
      </c>
      <c r="D276" s="510">
        <v>5</v>
      </c>
      <c r="E276" s="510">
        <v>-6</v>
      </c>
      <c r="F276" s="510">
        <v>35</v>
      </c>
      <c r="G276" s="510">
        <v>30</v>
      </c>
      <c r="H276" s="510" t="s">
        <v>291</v>
      </c>
      <c r="I276" s="510">
        <v>105</v>
      </c>
      <c r="J276" s="510">
        <v>86</v>
      </c>
      <c r="K276" s="510">
        <v>43</v>
      </c>
      <c r="L276" s="510">
        <v>148</v>
      </c>
      <c r="M276" s="510">
        <v>110</v>
      </c>
      <c r="N276" s="510">
        <v>115</v>
      </c>
      <c r="O276" s="510">
        <v>98</v>
      </c>
      <c r="P276" s="510">
        <v>99</v>
      </c>
      <c r="Q276" s="510">
        <v>86</v>
      </c>
      <c r="R276" s="510">
        <v>76</v>
      </c>
      <c r="S276" s="510">
        <v>181</v>
      </c>
    </row>
    <row r="277" spans="1:19">
      <c r="A277" s="510" t="s">
        <v>1575</v>
      </c>
      <c r="B277" s="510" t="s">
        <v>306</v>
      </c>
      <c r="C277" s="510">
        <v>-25</v>
      </c>
      <c r="D277" s="510">
        <v>-15</v>
      </c>
      <c r="E277" s="510">
        <v>-54</v>
      </c>
      <c r="F277" s="510" t="s">
        <v>291</v>
      </c>
      <c r="G277" s="510" t="s">
        <v>306</v>
      </c>
      <c r="H277" s="510">
        <v>-8</v>
      </c>
      <c r="I277" s="510">
        <v>-3</v>
      </c>
      <c r="J277" s="510">
        <v>-7</v>
      </c>
      <c r="K277" s="510">
        <v>11</v>
      </c>
      <c r="L277" s="510">
        <v>-8</v>
      </c>
      <c r="M277" s="510">
        <v>-3</v>
      </c>
      <c r="N277" s="510">
        <v>16</v>
      </c>
      <c r="O277" s="510">
        <v>20</v>
      </c>
      <c r="P277" s="510" t="s">
        <v>291</v>
      </c>
      <c r="Q277" s="510">
        <v>-9</v>
      </c>
      <c r="R277" s="510" t="s">
        <v>291</v>
      </c>
      <c r="S277" s="510">
        <v>26</v>
      </c>
    </row>
    <row r="278" spans="1:19">
      <c r="A278" s="510" t="s">
        <v>1574</v>
      </c>
      <c r="B278" s="510" t="s">
        <v>291</v>
      </c>
      <c r="C278" s="510">
        <v>25</v>
      </c>
      <c r="D278" s="510">
        <v>9</v>
      </c>
      <c r="E278" s="510">
        <v>15</v>
      </c>
      <c r="F278" s="510" t="s">
        <v>291</v>
      </c>
      <c r="G278" s="510">
        <v>71</v>
      </c>
      <c r="H278" s="510">
        <v>124</v>
      </c>
      <c r="I278" s="510" t="s">
        <v>291</v>
      </c>
      <c r="J278" s="510">
        <v>92</v>
      </c>
      <c r="K278" s="510">
        <v>84</v>
      </c>
      <c r="L278" s="510">
        <v>123</v>
      </c>
      <c r="M278" s="510">
        <v>312</v>
      </c>
      <c r="N278" s="510">
        <v>187</v>
      </c>
      <c r="O278" s="510">
        <v>112</v>
      </c>
      <c r="P278" s="510">
        <v>121</v>
      </c>
      <c r="Q278" s="510">
        <v>178</v>
      </c>
      <c r="R278" s="510">
        <v>165</v>
      </c>
      <c r="S278" s="510">
        <v>346</v>
      </c>
    </row>
    <row r="279" spans="1:19">
      <c r="A279" s="510" t="s">
        <v>1573</v>
      </c>
      <c r="B279" s="510" t="s">
        <v>291</v>
      </c>
      <c r="C279" s="510">
        <v>-17</v>
      </c>
      <c r="D279" s="510" t="s">
        <v>291</v>
      </c>
      <c r="E279" s="510">
        <v>78</v>
      </c>
      <c r="F279" s="510">
        <v>89</v>
      </c>
      <c r="G279" s="510" t="s">
        <v>291</v>
      </c>
      <c r="H279" s="510" t="s">
        <v>291</v>
      </c>
      <c r="I279" s="510" t="s">
        <v>291</v>
      </c>
      <c r="J279" s="510">
        <v>407</v>
      </c>
      <c r="K279" s="510">
        <v>538</v>
      </c>
      <c r="L279" s="510">
        <v>379</v>
      </c>
      <c r="M279" s="510">
        <v>211</v>
      </c>
      <c r="N279" s="510">
        <v>412</v>
      </c>
      <c r="O279" s="510">
        <v>404</v>
      </c>
      <c r="P279" s="510" t="s">
        <v>291</v>
      </c>
      <c r="Q279" s="510" t="s">
        <v>291</v>
      </c>
      <c r="R279" s="510" t="s">
        <v>291</v>
      </c>
      <c r="S279" s="510" t="s">
        <v>291</v>
      </c>
    </row>
    <row r="280" spans="1:19">
      <c r="A280" s="510" t="s">
        <v>1572</v>
      </c>
      <c r="B280" s="510">
        <v>235</v>
      </c>
      <c r="C280" s="510">
        <v>133</v>
      </c>
      <c r="D280" s="510">
        <v>152</v>
      </c>
      <c r="E280" s="510">
        <v>141</v>
      </c>
      <c r="F280" s="510">
        <v>188</v>
      </c>
      <c r="G280" s="510" t="s">
        <v>291</v>
      </c>
      <c r="H280" s="510">
        <v>119</v>
      </c>
      <c r="I280" s="510">
        <v>185</v>
      </c>
      <c r="J280" s="510">
        <v>193</v>
      </c>
      <c r="K280" s="510">
        <v>199</v>
      </c>
      <c r="L280" s="510">
        <v>266</v>
      </c>
      <c r="M280" s="510">
        <v>250</v>
      </c>
      <c r="N280" s="510">
        <v>355</v>
      </c>
      <c r="O280" s="510">
        <v>399</v>
      </c>
      <c r="P280" s="510">
        <v>223</v>
      </c>
      <c r="Q280" s="510">
        <v>14</v>
      </c>
      <c r="R280" s="510" t="s">
        <v>291</v>
      </c>
      <c r="S280" s="510" t="s">
        <v>291</v>
      </c>
    </row>
    <row r="281" spans="1:19">
      <c r="A281" s="510" t="s">
        <v>1571</v>
      </c>
      <c r="B281" s="510">
        <v>36</v>
      </c>
      <c r="C281" s="510">
        <v>45</v>
      </c>
      <c r="D281" s="510">
        <v>45</v>
      </c>
      <c r="E281" s="510">
        <v>65</v>
      </c>
      <c r="F281" s="510">
        <v>45</v>
      </c>
      <c r="G281" s="510">
        <v>96</v>
      </c>
      <c r="H281" s="510">
        <v>155</v>
      </c>
      <c r="I281" s="510">
        <v>76</v>
      </c>
      <c r="J281" s="510">
        <v>69</v>
      </c>
      <c r="K281" s="510">
        <v>90</v>
      </c>
      <c r="L281" s="510">
        <v>83</v>
      </c>
      <c r="M281" s="510">
        <v>57</v>
      </c>
      <c r="N281" s="510">
        <v>117</v>
      </c>
      <c r="O281" s="510">
        <v>412</v>
      </c>
      <c r="P281" s="510">
        <v>227</v>
      </c>
      <c r="Q281" s="510">
        <v>319</v>
      </c>
      <c r="R281" s="510">
        <v>260</v>
      </c>
      <c r="S281" s="510">
        <v>100</v>
      </c>
    </row>
    <row r="282" spans="1:19">
      <c r="A282" s="510" t="s">
        <v>1570</v>
      </c>
      <c r="B282" s="510">
        <v>126</v>
      </c>
      <c r="C282" s="510">
        <v>28</v>
      </c>
      <c r="D282" s="510">
        <v>115</v>
      </c>
      <c r="E282" s="510">
        <v>62</v>
      </c>
      <c r="F282" s="510">
        <v>127</v>
      </c>
      <c r="G282" s="510">
        <v>13</v>
      </c>
      <c r="H282" s="510">
        <v>132</v>
      </c>
      <c r="I282" s="510">
        <v>137</v>
      </c>
      <c r="J282" s="510">
        <v>76</v>
      </c>
      <c r="K282" s="510">
        <v>17</v>
      </c>
      <c r="L282" s="510">
        <v>33</v>
      </c>
      <c r="M282" s="510">
        <v>24</v>
      </c>
      <c r="N282" s="510">
        <v>79</v>
      </c>
      <c r="O282" s="510">
        <v>46</v>
      </c>
      <c r="P282" s="510" t="s">
        <v>291</v>
      </c>
      <c r="Q282" s="510" t="s">
        <v>291</v>
      </c>
      <c r="R282" s="510">
        <v>109</v>
      </c>
      <c r="S282" s="510">
        <v>89</v>
      </c>
    </row>
    <row r="283" spans="1:19">
      <c r="A283" s="510" t="s">
        <v>1569</v>
      </c>
      <c r="B283" s="510">
        <v>146</v>
      </c>
      <c r="C283" s="510">
        <v>11</v>
      </c>
      <c r="D283" s="510">
        <v>125</v>
      </c>
      <c r="E283" s="510">
        <v>64</v>
      </c>
      <c r="F283" s="510">
        <v>264</v>
      </c>
      <c r="G283" s="510">
        <v>385</v>
      </c>
      <c r="H283" s="510">
        <v>341</v>
      </c>
      <c r="I283" s="510">
        <v>277</v>
      </c>
      <c r="J283" s="510">
        <v>422</v>
      </c>
      <c r="K283" s="510">
        <v>511</v>
      </c>
      <c r="L283" s="510">
        <v>229</v>
      </c>
      <c r="M283" s="510">
        <v>460</v>
      </c>
      <c r="N283" s="510">
        <v>434</v>
      </c>
      <c r="O283" s="510">
        <v>543</v>
      </c>
      <c r="P283" s="510">
        <v>579</v>
      </c>
      <c r="Q283" s="510">
        <v>835</v>
      </c>
      <c r="R283" s="510">
        <v>527</v>
      </c>
      <c r="S283" s="510">
        <v>1274</v>
      </c>
    </row>
    <row r="284" spans="1:19">
      <c r="A284" s="510" t="s">
        <v>1568</v>
      </c>
      <c r="B284" s="510">
        <v>35</v>
      </c>
      <c r="C284" s="510">
        <v>-212</v>
      </c>
      <c r="D284" s="510" t="s">
        <v>291</v>
      </c>
      <c r="E284" s="510">
        <v>-4</v>
      </c>
      <c r="F284" s="510">
        <v>23</v>
      </c>
      <c r="G284" s="510">
        <v>52</v>
      </c>
      <c r="H284" s="510">
        <v>-72</v>
      </c>
      <c r="I284" s="510">
        <v>-71</v>
      </c>
      <c r="J284" s="510">
        <v>32</v>
      </c>
      <c r="K284" s="510">
        <v>238</v>
      </c>
      <c r="L284" s="510">
        <v>168</v>
      </c>
      <c r="M284" s="510">
        <v>247</v>
      </c>
      <c r="N284" s="510">
        <v>226</v>
      </c>
      <c r="O284" s="510">
        <v>171</v>
      </c>
      <c r="P284" s="510">
        <v>-25</v>
      </c>
      <c r="Q284" s="510">
        <v>97</v>
      </c>
      <c r="R284" s="510">
        <v>168</v>
      </c>
      <c r="S284" s="510">
        <v>41</v>
      </c>
    </row>
    <row r="285" spans="1:19">
      <c r="A285" s="510" t="s">
        <v>1567</v>
      </c>
      <c r="B285" s="510">
        <v>82</v>
      </c>
      <c r="C285" s="510">
        <v>552</v>
      </c>
      <c r="D285" s="510">
        <v>786</v>
      </c>
      <c r="E285" s="510">
        <v>1170</v>
      </c>
      <c r="F285" s="510">
        <v>1224</v>
      </c>
      <c r="G285" s="510">
        <v>85</v>
      </c>
      <c r="H285" s="510">
        <v>287</v>
      </c>
      <c r="I285" s="510">
        <v>364</v>
      </c>
      <c r="J285" s="510">
        <v>456</v>
      </c>
      <c r="K285" s="510">
        <v>745</v>
      </c>
      <c r="L285" s="510">
        <v>410</v>
      </c>
      <c r="M285" s="510">
        <v>527</v>
      </c>
      <c r="N285" s="510">
        <v>527</v>
      </c>
      <c r="O285" s="510">
        <v>683</v>
      </c>
      <c r="P285" s="510">
        <v>555</v>
      </c>
      <c r="Q285" s="510">
        <v>194</v>
      </c>
      <c r="R285" s="510">
        <v>440</v>
      </c>
      <c r="S285" s="510">
        <v>582</v>
      </c>
    </row>
    <row r="286" spans="1:19">
      <c r="A286" s="510" t="s">
        <v>1566</v>
      </c>
      <c r="B286" s="510">
        <v>120</v>
      </c>
      <c r="C286" s="510">
        <v>56</v>
      </c>
      <c r="D286" s="510">
        <v>71</v>
      </c>
      <c r="E286" s="510">
        <v>107</v>
      </c>
      <c r="F286" s="510">
        <v>147</v>
      </c>
      <c r="G286" s="510">
        <v>261</v>
      </c>
      <c r="H286" s="510">
        <v>178</v>
      </c>
      <c r="I286" s="510">
        <v>409</v>
      </c>
      <c r="J286" s="510">
        <v>350</v>
      </c>
      <c r="K286" s="510">
        <v>303</v>
      </c>
      <c r="L286" s="510">
        <v>343</v>
      </c>
      <c r="M286" s="510">
        <v>714</v>
      </c>
      <c r="N286" s="510">
        <v>238</v>
      </c>
      <c r="O286" s="510">
        <v>29</v>
      </c>
      <c r="P286" s="510">
        <v>-327</v>
      </c>
      <c r="Q286" s="510" t="s">
        <v>291</v>
      </c>
      <c r="R286" s="510">
        <v>-75</v>
      </c>
      <c r="S286" s="510">
        <v>46</v>
      </c>
    </row>
    <row r="287" spans="1:19">
      <c r="A287" s="510" t="s">
        <v>1565</v>
      </c>
      <c r="B287" s="510">
        <v>197</v>
      </c>
      <c r="C287" s="510">
        <v>149</v>
      </c>
      <c r="D287" s="510">
        <v>312</v>
      </c>
      <c r="E287" s="510">
        <v>304</v>
      </c>
      <c r="F287" s="510">
        <v>426</v>
      </c>
      <c r="G287" s="510">
        <v>890</v>
      </c>
      <c r="H287" s="510">
        <v>1172</v>
      </c>
      <c r="I287" s="510">
        <v>1532</v>
      </c>
      <c r="J287" s="510">
        <v>1959</v>
      </c>
      <c r="K287" s="510">
        <v>1529</v>
      </c>
      <c r="L287" s="510">
        <v>1766</v>
      </c>
      <c r="M287" s="510">
        <v>1990</v>
      </c>
      <c r="N287" s="510">
        <v>1110</v>
      </c>
      <c r="O287" s="510">
        <v>2034</v>
      </c>
      <c r="P287" s="510">
        <v>3143</v>
      </c>
      <c r="Q287" s="510">
        <v>2040</v>
      </c>
      <c r="R287" s="510">
        <v>1980</v>
      </c>
      <c r="S287" s="510">
        <v>2754</v>
      </c>
    </row>
    <row r="288" spans="1:19">
      <c r="A288" s="510" t="s">
        <v>1564</v>
      </c>
      <c r="B288" s="510">
        <v>135</v>
      </c>
      <c r="C288" s="510">
        <v>880</v>
      </c>
      <c r="D288" s="510">
        <v>1007</v>
      </c>
      <c r="E288" s="510">
        <v>694</v>
      </c>
      <c r="F288" s="510">
        <v>1426</v>
      </c>
      <c r="G288" s="510">
        <v>2704</v>
      </c>
      <c r="H288" s="510">
        <v>3277</v>
      </c>
      <c r="I288" s="510">
        <v>3055</v>
      </c>
      <c r="J288" s="510">
        <v>3174</v>
      </c>
      <c r="K288" s="510">
        <v>3412</v>
      </c>
      <c r="L288" s="510">
        <v>3427</v>
      </c>
      <c r="M288" s="510">
        <v>3605</v>
      </c>
      <c r="N288" s="510">
        <v>3306</v>
      </c>
      <c r="O288" s="510">
        <v>2587</v>
      </c>
      <c r="P288" s="510">
        <v>3194</v>
      </c>
      <c r="Q288" s="510">
        <v>3679</v>
      </c>
      <c r="R288" s="510">
        <v>3430</v>
      </c>
      <c r="S288" s="510">
        <v>3950</v>
      </c>
    </row>
    <row r="289" spans="1:19">
      <c r="A289" s="510" t="s">
        <v>1563</v>
      </c>
      <c r="B289" s="510">
        <v>-57</v>
      </c>
      <c r="C289" s="510">
        <v>45</v>
      </c>
      <c r="D289" s="510">
        <v>20</v>
      </c>
      <c r="E289" s="510">
        <v>93</v>
      </c>
      <c r="F289" s="510">
        <v>126</v>
      </c>
      <c r="G289" s="510">
        <v>172</v>
      </c>
      <c r="H289" s="510">
        <v>150</v>
      </c>
      <c r="I289" s="510">
        <v>313</v>
      </c>
      <c r="J289" s="510">
        <v>355</v>
      </c>
      <c r="K289" s="510">
        <v>449</v>
      </c>
      <c r="L289" s="510">
        <v>212</v>
      </c>
      <c r="M289" s="510">
        <v>318</v>
      </c>
      <c r="N289" s="510">
        <v>351</v>
      </c>
      <c r="O289" s="510">
        <v>210</v>
      </c>
      <c r="P289" s="510">
        <v>228</v>
      </c>
      <c r="Q289" s="510">
        <v>211</v>
      </c>
      <c r="R289" s="510">
        <v>193</v>
      </c>
      <c r="S289" s="510">
        <v>325</v>
      </c>
    </row>
    <row r="290" spans="1:19">
      <c r="A290" s="510" t="s">
        <v>1562</v>
      </c>
      <c r="B290" s="510">
        <v>77</v>
      </c>
      <c r="C290" s="510">
        <v>71</v>
      </c>
      <c r="D290" s="510">
        <v>155</v>
      </c>
      <c r="E290" s="510">
        <v>114</v>
      </c>
      <c r="F290" s="510">
        <v>35</v>
      </c>
      <c r="G290" s="510">
        <v>120</v>
      </c>
      <c r="H290" s="510">
        <v>225</v>
      </c>
      <c r="I290" s="510">
        <v>125</v>
      </c>
      <c r="J290" s="510">
        <v>155</v>
      </c>
      <c r="K290" s="510">
        <v>175</v>
      </c>
      <c r="L290" s="510">
        <v>88</v>
      </c>
      <c r="M290" s="510">
        <v>173</v>
      </c>
      <c r="N290" s="510">
        <v>284</v>
      </c>
      <c r="O290" s="510">
        <v>357</v>
      </c>
      <c r="P290" s="510">
        <v>598</v>
      </c>
      <c r="Q290" s="510">
        <v>475</v>
      </c>
      <c r="R290" s="510">
        <v>544</v>
      </c>
      <c r="S290" s="510">
        <v>542</v>
      </c>
    </row>
    <row r="291" spans="1:19">
      <c r="A291" s="510" t="s">
        <v>1561</v>
      </c>
      <c r="B291" s="510">
        <v>-149</v>
      </c>
      <c r="C291" s="510">
        <v>173</v>
      </c>
      <c r="D291" s="510">
        <v>427</v>
      </c>
      <c r="E291" s="510">
        <v>82</v>
      </c>
      <c r="F291" s="510">
        <v>274</v>
      </c>
      <c r="G291" s="510">
        <v>877</v>
      </c>
      <c r="H291" s="510">
        <v>1167</v>
      </c>
      <c r="I291" s="510">
        <v>1119</v>
      </c>
      <c r="J291" s="510">
        <v>1114</v>
      </c>
      <c r="K291" s="510">
        <v>1489</v>
      </c>
      <c r="L291" s="510">
        <v>681</v>
      </c>
      <c r="M291" s="510">
        <v>635</v>
      </c>
      <c r="N291" s="510">
        <v>277</v>
      </c>
      <c r="O291" s="510">
        <v>219</v>
      </c>
      <c r="P291" s="510">
        <v>262</v>
      </c>
      <c r="Q291" s="510">
        <v>426</v>
      </c>
      <c r="R291" s="510">
        <v>-37</v>
      </c>
      <c r="S291" s="510">
        <v>-110</v>
      </c>
    </row>
    <row r="292" spans="1:19">
      <c r="A292" s="510" t="s">
        <v>1560</v>
      </c>
      <c r="B292" s="510">
        <v>-24</v>
      </c>
      <c r="C292" s="510">
        <v>208</v>
      </c>
      <c r="D292" s="510">
        <v>359</v>
      </c>
      <c r="E292" s="510">
        <v>24</v>
      </c>
      <c r="F292" s="510">
        <v>153</v>
      </c>
      <c r="G292" s="510">
        <v>571</v>
      </c>
      <c r="H292" s="510">
        <v>631</v>
      </c>
      <c r="I292" s="510">
        <v>489</v>
      </c>
      <c r="J292" s="510">
        <v>320</v>
      </c>
      <c r="K292" s="510" t="s">
        <v>291</v>
      </c>
      <c r="L292" s="510">
        <v>11</v>
      </c>
      <c r="M292" s="510">
        <v>34</v>
      </c>
      <c r="N292" s="510">
        <v>-110</v>
      </c>
      <c r="O292" s="510">
        <v>-206</v>
      </c>
      <c r="P292" s="510" t="s">
        <v>291</v>
      </c>
      <c r="Q292" s="510" t="s">
        <v>291</v>
      </c>
      <c r="R292" s="510" t="s">
        <v>291</v>
      </c>
      <c r="S292" s="510" t="s">
        <v>291</v>
      </c>
    </row>
    <row r="293" spans="1:19">
      <c r="A293" s="510" t="s">
        <v>1559</v>
      </c>
      <c r="B293" s="510">
        <v>-125</v>
      </c>
      <c r="C293" s="510">
        <v>-36</v>
      </c>
      <c r="D293" s="510">
        <v>68</v>
      </c>
      <c r="E293" s="510">
        <v>58</v>
      </c>
      <c r="F293" s="510">
        <v>121</v>
      </c>
      <c r="G293" s="510">
        <v>307</v>
      </c>
      <c r="H293" s="510">
        <v>536</v>
      </c>
      <c r="I293" s="510">
        <v>630</v>
      </c>
      <c r="J293" s="510">
        <v>794</v>
      </c>
      <c r="K293" s="510" t="s">
        <v>291</v>
      </c>
      <c r="L293" s="510">
        <v>670</v>
      </c>
      <c r="M293" s="510">
        <v>601</v>
      </c>
      <c r="N293" s="510">
        <v>388</v>
      </c>
      <c r="O293" s="510">
        <v>425</v>
      </c>
      <c r="P293" s="510" t="s">
        <v>291</v>
      </c>
      <c r="Q293" s="510" t="s">
        <v>291</v>
      </c>
      <c r="R293" s="510" t="s">
        <v>291</v>
      </c>
      <c r="S293" s="510" t="s">
        <v>291</v>
      </c>
    </row>
    <row r="294" spans="1:19">
      <c r="A294" s="510" t="s">
        <v>1558</v>
      </c>
      <c r="B294" s="510">
        <v>22</v>
      </c>
      <c r="C294" s="510">
        <v>50</v>
      </c>
      <c r="D294" s="510">
        <v>84</v>
      </c>
      <c r="E294" s="510">
        <v>46</v>
      </c>
      <c r="F294" s="510">
        <v>28</v>
      </c>
      <c r="G294" s="510">
        <v>53</v>
      </c>
      <c r="H294" s="510">
        <v>51</v>
      </c>
      <c r="I294" s="510">
        <v>137</v>
      </c>
      <c r="J294" s="510">
        <v>-1</v>
      </c>
      <c r="K294" s="510">
        <v>51</v>
      </c>
      <c r="L294" s="510">
        <v>45</v>
      </c>
      <c r="M294" s="510">
        <v>138</v>
      </c>
      <c r="N294" s="510">
        <v>78</v>
      </c>
      <c r="O294" s="510">
        <v>-2</v>
      </c>
      <c r="P294" s="510">
        <v>29</v>
      </c>
      <c r="Q294" s="510">
        <v>75</v>
      </c>
      <c r="R294" s="510">
        <v>44</v>
      </c>
      <c r="S294" s="510">
        <v>35</v>
      </c>
    </row>
    <row r="295" spans="1:19">
      <c r="A295" s="510" t="s">
        <v>1557</v>
      </c>
      <c r="B295" s="510" t="s">
        <v>291</v>
      </c>
      <c r="C295" s="510">
        <v>49</v>
      </c>
      <c r="D295" s="510">
        <v>3</v>
      </c>
      <c r="E295" s="510">
        <v>3</v>
      </c>
      <c r="F295" s="510">
        <v>4</v>
      </c>
      <c r="G295" s="510" t="s">
        <v>291</v>
      </c>
      <c r="H295" s="510">
        <v>27</v>
      </c>
      <c r="I295" s="510">
        <v>20</v>
      </c>
      <c r="J295" s="510">
        <v>8</v>
      </c>
      <c r="K295" s="510">
        <v>-3</v>
      </c>
      <c r="L295" s="510">
        <v>-10</v>
      </c>
      <c r="M295" s="510">
        <v>50</v>
      </c>
      <c r="N295" s="510">
        <v>109</v>
      </c>
      <c r="O295" s="510">
        <v>131</v>
      </c>
      <c r="P295" s="510">
        <v>126</v>
      </c>
      <c r="Q295" s="510" t="s">
        <v>291</v>
      </c>
      <c r="R295" s="510">
        <v>9</v>
      </c>
      <c r="S295" s="510">
        <v>14</v>
      </c>
    </row>
    <row r="296" spans="1:19">
      <c r="A296" s="510" t="s">
        <v>1556</v>
      </c>
      <c r="B296" s="510">
        <v>215</v>
      </c>
      <c r="C296" s="510">
        <v>444</v>
      </c>
      <c r="D296" s="510">
        <v>54</v>
      </c>
      <c r="E296" s="510">
        <v>73</v>
      </c>
      <c r="F296" s="510">
        <v>126</v>
      </c>
      <c r="G296" s="510">
        <v>114</v>
      </c>
      <c r="H296" s="510">
        <v>205</v>
      </c>
      <c r="I296" s="510">
        <v>39</v>
      </c>
      <c r="J296" s="510">
        <v>126</v>
      </c>
      <c r="K296" s="510">
        <v>59</v>
      </c>
      <c r="L296" s="510">
        <v>101</v>
      </c>
      <c r="M296" s="510">
        <v>197</v>
      </c>
      <c r="N296" s="510">
        <v>228</v>
      </c>
      <c r="O296" s="510">
        <v>219</v>
      </c>
      <c r="P296" s="510">
        <v>90</v>
      </c>
      <c r="Q296" s="510">
        <v>199</v>
      </c>
      <c r="R296" s="510">
        <v>309</v>
      </c>
      <c r="S296" s="510">
        <v>215</v>
      </c>
    </row>
    <row r="297" spans="1:19">
      <c r="A297" s="510" t="s">
        <v>1555</v>
      </c>
      <c r="B297" s="510">
        <v>214</v>
      </c>
      <c r="C297" s="510">
        <v>445</v>
      </c>
      <c r="D297" s="510">
        <v>54</v>
      </c>
      <c r="E297" s="510">
        <v>73</v>
      </c>
      <c r="F297" s="510">
        <v>126</v>
      </c>
      <c r="G297" s="510">
        <v>114</v>
      </c>
      <c r="H297" s="510">
        <v>205</v>
      </c>
      <c r="I297" s="510">
        <v>39</v>
      </c>
      <c r="J297" s="510">
        <v>126</v>
      </c>
      <c r="K297" s="510">
        <v>59</v>
      </c>
      <c r="L297" s="510">
        <v>101</v>
      </c>
      <c r="M297" s="510">
        <v>197</v>
      </c>
      <c r="N297" s="510">
        <v>228</v>
      </c>
      <c r="O297" s="510">
        <v>218</v>
      </c>
      <c r="P297" s="510">
        <v>90</v>
      </c>
      <c r="Q297" s="510" t="s">
        <v>291</v>
      </c>
      <c r="R297" s="510" t="s">
        <v>291</v>
      </c>
      <c r="S297" s="510" t="s">
        <v>291</v>
      </c>
    </row>
    <row r="298" spans="1:19">
      <c r="A298" s="510" t="s">
        <v>1554</v>
      </c>
      <c r="B298" s="510">
        <v>1</v>
      </c>
      <c r="C298" s="510" t="s">
        <v>306</v>
      </c>
      <c r="D298" s="510">
        <v>0</v>
      </c>
      <c r="E298" s="510">
        <v>0</v>
      </c>
      <c r="F298" s="510">
        <v>0</v>
      </c>
      <c r="G298" s="510">
        <v>0</v>
      </c>
      <c r="H298" s="510">
        <v>0</v>
      </c>
      <c r="I298" s="510">
        <v>0</v>
      </c>
      <c r="J298" s="510">
        <v>0</v>
      </c>
      <c r="K298" s="510">
        <v>0</v>
      </c>
      <c r="L298" s="510">
        <v>0</v>
      </c>
      <c r="M298" s="510">
        <v>0</v>
      </c>
      <c r="N298" s="510">
        <v>0</v>
      </c>
      <c r="O298" s="510">
        <v>1</v>
      </c>
      <c r="P298" s="510">
        <v>1</v>
      </c>
      <c r="Q298" s="510" t="s">
        <v>291</v>
      </c>
      <c r="R298" s="510" t="s">
        <v>291</v>
      </c>
      <c r="S298" s="510" t="s">
        <v>291</v>
      </c>
    </row>
    <row r="299" spans="1:19">
      <c r="A299" s="510" t="s">
        <v>1553</v>
      </c>
      <c r="B299" s="510">
        <v>-2</v>
      </c>
      <c r="C299" s="510">
        <v>-2</v>
      </c>
      <c r="D299" s="510">
        <v>-2</v>
      </c>
      <c r="E299" s="510">
        <v>-2</v>
      </c>
      <c r="F299" s="510">
        <v>-2</v>
      </c>
      <c r="G299" s="510" t="s">
        <v>291</v>
      </c>
      <c r="H299" s="510">
        <v>3</v>
      </c>
      <c r="I299" s="510">
        <v>3</v>
      </c>
      <c r="J299" s="510">
        <v>3</v>
      </c>
      <c r="K299" s="510">
        <v>3</v>
      </c>
      <c r="L299" s="510">
        <v>4</v>
      </c>
      <c r="M299" s="510">
        <v>4</v>
      </c>
      <c r="N299" s="510">
        <v>4</v>
      </c>
      <c r="O299" s="510">
        <v>4</v>
      </c>
      <c r="P299" s="510">
        <v>4</v>
      </c>
      <c r="Q299" s="510">
        <v>4</v>
      </c>
      <c r="R299" s="510">
        <v>4</v>
      </c>
      <c r="S299" s="510">
        <v>4</v>
      </c>
    </row>
    <row r="300" spans="1:19">
      <c r="A300" s="510" t="s">
        <v>1552</v>
      </c>
      <c r="B300" s="510">
        <v>45</v>
      </c>
      <c r="C300" s="510">
        <v>16</v>
      </c>
      <c r="D300" s="510">
        <v>198</v>
      </c>
      <c r="E300" s="510">
        <v>89</v>
      </c>
      <c r="F300" s="510">
        <v>229</v>
      </c>
      <c r="G300" s="510">
        <v>424</v>
      </c>
      <c r="H300" s="510">
        <v>352</v>
      </c>
      <c r="I300" s="510">
        <v>246</v>
      </c>
      <c r="J300" s="510">
        <v>399</v>
      </c>
      <c r="K300" s="510">
        <v>568</v>
      </c>
      <c r="L300" s="510">
        <v>1281</v>
      </c>
      <c r="M300" s="510">
        <v>1033</v>
      </c>
      <c r="N300" s="510">
        <v>1127</v>
      </c>
      <c r="O300" s="510">
        <v>1025</v>
      </c>
      <c r="P300" s="510">
        <v>1332</v>
      </c>
      <c r="Q300" s="510">
        <v>1244</v>
      </c>
      <c r="R300" s="510">
        <v>1327</v>
      </c>
      <c r="S300" s="510">
        <v>1757</v>
      </c>
    </row>
    <row r="301" spans="1:19">
      <c r="A301" s="510" t="s">
        <v>1551</v>
      </c>
      <c r="B301" s="510" t="s">
        <v>291</v>
      </c>
      <c r="C301" s="510">
        <v>46</v>
      </c>
      <c r="D301" s="510">
        <v>46</v>
      </c>
      <c r="E301" s="510">
        <v>159</v>
      </c>
      <c r="F301" s="510">
        <v>511</v>
      </c>
      <c r="G301" s="510">
        <v>854</v>
      </c>
      <c r="H301" s="510">
        <v>988</v>
      </c>
      <c r="I301" s="510">
        <v>932</v>
      </c>
      <c r="J301" s="510">
        <v>902</v>
      </c>
      <c r="K301" s="510">
        <v>435</v>
      </c>
      <c r="L301" s="510">
        <v>687</v>
      </c>
      <c r="M301" s="510">
        <v>782</v>
      </c>
      <c r="N301" s="510">
        <v>732</v>
      </c>
      <c r="O301" s="510">
        <v>303</v>
      </c>
      <c r="P301" s="510">
        <v>412</v>
      </c>
      <c r="Q301" s="510" t="s">
        <v>291</v>
      </c>
      <c r="R301" s="510">
        <v>952</v>
      </c>
      <c r="S301" s="510">
        <v>1141</v>
      </c>
    </row>
    <row r="302" spans="1:19">
      <c r="A302" s="510" t="s">
        <v>1550</v>
      </c>
      <c r="B302" s="510">
        <v>-15</v>
      </c>
      <c r="C302" s="510">
        <v>-13</v>
      </c>
      <c r="D302" s="510">
        <v>22</v>
      </c>
      <c r="E302" s="510">
        <v>38</v>
      </c>
      <c r="F302" s="510">
        <v>96</v>
      </c>
      <c r="G302" s="510">
        <v>61</v>
      </c>
      <c r="H302" s="510">
        <v>109</v>
      </c>
      <c r="I302" s="510">
        <v>122</v>
      </c>
      <c r="J302" s="510">
        <v>113</v>
      </c>
      <c r="K302" s="510">
        <v>186</v>
      </c>
      <c r="L302" s="510">
        <v>336</v>
      </c>
      <c r="M302" s="510">
        <v>276</v>
      </c>
      <c r="N302" s="510">
        <v>116</v>
      </c>
      <c r="O302" s="510">
        <v>121</v>
      </c>
      <c r="P302" s="510">
        <v>112</v>
      </c>
      <c r="Q302" s="510">
        <v>55</v>
      </c>
      <c r="R302" s="510">
        <v>85</v>
      </c>
      <c r="S302" s="510">
        <v>28</v>
      </c>
    </row>
    <row r="303" spans="1:19">
      <c r="A303" s="510" t="s">
        <v>1549</v>
      </c>
      <c r="B303" s="510">
        <v>13</v>
      </c>
      <c r="C303" s="510">
        <v>9</v>
      </c>
      <c r="D303" s="510">
        <v>10</v>
      </c>
      <c r="E303" s="510">
        <v>14</v>
      </c>
      <c r="F303" s="510">
        <v>10</v>
      </c>
      <c r="G303" s="510">
        <v>10</v>
      </c>
      <c r="H303" s="510">
        <v>10</v>
      </c>
      <c r="I303" s="510">
        <v>33</v>
      </c>
      <c r="J303" s="510">
        <v>15</v>
      </c>
      <c r="K303" s="510">
        <v>12</v>
      </c>
      <c r="L303" s="510">
        <v>20</v>
      </c>
      <c r="M303" s="510">
        <v>21</v>
      </c>
      <c r="N303" s="510">
        <v>27</v>
      </c>
      <c r="O303" s="510">
        <v>20</v>
      </c>
      <c r="P303" s="510" t="s">
        <v>291</v>
      </c>
      <c r="Q303" s="510">
        <v>-1</v>
      </c>
      <c r="R303" s="510">
        <v>8</v>
      </c>
      <c r="S303" s="510">
        <v>12</v>
      </c>
    </row>
    <row r="304" spans="1:19">
      <c r="A304" s="510" t="s">
        <v>1548</v>
      </c>
      <c r="B304" s="510">
        <v>-28</v>
      </c>
      <c r="C304" s="510">
        <v>-22</v>
      </c>
      <c r="D304" s="510">
        <v>12</v>
      </c>
      <c r="E304" s="510">
        <v>24</v>
      </c>
      <c r="F304" s="510">
        <v>86</v>
      </c>
      <c r="G304" s="510">
        <v>52</v>
      </c>
      <c r="H304" s="510">
        <v>99</v>
      </c>
      <c r="I304" s="510">
        <v>88</v>
      </c>
      <c r="J304" s="510">
        <v>97</v>
      </c>
      <c r="K304" s="510">
        <v>174</v>
      </c>
      <c r="L304" s="510">
        <v>316</v>
      </c>
      <c r="M304" s="510">
        <v>255</v>
      </c>
      <c r="N304" s="510">
        <v>89</v>
      </c>
      <c r="O304" s="510">
        <v>101</v>
      </c>
      <c r="P304" s="510" t="s">
        <v>291</v>
      </c>
      <c r="Q304" s="510">
        <v>56</v>
      </c>
      <c r="R304" s="510">
        <v>77</v>
      </c>
      <c r="S304" s="510">
        <v>15</v>
      </c>
    </row>
    <row r="305" spans="1:19">
      <c r="A305" s="510" t="s">
        <v>1547</v>
      </c>
      <c r="B305" s="510">
        <v>1574</v>
      </c>
      <c r="C305" s="510">
        <v>1040</v>
      </c>
      <c r="D305" s="510">
        <v>1796</v>
      </c>
      <c r="E305" s="510">
        <v>2127</v>
      </c>
      <c r="F305" s="510">
        <v>2626</v>
      </c>
      <c r="G305" s="510">
        <v>6595</v>
      </c>
      <c r="H305" s="510">
        <v>8715</v>
      </c>
      <c r="I305" s="510">
        <v>6843</v>
      </c>
      <c r="J305" s="510">
        <v>9684</v>
      </c>
      <c r="K305" s="510">
        <v>6585</v>
      </c>
      <c r="L305" s="510">
        <v>9131</v>
      </c>
      <c r="M305" s="510">
        <v>10816</v>
      </c>
      <c r="N305" s="510">
        <v>11464</v>
      </c>
      <c r="O305" s="510">
        <v>14524</v>
      </c>
      <c r="P305" s="510">
        <v>14011</v>
      </c>
      <c r="Q305" s="510">
        <v>11840</v>
      </c>
      <c r="R305" s="510">
        <v>14037</v>
      </c>
      <c r="S305" s="510">
        <v>13296</v>
      </c>
    </row>
    <row r="306" spans="1:19">
      <c r="A306" s="510" t="s">
        <v>1546</v>
      </c>
      <c r="B306" s="510">
        <v>209</v>
      </c>
      <c r="C306" s="510">
        <v>41</v>
      </c>
      <c r="D306" s="510">
        <v>348</v>
      </c>
      <c r="E306" s="510">
        <v>720</v>
      </c>
      <c r="F306" s="510">
        <v>458</v>
      </c>
      <c r="G306" s="510">
        <v>679</v>
      </c>
      <c r="H306" s="510">
        <v>915</v>
      </c>
      <c r="I306" s="510">
        <v>1103</v>
      </c>
      <c r="J306" s="510">
        <v>2136</v>
      </c>
      <c r="K306" s="510">
        <v>544</v>
      </c>
      <c r="L306" s="510">
        <v>43</v>
      </c>
      <c r="M306" s="510">
        <v>174</v>
      </c>
      <c r="N306" s="510">
        <v>33</v>
      </c>
      <c r="O306" s="510">
        <v>201</v>
      </c>
      <c r="P306" s="510">
        <v>-156</v>
      </c>
      <c r="Q306" s="510">
        <v>111</v>
      </c>
      <c r="R306" s="510">
        <v>696</v>
      </c>
      <c r="S306" s="510">
        <v>866</v>
      </c>
    </row>
    <row r="307" spans="1:19">
      <c r="A307" s="510" t="s">
        <v>1545</v>
      </c>
      <c r="B307" s="510">
        <v>1365</v>
      </c>
      <c r="C307" s="510">
        <v>1000</v>
      </c>
      <c r="D307" s="510">
        <v>1448</v>
      </c>
      <c r="E307" s="510">
        <v>1406</v>
      </c>
      <c r="F307" s="510">
        <v>2168</v>
      </c>
      <c r="G307" s="510">
        <v>5917</v>
      </c>
      <c r="H307" s="510">
        <v>7800</v>
      </c>
      <c r="I307" s="510">
        <v>5740</v>
      </c>
      <c r="J307" s="510">
        <v>7548</v>
      </c>
      <c r="K307" s="510">
        <v>6041</v>
      </c>
      <c r="L307" s="510">
        <v>9088</v>
      </c>
      <c r="M307" s="510">
        <v>10642</v>
      </c>
      <c r="N307" s="510">
        <v>11430</v>
      </c>
      <c r="O307" s="510">
        <v>14323</v>
      </c>
      <c r="P307" s="510">
        <v>14167</v>
      </c>
      <c r="Q307" s="510">
        <v>11729</v>
      </c>
      <c r="R307" s="510">
        <v>13341</v>
      </c>
      <c r="S307" s="510">
        <v>12430</v>
      </c>
    </row>
    <row r="308" spans="1:19">
      <c r="A308" s="510" t="s">
        <v>1544</v>
      </c>
      <c r="B308" s="510">
        <v>201</v>
      </c>
      <c r="C308" s="510">
        <v>-115</v>
      </c>
      <c r="D308" s="510">
        <v>204</v>
      </c>
      <c r="E308" s="510">
        <v>320</v>
      </c>
      <c r="F308" s="510">
        <v>353</v>
      </c>
      <c r="G308" s="510">
        <v>586</v>
      </c>
      <c r="H308" s="510">
        <v>600</v>
      </c>
      <c r="I308" s="510" t="s">
        <v>291</v>
      </c>
      <c r="J308" s="510">
        <v>758</v>
      </c>
      <c r="K308" s="510">
        <v>386</v>
      </c>
      <c r="L308" s="510">
        <v>-14</v>
      </c>
      <c r="M308" s="510">
        <v>98</v>
      </c>
      <c r="N308" s="510">
        <v>99</v>
      </c>
      <c r="O308" s="510">
        <v>178</v>
      </c>
      <c r="P308" s="510">
        <v>286</v>
      </c>
      <c r="Q308" s="510">
        <v>328</v>
      </c>
      <c r="R308" s="510">
        <v>666</v>
      </c>
      <c r="S308" s="510">
        <v>290</v>
      </c>
    </row>
    <row r="309" spans="1:19">
      <c r="A309" s="510" t="s">
        <v>1543</v>
      </c>
      <c r="B309" s="510" t="s">
        <v>291</v>
      </c>
      <c r="C309" s="510">
        <v>756</v>
      </c>
      <c r="D309" s="510">
        <v>785</v>
      </c>
      <c r="E309" s="510">
        <v>558</v>
      </c>
      <c r="F309" s="510">
        <v>1050</v>
      </c>
      <c r="G309" s="510">
        <v>1321</v>
      </c>
      <c r="H309" s="510">
        <v>3044</v>
      </c>
      <c r="I309" s="510">
        <v>1523</v>
      </c>
      <c r="J309" s="510">
        <v>2729</v>
      </c>
      <c r="K309" s="510">
        <v>2078</v>
      </c>
      <c r="L309" s="510">
        <v>1625</v>
      </c>
      <c r="M309" s="510">
        <v>1755</v>
      </c>
      <c r="N309" s="510">
        <v>1738</v>
      </c>
      <c r="O309" s="510">
        <v>2046</v>
      </c>
      <c r="P309" s="510">
        <v>1381</v>
      </c>
      <c r="Q309" s="510">
        <v>1261</v>
      </c>
      <c r="R309" s="510">
        <v>1119</v>
      </c>
      <c r="S309" s="510">
        <v>455</v>
      </c>
    </row>
    <row r="310" spans="1:19">
      <c r="A310" s="510" t="s">
        <v>1542</v>
      </c>
      <c r="B310" s="510" t="s">
        <v>291</v>
      </c>
      <c r="C310" s="510">
        <v>359</v>
      </c>
      <c r="D310" s="510">
        <v>459</v>
      </c>
      <c r="E310" s="510">
        <v>528</v>
      </c>
      <c r="F310" s="510">
        <v>765</v>
      </c>
      <c r="G310" s="510">
        <v>4010</v>
      </c>
      <c r="H310" s="510">
        <v>4156</v>
      </c>
      <c r="I310" s="510" t="s">
        <v>291</v>
      </c>
      <c r="J310" s="510">
        <v>4061</v>
      </c>
      <c r="K310" s="510">
        <v>3577</v>
      </c>
      <c r="L310" s="510">
        <v>7477</v>
      </c>
      <c r="M310" s="510">
        <v>8789</v>
      </c>
      <c r="N310" s="510">
        <v>9594</v>
      </c>
      <c r="O310" s="510">
        <v>12099</v>
      </c>
      <c r="P310" s="510">
        <v>12499</v>
      </c>
      <c r="Q310" s="510">
        <v>10141</v>
      </c>
      <c r="R310" s="510">
        <v>11556</v>
      </c>
      <c r="S310" s="510">
        <v>11685</v>
      </c>
    </row>
    <row r="311" spans="1:19">
      <c r="A311" s="510" t="s">
        <v>1541</v>
      </c>
      <c r="B311" s="510">
        <v>33404</v>
      </c>
      <c r="C311" s="510">
        <v>37401</v>
      </c>
      <c r="D311" s="510" t="s">
        <v>273</v>
      </c>
      <c r="E311" s="510" t="s">
        <v>273</v>
      </c>
      <c r="F311" s="510" t="s">
        <v>273</v>
      </c>
      <c r="G311" s="510" t="s">
        <v>273</v>
      </c>
      <c r="H311" s="510" t="s">
        <v>273</v>
      </c>
      <c r="I311" s="510" t="s">
        <v>273</v>
      </c>
      <c r="J311" s="510" t="s">
        <v>273</v>
      </c>
      <c r="K311" s="510" t="s">
        <v>273</v>
      </c>
      <c r="L311" s="510" t="s">
        <v>273</v>
      </c>
      <c r="M311" s="510" t="s">
        <v>273</v>
      </c>
      <c r="N311" s="510" t="s">
        <v>273</v>
      </c>
      <c r="O311" s="510" t="s">
        <v>273</v>
      </c>
      <c r="P311" s="510" t="s">
        <v>273</v>
      </c>
      <c r="Q311" s="510" t="s">
        <v>273</v>
      </c>
      <c r="R311" s="510" t="s">
        <v>273</v>
      </c>
      <c r="S311" s="510" t="s">
        <v>273</v>
      </c>
    </row>
    <row r="312" spans="1:19">
      <c r="A312" s="510" t="s">
        <v>1540</v>
      </c>
      <c r="B312" s="510">
        <v>33362</v>
      </c>
      <c r="C312" s="510">
        <v>37046</v>
      </c>
      <c r="D312" s="510" t="s">
        <v>273</v>
      </c>
      <c r="E312" s="510" t="s">
        <v>273</v>
      </c>
      <c r="F312" s="510" t="s">
        <v>273</v>
      </c>
      <c r="G312" s="510" t="s">
        <v>273</v>
      </c>
      <c r="H312" s="510" t="s">
        <v>273</v>
      </c>
      <c r="I312" s="510" t="s">
        <v>273</v>
      </c>
      <c r="J312" s="510" t="s">
        <v>273</v>
      </c>
      <c r="K312" s="510" t="s">
        <v>273</v>
      </c>
      <c r="L312" s="510" t="s">
        <v>273</v>
      </c>
      <c r="M312" s="510" t="s">
        <v>273</v>
      </c>
      <c r="N312" s="510" t="s">
        <v>273</v>
      </c>
      <c r="O312" s="510" t="s">
        <v>273</v>
      </c>
      <c r="P312" s="510" t="s">
        <v>273</v>
      </c>
      <c r="Q312" s="510" t="s">
        <v>273</v>
      </c>
      <c r="R312" s="510" t="s">
        <v>273</v>
      </c>
      <c r="S312" s="510" t="s">
        <v>273</v>
      </c>
    </row>
    <row r="313" spans="1:19">
      <c r="A313" s="510" t="s">
        <v>1539</v>
      </c>
      <c r="B313" s="510">
        <v>43</v>
      </c>
      <c r="C313" s="510">
        <v>355</v>
      </c>
      <c r="D313" s="510" t="s">
        <v>273</v>
      </c>
      <c r="E313" s="510" t="s">
        <v>273</v>
      </c>
      <c r="F313" s="510" t="s">
        <v>273</v>
      </c>
      <c r="G313" s="510" t="s">
        <v>273</v>
      </c>
      <c r="H313" s="510" t="s">
        <v>273</v>
      </c>
      <c r="I313" s="510" t="s">
        <v>273</v>
      </c>
      <c r="J313" s="510" t="s">
        <v>273</v>
      </c>
      <c r="K313" s="510" t="s">
        <v>273</v>
      </c>
      <c r="L313" s="510" t="s">
        <v>273</v>
      </c>
      <c r="M313" s="510" t="s">
        <v>273</v>
      </c>
      <c r="N313" s="510" t="s">
        <v>273</v>
      </c>
      <c r="O313" s="510" t="s">
        <v>273</v>
      </c>
      <c r="P313" s="510" t="s">
        <v>273</v>
      </c>
      <c r="Q313" s="510" t="s">
        <v>273</v>
      </c>
      <c r="R313" s="510" t="s">
        <v>273</v>
      </c>
      <c r="S313" s="510" t="s">
        <v>273</v>
      </c>
    </row>
    <row r="314" spans="1:19">
      <c r="A314" s="510" t="s">
        <v>1538</v>
      </c>
      <c r="B314" s="510">
        <v>510</v>
      </c>
      <c r="C314" s="510">
        <v>726</v>
      </c>
      <c r="D314" s="510">
        <v>455</v>
      </c>
      <c r="E314" s="510">
        <v>260</v>
      </c>
      <c r="F314" s="510">
        <v>373</v>
      </c>
      <c r="G314" s="510">
        <v>523</v>
      </c>
      <c r="H314" s="510">
        <v>537</v>
      </c>
      <c r="I314" s="510">
        <v>827</v>
      </c>
      <c r="J314" s="510">
        <v>891</v>
      </c>
      <c r="K314" s="510">
        <v>558</v>
      </c>
      <c r="L314" s="510">
        <v>528</v>
      </c>
      <c r="M314" s="510">
        <v>1045</v>
      </c>
      <c r="N314" s="510">
        <v>1305</v>
      </c>
      <c r="O314" s="510">
        <v>2482</v>
      </c>
      <c r="P314" s="510">
        <v>3327</v>
      </c>
      <c r="Q314" s="510">
        <v>4203</v>
      </c>
      <c r="R314" s="510">
        <v>4657</v>
      </c>
      <c r="S314" s="510">
        <v>5487</v>
      </c>
    </row>
    <row r="315" spans="1:19">
      <c r="A315" s="510" t="s">
        <v>1537</v>
      </c>
      <c r="B315" s="510" t="s">
        <v>291</v>
      </c>
      <c r="C315" s="510">
        <v>612</v>
      </c>
      <c r="D315" s="510">
        <v>354</v>
      </c>
      <c r="E315" s="510">
        <v>278</v>
      </c>
      <c r="F315" s="510">
        <v>360</v>
      </c>
      <c r="G315" s="510">
        <v>405</v>
      </c>
      <c r="H315" s="510">
        <v>449</v>
      </c>
      <c r="I315" s="510">
        <v>643</v>
      </c>
      <c r="J315" s="510">
        <v>754</v>
      </c>
      <c r="K315" s="510">
        <v>477</v>
      </c>
      <c r="L315" s="510">
        <v>471</v>
      </c>
      <c r="M315" s="510">
        <v>881</v>
      </c>
      <c r="N315" s="510">
        <v>1235</v>
      </c>
      <c r="O315" s="510">
        <v>2654</v>
      </c>
      <c r="P315" s="510">
        <v>3186</v>
      </c>
      <c r="Q315" s="510">
        <v>4043</v>
      </c>
      <c r="R315" s="510">
        <v>4537</v>
      </c>
      <c r="S315" s="510">
        <v>5357</v>
      </c>
    </row>
    <row r="316" spans="1:19">
      <c r="A316" s="510" t="s">
        <v>1536</v>
      </c>
      <c r="B316" s="510">
        <v>26</v>
      </c>
      <c r="C316" s="510" t="s">
        <v>291</v>
      </c>
      <c r="D316" s="510">
        <v>53</v>
      </c>
      <c r="E316" s="510">
        <v>7</v>
      </c>
      <c r="F316" s="510">
        <v>8</v>
      </c>
      <c r="G316" s="510">
        <v>5</v>
      </c>
      <c r="H316" s="510">
        <v>41</v>
      </c>
      <c r="I316" s="510">
        <v>14</v>
      </c>
      <c r="J316" s="510">
        <v>-137</v>
      </c>
      <c r="K316" s="510">
        <v>34</v>
      </c>
      <c r="L316" s="510">
        <v>12</v>
      </c>
      <c r="M316" s="510">
        <v>-63</v>
      </c>
      <c r="N316" s="510">
        <v>-215</v>
      </c>
      <c r="O316" s="510">
        <v>56</v>
      </c>
      <c r="P316" s="510">
        <v>146</v>
      </c>
      <c r="Q316" s="510">
        <v>134</v>
      </c>
      <c r="R316" s="510">
        <v>213</v>
      </c>
      <c r="S316" s="510">
        <v>153</v>
      </c>
    </row>
    <row r="317" spans="1:19">
      <c r="A317" s="510" t="s">
        <v>1535</v>
      </c>
      <c r="B317" s="510">
        <v>125</v>
      </c>
      <c r="C317" s="510">
        <v>130</v>
      </c>
      <c r="D317" s="510">
        <v>135</v>
      </c>
      <c r="E317" s="510">
        <v>46</v>
      </c>
      <c r="F317" s="510">
        <v>76</v>
      </c>
      <c r="G317" s="510">
        <v>31</v>
      </c>
      <c r="H317" s="510">
        <v>47</v>
      </c>
      <c r="I317" s="510">
        <v>-9</v>
      </c>
      <c r="J317" s="510">
        <v>54</v>
      </c>
      <c r="K317" s="510">
        <v>60</v>
      </c>
      <c r="L317" s="510">
        <v>7</v>
      </c>
      <c r="M317" s="510">
        <v>-73</v>
      </c>
      <c r="N317" s="510">
        <v>53</v>
      </c>
      <c r="O317" s="510">
        <v>78</v>
      </c>
      <c r="P317" s="510">
        <v>-16</v>
      </c>
      <c r="Q317" s="510">
        <v>20</v>
      </c>
      <c r="R317" s="510">
        <v>18</v>
      </c>
      <c r="S317" s="510">
        <v>69</v>
      </c>
    </row>
    <row r="318" spans="1:19">
      <c r="A318" s="510" t="s">
        <v>1534</v>
      </c>
      <c r="B318" s="510">
        <v>189</v>
      </c>
      <c r="C318" s="510">
        <v>130</v>
      </c>
      <c r="D318" s="510">
        <v>61</v>
      </c>
      <c r="E318" s="510">
        <v>115</v>
      </c>
      <c r="F318" s="510">
        <v>54</v>
      </c>
      <c r="G318" s="510">
        <v>108</v>
      </c>
      <c r="H318" s="510">
        <v>147</v>
      </c>
      <c r="I318" s="510">
        <v>403</v>
      </c>
      <c r="J318" s="510">
        <v>498</v>
      </c>
      <c r="K318" s="510">
        <v>296</v>
      </c>
      <c r="L318" s="510">
        <v>44</v>
      </c>
      <c r="M318" s="510">
        <v>54</v>
      </c>
      <c r="N318" s="510">
        <v>150</v>
      </c>
      <c r="O318" s="510">
        <v>154</v>
      </c>
      <c r="P318" s="510">
        <v>266</v>
      </c>
      <c r="Q318" s="510">
        <v>326</v>
      </c>
      <c r="R318" s="510">
        <v>339</v>
      </c>
      <c r="S318" s="510">
        <v>308</v>
      </c>
    </row>
    <row r="319" spans="1:19">
      <c r="A319" s="510" t="s">
        <v>1533</v>
      </c>
      <c r="B319" s="510">
        <v>99</v>
      </c>
      <c r="C319" s="510">
        <v>251</v>
      </c>
      <c r="D319" s="510">
        <v>141</v>
      </c>
      <c r="E319" s="510">
        <v>49</v>
      </c>
      <c r="F319" s="510">
        <v>95</v>
      </c>
      <c r="G319" s="510">
        <v>64</v>
      </c>
      <c r="H319" s="510">
        <v>87</v>
      </c>
      <c r="I319" s="510">
        <v>60</v>
      </c>
      <c r="J319" s="510">
        <v>242</v>
      </c>
      <c r="K319" s="510">
        <v>167</v>
      </c>
      <c r="L319" s="510">
        <v>237</v>
      </c>
      <c r="M319" s="510">
        <v>245</v>
      </c>
      <c r="N319" s="510">
        <v>18</v>
      </c>
      <c r="O319" s="510">
        <v>174</v>
      </c>
      <c r="P319" s="510">
        <v>29</v>
      </c>
      <c r="Q319" s="510">
        <v>281</v>
      </c>
      <c r="R319" s="510">
        <v>602</v>
      </c>
      <c r="S319" s="510">
        <v>779</v>
      </c>
    </row>
    <row r="320" spans="1:19">
      <c r="A320" s="510" t="s">
        <v>1532</v>
      </c>
      <c r="B320" s="510">
        <v>-45</v>
      </c>
      <c r="C320" s="510" t="s">
        <v>291</v>
      </c>
      <c r="D320" s="510">
        <v>-17</v>
      </c>
      <c r="E320" s="510">
        <v>-2</v>
      </c>
      <c r="F320" s="510">
        <v>16</v>
      </c>
      <c r="G320" s="510">
        <v>83</v>
      </c>
      <c r="H320" s="510">
        <v>61</v>
      </c>
      <c r="I320" s="510">
        <v>-84</v>
      </c>
      <c r="J320" s="510">
        <v>-40</v>
      </c>
      <c r="K320" s="510">
        <v>-33</v>
      </c>
      <c r="L320" s="510">
        <v>199</v>
      </c>
      <c r="M320" s="510">
        <v>472</v>
      </c>
      <c r="N320" s="510">
        <v>852</v>
      </c>
      <c r="O320" s="510">
        <v>1769</v>
      </c>
      <c r="P320" s="510">
        <v>2247</v>
      </c>
      <c r="Q320" s="510">
        <v>2872</v>
      </c>
      <c r="R320" s="510">
        <v>3087</v>
      </c>
      <c r="S320" s="510">
        <v>3676</v>
      </c>
    </row>
    <row r="321" spans="1:19">
      <c r="A321" s="510" t="s">
        <v>1531</v>
      </c>
      <c r="B321" s="510">
        <v>15</v>
      </c>
      <c r="C321" s="510">
        <v>4</v>
      </c>
      <c r="D321" s="510">
        <v>-5</v>
      </c>
      <c r="E321" s="510">
        <v>3</v>
      </c>
      <c r="F321" s="510">
        <v>36</v>
      </c>
      <c r="G321" s="510">
        <v>37</v>
      </c>
      <c r="H321" s="510">
        <v>-5</v>
      </c>
      <c r="I321" s="510">
        <v>57</v>
      </c>
      <c r="J321" s="510">
        <v>-1</v>
      </c>
      <c r="K321" s="510">
        <v>-43</v>
      </c>
      <c r="L321" s="510">
        <v>-128</v>
      </c>
      <c r="M321" s="510">
        <v>18</v>
      </c>
      <c r="N321" s="510">
        <v>45</v>
      </c>
      <c r="O321" s="510">
        <v>57</v>
      </c>
      <c r="P321" s="510">
        <v>25</v>
      </c>
      <c r="Q321" s="510">
        <v>43</v>
      </c>
      <c r="R321" s="510">
        <v>58</v>
      </c>
      <c r="S321" s="510">
        <v>103</v>
      </c>
    </row>
    <row r="322" spans="1:19">
      <c r="A322" s="510" t="s">
        <v>1530</v>
      </c>
      <c r="B322" s="510">
        <v>9</v>
      </c>
      <c r="C322" s="510">
        <v>4</v>
      </c>
      <c r="D322" s="510">
        <v>-14</v>
      </c>
      <c r="E322" s="510">
        <v>1</v>
      </c>
      <c r="F322" s="510">
        <v>29</v>
      </c>
      <c r="G322" s="510">
        <v>42</v>
      </c>
      <c r="H322" s="510">
        <v>50</v>
      </c>
      <c r="I322" s="510">
        <v>84</v>
      </c>
      <c r="J322" s="510">
        <v>48</v>
      </c>
      <c r="K322" s="510">
        <v>32</v>
      </c>
      <c r="L322" s="510">
        <v>51</v>
      </c>
      <c r="M322" s="510">
        <v>33</v>
      </c>
      <c r="N322" s="510">
        <v>36</v>
      </c>
      <c r="O322" s="510">
        <v>54</v>
      </c>
      <c r="P322" s="510">
        <v>64</v>
      </c>
      <c r="Q322" s="510" t="s">
        <v>291</v>
      </c>
      <c r="R322" s="510">
        <v>81</v>
      </c>
      <c r="S322" s="510">
        <v>98</v>
      </c>
    </row>
    <row r="323" spans="1:19">
      <c r="A323" s="510" t="s">
        <v>1529</v>
      </c>
      <c r="B323" s="510" t="s">
        <v>291</v>
      </c>
      <c r="C323" s="510">
        <v>41</v>
      </c>
      <c r="D323" s="510">
        <v>-1</v>
      </c>
      <c r="E323" s="510">
        <v>60</v>
      </c>
      <c r="F323" s="510">
        <v>46</v>
      </c>
      <c r="G323" s="510">
        <v>35</v>
      </c>
      <c r="H323" s="510">
        <v>21</v>
      </c>
      <c r="I323" s="510">
        <v>117</v>
      </c>
      <c r="J323" s="510">
        <v>91</v>
      </c>
      <c r="K323" s="510">
        <v>-39</v>
      </c>
      <c r="L323" s="510">
        <v>49</v>
      </c>
      <c r="M323" s="510">
        <v>195</v>
      </c>
      <c r="N323" s="510">
        <v>295</v>
      </c>
      <c r="O323" s="510">
        <v>313</v>
      </c>
      <c r="P323" s="510">
        <v>426</v>
      </c>
      <c r="Q323" s="510" t="s">
        <v>291</v>
      </c>
      <c r="R323" s="510">
        <v>140</v>
      </c>
      <c r="S323" s="510">
        <v>172</v>
      </c>
    </row>
    <row r="324" spans="1:19">
      <c r="A324" s="510" t="s">
        <v>1528</v>
      </c>
      <c r="B324" s="510" t="s">
        <v>291</v>
      </c>
      <c r="C324" s="510">
        <v>114</v>
      </c>
      <c r="D324" s="510">
        <v>101</v>
      </c>
      <c r="E324" s="510">
        <v>-19</v>
      </c>
      <c r="F324" s="510">
        <v>13</v>
      </c>
      <c r="G324" s="510">
        <v>119</v>
      </c>
      <c r="H324" s="510">
        <v>87</v>
      </c>
      <c r="I324" s="510">
        <v>185</v>
      </c>
      <c r="J324" s="510">
        <v>136</v>
      </c>
      <c r="K324" s="510">
        <v>81</v>
      </c>
      <c r="L324" s="510">
        <v>58</v>
      </c>
      <c r="M324" s="510">
        <v>164</v>
      </c>
      <c r="N324" s="510">
        <v>70</v>
      </c>
      <c r="O324" s="510">
        <v>-172</v>
      </c>
      <c r="P324" s="510">
        <v>141</v>
      </c>
      <c r="Q324" s="510">
        <v>161</v>
      </c>
      <c r="R324" s="510">
        <v>120</v>
      </c>
      <c r="S324" s="510">
        <v>130</v>
      </c>
    </row>
    <row r="325" spans="1:19">
      <c r="A325" s="510" t="s">
        <v>1527</v>
      </c>
      <c r="B325" s="510">
        <v>16</v>
      </c>
      <c r="C325" s="510">
        <v>13</v>
      </c>
      <c r="D325" s="510">
        <v>37</v>
      </c>
      <c r="E325" s="510">
        <v>66</v>
      </c>
      <c r="F325" s="510">
        <v>66</v>
      </c>
      <c r="G325" s="510">
        <v>46</v>
      </c>
      <c r="H325" s="510">
        <v>117</v>
      </c>
      <c r="I325" s="510" t="s">
        <v>291</v>
      </c>
      <c r="J325" s="510">
        <v>170</v>
      </c>
      <c r="K325" s="510">
        <v>69</v>
      </c>
      <c r="L325" s="510">
        <v>81</v>
      </c>
      <c r="M325" s="510">
        <v>56</v>
      </c>
      <c r="N325" s="510">
        <v>150</v>
      </c>
      <c r="O325" s="510">
        <v>64</v>
      </c>
      <c r="P325" s="510">
        <v>135</v>
      </c>
      <c r="Q325" s="510">
        <v>231</v>
      </c>
      <c r="R325" s="510">
        <v>225</v>
      </c>
      <c r="S325" s="510">
        <v>297</v>
      </c>
    </row>
    <row r="326" spans="1:19">
      <c r="A326" s="510" t="s">
        <v>1526</v>
      </c>
      <c r="B326" s="510">
        <v>6</v>
      </c>
      <c r="C326" s="510">
        <v>-5</v>
      </c>
      <c r="D326" s="510">
        <v>5</v>
      </c>
      <c r="E326" s="510">
        <v>17</v>
      </c>
      <c r="F326" s="510">
        <v>2</v>
      </c>
      <c r="G326" s="510">
        <v>-63</v>
      </c>
      <c r="H326" s="510">
        <v>-1</v>
      </c>
      <c r="I326" s="510">
        <v>-24</v>
      </c>
      <c r="J326" s="510">
        <v>-1</v>
      </c>
      <c r="K326" s="510" t="s">
        <v>291</v>
      </c>
      <c r="L326" s="510">
        <v>-8</v>
      </c>
      <c r="M326" s="510">
        <v>-7</v>
      </c>
      <c r="N326" s="510">
        <v>-10</v>
      </c>
      <c r="O326" s="510" t="s">
        <v>291</v>
      </c>
      <c r="P326" s="510">
        <v>-16</v>
      </c>
      <c r="Q326" s="510">
        <v>77</v>
      </c>
      <c r="R326" s="510">
        <v>24</v>
      </c>
      <c r="S326" s="510">
        <v>32</v>
      </c>
    </row>
    <row r="327" spans="1:19">
      <c r="A327" s="510" t="s">
        <v>1525</v>
      </c>
      <c r="B327" s="510">
        <v>8</v>
      </c>
      <c r="C327" s="510">
        <v>18</v>
      </c>
      <c r="D327" s="510">
        <v>33</v>
      </c>
      <c r="E327" s="510">
        <v>49</v>
      </c>
      <c r="F327" s="510">
        <v>62</v>
      </c>
      <c r="G327" s="510">
        <v>108</v>
      </c>
      <c r="H327" s="510">
        <v>118</v>
      </c>
      <c r="I327" s="510" t="s">
        <v>291</v>
      </c>
      <c r="J327" s="510">
        <v>165</v>
      </c>
      <c r="K327" s="510" t="s">
        <v>291</v>
      </c>
      <c r="L327" s="510" t="s">
        <v>291</v>
      </c>
      <c r="M327" s="510">
        <v>89</v>
      </c>
      <c r="N327" s="510" t="s">
        <v>291</v>
      </c>
      <c r="O327" s="510" t="s">
        <v>291</v>
      </c>
      <c r="P327" s="510" t="s">
        <v>291</v>
      </c>
      <c r="Q327" s="510" t="s">
        <v>291</v>
      </c>
      <c r="R327" s="510">
        <v>236</v>
      </c>
      <c r="S327" s="510">
        <v>257</v>
      </c>
    </row>
    <row r="328" spans="1:19">
      <c r="A328" s="510" t="s">
        <v>1524</v>
      </c>
      <c r="B328" s="510">
        <v>2</v>
      </c>
      <c r="C328" s="510">
        <v>1</v>
      </c>
      <c r="D328" s="510">
        <v>-1</v>
      </c>
      <c r="E328" s="510" t="s">
        <v>306</v>
      </c>
      <c r="F328" s="510">
        <v>2</v>
      </c>
      <c r="G328" s="510" t="s">
        <v>306</v>
      </c>
      <c r="H328" s="510" t="s">
        <v>306</v>
      </c>
      <c r="I328" s="510">
        <v>1</v>
      </c>
      <c r="J328" s="510">
        <v>9</v>
      </c>
      <c r="K328" s="510" t="s">
        <v>291</v>
      </c>
      <c r="L328" s="510" t="s">
        <v>291</v>
      </c>
      <c r="M328" s="510">
        <v>-26</v>
      </c>
      <c r="N328" s="510" t="s">
        <v>291</v>
      </c>
      <c r="O328" s="510">
        <v>-42</v>
      </c>
      <c r="P328" s="510" t="s">
        <v>291</v>
      </c>
      <c r="Q328" s="510" t="s">
        <v>291</v>
      </c>
      <c r="R328" s="510" t="s">
        <v>291</v>
      </c>
      <c r="S328" s="510" t="s">
        <v>306</v>
      </c>
    </row>
    <row r="329" spans="1:19">
      <c r="A329" s="510" t="s">
        <v>1523</v>
      </c>
      <c r="B329" s="510" t="s">
        <v>306</v>
      </c>
      <c r="C329" s="510" t="s">
        <v>306</v>
      </c>
      <c r="D329" s="510" t="s">
        <v>306</v>
      </c>
      <c r="E329" s="510" t="s">
        <v>306</v>
      </c>
      <c r="F329" s="510" t="s">
        <v>306</v>
      </c>
      <c r="G329" s="510" t="s">
        <v>306</v>
      </c>
      <c r="H329" s="510" t="s">
        <v>306</v>
      </c>
      <c r="I329" s="510" t="s">
        <v>306</v>
      </c>
      <c r="J329" s="510">
        <v>-2</v>
      </c>
      <c r="K329" s="510" t="s">
        <v>291</v>
      </c>
      <c r="L329" s="510">
        <v>4</v>
      </c>
      <c r="M329" s="510" t="s">
        <v>306</v>
      </c>
      <c r="N329" s="510">
        <v>-10</v>
      </c>
      <c r="O329" s="510">
        <v>-18</v>
      </c>
      <c r="P329" s="510" t="s">
        <v>291</v>
      </c>
      <c r="Q329" s="510" t="s">
        <v>291</v>
      </c>
      <c r="R329" s="510" t="s">
        <v>291</v>
      </c>
      <c r="S329" s="510">
        <v>9</v>
      </c>
    </row>
    <row r="330" spans="1:19">
      <c r="A330" s="510" t="s">
        <v>1522</v>
      </c>
      <c r="B330" s="510">
        <v>1399</v>
      </c>
      <c r="C330" s="510">
        <v>1628</v>
      </c>
      <c r="D330" s="510">
        <v>960</v>
      </c>
      <c r="E330" s="510">
        <v>1090</v>
      </c>
      <c r="F330" s="510">
        <v>852</v>
      </c>
      <c r="G330" s="510">
        <v>1305</v>
      </c>
      <c r="H330" s="510">
        <v>1524</v>
      </c>
      <c r="I330" s="510" t="s">
        <v>291</v>
      </c>
      <c r="J330" s="510">
        <v>692</v>
      </c>
      <c r="K330" s="510">
        <v>960</v>
      </c>
      <c r="L330" s="510">
        <v>1687</v>
      </c>
      <c r="M330" s="510">
        <v>1863</v>
      </c>
      <c r="N330" s="510">
        <v>2275</v>
      </c>
      <c r="O330" s="510">
        <v>1851</v>
      </c>
      <c r="P330" s="510">
        <v>2188</v>
      </c>
      <c r="Q330" s="510">
        <v>2673</v>
      </c>
      <c r="R330" s="510">
        <v>3186</v>
      </c>
      <c r="S330" s="510">
        <v>3366</v>
      </c>
    </row>
    <row r="331" spans="1:19">
      <c r="A331" s="510" t="s">
        <v>1521</v>
      </c>
      <c r="B331" s="510">
        <v>411</v>
      </c>
      <c r="C331" s="510">
        <v>429</v>
      </c>
      <c r="D331" s="510">
        <v>163</v>
      </c>
      <c r="E331" s="510">
        <v>483</v>
      </c>
      <c r="F331" s="510">
        <v>197</v>
      </c>
      <c r="G331" s="510">
        <v>243</v>
      </c>
      <c r="H331" s="510">
        <v>494</v>
      </c>
      <c r="I331" s="510" t="s">
        <v>291</v>
      </c>
      <c r="J331" s="510">
        <v>-524</v>
      </c>
      <c r="K331" s="510">
        <v>-349</v>
      </c>
      <c r="L331" s="510">
        <v>385</v>
      </c>
      <c r="M331" s="510">
        <v>360</v>
      </c>
      <c r="N331" s="510">
        <v>557</v>
      </c>
      <c r="O331" s="510">
        <v>197</v>
      </c>
      <c r="P331" s="510">
        <v>741</v>
      </c>
      <c r="Q331" s="510">
        <v>1518</v>
      </c>
      <c r="R331" s="510">
        <v>1730</v>
      </c>
      <c r="S331" s="510">
        <v>1712</v>
      </c>
    </row>
    <row r="332" spans="1:19">
      <c r="A332" s="510" t="s">
        <v>1520</v>
      </c>
      <c r="B332" s="510">
        <v>988</v>
      </c>
      <c r="C332" s="510">
        <v>1199</v>
      </c>
      <c r="D332" s="510">
        <v>797</v>
      </c>
      <c r="E332" s="510">
        <v>607</v>
      </c>
      <c r="F332" s="510">
        <v>655</v>
      </c>
      <c r="G332" s="510">
        <v>1062</v>
      </c>
      <c r="H332" s="510">
        <v>1030</v>
      </c>
      <c r="I332" s="510">
        <v>1197</v>
      </c>
      <c r="J332" s="510">
        <v>1216</v>
      </c>
      <c r="K332" s="510">
        <v>1310</v>
      </c>
      <c r="L332" s="510">
        <v>1301</v>
      </c>
      <c r="M332" s="510">
        <v>1504</v>
      </c>
      <c r="N332" s="510">
        <v>1717</v>
      </c>
      <c r="O332" s="510">
        <v>1654</v>
      </c>
      <c r="P332" s="510">
        <v>1447</v>
      </c>
      <c r="Q332" s="510">
        <v>1155</v>
      </c>
      <c r="R332" s="510">
        <v>1457</v>
      </c>
      <c r="S332" s="510">
        <v>1654</v>
      </c>
    </row>
    <row r="333" spans="1:19">
      <c r="A333" s="510" t="s">
        <v>1519</v>
      </c>
      <c r="B333" s="510">
        <v>231</v>
      </c>
      <c r="C333" s="510">
        <v>-72</v>
      </c>
      <c r="D333" s="510">
        <v>-284</v>
      </c>
      <c r="E333" s="510">
        <v>-56</v>
      </c>
      <c r="F333" s="510">
        <v>151</v>
      </c>
      <c r="G333" s="510">
        <v>91</v>
      </c>
      <c r="H333" s="510">
        <v>114</v>
      </c>
      <c r="I333" s="510">
        <v>-351</v>
      </c>
      <c r="J333" s="510">
        <v>869</v>
      </c>
      <c r="K333" s="510">
        <v>667</v>
      </c>
      <c r="L333" s="510">
        <v>670</v>
      </c>
      <c r="M333" s="510">
        <v>983</v>
      </c>
      <c r="N333" s="510">
        <v>1300</v>
      </c>
      <c r="O333" s="510">
        <v>1084</v>
      </c>
      <c r="P333" s="510">
        <v>1541</v>
      </c>
      <c r="Q333" s="510">
        <v>1886</v>
      </c>
      <c r="R333" s="510">
        <v>1216</v>
      </c>
      <c r="S333" s="510">
        <v>1803</v>
      </c>
    </row>
    <row r="334" spans="1:19">
      <c r="A334" s="510" t="s">
        <v>1518</v>
      </c>
      <c r="B334" s="510">
        <v>28</v>
      </c>
      <c r="C334" s="510">
        <v>26</v>
      </c>
      <c r="D334" s="510">
        <v>19</v>
      </c>
      <c r="E334" s="510">
        <v>23</v>
      </c>
      <c r="F334" s="510">
        <v>29</v>
      </c>
      <c r="G334" s="510">
        <v>1</v>
      </c>
      <c r="H334" s="510">
        <v>-9</v>
      </c>
      <c r="I334" s="510">
        <v>16</v>
      </c>
      <c r="J334" s="510">
        <v>25</v>
      </c>
      <c r="K334" s="510">
        <v>38</v>
      </c>
      <c r="L334" s="510">
        <v>33</v>
      </c>
      <c r="M334" s="510">
        <v>-3</v>
      </c>
      <c r="N334" s="510">
        <v>-134</v>
      </c>
      <c r="O334" s="510">
        <v>23</v>
      </c>
      <c r="P334" s="510">
        <v>114</v>
      </c>
      <c r="Q334" s="510">
        <v>79</v>
      </c>
      <c r="R334" s="510">
        <v>134</v>
      </c>
      <c r="S334" s="510">
        <v>240</v>
      </c>
    </row>
    <row r="335" spans="1:19">
      <c r="A335" s="510" t="s">
        <v>1517</v>
      </c>
      <c r="B335" s="510">
        <v>-91</v>
      </c>
      <c r="C335" s="510">
        <v>-43</v>
      </c>
      <c r="D335" s="510">
        <v>-4</v>
      </c>
      <c r="E335" s="510">
        <v>-84</v>
      </c>
      <c r="F335" s="510">
        <v>20</v>
      </c>
      <c r="G335" s="510">
        <v>-25</v>
      </c>
      <c r="H335" s="510">
        <v>-80</v>
      </c>
      <c r="I335" s="510">
        <v>-562</v>
      </c>
      <c r="J335" s="510">
        <v>494</v>
      </c>
      <c r="K335" s="510">
        <v>386</v>
      </c>
      <c r="L335" s="510">
        <v>275</v>
      </c>
      <c r="M335" s="510">
        <v>395</v>
      </c>
      <c r="N335" s="510">
        <v>741</v>
      </c>
      <c r="O335" s="510">
        <v>510</v>
      </c>
      <c r="P335" s="510">
        <v>946</v>
      </c>
      <c r="Q335" s="510">
        <v>831</v>
      </c>
      <c r="R335" s="510">
        <v>432</v>
      </c>
      <c r="S335" s="510">
        <v>824</v>
      </c>
    </row>
    <row r="336" spans="1:19">
      <c r="A336" s="510" t="s">
        <v>1516</v>
      </c>
      <c r="B336" s="510">
        <v>-1</v>
      </c>
      <c r="C336" s="510">
        <v>23</v>
      </c>
      <c r="D336" s="510">
        <v>1</v>
      </c>
      <c r="E336" s="510">
        <v>-30</v>
      </c>
      <c r="F336" s="510">
        <v>43</v>
      </c>
      <c r="G336" s="510">
        <v>77</v>
      </c>
      <c r="H336" s="510">
        <v>-47</v>
      </c>
      <c r="I336" s="510">
        <v>-542</v>
      </c>
      <c r="J336" s="510">
        <v>279</v>
      </c>
      <c r="K336" s="510">
        <v>167</v>
      </c>
      <c r="L336" s="510">
        <v>50</v>
      </c>
      <c r="M336" s="510">
        <v>-53</v>
      </c>
      <c r="N336" s="510">
        <v>68</v>
      </c>
      <c r="O336" s="510">
        <v>-142</v>
      </c>
      <c r="P336" s="510">
        <v>138</v>
      </c>
      <c r="Q336" s="510">
        <v>128</v>
      </c>
      <c r="R336" s="510">
        <v>1</v>
      </c>
      <c r="S336" s="510">
        <v>278</v>
      </c>
    </row>
    <row r="337" spans="1:19">
      <c r="A337" s="510" t="s">
        <v>1515</v>
      </c>
      <c r="B337" s="510">
        <v>0</v>
      </c>
      <c r="C337" s="510">
        <v>0</v>
      </c>
      <c r="D337" s="510">
        <v>0</v>
      </c>
      <c r="E337" s="510">
        <v>0</v>
      </c>
      <c r="F337" s="510">
        <v>0</v>
      </c>
      <c r="G337" s="510">
        <v>0</v>
      </c>
      <c r="H337" s="510">
        <v>0</v>
      </c>
      <c r="I337" s="510">
        <v>0</v>
      </c>
      <c r="J337" s="510">
        <v>0</v>
      </c>
      <c r="K337" s="510">
        <v>0</v>
      </c>
      <c r="L337" s="510">
        <v>0</v>
      </c>
      <c r="M337" s="510">
        <v>0</v>
      </c>
      <c r="N337" s="510">
        <v>0</v>
      </c>
      <c r="O337" s="510">
        <v>0</v>
      </c>
      <c r="P337" s="510">
        <v>0</v>
      </c>
      <c r="Q337" s="510">
        <v>0</v>
      </c>
      <c r="R337" s="510">
        <v>0</v>
      </c>
      <c r="S337" s="510">
        <v>0</v>
      </c>
    </row>
    <row r="338" spans="1:19">
      <c r="A338" s="510" t="s">
        <v>1514</v>
      </c>
      <c r="B338" s="510">
        <v>-90</v>
      </c>
      <c r="C338" s="510">
        <v>-67</v>
      </c>
      <c r="D338" s="510">
        <v>-4</v>
      </c>
      <c r="E338" s="510">
        <v>-53</v>
      </c>
      <c r="F338" s="510">
        <v>-23</v>
      </c>
      <c r="G338" s="510">
        <v>-103</v>
      </c>
      <c r="H338" s="510">
        <v>-33</v>
      </c>
      <c r="I338" s="510">
        <v>-20</v>
      </c>
      <c r="J338" s="510">
        <v>216</v>
      </c>
      <c r="K338" s="510">
        <v>220</v>
      </c>
      <c r="L338" s="510">
        <v>225</v>
      </c>
      <c r="M338" s="510">
        <v>448</v>
      </c>
      <c r="N338" s="510">
        <v>673</v>
      </c>
      <c r="O338" s="510">
        <v>652</v>
      </c>
      <c r="P338" s="510">
        <v>808</v>
      </c>
      <c r="Q338" s="510">
        <v>702</v>
      </c>
      <c r="R338" s="510">
        <v>430</v>
      </c>
      <c r="S338" s="510">
        <v>547</v>
      </c>
    </row>
    <row r="339" spans="1:19">
      <c r="A339" s="510" t="s">
        <v>1513</v>
      </c>
      <c r="B339" s="510">
        <v>293</v>
      </c>
      <c r="C339" s="510">
        <v>-55</v>
      </c>
      <c r="D339" s="510">
        <v>-300</v>
      </c>
      <c r="E339" s="510">
        <v>5</v>
      </c>
      <c r="F339" s="510">
        <v>102</v>
      </c>
      <c r="G339" s="510">
        <v>115</v>
      </c>
      <c r="H339" s="510">
        <v>203</v>
      </c>
      <c r="I339" s="510">
        <v>195</v>
      </c>
      <c r="J339" s="510">
        <v>349</v>
      </c>
      <c r="K339" s="510">
        <v>244</v>
      </c>
      <c r="L339" s="510">
        <v>362</v>
      </c>
      <c r="M339" s="510">
        <v>591</v>
      </c>
      <c r="N339" s="510">
        <v>694</v>
      </c>
      <c r="O339" s="510">
        <v>551</v>
      </c>
      <c r="P339" s="510">
        <v>481</v>
      </c>
      <c r="Q339" s="510">
        <v>977</v>
      </c>
      <c r="R339" s="510">
        <v>649</v>
      </c>
      <c r="S339" s="510">
        <v>739</v>
      </c>
    </row>
    <row r="340" spans="1:19">
      <c r="A340" s="510" t="s">
        <v>1512</v>
      </c>
      <c r="B340" s="510">
        <v>193</v>
      </c>
      <c r="C340" s="510">
        <v>20</v>
      </c>
      <c r="D340" s="510">
        <v>-7</v>
      </c>
      <c r="E340" s="510">
        <v>24</v>
      </c>
      <c r="F340" s="510">
        <v>-9</v>
      </c>
      <c r="G340" s="510">
        <v>74</v>
      </c>
      <c r="H340" s="510">
        <v>186</v>
      </c>
      <c r="I340" s="510">
        <v>163</v>
      </c>
      <c r="J340" s="510">
        <v>279</v>
      </c>
      <c r="K340" s="510">
        <v>264</v>
      </c>
      <c r="L340" s="510">
        <v>314</v>
      </c>
      <c r="M340" s="510">
        <v>575</v>
      </c>
      <c r="N340" s="510">
        <v>616</v>
      </c>
      <c r="O340" s="510">
        <v>476</v>
      </c>
      <c r="P340" s="510">
        <v>391</v>
      </c>
      <c r="Q340" s="510">
        <v>874</v>
      </c>
      <c r="R340" s="510">
        <v>627</v>
      </c>
      <c r="S340" s="510">
        <v>656</v>
      </c>
    </row>
    <row r="341" spans="1:19">
      <c r="A341" s="510" t="s">
        <v>1511</v>
      </c>
      <c r="B341" s="510">
        <v>100</v>
      </c>
      <c r="C341" s="510">
        <v>-74</v>
      </c>
      <c r="D341" s="510">
        <v>-293</v>
      </c>
      <c r="E341" s="510">
        <v>-19</v>
      </c>
      <c r="F341" s="510">
        <v>111</v>
      </c>
      <c r="G341" s="510">
        <v>41</v>
      </c>
      <c r="H341" s="510">
        <v>17</v>
      </c>
      <c r="I341" s="510">
        <v>33</v>
      </c>
      <c r="J341" s="510">
        <v>70</v>
      </c>
      <c r="K341" s="510">
        <v>-20</v>
      </c>
      <c r="L341" s="510">
        <v>48</v>
      </c>
      <c r="M341" s="510">
        <v>16</v>
      </c>
      <c r="N341" s="510">
        <v>78</v>
      </c>
      <c r="O341" s="510">
        <v>75</v>
      </c>
      <c r="P341" s="510">
        <v>90</v>
      </c>
      <c r="Q341" s="510">
        <v>103</v>
      </c>
      <c r="R341" s="510">
        <v>23</v>
      </c>
      <c r="S341" s="510">
        <v>83</v>
      </c>
    </row>
    <row r="342" spans="1:19">
      <c r="A342" s="510" t="s">
        <v>1510</v>
      </c>
      <c r="B342" s="510" t="s">
        <v>0</v>
      </c>
      <c r="C342" s="510" t="s">
        <v>0</v>
      </c>
      <c r="D342" s="510" t="s">
        <v>0</v>
      </c>
      <c r="E342" s="510" t="s">
        <v>0</v>
      </c>
      <c r="F342" s="510" t="s">
        <v>0</v>
      </c>
      <c r="G342" s="510" t="s">
        <v>0</v>
      </c>
      <c r="H342" s="510" t="s">
        <v>0</v>
      </c>
      <c r="I342" s="510" t="s">
        <v>0</v>
      </c>
      <c r="J342" s="510" t="s">
        <v>0</v>
      </c>
      <c r="K342" s="510" t="s">
        <v>0</v>
      </c>
      <c r="L342" s="510" t="s">
        <v>0</v>
      </c>
      <c r="M342" s="510" t="s">
        <v>0</v>
      </c>
      <c r="N342" s="510" t="s">
        <v>0</v>
      </c>
      <c r="O342" s="510" t="s">
        <v>0</v>
      </c>
      <c r="P342" s="510" t="s">
        <v>0</v>
      </c>
      <c r="Q342" s="510" t="s">
        <v>0</v>
      </c>
      <c r="R342" s="510" t="s">
        <v>0</v>
      </c>
      <c r="S342" s="510" t="s">
        <v>0</v>
      </c>
    </row>
    <row r="343" spans="1:19">
      <c r="A343" s="510" t="s">
        <v>1509</v>
      </c>
      <c r="B343" s="510" t="s">
        <v>273</v>
      </c>
      <c r="C343" s="510" t="s">
        <v>273</v>
      </c>
      <c r="D343" s="510">
        <v>10183</v>
      </c>
      <c r="E343" s="510">
        <v>8938</v>
      </c>
      <c r="F343" s="510">
        <v>12290</v>
      </c>
      <c r="G343" s="510">
        <v>19133</v>
      </c>
      <c r="H343" s="510">
        <v>24936</v>
      </c>
      <c r="I343" s="510">
        <v>29442</v>
      </c>
      <c r="J343" s="510">
        <v>29760</v>
      </c>
      <c r="K343" s="510">
        <v>40546</v>
      </c>
      <c r="L343" s="510">
        <v>19264</v>
      </c>
      <c r="M343" s="510">
        <v>22139</v>
      </c>
      <c r="N343" s="510">
        <v>30221</v>
      </c>
      <c r="O343" s="510">
        <v>25767</v>
      </c>
      <c r="P343" s="510">
        <v>22797</v>
      </c>
      <c r="Q343" s="510">
        <v>18158</v>
      </c>
      <c r="R343" s="510">
        <v>4186</v>
      </c>
      <c r="S343" s="510">
        <v>-641</v>
      </c>
    </row>
    <row r="344" spans="1:19" ht="13">
      <c r="A344" s="1944" t="s">
        <v>7</v>
      </c>
      <c r="B344" s="1976"/>
      <c r="C344" s="1976"/>
      <c r="D344" s="1976"/>
      <c r="E344" s="1976"/>
      <c r="F344" s="1976"/>
      <c r="G344" s="1976"/>
      <c r="H344" s="1976"/>
      <c r="I344" s="1976"/>
      <c r="J344" s="1976"/>
      <c r="K344" s="1976"/>
      <c r="L344" s="1976"/>
      <c r="M344" s="1976"/>
      <c r="N344" s="1976"/>
      <c r="O344" s="1976"/>
      <c r="P344" s="1976"/>
      <c r="Q344" s="1976"/>
      <c r="R344" s="1976"/>
      <c r="S344" s="1976"/>
    </row>
    <row r="345" spans="1:19">
      <c r="A345" s="1943" t="s">
        <v>272</v>
      </c>
      <c r="B345" s="1976"/>
      <c r="C345" s="1976"/>
      <c r="D345" s="1976"/>
      <c r="E345" s="1976"/>
      <c r="F345" s="1976"/>
      <c r="G345" s="1976"/>
      <c r="H345" s="1976"/>
      <c r="I345" s="1976"/>
      <c r="J345" s="1976"/>
      <c r="K345" s="1976"/>
      <c r="L345" s="1976"/>
      <c r="M345" s="1976"/>
      <c r="N345" s="1976"/>
      <c r="O345" s="1976"/>
      <c r="P345" s="1976"/>
      <c r="Q345" s="1976"/>
      <c r="R345" s="1976"/>
      <c r="S345" s="1976"/>
    </row>
    <row r="346" spans="1:19">
      <c r="A346" s="1943" t="s">
        <v>1031</v>
      </c>
      <c r="B346" s="1976"/>
      <c r="C346" s="1976"/>
      <c r="D346" s="1976"/>
      <c r="E346" s="1976"/>
      <c r="F346" s="1976"/>
      <c r="G346" s="1976"/>
      <c r="H346" s="1976"/>
      <c r="I346" s="1976"/>
      <c r="J346" s="1976"/>
      <c r="K346" s="1976"/>
      <c r="L346" s="1976"/>
      <c r="M346" s="1976"/>
      <c r="N346" s="1976"/>
      <c r="O346" s="1976"/>
      <c r="P346" s="1976"/>
      <c r="Q346" s="1976"/>
      <c r="R346" s="1976"/>
      <c r="S346" s="1976"/>
    </row>
    <row r="347" spans="1:19">
      <c r="A347" s="1943" t="s">
        <v>1032</v>
      </c>
      <c r="B347" s="1976"/>
      <c r="C347" s="1976"/>
      <c r="D347" s="1976"/>
      <c r="E347" s="1976"/>
      <c r="F347" s="1976"/>
      <c r="G347" s="1976"/>
      <c r="H347" s="1976"/>
      <c r="I347" s="1976"/>
      <c r="J347" s="1976"/>
      <c r="K347" s="1976"/>
      <c r="L347" s="1976"/>
      <c r="M347" s="1976"/>
      <c r="N347" s="1976"/>
      <c r="O347" s="1976"/>
      <c r="P347" s="1976"/>
      <c r="Q347" s="1976"/>
      <c r="R347" s="1976"/>
      <c r="S347" s="1976"/>
    </row>
    <row r="348" spans="1:19">
      <c r="A348" s="1943" t="s">
        <v>1033</v>
      </c>
      <c r="B348" s="1976"/>
      <c r="C348" s="1976"/>
      <c r="D348" s="1976"/>
      <c r="E348" s="1976"/>
      <c r="F348" s="1976"/>
      <c r="G348" s="1976"/>
      <c r="H348" s="1976"/>
      <c r="I348" s="1976"/>
      <c r="J348" s="1976"/>
      <c r="K348" s="1976"/>
      <c r="L348" s="1976"/>
      <c r="M348" s="1976"/>
      <c r="N348" s="1976"/>
      <c r="O348" s="1976"/>
      <c r="P348" s="1976"/>
      <c r="Q348" s="1976"/>
      <c r="R348" s="1976"/>
      <c r="S348" s="1976"/>
    </row>
    <row r="349" spans="1:19">
      <c r="A349" s="1943" t="s">
        <v>268</v>
      </c>
      <c r="B349" s="1976"/>
      <c r="C349" s="1976"/>
      <c r="D349" s="1976"/>
      <c r="E349" s="1976"/>
      <c r="F349" s="1976"/>
      <c r="G349" s="1976"/>
      <c r="H349" s="1976"/>
      <c r="I349" s="1976"/>
      <c r="J349" s="1976"/>
      <c r="K349" s="1976"/>
      <c r="L349" s="1976"/>
      <c r="M349" s="1976"/>
      <c r="N349" s="1976"/>
      <c r="O349" s="1976"/>
      <c r="P349" s="1976"/>
      <c r="Q349" s="1976"/>
      <c r="R349" s="1976"/>
      <c r="S349" s="1976"/>
    </row>
    <row r="350" spans="1:19">
      <c r="A350" s="1943" t="s">
        <v>267</v>
      </c>
      <c r="B350" s="1976"/>
      <c r="C350" s="1976"/>
      <c r="D350" s="1976"/>
      <c r="E350" s="1976"/>
      <c r="F350" s="1976"/>
      <c r="G350" s="1976"/>
      <c r="H350" s="1976"/>
      <c r="I350" s="1976"/>
      <c r="J350" s="1976"/>
      <c r="K350" s="1976"/>
      <c r="L350" s="1976"/>
      <c r="M350" s="1976"/>
      <c r="N350" s="1976"/>
      <c r="O350" s="1976"/>
      <c r="P350" s="1976"/>
      <c r="Q350" s="1976"/>
      <c r="R350" s="1976"/>
      <c r="S350" s="1976"/>
    </row>
    <row r="351" spans="1:19">
      <c r="A351" s="1943" t="s">
        <v>265</v>
      </c>
      <c r="B351" s="1976"/>
      <c r="C351" s="1976"/>
      <c r="D351" s="1976"/>
      <c r="E351" s="1976"/>
      <c r="F351" s="1976"/>
      <c r="G351" s="1976"/>
      <c r="H351" s="1976"/>
      <c r="I351" s="1976"/>
      <c r="J351" s="1976"/>
      <c r="K351" s="1976"/>
      <c r="L351" s="1976"/>
      <c r="M351" s="1976"/>
      <c r="N351" s="1976"/>
      <c r="O351" s="1976"/>
      <c r="P351" s="1976"/>
      <c r="Q351" s="1976"/>
      <c r="R351" s="1976"/>
      <c r="S351" s="1976"/>
    </row>
    <row r="352" spans="1:19">
      <c r="A352" s="1943" t="s">
        <v>1508</v>
      </c>
      <c r="B352" s="1976"/>
      <c r="C352" s="1976"/>
      <c r="D352" s="1976"/>
      <c r="E352" s="1976"/>
      <c r="F352" s="1976"/>
      <c r="G352" s="1976"/>
      <c r="H352" s="1976"/>
      <c r="I352" s="1976"/>
      <c r="J352" s="1976"/>
      <c r="K352" s="1976"/>
      <c r="L352" s="1976"/>
      <c r="M352" s="1976"/>
      <c r="N352" s="1976"/>
      <c r="O352" s="1976"/>
      <c r="P352" s="1976"/>
      <c r="Q352" s="1976"/>
      <c r="R352" s="1976"/>
      <c r="S352" s="1976"/>
    </row>
    <row r="353" spans="1:19">
      <c r="A353" s="1943" t="s">
        <v>262</v>
      </c>
      <c r="B353" s="1976"/>
      <c r="C353" s="1976"/>
      <c r="D353" s="1976"/>
      <c r="E353" s="1976"/>
      <c r="F353" s="1976"/>
      <c r="G353" s="1976"/>
      <c r="H353" s="1976"/>
      <c r="I353" s="1976"/>
      <c r="J353" s="1976"/>
      <c r="K353" s="1976"/>
      <c r="L353" s="1976"/>
      <c r="M353" s="1976"/>
      <c r="N353" s="1976"/>
      <c r="O353" s="1976"/>
      <c r="P353" s="1976"/>
      <c r="Q353" s="1976"/>
      <c r="R353" s="1976"/>
      <c r="S353" s="1976"/>
    </row>
    <row r="354" spans="1:19">
      <c r="A354" s="1943" t="s">
        <v>1507</v>
      </c>
      <c r="B354" s="1976"/>
      <c r="C354" s="1976"/>
      <c r="D354" s="1976"/>
      <c r="E354" s="1976"/>
      <c r="F354" s="1976"/>
      <c r="G354" s="1976"/>
      <c r="H354" s="1976"/>
      <c r="I354" s="1976"/>
      <c r="J354" s="1976"/>
      <c r="K354" s="1976"/>
      <c r="L354" s="1976"/>
      <c r="M354" s="1976"/>
      <c r="N354" s="1976"/>
      <c r="O354" s="1976"/>
      <c r="P354" s="1976"/>
      <c r="Q354" s="1976"/>
      <c r="R354" s="1976"/>
      <c r="S354" s="1976"/>
    </row>
    <row r="355" spans="1:19">
      <c r="A355" s="1943" t="s">
        <v>263</v>
      </c>
      <c r="B355" s="1976"/>
      <c r="C355" s="1976"/>
      <c r="D355" s="1976"/>
      <c r="E355" s="1976"/>
      <c r="F355" s="1976"/>
      <c r="G355" s="1976"/>
      <c r="H355" s="1976"/>
      <c r="I355" s="1976"/>
      <c r="J355" s="1976"/>
      <c r="K355" s="1976"/>
      <c r="L355" s="1976"/>
      <c r="M355" s="1976"/>
      <c r="N355" s="1976"/>
      <c r="O355" s="1976"/>
      <c r="P355" s="1976"/>
      <c r="Q355" s="1976"/>
      <c r="R355" s="1976"/>
      <c r="S355" s="1976"/>
    </row>
    <row r="358" spans="1:19">
      <c r="G358" s="674"/>
      <c r="H358" s="674"/>
      <c r="I358" s="674"/>
      <c r="J358" s="674"/>
      <c r="K358" s="674"/>
      <c r="L358" s="674"/>
      <c r="M358" s="674"/>
      <c r="N358" s="674"/>
      <c r="O358" s="674"/>
      <c r="P358" s="674"/>
      <c r="Q358" s="674"/>
      <c r="R358" s="674"/>
    </row>
  </sheetData>
  <mergeCells count="36">
    <mergeCell ref="A1:S1"/>
    <mergeCell ref="A2:S2"/>
    <mergeCell ref="A3:S3"/>
    <mergeCell ref="A4:S4"/>
    <mergeCell ref="A6:A7"/>
    <mergeCell ref="B6:S6"/>
    <mergeCell ref="B7"/>
    <mergeCell ref="C7"/>
    <mergeCell ref="D7"/>
    <mergeCell ref="E7"/>
    <mergeCell ref="Q7"/>
    <mergeCell ref="F7"/>
    <mergeCell ref="G7"/>
    <mergeCell ref="M7"/>
    <mergeCell ref="N7"/>
    <mergeCell ref="O7"/>
    <mergeCell ref="P7"/>
    <mergeCell ref="A345:S345"/>
    <mergeCell ref="H7"/>
    <mergeCell ref="I7"/>
    <mergeCell ref="J7"/>
    <mergeCell ref="K7"/>
    <mergeCell ref="L7"/>
    <mergeCell ref="R7"/>
    <mergeCell ref="S7"/>
    <mergeCell ref="A344:S344"/>
    <mergeCell ref="A346:S346"/>
    <mergeCell ref="A354:S354"/>
    <mergeCell ref="A355:S355"/>
    <mergeCell ref="A348:S348"/>
    <mergeCell ref="A349:S349"/>
    <mergeCell ref="A350:S350"/>
    <mergeCell ref="A351:S351"/>
    <mergeCell ref="A352:S352"/>
    <mergeCell ref="A353:S353"/>
    <mergeCell ref="A347:S347"/>
  </mergeCell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4"/>
  <sheetViews>
    <sheetView zoomScale="200" zoomScaleNormal="200" zoomScalePageLayoutView="200" workbookViewId="0">
      <pane xSplit="1" ySplit="7" topLeftCell="AB67"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30.42578125" style="15" bestFit="1" customWidth="1"/>
    <col min="2" max="16384" width="7.5703125" style="15"/>
  </cols>
  <sheetData>
    <row r="1" spans="1:36" ht="17">
      <c r="A1" s="1940" t="s">
        <v>1040</v>
      </c>
      <c r="B1" s="1939"/>
      <c r="C1" s="1939"/>
      <c r="D1" s="1939"/>
      <c r="E1" s="1939"/>
      <c r="F1" s="1939"/>
      <c r="G1" s="1939"/>
      <c r="H1" s="1939"/>
      <c r="I1" s="1939"/>
      <c r="J1" s="1939"/>
      <c r="K1" s="1939"/>
      <c r="L1" s="1939"/>
      <c r="M1" s="1939"/>
      <c r="N1" s="1939"/>
      <c r="O1" s="1939"/>
      <c r="P1" s="1939"/>
      <c r="Q1" s="1939"/>
      <c r="R1" s="1939"/>
      <c r="S1" s="1939"/>
      <c r="T1" s="1939"/>
      <c r="U1" s="1939"/>
      <c r="V1" s="1939"/>
      <c r="W1" s="1939"/>
      <c r="X1" s="1939"/>
      <c r="Y1" s="1939"/>
      <c r="Z1" s="1939"/>
      <c r="AA1" s="1939"/>
      <c r="AB1" s="1939"/>
      <c r="AC1" s="1939"/>
      <c r="AD1" s="1939"/>
      <c r="AE1" s="1939"/>
      <c r="AF1" s="1939"/>
      <c r="AG1" s="1939"/>
      <c r="AH1" s="1939"/>
      <c r="AI1" s="1939"/>
      <c r="AJ1" s="1939"/>
    </row>
    <row r="2" spans="1:36" ht="16">
      <c r="A2" s="1941" t="s">
        <v>857</v>
      </c>
      <c r="B2" s="1939"/>
      <c r="C2" s="1939"/>
      <c r="D2" s="1939"/>
      <c r="E2" s="1939"/>
      <c r="F2" s="1939"/>
      <c r="G2" s="1939"/>
      <c r="H2" s="1939"/>
      <c r="I2" s="1939"/>
      <c r="J2" s="1939"/>
      <c r="K2" s="1939"/>
      <c r="L2" s="1939"/>
      <c r="M2" s="1939"/>
      <c r="N2" s="1939"/>
      <c r="O2" s="1939"/>
      <c r="P2" s="1939"/>
      <c r="Q2" s="1939"/>
      <c r="R2" s="1939"/>
      <c r="S2" s="1939"/>
      <c r="T2" s="1939"/>
      <c r="U2" s="1939"/>
      <c r="V2" s="1939"/>
      <c r="W2" s="1939"/>
      <c r="X2" s="1939"/>
      <c r="Y2" s="1939"/>
      <c r="Z2" s="1939"/>
      <c r="AA2" s="1939"/>
      <c r="AB2" s="1939"/>
      <c r="AC2" s="1939"/>
      <c r="AD2" s="1939"/>
      <c r="AE2" s="1939"/>
      <c r="AF2" s="1939"/>
      <c r="AG2" s="1939"/>
      <c r="AH2" s="1939"/>
      <c r="AI2" s="1939"/>
      <c r="AJ2" s="1939"/>
    </row>
    <row r="3" spans="1:36" ht="15">
      <c r="A3" s="1939" t="s">
        <v>160</v>
      </c>
      <c r="B3" s="1939"/>
      <c r="C3" s="1939"/>
      <c r="D3" s="1939"/>
      <c r="E3" s="1939"/>
      <c r="F3" s="1939"/>
      <c r="G3" s="1939"/>
      <c r="H3" s="1939"/>
      <c r="I3" s="1939"/>
      <c r="J3" s="1939"/>
      <c r="K3" s="1939"/>
      <c r="L3" s="1939"/>
      <c r="M3" s="1939"/>
      <c r="N3" s="1939"/>
      <c r="O3" s="1939"/>
      <c r="P3" s="1939"/>
      <c r="Q3" s="1939"/>
      <c r="R3" s="1939"/>
      <c r="S3" s="1939"/>
      <c r="T3" s="1939"/>
      <c r="U3" s="1939"/>
      <c r="V3" s="1939"/>
      <c r="W3" s="1939"/>
      <c r="X3" s="1939"/>
      <c r="Y3" s="1939"/>
      <c r="Z3" s="1939"/>
      <c r="AA3" s="1939"/>
      <c r="AB3" s="1939"/>
      <c r="AC3" s="1939"/>
      <c r="AD3" s="1939"/>
      <c r="AE3" s="1939"/>
      <c r="AF3" s="1939"/>
      <c r="AG3" s="1939"/>
      <c r="AH3" s="1939"/>
      <c r="AI3" s="1939"/>
      <c r="AJ3" s="1939"/>
    </row>
    <row r="4" spans="1:36" ht="15">
      <c r="A4" s="1939" t="s">
        <v>701</v>
      </c>
      <c r="B4" s="1939"/>
      <c r="C4" s="1939"/>
      <c r="D4" s="1939"/>
      <c r="E4" s="1939"/>
      <c r="F4" s="1939"/>
      <c r="G4" s="1939"/>
      <c r="H4" s="1939"/>
      <c r="I4" s="1939"/>
      <c r="J4" s="1939"/>
      <c r="K4" s="1939"/>
      <c r="L4" s="1939"/>
      <c r="M4" s="1939"/>
      <c r="N4" s="1939"/>
      <c r="O4" s="1939"/>
      <c r="P4" s="1939"/>
      <c r="Q4" s="1939"/>
      <c r="R4" s="1939"/>
      <c r="S4" s="1939"/>
      <c r="T4" s="1939"/>
      <c r="U4" s="1939"/>
      <c r="V4" s="1939"/>
      <c r="W4" s="1939"/>
      <c r="X4" s="1939"/>
      <c r="Y4" s="1939"/>
      <c r="Z4" s="1939"/>
      <c r="AA4" s="1939"/>
      <c r="AB4" s="1939"/>
      <c r="AC4" s="1939"/>
      <c r="AD4" s="1939"/>
      <c r="AE4" s="1939"/>
      <c r="AF4" s="1939"/>
      <c r="AG4" s="1939"/>
      <c r="AH4" s="1939"/>
      <c r="AI4" s="1939"/>
      <c r="AJ4" s="1939"/>
    </row>
    <row r="5" spans="1:36" ht="1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row>
    <row r="6" spans="1:36">
      <c r="A6" s="1981" t="s">
        <v>0</v>
      </c>
      <c r="B6" s="1981" t="s">
        <v>1041</v>
      </c>
      <c r="C6" s="1981"/>
      <c r="D6" s="1981"/>
      <c r="E6" s="1981"/>
      <c r="F6" s="1981"/>
      <c r="G6" s="1981"/>
      <c r="H6" s="1981"/>
      <c r="I6" s="1981"/>
      <c r="J6" s="1981"/>
      <c r="K6" s="1981"/>
      <c r="L6" s="1981"/>
      <c r="M6" s="1981"/>
      <c r="N6" s="1981"/>
      <c r="O6" s="1981"/>
      <c r="P6" s="1981"/>
      <c r="Q6" s="1981"/>
      <c r="R6" s="1981"/>
      <c r="S6" s="1981"/>
      <c r="T6" s="1981"/>
      <c r="U6" s="1981"/>
      <c r="V6" s="1981"/>
      <c r="W6" s="1981"/>
      <c r="X6" s="1981"/>
      <c r="Y6" s="1981"/>
      <c r="Z6" s="1981"/>
      <c r="AA6" s="1981"/>
      <c r="AB6" s="1981"/>
      <c r="AC6" s="1981"/>
      <c r="AD6" s="1981"/>
      <c r="AE6" s="1981"/>
      <c r="AF6" s="1981"/>
      <c r="AG6" s="1981"/>
      <c r="AH6" s="1981"/>
      <c r="AI6" s="1981"/>
      <c r="AJ6" s="1981"/>
    </row>
    <row r="7" spans="1:36">
      <c r="A7" s="1981"/>
      <c r="B7" s="264" t="s">
        <v>105</v>
      </c>
      <c r="C7" s="264" t="s">
        <v>104</v>
      </c>
      <c r="D7" s="264" t="s">
        <v>103</v>
      </c>
      <c r="E7" s="264" t="s">
        <v>102</v>
      </c>
      <c r="F7" s="264" t="s">
        <v>101</v>
      </c>
      <c r="G7" s="264" t="s">
        <v>100</v>
      </c>
      <c r="H7" s="264" t="s">
        <v>99</v>
      </c>
      <c r="I7" s="264" t="s">
        <v>98</v>
      </c>
      <c r="J7" s="264" t="s">
        <v>97</v>
      </c>
      <c r="K7" s="264" t="s">
        <v>96</v>
      </c>
      <c r="L7" s="264" t="s">
        <v>95</v>
      </c>
      <c r="M7" s="264" t="s">
        <v>94</v>
      </c>
      <c r="N7" s="264" t="s">
        <v>93</v>
      </c>
      <c r="O7" s="264" t="s">
        <v>92</v>
      </c>
      <c r="P7" s="264" t="s">
        <v>91</v>
      </c>
      <c r="Q7" s="264" t="s">
        <v>90</v>
      </c>
      <c r="R7" s="264" t="s">
        <v>89</v>
      </c>
      <c r="S7" s="264" t="s">
        <v>88</v>
      </c>
      <c r="T7" s="264" t="s">
        <v>87</v>
      </c>
      <c r="U7" s="264" t="s">
        <v>86</v>
      </c>
      <c r="V7" s="264" t="s">
        <v>85</v>
      </c>
      <c r="W7" s="264" t="s">
        <v>84</v>
      </c>
      <c r="X7" s="264" t="s">
        <v>83</v>
      </c>
      <c r="Y7" s="264" t="s">
        <v>82</v>
      </c>
      <c r="Z7" s="264" t="s">
        <v>81</v>
      </c>
      <c r="AA7" s="264" t="s">
        <v>80</v>
      </c>
      <c r="AB7" s="264" t="s">
        <v>79</v>
      </c>
      <c r="AC7" s="264" t="s">
        <v>78</v>
      </c>
      <c r="AD7" s="264" t="s">
        <v>77</v>
      </c>
      <c r="AE7" s="264" t="s">
        <v>76</v>
      </c>
      <c r="AF7" s="264" t="s">
        <v>75</v>
      </c>
      <c r="AG7" s="264" t="s">
        <v>74</v>
      </c>
      <c r="AH7" s="264" t="s">
        <v>866</v>
      </c>
      <c r="AI7" s="264" t="s">
        <v>865</v>
      </c>
      <c r="AJ7" s="264" t="s">
        <v>864</v>
      </c>
    </row>
    <row r="8" spans="1:36" ht="15">
      <c r="A8" s="263" t="s">
        <v>511</v>
      </c>
      <c r="B8" s="263">
        <v>4806</v>
      </c>
      <c r="C8" s="263">
        <v>13680</v>
      </c>
      <c r="D8" s="263">
        <v>17607</v>
      </c>
      <c r="E8" s="263">
        <v>14165</v>
      </c>
      <c r="F8" s="263">
        <v>9669</v>
      </c>
      <c r="G8" s="263">
        <v>18454</v>
      </c>
      <c r="H8" s="263">
        <v>14073</v>
      </c>
      <c r="I8" s="263">
        <v>12697</v>
      </c>
      <c r="J8" s="263">
        <v>21436</v>
      </c>
      <c r="K8" s="263">
        <v>18327</v>
      </c>
      <c r="L8" s="263">
        <v>16294</v>
      </c>
      <c r="M8" s="263">
        <v>30014</v>
      </c>
      <c r="N8" s="263">
        <v>24088</v>
      </c>
      <c r="O8" s="263">
        <v>47233</v>
      </c>
      <c r="P8" s="263">
        <v>47233</v>
      </c>
      <c r="Q8" s="263">
        <v>48978</v>
      </c>
      <c r="R8" s="263">
        <v>32522</v>
      </c>
      <c r="S8" s="263">
        <v>48708</v>
      </c>
      <c r="T8" s="263">
        <v>77018</v>
      </c>
      <c r="U8" s="263">
        <v>52307</v>
      </c>
      <c r="V8" s="263">
        <v>65756</v>
      </c>
      <c r="W8" s="263">
        <v>100478</v>
      </c>
      <c r="X8" s="263">
        <v>141589</v>
      </c>
      <c r="Y8" s="263">
        <v>-31182</v>
      </c>
      <c r="Z8" s="263">
        <v>196640</v>
      </c>
      <c r="AA8" s="263">
        <v>210007</v>
      </c>
      <c r="AB8" s="263">
        <v>212308</v>
      </c>
      <c r="AC8" s="263">
        <v>204942</v>
      </c>
      <c r="AD8" s="263">
        <v>279188</v>
      </c>
      <c r="AE8" s="263">
        <v>289914</v>
      </c>
      <c r="AF8" s="263">
        <v>263820</v>
      </c>
      <c r="AG8" s="263">
        <v>296558</v>
      </c>
      <c r="AH8" s="263">
        <v>292804</v>
      </c>
      <c r="AI8" s="263">
        <v>271823</v>
      </c>
      <c r="AJ8" s="263">
        <v>278779</v>
      </c>
    </row>
    <row r="9" spans="1:36" ht="15">
      <c r="A9" s="263" t="s">
        <v>510</v>
      </c>
      <c r="B9" s="263">
        <v>671</v>
      </c>
      <c r="C9" s="263">
        <v>3673</v>
      </c>
      <c r="D9" s="263">
        <v>3646</v>
      </c>
      <c r="E9" s="263">
        <v>2846</v>
      </c>
      <c r="F9" s="263">
        <v>1813</v>
      </c>
      <c r="G9" s="263">
        <v>3112</v>
      </c>
      <c r="H9" s="263">
        <v>2341</v>
      </c>
      <c r="I9" s="263">
        <v>2268</v>
      </c>
      <c r="J9" s="263">
        <v>288</v>
      </c>
      <c r="K9" s="263">
        <v>461</v>
      </c>
      <c r="L9" s="263">
        <v>-36</v>
      </c>
      <c r="M9" s="263">
        <v>1730</v>
      </c>
      <c r="N9" s="263">
        <v>3529</v>
      </c>
      <c r="O9" s="263">
        <v>6731</v>
      </c>
      <c r="P9" s="263">
        <v>5961</v>
      </c>
      <c r="Q9" s="263">
        <v>5876</v>
      </c>
      <c r="R9" s="263">
        <v>2648</v>
      </c>
      <c r="S9" s="263">
        <v>5916</v>
      </c>
      <c r="T9" s="263">
        <v>12251</v>
      </c>
      <c r="U9" s="263">
        <v>7360</v>
      </c>
      <c r="V9" s="263">
        <v>7412</v>
      </c>
      <c r="W9" s="263">
        <v>11003</v>
      </c>
      <c r="X9" s="263">
        <v>17619</v>
      </c>
      <c r="Y9" s="263">
        <v>2033</v>
      </c>
      <c r="Z9" s="263">
        <v>15225</v>
      </c>
      <c r="AA9" s="263">
        <v>11140</v>
      </c>
      <c r="AB9" s="263">
        <v>12422</v>
      </c>
      <c r="AC9" s="263">
        <v>7711</v>
      </c>
      <c r="AD9" s="263">
        <v>15857</v>
      </c>
      <c r="AE9" s="263">
        <v>28634</v>
      </c>
      <c r="AF9" s="263">
        <v>26427</v>
      </c>
      <c r="AG9" s="263">
        <v>23433</v>
      </c>
      <c r="AH9" s="263">
        <v>23797</v>
      </c>
      <c r="AI9" s="263">
        <v>11229</v>
      </c>
      <c r="AJ9" s="263">
        <v>12697</v>
      </c>
    </row>
    <row r="10" spans="1:36" ht="15">
      <c r="A10" s="263" t="s">
        <v>2</v>
      </c>
      <c r="B10" s="263">
        <v>1319</v>
      </c>
      <c r="C10" s="263">
        <v>4836</v>
      </c>
      <c r="D10" s="263">
        <v>6801</v>
      </c>
      <c r="E10" s="263">
        <v>7875</v>
      </c>
      <c r="F10" s="263">
        <v>6139</v>
      </c>
      <c r="G10" s="263">
        <v>9244</v>
      </c>
      <c r="H10" s="263">
        <v>5285</v>
      </c>
      <c r="I10" s="263">
        <v>6863</v>
      </c>
      <c r="J10" s="263">
        <v>12347</v>
      </c>
      <c r="K10" s="263">
        <v>9267</v>
      </c>
      <c r="L10" s="263">
        <v>4277</v>
      </c>
      <c r="M10" s="263">
        <v>12454</v>
      </c>
      <c r="N10" s="263">
        <v>7202</v>
      </c>
      <c r="O10" s="263">
        <v>21633</v>
      </c>
      <c r="P10" s="263">
        <v>19334</v>
      </c>
      <c r="Q10" s="263">
        <v>20036</v>
      </c>
      <c r="R10" s="263">
        <v>24290</v>
      </c>
      <c r="S10" s="263">
        <v>30260</v>
      </c>
      <c r="T10" s="263">
        <v>36115</v>
      </c>
      <c r="U10" s="263">
        <v>24524</v>
      </c>
      <c r="V10" s="263">
        <v>39499</v>
      </c>
      <c r="W10" s="263">
        <v>53534</v>
      </c>
      <c r="X10" s="263">
        <v>65944</v>
      </c>
      <c r="Y10" s="263">
        <v>-47085</v>
      </c>
      <c r="Z10" s="263">
        <v>101115</v>
      </c>
      <c r="AA10" s="263">
        <v>116945</v>
      </c>
      <c r="AB10" s="263">
        <v>117689</v>
      </c>
      <c r="AC10" s="263">
        <v>114896</v>
      </c>
      <c r="AD10" s="263">
        <v>140102</v>
      </c>
      <c r="AE10" s="263">
        <v>144022</v>
      </c>
      <c r="AF10" s="263">
        <v>123630</v>
      </c>
      <c r="AG10" s="263">
        <v>157740</v>
      </c>
      <c r="AH10" s="263">
        <v>162891</v>
      </c>
      <c r="AI10" s="263">
        <v>176019</v>
      </c>
      <c r="AJ10" s="263">
        <v>186129</v>
      </c>
    </row>
    <row r="11" spans="1:36" ht="15">
      <c r="A11" s="263" t="s">
        <v>509</v>
      </c>
      <c r="B11" s="263">
        <v>-139</v>
      </c>
      <c r="C11" s="263">
        <v>-21</v>
      </c>
      <c r="D11" s="263">
        <v>34</v>
      </c>
      <c r="E11" s="263">
        <v>21</v>
      </c>
      <c r="F11" s="263">
        <v>-76</v>
      </c>
      <c r="G11" s="263">
        <v>51</v>
      </c>
      <c r="H11" s="263">
        <v>-72</v>
      </c>
      <c r="I11" s="263">
        <v>36</v>
      </c>
      <c r="J11" s="263">
        <v>211</v>
      </c>
      <c r="K11" s="263">
        <v>49</v>
      </c>
      <c r="L11" s="263">
        <v>-13</v>
      </c>
      <c r="M11" s="263">
        <v>88</v>
      </c>
      <c r="N11" s="263">
        <v>53</v>
      </c>
      <c r="O11" s="263">
        <v>278</v>
      </c>
      <c r="P11" s="263">
        <v>-80</v>
      </c>
      <c r="Q11" s="263">
        <v>34</v>
      </c>
      <c r="R11" s="263">
        <v>195</v>
      </c>
      <c r="S11" s="263">
        <v>225</v>
      </c>
      <c r="T11" s="263">
        <v>353</v>
      </c>
      <c r="U11" s="263">
        <v>191</v>
      </c>
      <c r="V11" s="263">
        <v>55</v>
      </c>
      <c r="W11" s="263">
        <v>338</v>
      </c>
      <c r="X11" s="263">
        <v>380</v>
      </c>
      <c r="Y11" s="263">
        <v>-8473</v>
      </c>
      <c r="Z11" s="263">
        <v>474</v>
      </c>
      <c r="AA11" s="263">
        <v>2074</v>
      </c>
      <c r="AB11" s="263">
        <v>1593</v>
      </c>
      <c r="AC11" s="263">
        <v>862</v>
      </c>
      <c r="AD11" s="263">
        <v>1730</v>
      </c>
      <c r="AE11" s="263">
        <v>1849</v>
      </c>
      <c r="AF11" s="263">
        <v>1619</v>
      </c>
      <c r="AG11" s="263" t="s">
        <v>291</v>
      </c>
      <c r="AH11" s="263">
        <v>241</v>
      </c>
      <c r="AI11" s="263" t="s">
        <v>291</v>
      </c>
      <c r="AJ11" s="263">
        <v>2486</v>
      </c>
    </row>
    <row r="12" spans="1:36" ht="15">
      <c r="A12" s="263" t="s">
        <v>508</v>
      </c>
      <c r="B12" s="263">
        <v>216</v>
      </c>
      <c r="C12" s="263">
        <v>251</v>
      </c>
      <c r="D12" s="263">
        <v>327</v>
      </c>
      <c r="E12" s="263">
        <v>305</v>
      </c>
      <c r="F12" s="263">
        <v>476</v>
      </c>
      <c r="G12" s="263">
        <v>797</v>
      </c>
      <c r="H12" s="263">
        <v>756</v>
      </c>
      <c r="I12" s="263">
        <v>198</v>
      </c>
      <c r="J12" s="263">
        <v>817</v>
      </c>
      <c r="K12" s="263">
        <v>823</v>
      </c>
      <c r="L12" s="263">
        <v>380</v>
      </c>
      <c r="M12" s="263">
        <v>289</v>
      </c>
      <c r="N12" s="263">
        <v>636</v>
      </c>
      <c r="O12" s="263">
        <v>1042</v>
      </c>
      <c r="P12" s="263">
        <v>1125</v>
      </c>
      <c r="Q12" s="263">
        <v>176</v>
      </c>
      <c r="R12" s="263">
        <v>911</v>
      </c>
      <c r="S12" s="263">
        <v>806</v>
      </c>
      <c r="T12" s="263">
        <v>772</v>
      </c>
      <c r="U12" s="263">
        <v>1079</v>
      </c>
      <c r="V12" s="263">
        <v>805</v>
      </c>
      <c r="W12" s="263">
        <v>1555</v>
      </c>
      <c r="X12" s="263">
        <v>2634</v>
      </c>
      <c r="Y12" s="263">
        <v>1691</v>
      </c>
      <c r="Z12" s="263">
        <v>2624</v>
      </c>
      <c r="AA12" s="263">
        <v>3511</v>
      </c>
      <c r="AB12" s="263">
        <v>1308</v>
      </c>
      <c r="AC12" s="263">
        <v>1959</v>
      </c>
      <c r="AD12" s="263">
        <v>1682</v>
      </c>
      <c r="AE12" s="263">
        <v>1992</v>
      </c>
      <c r="AF12" s="263">
        <v>-68</v>
      </c>
      <c r="AG12" s="263">
        <v>2348</v>
      </c>
      <c r="AH12" s="263">
        <v>1912</v>
      </c>
      <c r="AI12" s="263">
        <v>2099</v>
      </c>
      <c r="AJ12" s="263" t="s">
        <v>291</v>
      </c>
    </row>
    <row r="13" spans="1:36" ht="15">
      <c r="A13" s="263" t="s">
        <v>507</v>
      </c>
      <c r="B13" s="263" t="s">
        <v>273</v>
      </c>
      <c r="C13" s="263" t="s">
        <v>273</v>
      </c>
      <c r="D13" s="263" t="s">
        <v>273</v>
      </c>
      <c r="E13" s="263" t="s">
        <v>273</v>
      </c>
      <c r="F13" s="263" t="s">
        <v>273</v>
      </c>
      <c r="G13" s="263" t="s">
        <v>273</v>
      </c>
      <c r="H13" s="263" t="s">
        <v>273</v>
      </c>
      <c r="I13" s="263" t="s">
        <v>273</v>
      </c>
      <c r="J13" s="263" t="s">
        <v>273</v>
      </c>
      <c r="K13" s="263" t="s">
        <v>273</v>
      </c>
      <c r="L13" s="263" t="s">
        <v>273</v>
      </c>
      <c r="M13" s="263" t="s">
        <v>273</v>
      </c>
      <c r="N13" s="263" t="s">
        <v>273</v>
      </c>
      <c r="O13" s="263" t="s">
        <v>273</v>
      </c>
      <c r="P13" s="263" t="s">
        <v>273</v>
      </c>
      <c r="Q13" s="263" t="s">
        <v>273</v>
      </c>
      <c r="R13" s="263" t="s">
        <v>273</v>
      </c>
      <c r="S13" s="263">
        <v>1</v>
      </c>
      <c r="T13" s="263">
        <v>60</v>
      </c>
      <c r="U13" s="263">
        <v>37</v>
      </c>
      <c r="V13" s="263">
        <v>16</v>
      </c>
      <c r="W13" s="263">
        <v>80</v>
      </c>
      <c r="X13" s="263">
        <v>286</v>
      </c>
      <c r="Y13" s="263">
        <v>142</v>
      </c>
      <c r="Z13" s="263">
        <v>461</v>
      </c>
      <c r="AA13" s="263">
        <v>494</v>
      </c>
      <c r="AB13" s="263">
        <v>485</v>
      </c>
      <c r="AC13" s="263">
        <v>-43</v>
      </c>
      <c r="AD13" s="263">
        <v>699</v>
      </c>
      <c r="AE13" s="263">
        <v>613</v>
      </c>
      <c r="AF13" s="263">
        <v>482</v>
      </c>
      <c r="AG13" s="263" t="s">
        <v>291</v>
      </c>
      <c r="AH13" s="263" t="s">
        <v>291</v>
      </c>
      <c r="AI13" s="263" t="s">
        <v>291</v>
      </c>
      <c r="AJ13" s="263" t="s">
        <v>291</v>
      </c>
    </row>
    <row r="14" spans="1:36" ht="15">
      <c r="A14" s="263" t="s">
        <v>506</v>
      </c>
      <c r="B14" s="263">
        <v>59</v>
      </c>
      <c r="C14" s="263">
        <v>118</v>
      </c>
      <c r="D14" s="263">
        <v>119</v>
      </c>
      <c r="E14" s="263">
        <v>110</v>
      </c>
      <c r="F14" s="263">
        <v>23</v>
      </c>
      <c r="G14" s="263">
        <v>7</v>
      </c>
      <c r="H14" s="263">
        <v>-1</v>
      </c>
      <c r="I14" s="263">
        <v>5</v>
      </c>
      <c r="J14" s="263">
        <v>61</v>
      </c>
      <c r="K14" s="263">
        <v>152</v>
      </c>
      <c r="L14" s="263">
        <v>-72</v>
      </c>
      <c r="M14" s="263">
        <v>50</v>
      </c>
      <c r="N14" s="263">
        <v>14</v>
      </c>
      <c r="O14" s="263">
        <v>170</v>
      </c>
      <c r="P14" s="263">
        <v>-110</v>
      </c>
      <c r="Q14" s="263">
        <v>-64</v>
      </c>
      <c r="R14" s="263">
        <v>99</v>
      </c>
      <c r="S14" s="263">
        <v>352</v>
      </c>
      <c r="T14" s="263">
        <v>283</v>
      </c>
      <c r="U14" s="263">
        <v>420</v>
      </c>
      <c r="V14" s="263">
        <v>431</v>
      </c>
      <c r="W14" s="263">
        <v>-160</v>
      </c>
      <c r="X14" s="263">
        <v>669</v>
      </c>
      <c r="Y14" s="263">
        <v>548</v>
      </c>
      <c r="Z14" s="263">
        <v>189</v>
      </c>
      <c r="AA14" s="263">
        <v>403</v>
      </c>
      <c r="AB14" s="263">
        <v>894</v>
      </c>
      <c r="AC14" s="263">
        <v>1111</v>
      </c>
      <c r="AD14" s="263">
        <v>1177</v>
      </c>
      <c r="AE14" s="263">
        <v>-139</v>
      </c>
      <c r="AF14" s="263">
        <v>280</v>
      </c>
      <c r="AG14" s="263">
        <v>-139</v>
      </c>
      <c r="AH14" s="263">
        <v>539</v>
      </c>
      <c r="AI14" s="263">
        <v>131</v>
      </c>
      <c r="AJ14" s="263" t="s">
        <v>291</v>
      </c>
    </row>
    <row r="15" spans="1:36" ht="15">
      <c r="A15" s="263" t="s">
        <v>505</v>
      </c>
      <c r="B15" s="263">
        <v>13</v>
      </c>
      <c r="C15" s="263">
        <v>26</v>
      </c>
      <c r="D15" s="263">
        <v>9</v>
      </c>
      <c r="E15" s="263">
        <v>53</v>
      </c>
      <c r="F15" s="263">
        <v>19</v>
      </c>
      <c r="G15" s="263">
        <v>40</v>
      </c>
      <c r="H15" s="263">
        <v>14</v>
      </c>
      <c r="I15" s="263">
        <v>2</v>
      </c>
      <c r="J15" s="263">
        <v>3</v>
      </c>
      <c r="K15" s="263">
        <v>-49</v>
      </c>
      <c r="L15" s="263">
        <v>16</v>
      </c>
      <c r="M15" s="263">
        <v>1</v>
      </c>
      <c r="N15" s="263">
        <v>15</v>
      </c>
      <c r="O15" s="263">
        <v>150</v>
      </c>
      <c r="P15" s="263">
        <v>170</v>
      </c>
      <c r="Q15" s="263">
        <v>271</v>
      </c>
      <c r="R15" s="263">
        <v>274</v>
      </c>
      <c r="S15" s="263">
        <v>180</v>
      </c>
      <c r="T15" s="263">
        <v>124</v>
      </c>
      <c r="U15" s="263">
        <v>258</v>
      </c>
      <c r="V15" s="263">
        <v>151</v>
      </c>
      <c r="W15" s="263">
        <v>331</v>
      </c>
      <c r="X15" s="263">
        <v>271</v>
      </c>
      <c r="Y15" s="263">
        <v>292</v>
      </c>
      <c r="Z15" s="263">
        <v>180</v>
      </c>
      <c r="AA15" s="263">
        <v>185</v>
      </c>
      <c r="AB15" s="263">
        <v>162</v>
      </c>
      <c r="AC15" s="263">
        <v>-18</v>
      </c>
      <c r="AD15" s="263">
        <v>62</v>
      </c>
      <c r="AE15" s="263">
        <v>91</v>
      </c>
      <c r="AF15" s="263">
        <v>15</v>
      </c>
      <c r="AG15" s="263" t="s">
        <v>291</v>
      </c>
      <c r="AH15" s="263" t="s">
        <v>291</v>
      </c>
      <c r="AI15" s="263" t="s">
        <v>291</v>
      </c>
      <c r="AJ15" s="263" t="s">
        <v>291</v>
      </c>
    </row>
    <row r="16" spans="1:36" ht="15">
      <c r="A16" s="263" t="s">
        <v>504</v>
      </c>
      <c r="B16" s="263">
        <v>-175</v>
      </c>
      <c r="C16" s="263">
        <v>119</v>
      </c>
      <c r="D16" s="263">
        <v>255</v>
      </c>
      <c r="E16" s="263">
        <v>540</v>
      </c>
      <c r="F16" s="263">
        <v>514</v>
      </c>
      <c r="G16" s="263">
        <v>420</v>
      </c>
      <c r="H16" s="263">
        <v>878</v>
      </c>
      <c r="I16" s="263">
        <v>817</v>
      </c>
      <c r="J16" s="263">
        <v>758</v>
      </c>
      <c r="K16" s="263">
        <v>1191</v>
      </c>
      <c r="L16" s="263">
        <v>322</v>
      </c>
      <c r="M16" s="263">
        <v>-180</v>
      </c>
      <c r="N16" s="263">
        <v>-612</v>
      </c>
      <c r="O16" s="263">
        <v>1189</v>
      </c>
      <c r="P16" s="263">
        <v>1497</v>
      </c>
      <c r="Q16" s="263">
        <v>1045</v>
      </c>
      <c r="R16" s="263">
        <v>569</v>
      </c>
      <c r="S16" s="263">
        <v>-57</v>
      </c>
      <c r="T16" s="263">
        <v>603</v>
      </c>
      <c r="U16" s="263">
        <v>309</v>
      </c>
      <c r="V16" s="263">
        <v>1438</v>
      </c>
      <c r="W16" s="263">
        <v>2693</v>
      </c>
      <c r="X16" s="263">
        <v>2257</v>
      </c>
      <c r="Y16" s="263">
        <v>1120</v>
      </c>
      <c r="Z16" s="263">
        <v>4651</v>
      </c>
      <c r="AA16" s="263">
        <v>3890</v>
      </c>
      <c r="AB16" s="263">
        <v>3734</v>
      </c>
      <c r="AC16" s="263">
        <v>282</v>
      </c>
      <c r="AD16" s="263">
        <v>2629</v>
      </c>
      <c r="AE16" s="263">
        <v>1130</v>
      </c>
      <c r="AF16" s="263">
        <v>748</v>
      </c>
      <c r="AG16" s="263">
        <v>1570</v>
      </c>
      <c r="AH16" s="263">
        <v>2165</v>
      </c>
      <c r="AI16" s="263">
        <v>724</v>
      </c>
      <c r="AJ16" s="263">
        <v>1767</v>
      </c>
    </row>
    <row r="17" spans="1:36" ht="15">
      <c r="A17" s="263" t="s">
        <v>503</v>
      </c>
      <c r="B17" s="263">
        <v>-136</v>
      </c>
      <c r="C17" s="263">
        <v>619</v>
      </c>
      <c r="D17" s="263">
        <v>270</v>
      </c>
      <c r="E17" s="263">
        <v>1068</v>
      </c>
      <c r="F17" s="263">
        <v>1148</v>
      </c>
      <c r="G17" s="263">
        <v>1556</v>
      </c>
      <c r="H17" s="263">
        <v>49</v>
      </c>
      <c r="I17" s="263">
        <v>1533</v>
      </c>
      <c r="J17" s="263">
        <v>1252</v>
      </c>
      <c r="K17" s="263">
        <v>2471</v>
      </c>
      <c r="L17" s="263">
        <v>-396</v>
      </c>
      <c r="M17" s="263">
        <v>1056</v>
      </c>
      <c r="N17" s="263">
        <v>-455</v>
      </c>
      <c r="O17" s="263">
        <v>1456</v>
      </c>
      <c r="P17" s="263">
        <v>173</v>
      </c>
      <c r="Q17" s="263">
        <v>1599</v>
      </c>
      <c r="R17" s="263">
        <v>828</v>
      </c>
      <c r="S17" s="263">
        <v>1456</v>
      </c>
      <c r="T17" s="263">
        <v>965</v>
      </c>
      <c r="U17" s="263">
        <v>1043</v>
      </c>
      <c r="V17" s="263">
        <v>482</v>
      </c>
      <c r="W17" s="263">
        <v>2313</v>
      </c>
      <c r="X17" s="263">
        <v>3321</v>
      </c>
      <c r="Y17" s="263">
        <v>3524</v>
      </c>
      <c r="Z17" s="263">
        <v>4986</v>
      </c>
      <c r="AA17" s="263">
        <v>6676</v>
      </c>
      <c r="AB17" s="263">
        <v>4909</v>
      </c>
      <c r="AC17" s="263">
        <v>659</v>
      </c>
      <c r="AD17" s="263">
        <v>4061</v>
      </c>
      <c r="AE17" s="263">
        <v>2718</v>
      </c>
      <c r="AF17" s="263">
        <v>1186</v>
      </c>
      <c r="AG17" s="263">
        <v>-620</v>
      </c>
      <c r="AH17" s="263">
        <v>936</v>
      </c>
      <c r="AI17" s="263">
        <v>1701</v>
      </c>
      <c r="AJ17" s="263">
        <v>2448</v>
      </c>
    </row>
    <row r="18" spans="1:36" ht="15">
      <c r="A18" s="263" t="s">
        <v>502</v>
      </c>
      <c r="B18" s="263">
        <v>3</v>
      </c>
      <c r="C18" s="263">
        <v>-11</v>
      </c>
      <c r="D18" s="263">
        <v>-44</v>
      </c>
      <c r="E18" s="263">
        <v>-43</v>
      </c>
      <c r="F18" s="263">
        <v>-73</v>
      </c>
      <c r="G18" s="263">
        <v>-4</v>
      </c>
      <c r="H18" s="263">
        <v>35</v>
      </c>
      <c r="I18" s="263">
        <v>12</v>
      </c>
      <c r="J18" s="263">
        <v>28</v>
      </c>
      <c r="K18" s="263">
        <v>-31</v>
      </c>
      <c r="L18" s="263">
        <v>43</v>
      </c>
      <c r="M18" s="263">
        <v>18</v>
      </c>
      <c r="N18" s="263">
        <v>13</v>
      </c>
      <c r="O18" s="263">
        <v>11</v>
      </c>
      <c r="P18" s="263">
        <v>30</v>
      </c>
      <c r="Q18" s="263">
        <v>76</v>
      </c>
      <c r="R18" s="263">
        <v>8</v>
      </c>
      <c r="S18" s="263">
        <v>34</v>
      </c>
      <c r="T18" s="263">
        <v>24</v>
      </c>
      <c r="U18" s="263">
        <v>58</v>
      </c>
      <c r="V18" s="263">
        <v>37</v>
      </c>
      <c r="W18" s="263">
        <v>71</v>
      </c>
      <c r="X18" s="263">
        <v>164</v>
      </c>
      <c r="Y18" s="263">
        <v>155</v>
      </c>
      <c r="Z18" s="263">
        <v>140</v>
      </c>
      <c r="AA18" s="263">
        <v>153</v>
      </c>
      <c r="AB18" s="263">
        <v>14</v>
      </c>
      <c r="AC18" s="263">
        <v>-135</v>
      </c>
      <c r="AD18" s="263">
        <v>-337</v>
      </c>
      <c r="AE18" s="263">
        <v>-260</v>
      </c>
      <c r="AF18" s="263">
        <v>-195</v>
      </c>
      <c r="AG18" s="263">
        <v>-218</v>
      </c>
      <c r="AH18" s="263" t="s">
        <v>291</v>
      </c>
      <c r="AI18" s="263" t="s">
        <v>291</v>
      </c>
      <c r="AJ18" s="263">
        <v>75</v>
      </c>
    </row>
    <row r="19" spans="1:36" ht="15">
      <c r="A19" s="263" t="s">
        <v>501</v>
      </c>
      <c r="B19" s="263" t="s">
        <v>273</v>
      </c>
      <c r="C19" s="263" t="s">
        <v>273</v>
      </c>
      <c r="D19" s="263" t="s">
        <v>273</v>
      </c>
      <c r="E19" s="263" t="s">
        <v>273</v>
      </c>
      <c r="F19" s="263" t="s">
        <v>273</v>
      </c>
      <c r="G19" s="263" t="s">
        <v>273</v>
      </c>
      <c r="H19" s="263" t="s">
        <v>273</v>
      </c>
      <c r="I19" s="263" t="s">
        <v>273</v>
      </c>
      <c r="J19" s="263" t="s">
        <v>273</v>
      </c>
      <c r="K19" s="263" t="s">
        <v>273</v>
      </c>
      <c r="L19" s="263" t="s">
        <v>273</v>
      </c>
      <c r="M19" s="263" t="s">
        <v>273</v>
      </c>
      <c r="N19" s="263" t="s">
        <v>273</v>
      </c>
      <c r="O19" s="263" t="s">
        <v>273</v>
      </c>
      <c r="P19" s="263" t="s">
        <v>273</v>
      </c>
      <c r="Q19" s="263" t="s">
        <v>273</v>
      </c>
      <c r="R19" s="263" t="s">
        <v>273</v>
      </c>
      <c r="S19" s="263">
        <v>403</v>
      </c>
      <c r="T19" s="263">
        <v>326</v>
      </c>
      <c r="U19" s="263">
        <v>236</v>
      </c>
      <c r="V19" s="263">
        <v>261</v>
      </c>
      <c r="W19" s="263">
        <v>356</v>
      </c>
      <c r="X19" s="263">
        <v>332</v>
      </c>
      <c r="Y19" s="263">
        <v>-117</v>
      </c>
      <c r="Z19" s="263">
        <v>163</v>
      </c>
      <c r="AA19" s="263">
        <v>929</v>
      </c>
      <c r="AB19" s="263">
        <v>464</v>
      </c>
      <c r="AC19" s="263">
        <v>47</v>
      </c>
      <c r="AD19" s="263">
        <v>231</v>
      </c>
      <c r="AE19" s="263">
        <v>394</v>
      </c>
      <c r="AF19" s="263">
        <v>517</v>
      </c>
      <c r="AG19" s="263" t="s">
        <v>291</v>
      </c>
      <c r="AH19" s="263">
        <v>294</v>
      </c>
      <c r="AI19" s="263" t="s">
        <v>291</v>
      </c>
      <c r="AJ19" s="263" t="s">
        <v>291</v>
      </c>
    </row>
    <row r="20" spans="1:36" ht="15">
      <c r="A20" s="263" t="s">
        <v>500</v>
      </c>
      <c r="B20" s="263">
        <v>202</v>
      </c>
      <c r="C20" s="263">
        <v>394</v>
      </c>
      <c r="D20" s="263">
        <v>447</v>
      </c>
      <c r="E20" s="263">
        <v>589</v>
      </c>
      <c r="F20" s="263">
        <v>654</v>
      </c>
      <c r="G20" s="263">
        <v>767</v>
      </c>
      <c r="H20" s="263">
        <v>668</v>
      </c>
      <c r="I20" s="263">
        <v>599</v>
      </c>
      <c r="J20" s="263">
        <v>781</v>
      </c>
      <c r="K20" s="263">
        <v>1145</v>
      </c>
      <c r="L20" s="263">
        <v>1280</v>
      </c>
      <c r="M20" s="263">
        <v>1217</v>
      </c>
      <c r="N20" s="263">
        <v>910</v>
      </c>
      <c r="O20" s="263">
        <v>1733</v>
      </c>
      <c r="P20" s="263">
        <v>1403</v>
      </c>
      <c r="Q20" s="263">
        <v>1088</v>
      </c>
      <c r="R20" s="263">
        <v>3696</v>
      </c>
      <c r="S20" s="263">
        <v>3073</v>
      </c>
      <c r="T20" s="263">
        <v>4345</v>
      </c>
      <c r="U20" s="263">
        <v>3856</v>
      </c>
      <c r="V20" s="263">
        <v>4927</v>
      </c>
      <c r="W20" s="263">
        <v>7394</v>
      </c>
      <c r="X20" s="263">
        <v>7712</v>
      </c>
      <c r="Y20" s="263">
        <v>-3257</v>
      </c>
      <c r="Z20" s="263">
        <v>6501</v>
      </c>
      <c r="AA20" s="263">
        <v>6469</v>
      </c>
      <c r="AB20" s="263">
        <v>22366</v>
      </c>
      <c r="AC20" s="263">
        <v>21856</v>
      </c>
      <c r="AD20" s="263">
        <v>23685</v>
      </c>
      <c r="AE20" s="263">
        <v>27989</v>
      </c>
      <c r="AF20" s="263">
        <v>35921</v>
      </c>
      <c r="AG20" s="263">
        <v>32526</v>
      </c>
      <c r="AH20" s="263">
        <v>37020</v>
      </c>
      <c r="AI20" s="263">
        <v>50727</v>
      </c>
      <c r="AJ20" s="263">
        <v>48050</v>
      </c>
    </row>
    <row r="21" spans="1:36" ht="15">
      <c r="A21" s="263" t="s">
        <v>499</v>
      </c>
      <c r="B21" s="263">
        <v>190</v>
      </c>
      <c r="C21" s="263">
        <v>472</v>
      </c>
      <c r="D21" s="263">
        <v>517</v>
      </c>
      <c r="E21" s="263">
        <v>732</v>
      </c>
      <c r="F21" s="263">
        <v>1146</v>
      </c>
      <c r="G21" s="263">
        <v>634</v>
      </c>
      <c r="H21" s="263">
        <v>632</v>
      </c>
      <c r="I21" s="263">
        <v>264</v>
      </c>
      <c r="J21" s="263">
        <v>1084</v>
      </c>
      <c r="K21" s="263">
        <v>1230</v>
      </c>
      <c r="L21" s="263">
        <v>745</v>
      </c>
      <c r="M21" s="263">
        <v>748</v>
      </c>
      <c r="N21" s="263">
        <v>798</v>
      </c>
      <c r="O21" s="263">
        <v>1216</v>
      </c>
      <c r="P21" s="263">
        <v>-251</v>
      </c>
      <c r="Q21" s="263">
        <v>192</v>
      </c>
      <c r="R21" s="263">
        <v>349</v>
      </c>
      <c r="S21" s="263">
        <v>1343</v>
      </c>
      <c r="T21" s="263">
        <v>1688</v>
      </c>
      <c r="U21" s="263">
        <v>991</v>
      </c>
      <c r="V21" s="263">
        <v>1023</v>
      </c>
      <c r="W21" s="263">
        <v>1835</v>
      </c>
      <c r="X21" s="263">
        <v>60</v>
      </c>
      <c r="Y21" s="263">
        <v>-746</v>
      </c>
      <c r="Z21" s="263">
        <v>2476</v>
      </c>
      <c r="AA21" s="263">
        <v>2076</v>
      </c>
      <c r="AB21" s="263">
        <v>1207</v>
      </c>
      <c r="AC21" s="263">
        <v>792</v>
      </c>
      <c r="AD21" s="263">
        <v>537</v>
      </c>
      <c r="AE21" s="263">
        <v>841</v>
      </c>
      <c r="AF21" s="263">
        <v>593</v>
      </c>
      <c r="AG21" s="263">
        <v>164</v>
      </c>
      <c r="AH21" s="263">
        <v>1009</v>
      </c>
      <c r="AI21" s="263">
        <v>907</v>
      </c>
      <c r="AJ21" s="263">
        <v>1410</v>
      </c>
    </row>
    <row r="22" spans="1:36" ht="15">
      <c r="A22" s="263" t="s">
        <v>498</v>
      </c>
      <c r="B22" s="263">
        <v>125</v>
      </c>
      <c r="C22" s="263">
        <v>159</v>
      </c>
      <c r="D22" s="263">
        <v>109</v>
      </c>
      <c r="E22" s="263">
        <v>11</v>
      </c>
      <c r="F22" s="263">
        <v>94</v>
      </c>
      <c r="G22" s="263">
        <v>-6</v>
      </c>
      <c r="H22" s="263">
        <v>75</v>
      </c>
      <c r="I22" s="263">
        <v>96</v>
      </c>
      <c r="J22" s="263">
        <v>-90</v>
      </c>
      <c r="K22" s="263">
        <v>126</v>
      </c>
      <c r="L22" s="263">
        <v>145</v>
      </c>
      <c r="M22" s="263">
        <v>334</v>
      </c>
      <c r="N22" s="263">
        <v>609</v>
      </c>
      <c r="O22" s="263">
        <v>669</v>
      </c>
      <c r="P22" s="263">
        <v>1019</v>
      </c>
      <c r="Q22" s="263">
        <v>1249</v>
      </c>
      <c r="R22" s="263">
        <v>803</v>
      </c>
      <c r="S22" s="263">
        <v>2730</v>
      </c>
      <c r="T22" s="263">
        <v>2535</v>
      </c>
      <c r="U22" s="263">
        <v>3094</v>
      </c>
      <c r="V22" s="263">
        <v>6125</v>
      </c>
      <c r="W22" s="263">
        <v>3169</v>
      </c>
      <c r="X22" s="263">
        <v>2840</v>
      </c>
      <c r="Y22" s="263">
        <v>-5953</v>
      </c>
      <c r="Z22" s="263">
        <v>15385</v>
      </c>
      <c r="AA22" s="263">
        <v>17069</v>
      </c>
      <c r="AB22" s="263">
        <v>19050</v>
      </c>
      <c r="AC22" s="263">
        <v>15960</v>
      </c>
      <c r="AD22" s="263">
        <v>25467</v>
      </c>
      <c r="AE22" s="263">
        <v>19739</v>
      </c>
      <c r="AF22" s="263">
        <v>13100</v>
      </c>
      <c r="AG22" s="263">
        <v>25848</v>
      </c>
      <c r="AH22" s="263">
        <v>29427</v>
      </c>
      <c r="AI22" s="263">
        <v>21057</v>
      </c>
      <c r="AJ22" s="263">
        <v>26170</v>
      </c>
    </row>
    <row r="23" spans="1:36" ht="15">
      <c r="A23" s="263" t="s">
        <v>497</v>
      </c>
      <c r="B23" s="263">
        <v>-160</v>
      </c>
      <c r="C23" s="263">
        <v>733</v>
      </c>
      <c r="D23" s="263">
        <v>429</v>
      </c>
      <c r="E23" s="263">
        <v>749</v>
      </c>
      <c r="F23" s="263">
        <v>1835</v>
      </c>
      <c r="G23" s="263">
        <v>1212</v>
      </c>
      <c r="H23" s="263">
        <v>1217</v>
      </c>
      <c r="I23" s="263">
        <v>1335</v>
      </c>
      <c r="J23" s="263">
        <v>2403</v>
      </c>
      <c r="K23" s="263">
        <v>1914</v>
      </c>
      <c r="L23" s="263">
        <v>1340</v>
      </c>
      <c r="M23" s="263">
        <v>1101</v>
      </c>
      <c r="N23" s="263">
        <v>3132</v>
      </c>
      <c r="O23" s="263">
        <v>5293</v>
      </c>
      <c r="P23" s="263">
        <v>6812</v>
      </c>
      <c r="Q23" s="263">
        <v>8785</v>
      </c>
      <c r="R23" s="263">
        <v>7776</v>
      </c>
      <c r="S23" s="263">
        <v>11724</v>
      </c>
      <c r="T23" s="263">
        <v>10078</v>
      </c>
      <c r="U23" s="263">
        <v>7520</v>
      </c>
      <c r="V23" s="263">
        <v>9015</v>
      </c>
      <c r="W23" s="263">
        <v>14713</v>
      </c>
      <c r="X23" s="263">
        <v>22207</v>
      </c>
      <c r="Y23" s="263">
        <v>-33848</v>
      </c>
      <c r="Z23" s="263">
        <v>29055</v>
      </c>
      <c r="AA23" s="263">
        <v>35679</v>
      </c>
      <c r="AB23" s="263">
        <v>26445</v>
      </c>
      <c r="AC23" s="263">
        <v>42981</v>
      </c>
      <c r="AD23" s="263">
        <v>51140</v>
      </c>
      <c r="AE23" s="263">
        <v>64943</v>
      </c>
      <c r="AF23" s="263">
        <v>42624</v>
      </c>
      <c r="AG23" s="263">
        <v>65539</v>
      </c>
      <c r="AH23" s="263">
        <v>52886</v>
      </c>
      <c r="AI23" s="263">
        <v>51405</v>
      </c>
      <c r="AJ23" s="263">
        <v>44449</v>
      </c>
    </row>
    <row r="24" spans="1:36" ht="15">
      <c r="A24" s="263" t="s">
        <v>496</v>
      </c>
      <c r="B24" s="263">
        <v>217</v>
      </c>
      <c r="C24" s="263">
        <v>488</v>
      </c>
      <c r="D24" s="263">
        <v>426</v>
      </c>
      <c r="E24" s="263">
        <v>161</v>
      </c>
      <c r="F24" s="263">
        <v>-23</v>
      </c>
      <c r="G24" s="263">
        <v>62</v>
      </c>
      <c r="H24" s="263">
        <v>117</v>
      </c>
      <c r="I24" s="263">
        <v>75</v>
      </c>
      <c r="J24" s="263">
        <v>307</v>
      </c>
      <c r="K24" s="263">
        <v>75</v>
      </c>
      <c r="L24" s="263">
        <v>-870</v>
      </c>
      <c r="M24" s="263">
        <v>-364</v>
      </c>
      <c r="N24" s="263">
        <v>332</v>
      </c>
      <c r="O24" s="263">
        <v>383</v>
      </c>
      <c r="P24" s="263">
        <v>733</v>
      </c>
      <c r="Q24" s="263">
        <v>544</v>
      </c>
      <c r="R24" s="263">
        <v>412</v>
      </c>
      <c r="S24" s="263">
        <v>623</v>
      </c>
      <c r="T24" s="263">
        <v>177</v>
      </c>
      <c r="U24" s="263">
        <v>97</v>
      </c>
      <c r="V24" s="263">
        <v>467</v>
      </c>
      <c r="W24" s="263">
        <v>523</v>
      </c>
      <c r="X24" s="263">
        <v>230</v>
      </c>
      <c r="Y24" s="263">
        <v>-154</v>
      </c>
      <c r="Z24" s="263">
        <v>-5</v>
      </c>
      <c r="AA24" s="263">
        <v>1865</v>
      </c>
      <c r="AB24" s="263">
        <v>-523</v>
      </c>
      <c r="AC24" s="263">
        <v>-456</v>
      </c>
      <c r="AD24" s="263">
        <v>2364</v>
      </c>
      <c r="AE24" s="263">
        <v>5038</v>
      </c>
      <c r="AF24" s="263">
        <v>2428</v>
      </c>
      <c r="AG24" s="263">
        <v>554</v>
      </c>
      <c r="AH24" s="263">
        <v>1803</v>
      </c>
      <c r="AI24" s="263">
        <v>1116</v>
      </c>
      <c r="AJ24" s="263" t="s">
        <v>291</v>
      </c>
    </row>
    <row r="25" spans="1:36" ht="15">
      <c r="A25" s="263" t="s">
        <v>495</v>
      </c>
      <c r="B25" s="263" t="s">
        <v>273</v>
      </c>
      <c r="C25" s="263" t="s">
        <v>273</v>
      </c>
      <c r="D25" s="263" t="s">
        <v>273</v>
      </c>
      <c r="E25" s="263" t="s">
        <v>273</v>
      </c>
      <c r="F25" s="263" t="s">
        <v>273</v>
      </c>
      <c r="G25" s="263" t="s">
        <v>273</v>
      </c>
      <c r="H25" s="263" t="s">
        <v>273</v>
      </c>
      <c r="I25" s="263" t="s">
        <v>273</v>
      </c>
      <c r="J25" s="263" t="s">
        <v>273</v>
      </c>
      <c r="K25" s="263" t="s">
        <v>273</v>
      </c>
      <c r="L25" s="263" t="s">
        <v>273</v>
      </c>
      <c r="M25" s="263" t="s">
        <v>273</v>
      </c>
      <c r="N25" s="263" t="s">
        <v>273</v>
      </c>
      <c r="O25" s="263" t="s">
        <v>273</v>
      </c>
      <c r="P25" s="263" t="s">
        <v>273</v>
      </c>
      <c r="Q25" s="263" t="s">
        <v>273</v>
      </c>
      <c r="R25" s="263" t="s">
        <v>273</v>
      </c>
      <c r="S25" s="263">
        <v>52</v>
      </c>
      <c r="T25" s="263">
        <v>11</v>
      </c>
      <c r="U25" s="263">
        <v>151</v>
      </c>
      <c r="V25" s="263">
        <v>22</v>
      </c>
      <c r="W25" s="263">
        <v>249</v>
      </c>
      <c r="X25" s="263">
        <v>642</v>
      </c>
      <c r="Y25" s="263">
        <v>194</v>
      </c>
      <c r="Z25" s="263">
        <v>581</v>
      </c>
      <c r="AA25" s="263">
        <v>1112</v>
      </c>
      <c r="AB25" s="263">
        <v>1061</v>
      </c>
      <c r="AC25" s="263">
        <v>122</v>
      </c>
      <c r="AD25" s="263">
        <v>91</v>
      </c>
      <c r="AE25" s="263">
        <v>37</v>
      </c>
      <c r="AF25" s="263">
        <v>467</v>
      </c>
      <c r="AG25" s="263">
        <v>225</v>
      </c>
      <c r="AH25" s="263">
        <v>212</v>
      </c>
      <c r="AI25" s="263" t="s">
        <v>291</v>
      </c>
      <c r="AJ25" s="263" t="s">
        <v>291</v>
      </c>
    </row>
    <row r="26" spans="1:36" ht="15">
      <c r="A26" s="263" t="s">
        <v>494</v>
      </c>
      <c r="B26" s="263">
        <v>-15</v>
      </c>
      <c r="C26" s="263">
        <v>-12</v>
      </c>
      <c r="D26" s="263">
        <v>-12</v>
      </c>
      <c r="E26" s="263">
        <v>26</v>
      </c>
      <c r="F26" s="263">
        <v>66</v>
      </c>
      <c r="G26" s="263">
        <v>111</v>
      </c>
      <c r="H26" s="263">
        <v>51</v>
      </c>
      <c r="I26" s="263">
        <v>82</v>
      </c>
      <c r="J26" s="263">
        <v>105</v>
      </c>
      <c r="K26" s="263">
        <v>93</v>
      </c>
      <c r="L26" s="263">
        <v>116</v>
      </c>
      <c r="M26" s="263">
        <v>167</v>
      </c>
      <c r="N26" s="263">
        <v>94</v>
      </c>
      <c r="O26" s="263">
        <v>154</v>
      </c>
      <c r="P26" s="263">
        <v>174</v>
      </c>
      <c r="Q26" s="263">
        <v>116</v>
      </c>
      <c r="R26" s="263">
        <v>-31</v>
      </c>
      <c r="S26" s="263">
        <v>129</v>
      </c>
      <c r="T26" s="263">
        <v>119</v>
      </c>
      <c r="U26" s="263">
        <v>228</v>
      </c>
      <c r="V26" s="263">
        <v>117</v>
      </c>
      <c r="W26" s="263">
        <v>152</v>
      </c>
      <c r="X26" s="263">
        <v>188</v>
      </c>
      <c r="Y26" s="263">
        <v>178</v>
      </c>
      <c r="Z26" s="263">
        <v>432</v>
      </c>
      <c r="AA26" s="263">
        <v>-20</v>
      </c>
      <c r="AB26" s="263">
        <v>102</v>
      </c>
      <c r="AC26" s="263">
        <v>-138</v>
      </c>
      <c r="AD26" s="263">
        <v>334</v>
      </c>
      <c r="AE26" s="263">
        <v>117</v>
      </c>
      <c r="AF26" s="263">
        <v>13</v>
      </c>
      <c r="AG26" s="263">
        <v>208</v>
      </c>
      <c r="AH26" s="263">
        <v>244</v>
      </c>
      <c r="AI26" s="263" t="s">
        <v>291</v>
      </c>
      <c r="AJ26" s="263" t="s">
        <v>291</v>
      </c>
    </row>
    <row r="27" spans="1:36" ht="15">
      <c r="A27" s="263" t="s">
        <v>493</v>
      </c>
      <c r="B27" s="263" t="s">
        <v>273</v>
      </c>
      <c r="C27" s="263" t="s">
        <v>273</v>
      </c>
      <c r="D27" s="263" t="s">
        <v>273</v>
      </c>
      <c r="E27" s="263" t="s">
        <v>273</v>
      </c>
      <c r="F27" s="263" t="s">
        <v>273</v>
      </c>
      <c r="G27" s="263" t="s">
        <v>273</v>
      </c>
      <c r="H27" s="263" t="s">
        <v>273</v>
      </c>
      <c r="I27" s="263" t="s">
        <v>273</v>
      </c>
      <c r="J27" s="263" t="s">
        <v>273</v>
      </c>
      <c r="K27" s="263" t="s">
        <v>273</v>
      </c>
      <c r="L27" s="263" t="s">
        <v>273</v>
      </c>
      <c r="M27" s="263" t="s">
        <v>273</v>
      </c>
      <c r="N27" s="263" t="s">
        <v>273</v>
      </c>
      <c r="O27" s="263" t="s">
        <v>273</v>
      </c>
      <c r="P27" s="263" t="s">
        <v>273</v>
      </c>
      <c r="Q27" s="263" t="s">
        <v>273</v>
      </c>
      <c r="R27" s="263" t="s">
        <v>273</v>
      </c>
      <c r="S27" s="263">
        <v>-399</v>
      </c>
      <c r="T27" s="263">
        <v>8</v>
      </c>
      <c r="U27" s="263">
        <v>-86</v>
      </c>
      <c r="V27" s="263">
        <v>-64</v>
      </c>
      <c r="W27" s="263">
        <v>199</v>
      </c>
      <c r="X27" s="263">
        <v>288</v>
      </c>
      <c r="Y27" s="263">
        <v>978</v>
      </c>
      <c r="Z27" s="263">
        <v>1626</v>
      </c>
      <c r="AA27" s="263">
        <v>2258</v>
      </c>
      <c r="AB27" s="263">
        <v>1688</v>
      </c>
      <c r="AC27" s="263">
        <v>1269</v>
      </c>
      <c r="AD27" s="263">
        <v>1107</v>
      </c>
      <c r="AE27" s="263">
        <v>849</v>
      </c>
      <c r="AF27" s="263">
        <v>745</v>
      </c>
      <c r="AG27" s="263">
        <v>159</v>
      </c>
      <c r="AH27" s="263">
        <v>-142</v>
      </c>
      <c r="AI27" s="263" t="s">
        <v>291</v>
      </c>
      <c r="AJ27" s="263" t="s">
        <v>291</v>
      </c>
    </row>
    <row r="28" spans="1:36" ht="15">
      <c r="A28" s="263" t="s">
        <v>492</v>
      </c>
      <c r="B28" s="263">
        <v>-291</v>
      </c>
      <c r="C28" s="263">
        <v>-193</v>
      </c>
      <c r="D28" s="263">
        <v>42</v>
      </c>
      <c r="E28" s="263">
        <v>237</v>
      </c>
      <c r="F28" s="263">
        <v>255</v>
      </c>
      <c r="G28" s="263">
        <v>285</v>
      </c>
      <c r="H28" s="263">
        <v>562</v>
      </c>
      <c r="I28" s="263">
        <v>1329</v>
      </c>
      <c r="J28" s="263">
        <v>1308</v>
      </c>
      <c r="K28" s="263">
        <v>-424</v>
      </c>
      <c r="L28" s="263">
        <v>297</v>
      </c>
      <c r="M28" s="263">
        <v>-108</v>
      </c>
      <c r="N28" s="263">
        <v>-215</v>
      </c>
      <c r="O28" s="263">
        <v>933</v>
      </c>
      <c r="P28" s="263">
        <v>674</v>
      </c>
      <c r="Q28" s="263">
        <v>444</v>
      </c>
      <c r="R28" s="263">
        <v>1091</v>
      </c>
      <c r="S28" s="263">
        <v>740</v>
      </c>
      <c r="T28" s="263">
        <v>712</v>
      </c>
      <c r="U28" s="263">
        <v>1203</v>
      </c>
      <c r="V28" s="263">
        <v>2673</v>
      </c>
      <c r="W28" s="263">
        <v>1216</v>
      </c>
      <c r="X28" s="263">
        <v>321</v>
      </c>
      <c r="Y28" s="263">
        <v>256</v>
      </c>
      <c r="Z28" s="263">
        <v>1757</v>
      </c>
      <c r="AA28" s="263">
        <v>5699</v>
      </c>
      <c r="AB28" s="263">
        <v>4267</v>
      </c>
      <c r="AC28" s="263">
        <v>193</v>
      </c>
      <c r="AD28" s="263">
        <v>1078</v>
      </c>
      <c r="AE28" s="263">
        <v>586</v>
      </c>
      <c r="AF28" s="263">
        <v>-997</v>
      </c>
      <c r="AG28" s="263">
        <v>2356</v>
      </c>
      <c r="AH28" s="263">
        <v>2185</v>
      </c>
      <c r="AI28" s="263">
        <v>1856</v>
      </c>
      <c r="AJ28" s="263">
        <v>2634</v>
      </c>
    </row>
    <row r="29" spans="1:36" ht="15">
      <c r="A29" s="263" t="s">
        <v>491</v>
      </c>
      <c r="B29" s="263" t="s">
        <v>306</v>
      </c>
      <c r="C29" s="263">
        <v>-4</v>
      </c>
      <c r="D29" s="263">
        <v>76</v>
      </c>
      <c r="E29" s="263">
        <v>105</v>
      </c>
      <c r="F29" s="263">
        <v>98</v>
      </c>
      <c r="G29" s="263">
        <v>12</v>
      </c>
      <c r="H29" s="263">
        <v>66</v>
      </c>
      <c r="I29" s="263">
        <v>137</v>
      </c>
      <c r="J29" s="263">
        <v>172</v>
      </c>
      <c r="K29" s="263">
        <v>120</v>
      </c>
      <c r="L29" s="263">
        <v>-68</v>
      </c>
      <c r="M29" s="263">
        <v>-128</v>
      </c>
      <c r="N29" s="263">
        <v>124</v>
      </c>
      <c r="O29" s="263">
        <v>667</v>
      </c>
      <c r="P29" s="263">
        <v>-63</v>
      </c>
      <c r="Q29" s="263">
        <v>156</v>
      </c>
      <c r="R29" s="263">
        <v>469</v>
      </c>
      <c r="S29" s="263">
        <v>392</v>
      </c>
      <c r="T29" s="263">
        <v>580</v>
      </c>
      <c r="U29" s="263">
        <v>88</v>
      </c>
      <c r="V29" s="263">
        <v>30</v>
      </c>
      <c r="W29" s="263">
        <v>1013</v>
      </c>
      <c r="X29" s="263">
        <v>1303</v>
      </c>
      <c r="Y29" s="263">
        <v>1094</v>
      </c>
      <c r="Z29" s="263">
        <v>587</v>
      </c>
      <c r="AA29" s="263">
        <v>768</v>
      </c>
      <c r="AB29" s="263">
        <v>513</v>
      </c>
      <c r="AC29" s="263">
        <v>-2448</v>
      </c>
      <c r="AD29" s="263">
        <v>-779</v>
      </c>
      <c r="AE29" s="263">
        <v>-124</v>
      </c>
      <c r="AF29" s="263">
        <v>876</v>
      </c>
      <c r="AG29" s="263" t="s">
        <v>291</v>
      </c>
      <c r="AH29" s="263">
        <v>1008</v>
      </c>
      <c r="AI29" s="263">
        <v>353</v>
      </c>
      <c r="AJ29" s="263" t="s">
        <v>291</v>
      </c>
    </row>
    <row r="30" spans="1:36" ht="15">
      <c r="A30" s="263" t="s">
        <v>490</v>
      </c>
      <c r="B30" s="263">
        <v>807</v>
      </c>
      <c r="C30" s="263">
        <v>1073</v>
      </c>
      <c r="D30" s="263">
        <v>1076</v>
      </c>
      <c r="E30" s="263">
        <v>957</v>
      </c>
      <c r="F30" s="263">
        <v>427</v>
      </c>
      <c r="G30" s="263">
        <v>1508</v>
      </c>
      <c r="H30" s="263">
        <v>-843</v>
      </c>
      <c r="I30" s="263">
        <v>1521</v>
      </c>
      <c r="J30" s="263">
        <v>2123</v>
      </c>
      <c r="K30" s="263">
        <v>1180</v>
      </c>
      <c r="L30" s="263">
        <v>1633</v>
      </c>
      <c r="M30" s="263">
        <v>3225</v>
      </c>
      <c r="N30" s="263">
        <v>2256</v>
      </c>
      <c r="O30" s="263">
        <v>1199</v>
      </c>
      <c r="P30" s="263">
        <v>1713</v>
      </c>
      <c r="Q30" s="263">
        <v>423</v>
      </c>
      <c r="R30" s="263">
        <v>4541</v>
      </c>
      <c r="S30" s="263">
        <v>4138</v>
      </c>
      <c r="T30" s="263">
        <v>2949</v>
      </c>
      <c r="U30" s="263">
        <v>2705</v>
      </c>
      <c r="V30" s="263">
        <v>7725</v>
      </c>
      <c r="W30" s="263">
        <v>9065</v>
      </c>
      <c r="X30" s="263">
        <v>10361</v>
      </c>
      <c r="Y30" s="263">
        <v>-7366</v>
      </c>
      <c r="Z30" s="263">
        <v>9638</v>
      </c>
      <c r="AA30" s="263">
        <v>9444</v>
      </c>
      <c r="AB30" s="263">
        <v>14866</v>
      </c>
      <c r="AC30" s="263">
        <v>12188</v>
      </c>
      <c r="AD30" s="263">
        <v>7107</v>
      </c>
      <c r="AE30" s="263">
        <v>7452</v>
      </c>
      <c r="AF30" s="263">
        <v>7980</v>
      </c>
      <c r="AG30" s="263">
        <v>15393</v>
      </c>
      <c r="AH30" s="263">
        <v>12968</v>
      </c>
      <c r="AI30" s="263">
        <v>18957</v>
      </c>
      <c r="AJ30" s="263">
        <v>22200</v>
      </c>
    </row>
    <row r="31" spans="1:36" ht="15">
      <c r="A31" s="263" t="s">
        <v>489</v>
      </c>
      <c r="B31" s="263">
        <v>13</v>
      </c>
      <c r="C31" s="263">
        <v>19</v>
      </c>
      <c r="D31" s="263">
        <v>41</v>
      </c>
      <c r="E31" s="263">
        <v>16</v>
      </c>
      <c r="F31" s="263">
        <v>2</v>
      </c>
      <c r="G31" s="263">
        <v>-12</v>
      </c>
      <c r="H31" s="263">
        <v>14</v>
      </c>
      <c r="I31" s="263">
        <v>13</v>
      </c>
      <c r="J31" s="263">
        <v>62</v>
      </c>
      <c r="K31" s="263">
        <v>57</v>
      </c>
      <c r="L31" s="263">
        <v>104</v>
      </c>
      <c r="M31" s="263">
        <v>158</v>
      </c>
      <c r="N31" s="263">
        <v>-3</v>
      </c>
      <c r="O31" s="263">
        <v>114</v>
      </c>
      <c r="P31" s="263">
        <v>45</v>
      </c>
      <c r="Q31" s="263">
        <v>79</v>
      </c>
      <c r="R31" s="263">
        <v>95</v>
      </c>
      <c r="S31" s="263">
        <v>139</v>
      </c>
      <c r="T31" s="263">
        <v>200</v>
      </c>
      <c r="U31" s="263">
        <v>-51</v>
      </c>
      <c r="V31" s="263">
        <v>-137</v>
      </c>
      <c r="W31" s="263">
        <v>102</v>
      </c>
      <c r="X31" s="263">
        <v>73</v>
      </c>
      <c r="Y31" s="263">
        <v>207</v>
      </c>
      <c r="Z31" s="263">
        <v>322</v>
      </c>
      <c r="AA31" s="263">
        <v>551</v>
      </c>
      <c r="AB31" s="263">
        <v>278</v>
      </c>
      <c r="AC31" s="263">
        <v>352</v>
      </c>
      <c r="AD31" s="263">
        <v>420</v>
      </c>
      <c r="AE31" s="263">
        <v>406</v>
      </c>
      <c r="AF31" s="263">
        <v>294</v>
      </c>
      <c r="AG31" s="263" t="s">
        <v>291</v>
      </c>
      <c r="AH31" s="263" t="s">
        <v>291</v>
      </c>
      <c r="AI31" s="263" t="s">
        <v>291</v>
      </c>
      <c r="AJ31" s="263">
        <v>229</v>
      </c>
    </row>
    <row r="32" spans="1:36" ht="15">
      <c r="A32" s="263" t="s">
        <v>488</v>
      </c>
      <c r="B32" s="263">
        <v>380</v>
      </c>
      <c r="C32" s="263">
        <v>576</v>
      </c>
      <c r="D32" s="263">
        <v>2691</v>
      </c>
      <c r="E32" s="263">
        <v>2261</v>
      </c>
      <c r="F32" s="263">
        <v>-432</v>
      </c>
      <c r="G32" s="263">
        <v>1828</v>
      </c>
      <c r="H32" s="263">
        <v>1081</v>
      </c>
      <c r="I32" s="263">
        <v>-1195</v>
      </c>
      <c r="J32" s="263">
        <v>951</v>
      </c>
      <c r="K32" s="263">
        <v>-904</v>
      </c>
      <c r="L32" s="263">
        <v>-614</v>
      </c>
      <c r="M32" s="263">
        <v>4847</v>
      </c>
      <c r="N32" s="263">
        <v>-181</v>
      </c>
      <c r="O32" s="263">
        <v>5084</v>
      </c>
      <c r="P32" s="263">
        <v>4042</v>
      </c>
      <c r="Q32" s="263">
        <v>3411</v>
      </c>
      <c r="R32" s="263">
        <v>2575</v>
      </c>
      <c r="S32" s="263">
        <v>1910</v>
      </c>
      <c r="T32" s="263">
        <v>8642</v>
      </c>
      <c r="U32" s="263">
        <v>578</v>
      </c>
      <c r="V32" s="263">
        <v>3298</v>
      </c>
      <c r="W32" s="263">
        <v>5366</v>
      </c>
      <c r="X32" s="263">
        <v>8500</v>
      </c>
      <c r="Y32" s="263">
        <v>2007</v>
      </c>
      <c r="Z32" s="263">
        <v>17620</v>
      </c>
      <c r="AA32" s="263">
        <v>11249</v>
      </c>
      <c r="AB32" s="263">
        <v>11225</v>
      </c>
      <c r="AC32" s="263">
        <v>16308</v>
      </c>
      <c r="AD32" s="263">
        <v>13450</v>
      </c>
      <c r="AE32" s="263">
        <v>5709</v>
      </c>
      <c r="AF32" s="263">
        <v>14851</v>
      </c>
      <c r="AG32" s="263">
        <v>10405</v>
      </c>
      <c r="AH32" s="263">
        <v>20914</v>
      </c>
      <c r="AI32" s="263">
        <v>24600</v>
      </c>
      <c r="AJ32" s="263">
        <v>30808</v>
      </c>
    </row>
    <row r="33" spans="1:36" ht="15">
      <c r="A33" s="263" t="s">
        <v>236</v>
      </c>
      <c r="B33" s="263">
        <v>12</v>
      </c>
      <c r="C33" s="263">
        <v>30</v>
      </c>
      <c r="D33" s="263">
        <v>-13</v>
      </c>
      <c r="E33" s="263">
        <v>-23</v>
      </c>
      <c r="F33" s="263">
        <v>-15</v>
      </c>
      <c r="G33" s="263">
        <v>-24</v>
      </c>
      <c r="H33" s="263">
        <v>-14</v>
      </c>
      <c r="I33" s="263">
        <v>3</v>
      </c>
      <c r="J33" s="263">
        <v>9</v>
      </c>
      <c r="K33" s="263">
        <v>47</v>
      </c>
      <c r="L33" s="263">
        <v>-110</v>
      </c>
      <c r="M33" s="263">
        <v>-64</v>
      </c>
      <c r="N33" s="263">
        <v>-318</v>
      </c>
      <c r="O33" s="263">
        <v>-109</v>
      </c>
      <c r="P33" s="263">
        <v>228</v>
      </c>
      <c r="Q33" s="263">
        <v>414</v>
      </c>
      <c r="R33" s="263">
        <v>-371</v>
      </c>
      <c r="S33" s="263">
        <v>266</v>
      </c>
      <c r="T33" s="263">
        <v>560</v>
      </c>
      <c r="U33" s="263">
        <v>521</v>
      </c>
      <c r="V33" s="263">
        <v>602</v>
      </c>
      <c r="W33" s="263">
        <v>962</v>
      </c>
      <c r="X33" s="263">
        <v>906</v>
      </c>
      <c r="Y33" s="263">
        <v>443</v>
      </c>
      <c r="Z33" s="263">
        <v>1270</v>
      </c>
      <c r="AA33" s="263">
        <v>4412</v>
      </c>
      <c r="AB33" s="263">
        <v>1580</v>
      </c>
      <c r="AC33" s="263">
        <v>1194</v>
      </c>
      <c r="AD33" s="263">
        <v>2167</v>
      </c>
      <c r="AE33" s="263">
        <v>2049</v>
      </c>
      <c r="AF33" s="263">
        <v>151</v>
      </c>
      <c r="AG33" s="263" t="s">
        <v>291</v>
      </c>
      <c r="AH33" s="263">
        <v>-3751</v>
      </c>
      <c r="AI33" s="263">
        <v>-2395</v>
      </c>
      <c r="AJ33" s="263" t="s">
        <v>291</v>
      </c>
    </row>
    <row r="34" spans="1:36" ht="15">
      <c r="A34" s="263" t="s">
        <v>448</v>
      </c>
      <c r="B34" s="263">
        <v>2063</v>
      </c>
      <c r="C34" s="263">
        <v>2584</v>
      </c>
      <c r="D34" s="263">
        <v>3537</v>
      </c>
      <c r="E34" s="263">
        <v>2193</v>
      </c>
      <c r="F34" s="263">
        <v>1979</v>
      </c>
      <c r="G34" s="263">
        <v>3492</v>
      </c>
      <c r="H34" s="263">
        <v>4527</v>
      </c>
      <c r="I34" s="263">
        <v>1378</v>
      </c>
      <c r="J34" s="263">
        <v>4874</v>
      </c>
      <c r="K34" s="263">
        <v>4994</v>
      </c>
      <c r="L34" s="263">
        <v>6931</v>
      </c>
      <c r="M34" s="263">
        <v>8522</v>
      </c>
      <c r="N34" s="263">
        <v>8552</v>
      </c>
      <c r="O34" s="263">
        <v>9866</v>
      </c>
      <c r="P34" s="263">
        <v>10951</v>
      </c>
      <c r="Q34" s="263">
        <v>12772</v>
      </c>
      <c r="R34" s="263">
        <v>2541</v>
      </c>
      <c r="S34" s="263">
        <v>8072</v>
      </c>
      <c r="T34" s="263">
        <v>8383</v>
      </c>
      <c r="U34" s="263">
        <v>6392</v>
      </c>
      <c r="V34" s="263">
        <v>5235</v>
      </c>
      <c r="W34" s="263">
        <v>11928</v>
      </c>
      <c r="X34" s="263">
        <v>24651</v>
      </c>
      <c r="Y34" s="263">
        <v>-4868</v>
      </c>
      <c r="Z34" s="263">
        <v>34653</v>
      </c>
      <c r="AA34" s="263">
        <v>42720</v>
      </c>
      <c r="AB34" s="263">
        <v>41542</v>
      </c>
      <c r="AC34" s="263">
        <v>45302</v>
      </c>
      <c r="AD34" s="263">
        <v>68506</v>
      </c>
      <c r="AE34" s="263">
        <v>64970</v>
      </c>
      <c r="AF34" s="263">
        <v>65198</v>
      </c>
      <c r="AG34" s="263">
        <v>58450</v>
      </c>
      <c r="AH34" s="263">
        <v>52853</v>
      </c>
      <c r="AI34" s="263">
        <v>44172</v>
      </c>
      <c r="AJ34" s="263">
        <v>49361</v>
      </c>
    </row>
    <row r="35" spans="1:36" ht="15">
      <c r="A35" s="263" t="s">
        <v>447</v>
      </c>
      <c r="B35" s="263">
        <v>576</v>
      </c>
      <c r="C35" s="263">
        <v>-363</v>
      </c>
      <c r="D35" s="263">
        <v>198</v>
      </c>
      <c r="E35" s="263">
        <v>225</v>
      </c>
      <c r="F35" s="263">
        <v>624</v>
      </c>
      <c r="G35" s="263">
        <v>972</v>
      </c>
      <c r="H35" s="263">
        <v>1922</v>
      </c>
      <c r="I35" s="263">
        <v>2111</v>
      </c>
      <c r="J35" s="263">
        <v>1189</v>
      </c>
      <c r="K35" s="263">
        <v>1338</v>
      </c>
      <c r="L35" s="263">
        <v>2726</v>
      </c>
      <c r="M35" s="263">
        <v>4367</v>
      </c>
      <c r="N35" s="263">
        <v>4522</v>
      </c>
      <c r="O35" s="263">
        <v>4810</v>
      </c>
      <c r="P35" s="263">
        <v>4997</v>
      </c>
      <c r="Q35" s="263">
        <v>4985</v>
      </c>
      <c r="R35" s="263">
        <v>212</v>
      </c>
      <c r="S35" s="263">
        <v>-862</v>
      </c>
      <c r="T35" s="263">
        <v>1031</v>
      </c>
      <c r="U35" s="263">
        <v>-795</v>
      </c>
      <c r="V35" s="263">
        <v>-2242</v>
      </c>
      <c r="W35" s="263">
        <v>653</v>
      </c>
      <c r="X35" s="263">
        <v>4998</v>
      </c>
      <c r="Y35" s="263">
        <v>5861</v>
      </c>
      <c r="Z35" s="263">
        <v>7390</v>
      </c>
      <c r="AA35" s="263">
        <v>8983</v>
      </c>
      <c r="AB35" s="263">
        <v>5807</v>
      </c>
      <c r="AC35" s="263">
        <v>10751</v>
      </c>
      <c r="AD35" s="263">
        <v>15196</v>
      </c>
      <c r="AE35" s="263">
        <v>14233</v>
      </c>
      <c r="AF35" s="263">
        <v>13109</v>
      </c>
      <c r="AG35" s="263">
        <v>6216</v>
      </c>
      <c r="AH35" s="263">
        <v>6242</v>
      </c>
      <c r="AI35" s="263">
        <v>3405</v>
      </c>
      <c r="AJ35" s="263">
        <v>470</v>
      </c>
    </row>
    <row r="36" spans="1:36" ht="15">
      <c r="A36" s="263" t="s">
        <v>446</v>
      </c>
      <c r="B36" s="263">
        <v>22</v>
      </c>
      <c r="C36" s="263">
        <v>214</v>
      </c>
      <c r="D36" s="263">
        <v>-83</v>
      </c>
      <c r="E36" s="263">
        <v>-103</v>
      </c>
      <c r="F36" s="263">
        <v>269</v>
      </c>
      <c r="G36" s="263">
        <v>97</v>
      </c>
      <c r="H36" s="263">
        <v>99</v>
      </c>
      <c r="I36" s="263">
        <v>-205</v>
      </c>
      <c r="J36" s="263">
        <v>105</v>
      </c>
      <c r="K36" s="263">
        <v>249</v>
      </c>
      <c r="L36" s="263">
        <v>219</v>
      </c>
      <c r="M36" s="263">
        <v>288</v>
      </c>
      <c r="N36" s="263">
        <v>541</v>
      </c>
      <c r="O36" s="263">
        <v>389</v>
      </c>
      <c r="P36" s="263">
        <v>366</v>
      </c>
      <c r="Q36" s="263">
        <v>362</v>
      </c>
      <c r="R36" s="263">
        <v>-39</v>
      </c>
      <c r="S36" s="263">
        <v>-109</v>
      </c>
      <c r="T36" s="263">
        <v>-280</v>
      </c>
      <c r="U36" s="263">
        <v>-1379</v>
      </c>
      <c r="V36" s="263">
        <v>-1299</v>
      </c>
      <c r="W36" s="263">
        <v>438</v>
      </c>
      <c r="X36" s="263">
        <v>908</v>
      </c>
      <c r="Y36" s="263">
        <v>1342</v>
      </c>
      <c r="Z36" s="263">
        <v>1715</v>
      </c>
      <c r="AA36" s="263">
        <v>1128</v>
      </c>
      <c r="AB36" s="263">
        <v>1240</v>
      </c>
      <c r="AC36" s="263">
        <v>403</v>
      </c>
      <c r="AD36" s="263">
        <v>1003</v>
      </c>
      <c r="AE36" s="263">
        <v>1292</v>
      </c>
      <c r="AF36" s="263">
        <v>1053</v>
      </c>
      <c r="AG36" s="263">
        <v>577</v>
      </c>
      <c r="AH36" s="263">
        <v>803</v>
      </c>
      <c r="AI36" s="263">
        <v>1483</v>
      </c>
      <c r="AJ36" s="263">
        <v>1254</v>
      </c>
    </row>
    <row r="37" spans="1:36" ht="15">
      <c r="A37" s="263" t="s">
        <v>445</v>
      </c>
      <c r="B37" s="263">
        <v>502</v>
      </c>
      <c r="C37" s="263">
        <v>-360</v>
      </c>
      <c r="D37" s="263">
        <v>130</v>
      </c>
      <c r="E37" s="263">
        <v>342</v>
      </c>
      <c r="F37" s="263">
        <v>128</v>
      </c>
      <c r="G37" s="263">
        <v>782</v>
      </c>
      <c r="H37" s="263">
        <v>1634</v>
      </c>
      <c r="I37" s="263">
        <v>2287</v>
      </c>
      <c r="J37" s="263">
        <v>665</v>
      </c>
      <c r="K37" s="263">
        <v>594</v>
      </c>
      <c r="L37" s="263">
        <v>1786</v>
      </c>
      <c r="M37" s="263">
        <v>3510</v>
      </c>
      <c r="N37" s="263">
        <v>2806</v>
      </c>
      <c r="O37" s="263">
        <v>2469</v>
      </c>
      <c r="P37" s="263">
        <v>2683</v>
      </c>
      <c r="Q37" s="263">
        <v>2333</v>
      </c>
      <c r="R37" s="263">
        <v>302</v>
      </c>
      <c r="S37" s="263">
        <v>-1143</v>
      </c>
      <c r="T37" s="263">
        <v>397</v>
      </c>
      <c r="U37" s="263">
        <v>-548</v>
      </c>
      <c r="V37" s="263">
        <v>-1509</v>
      </c>
      <c r="W37" s="263">
        <v>-860</v>
      </c>
      <c r="X37" s="263">
        <v>1238</v>
      </c>
      <c r="Y37" s="263">
        <v>1302</v>
      </c>
      <c r="Z37" s="263">
        <v>2748</v>
      </c>
      <c r="AA37" s="263">
        <v>4278</v>
      </c>
      <c r="AB37" s="263">
        <v>3778</v>
      </c>
      <c r="AC37" s="263">
        <v>3948</v>
      </c>
      <c r="AD37" s="263">
        <v>6754</v>
      </c>
      <c r="AE37" s="263">
        <v>6969</v>
      </c>
      <c r="AF37" s="263">
        <v>5382</v>
      </c>
      <c r="AG37" s="263">
        <v>1013</v>
      </c>
      <c r="AH37" s="263">
        <v>1730</v>
      </c>
      <c r="AI37" s="263">
        <v>-66</v>
      </c>
      <c r="AJ37" s="263">
        <v>-1384</v>
      </c>
    </row>
    <row r="38" spans="1:36" ht="15">
      <c r="A38" s="263" t="s">
        <v>444</v>
      </c>
      <c r="B38" s="263">
        <v>-183</v>
      </c>
      <c r="C38" s="263">
        <v>-22</v>
      </c>
      <c r="D38" s="263">
        <v>-25</v>
      </c>
      <c r="E38" s="263">
        <v>8</v>
      </c>
      <c r="F38" s="263">
        <v>35</v>
      </c>
      <c r="G38" s="263">
        <v>62</v>
      </c>
      <c r="H38" s="263">
        <v>186</v>
      </c>
      <c r="I38" s="263">
        <v>240</v>
      </c>
      <c r="J38" s="263">
        <v>269</v>
      </c>
      <c r="K38" s="263">
        <v>261</v>
      </c>
      <c r="L38" s="263">
        <v>209</v>
      </c>
      <c r="M38" s="263">
        <v>57</v>
      </c>
      <c r="N38" s="263">
        <v>605</v>
      </c>
      <c r="O38" s="263">
        <v>808</v>
      </c>
      <c r="P38" s="263">
        <v>809</v>
      </c>
      <c r="Q38" s="263">
        <v>985</v>
      </c>
      <c r="R38" s="263">
        <v>81</v>
      </c>
      <c r="S38" s="263">
        <v>315</v>
      </c>
      <c r="T38" s="263">
        <v>395</v>
      </c>
      <c r="U38" s="263">
        <v>434</v>
      </c>
      <c r="V38" s="263">
        <v>342</v>
      </c>
      <c r="W38" s="263">
        <v>615</v>
      </c>
      <c r="X38" s="263">
        <v>595</v>
      </c>
      <c r="Y38" s="263">
        <v>359</v>
      </c>
      <c r="Z38" s="263">
        <v>592</v>
      </c>
      <c r="AA38" s="263">
        <v>4133</v>
      </c>
      <c r="AB38" s="263">
        <v>580</v>
      </c>
      <c r="AC38" s="263">
        <v>2707</v>
      </c>
      <c r="AD38" s="263">
        <v>4132</v>
      </c>
      <c r="AE38" s="263">
        <v>3211</v>
      </c>
      <c r="AF38" s="263">
        <v>2575</v>
      </c>
      <c r="AG38" s="263">
        <v>2242</v>
      </c>
      <c r="AH38" s="263">
        <v>2114</v>
      </c>
      <c r="AI38" s="263">
        <v>1370</v>
      </c>
      <c r="AJ38" s="263">
        <v>1161</v>
      </c>
    </row>
    <row r="39" spans="1:36" ht="15">
      <c r="A39" s="263" t="s">
        <v>443</v>
      </c>
      <c r="B39" s="263">
        <v>117</v>
      </c>
      <c r="C39" s="263">
        <v>59</v>
      </c>
      <c r="D39" s="263">
        <v>75</v>
      </c>
      <c r="E39" s="263">
        <v>139</v>
      </c>
      <c r="F39" s="263">
        <v>44</v>
      </c>
      <c r="G39" s="263">
        <v>9</v>
      </c>
      <c r="H39" s="263">
        <v>34</v>
      </c>
      <c r="I39" s="263">
        <v>-88</v>
      </c>
      <c r="J39" s="263">
        <v>122</v>
      </c>
      <c r="K39" s="263">
        <v>47</v>
      </c>
      <c r="L39" s="263">
        <v>131</v>
      </c>
      <c r="M39" s="263">
        <v>7</v>
      </c>
      <c r="N39" s="263">
        <v>57</v>
      </c>
      <c r="O39" s="263">
        <v>103</v>
      </c>
      <c r="P39" s="263">
        <v>208</v>
      </c>
      <c r="Q39" s="263">
        <v>509</v>
      </c>
      <c r="R39" s="263">
        <v>-134</v>
      </c>
      <c r="S39" s="263">
        <v>165</v>
      </c>
      <c r="T39" s="263">
        <v>250</v>
      </c>
      <c r="U39" s="263">
        <v>132</v>
      </c>
      <c r="V39" s="263">
        <v>123</v>
      </c>
      <c r="W39" s="263">
        <v>159</v>
      </c>
      <c r="X39" s="263">
        <v>409</v>
      </c>
      <c r="Y39" s="263">
        <v>574</v>
      </c>
      <c r="Z39" s="263">
        <v>533</v>
      </c>
      <c r="AA39" s="263">
        <v>434</v>
      </c>
      <c r="AB39" s="263">
        <v>448</v>
      </c>
      <c r="AC39" s="263">
        <v>499</v>
      </c>
      <c r="AD39" s="263">
        <v>913</v>
      </c>
      <c r="AE39" s="263">
        <v>902</v>
      </c>
      <c r="AF39" s="263">
        <v>1208</v>
      </c>
      <c r="AG39" s="263">
        <v>696</v>
      </c>
      <c r="AH39" s="263">
        <v>350</v>
      </c>
      <c r="AI39" s="263">
        <v>145</v>
      </c>
      <c r="AJ39" s="263" t="s">
        <v>291</v>
      </c>
    </row>
    <row r="40" spans="1:36" ht="15">
      <c r="A40" s="263" t="s">
        <v>442</v>
      </c>
      <c r="B40" s="263">
        <v>25</v>
      </c>
      <c r="C40" s="263">
        <v>30</v>
      </c>
      <c r="D40" s="263">
        <v>24</v>
      </c>
      <c r="E40" s="263">
        <v>5</v>
      </c>
      <c r="F40" s="263">
        <v>16</v>
      </c>
      <c r="G40" s="263">
        <v>-3</v>
      </c>
      <c r="H40" s="263">
        <v>-32</v>
      </c>
      <c r="I40" s="263">
        <v>-10</v>
      </c>
      <c r="J40" s="263">
        <v>-7</v>
      </c>
      <c r="K40" s="263">
        <v>-2</v>
      </c>
      <c r="L40" s="263">
        <v>-11</v>
      </c>
      <c r="M40" s="263">
        <v>3</v>
      </c>
      <c r="N40" s="263">
        <v>14</v>
      </c>
      <c r="O40" s="263">
        <v>87</v>
      </c>
      <c r="P40" s="263">
        <v>79</v>
      </c>
      <c r="Q40" s="263">
        <v>27</v>
      </c>
      <c r="R40" s="263">
        <v>47</v>
      </c>
      <c r="S40" s="263">
        <v>-41</v>
      </c>
      <c r="T40" s="263">
        <v>-22</v>
      </c>
      <c r="U40" s="263">
        <v>41</v>
      </c>
      <c r="V40" s="263">
        <v>75</v>
      </c>
      <c r="W40" s="263">
        <v>94</v>
      </c>
      <c r="X40" s="263">
        <v>274</v>
      </c>
      <c r="Y40" s="263">
        <v>323</v>
      </c>
      <c r="Z40" s="263">
        <v>146</v>
      </c>
      <c r="AA40" s="263">
        <v>-24</v>
      </c>
      <c r="AB40" s="263">
        <v>8</v>
      </c>
      <c r="AC40" s="263">
        <v>26</v>
      </c>
      <c r="AD40" s="263">
        <v>64</v>
      </c>
      <c r="AE40" s="263">
        <v>70</v>
      </c>
      <c r="AF40" s="263">
        <v>-43</v>
      </c>
      <c r="AG40" s="263" t="s">
        <v>291</v>
      </c>
      <c r="AH40" s="263" t="s">
        <v>291</v>
      </c>
      <c r="AI40" s="263" t="s">
        <v>291</v>
      </c>
      <c r="AJ40" s="263">
        <v>-21</v>
      </c>
    </row>
    <row r="41" spans="1:36" ht="15">
      <c r="A41" s="263" t="s">
        <v>441</v>
      </c>
      <c r="B41" s="263">
        <v>216</v>
      </c>
      <c r="C41" s="263">
        <v>93</v>
      </c>
      <c r="D41" s="263">
        <v>58</v>
      </c>
      <c r="E41" s="263">
        <v>-72</v>
      </c>
      <c r="F41" s="263">
        <v>-21</v>
      </c>
      <c r="G41" s="263">
        <v>-56</v>
      </c>
      <c r="H41" s="263">
        <v>-118</v>
      </c>
      <c r="I41" s="263">
        <v>-146</v>
      </c>
      <c r="J41" s="263">
        <v>-128</v>
      </c>
      <c r="K41" s="263">
        <v>-45</v>
      </c>
      <c r="L41" s="263">
        <v>-5</v>
      </c>
      <c r="M41" s="263">
        <v>-9</v>
      </c>
      <c r="N41" s="263">
        <v>117</v>
      </c>
      <c r="O41" s="263">
        <v>320</v>
      </c>
      <c r="P41" s="263">
        <v>283</v>
      </c>
      <c r="Q41" s="263">
        <v>169</v>
      </c>
      <c r="R41" s="263">
        <v>-237</v>
      </c>
      <c r="S41" s="263">
        <v>-264</v>
      </c>
      <c r="T41" s="263">
        <v>-129</v>
      </c>
      <c r="U41" s="263">
        <v>-142</v>
      </c>
      <c r="V41" s="263">
        <v>-5</v>
      </c>
      <c r="W41" s="263">
        <v>102</v>
      </c>
      <c r="X41" s="263">
        <v>631</v>
      </c>
      <c r="Y41" s="263">
        <v>706</v>
      </c>
      <c r="Z41" s="263">
        <v>153</v>
      </c>
      <c r="AA41" s="263">
        <v>548</v>
      </c>
      <c r="AB41" s="263">
        <v>-1003</v>
      </c>
      <c r="AC41" s="263">
        <v>941</v>
      </c>
      <c r="AD41" s="263">
        <v>807</v>
      </c>
      <c r="AE41" s="263">
        <v>-103</v>
      </c>
      <c r="AF41" s="263">
        <v>1323</v>
      </c>
      <c r="AG41" s="263" t="s">
        <v>291</v>
      </c>
      <c r="AH41" s="263">
        <v>768</v>
      </c>
      <c r="AI41" s="263">
        <v>-142</v>
      </c>
      <c r="AJ41" s="263">
        <v>502</v>
      </c>
    </row>
    <row r="42" spans="1:36" ht="15">
      <c r="A42" s="263" t="s">
        <v>440</v>
      </c>
      <c r="B42" s="263">
        <v>-75</v>
      </c>
      <c r="C42" s="263">
        <v>-336</v>
      </c>
      <c r="D42" s="263">
        <v>52</v>
      </c>
      <c r="E42" s="263">
        <v>-13</v>
      </c>
      <c r="F42" s="263">
        <v>162</v>
      </c>
      <c r="G42" s="263">
        <v>113</v>
      </c>
      <c r="H42" s="263">
        <v>142</v>
      </c>
      <c r="I42" s="263">
        <v>41</v>
      </c>
      <c r="J42" s="263">
        <v>120</v>
      </c>
      <c r="K42" s="263">
        <v>174</v>
      </c>
      <c r="L42" s="263">
        <v>334</v>
      </c>
      <c r="M42" s="263">
        <v>434</v>
      </c>
      <c r="N42" s="263">
        <v>277</v>
      </c>
      <c r="O42" s="263">
        <v>492</v>
      </c>
      <c r="P42" s="263">
        <v>470</v>
      </c>
      <c r="Q42" s="263">
        <v>600</v>
      </c>
      <c r="R42" s="263">
        <v>180</v>
      </c>
      <c r="S42" s="263">
        <v>212</v>
      </c>
      <c r="T42" s="263">
        <v>480</v>
      </c>
      <c r="U42" s="263">
        <v>665</v>
      </c>
      <c r="V42" s="263">
        <v>22</v>
      </c>
      <c r="W42" s="263">
        <v>73</v>
      </c>
      <c r="X42" s="263">
        <v>956</v>
      </c>
      <c r="Y42" s="263">
        <v>1224</v>
      </c>
      <c r="Z42" s="263">
        <v>1518</v>
      </c>
      <c r="AA42" s="263">
        <v>-1651</v>
      </c>
      <c r="AB42" s="263">
        <v>513</v>
      </c>
      <c r="AC42" s="263">
        <v>2265</v>
      </c>
      <c r="AD42" s="263">
        <v>1417</v>
      </c>
      <c r="AE42" s="263">
        <v>1769</v>
      </c>
      <c r="AF42" s="263">
        <v>1463</v>
      </c>
      <c r="AG42" s="263" t="s">
        <v>291</v>
      </c>
      <c r="AH42" s="263">
        <v>388</v>
      </c>
      <c r="AI42" s="263" t="s">
        <v>291</v>
      </c>
      <c r="AJ42" s="263">
        <v>-602</v>
      </c>
    </row>
    <row r="43" spans="1:36" ht="15">
      <c r="A43" s="263" t="s">
        <v>67</v>
      </c>
      <c r="B43" s="263">
        <v>-49</v>
      </c>
      <c r="C43" s="263">
        <v>-42</v>
      </c>
      <c r="D43" s="263">
        <v>-32</v>
      </c>
      <c r="E43" s="263">
        <v>-81</v>
      </c>
      <c r="F43" s="263">
        <v>-8</v>
      </c>
      <c r="G43" s="263">
        <v>-32</v>
      </c>
      <c r="H43" s="263">
        <v>-22</v>
      </c>
      <c r="I43" s="263">
        <v>-9</v>
      </c>
      <c r="J43" s="263">
        <v>45</v>
      </c>
      <c r="K43" s="263">
        <v>60</v>
      </c>
      <c r="L43" s="263">
        <v>64</v>
      </c>
      <c r="M43" s="263">
        <v>78</v>
      </c>
      <c r="N43" s="263">
        <v>105</v>
      </c>
      <c r="O43" s="263">
        <v>141</v>
      </c>
      <c r="P43" s="263">
        <v>98</v>
      </c>
      <c r="Q43" s="263">
        <v>-1</v>
      </c>
      <c r="R43" s="263">
        <v>11</v>
      </c>
      <c r="S43" s="263">
        <v>4</v>
      </c>
      <c r="T43" s="263">
        <v>-61</v>
      </c>
      <c r="U43" s="263">
        <v>2</v>
      </c>
      <c r="V43" s="263">
        <v>9</v>
      </c>
      <c r="W43" s="263">
        <v>32</v>
      </c>
      <c r="X43" s="263">
        <v>-13</v>
      </c>
      <c r="Y43" s="263">
        <v>32</v>
      </c>
      <c r="Z43" s="263">
        <v>-15</v>
      </c>
      <c r="AA43" s="263">
        <v>137</v>
      </c>
      <c r="AB43" s="263">
        <v>242</v>
      </c>
      <c r="AC43" s="263">
        <v>-37</v>
      </c>
      <c r="AD43" s="263">
        <v>106</v>
      </c>
      <c r="AE43" s="263">
        <v>122</v>
      </c>
      <c r="AF43" s="263">
        <v>149</v>
      </c>
      <c r="AG43" s="263">
        <v>-17</v>
      </c>
      <c r="AH43" s="263" t="s">
        <v>291</v>
      </c>
      <c r="AI43" s="263" t="s">
        <v>291</v>
      </c>
      <c r="AJ43" s="263" t="s">
        <v>291</v>
      </c>
    </row>
    <row r="44" spans="1:36" ht="15">
      <c r="A44" s="263" t="s">
        <v>433</v>
      </c>
      <c r="B44" s="263">
        <v>-389</v>
      </c>
      <c r="C44" s="263">
        <v>-41</v>
      </c>
      <c r="D44" s="263">
        <v>107</v>
      </c>
      <c r="E44" s="263">
        <v>19</v>
      </c>
      <c r="F44" s="263">
        <v>356</v>
      </c>
      <c r="G44" s="263">
        <v>1174</v>
      </c>
      <c r="H44" s="263">
        <v>1246</v>
      </c>
      <c r="I44" s="263">
        <v>225</v>
      </c>
      <c r="J44" s="263">
        <v>1888</v>
      </c>
      <c r="K44" s="263">
        <v>1856</v>
      </c>
      <c r="L44" s="263">
        <v>2425</v>
      </c>
      <c r="M44" s="263">
        <v>2315</v>
      </c>
      <c r="N44" s="263">
        <v>1524</v>
      </c>
      <c r="O44" s="263">
        <v>2045</v>
      </c>
      <c r="P44" s="263">
        <v>2994</v>
      </c>
      <c r="Q44" s="263">
        <v>4080</v>
      </c>
      <c r="R44" s="263">
        <v>2195</v>
      </c>
      <c r="S44" s="263">
        <v>5106</v>
      </c>
      <c r="T44" s="263">
        <v>3085</v>
      </c>
      <c r="U44" s="263">
        <v>3293</v>
      </c>
      <c r="V44" s="263">
        <v>2557</v>
      </c>
      <c r="W44" s="263">
        <v>4513</v>
      </c>
      <c r="X44" s="263">
        <v>6298</v>
      </c>
      <c r="Y44" s="263">
        <v>4889</v>
      </c>
      <c r="Z44" s="263">
        <v>8202</v>
      </c>
      <c r="AA44" s="263">
        <v>8039</v>
      </c>
      <c r="AB44" s="263">
        <v>8166</v>
      </c>
      <c r="AC44" s="263">
        <v>6219</v>
      </c>
      <c r="AD44" s="263">
        <v>6947</v>
      </c>
      <c r="AE44" s="263">
        <v>8085</v>
      </c>
      <c r="AF44" s="263">
        <v>7720</v>
      </c>
      <c r="AG44" s="263">
        <v>5845</v>
      </c>
      <c r="AH44" s="263">
        <v>4724</v>
      </c>
      <c r="AI44" s="263">
        <v>4195</v>
      </c>
      <c r="AJ44" s="263">
        <v>4859</v>
      </c>
    </row>
    <row r="45" spans="1:36" ht="15">
      <c r="A45" s="263" t="s">
        <v>432</v>
      </c>
      <c r="B45" s="263">
        <v>4</v>
      </c>
      <c r="C45" s="263">
        <v>11</v>
      </c>
      <c r="D45" s="263">
        <v>8</v>
      </c>
      <c r="E45" s="263">
        <v>-7</v>
      </c>
      <c r="F45" s="263">
        <v>7</v>
      </c>
      <c r="G45" s="263">
        <v>22</v>
      </c>
      <c r="H45" s="263">
        <v>14</v>
      </c>
      <c r="I45" s="263">
        <v>10</v>
      </c>
      <c r="J45" s="263">
        <v>31</v>
      </c>
      <c r="K45" s="263">
        <v>13</v>
      </c>
      <c r="L45" s="263">
        <v>203</v>
      </c>
      <c r="M45" s="263">
        <v>143</v>
      </c>
      <c r="N45" s="263">
        <v>272</v>
      </c>
      <c r="O45" s="263">
        <v>334</v>
      </c>
      <c r="P45" s="263">
        <v>298</v>
      </c>
      <c r="Q45" s="263">
        <v>244</v>
      </c>
      <c r="R45" s="263">
        <v>-96</v>
      </c>
      <c r="S45" s="263">
        <v>-29</v>
      </c>
      <c r="T45" s="263">
        <v>-42</v>
      </c>
      <c r="U45" s="263">
        <v>45</v>
      </c>
      <c r="V45" s="263">
        <v>17</v>
      </c>
      <c r="W45" s="263">
        <v>212</v>
      </c>
      <c r="X45" s="263">
        <v>340</v>
      </c>
      <c r="Y45" s="263">
        <v>231</v>
      </c>
      <c r="Z45" s="263">
        <v>159</v>
      </c>
      <c r="AA45" s="263">
        <v>151</v>
      </c>
      <c r="AB45" s="263">
        <v>72</v>
      </c>
      <c r="AC45" s="263">
        <v>-83</v>
      </c>
      <c r="AD45" s="263">
        <v>181</v>
      </c>
      <c r="AE45" s="263">
        <v>123</v>
      </c>
      <c r="AF45" s="263">
        <v>128</v>
      </c>
      <c r="AG45" s="263">
        <v>105</v>
      </c>
      <c r="AH45" s="263" t="s">
        <v>291</v>
      </c>
      <c r="AI45" s="263">
        <v>88</v>
      </c>
      <c r="AJ45" s="263" t="s">
        <v>291</v>
      </c>
    </row>
    <row r="46" spans="1:36" ht="15">
      <c r="A46" s="263" t="s">
        <v>431</v>
      </c>
      <c r="B46" s="263">
        <v>-6</v>
      </c>
      <c r="C46" s="263">
        <v>8</v>
      </c>
      <c r="D46" s="263">
        <v>1</v>
      </c>
      <c r="E46" s="263">
        <v>-19</v>
      </c>
      <c r="F46" s="263">
        <v>-9</v>
      </c>
      <c r="G46" s="263">
        <v>-13</v>
      </c>
      <c r="H46" s="263">
        <v>16</v>
      </c>
      <c r="I46" s="263">
        <v>-8</v>
      </c>
      <c r="J46" s="263">
        <v>8</v>
      </c>
      <c r="K46" s="263">
        <v>-15</v>
      </c>
      <c r="L46" s="263">
        <v>4</v>
      </c>
      <c r="M46" s="263">
        <v>17</v>
      </c>
      <c r="N46" s="263">
        <v>27</v>
      </c>
      <c r="O46" s="263">
        <v>25</v>
      </c>
      <c r="P46" s="263">
        <v>49</v>
      </c>
      <c r="Q46" s="263">
        <v>57</v>
      </c>
      <c r="R46" s="263">
        <v>69</v>
      </c>
      <c r="S46" s="263" t="s">
        <v>273</v>
      </c>
      <c r="T46" s="263" t="s">
        <v>273</v>
      </c>
      <c r="U46" s="263" t="s">
        <v>273</v>
      </c>
      <c r="V46" s="263" t="s">
        <v>273</v>
      </c>
      <c r="W46" s="263" t="s">
        <v>273</v>
      </c>
      <c r="X46" s="263" t="s">
        <v>273</v>
      </c>
      <c r="Y46" s="263" t="s">
        <v>273</v>
      </c>
      <c r="Z46" s="263" t="s">
        <v>273</v>
      </c>
      <c r="AA46" s="263" t="s">
        <v>273</v>
      </c>
      <c r="AB46" s="263" t="s">
        <v>273</v>
      </c>
      <c r="AC46" s="263" t="s">
        <v>273</v>
      </c>
      <c r="AD46" s="263" t="s">
        <v>273</v>
      </c>
      <c r="AE46" s="263" t="s">
        <v>273</v>
      </c>
      <c r="AF46" s="263" t="s">
        <v>273</v>
      </c>
      <c r="AG46" s="263" t="s">
        <v>273</v>
      </c>
      <c r="AH46" s="263" t="s">
        <v>273</v>
      </c>
      <c r="AI46" s="263" t="s">
        <v>273</v>
      </c>
      <c r="AJ46" s="263" t="s">
        <v>273</v>
      </c>
    </row>
    <row r="47" spans="1:36" ht="15">
      <c r="A47" s="263" t="s">
        <v>430</v>
      </c>
      <c r="B47" s="263">
        <v>-23</v>
      </c>
      <c r="C47" s="263">
        <v>-5</v>
      </c>
      <c r="D47" s="263">
        <v>-11</v>
      </c>
      <c r="E47" s="263">
        <v>10</v>
      </c>
      <c r="F47" s="263">
        <v>15</v>
      </c>
      <c r="G47" s="263">
        <v>46</v>
      </c>
      <c r="H47" s="263">
        <v>37</v>
      </c>
      <c r="I47" s="263">
        <v>-3</v>
      </c>
      <c r="J47" s="263">
        <v>-11</v>
      </c>
      <c r="K47" s="263">
        <v>-7</v>
      </c>
      <c r="L47" s="263">
        <v>-35</v>
      </c>
      <c r="M47" s="263">
        <v>1</v>
      </c>
      <c r="N47" s="263">
        <v>-9</v>
      </c>
      <c r="O47" s="263">
        <v>18</v>
      </c>
      <c r="P47" s="263">
        <v>-11</v>
      </c>
      <c r="Q47" s="263">
        <v>32</v>
      </c>
      <c r="R47" s="263">
        <v>-53</v>
      </c>
      <c r="S47" s="263">
        <v>3</v>
      </c>
      <c r="T47" s="263">
        <v>62</v>
      </c>
      <c r="U47" s="263">
        <v>31</v>
      </c>
      <c r="V47" s="263">
        <v>12</v>
      </c>
      <c r="W47" s="263">
        <v>57</v>
      </c>
      <c r="X47" s="263">
        <v>73</v>
      </c>
      <c r="Y47" s="263">
        <v>25</v>
      </c>
      <c r="Z47" s="263">
        <v>54</v>
      </c>
      <c r="AA47" s="263">
        <v>24</v>
      </c>
      <c r="AB47" s="263">
        <v>-15</v>
      </c>
      <c r="AC47" s="263">
        <v>26</v>
      </c>
      <c r="AD47" s="263">
        <v>65</v>
      </c>
      <c r="AE47" s="263">
        <v>38</v>
      </c>
      <c r="AF47" s="263">
        <v>48</v>
      </c>
      <c r="AG47" s="263">
        <v>14</v>
      </c>
      <c r="AH47" s="263">
        <v>3</v>
      </c>
      <c r="AI47" s="263">
        <v>39</v>
      </c>
      <c r="AJ47" s="263">
        <v>81</v>
      </c>
    </row>
    <row r="48" spans="1:36" ht="15">
      <c r="A48" s="263" t="s">
        <v>429</v>
      </c>
      <c r="B48" s="263">
        <v>-322</v>
      </c>
      <c r="C48" s="263">
        <v>-363</v>
      </c>
      <c r="D48" s="263">
        <v>117</v>
      </c>
      <c r="E48" s="263">
        <v>84</v>
      </c>
      <c r="F48" s="263">
        <v>-308</v>
      </c>
      <c r="G48" s="263">
        <v>525</v>
      </c>
      <c r="H48" s="263">
        <v>921</v>
      </c>
      <c r="I48" s="263">
        <v>733</v>
      </c>
      <c r="J48" s="263">
        <v>1201</v>
      </c>
      <c r="K48" s="263">
        <v>1344</v>
      </c>
      <c r="L48" s="263">
        <v>1645</v>
      </c>
      <c r="M48" s="263">
        <v>1585</v>
      </c>
      <c r="N48" s="263">
        <v>831</v>
      </c>
      <c r="O48" s="263">
        <v>889</v>
      </c>
      <c r="P48" s="263">
        <v>1981</v>
      </c>
      <c r="Q48" s="263">
        <v>2732</v>
      </c>
      <c r="R48" s="263">
        <v>2154</v>
      </c>
      <c r="S48" s="263">
        <v>2993</v>
      </c>
      <c r="T48" s="263">
        <v>2624</v>
      </c>
      <c r="U48" s="263">
        <v>2801</v>
      </c>
      <c r="V48" s="263">
        <v>1846</v>
      </c>
      <c r="W48" s="263">
        <v>3802</v>
      </c>
      <c r="X48" s="263">
        <v>5512</v>
      </c>
      <c r="Y48" s="263">
        <v>4783</v>
      </c>
      <c r="Z48" s="263">
        <v>7640</v>
      </c>
      <c r="AA48" s="263">
        <v>7223</v>
      </c>
      <c r="AB48" s="263">
        <v>7519</v>
      </c>
      <c r="AC48" s="263">
        <v>6012</v>
      </c>
      <c r="AD48" s="263">
        <v>6248</v>
      </c>
      <c r="AE48" s="263">
        <v>7880</v>
      </c>
      <c r="AF48" s="263">
        <v>7314</v>
      </c>
      <c r="AG48" s="263">
        <v>5643</v>
      </c>
      <c r="AH48" s="263">
        <v>4698</v>
      </c>
      <c r="AI48" s="263">
        <v>4083</v>
      </c>
      <c r="AJ48" s="263">
        <v>4287</v>
      </c>
    </row>
    <row r="49" spans="1:36" ht="15">
      <c r="A49" s="263" t="s">
        <v>428</v>
      </c>
      <c r="B49" s="263">
        <v>-16</v>
      </c>
      <c r="C49" s="263">
        <v>372</v>
      </c>
      <c r="D49" s="263">
        <v>-5</v>
      </c>
      <c r="E49" s="263">
        <v>-36</v>
      </c>
      <c r="F49" s="263">
        <v>636</v>
      </c>
      <c r="G49" s="263">
        <v>556</v>
      </c>
      <c r="H49" s="263">
        <v>251</v>
      </c>
      <c r="I49" s="263">
        <v>-501</v>
      </c>
      <c r="J49" s="263">
        <v>667</v>
      </c>
      <c r="K49" s="263">
        <v>531</v>
      </c>
      <c r="L49" s="263">
        <v>601</v>
      </c>
      <c r="M49" s="263">
        <v>554</v>
      </c>
      <c r="N49" s="263">
        <v>386</v>
      </c>
      <c r="O49" s="263">
        <v>762</v>
      </c>
      <c r="P49" s="263">
        <v>646</v>
      </c>
      <c r="Q49" s="263">
        <v>954</v>
      </c>
      <c r="R49" s="263">
        <v>45</v>
      </c>
      <c r="S49" s="263">
        <v>2020</v>
      </c>
      <c r="T49" s="263">
        <v>343</v>
      </c>
      <c r="U49" s="263">
        <v>314</v>
      </c>
      <c r="V49" s="263">
        <v>537</v>
      </c>
      <c r="W49" s="263">
        <v>334</v>
      </c>
      <c r="X49" s="263">
        <v>272</v>
      </c>
      <c r="Y49" s="263">
        <v>-201</v>
      </c>
      <c r="Z49" s="263">
        <v>306</v>
      </c>
      <c r="AA49" s="263">
        <v>402</v>
      </c>
      <c r="AB49" s="263">
        <v>469</v>
      </c>
      <c r="AC49" s="263">
        <v>104</v>
      </c>
      <c r="AD49" s="263">
        <v>184</v>
      </c>
      <c r="AE49" s="263">
        <v>-34</v>
      </c>
      <c r="AF49" s="263">
        <v>-13</v>
      </c>
      <c r="AG49" s="263" t="s">
        <v>291</v>
      </c>
      <c r="AH49" s="263" t="s">
        <v>291</v>
      </c>
      <c r="AI49" s="263" t="s">
        <v>291</v>
      </c>
      <c r="AJ49" s="263">
        <v>260</v>
      </c>
    </row>
    <row r="50" spans="1:36" ht="15">
      <c r="A50" s="263" t="s">
        <v>67</v>
      </c>
      <c r="B50" s="263">
        <v>-25</v>
      </c>
      <c r="C50" s="263">
        <v>-66</v>
      </c>
      <c r="D50" s="263">
        <v>-2</v>
      </c>
      <c r="E50" s="263">
        <v>-11</v>
      </c>
      <c r="F50" s="263">
        <v>14</v>
      </c>
      <c r="G50" s="263">
        <v>38</v>
      </c>
      <c r="H50" s="263">
        <v>7</v>
      </c>
      <c r="I50" s="263">
        <v>-6</v>
      </c>
      <c r="J50" s="263">
        <v>-8</v>
      </c>
      <c r="K50" s="263">
        <v>-10</v>
      </c>
      <c r="L50" s="263">
        <v>7</v>
      </c>
      <c r="M50" s="263">
        <v>15</v>
      </c>
      <c r="N50" s="263">
        <v>17</v>
      </c>
      <c r="O50" s="263">
        <v>18</v>
      </c>
      <c r="P50" s="263">
        <v>30</v>
      </c>
      <c r="Q50" s="263">
        <v>62</v>
      </c>
      <c r="R50" s="263">
        <v>77</v>
      </c>
      <c r="S50" s="263">
        <v>119</v>
      </c>
      <c r="T50" s="263">
        <v>98</v>
      </c>
      <c r="U50" s="263">
        <v>102</v>
      </c>
      <c r="V50" s="263">
        <v>146</v>
      </c>
      <c r="W50" s="263">
        <v>107</v>
      </c>
      <c r="X50" s="263">
        <v>101</v>
      </c>
      <c r="Y50" s="263">
        <v>50</v>
      </c>
      <c r="Z50" s="263">
        <v>43</v>
      </c>
      <c r="AA50" s="263">
        <v>238</v>
      </c>
      <c r="AB50" s="263">
        <v>121</v>
      </c>
      <c r="AC50" s="263">
        <v>161</v>
      </c>
      <c r="AD50" s="263">
        <v>269</v>
      </c>
      <c r="AE50" s="263">
        <v>77</v>
      </c>
      <c r="AF50" s="263">
        <v>242</v>
      </c>
      <c r="AG50" s="263" t="s">
        <v>291</v>
      </c>
      <c r="AH50" s="263" t="s">
        <v>291</v>
      </c>
      <c r="AI50" s="263" t="s">
        <v>291</v>
      </c>
      <c r="AJ50" s="263" t="s">
        <v>291</v>
      </c>
    </row>
    <row r="51" spans="1:36" ht="15">
      <c r="A51" s="263" t="s">
        <v>423</v>
      </c>
      <c r="B51" s="263">
        <v>1876</v>
      </c>
      <c r="C51" s="263">
        <v>2989</v>
      </c>
      <c r="D51" s="263">
        <v>3232</v>
      </c>
      <c r="E51" s="263">
        <v>1949</v>
      </c>
      <c r="F51" s="263">
        <v>998</v>
      </c>
      <c r="G51" s="263">
        <v>1346</v>
      </c>
      <c r="H51" s="263">
        <v>1358</v>
      </c>
      <c r="I51" s="263">
        <v>-958</v>
      </c>
      <c r="J51" s="263">
        <v>1798</v>
      </c>
      <c r="K51" s="263">
        <v>1801</v>
      </c>
      <c r="L51" s="263">
        <v>1779</v>
      </c>
      <c r="M51" s="263">
        <v>1839</v>
      </c>
      <c r="N51" s="263">
        <v>2506</v>
      </c>
      <c r="O51" s="263">
        <v>3012</v>
      </c>
      <c r="P51" s="263">
        <v>2960</v>
      </c>
      <c r="Q51" s="263">
        <v>3708</v>
      </c>
      <c r="R51" s="263">
        <v>135</v>
      </c>
      <c r="S51" s="263">
        <v>3828</v>
      </c>
      <c r="T51" s="263">
        <v>4268</v>
      </c>
      <c r="U51" s="263">
        <v>3894</v>
      </c>
      <c r="V51" s="263">
        <v>4920</v>
      </c>
      <c r="W51" s="263">
        <v>6762</v>
      </c>
      <c r="X51" s="263">
        <v>13355</v>
      </c>
      <c r="Y51" s="263">
        <v>-15618</v>
      </c>
      <c r="Z51" s="263">
        <v>19060</v>
      </c>
      <c r="AA51" s="263">
        <v>25698</v>
      </c>
      <c r="AB51" s="263">
        <v>27569</v>
      </c>
      <c r="AC51" s="263">
        <v>28332</v>
      </c>
      <c r="AD51" s="263">
        <v>46363</v>
      </c>
      <c r="AE51" s="263">
        <v>42652</v>
      </c>
      <c r="AF51" s="263">
        <v>44369</v>
      </c>
      <c r="AG51" s="263">
        <v>46389</v>
      </c>
      <c r="AH51" s="263">
        <v>41887</v>
      </c>
      <c r="AI51" s="263">
        <v>36572</v>
      </c>
      <c r="AJ51" s="263">
        <v>44032</v>
      </c>
    </row>
    <row r="52" spans="1:36" ht="15">
      <c r="A52" s="263" t="s">
        <v>422</v>
      </c>
      <c r="B52" s="263">
        <v>-153</v>
      </c>
      <c r="C52" s="263">
        <v>452</v>
      </c>
      <c r="D52" s="263">
        <v>405</v>
      </c>
      <c r="E52" s="263">
        <v>48</v>
      </c>
      <c r="F52" s="263">
        <v>-105</v>
      </c>
      <c r="G52" s="263">
        <v>-459</v>
      </c>
      <c r="H52" s="263">
        <v>-174</v>
      </c>
      <c r="I52" s="263">
        <v>-449</v>
      </c>
      <c r="J52" s="263">
        <v>-147</v>
      </c>
      <c r="K52" s="263">
        <v>-361</v>
      </c>
      <c r="L52" s="263">
        <v>529</v>
      </c>
      <c r="M52" s="263">
        <v>-517</v>
      </c>
      <c r="N52" s="263">
        <v>-143</v>
      </c>
      <c r="O52" s="263">
        <v>-507</v>
      </c>
      <c r="P52" s="263">
        <v>-392</v>
      </c>
      <c r="Q52" s="263">
        <v>-614</v>
      </c>
      <c r="R52" s="263">
        <v>-1401</v>
      </c>
      <c r="S52" s="263" t="s">
        <v>273</v>
      </c>
      <c r="T52" s="263" t="s">
        <v>273</v>
      </c>
      <c r="U52" s="263" t="s">
        <v>273</v>
      </c>
      <c r="V52" s="263" t="s">
        <v>273</v>
      </c>
      <c r="W52" s="263" t="s">
        <v>273</v>
      </c>
      <c r="X52" s="263" t="s">
        <v>273</v>
      </c>
      <c r="Y52" s="263" t="s">
        <v>273</v>
      </c>
      <c r="Z52" s="263" t="s">
        <v>273</v>
      </c>
      <c r="AA52" s="263" t="s">
        <v>273</v>
      </c>
      <c r="AB52" s="263" t="s">
        <v>273</v>
      </c>
      <c r="AC52" s="263" t="s">
        <v>273</v>
      </c>
      <c r="AD52" s="263" t="s">
        <v>273</v>
      </c>
      <c r="AE52" s="263" t="s">
        <v>273</v>
      </c>
      <c r="AF52" s="263" t="s">
        <v>273</v>
      </c>
      <c r="AG52" s="263" t="s">
        <v>273</v>
      </c>
      <c r="AH52" s="263" t="s">
        <v>273</v>
      </c>
      <c r="AI52" s="263" t="s">
        <v>273</v>
      </c>
      <c r="AJ52" s="263" t="s">
        <v>273</v>
      </c>
    </row>
    <row r="53" spans="1:36" ht="15">
      <c r="A53" s="263" t="s">
        <v>421</v>
      </c>
      <c r="B53" s="263">
        <v>3</v>
      </c>
      <c r="C53" s="263">
        <v>6</v>
      </c>
      <c r="D53" s="263">
        <v>5</v>
      </c>
      <c r="E53" s="263">
        <v>23</v>
      </c>
      <c r="F53" s="263">
        <v>-14</v>
      </c>
      <c r="G53" s="263">
        <v>15</v>
      </c>
      <c r="H53" s="263">
        <v>30</v>
      </c>
      <c r="I53" s="263">
        <v>7</v>
      </c>
      <c r="J53" s="263">
        <v>95</v>
      </c>
      <c r="K53" s="263">
        <v>108</v>
      </c>
      <c r="L53" s="263">
        <v>174</v>
      </c>
      <c r="M53" s="263">
        <v>84</v>
      </c>
      <c r="N53" s="263">
        <v>30</v>
      </c>
      <c r="O53" s="263">
        <v>164</v>
      </c>
      <c r="P53" s="263">
        <v>167</v>
      </c>
      <c r="Q53" s="263">
        <v>164</v>
      </c>
      <c r="R53" s="263">
        <v>105</v>
      </c>
      <c r="S53" s="263">
        <v>257</v>
      </c>
      <c r="T53" s="263">
        <v>199</v>
      </c>
      <c r="U53" s="263">
        <v>332</v>
      </c>
      <c r="V53" s="263">
        <v>324</v>
      </c>
      <c r="W53" s="263">
        <v>258</v>
      </c>
      <c r="X53" s="263">
        <v>594</v>
      </c>
      <c r="Y53" s="263">
        <v>267</v>
      </c>
      <c r="Z53" s="263">
        <v>71</v>
      </c>
      <c r="AA53" s="263">
        <v>924</v>
      </c>
      <c r="AB53" s="263">
        <v>1325</v>
      </c>
      <c r="AC53" s="263">
        <v>51</v>
      </c>
      <c r="AD53" s="263">
        <v>1518</v>
      </c>
      <c r="AE53" s="263">
        <v>1852</v>
      </c>
      <c r="AF53" s="263">
        <v>1370</v>
      </c>
      <c r="AG53" s="263">
        <v>817</v>
      </c>
      <c r="AH53" s="263">
        <v>1362</v>
      </c>
      <c r="AI53" s="263" t="s">
        <v>291</v>
      </c>
      <c r="AJ53" s="263" t="s">
        <v>291</v>
      </c>
    </row>
    <row r="54" spans="1:36" ht="15">
      <c r="A54" s="263" t="s">
        <v>420</v>
      </c>
      <c r="B54" s="263">
        <v>632</v>
      </c>
      <c r="C54" s="263">
        <v>891</v>
      </c>
      <c r="D54" s="263">
        <v>1100</v>
      </c>
      <c r="E54" s="263">
        <v>385</v>
      </c>
      <c r="F54" s="263">
        <v>1183</v>
      </c>
      <c r="G54" s="263">
        <v>1063</v>
      </c>
      <c r="H54" s="263">
        <v>1494</v>
      </c>
      <c r="I54" s="263">
        <v>-889</v>
      </c>
      <c r="J54" s="263">
        <v>1451</v>
      </c>
      <c r="K54" s="263">
        <v>1362</v>
      </c>
      <c r="L54" s="263">
        <v>909</v>
      </c>
      <c r="M54" s="263">
        <v>2174</v>
      </c>
      <c r="N54" s="263">
        <v>2085</v>
      </c>
      <c r="O54" s="263">
        <v>2343</v>
      </c>
      <c r="P54" s="263">
        <v>2613</v>
      </c>
      <c r="Q54" s="263">
        <v>2767</v>
      </c>
      <c r="R54" s="263">
        <v>2157</v>
      </c>
      <c r="S54" s="263">
        <v>3021</v>
      </c>
      <c r="T54" s="263">
        <v>4110</v>
      </c>
      <c r="U54" s="263">
        <v>2485</v>
      </c>
      <c r="V54" s="263">
        <v>2066</v>
      </c>
      <c r="W54" s="263">
        <v>3462</v>
      </c>
      <c r="X54" s="263">
        <v>5538</v>
      </c>
      <c r="Y54" s="263">
        <v>-5326</v>
      </c>
      <c r="Z54" s="263">
        <v>12241</v>
      </c>
      <c r="AA54" s="263">
        <v>14370</v>
      </c>
      <c r="AB54" s="263">
        <v>9689</v>
      </c>
      <c r="AC54" s="263">
        <v>13241</v>
      </c>
      <c r="AD54" s="263">
        <v>23104</v>
      </c>
      <c r="AE54" s="263">
        <v>24301</v>
      </c>
      <c r="AF54" s="263">
        <v>22330</v>
      </c>
      <c r="AG54" s="263">
        <v>26959</v>
      </c>
      <c r="AH54" s="263">
        <v>22947</v>
      </c>
      <c r="AI54" s="263">
        <v>19663</v>
      </c>
      <c r="AJ54" s="263">
        <v>23864</v>
      </c>
    </row>
    <row r="55" spans="1:36" ht="15">
      <c r="A55" s="263" t="s">
        <v>419</v>
      </c>
      <c r="B55" s="263">
        <v>-1</v>
      </c>
      <c r="C55" s="263">
        <v>15</v>
      </c>
      <c r="D55" s="263">
        <v>9</v>
      </c>
      <c r="E55" s="263">
        <v>15</v>
      </c>
      <c r="F55" s="263">
        <v>2</v>
      </c>
      <c r="G55" s="263">
        <v>12</v>
      </c>
      <c r="H55" s="263">
        <v>11</v>
      </c>
      <c r="I55" s="263">
        <v>90</v>
      </c>
      <c r="J55" s="263">
        <v>150</v>
      </c>
      <c r="K55" s="263">
        <v>162</v>
      </c>
      <c r="L55" s="263">
        <v>132</v>
      </c>
      <c r="M55" s="263">
        <v>197</v>
      </c>
      <c r="N55" s="263">
        <v>-10</v>
      </c>
      <c r="O55" s="263">
        <v>58</v>
      </c>
      <c r="P55" s="263">
        <v>56</v>
      </c>
      <c r="Q55" s="263">
        <v>90</v>
      </c>
      <c r="R55" s="263">
        <v>95</v>
      </c>
      <c r="S55" s="263">
        <v>96</v>
      </c>
      <c r="T55" s="263">
        <v>220</v>
      </c>
      <c r="U55" s="263">
        <v>110</v>
      </c>
      <c r="V55" s="263">
        <v>53</v>
      </c>
      <c r="W55" s="263">
        <v>-70</v>
      </c>
      <c r="X55" s="263">
        <v>45</v>
      </c>
      <c r="Y55" s="263">
        <v>-5</v>
      </c>
      <c r="Z55" s="263">
        <v>17</v>
      </c>
      <c r="AA55" s="263">
        <v>-19</v>
      </c>
      <c r="AB55" s="263">
        <v>-98</v>
      </c>
      <c r="AC55" s="263">
        <v>102</v>
      </c>
      <c r="AD55" s="263">
        <v>180</v>
      </c>
      <c r="AE55" s="263">
        <v>177</v>
      </c>
      <c r="AF55" s="263">
        <v>199</v>
      </c>
      <c r="AG55" s="263">
        <v>141</v>
      </c>
      <c r="AH55" s="263" t="s">
        <v>291</v>
      </c>
      <c r="AI55" s="263" t="s">
        <v>291</v>
      </c>
      <c r="AJ55" s="263" t="s">
        <v>291</v>
      </c>
    </row>
    <row r="56" spans="1:36" ht="15">
      <c r="A56" s="263" t="s">
        <v>418</v>
      </c>
      <c r="B56" s="263">
        <v>-24</v>
      </c>
      <c r="C56" s="263">
        <v>-1</v>
      </c>
      <c r="D56" s="263">
        <v>5</v>
      </c>
      <c r="E56" s="263">
        <v>3</v>
      </c>
      <c r="F56" s="263">
        <v>-1</v>
      </c>
      <c r="G56" s="263">
        <v>21</v>
      </c>
      <c r="H56" s="263">
        <v>55</v>
      </c>
      <c r="I56" s="263">
        <v>131</v>
      </c>
      <c r="J56" s="263">
        <v>125</v>
      </c>
      <c r="K56" s="263">
        <v>84</v>
      </c>
      <c r="L56" s="263">
        <v>85</v>
      </c>
      <c r="M56" s="263">
        <v>-9</v>
      </c>
      <c r="N56" s="263">
        <v>65</v>
      </c>
      <c r="O56" s="263">
        <v>13</v>
      </c>
      <c r="P56" s="263">
        <v>69</v>
      </c>
      <c r="Q56" s="263">
        <v>90</v>
      </c>
      <c r="R56" s="263">
        <v>35</v>
      </c>
      <c r="S56" s="263" t="s">
        <v>273</v>
      </c>
      <c r="T56" s="263" t="s">
        <v>273</v>
      </c>
      <c r="U56" s="263" t="s">
        <v>273</v>
      </c>
      <c r="V56" s="263" t="s">
        <v>273</v>
      </c>
      <c r="W56" s="263" t="s">
        <v>273</v>
      </c>
      <c r="X56" s="263" t="s">
        <v>273</v>
      </c>
      <c r="Y56" s="263" t="s">
        <v>273</v>
      </c>
      <c r="Z56" s="263" t="s">
        <v>273</v>
      </c>
      <c r="AA56" s="263" t="s">
        <v>273</v>
      </c>
      <c r="AB56" s="263" t="s">
        <v>273</v>
      </c>
      <c r="AC56" s="263" t="s">
        <v>273</v>
      </c>
      <c r="AD56" s="263" t="s">
        <v>273</v>
      </c>
      <c r="AE56" s="263" t="s">
        <v>273</v>
      </c>
      <c r="AF56" s="263" t="s">
        <v>273</v>
      </c>
      <c r="AG56" s="263" t="s">
        <v>273</v>
      </c>
      <c r="AH56" s="263" t="s">
        <v>273</v>
      </c>
      <c r="AI56" s="263" t="s">
        <v>273</v>
      </c>
      <c r="AJ56" s="263" t="s">
        <v>273</v>
      </c>
    </row>
    <row r="57" spans="1:36" ht="15">
      <c r="A57" s="263" t="s">
        <v>417</v>
      </c>
      <c r="B57" s="263">
        <v>862</v>
      </c>
      <c r="C57" s="263">
        <v>975</v>
      </c>
      <c r="D57" s="263">
        <v>998</v>
      </c>
      <c r="E57" s="263">
        <v>899</v>
      </c>
      <c r="F57" s="263">
        <v>-360</v>
      </c>
      <c r="G57" s="263">
        <v>548</v>
      </c>
      <c r="H57" s="263">
        <v>54</v>
      </c>
      <c r="I57" s="263">
        <v>277</v>
      </c>
      <c r="J57" s="263">
        <v>30</v>
      </c>
      <c r="K57" s="263">
        <v>250</v>
      </c>
      <c r="L57" s="263">
        <v>110</v>
      </c>
      <c r="M57" s="263">
        <v>-63</v>
      </c>
      <c r="N57" s="263">
        <v>313</v>
      </c>
      <c r="O57" s="263">
        <v>297</v>
      </c>
      <c r="P57" s="263">
        <v>259</v>
      </c>
      <c r="Q57" s="263">
        <v>151</v>
      </c>
      <c r="R57" s="263">
        <v>-90</v>
      </c>
      <c r="S57" s="263" t="s">
        <v>273</v>
      </c>
      <c r="T57" s="263" t="s">
        <v>273</v>
      </c>
      <c r="U57" s="263" t="s">
        <v>273</v>
      </c>
      <c r="V57" s="263" t="s">
        <v>273</v>
      </c>
      <c r="W57" s="263" t="s">
        <v>273</v>
      </c>
      <c r="X57" s="263" t="s">
        <v>273</v>
      </c>
      <c r="Y57" s="263" t="s">
        <v>273</v>
      </c>
      <c r="Z57" s="263" t="s">
        <v>273</v>
      </c>
      <c r="AA57" s="263" t="s">
        <v>273</v>
      </c>
      <c r="AB57" s="263" t="s">
        <v>273</v>
      </c>
      <c r="AC57" s="263" t="s">
        <v>273</v>
      </c>
      <c r="AD57" s="263" t="s">
        <v>273</v>
      </c>
      <c r="AE57" s="263" t="s">
        <v>273</v>
      </c>
      <c r="AF57" s="263" t="s">
        <v>273</v>
      </c>
      <c r="AG57" s="263" t="s">
        <v>273</v>
      </c>
      <c r="AH57" s="263" t="s">
        <v>273</v>
      </c>
      <c r="AI57" s="263" t="s">
        <v>273</v>
      </c>
      <c r="AJ57" s="263" t="s">
        <v>273</v>
      </c>
    </row>
    <row r="58" spans="1:36" ht="15">
      <c r="A58" s="263" t="s">
        <v>416</v>
      </c>
      <c r="B58" s="263">
        <v>-30</v>
      </c>
      <c r="C58" s="263">
        <v>-149</v>
      </c>
      <c r="D58" s="263">
        <v>12</v>
      </c>
      <c r="E58" s="263">
        <v>-8</v>
      </c>
      <c r="F58" s="263">
        <v>-38</v>
      </c>
      <c r="G58" s="263">
        <v>-12</v>
      </c>
      <c r="H58" s="263">
        <v>-29</v>
      </c>
      <c r="I58" s="263">
        <v>23</v>
      </c>
      <c r="J58" s="263">
        <v>-9</v>
      </c>
      <c r="K58" s="263">
        <v>-11</v>
      </c>
      <c r="L58" s="263">
        <v>-15</v>
      </c>
      <c r="M58" s="263">
        <v>8</v>
      </c>
      <c r="N58" s="263">
        <v>-92</v>
      </c>
      <c r="O58" s="263">
        <v>62</v>
      </c>
      <c r="P58" s="263">
        <v>59</v>
      </c>
      <c r="Q58" s="263">
        <v>12</v>
      </c>
      <c r="R58" s="263">
        <v>31</v>
      </c>
      <c r="S58" s="263" t="s">
        <v>273</v>
      </c>
      <c r="T58" s="263" t="s">
        <v>273</v>
      </c>
      <c r="U58" s="263" t="s">
        <v>273</v>
      </c>
      <c r="V58" s="263" t="s">
        <v>273</v>
      </c>
      <c r="W58" s="263" t="s">
        <v>273</v>
      </c>
      <c r="X58" s="263" t="s">
        <v>273</v>
      </c>
      <c r="Y58" s="263" t="s">
        <v>273</v>
      </c>
      <c r="Z58" s="263" t="s">
        <v>273</v>
      </c>
      <c r="AA58" s="263" t="s">
        <v>273</v>
      </c>
      <c r="AB58" s="263" t="s">
        <v>273</v>
      </c>
      <c r="AC58" s="263" t="s">
        <v>273</v>
      </c>
      <c r="AD58" s="263" t="s">
        <v>273</v>
      </c>
      <c r="AE58" s="263" t="s">
        <v>273</v>
      </c>
      <c r="AF58" s="263" t="s">
        <v>273</v>
      </c>
      <c r="AG58" s="263" t="s">
        <v>273</v>
      </c>
      <c r="AH58" s="263" t="s">
        <v>273</v>
      </c>
      <c r="AI58" s="263" t="s">
        <v>273</v>
      </c>
      <c r="AJ58" s="263" t="s">
        <v>273</v>
      </c>
    </row>
    <row r="59" spans="1:36" ht="15">
      <c r="A59" s="263" t="s">
        <v>1042</v>
      </c>
      <c r="B59" s="263">
        <v>596</v>
      </c>
      <c r="C59" s="263">
        <v>787</v>
      </c>
      <c r="D59" s="263">
        <v>697</v>
      </c>
      <c r="E59" s="263">
        <v>581</v>
      </c>
      <c r="F59" s="263">
        <v>326</v>
      </c>
      <c r="G59" s="263">
        <v>142</v>
      </c>
      <c r="H59" s="263">
        <v>-97</v>
      </c>
      <c r="I59" s="263">
        <v>-19</v>
      </c>
      <c r="J59" s="263">
        <v>101</v>
      </c>
      <c r="K59" s="263">
        <v>193</v>
      </c>
      <c r="L59" s="263">
        <v>-87</v>
      </c>
      <c r="M59" s="263">
        <v>-46</v>
      </c>
      <c r="N59" s="263">
        <v>215</v>
      </c>
      <c r="O59" s="263">
        <v>480</v>
      </c>
      <c r="P59" s="263">
        <v>70</v>
      </c>
      <c r="Q59" s="263">
        <v>1025</v>
      </c>
      <c r="R59" s="263">
        <v>-902</v>
      </c>
      <c r="S59" s="263">
        <v>1002</v>
      </c>
      <c r="T59" s="263">
        <v>287</v>
      </c>
      <c r="U59" s="263">
        <v>314</v>
      </c>
      <c r="V59" s="263">
        <v>2517</v>
      </c>
      <c r="W59" s="263">
        <v>3483</v>
      </c>
      <c r="X59" s="263">
        <v>4825</v>
      </c>
      <c r="Y59" s="263">
        <v>-10123</v>
      </c>
      <c r="Z59" s="263">
        <v>2745</v>
      </c>
      <c r="AA59" s="263">
        <v>5500</v>
      </c>
      <c r="AB59" s="263">
        <v>11552</v>
      </c>
      <c r="AC59" s="263">
        <v>10983</v>
      </c>
      <c r="AD59" s="263">
        <v>17611</v>
      </c>
      <c r="AE59" s="263">
        <v>12395</v>
      </c>
      <c r="AF59" s="263">
        <v>20141</v>
      </c>
      <c r="AG59" s="263">
        <v>16221</v>
      </c>
      <c r="AH59" s="263">
        <v>15093</v>
      </c>
      <c r="AI59" s="263">
        <v>14854</v>
      </c>
      <c r="AJ59" s="263">
        <v>18991</v>
      </c>
    </row>
    <row r="60" spans="1:36" ht="15">
      <c r="A60" s="263" t="s">
        <v>67</v>
      </c>
      <c r="B60" s="263">
        <v>-9</v>
      </c>
      <c r="C60" s="263">
        <v>13</v>
      </c>
      <c r="D60" s="263">
        <v>1</v>
      </c>
      <c r="E60" s="263">
        <v>3</v>
      </c>
      <c r="F60" s="263">
        <v>5</v>
      </c>
      <c r="G60" s="263">
        <v>16</v>
      </c>
      <c r="H60" s="263">
        <v>14</v>
      </c>
      <c r="I60" s="263">
        <v>-128</v>
      </c>
      <c r="J60" s="263" t="s">
        <v>306</v>
      </c>
      <c r="K60" s="263">
        <v>15</v>
      </c>
      <c r="L60" s="263">
        <v>-58</v>
      </c>
      <c r="M60" s="263">
        <v>10</v>
      </c>
      <c r="N60" s="263">
        <v>43</v>
      </c>
      <c r="O60" s="263">
        <v>102</v>
      </c>
      <c r="P60" s="263">
        <v>58</v>
      </c>
      <c r="Q60" s="263">
        <v>24</v>
      </c>
      <c r="R60" s="263">
        <v>104</v>
      </c>
      <c r="S60" s="263">
        <v>-549</v>
      </c>
      <c r="T60" s="263">
        <v>-549</v>
      </c>
      <c r="U60" s="263">
        <v>653</v>
      </c>
      <c r="V60" s="263">
        <v>-41</v>
      </c>
      <c r="W60" s="263">
        <v>-371</v>
      </c>
      <c r="X60" s="263">
        <v>2353</v>
      </c>
      <c r="Y60" s="263">
        <v>-431</v>
      </c>
      <c r="Z60" s="263">
        <v>3986</v>
      </c>
      <c r="AA60" s="263">
        <v>4923</v>
      </c>
      <c r="AB60" s="263">
        <v>5102</v>
      </c>
      <c r="AC60" s="263">
        <v>3956</v>
      </c>
      <c r="AD60" s="263">
        <v>3951</v>
      </c>
      <c r="AE60" s="263">
        <v>3928</v>
      </c>
      <c r="AF60" s="263">
        <v>328</v>
      </c>
      <c r="AG60" s="263">
        <v>2252</v>
      </c>
      <c r="AH60" s="263" t="s">
        <v>291</v>
      </c>
      <c r="AI60" s="263">
        <v>709</v>
      </c>
      <c r="AJ60" s="263" t="s">
        <v>291</v>
      </c>
    </row>
    <row r="61" spans="1:36" ht="15">
      <c r="A61" s="263" t="s">
        <v>394</v>
      </c>
      <c r="B61" s="263">
        <v>-385</v>
      </c>
      <c r="C61" s="263">
        <v>-34</v>
      </c>
      <c r="D61" s="263">
        <v>431</v>
      </c>
      <c r="E61" s="263">
        <v>-109</v>
      </c>
      <c r="F61" s="263">
        <v>-589</v>
      </c>
      <c r="G61" s="263">
        <v>3</v>
      </c>
      <c r="H61" s="263">
        <v>-533</v>
      </c>
      <c r="I61" s="263">
        <v>-143</v>
      </c>
      <c r="J61" s="263">
        <v>-153</v>
      </c>
      <c r="K61" s="263">
        <v>-31</v>
      </c>
      <c r="L61" s="263">
        <v>-431</v>
      </c>
      <c r="M61" s="263">
        <v>313</v>
      </c>
      <c r="N61" s="263">
        <v>184</v>
      </c>
      <c r="O61" s="263">
        <v>-41</v>
      </c>
      <c r="P61" s="263">
        <v>-39</v>
      </c>
      <c r="Q61" s="263">
        <v>460</v>
      </c>
      <c r="R61" s="263">
        <v>240</v>
      </c>
      <c r="S61" s="263">
        <v>-1741</v>
      </c>
      <c r="T61" s="263">
        <v>1458</v>
      </c>
      <c r="U61" s="263">
        <v>775</v>
      </c>
      <c r="V61" s="263">
        <v>-277</v>
      </c>
      <c r="W61" s="263">
        <v>1695</v>
      </c>
      <c r="X61" s="263">
        <v>1579</v>
      </c>
      <c r="Y61" s="263">
        <v>3423</v>
      </c>
      <c r="Z61" s="263">
        <v>4230</v>
      </c>
      <c r="AA61" s="263">
        <v>2433</v>
      </c>
      <c r="AB61" s="263">
        <v>2860</v>
      </c>
      <c r="AC61" s="263">
        <v>3750</v>
      </c>
      <c r="AD61" s="263">
        <v>4903</v>
      </c>
      <c r="AE61" s="263">
        <v>6644</v>
      </c>
      <c r="AF61" s="263">
        <v>394</v>
      </c>
      <c r="AG61" s="263">
        <v>3555</v>
      </c>
      <c r="AH61" s="263">
        <v>1843</v>
      </c>
      <c r="AI61" s="263">
        <v>-220</v>
      </c>
      <c r="AJ61" s="263">
        <v>-7480</v>
      </c>
    </row>
    <row r="62" spans="1:36" ht="15">
      <c r="A62" s="263" t="s">
        <v>393</v>
      </c>
      <c r="B62" s="263">
        <v>45</v>
      </c>
      <c r="C62" s="263">
        <v>147</v>
      </c>
      <c r="D62" s="263">
        <v>297</v>
      </c>
      <c r="E62" s="263">
        <v>37</v>
      </c>
      <c r="F62" s="263">
        <v>-173</v>
      </c>
      <c r="G62" s="263">
        <v>-167</v>
      </c>
      <c r="H62" s="263">
        <v>-144</v>
      </c>
      <c r="I62" s="263">
        <v>80</v>
      </c>
      <c r="J62" s="263">
        <v>98</v>
      </c>
      <c r="K62" s="263">
        <v>-70</v>
      </c>
      <c r="L62" s="263">
        <v>-385</v>
      </c>
      <c r="M62" s="263">
        <v>107</v>
      </c>
      <c r="N62" s="263">
        <v>30</v>
      </c>
      <c r="O62" s="263">
        <v>156</v>
      </c>
      <c r="P62" s="263">
        <v>-131</v>
      </c>
      <c r="Q62" s="263">
        <v>52</v>
      </c>
      <c r="R62" s="263">
        <v>16</v>
      </c>
      <c r="S62" s="263">
        <v>-224</v>
      </c>
      <c r="T62" s="263">
        <v>324</v>
      </c>
      <c r="U62" s="263">
        <v>365</v>
      </c>
      <c r="V62" s="263">
        <v>246</v>
      </c>
      <c r="W62" s="263">
        <v>136</v>
      </c>
      <c r="X62" s="263">
        <v>624</v>
      </c>
      <c r="Y62" s="263">
        <v>859</v>
      </c>
      <c r="Z62" s="263">
        <v>1059</v>
      </c>
      <c r="AA62" s="263">
        <v>1395</v>
      </c>
      <c r="AB62" s="263">
        <v>1628</v>
      </c>
      <c r="AC62" s="263">
        <v>1474</v>
      </c>
      <c r="AD62" s="263">
        <v>1823</v>
      </c>
      <c r="AE62" s="263">
        <v>2303</v>
      </c>
      <c r="AF62" s="263">
        <v>2190</v>
      </c>
      <c r="AG62" s="263" t="s">
        <v>291</v>
      </c>
      <c r="AH62" s="263">
        <v>340</v>
      </c>
      <c r="AI62" s="263" t="s">
        <v>291</v>
      </c>
      <c r="AJ62" s="263">
        <v>133</v>
      </c>
    </row>
    <row r="63" spans="1:36" ht="15">
      <c r="A63" s="263" t="s">
        <v>392</v>
      </c>
      <c r="B63" s="263">
        <v>4</v>
      </c>
      <c r="C63" s="263">
        <v>128</v>
      </c>
      <c r="D63" s="263">
        <v>220</v>
      </c>
      <c r="E63" s="263">
        <v>147</v>
      </c>
      <c r="F63" s="263">
        <v>234</v>
      </c>
      <c r="G63" s="263">
        <v>135</v>
      </c>
      <c r="H63" s="263">
        <v>-381</v>
      </c>
      <c r="I63" s="263">
        <v>-117</v>
      </c>
      <c r="J63" s="263">
        <v>-173</v>
      </c>
      <c r="K63" s="263">
        <v>188</v>
      </c>
      <c r="L63" s="263">
        <v>-12</v>
      </c>
      <c r="M63" s="263">
        <v>-6</v>
      </c>
      <c r="N63" s="263">
        <v>-96</v>
      </c>
      <c r="O63" s="263">
        <v>210</v>
      </c>
      <c r="P63" s="263">
        <v>-71</v>
      </c>
      <c r="Q63" s="263">
        <v>-36</v>
      </c>
      <c r="R63" s="263">
        <v>-159</v>
      </c>
      <c r="S63" s="263">
        <v>-1693</v>
      </c>
      <c r="T63" s="263">
        <v>676</v>
      </c>
      <c r="U63" s="263">
        <v>269</v>
      </c>
      <c r="V63" s="263">
        <v>-513</v>
      </c>
      <c r="W63" s="263">
        <v>481</v>
      </c>
      <c r="X63" s="263">
        <v>-252</v>
      </c>
      <c r="Y63" s="263">
        <v>-14</v>
      </c>
      <c r="Z63" s="263">
        <v>500</v>
      </c>
      <c r="AA63" s="263">
        <v>864</v>
      </c>
      <c r="AB63" s="263">
        <v>1103</v>
      </c>
      <c r="AC63" s="263">
        <v>795</v>
      </c>
      <c r="AD63" s="263">
        <v>1011</v>
      </c>
      <c r="AE63" s="263">
        <v>1216</v>
      </c>
      <c r="AF63" s="263">
        <v>-2031</v>
      </c>
      <c r="AG63" s="263" t="s">
        <v>291</v>
      </c>
      <c r="AH63" s="263" t="s">
        <v>291</v>
      </c>
      <c r="AI63" s="263" t="s">
        <v>291</v>
      </c>
      <c r="AJ63" s="263" t="s">
        <v>291</v>
      </c>
    </row>
    <row r="64" spans="1:36" ht="15">
      <c r="A64" s="263" t="s">
        <v>391</v>
      </c>
      <c r="B64" s="263">
        <v>15</v>
      </c>
      <c r="C64" s="263">
        <v>56</v>
      </c>
      <c r="D64" s="263">
        <v>42</v>
      </c>
      <c r="E64" s="263">
        <v>-46</v>
      </c>
      <c r="F64" s="263">
        <v>112</v>
      </c>
      <c r="G64" s="263">
        <v>74</v>
      </c>
      <c r="H64" s="263">
        <v>40</v>
      </c>
      <c r="I64" s="263">
        <v>21</v>
      </c>
      <c r="J64" s="263">
        <v>88</v>
      </c>
      <c r="K64" s="263">
        <v>115</v>
      </c>
      <c r="L64" s="263">
        <v>87</v>
      </c>
      <c r="M64" s="263">
        <v>120</v>
      </c>
      <c r="N64" s="263">
        <v>102</v>
      </c>
      <c r="O64" s="263">
        <v>98</v>
      </c>
      <c r="P64" s="263">
        <v>43</v>
      </c>
      <c r="Q64" s="263">
        <v>179</v>
      </c>
      <c r="R64" s="263">
        <v>218</v>
      </c>
      <c r="S64" s="263">
        <v>65</v>
      </c>
      <c r="T64" s="263">
        <v>-56</v>
      </c>
      <c r="U64" s="263">
        <v>-117</v>
      </c>
      <c r="V64" s="263">
        <v>-2</v>
      </c>
      <c r="W64" s="263">
        <v>321</v>
      </c>
      <c r="X64" s="263">
        <v>506</v>
      </c>
      <c r="Y64" s="263">
        <v>381</v>
      </c>
      <c r="Z64" s="263">
        <v>554</v>
      </c>
      <c r="AA64" s="263">
        <v>816</v>
      </c>
      <c r="AB64" s="263">
        <v>321</v>
      </c>
      <c r="AC64" s="263">
        <v>143</v>
      </c>
      <c r="AD64" s="263">
        <v>542</v>
      </c>
      <c r="AE64" s="263">
        <v>428</v>
      </c>
      <c r="AF64" s="263">
        <v>430</v>
      </c>
      <c r="AG64" s="263">
        <v>300</v>
      </c>
      <c r="AH64" s="263">
        <v>179</v>
      </c>
      <c r="AI64" s="263">
        <v>41</v>
      </c>
      <c r="AJ64" s="263" t="s">
        <v>291</v>
      </c>
    </row>
    <row r="65" spans="1:36" ht="15">
      <c r="A65" s="263" t="s">
        <v>236</v>
      </c>
      <c r="B65" s="263">
        <v>-450</v>
      </c>
      <c r="C65" s="263">
        <v>-365</v>
      </c>
      <c r="D65" s="263">
        <v>-128</v>
      </c>
      <c r="E65" s="263">
        <v>-247</v>
      </c>
      <c r="F65" s="263">
        <v>-761</v>
      </c>
      <c r="G65" s="263">
        <v>-39</v>
      </c>
      <c r="H65" s="263">
        <v>-48</v>
      </c>
      <c r="I65" s="263">
        <v>-127</v>
      </c>
      <c r="J65" s="263">
        <v>-166</v>
      </c>
      <c r="K65" s="263">
        <v>-264</v>
      </c>
      <c r="L65" s="263">
        <v>-121</v>
      </c>
      <c r="M65" s="263">
        <v>91</v>
      </c>
      <c r="N65" s="263">
        <v>149</v>
      </c>
      <c r="O65" s="263">
        <v>-505</v>
      </c>
      <c r="P65" s="263">
        <v>119</v>
      </c>
      <c r="Q65" s="263">
        <v>264</v>
      </c>
      <c r="R65" s="263">
        <v>164</v>
      </c>
      <c r="S65" s="263">
        <v>111</v>
      </c>
      <c r="T65" s="263">
        <v>514</v>
      </c>
      <c r="U65" s="263">
        <v>258</v>
      </c>
      <c r="V65" s="263">
        <v>-8</v>
      </c>
      <c r="W65" s="263">
        <v>757</v>
      </c>
      <c r="X65" s="263">
        <v>701</v>
      </c>
      <c r="Y65" s="263">
        <v>2198</v>
      </c>
      <c r="Z65" s="263">
        <v>2118</v>
      </c>
      <c r="AA65" s="263">
        <v>-642</v>
      </c>
      <c r="AB65" s="263">
        <v>-192</v>
      </c>
      <c r="AC65" s="263">
        <v>1338</v>
      </c>
      <c r="AD65" s="263">
        <v>1527</v>
      </c>
      <c r="AE65" s="263">
        <v>2697</v>
      </c>
      <c r="AF65" s="263">
        <v>-195</v>
      </c>
      <c r="AG65" s="263" t="s">
        <v>291</v>
      </c>
      <c r="AH65" s="263" t="s">
        <v>291</v>
      </c>
      <c r="AI65" s="263" t="s">
        <v>291</v>
      </c>
      <c r="AJ65" s="263" t="s">
        <v>291</v>
      </c>
    </row>
    <row r="66" spans="1:36" ht="15">
      <c r="A66" s="263" t="s">
        <v>340</v>
      </c>
      <c r="B66" s="263">
        <v>300</v>
      </c>
      <c r="C66" s="263">
        <v>562</v>
      </c>
      <c r="D66" s="263">
        <v>370</v>
      </c>
      <c r="E66" s="263">
        <v>145</v>
      </c>
      <c r="F66" s="263">
        <v>-505</v>
      </c>
      <c r="G66" s="263">
        <v>102</v>
      </c>
      <c r="H66" s="263">
        <v>196</v>
      </c>
      <c r="I66" s="263">
        <v>-158</v>
      </c>
      <c r="J66" s="263">
        <v>610</v>
      </c>
      <c r="K66" s="263">
        <v>631</v>
      </c>
      <c r="L66" s="263">
        <v>462</v>
      </c>
      <c r="M66" s="263">
        <v>528</v>
      </c>
      <c r="N66" s="263">
        <v>329</v>
      </c>
      <c r="O66" s="263">
        <v>-146</v>
      </c>
      <c r="P66" s="263">
        <v>830</v>
      </c>
      <c r="Q66" s="263">
        <v>538</v>
      </c>
      <c r="R66" s="263">
        <v>593</v>
      </c>
      <c r="S66" s="263">
        <v>466</v>
      </c>
      <c r="T66" s="263">
        <v>1566</v>
      </c>
      <c r="U66" s="263">
        <v>410</v>
      </c>
      <c r="V66" s="263">
        <v>566</v>
      </c>
      <c r="W66" s="263">
        <v>1830</v>
      </c>
      <c r="X66" s="263">
        <v>3218</v>
      </c>
      <c r="Y66" s="263">
        <v>3145</v>
      </c>
      <c r="Z66" s="263">
        <v>2073</v>
      </c>
      <c r="AA66" s="263">
        <v>3744</v>
      </c>
      <c r="AB66" s="263">
        <v>2640</v>
      </c>
      <c r="AC66" s="263">
        <v>748</v>
      </c>
      <c r="AD66" s="263">
        <v>3590</v>
      </c>
      <c r="AE66" s="263">
        <v>5200</v>
      </c>
      <c r="AF66" s="263">
        <v>2971</v>
      </c>
      <c r="AG66" s="263">
        <v>4172</v>
      </c>
      <c r="AH66" s="263">
        <v>3463</v>
      </c>
      <c r="AI66" s="263">
        <v>1205</v>
      </c>
      <c r="AJ66" s="263">
        <v>900</v>
      </c>
    </row>
    <row r="67" spans="1:36" ht="15">
      <c r="A67" s="263" t="s">
        <v>339</v>
      </c>
      <c r="B67" s="263">
        <v>68</v>
      </c>
      <c r="C67" s="263">
        <v>77</v>
      </c>
      <c r="D67" s="263">
        <v>123</v>
      </c>
      <c r="E67" s="263">
        <v>61</v>
      </c>
      <c r="F67" s="263">
        <v>100</v>
      </c>
      <c r="G67" s="263">
        <v>37</v>
      </c>
      <c r="H67" s="263">
        <v>61</v>
      </c>
      <c r="I67" s="263">
        <v>24</v>
      </c>
      <c r="J67" s="263">
        <v>107</v>
      </c>
      <c r="K67" s="263">
        <v>110</v>
      </c>
      <c r="L67" s="263">
        <v>218</v>
      </c>
      <c r="M67" s="263">
        <v>255</v>
      </c>
      <c r="N67" s="263">
        <v>155</v>
      </c>
      <c r="O67" s="263">
        <v>237</v>
      </c>
      <c r="P67" s="263">
        <v>186</v>
      </c>
      <c r="Q67" s="263">
        <v>170</v>
      </c>
      <c r="R67" s="263">
        <v>185</v>
      </c>
      <c r="S67" s="263">
        <v>181</v>
      </c>
      <c r="T67" s="263">
        <v>410</v>
      </c>
      <c r="U67" s="263">
        <v>80</v>
      </c>
      <c r="V67" s="263">
        <v>197</v>
      </c>
      <c r="W67" s="263">
        <v>415</v>
      </c>
      <c r="X67" s="263">
        <v>463</v>
      </c>
      <c r="Y67" s="263">
        <v>574</v>
      </c>
      <c r="Z67" s="263">
        <v>750</v>
      </c>
      <c r="AA67" s="263">
        <v>617</v>
      </c>
      <c r="AB67" s="263">
        <v>202</v>
      </c>
      <c r="AC67" s="263">
        <v>-333</v>
      </c>
      <c r="AD67" s="263">
        <v>427</v>
      </c>
      <c r="AE67" s="263">
        <v>-39</v>
      </c>
      <c r="AF67" s="263">
        <v>195</v>
      </c>
      <c r="AG67" s="263">
        <v>98</v>
      </c>
      <c r="AH67" s="263">
        <v>124</v>
      </c>
      <c r="AI67" s="263">
        <v>173</v>
      </c>
      <c r="AJ67" s="263">
        <v>579</v>
      </c>
    </row>
    <row r="68" spans="1:36" ht="15">
      <c r="A68" s="263" t="s">
        <v>338</v>
      </c>
      <c r="B68" s="263">
        <v>61</v>
      </c>
      <c r="C68" s="263">
        <v>430</v>
      </c>
      <c r="D68" s="263">
        <v>297</v>
      </c>
      <c r="E68" s="263">
        <v>151</v>
      </c>
      <c r="F68" s="263">
        <v>157</v>
      </c>
      <c r="G68" s="263">
        <v>162</v>
      </c>
      <c r="H68" s="263">
        <v>48</v>
      </c>
      <c r="I68" s="263">
        <v>27</v>
      </c>
      <c r="J68" s="263">
        <v>373</v>
      </c>
      <c r="K68" s="263">
        <v>457</v>
      </c>
      <c r="L68" s="263">
        <v>82</v>
      </c>
      <c r="M68" s="263">
        <v>181</v>
      </c>
      <c r="N68" s="263">
        <v>12</v>
      </c>
      <c r="O68" s="263">
        <v>405</v>
      </c>
      <c r="P68" s="263">
        <v>197</v>
      </c>
      <c r="Q68" s="263">
        <v>297</v>
      </c>
      <c r="R68" s="263">
        <v>254</v>
      </c>
      <c r="S68" s="263">
        <v>-92</v>
      </c>
      <c r="T68" s="263">
        <v>199</v>
      </c>
      <c r="U68" s="263">
        <v>-201</v>
      </c>
      <c r="V68" s="263">
        <v>98</v>
      </c>
      <c r="W68" s="263">
        <v>389</v>
      </c>
      <c r="X68" s="263">
        <v>1141</v>
      </c>
      <c r="Y68" s="263">
        <v>976</v>
      </c>
      <c r="Z68" s="263">
        <v>-955</v>
      </c>
      <c r="AA68" s="263">
        <v>980</v>
      </c>
      <c r="AB68" s="263">
        <v>-154</v>
      </c>
      <c r="AC68" s="263">
        <v>17</v>
      </c>
      <c r="AD68" s="263">
        <v>44</v>
      </c>
      <c r="AE68" s="263">
        <v>1375</v>
      </c>
      <c r="AF68" s="263">
        <v>266</v>
      </c>
      <c r="AG68" s="263">
        <v>451</v>
      </c>
      <c r="AH68" s="263">
        <v>261</v>
      </c>
      <c r="AI68" s="263" t="s">
        <v>291</v>
      </c>
      <c r="AJ68" s="263" t="s">
        <v>291</v>
      </c>
    </row>
    <row r="69" spans="1:36" ht="15">
      <c r="A69" s="263" t="s">
        <v>337</v>
      </c>
      <c r="B69" s="263">
        <v>167</v>
      </c>
      <c r="C69" s="263">
        <v>101</v>
      </c>
      <c r="D69" s="263">
        <v>96</v>
      </c>
      <c r="E69" s="263">
        <v>67</v>
      </c>
      <c r="F69" s="263">
        <v>-7</v>
      </c>
      <c r="G69" s="263">
        <v>49</v>
      </c>
      <c r="H69" s="263">
        <v>32</v>
      </c>
      <c r="I69" s="263">
        <v>35</v>
      </c>
      <c r="J69" s="263">
        <v>93</v>
      </c>
      <c r="K69" s="263">
        <v>76</v>
      </c>
      <c r="L69" s="263">
        <v>83</v>
      </c>
      <c r="M69" s="263">
        <v>36</v>
      </c>
      <c r="N69" s="263">
        <v>94</v>
      </c>
      <c r="O69" s="263">
        <v>-944</v>
      </c>
      <c r="P69" s="263">
        <v>88</v>
      </c>
      <c r="Q69" s="263">
        <v>78</v>
      </c>
      <c r="R69" s="263">
        <v>52</v>
      </c>
      <c r="S69" s="263">
        <v>-13</v>
      </c>
      <c r="T69" s="263">
        <v>173</v>
      </c>
      <c r="U69" s="263">
        <v>36</v>
      </c>
      <c r="V69" s="263">
        <v>-65</v>
      </c>
      <c r="W69" s="263">
        <v>93</v>
      </c>
      <c r="X69" s="263">
        <v>233</v>
      </c>
      <c r="Y69" s="263">
        <v>353</v>
      </c>
      <c r="Z69" s="263">
        <v>332</v>
      </c>
      <c r="AA69" s="263">
        <v>197</v>
      </c>
      <c r="AB69" s="263">
        <v>108</v>
      </c>
      <c r="AC69" s="263">
        <v>313</v>
      </c>
      <c r="AD69" s="263">
        <v>469</v>
      </c>
      <c r="AE69" s="263">
        <v>749</v>
      </c>
      <c r="AF69" s="263">
        <v>1202</v>
      </c>
      <c r="AG69" s="263" t="s">
        <v>291</v>
      </c>
      <c r="AH69" s="263" t="s">
        <v>291</v>
      </c>
      <c r="AI69" s="263" t="s">
        <v>291</v>
      </c>
      <c r="AJ69" s="263" t="s">
        <v>291</v>
      </c>
    </row>
    <row r="70" spans="1:36" ht="15">
      <c r="A70" s="263" t="s">
        <v>236</v>
      </c>
      <c r="B70" s="263">
        <v>3</v>
      </c>
      <c r="C70" s="263">
        <v>-46</v>
      </c>
      <c r="D70" s="263">
        <v>-146</v>
      </c>
      <c r="E70" s="263">
        <v>-134</v>
      </c>
      <c r="F70" s="263">
        <v>-756</v>
      </c>
      <c r="G70" s="263">
        <v>-146</v>
      </c>
      <c r="H70" s="263">
        <v>55</v>
      </c>
      <c r="I70" s="263">
        <v>-244</v>
      </c>
      <c r="J70" s="263">
        <v>36</v>
      </c>
      <c r="K70" s="263">
        <v>-13</v>
      </c>
      <c r="L70" s="263">
        <v>79</v>
      </c>
      <c r="M70" s="263">
        <v>56</v>
      </c>
      <c r="N70" s="263">
        <v>67</v>
      </c>
      <c r="O70" s="263">
        <v>156</v>
      </c>
      <c r="P70" s="263">
        <v>359</v>
      </c>
      <c r="Q70" s="263">
        <v>-7</v>
      </c>
      <c r="R70" s="263">
        <v>101</v>
      </c>
      <c r="S70" s="263">
        <v>391</v>
      </c>
      <c r="T70" s="263">
        <v>783</v>
      </c>
      <c r="U70" s="263">
        <v>496</v>
      </c>
      <c r="V70" s="263">
        <v>335</v>
      </c>
      <c r="W70" s="263">
        <v>933</v>
      </c>
      <c r="X70" s="263">
        <v>1381</v>
      </c>
      <c r="Y70" s="263">
        <v>1242</v>
      </c>
      <c r="Z70" s="263">
        <v>1946</v>
      </c>
      <c r="AA70" s="263">
        <v>1949</v>
      </c>
      <c r="AB70" s="263">
        <v>2484</v>
      </c>
      <c r="AC70" s="263">
        <v>751</v>
      </c>
      <c r="AD70" s="263">
        <v>2650</v>
      </c>
      <c r="AE70" s="263">
        <v>3114</v>
      </c>
      <c r="AF70" s="263">
        <v>1307</v>
      </c>
      <c r="AG70" s="263" t="s">
        <v>291</v>
      </c>
      <c r="AH70" s="263" t="s">
        <v>291</v>
      </c>
      <c r="AI70" s="263">
        <v>-846</v>
      </c>
      <c r="AJ70" s="263">
        <v>-562</v>
      </c>
    </row>
    <row r="71" spans="1:36" ht="15">
      <c r="A71" s="263" t="s">
        <v>323</v>
      </c>
      <c r="B71" s="263">
        <v>622</v>
      </c>
      <c r="C71" s="263">
        <v>1617</v>
      </c>
      <c r="D71" s="263">
        <v>2981</v>
      </c>
      <c r="E71" s="263">
        <v>1261</v>
      </c>
      <c r="F71" s="263">
        <v>1240</v>
      </c>
      <c r="G71" s="263">
        <v>2835</v>
      </c>
      <c r="H71" s="263">
        <v>2701</v>
      </c>
      <c r="I71" s="263">
        <v>2459</v>
      </c>
      <c r="J71" s="263">
        <v>3434</v>
      </c>
      <c r="K71" s="263">
        <v>2873</v>
      </c>
      <c r="L71" s="263">
        <v>4992</v>
      </c>
      <c r="M71" s="263">
        <v>6240</v>
      </c>
      <c r="N71" s="263">
        <v>4316</v>
      </c>
      <c r="O71" s="263">
        <v>9088</v>
      </c>
      <c r="P71" s="263">
        <v>9957</v>
      </c>
      <c r="Q71" s="263">
        <v>8969</v>
      </c>
      <c r="R71" s="263">
        <v>1745</v>
      </c>
      <c r="S71" s="263">
        <v>5735</v>
      </c>
      <c r="T71" s="263">
        <v>17246</v>
      </c>
      <c r="U71" s="263">
        <v>12845</v>
      </c>
      <c r="V71" s="263">
        <v>13321</v>
      </c>
      <c r="W71" s="263">
        <v>20488</v>
      </c>
      <c r="X71" s="263">
        <v>28578</v>
      </c>
      <c r="Y71" s="263">
        <v>12171</v>
      </c>
      <c r="Z71" s="263">
        <v>39344</v>
      </c>
      <c r="AA71" s="263">
        <v>33025</v>
      </c>
      <c r="AB71" s="263">
        <v>35156</v>
      </c>
      <c r="AC71" s="263">
        <v>32534</v>
      </c>
      <c r="AD71" s="263">
        <v>46231</v>
      </c>
      <c r="AE71" s="263">
        <v>40444</v>
      </c>
      <c r="AF71" s="263">
        <v>45201</v>
      </c>
      <c r="AG71" s="263">
        <v>49208</v>
      </c>
      <c r="AH71" s="263">
        <v>47958</v>
      </c>
      <c r="AI71" s="263">
        <v>39418</v>
      </c>
      <c r="AJ71" s="263">
        <v>37172</v>
      </c>
    </row>
    <row r="72" spans="1:36" ht="15">
      <c r="A72" s="263" t="s">
        <v>322</v>
      </c>
      <c r="B72" s="263">
        <v>-123</v>
      </c>
      <c r="C72" s="263">
        <v>82</v>
      </c>
      <c r="D72" s="263">
        <v>526</v>
      </c>
      <c r="E72" s="263">
        <v>258</v>
      </c>
      <c r="F72" s="263">
        <v>136</v>
      </c>
      <c r="G72" s="263">
        <v>651</v>
      </c>
      <c r="H72" s="263">
        <v>863</v>
      </c>
      <c r="I72" s="263">
        <v>1030</v>
      </c>
      <c r="J72" s="263">
        <v>958</v>
      </c>
      <c r="K72" s="263">
        <v>-446</v>
      </c>
      <c r="L72" s="263">
        <v>1144</v>
      </c>
      <c r="M72" s="263">
        <v>1367</v>
      </c>
      <c r="N72" s="263">
        <v>747</v>
      </c>
      <c r="O72" s="263">
        <v>1279</v>
      </c>
      <c r="P72" s="263">
        <v>1240</v>
      </c>
      <c r="Q72" s="263">
        <v>1649</v>
      </c>
      <c r="R72" s="263">
        <v>1</v>
      </c>
      <c r="S72" s="263">
        <v>1220</v>
      </c>
      <c r="T72" s="263">
        <v>1940</v>
      </c>
      <c r="U72" s="263">
        <v>192</v>
      </c>
      <c r="V72" s="263">
        <v>513</v>
      </c>
      <c r="W72" s="263">
        <v>1650</v>
      </c>
      <c r="X72" s="263">
        <v>3557</v>
      </c>
      <c r="Y72" s="263">
        <v>1579</v>
      </c>
      <c r="Z72" s="263">
        <v>3373</v>
      </c>
      <c r="AA72" s="263">
        <v>5107</v>
      </c>
      <c r="AB72" s="263">
        <v>4699</v>
      </c>
      <c r="AC72" s="263">
        <v>3001</v>
      </c>
      <c r="AD72" s="263">
        <v>6759</v>
      </c>
      <c r="AE72" s="263">
        <v>6474</v>
      </c>
      <c r="AF72" s="263">
        <v>9724</v>
      </c>
      <c r="AG72" s="263">
        <v>7076</v>
      </c>
      <c r="AH72" s="263">
        <v>3598</v>
      </c>
      <c r="AI72" s="263">
        <v>30</v>
      </c>
      <c r="AJ72" s="263">
        <v>640</v>
      </c>
    </row>
    <row r="73" spans="1:36" ht="15">
      <c r="A73" s="263" t="s">
        <v>321</v>
      </c>
      <c r="B73" s="263">
        <v>-3</v>
      </c>
      <c r="C73" s="263">
        <v>-46</v>
      </c>
      <c r="D73" s="263">
        <v>-92</v>
      </c>
      <c r="E73" s="263">
        <v>-88</v>
      </c>
      <c r="F73" s="263">
        <v>-63</v>
      </c>
      <c r="G73" s="263">
        <v>-74</v>
      </c>
      <c r="H73" s="263">
        <v>-38</v>
      </c>
      <c r="I73" s="263">
        <v>-70</v>
      </c>
      <c r="J73" s="263">
        <v>-23</v>
      </c>
      <c r="K73" s="263">
        <v>-16</v>
      </c>
      <c r="L73" s="263">
        <v>-12</v>
      </c>
      <c r="M73" s="263">
        <v>91</v>
      </c>
      <c r="N73" s="263">
        <v>17</v>
      </c>
      <c r="O73" s="263">
        <v>140</v>
      </c>
      <c r="P73" s="263">
        <v>540</v>
      </c>
      <c r="Q73" s="263">
        <v>692</v>
      </c>
      <c r="R73" s="263">
        <v>211</v>
      </c>
      <c r="S73" s="263">
        <v>442</v>
      </c>
      <c r="T73" s="263">
        <v>768</v>
      </c>
      <c r="U73" s="263">
        <v>560</v>
      </c>
      <c r="V73" s="263">
        <v>1070</v>
      </c>
      <c r="W73" s="263">
        <v>1271</v>
      </c>
      <c r="X73" s="263">
        <v>2046</v>
      </c>
      <c r="Y73" s="263">
        <v>1839</v>
      </c>
      <c r="Z73" s="263">
        <v>3743</v>
      </c>
      <c r="AA73" s="263">
        <v>1997</v>
      </c>
      <c r="AB73" s="263">
        <v>3509</v>
      </c>
      <c r="AC73" s="263">
        <v>3932</v>
      </c>
      <c r="AD73" s="263">
        <v>5878</v>
      </c>
      <c r="AE73" s="263">
        <v>5825</v>
      </c>
      <c r="AF73" s="263">
        <v>2903</v>
      </c>
      <c r="AG73" s="263">
        <v>6918</v>
      </c>
      <c r="AH73" s="263">
        <v>9032</v>
      </c>
      <c r="AI73" s="263">
        <v>7526</v>
      </c>
      <c r="AJ73" s="263">
        <v>8802</v>
      </c>
    </row>
    <row r="74" spans="1:36" ht="15">
      <c r="A74" s="263" t="s">
        <v>320</v>
      </c>
      <c r="B74" s="263">
        <v>393</v>
      </c>
      <c r="C74" s="263">
        <v>346</v>
      </c>
      <c r="D74" s="263">
        <v>216</v>
      </c>
      <c r="E74" s="263">
        <v>125</v>
      </c>
      <c r="F74" s="263">
        <v>271</v>
      </c>
      <c r="G74" s="263">
        <v>601</v>
      </c>
      <c r="H74" s="263">
        <v>389</v>
      </c>
      <c r="I74" s="263">
        <v>259</v>
      </c>
      <c r="J74" s="263">
        <v>361</v>
      </c>
      <c r="K74" s="263">
        <v>569</v>
      </c>
      <c r="L74" s="263">
        <v>1156</v>
      </c>
      <c r="M74" s="263">
        <v>1127</v>
      </c>
      <c r="N74" s="263">
        <v>538</v>
      </c>
      <c r="O74" s="263">
        <v>1230</v>
      </c>
      <c r="P74" s="263">
        <v>886</v>
      </c>
      <c r="Q74" s="263">
        <v>1109</v>
      </c>
      <c r="R74" s="263">
        <v>677</v>
      </c>
      <c r="S74" s="263">
        <v>1360</v>
      </c>
      <c r="T74" s="263">
        <v>3509</v>
      </c>
      <c r="U74" s="263">
        <v>3533</v>
      </c>
      <c r="V74" s="263">
        <v>1330</v>
      </c>
      <c r="W74" s="263">
        <v>2492</v>
      </c>
      <c r="X74" s="263">
        <v>2879</v>
      </c>
      <c r="Y74" s="263">
        <v>-396</v>
      </c>
      <c r="Z74" s="263">
        <v>4257</v>
      </c>
      <c r="AA74" s="263">
        <v>4768</v>
      </c>
      <c r="AB74" s="263">
        <v>4457</v>
      </c>
      <c r="AC74" s="263">
        <v>4461</v>
      </c>
      <c r="AD74" s="263">
        <v>4108</v>
      </c>
      <c r="AE74" s="263">
        <v>3878</v>
      </c>
      <c r="AF74" s="263">
        <v>3355</v>
      </c>
      <c r="AG74" s="263">
        <v>3224</v>
      </c>
      <c r="AH74" s="263">
        <v>3257</v>
      </c>
      <c r="AI74" s="263">
        <v>2812</v>
      </c>
      <c r="AJ74" s="263">
        <v>2683</v>
      </c>
    </row>
    <row r="75" spans="1:36" ht="15">
      <c r="A75" s="263" t="s">
        <v>319</v>
      </c>
      <c r="B75" s="263">
        <v>36</v>
      </c>
      <c r="C75" s="263">
        <v>47</v>
      </c>
      <c r="D75" s="263">
        <v>42</v>
      </c>
      <c r="E75" s="263">
        <v>45</v>
      </c>
      <c r="F75" s="263">
        <v>60</v>
      </c>
      <c r="G75" s="263">
        <v>56</v>
      </c>
      <c r="H75" s="263">
        <v>62</v>
      </c>
      <c r="I75" s="263">
        <v>34</v>
      </c>
      <c r="J75" s="263">
        <v>39</v>
      </c>
      <c r="K75" s="263">
        <v>38</v>
      </c>
      <c r="L75" s="263">
        <v>54</v>
      </c>
      <c r="M75" s="263">
        <v>56</v>
      </c>
      <c r="N75" s="263">
        <v>98</v>
      </c>
      <c r="O75" s="263">
        <v>108</v>
      </c>
      <c r="P75" s="263">
        <v>70</v>
      </c>
      <c r="Q75" s="263">
        <v>-91</v>
      </c>
      <c r="R75" s="263">
        <v>-182</v>
      </c>
      <c r="S75" s="263">
        <v>-73</v>
      </c>
      <c r="T75" s="263">
        <v>165</v>
      </c>
      <c r="U75" s="263">
        <v>99</v>
      </c>
      <c r="V75" s="263">
        <v>249</v>
      </c>
      <c r="W75" s="263">
        <v>407</v>
      </c>
      <c r="X75" s="263">
        <v>939</v>
      </c>
      <c r="Y75" s="263">
        <v>937</v>
      </c>
      <c r="Z75" s="263">
        <v>1430</v>
      </c>
      <c r="AA75" s="263">
        <v>2030</v>
      </c>
      <c r="AB75" s="263">
        <v>2024</v>
      </c>
      <c r="AC75" s="263">
        <v>2496</v>
      </c>
      <c r="AD75" s="263">
        <v>2914</v>
      </c>
      <c r="AE75" s="263">
        <v>2688</v>
      </c>
      <c r="AF75" s="263">
        <v>2784</v>
      </c>
      <c r="AG75" s="263">
        <v>2378</v>
      </c>
      <c r="AH75" s="263">
        <v>2368</v>
      </c>
      <c r="AI75" s="263">
        <v>2513</v>
      </c>
      <c r="AJ75" s="263">
        <v>3522</v>
      </c>
    </row>
    <row r="76" spans="1:36" ht="15">
      <c r="A76" s="263" t="s">
        <v>318</v>
      </c>
      <c r="B76" s="263">
        <v>-116</v>
      </c>
      <c r="C76" s="263">
        <v>190</v>
      </c>
      <c r="D76" s="263">
        <v>1223</v>
      </c>
      <c r="E76" s="263">
        <v>222</v>
      </c>
      <c r="F76" s="263">
        <v>-205</v>
      </c>
      <c r="G76" s="263">
        <v>-15</v>
      </c>
      <c r="H76" s="263">
        <v>-2</v>
      </c>
      <c r="I76" s="263">
        <v>26</v>
      </c>
      <c r="J76" s="263">
        <v>627</v>
      </c>
      <c r="K76" s="263">
        <v>860</v>
      </c>
      <c r="L76" s="263">
        <v>79</v>
      </c>
      <c r="M76" s="263">
        <v>566</v>
      </c>
      <c r="N76" s="263">
        <v>-112</v>
      </c>
      <c r="O76" s="263">
        <v>151</v>
      </c>
      <c r="P76" s="263">
        <v>1031</v>
      </c>
      <c r="Q76" s="263">
        <v>867</v>
      </c>
      <c r="R76" s="263">
        <v>463</v>
      </c>
      <c r="S76" s="263">
        <v>-957</v>
      </c>
      <c r="T76" s="263">
        <v>603</v>
      </c>
      <c r="U76" s="263">
        <v>727</v>
      </c>
      <c r="V76" s="263">
        <v>854</v>
      </c>
      <c r="W76" s="263">
        <v>-68</v>
      </c>
      <c r="X76" s="263">
        <v>156</v>
      </c>
      <c r="Y76" s="263">
        <v>260</v>
      </c>
      <c r="Z76" s="263">
        <v>973</v>
      </c>
      <c r="AA76" s="263">
        <v>173</v>
      </c>
      <c r="AB76" s="263">
        <v>987</v>
      </c>
      <c r="AC76" s="263">
        <v>411</v>
      </c>
      <c r="AD76" s="263">
        <v>999</v>
      </c>
      <c r="AE76" s="263">
        <v>1716</v>
      </c>
      <c r="AF76" s="263">
        <v>1478</v>
      </c>
      <c r="AG76" s="263" t="s">
        <v>291</v>
      </c>
      <c r="AH76" s="263">
        <v>1003</v>
      </c>
      <c r="AI76" s="263" t="s">
        <v>291</v>
      </c>
      <c r="AJ76" s="263" t="s">
        <v>291</v>
      </c>
    </row>
    <row r="77" spans="1:36" ht="15">
      <c r="A77" s="263" t="s">
        <v>317</v>
      </c>
      <c r="B77" s="263">
        <v>120</v>
      </c>
      <c r="C77" s="263">
        <v>435</v>
      </c>
      <c r="D77" s="263">
        <v>299</v>
      </c>
      <c r="E77" s="263">
        <v>218</v>
      </c>
      <c r="F77" s="263">
        <v>642</v>
      </c>
      <c r="G77" s="263">
        <v>772</v>
      </c>
      <c r="H77" s="263">
        <v>1156</v>
      </c>
      <c r="I77" s="263">
        <v>267</v>
      </c>
      <c r="J77" s="263">
        <v>95</v>
      </c>
      <c r="K77" s="263">
        <v>873</v>
      </c>
      <c r="L77" s="263">
        <v>681</v>
      </c>
      <c r="M77" s="263">
        <v>611</v>
      </c>
      <c r="N77" s="263">
        <v>303</v>
      </c>
      <c r="O77" s="263">
        <v>1690</v>
      </c>
      <c r="P77" s="263">
        <v>1112</v>
      </c>
      <c r="Q77" s="263">
        <v>467</v>
      </c>
      <c r="R77" s="263">
        <v>-392</v>
      </c>
      <c r="S77" s="263">
        <v>1239</v>
      </c>
      <c r="T77" s="263">
        <v>3376</v>
      </c>
      <c r="U77" s="263">
        <v>2734</v>
      </c>
      <c r="V77" s="263">
        <v>5277</v>
      </c>
      <c r="W77" s="263">
        <v>6644</v>
      </c>
      <c r="X77" s="263">
        <v>7677</v>
      </c>
      <c r="Y77" s="263">
        <v>6907</v>
      </c>
      <c r="Z77" s="263">
        <v>5573</v>
      </c>
      <c r="AA77" s="263">
        <v>4346</v>
      </c>
      <c r="AB77" s="263">
        <v>4217</v>
      </c>
      <c r="AC77" s="263">
        <v>9207</v>
      </c>
      <c r="AD77" s="263">
        <v>5116</v>
      </c>
      <c r="AE77" s="263">
        <v>5261</v>
      </c>
      <c r="AF77" s="263">
        <v>6806</v>
      </c>
      <c r="AG77" s="263">
        <v>4848</v>
      </c>
      <c r="AH77" s="263">
        <v>3184</v>
      </c>
      <c r="AI77" s="263">
        <v>5347</v>
      </c>
      <c r="AJ77" s="263">
        <v>5675</v>
      </c>
    </row>
    <row r="78" spans="1:36" ht="15">
      <c r="A78" s="263" t="s">
        <v>316</v>
      </c>
      <c r="B78" s="263">
        <v>15</v>
      </c>
      <c r="C78" s="263" t="s">
        <v>306</v>
      </c>
      <c r="D78" s="263">
        <v>127</v>
      </c>
      <c r="E78" s="263">
        <v>117</v>
      </c>
      <c r="F78" s="263">
        <v>-10</v>
      </c>
      <c r="G78" s="263">
        <v>64</v>
      </c>
      <c r="H78" s="263">
        <v>73</v>
      </c>
      <c r="I78" s="263">
        <v>170</v>
      </c>
      <c r="J78" s="263">
        <v>199</v>
      </c>
      <c r="K78" s="263">
        <v>-14</v>
      </c>
      <c r="L78" s="263">
        <v>38</v>
      </c>
      <c r="M78" s="263">
        <v>165</v>
      </c>
      <c r="N78" s="263">
        <v>314</v>
      </c>
      <c r="O78" s="263">
        <v>584</v>
      </c>
      <c r="P78" s="263">
        <v>668</v>
      </c>
      <c r="Q78" s="263">
        <v>295</v>
      </c>
      <c r="R78" s="263">
        <v>566</v>
      </c>
      <c r="S78" s="263">
        <v>468</v>
      </c>
      <c r="T78" s="263">
        <v>964</v>
      </c>
      <c r="U78" s="263">
        <v>786</v>
      </c>
      <c r="V78" s="263">
        <v>1082</v>
      </c>
      <c r="W78" s="263">
        <v>1109</v>
      </c>
      <c r="X78" s="263">
        <v>1444</v>
      </c>
      <c r="Y78" s="263">
        <v>1882</v>
      </c>
      <c r="Z78" s="263">
        <v>2483</v>
      </c>
      <c r="AA78" s="263">
        <v>1894</v>
      </c>
      <c r="AB78" s="263">
        <v>2745</v>
      </c>
      <c r="AC78" s="263">
        <v>2261</v>
      </c>
      <c r="AD78" s="263">
        <v>3632</v>
      </c>
      <c r="AE78" s="263">
        <v>2828</v>
      </c>
      <c r="AF78" s="263">
        <v>2794</v>
      </c>
      <c r="AG78" s="263">
        <v>2039</v>
      </c>
      <c r="AH78" s="263">
        <v>1694</v>
      </c>
      <c r="AI78" s="263">
        <v>1804</v>
      </c>
      <c r="AJ78" s="263">
        <v>2148</v>
      </c>
    </row>
    <row r="79" spans="1:36" ht="15">
      <c r="A79" s="263" t="s">
        <v>315</v>
      </c>
      <c r="B79" s="263">
        <v>136</v>
      </c>
      <c r="C79" s="263">
        <v>157</v>
      </c>
      <c r="D79" s="263">
        <v>95</v>
      </c>
      <c r="E79" s="263">
        <v>80</v>
      </c>
      <c r="F79" s="263">
        <v>-71</v>
      </c>
      <c r="G79" s="263">
        <v>-72</v>
      </c>
      <c r="H79" s="263">
        <v>144</v>
      </c>
      <c r="I79" s="263">
        <v>-85</v>
      </c>
      <c r="J79" s="263">
        <v>84</v>
      </c>
      <c r="K79" s="263">
        <v>191</v>
      </c>
      <c r="L79" s="263">
        <v>211</v>
      </c>
      <c r="M79" s="263">
        <v>147</v>
      </c>
      <c r="N79" s="263">
        <v>280</v>
      </c>
      <c r="O79" s="263">
        <v>628</v>
      </c>
      <c r="P79" s="263">
        <v>754</v>
      </c>
      <c r="Q79" s="263">
        <v>509</v>
      </c>
      <c r="R79" s="263">
        <v>-278</v>
      </c>
      <c r="S79" s="263">
        <v>676</v>
      </c>
      <c r="T79" s="263">
        <v>821</v>
      </c>
      <c r="U79" s="263">
        <v>191</v>
      </c>
      <c r="V79" s="263">
        <v>-785</v>
      </c>
      <c r="W79" s="263">
        <v>851</v>
      </c>
      <c r="X79" s="263">
        <v>536</v>
      </c>
      <c r="Y79" s="263">
        <v>1213</v>
      </c>
      <c r="Z79" s="263">
        <v>1492</v>
      </c>
      <c r="AA79" s="263">
        <v>1707</v>
      </c>
      <c r="AB79" s="263">
        <v>1528</v>
      </c>
      <c r="AC79" s="263">
        <v>1185</v>
      </c>
      <c r="AD79" s="263">
        <v>1777</v>
      </c>
      <c r="AE79" s="263">
        <v>786</v>
      </c>
      <c r="AF79" s="263">
        <v>1140</v>
      </c>
      <c r="AG79" s="263">
        <v>1816</v>
      </c>
      <c r="AH79" s="263">
        <v>762</v>
      </c>
      <c r="AI79" s="263" t="s">
        <v>291</v>
      </c>
      <c r="AJ79" s="263">
        <v>738</v>
      </c>
    </row>
    <row r="80" spans="1:36" ht="15">
      <c r="A80" s="263" t="s">
        <v>314</v>
      </c>
      <c r="B80" s="263">
        <v>13</v>
      </c>
      <c r="C80" s="263">
        <v>26</v>
      </c>
      <c r="D80" s="263">
        <v>23</v>
      </c>
      <c r="E80" s="263">
        <v>37</v>
      </c>
      <c r="F80" s="263">
        <v>29</v>
      </c>
      <c r="G80" s="263">
        <v>74</v>
      </c>
      <c r="H80" s="263">
        <v>34</v>
      </c>
      <c r="I80" s="263">
        <v>6</v>
      </c>
      <c r="J80" s="263">
        <v>-4</v>
      </c>
      <c r="K80" s="263">
        <v>75</v>
      </c>
      <c r="L80" s="263">
        <v>170</v>
      </c>
      <c r="M80" s="263">
        <v>48</v>
      </c>
      <c r="N80" s="263">
        <v>366</v>
      </c>
      <c r="O80" s="263">
        <v>464</v>
      </c>
      <c r="P80" s="263">
        <v>443</v>
      </c>
      <c r="Q80" s="263">
        <v>360</v>
      </c>
      <c r="R80" s="263">
        <v>100</v>
      </c>
      <c r="S80" s="263">
        <v>-128</v>
      </c>
      <c r="T80" s="263">
        <v>-163</v>
      </c>
      <c r="U80" s="263">
        <v>92</v>
      </c>
      <c r="V80" s="263">
        <v>43</v>
      </c>
      <c r="W80" s="263">
        <v>312</v>
      </c>
      <c r="X80" s="263">
        <v>-82</v>
      </c>
      <c r="Y80" s="263">
        <v>476</v>
      </c>
      <c r="Z80" s="263">
        <v>267</v>
      </c>
      <c r="AA80" s="263">
        <v>240</v>
      </c>
      <c r="AB80" s="263">
        <v>153</v>
      </c>
      <c r="AC80" s="263">
        <v>193</v>
      </c>
      <c r="AD80" s="263">
        <v>285</v>
      </c>
      <c r="AE80" s="263">
        <v>310</v>
      </c>
      <c r="AF80" s="263">
        <v>384</v>
      </c>
      <c r="AG80" s="263" t="s">
        <v>291</v>
      </c>
      <c r="AH80" s="263">
        <v>162</v>
      </c>
      <c r="AI80" s="263">
        <v>290</v>
      </c>
      <c r="AJ80" s="263">
        <v>315</v>
      </c>
    </row>
    <row r="81" spans="1:36" ht="15">
      <c r="A81" s="263" t="s">
        <v>313</v>
      </c>
      <c r="B81" s="263">
        <v>-81</v>
      </c>
      <c r="C81" s="263">
        <v>-35</v>
      </c>
      <c r="D81" s="263">
        <v>74</v>
      </c>
      <c r="E81" s="263">
        <v>-86</v>
      </c>
      <c r="F81" s="263">
        <v>35</v>
      </c>
      <c r="G81" s="263">
        <v>-45</v>
      </c>
      <c r="H81" s="263">
        <v>103</v>
      </c>
      <c r="I81" s="263">
        <v>146</v>
      </c>
      <c r="J81" s="263">
        <v>81</v>
      </c>
      <c r="K81" s="263">
        <v>103</v>
      </c>
      <c r="L81" s="263">
        <v>160</v>
      </c>
      <c r="M81" s="263">
        <v>192</v>
      </c>
      <c r="N81" s="263">
        <v>187</v>
      </c>
      <c r="O81" s="263">
        <v>171</v>
      </c>
      <c r="P81" s="263">
        <v>373</v>
      </c>
      <c r="Q81" s="263">
        <v>289</v>
      </c>
      <c r="R81" s="263">
        <v>122</v>
      </c>
      <c r="S81" s="263">
        <v>-2</v>
      </c>
      <c r="T81" s="263">
        <v>200</v>
      </c>
      <c r="U81" s="263">
        <v>54</v>
      </c>
      <c r="V81" s="263">
        <v>-5</v>
      </c>
      <c r="W81" s="263">
        <v>494</v>
      </c>
      <c r="X81" s="263">
        <v>480</v>
      </c>
      <c r="Y81" s="263">
        <v>149</v>
      </c>
      <c r="Z81" s="263">
        <v>512</v>
      </c>
      <c r="AA81" s="263">
        <v>640</v>
      </c>
      <c r="AB81" s="263">
        <v>268</v>
      </c>
      <c r="AC81" s="263">
        <v>-220</v>
      </c>
      <c r="AD81" s="263">
        <v>304</v>
      </c>
      <c r="AE81" s="263">
        <v>296</v>
      </c>
      <c r="AF81" s="263">
        <v>137</v>
      </c>
      <c r="AG81" s="263" t="s">
        <v>291</v>
      </c>
      <c r="AH81" s="263">
        <v>548</v>
      </c>
      <c r="AI81" s="263" t="s">
        <v>291</v>
      </c>
      <c r="AJ81" s="263">
        <v>404</v>
      </c>
    </row>
    <row r="82" spans="1:36" ht="15">
      <c r="A82" s="263" t="s">
        <v>312</v>
      </c>
      <c r="B82" s="263">
        <v>247</v>
      </c>
      <c r="C82" s="263">
        <v>356</v>
      </c>
      <c r="D82" s="263">
        <v>257</v>
      </c>
      <c r="E82" s="263">
        <v>153</v>
      </c>
      <c r="F82" s="263">
        <v>261</v>
      </c>
      <c r="G82" s="263">
        <v>412</v>
      </c>
      <c r="H82" s="263">
        <v>-178</v>
      </c>
      <c r="I82" s="263">
        <v>257</v>
      </c>
      <c r="J82" s="263">
        <v>664</v>
      </c>
      <c r="K82" s="263">
        <v>512</v>
      </c>
      <c r="L82" s="263">
        <v>929</v>
      </c>
      <c r="M82" s="263">
        <v>1352</v>
      </c>
      <c r="N82" s="263">
        <v>1239</v>
      </c>
      <c r="O82" s="263">
        <v>1763</v>
      </c>
      <c r="P82" s="263">
        <v>1860</v>
      </c>
      <c r="Q82" s="263">
        <v>2374</v>
      </c>
      <c r="R82" s="263">
        <v>251</v>
      </c>
      <c r="S82" s="263">
        <v>1343</v>
      </c>
      <c r="T82" s="263">
        <v>3207</v>
      </c>
      <c r="U82" s="263">
        <v>2349</v>
      </c>
      <c r="V82" s="263">
        <v>2750</v>
      </c>
      <c r="W82" s="263">
        <v>3793</v>
      </c>
      <c r="X82" s="263">
        <v>6303</v>
      </c>
      <c r="Y82" s="263">
        <v>-4637</v>
      </c>
      <c r="Z82" s="263">
        <v>11770</v>
      </c>
      <c r="AA82" s="263">
        <v>6999</v>
      </c>
      <c r="AB82" s="263">
        <v>7273</v>
      </c>
      <c r="AC82" s="263">
        <v>4020</v>
      </c>
      <c r="AD82" s="263">
        <v>10282</v>
      </c>
      <c r="AE82" s="263">
        <v>8645</v>
      </c>
      <c r="AF82" s="263">
        <v>11348</v>
      </c>
      <c r="AG82" s="263">
        <v>17817</v>
      </c>
      <c r="AH82" s="263">
        <v>21304</v>
      </c>
      <c r="AI82" s="261">
        <f>(AH82+AJ82)/2</f>
        <v>16266</v>
      </c>
      <c r="AJ82" s="263">
        <v>11228</v>
      </c>
    </row>
    <row r="83" spans="1:36" ht="15">
      <c r="A83" s="263" t="s">
        <v>311</v>
      </c>
      <c r="B83" s="263">
        <v>80</v>
      </c>
      <c r="C83" s="263">
        <v>83</v>
      </c>
      <c r="D83" s="263">
        <v>132</v>
      </c>
      <c r="E83" s="263">
        <v>37</v>
      </c>
      <c r="F83" s="263">
        <v>36</v>
      </c>
      <c r="G83" s="263">
        <v>244</v>
      </c>
      <c r="H83" s="263">
        <v>239</v>
      </c>
      <c r="I83" s="263">
        <v>168</v>
      </c>
      <c r="J83" s="263">
        <v>164</v>
      </c>
      <c r="K83" s="263">
        <v>290</v>
      </c>
      <c r="L83" s="263">
        <v>253</v>
      </c>
      <c r="M83" s="263">
        <v>230</v>
      </c>
      <c r="N83" s="263">
        <v>249</v>
      </c>
      <c r="O83" s="263">
        <v>471</v>
      </c>
      <c r="P83" s="263">
        <v>403</v>
      </c>
      <c r="Q83" s="263">
        <v>431</v>
      </c>
      <c r="R83" s="263">
        <v>365</v>
      </c>
      <c r="S83" s="263">
        <v>494</v>
      </c>
      <c r="T83" s="263">
        <v>870</v>
      </c>
      <c r="U83" s="263">
        <v>799</v>
      </c>
      <c r="V83" s="263">
        <v>752</v>
      </c>
      <c r="W83" s="263">
        <v>739</v>
      </c>
      <c r="X83" s="263">
        <v>1165</v>
      </c>
      <c r="Y83" s="263">
        <v>529</v>
      </c>
      <c r="Z83" s="263">
        <v>1602</v>
      </c>
      <c r="AA83" s="263">
        <v>1086</v>
      </c>
      <c r="AB83" s="263">
        <v>1351</v>
      </c>
      <c r="AC83" s="263">
        <v>376</v>
      </c>
      <c r="AD83" s="263">
        <v>1704</v>
      </c>
      <c r="AE83" s="263">
        <v>1237</v>
      </c>
      <c r="AF83" s="263">
        <v>1016</v>
      </c>
      <c r="AG83" s="263">
        <v>454</v>
      </c>
      <c r="AH83" s="263">
        <v>497</v>
      </c>
      <c r="AI83" s="263" t="s">
        <v>291</v>
      </c>
      <c r="AJ83" s="263">
        <v>781</v>
      </c>
    </row>
    <row r="84" spans="1:36" ht="15">
      <c r="A84" s="263" t="s">
        <v>310</v>
      </c>
      <c r="B84" s="263">
        <v>-79</v>
      </c>
      <c r="C84" s="263">
        <v>-32</v>
      </c>
      <c r="D84" s="263">
        <v>46</v>
      </c>
      <c r="E84" s="263">
        <v>118</v>
      </c>
      <c r="F84" s="263">
        <v>91</v>
      </c>
      <c r="G84" s="263">
        <v>120</v>
      </c>
      <c r="H84" s="263">
        <v>-172</v>
      </c>
      <c r="I84" s="263">
        <v>281</v>
      </c>
      <c r="J84" s="263">
        <v>200</v>
      </c>
      <c r="K84" s="263">
        <v>-133</v>
      </c>
      <c r="L84" s="263">
        <v>103</v>
      </c>
      <c r="M84" s="263">
        <v>243</v>
      </c>
      <c r="N84" s="263">
        <v>206</v>
      </c>
      <c r="O84" s="263">
        <v>458</v>
      </c>
      <c r="P84" s="263">
        <v>550</v>
      </c>
      <c r="Q84" s="263">
        <v>-42</v>
      </c>
      <c r="R84" s="263">
        <v>-56</v>
      </c>
      <c r="S84" s="263">
        <v>-312</v>
      </c>
      <c r="T84" s="263">
        <v>804</v>
      </c>
      <c r="U84" s="263">
        <v>315</v>
      </c>
      <c r="V84" s="263">
        <v>399</v>
      </c>
      <c r="W84" s="263">
        <v>451</v>
      </c>
      <c r="X84" s="263">
        <v>807</v>
      </c>
      <c r="Y84" s="263">
        <v>885</v>
      </c>
      <c r="Z84" s="263">
        <v>1134</v>
      </c>
      <c r="AA84" s="263">
        <v>1439</v>
      </c>
      <c r="AB84" s="263">
        <v>1608</v>
      </c>
      <c r="AC84" s="263">
        <v>1376</v>
      </c>
      <c r="AD84" s="263">
        <v>2088</v>
      </c>
      <c r="AE84" s="263">
        <v>529</v>
      </c>
      <c r="AF84" s="263">
        <v>843</v>
      </c>
      <c r="AG84" s="263" t="s">
        <v>291</v>
      </c>
      <c r="AH84" s="263">
        <v>-294</v>
      </c>
      <c r="AI84" s="263" t="s">
        <v>291</v>
      </c>
      <c r="AJ84" s="263">
        <v>434</v>
      </c>
    </row>
    <row r="85" spans="1:36" ht="15">
      <c r="A85" s="263" t="s">
        <v>236</v>
      </c>
      <c r="B85" s="263">
        <v>-16</v>
      </c>
      <c r="C85" s="263">
        <v>10</v>
      </c>
      <c r="D85" s="263">
        <v>14</v>
      </c>
      <c r="E85" s="263">
        <v>27</v>
      </c>
      <c r="F85" s="263">
        <v>29</v>
      </c>
      <c r="G85" s="263">
        <v>45</v>
      </c>
      <c r="H85" s="263">
        <v>28</v>
      </c>
      <c r="I85" s="263">
        <v>-29</v>
      </c>
      <c r="J85" s="263">
        <v>-13</v>
      </c>
      <c r="K85" s="263">
        <v>-30</v>
      </c>
      <c r="L85" s="263">
        <v>26</v>
      </c>
      <c r="M85" s="263">
        <v>46</v>
      </c>
      <c r="N85" s="263">
        <v>-117</v>
      </c>
      <c r="O85" s="263">
        <v>-50</v>
      </c>
      <c r="P85" s="263">
        <v>27</v>
      </c>
      <c r="Q85" s="263">
        <v>62</v>
      </c>
      <c r="R85" s="263">
        <v>-102</v>
      </c>
      <c r="S85" s="263">
        <v>-34</v>
      </c>
      <c r="T85" s="263">
        <v>181</v>
      </c>
      <c r="U85" s="263">
        <v>414</v>
      </c>
      <c r="V85" s="263">
        <v>-207</v>
      </c>
      <c r="W85" s="263">
        <v>344</v>
      </c>
      <c r="X85" s="263">
        <v>670</v>
      </c>
      <c r="Y85" s="263">
        <v>549</v>
      </c>
      <c r="Z85" s="263">
        <v>735</v>
      </c>
      <c r="AA85" s="263">
        <v>601</v>
      </c>
      <c r="AB85" s="263">
        <v>336</v>
      </c>
      <c r="AC85" s="263">
        <v>-166</v>
      </c>
      <c r="AD85" s="263">
        <v>385</v>
      </c>
      <c r="AE85" s="263">
        <v>-28</v>
      </c>
      <c r="AF85" s="263">
        <v>488</v>
      </c>
      <c r="AG85" s="263" t="s">
        <v>291</v>
      </c>
      <c r="AH85" s="263">
        <v>844</v>
      </c>
      <c r="AI85" s="263">
        <v>653</v>
      </c>
      <c r="AJ85" s="263" t="s">
        <v>291</v>
      </c>
    </row>
    <row r="86" spans="1:36" ht="15">
      <c r="A86" s="263" t="s">
        <v>274</v>
      </c>
      <c r="B86" s="263">
        <v>217</v>
      </c>
      <c r="C86" s="263">
        <v>442</v>
      </c>
      <c r="D86" s="263">
        <v>-160</v>
      </c>
      <c r="E86" s="263">
        <v>-45</v>
      </c>
      <c r="F86" s="263">
        <v>-408</v>
      </c>
      <c r="G86" s="263">
        <v>-335</v>
      </c>
      <c r="H86" s="263">
        <v>-443</v>
      </c>
      <c r="I86" s="263">
        <v>30</v>
      </c>
      <c r="J86" s="263">
        <v>37</v>
      </c>
      <c r="K86" s="263">
        <v>131</v>
      </c>
      <c r="L86" s="263">
        <v>100</v>
      </c>
      <c r="M86" s="263">
        <v>228</v>
      </c>
      <c r="N86" s="263">
        <v>-24</v>
      </c>
      <c r="O86" s="263">
        <v>102</v>
      </c>
      <c r="P86" s="263">
        <v>238</v>
      </c>
      <c r="Q86" s="263">
        <v>327</v>
      </c>
      <c r="R86" s="263">
        <v>464</v>
      </c>
      <c r="S86" s="263" t="s">
        <v>273</v>
      </c>
      <c r="T86" s="263" t="s">
        <v>273</v>
      </c>
      <c r="U86" s="263" t="s">
        <v>273</v>
      </c>
      <c r="V86" s="263" t="s">
        <v>273</v>
      </c>
      <c r="W86" s="263" t="s">
        <v>273</v>
      </c>
      <c r="X86" s="263" t="s">
        <v>273</v>
      </c>
      <c r="Y86" s="263" t="s">
        <v>273</v>
      </c>
      <c r="Z86" s="263" t="s">
        <v>273</v>
      </c>
      <c r="AA86" s="263" t="s">
        <v>273</v>
      </c>
      <c r="AB86" s="263" t="s">
        <v>273</v>
      </c>
      <c r="AC86" s="263" t="s">
        <v>273</v>
      </c>
      <c r="AD86" s="263" t="s">
        <v>273</v>
      </c>
      <c r="AE86" s="263" t="s">
        <v>273</v>
      </c>
      <c r="AF86" s="263" t="s">
        <v>273</v>
      </c>
      <c r="AG86" s="263" t="s">
        <v>273</v>
      </c>
      <c r="AH86" s="263" t="s">
        <v>273</v>
      </c>
      <c r="AI86" s="263" t="s">
        <v>273</v>
      </c>
      <c r="AJ86" s="263" t="s">
        <v>273</v>
      </c>
    </row>
    <row r="87" spans="1:36" ht="15">
      <c r="A87" s="263" t="s">
        <v>31</v>
      </c>
      <c r="B87" s="263" t="s">
        <v>0</v>
      </c>
      <c r="C87" s="263" t="s">
        <v>0</v>
      </c>
      <c r="D87" s="263" t="s">
        <v>0</v>
      </c>
      <c r="E87" s="263" t="s">
        <v>0</v>
      </c>
      <c r="F87" s="263" t="s">
        <v>0</v>
      </c>
      <c r="G87" s="263" t="s">
        <v>0</v>
      </c>
      <c r="H87" s="263" t="s">
        <v>0</v>
      </c>
      <c r="I87" s="263" t="s">
        <v>0</v>
      </c>
      <c r="J87" s="263" t="s">
        <v>0</v>
      </c>
      <c r="K87" s="263" t="s">
        <v>0</v>
      </c>
      <c r="L87" s="263" t="s">
        <v>0</v>
      </c>
      <c r="M87" s="263" t="s">
        <v>0</v>
      </c>
      <c r="N87" s="263" t="s">
        <v>0</v>
      </c>
      <c r="O87" s="263" t="s">
        <v>0</v>
      </c>
      <c r="P87" s="263" t="s">
        <v>0</v>
      </c>
      <c r="Q87" s="263" t="s">
        <v>0</v>
      </c>
      <c r="R87" s="263" t="s">
        <v>0</v>
      </c>
      <c r="S87" s="263" t="s">
        <v>0</v>
      </c>
      <c r="T87" s="263" t="s">
        <v>0</v>
      </c>
      <c r="U87" s="263" t="s">
        <v>0</v>
      </c>
      <c r="V87" s="263" t="s">
        <v>0</v>
      </c>
      <c r="W87" s="263" t="s">
        <v>0</v>
      </c>
      <c r="X87" s="263" t="s">
        <v>0</v>
      </c>
      <c r="Y87" s="263" t="s">
        <v>0</v>
      </c>
      <c r="Z87" s="263" t="s">
        <v>0</v>
      </c>
      <c r="AA87" s="263" t="s">
        <v>0</v>
      </c>
      <c r="AB87" s="263" t="s">
        <v>0</v>
      </c>
      <c r="AC87" s="263" t="s">
        <v>0</v>
      </c>
      <c r="AD87" s="263" t="s">
        <v>0</v>
      </c>
      <c r="AE87" s="263" t="s">
        <v>0</v>
      </c>
      <c r="AF87" s="263" t="s">
        <v>0</v>
      </c>
      <c r="AG87" s="263" t="s">
        <v>0</v>
      </c>
      <c r="AH87" s="263" t="s">
        <v>0</v>
      </c>
      <c r="AI87" s="263" t="s">
        <v>0</v>
      </c>
      <c r="AJ87" s="263" t="s">
        <v>0</v>
      </c>
    </row>
    <row r="88" spans="1:36" ht="15">
      <c r="A88" s="263" t="s">
        <v>699</v>
      </c>
      <c r="B88" s="263" t="s">
        <v>273</v>
      </c>
      <c r="C88" s="263" t="s">
        <v>273</v>
      </c>
      <c r="D88" s="263" t="s">
        <v>273</v>
      </c>
      <c r="E88" s="263" t="s">
        <v>273</v>
      </c>
      <c r="F88" s="263" t="s">
        <v>273</v>
      </c>
      <c r="G88" s="263" t="s">
        <v>273</v>
      </c>
      <c r="H88" s="263" t="s">
        <v>273</v>
      </c>
      <c r="I88" s="263" t="s">
        <v>306</v>
      </c>
      <c r="J88" s="263">
        <v>-26</v>
      </c>
      <c r="K88" s="263">
        <v>-41</v>
      </c>
      <c r="L88" s="263">
        <v>-132</v>
      </c>
      <c r="M88" s="263">
        <v>-122</v>
      </c>
      <c r="N88" s="263">
        <v>-411</v>
      </c>
      <c r="O88" s="263">
        <v>-182</v>
      </c>
      <c r="P88" s="263">
        <v>91</v>
      </c>
      <c r="Q88" s="263">
        <v>249</v>
      </c>
      <c r="R88" s="263">
        <v>-447</v>
      </c>
      <c r="S88" s="263">
        <v>115</v>
      </c>
      <c r="T88" s="263">
        <v>895</v>
      </c>
      <c r="U88" s="263">
        <v>784</v>
      </c>
      <c r="V88" s="263" t="s">
        <v>273</v>
      </c>
      <c r="W88" s="263" t="s">
        <v>273</v>
      </c>
      <c r="X88" s="263" t="s">
        <v>273</v>
      </c>
      <c r="Y88" s="263" t="s">
        <v>273</v>
      </c>
      <c r="Z88" s="263" t="s">
        <v>273</v>
      </c>
      <c r="AA88" s="263" t="s">
        <v>273</v>
      </c>
      <c r="AB88" s="263" t="s">
        <v>273</v>
      </c>
      <c r="AC88" s="263" t="s">
        <v>273</v>
      </c>
      <c r="AD88" s="263" t="s">
        <v>273</v>
      </c>
      <c r="AE88" s="263" t="s">
        <v>273</v>
      </c>
      <c r="AF88" s="263" t="s">
        <v>273</v>
      </c>
      <c r="AG88" s="263" t="s">
        <v>273</v>
      </c>
      <c r="AH88" s="263" t="s">
        <v>273</v>
      </c>
      <c r="AI88" s="263" t="s">
        <v>273</v>
      </c>
      <c r="AJ88" s="263" t="s">
        <v>273</v>
      </c>
    </row>
    <row r="89" spans="1:36" ht="15">
      <c r="A89" s="263" t="s">
        <v>1043</v>
      </c>
      <c r="B89" s="263">
        <v>702</v>
      </c>
      <c r="C89" s="263">
        <v>3429</v>
      </c>
      <c r="D89" s="263">
        <v>5120</v>
      </c>
      <c r="E89" s="263">
        <v>6323</v>
      </c>
      <c r="F89" s="263">
        <v>5706</v>
      </c>
      <c r="G89" s="263">
        <v>7606</v>
      </c>
      <c r="H89" s="263">
        <v>6002</v>
      </c>
      <c r="I89" s="263">
        <v>5075</v>
      </c>
      <c r="J89" s="263">
        <v>9459</v>
      </c>
      <c r="K89" s="263">
        <v>7789</v>
      </c>
      <c r="L89" s="263">
        <v>3585</v>
      </c>
      <c r="M89" s="263">
        <v>9539</v>
      </c>
      <c r="N89" s="263">
        <v>4743</v>
      </c>
      <c r="O89" s="263">
        <v>20047</v>
      </c>
      <c r="P89" s="263">
        <v>16615</v>
      </c>
      <c r="Q89" s="263">
        <v>18577</v>
      </c>
      <c r="R89" s="263">
        <v>19613</v>
      </c>
      <c r="S89" s="263">
        <v>25037</v>
      </c>
      <c r="T89" s="263">
        <v>31823</v>
      </c>
      <c r="U89" s="263">
        <v>20914</v>
      </c>
      <c r="V89" s="263">
        <v>30607</v>
      </c>
      <c r="W89" s="263">
        <v>41996</v>
      </c>
      <c r="X89" s="263">
        <v>53805</v>
      </c>
      <c r="Y89" s="263">
        <v>-41137</v>
      </c>
      <c r="Z89" s="263">
        <v>88389</v>
      </c>
      <c r="AA89" s="263">
        <v>99043</v>
      </c>
      <c r="AB89" s="263">
        <v>100140</v>
      </c>
      <c r="AC89" s="263">
        <v>100652</v>
      </c>
      <c r="AD89" s="263">
        <v>127167</v>
      </c>
      <c r="AE89" s="263">
        <v>128514</v>
      </c>
      <c r="AF89" s="263">
        <v>111381</v>
      </c>
      <c r="AG89" s="263">
        <v>141920</v>
      </c>
      <c r="AH89" s="263">
        <v>152076</v>
      </c>
      <c r="AI89" s="263">
        <v>158097</v>
      </c>
      <c r="AJ89" s="263">
        <v>164578</v>
      </c>
    </row>
    <row r="90" spans="1:36" ht="15">
      <c r="A90" s="263" t="s">
        <v>1044</v>
      </c>
      <c r="B90" s="263">
        <v>187</v>
      </c>
      <c r="C90" s="263">
        <v>733</v>
      </c>
      <c r="D90" s="263">
        <v>1955</v>
      </c>
      <c r="E90" s="263">
        <v>720</v>
      </c>
      <c r="F90" s="263">
        <v>262</v>
      </c>
      <c r="G90" s="263">
        <v>445</v>
      </c>
      <c r="H90" s="263">
        <v>-203</v>
      </c>
      <c r="I90" s="263">
        <v>-151</v>
      </c>
      <c r="J90" s="263">
        <v>946</v>
      </c>
      <c r="K90" s="263">
        <v>1680</v>
      </c>
      <c r="L90" s="263">
        <v>622</v>
      </c>
      <c r="M90" s="263">
        <v>1194</v>
      </c>
      <c r="N90" s="263">
        <v>191</v>
      </c>
      <c r="O90" s="263">
        <v>-284</v>
      </c>
      <c r="P90" s="263">
        <v>1953</v>
      </c>
      <c r="Q90" s="263">
        <v>1755</v>
      </c>
      <c r="R90" s="263">
        <v>997</v>
      </c>
      <c r="S90" s="263">
        <v>-2269</v>
      </c>
      <c r="T90" s="263">
        <v>2864</v>
      </c>
      <c r="U90" s="263">
        <v>2028</v>
      </c>
      <c r="V90" s="263">
        <v>1198</v>
      </c>
      <c r="W90" s="263">
        <v>1977</v>
      </c>
      <c r="X90" s="263">
        <v>3667</v>
      </c>
      <c r="Y90" s="263">
        <v>4511</v>
      </c>
      <c r="Z90" s="263">
        <v>4742</v>
      </c>
      <c r="AA90" s="263">
        <v>2186</v>
      </c>
      <c r="AB90" s="263">
        <v>3783</v>
      </c>
      <c r="AC90" s="263">
        <v>4043</v>
      </c>
      <c r="AD90" s="263">
        <v>5042</v>
      </c>
      <c r="AE90" s="263">
        <v>7987</v>
      </c>
      <c r="AF90" s="263">
        <v>927</v>
      </c>
      <c r="AG90" s="263">
        <v>5364</v>
      </c>
      <c r="AH90" s="263">
        <v>3863</v>
      </c>
      <c r="AI90" s="263">
        <v>1028</v>
      </c>
      <c r="AJ90" s="263">
        <v>-6969</v>
      </c>
    </row>
    <row r="91" spans="1:36" ht="18" customHeight="1">
      <c r="A91" s="1942" t="s">
        <v>7</v>
      </c>
      <c r="B91" s="1939"/>
      <c r="C91" s="1939"/>
      <c r="D91" s="1939"/>
      <c r="E91" s="1939"/>
      <c r="F91" s="1939"/>
      <c r="G91" s="1939"/>
      <c r="H91" s="1939"/>
      <c r="I91" s="1939"/>
      <c r="J91" s="1939"/>
      <c r="K91" s="1939"/>
      <c r="L91" s="1939"/>
      <c r="M91" s="1939"/>
      <c r="N91" s="1939"/>
      <c r="O91" s="1939"/>
      <c r="P91" s="1939"/>
      <c r="Q91" s="1939"/>
      <c r="R91" s="1939"/>
      <c r="S91" s="1939"/>
      <c r="T91" s="1939"/>
      <c r="U91" s="1939"/>
      <c r="V91" s="1939"/>
      <c r="W91" s="1939"/>
      <c r="X91" s="1939"/>
      <c r="Y91" s="1939"/>
      <c r="Z91" s="1939"/>
      <c r="AA91" s="1939"/>
      <c r="AB91" s="1939"/>
      <c r="AC91" s="1939"/>
      <c r="AD91" s="1939"/>
      <c r="AE91" s="1939"/>
      <c r="AF91" s="1939"/>
      <c r="AG91" s="1939"/>
      <c r="AH91" s="1939"/>
      <c r="AI91" s="1939"/>
      <c r="AJ91" s="1939"/>
    </row>
    <row r="92" spans="1:36" ht="12" customHeight="1">
      <c r="A92" s="1938" t="s">
        <v>272</v>
      </c>
      <c r="B92" s="1939"/>
      <c r="C92" s="1939"/>
      <c r="D92" s="1939"/>
      <c r="E92" s="1939"/>
      <c r="F92" s="1939"/>
      <c r="G92" s="1939"/>
      <c r="H92" s="1939"/>
      <c r="I92" s="1939"/>
      <c r="J92" s="1939"/>
      <c r="K92" s="1939"/>
      <c r="L92" s="1939"/>
      <c r="M92" s="1939"/>
      <c r="N92" s="1939"/>
      <c r="O92" s="1939"/>
      <c r="P92" s="1939"/>
      <c r="Q92" s="1939"/>
      <c r="R92" s="1939"/>
      <c r="S92" s="1939"/>
      <c r="T92" s="1939"/>
      <c r="U92" s="1939"/>
      <c r="V92" s="1939"/>
      <c r="W92" s="1939"/>
      <c r="X92" s="1939"/>
      <c r="Y92" s="1939"/>
      <c r="Z92" s="1939"/>
      <c r="AA92" s="1939"/>
      <c r="AB92" s="1939"/>
      <c r="AC92" s="1939"/>
      <c r="AD92" s="1939"/>
      <c r="AE92" s="1939"/>
      <c r="AF92" s="1939"/>
      <c r="AG92" s="1939"/>
      <c r="AH92" s="1939"/>
      <c r="AI92" s="1939"/>
      <c r="AJ92" s="1939"/>
    </row>
    <row r="93" spans="1:36" ht="12" customHeight="1">
      <c r="A93" s="1938" t="s">
        <v>1031</v>
      </c>
      <c r="B93" s="1939"/>
      <c r="C93" s="1939"/>
      <c r="D93" s="1939"/>
      <c r="E93" s="1939"/>
      <c r="F93" s="1939"/>
      <c r="G93" s="1939"/>
      <c r="H93" s="1939"/>
      <c r="I93" s="1939"/>
      <c r="J93" s="1939"/>
      <c r="K93" s="1939"/>
      <c r="L93" s="1939"/>
      <c r="M93" s="1939"/>
      <c r="N93" s="1939"/>
      <c r="O93" s="1939"/>
      <c r="P93" s="1939"/>
      <c r="Q93" s="1939"/>
      <c r="R93" s="1939"/>
      <c r="S93" s="1939"/>
      <c r="T93" s="1939"/>
      <c r="U93" s="1939"/>
      <c r="V93" s="1939"/>
      <c r="W93" s="1939"/>
      <c r="X93" s="1939"/>
      <c r="Y93" s="1939"/>
      <c r="Z93" s="1939"/>
      <c r="AA93" s="1939"/>
      <c r="AB93" s="1939"/>
      <c r="AC93" s="1939"/>
      <c r="AD93" s="1939"/>
      <c r="AE93" s="1939"/>
      <c r="AF93" s="1939"/>
      <c r="AG93" s="1939"/>
      <c r="AH93" s="1939"/>
      <c r="AI93" s="1939"/>
      <c r="AJ93" s="1939"/>
    </row>
    <row r="94" spans="1:36" ht="12" customHeight="1">
      <c r="A94" s="1938" t="s">
        <v>1032</v>
      </c>
      <c r="B94" s="1939"/>
      <c r="C94" s="1939"/>
      <c r="D94" s="1939"/>
      <c r="E94" s="1939"/>
      <c r="F94" s="1939"/>
      <c r="G94" s="1939"/>
      <c r="H94" s="1939"/>
      <c r="I94" s="1939"/>
      <c r="J94" s="1939"/>
      <c r="K94" s="1939"/>
      <c r="L94" s="1939"/>
      <c r="M94" s="1939"/>
      <c r="N94" s="1939"/>
      <c r="O94" s="1939"/>
      <c r="P94" s="1939"/>
      <c r="Q94" s="1939"/>
      <c r="R94" s="1939"/>
      <c r="S94" s="1939"/>
      <c r="T94" s="1939"/>
      <c r="U94" s="1939"/>
      <c r="V94" s="1939"/>
      <c r="W94" s="1939"/>
      <c r="X94" s="1939"/>
      <c r="Y94" s="1939"/>
      <c r="Z94" s="1939"/>
      <c r="AA94" s="1939"/>
      <c r="AB94" s="1939"/>
      <c r="AC94" s="1939"/>
      <c r="AD94" s="1939"/>
      <c r="AE94" s="1939"/>
      <c r="AF94" s="1939"/>
      <c r="AG94" s="1939"/>
      <c r="AH94" s="1939"/>
      <c r="AI94" s="1939"/>
      <c r="AJ94" s="1939"/>
    </row>
    <row r="95" spans="1:36" ht="12" customHeight="1">
      <c r="A95" s="1938" t="s">
        <v>1033</v>
      </c>
      <c r="B95" s="1939"/>
      <c r="C95" s="1939"/>
      <c r="D95" s="1939"/>
      <c r="E95" s="1939"/>
      <c r="F95" s="1939"/>
      <c r="G95" s="1939"/>
      <c r="H95" s="1939"/>
      <c r="I95" s="1939"/>
      <c r="J95" s="1939"/>
      <c r="K95" s="1939"/>
      <c r="L95" s="1939"/>
      <c r="M95" s="1939"/>
      <c r="N95" s="1939"/>
      <c r="O95" s="1939"/>
      <c r="P95" s="1939"/>
      <c r="Q95" s="1939"/>
      <c r="R95" s="1939"/>
      <c r="S95" s="1939"/>
      <c r="T95" s="1939"/>
      <c r="U95" s="1939"/>
      <c r="V95" s="1939"/>
      <c r="W95" s="1939"/>
      <c r="X95" s="1939"/>
      <c r="Y95" s="1939"/>
      <c r="Z95" s="1939"/>
      <c r="AA95" s="1939"/>
      <c r="AB95" s="1939"/>
      <c r="AC95" s="1939"/>
      <c r="AD95" s="1939"/>
      <c r="AE95" s="1939"/>
      <c r="AF95" s="1939"/>
      <c r="AG95" s="1939"/>
      <c r="AH95" s="1939"/>
      <c r="AI95" s="1939"/>
      <c r="AJ95" s="1939"/>
    </row>
    <row r="96" spans="1:36" ht="12" customHeight="1">
      <c r="A96" s="1938" t="s">
        <v>268</v>
      </c>
      <c r="B96" s="1939"/>
      <c r="C96" s="1939"/>
      <c r="D96" s="1939"/>
      <c r="E96" s="1939"/>
      <c r="F96" s="1939"/>
      <c r="G96" s="1939"/>
      <c r="H96" s="1939"/>
      <c r="I96" s="1939"/>
      <c r="J96" s="1939"/>
      <c r="K96" s="1939"/>
      <c r="L96" s="1939"/>
      <c r="M96" s="1939"/>
      <c r="N96" s="1939"/>
      <c r="O96" s="1939"/>
      <c r="P96" s="1939"/>
      <c r="Q96" s="1939"/>
      <c r="R96" s="1939"/>
      <c r="S96" s="1939"/>
      <c r="T96" s="1939"/>
      <c r="U96" s="1939"/>
      <c r="V96" s="1939"/>
      <c r="W96" s="1939"/>
      <c r="X96" s="1939"/>
      <c r="Y96" s="1939"/>
      <c r="Z96" s="1939"/>
      <c r="AA96" s="1939"/>
      <c r="AB96" s="1939"/>
      <c r="AC96" s="1939"/>
      <c r="AD96" s="1939"/>
      <c r="AE96" s="1939"/>
      <c r="AF96" s="1939"/>
      <c r="AG96" s="1939"/>
      <c r="AH96" s="1939"/>
      <c r="AI96" s="1939"/>
      <c r="AJ96" s="1939"/>
    </row>
    <row r="97" spans="1:36" ht="12" customHeight="1">
      <c r="A97" s="1938" t="s">
        <v>267</v>
      </c>
      <c r="B97" s="1939"/>
      <c r="C97" s="1939"/>
      <c r="D97" s="1939"/>
      <c r="E97" s="1939"/>
      <c r="F97" s="1939"/>
      <c r="G97" s="1939"/>
      <c r="H97" s="1939"/>
      <c r="I97" s="1939"/>
      <c r="J97" s="1939"/>
      <c r="K97" s="1939"/>
      <c r="L97" s="1939"/>
      <c r="M97" s="1939"/>
      <c r="N97" s="1939"/>
      <c r="O97" s="1939"/>
      <c r="P97" s="1939"/>
      <c r="Q97" s="1939"/>
      <c r="R97" s="1939"/>
      <c r="S97" s="1939"/>
      <c r="T97" s="1939"/>
      <c r="U97" s="1939"/>
      <c r="V97" s="1939"/>
      <c r="W97" s="1939"/>
      <c r="X97" s="1939"/>
      <c r="Y97" s="1939"/>
      <c r="Z97" s="1939"/>
      <c r="AA97" s="1939"/>
      <c r="AB97" s="1939"/>
      <c r="AC97" s="1939"/>
      <c r="AD97" s="1939"/>
      <c r="AE97" s="1939"/>
      <c r="AF97" s="1939"/>
      <c r="AG97" s="1939"/>
      <c r="AH97" s="1939"/>
      <c r="AI97" s="1939"/>
      <c r="AJ97" s="1939"/>
    </row>
    <row r="98" spans="1:36" ht="12" customHeight="1">
      <c r="A98" s="1938" t="s">
        <v>265</v>
      </c>
      <c r="B98" s="1939"/>
      <c r="C98" s="1939"/>
      <c r="D98" s="1939"/>
      <c r="E98" s="1939"/>
      <c r="F98" s="1939"/>
      <c r="G98" s="1939"/>
      <c r="H98" s="1939"/>
      <c r="I98" s="1939"/>
      <c r="J98" s="1939"/>
      <c r="K98" s="1939"/>
      <c r="L98" s="1939"/>
      <c r="M98" s="1939"/>
      <c r="N98" s="1939"/>
      <c r="O98" s="1939"/>
      <c r="P98" s="1939"/>
      <c r="Q98" s="1939"/>
      <c r="R98" s="1939"/>
      <c r="S98" s="1939"/>
      <c r="T98" s="1939"/>
      <c r="U98" s="1939"/>
      <c r="V98" s="1939"/>
      <c r="W98" s="1939"/>
      <c r="X98" s="1939"/>
      <c r="Y98" s="1939"/>
      <c r="Z98" s="1939"/>
      <c r="AA98" s="1939"/>
      <c r="AB98" s="1939"/>
      <c r="AC98" s="1939"/>
      <c r="AD98" s="1939"/>
      <c r="AE98" s="1939"/>
      <c r="AF98" s="1939"/>
      <c r="AG98" s="1939"/>
      <c r="AH98" s="1939"/>
      <c r="AI98" s="1939"/>
      <c r="AJ98" s="1939"/>
    </row>
    <row r="99" spans="1:36" ht="24" customHeight="1">
      <c r="A99" s="1938" t="s">
        <v>264</v>
      </c>
      <c r="B99" s="1939"/>
      <c r="C99" s="1939"/>
      <c r="D99" s="1939"/>
      <c r="E99" s="1939"/>
      <c r="F99" s="1939"/>
      <c r="G99" s="1939"/>
      <c r="H99" s="1939"/>
      <c r="I99" s="1939"/>
      <c r="J99" s="1939"/>
      <c r="K99" s="1939"/>
      <c r="L99" s="1939"/>
      <c r="M99" s="1939"/>
      <c r="N99" s="1939"/>
      <c r="O99" s="1939"/>
      <c r="P99" s="1939"/>
      <c r="Q99" s="1939"/>
      <c r="R99" s="1939"/>
      <c r="S99" s="1939"/>
      <c r="T99" s="1939"/>
      <c r="U99" s="1939"/>
      <c r="V99" s="1939"/>
      <c r="W99" s="1939"/>
      <c r="X99" s="1939"/>
      <c r="Y99" s="1939"/>
      <c r="Z99" s="1939"/>
      <c r="AA99" s="1939"/>
      <c r="AB99" s="1939"/>
      <c r="AC99" s="1939"/>
      <c r="AD99" s="1939"/>
      <c r="AE99" s="1939"/>
      <c r="AF99" s="1939"/>
      <c r="AG99" s="1939"/>
      <c r="AH99" s="1939"/>
      <c r="AI99" s="1939"/>
      <c r="AJ99" s="1939"/>
    </row>
    <row r="100" spans="1:36" ht="12" customHeight="1">
      <c r="A100" s="1938" t="s">
        <v>262</v>
      </c>
      <c r="B100" s="1939"/>
      <c r="C100" s="1939"/>
      <c r="D100" s="1939"/>
      <c r="E100" s="1939"/>
      <c r="F100" s="1939"/>
      <c r="G100" s="1939"/>
      <c r="H100" s="1939"/>
      <c r="I100" s="1939"/>
      <c r="J100" s="1939"/>
      <c r="K100" s="1939"/>
      <c r="L100" s="1939"/>
      <c r="M100" s="1939"/>
      <c r="N100" s="1939"/>
      <c r="O100" s="1939"/>
      <c r="P100" s="1939"/>
      <c r="Q100" s="1939"/>
      <c r="R100" s="1939"/>
      <c r="S100" s="1939"/>
      <c r="T100" s="1939"/>
      <c r="U100" s="1939"/>
      <c r="V100" s="1939"/>
      <c r="W100" s="1939"/>
      <c r="X100" s="1939"/>
      <c r="Y100" s="1939"/>
      <c r="Z100" s="1939"/>
      <c r="AA100" s="1939"/>
      <c r="AB100" s="1939"/>
      <c r="AC100" s="1939"/>
      <c r="AD100" s="1939"/>
      <c r="AE100" s="1939"/>
      <c r="AF100" s="1939"/>
      <c r="AG100" s="1939"/>
      <c r="AH100" s="1939"/>
      <c r="AI100" s="1939"/>
      <c r="AJ100" s="1939"/>
    </row>
    <row r="101" spans="1:36" ht="24" customHeight="1">
      <c r="A101" s="1938" t="s">
        <v>1045</v>
      </c>
      <c r="B101" s="1939"/>
      <c r="C101" s="1939"/>
      <c r="D101" s="1939"/>
      <c r="E101" s="1939"/>
      <c r="F101" s="1939"/>
      <c r="G101" s="1939"/>
      <c r="H101" s="1939"/>
      <c r="I101" s="1939"/>
      <c r="J101" s="1939"/>
      <c r="K101" s="1939"/>
      <c r="L101" s="1939"/>
      <c r="M101" s="1939"/>
      <c r="N101" s="1939"/>
      <c r="O101" s="1939"/>
      <c r="P101" s="1939"/>
      <c r="Q101" s="1939"/>
      <c r="R101" s="1939"/>
      <c r="S101" s="1939"/>
      <c r="T101" s="1939"/>
      <c r="U101" s="1939"/>
      <c r="V101" s="1939"/>
      <c r="W101" s="1939"/>
      <c r="X101" s="1939"/>
      <c r="Y101" s="1939"/>
      <c r="Z101" s="1939"/>
      <c r="AA101" s="1939"/>
      <c r="AB101" s="1939"/>
      <c r="AC101" s="1939"/>
      <c r="AD101" s="1939"/>
      <c r="AE101" s="1939"/>
      <c r="AF101" s="1939"/>
      <c r="AG101" s="1939"/>
      <c r="AH101" s="1939"/>
      <c r="AI101" s="1939"/>
      <c r="AJ101" s="1939"/>
    </row>
    <row r="102" spans="1:36" ht="24" customHeight="1">
      <c r="A102" s="1938" t="s">
        <v>1046</v>
      </c>
      <c r="B102" s="1939"/>
      <c r="C102" s="1939"/>
      <c r="D102" s="1939"/>
      <c r="E102" s="1939"/>
      <c r="F102" s="1939"/>
      <c r="G102" s="1939"/>
      <c r="H102" s="1939"/>
      <c r="I102" s="1939"/>
      <c r="J102" s="1939"/>
      <c r="K102" s="1939"/>
      <c r="L102" s="1939"/>
      <c r="M102" s="1939"/>
      <c r="N102" s="1939"/>
      <c r="O102" s="1939"/>
      <c r="P102" s="1939"/>
      <c r="Q102" s="1939"/>
      <c r="R102" s="1939"/>
      <c r="S102" s="1939"/>
      <c r="T102" s="1939"/>
      <c r="U102" s="1939"/>
      <c r="V102" s="1939"/>
      <c r="W102" s="1939"/>
      <c r="X102" s="1939"/>
      <c r="Y102" s="1939"/>
      <c r="Z102" s="1939"/>
      <c r="AA102" s="1939"/>
      <c r="AB102" s="1939"/>
      <c r="AC102" s="1939"/>
      <c r="AD102" s="1939"/>
      <c r="AE102" s="1939"/>
      <c r="AF102" s="1939"/>
      <c r="AG102" s="1939"/>
      <c r="AH102" s="1939"/>
      <c r="AI102" s="1939"/>
      <c r="AJ102" s="1939"/>
    </row>
    <row r="103" spans="1:36" ht="12" customHeight="1">
      <c r="A103" s="1938" t="s">
        <v>1047</v>
      </c>
      <c r="B103" s="1939"/>
      <c r="C103" s="1939"/>
      <c r="D103" s="1939"/>
      <c r="E103" s="1939"/>
      <c r="F103" s="1939"/>
      <c r="G103" s="1939"/>
      <c r="H103" s="1939"/>
      <c r="I103" s="1939"/>
      <c r="J103" s="1939"/>
      <c r="K103" s="1939"/>
      <c r="L103" s="1939"/>
      <c r="M103" s="1939"/>
      <c r="N103" s="1939"/>
      <c r="O103" s="1939"/>
      <c r="P103" s="1939"/>
      <c r="Q103" s="1939"/>
      <c r="R103" s="1939"/>
      <c r="S103" s="1939"/>
      <c r="T103" s="1939"/>
      <c r="U103" s="1939"/>
      <c r="V103" s="1939"/>
      <c r="W103" s="1939"/>
      <c r="X103" s="1939"/>
      <c r="Y103" s="1939"/>
      <c r="Z103" s="1939"/>
      <c r="AA103" s="1939"/>
      <c r="AB103" s="1939"/>
      <c r="AC103" s="1939"/>
      <c r="AD103" s="1939"/>
      <c r="AE103" s="1939"/>
      <c r="AF103" s="1939"/>
      <c r="AG103" s="1939"/>
      <c r="AH103" s="1939"/>
      <c r="AI103" s="1939"/>
      <c r="AJ103" s="1939"/>
    </row>
    <row r="104" spans="1:36" ht="12" customHeight="1">
      <c r="A104" s="1938" t="s">
        <v>263</v>
      </c>
      <c r="B104" s="1939"/>
      <c r="C104" s="1939"/>
      <c r="D104" s="1939"/>
      <c r="E104" s="1939"/>
      <c r="F104" s="1939"/>
      <c r="G104" s="1939"/>
      <c r="H104" s="1939"/>
      <c r="I104" s="1939"/>
      <c r="J104" s="1939"/>
      <c r="K104" s="1939"/>
      <c r="L104" s="1939"/>
      <c r="M104" s="1939"/>
      <c r="N104" s="1939"/>
      <c r="O104" s="1939"/>
      <c r="P104" s="1939"/>
      <c r="Q104" s="1939"/>
      <c r="R104" s="1939"/>
      <c r="S104" s="1939"/>
      <c r="T104" s="1939"/>
      <c r="U104" s="1939"/>
      <c r="V104" s="1939"/>
      <c r="W104" s="1939"/>
      <c r="X104" s="1939"/>
      <c r="Y104" s="1939"/>
      <c r="Z104" s="1939"/>
      <c r="AA104" s="1939"/>
      <c r="AB104" s="1939"/>
      <c r="AC104" s="1939"/>
      <c r="AD104" s="1939"/>
      <c r="AE104" s="1939"/>
      <c r="AF104" s="1939"/>
      <c r="AG104" s="1939"/>
      <c r="AH104" s="1939"/>
      <c r="AI104" s="1939"/>
      <c r="AJ104" s="1939"/>
    </row>
  </sheetData>
  <mergeCells count="20">
    <mergeCell ref="A1:AJ1"/>
    <mergeCell ref="A2:AJ2"/>
    <mergeCell ref="A3:AJ3"/>
    <mergeCell ref="A4:AJ4"/>
    <mergeCell ref="B6:AJ6"/>
    <mergeCell ref="A103:AJ103"/>
    <mergeCell ref="A104:AJ104"/>
    <mergeCell ref="A96:AJ96"/>
    <mergeCell ref="A97:AJ97"/>
    <mergeCell ref="A6:A7"/>
    <mergeCell ref="A91:AJ91"/>
    <mergeCell ref="A92:AJ92"/>
    <mergeCell ref="A93:AJ93"/>
    <mergeCell ref="A94:AJ94"/>
    <mergeCell ref="A95:AJ95"/>
    <mergeCell ref="A98:AJ98"/>
    <mergeCell ref="A99:AJ99"/>
    <mergeCell ref="A100:AJ100"/>
    <mergeCell ref="A101:AJ101"/>
    <mergeCell ref="A102:AJ102"/>
  </mergeCell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54"/>
  <sheetViews>
    <sheetView zoomScale="200" zoomScaleNormal="200" zoomScalePageLayoutView="200" workbookViewId="0">
      <pane xSplit="1" ySplit="7" topLeftCell="Y109"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30.42578125" style="9" bestFit="1" customWidth="1"/>
    <col min="2" max="16384" width="7.5703125" style="9"/>
  </cols>
  <sheetData>
    <row r="1" spans="1:36" ht="17">
      <c r="A1" s="1978" t="s">
        <v>519</v>
      </c>
      <c r="B1" s="1976"/>
      <c r="C1" s="1976"/>
      <c r="D1" s="1976"/>
      <c r="E1" s="1976"/>
      <c r="F1" s="1976"/>
      <c r="G1" s="1976"/>
      <c r="H1" s="1976"/>
      <c r="I1" s="1976"/>
      <c r="J1" s="1976"/>
      <c r="K1" s="1976"/>
      <c r="L1" s="1976"/>
      <c r="M1" s="1976"/>
      <c r="N1" s="1976"/>
      <c r="O1" s="1976"/>
      <c r="P1" s="1976"/>
      <c r="Q1" s="1976"/>
      <c r="R1" s="1976"/>
      <c r="S1" s="1976"/>
      <c r="T1" s="1976"/>
      <c r="U1" s="1976"/>
      <c r="V1" s="1976"/>
      <c r="W1" s="1976"/>
      <c r="X1" s="1976"/>
      <c r="Y1" s="1976"/>
      <c r="Z1" s="1976"/>
      <c r="AA1" s="1976"/>
      <c r="AB1" s="1976"/>
      <c r="AC1" s="1976"/>
      <c r="AD1" s="1976"/>
      <c r="AE1" s="1976"/>
      <c r="AF1" s="1976"/>
    </row>
    <row r="2" spans="1:36" ht="16">
      <c r="A2" s="1979" t="s">
        <v>518</v>
      </c>
      <c r="B2" s="1976"/>
      <c r="C2" s="1976"/>
      <c r="D2" s="1976"/>
      <c r="E2" s="1976"/>
      <c r="F2" s="1976"/>
      <c r="G2" s="1976"/>
      <c r="H2" s="1976"/>
      <c r="I2" s="1976"/>
      <c r="J2" s="1976"/>
      <c r="K2" s="1976"/>
      <c r="L2" s="1976"/>
      <c r="M2" s="1976"/>
      <c r="N2" s="1976"/>
      <c r="O2" s="1976"/>
      <c r="P2" s="1976"/>
      <c r="Q2" s="1976"/>
      <c r="R2" s="1976"/>
      <c r="S2" s="1976"/>
      <c r="T2" s="1976"/>
      <c r="U2" s="1976"/>
      <c r="V2" s="1976"/>
      <c r="W2" s="1976"/>
      <c r="X2" s="1976"/>
      <c r="Y2" s="1976"/>
      <c r="Z2" s="1976"/>
      <c r="AA2" s="1976"/>
      <c r="AB2" s="1976"/>
      <c r="AC2" s="1976"/>
      <c r="AD2" s="1976"/>
      <c r="AE2" s="1976"/>
      <c r="AF2" s="1976"/>
    </row>
    <row r="3" spans="1:36">
      <c r="A3" s="1976" t="s">
        <v>160</v>
      </c>
      <c r="B3" s="1976"/>
      <c r="C3" s="1976"/>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row>
    <row r="4" spans="1:36">
      <c r="A4" s="1976" t="s">
        <v>513</v>
      </c>
      <c r="B4" s="1976"/>
      <c r="C4" s="1976"/>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row>
    <row r="6" spans="1:36">
      <c r="A6" s="1977" t="s">
        <v>0</v>
      </c>
      <c r="B6" s="1977" t="s">
        <v>512</v>
      </c>
      <c r="C6" s="1977"/>
      <c r="D6" s="1977"/>
      <c r="E6" s="1977"/>
      <c r="F6" s="1977"/>
      <c r="G6" s="1977"/>
      <c r="H6" s="1977"/>
      <c r="I6" s="1977"/>
      <c r="J6" s="1977"/>
      <c r="K6" s="1977"/>
      <c r="L6" s="1977"/>
      <c r="M6" s="1977"/>
      <c r="N6" s="1977"/>
      <c r="O6" s="1977"/>
      <c r="P6" s="1977"/>
      <c r="Q6" s="1977"/>
      <c r="R6" s="1977"/>
      <c r="S6" s="1977"/>
      <c r="T6" s="1977"/>
      <c r="U6" s="1977"/>
      <c r="V6" s="1977"/>
      <c r="W6" s="1977"/>
      <c r="X6" s="1977"/>
      <c r="Y6" s="1977"/>
      <c r="Z6" s="1977"/>
      <c r="AA6" s="1977"/>
      <c r="AB6" s="1977"/>
      <c r="AC6" s="1977"/>
      <c r="AD6" s="1977"/>
      <c r="AE6" s="1977"/>
      <c r="AF6" s="1977"/>
    </row>
    <row r="7" spans="1:36">
      <c r="A7" s="1977"/>
      <c r="B7" s="1977" t="s">
        <v>105</v>
      </c>
      <c r="C7" s="1977" t="s">
        <v>104</v>
      </c>
      <c r="D7" s="1977" t="s">
        <v>103</v>
      </c>
      <c r="E7" s="1977" t="s">
        <v>102</v>
      </c>
      <c r="F7" s="1977" t="s">
        <v>101</v>
      </c>
      <c r="G7" s="1977" t="s">
        <v>100</v>
      </c>
      <c r="H7" s="1977" t="s">
        <v>99</v>
      </c>
      <c r="I7" s="1977" t="s">
        <v>98</v>
      </c>
      <c r="J7" s="1977" t="s">
        <v>97</v>
      </c>
      <c r="K7" s="1977" t="s">
        <v>96</v>
      </c>
      <c r="L7" s="1977" t="s">
        <v>95</v>
      </c>
      <c r="M7" s="1977" t="s">
        <v>94</v>
      </c>
      <c r="N7" s="1977" t="s">
        <v>93</v>
      </c>
      <c r="O7" s="1977" t="s">
        <v>92</v>
      </c>
      <c r="P7" s="1977" t="s">
        <v>91</v>
      </c>
      <c r="Q7" s="1977" t="s">
        <v>90</v>
      </c>
      <c r="R7" s="1977" t="s">
        <v>89</v>
      </c>
      <c r="S7" s="1977" t="s">
        <v>88</v>
      </c>
      <c r="T7" s="1977" t="s">
        <v>87</v>
      </c>
      <c r="U7" s="1977" t="s">
        <v>86</v>
      </c>
      <c r="V7" s="1977" t="s">
        <v>85</v>
      </c>
      <c r="W7" s="1977" t="s">
        <v>84</v>
      </c>
      <c r="X7" s="1977" t="s">
        <v>83</v>
      </c>
      <c r="Y7" s="1977" t="s">
        <v>82</v>
      </c>
      <c r="Z7" s="1977" t="s">
        <v>81</v>
      </c>
      <c r="AA7" s="1977" t="s">
        <v>80</v>
      </c>
      <c r="AB7" s="1977" t="s">
        <v>79</v>
      </c>
      <c r="AC7" s="285">
        <v>2009</v>
      </c>
      <c r="AD7" s="285">
        <v>2010</v>
      </c>
      <c r="AE7" s="285">
        <v>2011</v>
      </c>
      <c r="AF7" s="285">
        <v>2012</v>
      </c>
      <c r="AG7" s="9">
        <v>2013</v>
      </c>
      <c r="AH7" s="9">
        <v>2014</v>
      </c>
      <c r="AI7" s="9">
        <v>2015</v>
      </c>
      <c r="AJ7" s="9">
        <v>2016</v>
      </c>
    </row>
    <row r="8" spans="1:36">
      <c r="A8" s="9" t="s">
        <v>511</v>
      </c>
      <c r="B8" s="9">
        <v>1078</v>
      </c>
      <c r="C8" s="9">
        <v>9525</v>
      </c>
      <c r="D8" s="9">
        <v>13045</v>
      </c>
      <c r="E8" s="9">
        <v>13388</v>
      </c>
      <c r="F8" s="9">
        <v>19641</v>
      </c>
      <c r="G8" s="9">
        <v>30154</v>
      </c>
      <c r="H8" s="9">
        <v>18599</v>
      </c>
      <c r="I8" s="9">
        <v>37604</v>
      </c>
      <c r="J8" s="9">
        <v>30982</v>
      </c>
      <c r="K8" s="9">
        <v>32696</v>
      </c>
      <c r="L8" s="9">
        <v>42647</v>
      </c>
      <c r="M8" s="9">
        <v>77247</v>
      </c>
      <c r="N8" s="9">
        <v>73252</v>
      </c>
      <c r="O8" s="9">
        <v>92074</v>
      </c>
      <c r="P8" s="9">
        <v>84426</v>
      </c>
      <c r="Q8" s="9">
        <v>95769</v>
      </c>
      <c r="R8" s="9">
        <v>131004</v>
      </c>
      <c r="S8" s="9">
        <v>209392</v>
      </c>
      <c r="T8" s="9">
        <v>142627</v>
      </c>
      <c r="U8" s="9">
        <v>124873</v>
      </c>
      <c r="V8" s="9">
        <v>134946</v>
      </c>
      <c r="W8" s="9">
        <v>129352</v>
      </c>
      <c r="X8" s="9">
        <v>294905</v>
      </c>
      <c r="Y8" s="9">
        <v>15369</v>
      </c>
      <c r="Z8" s="9">
        <v>224220</v>
      </c>
      <c r="AA8" s="9">
        <v>393518</v>
      </c>
      <c r="AB8" s="9">
        <v>308296</v>
      </c>
      <c r="AC8" s="284">
        <v>287901</v>
      </c>
      <c r="AD8" s="284">
        <v>277779</v>
      </c>
      <c r="AE8" s="284">
        <v>396569</v>
      </c>
      <c r="AF8" s="284">
        <v>318196</v>
      </c>
      <c r="AG8" s="9">
        <v>303432</v>
      </c>
      <c r="AH8" s="9">
        <v>294754</v>
      </c>
      <c r="AI8" s="9">
        <v>262569</v>
      </c>
      <c r="AJ8" s="9">
        <v>280681</v>
      </c>
    </row>
    <row r="9" spans="1:36">
      <c r="A9" s="9" t="s">
        <v>510</v>
      </c>
      <c r="B9" s="9">
        <v>-1690</v>
      </c>
      <c r="C9" s="9">
        <v>1347</v>
      </c>
      <c r="D9" s="9">
        <v>3556</v>
      </c>
      <c r="E9" s="9">
        <v>59</v>
      </c>
      <c r="F9" s="9">
        <v>2741</v>
      </c>
      <c r="G9" s="9">
        <v>6097</v>
      </c>
      <c r="H9" s="9">
        <v>2510</v>
      </c>
      <c r="I9" s="9">
        <v>1268</v>
      </c>
      <c r="J9" s="9">
        <v>3902</v>
      </c>
      <c r="K9" s="9">
        <v>1337</v>
      </c>
      <c r="L9" s="9">
        <v>2068</v>
      </c>
      <c r="M9" s="9">
        <v>3584</v>
      </c>
      <c r="N9" s="9">
        <v>6047</v>
      </c>
      <c r="O9" s="9">
        <v>8602</v>
      </c>
      <c r="P9" s="9">
        <v>7181</v>
      </c>
      <c r="Q9" s="9">
        <v>7642</v>
      </c>
      <c r="R9" s="9">
        <v>7832</v>
      </c>
      <c r="S9" s="9">
        <v>22824</v>
      </c>
      <c r="T9" s="9">
        <v>16899</v>
      </c>
      <c r="U9" s="9">
        <v>16841</v>
      </c>
      <c r="V9" s="9">
        <v>15003</v>
      </c>
      <c r="W9" s="9">
        <v>17340</v>
      </c>
      <c r="X9" s="9">
        <v>24005</v>
      </c>
      <c r="Y9" s="9">
        <v>13556</v>
      </c>
      <c r="Z9" s="9">
        <v>-1551</v>
      </c>
      <c r="AA9" s="9">
        <v>22331</v>
      </c>
      <c r="AB9" s="9">
        <v>12293</v>
      </c>
      <c r="AC9" s="284">
        <v>14342</v>
      </c>
      <c r="AD9" s="284">
        <v>17594</v>
      </c>
      <c r="AE9" s="284">
        <v>48598</v>
      </c>
      <c r="AF9" s="284">
        <v>29608</v>
      </c>
      <c r="AG9" s="9">
        <v>20650</v>
      </c>
      <c r="AH9" s="9">
        <v>27134</v>
      </c>
      <c r="AI9" s="9">
        <v>9533</v>
      </c>
      <c r="AJ9" s="9">
        <v>18077</v>
      </c>
    </row>
    <row r="10" spans="1:36">
      <c r="A10" s="9" t="s">
        <v>2</v>
      </c>
      <c r="B10" s="9">
        <v>3470</v>
      </c>
      <c r="C10" s="9">
        <v>6467</v>
      </c>
      <c r="D10" s="9">
        <v>6119</v>
      </c>
      <c r="E10" s="9">
        <v>7993</v>
      </c>
      <c r="F10" s="9">
        <v>8260</v>
      </c>
      <c r="G10" s="9">
        <v>12035</v>
      </c>
      <c r="H10" s="9">
        <v>8431</v>
      </c>
      <c r="I10" s="9">
        <v>23679</v>
      </c>
      <c r="J10" s="9">
        <v>10194</v>
      </c>
      <c r="K10" s="9">
        <v>19563</v>
      </c>
      <c r="L10" s="9">
        <v>18931</v>
      </c>
      <c r="M10" s="9">
        <v>45914</v>
      </c>
      <c r="N10" s="9">
        <v>34380</v>
      </c>
      <c r="O10" s="9">
        <v>52275</v>
      </c>
      <c r="P10" s="9">
        <v>40148</v>
      </c>
      <c r="Q10" s="9">
        <v>48318</v>
      </c>
      <c r="R10" s="9">
        <v>86129</v>
      </c>
      <c r="S10" s="9">
        <v>109484</v>
      </c>
      <c r="T10" s="9">
        <v>77976</v>
      </c>
      <c r="U10" s="9">
        <v>65580</v>
      </c>
      <c r="V10" s="9">
        <v>79492</v>
      </c>
      <c r="W10" s="9">
        <v>87509</v>
      </c>
      <c r="X10" s="9">
        <v>137319</v>
      </c>
      <c r="Y10" s="9">
        <v>-29035</v>
      </c>
      <c r="Z10" s="9">
        <v>147687</v>
      </c>
      <c r="AA10" s="9">
        <v>239803</v>
      </c>
      <c r="AB10" s="9">
        <v>178415</v>
      </c>
      <c r="AC10" s="284">
        <v>165064</v>
      </c>
      <c r="AD10" s="284">
        <v>175995</v>
      </c>
      <c r="AE10" s="284">
        <v>235409</v>
      </c>
      <c r="AF10" s="284">
        <v>158958</v>
      </c>
      <c r="AG10" s="9">
        <v>157885</v>
      </c>
      <c r="AH10" s="9">
        <v>148793</v>
      </c>
      <c r="AI10" s="9">
        <v>164041</v>
      </c>
      <c r="AJ10" s="9">
        <v>182637</v>
      </c>
    </row>
    <row r="11" spans="1:36">
      <c r="A11" s="9" t="s">
        <v>509</v>
      </c>
      <c r="B11" s="9">
        <v>-91</v>
      </c>
      <c r="C11" s="9">
        <v>-8</v>
      </c>
      <c r="D11" s="9">
        <v>35</v>
      </c>
      <c r="E11" s="9">
        <v>-6</v>
      </c>
      <c r="F11" s="9">
        <v>-169</v>
      </c>
      <c r="G11" s="9">
        <v>-56</v>
      </c>
      <c r="H11" s="9">
        <v>-19</v>
      </c>
      <c r="I11" s="9">
        <v>33</v>
      </c>
      <c r="J11" s="9">
        <v>54</v>
      </c>
      <c r="K11" s="9">
        <v>130</v>
      </c>
      <c r="L11" s="9">
        <v>92</v>
      </c>
      <c r="M11" s="9">
        <v>-6</v>
      </c>
      <c r="N11" s="9">
        <v>744</v>
      </c>
      <c r="O11" s="9">
        <v>513</v>
      </c>
      <c r="P11" s="9">
        <v>105</v>
      </c>
      <c r="Q11" s="9">
        <v>-14</v>
      </c>
      <c r="R11" s="9">
        <v>1123</v>
      </c>
      <c r="S11" s="9">
        <v>167</v>
      </c>
      <c r="T11" s="9">
        <v>-780</v>
      </c>
      <c r="U11" s="9">
        <v>1314</v>
      </c>
      <c r="V11" s="9">
        <v>564</v>
      </c>
      <c r="W11" s="9">
        <v>1609</v>
      </c>
      <c r="X11" s="9">
        <v>44</v>
      </c>
      <c r="Y11" s="9">
        <v>-7685</v>
      </c>
      <c r="Z11" s="9">
        <v>1085</v>
      </c>
      <c r="AA11" s="9">
        <v>1079</v>
      </c>
      <c r="AB11" s="9">
        <v>1327</v>
      </c>
      <c r="AC11" s="284">
        <v>1942</v>
      </c>
      <c r="AD11" s="284">
        <v>1273</v>
      </c>
      <c r="AE11" s="284">
        <v>2111</v>
      </c>
      <c r="AF11" s="284">
        <v>1667</v>
      </c>
      <c r="AG11" s="9">
        <v>1123</v>
      </c>
      <c r="AH11" s="9">
        <v>293</v>
      </c>
      <c r="AI11" s="9">
        <v>2226</v>
      </c>
      <c r="AJ11" s="9">
        <v>2790</v>
      </c>
    </row>
    <row r="12" spans="1:36">
      <c r="A12" s="9" t="s">
        <v>508</v>
      </c>
      <c r="B12" s="9">
        <v>289</v>
      </c>
      <c r="C12" s="9">
        <v>-189</v>
      </c>
      <c r="D12" s="9">
        <v>353</v>
      </c>
      <c r="E12" s="9">
        <v>7</v>
      </c>
      <c r="F12" s="9">
        <v>-370</v>
      </c>
      <c r="G12" s="9">
        <v>1045</v>
      </c>
      <c r="H12" s="9">
        <v>485</v>
      </c>
      <c r="I12" s="9">
        <v>669</v>
      </c>
      <c r="J12" s="9">
        <v>746</v>
      </c>
      <c r="K12" s="9">
        <v>1411</v>
      </c>
      <c r="L12" s="9">
        <v>778</v>
      </c>
      <c r="M12" s="9">
        <v>675</v>
      </c>
      <c r="N12" s="9">
        <v>2004</v>
      </c>
      <c r="O12" s="9">
        <v>2750</v>
      </c>
      <c r="P12" s="9">
        <v>1349</v>
      </c>
      <c r="Q12" s="9">
        <v>-46</v>
      </c>
      <c r="R12" s="9">
        <v>932</v>
      </c>
      <c r="S12" s="9">
        <v>1431</v>
      </c>
      <c r="T12" s="9">
        <v>-1508</v>
      </c>
      <c r="U12" s="9">
        <v>4126</v>
      </c>
      <c r="V12" s="9">
        <v>2195</v>
      </c>
      <c r="W12" s="9">
        <v>721</v>
      </c>
      <c r="X12" s="9">
        <v>6367</v>
      </c>
      <c r="Y12" s="9">
        <v>7697</v>
      </c>
      <c r="Z12" s="9">
        <v>3864</v>
      </c>
      <c r="AA12" s="9">
        <v>7562</v>
      </c>
      <c r="AB12" s="9">
        <v>4415</v>
      </c>
      <c r="AC12" s="284">
        <v>4679</v>
      </c>
      <c r="AD12" s="284">
        <v>3846</v>
      </c>
      <c r="AE12" s="284">
        <v>4494</v>
      </c>
      <c r="AF12" s="284">
        <v>-2798</v>
      </c>
      <c r="AG12" s="9">
        <v>2338</v>
      </c>
      <c r="AH12" s="9">
        <v>-800</v>
      </c>
      <c r="AI12" s="9">
        <v>453</v>
      </c>
      <c r="AJ12" s="9">
        <v>4331</v>
      </c>
    </row>
    <row r="13" spans="1:36">
      <c r="A13" s="9" t="s">
        <v>507</v>
      </c>
      <c r="B13" s="9" t="s">
        <v>273</v>
      </c>
      <c r="C13" s="9" t="s">
        <v>273</v>
      </c>
      <c r="D13" s="9" t="s">
        <v>273</v>
      </c>
      <c r="E13" s="9" t="s">
        <v>273</v>
      </c>
      <c r="F13" s="9" t="s">
        <v>273</v>
      </c>
      <c r="G13" s="9" t="s">
        <v>273</v>
      </c>
      <c r="H13" s="9" t="s">
        <v>273</v>
      </c>
      <c r="I13" s="9" t="s">
        <v>273</v>
      </c>
      <c r="J13" s="9" t="s">
        <v>273</v>
      </c>
      <c r="K13" s="9" t="s">
        <v>273</v>
      </c>
      <c r="L13" s="9" t="s">
        <v>273</v>
      </c>
      <c r="M13" s="9" t="s">
        <v>273</v>
      </c>
      <c r="N13" s="9" t="s">
        <v>273</v>
      </c>
      <c r="O13" s="9" t="s">
        <v>273</v>
      </c>
      <c r="P13" s="9" t="s">
        <v>273</v>
      </c>
      <c r="Q13" s="9" t="s">
        <v>273</v>
      </c>
      <c r="R13" s="9" t="s">
        <v>273</v>
      </c>
      <c r="S13" s="9">
        <v>41</v>
      </c>
      <c r="T13" s="9">
        <v>125</v>
      </c>
      <c r="U13" s="9">
        <v>238</v>
      </c>
      <c r="V13" s="9">
        <v>44</v>
      </c>
      <c r="W13" s="9">
        <v>172</v>
      </c>
      <c r="X13" s="9">
        <v>239</v>
      </c>
      <c r="Y13" s="9">
        <v>428</v>
      </c>
      <c r="Z13" s="9">
        <v>69</v>
      </c>
      <c r="AA13" s="9">
        <v>172</v>
      </c>
      <c r="AB13" s="9">
        <v>763</v>
      </c>
      <c r="AC13" s="284">
        <v>-307</v>
      </c>
      <c r="AD13" s="284">
        <v>1028</v>
      </c>
      <c r="AE13" s="284">
        <v>647</v>
      </c>
      <c r="AF13" s="284">
        <v>284</v>
      </c>
      <c r="AG13" s="9">
        <v>337</v>
      </c>
      <c r="AH13" s="9">
        <v>572</v>
      </c>
      <c r="AI13" s="9">
        <v>104</v>
      </c>
      <c r="AJ13" s="9">
        <v>-341</v>
      </c>
    </row>
    <row r="14" spans="1:36">
      <c r="A14" s="9" t="s">
        <v>506</v>
      </c>
      <c r="B14" s="9">
        <v>105</v>
      </c>
      <c r="C14" s="9">
        <v>212</v>
      </c>
      <c r="D14" s="9">
        <v>42</v>
      </c>
      <c r="E14" s="9">
        <v>33</v>
      </c>
      <c r="F14" s="9">
        <v>-252</v>
      </c>
      <c r="G14" s="9">
        <v>-289</v>
      </c>
      <c r="H14" s="9">
        <v>132</v>
      </c>
      <c r="I14" s="9" t="s">
        <v>291</v>
      </c>
      <c r="J14" s="9" t="s">
        <v>291</v>
      </c>
      <c r="K14" s="9">
        <v>219</v>
      </c>
      <c r="L14" s="9">
        <v>-29</v>
      </c>
      <c r="M14" s="9">
        <v>141</v>
      </c>
      <c r="N14" s="9">
        <v>360</v>
      </c>
      <c r="O14" s="9">
        <v>-95</v>
      </c>
      <c r="P14" s="9">
        <v>454</v>
      </c>
      <c r="Q14" s="9">
        <v>14</v>
      </c>
      <c r="R14" s="9">
        <v>415</v>
      </c>
      <c r="S14" s="9">
        <v>1318</v>
      </c>
      <c r="T14" s="9">
        <v>1621</v>
      </c>
      <c r="U14" s="9">
        <v>256</v>
      </c>
      <c r="V14" s="9">
        <v>1538</v>
      </c>
      <c r="W14" s="9">
        <v>-1602</v>
      </c>
      <c r="X14" s="9">
        <v>843</v>
      </c>
      <c r="Y14" s="9">
        <v>732</v>
      </c>
      <c r="Z14" s="9">
        <v>-390</v>
      </c>
      <c r="AA14" s="9">
        <v>837</v>
      </c>
      <c r="AB14" s="9">
        <v>1231</v>
      </c>
      <c r="AC14" s="284">
        <v>716</v>
      </c>
      <c r="AD14" s="284">
        <v>935</v>
      </c>
      <c r="AE14" s="284">
        <v>6679</v>
      </c>
      <c r="AF14" s="284">
        <v>1562</v>
      </c>
      <c r="AG14" s="9">
        <v>651</v>
      </c>
      <c r="AH14" s="9">
        <v>785</v>
      </c>
      <c r="AI14" s="9">
        <v>-99</v>
      </c>
      <c r="AJ14" s="9">
        <v>1357</v>
      </c>
    </row>
    <row r="15" spans="1:36">
      <c r="A15" s="9" t="s">
        <v>505</v>
      </c>
      <c r="B15" s="9">
        <v>19</v>
      </c>
      <c r="C15" s="9">
        <v>30</v>
      </c>
      <c r="D15" s="9">
        <v>8</v>
      </c>
      <c r="E15" s="9">
        <v>56</v>
      </c>
      <c r="F15" s="9">
        <v>6</v>
      </c>
      <c r="G15" s="9">
        <v>40</v>
      </c>
      <c r="H15" s="9">
        <v>33</v>
      </c>
      <c r="I15" s="9" t="s">
        <v>291</v>
      </c>
      <c r="J15" s="9" t="s">
        <v>291</v>
      </c>
      <c r="K15" s="9">
        <v>-76</v>
      </c>
      <c r="L15" s="9">
        <v>28</v>
      </c>
      <c r="M15" s="9">
        <v>117</v>
      </c>
      <c r="N15" s="9">
        <v>118</v>
      </c>
      <c r="O15" s="9">
        <v>158</v>
      </c>
      <c r="P15" s="9">
        <v>175</v>
      </c>
      <c r="Q15" s="9">
        <v>327</v>
      </c>
      <c r="R15" s="9">
        <v>309</v>
      </c>
      <c r="S15" s="9">
        <v>329</v>
      </c>
      <c r="T15" s="9">
        <v>146</v>
      </c>
      <c r="U15" s="9">
        <v>179</v>
      </c>
      <c r="V15" s="9">
        <v>76</v>
      </c>
      <c r="W15" s="9">
        <v>221</v>
      </c>
      <c r="X15" s="9">
        <v>333</v>
      </c>
      <c r="Y15" s="9">
        <v>-6</v>
      </c>
      <c r="Z15" s="9">
        <v>488</v>
      </c>
      <c r="AA15" s="9">
        <v>-99</v>
      </c>
      <c r="AB15" s="9">
        <v>188</v>
      </c>
      <c r="AC15" s="284">
        <v>72</v>
      </c>
      <c r="AD15" s="284">
        <v>-420</v>
      </c>
      <c r="AE15" s="284">
        <v>333</v>
      </c>
      <c r="AF15" s="284">
        <v>13</v>
      </c>
      <c r="AG15" s="9">
        <v>-107</v>
      </c>
      <c r="AH15" s="9">
        <v>-45</v>
      </c>
      <c r="AI15" s="9">
        <v>-1366</v>
      </c>
      <c r="AJ15" s="9">
        <v>2073</v>
      </c>
    </row>
    <row r="16" spans="1:36">
      <c r="A16" s="9" t="s">
        <v>504</v>
      </c>
      <c r="B16" s="9">
        <v>76</v>
      </c>
      <c r="C16" s="9">
        <v>155</v>
      </c>
      <c r="D16" s="9">
        <v>207</v>
      </c>
      <c r="E16" s="9">
        <v>828</v>
      </c>
      <c r="F16" s="9">
        <v>480</v>
      </c>
      <c r="G16" s="9">
        <v>1078</v>
      </c>
      <c r="H16" s="9">
        <v>1789</v>
      </c>
      <c r="I16" s="9">
        <v>1584</v>
      </c>
      <c r="J16" s="9">
        <v>1267</v>
      </c>
      <c r="K16" s="9">
        <v>2737</v>
      </c>
      <c r="L16" s="9">
        <v>3857</v>
      </c>
      <c r="M16" s="9">
        <v>-495</v>
      </c>
      <c r="N16" s="9">
        <v>2634</v>
      </c>
      <c r="O16" s="9">
        <v>5196</v>
      </c>
      <c r="P16" s="9">
        <v>4463</v>
      </c>
      <c r="Q16" s="9">
        <v>2971</v>
      </c>
      <c r="R16" s="9">
        <v>4323</v>
      </c>
      <c r="S16" s="9">
        <v>2111</v>
      </c>
      <c r="T16" s="9">
        <v>1967</v>
      </c>
      <c r="U16" s="9">
        <v>476</v>
      </c>
      <c r="V16" s="9">
        <v>4604</v>
      </c>
      <c r="W16" s="9">
        <v>1074</v>
      </c>
      <c r="X16" s="9">
        <v>6988</v>
      </c>
      <c r="Y16" s="9">
        <v>-1156</v>
      </c>
      <c r="Z16" s="9">
        <v>7076</v>
      </c>
      <c r="AA16" s="9">
        <v>12010</v>
      </c>
      <c r="AB16" s="9">
        <v>-341</v>
      </c>
      <c r="AC16" s="284">
        <v>10266</v>
      </c>
      <c r="AD16" s="284">
        <v>4812</v>
      </c>
      <c r="AE16" s="284">
        <v>1615</v>
      </c>
      <c r="AF16" s="284">
        <v>-470</v>
      </c>
      <c r="AG16" s="9">
        <v>1446</v>
      </c>
      <c r="AH16" s="9">
        <v>830</v>
      </c>
      <c r="AI16" s="9">
        <v>4868</v>
      </c>
      <c r="AJ16" s="9">
        <v>1913</v>
      </c>
    </row>
    <row r="17" spans="1:36">
      <c r="A17" s="9" t="s">
        <v>503</v>
      </c>
      <c r="B17" s="9">
        <v>370</v>
      </c>
      <c r="C17" s="9">
        <v>760</v>
      </c>
      <c r="D17" s="9">
        <v>447</v>
      </c>
      <c r="E17" s="9">
        <v>383</v>
      </c>
      <c r="F17" s="9">
        <v>1203</v>
      </c>
      <c r="G17" s="9">
        <v>805</v>
      </c>
      <c r="H17" s="9">
        <v>-1822</v>
      </c>
      <c r="I17" s="9">
        <v>2522</v>
      </c>
      <c r="J17" s="9">
        <v>1626</v>
      </c>
      <c r="K17" s="9">
        <v>4832</v>
      </c>
      <c r="L17" s="9">
        <v>1754</v>
      </c>
      <c r="M17" s="9">
        <v>4263</v>
      </c>
      <c r="N17" s="9">
        <v>2863</v>
      </c>
      <c r="O17" s="9">
        <v>3349</v>
      </c>
      <c r="P17" s="9">
        <v>1956</v>
      </c>
      <c r="Q17" s="9">
        <v>2464</v>
      </c>
      <c r="R17" s="9">
        <v>3051</v>
      </c>
      <c r="S17" s="9">
        <v>5658</v>
      </c>
      <c r="T17" s="9">
        <v>3811</v>
      </c>
      <c r="U17" s="9">
        <v>11823</v>
      </c>
      <c r="V17" s="9">
        <v>2416</v>
      </c>
      <c r="W17" s="9">
        <v>4376</v>
      </c>
      <c r="X17" s="9">
        <v>9073</v>
      </c>
      <c r="Y17" s="9">
        <v>7978</v>
      </c>
      <c r="Z17" s="9">
        <v>2703</v>
      </c>
      <c r="AA17" s="9">
        <v>9569</v>
      </c>
      <c r="AB17" s="9">
        <v>775</v>
      </c>
      <c r="AC17" s="284">
        <v>7839</v>
      </c>
      <c r="AD17" s="284">
        <v>5898</v>
      </c>
      <c r="AE17" s="284">
        <v>8187</v>
      </c>
      <c r="AF17" s="284">
        <v>1860</v>
      </c>
      <c r="AG17" s="9">
        <v>-2409</v>
      </c>
      <c r="AH17" s="9">
        <v>-2498</v>
      </c>
      <c r="AI17" s="9">
        <v>1754</v>
      </c>
      <c r="AJ17" s="9">
        <v>5921</v>
      </c>
    </row>
    <row r="18" spans="1:36">
      <c r="A18" s="9" t="s">
        <v>502</v>
      </c>
      <c r="B18" s="9">
        <v>-38</v>
      </c>
      <c r="C18" s="9">
        <v>-65</v>
      </c>
      <c r="D18" s="9">
        <v>-78</v>
      </c>
      <c r="E18" s="9">
        <v>-32</v>
      </c>
      <c r="F18" s="9">
        <v>65</v>
      </c>
      <c r="G18" s="9">
        <v>3</v>
      </c>
      <c r="H18" s="9">
        <v>38</v>
      </c>
      <c r="I18" s="9">
        <v>-80</v>
      </c>
      <c r="J18" s="9">
        <v>33</v>
      </c>
      <c r="K18" s="9">
        <v>14</v>
      </c>
      <c r="L18" s="9">
        <v>75</v>
      </c>
      <c r="M18" s="9">
        <v>67</v>
      </c>
      <c r="N18" s="9">
        <v>50</v>
      </c>
      <c r="O18" s="9">
        <v>-24</v>
      </c>
      <c r="P18" s="9">
        <v>92</v>
      </c>
      <c r="Q18" s="9">
        <v>69</v>
      </c>
      <c r="R18" s="9">
        <v>6</v>
      </c>
      <c r="S18" s="9">
        <v>32</v>
      </c>
      <c r="T18" s="9">
        <v>106</v>
      </c>
      <c r="U18" s="9">
        <v>62</v>
      </c>
      <c r="V18" s="9">
        <v>170</v>
      </c>
      <c r="W18" s="9">
        <v>44</v>
      </c>
      <c r="X18" s="9">
        <v>503</v>
      </c>
      <c r="Y18" s="9">
        <v>159</v>
      </c>
      <c r="Z18" s="9">
        <v>292</v>
      </c>
      <c r="AA18" s="9">
        <v>-201</v>
      </c>
      <c r="AB18" s="9">
        <v>72</v>
      </c>
      <c r="AC18" s="284">
        <v>-264</v>
      </c>
      <c r="AD18" s="284">
        <v>-117</v>
      </c>
      <c r="AE18" s="284">
        <v>-323</v>
      </c>
      <c r="AF18" s="284">
        <v>-124</v>
      </c>
      <c r="AG18" s="9">
        <v>-245</v>
      </c>
      <c r="AH18" s="9">
        <v>108</v>
      </c>
      <c r="AI18" s="9">
        <v>1042</v>
      </c>
      <c r="AJ18" s="9">
        <v>51</v>
      </c>
    </row>
    <row r="19" spans="1:36">
      <c r="A19" s="9" t="s">
        <v>501</v>
      </c>
      <c r="B19" s="9">
        <v>0</v>
      </c>
      <c r="C19" s="9">
        <v>0</v>
      </c>
      <c r="D19" s="9">
        <v>0</v>
      </c>
      <c r="E19" s="9">
        <v>0</v>
      </c>
      <c r="F19" s="9" t="s">
        <v>291</v>
      </c>
      <c r="G19" s="9" t="s">
        <v>291</v>
      </c>
      <c r="H19" s="9" t="s">
        <v>291</v>
      </c>
      <c r="I19" s="9" t="s">
        <v>291</v>
      </c>
      <c r="J19" s="9">
        <v>141</v>
      </c>
      <c r="K19" s="9">
        <v>174</v>
      </c>
      <c r="L19" s="9">
        <v>152</v>
      </c>
      <c r="M19" s="9">
        <v>777</v>
      </c>
      <c r="N19" s="9">
        <v>202</v>
      </c>
      <c r="O19" s="9">
        <v>494</v>
      </c>
      <c r="P19" s="9">
        <v>386</v>
      </c>
      <c r="Q19" s="9">
        <v>71</v>
      </c>
      <c r="R19" s="9">
        <v>156</v>
      </c>
      <c r="S19" s="9">
        <v>376</v>
      </c>
      <c r="T19" s="9">
        <v>-1863</v>
      </c>
      <c r="U19" s="9">
        <v>86</v>
      </c>
      <c r="V19" s="9">
        <v>417</v>
      </c>
      <c r="W19" s="9">
        <v>235</v>
      </c>
      <c r="X19" s="9">
        <v>166</v>
      </c>
      <c r="Y19" s="9">
        <v>173</v>
      </c>
      <c r="Z19" s="9">
        <v>698</v>
      </c>
      <c r="AA19" s="9">
        <v>1596</v>
      </c>
      <c r="AB19" s="9">
        <v>-13</v>
      </c>
      <c r="AC19" s="284">
        <v>-119</v>
      </c>
      <c r="AD19" s="284">
        <v>357</v>
      </c>
      <c r="AE19" s="284">
        <v>-122</v>
      </c>
      <c r="AF19" s="284">
        <v>602</v>
      </c>
      <c r="AG19" s="9">
        <v>-1371</v>
      </c>
      <c r="AH19" s="9">
        <v>15</v>
      </c>
      <c r="AI19" s="9">
        <v>48</v>
      </c>
      <c r="AJ19" s="9">
        <v>316</v>
      </c>
    </row>
    <row r="20" spans="1:36">
      <c r="A20" s="9" t="s">
        <v>500</v>
      </c>
      <c r="B20" s="9">
        <v>333</v>
      </c>
      <c r="C20" s="9">
        <v>479</v>
      </c>
      <c r="D20" s="9">
        <v>463</v>
      </c>
      <c r="E20" s="9">
        <v>645</v>
      </c>
      <c r="F20" s="9">
        <v>606</v>
      </c>
      <c r="G20" s="9">
        <v>909</v>
      </c>
      <c r="H20" s="9">
        <v>725</v>
      </c>
      <c r="I20" s="9">
        <v>793</v>
      </c>
      <c r="J20" s="9">
        <v>926</v>
      </c>
      <c r="K20" s="9">
        <v>537</v>
      </c>
      <c r="L20" s="9">
        <v>1191</v>
      </c>
      <c r="M20" s="9">
        <v>1506</v>
      </c>
      <c r="N20" s="9">
        <v>-337</v>
      </c>
      <c r="O20" s="9">
        <v>695</v>
      </c>
      <c r="P20" s="9">
        <v>1954</v>
      </c>
      <c r="Q20" s="9">
        <v>2266</v>
      </c>
      <c r="R20" s="9">
        <v>7891</v>
      </c>
      <c r="S20" s="9">
        <v>4741</v>
      </c>
      <c r="T20" s="9">
        <v>9823</v>
      </c>
      <c r="U20" s="9">
        <v>2437</v>
      </c>
      <c r="V20" s="9">
        <v>10700</v>
      </c>
      <c r="W20" s="9">
        <v>7408</v>
      </c>
      <c r="X20" s="9">
        <v>8781</v>
      </c>
      <c r="Y20" s="9">
        <v>-15041</v>
      </c>
      <c r="Z20" s="9">
        <v>20148</v>
      </c>
      <c r="AA20" s="9">
        <v>15506</v>
      </c>
      <c r="AB20" s="9">
        <v>31795</v>
      </c>
      <c r="AC20" s="284">
        <v>23528</v>
      </c>
      <c r="AD20" s="284">
        <v>28865</v>
      </c>
      <c r="AE20" s="284">
        <v>26381</v>
      </c>
      <c r="AF20" s="284">
        <v>30836</v>
      </c>
      <c r="AG20" s="9">
        <v>21924</v>
      </c>
      <c r="AH20" s="9">
        <v>47766</v>
      </c>
      <c r="AI20" s="9">
        <v>69205</v>
      </c>
      <c r="AJ20" s="9">
        <v>45711</v>
      </c>
    </row>
    <row r="21" spans="1:36">
      <c r="A21" s="9" t="s">
        <v>499</v>
      </c>
      <c r="B21" s="9">
        <v>503</v>
      </c>
      <c r="C21" s="9">
        <v>770</v>
      </c>
      <c r="D21" s="9">
        <v>723</v>
      </c>
      <c r="E21" s="9">
        <v>988</v>
      </c>
      <c r="F21" s="9">
        <v>-523</v>
      </c>
      <c r="G21" s="9">
        <v>954</v>
      </c>
      <c r="H21" s="9">
        <v>755</v>
      </c>
      <c r="I21" s="9">
        <v>1657</v>
      </c>
      <c r="J21" s="9">
        <v>1219</v>
      </c>
      <c r="K21" s="9">
        <v>1508</v>
      </c>
      <c r="L21" s="9">
        <v>1159</v>
      </c>
      <c r="M21" s="9">
        <v>1427</v>
      </c>
      <c r="N21" s="9">
        <v>2646</v>
      </c>
      <c r="O21" s="9">
        <v>2506</v>
      </c>
      <c r="P21" s="9">
        <v>416</v>
      </c>
      <c r="Q21" s="9">
        <v>123</v>
      </c>
      <c r="R21" s="9">
        <v>-910</v>
      </c>
      <c r="S21" s="9">
        <v>3729</v>
      </c>
      <c r="T21" s="9">
        <v>6404</v>
      </c>
      <c r="U21" s="9">
        <v>1767</v>
      </c>
      <c r="V21" s="9">
        <v>1230</v>
      </c>
      <c r="W21" s="9">
        <v>2862</v>
      </c>
      <c r="X21" s="9">
        <v>3284</v>
      </c>
      <c r="Y21" s="9">
        <v>-1155</v>
      </c>
      <c r="Z21" s="9">
        <v>2891</v>
      </c>
      <c r="AA21" s="9">
        <v>3704</v>
      </c>
      <c r="AB21" s="9">
        <v>2241</v>
      </c>
      <c r="AC21" s="284">
        <v>3236</v>
      </c>
      <c r="AD21" s="284">
        <v>68</v>
      </c>
      <c r="AE21" s="284">
        <v>2447</v>
      </c>
      <c r="AF21" s="284">
        <v>1549</v>
      </c>
      <c r="AG21" s="9">
        <v>69</v>
      </c>
      <c r="AH21" s="9">
        <v>1761</v>
      </c>
      <c r="AI21" s="9">
        <v>431</v>
      </c>
      <c r="AJ21" s="9">
        <v>-950</v>
      </c>
    </row>
    <row r="22" spans="1:36">
      <c r="A22" s="9" t="s">
        <v>498</v>
      </c>
      <c r="B22" s="9">
        <v>179</v>
      </c>
      <c r="C22" s="9">
        <v>205</v>
      </c>
      <c r="D22" s="9">
        <v>122</v>
      </c>
      <c r="E22" s="9">
        <v>53</v>
      </c>
      <c r="F22" s="9">
        <v>27</v>
      </c>
      <c r="G22" s="9">
        <v>-47</v>
      </c>
      <c r="H22" s="9">
        <v>427</v>
      </c>
      <c r="I22" s="9">
        <v>65</v>
      </c>
      <c r="J22" s="9">
        <v>-129</v>
      </c>
      <c r="K22" s="9">
        <v>-3</v>
      </c>
      <c r="L22" s="9">
        <v>217</v>
      </c>
      <c r="M22" s="9">
        <v>3686</v>
      </c>
      <c r="N22" s="9">
        <v>517</v>
      </c>
      <c r="O22" s="9">
        <v>-477</v>
      </c>
      <c r="P22" s="9">
        <v>1041</v>
      </c>
      <c r="Q22" s="9">
        <v>2444</v>
      </c>
      <c r="R22" s="9">
        <v>4084</v>
      </c>
      <c r="S22" s="9">
        <v>4535</v>
      </c>
      <c r="T22" s="9">
        <v>2474</v>
      </c>
      <c r="U22" s="9">
        <v>20402</v>
      </c>
      <c r="V22" s="9">
        <v>10485</v>
      </c>
      <c r="W22" s="9">
        <v>8080</v>
      </c>
      <c r="X22" s="9">
        <v>3178</v>
      </c>
      <c r="Y22" s="9">
        <v>-8797</v>
      </c>
      <c r="Z22" s="9">
        <v>17359</v>
      </c>
      <c r="AA22" s="9">
        <v>24535</v>
      </c>
      <c r="AB22" s="9">
        <v>27079</v>
      </c>
      <c r="AC22" s="284">
        <v>22194</v>
      </c>
      <c r="AD22" s="284">
        <v>48156</v>
      </c>
      <c r="AE22" s="284">
        <v>48113</v>
      </c>
      <c r="AF22" s="284">
        <v>15622</v>
      </c>
      <c r="AG22" s="9">
        <v>39161</v>
      </c>
      <c r="AH22" s="9">
        <v>31401</v>
      </c>
      <c r="AI22" s="9">
        <v>6869</v>
      </c>
      <c r="AJ22" s="9">
        <v>27967</v>
      </c>
    </row>
    <row r="23" spans="1:36">
      <c r="A23" s="9" t="s">
        <v>497</v>
      </c>
      <c r="B23" s="9">
        <v>-105</v>
      </c>
      <c r="C23" s="9">
        <v>443</v>
      </c>
      <c r="D23" s="9">
        <v>-51</v>
      </c>
      <c r="E23" s="9">
        <v>641</v>
      </c>
      <c r="F23" s="9">
        <v>3396</v>
      </c>
      <c r="G23" s="9">
        <v>2104</v>
      </c>
      <c r="H23" s="9">
        <v>1446</v>
      </c>
      <c r="I23" s="9">
        <v>3112</v>
      </c>
      <c r="J23" s="9">
        <v>-2004</v>
      </c>
      <c r="K23" s="9">
        <v>1654</v>
      </c>
      <c r="L23" s="9">
        <v>-1562</v>
      </c>
      <c r="M23" s="9">
        <v>1398</v>
      </c>
      <c r="N23" s="9">
        <v>7605</v>
      </c>
      <c r="O23" s="9">
        <v>9386</v>
      </c>
      <c r="P23" s="9">
        <v>6308</v>
      </c>
      <c r="Q23" s="9">
        <v>12450</v>
      </c>
      <c r="R23" s="9">
        <v>22213</v>
      </c>
      <c r="S23" s="9">
        <v>13320</v>
      </c>
      <c r="T23" s="9">
        <v>961</v>
      </c>
      <c r="U23" s="9">
        <v>12025</v>
      </c>
      <c r="V23" s="9">
        <v>14790</v>
      </c>
      <c r="W23" s="9">
        <v>15502</v>
      </c>
      <c r="X23" s="9">
        <v>31455</v>
      </c>
      <c r="Y23" s="9">
        <v>-19284</v>
      </c>
      <c r="Z23" s="9">
        <v>41118</v>
      </c>
      <c r="AA23" s="9">
        <v>109097</v>
      </c>
      <c r="AB23" s="9">
        <v>38639</v>
      </c>
      <c r="AC23" s="284">
        <v>51588</v>
      </c>
      <c r="AD23" s="284">
        <v>44979</v>
      </c>
      <c r="AE23" s="284">
        <v>86000</v>
      </c>
      <c r="AF23" s="284">
        <v>48052</v>
      </c>
      <c r="AG23" s="9">
        <v>57740</v>
      </c>
      <c r="AH23" s="9">
        <v>25450</v>
      </c>
      <c r="AI23" s="9">
        <v>43781</v>
      </c>
      <c r="AJ23" s="9">
        <v>38630</v>
      </c>
    </row>
    <row r="24" spans="1:36">
      <c r="A24" s="9" t="s">
        <v>496</v>
      </c>
      <c r="B24" s="9">
        <v>265</v>
      </c>
      <c r="C24" s="9">
        <v>269</v>
      </c>
      <c r="D24" s="9">
        <v>-223</v>
      </c>
      <c r="E24" s="9">
        <v>359</v>
      </c>
      <c r="F24" s="9">
        <v>354</v>
      </c>
      <c r="G24" s="9">
        <v>327</v>
      </c>
      <c r="H24" s="9">
        <v>438</v>
      </c>
      <c r="I24" s="9">
        <v>-1029</v>
      </c>
      <c r="J24" s="9">
        <v>-43</v>
      </c>
      <c r="K24" s="9">
        <v>112</v>
      </c>
      <c r="L24" s="9">
        <v>-374</v>
      </c>
      <c r="M24" s="9">
        <v>1235</v>
      </c>
      <c r="N24" s="9">
        <v>718</v>
      </c>
      <c r="O24" s="9">
        <v>247</v>
      </c>
      <c r="P24" s="9">
        <v>913</v>
      </c>
      <c r="Q24" s="9">
        <v>592</v>
      </c>
      <c r="R24" s="9">
        <v>362</v>
      </c>
      <c r="S24" s="9">
        <v>435</v>
      </c>
      <c r="T24" s="9">
        <v>-878</v>
      </c>
      <c r="U24" s="9">
        <v>706</v>
      </c>
      <c r="V24" s="9">
        <v>822</v>
      </c>
      <c r="W24" s="9">
        <v>961</v>
      </c>
      <c r="X24" s="9">
        <v>246</v>
      </c>
      <c r="Y24" s="9">
        <v>1194</v>
      </c>
      <c r="Z24" s="9">
        <v>691</v>
      </c>
      <c r="AA24" s="9">
        <v>964</v>
      </c>
      <c r="AB24" s="9">
        <v>151</v>
      </c>
      <c r="AC24" s="284">
        <v>141</v>
      </c>
      <c r="AD24" s="284">
        <v>3455</v>
      </c>
      <c r="AE24" s="284">
        <v>4842</v>
      </c>
      <c r="AF24" s="284">
        <v>4118</v>
      </c>
      <c r="AG24" s="9">
        <v>-1817</v>
      </c>
      <c r="AH24" s="9">
        <v>957</v>
      </c>
      <c r="AI24" s="9">
        <v>-125</v>
      </c>
      <c r="AJ24" s="9">
        <v>334</v>
      </c>
    </row>
    <row r="25" spans="1:36">
      <c r="A25" s="9" t="s">
        <v>495</v>
      </c>
      <c r="B25" s="9" t="s">
        <v>273</v>
      </c>
      <c r="C25" s="9" t="s">
        <v>273</v>
      </c>
      <c r="D25" s="9" t="s">
        <v>273</v>
      </c>
      <c r="E25" s="9" t="s">
        <v>273</v>
      </c>
      <c r="F25" s="9" t="s">
        <v>273</v>
      </c>
      <c r="G25" s="9" t="s">
        <v>273</v>
      </c>
      <c r="H25" s="9" t="s">
        <v>273</v>
      </c>
      <c r="I25" s="9" t="s">
        <v>273</v>
      </c>
      <c r="J25" s="9" t="s">
        <v>273</v>
      </c>
      <c r="K25" s="9" t="s">
        <v>273</v>
      </c>
      <c r="L25" s="9" t="s">
        <v>273</v>
      </c>
      <c r="M25" s="9" t="s">
        <v>273</v>
      </c>
      <c r="N25" s="9" t="s">
        <v>273</v>
      </c>
      <c r="O25" s="9" t="s">
        <v>273</v>
      </c>
      <c r="P25" s="9" t="s">
        <v>273</v>
      </c>
      <c r="Q25" s="9" t="s">
        <v>273</v>
      </c>
      <c r="R25" s="9" t="s">
        <v>273</v>
      </c>
      <c r="S25" s="9">
        <v>932</v>
      </c>
      <c r="T25" s="9">
        <v>512</v>
      </c>
      <c r="U25" s="9">
        <v>-93</v>
      </c>
      <c r="V25" s="9">
        <v>140</v>
      </c>
      <c r="W25" s="9">
        <v>204</v>
      </c>
      <c r="X25" s="9">
        <v>1190</v>
      </c>
      <c r="Y25" s="9" t="s">
        <v>306</v>
      </c>
      <c r="Z25" s="9">
        <v>590</v>
      </c>
      <c r="AA25" s="9">
        <v>1612</v>
      </c>
      <c r="AB25" s="9">
        <v>-634</v>
      </c>
      <c r="AC25" s="284">
        <v>1178</v>
      </c>
      <c r="AD25" s="284">
        <v>-126</v>
      </c>
      <c r="AE25" s="284">
        <v>-685</v>
      </c>
      <c r="AF25" s="284">
        <v>499</v>
      </c>
      <c r="AG25" s="9">
        <v>525</v>
      </c>
      <c r="AH25" s="9">
        <v>116</v>
      </c>
      <c r="AI25" s="9">
        <v>86</v>
      </c>
      <c r="AJ25" s="9">
        <v>625</v>
      </c>
    </row>
    <row r="26" spans="1:36">
      <c r="A26" s="9" t="s">
        <v>494</v>
      </c>
      <c r="B26" s="9">
        <v>15</v>
      </c>
      <c r="C26" s="9">
        <v>5</v>
      </c>
      <c r="D26" s="9">
        <v>4</v>
      </c>
      <c r="E26" s="9">
        <v>18</v>
      </c>
      <c r="F26" s="9">
        <v>50</v>
      </c>
      <c r="G26" s="9">
        <v>203</v>
      </c>
      <c r="H26" s="9">
        <v>38</v>
      </c>
      <c r="I26" s="9" t="s">
        <v>291</v>
      </c>
      <c r="J26" s="9" t="s">
        <v>291</v>
      </c>
      <c r="K26" s="9">
        <v>193</v>
      </c>
      <c r="L26" s="9">
        <v>175</v>
      </c>
      <c r="M26" s="9">
        <v>140</v>
      </c>
      <c r="N26" s="9">
        <v>252</v>
      </c>
      <c r="O26" s="9">
        <v>137</v>
      </c>
      <c r="P26" s="9">
        <v>245</v>
      </c>
      <c r="Q26" s="9">
        <v>86</v>
      </c>
      <c r="R26" s="9">
        <v>-16</v>
      </c>
      <c r="S26" s="9">
        <v>782</v>
      </c>
      <c r="T26" s="9">
        <v>532</v>
      </c>
      <c r="U26" s="9">
        <v>252</v>
      </c>
      <c r="V26" s="9">
        <v>462</v>
      </c>
      <c r="W26" s="9">
        <v>-585</v>
      </c>
      <c r="X26" s="9">
        <v>234</v>
      </c>
      <c r="Y26" s="9">
        <v>426</v>
      </c>
      <c r="Z26" s="9">
        <v>602</v>
      </c>
      <c r="AA26" s="9">
        <v>157</v>
      </c>
      <c r="AB26" s="9">
        <v>244</v>
      </c>
      <c r="AC26" s="284">
        <v>-112</v>
      </c>
      <c r="AD26" s="284">
        <v>218</v>
      </c>
      <c r="AE26" s="284">
        <v>-12</v>
      </c>
      <c r="AF26" s="284">
        <v>-70</v>
      </c>
      <c r="AG26" s="9">
        <v>12</v>
      </c>
      <c r="AH26" s="9">
        <v>509</v>
      </c>
      <c r="AI26" s="9">
        <v>-37</v>
      </c>
      <c r="AJ26" s="9">
        <v>87</v>
      </c>
    </row>
    <row r="27" spans="1:36">
      <c r="A27" s="9" t="s">
        <v>493</v>
      </c>
      <c r="B27" s="9" t="s">
        <v>273</v>
      </c>
      <c r="C27" s="9" t="s">
        <v>273</v>
      </c>
      <c r="D27" s="9" t="s">
        <v>273</v>
      </c>
      <c r="E27" s="9" t="s">
        <v>273</v>
      </c>
      <c r="F27" s="9" t="s">
        <v>273</v>
      </c>
      <c r="G27" s="9" t="s">
        <v>273</v>
      </c>
      <c r="H27" s="9" t="s">
        <v>273</v>
      </c>
      <c r="I27" s="9" t="s">
        <v>273</v>
      </c>
      <c r="J27" s="9" t="s">
        <v>273</v>
      </c>
      <c r="K27" s="9" t="s">
        <v>273</v>
      </c>
      <c r="L27" s="9" t="s">
        <v>273</v>
      </c>
      <c r="M27" s="9" t="s">
        <v>273</v>
      </c>
      <c r="N27" s="9" t="s">
        <v>273</v>
      </c>
      <c r="O27" s="9" t="s">
        <v>273</v>
      </c>
      <c r="P27" s="9" t="s">
        <v>273</v>
      </c>
      <c r="Q27" s="9" t="s">
        <v>273</v>
      </c>
      <c r="R27" s="9" t="s">
        <v>273</v>
      </c>
      <c r="S27" s="9">
        <v>296</v>
      </c>
      <c r="T27" s="9">
        <v>-171</v>
      </c>
      <c r="U27" s="9">
        <v>-404</v>
      </c>
      <c r="V27" s="9">
        <v>-260</v>
      </c>
      <c r="W27" s="9">
        <v>487</v>
      </c>
      <c r="X27" s="9">
        <v>1731</v>
      </c>
      <c r="Y27" s="9">
        <v>2334</v>
      </c>
      <c r="Z27" s="9">
        <v>1781</v>
      </c>
      <c r="AA27" s="9">
        <v>2628</v>
      </c>
      <c r="AB27" s="9">
        <v>2715</v>
      </c>
      <c r="AC27" s="284">
        <v>447</v>
      </c>
      <c r="AD27" s="284">
        <v>-3726</v>
      </c>
      <c r="AE27" s="284">
        <v>953</v>
      </c>
      <c r="AF27" s="284">
        <v>1688</v>
      </c>
      <c r="AG27" s="9">
        <v>-656</v>
      </c>
      <c r="AH27" s="9">
        <v>-993</v>
      </c>
      <c r="AI27" s="9">
        <v>393</v>
      </c>
      <c r="AJ27" s="9">
        <v>1530</v>
      </c>
    </row>
    <row r="28" spans="1:36">
      <c r="A28" s="9" t="s">
        <v>492</v>
      </c>
      <c r="B28" s="9">
        <v>-2</v>
      </c>
      <c r="C28" s="9">
        <v>231</v>
      </c>
      <c r="D28" s="9">
        <v>12</v>
      </c>
      <c r="E28" s="9">
        <v>285</v>
      </c>
      <c r="F28" s="9">
        <v>493</v>
      </c>
      <c r="G28" s="9">
        <v>498</v>
      </c>
      <c r="H28" s="9">
        <v>614</v>
      </c>
      <c r="I28" s="9">
        <v>979</v>
      </c>
      <c r="J28" s="9">
        <v>460</v>
      </c>
      <c r="K28" s="9">
        <v>-29</v>
      </c>
      <c r="L28" s="9">
        <v>1468</v>
      </c>
      <c r="M28" s="9">
        <v>-759</v>
      </c>
      <c r="N28" s="9">
        <v>1551</v>
      </c>
      <c r="O28" s="9" t="s">
        <v>291</v>
      </c>
      <c r="P28" s="9">
        <v>1183</v>
      </c>
      <c r="Q28" s="9">
        <v>204</v>
      </c>
      <c r="R28" s="9">
        <v>1821</v>
      </c>
      <c r="S28" s="9">
        <v>5689</v>
      </c>
      <c r="T28" s="9">
        <v>2249</v>
      </c>
      <c r="U28" s="9">
        <v>1642</v>
      </c>
      <c r="V28" s="9">
        <v>3032</v>
      </c>
      <c r="W28" s="9">
        <v>1820</v>
      </c>
      <c r="X28" s="9">
        <v>2111</v>
      </c>
      <c r="Y28" s="9">
        <v>3616</v>
      </c>
      <c r="Z28" s="9">
        <v>-561</v>
      </c>
      <c r="AA28" s="9">
        <v>8758</v>
      </c>
      <c r="AB28" s="9">
        <v>4749</v>
      </c>
      <c r="AC28" s="284">
        <v>956</v>
      </c>
      <c r="AD28" s="284">
        <v>1949</v>
      </c>
      <c r="AE28" s="284">
        <v>873</v>
      </c>
      <c r="AF28" s="284">
        <v>485</v>
      </c>
      <c r="AG28" s="9">
        <v>2823</v>
      </c>
      <c r="AH28" s="9">
        <v>3154</v>
      </c>
      <c r="AI28" s="9">
        <v>1685</v>
      </c>
      <c r="AJ28" s="9">
        <v>1592</v>
      </c>
    </row>
    <row r="29" spans="1:36">
      <c r="A29" s="9" t="s">
        <v>491</v>
      </c>
      <c r="B29" s="9">
        <v>-40</v>
      </c>
      <c r="C29" s="9">
        <v>-15</v>
      </c>
      <c r="D29" s="9">
        <v>-35</v>
      </c>
      <c r="E29" s="9">
        <v>-22</v>
      </c>
      <c r="F29" s="9">
        <v>21</v>
      </c>
      <c r="G29" s="9">
        <v>7</v>
      </c>
      <c r="H29" s="9">
        <v>-35</v>
      </c>
      <c r="I29" s="9">
        <v>-4</v>
      </c>
      <c r="J29" s="9">
        <v>279</v>
      </c>
      <c r="K29" s="9">
        <v>162</v>
      </c>
      <c r="L29" s="9">
        <v>-17</v>
      </c>
      <c r="M29" s="9">
        <v>652</v>
      </c>
      <c r="N29" s="9">
        <v>603</v>
      </c>
      <c r="O29" s="9" t="s">
        <v>291</v>
      </c>
      <c r="P29" s="9">
        <v>20</v>
      </c>
      <c r="Q29" s="9">
        <v>591</v>
      </c>
      <c r="R29" s="9">
        <v>1436</v>
      </c>
      <c r="S29" s="9">
        <v>6710</v>
      </c>
      <c r="T29" s="9">
        <v>14504</v>
      </c>
      <c r="U29" s="9">
        <v>-6883</v>
      </c>
      <c r="V29" s="9">
        <v>2520</v>
      </c>
      <c r="W29" s="9">
        <v>2270</v>
      </c>
      <c r="X29" s="9">
        <v>4360</v>
      </c>
      <c r="Y29" s="9">
        <v>875</v>
      </c>
      <c r="Z29" s="9">
        <v>2616</v>
      </c>
      <c r="AA29" s="9">
        <v>2364</v>
      </c>
      <c r="AB29" s="9">
        <v>4056</v>
      </c>
      <c r="AC29" s="284">
        <v>-9708</v>
      </c>
      <c r="AD29" s="284">
        <v>-6757</v>
      </c>
      <c r="AE29" s="284">
        <v>1656</v>
      </c>
      <c r="AF29" s="284">
        <v>806</v>
      </c>
      <c r="AG29" s="9">
        <v>-317</v>
      </c>
      <c r="AH29" s="9">
        <v>-6574</v>
      </c>
      <c r="AI29" s="9">
        <v>3</v>
      </c>
      <c r="AJ29" s="9">
        <v>-2061</v>
      </c>
    </row>
    <row r="30" spans="1:36">
      <c r="A30" s="9" t="s">
        <v>490</v>
      </c>
      <c r="B30" s="9">
        <v>775</v>
      </c>
      <c r="C30" s="9">
        <v>1577</v>
      </c>
      <c r="D30" s="9">
        <v>755</v>
      </c>
      <c r="E30" s="9">
        <v>308</v>
      </c>
      <c r="F30" s="9">
        <v>235</v>
      </c>
      <c r="G30" s="9">
        <v>1458</v>
      </c>
      <c r="H30" s="9">
        <v>-1145</v>
      </c>
      <c r="I30" s="9">
        <v>1269</v>
      </c>
      <c r="J30" s="9">
        <v>5314</v>
      </c>
      <c r="K30" s="9">
        <v>930</v>
      </c>
      <c r="L30" s="9">
        <v>3260</v>
      </c>
      <c r="M30" s="9">
        <v>4566</v>
      </c>
      <c r="N30" s="9">
        <v>940</v>
      </c>
      <c r="O30" s="9">
        <v>1850</v>
      </c>
      <c r="P30" s="9">
        <v>1264</v>
      </c>
      <c r="Q30" s="9">
        <v>-792</v>
      </c>
      <c r="R30" s="9">
        <v>8223</v>
      </c>
      <c r="S30" s="9">
        <v>6929</v>
      </c>
      <c r="T30" s="9">
        <v>8687</v>
      </c>
      <c r="U30" s="9">
        <v>4170</v>
      </c>
      <c r="V30" s="9">
        <v>7924</v>
      </c>
      <c r="W30" s="9">
        <v>14462</v>
      </c>
      <c r="X30" s="9">
        <v>12235</v>
      </c>
      <c r="Y30" s="9">
        <v>-8545</v>
      </c>
      <c r="Z30" s="9">
        <v>11019</v>
      </c>
      <c r="AA30" s="9">
        <v>7365</v>
      </c>
      <c r="AB30" s="9">
        <v>25168</v>
      </c>
      <c r="AC30" s="284">
        <v>15383</v>
      </c>
      <c r="AD30" s="284">
        <v>-353</v>
      </c>
      <c r="AE30" s="284">
        <v>7439</v>
      </c>
      <c r="AF30" s="284">
        <v>12091</v>
      </c>
      <c r="AG30" s="9">
        <v>8641</v>
      </c>
      <c r="AH30" s="9">
        <v>18455</v>
      </c>
      <c r="AI30" s="9">
        <v>13424</v>
      </c>
      <c r="AJ30" s="9">
        <v>15335</v>
      </c>
    </row>
    <row r="31" spans="1:36">
      <c r="A31" s="9" t="s">
        <v>489</v>
      </c>
      <c r="B31" s="9">
        <v>-22</v>
      </c>
      <c r="C31" s="9">
        <v>-17</v>
      </c>
      <c r="D31" s="9">
        <v>104</v>
      </c>
      <c r="E31" s="9">
        <v>14</v>
      </c>
      <c r="F31" s="9">
        <v>3</v>
      </c>
      <c r="G31" s="9">
        <v>-11</v>
      </c>
      <c r="H31" s="9">
        <v>39</v>
      </c>
      <c r="I31" s="9">
        <v>93</v>
      </c>
      <c r="J31" s="9">
        <v>149</v>
      </c>
      <c r="K31" s="9">
        <v>144</v>
      </c>
      <c r="L31" s="9">
        <v>134</v>
      </c>
      <c r="M31" s="9">
        <v>279</v>
      </c>
      <c r="N31" s="9">
        <v>11</v>
      </c>
      <c r="O31" s="9">
        <v>158</v>
      </c>
      <c r="P31" s="9">
        <v>131</v>
      </c>
      <c r="Q31" s="9">
        <v>93</v>
      </c>
      <c r="R31" s="9">
        <v>110</v>
      </c>
      <c r="S31" s="9">
        <v>533</v>
      </c>
      <c r="T31" s="9">
        <v>228</v>
      </c>
      <c r="U31" s="9">
        <v>121</v>
      </c>
      <c r="V31" s="9">
        <v>239</v>
      </c>
      <c r="W31" s="9">
        <v>83</v>
      </c>
      <c r="X31" s="9">
        <v>215</v>
      </c>
      <c r="Y31" s="9">
        <v>196</v>
      </c>
      <c r="Z31" s="9">
        <v>252</v>
      </c>
      <c r="AA31" s="9">
        <v>3740</v>
      </c>
      <c r="AB31" s="9">
        <v>218</v>
      </c>
      <c r="AC31" s="284">
        <v>703</v>
      </c>
      <c r="AD31" s="284">
        <v>495</v>
      </c>
      <c r="AE31" s="284">
        <v>954</v>
      </c>
      <c r="AF31" s="284">
        <v>1164</v>
      </c>
      <c r="AG31" s="9">
        <v>486</v>
      </c>
      <c r="AH31" s="9">
        <v>107</v>
      </c>
      <c r="AI31" s="9">
        <v>379</v>
      </c>
      <c r="AJ31" s="9">
        <v>322</v>
      </c>
    </row>
    <row r="32" spans="1:36">
      <c r="A32" s="9" t="s">
        <v>488</v>
      </c>
      <c r="B32" s="9">
        <v>754</v>
      </c>
      <c r="C32" s="9">
        <v>1636</v>
      </c>
      <c r="D32" s="9">
        <v>3309</v>
      </c>
      <c r="E32" s="9">
        <v>3437</v>
      </c>
      <c r="F32" s="9">
        <v>2728</v>
      </c>
      <c r="G32" s="9">
        <v>2966</v>
      </c>
      <c r="H32" s="9">
        <v>4576</v>
      </c>
      <c r="I32" s="9">
        <v>11825</v>
      </c>
      <c r="J32" s="9">
        <v>-202</v>
      </c>
      <c r="K32" s="9">
        <v>4665</v>
      </c>
      <c r="L32" s="9">
        <v>6215</v>
      </c>
      <c r="M32" s="9">
        <v>25355</v>
      </c>
      <c r="N32" s="9">
        <v>9615</v>
      </c>
      <c r="O32" s="9">
        <v>13830</v>
      </c>
      <c r="P32" s="9">
        <v>16421</v>
      </c>
      <c r="Q32" s="9">
        <v>22961</v>
      </c>
      <c r="R32" s="9">
        <v>29094</v>
      </c>
      <c r="S32" s="9">
        <v>47265</v>
      </c>
      <c r="T32" s="9">
        <v>28317</v>
      </c>
      <c r="U32" s="9">
        <v>7890</v>
      </c>
      <c r="V32" s="9">
        <v>15265</v>
      </c>
      <c r="W32" s="9">
        <v>26738</v>
      </c>
      <c r="X32" s="9">
        <v>42359</v>
      </c>
      <c r="Y32" s="9">
        <v>6269</v>
      </c>
      <c r="Z32" s="9">
        <v>30535</v>
      </c>
      <c r="AA32" s="9">
        <v>21978</v>
      </c>
      <c r="AB32" s="9">
        <v>29615</v>
      </c>
      <c r="AC32" s="284">
        <v>28940</v>
      </c>
      <c r="AD32" s="284">
        <v>38839</v>
      </c>
      <c r="AE32" s="284">
        <v>25605</v>
      </c>
      <c r="AF32" s="284">
        <v>41790</v>
      </c>
      <c r="AG32" s="9">
        <v>25301</v>
      </c>
      <c r="AH32" s="9">
        <v>28799</v>
      </c>
      <c r="AI32" s="9">
        <v>19768</v>
      </c>
      <c r="AJ32" s="9">
        <v>38882</v>
      </c>
    </row>
    <row r="33" spans="1:36">
      <c r="A33" s="9" t="s">
        <v>236</v>
      </c>
      <c r="B33" s="9">
        <v>84</v>
      </c>
      <c r="C33" s="9">
        <v>-14</v>
      </c>
      <c r="D33" s="9">
        <v>-78</v>
      </c>
      <c r="E33" s="9" t="s">
        <v>306</v>
      </c>
      <c r="F33" s="9">
        <v>-93</v>
      </c>
      <c r="G33" s="9">
        <v>42</v>
      </c>
      <c r="H33" s="9">
        <v>-85</v>
      </c>
      <c r="I33" s="9" t="s">
        <v>291</v>
      </c>
      <c r="J33" s="9" t="s">
        <v>291</v>
      </c>
      <c r="K33" s="9">
        <v>424</v>
      </c>
      <c r="L33" s="9">
        <v>509</v>
      </c>
      <c r="M33" s="9">
        <v>1669</v>
      </c>
      <c r="N33" s="9">
        <v>1484</v>
      </c>
      <c r="O33" s="9">
        <v>1186</v>
      </c>
      <c r="P33" s="9">
        <v>1658</v>
      </c>
      <c r="Q33" s="9">
        <v>1515</v>
      </c>
      <c r="R33" s="9">
        <v>1662</v>
      </c>
      <c r="S33" s="9">
        <v>2127</v>
      </c>
      <c r="T33" s="9">
        <v>711</v>
      </c>
      <c r="U33" s="9">
        <v>2987</v>
      </c>
      <c r="V33" s="9">
        <v>119</v>
      </c>
      <c r="W33" s="9">
        <v>364</v>
      </c>
      <c r="X33" s="9">
        <v>1382</v>
      </c>
      <c r="Y33" s="9">
        <v>557</v>
      </c>
      <c r="Z33" s="9">
        <v>2762</v>
      </c>
      <c r="AA33" s="9">
        <v>4870</v>
      </c>
      <c r="AB33" s="9">
        <v>3963</v>
      </c>
      <c r="AC33" s="284">
        <v>1765</v>
      </c>
      <c r="AD33" s="284">
        <v>2322</v>
      </c>
      <c r="AE33" s="284">
        <v>7222</v>
      </c>
      <c r="AF33" s="284">
        <v>-2269</v>
      </c>
      <c r="AG33" s="9">
        <v>2228</v>
      </c>
      <c r="AH33" s="9">
        <v>-1376</v>
      </c>
      <c r="AI33" s="9">
        <v>-851</v>
      </c>
      <c r="AJ33" s="9">
        <v>-3779</v>
      </c>
    </row>
    <row r="34" spans="1:36">
      <c r="A34" s="9" t="s">
        <v>487</v>
      </c>
      <c r="B34" s="9" t="s">
        <v>273</v>
      </c>
      <c r="C34" s="9" t="s">
        <v>273</v>
      </c>
      <c r="D34" s="9" t="s">
        <v>273</v>
      </c>
      <c r="E34" s="9" t="s">
        <v>273</v>
      </c>
      <c r="F34" s="9" t="s">
        <v>273</v>
      </c>
      <c r="G34" s="9" t="s">
        <v>273</v>
      </c>
      <c r="H34" s="9" t="s">
        <v>273</v>
      </c>
      <c r="I34" s="9">
        <v>0</v>
      </c>
      <c r="J34" s="9">
        <v>0</v>
      </c>
      <c r="K34" s="9">
        <v>0</v>
      </c>
      <c r="L34" s="9">
        <v>0</v>
      </c>
      <c r="M34" s="9">
        <v>0</v>
      </c>
      <c r="N34" s="9">
        <v>18</v>
      </c>
      <c r="O34" s="9">
        <v>-2</v>
      </c>
      <c r="P34" s="9">
        <v>-4</v>
      </c>
      <c r="Q34" s="9">
        <v>-4</v>
      </c>
      <c r="R34" s="9">
        <v>-4</v>
      </c>
      <c r="S34" s="9">
        <v>-4</v>
      </c>
      <c r="T34" s="9" t="s">
        <v>291</v>
      </c>
      <c r="U34" s="9" t="s">
        <v>291</v>
      </c>
      <c r="V34" s="9" t="s">
        <v>291</v>
      </c>
      <c r="W34" s="9">
        <v>-1</v>
      </c>
      <c r="X34" s="9" t="s">
        <v>306</v>
      </c>
      <c r="Y34" s="9" t="s">
        <v>306</v>
      </c>
      <c r="Z34" s="9" t="s">
        <v>306</v>
      </c>
      <c r="AA34" s="9" t="s">
        <v>306</v>
      </c>
      <c r="AB34" s="9" t="s">
        <v>306</v>
      </c>
      <c r="AC34" s="284" t="s">
        <v>306</v>
      </c>
      <c r="AD34" s="284" t="s">
        <v>306</v>
      </c>
      <c r="AE34" s="284" t="s">
        <v>306</v>
      </c>
      <c r="AF34" s="284" t="s">
        <v>306</v>
      </c>
      <c r="AG34" s="9" t="s">
        <v>306</v>
      </c>
      <c r="AH34" s="9" t="s">
        <v>306</v>
      </c>
      <c r="AI34" s="9">
        <v>7</v>
      </c>
      <c r="AJ34" s="9" t="s">
        <v>291</v>
      </c>
    </row>
    <row r="35" spans="1:36">
      <c r="A35" s="9" t="s">
        <v>486</v>
      </c>
      <c r="B35" s="9" t="s">
        <v>273</v>
      </c>
      <c r="C35" s="9" t="s">
        <v>273</v>
      </c>
      <c r="D35" s="9" t="s">
        <v>273</v>
      </c>
      <c r="E35" s="9" t="s">
        <v>273</v>
      </c>
      <c r="F35" s="9" t="s">
        <v>273</v>
      </c>
      <c r="G35" s="9" t="s">
        <v>273</v>
      </c>
      <c r="H35" s="9" t="s">
        <v>273</v>
      </c>
      <c r="I35" s="9" t="s">
        <v>273</v>
      </c>
      <c r="J35" s="9" t="s">
        <v>273</v>
      </c>
      <c r="K35" s="9" t="s">
        <v>273</v>
      </c>
      <c r="L35" s="9" t="s">
        <v>273</v>
      </c>
      <c r="M35" s="9" t="s">
        <v>273</v>
      </c>
      <c r="N35" s="9" t="s">
        <v>273</v>
      </c>
      <c r="O35" s="9" t="s">
        <v>273</v>
      </c>
      <c r="P35" s="9" t="s">
        <v>273</v>
      </c>
      <c r="Q35" s="9" t="s">
        <v>273</v>
      </c>
      <c r="R35" s="9" t="s">
        <v>273</v>
      </c>
      <c r="S35" s="9" t="s">
        <v>306</v>
      </c>
      <c r="T35" s="9" t="s">
        <v>306</v>
      </c>
      <c r="U35" s="9" t="s">
        <v>306</v>
      </c>
      <c r="V35" s="9" t="s">
        <v>306</v>
      </c>
      <c r="W35" s="9" t="s">
        <v>306</v>
      </c>
      <c r="X35" s="9" t="s">
        <v>306</v>
      </c>
      <c r="Y35" s="9" t="s">
        <v>306</v>
      </c>
      <c r="Z35" s="9" t="s">
        <v>306</v>
      </c>
      <c r="AA35" s="9" t="s">
        <v>306</v>
      </c>
      <c r="AB35" s="9" t="s">
        <v>306</v>
      </c>
      <c r="AC35" s="284">
        <v>0</v>
      </c>
      <c r="AD35" s="284">
        <v>0</v>
      </c>
      <c r="AE35" s="284">
        <v>0</v>
      </c>
      <c r="AF35" s="284">
        <v>0</v>
      </c>
      <c r="AG35" s="9">
        <v>0</v>
      </c>
      <c r="AH35" s="9">
        <v>0</v>
      </c>
      <c r="AI35" s="9">
        <v>0</v>
      </c>
      <c r="AJ35" s="9">
        <v>0</v>
      </c>
    </row>
    <row r="36" spans="1:36">
      <c r="A36" s="9" t="s">
        <v>485</v>
      </c>
      <c r="B36" s="9" t="s">
        <v>273</v>
      </c>
      <c r="C36" s="9" t="s">
        <v>273</v>
      </c>
      <c r="D36" s="9" t="s">
        <v>273</v>
      </c>
      <c r="E36" s="9" t="s">
        <v>273</v>
      </c>
      <c r="F36" s="9" t="s">
        <v>273</v>
      </c>
      <c r="G36" s="9" t="s">
        <v>273</v>
      </c>
      <c r="H36" s="9" t="s">
        <v>273</v>
      </c>
      <c r="I36" s="9" t="s">
        <v>273</v>
      </c>
      <c r="J36" s="9" t="s">
        <v>273</v>
      </c>
      <c r="K36" s="9" t="s">
        <v>273</v>
      </c>
      <c r="L36" s="9" t="s">
        <v>273</v>
      </c>
      <c r="M36" s="9" t="s">
        <v>273</v>
      </c>
      <c r="N36" s="9" t="s">
        <v>273</v>
      </c>
      <c r="O36" s="9" t="s">
        <v>273</v>
      </c>
      <c r="P36" s="9" t="s">
        <v>273</v>
      </c>
      <c r="Q36" s="9" t="s">
        <v>273</v>
      </c>
      <c r="R36" s="9" t="s">
        <v>273</v>
      </c>
      <c r="S36" s="9" t="s">
        <v>306</v>
      </c>
      <c r="T36" s="9" t="s">
        <v>306</v>
      </c>
      <c r="U36" s="9" t="s">
        <v>306</v>
      </c>
      <c r="V36" s="9" t="s">
        <v>306</v>
      </c>
      <c r="W36" s="9" t="s">
        <v>306</v>
      </c>
      <c r="X36" s="9">
        <v>1</v>
      </c>
      <c r="Y36" s="9">
        <v>1</v>
      </c>
      <c r="Z36" s="9">
        <v>1</v>
      </c>
      <c r="AA36" s="9">
        <v>1</v>
      </c>
      <c r="AB36" s="9">
        <v>1</v>
      </c>
      <c r="AC36" s="284">
        <v>1</v>
      </c>
      <c r="AD36" s="284" t="s">
        <v>306</v>
      </c>
      <c r="AE36" s="284" t="s">
        <v>306</v>
      </c>
      <c r="AF36" s="284" t="s">
        <v>306</v>
      </c>
      <c r="AG36" s="9" t="s">
        <v>306</v>
      </c>
      <c r="AH36" s="9" t="s">
        <v>306</v>
      </c>
      <c r="AI36" s="9" t="s">
        <v>306</v>
      </c>
      <c r="AJ36" s="9">
        <v>1</v>
      </c>
    </row>
    <row r="37" spans="1:36">
      <c r="A37" s="9" t="s">
        <v>484</v>
      </c>
      <c r="B37" s="9" t="s">
        <v>273</v>
      </c>
      <c r="C37" s="9" t="s">
        <v>273</v>
      </c>
      <c r="D37" s="9" t="s">
        <v>273</v>
      </c>
      <c r="E37" s="9" t="s">
        <v>273</v>
      </c>
      <c r="F37" s="9" t="s">
        <v>273</v>
      </c>
      <c r="G37" s="9" t="s">
        <v>273</v>
      </c>
      <c r="H37" s="9" t="s">
        <v>273</v>
      </c>
      <c r="I37" s="9" t="s">
        <v>33</v>
      </c>
      <c r="J37" s="9" t="s">
        <v>33</v>
      </c>
      <c r="K37" s="9" t="s">
        <v>33</v>
      </c>
      <c r="L37" s="9" t="s">
        <v>291</v>
      </c>
      <c r="M37" s="9" t="s">
        <v>291</v>
      </c>
      <c r="N37" s="9" t="s">
        <v>291</v>
      </c>
      <c r="O37" s="9" t="s">
        <v>291</v>
      </c>
      <c r="P37" s="9">
        <v>58</v>
      </c>
      <c r="Q37" s="9">
        <v>431</v>
      </c>
      <c r="R37" s="9">
        <v>171</v>
      </c>
      <c r="S37" s="9">
        <v>404</v>
      </c>
      <c r="T37" s="9">
        <v>62</v>
      </c>
      <c r="U37" s="9">
        <v>120</v>
      </c>
      <c r="V37" s="9">
        <v>681</v>
      </c>
      <c r="W37" s="9">
        <v>207</v>
      </c>
      <c r="X37" s="9">
        <v>864</v>
      </c>
      <c r="Y37" s="9">
        <v>330</v>
      </c>
      <c r="Z37" s="9">
        <v>1114</v>
      </c>
      <c r="AA37" s="9">
        <v>1313</v>
      </c>
      <c r="AB37" s="9" t="s">
        <v>291</v>
      </c>
      <c r="AC37" s="284" t="s">
        <v>291</v>
      </c>
      <c r="AD37" s="284" t="s">
        <v>291</v>
      </c>
      <c r="AE37" s="284" t="s">
        <v>291</v>
      </c>
      <c r="AF37" s="284" t="s">
        <v>291</v>
      </c>
      <c r="AG37" s="9" t="s">
        <v>291</v>
      </c>
      <c r="AH37" s="9" t="s">
        <v>291</v>
      </c>
      <c r="AI37" s="9">
        <v>-147</v>
      </c>
      <c r="AJ37" s="9" t="s">
        <v>291</v>
      </c>
    </row>
    <row r="38" spans="1:36">
      <c r="A38" s="9" t="s">
        <v>483</v>
      </c>
      <c r="B38" s="9" t="s">
        <v>273</v>
      </c>
      <c r="C38" s="9" t="s">
        <v>273</v>
      </c>
      <c r="D38" s="9" t="s">
        <v>273</v>
      </c>
      <c r="E38" s="9" t="s">
        <v>273</v>
      </c>
      <c r="F38" s="9" t="s">
        <v>273</v>
      </c>
      <c r="G38" s="9" t="s">
        <v>273</v>
      </c>
      <c r="H38" s="9" t="s">
        <v>273</v>
      </c>
      <c r="I38" s="9" t="s">
        <v>273</v>
      </c>
      <c r="J38" s="9" t="s">
        <v>273</v>
      </c>
      <c r="K38" s="9" t="s">
        <v>273</v>
      </c>
      <c r="L38" s="9" t="s">
        <v>273</v>
      </c>
      <c r="M38" s="9" t="s">
        <v>273</v>
      </c>
      <c r="N38" s="9">
        <v>0</v>
      </c>
      <c r="O38" s="9">
        <v>0</v>
      </c>
      <c r="P38" s="9">
        <v>0</v>
      </c>
      <c r="Q38" s="9">
        <v>0</v>
      </c>
      <c r="R38" s="9" t="s">
        <v>291</v>
      </c>
      <c r="S38" s="9">
        <v>-5</v>
      </c>
      <c r="T38" s="9">
        <v>3</v>
      </c>
      <c r="U38" s="9">
        <v>-1</v>
      </c>
      <c r="V38" s="9">
        <v>-3</v>
      </c>
      <c r="W38" s="9" t="s">
        <v>306</v>
      </c>
      <c r="X38" s="9" t="s">
        <v>291</v>
      </c>
      <c r="Y38" s="9" t="s">
        <v>291</v>
      </c>
      <c r="Z38" s="9">
        <v>1</v>
      </c>
      <c r="AA38" s="9">
        <v>1</v>
      </c>
      <c r="AB38" s="9">
        <v>1</v>
      </c>
      <c r="AC38" s="284">
        <v>2</v>
      </c>
      <c r="AD38" s="284">
        <v>2</v>
      </c>
      <c r="AE38" s="284">
        <v>2</v>
      </c>
      <c r="AF38" s="284">
        <v>2</v>
      </c>
      <c r="AG38" s="9">
        <v>2</v>
      </c>
      <c r="AH38" s="9">
        <v>2</v>
      </c>
      <c r="AI38" s="9">
        <v>2</v>
      </c>
      <c r="AJ38" s="9">
        <v>2</v>
      </c>
    </row>
    <row r="39" spans="1:36">
      <c r="A39" s="9" t="s">
        <v>482</v>
      </c>
      <c r="B39" s="9" t="s">
        <v>273</v>
      </c>
      <c r="C39" s="9" t="s">
        <v>273</v>
      </c>
      <c r="D39" s="9" t="s">
        <v>273</v>
      </c>
      <c r="E39" s="9" t="s">
        <v>273</v>
      </c>
      <c r="F39" s="9" t="s">
        <v>273</v>
      </c>
      <c r="G39" s="9" t="s">
        <v>273</v>
      </c>
      <c r="H39" s="9" t="s">
        <v>273</v>
      </c>
      <c r="I39" s="9" t="s">
        <v>33</v>
      </c>
      <c r="J39" s="9" t="s">
        <v>33</v>
      </c>
      <c r="K39" s="9" t="s">
        <v>33</v>
      </c>
      <c r="L39" s="9">
        <v>0</v>
      </c>
      <c r="M39" s="9">
        <v>0</v>
      </c>
      <c r="N39" s="9">
        <v>1</v>
      </c>
      <c r="O39" s="9">
        <v>-5</v>
      </c>
      <c r="P39" s="9">
        <v>-1</v>
      </c>
      <c r="Q39" s="9">
        <v>-2</v>
      </c>
      <c r="R39" s="9" t="s">
        <v>291</v>
      </c>
      <c r="S39" s="9">
        <v>-26</v>
      </c>
      <c r="T39" s="9">
        <v>-13</v>
      </c>
      <c r="U39" s="9">
        <v>10</v>
      </c>
      <c r="V39" s="9" t="s">
        <v>306</v>
      </c>
      <c r="W39" s="9" t="s">
        <v>306</v>
      </c>
      <c r="X39" s="9" t="s">
        <v>291</v>
      </c>
      <c r="Y39" s="9" t="s">
        <v>291</v>
      </c>
      <c r="Z39" s="9">
        <v>-2</v>
      </c>
      <c r="AA39" s="9">
        <v>-1</v>
      </c>
      <c r="AB39" s="9">
        <v>-1</v>
      </c>
      <c r="AC39" s="284">
        <v>1</v>
      </c>
      <c r="AD39" s="284">
        <v>1</v>
      </c>
      <c r="AE39" s="284">
        <v>1</v>
      </c>
      <c r="AF39" s="284">
        <v>1</v>
      </c>
      <c r="AG39" s="9">
        <v>1</v>
      </c>
      <c r="AH39" s="9">
        <v>1</v>
      </c>
      <c r="AI39" s="9">
        <v>1</v>
      </c>
      <c r="AJ39" s="9">
        <v>1</v>
      </c>
    </row>
    <row r="40" spans="1:36">
      <c r="A40" s="9" t="s">
        <v>481</v>
      </c>
      <c r="B40" s="9" t="s">
        <v>273</v>
      </c>
      <c r="C40" s="9" t="s">
        <v>273</v>
      </c>
      <c r="D40" s="9" t="s">
        <v>273</v>
      </c>
      <c r="E40" s="9" t="s">
        <v>273</v>
      </c>
      <c r="F40" s="9" t="s">
        <v>273</v>
      </c>
      <c r="G40" s="9" t="s">
        <v>273</v>
      </c>
      <c r="H40" s="9" t="s">
        <v>273</v>
      </c>
      <c r="I40" s="9">
        <v>0</v>
      </c>
      <c r="J40" s="9">
        <v>0</v>
      </c>
      <c r="K40" s="9">
        <v>0</v>
      </c>
      <c r="L40" s="9">
        <v>0</v>
      </c>
      <c r="M40" s="9">
        <v>0</v>
      </c>
      <c r="N40" s="9">
        <v>6</v>
      </c>
      <c r="O40" s="9">
        <v>10</v>
      </c>
      <c r="P40" s="9">
        <v>-1</v>
      </c>
      <c r="Q40" s="9">
        <v>3</v>
      </c>
      <c r="R40" s="9">
        <v>-1</v>
      </c>
      <c r="S40" s="9">
        <v>23</v>
      </c>
      <c r="T40" s="9">
        <v>11</v>
      </c>
      <c r="U40" s="9">
        <v>2</v>
      </c>
      <c r="V40" s="9">
        <v>9</v>
      </c>
      <c r="W40" s="9">
        <v>8</v>
      </c>
      <c r="X40" s="9">
        <v>135</v>
      </c>
      <c r="Y40" s="9">
        <v>1</v>
      </c>
      <c r="Z40" s="9">
        <v>-108</v>
      </c>
      <c r="AA40" s="9">
        <v>409</v>
      </c>
      <c r="AB40" s="9">
        <v>-76</v>
      </c>
      <c r="AC40" s="284">
        <v>110</v>
      </c>
      <c r="AD40" s="284">
        <v>48</v>
      </c>
      <c r="AE40" s="284" t="s">
        <v>291</v>
      </c>
      <c r="AF40" s="284" t="s">
        <v>291</v>
      </c>
      <c r="AG40" s="9">
        <v>49</v>
      </c>
      <c r="AH40" s="9">
        <v>76</v>
      </c>
      <c r="AI40" s="9">
        <v>52</v>
      </c>
      <c r="AJ40" s="9">
        <v>37</v>
      </c>
    </row>
    <row r="41" spans="1:36">
      <c r="A41" s="9" t="s">
        <v>480</v>
      </c>
      <c r="B41" s="9" t="s">
        <v>273</v>
      </c>
      <c r="C41" s="9" t="s">
        <v>273</v>
      </c>
      <c r="D41" s="9" t="s">
        <v>273</v>
      </c>
      <c r="E41" s="9" t="s">
        <v>273</v>
      </c>
      <c r="F41" s="9" t="s">
        <v>273</v>
      </c>
      <c r="G41" s="9" t="s">
        <v>273</v>
      </c>
      <c r="H41" s="9" t="s">
        <v>273</v>
      </c>
      <c r="I41" s="9" t="s">
        <v>33</v>
      </c>
      <c r="J41" s="9" t="s">
        <v>33</v>
      </c>
      <c r="K41" s="9" t="s">
        <v>33</v>
      </c>
      <c r="L41" s="9">
        <v>0</v>
      </c>
      <c r="M41" s="9">
        <v>0</v>
      </c>
      <c r="N41" s="9">
        <v>0</v>
      </c>
      <c r="O41" s="9">
        <v>0</v>
      </c>
      <c r="P41" s="9">
        <v>0</v>
      </c>
      <c r="Q41" s="9">
        <v>0</v>
      </c>
      <c r="R41" s="9">
        <v>0</v>
      </c>
      <c r="S41" s="9">
        <v>6</v>
      </c>
      <c r="T41" s="9">
        <v>-2</v>
      </c>
      <c r="U41" s="9">
        <v>12</v>
      </c>
      <c r="V41" s="9">
        <v>23</v>
      </c>
      <c r="W41" s="9">
        <v>-80</v>
      </c>
      <c r="X41" s="9">
        <v>21</v>
      </c>
      <c r="Y41" s="9">
        <v>-1</v>
      </c>
      <c r="Z41" s="9">
        <v>-1</v>
      </c>
      <c r="AA41" s="9">
        <v>22</v>
      </c>
      <c r="AB41" s="9">
        <v>-1</v>
      </c>
      <c r="AC41" s="284">
        <v>61</v>
      </c>
      <c r="AD41" s="284">
        <v>-70</v>
      </c>
      <c r="AE41" s="284">
        <v>83</v>
      </c>
      <c r="AF41" s="284">
        <v>-129</v>
      </c>
      <c r="AG41" s="9">
        <v>-4</v>
      </c>
      <c r="AH41" s="9" t="s">
        <v>291</v>
      </c>
      <c r="AI41" s="9">
        <v>-23</v>
      </c>
      <c r="AJ41" s="9">
        <v>-71</v>
      </c>
    </row>
    <row r="42" spans="1:36">
      <c r="A42" s="9" t="s">
        <v>479</v>
      </c>
      <c r="B42" s="9">
        <v>2</v>
      </c>
      <c r="C42" s="9">
        <v>3</v>
      </c>
      <c r="D42" s="9">
        <v>-1</v>
      </c>
      <c r="E42" s="9">
        <v>-1</v>
      </c>
      <c r="F42" s="9">
        <v>-6</v>
      </c>
      <c r="G42" s="9">
        <v>-1</v>
      </c>
      <c r="H42" s="9">
        <v>1</v>
      </c>
      <c r="I42" s="9">
        <v>1</v>
      </c>
      <c r="J42" s="9">
        <v>7</v>
      </c>
      <c r="K42" s="9">
        <v>10</v>
      </c>
      <c r="L42" s="9">
        <v>-18</v>
      </c>
      <c r="M42" s="9">
        <v>10</v>
      </c>
      <c r="N42" s="9">
        <v>2</v>
      </c>
      <c r="O42" s="9">
        <v>-5</v>
      </c>
      <c r="P42" s="9">
        <v>9</v>
      </c>
      <c r="Q42" s="9">
        <v>12</v>
      </c>
      <c r="R42" s="9">
        <v>-1</v>
      </c>
      <c r="S42" s="9">
        <v>15</v>
      </c>
      <c r="T42" s="9">
        <v>10</v>
      </c>
      <c r="U42" s="9">
        <v>203</v>
      </c>
      <c r="V42" s="9">
        <v>-61</v>
      </c>
      <c r="W42" s="9">
        <v>17</v>
      </c>
      <c r="X42" s="9">
        <v>47</v>
      </c>
      <c r="Y42" s="9">
        <v>191</v>
      </c>
      <c r="Z42" s="9">
        <v>133</v>
      </c>
      <c r="AA42" s="9" t="s">
        <v>291</v>
      </c>
      <c r="AB42" s="9" t="s">
        <v>291</v>
      </c>
      <c r="AC42" s="284">
        <v>103</v>
      </c>
      <c r="AD42" s="284">
        <v>173</v>
      </c>
      <c r="AE42" s="284">
        <v>65</v>
      </c>
      <c r="AF42" s="284">
        <v>-154</v>
      </c>
      <c r="AG42" s="9">
        <v>292</v>
      </c>
      <c r="AH42" s="9">
        <v>132</v>
      </c>
      <c r="AI42" s="9">
        <v>49</v>
      </c>
      <c r="AJ42" s="9">
        <v>-459</v>
      </c>
    </row>
    <row r="43" spans="1:36">
      <c r="A43" s="9" t="s">
        <v>478</v>
      </c>
      <c r="B43" s="9" t="s">
        <v>273</v>
      </c>
      <c r="C43" s="9" t="s">
        <v>273</v>
      </c>
      <c r="D43" s="9" t="s">
        <v>273</v>
      </c>
      <c r="E43" s="9" t="s">
        <v>273</v>
      </c>
      <c r="F43" s="9" t="s">
        <v>273</v>
      </c>
      <c r="G43" s="9" t="s">
        <v>273</v>
      </c>
      <c r="H43" s="9" t="s">
        <v>273</v>
      </c>
      <c r="I43" s="9" t="s">
        <v>33</v>
      </c>
      <c r="J43" s="9" t="s">
        <v>33</v>
      </c>
      <c r="K43" s="9" t="s">
        <v>33</v>
      </c>
      <c r="L43" s="9" t="s">
        <v>33</v>
      </c>
      <c r="M43" s="9">
        <v>21</v>
      </c>
      <c r="N43" s="9">
        <v>169</v>
      </c>
      <c r="O43" s="9">
        <v>-7</v>
      </c>
      <c r="P43" s="9">
        <v>-51</v>
      </c>
      <c r="Q43" s="9">
        <v>-44</v>
      </c>
      <c r="R43" s="9">
        <v>25</v>
      </c>
      <c r="S43" s="9" t="s">
        <v>273</v>
      </c>
      <c r="T43" s="9" t="s">
        <v>273</v>
      </c>
      <c r="U43" s="9" t="s">
        <v>273</v>
      </c>
      <c r="V43" s="9" t="s">
        <v>273</v>
      </c>
      <c r="W43" s="9" t="s">
        <v>273</v>
      </c>
      <c r="X43" s="9" t="s">
        <v>273</v>
      </c>
      <c r="Y43" s="9" t="s">
        <v>273</v>
      </c>
      <c r="Z43" s="9" t="s">
        <v>273</v>
      </c>
      <c r="AA43" s="9" t="s">
        <v>273</v>
      </c>
      <c r="AB43" s="9" t="s">
        <v>273</v>
      </c>
      <c r="AC43" s="284"/>
      <c r="AD43" s="284"/>
      <c r="AE43" s="284"/>
      <c r="AF43" s="284"/>
    </row>
    <row r="44" spans="1:36">
      <c r="A44" s="9" t="s">
        <v>477</v>
      </c>
      <c r="B44" s="9" t="s">
        <v>273</v>
      </c>
      <c r="C44" s="9" t="s">
        <v>273</v>
      </c>
      <c r="D44" s="9" t="s">
        <v>273</v>
      </c>
      <c r="E44" s="9" t="s">
        <v>273</v>
      </c>
      <c r="F44" s="9" t="s">
        <v>273</v>
      </c>
      <c r="G44" s="9" t="s">
        <v>273</v>
      </c>
      <c r="H44" s="9" t="s">
        <v>273</v>
      </c>
      <c r="I44" s="9">
        <v>0</v>
      </c>
      <c r="J44" s="9">
        <v>0</v>
      </c>
      <c r="K44" s="9" t="s">
        <v>291</v>
      </c>
      <c r="L44" s="9">
        <v>112</v>
      </c>
      <c r="M44" s="9" t="s">
        <v>33</v>
      </c>
      <c r="N44" s="9" t="s">
        <v>273</v>
      </c>
      <c r="O44" s="9" t="s">
        <v>273</v>
      </c>
      <c r="P44" s="9" t="s">
        <v>273</v>
      </c>
      <c r="Q44" s="9" t="s">
        <v>273</v>
      </c>
      <c r="R44" s="9" t="s">
        <v>273</v>
      </c>
      <c r="S44" s="9" t="s">
        <v>273</v>
      </c>
      <c r="T44" s="9" t="s">
        <v>273</v>
      </c>
      <c r="U44" s="9" t="s">
        <v>273</v>
      </c>
      <c r="V44" s="9" t="s">
        <v>273</v>
      </c>
      <c r="W44" s="9" t="s">
        <v>273</v>
      </c>
      <c r="X44" s="9" t="s">
        <v>273</v>
      </c>
      <c r="Y44" s="9" t="s">
        <v>273</v>
      </c>
      <c r="Z44" s="9" t="s">
        <v>273</v>
      </c>
      <c r="AA44" s="9" t="s">
        <v>273</v>
      </c>
      <c r="AB44" s="9" t="s">
        <v>273</v>
      </c>
      <c r="AC44" s="284"/>
      <c r="AD44" s="284"/>
      <c r="AE44" s="284"/>
      <c r="AF44" s="284"/>
    </row>
    <row r="45" spans="1:36">
      <c r="A45" s="9" t="s">
        <v>476</v>
      </c>
      <c r="B45" s="9" t="s">
        <v>273</v>
      </c>
      <c r="C45" s="9" t="s">
        <v>273</v>
      </c>
      <c r="D45" s="9" t="s">
        <v>273</v>
      </c>
      <c r="E45" s="9" t="s">
        <v>273</v>
      </c>
      <c r="F45" s="9" t="s">
        <v>273</v>
      </c>
      <c r="G45" s="9" t="s">
        <v>273</v>
      </c>
      <c r="H45" s="9" t="s">
        <v>273</v>
      </c>
      <c r="I45" s="9" t="s">
        <v>33</v>
      </c>
      <c r="J45" s="9" t="s">
        <v>33</v>
      </c>
      <c r="K45" s="9">
        <v>0</v>
      </c>
      <c r="L45" s="9">
        <v>0</v>
      </c>
      <c r="M45" s="9">
        <v>0</v>
      </c>
      <c r="N45" s="9" t="s">
        <v>291</v>
      </c>
      <c r="O45" s="9" t="s">
        <v>291</v>
      </c>
      <c r="P45" s="9" t="s">
        <v>291</v>
      </c>
      <c r="Q45" s="9" t="s">
        <v>291</v>
      </c>
      <c r="R45" s="9" t="s">
        <v>291</v>
      </c>
      <c r="S45" s="9" t="s">
        <v>306</v>
      </c>
      <c r="T45" s="9">
        <v>-15</v>
      </c>
      <c r="U45" s="9">
        <v>13</v>
      </c>
      <c r="V45" s="9">
        <v>-10</v>
      </c>
      <c r="W45" s="9">
        <v>1</v>
      </c>
      <c r="X45" s="9">
        <v>1</v>
      </c>
      <c r="Y45" s="9">
        <v>-1</v>
      </c>
      <c r="Z45" s="9">
        <v>-1</v>
      </c>
      <c r="AA45" s="9" t="s">
        <v>306</v>
      </c>
      <c r="AB45" s="9">
        <v>-5</v>
      </c>
      <c r="AC45" s="284" t="s">
        <v>291</v>
      </c>
      <c r="AD45" s="284" t="s">
        <v>291</v>
      </c>
      <c r="AE45" s="284" t="s">
        <v>291</v>
      </c>
      <c r="AF45" s="284">
        <v>-8</v>
      </c>
      <c r="AG45" s="9">
        <v>51</v>
      </c>
      <c r="AH45" s="9" t="s">
        <v>291</v>
      </c>
      <c r="AI45" s="9">
        <v>-3</v>
      </c>
      <c r="AJ45" s="9">
        <v>7</v>
      </c>
    </row>
    <row r="46" spans="1:36">
      <c r="A46" s="9" t="s">
        <v>475</v>
      </c>
      <c r="B46" s="9" t="s">
        <v>273</v>
      </c>
      <c r="C46" s="9" t="s">
        <v>273</v>
      </c>
      <c r="D46" s="9" t="s">
        <v>273</v>
      </c>
      <c r="E46" s="9" t="s">
        <v>273</v>
      </c>
      <c r="F46" s="9" t="s">
        <v>273</v>
      </c>
      <c r="G46" s="9" t="s">
        <v>273</v>
      </c>
      <c r="H46" s="9" t="s">
        <v>273</v>
      </c>
      <c r="I46" s="9" t="s">
        <v>273</v>
      </c>
      <c r="J46" s="9" t="s">
        <v>273</v>
      </c>
      <c r="K46" s="9" t="s">
        <v>273</v>
      </c>
      <c r="L46" s="9" t="s">
        <v>273</v>
      </c>
      <c r="M46" s="9" t="s">
        <v>273</v>
      </c>
      <c r="N46" s="9">
        <v>0</v>
      </c>
      <c r="O46" s="9">
        <v>0</v>
      </c>
      <c r="P46" s="9">
        <v>0</v>
      </c>
      <c r="Q46" s="9">
        <v>0</v>
      </c>
      <c r="R46" s="9">
        <v>0</v>
      </c>
      <c r="S46" s="9" t="s">
        <v>291</v>
      </c>
      <c r="T46" s="9" t="s">
        <v>291</v>
      </c>
      <c r="U46" s="9" t="s">
        <v>291</v>
      </c>
      <c r="V46" s="9" t="s">
        <v>291</v>
      </c>
      <c r="W46" s="9">
        <v>-288</v>
      </c>
      <c r="X46" s="9">
        <v>-10</v>
      </c>
      <c r="Y46" s="9">
        <v>52</v>
      </c>
      <c r="Z46" s="9" t="s">
        <v>291</v>
      </c>
      <c r="AA46" s="9" t="s">
        <v>291</v>
      </c>
      <c r="AB46" s="9">
        <v>1</v>
      </c>
      <c r="AC46" s="284" t="s">
        <v>306</v>
      </c>
      <c r="AD46" s="284" t="s">
        <v>306</v>
      </c>
      <c r="AE46" s="284" t="s">
        <v>306</v>
      </c>
      <c r="AF46" s="284" t="s">
        <v>306</v>
      </c>
      <c r="AG46" s="9" t="s">
        <v>306</v>
      </c>
      <c r="AH46" s="9" t="s">
        <v>306</v>
      </c>
      <c r="AI46" s="9">
        <v>-2</v>
      </c>
      <c r="AJ46" s="9" t="s">
        <v>291</v>
      </c>
    </row>
    <row r="47" spans="1:36">
      <c r="A47" s="9" t="s">
        <v>474</v>
      </c>
      <c r="B47" s="9">
        <v>0</v>
      </c>
      <c r="C47" s="9" t="s">
        <v>306</v>
      </c>
      <c r="D47" s="9" t="s">
        <v>306</v>
      </c>
      <c r="E47" s="9" t="s">
        <v>306</v>
      </c>
      <c r="F47" s="9" t="s">
        <v>306</v>
      </c>
      <c r="G47" s="9" t="s">
        <v>306</v>
      </c>
      <c r="H47" s="9" t="s">
        <v>306</v>
      </c>
      <c r="I47" s="9" t="s">
        <v>291</v>
      </c>
      <c r="J47" s="9" t="s">
        <v>291</v>
      </c>
      <c r="K47" s="9" t="s">
        <v>291</v>
      </c>
      <c r="L47" s="9" t="s">
        <v>291</v>
      </c>
      <c r="M47" s="9" t="s">
        <v>291</v>
      </c>
      <c r="N47" s="9" t="s">
        <v>291</v>
      </c>
      <c r="O47" s="9" t="s">
        <v>291</v>
      </c>
      <c r="P47" s="9" t="s">
        <v>291</v>
      </c>
      <c r="Q47" s="9" t="s">
        <v>291</v>
      </c>
      <c r="R47" s="9" t="s">
        <v>291</v>
      </c>
      <c r="S47" s="9">
        <v>81</v>
      </c>
      <c r="T47" s="9" t="s">
        <v>291</v>
      </c>
      <c r="U47" s="9" t="s">
        <v>291</v>
      </c>
      <c r="V47" s="9" t="s">
        <v>291</v>
      </c>
      <c r="W47" s="9">
        <v>57</v>
      </c>
      <c r="X47" s="9">
        <v>154</v>
      </c>
      <c r="Y47" s="9">
        <v>258</v>
      </c>
      <c r="Z47" s="9">
        <v>560</v>
      </c>
      <c r="AA47" s="9">
        <v>1401</v>
      </c>
      <c r="AB47" s="9">
        <v>2821</v>
      </c>
      <c r="AC47" s="284">
        <v>875</v>
      </c>
      <c r="AD47" s="284">
        <v>1254</v>
      </c>
      <c r="AE47" s="284">
        <v>6297</v>
      </c>
      <c r="AF47" s="284">
        <v>800</v>
      </c>
      <c r="AG47" s="9">
        <v>-1363</v>
      </c>
      <c r="AH47" s="9">
        <v>-3571</v>
      </c>
      <c r="AI47" s="9">
        <v>-2282</v>
      </c>
      <c r="AJ47" s="9">
        <v>-2344</v>
      </c>
    </row>
    <row r="48" spans="1:36">
      <c r="A48" s="9" t="s">
        <v>473</v>
      </c>
      <c r="B48" s="9">
        <v>0</v>
      </c>
      <c r="C48" s="9">
        <v>0</v>
      </c>
      <c r="D48" s="9">
        <v>0</v>
      </c>
      <c r="E48" s="9">
        <v>7</v>
      </c>
      <c r="F48" s="9" t="s">
        <v>291</v>
      </c>
      <c r="G48" s="9" t="s">
        <v>291</v>
      </c>
      <c r="H48" s="9" t="s">
        <v>291</v>
      </c>
      <c r="I48" s="9">
        <v>-7</v>
      </c>
      <c r="J48" s="9">
        <v>-2</v>
      </c>
      <c r="K48" s="9" t="s">
        <v>306</v>
      </c>
      <c r="L48" s="9" t="s">
        <v>306</v>
      </c>
      <c r="M48" s="9" t="s">
        <v>306</v>
      </c>
      <c r="N48" s="9">
        <v>-70</v>
      </c>
      <c r="O48" s="9">
        <v>0</v>
      </c>
      <c r="P48" s="9">
        <v>0</v>
      </c>
      <c r="Q48" s="9">
        <v>0</v>
      </c>
      <c r="R48" s="9">
        <v>0</v>
      </c>
      <c r="S48" s="9" t="s">
        <v>306</v>
      </c>
      <c r="T48" s="9">
        <v>-1</v>
      </c>
      <c r="U48" s="9">
        <v>-1</v>
      </c>
      <c r="V48" s="9">
        <v>-1</v>
      </c>
      <c r="W48" s="9">
        <v>-1</v>
      </c>
      <c r="X48" s="9" t="s">
        <v>273</v>
      </c>
      <c r="Y48" s="9" t="s">
        <v>273</v>
      </c>
      <c r="Z48" s="9" t="s">
        <v>273</v>
      </c>
      <c r="AA48" s="9" t="s">
        <v>273</v>
      </c>
      <c r="AB48" s="9" t="s">
        <v>273</v>
      </c>
      <c r="AC48" s="284">
        <v>0</v>
      </c>
      <c r="AD48" s="284">
        <v>0</v>
      </c>
      <c r="AE48" s="284">
        <v>0</v>
      </c>
      <c r="AF48" s="284">
        <v>0</v>
      </c>
      <c r="AG48" s="9">
        <v>0</v>
      </c>
      <c r="AH48" s="9">
        <v>0</v>
      </c>
      <c r="AI48" s="9">
        <v>0</v>
      </c>
      <c r="AJ48" s="9">
        <v>0</v>
      </c>
    </row>
    <row r="49" spans="1:36">
      <c r="A49" s="9" t="s">
        <v>471</v>
      </c>
      <c r="B49" s="9">
        <v>1</v>
      </c>
      <c r="C49" s="9">
        <v>1</v>
      </c>
      <c r="D49" s="9">
        <v>1</v>
      </c>
      <c r="E49" s="9">
        <v>1</v>
      </c>
      <c r="F49" s="9">
        <v>1</v>
      </c>
      <c r="G49" s="9">
        <v>1</v>
      </c>
      <c r="H49" s="9">
        <v>1</v>
      </c>
      <c r="I49" s="9">
        <v>2</v>
      </c>
      <c r="J49" s="9">
        <v>6</v>
      </c>
      <c r="K49" s="9">
        <v>5</v>
      </c>
      <c r="L49" s="9" t="s">
        <v>306</v>
      </c>
      <c r="M49" s="9">
        <v>4</v>
      </c>
      <c r="N49" s="9" t="s">
        <v>306</v>
      </c>
      <c r="O49" s="9" t="s">
        <v>306</v>
      </c>
      <c r="P49" s="9" t="s">
        <v>306</v>
      </c>
      <c r="Q49" s="9" t="s">
        <v>306</v>
      </c>
      <c r="R49" s="9" t="s">
        <v>306</v>
      </c>
      <c r="S49" s="9" t="s">
        <v>291</v>
      </c>
      <c r="T49" s="9" t="s">
        <v>291</v>
      </c>
      <c r="U49" s="9">
        <v>-14</v>
      </c>
      <c r="V49" s="9">
        <v>-28</v>
      </c>
      <c r="W49" s="9" t="s">
        <v>306</v>
      </c>
      <c r="X49" s="9">
        <v>3</v>
      </c>
      <c r="Y49" s="9">
        <v>2</v>
      </c>
      <c r="Z49" s="9" t="s">
        <v>291</v>
      </c>
      <c r="AA49" s="9" t="s">
        <v>291</v>
      </c>
      <c r="AB49" s="9" t="s">
        <v>291</v>
      </c>
      <c r="AC49" s="284" t="s">
        <v>291</v>
      </c>
      <c r="AD49" s="284" t="s">
        <v>291</v>
      </c>
      <c r="AE49" s="284" t="s">
        <v>291</v>
      </c>
      <c r="AF49" s="284" t="s">
        <v>291</v>
      </c>
      <c r="AG49" s="9" t="s">
        <v>291</v>
      </c>
      <c r="AH49" s="9">
        <v>-4</v>
      </c>
      <c r="AI49" s="9">
        <v>110</v>
      </c>
      <c r="AJ49" s="9" t="s">
        <v>291</v>
      </c>
    </row>
    <row r="50" spans="1:36">
      <c r="A50" s="9" t="s">
        <v>470</v>
      </c>
      <c r="B50" s="9" t="s">
        <v>273</v>
      </c>
      <c r="C50" s="9" t="s">
        <v>273</v>
      </c>
      <c r="D50" s="9" t="s">
        <v>273</v>
      </c>
      <c r="E50" s="9" t="s">
        <v>273</v>
      </c>
      <c r="F50" s="9" t="s">
        <v>273</v>
      </c>
      <c r="G50" s="9" t="s">
        <v>273</v>
      </c>
      <c r="H50" s="9" t="s">
        <v>273</v>
      </c>
      <c r="I50" s="9" t="s">
        <v>33</v>
      </c>
      <c r="J50" s="9" t="s">
        <v>33</v>
      </c>
      <c r="K50" s="9" t="s">
        <v>33</v>
      </c>
      <c r="L50" s="9" t="s">
        <v>291</v>
      </c>
      <c r="M50" s="9" t="s">
        <v>291</v>
      </c>
      <c r="N50" s="9" t="s">
        <v>291</v>
      </c>
      <c r="O50" s="9" t="s">
        <v>291</v>
      </c>
      <c r="P50" s="9" t="s">
        <v>291</v>
      </c>
      <c r="Q50" s="9">
        <v>69</v>
      </c>
      <c r="R50" s="9">
        <v>1228</v>
      </c>
      <c r="S50" s="9">
        <v>1076</v>
      </c>
      <c r="T50" s="9">
        <v>446</v>
      </c>
      <c r="U50" s="9">
        <v>1792</v>
      </c>
      <c r="V50" s="9">
        <v>-752</v>
      </c>
      <c r="W50" s="9">
        <v>168</v>
      </c>
      <c r="X50" s="9">
        <v>6</v>
      </c>
      <c r="Y50" s="9">
        <v>-412</v>
      </c>
      <c r="Z50" s="9">
        <v>178</v>
      </c>
      <c r="AA50" s="9" t="s">
        <v>291</v>
      </c>
      <c r="AB50" s="9" t="s">
        <v>291</v>
      </c>
      <c r="AC50" s="284">
        <v>-142</v>
      </c>
      <c r="AD50" s="284">
        <v>1837</v>
      </c>
      <c r="AE50" s="284">
        <v>-68</v>
      </c>
      <c r="AF50" s="284">
        <v>837</v>
      </c>
      <c r="AG50" s="9">
        <v>27</v>
      </c>
      <c r="AH50" s="9">
        <v>1616</v>
      </c>
      <c r="AI50" s="9">
        <v>801</v>
      </c>
      <c r="AJ50" s="9">
        <v>964</v>
      </c>
    </row>
    <row r="51" spans="1:36">
      <c r="A51" s="9" t="s">
        <v>469</v>
      </c>
      <c r="B51" s="9" t="s">
        <v>273</v>
      </c>
      <c r="C51" s="9" t="s">
        <v>273</v>
      </c>
      <c r="D51" s="9" t="s">
        <v>273</v>
      </c>
      <c r="E51" s="9" t="s">
        <v>273</v>
      </c>
      <c r="F51" s="9" t="s">
        <v>273</v>
      </c>
      <c r="G51" s="9" t="s">
        <v>273</v>
      </c>
      <c r="H51" s="9" t="s">
        <v>273</v>
      </c>
      <c r="I51" s="9" t="s">
        <v>273</v>
      </c>
      <c r="J51" s="9" t="s">
        <v>273</v>
      </c>
      <c r="K51" s="9" t="s">
        <v>273</v>
      </c>
      <c r="L51" s="9" t="s">
        <v>273</v>
      </c>
      <c r="M51" s="9" t="s">
        <v>273</v>
      </c>
      <c r="N51" s="9" t="s">
        <v>273</v>
      </c>
      <c r="O51" s="9" t="s">
        <v>273</v>
      </c>
      <c r="P51" s="9" t="s">
        <v>273</v>
      </c>
      <c r="Q51" s="9" t="s">
        <v>273</v>
      </c>
      <c r="R51" s="9" t="s">
        <v>273</v>
      </c>
      <c r="S51" s="9">
        <v>-1</v>
      </c>
      <c r="T51" s="9">
        <v>-1</v>
      </c>
      <c r="U51" s="9">
        <v>-1</v>
      </c>
      <c r="V51" s="9">
        <v>-1</v>
      </c>
      <c r="W51" s="9">
        <v>-1</v>
      </c>
      <c r="X51" s="9" t="s">
        <v>273</v>
      </c>
      <c r="Y51" s="9" t="s">
        <v>273</v>
      </c>
      <c r="Z51" s="9" t="s">
        <v>273</v>
      </c>
      <c r="AA51" s="9" t="s">
        <v>273</v>
      </c>
      <c r="AB51" s="9" t="s">
        <v>273</v>
      </c>
      <c r="AC51" s="284">
        <v>0</v>
      </c>
      <c r="AD51" s="284">
        <v>0</v>
      </c>
      <c r="AE51" s="284">
        <v>0</v>
      </c>
      <c r="AF51" s="284">
        <v>0</v>
      </c>
      <c r="AG51" s="9">
        <v>0</v>
      </c>
      <c r="AH51" s="9">
        <v>0</v>
      </c>
      <c r="AI51" s="9">
        <v>0</v>
      </c>
      <c r="AJ51" s="9">
        <v>0</v>
      </c>
    </row>
    <row r="52" spans="1:36">
      <c r="A52" s="9" t="s">
        <v>468</v>
      </c>
      <c r="B52" s="9" t="s">
        <v>273</v>
      </c>
      <c r="C52" s="9" t="s">
        <v>273</v>
      </c>
      <c r="D52" s="9" t="s">
        <v>273</v>
      </c>
      <c r="E52" s="9" t="s">
        <v>273</v>
      </c>
      <c r="F52" s="9" t="s">
        <v>273</v>
      </c>
      <c r="G52" s="9" t="s">
        <v>273</v>
      </c>
      <c r="H52" s="9" t="s">
        <v>273</v>
      </c>
      <c r="I52" s="9" t="s">
        <v>33</v>
      </c>
      <c r="J52" s="9" t="s">
        <v>33</v>
      </c>
      <c r="K52" s="9">
        <v>0</v>
      </c>
      <c r="L52" s="9">
        <v>0</v>
      </c>
      <c r="M52" s="9">
        <v>0</v>
      </c>
      <c r="N52" s="9" t="s">
        <v>291</v>
      </c>
      <c r="O52" s="9" t="s">
        <v>291</v>
      </c>
      <c r="P52" s="9" t="s">
        <v>291</v>
      </c>
      <c r="Q52" s="9" t="s">
        <v>291</v>
      </c>
      <c r="R52" s="9">
        <v>-13</v>
      </c>
      <c r="S52" s="9">
        <v>23</v>
      </c>
      <c r="T52" s="9">
        <v>-49</v>
      </c>
      <c r="U52" s="9">
        <v>-12</v>
      </c>
      <c r="V52" s="9" t="s">
        <v>291</v>
      </c>
      <c r="W52" s="9" t="s">
        <v>291</v>
      </c>
      <c r="X52" s="9">
        <v>27</v>
      </c>
      <c r="Y52" s="9">
        <v>-16</v>
      </c>
      <c r="Z52" s="9">
        <v>8</v>
      </c>
      <c r="AA52" s="9">
        <v>3</v>
      </c>
      <c r="AB52" s="9">
        <v>-183</v>
      </c>
      <c r="AC52" s="284">
        <v>15</v>
      </c>
      <c r="AD52" s="284" t="s">
        <v>306</v>
      </c>
      <c r="AE52" s="284" t="s">
        <v>306</v>
      </c>
      <c r="AF52" s="284" t="s">
        <v>306</v>
      </c>
      <c r="AG52" s="9" t="s">
        <v>306</v>
      </c>
      <c r="AH52" s="9" t="s">
        <v>306</v>
      </c>
      <c r="AI52" s="9" t="s">
        <v>291</v>
      </c>
      <c r="AJ52" s="9">
        <v>6</v>
      </c>
    </row>
    <row r="53" spans="1:36">
      <c r="A53" s="9" t="s">
        <v>467</v>
      </c>
      <c r="B53" s="9">
        <v>63</v>
      </c>
      <c r="C53" s="9">
        <v>-10</v>
      </c>
      <c r="D53" s="9">
        <v>12</v>
      </c>
      <c r="E53" s="9">
        <v>26</v>
      </c>
      <c r="F53" s="9">
        <v>-24</v>
      </c>
      <c r="G53" s="9">
        <v>68</v>
      </c>
      <c r="H53" s="9">
        <v>-86</v>
      </c>
      <c r="I53" s="9">
        <v>3</v>
      </c>
      <c r="J53" s="9" t="s">
        <v>306</v>
      </c>
      <c r="K53" s="9">
        <v>29</v>
      </c>
      <c r="L53" s="9">
        <v>-36</v>
      </c>
      <c r="M53" s="9">
        <v>14</v>
      </c>
      <c r="N53" s="9">
        <v>-13</v>
      </c>
      <c r="O53" s="9">
        <v>-26</v>
      </c>
      <c r="P53" s="9">
        <v>3</v>
      </c>
      <c r="Q53" s="9">
        <v>25</v>
      </c>
      <c r="R53" s="9">
        <v>43</v>
      </c>
      <c r="S53" s="9">
        <v>-7</v>
      </c>
      <c r="T53" s="9">
        <v>1</v>
      </c>
      <c r="U53" s="9">
        <v>37</v>
      </c>
      <c r="V53" s="9">
        <v>97</v>
      </c>
      <c r="W53" s="9">
        <v>29</v>
      </c>
      <c r="X53" s="9">
        <v>17</v>
      </c>
      <c r="Y53" s="9">
        <v>62</v>
      </c>
      <c r="Z53" s="9">
        <v>-55</v>
      </c>
      <c r="AA53" s="9">
        <v>51</v>
      </c>
      <c r="AB53" s="9">
        <v>-32</v>
      </c>
      <c r="AC53" s="284">
        <v>-11</v>
      </c>
      <c r="AD53" s="284">
        <v>-6</v>
      </c>
      <c r="AE53" s="284">
        <v>-5</v>
      </c>
      <c r="AF53" s="284" t="s">
        <v>291</v>
      </c>
      <c r="AG53" s="9">
        <v>-23</v>
      </c>
      <c r="AH53" s="9" t="s">
        <v>291</v>
      </c>
      <c r="AI53" s="9">
        <v>1</v>
      </c>
      <c r="AJ53" s="9" t="s">
        <v>291</v>
      </c>
    </row>
    <row r="54" spans="1:36">
      <c r="A54" s="9" t="s">
        <v>466</v>
      </c>
      <c r="B54" s="9" t="s">
        <v>273</v>
      </c>
      <c r="C54" s="9" t="s">
        <v>273</v>
      </c>
      <c r="D54" s="9" t="s">
        <v>273</v>
      </c>
      <c r="E54" s="9" t="s">
        <v>273</v>
      </c>
      <c r="F54" s="9" t="s">
        <v>273</v>
      </c>
      <c r="G54" s="9" t="s">
        <v>273</v>
      </c>
      <c r="H54" s="9" t="s">
        <v>273</v>
      </c>
      <c r="I54" s="9" t="s">
        <v>33</v>
      </c>
      <c r="J54" s="9" t="s">
        <v>33</v>
      </c>
      <c r="K54" s="9">
        <v>0</v>
      </c>
      <c r="L54" s="9">
        <v>0</v>
      </c>
      <c r="M54" s="9">
        <v>0</v>
      </c>
      <c r="N54" s="9" t="s">
        <v>291</v>
      </c>
      <c r="O54" s="9" t="s">
        <v>291</v>
      </c>
      <c r="P54" s="9" t="s">
        <v>291</v>
      </c>
      <c r="Q54" s="9" t="s">
        <v>291</v>
      </c>
      <c r="R54" s="9">
        <v>-4</v>
      </c>
      <c r="S54" s="9">
        <v>14</v>
      </c>
      <c r="T54" s="9" t="s">
        <v>291</v>
      </c>
      <c r="U54" s="9" t="s">
        <v>291</v>
      </c>
      <c r="V54" s="9" t="s">
        <v>291</v>
      </c>
      <c r="W54" s="9" t="s">
        <v>291</v>
      </c>
      <c r="X54" s="9" t="s">
        <v>291</v>
      </c>
      <c r="Y54" s="9" t="s">
        <v>291</v>
      </c>
      <c r="Z54" s="9">
        <v>10</v>
      </c>
      <c r="AA54" s="9">
        <v>3</v>
      </c>
      <c r="AB54" s="9">
        <v>3</v>
      </c>
      <c r="AC54" s="284" t="s">
        <v>306</v>
      </c>
      <c r="AD54" s="284">
        <v>-23</v>
      </c>
      <c r="AE54" s="284">
        <v>-20</v>
      </c>
      <c r="AF54" s="284">
        <v>-16</v>
      </c>
      <c r="AG54" s="9">
        <v>-38</v>
      </c>
      <c r="AH54" s="9">
        <v>-42</v>
      </c>
      <c r="AI54" s="9">
        <v>-19</v>
      </c>
      <c r="AJ54" s="9">
        <v>36</v>
      </c>
    </row>
    <row r="55" spans="1:36">
      <c r="A55" s="9" t="s">
        <v>465</v>
      </c>
      <c r="B55" s="9" t="s">
        <v>273</v>
      </c>
      <c r="C55" s="9" t="s">
        <v>273</v>
      </c>
      <c r="D55" s="9" t="s">
        <v>273</v>
      </c>
      <c r="E55" s="9" t="s">
        <v>273</v>
      </c>
      <c r="F55" s="9" t="s">
        <v>273</v>
      </c>
      <c r="G55" s="9" t="s">
        <v>273</v>
      </c>
      <c r="H55" s="9" t="s">
        <v>273</v>
      </c>
      <c r="I55" s="9" t="s">
        <v>273</v>
      </c>
      <c r="J55" s="9" t="s">
        <v>273</v>
      </c>
      <c r="K55" s="9" t="s">
        <v>273</v>
      </c>
      <c r="L55" s="9" t="s">
        <v>273</v>
      </c>
      <c r="M55" s="9" t="s">
        <v>273</v>
      </c>
      <c r="N55" s="9" t="s">
        <v>273</v>
      </c>
      <c r="O55" s="9" t="s">
        <v>273</v>
      </c>
      <c r="P55" s="9" t="s">
        <v>273</v>
      </c>
      <c r="Q55" s="9" t="s">
        <v>273</v>
      </c>
      <c r="R55" s="9" t="s">
        <v>273</v>
      </c>
      <c r="S55" s="9" t="s">
        <v>306</v>
      </c>
      <c r="T55" s="9" t="s">
        <v>306</v>
      </c>
      <c r="U55" s="9" t="s">
        <v>306</v>
      </c>
      <c r="V55" s="9" t="s">
        <v>306</v>
      </c>
      <c r="W55" s="9" t="s">
        <v>306</v>
      </c>
      <c r="X55" s="9" t="s">
        <v>306</v>
      </c>
      <c r="Y55" s="9" t="s">
        <v>306</v>
      </c>
      <c r="Z55" s="9" t="s">
        <v>306</v>
      </c>
      <c r="AA55" s="9" t="s">
        <v>306</v>
      </c>
      <c r="AB55" s="9" t="s">
        <v>306</v>
      </c>
      <c r="AC55" s="284" t="s">
        <v>291</v>
      </c>
      <c r="AD55" s="284" t="s">
        <v>291</v>
      </c>
      <c r="AE55" s="284" t="s">
        <v>291</v>
      </c>
      <c r="AF55" s="284" t="s">
        <v>291</v>
      </c>
      <c r="AG55" s="9">
        <v>4</v>
      </c>
      <c r="AH55" s="9" t="s">
        <v>291</v>
      </c>
      <c r="AI55" s="9">
        <v>-29</v>
      </c>
      <c r="AJ55" s="9" t="s">
        <v>291</v>
      </c>
    </row>
    <row r="56" spans="1:36">
      <c r="A56" s="9" t="s">
        <v>464</v>
      </c>
      <c r="B56" s="9" t="s">
        <v>291</v>
      </c>
      <c r="C56" s="9" t="s">
        <v>291</v>
      </c>
      <c r="D56" s="9" t="s">
        <v>291</v>
      </c>
      <c r="E56" s="9" t="s">
        <v>291</v>
      </c>
      <c r="F56" s="9" t="s">
        <v>291</v>
      </c>
      <c r="G56" s="9" t="s">
        <v>291</v>
      </c>
      <c r="H56" s="9">
        <v>2</v>
      </c>
      <c r="I56" s="9" t="s">
        <v>291</v>
      </c>
      <c r="J56" s="9" t="s">
        <v>291</v>
      </c>
      <c r="K56" s="9" t="s">
        <v>291</v>
      </c>
      <c r="L56" s="9" t="s">
        <v>291</v>
      </c>
      <c r="M56" s="9">
        <v>-4</v>
      </c>
      <c r="N56" s="9">
        <v>1</v>
      </c>
      <c r="O56" s="9">
        <v>-2</v>
      </c>
      <c r="P56" s="9">
        <v>-6</v>
      </c>
      <c r="Q56" s="9">
        <v>-1</v>
      </c>
      <c r="R56" s="9" t="s">
        <v>291</v>
      </c>
      <c r="S56" s="9" t="s">
        <v>291</v>
      </c>
      <c r="T56" s="9" t="s">
        <v>291</v>
      </c>
      <c r="U56" s="9" t="s">
        <v>291</v>
      </c>
      <c r="V56" s="9" t="s">
        <v>291</v>
      </c>
      <c r="W56" s="9" t="s">
        <v>291</v>
      </c>
      <c r="X56" s="9" t="s">
        <v>291</v>
      </c>
      <c r="Y56" s="9">
        <v>9</v>
      </c>
      <c r="Z56" s="9">
        <v>-20</v>
      </c>
      <c r="AA56" s="9" t="s">
        <v>291</v>
      </c>
      <c r="AB56" s="9" t="s">
        <v>291</v>
      </c>
      <c r="AC56" s="284" t="s">
        <v>306</v>
      </c>
      <c r="AD56" s="284" t="s">
        <v>306</v>
      </c>
      <c r="AE56" s="284" t="s">
        <v>306</v>
      </c>
      <c r="AF56" s="284" t="s">
        <v>306</v>
      </c>
      <c r="AG56" s="9" t="s">
        <v>291</v>
      </c>
      <c r="AH56" s="9">
        <v>2</v>
      </c>
      <c r="AI56" s="9">
        <v>-1</v>
      </c>
      <c r="AJ56" s="9">
        <v>3</v>
      </c>
    </row>
    <row r="57" spans="1:36">
      <c r="A57" s="9" t="s">
        <v>463</v>
      </c>
      <c r="B57" s="9" t="s">
        <v>273</v>
      </c>
      <c r="C57" s="9" t="s">
        <v>273</v>
      </c>
      <c r="D57" s="9" t="s">
        <v>273</v>
      </c>
      <c r="E57" s="9" t="s">
        <v>273</v>
      </c>
      <c r="F57" s="9" t="s">
        <v>273</v>
      </c>
      <c r="G57" s="9" t="s">
        <v>273</v>
      </c>
      <c r="H57" s="9" t="s">
        <v>273</v>
      </c>
      <c r="I57" s="9" t="s">
        <v>273</v>
      </c>
      <c r="J57" s="9" t="s">
        <v>273</v>
      </c>
      <c r="K57" s="9" t="s">
        <v>273</v>
      </c>
      <c r="L57" s="9" t="s">
        <v>273</v>
      </c>
      <c r="M57" s="9" t="s">
        <v>273</v>
      </c>
      <c r="N57" s="9" t="s">
        <v>273</v>
      </c>
      <c r="O57" s="9" t="s">
        <v>273</v>
      </c>
      <c r="P57" s="9" t="s">
        <v>273</v>
      </c>
      <c r="Q57" s="9" t="s">
        <v>273</v>
      </c>
      <c r="R57" s="9" t="s">
        <v>273</v>
      </c>
      <c r="S57" s="9" t="s">
        <v>306</v>
      </c>
      <c r="T57" s="9" t="s">
        <v>306</v>
      </c>
      <c r="U57" s="9" t="s">
        <v>306</v>
      </c>
      <c r="V57" s="9" t="s">
        <v>306</v>
      </c>
      <c r="W57" s="9" t="s">
        <v>306</v>
      </c>
      <c r="X57" s="9">
        <v>1</v>
      </c>
      <c r="Y57" s="9">
        <v>1</v>
      </c>
      <c r="Z57" s="9">
        <v>1</v>
      </c>
      <c r="AA57" s="9">
        <v>1</v>
      </c>
      <c r="AB57" s="9">
        <v>1</v>
      </c>
      <c r="AC57" s="284">
        <v>257</v>
      </c>
      <c r="AD57" s="284">
        <v>641</v>
      </c>
      <c r="AE57" s="284">
        <v>266</v>
      </c>
      <c r="AF57" s="284" t="s">
        <v>291</v>
      </c>
      <c r="AG57" s="9">
        <v>60</v>
      </c>
      <c r="AH57" s="9">
        <v>-25</v>
      </c>
      <c r="AI57" s="9">
        <v>85</v>
      </c>
      <c r="AJ57" s="9">
        <v>30</v>
      </c>
    </row>
    <row r="58" spans="1:36">
      <c r="A58" s="9" t="s">
        <v>462</v>
      </c>
      <c r="B58" s="9" t="s">
        <v>273</v>
      </c>
      <c r="C58" s="9" t="s">
        <v>273</v>
      </c>
      <c r="D58" s="9" t="s">
        <v>273</v>
      </c>
      <c r="E58" s="9" t="s">
        <v>273</v>
      </c>
      <c r="F58" s="9" t="s">
        <v>273</v>
      </c>
      <c r="G58" s="9" t="s">
        <v>273</v>
      </c>
      <c r="H58" s="9" t="s">
        <v>273</v>
      </c>
      <c r="I58" s="9" t="s">
        <v>273</v>
      </c>
      <c r="J58" s="9" t="s">
        <v>273</v>
      </c>
      <c r="K58" s="9" t="s">
        <v>273</v>
      </c>
      <c r="L58" s="9" t="s">
        <v>273</v>
      </c>
      <c r="M58" s="9" t="s">
        <v>273</v>
      </c>
      <c r="N58" s="9" t="s">
        <v>273</v>
      </c>
      <c r="O58" s="9" t="s">
        <v>273</v>
      </c>
      <c r="P58" s="9" t="s">
        <v>273</v>
      </c>
      <c r="Q58" s="9" t="s">
        <v>273</v>
      </c>
      <c r="R58" s="9" t="s">
        <v>273</v>
      </c>
      <c r="S58" s="9" t="s">
        <v>273</v>
      </c>
      <c r="T58" s="9" t="s">
        <v>273</v>
      </c>
      <c r="U58" s="9" t="s">
        <v>273</v>
      </c>
      <c r="V58" s="9" t="s">
        <v>273</v>
      </c>
      <c r="W58" s="9" t="s">
        <v>273</v>
      </c>
      <c r="X58" s="9" t="s">
        <v>517</v>
      </c>
      <c r="Y58" s="9" t="s">
        <v>517</v>
      </c>
      <c r="Z58" s="9" t="s">
        <v>517</v>
      </c>
      <c r="AA58" s="9">
        <v>7</v>
      </c>
      <c r="AB58" s="9">
        <v>-3</v>
      </c>
      <c r="AC58" s="284">
        <v>1</v>
      </c>
      <c r="AD58" s="284">
        <v>-1</v>
      </c>
      <c r="AE58" s="284">
        <v>-1</v>
      </c>
      <c r="AF58" s="284">
        <v>-1</v>
      </c>
      <c r="AG58" s="9">
        <v>-1</v>
      </c>
      <c r="AH58" s="9">
        <v>-1</v>
      </c>
      <c r="AI58" s="9">
        <v>-1</v>
      </c>
      <c r="AJ58" s="9">
        <v>-2</v>
      </c>
    </row>
    <row r="59" spans="1:36">
      <c r="A59" s="9" t="s">
        <v>461</v>
      </c>
      <c r="B59" s="9" t="s">
        <v>273</v>
      </c>
      <c r="C59" s="9" t="s">
        <v>273</v>
      </c>
      <c r="D59" s="9" t="s">
        <v>273</v>
      </c>
      <c r="E59" s="9" t="s">
        <v>273</v>
      </c>
      <c r="F59" s="9" t="s">
        <v>273</v>
      </c>
      <c r="G59" s="9" t="s">
        <v>273</v>
      </c>
      <c r="H59" s="9" t="s">
        <v>273</v>
      </c>
      <c r="I59" s="9" t="s">
        <v>273</v>
      </c>
      <c r="J59" s="9" t="s">
        <v>273</v>
      </c>
      <c r="K59" s="9" t="s">
        <v>273</v>
      </c>
      <c r="L59" s="9" t="s">
        <v>273</v>
      </c>
      <c r="M59" s="9" t="s">
        <v>273</v>
      </c>
      <c r="N59" s="9" t="s">
        <v>273</v>
      </c>
      <c r="O59" s="9" t="s">
        <v>273</v>
      </c>
      <c r="P59" s="9" t="s">
        <v>273</v>
      </c>
      <c r="Q59" s="9" t="s">
        <v>273</v>
      </c>
      <c r="R59" s="9" t="s">
        <v>273</v>
      </c>
      <c r="S59" s="9" t="s">
        <v>273</v>
      </c>
      <c r="T59" s="9" t="s">
        <v>273</v>
      </c>
      <c r="U59" s="9" t="s">
        <v>273</v>
      </c>
      <c r="V59" s="9" t="s">
        <v>273</v>
      </c>
      <c r="W59" s="9" t="s">
        <v>273</v>
      </c>
      <c r="X59" s="9">
        <v>1</v>
      </c>
      <c r="Y59" s="9">
        <v>1</v>
      </c>
      <c r="Z59" s="9">
        <v>1</v>
      </c>
      <c r="AA59" s="9">
        <v>1</v>
      </c>
      <c r="AB59" s="9">
        <v>1</v>
      </c>
      <c r="AC59" s="284">
        <v>3</v>
      </c>
      <c r="AD59" s="284">
        <v>5</v>
      </c>
      <c r="AE59" s="284">
        <v>-8</v>
      </c>
      <c r="AF59" s="284" t="s">
        <v>306</v>
      </c>
      <c r="AG59" s="9">
        <v>9</v>
      </c>
      <c r="AH59" s="9" t="s">
        <v>291</v>
      </c>
      <c r="AI59" s="9">
        <v>-5</v>
      </c>
      <c r="AJ59" s="9" t="s">
        <v>306</v>
      </c>
    </row>
    <row r="60" spans="1:36">
      <c r="A60" s="9" t="s">
        <v>460</v>
      </c>
      <c r="B60" s="9" t="s">
        <v>273</v>
      </c>
      <c r="C60" s="9" t="s">
        <v>273</v>
      </c>
      <c r="D60" s="9" t="s">
        <v>273</v>
      </c>
      <c r="E60" s="9" t="s">
        <v>273</v>
      </c>
      <c r="F60" s="9" t="s">
        <v>273</v>
      </c>
      <c r="G60" s="9" t="s">
        <v>273</v>
      </c>
      <c r="H60" s="9" t="s">
        <v>273</v>
      </c>
      <c r="I60" s="9">
        <v>0</v>
      </c>
      <c r="J60" s="9">
        <v>1</v>
      </c>
      <c r="K60" s="9">
        <v>29</v>
      </c>
      <c r="L60" s="9">
        <v>178</v>
      </c>
      <c r="M60" s="9">
        <v>195</v>
      </c>
      <c r="N60" s="9">
        <v>262</v>
      </c>
      <c r="O60" s="9">
        <v>168</v>
      </c>
      <c r="P60" s="9">
        <v>140</v>
      </c>
      <c r="Q60" s="9">
        <v>420</v>
      </c>
      <c r="R60" s="9">
        <v>356</v>
      </c>
      <c r="S60" s="9" t="s">
        <v>273</v>
      </c>
      <c r="T60" s="9" t="s">
        <v>273</v>
      </c>
      <c r="U60" s="9" t="s">
        <v>273</v>
      </c>
      <c r="V60" s="9" t="s">
        <v>273</v>
      </c>
      <c r="W60" s="9" t="s">
        <v>273</v>
      </c>
      <c r="X60" s="9" t="s">
        <v>273</v>
      </c>
      <c r="Y60" s="9" t="s">
        <v>273</v>
      </c>
      <c r="Z60" s="9" t="s">
        <v>273</v>
      </c>
      <c r="AA60" s="9" t="s">
        <v>273</v>
      </c>
      <c r="AB60" s="9" t="s">
        <v>273</v>
      </c>
      <c r="AC60" s="284" t="s">
        <v>306</v>
      </c>
      <c r="AD60" s="284" t="s">
        <v>306</v>
      </c>
      <c r="AE60" s="284" t="s">
        <v>306</v>
      </c>
      <c r="AF60" s="284" t="s">
        <v>306</v>
      </c>
      <c r="AG60" s="9" t="s">
        <v>306</v>
      </c>
      <c r="AH60" s="9" t="s">
        <v>306</v>
      </c>
      <c r="AI60" s="9" t="s">
        <v>291</v>
      </c>
      <c r="AJ60" s="9" t="s">
        <v>306</v>
      </c>
    </row>
    <row r="61" spans="1:36">
      <c r="A61" s="9" t="s">
        <v>459</v>
      </c>
      <c r="B61" s="9" t="s">
        <v>306</v>
      </c>
      <c r="C61" s="9">
        <v>2</v>
      </c>
      <c r="D61" s="9">
        <v>1</v>
      </c>
      <c r="E61" s="9">
        <v>1</v>
      </c>
      <c r="F61" s="9">
        <v>1</v>
      </c>
      <c r="G61" s="9">
        <v>-5</v>
      </c>
      <c r="H61" s="9">
        <v>2</v>
      </c>
      <c r="I61" s="9">
        <v>2</v>
      </c>
      <c r="J61" s="9">
        <v>1</v>
      </c>
      <c r="K61" s="9">
        <v>8</v>
      </c>
      <c r="L61" s="9">
        <v>9</v>
      </c>
      <c r="M61" s="9">
        <v>17</v>
      </c>
      <c r="N61" s="9">
        <v>22</v>
      </c>
      <c r="O61" s="9">
        <v>-9</v>
      </c>
      <c r="P61" s="9">
        <v>14</v>
      </c>
      <c r="Q61" s="9">
        <v>22</v>
      </c>
      <c r="R61" s="9">
        <v>30</v>
      </c>
      <c r="S61" s="9">
        <v>45</v>
      </c>
      <c r="T61" s="9">
        <v>19</v>
      </c>
      <c r="U61" s="9">
        <v>33</v>
      </c>
      <c r="V61" s="9">
        <v>57</v>
      </c>
      <c r="W61" s="9">
        <v>65</v>
      </c>
      <c r="X61" s="9">
        <v>131</v>
      </c>
      <c r="Y61" s="9">
        <v>55</v>
      </c>
      <c r="Z61" s="9">
        <v>11</v>
      </c>
      <c r="AA61" s="9">
        <v>254</v>
      </c>
      <c r="AB61" s="9">
        <v>129</v>
      </c>
      <c r="AC61" s="284">
        <v>421</v>
      </c>
      <c r="AD61" s="284">
        <v>148</v>
      </c>
      <c r="AE61" s="284">
        <v>61</v>
      </c>
      <c r="AF61" s="284">
        <v>-626</v>
      </c>
      <c r="AG61" s="9">
        <v>35</v>
      </c>
      <c r="AH61" s="9">
        <v>224</v>
      </c>
      <c r="AI61" s="9">
        <v>391</v>
      </c>
      <c r="AJ61" s="9">
        <v>67</v>
      </c>
    </row>
    <row r="62" spans="1:36">
      <c r="A62" s="9" t="s">
        <v>458</v>
      </c>
      <c r="B62" s="9" t="s">
        <v>273</v>
      </c>
      <c r="C62" s="9" t="s">
        <v>273</v>
      </c>
      <c r="D62" s="9" t="s">
        <v>273</v>
      </c>
      <c r="E62" s="9" t="s">
        <v>273</v>
      </c>
      <c r="F62" s="9" t="s">
        <v>273</v>
      </c>
      <c r="G62" s="9" t="s">
        <v>273</v>
      </c>
      <c r="H62" s="9" t="s">
        <v>273</v>
      </c>
      <c r="I62" s="9" t="s">
        <v>33</v>
      </c>
      <c r="J62" s="9" t="s">
        <v>33</v>
      </c>
      <c r="K62" s="9" t="s">
        <v>33</v>
      </c>
      <c r="L62" s="9">
        <v>19</v>
      </c>
      <c r="M62" s="9">
        <v>222</v>
      </c>
      <c r="N62" s="9">
        <v>165</v>
      </c>
      <c r="O62" s="9">
        <v>535</v>
      </c>
      <c r="P62" s="9">
        <v>167</v>
      </c>
      <c r="Q62" s="9">
        <v>385</v>
      </c>
      <c r="R62" s="9">
        <v>-234</v>
      </c>
      <c r="S62" s="9" t="s">
        <v>273</v>
      </c>
      <c r="T62" s="9" t="s">
        <v>273</v>
      </c>
      <c r="U62" s="9" t="s">
        <v>273</v>
      </c>
      <c r="V62" s="9" t="s">
        <v>273</v>
      </c>
      <c r="W62" s="9" t="s">
        <v>273</v>
      </c>
      <c r="X62" s="9" t="s">
        <v>273</v>
      </c>
      <c r="Y62" s="9" t="s">
        <v>273</v>
      </c>
      <c r="Z62" s="9" t="s">
        <v>273</v>
      </c>
      <c r="AA62" s="9" t="s">
        <v>273</v>
      </c>
      <c r="AB62" s="9" t="s">
        <v>273</v>
      </c>
      <c r="AC62" s="284">
        <v>0</v>
      </c>
      <c r="AD62" s="284">
        <v>0</v>
      </c>
      <c r="AE62" s="284">
        <v>0</v>
      </c>
      <c r="AF62" s="284">
        <v>0</v>
      </c>
      <c r="AG62" s="9">
        <v>0</v>
      </c>
      <c r="AH62" s="9">
        <v>0</v>
      </c>
      <c r="AI62" s="9">
        <v>0</v>
      </c>
      <c r="AJ62" s="9">
        <v>0</v>
      </c>
    </row>
    <row r="63" spans="1:36">
      <c r="A63" s="9" t="s">
        <v>457</v>
      </c>
      <c r="B63" s="9" t="s">
        <v>273</v>
      </c>
      <c r="C63" s="9" t="s">
        <v>273</v>
      </c>
      <c r="D63" s="9" t="s">
        <v>273</v>
      </c>
      <c r="E63" s="9" t="s">
        <v>273</v>
      </c>
      <c r="F63" s="9" t="s">
        <v>273</v>
      </c>
      <c r="G63" s="9" t="s">
        <v>273</v>
      </c>
      <c r="H63" s="9" t="s">
        <v>273</v>
      </c>
      <c r="I63" s="9" t="s">
        <v>33</v>
      </c>
      <c r="J63" s="9" t="s">
        <v>33</v>
      </c>
      <c r="K63" s="9" t="s">
        <v>33</v>
      </c>
      <c r="L63" s="9" t="s">
        <v>291</v>
      </c>
      <c r="M63" s="9" t="s">
        <v>291</v>
      </c>
      <c r="N63" s="9" t="s">
        <v>291</v>
      </c>
      <c r="O63" s="9" t="s">
        <v>291</v>
      </c>
      <c r="P63" s="9" t="s">
        <v>291</v>
      </c>
      <c r="Q63" s="9" t="s">
        <v>291</v>
      </c>
      <c r="R63" s="9" t="s">
        <v>291</v>
      </c>
      <c r="S63" s="9" t="s">
        <v>291</v>
      </c>
      <c r="T63" s="9" t="s">
        <v>291</v>
      </c>
      <c r="U63" s="9" t="s">
        <v>291</v>
      </c>
      <c r="V63" s="9">
        <v>-1</v>
      </c>
      <c r="W63" s="9">
        <v>-5</v>
      </c>
      <c r="X63" s="9">
        <v>-5</v>
      </c>
      <c r="Y63" s="9">
        <v>24</v>
      </c>
      <c r="Z63" s="9">
        <v>7</v>
      </c>
      <c r="AA63" s="9">
        <v>5</v>
      </c>
      <c r="AB63" s="9">
        <v>13</v>
      </c>
      <c r="AC63" s="284">
        <v>85</v>
      </c>
      <c r="AD63" s="284" t="s">
        <v>306</v>
      </c>
      <c r="AE63" s="284">
        <v>4</v>
      </c>
      <c r="AF63" s="284">
        <v>1</v>
      </c>
      <c r="AG63" s="9">
        <v>9</v>
      </c>
      <c r="AH63" s="9">
        <v>2</v>
      </c>
      <c r="AI63" s="9">
        <v>-1</v>
      </c>
      <c r="AJ63" s="9" t="s">
        <v>306</v>
      </c>
    </row>
    <row r="64" spans="1:36">
      <c r="A64" s="9" t="s">
        <v>456</v>
      </c>
      <c r="B64" s="9" t="s">
        <v>273</v>
      </c>
      <c r="C64" s="9" t="s">
        <v>273</v>
      </c>
      <c r="D64" s="9" t="s">
        <v>273</v>
      </c>
      <c r="E64" s="9" t="s">
        <v>273</v>
      </c>
      <c r="F64" s="9" t="s">
        <v>273</v>
      </c>
      <c r="G64" s="9" t="s">
        <v>273</v>
      </c>
      <c r="H64" s="9" t="s">
        <v>273</v>
      </c>
      <c r="I64" s="9" t="s">
        <v>33</v>
      </c>
      <c r="J64" s="9" t="s">
        <v>33</v>
      </c>
      <c r="K64" s="9" t="s">
        <v>33</v>
      </c>
      <c r="L64" s="9" t="s">
        <v>33</v>
      </c>
      <c r="M64" s="9" t="s">
        <v>291</v>
      </c>
      <c r="N64" s="9">
        <v>14</v>
      </c>
      <c r="O64" s="9">
        <v>-5</v>
      </c>
      <c r="P64" s="9">
        <v>8</v>
      </c>
      <c r="Q64" s="9">
        <v>10</v>
      </c>
      <c r="R64" s="9">
        <v>-2</v>
      </c>
      <c r="S64" s="9">
        <v>18</v>
      </c>
      <c r="T64" s="9">
        <v>30</v>
      </c>
      <c r="U64" s="9">
        <v>575</v>
      </c>
      <c r="V64" s="9">
        <v>108</v>
      </c>
      <c r="W64" s="9">
        <v>175</v>
      </c>
      <c r="X64" s="9">
        <v>-10</v>
      </c>
      <c r="Y64" s="9">
        <v>-139</v>
      </c>
      <c r="Z64" s="9">
        <v>101</v>
      </c>
      <c r="AA64" s="9">
        <v>195</v>
      </c>
      <c r="AB64" s="9">
        <v>148</v>
      </c>
      <c r="AC64" s="284" t="s">
        <v>291</v>
      </c>
      <c r="AD64" s="284" t="s">
        <v>291</v>
      </c>
      <c r="AE64" s="284" t="s">
        <v>291</v>
      </c>
      <c r="AF64" s="284" t="s">
        <v>291</v>
      </c>
      <c r="AG64" s="9">
        <v>59</v>
      </c>
      <c r="AH64" s="9">
        <v>57</v>
      </c>
      <c r="AI64" s="9">
        <v>89</v>
      </c>
      <c r="AJ64" s="9">
        <v>-173</v>
      </c>
    </row>
    <row r="65" spans="1:36">
      <c r="A65" s="9" t="s">
        <v>455</v>
      </c>
      <c r="B65" s="9" t="s">
        <v>273</v>
      </c>
      <c r="C65" s="9" t="s">
        <v>273</v>
      </c>
      <c r="D65" s="9" t="s">
        <v>273</v>
      </c>
      <c r="E65" s="9" t="s">
        <v>273</v>
      </c>
      <c r="F65" s="9" t="s">
        <v>273</v>
      </c>
      <c r="G65" s="9" t="s">
        <v>273</v>
      </c>
      <c r="H65" s="9" t="s">
        <v>273</v>
      </c>
      <c r="I65" s="9" t="s">
        <v>33</v>
      </c>
      <c r="J65" s="9" t="s">
        <v>33</v>
      </c>
      <c r="K65" s="9" t="s">
        <v>33</v>
      </c>
      <c r="L65" s="9">
        <v>-1</v>
      </c>
      <c r="M65" s="9">
        <v>-1</v>
      </c>
      <c r="N65" s="9">
        <v>1</v>
      </c>
      <c r="O65" s="9">
        <v>1</v>
      </c>
      <c r="P65" s="9">
        <v>-1</v>
      </c>
      <c r="Q65" s="9">
        <v>3</v>
      </c>
      <c r="R65" s="9">
        <v>8</v>
      </c>
      <c r="S65" s="9">
        <v>10</v>
      </c>
      <c r="T65" s="9">
        <v>9</v>
      </c>
      <c r="U65" s="9">
        <v>22</v>
      </c>
      <c r="V65" s="9">
        <v>-51</v>
      </c>
      <c r="W65" s="9">
        <v>4</v>
      </c>
      <c r="X65" s="9" t="s">
        <v>291</v>
      </c>
      <c r="Y65" s="9" t="s">
        <v>291</v>
      </c>
      <c r="Z65" s="9">
        <v>-156</v>
      </c>
      <c r="AA65" s="9">
        <v>16</v>
      </c>
      <c r="AB65" s="9">
        <v>23</v>
      </c>
      <c r="AC65" s="284" t="s">
        <v>291</v>
      </c>
      <c r="AD65" s="284" t="s">
        <v>291</v>
      </c>
      <c r="AE65" s="284" t="s">
        <v>291</v>
      </c>
      <c r="AF65" s="284" t="s">
        <v>291</v>
      </c>
      <c r="AG65" s="9">
        <v>29</v>
      </c>
      <c r="AH65" s="9">
        <v>33</v>
      </c>
      <c r="AI65" s="9">
        <v>21</v>
      </c>
      <c r="AJ65" s="9">
        <v>19</v>
      </c>
    </row>
    <row r="66" spans="1:36">
      <c r="A66" s="9" t="s">
        <v>454</v>
      </c>
      <c r="B66" s="9" t="s">
        <v>273</v>
      </c>
      <c r="C66" s="9" t="s">
        <v>273</v>
      </c>
      <c r="D66" s="9" t="s">
        <v>273</v>
      </c>
      <c r="E66" s="9" t="s">
        <v>273</v>
      </c>
      <c r="F66" s="9" t="s">
        <v>273</v>
      </c>
      <c r="G66" s="9" t="s">
        <v>273</v>
      </c>
      <c r="H66" s="9" t="s">
        <v>273</v>
      </c>
      <c r="I66" s="9" t="s">
        <v>273</v>
      </c>
      <c r="J66" s="9" t="s">
        <v>273</v>
      </c>
      <c r="K66" s="9" t="s">
        <v>273</v>
      </c>
      <c r="L66" s="9" t="s">
        <v>273</v>
      </c>
      <c r="M66" s="9" t="s">
        <v>273</v>
      </c>
      <c r="N66" s="9" t="s">
        <v>273</v>
      </c>
      <c r="O66" s="9" t="s">
        <v>273</v>
      </c>
      <c r="P66" s="9" t="s">
        <v>273</v>
      </c>
      <c r="Q66" s="9" t="s">
        <v>273</v>
      </c>
      <c r="R66" s="9" t="s">
        <v>273</v>
      </c>
      <c r="S66" s="9" t="s">
        <v>273</v>
      </c>
      <c r="T66" s="9" t="s">
        <v>273</v>
      </c>
      <c r="U66" s="9" t="s">
        <v>273</v>
      </c>
      <c r="V66" s="9" t="s">
        <v>273</v>
      </c>
      <c r="W66" s="9" t="s">
        <v>273</v>
      </c>
      <c r="X66" s="9" t="s">
        <v>306</v>
      </c>
      <c r="Y66" s="9" t="s">
        <v>306</v>
      </c>
      <c r="Z66" s="9" t="s">
        <v>306</v>
      </c>
      <c r="AA66" s="9">
        <v>-1</v>
      </c>
      <c r="AB66" s="9" t="s">
        <v>306</v>
      </c>
      <c r="AC66" s="284">
        <v>0</v>
      </c>
      <c r="AD66" s="284">
        <v>0</v>
      </c>
      <c r="AE66" s="284">
        <v>0</v>
      </c>
      <c r="AF66" s="284">
        <v>0</v>
      </c>
      <c r="AG66" s="9">
        <v>0</v>
      </c>
      <c r="AH66" s="9">
        <v>0</v>
      </c>
      <c r="AI66" s="9">
        <v>0</v>
      </c>
      <c r="AJ66" s="9">
        <v>0</v>
      </c>
    </row>
    <row r="67" spans="1:36">
      <c r="A67" s="9" t="s">
        <v>453</v>
      </c>
      <c r="B67" s="9" t="s">
        <v>273</v>
      </c>
      <c r="C67" s="9" t="s">
        <v>273</v>
      </c>
      <c r="D67" s="9" t="s">
        <v>273</v>
      </c>
      <c r="E67" s="9" t="s">
        <v>273</v>
      </c>
      <c r="F67" s="9" t="s">
        <v>273</v>
      </c>
      <c r="G67" s="9" t="s">
        <v>273</v>
      </c>
      <c r="H67" s="9" t="s">
        <v>273</v>
      </c>
      <c r="I67" s="9" t="s">
        <v>273</v>
      </c>
      <c r="J67" s="9" t="s">
        <v>273</v>
      </c>
      <c r="K67" s="9" t="s">
        <v>273</v>
      </c>
      <c r="L67" s="9" t="s">
        <v>273</v>
      </c>
      <c r="M67" s="9" t="s">
        <v>273</v>
      </c>
      <c r="N67" s="9">
        <v>2</v>
      </c>
      <c r="O67" s="9">
        <v>-3</v>
      </c>
      <c r="P67" s="9">
        <v>-2</v>
      </c>
      <c r="Q67" s="9">
        <v>-2</v>
      </c>
      <c r="R67" s="9" t="s">
        <v>291</v>
      </c>
      <c r="S67" s="9">
        <v>-19</v>
      </c>
      <c r="T67" s="9">
        <v>-62</v>
      </c>
      <c r="U67" s="9">
        <v>133</v>
      </c>
      <c r="V67" s="9" t="s">
        <v>291</v>
      </c>
      <c r="W67" s="9" t="s">
        <v>291</v>
      </c>
      <c r="X67" s="9">
        <v>-98</v>
      </c>
      <c r="Y67" s="9">
        <v>1</v>
      </c>
      <c r="Z67" s="9">
        <v>1</v>
      </c>
      <c r="AA67" s="9">
        <v>1</v>
      </c>
      <c r="AB67" s="9">
        <v>1</v>
      </c>
      <c r="AC67" s="284">
        <v>-2</v>
      </c>
      <c r="AD67" s="284">
        <v>1</v>
      </c>
      <c r="AE67" s="284">
        <v>-3</v>
      </c>
      <c r="AF67" s="284">
        <v>-9</v>
      </c>
      <c r="AG67" s="9" t="s">
        <v>291</v>
      </c>
      <c r="AH67" s="9">
        <v>1</v>
      </c>
      <c r="AI67" s="9">
        <v>-6</v>
      </c>
      <c r="AJ67" s="9">
        <v>-5</v>
      </c>
    </row>
    <row r="68" spans="1:36">
      <c r="A68" s="9" t="s">
        <v>452</v>
      </c>
      <c r="B68" s="9" t="s">
        <v>273</v>
      </c>
      <c r="C68" s="9" t="s">
        <v>273</v>
      </c>
      <c r="D68" s="9" t="s">
        <v>273</v>
      </c>
      <c r="E68" s="9" t="s">
        <v>273</v>
      </c>
      <c r="F68" s="9" t="s">
        <v>273</v>
      </c>
      <c r="G68" s="9" t="s">
        <v>273</v>
      </c>
      <c r="H68" s="9" t="s">
        <v>273</v>
      </c>
      <c r="I68" s="9" t="s">
        <v>33</v>
      </c>
      <c r="J68" s="9" t="s">
        <v>33</v>
      </c>
      <c r="K68" s="9" t="s">
        <v>33</v>
      </c>
      <c r="L68" s="9">
        <v>0</v>
      </c>
      <c r="M68" s="9">
        <v>0</v>
      </c>
      <c r="N68" s="9" t="s">
        <v>291</v>
      </c>
      <c r="O68" s="9" t="s">
        <v>291</v>
      </c>
      <c r="P68" s="9">
        <v>5</v>
      </c>
      <c r="Q68" s="9">
        <v>-13</v>
      </c>
      <c r="R68" s="9">
        <v>51</v>
      </c>
      <c r="S68" s="9">
        <v>50</v>
      </c>
      <c r="T68" s="9">
        <v>26</v>
      </c>
      <c r="U68" s="9">
        <v>-12</v>
      </c>
      <c r="V68" s="9">
        <v>28</v>
      </c>
      <c r="W68" s="9">
        <v>33</v>
      </c>
      <c r="X68" s="9">
        <v>48</v>
      </c>
      <c r="Y68" s="9">
        <v>134</v>
      </c>
      <c r="Z68" s="9">
        <v>145</v>
      </c>
      <c r="AA68" s="9">
        <v>444</v>
      </c>
      <c r="AB68" s="9">
        <v>-53</v>
      </c>
      <c r="AC68" s="284">
        <v>1</v>
      </c>
      <c r="AD68" s="284">
        <v>145</v>
      </c>
      <c r="AE68" s="284">
        <v>60</v>
      </c>
      <c r="AF68" s="284">
        <v>121</v>
      </c>
      <c r="AG68" s="9">
        <v>-1</v>
      </c>
      <c r="AH68" s="9">
        <v>-5</v>
      </c>
      <c r="AI68" s="9">
        <v>44</v>
      </c>
      <c r="AJ68" s="9">
        <v>2</v>
      </c>
    </row>
    <row r="69" spans="1:36">
      <c r="A69" s="9" t="s">
        <v>450</v>
      </c>
      <c r="B69" s="9" t="s">
        <v>273</v>
      </c>
      <c r="C69" s="9" t="s">
        <v>273</v>
      </c>
      <c r="D69" s="9" t="s">
        <v>273</v>
      </c>
      <c r="E69" s="9" t="s">
        <v>273</v>
      </c>
      <c r="F69" s="9" t="s">
        <v>273</v>
      </c>
      <c r="G69" s="9" t="s">
        <v>273</v>
      </c>
      <c r="H69" s="9" t="s">
        <v>273</v>
      </c>
      <c r="I69" s="9" t="s">
        <v>33</v>
      </c>
      <c r="J69" s="9" t="s">
        <v>33</v>
      </c>
      <c r="K69" s="9" t="s">
        <v>33</v>
      </c>
      <c r="L69" s="9">
        <v>0</v>
      </c>
      <c r="M69" s="9" t="s">
        <v>291</v>
      </c>
      <c r="N69" s="9" t="s">
        <v>291</v>
      </c>
      <c r="O69" s="9" t="s">
        <v>291</v>
      </c>
      <c r="P69" s="9" t="s">
        <v>291</v>
      </c>
      <c r="Q69" s="9" t="s">
        <v>291</v>
      </c>
      <c r="R69" s="9" t="s">
        <v>291</v>
      </c>
      <c r="S69" s="9">
        <v>-16</v>
      </c>
      <c r="T69" s="9" t="s">
        <v>291</v>
      </c>
      <c r="U69" s="9" t="s">
        <v>291</v>
      </c>
      <c r="V69" s="9">
        <v>-7</v>
      </c>
      <c r="W69" s="9">
        <v>-13</v>
      </c>
      <c r="X69" s="9" t="s">
        <v>291</v>
      </c>
      <c r="Y69" s="9" t="s">
        <v>291</v>
      </c>
      <c r="Z69" s="9" t="s">
        <v>291</v>
      </c>
      <c r="AA69" s="9" t="s">
        <v>291</v>
      </c>
      <c r="AB69" s="9" t="s">
        <v>291</v>
      </c>
      <c r="AC69" s="284">
        <v>2</v>
      </c>
      <c r="AD69" s="284">
        <v>3</v>
      </c>
      <c r="AE69" s="284">
        <v>5</v>
      </c>
      <c r="AF69" s="284">
        <v>9</v>
      </c>
      <c r="AG69" s="9">
        <v>3</v>
      </c>
      <c r="AH69" s="9">
        <v>-5</v>
      </c>
      <c r="AI69" s="9" t="s">
        <v>291</v>
      </c>
      <c r="AJ69" s="9">
        <v>7</v>
      </c>
    </row>
    <row r="70" spans="1:36">
      <c r="A70" s="288" t="s">
        <v>1113</v>
      </c>
      <c r="B70" s="9" t="s">
        <v>291</v>
      </c>
      <c r="C70" s="9" t="s">
        <v>291</v>
      </c>
      <c r="D70" s="9" t="s">
        <v>291</v>
      </c>
      <c r="E70" s="9" t="s">
        <v>291</v>
      </c>
      <c r="F70" s="9" t="s">
        <v>291</v>
      </c>
      <c r="G70" s="9" t="s">
        <v>291</v>
      </c>
      <c r="H70" s="9" t="s">
        <v>291</v>
      </c>
      <c r="I70" s="9">
        <v>3</v>
      </c>
      <c r="J70" s="9" t="s">
        <v>291</v>
      </c>
      <c r="K70" s="9" t="s">
        <v>291</v>
      </c>
      <c r="L70" s="9" t="s">
        <v>33</v>
      </c>
      <c r="M70" s="9" t="s">
        <v>33</v>
      </c>
      <c r="N70" s="9" t="s">
        <v>273</v>
      </c>
      <c r="O70" s="9" t="s">
        <v>273</v>
      </c>
      <c r="P70" s="9" t="s">
        <v>273</v>
      </c>
      <c r="Q70" s="9" t="s">
        <v>273</v>
      </c>
      <c r="R70" s="9" t="s">
        <v>273</v>
      </c>
      <c r="S70" s="9" t="s">
        <v>273</v>
      </c>
      <c r="T70" s="9" t="s">
        <v>273</v>
      </c>
      <c r="U70" s="9" t="s">
        <v>273</v>
      </c>
      <c r="V70" s="9" t="s">
        <v>273</v>
      </c>
      <c r="W70" s="9" t="s">
        <v>273</v>
      </c>
      <c r="X70" s="9" t="s">
        <v>273</v>
      </c>
      <c r="Y70" s="9" t="s">
        <v>273</v>
      </c>
      <c r="Z70" s="9" t="s">
        <v>273</v>
      </c>
      <c r="AA70" s="9" t="s">
        <v>273</v>
      </c>
      <c r="AB70" s="9" t="s">
        <v>273</v>
      </c>
      <c r="AC70" s="284">
        <v>0</v>
      </c>
      <c r="AD70" s="284">
        <v>0</v>
      </c>
      <c r="AE70" s="284">
        <v>0</v>
      </c>
      <c r="AF70" s="284">
        <v>0</v>
      </c>
      <c r="AG70" s="9">
        <v>0</v>
      </c>
      <c r="AH70" s="9">
        <v>0</v>
      </c>
      <c r="AI70" s="9">
        <v>0</v>
      </c>
      <c r="AJ70" s="9">
        <v>0</v>
      </c>
    </row>
    <row r="71" spans="1:36">
      <c r="A71" s="9" t="s">
        <v>448</v>
      </c>
      <c r="B71" s="9">
        <v>-4079</v>
      </c>
      <c r="C71" s="9">
        <v>-2637</v>
      </c>
      <c r="D71" s="9">
        <v>992</v>
      </c>
      <c r="E71" s="9">
        <v>4128</v>
      </c>
      <c r="F71" s="9">
        <v>7574</v>
      </c>
      <c r="G71" s="9">
        <v>8598</v>
      </c>
      <c r="H71" s="9">
        <v>6460</v>
      </c>
      <c r="I71" s="9">
        <v>9094</v>
      </c>
      <c r="J71" s="9">
        <v>10141</v>
      </c>
      <c r="K71" s="9">
        <v>7194</v>
      </c>
      <c r="L71" s="9">
        <v>12751</v>
      </c>
      <c r="M71" s="9">
        <v>16895</v>
      </c>
      <c r="N71" s="9">
        <v>17710</v>
      </c>
      <c r="O71" s="9">
        <v>16040</v>
      </c>
      <c r="P71" s="9">
        <v>18138</v>
      </c>
      <c r="Q71" s="9">
        <v>21539</v>
      </c>
      <c r="R71" s="9">
        <v>16699</v>
      </c>
      <c r="S71" s="9">
        <v>44658</v>
      </c>
      <c r="T71" s="9">
        <v>23212</v>
      </c>
      <c r="U71" s="9">
        <v>25691</v>
      </c>
      <c r="V71" s="9">
        <v>15192</v>
      </c>
      <c r="W71" s="9">
        <v>3901</v>
      </c>
      <c r="X71" s="9">
        <v>32418</v>
      </c>
      <c r="Y71" s="9">
        <v>74</v>
      </c>
      <c r="Z71" s="9">
        <v>35672</v>
      </c>
      <c r="AA71" s="9">
        <v>55324</v>
      </c>
      <c r="AB71" s="9">
        <v>63213</v>
      </c>
      <c r="AC71" s="284">
        <v>63420</v>
      </c>
      <c r="AD71" s="284">
        <v>42157</v>
      </c>
      <c r="AE71" s="284">
        <v>70886</v>
      </c>
      <c r="AF71" s="284">
        <v>71573</v>
      </c>
      <c r="AG71" s="9">
        <v>52783</v>
      </c>
      <c r="AH71" s="9">
        <v>56153</v>
      </c>
      <c r="AI71" s="9">
        <v>47978</v>
      </c>
      <c r="AJ71" s="9">
        <v>32738</v>
      </c>
    </row>
    <row r="72" spans="1:36">
      <c r="A72" s="9" t="s">
        <v>447</v>
      </c>
      <c r="B72" s="9">
        <v>2398</v>
      </c>
      <c r="C72" s="9">
        <v>-552</v>
      </c>
      <c r="D72" s="9">
        <v>396</v>
      </c>
      <c r="E72" s="9">
        <v>-547</v>
      </c>
      <c r="F72" s="9">
        <v>1548</v>
      </c>
      <c r="G72" s="9">
        <v>1158</v>
      </c>
      <c r="H72" s="9">
        <v>990</v>
      </c>
      <c r="I72" s="9">
        <v>3404</v>
      </c>
      <c r="J72" s="9">
        <v>1951</v>
      </c>
      <c r="K72" s="9">
        <v>2893</v>
      </c>
      <c r="L72" s="9">
        <v>3981</v>
      </c>
      <c r="M72" s="9">
        <v>5463</v>
      </c>
      <c r="N72" s="9">
        <v>8642</v>
      </c>
      <c r="O72" s="9">
        <v>11751</v>
      </c>
      <c r="P72" s="9">
        <v>7957</v>
      </c>
      <c r="Q72" s="9">
        <v>11628</v>
      </c>
      <c r="R72" s="9">
        <v>6652</v>
      </c>
      <c r="S72" s="9">
        <v>12055</v>
      </c>
      <c r="T72" s="9">
        <v>8117</v>
      </c>
      <c r="U72" s="9">
        <v>2839</v>
      </c>
      <c r="V72" s="9">
        <v>-3631</v>
      </c>
      <c r="W72" s="9">
        <v>466</v>
      </c>
      <c r="X72" s="9">
        <v>4424</v>
      </c>
      <c r="Y72" s="9">
        <v>5347</v>
      </c>
      <c r="Z72" s="9">
        <v>6584</v>
      </c>
      <c r="AA72" s="9">
        <v>12754</v>
      </c>
      <c r="AB72" s="9">
        <v>11205</v>
      </c>
      <c r="AC72" s="284">
        <v>12494</v>
      </c>
      <c r="AD72" s="284">
        <v>13116</v>
      </c>
      <c r="AE72" s="284">
        <v>19101</v>
      </c>
      <c r="AF72" s="284">
        <v>18768</v>
      </c>
      <c r="AG72" s="9">
        <v>7979</v>
      </c>
      <c r="AH72" s="9">
        <v>8264</v>
      </c>
      <c r="AI72" s="9">
        <v>3549</v>
      </c>
      <c r="AJ72" s="9">
        <v>3386</v>
      </c>
    </row>
    <row r="73" spans="1:36">
      <c r="A73" s="9" t="s">
        <v>446</v>
      </c>
      <c r="B73" s="9">
        <v>163</v>
      </c>
      <c r="C73" s="9">
        <v>-79</v>
      </c>
      <c r="D73" s="9">
        <v>54</v>
      </c>
      <c r="E73" s="9">
        <v>2</v>
      </c>
      <c r="F73" s="9">
        <v>271</v>
      </c>
      <c r="G73" s="9">
        <v>13</v>
      </c>
      <c r="H73" s="9">
        <v>91</v>
      </c>
      <c r="I73" s="9">
        <v>59</v>
      </c>
      <c r="J73" s="9">
        <v>379</v>
      </c>
      <c r="K73" s="9">
        <v>367</v>
      </c>
      <c r="L73" s="9">
        <v>558</v>
      </c>
      <c r="M73" s="9">
        <v>1079</v>
      </c>
      <c r="N73" s="9">
        <v>1455</v>
      </c>
      <c r="O73" s="9">
        <v>2048</v>
      </c>
      <c r="P73" s="9">
        <v>371</v>
      </c>
      <c r="Q73" s="9">
        <v>1701</v>
      </c>
      <c r="R73" s="9">
        <v>983</v>
      </c>
      <c r="S73" s="9">
        <v>2954</v>
      </c>
      <c r="T73" s="9">
        <v>675</v>
      </c>
      <c r="U73" s="9">
        <v>-511</v>
      </c>
      <c r="V73" s="9">
        <v>-1445</v>
      </c>
      <c r="W73" s="9">
        <v>-118</v>
      </c>
      <c r="X73" s="9">
        <v>1760</v>
      </c>
      <c r="Y73" s="9">
        <v>859</v>
      </c>
      <c r="Z73" s="9">
        <v>4274</v>
      </c>
      <c r="AA73" s="9">
        <v>547</v>
      </c>
      <c r="AB73" s="9">
        <v>1542</v>
      </c>
      <c r="AC73" s="284">
        <v>1209</v>
      </c>
      <c r="AD73" s="284">
        <v>-2772</v>
      </c>
      <c r="AE73" s="284">
        <v>2531</v>
      </c>
      <c r="AF73" s="284">
        <v>1293</v>
      </c>
      <c r="AG73" s="9">
        <v>1631</v>
      </c>
      <c r="AH73" s="9">
        <v>753</v>
      </c>
      <c r="AI73" s="9">
        <v>1653</v>
      </c>
      <c r="AJ73" s="9">
        <v>719</v>
      </c>
    </row>
    <row r="74" spans="1:36">
      <c r="A74" s="9" t="s">
        <v>445</v>
      </c>
      <c r="B74" s="9">
        <v>1208</v>
      </c>
      <c r="C74" s="9">
        <v>-232</v>
      </c>
      <c r="D74" s="9">
        <v>477</v>
      </c>
      <c r="E74" s="9">
        <v>156</v>
      </c>
      <c r="F74" s="9">
        <v>255</v>
      </c>
      <c r="G74" s="9">
        <v>1185</v>
      </c>
      <c r="H74" s="9">
        <v>2151</v>
      </c>
      <c r="I74" s="9">
        <v>3014</v>
      </c>
      <c r="J74" s="9">
        <v>876</v>
      </c>
      <c r="K74" s="9">
        <v>890</v>
      </c>
      <c r="L74" s="9">
        <v>2054</v>
      </c>
      <c r="M74" s="9">
        <v>3263</v>
      </c>
      <c r="N74" s="9">
        <v>3338</v>
      </c>
      <c r="O74" s="9">
        <v>6954</v>
      </c>
      <c r="P74" s="9">
        <v>4159</v>
      </c>
      <c r="Q74" s="9">
        <v>7138</v>
      </c>
      <c r="R74" s="9">
        <v>4382</v>
      </c>
      <c r="S74" s="9">
        <v>5672</v>
      </c>
      <c r="T74" s="9">
        <v>3350</v>
      </c>
      <c r="U74" s="9">
        <v>113</v>
      </c>
      <c r="V74" s="9">
        <v>-266</v>
      </c>
      <c r="W74" s="9">
        <v>-290</v>
      </c>
      <c r="X74" s="9">
        <v>2644</v>
      </c>
      <c r="Y74" s="9">
        <v>1400</v>
      </c>
      <c r="Z74" s="9">
        <v>223</v>
      </c>
      <c r="AA74" s="9">
        <v>5585</v>
      </c>
      <c r="AB74" s="9">
        <v>3825</v>
      </c>
      <c r="AC74" s="284">
        <v>3500</v>
      </c>
      <c r="AD74" s="284">
        <v>9643</v>
      </c>
      <c r="AE74" s="284">
        <v>9941</v>
      </c>
      <c r="AF74" s="284">
        <v>7940</v>
      </c>
      <c r="AG74" s="9">
        <v>837</v>
      </c>
      <c r="AH74" s="9">
        <v>5535</v>
      </c>
      <c r="AI74" s="9">
        <v>1001</v>
      </c>
      <c r="AJ74" s="9">
        <v>3097</v>
      </c>
    </row>
    <row r="75" spans="1:36">
      <c r="A75" s="9" t="s">
        <v>444</v>
      </c>
      <c r="B75" s="9">
        <v>-109</v>
      </c>
      <c r="C75" s="9">
        <v>-183</v>
      </c>
      <c r="D75" s="9">
        <v>1</v>
      </c>
      <c r="E75" s="9">
        <v>93</v>
      </c>
      <c r="F75" s="9">
        <v>130</v>
      </c>
      <c r="G75" s="9">
        <v>142</v>
      </c>
      <c r="H75" s="9">
        <v>273</v>
      </c>
      <c r="I75" s="9">
        <v>583</v>
      </c>
      <c r="J75" s="9">
        <v>520</v>
      </c>
      <c r="K75" s="9">
        <v>174</v>
      </c>
      <c r="L75" s="9">
        <v>106</v>
      </c>
      <c r="M75" s="9">
        <v>198</v>
      </c>
      <c r="N75" s="9">
        <v>1875</v>
      </c>
      <c r="O75" s="9">
        <v>1291</v>
      </c>
      <c r="P75" s="9">
        <v>1860</v>
      </c>
      <c r="Q75" s="9">
        <v>926</v>
      </c>
      <c r="R75" s="9">
        <v>324</v>
      </c>
      <c r="S75" s="9">
        <v>428</v>
      </c>
      <c r="T75" s="9">
        <v>197</v>
      </c>
      <c r="U75" s="9">
        <v>2746</v>
      </c>
      <c r="V75" s="9">
        <v>-1507</v>
      </c>
      <c r="W75" s="9">
        <v>202</v>
      </c>
      <c r="X75" s="9">
        <v>912</v>
      </c>
      <c r="Y75" s="9">
        <v>-425</v>
      </c>
      <c r="Z75" s="9">
        <v>451</v>
      </c>
      <c r="AA75" s="9">
        <v>4402</v>
      </c>
      <c r="AB75" s="9">
        <v>3099</v>
      </c>
      <c r="AC75" s="284">
        <v>1892</v>
      </c>
      <c r="AD75" s="284">
        <v>4611</v>
      </c>
      <c r="AE75" s="284">
        <v>4422</v>
      </c>
      <c r="AF75" s="284">
        <v>3740</v>
      </c>
      <c r="AG75" s="9">
        <v>2753</v>
      </c>
      <c r="AH75" s="9">
        <v>227</v>
      </c>
      <c r="AI75" s="9">
        <v>1655</v>
      </c>
      <c r="AJ75" s="9">
        <v>565</v>
      </c>
    </row>
    <row r="76" spans="1:36">
      <c r="A76" s="9" t="s">
        <v>443</v>
      </c>
      <c r="B76" s="9">
        <v>444</v>
      </c>
      <c r="C76" s="9">
        <v>386</v>
      </c>
      <c r="D76" s="9">
        <v>-1</v>
      </c>
      <c r="E76" s="9">
        <v>-389</v>
      </c>
      <c r="F76" s="9">
        <v>227</v>
      </c>
      <c r="G76" s="9">
        <v>-160</v>
      </c>
      <c r="H76" s="9">
        <v>-1045</v>
      </c>
      <c r="I76" s="9">
        <v>-152</v>
      </c>
      <c r="J76" s="9">
        <v>77</v>
      </c>
      <c r="K76" s="9">
        <v>33</v>
      </c>
      <c r="L76" s="9">
        <v>406</v>
      </c>
      <c r="M76" s="9">
        <v>4</v>
      </c>
      <c r="N76" s="9">
        <v>336</v>
      </c>
      <c r="O76" s="9">
        <v>164</v>
      </c>
      <c r="P76" s="9">
        <v>120</v>
      </c>
      <c r="Q76" s="9">
        <v>746</v>
      </c>
      <c r="R76" s="9">
        <v>-66</v>
      </c>
      <c r="S76" s="9">
        <v>593</v>
      </c>
      <c r="T76" s="9">
        <v>341</v>
      </c>
      <c r="U76" s="9">
        <v>-224</v>
      </c>
      <c r="V76" s="9">
        <v>-88</v>
      </c>
      <c r="W76" s="9">
        <v>504</v>
      </c>
      <c r="X76" s="9">
        <v>20</v>
      </c>
      <c r="Y76" s="9">
        <v>1196</v>
      </c>
      <c r="Z76" s="9">
        <v>855</v>
      </c>
      <c r="AA76" s="9">
        <v>404</v>
      </c>
      <c r="AB76" s="9">
        <v>1900</v>
      </c>
      <c r="AC76" s="284">
        <v>1712</v>
      </c>
      <c r="AD76" s="284">
        <v>238</v>
      </c>
      <c r="AE76" s="284">
        <v>486</v>
      </c>
      <c r="AF76" s="284">
        <v>1506</v>
      </c>
      <c r="AG76" s="9">
        <v>792</v>
      </c>
      <c r="AH76" s="9">
        <v>484</v>
      </c>
      <c r="AI76" s="9">
        <v>847</v>
      </c>
      <c r="AJ76" s="9">
        <v>-219</v>
      </c>
    </row>
    <row r="77" spans="1:36">
      <c r="A77" s="9" t="s">
        <v>442</v>
      </c>
      <c r="B77" s="9">
        <v>79</v>
      </c>
      <c r="C77" s="9">
        <v>49</v>
      </c>
      <c r="D77" s="9">
        <v>-67</v>
      </c>
      <c r="E77" s="9">
        <v>-31</v>
      </c>
      <c r="F77" s="9">
        <v>137</v>
      </c>
      <c r="G77" s="9">
        <v>72</v>
      </c>
      <c r="H77" s="9">
        <v>-47</v>
      </c>
      <c r="I77" s="9">
        <v>-41</v>
      </c>
      <c r="J77" s="9">
        <v>-32</v>
      </c>
      <c r="K77" s="9">
        <v>49</v>
      </c>
      <c r="L77" s="9">
        <v>12</v>
      </c>
      <c r="M77" s="9">
        <v>253</v>
      </c>
      <c r="N77" s="9">
        <v>218</v>
      </c>
      <c r="O77" s="9">
        <v>113</v>
      </c>
      <c r="P77" s="9">
        <v>32</v>
      </c>
      <c r="Q77" s="9">
        <v>-269</v>
      </c>
      <c r="R77" s="9">
        <v>233</v>
      </c>
      <c r="S77" s="9">
        <v>82</v>
      </c>
      <c r="T77" s="9">
        <v>-322</v>
      </c>
      <c r="U77" s="9">
        <v>108</v>
      </c>
      <c r="V77" s="9">
        <v>178</v>
      </c>
      <c r="W77" s="9">
        <v>243</v>
      </c>
      <c r="X77" s="9">
        <v>-837</v>
      </c>
      <c r="Y77" s="9">
        <v>73</v>
      </c>
      <c r="Z77" s="9">
        <v>20</v>
      </c>
      <c r="AA77" s="9">
        <v>-43</v>
      </c>
      <c r="AB77" s="9">
        <v>128</v>
      </c>
      <c r="AC77" s="284">
        <v>196</v>
      </c>
      <c r="AD77" s="284">
        <v>103</v>
      </c>
      <c r="AE77" s="284">
        <v>101</v>
      </c>
      <c r="AF77" s="284">
        <v>-28</v>
      </c>
      <c r="AG77" s="9">
        <v>8</v>
      </c>
      <c r="AH77" s="9">
        <v>185</v>
      </c>
      <c r="AI77" s="9">
        <v>-79</v>
      </c>
      <c r="AJ77" s="9">
        <v>14</v>
      </c>
    </row>
    <row r="78" spans="1:36">
      <c r="A78" s="9" t="s">
        <v>441</v>
      </c>
      <c r="B78" s="9">
        <v>193</v>
      </c>
      <c r="C78" s="9">
        <v>33</v>
      </c>
      <c r="D78" s="9">
        <v>-84</v>
      </c>
      <c r="E78" s="9">
        <v>-212</v>
      </c>
      <c r="F78" s="9">
        <v>-108</v>
      </c>
      <c r="G78" s="9">
        <v>-35</v>
      </c>
      <c r="H78" s="9">
        <v>-45</v>
      </c>
      <c r="I78" s="9">
        <v>-102</v>
      </c>
      <c r="J78" s="9">
        <v>-83</v>
      </c>
      <c r="K78" s="9">
        <v>-44</v>
      </c>
      <c r="L78" s="9">
        <v>-3</v>
      </c>
      <c r="M78" s="9">
        <v>-8</v>
      </c>
      <c r="N78" s="9">
        <v>283</v>
      </c>
      <c r="O78" s="9">
        <v>334</v>
      </c>
      <c r="P78" s="9">
        <v>700</v>
      </c>
      <c r="Q78" s="9">
        <v>241</v>
      </c>
      <c r="R78" s="9">
        <v>50</v>
      </c>
      <c r="S78" s="9">
        <v>794</v>
      </c>
      <c r="T78" s="9">
        <v>-19</v>
      </c>
      <c r="U78" s="9">
        <v>100</v>
      </c>
      <c r="V78" s="9">
        <v>-442</v>
      </c>
      <c r="W78" s="9">
        <v>296</v>
      </c>
      <c r="X78" s="9">
        <v>479</v>
      </c>
      <c r="Y78" s="9">
        <v>899</v>
      </c>
      <c r="Z78" s="9">
        <v>229</v>
      </c>
      <c r="AA78" s="9">
        <v>679</v>
      </c>
      <c r="AB78" s="9">
        <v>-577</v>
      </c>
      <c r="AC78" s="284">
        <v>1035</v>
      </c>
      <c r="AD78" s="284">
        <v>805</v>
      </c>
      <c r="AE78" s="284">
        <v>-633</v>
      </c>
      <c r="AF78" s="284">
        <v>1980</v>
      </c>
      <c r="AG78" s="9">
        <v>182</v>
      </c>
      <c r="AH78" s="9">
        <v>893</v>
      </c>
      <c r="AI78" s="9">
        <v>-368</v>
      </c>
      <c r="AJ78" s="9">
        <v>462</v>
      </c>
    </row>
    <row r="79" spans="1:36">
      <c r="A79" s="9" t="s">
        <v>440</v>
      </c>
      <c r="B79" s="9">
        <v>402</v>
      </c>
      <c r="C79" s="9">
        <v>-476</v>
      </c>
      <c r="D79" s="9">
        <v>53</v>
      </c>
      <c r="E79" s="9">
        <v>-189</v>
      </c>
      <c r="F79" s="9">
        <v>554</v>
      </c>
      <c r="G79" s="9">
        <v>-30</v>
      </c>
      <c r="H79" s="9">
        <v>-278</v>
      </c>
      <c r="I79" s="9">
        <v>32</v>
      </c>
      <c r="J79" s="9">
        <v>177</v>
      </c>
      <c r="K79" s="9">
        <v>1245</v>
      </c>
      <c r="L79" s="9">
        <v>692</v>
      </c>
      <c r="M79" s="9">
        <v>555</v>
      </c>
      <c r="N79" s="9">
        <v>1021</v>
      </c>
      <c r="O79" s="9">
        <v>654</v>
      </c>
      <c r="P79" s="9">
        <v>775</v>
      </c>
      <c r="Q79" s="9">
        <v>668</v>
      </c>
      <c r="R79" s="9">
        <v>622</v>
      </c>
      <c r="S79" s="9">
        <v>1396</v>
      </c>
      <c r="T79" s="9">
        <v>3798</v>
      </c>
      <c r="U79" s="9">
        <v>461</v>
      </c>
      <c r="V79" s="9">
        <v>150</v>
      </c>
      <c r="W79" s="9">
        <v>-462</v>
      </c>
      <c r="X79" s="9">
        <v>-389</v>
      </c>
      <c r="Y79" s="9">
        <v>1312</v>
      </c>
      <c r="Z79" s="9">
        <v>508</v>
      </c>
      <c r="AA79" s="9">
        <v>1044</v>
      </c>
      <c r="AB79" s="9">
        <v>1115</v>
      </c>
      <c r="AC79" s="284">
        <v>2782</v>
      </c>
      <c r="AD79" s="284">
        <v>470</v>
      </c>
      <c r="AE79" s="284">
        <v>2188</v>
      </c>
      <c r="AF79" s="284">
        <v>2201</v>
      </c>
      <c r="AG79" s="9">
        <v>1918</v>
      </c>
      <c r="AH79" s="9">
        <v>-3</v>
      </c>
      <c r="AI79" s="9">
        <v>-1077</v>
      </c>
      <c r="AJ79" s="9">
        <v>-1349</v>
      </c>
    </row>
    <row r="80" spans="1:36">
      <c r="A80" s="9" t="s">
        <v>67</v>
      </c>
      <c r="B80" s="9">
        <v>19</v>
      </c>
      <c r="C80" s="9">
        <v>-50</v>
      </c>
      <c r="D80" s="9">
        <v>-38</v>
      </c>
      <c r="E80" s="9">
        <v>24</v>
      </c>
      <c r="F80" s="9">
        <v>83</v>
      </c>
      <c r="G80" s="9">
        <v>-28</v>
      </c>
      <c r="H80" s="9">
        <v>-109</v>
      </c>
      <c r="I80" s="9">
        <v>10</v>
      </c>
      <c r="J80" s="9">
        <v>37</v>
      </c>
      <c r="K80" s="9">
        <v>179</v>
      </c>
      <c r="L80" s="9">
        <v>155</v>
      </c>
      <c r="M80" s="9">
        <v>120</v>
      </c>
      <c r="N80" s="9">
        <v>115</v>
      </c>
      <c r="O80" s="9">
        <v>192</v>
      </c>
      <c r="P80" s="9">
        <v>-59</v>
      </c>
      <c r="Q80" s="9">
        <v>479</v>
      </c>
      <c r="R80" s="9">
        <v>123</v>
      </c>
      <c r="S80" s="9">
        <v>135</v>
      </c>
      <c r="T80" s="9">
        <v>95</v>
      </c>
      <c r="U80" s="9">
        <v>44</v>
      </c>
      <c r="V80" s="9">
        <v>-212</v>
      </c>
      <c r="W80" s="9">
        <v>91</v>
      </c>
      <c r="X80" s="9">
        <v>-166</v>
      </c>
      <c r="Y80" s="9">
        <v>34</v>
      </c>
      <c r="Z80" s="9">
        <v>23</v>
      </c>
      <c r="AA80" s="9">
        <v>137</v>
      </c>
      <c r="AB80" s="9">
        <v>174</v>
      </c>
      <c r="AC80" s="284">
        <v>169</v>
      </c>
      <c r="AD80" s="284">
        <v>18</v>
      </c>
      <c r="AE80" s="284">
        <v>65</v>
      </c>
      <c r="AF80" s="284">
        <v>136</v>
      </c>
      <c r="AG80" s="9">
        <v>-141</v>
      </c>
      <c r="AH80" s="9">
        <v>190</v>
      </c>
      <c r="AI80" s="9">
        <v>-83</v>
      </c>
      <c r="AJ80" s="9">
        <v>95</v>
      </c>
    </row>
    <row r="81" spans="1:36">
      <c r="A81" s="9" t="s">
        <v>439</v>
      </c>
      <c r="B81" s="9">
        <v>51</v>
      </c>
      <c r="C81" s="9">
        <v>11</v>
      </c>
      <c r="D81" s="9">
        <v>-1</v>
      </c>
      <c r="E81" s="9">
        <v>22</v>
      </c>
      <c r="F81" s="9">
        <v>8</v>
      </c>
      <c r="G81" s="9">
        <v>-38</v>
      </c>
      <c r="H81" s="9">
        <v>-68</v>
      </c>
      <c r="I81" s="9">
        <v>61</v>
      </c>
      <c r="J81" s="9">
        <v>18</v>
      </c>
      <c r="K81" s="9">
        <v>52</v>
      </c>
      <c r="L81" s="9">
        <v>-4</v>
      </c>
      <c r="M81" s="9">
        <v>66</v>
      </c>
      <c r="N81" s="9">
        <v>15</v>
      </c>
      <c r="O81" s="9">
        <v>123</v>
      </c>
      <c r="P81" s="9">
        <v>-153</v>
      </c>
      <c r="Q81" s="9">
        <v>297</v>
      </c>
      <c r="R81" s="9">
        <v>83</v>
      </c>
      <c r="S81" s="9">
        <v>-92</v>
      </c>
      <c r="T81" s="9">
        <v>16</v>
      </c>
      <c r="U81" s="9">
        <v>30</v>
      </c>
      <c r="V81" s="9">
        <v>-39</v>
      </c>
      <c r="W81" s="9">
        <v>12</v>
      </c>
      <c r="X81" s="9">
        <v>-139</v>
      </c>
      <c r="Y81" s="9">
        <v>-18</v>
      </c>
      <c r="Z81" s="9">
        <v>-11</v>
      </c>
      <c r="AA81" s="9">
        <v>24</v>
      </c>
      <c r="AB81" s="9">
        <v>73</v>
      </c>
      <c r="AC81" s="284">
        <v>161</v>
      </c>
      <c r="AD81" s="284">
        <v>70</v>
      </c>
      <c r="AE81" s="284">
        <v>8</v>
      </c>
      <c r="AF81" s="284">
        <v>-48</v>
      </c>
      <c r="AG81" s="9">
        <v>9</v>
      </c>
      <c r="AH81" s="9">
        <v>-35</v>
      </c>
      <c r="AI81" s="9">
        <v>-1</v>
      </c>
      <c r="AJ81" s="9" t="s">
        <v>291</v>
      </c>
    </row>
    <row r="82" spans="1:36">
      <c r="A82" s="9" t="s">
        <v>438</v>
      </c>
      <c r="B82" s="9" t="s">
        <v>291</v>
      </c>
      <c r="C82" s="9" t="s">
        <v>291</v>
      </c>
      <c r="D82" s="9" t="s">
        <v>291</v>
      </c>
      <c r="E82" s="9" t="s">
        <v>291</v>
      </c>
      <c r="F82" s="9" t="s">
        <v>291</v>
      </c>
      <c r="G82" s="9" t="s">
        <v>291</v>
      </c>
      <c r="H82" s="9" t="s">
        <v>291</v>
      </c>
      <c r="I82" s="9">
        <v>2</v>
      </c>
      <c r="J82" s="9">
        <v>2</v>
      </c>
      <c r="K82" s="9" t="s">
        <v>291</v>
      </c>
      <c r="L82" s="9" t="s">
        <v>291</v>
      </c>
      <c r="M82" s="9" t="s">
        <v>291</v>
      </c>
      <c r="N82" s="9" t="s">
        <v>291</v>
      </c>
      <c r="O82" s="9" t="s">
        <v>291</v>
      </c>
      <c r="P82" s="9">
        <v>1</v>
      </c>
      <c r="Q82" s="9">
        <v>1</v>
      </c>
      <c r="R82" s="9">
        <v>1</v>
      </c>
      <c r="S82" s="9" t="s">
        <v>291</v>
      </c>
      <c r="T82" s="9" t="s">
        <v>291</v>
      </c>
      <c r="U82" s="9">
        <v>1</v>
      </c>
      <c r="V82" s="9" t="s">
        <v>306</v>
      </c>
      <c r="W82" s="9" t="s">
        <v>306</v>
      </c>
      <c r="X82" s="9" t="s">
        <v>306</v>
      </c>
      <c r="Y82" s="9" t="s">
        <v>306</v>
      </c>
      <c r="Z82" s="9" t="s">
        <v>306</v>
      </c>
      <c r="AA82" s="9" t="s">
        <v>306</v>
      </c>
      <c r="AB82" s="9" t="s">
        <v>306</v>
      </c>
      <c r="AC82" s="284">
        <v>0</v>
      </c>
      <c r="AD82" s="284">
        <v>0</v>
      </c>
      <c r="AE82" s="284">
        <v>0</v>
      </c>
      <c r="AF82" s="284">
        <v>0</v>
      </c>
      <c r="AG82" s="9">
        <v>0</v>
      </c>
      <c r="AH82" s="9">
        <v>0</v>
      </c>
      <c r="AI82" s="9">
        <v>0</v>
      </c>
      <c r="AJ82" s="9">
        <v>0</v>
      </c>
    </row>
    <row r="83" spans="1:36">
      <c r="A83" s="9" t="s">
        <v>437</v>
      </c>
      <c r="B83" s="9">
        <v>2</v>
      </c>
      <c r="C83" s="9">
        <v>1</v>
      </c>
      <c r="D83" s="9">
        <v>-4</v>
      </c>
      <c r="E83" s="9">
        <v>-2</v>
      </c>
      <c r="F83" s="9" t="s">
        <v>306</v>
      </c>
      <c r="G83" s="9" t="s">
        <v>306</v>
      </c>
      <c r="H83" s="9" t="s">
        <v>306</v>
      </c>
      <c r="I83" s="9">
        <v>-1</v>
      </c>
      <c r="J83" s="9">
        <v>7</v>
      </c>
      <c r="K83" s="9" t="s">
        <v>291</v>
      </c>
      <c r="L83" s="9" t="s">
        <v>291</v>
      </c>
      <c r="M83" s="9" t="s">
        <v>291</v>
      </c>
      <c r="N83" s="9">
        <v>31</v>
      </c>
      <c r="O83" s="9">
        <v>14</v>
      </c>
      <c r="P83" s="9">
        <v>15</v>
      </c>
      <c r="Q83" s="9">
        <v>6</v>
      </c>
      <c r="R83" s="9">
        <v>-8</v>
      </c>
      <c r="S83" s="9">
        <v>16</v>
      </c>
      <c r="T83" s="9">
        <v>-46</v>
      </c>
      <c r="U83" s="9">
        <v>12</v>
      </c>
      <c r="V83" s="9">
        <v>10</v>
      </c>
      <c r="W83" s="9">
        <v>4</v>
      </c>
      <c r="X83" s="9">
        <v>10</v>
      </c>
      <c r="Y83" s="9">
        <v>12</v>
      </c>
      <c r="Z83" s="9">
        <v>23</v>
      </c>
      <c r="AA83" s="9">
        <v>-6</v>
      </c>
      <c r="AB83" s="9">
        <v>27</v>
      </c>
      <c r="AC83" s="284" t="s">
        <v>291</v>
      </c>
      <c r="AD83" s="284" t="s">
        <v>291</v>
      </c>
      <c r="AE83" s="284" t="s">
        <v>291</v>
      </c>
      <c r="AF83" s="284" t="s">
        <v>291</v>
      </c>
      <c r="AG83" s="9" t="s">
        <v>291</v>
      </c>
      <c r="AH83" s="9">
        <v>7</v>
      </c>
      <c r="AI83" s="9" t="s">
        <v>291</v>
      </c>
      <c r="AJ83" s="9" t="s">
        <v>291</v>
      </c>
    </row>
    <row r="84" spans="1:36">
      <c r="A84" s="9" t="s">
        <v>436</v>
      </c>
      <c r="B84" s="9">
        <v>3</v>
      </c>
      <c r="C84" s="9">
        <v>-19</v>
      </c>
      <c r="D84" s="9">
        <v>-2</v>
      </c>
      <c r="E84" s="9">
        <v>6</v>
      </c>
      <c r="F84" s="9">
        <v>4</v>
      </c>
      <c r="G84" s="9">
        <v>3</v>
      </c>
      <c r="H84" s="9">
        <v>-1</v>
      </c>
      <c r="I84" s="9">
        <v>-6</v>
      </c>
      <c r="J84" s="9">
        <v>2</v>
      </c>
      <c r="K84" s="9">
        <v>2</v>
      </c>
      <c r="L84" s="9">
        <v>2</v>
      </c>
      <c r="M84" s="9">
        <v>15</v>
      </c>
      <c r="N84" s="9">
        <v>20</v>
      </c>
      <c r="O84" s="9">
        <v>-4</v>
      </c>
      <c r="P84" s="9">
        <v>22</v>
      </c>
      <c r="Q84" s="9">
        <v>43</v>
      </c>
      <c r="R84" s="9">
        <v>58</v>
      </c>
      <c r="S84" s="9">
        <v>76</v>
      </c>
      <c r="T84" s="9">
        <v>212</v>
      </c>
      <c r="U84" s="9">
        <v>4</v>
      </c>
      <c r="V84" s="9">
        <v>-285</v>
      </c>
      <c r="W84" s="9">
        <v>9</v>
      </c>
      <c r="X84" s="9">
        <v>-9</v>
      </c>
      <c r="Y84" s="9">
        <v>-3</v>
      </c>
      <c r="Z84" s="9">
        <v>-6</v>
      </c>
      <c r="AA84" s="9" t="s">
        <v>291</v>
      </c>
      <c r="AB84" s="9" t="s">
        <v>291</v>
      </c>
      <c r="AC84" s="284">
        <v>30</v>
      </c>
      <c r="AD84" s="284">
        <v>12</v>
      </c>
      <c r="AE84" s="284">
        <v>15</v>
      </c>
      <c r="AF84" s="284" t="s">
        <v>291</v>
      </c>
      <c r="AG84" s="9">
        <v>-12</v>
      </c>
      <c r="AH84" s="9" t="s">
        <v>291</v>
      </c>
      <c r="AI84" s="9">
        <v>-1</v>
      </c>
      <c r="AJ84" s="9">
        <v>26</v>
      </c>
    </row>
    <row r="85" spans="1:36">
      <c r="A85" s="9" t="s">
        <v>435</v>
      </c>
      <c r="B85" s="9" t="s">
        <v>291</v>
      </c>
      <c r="C85" s="9" t="s">
        <v>291</v>
      </c>
      <c r="D85" s="9" t="s">
        <v>291</v>
      </c>
      <c r="E85" s="9" t="s">
        <v>291</v>
      </c>
      <c r="F85" s="9" t="s">
        <v>291</v>
      </c>
      <c r="G85" s="9" t="s">
        <v>291</v>
      </c>
      <c r="H85" s="9" t="s">
        <v>291</v>
      </c>
      <c r="I85" s="9">
        <v>-25</v>
      </c>
      <c r="J85" s="9">
        <v>18</v>
      </c>
      <c r="K85" s="9">
        <v>11</v>
      </c>
      <c r="L85" s="9">
        <v>44</v>
      </c>
      <c r="M85" s="9">
        <v>17</v>
      </c>
      <c r="N85" s="9">
        <v>19</v>
      </c>
      <c r="O85" s="9">
        <v>5</v>
      </c>
      <c r="P85" s="9">
        <v>16</v>
      </c>
      <c r="Q85" s="9">
        <v>55</v>
      </c>
      <c r="R85" s="9">
        <v>-96</v>
      </c>
      <c r="S85" s="9" t="s">
        <v>291</v>
      </c>
      <c r="T85" s="9" t="s">
        <v>291</v>
      </c>
      <c r="U85" s="9">
        <v>15</v>
      </c>
      <c r="V85" s="9">
        <v>60</v>
      </c>
      <c r="W85" s="9">
        <v>82</v>
      </c>
      <c r="X85" s="9">
        <v>56</v>
      </c>
      <c r="Y85" s="9">
        <v>35</v>
      </c>
      <c r="Z85" s="9">
        <v>-9</v>
      </c>
      <c r="AA85" s="9" t="s">
        <v>291</v>
      </c>
      <c r="AB85" s="9" t="s">
        <v>291</v>
      </c>
      <c r="AC85" s="284" t="s">
        <v>291</v>
      </c>
      <c r="AD85" s="284" t="s">
        <v>291</v>
      </c>
      <c r="AE85" s="284" t="s">
        <v>291</v>
      </c>
      <c r="AF85" s="284" t="s">
        <v>291</v>
      </c>
      <c r="AG85" s="9" t="s">
        <v>291</v>
      </c>
      <c r="AH85" s="9" t="s">
        <v>291</v>
      </c>
      <c r="AI85" s="9" t="s">
        <v>291</v>
      </c>
      <c r="AJ85" s="9">
        <v>-27</v>
      </c>
    </row>
    <row r="86" spans="1:36">
      <c r="A86" s="9" t="s">
        <v>434</v>
      </c>
      <c r="B86" s="9">
        <v>-36</v>
      </c>
      <c r="C86" s="9">
        <v>-24</v>
      </c>
      <c r="D86" s="9">
        <v>-26</v>
      </c>
      <c r="E86" s="9">
        <v>-5</v>
      </c>
      <c r="F86" s="9">
        <v>17</v>
      </c>
      <c r="G86" s="9">
        <v>10</v>
      </c>
      <c r="H86" s="9">
        <v>-10</v>
      </c>
      <c r="I86" s="9">
        <v>-21</v>
      </c>
      <c r="J86" s="9">
        <v>-9</v>
      </c>
      <c r="K86" s="9">
        <v>91</v>
      </c>
      <c r="L86" s="9">
        <v>81</v>
      </c>
      <c r="M86" s="9">
        <v>12</v>
      </c>
      <c r="N86" s="9" t="s">
        <v>291</v>
      </c>
      <c r="O86" s="9" t="s">
        <v>291</v>
      </c>
      <c r="P86" s="9">
        <v>39</v>
      </c>
      <c r="Q86" s="9">
        <v>77</v>
      </c>
      <c r="R86" s="9">
        <v>86</v>
      </c>
      <c r="S86" s="9">
        <v>135</v>
      </c>
      <c r="T86" s="9">
        <v>9</v>
      </c>
      <c r="U86" s="9">
        <v>-17</v>
      </c>
      <c r="V86" s="9">
        <v>41</v>
      </c>
      <c r="W86" s="9">
        <v>-17</v>
      </c>
      <c r="X86" s="9">
        <v>-85</v>
      </c>
      <c r="Y86" s="9">
        <v>8</v>
      </c>
      <c r="Z86" s="9">
        <v>25</v>
      </c>
      <c r="AA86" s="9">
        <v>38</v>
      </c>
      <c r="AB86" s="9">
        <v>46</v>
      </c>
      <c r="AC86" s="284">
        <v>27</v>
      </c>
      <c r="AD86" s="284">
        <v>-11</v>
      </c>
      <c r="AE86" s="284">
        <v>60</v>
      </c>
      <c r="AF86" s="284">
        <v>146</v>
      </c>
      <c r="AG86" s="9">
        <v>-122</v>
      </c>
      <c r="AH86" s="9">
        <v>54</v>
      </c>
      <c r="AI86" s="9">
        <v>36</v>
      </c>
      <c r="AJ86" s="9">
        <v>-27</v>
      </c>
    </row>
    <row r="87" spans="1:36">
      <c r="A87" s="9" t="s">
        <v>433</v>
      </c>
      <c r="B87" s="9">
        <v>482</v>
      </c>
      <c r="C87" s="9">
        <v>-42</v>
      </c>
      <c r="D87" s="9">
        <v>207</v>
      </c>
      <c r="E87" s="9">
        <v>-10</v>
      </c>
      <c r="F87" s="9">
        <v>-116</v>
      </c>
      <c r="G87" s="9">
        <v>1411</v>
      </c>
      <c r="H87" s="9">
        <v>1011</v>
      </c>
      <c r="I87" s="9">
        <v>1299</v>
      </c>
      <c r="J87" s="9">
        <v>2611</v>
      </c>
      <c r="K87" s="9">
        <v>2759</v>
      </c>
      <c r="L87" s="9">
        <v>1846</v>
      </c>
      <c r="M87" s="9">
        <v>3253</v>
      </c>
      <c r="N87" s="9">
        <v>5469</v>
      </c>
      <c r="O87" s="9">
        <v>4044</v>
      </c>
      <c r="P87" s="9">
        <v>3810</v>
      </c>
      <c r="Q87" s="9">
        <v>6448</v>
      </c>
      <c r="R87" s="9">
        <v>6363</v>
      </c>
      <c r="S87" s="9">
        <v>10766</v>
      </c>
      <c r="T87" s="9">
        <v>6135</v>
      </c>
      <c r="U87" s="9">
        <v>14401</v>
      </c>
      <c r="V87" s="9">
        <v>8529</v>
      </c>
      <c r="W87" s="9">
        <v>4192</v>
      </c>
      <c r="X87" s="9">
        <v>8874</v>
      </c>
      <c r="Y87" s="9">
        <v>8873</v>
      </c>
      <c r="Z87" s="9">
        <v>10990</v>
      </c>
      <c r="AA87" s="9">
        <v>13808</v>
      </c>
      <c r="AB87" s="9">
        <v>8653</v>
      </c>
      <c r="AC87" s="284">
        <v>8081</v>
      </c>
      <c r="AD87" s="284">
        <v>302</v>
      </c>
      <c r="AE87" s="284">
        <v>8179</v>
      </c>
      <c r="AF87" s="284">
        <v>11721</v>
      </c>
      <c r="AG87" s="9">
        <v>6058</v>
      </c>
      <c r="AH87" s="9">
        <v>6101</v>
      </c>
      <c r="AI87" s="9">
        <v>6875</v>
      </c>
      <c r="AJ87" s="9">
        <v>6047</v>
      </c>
    </row>
    <row r="88" spans="1:36">
      <c r="A88" s="9" t="s">
        <v>432</v>
      </c>
      <c r="B88" s="9" t="s">
        <v>306</v>
      </c>
      <c r="C88" s="9">
        <v>31</v>
      </c>
      <c r="D88" s="9">
        <v>-3</v>
      </c>
      <c r="E88" s="9">
        <v>-32</v>
      </c>
      <c r="F88" s="9">
        <v>17</v>
      </c>
      <c r="G88" s="9">
        <v>36</v>
      </c>
      <c r="H88" s="9">
        <v>36</v>
      </c>
      <c r="I88" s="9">
        <v>31</v>
      </c>
      <c r="J88" s="9">
        <v>43</v>
      </c>
      <c r="K88" s="9">
        <v>-37</v>
      </c>
      <c r="L88" s="9">
        <v>-147</v>
      </c>
      <c r="M88" s="9">
        <v>38</v>
      </c>
      <c r="N88" s="9">
        <v>194</v>
      </c>
      <c r="O88" s="9">
        <v>271</v>
      </c>
      <c r="P88" s="9">
        <v>362</v>
      </c>
      <c r="Q88" s="9">
        <v>316</v>
      </c>
      <c r="R88" s="9">
        <v>607</v>
      </c>
      <c r="S88" s="9">
        <v>-474</v>
      </c>
      <c r="T88" s="9">
        <v>431</v>
      </c>
      <c r="U88" s="9">
        <v>17</v>
      </c>
      <c r="V88" s="9">
        <v>63</v>
      </c>
      <c r="W88" s="9">
        <v>75</v>
      </c>
      <c r="X88" s="9">
        <v>291</v>
      </c>
      <c r="Y88" s="9">
        <v>-1017</v>
      </c>
      <c r="Z88" s="9">
        <v>1412</v>
      </c>
      <c r="AA88" s="9">
        <v>172</v>
      </c>
      <c r="AB88" s="9">
        <v>574</v>
      </c>
      <c r="AC88" s="284">
        <v>-197</v>
      </c>
      <c r="AD88" s="284">
        <v>-79</v>
      </c>
      <c r="AE88" s="284">
        <v>205</v>
      </c>
      <c r="AF88" s="284">
        <v>63</v>
      </c>
      <c r="AG88" s="9">
        <v>-80</v>
      </c>
      <c r="AH88" s="9">
        <v>451</v>
      </c>
      <c r="AI88" s="9">
        <v>42</v>
      </c>
      <c r="AJ88" s="9">
        <v>127</v>
      </c>
    </row>
    <row r="89" spans="1:36">
      <c r="A89" s="9" t="s">
        <v>430</v>
      </c>
      <c r="B89" s="9">
        <v>33</v>
      </c>
      <c r="C89" s="9">
        <v>-33</v>
      </c>
      <c r="D89" s="9">
        <v>71</v>
      </c>
      <c r="E89" s="9">
        <v>-111</v>
      </c>
      <c r="F89" s="9">
        <v>-4</v>
      </c>
      <c r="G89" s="9">
        <v>2</v>
      </c>
      <c r="H89" s="9">
        <v>55</v>
      </c>
      <c r="I89" s="9">
        <v>11</v>
      </c>
      <c r="J89" s="9">
        <v>3</v>
      </c>
      <c r="K89" s="9">
        <v>-2</v>
      </c>
      <c r="L89" s="9">
        <v>-16</v>
      </c>
      <c r="M89" s="9">
        <v>-51</v>
      </c>
      <c r="N89" s="9">
        <v>32</v>
      </c>
      <c r="O89" s="9">
        <v>-8</v>
      </c>
      <c r="P89" s="9">
        <v>-26</v>
      </c>
      <c r="Q89" s="9">
        <v>43</v>
      </c>
      <c r="R89" s="9">
        <v>-53</v>
      </c>
      <c r="S89" s="9">
        <v>197</v>
      </c>
      <c r="T89" s="9">
        <v>59</v>
      </c>
      <c r="U89" s="9">
        <v>-157</v>
      </c>
      <c r="V89" s="9">
        <v>22</v>
      </c>
      <c r="W89" s="9">
        <v>83</v>
      </c>
      <c r="X89" s="9">
        <v>193</v>
      </c>
      <c r="Y89" s="9">
        <v>88</v>
      </c>
      <c r="Z89" s="9">
        <v>36</v>
      </c>
      <c r="AA89" s="9">
        <v>71</v>
      </c>
      <c r="AB89" s="9">
        <v>173</v>
      </c>
      <c r="AC89" s="284">
        <v>20</v>
      </c>
      <c r="AD89" s="284">
        <v>200</v>
      </c>
      <c r="AE89" s="284">
        <v>-107</v>
      </c>
      <c r="AF89" s="284">
        <v>75</v>
      </c>
      <c r="AG89" s="9">
        <v>49</v>
      </c>
      <c r="AH89" s="9">
        <v>-43</v>
      </c>
      <c r="AI89" s="9">
        <v>412</v>
      </c>
      <c r="AJ89" s="9">
        <v>-12</v>
      </c>
    </row>
    <row r="90" spans="1:36">
      <c r="A90" s="9" t="s">
        <v>429</v>
      </c>
      <c r="B90" s="9">
        <v>107</v>
      </c>
      <c r="C90" s="9">
        <v>-491</v>
      </c>
      <c r="D90" s="9">
        <v>204</v>
      </c>
      <c r="E90" s="9">
        <v>226</v>
      </c>
      <c r="F90" s="9">
        <v>-339</v>
      </c>
      <c r="G90" s="9">
        <v>393</v>
      </c>
      <c r="H90" s="9">
        <v>750</v>
      </c>
      <c r="I90" s="9">
        <v>1652</v>
      </c>
      <c r="J90" s="9">
        <v>1926</v>
      </c>
      <c r="K90" s="9">
        <v>2321</v>
      </c>
      <c r="L90" s="9">
        <v>1320</v>
      </c>
      <c r="M90" s="9">
        <v>2516</v>
      </c>
      <c r="N90" s="9">
        <v>4457</v>
      </c>
      <c r="O90" s="9">
        <v>2983</v>
      </c>
      <c r="P90" s="9">
        <v>2405</v>
      </c>
      <c r="Q90" s="9">
        <v>5596</v>
      </c>
      <c r="R90" s="9">
        <v>4593</v>
      </c>
      <c r="S90" s="9">
        <v>8164</v>
      </c>
      <c r="T90" s="9">
        <v>4203</v>
      </c>
      <c r="U90" s="9">
        <v>14226</v>
      </c>
      <c r="V90" s="9">
        <v>7656</v>
      </c>
      <c r="W90" s="9">
        <v>3664</v>
      </c>
      <c r="X90" s="9">
        <v>8435</v>
      </c>
      <c r="Y90" s="9">
        <v>9596</v>
      </c>
      <c r="Z90" s="9">
        <v>9444</v>
      </c>
      <c r="AA90" s="9">
        <v>9798</v>
      </c>
      <c r="AB90" s="9">
        <v>4521</v>
      </c>
      <c r="AC90" s="284">
        <v>7100</v>
      </c>
      <c r="AD90" s="284">
        <v>825</v>
      </c>
      <c r="AE90" s="284">
        <v>7840</v>
      </c>
      <c r="AF90" s="284">
        <v>11635</v>
      </c>
      <c r="AG90" s="9">
        <v>6078</v>
      </c>
      <c r="AH90" s="9">
        <v>5856</v>
      </c>
      <c r="AI90" s="9">
        <v>6886</v>
      </c>
      <c r="AJ90" s="9">
        <v>5234</v>
      </c>
    </row>
    <row r="91" spans="1:36">
      <c r="A91" s="9" t="s">
        <v>428</v>
      </c>
      <c r="B91" s="9">
        <v>400</v>
      </c>
      <c r="C91" s="9">
        <v>514</v>
      </c>
      <c r="D91" s="9">
        <v>-120</v>
      </c>
      <c r="E91" s="9">
        <v>-56</v>
      </c>
      <c r="F91" s="9">
        <v>259</v>
      </c>
      <c r="G91" s="9">
        <v>937</v>
      </c>
      <c r="H91" s="9">
        <v>125</v>
      </c>
      <c r="I91" s="9">
        <v>-430</v>
      </c>
      <c r="J91" s="9">
        <v>612</v>
      </c>
      <c r="K91" s="9">
        <v>527</v>
      </c>
      <c r="L91" s="9">
        <v>677</v>
      </c>
      <c r="M91" s="9">
        <v>668</v>
      </c>
      <c r="N91" s="9">
        <v>773</v>
      </c>
      <c r="O91" s="9">
        <v>781</v>
      </c>
      <c r="P91" s="9">
        <v>920</v>
      </c>
      <c r="Q91" s="9">
        <v>354</v>
      </c>
      <c r="R91" s="9">
        <v>682</v>
      </c>
      <c r="S91" s="9">
        <v>2571</v>
      </c>
      <c r="T91" s="9">
        <v>1328</v>
      </c>
      <c r="U91" s="9">
        <v>808</v>
      </c>
      <c r="V91" s="9">
        <v>530</v>
      </c>
      <c r="W91" s="9">
        <v>353</v>
      </c>
      <c r="X91" s="9">
        <v>-71</v>
      </c>
      <c r="Y91" s="9">
        <v>106</v>
      </c>
      <c r="Z91" s="9">
        <v>214</v>
      </c>
      <c r="AA91" s="9">
        <v>1218</v>
      </c>
      <c r="AB91" s="9">
        <v>845</v>
      </c>
      <c r="AC91" s="284">
        <v>809</v>
      </c>
      <c r="AD91" s="284">
        <v>-759</v>
      </c>
      <c r="AE91" s="284">
        <v>119</v>
      </c>
      <c r="AF91" s="284">
        <v>-31</v>
      </c>
      <c r="AG91" s="9">
        <v>-223</v>
      </c>
      <c r="AH91" s="9">
        <v>-178</v>
      </c>
      <c r="AI91" s="9">
        <v>-201</v>
      </c>
      <c r="AJ91" s="9">
        <v>580</v>
      </c>
    </row>
    <row r="92" spans="1:36">
      <c r="A92" s="9" t="s">
        <v>67</v>
      </c>
      <c r="B92" s="9">
        <v>-36</v>
      </c>
      <c r="C92" s="9">
        <v>-43</v>
      </c>
      <c r="D92" s="9">
        <v>18</v>
      </c>
      <c r="E92" s="9">
        <v>-18</v>
      </c>
      <c r="F92" s="9">
        <v>16</v>
      </c>
      <c r="G92" s="9">
        <v>47</v>
      </c>
      <c r="H92" s="9">
        <v>32</v>
      </c>
      <c r="I92" s="9">
        <v>21</v>
      </c>
      <c r="J92" s="9">
        <v>15</v>
      </c>
      <c r="K92" s="9">
        <v>-34</v>
      </c>
      <c r="L92" s="9">
        <v>8</v>
      </c>
      <c r="M92" s="9">
        <v>51</v>
      </c>
      <c r="N92" s="9">
        <v>-3</v>
      </c>
      <c r="O92" s="9">
        <v>-19</v>
      </c>
      <c r="P92" s="9">
        <v>48</v>
      </c>
      <c r="Q92" s="9">
        <v>116</v>
      </c>
      <c r="R92" s="9">
        <v>331</v>
      </c>
      <c r="S92" s="9">
        <v>308</v>
      </c>
      <c r="T92" s="9">
        <v>114</v>
      </c>
      <c r="U92" s="9">
        <v>-493</v>
      </c>
      <c r="V92" s="9">
        <v>258</v>
      </c>
      <c r="W92" s="9">
        <v>17</v>
      </c>
      <c r="X92" s="9">
        <v>26</v>
      </c>
      <c r="Y92" s="9">
        <v>99</v>
      </c>
      <c r="Z92" s="9">
        <v>-114</v>
      </c>
      <c r="AA92" s="9">
        <v>2549</v>
      </c>
      <c r="AB92" s="9">
        <v>2541</v>
      </c>
      <c r="AC92" s="284">
        <v>350</v>
      </c>
      <c r="AD92" s="284">
        <v>115</v>
      </c>
      <c r="AE92" s="284">
        <v>121</v>
      </c>
      <c r="AF92" s="284">
        <v>-21</v>
      </c>
      <c r="AG92" s="9">
        <v>234</v>
      </c>
      <c r="AH92" s="9">
        <v>15</v>
      </c>
      <c r="AI92" s="9">
        <v>-264</v>
      </c>
      <c r="AJ92" s="9">
        <v>118</v>
      </c>
    </row>
    <row r="93" spans="1:36">
      <c r="A93" s="9" t="s">
        <v>427</v>
      </c>
      <c r="B93" s="9">
        <v>-4</v>
      </c>
      <c r="C93" s="9">
        <v>-47</v>
      </c>
      <c r="D93" s="9">
        <v>12</v>
      </c>
      <c r="E93" s="9">
        <v>-20</v>
      </c>
      <c r="F93" s="9">
        <v>-1</v>
      </c>
      <c r="G93" s="9" t="s">
        <v>306</v>
      </c>
      <c r="H93" s="9">
        <v>18</v>
      </c>
      <c r="I93" s="9">
        <v>2</v>
      </c>
      <c r="J93" s="9" t="s">
        <v>291</v>
      </c>
      <c r="K93" s="9">
        <v>2</v>
      </c>
      <c r="L93" s="9" t="s">
        <v>291</v>
      </c>
      <c r="M93" s="9" t="s">
        <v>291</v>
      </c>
      <c r="N93" s="9" t="s">
        <v>291</v>
      </c>
      <c r="O93" s="9" t="s">
        <v>291</v>
      </c>
      <c r="P93" s="9">
        <v>8</v>
      </c>
      <c r="Q93" s="9">
        <v>13</v>
      </c>
      <c r="R93" s="9">
        <v>2</v>
      </c>
      <c r="S93" s="9">
        <v>16</v>
      </c>
      <c r="T93" s="9">
        <v>74</v>
      </c>
      <c r="U93" s="9">
        <v>-66</v>
      </c>
      <c r="V93" s="9">
        <v>18</v>
      </c>
      <c r="W93" s="9">
        <v>2</v>
      </c>
      <c r="X93" s="9">
        <v>49</v>
      </c>
      <c r="Y93" s="9" t="s">
        <v>306</v>
      </c>
      <c r="Z93" s="9" t="s">
        <v>291</v>
      </c>
      <c r="AA93" s="9" t="s">
        <v>291</v>
      </c>
      <c r="AB93" s="9">
        <v>2</v>
      </c>
      <c r="AC93" s="284">
        <v>2</v>
      </c>
      <c r="AD93" s="284">
        <v>-3</v>
      </c>
      <c r="AE93" s="284">
        <v>-7</v>
      </c>
      <c r="AF93" s="284">
        <v>-19</v>
      </c>
      <c r="AG93" s="9">
        <v>2</v>
      </c>
      <c r="AH93" s="9">
        <v>2</v>
      </c>
      <c r="AI93" s="9">
        <v>2</v>
      </c>
      <c r="AJ93" s="9">
        <v>2</v>
      </c>
    </row>
    <row r="94" spans="1:36">
      <c r="A94" s="9" t="s">
        <v>426</v>
      </c>
      <c r="B94" s="9">
        <v>-20</v>
      </c>
      <c r="C94" s="9">
        <v>6</v>
      </c>
      <c r="D94" s="9">
        <v>-1</v>
      </c>
      <c r="E94" s="9">
        <v>-2</v>
      </c>
      <c r="F94" s="9">
        <v>-9</v>
      </c>
      <c r="G94" s="9" t="s">
        <v>306</v>
      </c>
      <c r="H94" s="9">
        <v>7</v>
      </c>
      <c r="I94" s="9">
        <v>14</v>
      </c>
      <c r="J94" s="9">
        <v>21</v>
      </c>
      <c r="K94" s="9">
        <v>-3</v>
      </c>
      <c r="L94" s="9">
        <v>1</v>
      </c>
      <c r="M94" s="9">
        <v>22</v>
      </c>
      <c r="N94" s="9">
        <v>23</v>
      </c>
      <c r="O94" s="9">
        <v>-25</v>
      </c>
      <c r="P94" s="9">
        <v>42</v>
      </c>
      <c r="Q94" s="9">
        <v>46</v>
      </c>
      <c r="R94" s="9">
        <v>309</v>
      </c>
      <c r="S94" s="9">
        <v>141</v>
      </c>
      <c r="T94" s="9">
        <v>-73</v>
      </c>
      <c r="U94" s="9">
        <v>-79</v>
      </c>
      <c r="V94" s="9">
        <v>197</v>
      </c>
      <c r="W94" s="9">
        <v>-17</v>
      </c>
      <c r="X94" s="9">
        <v>152</v>
      </c>
      <c r="Y94" s="9">
        <v>81</v>
      </c>
      <c r="Z94" s="9">
        <v>-81</v>
      </c>
      <c r="AA94" s="9">
        <v>2314</v>
      </c>
      <c r="AB94" s="9">
        <v>1834</v>
      </c>
      <c r="AC94" s="284">
        <v>168</v>
      </c>
      <c r="AD94" s="284">
        <v>24</v>
      </c>
      <c r="AE94" s="284">
        <v>30</v>
      </c>
      <c r="AF94" s="284">
        <v>43</v>
      </c>
      <c r="AG94" s="9">
        <v>143</v>
      </c>
      <c r="AH94" s="9">
        <v>-66</v>
      </c>
      <c r="AI94" s="9">
        <v>-260</v>
      </c>
      <c r="AJ94" s="9">
        <v>191</v>
      </c>
    </row>
    <row r="95" spans="1:36">
      <c r="A95" s="9" t="s">
        <v>425</v>
      </c>
      <c r="B95" s="9">
        <v>-22</v>
      </c>
      <c r="C95" s="9">
        <v>-21</v>
      </c>
      <c r="D95" s="9">
        <v>37</v>
      </c>
      <c r="E95" s="9">
        <v>-20</v>
      </c>
      <c r="F95" s="9">
        <v>-65</v>
      </c>
      <c r="G95" s="9">
        <v>-6</v>
      </c>
      <c r="H95" s="9">
        <v>13</v>
      </c>
      <c r="I95" s="9">
        <v>14</v>
      </c>
      <c r="J95" s="9">
        <v>10</v>
      </c>
      <c r="K95" s="9">
        <v>-16</v>
      </c>
      <c r="L95" s="9">
        <v>5</v>
      </c>
      <c r="M95" s="9">
        <v>31</v>
      </c>
      <c r="N95" s="9">
        <v>16</v>
      </c>
      <c r="O95" s="9">
        <v>36</v>
      </c>
      <c r="P95" s="9">
        <v>100</v>
      </c>
      <c r="Q95" s="9">
        <v>24</v>
      </c>
      <c r="R95" s="9">
        <v>204</v>
      </c>
      <c r="S95" s="9">
        <v>121</v>
      </c>
      <c r="T95" s="9">
        <v>93</v>
      </c>
      <c r="U95" s="9">
        <v>-366</v>
      </c>
      <c r="V95" s="9">
        <v>-50</v>
      </c>
      <c r="W95" s="9">
        <v>10</v>
      </c>
      <c r="X95" s="9">
        <v>44</v>
      </c>
      <c r="Y95" s="9">
        <v>-18</v>
      </c>
      <c r="Z95" s="9">
        <v>-5</v>
      </c>
      <c r="AA95" s="9">
        <v>169</v>
      </c>
      <c r="AB95" s="9">
        <v>659</v>
      </c>
      <c r="AC95" s="284">
        <v>115</v>
      </c>
      <c r="AD95" s="284">
        <v>109</v>
      </c>
      <c r="AE95" s="284">
        <v>63</v>
      </c>
      <c r="AF95" s="284">
        <v>53</v>
      </c>
      <c r="AG95" s="9">
        <v>98</v>
      </c>
      <c r="AH95" s="9">
        <v>92</v>
      </c>
      <c r="AI95" s="9">
        <v>11</v>
      </c>
      <c r="AJ95" s="9">
        <v>-9</v>
      </c>
    </row>
    <row r="96" spans="1:36">
      <c r="A96" s="9" t="s">
        <v>424</v>
      </c>
      <c r="B96" s="9">
        <v>-13</v>
      </c>
      <c r="C96" s="9">
        <v>-2</v>
      </c>
      <c r="D96" s="9">
        <v>7</v>
      </c>
      <c r="E96" s="9">
        <v>4</v>
      </c>
      <c r="F96" s="9">
        <v>25</v>
      </c>
      <c r="G96" s="9">
        <v>47</v>
      </c>
      <c r="H96" s="9">
        <v>7</v>
      </c>
      <c r="I96" s="9">
        <v>5</v>
      </c>
      <c r="J96" s="9" t="s">
        <v>291</v>
      </c>
      <c r="K96" s="9">
        <v>-32</v>
      </c>
      <c r="L96" s="9" t="s">
        <v>291</v>
      </c>
      <c r="M96" s="9" t="s">
        <v>291</v>
      </c>
      <c r="N96" s="9" t="s">
        <v>291</v>
      </c>
      <c r="O96" s="9" t="s">
        <v>291</v>
      </c>
      <c r="P96" s="9">
        <v>-2</v>
      </c>
      <c r="Q96" s="9">
        <v>56</v>
      </c>
      <c r="R96" s="9">
        <v>19</v>
      </c>
      <c r="S96" s="9">
        <v>31</v>
      </c>
      <c r="T96" s="9">
        <v>21</v>
      </c>
      <c r="U96" s="9">
        <v>18</v>
      </c>
      <c r="V96" s="9">
        <v>93</v>
      </c>
      <c r="W96" s="9">
        <v>23</v>
      </c>
      <c r="X96" s="9">
        <v>-219</v>
      </c>
      <c r="Y96" s="9">
        <v>36</v>
      </c>
      <c r="Z96" s="9" t="s">
        <v>291</v>
      </c>
      <c r="AA96" s="9" t="s">
        <v>291</v>
      </c>
      <c r="AB96" s="9">
        <v>46</v>
      </c>
      <c r="AC96" s="284">
        <v>65</v>
      </c>
      <c r="AD96" s="284">
        <v>-16</v>
      </c>
      <c r="AE96" s="284">
        <v>35</v>
      </c>
      <c r="AF96" s="284">
        <v>-99</v>
      </c>
      <c r="AG96" s="9">
        <v>-9</v>
      </c>
      <c r="AH96" s="9">
        <v>-13</v>
      </c>
      <c r="AI96" s="9">
        <v>-16</v>
      </c>
      <c r="AJ96" s="9">
        <v>-66</v>
      </c>
    </row>
    <row r="97" spans="1:36">
      <c r="A97" s="9" t="s">
        <v>423</v>
      </c>
      <c r="B97" s="9">
        <v>-6959</v>
      </c>
      <c r="C97" s="9">
        <v>-2043</v>
      </c>
      <c r="D97" s="9">
        <v>390</v>
      </c>
      <c r="E97" s="9">
        <v>4685</v>
      </c>
      <c r="F97" s="9">
        <v>6141</v>
      </c>
      <c r="G97" s="9">
        <v>6029</v>
      </c>
      <c r="H97" s="9">
        <v>4458</v>
      </c>
      <c r="I97" s="9">
        <v>4392</v>
      </c>
      <c r="J97" s="9">
        <v>5580</v>
      </c>
      <c r="K97" s="9">
        <v>1541</v>
      </c>
      <c r="L97" s="9">
        <v>6924</v>
      </c>
      <c r="M97" s="9">
        <v>8179</v>
      </c>
      <c r="N97" s="9">
        <v>3598</v>
      </c>
      <c r="O97" s="9">
        <v>245</v>
      </c>
      <c r="P97" s="9">
        <v>6371</v>
      </c>
      <c r="Q97" s="9">
        <v>3463</v>
      </c>
      <c r="R97" s="9">
        <v>3684</v>
      </c>
      <c r="S97" s="9">
        <v>21838</v>
      </c>
      <c r="T97" s="9">
        <v>8959</v>
      </c>
      <c r="U97" s="9">
        <v>8451</v>
      </c>
      <c r="V97" s="9">
        <v>10294</v>
      </c>
      <c r="W97" s="9">
        <v>-757</v>
      </c>
      <c r="X97" s="9">
        <v>19120</v>
      </c>
      <c r="Y97" s="9">
        <v>-14145</v>
      </c>
      <c r="Z97" s="9">
        <v>18099</v>
      </c>
      <c r="AA97" s="9">
        <v>28762</v>
      </c>
      <c r="AB97" s="9">
        <v>43354</v>
      </c>
      <c r="AC97" s="284">
        <v>42845</v>
      </c>
      <c r="AD97" s="284">
        <v>28739</v>
      </c>
      <c r="AE97" s="284">
        <v>43606</v>
      </c>
      <c r="AF97" s="284">
        <v>41084</v>
      </c>
      <c r="AG97" s="9">
        <v>38745</v>
      </c>
      <c r="AH97" s="9">
        <v>41788</v>
      </c>
      <c r="AI97" s="9">
        <v>37554</v>
      </c>
      <c r="AJ97" s="9">
        <v>23305</v>
      </c>
    </row>
    <row r="98" spans="1:36">
      <c r="A98" s="9" t="s">
        <v>421</v>
      </c>
      <c r="B98" s="9">
        <v>4</v>
      </c>
      <c r="C98" s="9">
        <v>6</v>
      </c>
      <c r="D98" s="9">
        <v>-8</v>
      </c>
      <c r="E98" s="9">
        <v>59</v>
      </c>
      <c r="F98" s="9">
        <v>74</v>
      </c>
      <c r="G98" s="9">
        <v>8</v>
      </c>
      <c r="H98" s="9">
        <v>134</v>
      </c>
      <c r="I98" s="9">
        <v>-37</v>
      </c>
      <c r="J98" s="9">
        <v>111</v>
      </c>
      <c r="K98" s="9">
        <v>41</v>
      </c>
      <c r="L98" s="9">
        <v>156</v>
      </c>
      <c r="M98" s="9">
        <v>132</v>
      </c>
      <c r="N98" s="9">
        <v>65</v>
      </c>
      <c r="O98" s="9">
        <v>248</v>
      </c>
      <c r="P98" s="9">
        <v>164</v>
      </c>
      <c r="Q98" s="9">
        <v>-39</v>
      </c>
      <c r="R98" s="9">
        <v>115</v>
      </c>
      <c r="S98" s="9">
        <v>1476</v>
      </c>
      <c r="T98" s="9">
        <v>-813</v>
      </c>
      <c r="U98" s="9">
        <v>903</v>
      </c>
      <c r="V98" s="9">
        <v>-563</v>
      </c>
      <c r="W98" s="9">
        <v>-522</v>
      </c>
      <c r="X98" s="9">
        <v>1526</v>
      </c>
      <c r="Y98" s="9">
        <v>266</v>
      </c>
      <c r="Z98" s="9">
        <v>503</v>
      </c>
      <c r="AA98" s="9">
        <v>-3595</v>
      </c>
      <c r="AB98" s="9">
        <v>1047</v>
      </c>
      <c r="AC98" s="284">
        <v>1037</v>
      </c>
      <c r="AD98" s="284">
        <v>1747</v>
      </c>
      <c r="AE98" s="284">
        <v>4664</v>
      </c>
      <c r="AF98" s="284">
        <v>3340</v>
      </c>
      <c r="AG98" s="9">
        <v>1535</v>
      </c>
      <c r="AH98" s="9">
        <v>1048</v>
      </c>
      <c r="AI98" s="9">
        <v>808</v>
      </c>
      <c r="AJ98" s="9">
        <v>6358</v>
      </c>
    </row>
    <row r="99" spans="1:36">
      <c r="A99" s="9" t="s">
        <v>420</v>
      </c>
      <c r="B99" s="9">
        <v>945</v>
      </c>
      <c r="C99" s="9">
        <v>-62</v>
      </c>
      <c r="D99" s="9">
        <v>1178</v>
      </c>
      <c r="E99" s="9">
        <v>325</v>
      </c>
      <c r="F99" s="9">
        <v>1338</v>
      </c>
      <c r="G99" s="9">
        <v>2795</v>
      </c>
      <c r="H99" s="9">
        <v>621</v>
      </c>
      <c r="I99" s="9">
        <v>-502</v>
      </c>
      <c r="J99" s="9">
        <v>1431</v>
      </c>
      <c r="K99" s="9">
        <v>2797</v>
      </c>
      <c r="L99" s="9">
        <v>2828</v>
      </c>
      <c r="M99" s="9">
        <v>3995</v>
      </c>
      <c r="N99" s="9">
        <v>897</v>
      </c>
      <c r="O99" s="9">
        <v>275</v>
      </c>
      <c r="P99" s="9">
        <v>3170</v>
      </c>
      <c r="Q99" s="9">
        <v>589</v>
      </c>
      <c r="R99" s="9">
        <v>2358</v>
      </c>
      <c r="S99" s="9">
        <v>6871</v>
      </c>
      <c r="T99" s="9">
        <v>9363</v>
      </c>
      <c r="U99" s="9">
        <v>7007</v>
      </c>
      <c r="V99" s="9">
        <v>4313</v>
      </c>
      <c r="W99" s="9">
        <v>-3778</v>
      </c>
      <c r="X99" s="9">
        <v>4365</v>
      </c>
      <c r="Y99" s="9">
        <v>-1000</v>
      </c>
      <c r="Z99" s="9">
        <v>19944</v>
      </c>
      <c r="AA99" s="9">
        <v>14785</v>
      </c>
      <c r="AB99" s="9">
        <v>7824</v>
      </c>
      <c r="AC99" s="284">
        <v>29149</v>
      </c>
      <c r="AD99" s="284">
        <v>12976</v>
      </c>
      <c r="AE99" s="284">
        <v>21072</v>
      </c>
      <c r="AF99" s="284">
        <v>11991</v>
      </c>
      <c r="AG99" s="9">
        <v>17804</v>
      </c>
      <c r="AH99" s="9">
        <v>17171</v>
      </c>
      <c r="AI99" s="9">
        <v>16917</v>
      </c>
      <c r="AJ99" s="9">
        <v>12232</v>
      </c>
    </row>
    <row r="100" spans="1:36">
      <c r="A100" s="9" t="s">
        <v>419</v>
      </c>
      <c r="B100" s="9">
        <v>28</v>
      </c>
      <c r="C100" s="9">
        <v>60</v>
      </c>
      <c r="D100" s="9">
        <v>10</v>
      </c>
      <c r="E100" s="9">
        <v>20</v>
      </c>
      <c r="F100" s="9">
        <v>-5</v>
      </c>
      <c r="G100" s="9">
        <v>-82</v>
      </c>
      <c r="H100" s="9">
        <v>16</v>
      </c>
      <c r="I100" s="9" t="s">
        <v>291</v>
      </c>
      <c r="J100" s="9" t="s">
        <v>291</v>
      </c>
      <c r="K100" s="9">
        <v>143</v>
      </c>
      <c r="L100" s="9">
        <v>131</v>
      </c>
      <c r="M100" s="9">
        <v>217</v>
      </c>
      <c r="N100" s="9">
        <v>-15</v>
      </c>
      <c r="O100" s="9">
        <v>69</v>
      </c>
      <c r="P100" s="9">
        <v>66</v>
      </c>
      <c r="Q100" s="9">
        <v>91</v>
      </c>
      <c r="R100" s="9">
        <v>75</v>
      </c>
      <c r="S100" s="9">
        <v>125</v>
      </c>
      <c r="T100" s="9">
        <v>175</v>
      </c>
      <c r="U100" s="9">
        <v>217</v>
      </c>
      <c r="V100" s="9">
        <v>-3</v>
      </c>
      <c r="W100" s="9">
        <v>-99</v>
      </c>
      <c r="X100" s="9">
        <v>24</v>
      </c>
      <c r="Y100" s="9">
        <v>-175</v>
      </c>
      <c r="Z100" s="9">
        <v>-4</v>
      </c>
      <c r="AA100" s="9">
        <v>22</v>
      </c>
      <c r="AB100" s="9">
        <v>-124</v>
      </c>
      <c r="AC100" s="284">
        <v>124</v>
      </c>
      <c r="AD100" s="284">
        <v>252</v>
      </c>
      <c r="AE100" s="284">
        <v>103</v>
      </c>
      <c r="AF100" s="284">
        <v>133</v>
      </c>
      <c r="AG100" s="9">
        <v>117</v>
      </c>
      <c r="AH100" s="9">
        <v>53</v>
      </c>
      <c r="AI100" s="9">
        <v>141</v>
      </c>
      <c r="AJ100" s="9">
        <v>-208</v>
      </c>
    </row>
    <row r="101" spans="1:36">
      <c r="A101" s="9" t="s">
        <v>415</v>
      </c>
      <c r="B101" s="9">
        <v>595</v>
      </c>
      <c r="C101" s="9">
        <v>648</v>
      </c>
      <c r="D101" s="9">
        <v>1149</v>
      </c>
      <c r="E101" s="9">
        <v>697</v>
      </c>
      <c r="F101" s="9">
        <v>456</v>
      </c>
      <c r="G101" s="9">
        <v>342</v>
      </c>
      <c r="H101" s="9">
        <v>-291</v>
      </c>
      <c r="I101" s="9">
        <v>817</v>
      </c>
      <c r="J101" s="9">
        <v>-363</v>
      </c>
      <c r="K101" s="9">
        <v>-551</v>
      </c>
      <c r="L101" s="9">
        <v>-87</v>
      </c>
      <c r="M101" s="9">
        <v>125</v>
      </c>
      <c r="N101" s="9">
        <v>1386</v>
      </c>
      <c r="O101" s="9">
        <v>50</v>
      </c>
      <c r="P101" s="9">
        <v>1847</v>
      </c>
      <c r="Q101" s="9">
        <v>4062</v>
      </c>
      <c r="R101" s="9">
        <v>1571</v>
      </c>
      <c r="S101" s="9">
        <v>11264</v>
      </c>
      <c r="T101" s="9">
        <v>989</v>
      </c>
      <c r="U101" s="9">
        <v>-1129</v>
      </c>
      <c r="V101" s="9">
        <v>6146</v>
      </c>
      <c r="W101" s="9">
        <v>3314</v>
      </c>
      <c r="X101" s="9">
        <v>10131</v>
      </c>
      <c r="Y101" s="9">
        <v>-12586</v>
      </c>
      <c r="Z101" s="9">
        <v>-6374</v>
      </c>
      <c r="AA101" s="9">
        <v>12640</v>
      </c>
      <c r="AB101" s="9">
        <v>25914</v>
      </c>
      <c r="AC101" s="284">
        <v>7746</v>
      </c>
      <c r="AD101" s="284">
        <v>10926</v>
      </c>
      <c r="AE101" s="284">
        <v>11588</v>
      </c>
      <c r="AF101" s="284">
        <v>25339</v>
      </c>
      <c r="AG101" s="9">
        <v>17312</v>
      </c>
      <c r="AH101" s="9">
        <v>21754</v>
      </c>
      <c r="AI101" s="9">
        <v>23526</v>
      </c>
      <c r="AJ101" s="9">
        <v>3992</v>
      </c>
    </row>
    <row r="102" spans="1:36">
      <c r="A102" s="9" t="s">
        <v>67</v>
      </c>
      <c r="B102" s="9">
        <v>119</v>
      </c>
      <c r="C102" s="9">
        <v>-113</v>
      </c>
      <c r="D102" s="9">
        <v>-2</v>
      </c>
      <c r="E102" s="9">
        <v>3</v>
      </c>
      <c r="F102" s="9">
        <v>20</v>
      </c>
      <c r="G102" s="9">
        <v>23</v>
      </c>
      <c r="H102" s="9">
        <v>-13</v>
      </c>
      <c r="I102" s="9">
        <v>-116</v>
      </c>
      <c r="J102" s="9">
        <v>145</v>
      </c>
      <c r="K102" s="9">
        <v>-110</v>
      </c>
      <c r="L102" s="9">
        <v>-377</v>
      </c>
      <c r="M102" s="9">
        <v>573</v>
      </c>
      <c r="N102" s="9">
        <v>-186</v>
      </c>
      <c r="O102" s="9">
        <v>-170</v>
      </c>
      <c r="P102" s="9">
        <v>86</v>
      </c>
      <c r="Q102" s="9">
        <v>211</v>
      </c>
      <c r="R102" s="9">
        <v>-104</v>
      </c>
      <c r="S102" s="9">
        <v>2100</v>
      </c>
      <c r="T102" s="9">
        <v>-754</v>
      </c>
      <c r="U102" s="9">
        <v>1452</v>
      </c>
      <c r="V102" s="9">
        <v>401</v>
      </c>
      <c r="W102" s="9">
        <v>328</v>
      </c>
      <c r="X102" s="9">
        <v>3075</v>
      </c>
      <c r="Y102" s="9">
        <v>-651</v>
      </c>
      <c r="Z102" s="9">
        <v>4029</v>
      </c>
      <c r="AA102" s="9">
        <v>4910</v>
      </c>
      <c r="AB102" s="9">
        <v>8693</v>
      </c>
      <c r="AC102" s="284">
        <v>4788</v>
      </c>
      <c r="AD102" s="284">
        <v>2838</v>
      </c>
      <c r="AE102" s="284">
        <v>6179</v>
      </c>
      <c r="AF102" s="284">
        <v>281</v>
      </c>
      <c r="AG102" s="9">
        <v>1978</v>
      </c>
      <c r="AH102" s="9">
        <v>1763</v>
      </c>
      <c r="AI102" s="9">
        <v>-3840</v>
      </c>
      <c r="AJ102" s="9">
        <v>931</v>
      </c>
    </row>
    <row r="103" spans="1:36">
      <c r="A103" s="9" t="s">
        <v>414</v>
      </c>
      <c r="B103" s="9" t="s">
        <v>273</v>
      </c>
      <c r="C103" s="9" t="s">
        <v>273</v>
      </c>
      <c r="D103" s="9" t="s">
        <v>273</v>
      </c>
      <c r="E103" s="9" t="s">
        <v>273</v>
      </c>
      <c r="F103" s="9" t="s">
        <v>273</v>
      </c>
      <c r="G103" s="9" t="s">
        <v>273</v>
      </c>
      <c r="H103" s="9" t="s">
        <v>273</v>
      </c>
      <c r="I103" s="9" t="s">
        <v>273</v>
      </c>
      <c r="J103" s="9" t="s">
        <v>273</v>
      </c>
      <c r="K103" s="9" t="s">
        <v>273</v>
      </c>
      <c r="L103" s="9" t="s">
        <v>273</v>
      </c>
      <c r="M103" s="9" t="s">
        <v>273</v>
      </c>
      <c r="N103" s="9" t="s">
        <v>273</v>
      </c>
      <c r="O103" s="9" t="s">
        <v>273</v>
      </c>
      <c r="P103" s="9" t="s">
        <v>273</v>
      </c>
      <c r="Q103" s="9" t="s">
        <v>273</v>
      </c>
      <c r="R103" s="9" t="s">
        <v>273</v>
      </c>
      <c r="S103" s="9">
        <v>1</v>
      </c>
      <c r="T103" s="9">
        <v>-2</v>
      </c>
      <c r="U103" s="9" t="s">
        <v>291</v>
      </c>
      <c r="V103" s="9" t="s">
        <v>291</v>
      </c>
      <c r="W103" s="9">
        <v>-2</v>
      </c>
      <c r="X103" s="9">
        <v>-4</v>
      </c>
      <c r="Y103" s="9" t="s">
        <v>306</v>
      </c>
      <c r="Z103" s="9" t="s">
        <v>306</v>
      </c>
      <c r="AA103" s="9" t="s">
        <v>306</v>
      </c>
      <c r="AB103" s="9" t="s">
        <v>306</v>
      </c>
      <c r="AC103" s="284" t="s">
        <v>306</v>
      </c>
      <c r="AD103" s="284" t="s">
        <v>306</v>
      </c>
      <c r="AE103" s="284" t="s">
        <v>291</v>
      </c>
      <c r="AF103" s="284" t="s">
        <v>291</v>
      </c>
      <c r="AG103" s="9" t="s">
        <v>291</v>
      </c>
      <c r="AH103" s="9">
        <v>5</v>
      </c>
      <c r="AI103" s="9" t="s">
        <v>291</v>
      </c>
      <c r="AJ103" s="9" t="s">
        <v>291</v>
      </c>
    </row>
    <row r="104" spans="1:36">
      <c r="A104" s="9" t="s">
        <v>413</v>
      </c>
      <c r="B104" s="9">
        <v>3</v>
      </c>
      <c r="C104" s="9">
        <v>-1</v>
      </c>
      <c r="D104" s="9">
        <v>-1</v>
      </c>
      <c r="E104" s="9" t="s">
        <v>291</v>
      </c>
      <c r="F104" s="9" t="s">
        <v>291</v>
      </c>
      <c r="G104" s="9">
        <v>3</v>
      </c>
      <c r="H104" s="9">
        <v>-2</v>
      </c>
      <c r="I104" s="9">
        <v>-2</v>
      </c>
      <c r="J104" s="9">
        <v>1</v>
      </c>
      <c r="K104" s="9">
        <v>1</v>
      </c>
      <c r="L104" s="9">
        <v>1</v>
      </c>
      <c r="M104" s="9">
        <v>1</v>
      </c>
      <c r="N104" s="9" t="s">
        <v>306</v>
      </c>
      <c r="O104" s="9" t="s">
        <v>306</v>
      </c>
      <c r="P104" s="9" t="s">
        <v>306</v>
      </c>
      <c r="Q104" s="9" t="s">
        <v>306</v>
      </c>
      <c r="R104" s="9" t="s">
        <v>306</v>
      </c>
      <c r="S104" s="9" t="s">
        <v>291</v>
      </c>
      <c r="T104" s="9" t="s">
        <v>291</v>
      </c>
      <c r="U104" s="9">
        <v>22</v>
      </c>
      <c r="V104" s="9">
        <v>4</v>
      </c>
      <c r="W104" s="9">
        <v>-4</v>
      </c>
      <c r="X104" s="9">
        <v>2</v>
      </c>
      <c r="Y104" s="9">
        <v>2</v>
      </c>
      <c r="Z104" s="9">
        <v>6</v>
      </c>
      <c r="AA104" s="9">
        <v>5</v>
      </c>
      <c r="AB104" s="9">
        <v>5</v>
      </c>
      <c r="AC104" s="284" t="s">
        <v>306</v>
      </c>
      <c r="AD104" s="284" t="s">
        <v>306</v>
      </c>
      <c r="AE104" s="284" t="s">
        <v>306</v>
      </c>
      <c r="AF104" s="284" t="s">
        <v>306</v>
      </c>
      <c r="AG104" s="9" t="s">
        <v>306</v>
      </c>
      <c r="AH104" s="9" t="s">
        <v>306</v>
      </c>
      <c r="AI104" s="9" t="s">
        <v>306</v>
      </c>
      <c r="AJ104" s="9" t="s">
        <v>306</v>
      </c>
    </row>
    <row r="105" spans="1:36">
      <c r="A105" s="9" t="s">
        <v>412</v>
      </c>
      <c r="B105" s="9" t="s">
        <v>516</v>
      </c>
      <c r="C105" s="9" t="s">
        <v>516</v>
      </c>
      <c r="D105" s="9" t="s">
        <v>516</v>
      </c>
      <c r="E105" s="9" t="s">
        <v>516</v>
      </c>
      <c r="F105" s="9" t="s">
        <v>516</v>
      </c>
      <c r="G105" s="9" t="s">
        <v>291</v>
      </c>
      <c r="H105" s="9" t="s">
        <v>291</v>
      </c>
      <c r="I105" s="9" t="s">
        <v>291</v>
      </c>
      <c r="J105" s="9" t="s">
        <v>291</v>
      </c>
      <c r="K105" s="9" t="s">
        <v>291</v>
      </c>
      <c r="L105" s="9" t="s">
        <v>291</v>
      </c>
      <c r="M105" s="9">
        <v>569</v>
      </c>
      <c r="N105" s="9" t="s">
        <v>291</v>
      </c>
      <c r="O105" s="9" t="s">
        <v>291</v>
      </c>
      <c r="P105" s="9" t="s">
        <v>291</v>
      </c>
      <c r="Q105" s="9" t="s">
        <v>291</v>
      </c>
      <c r="R105" s="9">
        <v>-103</v>
      </c>
      <c r="S105" s="9">
        <v>222</v>
      </c>
      <c r="T105" s="9">
        <v>-266</v>
      </c>
      <c r="U105" s="9">
        <v>263</v>
      </c>
      <c r="V105" s="9">
        <v>-50</v>
      </c>
      <c r="W105" s="9">
        <v>-468</v>
      </c>
      <c r="X105" s="9">
        <v>-190</v>
      </c>
      <c r="Y105" s="9">
        <v>-48</v>
      </c>
      <c r="Z105" s="9">
        <v>122</v>
      </c>
      <c r="AA105" s="9">
        <v>146</v>
      </c>
      <c r="AB105" s="9">
        <v>-37</v>
      </c>
      <c r="AC105" s="284">
        <v>-366</v>
      </c>
      <c r="AD105" s="284">
        <v>383</v>
      </c>
      <c r="AE105" s="284">
        <v>340</v>
      </c>
      <c r="AF105" s="284">
        <v>-445</v>
      </c>
      <c r="AG105" s="9">
        <v>-36</v>
      </c>
      <c r="AH105" s="9">
        <v>88</v>
      </c>
      <c r="AI105" s="9">
        <v>-257</v>
      </c>
      <c r="AJ105" s="9">
        <v>-376</v>
      </c>
    </row>
    <row r="106" spans="1:36">
      <c r="A106" s="9" t="s">
        <v>411</v>
      </c>
      <c r="B106" s="9">
        <v>-104</v>
      </c>
      <c r="C106" s="9">
        <v>604</v>
      </c>
      <c r="D106" s="9">
        <v>253</v>
      </c>
      <c r="E106" s="9">
        <v>-54</v>
      </c>
      <c r="F106" s="9">
        <v>-819</v>
      </c>
      <c r="G106" s="9">
        <v>-120</v>
      </c>
      <c r="H106" s="9">
        <v>470</v>
      </c>
      <c r="I106" s="9">
        <v>-61</v>
      </c>
      <c r="J106" s="9">
        <v>-32</v>
      </c>
      <c r="K106" s="9">
        <v>-225</v>
      </c>
      <c r="L106" s="9">
        <v>510</v>
      </c>
      <c r="M106" s="9">
        <v>508</v>
      </c>
      <c r="N106" s="9">
        <v>52</v>
      </c>
      <c r="O106" s="9">
        <v>-537</v>
      </c>
      <c r="P106" s="9">
        <v>-55</v>
      </c>
      <c r="Q106" s="9">
        <v>-323</v>
      </c>
      <c r="R106" s="9">
        <v>-826</v>
      </c>
      <c r="S106" s="9">
        <v>1331</v>
      </c>
      <c r="T106" s="9">
        <v>-872</v>
      </c>
      <c r="U106" s="9">
        <v>-840</v>
      </c>
      <c r="V106" s="9">
        <v>1096</v>
      </c>
      <c r="W106" s="9">
        <v>268</v>
      </c>
      <c r="X106" s="9">
        <v>1175</v>
      </c>
      <c r="Y106" s="9">
        <v>1338</v>
      </c>
      <c r="Z106" s="9">
        <v>-383</v>
      </c>
      <c r="AA106" s="9">
        <v>1686</v>
      </c>
      <c r="AB106" s="9">
        <v>-1040</v>
      </c>
      <c r="AC106" s="284">
        <v>2351</v>
      </c>
      <c r="AD106" s="284">
        <v>17</v>
      </c>
      <c r="AE106" s="284">
        <v>2669</v>
      </c>
      <c r="AF106" s="284">
        <v>-1615</v>
      </c>
      <c r="AG106" s="9">
        <v>2273</v>
      </c>
      <c r="AH106" s="9">
        <v>1297</v>
      </c>
      <c r="AI106" s="9">
        <v>-4903</v>
      </c>
      <c r="AJ106" s="9">
        <v>1803</v>
      </c>
    </row>
    <row r="107" spans="1:36">
      <c r="A107" s="9" t="s">
        <v>410</v>
      </c>
      <c r="B107" s="9" t="s">
        <v>291</v>
      </c>
      <c r="C107" s="9" t="s">
        <v>291</v>
      </c>
      <c r="D107" s="9" t="s">
        <v>291</v>
      </c>
      <c r="E107" s="9" t="s">
        <v>291</v>
      </c>
      <c r="F107" s="9" t="s">
        <v>291</v>
      </c>
      <c r="G107" s="9" t="s">
        <v>291</v>
      </c>
      <c r="H107" s="9" t="s">
        <v>291</v>
      </c>
      <c r="I107" s="9" t="s">
        <v>291</v>
      </c>
      <c r="J107" s="9" t="s">
        <v>291</v>
      </c>
      <c r="K107" s="9" t="s">
        <v>291</v>
      </c>
      <c r="L107" s="9" t="s">
        <v>291</v>
      </c>
      <c r="M107" s="9" t="s">
        <v>291</v>
      </c>
      <c r="N107" s="9" t="s">
        <v>291</v>
      </c>
      <c r="O107" s="9" t="s">
        <v>291</v>
      </c>
      <c r="P107" s="9" t="s">
        <v>291</v>
      </c>
      <c r="Q107" s="9" t="s">
        <v>291</v>
      </c>
      <c r="R107" s="9" t="s">
        <v>291</v>
      </c>
      <c r="S107" s="9" t="s">
        <v>291</v>
      </c>
      <c r="T107" s="9" t="s">
        <v>291</v>
      </c>
      <c r="U107" s="9" t="s">
        <v>291</v>
      </c>
      <c r="V107" s="9" t="s">
        <v>291</v>
      </c>
      <c r="W107" s="9">
        <v>-1</v>
      </c>
      <c r="X107" s="9" t="s">
        <v>291</v>
      </c>
      <c r="Y107" s="9" t="s">
        <v>291</v>
      </c>
      <c r="Z107" s="9">
        <v>-1</v>
      </c>
      <c r="AA107" s="9">
        <v>-1</v>
      </c>
      <c r="AB107" s="9">
        <v>-1</v>
      </c>
      <c r="AC107" s="284">
        <v>8</v>
      </c>
      <c r="AD107" s="284" t="s">
        <v>306</v>
      </c>
      <c r="AE107" s="284" t="s">
        <v>306</v>
      </c>
      <c r="AF107" s="284" t="s">
        <v>306</v>
      </c>
      <c r="AG107" s="9" t="s">
        <v>306</v>
      </c>
      <c r="AH107" s="9" t="s">
        <v>306</v>
      </c>
      <c r="AI107" s="9" t="s">
        <v>306</v>
      </c>
      <c r="AJ107" s="9" t="s">
        <v>306</v>
      </c>
    </row>
    <row r="108" spans="1:36">
      <c r="A108" s="9" t="s">
        <v>409</v>
      </c>
      <c r="B108" s="9" t="s">
        <v>273</v>
      </c>
      <c r="C108" s="9" t="s">
        <v>273</v>
      </c>
      <c r="D108" s="9" t="s">
        <v>273</v>
      </c>
      <c r="E108" s="9" t="s">
        <v>273</v>
      </c>
      <c r="F108" s="9" t="s">
        <v>273</v>
      </c>
      <c r="G108" s="9" t="s">
        <v>273</v>
      </c>
      <c r="H108" s="9" t="s">
        <v>273</v>
      </c>
      <c r="I108" s="9" t="s">
        <v>273</v>
      </c>
      <c r="J108" s="9" t="s">
        <v>273</v>
      </c>
      <c r="K108" s="9" t="s">
        <v>273</v>
      </c>
      <c r="L108" s="9" t="s">
        <v>273</v>
      </c>
      <c r="M108" s="9" t="s">
        <v>273</v>
      </c>
      <c r="N108" s="9" t="s">
        <v>273</v>
      </c>
      <c r="O108" s="9" t="s">
        <v>273</v>
      </c>
      <c r="P108" s="9" t="s">
        <v>273</v>
      </c>
      <c r="Q108" s="9" t="s">
        <v>273</v>
      </c>
      <c r="R108" s="9" t="s">
        <v>273</v>
      </c>
      <c r="S108" s="9" t="s">
        <v>273</v>
      </c>
      <c r="T108" s="9" t="s">
        <v>273</v>
      </c>
      <c r="U108" s="9" t="s">
        <v>273</v>
      </c>
      <c r="V108" s="9" t="s">
        <v>273</v>
      </c>
      <c r="W108" s="9" t="s">
        <v>273</v>
      </c>
      <c r="X108" s="9" t="s">
        <v>273</v>
      </c>
      <c r="Y108" s="9" t="s">
        <v>273</v>
      </c>
      <c r="Z108" s="9" t="s">
        <v>273</v>
      </c>
      <c r="AA108" s="9" t="s">
        <v>273</v>
      </c>
      <c r="AB108" s="9" t="s">
        <v>273</v>
      </c>
      <c r="AC108" s="284" t="s">
        <v>402</v>
      </c>
      <c r="AD108" s="284" t="s">
        <v>402</v>
      </c>
      <c r="AE108" s="284" t="s">
        <v>291</v>
      </c>
      <c r="AF108" s="284" t="s">
        <v>291</v>
      </c>
      <c r="AG108" s="9">
        <v>476</v>
      </c>
      <c r="AH108" s="9" t="s">
        <v>291</v>
      </c>
      <c r="AI108" s="9">
        <v>383</v>
      </c>
      <c r="AJ108" s="9">
        <v>137</v>
      </c>
    </row>
    <row r="109" spans="1:36">
      <c r="A109" s="9" t="s">
        <v>408</v>
      </c>
      <c r="B109" s="9">
        <v>0</v>
      </c>
      <c r="C109" s="9">
        <v>0</v>
      </c>
      <c r="D109" s="9" t="s">
        <v>306</v>
      </c>
      <c r="E109" s="9" t="s">
        <v>306</v>
      </c>
      <c r="F109" s="9" t="s">
        <v>306</v>
      </c>
      <c r="G109" s="9">
        <v>1</v>
      </c>
      <c r="H109" s="9">
        <v>-1</v>
      </c>
      <c r="I109" s="9" t="s">
        <v>306</v>
      </c>
      <c r="J109" s="9" t="s">
        <v>306</v>
      </c>
      <c r="K109" s="9" t="s">
        <v>306</v>
      </c>
      <c r="L109" s="9" t="s">
        <v>306</v>
      </c>
      <c r="M109" s="9" t="s">
        <v>306</v>
      </c>
      <c r="N109" s="9" t="s">
        <v>306</v>
      </c>
      <c r="O109" s="9">
        <v>29</v>
      </c>
      <c r="P109" s="9">
        <v>3</v>
      </c>
      <c r="Q109" s="9">
        <v>3</v>
      </c>
      <c r="R109" s="9" t="s">
        <v>306</v>
      </c>
      <c r="S109" s="9">
        <v>2</v>
      </c>
      <c r="T109" s="9">
        <v>-1</v>
      </c>
      <c r="U109" s="9">
        <v>-1</v>
      </c>
      <c r="V109" s="9">
        <v>3</v>
      </c>
      <c r="W109" s="9" t="s">
        <v>291</v>
      </c>
      <c r="X109" s="9" t="s">
        <v>291</v>
      </c>
      <c r="Y109" s="9" t="s">
        <v>291</v>
      </c>
      <c r="Z109" s="9">
        <v>-11</v>
      </c>
      <c r="AA109" s="9">
        <v>-14</v>
      </c>
      <c r="AB109" s="9">
        <v>6</v>
      </c>
      <c r="AC109" s="284" t="s">
        <v>306</v>
      </c>
      <c r="AD109" s="284" t="s">
        <v>306</v>
      </c>
      <c r="AE109" s="284">
        <v>-10</v>
      </c>
      <c r="AF109" s="284" t="s">
        <v>291</v>
      </c>
      <c r="AG109" s="9" t="s">
        <v>291</v>
      </c>
      <c r="AH109" s="9" t="s">
        <v>291</v>
      </c>
      <c r="AI109" s="9" t="s">
        <v>291</v>
      </c>
      <c r="AJ109" s="9">
        <v>-4</v>
      </c>
    </row>
    <row r="110" spans="1:36">
      <c r="A110" s="9" t="s">
        <v>407</v>
      </c>
      <c r="B110" s="9">
        <v>-4</v>
      </c>
      <c r="C110" s="9" t="s">
        <v>306</v>
      </c>
      <c r="D110" s="9">
        <v>-2</v>
      </c>
      <c r="E110" s="9">
        <v>-2</v>
      </c>
      <c r="F110" s="9">
        <v>4</v>
      </c>
      <c r="G110" s="9">
        <v>12</v>
      </c>
      <c r="H110" s="9">
        <v>-6</v>
      </c>
      <c r="I110" s="9">
        <v>11</v>
      </c>
      <c r="J110" s="9">
        <v>12</v>
      </c>
      <c r="K110" s="9">
        <v>13</v>
      </c>
      <c r="L110" s="9">
        <v>12</v>
      </c>
      <c r="M110" s="9">
        <v>8</v>
      </c>
      <c r="N110" s="9">
        <v>9</v>
      </c>
      <c r="O110" s="9">
        <v>31</v>
      </c>
      <c r="P110" s="9">
        <v>3</v>
      </c>
      <c r="Q110" s="9">
        <v>9</v>
      </c>
      <c r="R110" s="9">
        <v>6</v>
      </c>
      <c r="S110" s="9">
        <v>13</v>
      </c>
      <c r="T110" s="9">
        <v>3</v>
      </c>
      <c r="U110" s="9">
        <v>-7</v>
      </c>
      <c r="V110" s="9">
        <v>-9</v>
      </c>
      <c r="W110" s="9">
        <v>-9</v>
      </c>
      <c r="X110" s="9">
        <v>4</v>
      </c>
      <c r="Y110" s="9">
        <v>-3</v>
      </c>
      <c r="Z110" s="9" t="s">
        <v>291</v>
      </c>
      <c r="AA110" s="9" t="s">
        <v>291</v>
      </c>
      <c r="AB110" s="9">
        <v>48</v>
      </c>
      <c r="AC110" s="284">
        <v>133</v>
      </c>
      <c r="AD110" s="284">
        <v>-484</v>
      </c>
      <c r="AE110" s="284">
        <v>20</v>
      </c>
      <c r="AF110" s="284">
        <v>12</v>
      </c>
      <c r="AG110" s="9">
        <v>-1</v>
      </c>
      <c r="AH110" s="9">
        <v>17</v>
      </c>
      <c r="AI110" s="9">
        <v>65</v>
      </c>
      <c r="AJ110" s="9">
        <v>5</v>
      </c>
    </row>
    <row r="111" spans="1:36">
      <c r="A111" s="9" t="s">
        <v>406</v>
      </c>
      <c r="B111" s="9" t="s">
        <v>306</v>
      </c>
      <c r="C111" s="9">
        <v>0</v>
      </c>
      <c r="D111" s="9" t="s">
        <v>306</v>
      </c>
      <c r="E111" s="9" t="s">
        <v>306</v>
      </c>
      <c r="F111" s="9" t="s">
        <v>306</v>
      </c>
      <c r="G111" s="9">
        <v>1</v>
      </c>
      <c r="H111" s="9" t="s">
        <v>306</v>
      </c>
      <c r="I111" s="9" t="s">
        <v>306</v>
      </c>
      <c r="J111" s="9" t="s">
        <v>306</v>
      </c>
      <c r="K111" s="9" t="s">
        <v>306</v>
      </c>
      <c r="L111" s="9" t="s">
        <v>306</v>
      </c>
      <c r="M111" s="9">
        <v>1</v>
      </c>
      <c r="N111" s="9" t="s">
        <v>306</v>
      </c>
      <c r="O111" s="9" t="s">
        <v>306</v>
      </c>
      <c r="P111" s="9" t="s">
        <v>306</v>
      </c>
      <c r="Q111" s="9" t="s">
        <v>306</v>
      </c>
      <c r="R111" s="9" t="s">
        <v>306</v>
      </c>
      <c r="S111" s="9">
        <v>5</v>
      </c>
      <c r="T111" s="9">
        <v>1</v>
      </c>
      <c r="U111" s="9" t="s">
        <v>306</v>
      </c>
      <c r="V111" s="9" t="s">
        <v>306</v>
      </c>
      <c r="W111" s="9" t="s">
        <v>306</v>
      </c>
      <c r="X111" s="9" t="s">
        <v>291</v>
      </c>
      <c r="Y111" s="9" t="s">
        <v>291</v>
      </c>
      <c r="Z111" s="9">
        <v>-16</v>
      </c>
      <c r="AA111" s="9" t="s">
        <v>306</v>
      </c>
      <c r="AB111" s="9">
        <v>0</v>
      </c>
      <c r="AC111" s="284" t="s">
        <v>306</v>
      </c>
      <c r="AD111" s="284" t="s">
        <v>306</v>
      </c>
      <c r="AE111" s="284" t="s">
        <v>306</v>
      </c>
      <c r="AF111" s="284" t="s">
        <v>306</v>
      </c>
      <c r="AG111" s="9" t="s">
        <v>306</v>
      </c>
      <c r="AH111" s="9" t="s">
        <v>306</v>
      </c>
      <c r="AI111" s="9" t="s">
        <v>306</v>
      </c>
      <c r="AJ111" s="9" t="s">
        <v>306</v>
      </c>
    </row>
    <row r="112" spans="1:36">
      <c r="A112" s="9" t="s">
        <v>405</v>
      </c>
      <c r="B112" s="9">
        <v>2</v>
      </c>
      <c r="C112" s="9">
        <v>-3</v>
      </c>
      <c r="D112" s="9">
        <v>4</v>
      </c>
      <c r="E112" s="9">
        <v>3</v>
      </c>
      <c r="F112" s="9">
        <v>2</v>
      </c>
      <c r="G112" s="9">
        <v>6</v>
      </c>
      <c r="H112" s="9">
        <v>-7</v>
      </c>
      <c r="I112" s="9">
        <v>5</v>
      </c>
      <c r="J112" s="9">
        <v>5</v>
      </c>
      <c r="K112" s="9">
        <v>-16</v>
      </c>
      <c r="L112" s="9">
        <v>10</v>
      </c>
      <c r="M112" s="9">
        <v>3</v>
      </c>
      <c r="N112" s="9">
        <v>3</v>
      </c>
      <c r="O112" s="9">
        <v>-6</v>
      </c>
      <c r="P112" s="9">
        <v>3</v>
      </c>
      <c r="Q112" s="9">
        <v>10</v>
      </c>
      <c r="R112" s="9" t="s">
        <v>291</v>
      </c>
      <c r="S112" s="9">
        <v>20</v>
      </c>
      <c r="T112" s="9">
        <v>-25</v>
      </c>
      <c r="U112" s="9">
        <v>-11</v>
      </c>
      <c r="V112" s="9">
        <v>21</v>
      </c>
      <c r="W112" s="9">
        <v>10</v>
      </c>
      <c r="X112" s="9">
        <v>7</v>
      </c>
      <c r="Y112" s="9">
        <v>22</v>
      </c>
      <c r="Z112" s="9">
        <v>35</v>
      </c>
      <c r="AA112" s="9">
        <v>33</v>
      </c>
      <c r="AB112" s="9">
        <v>-1</v>
      </c>
      <c r="AC112" s="284" t="s">
        <v>291</v>
      </c>
      <c r="AD112" s="284" t="s">
        <v>291</v>
      </c>
      <c r="AE112" s="284" t="s">
        <v>291</v>
      </c>
      <c r="AF112" s="284" t="s">
        <v>291</v>
      </c>
      <c r="AG112" s="9">
        <v>-1</v>
      </c>
      <c r="AH112" s="9" t="s">
        <v>306</v>
      </c>
      <c r="AI112" s="9" t="s">
        <v>306</v>
      </c>
      <c r="AJ112" s="9">
        <v>-3</v>
      </c>
    </row>
    <row r="113" spans="1:36">
      <c r="A113" s="9" t="s">
        <v>404</v>
      </c>
      <c r="B113" s="9">
        <v>-24</v>
      </c>
      <c r="C113" s="9">
        <v>-83</v>
      </c>
      <c r="D113" s="9">
        <v>-57</v>
      </c>
      <c r="E113" s="9">
        <v>-127</v>
      </c>
      <c r="F113" s="9">
        <v>-27</v>
      </c>
      <c r="G113" s="9">
        <v>-23</v>
      </c>
      <c r="H113" s="9">
        <v>14</v>
      </c>
      <c r="I113" s="9">
        <v>277</v>
      </c>
      <c r="J113" s="9">
        <v>283</v>
      </c>
      <c r="K113" s="9">
        <v>144</v>
      </c>
      <c r="L113" s="9">
        <v>137</v>
      </c>
      <c r="M113" s="9">
        <v>173</v>
      </c>
      <c r="N113" s="9">
        <v>210</v>
      </c>
      <c r="O113" s="9">
        <v>116</v>
      </c>
      <c r="P113" s="9">
        <v>292</v>
      </c>
      <c r="Q113" s="9">
        <v>264</v>
      </c>
      <c r="R113" s="9">
        <v>215</v>
      </c>
      <c r="S113" s="9">
        <v>403</v>
      </c>
      <c r="T113" s="9">
        <v>228</v>
      </c>
      <c r="U113" s="9">
        <v>447</v>
      </c>
      <c r="V113" s="9">
        <v>225</v>
      </c>
      <c r="W113" s="9">
        <v>334</v>
      </c>
      <c r="X113" s="9">
        <v>247</v>
      </c>
      <c r="Y113" s="9">
        <v>-2441</v>
      </c>
      <c r="Z113" s="9">
        <v>-82</v>
      </c>
      <c r="AA113" s="9">
        <v>-267</v>
      </c>
      <c r="AB113" s="9">
        <v>173</v>
      </c>
      <c r="AC113" s="284">
        <v>-222</v>
      </c>
      <c r="AD113" s="284">
        <v>2</v>
      </c>
      <c r="AE113" s="284" t="s">
        <v>306</v>
      </c>
      <c r="AF113" s="284">
        <v>64</v>
      </c>
      <c r="AG113" s="9">
        <v>-35</v>
      </c>
      <c r="AH113" s="9">
        <v>-269</v>
      </c>
      <c r="AI113" s="9">
        <v>13</v>
      </c>
      <c r="AJ113" s="9">
        <v>-19</v>
      </c>
    </row>
    <row r="114" spans="1:36">
      <c r="A114" s="9" t="s">
        <v>403</v>
      </c>
      <c r="B114" s="9">
        <v>-8620</v>
      </c>
      <c r="C114" s="9">
        <v>-3030</v>
      </c>
      <c r="D114" s="9">
        <v>-1931</v>
      </c>
      <c r="E114" s="9">
        <v>3882</v>
      </c>
      <c r="F114" s="9">
        <v>5191</v>
      </c>
      <c r="G114" s="9">
        <v>3114</v>
      </c>
      <c r="H114" s="9">
        <v>3526</v>
      </c>
      <c r="I114" s="9">
        <v>3814</v>
      </c>
      <c r="J114" s="9">
        <v>3885</v>
      </c>
      <c r="K114" s="9">
        <v>-695</v>
      </c>
      <c r="L114" s="9">
        <v>3572</v>
      </c>
      <c r="M114" s="9">
        <v>2334</v>
      </c>
      <c r="N114" s="9">
        <v>1112</v>
      </c>
      <c r="O114" s="9">
        <v>43</v>
      </c>
      <c r="P114" s="9">
        <v>751</v>
      </c>
      <c r="Q114" s="9">
        <v>-1176</v>
      </c>
      <c r="R114" s="9">
        <v>-116</v>
      </c>
      <c r="S114" s="9">
        <v>-14</v>
      </c>
      <c r="T114" s="9">
        <v>179</v>
      </c>
      <c r="U114" s="9">
        <v>1026</v>
      </c>
      <c r="V114" s="9">
        <v>-1109</v>
      </c>
      <c r="W114" s="9">
        <v>-17</v>
      </c>
      <c r="X114" s="9">
        <v>1702</v>
      </c>
      <c r="Y114" s="9">
        <v>477</v>
      </c>
      <c r="Z114" s="9">
        <v>3488</v>
      </c>
      <c r="AA114" s="9">
        <v>2584</v>
      </c>
      <c r="AB114" s="9">
        <v>8132</v>
      </c>
      <c r="AC114" s="284">
        <v>1793</v>
      </c>
      <c r="AD114" s="284">
        <v>2280</v>
      </c>
      <c r="AE114" s="284" t="s">
        <v>402</v>
      </c>
      <c r="AF114" s="284" t="s">
        <v>402</v>
      </c>
      <c r="AG114" s="9" t="s">
        <v>402</v>
      </c>
      <c r="AH114" s="9" t="s">
        <v>402</v>
      </c>
      <c r="AI114" s="9" t="s">
        <v>402</v>
      </c>
      <c r="AJ114" s="9" t="s">
        <v>402</v>
      </c>
    </row>
    <row r="115" spans="1:36">
      <c r="A115" s="9" t="s">
        <v>401</v>
      </c>
      <c r="B115" s="303">
        <f t="shared" ref="B115:AC115" si="0">B114</f>
        <v>-8620</v>
      </c>
      <c r="C115" s="303">
        <f t="shared" si="0"/>
        <v>-3030</v>
      </c>
      <c r="D115" s="303">
        <f t="shared" si="0"/>
        <v>-1931</v>
      </c>
      <c r="E115" s="303">
        <f t="shared" si="0"/>
        <v>3882</v>
      </c>
      <c r="F115" s="303">
        <f t="shared" si="0"/>
        <v>5191</v>
      </c>
      <c r="G115" s="303">
        <f t="shared" si="0"/>
        <v>3114</v>
      </c>
      <c r="H115" s="303">
        <f t="shared" si="0"/>
        <v>3526</v>
      </c>
      <c r="I115" s="303">
        <f t="shared" si="0"/>
        <v>3814</v>
      </c>
      <c r="J115" s="303">
        <f t="shared" si="0"/>
        <v>3885</v>
      </c>
      <c r="K115" s="303">
        <f t="shared" si="0"/>
        <v>-695</v>
      </c>
      <c r="L115" s="303">
        <f t="shared" si="0"/>
        <v>3572</v>
      </c>
      <c r="M115" s="303">
        <f t="shared" si="0"/>
        <v>2334</v>
      </c>
      <c r="N115" s="303">
        <f t="shared" si="0"/>
        <v>1112</v>
      </c>
      <c r="O115" s="303">
        <f t="shared" si="0"/>
        <v>43</v>
      </c>
      <c r="P115" s="303">
        <f t="shared" si="0"/>
        <v>751</v>
      </c>
      <c r="Q115" s="303">
        <f t="shared" si="0"/>
        <v>-1176</v>
      </c>
      <c r="R115" s="303">
        <f t="shared" si="0"/>
        <v>-116</v>
      </c>
      <c r="S115" s="303">
        <f t="shared" si="0"/>
        <v>-14</v>
      </c>
      <c r="T115" s="303">
        <f t="shared" si="0"/>
        <v>179</v>
      </c>
      <c r="U115" s="303">
        <f t="shared" si="0"/>
        <v>1026</v>
      </c>
      <c r="V115" s="303">
        <f t="shared" si="0"/>
        <v>-1109</v>
      </c>
      <c r="W115" s="303">
        <f t="shared" si="0"/>
        <v>-17</v>
      </c>
      <c r="X115" s="303">
        <f t="shared" si="0"/>
        <v>1702</v>
      </c>
      <c r="Y115" s="303">
        <f t="shared" si="0"/>
        <v>477</v>
      </c>
      <c r="Z115" s="303">
        <f t="shared" si="0"/>
        <v>3488</v>
      </c>
      <c r="AA115" s="303">
        <f t="shared" si="0"/>
        <v>2584</v>
      </c>
      <c r="AB115" s="303">
        <f t="shared" si="0"/>
        <v>8132</v>
      </c>
      <c r="AC115" s="303">
        <f t="shared" si="0"/>
        <v>1793</v>
      </c>
      <c r="AD115" s="284">
        <f>AD114</f>
        <v>2280</v>
      </c>
      <c r="AE115" s="304">
        <f t="shared" ref="AE115:AJ115" si="1">AD115</f>
        <v>2280</v>
      </c>
      <c r="AF115" s="304">
        <f t="shared" si="1"/>
        <v>2280</v>
      </c>
      <c r="AG115" s="304">
        <f t="shared" si="1"/>
        <v>2280</v>
      </c>
      <c r="AH115" s="304">
        <f t="shared" si="1"/>
        <v>2280</v>
      </c>
      <c r="AI115" s="304">
        <f t="shared" si="1"/>
        <v>2280</v>
      </c>
      <c r="AJ115" s="304">
        <f t="shared" si="1"/>
        <v>2280</v>
      </c>
    </row>
    <row r="116" spans="1:36">
      <c r="A116" s="9" t="s">
        <v>400</v>
      </c>
      <c r="B116" s="9" t="s">
        <v>273</v>
      </c>
      <c r="C116" s="9" t="s">
        <v>273</v>
      </c>
      <c r="D116" s="9" t="s">
        <v>273</v>
      </c>
      <c r="E116" s="9" t="s">
        <v>273</v>
      </c>
      <c r="F116" s="9" t="s">
        <v>273</v>
      </c>
      <c r="G116" s="9" t="s">
        <v>273</v>
      </c>
      <c r="H116" s="9" t="s">
        <v>273</v>
      </c>
      <c r="I116" s="9" t="s">
        <v>273</v>
      </c>
      <c r="J116" s="9" t="s">
        <v>273</v>
      </c>
      <c r="K116" s="9" t="s">
        <v>273</v>
      </c>
      <c r="L116" s="9" t="s">
        <v>273</v>
      </c>
      <c r="M116" s="9" t="s">
        <v>273</v>
      </c>
      <c r="N116" s="9" t="s">
        <v>273</v>
      </c>
      <c r="O116" s="9" t="s">
        <v>273</v>
      </c>
      <c r="P116" s="9" t="s">
        <v>273</v>
      </c>
      <c r="Q116" s="9" t="s">
        <v>273</v>
      </c>
      <c r="R116" s="9" t="s">
        <v>273</v>
      </c>
      <c r="S116" s="9" t="s">
        <v>273</v>
      </c>
      <c r="T116" s="9" t="s">
        <v>273</v>
      </c>
      <c r="U116" s="9" t="s">
        <v>273</v>
      </c>
      <c r="V116" s="9" t="s">
        <v>273</v>
      </c>
      <c r="W116" s="9" t="s">
        <v>273</v>
      </c>
      <c r="X116" s="9" t="s">
        <v>273</v>
      </c>
      <c r="Y116" s="9" t="s">
        <v>273</v>
      </c>
      <c r="Z116" s="9" t="s">
        <v>273</v>
      </c>
      <c r="AA116" s="9" t="s">
        <v>273</v>
      </c>
      <c r="AB116" s="9" t="s">
        <v>273</v>
      </c>
      <c r="AC116" s="284" t="s">
        <v>402</v>
      </c>
      <c r="AD116" s="284" t="s">
        <v>402</v>
      </c>
      <c r="AE116" s="284">
        <v>-46</v>
      </c>
      <c r="AF116" s="284">
        <v>-48</v>
      </c>
      <c r="AG116" s="9" t="s">
        <v>291</v>
      </c>
      <c r="AH116" s="9" t="s">
        <v>291</v>
      </c>
      <c r="AI116" s="9" t="s">
        <v>291</v>
      </c>
      <c r="AJ116" s="9" t="s">
        <v>291</v>
      </c>
    </row>
    <row r="117" spans="1:36">
      <c r="A117" s="9" t="s">
        <v>399</v>
      </c>
      <c r="B117" s="9">
        <v>0</v>
      </c>
      <c r="C117" s="9" t="s">
        <v>306</v>
      </c>
      <c r="D117" s="9">
        <v>0</v>
      </c>
      <c r="E117" s="9">
        <v>0</v>
      </c>
      <c r="F117" s="9">
        <v>0</v>
      </c>
      <c r="G117" s="9">
        <v>1</v>
      </c>
      <c r="H117" s="9">
        <v>-1</v>
      </c>
      <c r="I117" s="9" t="s">
        <v>306</v>
      </c>
      <c r="J117" s="9">
        <v>-1</v>
      </c>
      <c r="K117" s="9">
        <v>-1</v>
      </c>
      <c r="L117" s="9" t="s">
        <v>306</v>
      </c>
      <c r="M117" s="9" t="s">
        <v>306</v>
      </c>
      <c r="N117" s="9">
        <v>2</v>
      </c>
      <c r="O117" s="9" t="s">
        <v>306</v>
      </c>
      <c r="P117" s="9" t="s">
        <v>306</v>
      </c>
      <c r="Q117" s="9" t="s">
        <v>306</v>
      </c>
      <c r="R117" s="9" t="s">
        <v>306</v>
      </c>
      <c r="S117" s="9">
        <v>-2</v>
      </c>
      <c r="T117" s="9">
        <v>-1</v>
      </c>
      <c r="U117" s="9" t="s">
        <v>306</v>
      </c>
      <c r="V117" s="9" t="s">
        <v>306</v>
      </c>
      <c r="W117" s="9" t="s">
        <v>306</v>
      </c>
      <c r="X117" s="9" t="s">
        <v>306</v>
      </c>
      <c r="Y117" s="9">
        <v>37</v>
      </c>
      <c r="Z117" s="9" t="s">
        <v>291</v>
      </c>
      <c r="AA117" s="9" t="s">
        <v>291</v>
      </c>
      <c r="AB117" s="9" t="s">
        <v>306</v>
      </c>
      <c r="AC117" s="284" t="s">
        <v>291</v>
      </c>
      <c r="AD117" s="284" t="s">
        <v>291</v>
      </c>
      <c r="AE117" s="284">
        <v>-1</v>
      </c>
      <c r="AF117" s="284">
        <v>-1</v>
      </c>
      <c r="AG117" s="9">
        <v>-1</v>
      </c>
      <c r="AH117" s="9">
        <v>-1</v>
      </c>
      <c r="AI117" s="9">
        <v>2</v>
      </c>
      <c r="AJ117" s="9" t="s">
        <v>291</v>
      </c>
    </row>
    <row r="118" spans="1:36">
      <c r="A118" s="9" t="s">
        <v>398</v>
      </c>
      <c r="B118" s="9" t="s">
        <v>291</v>
      </c>
      <c r="C118" s="9" t="s">
        <v>291</v>
      </c>
      <c r="D118" s="9" t="s">
        <v>291</v>
      </c>
      <c r="E118" s="9" t="s">
        <v>291</v>
      </c>
      <c r="F118" s="9" t="s">
        <v>291</v>
      </c>
      <c r="G118" s="9" t="s">
        <v>291</v>
      </c>
      <c r="H118" s="9" t="s">
        <v>291</v>
      </c>
      <c r="I118" s="9" t="s">
        <v>291</v>
      </c>
      <c r="J118" s="9" t="s">
        <v>291</v>
      </c>
      <c r="K118" s="9" t="s">
        <v>291</v>
      </c>
      <c r="L118" s="9" t="s">
        <v>291</v>
      </c>
      <c r="M118" s="9" t="s">
        <v>291</v>
      </c>
      <c r="N118" s="9" t="s">
        <v>291</v>
      </c>
      <c r="O118" s="9" t="s">
        <v>291</v>
      </c>
      <c r="P118" s="9" t="s">
        <v>291</v>
      </c>
      <c r="Q118" s="9" t="s">
        <v>291</v>
      </c>
      <c r="R118" s="9" t="s">
        <v>291</v>
      </c>
      <c r="S118" s="9" t="s">
        <v>291</v>
      </c>
      <c r="T118" s="9" t="s">
        <v>291</v>
      </c>
      <c r="U118" s="9">
        <v>-5</v>
      </c>
      <c r="V118" s="9">
        <v>-1</v>
      </c>
      <c r="W118" s="9" t="s">
        <v>291</v>
      </c>
      <c r="X118" s="9" t="s">
        <v>291</v>
      </c>
      <c r="Y118" s="9">
        <v>5</v>
      </c>
      <c r="Z118" s="9">
        <v>13</v>
      </c>
      <c r="AA118" s="9">
        <v>9</v>
      </c>
      <c r="AB118" s="9">
        <v>2</v>
      </c>
      <c r="AC118" s="284">
        <v>191</v>
      </c>
      <c r="AD118" s="284" t="s">
        <v>291</v>
      </c>
      <c r="AE118" s="284" t="s">
        <v>291</v>
      </c>
      <c r="AF118" s="284">
        <v>64</v>
      </c>
      <c r="AG118" s="9" t="s">
        <v>291</v>
      </c>
      <c r="AH118" s="9" t="s">
        <v>291</v>
      </c>
      <c r="AI118" s="9" t="s">
        <v>291</v>
      </c>
      <c r="AJ118" s="9" t="s">
        <v>291</v>
      </c>
    </row>
    <row r="119" spans="1:36" s="284" customFormat="1">
      <c r="A119" s="289" t="s">
        <v>1114</v>
      </c>
      <c r="AC119" s="284">
        <v>0</v>
      </c>
      <c r="AD119" s="284">
        <v>0</v>
      </c>
      <c r="AE119" s="284">
        <v>0</v>
      </c>
      <c r="AF119" s="284">
        <v>0</v>
      </c>
      <c r="AG119" s="284">
        <v>0</v>
      </c>
      <c r="AH119" s="284">
        <v>0</v>
      </c>
      <c r="AI119" s="284">
        <v>0</v>
      </c>
      <c r="AJ119" s="284">
        <v>0</v>
      </c>
    </row>
    <row r="120" spans="1:36">
      <c r="A120" s="9" t="s">
        <v>397</v>
      </c>
      <c r="B120" s="9">
        <v>0</v>
      </c>
      <c r="C120" s="9">
        <v>0</v>
      </c>
      <c r="D120" s="9">
        <v>1</v>
      </c>
      <c r="E120" s="9">
        <v>1</v>
      </c>
      <c r="F120" s="9">
        <v>-1</v>
      </c>
      <c r="G120" s="9">
        <v>2</v>
      </c>
      <c r="H120" s="9" t="s">
        <v>306</v>
      </c>
      <c r="I120" s="9" t="s">
        <v>306</v>
      </c>
      <c r="J120" s="9" t="s">
        <v>306</v>
      </c>
      <c r="K120" s="9" t="s">
        <v>306</v>
      </c>
      <c r="L120" s="9">
        <v>1</v>
      </c>
      <c r="M120" s="9">
        <v>1</v>
      </c>
      <c r="N120" s="9" t="s">
        <v>306</v>
      </c>
      <c r="O120" s="9" t="s">
        <v>306</v>
      </c>
      <c r="P120" s="9" t="s">
        <v>306</v>
      </c>
      <c r="Q120" s="9" t="s">
        <v>306</v>
      </c>
      <c r="R120" s="9" t="s">
        <v>306</v>
      </c>
      <c r="S120" s="9">
        <v>7</v>
      </c>
      <c r="T120" s="9" t="s">
        <v>291</v>
      </c>
      <c r="U120" s="9" t="s">
        <v>291</v>
      </c>
      <c r="V120" s="9" t="s">
        <v>306</v>
      </c>
      <c r="W120" s="9" t="s">
        <v>306</v>
      </c>
      <c r="X120" s="9" t="s">
        <v>291</v>
      </c>
      <c r="Y120" s="9" t="s">
        <v>291</v>
      </c>
      <c r="Z120" s="9">
        <v>-4</v>
      </c>
      <c r="AA120" s="9">
        <v>0</v>
      </c>
      <c r="AB120" s="9">
        <v>0</v>
      </c>
      <c r="AC120" s="284" t="s">
        <v>306</v>
      </c>
      <c r="AD120" s="284" t="s">
        <v>306</v>
      </c>
      <c r="AE120" s="284" t="s">
        <v>306</v>
      </c>
      <c r="AF120" s="284" t="s">
        <v>306</v>
      </c>
      <c r="AG120" s="9" t="s">
        <v>306</v>
      </c>
      <c r="AH120" s="9" t="s">
        <v>306</v>
      </c>
      <c r="AI120" s="9" t="s">
        <v>306</v>
      </c>
      <c r="AJ120" s="9" t="s">
        <v>306</v>
      </c>
    </row>
    <row r="121" spans="1:36">
      <c r="A121" s="9" t="s">
        <v>396</v>
      </c>
      <c r="B121" s="9">
        <v>97</v>
      </c>
      <c r="C121" s="9">
        <v>-73</v>
      </c>
      <c r="D121" s="9">
        <v>-202</v>
      </c>
      <c r="E121" s="9">
        <v>-121</v>
      </c>
      <c r="F121" s="9">
        <v>-88</v>
      </c>
      <c r="G121" s="9">
        <v>-28</v>
      </c>
      <c r="H121" s="9">
        <v>-18</v>
      </c>
      <c r="I121" s="9" t="s">
        <v>291</v>
      </c>
      <c r="J121" s="9" t="s">
        <v>291</v>
      </c>
      <c r="K121" s="9">
        <v>-2</v>
      </c>
      <c r="L121" s="9">
        <v>55</v>
      </c>
      <c r="M121" s="9">
        <v>122</v>
      </c>
      <c r="N121" s="9">
        <v>77</v>
      </c>
      <c r="O121" s="9">
        <v>151</v>
      </c>
      <c r="P121" s="9">
        <v>50</v>
      </c>
      <c r="Q121" s="9">
        <v>-214</v>
      </c>
      <c r="R121" s="9">
        <v>395</v>
      </c>
      <c r="S121" s="9">
        <v>41</v>
      </c>
      <c r="T121" s="9">
        <v>75</v>
      </c>
      <c r="U121" s="9">
        <v>479</v>
      </c>
      <c r="V121" s="9">
        <v>225</v>
      </c>
      <c r="W121" s="9">
        <v>117</v>
      </c>
      <c r="X121" s="9">
        <v>112</v>
      </c>
      <c r="Y121" s="9">
        <v>-34</v>
      </c>
      <c r="Z121" s="9" t="s">
        <v>291</v>
      </c>
      <c r="AA121" s="9" t="s">
        <v>291</v>
      </c>
      <c r="AB121" s="9">
        <v>1389</v>
      </c>
      <c r="AC121" s="284">
        <v>1024</v>
      </c>
      <c r="AD121" s="284">
        <v>620</v>
      </c>
      <c r="AE121" s="284">
        <v>418</v>
      </c>
      <c r="AF121" s="284">
        <v>1967</v>
      </c>
      <c r="AG121" s="9">
        <v>-1028</v>
      </c>
      <c r="AH121" s="9">
        <v>350</v>
      </c>
      <c r="AI121" s="9">
        <v>68</v>
      </c>
      <c r="AJ121" s="9">
        <v>-323</v>
      </c>
    </row>
    <row r="122" spans="1:36">
      <c r="A122" s="9" t="s">
        <v>395</v>
      </c>
      <c r="B122" s="9" t="s">
        <v>273</v>
      </c>
      <c r="C122" s="9" t="s">
        <v>273</v>
      </c>
      <c r="D122" s="9" t="s">
        <v>273</v>
      </c>
      <c r="E122" s="9" t="s">
        <v>273</v>
      </c>
      <c r="F122" s="9" t="s">
        <v>273</v>
      </c>
      <c r="G122" s="9" t="s">
        <v>273</v>
      </c>
      <c r="H122" s="9" t="s">
        <v>273</v>
      </c>
      <c r="I122" s="9" t="s">
        <v>273</v>
      </c>
      <c r="J122" s="9" t="s">
        <v>273</v>
      </c>
      <c r="K122" s="9" t="s">
        <v>273</v>
      </c>
      <c r="L122" s="9" t="s">
        <v>273</v>
      </c>
      <c r="M122" s="9" t="s">
        <v>273</v>
      </c>
      <c r="N122" s="9">
        <v>0</v>
      </c>
      <c r="O122" s="9">
        <v>0</v>
      </c>
      <c r="P122" s="9">
        <v>0</v>
      </c>
      <c r="Q122" s="9">
        <v>0</v>
      </c>
      <c r="R122" s="9">
        <v>0</v>
      </c>
      <c r="S122" s="9" t="s">
        <v>306</v>
      </c>
      <c r="T122" s="9">
        <v>0</v>
      </c>
      <c r="U122" s="9">
        <v>0</v>
      </c>
      <c r="V122" s="9">
        <v>0</v>
      </c>
      <c r="W122" s="9">
        <v>0</v>
      </c>
      <c r="X122" s="9" t="s">
        <v>306</v>
      </c>
      <c r="Y122" s="9" t="s">
        <v>306</v>
      </c>
      <c r="Z122" s="9">
        <v>3</v>
      </c>
      <c r="AA122" s="9">
        <v>10</v>
      </c>
      <c r="AB122" s="9">
        <v>15</v>
      </c>
      <c r="AC122" s="284">
        <v>-1</v>
      </c>
      <c r="AD122" s="284">
        <v>-47</v>
      </c>
      <c r="AE122" s="284">
        <v>206</v>
      </c>
      <c r="AF122" s="284" t="s">
        <v>291</v>
      </c>
      <c r="AG122" s="9" t="s">
        <v>291</v>
      </c>
      <c r="AH122" s="9">
        <v>89</v>
      </c>
      <c r="AI122" s="9">
        <v>695</v>
      </c>
      <c r="AJ122" s="9">
        <v>-267</v>
      </c>
    </row>
    <row r="123" spans="1:36">
      <c r="A123" s="9" t="s">
        <v>394</v>
      </c>
      <c r="B123" s="9">
        <v>672</v>
      </c>
      <c r="C123" s="9">
        <v>34</v>
      </c>
      <c r="D123" s="9">
        <v>432</v>
      </c>
      <c r="E123" s="9">
        <v>-72</v>
      </c>
      <c r="F123" s="9">
        <v>-167</v>
      </c>
      <c r="G123" s="9">
        <v>155</v>
      </c>
      <c r="H123" s="9">
        <v>-607</v>
      </c>
      <c r="I123" s="9">
        <v>-554</v>
      </c>
      <c r="J123" s="9">
        <v>-450</v>
      </c>
      <c r="K123" s="9">
        <v>75</v>
      </c>
      <c r="L123" s="9">
        <v>-84</v>
      </c>
      <c r="M123" s="9">
        <v>837</v>
      </c>
      <c r="N123" s="9">
        <v>762</v>
      </c>
      <c r="O123" s="9">
        <v>352</v>
      </c>
      <c r="P123" s="9">
        <v>1678</v>
      </c>
      <c r="Q123" s="9">
        <v>3436</v>
      </c>
      <c r="R123" s="9">
        <v>3075</v>
      </c>
      <c r="S123" s="9">
        <v>596</v>
      </c>
      <c r="T123" s="9">
        <v>716</v>
      </c>
      <c r="U123" s="9">
        <v>2438</v>
      </c>
      <c r="V123" s="9">
        <v>-578</v>
      </c>
      <c r="W123" s="9">
        <v>2697</v>
      </c>
      <c r="X123" s="9">
        <v>1611</v>
      </c>
      <c r="Y123" s="9">
        <v>2564</v>
      </c>
      <c r="Z123" s="9">
        <v>5157</v>
      </c>
      <c r="AA123" s="9">
        <v>4490</v>
      </c>
      <c r="AB123" s="9">
        <v>3837</v>
      </c>
      <c r="AC123" s="284">
        <v>10417</v>
      </c>
      <c r="AD123" s="284">
        <v>7442</v>
      </c>
      <c r="AE123" s="284">
        <v>5340</v>
      </c>
      <c r="AF123" s="284">
        <v>2624</v>
      </c>
      <c r="AG123" s="9">
        <v>1516</v>
      </c>
      <c r="AH123" s="9">
        <v>1802</v>
      </c>
      <c r="AI123" s="9">
        <v>308</v>
      </c>
      <c r="AJ123" s="9">
        <v>-547</v>
      </c>
    </row>
    <row r="124" spans="1:36">
      <c r="A124" s="9" t="s">
        <v>393</v>
      </c>
      <c r="B124" s="9">
        <v>139</v>
      </c>
      <c r="C124" s="9">
        <v>193</v>
      </c>
      <c r="D124" s="9">
        <v>114</v>
      </c>
      <c r="E124" s="9">
        <v>372</v>
      </c>
      <c r="F124" s="9">
        <v>-94</v>
      </c>
      <c r="G124" s="9">
        <v>-151</v>
      </c>
      <c r="H124" s="9">
        <v>-102</v>
      </c>
      <c r="I124" s="9">
        <v>42</v>
      </c>
      <c r="J124" s="9">
        <v>-292</v>
      </c>
      <c r="K124" s="9">
        <v>-28</v>
      </c>
      <c r="L124" s="9">
        <v>65</v>
      </c>
      <c r="M124" s="9">
        <v>-32</v>
      </c>
      <c r="N124" s="9">
        <v>46</v>
      </c>
      <c r="O124" s="9">
        <v>-1</v>
      </c>
      <c r="P124" s="9">
        <v>118</v>
      </c>
      <c r="Q124" s="9">
        <v>259</v>
      </c>
      <c r="R124" s="9">
        <v>575</v>
      </c>
      <c r="S124" s="9">
        <v>-190</v>
      </c>
      <c r="T124" s="9">
        <v>-99</v>
      </c>
      <c r="U124" s="9">
        <v>578</v>
      </c>
      <c r="V124" s="9">
        <v>127</v>
      </c>
      <c r="W124" s="9">
        <v>470</v>
      </c>
      <c r="X124" s="9">
        <v>447</v>
      </c>
      <c r="Y124" s="9">
        <v>1112</v>
      </c>
      <c r="Z124" s="9">
        <v>54</v>
      </c>
      <c r="AA124" s="9">
        <v>996</v>
      </c>
      <c r="AB124" s="9">
        <v>1617</v>
      </c>
      <c r="AC124" s="284">
        <v>1512</v>
      </c>
      <c r="AD124" s="284">
        <v>1919</v>
      </c>
      <c r="AE124" s="284">
        <v>2331</v>
      </c>
      <c r="AF124" s="284">
        <v>2250</v>
      </c>
      <c r="AG124" s="9">
        <v>1739</v>
      </c>
      <c r="AH124" s="9">
        <v>2128</v>
      </c>
      <c r="AI124" s="9">
        <v>327</v>
      </c>
      <c r="AJ124" s="9">
        <v>-147</v>
      </c>
    </row>
    <row r="125" spans="1:36">
      <c r="A125" s="9" t="s">
        <v>392</v>
      </c>
      <c r="B125" s="9">
        <v>355</v>
      </c>
      <c r="C125" s="9">
        <v>-149</v>
      </c>
      <c r="D125" s="9">
        <v>118</v>
      </c>
      <c r="E125" s="9">
        <v>-339</v>
      </c>
      <c r="F125" s="9">
        <v>563</v>
      </c>
      <c r="G125" s="9">
        <v>239</v>
      </c>
      <c r="H125" s="9">
        <v>-57</v>
      </c>
      <c r="I125" s="9">
        <v>-214</v>
      </c>
      <c r="J125" s="9">
        <v>-423</v>
      </c>
      <c r="K125" s="9">
        <v>887</v>
      </c>
      <c r="L125" s="9">
        <v>-271</v>
      </c>
      <c r="M125" s="9">
        <v>187</v>
      </c>
      <c r="N125" s="9">
        <v>119</v>
      </c>
      <c r="O125" s="9">
        <v>61</v>
      </c>
      <c r="P125" s="9">
        <v>407</v>
      </c>
      <c r="Q125" s="9">
        <v>375</v>
      </c>
      <c r="R125" s="9">
        <v>403</v>
      </c>
      <c r="S125" s="9">
        <v>-524</v>
      </c>
      <c r="T125" s="9">
        <v>137</v>
      </c>
      <c r="U125" s="9">
        <v>-192</v>
      </c>
      <c r="V125" s="9">
        <v>588</v>
      </c>
      <c r="W125" s="9">
        <v>173</v>
      </c>
      <c r="X125" s="9">
        <v>676</v>
      </c>
      <c r="Y125" s="9">
        <v>-846</v>
      </c>
      <c r="Z125" s="9">
        <v>144</v>
      </c>
      <c r="AA125" s="9">
        <v>-596</v>
      </c>
      <c r="AB125" s="9">
        <v>1772</v>
      </c>
      <c r="AC125" s="284">
        <v>5170</v>
      </c>
      <c r="AD125" s="284">
        <v>81</v>
      </c>
      <c r="AE125" s="284">
        <v>157</v>
      </c>
      <c r="AF125" s="284">
        <v>-221</v>
      </c>
      <c r="AG125" s="9">
        <v>-430</v>
      </c>
      <c r="AH125" s="9">
        <v>-1260</v>
      </c>
      <c r="AI125" s="9">
        <v>1025</v>
      </c>
      <c r="AJ125" s="9">
        <v>-638</v>
      </c>
    </row>
    <row r="126" spans="1:36">
      <c r="A126" s="9" t="s">
        <v>391</v>
      </c>
      <c r="B126" s="9">
        <v>85</v>
      </c>
      <c r="C126" s="9">
        <v>-18</v>
      </c>
      <c r="D126" s="9">
        <v>36</v>
      </c>
      <c r="E126" s="9">
        <v>-81</v>
      </c>
      <c r="F126" s="9">
        <v>-18</v>
      </c>
      <c r="G126" s="9">
        <v>-97</v>
      </c>
      <c r="H126" s="9">
        <v>-142</v>
      </c>
      <c r="I126" s="9">
        <v>-375</v>
      </c>
      <c r="J126" s="9">
        <v>78</v>
      </c>
      <c r="K126" s="9">
        <v>110</v>
      </c>
      <c r="L126" s="9">
        <v>118</v>
      </c>
      <c r="M126" s="9">
        <v>72</v>
      </c>
      <c r="N126" s="9">
        <v>260</v>
      </c>
      <c r="O126" s="9">
        <v>289</v>
      </c>
      <c r="P126" s="9">
        <v>194</v>
      </c>
      <c r="Q126" s="9">
        <v>1298</v>
      </c>
      <c r="R126" s="9">
        <v>-83</v>
      </c>
      <c r="S126" s="9">
        <v>1155</v>
      </c>
      <c r="T126" s="9">
        <v>346</v>
      </c>
      <c r="U126" s="9">
        <v>-86</v>
      </c>
      <c r="V126" s="9">
        <v>125</v>
      </c>
      <c r="W126" s="9">
        <v>232</v>
      </c>
      <c r="X126" s="9">
        <v>480</v>
      </c>
      <c r="Y126" s="9">
        <v>82</v>
      </c>
      <c r="Z126" s="9">
        <v>159</v>
      </c>
      <c r="AA126" s="9">
        <v>1000</v>
      </c>
      <c r="AB126" s="9">
        <v>306</v>
      </c>
      <c r="AC126" s="284">
        <v>1088</v>
      </c>
      <c r="AD126" s="284">
        <v>447</v>
      </c>
      <c r="AE126" s="284">
        <v>639</v>
      </c>
      <c r="AF126" s="284">
        <v>332</v>
      </c>
      <c r="AG126" s="9">
        <v>521</v>
      </c>
      <c r="AH126" s="9">
        <v>-50</v>
      </c>
      <c r="AI126" s="9">
        <v>-176</v>
      </c>
      <c r="AJ126" s="9">
        <v>-411</v>
      </c>
    </row>
    <row r="127" spans="1:36">
      <c r="A127" s="9" t="s">
        <v>236</v>
      </c>
      <c r="B127" s="9">
        <v>93</v>
      </c>
      <c r="C127" s="9">
        <v>8</v>
      </c>
      <c r="D127" s="9">
        <v>163</v>
      </c>
      <c r="E127" s="9">
        <v>-25</v>
      </c>
      <c r="F127" s="9">
        <v>-619</v>
      </c>
      <c r="G127" s="9">
        <v>164</v>
      </c>
      <c r="H127" s="9">
        <v>-306</v>
      </c>
      <c r="I127" s="9">
        <v>-7</v>
      </c>
      <c r="J127" s="9">
        <v>186</v>
      </c>
      <c r="K127" s="9">
        <v>-894</v>
      </c>
      <c r="L127" s="9">
        <v>4</v>
      </c>
      <c r="M127" s="9">
        <v>610</v>
      </c>
      <c r="N127" s="9">
        <v>337</v>
      </c>
      <c r="O127" s="9">
        <v>3</v>
      </c>
      <c r="P127" s="9">
        <v>959</v>
      </c>
      <c r="Q127" s="9">
        <v>1504</v>
      </c>
      <c r="R127" s="9">
        <v>2181</v>
      </c>
      <c r="S127" s="9">
        <v>155</v>
      </c>
      <c r="T127" s="9">
        <v>333</v>
      </c>
      <c r="U127" s="9">
        <v>2139</v>
      </c>
      <c r="V127" s="9">
        <v>-1418</v>
      </c>
      <c r="W127" s="9">
        <v>1823</v>
      </c>
      <c r="X127" s="9">
        <v>8</v>
      </c>
      <c r="Y127" s="9">
        <v>2216</v>
      </c>
      <c r="Z127" s="9">
        <v>4800</v>
      </c>
      <c r="AA127" s="9">
        <v>3090</v>
      </c>
      <c r="AB127" s="9">
        <v>142</v>
      </c>
      <c r="AC127" s="284">
        <v>2646</v>
      </c>
      <c r="AD127" s="284">
        <v>4995</v>
      </c>
      <c r="AE127" s="284">
        <v>2213</v>
      </c>
      <c r="AF127" s="284">
        <v>264</v>
      </c>
      <c r="AG127" s="9">
        <v>-314</v>
      </c>
      <c r="AH127" s="9">
        <v>984</v>
      </c>
      <c r="AI127" s="9">
        <v>-867</v>
      </c>
      <c r="AJ127" s="9">
        <v>649</v>
      </c>
    </row>
    <row r="128" spans="1:36">
      <c r="A128" s="9" t="s">
        <v>390</v>
      </c>
      <c r="B128" s="9">
        <v>-14</v>
      </c>
      <c r="C128" s="9">
        <v>13</v>
      </c>
      <c r="D128" s="9">
        <v>3</v>
      </c>
      <c r="E128" s="9">
        <v>64</v>
      </c>
      <c r="F128" s="9">
        <v>-51</v>
      </c>
      <c r="G128" s="9">
        <v>-4</v>
      </c>
      <c r="H128" s="9">
        <v>-18</v>
      </c>
      <c r="I128" s="9">
        <v>-1</v>
      </c>
      <c r="J128" s="9">
        <v>-6</v>
      </c>
      <c r="K128" s="9">
        <v>5</v>
      </c>
      <c r="L128" s="9">
        <v>45</v>
      </c>
      <c r="M128" s="9" t="s">
        <v>291</v>
      </c>
      <c r="N128" s="9">
        <v>145</v>
      </c>
      <c r="O128" s="9">
        <v>71</v>
      </c>
      <c r="P128" s="9">
        <v>638</v>
      </c>
      <c r="Q128" s="9">
        <v>729</v>
      </c>
      <c r="R128" s="9">
        <v>1403</v>
      </c>
      <c r="S128" s="9">
        <v>-1149</v>
      </c>
      <c r="T128" s="9">
        <v>409</v>
      </c>
      <c r="U128" s="9">
        <v>1416</v>
      </c>
      <c r="V128" s="9">
        <v>-244</v>
      </c>
      <c r="W128" s="9">
        <v>636</v>
      </c>
      <c r="X128" s="9">
        <v>-205</v>
      </c>
      <c r="Y128" s="9">
        <v>1079</v>
      </c>
      <c r="Z128" s="9">
        <v>1781</v>
      </c>
      <c r="AA128" s="9">
        <v>1117</v>
      </c>
      <c r="AB128" s="9">
        <v>-401</v>
      </c>
      <c r="AC128" s="284">
        <v>578</v>
      </c>
      <c r="AD128" s="284">
        <v>715</v>
      </c>
      <c r="AE128" s="284">
        <v>581</v>
      </c>
      <c r="AF128" s="284">
        <v>-649</v>
      </c>
      <c r="AG128" s="9">
        <v>-652</v>
      </c>
      <c r="AH128" s="9">
        <v>356</v>
      </c>
      <c r="AI128" s="9">
        <v>-61</v>
      </c>
      <c r="AJ128" s="9">
        <v>350</v>
      </c>
    </row>
    <row r="129" spans="1:36">
      <c r="A129" s="9" t="s">
        <v>389</v>
      </c>
      <c r="B129" s="9">
        <v>87</v>
      </c>
      <c r="C129" s="9">
        <v>-274</v>
      </c>
      <c r="D129" s="9">
        <v>74</v>
      </c>
      <c r="E129" s="9">
        <v>14</v>
      </c>
      <c r="F129" s="9">
        <v>138</v>
      </c>
      <c r="G129" s="9">
        <v>213</v>
      </c>
      <c r="H129" s="9">
        <v>-212</v>
      </c>
      <c r="I129" s="9" t="s">
        <v>291</v>
      </c>
      <c r="J129" s="9" t="s">
        <v>291</v>
      </c>
      <c r="K129" s="9" t="s">
        <v>291</v>
      </c>
      <c r="L129" s="9" t="s">
        <v>291</v>
      </c>
      <c r="M129" s="9" t="s">
        <v>291</v>
      </c>
      <c r="N129" s="9" t="s">
        <v>291</v>
      </c>
      <c r="O129" s="9" t="s">
        <v>291</v>
      </c>
      <c r="P129" s="9">
        <v>-65</v>
      </c>
      <c r="Q129" s="9">
        <v>203</v>
      </c>
      <c r="R129" s="9">
        <v>273</v>
      </c>
      <c r="S129" s="9">
        <v>443</v>
      </c>
      <c r="T129" s="9">
        <v>79</v>
      </c>
      <c r="U129" s="9">
        <v>342</v>
      </c>
      <c r="V129" s="9">
        <v>-263</v>
      </c>
      <c r="W129" s="9">
        <v>-36</v>
      </c>
      <c r="X129" s="9">
        <v>-22</v>
      </c>
      <c r="Y129" s="9">
        <v>98</v>
      </c>
      <c r="Z129" s="9">
        <v>280</v>
      </c>
      <c r="AA129" s="9">
        <v>-99</v>
      </c>
      <c r="AB129" s="9">
        <v>789</v>
      </c>
      <c r="AC129" s="284">
        <v>54</v>
      </c>
      <c r="AD129" s="284">
        <v>1974</v>
      </c>
      <c r="AE129" s="284">
        <v>664</v>
      </c>
      <c r="AF129" s="284">
        <v>-1998</v>
      </c>
      <c r="AG129" s="9">
        <v>282</v>
      </c>
      <c r="AH129" s="9">
        <v>574</v>
      </c>
      <c r="AI129" s="9">
        <v>-1082</v>
      </c>
      <c r="AJ129" s="9">
        <v>544</v>
      </c>
    </row>
    <row r="130" spans="1:36">
      <c r="A130" s="9" t="s">
        <v>388</v>
      </c>
      <c r="B130" s="9" t="s">
        <v>273</v>
      </c>
      <c r="C130" s="9" t="s">
        <v>273</v>
      </c>
      <c r="D130" s="9" t="s">
        <v>273</v>
      </c>
      <c r="E130" s="9" t="s">
        <v>273</v>
      </c>
      <c r="F130" s="9" t="s">
        <v>273</v>
      </c>
      <c r="G130" s="9" t="s">
        <v>273</v>
      </c>
      <c r="H130" s="9" t="s">
        <v>273</v>
      </c>
      <c r="I130" s="9" t="s">
        <v>273</v>
      </c>
      <c r="J130" s="9" t="s">
        <v>273</v>
      </c>
      <c r="K130" s="9" t="s">
        <v>273</v>
      </c>
      <c r="L130" s="9" t="s">
        <v>273</v>
      </c>
      <c r="M130" s="9" t="s">
        <v>273</v>
      </c>
      <c r="N130" s="9" t="s">
        <v>273</v>
      </c>
      <c r="O130" s="9" t="s">
        <v>273</v>
      </c>
      <c r="P130" s="9" t="s">
        <v>273</v>
      </c>
      <c r="Q130" s="9" t="s">
        <v>273</v>
      </c>
      <c r="R130" s="9" t="s">
        <v>273</v>
      </c>
      <c r="S130" s="9" t="s">
        <v>273</v>
      </c>
      <c r="T130" s="9" t="s">
        <v>273</v>
      </c>
      <c r="U130" s="9" t="s">
        <v>273</v>
      </c>
      <c r="V130" s="9" t="s">
        <v>273</v>
      </c>
      <c r="W130" s="9" t="s">
        <v>273</v>
      </c>
      <c r="X130" s="9">
        <v>52</v>
      </c>
      <c r="Y130" s="9">
        <v>-41</v>
      </c>
      <c r="Z130" s="9">
        <v>6</v>
      </c>
      <c r="AA130" s="9">
        <v>-8</v>
      </c>
      <c r="AB130" s="9">
        <v>2</v>
      </c>
      <c r="AC130" s="284">
        <v>-10</v>
      </c>
      <c r="AD130" s="284" t="s">
        <v>306</v>
      </c>
      <c r="AE130" s="284" t="s">
        <v>306</v>
      </c>
      <c r="AF130" s="284" t="s">
        <v>306</v>
      </c>
      <c r="AG130" s="9" t="s">
        <v>306</v>
      </c>
      <c r="AH130" s="9" t="s">
        <v>306</v>
      </c>
      <c r="AI130" s="9" t="s">
        <v>306</v>
      </c>
      <c r="AJ130" s="9" t="s">
        <v>306</v>
      </c>
    </row>
    <row r="131" spans="1:36">
      <c r="A131" s="9" t="s">
        <v>387</v>
      </c>
      <c r="B131" s="9" t="s">
        <v>291</v>
      </c>
      <c r="C131" s="9" t="s">
        <v>291</v>
      </c>
      <c r="D131" s="9" t="s">
        <v>291</v>
      </c>
      <c r="E131" s="9" t="s">
        <v>291</v>
      </c>
      <c r="F131" s="9" t="s">
        <v>291</v>
      </c>
      <c r="G131" s="9" t="s">
        <v>291</v>
      </c>
      <c r="H131" s="9" t="s">
        <v>291</v>
      </c>
      <c r="I131" s="9" t="s">
        <v>291</v>
      </c>
      <c r="J131" s="9" t="s">
        <v>291</v>
      </c>
      <c r="K131" s="9">
        <v>1</v>
      </c>
      <c r="L131" s="9">
        <v>24</v>
      </c>
      <c r="M131" s="9">
        <v>-51</v>
      </c>
      <c r="N131" s="9">
        <v>-3</v>
      </c>
      <c r="O131" s="9" t="s">
        <v>306</v>
      </c>
      <c r="P131" s="9">
        <v>-1</v>
      </c>
      <c r="Q131" s="9">
        <v>-1</v>
      </c>
      <c r="R131" s="9">
        <v>-13</v>
      </c>
      <c r="S131" s="9">
        <v>0</v>
      </c>
      <c r="T131" s="9">
        <v>0</v>
      </c>
      <c r="U131" s="9">
        <v>0</v>
      </c>
      <c r="V131" s="9">
        <v>0</v>
      </c>
      <c r="W131" s="9">
        <v>0</v>
      </c>
      <c r="X131" s="9">
        <v>3</v>
      </c>
      <c r="Y131" s="9" t="s">
        <v>291</v>
      </c>
      <c r="Z131" s="9" t="s">
        <v>291</v>
      </c>
      <c r="AA131" s="9" t="s">
        <v>291</v>
      </c>
      <c r="AB131" s="9">
        <v>2</v>
      </c>
      <c r="AC131" s="284">
        <v>15</v>
      </c>
      <c r="AD131" s="284">
        <v>3</v>
      </c>
      <c r="AE131" s="284">
        <v>3</v>
      </c>
      <c r="AF131" s="284">
        <v>45</v>
      </c>
      <c r="AG131" s="9">
        <v>-13</v>
      </c>
      <c r="AH131" s="9">
        <v>1</v>
      </c>
      <c r="AI131" s="9">
        <v>-23</v>
      </c>
      <c r="AJ131" s="9" t="s">
        <v>291</v>
      </c>
    </row>
    <row r="132" spans="1:36">
      <c r="A132" s="9" t="s">
        <v>386</v>
      </c>
      <c r="B132" s="9" t="s">
        <v>306</v>
      </c>
      <c r="C132" s="9">
        <v>2</v>
      </c>
      <c r="D132" s="9">
        <v>1</v>
      </c>
      <c r="E132" s="9" t="s">
        <v>291</v>
      </c>
      <c r="F132" s="9" t="s">
        <v>291</v>
      </c>
      <c r="G132" s="9" t="s">
        <v>291</v>
      </c>
      <c r="H132" s="9" t="s">
        <v>291</v>
      </c>
      <c r="I132" s="9" t="s">
        <v>306</v>
      </c>
      <c r="J132" s="9" t="s">
        <v>306</v>
      </c>
      <c r="K132" s="9" t="s">
        <v>306</v>
      </c>
      <c r="L132" s="9" t="s">
        <v>306</v>
      </c>
      <c r="M132" s="9" t="s">
        <v>306</v>
      </c>
      <c r="N132" s="9" t="s">
        <v>306</v>
      </c>
      <c r="O132" s="9" t="s">
        <v>306</v>
      </c>
      <c r="P132" s="9" t="s">
        <v>306</v>
      </c>
      <c r="Q132" s="9">
        <v>1</v>
      </c>
      <c r="R132" s="9" t="s">
        <v>306</v>
      </c>
      <c r="S132" s="9">
        <v>-21</v>
      </c>
      <c r="T132" s="9">
        <v>5</v>
      </c>
      <c r="U132" s="9">
        <v>6</v>
      </c>
      <c r="V132" s="9">
        <v>5</v>
      </c>
      <c r="W132" s="9">
        <v>-9</v>
      </c>
      <c r="X132" s="9">
        <v>-3</v>
      </c>
      <c r="Y132" s="9">
        <v>0</v>
      </c>
      <c r="Z132" s="9">
        <v>0</v>
      </c>
      <c r="AA132" s="9" t="s">
        <v>273</v>
      </c>
      <c r="AB132" s="9" t="s">
        <v>273</v>
      </c>
      <c r="AC132" s="284">
        <v>0</v>
      </c>
      <c r="AD132" s="284">
        <v>0</v>
      </c>
      <c r="AE132" s="284">
        <v>0</v>
      </c>
      <c r="AF132" s="284">
        <v>0</v>
      </c>
      <c r="AG132" s="9">
        <v>0</v>
      </c>
      <c r="AH132" s="9">
        <v>0</v>
      </c>
      <c r="AI132" s="9">
        <v>0</v>
      </c>
      <c r="AJ132" s="9">
        <v>0</v>
      </c>
    </row>
    <row r="133" spans="1:36">
      <c r="A133" s="9" t="s">
        <v>385</v>
      </c>
      <c r="B133" s="9">
        <v>1</v>
      </c>
      <c r="C133" s="9">
        <v>-1</v>
      </c>
      <c r="D133" s="9">
        <v>1</v>
      </c>
      <c r="E133" s="9">
        <v>-1</v>
      </c>
      <c r="F133" s="9" t="s">
        <v>306</v>
      </c>
      <c r="G133" s="9">
        <v>0</v>
      </c>
      <c r="H133" s="9">
        <v>0</v>
      </c>
      <c r="I133" s="9" t="s">
        <v>273</v>
      </c>
      <c r="J133" s="9" t="s">
        <v>273</v>
      </c>
      <c r="K133" s="9" t="s">
        <v>273</v>
      </c>
      <c r="L133" s="9" t="s">
        <v>273</v>
      </c>
      <c r="M133" s="9" t="s">
        <v>273</v>
      </c>
      <c r="N133" s="9" t="s">
        <v>273</v>
      </c>
      <c r="O133" s="9" t="s">
        <v>273</v>
      </c>
      <c r="P133" s="9" t="s">
        <v>273</v>
      </c>
      <c r="Q133" s="9" t="s">
        <v>273</v>
      </c>
      <c r="R133" s="9" t="s">
        <v>273</v>
      </c>
      <c r="S133" s="9" t="s">
        <v>273</v>
      </c>
      <c r="T133" s="9" t="s">
        <v>273</v>
      </c>
      <c r="U133" s="9" t="s">
        <v>273</v>
      </c>
      <c r="V133" s="9" t="s">
        <v>273</v>
      </c>
      <c r="W133" s="9" t="s">
        <v>273</v>
      </c>
      <c r="X133" s="9">
        <v>1</v>
      </c>
      <c r="Y133" s="9" t="s">
        <v>306</v>
      </c>
      <c r="Z133" s="9" t="s">
        <v>306</v>
      </c>
      <c r="AA133" s="9" t="s">
        <v>306</v>
      </c>
      <c r="AB133" s="9" t="s">
        <v>306</v>
      </c>
      <c r="AC133" s="284" t="s">
        <v>306</v>
      </c>
      <c r="AD133" s="284" t="s">
        <v>306</v>
      </c>
      <c r="AE133" s="284" t="s">
        <v>306</v>
      </c>
      <c r="AF133" s="284" t="s">
        <v>306</v>
      </c>
      <c r="AG133" s="9" t="s">
        <v>306</v>
      </c>
      <c r="AH133" s="9" t="s">
        <v>306</v>
      </c>
      <c r="AI133" s="9" t="s">
        <v>306</v>
      </c>
      <c r="AJ133" s="9" t="s">
        <v>306</v>
      </c>
    </row>
    <row r="134" spans="1:36" s="284" customFormat="1">
      <c r="A134" s="290" t="s">
        <v>1115</v>
      </c>
      <c r="AC134" s="284">
        <v>0</v>
      </c>
      <c r="AD134" s="284">
        <v>0</v>
      </c>
      <c r="AE134" s="284">
        <v>0</v>
      </c>
      <c r="AF134" s="284">
        <v>0</v>
      </c>
      <c r="AG134" s="284" t="s">
        <v>291</v>
      </c>
      <c r="AH134" s="284">
        <v>2</v>
      </c>
      <c r="AI134" s="284">
        <v>0</v>
      </c>
      <c r="AJ134" s="284">
        <v>0</v>
      </c>
    </row>
    <row r="135" spans="1:36">
      <c r="A135" s="9" t="s">
        <v>384</v>
      </c>
      <c r="B135" s="9" t="s">
        <v>291</v>
      </c>
      <c r="C135" s="9" t="s">
        <v>291</v>
      </c>
      <c r="D135" s="9" t="s">
        <v>291</v>
      </c>
      <c r="E135" s="9" t="s">
        <v>291</v>
      </c>
      <c r="F135" s="9" t="s">
        <v>291</v>
      </c>
      <c r="G135" s="9" t="s">
        <v>291</v>
      </c>
      <c r="H135" s="9" t="s">
        <v>291</v>
      </c>
      <c r="I135" s="9" t="s">
        <v>291</v>
      </c>
      <c r="J135" s="9" t="s">
        <v>291</v>
      </c>
      <c r="K135" s="9" t="s">
        <v>291</v>
      </c>
      <c r="L135" s="9">
        <v>-52</v>
      </c>
      <c r="M135" s="9">
        <v>10</v>
      </c>
      <c r="N135" s="9">
        <v>-15</v>
      </c>
      <c r="O135" s="9">
        <v>6</v>
      </c>
      <c r="P135" s="9">
        <v>25</v>
      </c>
      <c r="Q135" s="9">
        <v>38</v>
      </c>
      <c r="R135" s="9">
        <v>-41</v>
      </c>
      <c r="S135" s="9" t="s">
        <v>306</v>
      </c>
      <c r="T135" s="9" t="s">
        <v>306</v>
      </c>
      <c r="U135" s="9">
        <v>-1</v>
      </c>
      <c r="V135" s="9">
        <v>-1</v>
      </c>
      <c r="W135" s="9" t="s">
        <v>306</v>
      </c>
      <c r="X135" s="9">
        <v>-32</v>
      </c>
      <c r="Y135" s="9">
        <v>36</v>
      </c>
      <c r="Z135" s="9">
        <v>-11</v>
      </c>
      <c r="AA135" s="9">
        <v>-52</v>
      </c>
      <c r="AB135" s="9">
        <v>2</v>
      </c>
      <c r="AC135" s="284">
        <v>-50</v>
      </c>
      <c r="AD135" s="284">
        <v>48</v>
      </c>
      <c r="AE135" s="284">
        <v>-4</v>
      </c>
      <c r="AF135" s="284">
        <v>5</v>
      </c>
      <c r="AG135" s="9">
        <v>15</v>
      </c>
      <c r="AH135" s="9" t="s">
        <v>291</v>
      </c>
      <c r="AI135" s="9">
        <v>-49</v>
      </c>
      <c r="AJ135" s="9">
        <v>-67</v>
      </c>
    </row>
    <row r="136" spans="1:36">
      <c r="A136" s="9" t="s">
        <v>383</v>
      </c>
      <c r="B136" s="9" t="s">
        <v>306</v>
      </c>
      <c r="C136" s="9" t="s">
        <v>306</v>
      </c>
      <c r="D136" s="9" t="s">
        <v>306</v>
      </c>
      <c r="E136" s="9">
        <v>1</v>
      </c>
      <c r="F136" s="9">
        <v>-2</v>
      </c>
      <c r="G136" s="9" t="s">
        <v>306</v>
      </c>
      <c r="H136" s="9" t="s">
        <v>306</v>
      </c>
      <c r="I136" s="9" t="s">
        <v>273</v>
      </c>
      <c r="J136" s="9" t="s">
        <v>273</v>
      </c>
      <c r="K136" s="9" t="s">
        <v>273</v>
      </c>
      <c r="L136" s="9" t="s">
        <v>273</v>
      </c>
      <c r="M136" s="9" t="s">
        <v>273</v>
      </c>
      <c r="N136" s="9" t="s">
        <v>273</v>
      </c>
      <c r="O136" s="9" t="s">
        <v>273</v>
      </c>
      <c r="P136" s="9" t="s">
        <v>273</v>
      </c>
      <c r="Q136" s="9" t="s">
        <v>273</v>
      </c>
      <c r="R136" s="9" t="s">
        <v>273</v>
      </c>
      <c r="S136" s="9">
        <v>94</v>
      </c>
      <c r="T136" s="9">
        <v>-68</v>
      </c>
      <c r="U136" s="9">
        <v>-120</v>
      </c>
      <c r="V136" s="9">
        <v>-6</v>
      </c>
      <c r="W136" s="9">
        <v>163</v>
      </c>
      <c r="X136" s="9" t="s">
        <v>291</v>
      </c>
      <c r="Y136" s="9" t="s">
        <v>291</v>
      </c>
      <c r="Z136" s="9" t="s">
        <v>291</v>
      </c>
      <c r="AA136" s="9" t="s">
        <v>273</v>
      </c>
      <c r="AB136" s="9" t="s">
        <v>273</v>
      </c>
      <c r="AC136" s="284">
        <v>1</v>
      </c>
      <c r="AD136" s="284">
        <v>1</v>
      </c>
      <c r="AE136" s="284" t="s">
        <v>291</v>
      </c>
      <c r="AF136" s="284" t="s">
        <v>291</v>
      </c>
      <c r="AG136" s="9" t="s">
        <v>291</v>
      </c>
      <c r="AH136" s="9" t="s">
        <v>291</v>
      </c>
      <c r="AI136" s="9" t="s">
        <v>291</v>
      </c>
      <c r="AJ136" s="9" t="s">
        <v>291</v>
      </c>
    </row>
    <row r="137" spans="1:36">
      <c r="A137" s="9" t="s">
        <v>382</v>
      </c>
      <c r="B137" s="9" t="s">
        <v>291</v>
      </c>
      <c r="C137" s="9" t="s">
        <v>291</v>
      </c>
      <c r="D137" s="9" t="s">
        <v>291</v>
      </c>
      <c r="E137" s="9" t="s">
        <v>291</v>
      </c>
      <c r="F137" s="9" t="s">
        <v>291</v>
      </c>
      <c r="G137" s="9">
        <v>-1</v>
      </c>
      <c r="H137" s="9" t="s">
        <v>306</v>
      </c>
      <c r="I137" s="9">
        <v>16</v>
      </c>
      <c r="J137" s="9" t="s">
        <v>291</v>
      </c>
      <c r="K137" s="9">
        <v>-13</v>
      </c>
      <c r="L137" s="9">
        <v>4</v>
      </c>
      <c r="M137" s="9">
        <v>17</v>
      </c>
      <c r="N137" s="9" t="s">
        <v>291</v>
      </c>
      <c r="O137" s="9" t="s">
        <v>291</v>
      </c>
      <c r="P137" s="9">
        <v>6</v>
      </c>
      <c r="Q137" s="9">
        <v>16</v>
      </c>
      <c r="R137" s="9" t="s">
        <v>291</v>
      </c>
      <c r="S137" s="9" t="s">
        <v>306</v>
      </c>
      <c r="T137" s="9">
        <v>0</v>
      </c>
      <c r="U137" s="9">
        <v>0</v>
      </c>
      <c r="V137" s="9">
        <v>0</v>
      </c>
      <c r="W137" s="9" t="s">
        <v>306</v>
      </c>
      <c r="X137" s="9">
        <v>1</v>
      </c>
      <c r="Y137" s="9" t="s">
        <v>306</v>
      </c>
      <c r="Z137" s="9" t="s">
        <v>306</v>
      </c>
      <c r="AA137" s="9" t="s">
        <v>291</v>
      </c>
      <c r="AB137" s="9" t="s">
        <v>291</v>
      </c>
      <c r="AC137" s="284" t="s">
        <v>291</v>
      </c>
      <c r="AD137" s="284" t="s">
        <v>291</v>
      </c>
      <c r="AE137" s="284" t="s">
        <v>291</v>
      </c>
      <c r="AF137" s="284" t="s">
        <v>291</v>
      </c>
      <c r="AG137" s="9" t="s">
        <v>291</v>
      </c>
      <c r="AH137" s="9" t="s">
        <v>291</v>
      </c>
      <c r="AI137" s="9">
        <v>-31</v>
      </c>
      <c r="AJ137" s="9">
        <v>-98</v>
      </c>
    </row>
    <row r="138" spans="1:36">
      <c r="A138" s="9" t="s">
        <v>381</v>
      </c>
      <c r="B138" s="9" t="s">
        <v>273</v>
      </c>
      <c r="C138" s="9" t="s">
        <v>273</v>
      </c>
      <c r="D138" s="9" t="s">
        <v>273</v>
      </c>
      <c r="E138" s="9" t="s">
        <v>273</v>
      </c>
      <c r="F138" s="9" t="s">
        <v>273</v>
      </c>
      <c r="G138" s="9" t="s">
        <v>273</v>
      </c>
      <c r="H138" s="9" t="s">
        <v>273</v>
      </c>
      <c r="I138" s="9" t="s">
        <v>273</v>
      </c>
      <c r="J138" s="9" t="s">
        <v>273</v>
      </c>
      <c r="K138" s="9" t="s">
        <v>273</v>
      </c>
      <c r="L138" s="9" t="s">
        <v>273</v>
      </c>
      <c r="M138" s="9" t="s">
        <v>273</v>
      </c>
      <c r="N138" s="9" t="s">
        <v>273</v>
      </c>
      <c r="O138" s="9" t="s">
        <v>273</v>
      </c>
      <c r="P138" s="9" t="s">
        <v>273</v>
      </c>
      <c r="Q138" s="9" t="s">
        <v>273</v>
      </c>
      <c r="R138" s="9" t="s">
        <v>273</v>
      </c>
      <c r="S138" s="9" t="s">
        <v>291</v>
      </c>
      <c r="T138" s="9" t="s">
        <v>291</v>
      </c>
      <c r="U138" s="9" t="s">
        <v>291</v>
      </c>
      <c r="V138" s="9" t="s">
        <v>291</v>
      </c>
      <c r="W138" s="9" t="s">
        <v>291</v>
      </c>
      <c r="X138" s="9" t="s">
        <v>273</v>
      </c>
      <c r="Y138" s="9" t="s">
        <v>273</v>
      </c>
      <c r="Z138" s="9" t="s">
        <v>273</v>
      </c>
      <c r="AA138" s="9" t="s">
        <v>306</v>
      </c>
      <c r="AB138" s="9" t="s">
        <v>306</v>
      </c>
      <c r="AC138" s="284" t="s">
        <v>306</v>
      </c>
      <c r="AD138" s="284" t="s">
        <v>306</v>
      </c>
      <c r="AE138" s="284" t="s">
        <v>306</v>
      </c>
      <c r="AF138" s="284" t="s">
        <v>306</v>
      </c>
      <c r="AG138" s="9" t="s">
        <v>306</v>
      </c>
      <c r="AH138" s="9" t="s">
        <v>306</v>
      </c>
      <c r="AI138" s="9" t="s">
        <v>306</v>
      </c>
      <c r="AJ138" s="9" t="s">
        <v>306</v>
      </c>
    </row>
    <row r="139" spans="1:36">
      <c r="A139" s="9" t="s">
        <v>380</v>
      </c>
      <c r="B139" s="9" t="s">
        <v>273</v>
      </c>
      <c r="C139" s="9" t="s">
        <v>273</v>
      </c>
      <c r="D139" s="9" t="s">
        <v>273</v>
      </c>
      <c r="E139" s="9" t="s">
        <v>273</v>
      </c>
      <c r="F139" s="9" t="s">
        <v>273</v>
      </c>
      <c r="G139" s="9" t="s">
        <v>273</v>
      </c>
      <c r="H139" s="9" t="s">
        <v>273</v>
      </c>
      <c r="I139" s="9" t="s">
        <v>273</v>
      </c>
      <c r="J139" s="9" t="s">
        <v>273</v>
      </c>
      <c r="K139" s="9" t="s">
        <v>273</v>
      </c>
      <c r="L139" s="9" t="s">
        <v>273</v>
      </c>
      <c r="M139" s="9" t="s">
        <v>273</v>
      </c>
      <c r="N139" s="9" t="s">
        <v>291</v>
      </c>
      <c r="O139" s="9" t="s">
        <v>291</v>
      </c>
      <c r="P139" s="9" t="s">
        <v>291</v>
      </c>
      <c r="Q139" s="9">
        <v>-1</v>
      </c>
      <c r="R139" s="9">
        <v>15</v>
      </c>
      <c r="S139" s="9">
        <v>97</v>
      </c>
      <c r="T139" s="9">
        <v>-48</v>
      </c>
      <c r="U139" s="9">
        <v>-8</v>
      </c>
      <c r="V139" s="9">
        <v>5</v>
      </c>
      <c r="W139" s="9">
        <v>-70</v>
      </c>
      <c r="X139" s="9">
        <v>25</v>
      </c>
      <c r="Y139" s="9">
        <v>-57</v>
      </c>
      <c r="Z139" s="9">
        <v>134</v>
      </c>
      <c r="AA139" s="9">
        <v>-15</v>
      </c>
      <c r="AB139" s="9" t="s">
        <v>291</v>
      </c>
      <c r="AC139" s="284">
        <v>52</v>
      </c>
      <c r="AD139" s="284">
        <v>-66</v>
      </c>
      <c r="AE139" s="284">
        <v>-43</v>
      </c>
      <c r="AF139" s="284" t="s">
        <v>291</v>
      </c>
      <c r="AG139" s="9">
        <v>-408</v>
      </c>
      <c r="AH139" s="9" t="s">
        <v>291</v>
      </c>
      <c r="AI139" s="9" t="s">
        <v>291</v>
      </c>
      <c r="AJ139" s="9" t="s">
        <v>291</v>
      </c>
    </row>
    <row r="140" spans="1:36">
      <c r="A140" s="9" t="s">
        <v>379</v>
      </c>
      <c r="B140" s="9" t="s">
        <v>273</v>
      </c>
      <c r="C140" s="9" t="s">
        <v>273</v>
      </c>
      <c r="D140" s="9" t="s">
        <v>273</v>
      </c>
      <c r="E140" s="9" t="s">
        <v>273</v>
      </c>
      <c r="F140" s="9" t="s">
        <v>273</v>
      </c>
      <c r="G140" s="9" t="s">
        <v>273</v>
      </c>
      <c r="H140" s="9" t="s">
        <v>273</v>
      </c>
      <c r="I140" s="9" t="s">
        <v>273</v>
      </c>
      <c r="J140" s="9" t="s">
        <v>273</v>
      </c>
      <c r="K140" s="9" t="s">
        <v>273</v>
      </c>
      <c r="L140" s="9" t="s">
        <v>273</v>
      </c>
      <c r="M140" s="9" t="s">
        <v>273</v>
      </c>
      <c r="N140" s="9">
        <v>-16</v>
      </c>
      <c r="O140" s="9">
        <v>-5</v>
      </c>
      <c r="P140" s="9">
        <v>2</v>
      </c>
      <c r="Q140" s="9">
        <v>-39</v>
      </c>
      <c r="R140" s="9">
        <v>58</v>
      </c>
      <c r="S140" s="9">
        <v>-37</v>
      </c>
      <c r="T140" s="9">
        <v>-11</v>
      </c>
      <c r="U140" s="9">
        <v>-16</v>
      </c>
      <c r="V140" s="9">
        <v>-36</v>
      </c>
      <c r="W140" s="9">
        <v>-26</v>
      </c>
      <c r="X140" s="9">
        <v>21</v>
      </c>
      <c r="Y140" s="9">
        <v>-15</v>
      </c>
      <c r="Z140" s="9">
        <v>-18</v>
      </c>
      <c r="AA140" s="9" t="s">
        <v>291</v>
      </c>
      <c r="AB140" s="9" t="s">
        <v>291</v>
      </c>
      <c r="AC140" s="284" t="s">
        <v>291</v>
      </c>
      <c r="AD140" s="284" t="s">
        <v>291</v>
      </c>
      <c r="AE140" s="284" t="s">
        <v>291</v>
      </c>
      <c r="AF140" s="284" t="s">
        <v>291</v>
      </c>
      <c r="AG140" s="9">
        <v>130</v>
      </c>
      <c r="AH140" s="9">
        <v>115</v>
      </c>
      <c r="AI140" s="9">
        <v>213</v>
      </c>
      <c r="AJ140" s="9">
        <v>-11</v>
      </c>
    </row>
    <row r="141" spans="1:36">
      <c r="A141" s="9" t="s">
        <v>378</v>
      </c>
      <c r="B141" s="9">
        <v>170</v>
      </c>
      <c r="C141" s="9">
        <v>-150</v>
      </c>
      <c r="D141" s="9">
        <v>-71</v>
      </c>
      <c r="E141" s="9">
        <v>-66</v>
      </c>
      <c r="F141" s="9">
        <v>-110</v>
      </c>
      <c r="G141" s="9">
        <v>13</v>
      </c>
      <c r="H141" s="9">
        <v>65</v>
      </c>
      <c r="I141" s="9">
        <v>11</v>
      </c>
      <c r="J141" s="9">
        <v>4</v>
      </c>
      <c r="K141" s="9">
        <v>-644</v>
      </c>
      <c r="L141" s="9" t="s">
        <v>291</v>
      </c>
      <c r="M141" s="9">
        <v>3</v>
      </c>
      <c r="N141" s="9">
        <v>20</v>
      </c>
      <c r="O141" s="9">
        <v>3</v>
      </c>
      <c r="P141" s="9">
        <v>41</v>
      </c>
      <c r="Q141" s="9">
        <v>67</v>
      </c>
      <c r="R141" s="9">
        <v>41</v>
      </c>
      <c r="S141" s="9">
        <v>8</v>
      </c>
      <c r="T141" s="9">
        <v>-8</v>
      </c>
      <c r="U141" s="9">
        <v>-64</v>
      </c>
      <c r="V141" s="9">
        <v>40</v>
      </c>
      <c r="W141" s="9">
        <v>20</v>
      </c>
      <c r="X141" s="9">
        <v>60</v>
      </c>
      <c r="Y141" s="9">
        <v>54</v>
      </c>
      <c r="Z141" s="9">
        <v>-23</v>
      </c>
      <c r="AA141" s="9">
        <v>-88</v>
      </c>
      <c r="AB141" s="9">
        <v>-166</v>
      </c>
      <c r="AC141" s="284">
        <v>31</v>
      </c>
      <c r="AD141" s="284">
        <v>-13</v>
      </c>
      <c r="AE141" s="284">
        <v>-10</v>
      </c>
      <c r="AF141" s="284">
        <v>-31</v>
      </c>
      <c r="AG141" s="9" t="s">
        <v>291</v>
      </c>
      <c r="AH141" s="9">
        <v>68</v>
      </c>
      <c r="AI141" s="9">
        <v>-14</v>
      </c>
      <c r="AJ141" s="9">
        <v>116</v>
      </c>
    </row>
    <row r="142" spans="1:36">
      <c r="A142" s="9" t="s">
        <v>377</v>
      </c>
      <c r="B142" s="9" t="s">
        <v>291</v>
      </c>
      <c r="C142" s="9" t="s">
        <v>291</v>
      </c>
      <c r="D142" s="9" t="s">
        <v>291</v>
      </c>
      <c r="E142" s="9" t="s">
        <v>291</v>
      </c>
      <c r="F142" s="9" t="s">
        <v>291</v>
      </c>
      <c r="G142" s="9">
        <v>-4</v>
      </c>
      <c r="H142" s="9">
        <v>1</v>
      </c>
      <c r="I142" s="9" t="s">
        <v>291</v>
      </c>
      <c r="J142" s="9" t="s">
        <v>291</v>
      </c>
      <c r="K142" s="9" t="s">
        <v>291</v>
      </c>
      <c r="L142" s="9" t="s">
        <v>291</v>
      </c>
      <c r="M142" s="9" t="s">
        <v>291</v>
      </c>
      <c r="N142" s="9" t="s">
        <v>291</v>
      </c>
      <c r="O142" s="9" t="s">
        <v>291</v>
      </c>
      <c r="P142" s="9" t="s">
        <v>291</v>
      </c>
      <c r="Q142" s="9" t="s">
        <v>291</v>
      </c>
      <c r="R142" s="9" t="s">
        <v>291</v>
      </c>
      <c r="S142" s="9" t="s">
        <v>306</v>
      </c>
      <c r="T142" s="9" t="s">
        <v>306</v>
      </c>
      <c r="U142" s="9">
        <v>-1</v>
      </c>
      <c r="V142" s="9">
        <v>-1</v>
      </c>
      <c r="W142" s="9">
        <v>-1</v>
      </c>
      <c r="X142" s="9" t="s">
        <v>291</v>
      </c>
      <c r="Y142" s="9" t="s">
        <v>291</v>
      </c>
      <c r="Z142" s="9" t="s">
        <v>291</v>
      </c>
      <c r="AA142" s="9">
        <v>-1</v>
      </c>
      <c r="AB142" s="9">
        <v>0</v>
      </c>
      <c r="AC142" s="284">
        <v>1</v>
      </c>
      <c r="AD142" s="284">
        <v>1</v>
      </c>
      <c r="AE142" s="284">
        <v>1</v>
      </c>
      <c r="AF142" s="284">
        <v>1</v>
      </c>
      <c r="AG142" s="9">
        <v>1</v>
      </c>
      <c r="AH142" s="9">
        <v>1</v>
      </c>
      <c r="AI142" s="9" t="s">
        <v>291</v>
      </c>
      <c r="AJ142" s="9" t="s">
        <v>291</v>
      </c>
    </row>
    <row r="143" spans="1:36">
      <c r="A143" s="9" t="s">
        <v>376</v>
      </c>
      <c r="B143" s="9" t="s">
        <v>273</v>
      </c>
      <c r="C143" s="9" t="s">
        <v>273</v>
      </c>
      <c r="D143" s="9" t="s">
        <v>273</v>
      </c>
      <c r="E143" s="9" t="s">
        <v>273</v>
      </c>
      <c r="F143" s="9" t="s">
        <v>273</v>
      </c>
      <c r="G143" s="9" t="s">
        <v>273</v>
      </c>
      <c r="H143" s="9" t="s">
        <v>273</v>
      </c>
      <c r="I143" s="9">
        <v>0</v>
      </c>
      <c r="J143" s="9">
        <v>0</v>
      </c>
      <c r="K143" s="9">
        <v>0</v>
      </c>
      <c r="L143" s="9">
        <v>-4</v>
      </c>
      <c r="M143" s="9">
        <v>2</v>
      </c>
      <c r="N143" s="9" t="s">
        <v>291</v>
      </c>
      <c r="O143" s="9" t="s">
        <v>291</v>
      </c>
      <c r="P143" s="9" t="s">
        <v>291</v>
      </c>
      <c r="Q143" s="9" t="s">
        <v>291</v>
      </c>
      <c r="R143" s="9" t="s">
        <v>291</v>
      </c>
      <c r="S143" s="9">
        <v>261</v>
      </c>
      <c r="T143" s="9">
        <v>-48</v>
      </c>
      <c r="U143" s="9">
        <v>114</v>
      </c>
      <c r="V143" s="9">
        <v>-460</v>
      </c>
      <c r="W143" s="9">
        <v>1025</v>
      </c>
      <c r="X143" s="9">
        <v>-420</v>
      </c>
      <c r="Y143" s="9">
        <v>324</v>
      </c>
      <c r="Z143" s="9">
        <v>678</v>
      </c>
      <c r="AA143" s="9">
        <v>-93</v>
      </c>
      <c r="AB143" s="9">
        <v>-913</v>
      </c>
      <c r="AC143" s="284">
        <v>56</v>
      </c>
      <c r="AD143" s="284">
        <v>-88</v>
      </c>
      <c r="AE143" s="284">
        <v>40</v>
      </c>
      <c r="AF143" s="284">
        <v>1118</v>
      </c>
      <c r="AG143" s="9">
        <v>395</v>
      </c>
      <c r="AH143" s="9">
        <v>374</v>
      </c>
      <c r="AI143" s="9">
        <v>-48</v>
      </c>
      <c r="AJ143" s="9">
        <v>-96</v>
      </c>
    </row>
    <row r="144" spans="1:36">
      <c r="A144" s="9" t="s">
        <v>375</v>
      </c>
      <c r="B144" s="9" t="s">
        <v>273</v>
      </c>
      <c r="C144" s="9" t="s">
        <v>273</v>
      </c>
      <c r="D144" s="9" t="s">
        <v>273</v>
      </c>
      <c r="E144" s="9" t="s">
        <v>273</v>
      </c>
      <c r="F144" s="9" t="s">
        <v>273</v>
      </c>
      <c r="G144" s="9" t="s">
        <v>273</v>
      </c>
      <c r="H144" s="9" t="s">
        <v>273</v>
      </c>
      <c r="I144" s="9" t="s">
        <v>273</v>
      </c>
      <c r="J144" s="9" t="s">
        <v>273</v>
      </c>
      <c r="K144" s="9" t="s">
        <v>273</v>
      </c>
      <c r="L144" s="9" t="s">
        <v>273</v>
      </c>
      <c r="M144" s="9" t="s">
        <v>273</v>
      </c>
      <c r="N144" s="9">
        <v>0</v>
      </c>
      <c r="O144" s="9">
        <v>0</v>
      </c>
      <c r="P144" s="9">
        <v>0</v>
      </c>
      <c r="Q144" s="9" t="s">
        <v>306</v>
      </c>
      <c r="R144" s="9">
        <v>-3</v>
      </c>
      <c r="S144" s="9">
        <v>-7</v>
      </c>
      <c r="T144" s="9">
        <v>-15</v>
      </c>
      <c r="U144" s="9">
        <v>-15</v>
      </c>
      <c r="V144" s="9">
        <v>-15</v>
      </c>
      <c r="W144" s="9">
        <v>-14</v>
      </c>
      <c r="X144" s="9">
        <v>-16</v>
      </c>
      <c r="Y144" s="9">
        <v>-4</v>
      </c>
      <c r="Z144" s="9">
        <v>0</v>
      </c>
      <c r="AA144" s="9" t="s">
        <v>306</v>
      </c>
      <c r="AB144" s="9">
        <v>0</v>
      </c>
      <c r="AC144" s="284">
        <v>1</v>
      </c>
      <c r="AD144" s="284">
        <v>1</v>
      </c>
      <c r="AE144" s="284">
        <v>1</v>
      </c>
      <c r="AF144" s="284">
        <v>1</v>
      </c>
      <c r="AG144" s="9">
        <v>1</v>
      </c>
      <c r="AH144" s="9">
        <v>1</v>
      </c>
      <c r="AI144" s="9">
        <v>1</v>
      </c>
      <c r="AJ144" s="9">
        <v>1</v>
      </c>
    </row>
    <row r="145" spans="1:36">
      <c r="A145" s="9" t="s">
        <v>374</v>
      </c>
      <c r="B145" s="9" t="s">
        <v>306</v>
      </c>
      <c r="C145" s="9" t="s">
        <v>306</v>
      </c>
      <c r="D145" s="9" t="s">
        <v>306</v>
      </c>
      <c r="E145" s="9" t="s">
        <v>306</v>
      </c>
      <c r="F145" s="9" t="s">
        <v>306</v>
      </c>
      <c r="G145" s="9" t="s">
        <v>306</v>
      </c>
      <c r="H145" s="9" t="s">
        <v>306</v>
      </c>
      <c r="I145" s="9" t="s">
        <v>306</v>
      </c>
      <c r="J145" s="9">
        <v>1</v>
      </c>
      <c r="K145" s="9">
        <v>1</v>
      </c>
      <c r="L145" s="9">
        <v>1</v>
      </c>
      <c r="M145" s="9">
        <v>1</v>
      </c>
      <c r="N145" s="9" t="s">
        <v>306</v>
      </c>
      <c r="O145" s="9">
        <v>25</v>
      </c>
      <c r="P145" s="9" t="s">
        <v>306</v>
      </c>
      <c r="Q145" s="9">
        <v>5</v>
      </c>
      <c r="R145" s="9">
        <v>3</v>
      </c>
      <c r="S145" s="9" t="s">
        <v>291</v>
      </c>
      <c r="T145" s="9" t="s">
        <v>291</v>
      </c>
      <c r="U145" s="9">
        <v>1</v>
      </c>
      <c r="V145" s="9">
        <v>2</v>
      </c>
      <c r="W145" s="9">
        <v>1</v>
      </c>
      <c r="X145" s="9">
        <v>1</v>
      </c>
      <c r="Y145" s="9">
        <v>-2</v>
      </c>
      <c r="Z145" s="9">
        <v>1</v>
      </c>
      <c r="AA145" s="9">
        <v>0</v>
      </c>
      <c r="AB145" s="9">
        <v>0</v>
      </c>
      <c r="AC145" s="284">
        <v>1</v>
      </c>
      <c r="AD145" s="284">
        <v>5</v>
      </c>
      <c r="AE145" s="284">
        <v>4</v>
      </c>
      <c r="AF145" s="284">
        <v>4</v>
      </c>
      <c r="AG145" s="9" t="s">
        <v>306</v>
      </c>
      <c r="AH145" s="9" t="s">
        <v>291</v>
      </c>
      <c r="AI145" s="9" t="s">
        <v>291</v>
      </c>
      <c r="AJ145" s="9" t="s">
        <v>291</v>
      </c>
    </row>
    <row r="146" spans="1:36">
      <c r="A146" s="9" t="s">
        <v>373</v>
      </c>
      <c r="B146" s="9">
        <v>36</v>
      </c>
      <c r="C146" s="9">
        <v>-26</v>
      </c>
      <c r="D146" s="9">
        <v>77</v>
      </c>
      <c r="E146" s="9">
        <v>15</v>
      </c>
      <c r="F146" s="9">
        <v>-39</v>
      </c>
      <c r="G146" s="9">
        <v>56</v>
      </c>
      <c r="H146" s="9">
        <v>-125</v>
      </c>
      <c r="I146" s="9">
        <v>-55</v>
      </c>
      <c r="J146" s="9">
        <v>256</v>
      </c>
      <c r="K146" s="9">
        <v>-50</v>
      </c>
      <c r="L146" s="9">
        <v>-60</v>
      </c>
      <c r="M146" s="9">
        <v>-55</v>
      </c>
      <c r="N146" s="9">
        <v>-40</v>
      </c>
      <c r="O146" s="9">
        <v>-36</v>
      </c>
      <c r="P146" s="9">
        <v>-32</v>
      </c>
      <c r="Q146" s="9">
        <v>-18</v>
      </c>
      <c r="R146" s="9">
        <v>91</v>
      </c>
      <c r="S146" s="9">
        <v>129</v>
      </c>
      <c r="T146" s="9">
        <v>73</v>
      </c>
      <c r="U146" s="9">
        <v>2</v>
      </c>
      <c r="V146" s="9">
        <v>-182</v>
      </c>
      <c r="W146" s="9">
        <v>11</v>
      </c>
      <c r="X146" s="9">
        <v>61</v>
      </c>
      <c r="Y146" s="9">
        <v>-166</v>
      </c>
      <c r="Z146" s="9">
        <v>-17</v>
      </c>
      <c r="AA146" s="9">
        <v>130</v>
      </c>
      <c r="AB146" s="9">
        <v>-439</v>
      </c>
      <c r="AC146" s="284">
        <v>4</v>
      </c>
      <c r="AD146" s="284">
        <v>327</v>
      </c>
      <c r="AE146" s="284">
        <v>94</v>
      </c>
      <c r="AF146" s="284">
        <v>77</v>
      </c>
      <c r="AG146" s="9">
        <v>77</v>
      </c>
      <c r="AH146" s="9">
        <v>-201</v>
      </c>
      <c r="AI146" s="9">
        <v>-98</v>
      </c>
      <c r="AJ146" s="9">
        <v>-25</v>
      </c>
    </row>
    <row r="147" spans="1:36">
      <c r="A147" s="9" t="s">
        <v>372</v>
      </c>
      <c r="B147" s="9">
        <v>1</v>
      </c>
      <c r="C147" s="9">
        <v>-2</v>
      </c>
      <c r="D147" s="9">
        <v>-1</v>
      </c>
      <c r="E147" s="9" t="s">
        <v>306</v>
      </c>
      <c r="F147" s="9">
        <v>-1</v>
      </c>
      <c r="G147" s="9">
        <v>0</v>
      </c>
      <c r="H147" s="9">
        <v>0</v>
      </c>
      <c r="I147" s="9" t="s">
        <v>273</v>
      </c>
      <c r="J147" s="9" t="s">
        <v>273</v>
      </c>
      <c r="K147" s="9" t="s">
        <v>273</v>
      </c>
      <c r="L147" s="9" t="s">
        <v>273</v>
      </c>
      <c r="M147" s="9" t="s">
        <v>273</v>
      </c>
      <c r="N147" s="9" t="s">
        <v>273</v>
      </c>
      <c r="O147" s="9" t="s">
        <v>273</v>
      </c>
      <c r="P147" s="9" t="s">
        <v>273</v>
      </c>
      <c r="Q147" s="9" t="s">
        <v>273</v>
      </c>
      <c r="R147" s="9" t="s">
        <v>273</v>
      </c>
      <c r="S147" s="9" t="s">
        <v>273</v>
      </c>
      <c r="T147" s="9" t="s">
        <v>273</v>
      </c>
      <c r="U147" s="9" t="s">
        <v>273</v>
      </c>
      <c r="V147" s="9" t="s">
        <v>273</v>
      </c>
      <c r="W147" s="9" t="s">
        <v>273</v>
      </c>
      <c r="X147" s="9" t="s">
        <v>306</v>
      </c>
      <c r="Y147" s="9" t="s">
        <v>306</v>
      </c>
      <c r="Z147" s="9" t="s">
        <v>306</v>
      </c>
      <c r="AA147" s="9" t="s">
        <v>306</v>
      </c>
      <c r="AB147" s="9" t="s">
        <v>306</v>
      </c>
      <c r="AC147" s="284">
        <v>0</v>
      </c>
      <c r="AD147" s="284">
        <v>0</v>
      </c>
      <c r="AE147" s="284">
        <v>0</v>
      </c>
      <c r="AF147" s="284">
        <v>0</v>
      </c>
      <c r="AG147" s="9">
        <v>0</v>
      </c>
      <c r="AH147" s="9">
        <v>0</v>
      </c>
      <c r="AI147" s="9">
        <v>0</v>
      </c>
      <c r="AJ147" s="9">
        <v>0</v>
      </c>
    </row>
    <row r="148" spans="1:36">
      <c r="A148" s="9" t="s">
        <v>371</v>
      </c>
      <c r="B148" s="9" t="s">
        <v>291</v>
      </c>
      <c r="C148" s="9" t="s">
        <v>291</v>
      </c>
      <c r="D148" s="9">
        <v>-21</v>
      </c>
      <c r="E148" s="9">
        <v>-12</v>
      </c>
      <c r="F148" s="9">
        <v>-29</v>
      </c>
      <c r="G148" s="9">
        <v>-26</v>
      </c>
      <c r="H148" s="9">
        <v>25</v>
      </c>
      <c r="I148" s="9">
        <v>-4</v>
      </c>
      <c r="J148" s="9">
        <v>-2</v>
      </c>
      <c r="K148" s="9">
        <v>23</v>
      </c>
      <c r="L148" s="9">
        <v>-20</v>
      </c>
      <c r="M148" s="9">
        <v>-10</v>
      </c>
      <c r="N148" s="9">
        <v>47</v>
      </c>
      <c r="O148" s="9">
        <v>41</v>
      </c>
      <c r="P148" s="9">
        <v>58</v>
      </c>
      <c r="Q148" s="9">
        <v>29</v>
      </c>
      <c r="R148" s="9">
        <v>50</v>
      </c>
      <c r="S148" s="9">
        <v>-92</v>
      </c>
      <c r="T148" s="9">
        <v>-24</v>
      </c>
      <c r="U148" s="9">
        <v>91</v>
      </c>
      <c r="V148" s="9">
        <v>-31</v>
      </c>
      <c r="W148" s="9">
        <v>4</v>
      </c>
      <c r="X148" s="9">
        <v>120</v>
      </c>
      <c r="Y148" s="9">
        <v>-4</v>
      </c>
      <c r="Z148" s="9">
        <v>729</v>
      </c>
      <c r="AA148" s="9" t="s">
        <v>291</v>
      </c>
      <c r="AB148" s="9" t="s">
        <v>291</v>
      </c>
      <c r="AC148" s="284">
        <v>205</v>
      </c>
      <c r="AD148" s="284">
        <v>-313</v>
      </c>
      <c r="AE148" s="284">
        <v>328</v>
      </c>
      <c r="AF148" s="284">
        <v>448</v>
      </c>
      <c r="AG148" s="9">
        <v>-430</v>
      </c>
      <c r="AH148" s="9">
        <v>126</v>
      </c>
      <c r="AI148" s="9">
        <v>119</v>
      </c>
      <c r="AJ148" s="9">
        <v>236</v>
      </c>
    </row>
    <row r="149" spans="1:36">
      <c r="A149" s="9" t="s">
        <v>370</v>
      </c>
      <c r="B149" s="9" t="s">
        <v>291</v>
      </c>
      <c r="C149" s="9" t="s">
        <v>291</v>
      </c>
      <c r="D149" s="9" t="s">
        <v>291</v>
      </c>
      <c r="E149" s="9" t="s">
        <v>291</v>
      </c>
      <c r="F149" s="9" t="s">
        <v>291</v>
      </c>
      <c r="G149" s="9" t="s">
        <v>291</v>
      </c>
      <c r="H149" s="9" t="s">
        <v>291</v>
      </c>
      <c r="I149" s="9" t="s">
        <v>291</v>
      </c>
      <c r="J149" s="9" t="s">
        <v>291</v>
      </c>
      <c r="K149" s="9" t="s">
        <v>291</v>
      </c>
      <c r="L149" s="9" t="s">
        <v>291</v>
      </c>
      <c r="M149" s="9" t="s">
        <v>291</v>
      </c>
      <c r="N149" s="9" t="s">
        <v>291</v>
      </c>
      <c r="O149" s="9" t="s">
        <v>291</v>
      </c>
      <c r="P149" s="9">
        <v>-21</v>
      </c>
      <c r="Q149" s="9" t="s">
        <v>291</v>
      </c>
      <c r="R149" s="9" t="s">
        <v>291</v>
      </c>
      <c r="S149" s="9" t="s">
        <v>291</v>
      </c>
      <c r="T149" s="9" t="s">
        <v>291</v>
      </c>
      <c r="U149" s="9" t="s">
        <v>291</v>
      </c>
      <c r="V149" s="9" t="s">
        <v>291</v>
      </c>
      <c r="W149" s="9" t="s">
        <v>291</v>
      </c>
      <c r="X149" s="9" t="s">
        <v>291</v>
      </c>
      <c r="Y149" s="9" t="s">
        <v>291</v>
      </c>
      <c r="Z149" s="9" t="s">
        <v>291</v>
      </c>
      <c r="AA149" s="9" t="s">
        <v>291</v>
      </c>
      <c r="AB149" s="9" t="s">
        <v>291</v>
      </c>
      <c r="AC149" s="284" t="s">
        <v>291</v>
      </c>
      <c r="AD149" s="284" t="s">
        <v>291</v>
      </c>
      <c r="AE149" s="284" t="s">
        <v>291</v>
      </c>
      <c r="AF149" s="284">
        <v>32</v>
      </c>
      <c r="AG149" s="9">
        <v>46</v>
      </c>
      <c r="AH149" s="9" t="s">
        <v>291</v>
      </c>
      <c r="AI149" s="9" t="s">
        <v>291</v>
      </c>
      <c r="AJ149" s="9" t="s">
        <v>291</v>
      </c>
    </row>
    <row r="150" spans="1:36" s="284" customFormat="1">
      <c r="A150" s="288" t="s">
        <v>1116</v>
      </c>
      <c r="AC150" s="284">
        <v>0</v>
      </c>
      <c r="AD150" s="284">
        <v>0</v>
      </c>
      <c r="AE150" s="284">
        <v>0</v>
      </c>
      <c r="AF150" s="284">
        <v>0</v>
      </c>
      <c r="AG150" s="284">
        <v>0</v>
      </c>
      <c r="AH150" s="284">
        <v>0</v>
      </c>
      <c r="AI150" s="284">
        <v>0</v>
      </c>
      <c r="AJ150" s="284">
        <v>0</v>
      </c>
    </row>
    <row r="151" spans="1:36">
      <c r="A151" s="9" t="s">
        <v>369</v>
      </c>
      <c r="B151" s="9">
        <v>-8</v>
      </c>
      <c r="C151" s="9">
        <v>12</v>
      </c>
      <c r="D151" s="9">
        <v>-39</v>
      </c>
      <c r="E151" s="9">
        <v>-23</v>
      </c>
      <c r="F151" s="9">
        <v>8</v>
      </c>
      <c r="G151" s="9">
        <v>-18</v>
      </c>
      <c r="H151" s="9">
        <v>9</v>
      </c>
      <c r="I151" s="9">
        <v>17</v>
      </c>
      <c r="J151" s="9">
        <v>-19</v>
      </c>
      <c r="K151" s="9" t="s">
        <v>306</v>
      </c>
      <c r="L151" s="9" t="s">
        <v>306</v>
      </c>
      <c r="M151" s="9">
        <v>10</v>
      </c>
      <c r="N151" s="9">
        <v>9</v>
      </c>
      <c r="O151" s="9">
        <v>4</v>
      </c>
      <c r="P151" s="9">
        <v>3</v>
      </c>
      <c r="Q151" s="9">
        <v>52</v>
      </c>
      <c r="R151" s="9">
        <v>11</v>
      </c>
      <c r="S151" s="9">
        <v>27</v>
      </c>
      <c r="T151" s="9">
        <v>-19</v>
      </c>
      <c r="U151" s="9" t="s">
        <v>291</v>
      </c>
      <c r="V151" s="9" t="s">
        <v>291</v>
      </c>
      <c r="W151" s="9">
        <v>7</v>
      </c>
      <c r="X151" s="9">
        <v>-7</v>
      </c>
      <c r="Y151" s="9">
        <v>40</v>
      </c>
      <c r="Z151" s="9">
        <v>-109</v>
      </c>
      <c r="AA151" s="9">
        <v>2</v>
      </c>
      <c r="AB151" s="9">
        <v>7</v>
      </c>
      <c r="AC151" s="284">
        <v>62</v>
      </c>
      <c r="AD151" s="284">
        <v>3</v>
      </c>
      <c r="AE151" s="284">
        <v>5</v>
      </c>
      <c r="AF151" s="284">
        <v>-143</v>
      </c>
      <c r="AG151" s="9">
        <v>-24</v>
      </c>
      <c r="AH151" s="9">
        <v>-21</v>
      </c>
      <c r="AI151" s="9">
        <v>17</v>
      </c>
      <c r="AJ151" s="9">
        <v>50</v>
      </c>
    </row>
    <row r="152" spans="1:36">
      <c r="A152" s="9" t="s">
        <v>368</v>
      </c>
      <c r="B152" s="9">
        <v>-1</v>
      </c>
      <c r="C152" s="9">
        <v>-1</v>
      </c>
      <c r="D152" s="9">
        <v>-1</v>
      </c>
      <c r="E152" s="9">
        <v>-1</v>
      </c>
      <c r="F152" s="9">
        <v>-2</v>
      </c>
      <c r="G152" s="9">
        <v>-1</v>
      </c>
      <c r="H152" s="9">
        <v>-1</v>
      </c>
      <c r="I152" s="9">
        <v>-1</v>
      </c>
      <c r="J152" s="9" t="s">
        <v>306</v>
      </c>
      <c r="K152" s="9" t="s">
        <v>306</v>
      </c>
      <c r="L152" s="9" t="s">
        <v>306</v>
      </c>
      <c r="M152" s="9" t="s">
        <v>306</v>
      </c>
      <c r="N152" s="9" t="s">
        <v>306</v>
      </c>
      <c r="O152" s="9" t="s">
        <v>306</v>
      </c>
      <c r="P152" s="9" t="s">
        <v>306</v>
      </c>
      <c r="Q152" s="9" t="s">
        <v>306</v>
      </c>
      <c r="R152" s="9" t="s">
        <v>306</v>
      </c>
      <c r="S152" s="9" t="s">
        <v>306</v>
      </c>
      <c r="T152" s="9" t="s">
        <v>306</v>
      </c>
      <c r="U152" s="9" t="s">
        <v>306</v>
      </c>
      <c r="V152" s="9" t="s">
        <v>306</v>
      </c>
      <c r="W152" s="9" t="s">
        <v>306</v>
      </c>
      <c r="X152" s="9" t="s">
        <v>273</v>
      </c>
      <c r="Y152" s="9" t="s">
        <v>273</v>
      </c>
      <c r="Z152" s="9" t="s">
        <v>273</v>
      </c>
      <c r="AA152" s="9">
        <v>0</v>
      </c>
      <c r="AB152" s="9">
        <v>0</v>
      </c>
      <c r="AC152" s="284" t="s">
        <v>306</v>
      </c>
      <c r="AD152" s="284" t="s">
        <v>306</v>
      </c>
      <c r="AE152" s="284" t="s">
        <v>306</v>
      </c>
      <c r="AF152" s="284" t="s">
        <v>306</v>
      </c>
      <c r="AG152" s="9" t="s">
        <v>306</v>
      </c>
      <c r="AH152" s="9" t="s">
        <v>306</v>
      </c>
      <c r="AI152" s="9" t="s">
        <v>306</v>
      </c>
      <c r="AJ152" s="9" t="s">
        <v>306</v>
      </c>
    </row>
    <row r="153" spans="1:36">
      <c r="A153" s="9" t="s">
        <v>367</v>
      </c>
      <c r="B153" s="9">
        <v>-206</v>
      </c>
      <c r="C153" s="9">
        <v>45</v>
      </c>
      <c r="D153" s="9">
        <v>24</v>
      </c>
      <c r="E153" s="9">
        <v>5</v>
      </c>
      <c r="F153" s="9">
        <v>-3</v>
      </c>
      <c r="G153" s="9">
        <v>-65</v>
      </c>
      <c r="H153" s="9">
        <v>30</v>
      </c>
      <c r="I153" s="9">
        <v>17</v>
      </c>
      <c r="J153" s="9">
        <v>-29</v>
      </c>
      <c r="K153" s="9">
        <v>-41</v>
      </c>
      <c r="L153" s="9">
        <v>3</v>
      </c>
      <c r="M153" s="9">
        <v>-2</v>
      </c>
      <c r="N153" s="9">
        <v>-12</v>
      </c>
      <c r="O153" s="9">
        <v>27</v>
      </c>
      <c r="P153" s="9">
        <v>-17</v>
      </c>
      <c r="Q153" s="9">
        <v>-9</v>
      </c>
      <c r="R153" s="9">
        <v>13</v>
      </c>
      <c r="S153" s="9">
        <v>35</v>
      </c>
      <c r="T153" s="9">
        <v>-218</v>
      </c>
      <c r="U153" s="9">
        <v>-60</v>
      </c>
      <c r="V153" s="9">
        <v>-260</v>
      </c>
      <c r="W153" s="9">
        <v>47</v>
      </c>
      <c r="X153" s="9">
        <v>62</v>
      </c>
      <c r="Y153" s="9">
        <v>149</v>
      </c>
      <c r="Z153" s="9">
        <v>-128</v>
      </c>
      <c r="AA153" s="9">
        <v>207</v>
      </c>
      <c r="AB153" s="9">
        <v>61</v>
      </c>
      <c r="AC153" s="284">
        <v>12</v>
      </c>
      <c r="AD153" s="284">
        <v>228</v>
      </c>
      <c r="AE153" s="284">
        <v>109</v>
      </c>
      <c r="AF153" s="284">
        <v>-19</v>
      </c>
      <c r="AG153" s="9">
        <v>-23</v>
      </c>
      <c r="AH153" s="9">
        <v>-110</v>
      </c>
      <c r="AI153" s="9">
        <v>148</v>
      </c>
      <c r="AJ153" s="9">
        <v>-24</v>
      </c>
    </row>
    <row r="154" spans="1:36">
      <c r="A154" s="9" t="s">
        <v>366</v>
      </c>
      <c r="B154" s="9">
        <v>-308</v>
      </c>
      <c r="C154" s="9">
        <v>105</v>
      </c>
      <c r="D154" s="9">
        <v>105</v>
      </c>
      <c r="E154" s="9">
        <v>-11</v>
      </c>
      <c r="F154" s="9">
        <v>9</v>
      </c>
      <c r="G154" s="9">
        <v>49</v>
      </c>
      <c r="H154" s="9">
        <v>-39</v>
      </c>
      <c r="I154" s="9">
        <v>1</v>
      </c>
      <c r="J154" s="9">
        <v>13</v>
      </c>
      <c r="K154" s="9">
        <v>-2</v>
      </c>
      <c r="L154" s="9">
        <v>-1</v>
      </c>
      <c r="M154" s="9">
        <v>-2</v>
      </c>
      <c r="N154" s="9">
        <v>6</v>
      </c>
      <c r="O154" s="9">
        <v>28</v>
      </c>
      <c r="P154" s="9">
        <v>23</v>
      </c>
      <c r="Q154" s="9">
        <v>-67</v>
      </c>
      <c r="R154" s="9">
        <v>-61</v>
      </c>
      <c r="S154" s="9">
        <v>38</v>
      </c>
      <c r="T154" s="9">
        <v>3</v>
      </c>
      <c r="U154" s="9">
        <v>2</v>
      </c>
      <c r="V154" s="9">
        <v>2</v>
      </c>
      <c r="W154" s="9">
        <v>4</v>
      </c>
      <c r="X154" s="9">
        <v>-6</v>
      </c>
      <c r="Y154" s="9">
        <v>178</v>
      </c>
      <c r="Z154" s="9">
        <v>1493</v>
      </c>
      <c r="AA154" s="9">
        <v>371</v>
      </c>
      <c r="AB154" s="9" t="s">
        <v>291</v>
      </c>
      <c r="AC154" s="284" t="s">
        <v>291</v>
      </c>
      <c r="AD154" s="284" t="s">
        <v>291</v>
      </c>
      <c r="AE154" s="284" t="s">
        <v>291</v>
      </c>
      <c r="AF154" s="284" t="s">
        <v>291</v>
      </c>
      <c r="AG154" s="9">
        <v>55</v>
      </c>
      <c r="AH154" s="9">
        <v>54</v>
      </c>
      <c r="AI154" s="9">
        <v>-118</v>
      </c>
      <c r="AJ154" s="9">
        <v>-340</v>
      </c>
    </row>
    <row r="155" spans="1:36">
      <c r="A155" s="9" t="s">
        <v>365</v>
      </c>
      <c r="B155" s="9">
        <v>2</v>
      </c>
      <c r="C155" s="9" t="s">
        <v>306</v>
      </c>
      <c r="D155" s="9" t="s">
        <v>291</v>
      </c>
      <c r="E155" s="9" t="s">
        <v>291</v>
      </c>
      <c r="F155" s="9" t="s">
        <v>291</v>
      </c>
      <c r="G155" s="9" t="s">
        <v>291</v>
      </c>
      <c r="H155" s="9" t="s">
        <v>291</v>
      </c>
      <c r="I155" s="9">
        <v>-3</v>
      </c>
      <c r="J155" s="9">
        <v>-4</v>
      </c>
      <c r="K155" s="9">
        <v>4</v>
      </c>
      <c r="L155" s="9" t="s">
        <v>291</v>
      </c>
      <c r="M155" s="9" t="s">
        <v>291</v>
      </c>
      <c r="N155" s="9" t="s">
        <v>273</v>
      </c>
      <c r="O155" s="9" t="s">
        <v>273</v>
      </c>
      <c r="P155" s="9" t="s">
        <v>273</v>
      </c>
      <c r="Q155" s="9" t="s">
        <v>273</v>
      </c>
      <c r="R155" s="9" t="s">
        <v>273</v>
      </c>
      <c r="S155" s="9" t="s">
        <v>306</v>
      </c>
      <c r="T155" s="9" t="s">
        <v>306</v>
      </c>
      <c r="U155" s="9" t="s">
        <v>306</v>
      </c>
      <c r="V155" s="9" t="s">
        <v>306</v>
      </c>
      <c r="W155" s="9" t="s">
        <v>306</v>
      </c>
      <c r="X155" s="9">
        <v>-11</v>
      </c>
      <c r="Y155" s="9">
        <v>-11</v>
      </c>
      <c r="Z155" s="9">
        <v>-11</v>
      </c>
      <c r="AA155" s="9">
        <v>-12</v>
      </c>
      <c r="AB155" s="9">
        <v>-9</v>
      </c>
      <c r="AC155" s="284">
        <v>7</v>
      </c>
      <c r="AD155" s="284">
        <v>3</v>
      </c>
      <c r="AE155" s="284">
        <v>3</v>
      </c>
      <c r="AF155" s="284">
        <v>3</v>
      </c>
      <c r="AG155" s="9">
        <v>13</v>
      </c>
      <c r="AH155" s="9" t="s">
        <v>291</v>
      </c>
      <c r="AI155" s="9">
        <v>27</v>
      </c>
      <c r="AJ155" s="9">
        <v>30</v>
      </c>
    </row>
    <row r="156" spans="1:36">
      <c r="A156" s="9" t="s">
        <v>364</v>
      </c>
      <c r="B156" s="9">
        <v>-1</v>
      </c>
      <c r="C156" s="9">
        <v>-2</v>
      </c>
      <c r="D156" s="9">
        <v>-6</v>
      </c>
      <c r="E156" s="9">
        <v>1</v>
      </c>
      <c r="F156" s="9" t="s">
        <v>306</v>
      </c>
      <c r="G156" s="9">
        <v>-1</v>
      </c>
      <c r="H156" s="9">
        <v>-1</v>
      </c>
      <c r="I156" s="9">
        <v>-3</v>
      </c>
      <c r="J156" s="9">
        <v>5</v>
      </c>
      <c r="K156" s="9">
        <v>-1</v>
      </c>
      <c r="L156" s="9">
        <v>2</v>
      </c>
      <c r="M156" s="9">
        <v>12</v>
      </c>
      <c r="N156" s="9">
        <v>3</v>
      </c>
      <c r="O156" s="9">
        <v>5</v>
      </c>
      <c r="P156" s="9" t="s">
        <v>291</v>
      </c>
      <c r="Q156" s="9" t="s">
        <v>291</v>
      </c>
      <c r="R156" s="9" t="s">
        <v>291</v>
      </c>
      <c r="S156" s="9">
        <v>5</v>
      </c>
      <c r="T156" s="9">
        <v>-3</v>
      </c>
      <c r="U156" s="9">
        <v>-3</v>
      </c>
      <c r="V156" s="9">
        <v>-2</v>
      </c>
      <c r="W156" s="9" t="s">
        <v>306</v>
      </c>
      <c r="X156" s="9">
        <v>2</v>
      </c>
      <c r="Y156" s="9">
        <v>-5</v>
      </c>
      <c r="Z156" s="9" t="s">
        <v>306</v>
      </c>
      <c r="AA156" s="9">
        <v>-1</v>
      </c>
      <c r="AB156" s="9">
        <v>-2</v>
      </c>
      <c r="AC156" s="284">
        <v>-1</v>
      </c>
      <c r="AD156" s="284">
        <v>-2</v>
      </c>
      <c r="AE156" s="284">
        <v>-14</v>
      </c>
      <c r="AF156" s="284">
        <v>12</v>
      </c>
      <c r="AG156" s="9" t="s">
        <v>306</v>
      </c>
      <c r="AH156" s="9" t="s">
        <v>306</v>
      </c>
      <c r="AI156" s="9">
        <v>2</v>
      </c>
      <c r="AJ156" s="9">
        <v>5</v>
      </c>
    </row>
    <row r="157" spans="1:36">
      <c r="A157" s="9" t="s">
        <v>363</v>
      </c>
      <c r="B157" s="9" t="s">
        <v>306</v>
      </c>
      <c r="C157" s="9">
        <v>-1</v>
      </c>
      <c r="D157" s="9">
        <v>1</v>
      </c>
      <c r="E157" s="9">
        <v>3</v>
      </c>
      <c r="F157" s="9" t="s">
        <v>291</v>
      </c>
      <c r="G157" s="9" t="s">
        <v>291</v>
      </c>
      <c r="H157" s="9" t="s">
        <v>291</v>
      </c>
      <c r="I157" s="9">
        <v>1</v>
      </c>
      <c r="J157" s="9">
        <v>1</v>
      </c>
      <c r="K157" s="9" t="s">
        <v>306</v>
      </c>
      <c r="L157" s="9" t="s">
        <v>306</v>
      </c>
      <c r="M157" s="9" t="s">
        <v>306</v>
      </c>
      <c r="N157" s="9">
        <v>2</v>
      </c>
      <c r="O157" s="9" t="s">
        <v>306</v>
      </c>
      <c r="P157" s="9">
        <v>16</v>
      </c>
      <c r="Q157" s="9">
        <v>23</v>
      </c>
      <c r="R157" s="9">
        <v>1</v>
      </c>
      <c r="S157" s="9">
        <v>1</v>
      </c>
      <c r="T157" s="9" t="s">
        <v>306</v>
      </c>
      <c r="U157" s="9" t="s">
        <v>306</v>
      </c>
      <c r="V157" s="9">
        <v>-5</v>
      </c>
      <c r="W157" s="9" t="s">
        <v>291</v>
      </c>
      <c r="X157" s="9" t="s">
        <v>291</v>
      </c>
      <c r="Y157" s="9">
        <v>0</v>
      </c>
      <c r="Z157" s="9">
        <v>0</v>
      </c>
      <c r="AA157" s="9" t="s">
        <v>273</v>
      </c>
      <c r="AB157" s="9" t="s">
        <v>273</v>
      </c>
      <c r="AC157" s="284">
        <v>1</v>
      </c>
      <c r="AD157" s="284">
        <v>0</v>
      </c>
      <c r="AE157" s="284">
        <v>0</v>
      </c>
      <c r="AF157" s="284">
        <v>0</v>
      </c>
      <c r="AG157" s="9">
        <v>0</v>
      </c>
      <c r="AH157" s="9">
        <v>0</v>
      </c>
      <c r="AI157" s="9">
        <v>0</v>
      </c>
      <c r="AJ157" s="9">
        <v>0</v>
      </c>
    </row>
    <row r="158" spans="1:36">
      <c r="A158" s="9" t="s">
        <v>362</v>
      </c>
      <c r="B158" s="9">
        <v>-1</v>
      </c>
      <c r="C158" s="9">
        <v>1</v>
      </c>
      <c r="D158" s="9" t="s">
        <v>306</v>
      </c>
      <c r="E158" s="9">
        <v>-21</v>
      </c>
      <c r="F158" s="9" t="s">
        <v>306</v>
      </c>
      <c r="G158" s="9" t="s">
        <v>306</v>
      </c>
      <c r="H158" s="9" t="s">
        <v>306</v>
      </c>
      <c r="I158" s="9" t="s">
        <v>306</v>
      </c>
      <c r="J158" s="9">
        <v>-5</v>
      </c>
      <c r="K158" s="9" t="s">
        <v>291</v>
      </c>
      <c r="L158" s="9" t="s">
        <v>291</v>
      </c>
      <c r="M158" s="9" t="s">
        <v>291</v>
      </c>
      <c r="N158" s="9" t="s">
        <v>273</v>
      </c>
      <c r="O158" s="9" t="s">
        <v>273</v>
      </c>
      <c r="P158" s="9" t="s">
        <v>273</v>
      </c>
      <c r="Q158" s="9" t="s">
        <v>273</v>
      </c>
      <c r="R158" s="9" t="s">
        <v>273</v>
      </c>
      <c r="S158" s="9" t="s">
        <v>306</v>
      </c>
      <c r="T158" s="9" t="s">
        <v>306</v>
      </c>
      <c r="U158" s="9" t="s">
        <v>306</v>
      </c>
      <c r="V158" s="9" t="s">
        <v>306</v>
      </c>
      <c r="W158" s="9" t="s">
        <v>306</v>
      </c>
      <c r="X158" s="9" t="s">
        <v>306</v>
      </c>
      <c r="Y158" s="9">
        <v>-4</v>
      </c>
      <c r="Z158" s="9" t="s">
        <v>306</v>
      </c>
      <c r="AA158" s="9" t="s">
        <v>306</v>
      </c>
      <c r="AB158" s="9" t="s">
        <v>306</v>
      </c>
      <c r="AC158" s="284">
        <v>0</v>
      </c>
      <c r="AD158" s="284">
        <v>0</v>
      </c>
      <c r="AE158" s="284">
        <v>0</v>
      </c>
      <c r="AF158" s="284">
        <v>0</v>
      </c>
      <c r="AG158" s="9">
        <v>0</v>
      </c>
      <c r="AH158" s="9">
        <v>0</v>
      </c>
      <c r="AI158" s="9">
        <v>0</v>
      </c>
      <c r="AJ158" s="9">
        <v>0</v>
      </c>
    </row>
    <row r="159" spans="1:36">
      <c r="A159" s="9" t="s">
        <v>361</v>
      </c>
      <c r="B159" s="9">
        <v>-2</v>
      </c>
      <c r="C159" s="9" t="s">
        <v>306</v>
      </c>
      <c r="D159" s="9" t="s">
        <v>306</v>
      </c>
      <c r="E159" s="9" t="s">
        <v>306</v>
      </c>
      <c r="F159" s="9">
        <v>1</v>
      </c>
      <c r="G159" s="9" t="s">
        <v>306</v>
      </c>
      <c r="H159" s="9" t="s">
        <v>306</v>
      </c>
      <c r="I159" s="9">
        <v>1</v>
      </c>
      <c r="J159" s="9" t="s">
        <v>306</v>
      </c>
      <c r="K159" s="9" t="s">
        <v>306</v>
      </c>
      <c r="L159" s="9" t="s">
        <v>306</v>
      </c>
      <c r="M159" s="9" t="s">
        <v>306</v>
      </c>
      <c r="N159" s="9" t="s">
        <v>291</v>
      </c>
      <c r="O159" s="9" t="s">
        <v>291</v>
      </c>
      <c r="P159" s="9">
        <v>-2</v>
      </c>
      <c r="Q159" s="9">
        <v>-1</v>
      </c>
      <c r="R159" s="9">
        <v>13</v>
      </c>
      <c r="S159" s="9">
        <v>12</v>
      </c>
      <c r="T159" s="9">
        <v>-9</v>
      </c>
      <c r="U159" s="9">
        <v>29</v>
      </c>
      <c r="V159" s="9">
        <v>-121</v>
      </c>
      <c r="W159" s="9">
        <v>-13</v>
      </c>
      <c r="X159" s="9">
        <v>184</v>
      </c>
      <c r="Y159" s="9">
        <v>-20</v>
      </c>
      <c r="Z159" s="9">
        <v>323</v>
      </c>
      <c r="AA159" s="9">
        <v>1326</v>
      </c>
      <c r="AB159" s="9">
        <v>-265</v>
      </c>
      <c r="AC159" s="284">
        <v>654</v>
      </c>
      <c r="AD159" s="284">
        <v>1179</v>
      </c>
      <c r="AE159" s="284">
        <v>388</v>
      </c>
      <c r="AF159" s="284">
        <v>-165</v>
      </c>
      <c r="AG159" s="9">
        <v>46</v>
      </c>
      <c r="AH159" s="9">
        <v>196</v>
      </c>
      <c r="AI159" s="9">
        <v>241</v>
      </c>
      <c r="AJ159" s="9">
        <v>-427</v>
      </c>
    </row>
    <row r="160" spans="1:36">
      <c r="A160" s="9" t="s">
        <v>360</v>
      </c>
      <c r="B160" s="9">
        <v>1</v>
      </c>
      <c r="C160" s="9">
        <v>16</v>
      </c>
      <c r="D160" s="9">
        <v>2</v>
      </c>
      <c r="E160" s="9">
        <v>1</v>
      </c>
      <c r="F160" s="9">
        <v>-21</v>
      </c>
      <c r="G160" s="9">
        <v>-5</v>
      </c>
      <c r="H160" s="9">
        <v>-7</v>
      </c>
      <c r="I160" s="9">
        <v>11</v>
      </c>
      <c r="J160" s="9">
        <v>13</v>
      </c>
      <c r="K160" s="9">
        <v>8</v>
      </c>
      <c r="L160" s="9">
        <v>7</v>
      </c>
      <c r="M160" s="9">
        <v>19</v>
      </c>
      <c r="N160" s="9">
        <v>9</v>
      </c>
      <c r="O160" s="9">
        <v>8</v>
      </c>
      <c r="P160" s="9">
        <v>2</v>
      </c>
      <c r="Q160" s="9">
        <v>-7</v>
      </c>
      <c r="R160" s="9">
        <v>-4</v>
      </c>
      <c r="S160" s="9">
        <v>70</v>
      </c>
      <c r="T160" s="9">
        <v>52</v>
      </c>
      <c r="U160" s="9">
        <v>60</v>
      </c>
      <c r="V160" s="9">
        <v>-5</v>
      </c>
      <c r="W160" s="9">
        <v>18</v>
      </c>
      <c r="X160" s="9">
        <v>-8</v>
      </c>
      <c r="Y160" s="9">
        <v>-22</v>
      </c>
      <c r="Z160" s="9">
        <v>-37</v>
      </c>
      <c r="AA160" s="9">
        <v>96</v>
      </c>
      <c r="AB160" s="9">
        <v>34</v>
      </c>
      <c r="AC160" s="284">
        <v>52</v>
      </c>
      <c r="AD160" s="284">
        <v>166</v>
      </c>
      <c r="AE160" s="284">
        <v>25</v>
      </c>
      <c r="AF160" s="284">
        <v>86</v>
      </c>
      <c r="AG160" s="9">
        <v>16</v>
      </c>
      <c r="AH160" s="9">
        <v>-2</v>
      </c>
      <c r="AI160" s="9">
        <v>-2</v>
      </c>
      <c r="AJ160" s="9">
        <v>-70</v>
      </c>
    </row>
    <row r="161" spans="1:36">
      <c r="A161" s="9" t="s">
        <v>359</v>
      </c>
      <c r="B161" s="9" t="s">
        <v>306</v>
      </c>
      <c r="C161" s="9" t="s">
        <v>291</v>
      </c>
      <c r="D161" s="9" t="s">
        <v>291</v>
      </c>
      <c r="E161" s="9" t="s">
        <v>291</v>
      </c>
      <c r="F161" s="9">
        <v>-1</v>
      </c>
      <c r="G161" s="9" t="s">
        <v>306</v>
      </c>
      <c r="H161" s="9">
        <v>0</v>
      </c>
      <c r="I161" s="9" t="s">
        <v>273</v>
      </c>
      <c r="J161" s="9" t="s">
        <v>273</v>
      </c>
      <c r="K161" s="9" t="s">
        <v>273</v>
      </c>
      <c r="L161" s="9" t="s">
        <v>273</v>
      </c>
      <c r="M161" s="9" t="s">
        <v>273</v>
      </c>
      <c r="N161" s="9">
        <v>5</v>
      </c>
      <c r="O161" s="9">
        <v>1</v>
      </c>
      <c r="P161" s="9">
        <v>1</v>
      </c>
      <c r="Q161" s="9">
        <v>1</v>
      </c>
      <c r="R161" s="9">
        <v>1</v>
      </c>
      <c r="S161" s="9">
        <v>-4</v>
      </c>
      <c r="T161" s="9">
        <v>1</v>
      </c>
      <c r="U161" s="9">
        <v>8</v>
      </c>
      <c r="V161" s="9">
        <v>3</v>
      </c>
      <c r="W161" s="9">
        <v>1</v>
      </c>
      <c r="X161" s="9" t="s">
        <v>291</v>
      </c>
      <c r="Y161" s="9" t="s">
        <v>291</v>
      </c>
      <c r="Z161" s="9">
        <v>4</v>
      </c>
      <c r="AA161" s="9">
        <v>-3</v>
      </c>
      <c r="AB161" s="9">
        <v>-2</v>
      </c>
      <c r="AC161" s="284">
        <v>12</v>
      </c>
      <c r="AD161" s="284">
        <v>127</v>
      </c>
      <c r="AE161" s="284" t="s">
        <v>291</v>
      </c>
      <c r="AF161" s="284" t="s">
        <v>291</v>
      </c>
      <c r="AG161" s="9">
        <v>40</v>
      </c>
      <c r="AH161" s="9" t="s">
        <v>291</v>
      </c>
      <c r="AI161" s="9">
        <v>-220</v>
      </c>
      <c r="AJ161" s="9">
        <v>-207</v>
      </c>
    </row>
    <row r="162" spans="1:36">
      <c r="A162" s="9" t="s">
        <v>358</v>
      </c>
      <c r="B162" s="9" t="s">
        <v>291</v>
      </c>
      <c r="C162" s="9" t="s">
        <v>291</v>
      </c>
      <c r="D162" s="9" t="s">
        <v>291</v>
      </c>
      <c r="E162" s="9" t="s">
        <v>291</v>
      </c>
      <c r="F162" s="9" t="s">
        <v>291</v>
      </c>
      <c r="G162" s="9">
        <v>-5</v>
      </c>
      <c r="H162" s="9">
        <v>-11</v>
      </c>
      <c r="I162" s="9">
        <v>0</v>
      </c>
      <c r="J162" s="9">
        <v>0</v>
      </c>
      <c r="K162" s="9">
        <v>0</v>
      </c>
      <c r="L162" s="9">
        <v>0</v>
      </c>
      <c r="M162" s="9">
        <v>0</v>
      </c>
      <c r="N162" s="9">
        <v>-1</v>
      </c>
      <c r="O162" s="9" t="s">
        <v>306</v>
      </c>
      <c r="P162" s="9">
        <v>1</v>
      </c>
      <c r="Q162" s="9">
        <v>1</v>
      </c>
      <c r="R162" s="9">
        <v>1</v>
      </c>
      <c r="S162" s="9" t="s">
        <v>306</v>
      </c>
      <c r="T162" s="9" t="s">
        <v>306</v>
      </c>
      <c r="U162" s="9" t="s">
        <v>306</v>
      </c>
      <c r="V162" s="9" t="s">
        <v>306</v>
      </c>
      <c r="W162" s="9" t="s">
        <v>306</v>
      </c>
      <c r="X162" s="9" t="s">
        <v>306</v>
      </c>
      <c r="Y162" s="9" t="s">
        <v>306</v>
      </c>
      <c r="Z162" s="9" t="s">
        <v>306</v>
      </c>
      <c r="AA162" s="9" t="s">
        <v>306</v>
      </c>
      <c r="AB162" s="9" t="s">
        <v>306</v>
      </c>
      <c r="AC162" s="284">
        <v>4</v>
      </c>
      <c r="AD162" s="284">
        <v>2</v>
      </c>
      <c r="AE162" s="284">
        <v>2</v>
      </c>
      <c r="AF162" s="284">
        <v>2</v>
      </c>
      <c r="AG162" s="9">
        <v>2</v>
      </c>
      <c r="AH162" s="9">
        <v>-1</v>
      </c>
      <c r="AI162" s="9" t="s">
        <v>306</v>
      </c>
      <c r="AJ162" s="9">
        <v>7</v>
      </c>
    </row>
    <row r="163" spans="1:36">
      <c r="A163" s="9" t="s">
        <v>357</v>
      </c>
      <c r="B163" s="9" t="s">
        <v>291</v>
      </c>
      <c r="C163" s="9" t="s">
        <v>291</v>
      </c>
      <c r="D163" s="9">
        <v>2</v>
      </c>
      <c r="E163" s="9">
        <v>2</v>
      </c>
      <c r="F163" s="9" t="s">
        <v>291</v>
      </c>
      <c r="G163" s="9" t="s">
        <v>291</v>
      </c>
      <c r="H163" s="9" t="s">
        <v>291</v>
      </c>
      <c r="I163" s="9" t="s">
        <v>306</v>
      </c>
      <c r="J163" s="9" t="s">
        <v>306</v>
      </c>
      <c r="K163" s="9">
        <v>1</v>
      </c>
      <c r="L163" s="9">
        <v>1</v>
      </c>
      <c r="M163" s="9" t="s">
        <v>306</v>
      </c>
      <c r="N163" s="9" t="s">
        <v>291</v>
      </c>
      <c r="O163" s="9" t="s">
        <v>291</v>
      </c>
      <c r="P163" s="9">
        <v>-5</v>
      </c>
      <c r="Q163" s="9">
        <v>-4</v>
      </c>
      <c r="R163" s="9">
        <v>-5</v>
      </c>
      <c r="S163" s="9">
        <v>-2</v>
      </c>
      <c r="T163" s="9">
        <v>-1</v>
      </c>
      <c r="U163" s="9">
        <v>-1</v>
      </c>
      <c r="V163" s="9">
        <v>-1</v>
      </c>
      <c r="W163" s="9">
        <v>-1</v>
      </c>
      <c r="X163" s="9">
        <v>2</v>
      </c>
      <c r="Y163" s="9">
        <v>-2</v>
      </c>
      <c r="Z163" s="9" t="s">
        <v>306</v>
      </c>
      <c r="AA163" s="9" t="s">
        <v>306</v>
      </c>
      <c r="AB163" s="9" t="s">
        <v>306</v>
      </c>
      <c r="AC163" s="284">
        <v>0</v>
      </c>
      <c r="AD163" s="284">
        <v>0</v>
      </c>
      <c r="AE163" s="284">
        <v>0</v>
      </c>
      <c r="AF163" s="284">
        <v>0</v>
      </c>
      <c r="AG163" s="9">
        <v>0</v>
      </c>
      <c r="AH163" s="9">
        <v>0</v>
      </c>
      <c r="AI163" s="9">
        <v>0</v>
      </c>
      <c r="AJ163" s="9">
        <v>0</v>
      </c>
    </row>
    <row r="164" spans="1:36">
      <c r="A164" s="9" t="s">
        <v>356</v>
      </c>
      <c r="B164" s="9" t="s">
        <v>306</v>
      </c>
      <c r="C164" s="9" t="s">
        <v>306</v>
      </c>
      <c r="D164" s="9">
        <v>2</v>
      </c>
      <c r="E164" s="9" t="s">
        <v>306</v>
      </c>
      <c r="F164" s="9">
        <v>-2</v>
      </c>
      <c r="G164" s="9">
        <v>1</v>
      </c>
      <c r="H164" s="9">
        <v>-2</v>
      </c>
      <c r="I164" s="9" t="s">
        <v>306</v>
      </c>
      <c r="J164" s="9" t="s">
        <v>306</v>
      </c>
      <c r="K164" s="9" t="s">
        <v>306</v>
      </c>
      <c r="L164" s="9" t="s">
        <v>306</v>
      </c>
      <c r="M164" s="9" t="s">
        <v>306</v>
      </c>
      <c r="N164" s="9" t="s">
        <v>273</v>
      </c>
      <c r="O164" s="9" t="s">
        <v>273</v>
      </c>
      <c r="P164" s="9" t="s">
        <v>273</v>
      </c>
      <c r="Q164" s="9" t="s">
        <v>273</v>
      </c>
      <c r="R164" s="9" t="s">
        <v>273</v>
      </c>
      <c r="S164" s="9" t="s">
        <v>273</v>
      </c>
      <c r="T164" s="9" t="s">
        <v>273</v>
      </c>
      <c r="U164" s="9" t="s">
        <v>273</v>
      </c>
      <c r="V164" s="9" t="s">
        <v>273</v>
      </c>
      <c r="W164" s="9" t="s">
        <v>273</v>
      </c>
      <c r="X164" s="9">
        <v>1</v>
      </c>
      <c r="Y164" s="9">
        <v>1</v>
      </c>
      <c r="Z164" s="9">
        <v>1</v>
      </c>
      <c r="AA164" s="9">
        <v>1</v>
      </c>
      <c r="AB164" s="9">
        <v>1</v>
      </c>
      <c r="AC164" s="284">
        <v>0</v>
      </c>
      <c r="AD164" s="284">
        <v>0</v>
      </c>
      <c r="AE164" s="284">
        <v>0</v>
      </c>
      <c r="AF164" s="284">
        <v>0</v>
      </c>
      <c r="AG164" s="9">
        <v>0</v>
      </c>
      <c r="AH164" s="9">
        <v>0</v>
      </c>
      <c r="AI164" s="9">
        <v>0</v>
      </c>
      <c r="AJ164" s="9">
        <v>0</v>
      </c>
    </row>
    <row r="165" spans="1:36">
      <c r="A165" s="9" t="s">
        <v>355</v>
      </c>
      <c r="B165" s="9" t="s">
        <v>273</v>
      </c>
      <c r="C165" s="9" t="s">
        <v>273</v>
      </c>
      <c r="D165" s="9" t="s">
        <v>273</v>
      </c>
      <c r="E165" s="9" t="s">
        <v>273</v>
      </c>
      <c r="F165" s="9" t="s">
        <v>273</v>
      </c>
      <c r="G165" s="9" t="s">
        <v>273</v>
      </c>
      <c r="H165" s="9" t="s">
        <v>273</v>
      </c>
      <c r="I165" s="9" t="s">
        <v>273</v>
      </c>
      <c r="J165" s="9" t="s">
        <v>273</v>
      </c>
      <c r="K165" s="9" t="s">
        <v>273</v>
      </c>
      <c r="L165" s="9" t="s">
        <v>273</v>
      </c>
      <c r="M165" s="9" t="s">
        <v>273</v>
      </c>
      <c r="N165" s="9" t="s">
        <v>273</v>
      </c>
      <c r="O165" s="9" t="s">
        <v>273</v>
      </c>
      <c r="P165" s="9" t="s">
        <v>273</v>
      </c>
      <c r="Q165" s="9" t="s">
        <v>273</v>
      </c>
      <c r="R165" s="9" t="s">
        <v>273</v>
      </c>
      <c r="S165" s="9" t="s">
        <v>273</v>
      </c>
      <c r="T165" s="9" t="s">
        <v>273</v>
      </c>
      <c r="U165" s="9" t="s">
        <v>273</v>
      </c>
      <c r="V165" s="9" t="s">
        <v>273</v>
      </c>
      <c r="W165" s="9" t="s">
        <v>273</v>
      </c>
      <c r="X165" s="9" t="s">
        <v>291</v>
      </c>
      <c r="Y165" s="9" t="s">
        <v>291</v>
      </c>
      <c r="Z165" s="9" t="s">
        <v>291</v>
      </c>
      <c r="AA165" s="9" t="s">
        <v>291</v>
      </c>
      <c r="AB165" s="9" t="s">
        <v>291</v>
      </c>
      <c r="AC165" s="284" t="s">
        <v>291</v>
      </c>
      <c r="AD165" s="284" t="s">
        <v>291</v>
      </c>
      <c r="AE165" s="284" t="s">
        <v>291</v>
      </c>
      <c r="AF165" s="284" t="s">
        <v>291</v>
      </c>
      <c r="AG165" s="9" t="s">
        <v>291</v>
      </c>
      <c r="AH165" s="9" t="s">
        <v>306</v>
      </c>
      <c r="AI165" s="9" t="s">
        <v>306</v>
      </c>
      <c r="AJ165" s="9" t="s">
        <v>306</v>
      </c>
    </row>
    <row r="166" spans="1:36">
      <c r="A166" s="9" t="s">
        <v>354</v>
      </c>
      <c r="B166" s="9">
        <v>-1</v>
      </c>
      <c r="C166" s="9">
        <v>8</v>
      </c>
      <c r="D166" s="9">
        <v>2</v>
      </c>
      <c r="E166" s="9">
        <v>-3</v>
      </c>
      <c r="F166" s="9">
        <v>-1</v>
      </c>
      <c r="G166" s="9" t="s">
        <v>291</v>
      </c>
      <c r="H166" s="9" t="s">
        <v>291</v>
      </c>
      <c r="I166" s="9">
        <v>1</v>
      </c>
      <c r="J166" s="9">
        <v>-1</v>
      </c>
      <c r="K166" s="9">
        <v>-1</v>
      </c>
      <c r="L166" s="9">
        <v>-6</v>
      </c>
      <c r="M166" s="9">
        <v>-2</v>
      </c>
      <c r="N166" s="9">
        <v>11</v>
      </c>
      <c r="O166" s="9">
        <v>4</v>
      </c>
      <c r="P166" s="9">
        <v>6</v>
      </c>
      <c r="Q166" s="9">
        <v>8</v>
      </c>
      <c r="R166" s="9">
        <v>5</v>
      </c>
      <c r="S166" s="9">
        <v>9</v>
      </c>
      <c r="T166" s="9" t="s">
        <v>306</v>
      </c>
      <c r="U166" s="9">
        <v>3</v>
      </c>
      <c r="V166" s="9">
        <v>1</v>
      </c>
      <c r="W166" s="9">
        <v>-11</v>
      </c>
      <c r="X166" s="9">
        <v>-6</v>
      </c>
      <c r="Y166" s="9">
        <v>-14</v>
      </c>
      <c r="Z166" s="9">
        <v>1</v>
      </c>
      <c r="AA166" s="9">
        <v>-3</v>
      </c>
      <c r="AB166" s="9">
        <v>-6</v>
      </c>
      <c r="AC166" s="284">
        <v>-12</v>
      </c>
      <c r="AD166" s="284">
        <v>-53</v>
      </c>
      <c r="AE166" s="284">
        <v>-11</v>
      </c>
      <c r="AF166" s="284">
        <v>-14</v>
      </c>
      <c r="AG166" s="9">
        <v>2</v>
      </c>
      <c r="AH166" s="9">
        <v>11</v>
      </c>
      <c r="AI166" s="9">
        <v>2</v>
      </c>
      <c r="AJ166" s="9" t="s">
        <v>306</v>
      </c>
    </row>
    <row r="167" spans="1:36">
      <c r="A167" s="9" t="s">
        <v>353</v>
      </c>
      <c r="B167" s="9" t="s">
        <v>273</v>
      </c>
      <c r="C167" s="9" t="s">
        <v>273</v>
      </c>
      <c r="D167" s="9" t="s">
        <v>273</v>
      </c>
      <c r="E167" s="9" t="s">
        <v>273</v>
      </c>
      <c r="F167" s="9" t="s">
        <v>273</v>
      </c>
      <c r="G167" s="9" t="s">
        <v>273</v>
      </c>
      <c r="H167" s="9" t="s">
        <v>273</v>
      </c>
      <c r="I167" s="9" t="s">
        <v>273</v>
      </c>
      <c r="J167" s="9" t="s">
        <v>273</v>
      </c>
      <c r="K167" s="9" t="s">
        <v>273</v>
      </c>
      <c r="L167" s="9" t="s">
        <v>273</v>
      </c>
      <c r="M167" s="9" t="s">
        <v>273</v>
      </c>
      <c r="N167" s="9" t="s">
        <v>273</v>
      </c>
      <c r="O167" s="9" t="s">
        <v>273</v>
      </c>
      <c r="P167" s="9" t="s">
        <v>273</v>
      </c>
      <c r="Q167" s="9" t="s">
        <v>273</v>
      </c>
      <c r="R167" s="9" t="s">
        <v>273</v>
      </c>
      <c r="S167" s="9" t="s">
        <v>306</v>
      </c>
      <c r="T167" s="9" t="s">
        <v>306</v>
      </c>
      <c r="U167" s="9" t="s">
        <v>306</v>
      </c>
      <c r="V167" s="9">
        <v>20</v>
      </c>
      <c r="W167" s="9" t="s">
        <v>291</v>
      </c>
      <c r="X167" s="9" t="s">
        <v>291</v>
      </c>
      <c r="Y167" s="9" t="s">
        <v>291</v>
      </c>
      <c r="Z167" s="9" t="s">
        <v>291</v>
      </c>
      <c r="AA167" s="9">
        <v>0</v>
      </c>
      <c r="AB167" s="9" t="s">
        <v>291</v>
      </c>
      <c r="AC167" s="284" t="s">
        <v>306</v>
      </c>
      <c r="AD167" s="284">
        <v>0</v>
      </c>
      <c r="AE167" s="284">
        <v>0</v>
      </c>
      <c r="AF167" s="284">
        <v>0</v>
      </c>
      <c r="AG167" s="9">
        <v>0</v>
      </c>
      <c r="AH167" s="9" t="s">
        <v>291</v>
      </c>
      <c r="AI167" s="9" t="s">
        <v>291</v>
      </c>
      <c r="AJ167" s="9" t="s">
        <v>291</v>
      </c>
    </row>
    <row r="168" spans="1:36">
      <c r="A168" s="9" t="s">
        <v>352</v>
      </c>
      <c r="B168" s="9">
        <v>-37</v>
      </c>
      <c r="C168" s="9" t="s">
        <v>291</v>
      </c>
      <c r="D168" s="9" t="s">
        <v>291</v>
      </c>
      <c r="E168" s="9">
        <v>6</v>
      </c>
      <c r="F168" s="9">
        <v>11</v>
      </c>
      <c r="G168" s="9" t="s">
        <v>291</v>
      </c>
      <c r="H168" s="9" t="s">
        <v>291</v>
      </c>
      <c r="I168" s="9" t="s">
        <v>291</v>
      </c>
      <c r="J168" s="9" t="s">
        <v>291</v>
      </c>
      <c r="K168" s="9" t="s">
        <v>291</v>
      </c>
      <c r="L168" s="9" t="s">
        <v>291</v>
      </c>
      <c r="M168" s="9" t="s">
        <v>291</v>
      </c>
      <c r="N168" s="9" t="s">
        <v>306</v>
      </c>
      <c r="O168" s="9" t="s">
        <v>291</v>
      </c>
      <c r="P168" s="9" t="s">
        <v>291</v>
      </c>
      <c r="Q168" s="9" t="s">
        <v>291</v>
      </c>
      <c r="R168" s="9">
        <v>-1</v>
      </c>
      <c r="S168" s="9">
        <v>1</v>
      </c>
      <c r="T168" s="9">
        <v>4</v>
      </c>
      <c r="U168" s="9">
        <v>1</v>
      </c>
      <c r="V168" s="9">
        <v>1</v>
      </c>
      <c r="W168" s="9">
        <v>2</v>
      </c>
      <c r="X168" s="9">
        <v>-1</v>
      </c>
      <c r="Y168" s="9">
        <v>-1</v>
      </c>
      <c r="Z168" s="9" t="s">
        <v>306</v>
      </c>
      <c r="AA168" s="9" t="s">
        <v>306</v>
      </c>
      <c r="AB168" s="9" t="s">
        <v>306</v>
      </c>
      <c r="AC168" s="284" t="s">
        <v>291</v>
      </c>
      <c r="AD168" s="284" t="s">
        <v>291</v>
      </c>
      <c r="AE168" s="284" t="s">
        <v>291</v>
      </c>
      <c r="AF168" s="284" t="s">
        <v>291</v>
      </c>
      <c r="AG168" s="9" t="s">
        <v>291</v>
      </c>
      <c r="AH168" s="9">
        <v>-1</v>
      </c>
      <c r="AI168" s="9">
        <v>-1</v>
      </c>
      <c r="AJ168" s="9" t="s">
        <v>291</v>
      </c>
    </row>
    <row r="169" spans="1:36">
      <c r="A169" s="9" t="s">
        <v>351</v>
      </c>
      <c r="B169" s="9">
        <v>5</v>
      </c>
      <c r="C169" s="9">
        <v>-4</v>
      </c>
      <c r="D169" s="9">
        <v>-10</v>
      </c>
      <c r="E169" s="9">
        <v>-8</v>
      </c>
      <c r="F169" s="9">
        <v>-2</v>
      </c>
      <c r="G169" s="9">
        <v>-4</v>
      </c>
      <c r="H169" s="9">
        <v>-3</v>
      </c>
      <c r="I169" s="9">
        <v>5</v>
      </c>
      <c r="J169" s="9">
        <v>-8</v>
      </c>
      <c r="K169" s="9" t="s">
        <v>291</v>
      </c>
      <c r="L169" s="9" t="s">
        <v>291</v>
      </c>
      <c r="M169" s="9" t="s">
        <v>291</v>
      </c>
      <c r="N169" s="9" t="s">
        <v>306</v>
      </c>
      <c r="O169" s="9" t="s">
        <v>306</v>
      </c>
      <c r="P169" s="9" t="s">
        <v>306</v>
      </c>
      <c r="Q169" s="9" t="s">
        <v>306</v>
      </c>
      <c r="R169" s="9" t="s">
        <v>306</v>
      </c>
      <c r="S169" s="9">
        <v>29</v>
      </c>
      <c r="T169" s="9" t="s">
        <v>306</v>
      </c>
      <c r="U169" s="9" t="s">
        <v>306</v>
      </c>
      <c r="V169" s="9" t="s">
        <v>306</v>
      </c>
      <c r="W169" s="9" t="s">
        <v>306</v>
      </c>
      <c r="X169" s="9" t="s">
        <v>306</v>
      </c>
      <c r="Y169" s="9">
        <v>0</v>
      </c>
      <c r="Z169" s="9">
        <v>0</v>
      </c>
      <c r="AA169" s="9">
        <v>0</v>
      </c>
      <c r="AB169" s="9">
        <v>0</v>
      </c>
      <c r="AC169" s="284" t="s">
        <v>306</v>
      </c>
      <c r="AD169" s="284" t="s">
        <v>306</v>
      </c>
      <c r="AE169" s="284" t="s">
        <v>306</v>
      </c>
      <c r="AF169" s="284" t="s">
        <v>306</v>
      </c>
      <c r="AG169" s="9" t="s">
        <v>306</v>
      </c>
      <c r="AH169" s="9" t="s">
        <v>306</v>
      </c>
      <c r="AI169" s="9" t="s">
        <v>306</v>
      </c>
      <c r="AJ169" s="9" t="s">
        <v>306</v>
      </c>
    </row>
    <row r="170" spans="1:36" s="284" customFormat="1">
      <c r="A170" s="288" t="s">
        <v>1117</v>
      </c>
      <c r="AC170" s="284">
        <v>0</v>
      </c>
      <c r="AD170" s="284">
        <v>0</v>
      </c>
      <c r="AE170" s="284">
        <v>0</v>
      </c>
      <c r="AF170" s="284">
        <v>0</v>
      </c>
      <c r="AG170" s="284">
        <v>0</v>
      </c>
      <c r="AH170" s="284">
        <v>0</v>
      </c>
      <c r="AI170" s="284">
        <v>0</v>
      </c>
      <c r="AJ170" s="284">
        <v>0</v>
      </c>
    </row>
    <row r="171" spans="1:36">
      <c r="A171" s="9" t="s">
        <v>350</v>
      </c>
      <c r="B171" s="9">
        <v>59</v>
      </c>
      <c r="C171" s="9">
        <v>19</v>
      </c>
      <c r="D171" s="9">
        <v>94</v>
      </c>
      <c r="E171" s="9">
        <v>3</v>
      </c>
      <c r="F171" s="9">
        <v>-283</v>
      </c>
      <c r="G171" s="9">
        <v>-27</v>
      </c>
      <c r="H171" s="9">
        <v>-44</v>
      </c>
      <c r="I171" s="9">
        <v>-7</v>
      </c>
      <c r="J171" s="9">
        <v>-10</v>
      </c>
      <c r="K171" s="9">
        <v>-8</v>
      </c>
      <c r="L171" s="9">
        <v>-16</v>
      </c>
      <c r="M171" s="9">
        <v>-13</v>
      </c>
      <c r="N171" s="9" t="s">
        <v>291</v>
      </c>
      <c r="O171" s="9" t="s">
        <v>291</v>
      </c>
      <c r="P171" s="9">
        <v>6</v>
      </c>
      <c r="Q171" s="9" t="s">
        <v>291</v>
      </c>
      <c r="R171" s="9" t="s">
        <v>291</v>
      </c>
      <c r="S171" s="9">
        <v>43</v>
      </c>
      <c r="T171" s="9">
        <v>1</v>
      </c>
      <c r="U171" s="9">
        <v>1</v>
      </c>
      <c r="V171" s="9">
        <v>1</v>
      </c>
      <c r="W171" s="9">
        <v>-2</v>
      </c>
      <c r="X171" s="9" t="s">
        <v>273</v>
      </c>
      <c r="Y171" s="9" t="s">
        <v>273</v>
      </c>
      <c r="Z171" s="9" t="s">
        <v>273</v>
      </c>
      <c r="AA171" s="9" t="s">
        <v>273</v>
      </c>
      <c r="AB171" s="9" t="s">
        <v>273</v>
      </c>
      <c r="AC171" s="284" t="s">
        <v>306</v>
      </c>
      <c r="AD171" s="284" t="s">
        <v>306</v>
      </c>
      <c r="AE171" s="284" t="s">
        <v>306</v>
      </c>
      <c r="AF171" s="284" t="s">
        <v>306</v>
      </c>
      <c r="AG171" s="9" t="s">
        <v>306</v>
      </c>
      <c r="AH171" s="9" t="s">
        <v>306</v>
      </c>
      <c r="AI171" s="9" t="s">
        <v>306</v>
      </c>
      <c r="AJ171" s="9" t="s">
        <v>306</v>
      </c>
    </row>
    <row r="172" spans="1:36">
      <c r="A172" s="9" t="s">
        <v>349</v>
      </c>
      <c r="B172" s="9">
        <v>-1</v>
      </c>
      <c r="C172" s="9" t="s">
        <v>306</v>
      </c>
      <c r="D172" s="9" t="s">
        <v>306</v>
      </c>
      <c r="E172" s="9" t="s">
        <v>306</v>
      </c>
      <c r="F172" s="9" t="s">
        <v>306</v>
      </c>
      <c r="G172" s="9" t="s">
        <v>291</v>
      </c>
      <c r="H172" s="9" t="s">
        <v>291</v>
      </c>
      <c r="I172" s="9">
        <v>1</v>
      </c>
      <c r="J172" s="9">
        <v>1</v>
      </c>
      <c r="K172" s="9">
        <v>1</v>
      </c>
      <c r="L172" s="9" t="s">
        <v>291</v>
      </c>
      <c r="M172" s="9">
        <v>24</v>
      </c>
      <c r="N172" s="9" t="s">
        <v>291</v>
      </c>
      <c r="O172" s="9" t="s">
        <v>291</v>
      </c>
      <c r="P172" s="9" t="s">
        <v>291</v>
      </c>
      <c r="Q172" s="9" t="s">
        <v>291</v>
      </c>
      <c r="R172" s="9">
        <v>-28</v>
      </c>
      <c r="S172" s="9">
        <v>24</v>
      </c>
      <c r="T172" s="9">
        <v>21</v>
      </c>
      <c r="U172" s="9">
        <v>-10</v>
      </c>
      <c r="V172" s="9" t="s">
        <v>291</v>
      </c>
      <c r="W172" s="9" t="s">
        <v>291</v>
      </c>
      <c r="X172" s="9" t="s">
        <v>291</v>
      </c>
      <c r="Y172" s="9" t="s">
        <v>291</v>
      </c>
      <c r="Z172" s="9" t="s">
        <v>291</v>
      </c>
      <c r="AA172" s="9" t="s">
        <v>291</v>
      </c>
      <c r="AB172" s="9" t="s">
        <v>291</v>
      </c>
      <c r="AC172" s="284" t="s">
        <v>291</v>
      </c>
      <c r="AD172" s="284" t="s">
        <v>291</v>
      </c>
      <c r="AE172" s="284" t="s">
        <v>291</v>
      </c>
      <c r="AF172" s="284" t="s">
        <v>291</v>
      </c>
      <c r="AG172" s="9" t="s">
        <v>291</v>
      </c>
      <c r="AH172" s="9" t="s">
        <v>291</v>
      </c>
      <c r="AI172" s="9" t="s">
        <v>291</v>
      </c>
      <c r="AJ172" s="9" t="s">
        <v>291</v>
      </c>
    </row>
    <row r="173" spans="1:36">
      <c r="A173" s="9" t="s">
        <v>348</v>
      </c>
      <c r="B173" s="9">
        <v>4</v>
      </c>
      <c r="C173" s="9">
        <v>13</v>
      </c>
      <c r="D173" s="9" t="s">
        <v>306</v>
      </c>
      <c r="E173" s="9">
        <v>-9</v>
      </c>
      <c r="F173" s="9">
        <v>-5</v>
      </c>
      <c r="G173" s="9">
        <v>-6</v>
      </c>
      <c r="H173" s="9">
        <v>-1</v>
      </c>
      <c r="I173" s="9" t="s">
        <v>306</v>
      </c>
      <c r="J173" s="9" t="s">
        <v>291</v>
      </c>
      <c r="K173" s="9" t="s">
        <v>291</v>
      </c>
      <c r="L173" s="9" t="s">
        <v>291</v>
      </c>
      <c r="M173" s="9" t="s">
        <v>291</v>
      </c>
      <c r="N173" s="9">
        <v>7</v>
      </c>
      <c r="O173" s="9">
        <v>-24</v>
      </c>
      <c r="P173" s="9">
        <v>42</v>
      </c>
      <c r="Q173" s="9">
        <v>-6</v>
      </c>
      <c r="R173" s="9">
        <v>55</v>
      </c>
      <c r="S173" s="9" t="s">
        <v>306</v>
      </c>
      <c r="T173" s="9">
        <v>20</v>
      </c>
      <c r="U173" s="9">
        <v>-21</v>
      </c>
      <c r="V173" s="9">
        <v>-3</v>
      </c>
      <c r="W173" s="9">
        <v>-7</v>
      </c>
      <c r="X173" s="9">
        <v>-3</v>
      </c>
      <c r="Y173" s="9">
        <v>-6</v>
      </c>
      <c r="Z173" s="9" t="s">
        <v>291</v>
      </c>
      <c r="AA173" s="9" t="s">
        <v>291</v>
      </c>
      <c r="AB173" s="9" t="s">
        <v>291</v>
      </c>
      <c r="AC173" s="284" t="s">
        <v>291</v>
      </c>
      <c r="AD173" s="284" t="s">
        <v>291</v>
      </c>
      <c r="AE173" s="284" t="s">
        <v>291</v>
      </c>
      <c r="AF173" s="284" t="s">
        <v>291</v>
      </c>
      <c r="AG173" s="9">
        <v>-94</v>
      </c>
      <c r="AH173" s="9">
        <v>209</v>
      </c>
      <c r="AI173" s="9">
        <v>12</v>
      </c>
      <c r="AJ173" s="9">
        <v>87</v>
      </c>
    </row>
    <row r="174" spans="1:36">
      <c r="A174" s="9" t="s">
        <v>347</v>
      </c>
      <c r="B174" s="9">
        <v>-2</v>
      </c>
      <c r="C174" s="9" t="s">
        <v>291</v>
      </c>
      <c r="D174" s="9" t="s">
        <v>291</v>
      </c>
      <c r="E174" s="9">
        <v>3</v>
      </c>
      <c r="F174" s="9" t="s">
        <v>291</v>
      </c>
      <c r="G174" s="9" t="s">
        <v>291</v>
      </c>
      <c r="H174" s="9" t="s">
        <v>291</v>
      </c>
      <c r="I174" s="9">
        <v>-1</v>
      </c>
      <c r="J174" s="9" t="s">
        <v>306</v>
      </c>
      <c r="K174" s="9">
        <v>1</v>
      </c>
      <c r="L174" s="9">
        <v>-1</v>
      </c>
      <c r="M174" s="9" t="s">
        <v>306</v>
      </c>
      <c r="N174" s="9">
        <v>3</v>
      </c>
      <c r="O174" s="9">
        <v>-2</v>
      </c>
      <c r="P174" s="9">
        <v>1</v>
      </c>
      <c r="Q174" s="9">
        <v>1</v>
      </c>
      <c r="R174" s="9">
        <v>1</v>
      </c>
      <c r="S174" s="9">
        <v>1</v>
      </c>
      <c r="T174" s="9">
        <v>1</v>
      </c>
      <c r="U174" s="9">
        <v>1</v>
      </c>
      <c r="V174" s="9" t="s">
        <v>306</v>
      </c>
      <c r="W174" s="9" t="s">
        <v>306</v>
      </c>
      <c r="X174" s="9">
        <v>10</v>
      </c>
      <c r="Y174" s="9">
        <v>3</v>
      </c>
      <c r="Z174" s="9">
        <v>-13</v>
      </c>
      <c r="AA174" s="9" t="s">
        <v>306</v>
      </c>
      <c r="AB174" s="9" t="s">
        <v>306</v>
      </c>
      <c r="AC174" s="284" t="s">
        <v>306</v>
      </c>
      <c r="AD174" s="284">
        <v>0</v>
      </c>
      <c r="AE174" s="284">
        <v>0</v>
      </c>
      <c r="AF174" s="284">
        <v>0</v>
      </c>
      <c r="AG174" s="9">
        <v>0</v>
      </c>
      <c r="AH174" s="9">
        <v>0</v>
      </c>
      <c r="AI174" s="9">
        <v>0</v>
      </c>
      <c r="AJ174" s="9">
        <v>0</v>
      </c>
    </row>
    <row r="175" spans="1:36">
      <c r="A175" s="9" t="s">
        <v>346</v>
      </c>
      <c r="B175" s="9">
        <v>50</v>
      </c>
      <c r="C175" s="9">
        <v>23</v>
      </c>
      <c r="D175" s="9">
        <v>-30</v>
      </c>
      <c r="E175" s="9">
        <v>-22</v>
      </c>
      <c r="F175" s="9">
        <v>-41</v>
      </c>
      <c r="G175" s="9">
        <v>5</v>
      </c>
      <c r="H175" s="9">
        <v>-97</v>
      </c>
      <c r="I175" s="9">
        <v>7</v>
      </c>
      <c r="J175" s="9">
        <v>4</v>
      </c>
      <c r="K175" s="9">
        <v>-37</v>
      </c>
      <c r="L175" s="9">
        <v>-36</v>
      </c>
      <c r="M175" s="9">
        <v>-13</v>
      </c>
      <c r="N175" s="9">
        <v>11</v>
      </c>
      <c r="O175" s="9">
        <v>-40</v>
      </c>
      <c r="P175" s="9">
        <v>27</v>
      </c>
      <c r="Q175" s="9">
        <v>69</v>
      </c>
      <c r="R175" s="9">
        <v>18</v>
      </c>
      <c r="S175" s="9">
        <v>51</v>
      </c>
      <c r="T175" s="9">
        <v>13</v>
      </c>
      <c r="U175" s="9">
        <v>-2</v>
      </c>
      <c r="V175" s="9">
        <v>19</v>
      </c>
      <c r="W175" s="9">
        <v>6</v>
      </c>
      <c r="X175" s="9">
        <v>59</v>
      </c>
      <c r="Y175" s="9">
        <v>28</v>
      </c>
      <c r="Z175" s="9">
        <v>-44</v>
      </c>
      <c r="AA175" s="9">
        <v>111</v>
      </c>
      <c r="AB175" s="9">
        <v>72</v>
      </c>
      <c r="AC175" s="284">
        <v>-21</v>
      </c>
      <c r="AD175" s="284">
        <v>30</v>
      </c>
      <c r="AE175" s="284">
        <v>-811</v>
      </c>
      <c r="AF175" s="284">
        <v>8</v>
      </c>
      <c r="AG175" s="9">
        <v>98</v>
      </c>
      <c r="AH175" s="9">
        <v>32</v>
      </c>
      <c r="AI175" s="9">
        <v>-13</v>
      </c>
      <c r="AJ175" s="9">
        <v>39</v>
      </c>
    </row>
    <row r="176" spans="1:36">
      <c r="A176" s="9" t="s">
        <v>345</v>
      </c>
      <c r="B176" s="9">
        <v>3</v>
      </c>
      <c r="C176" s="9">
        <v>6</v>
      </c>
      <c r="D176" s="9" t="s">
        <v>291</v>
      </c>
      <c r="E176" s="9" t="s">
        <v>291</v>
      </c>
      <c r="F176" s="9" t="s">
        <v>291</v>
      </c>
      <c r="G176" s="9" t="s">
        <v>291</v>
      </c>
      <c r="H176" s="9" t="s">
        <v>291</v>
      </c>
      <c r="I176" s="9">
        <v>1</v>
      </c>
      <c r="J176" s="9">
        <v>1</v>
      </c>
      <c r="K176" s="9" t="s">
        <v>306</v>
      </c>
      <c r="L176" s="9">
        <v>1</v>
      </c>
      <c r="M176" s="9">
        <v>1</v>
      </c>
      <c r="N176" s="9" t="s">
        <v>291</v>
      </c>
      <c r="O176" s="9" t="s">
        <v>291</v>
      </c>
      <c r="P176" s="9" t="s">
        <v>291</v>
      </c>
      <c r="Q176" s="9" t="s">
        <v>291</v>
      </c>
      <c r="R176" s="9" t="s">
        <v>291</v>
      </c>
      <c r="S176" s="9">
        <v>8</v>
      </c>
      <c r="T176" s="9">
        <v>-5</v>
      </c>
      <c r="U176" s="9">
        <v>-1</v>
      </c>
      <c r="V176" s="9">
        <v>2</v>
      </c>
      <c r="W176" s="9" t="s">
        <v>306</v>
      </c>
      <c r="X176" s="9">
        <v>-4</v>
      </c>
      <c r="Y176" s="9">
        <v>1</v>
      </c>
      <c r="Z176" s="9">
        <v>1</v>
      </c>
      <c r="AA176" s="9" t="s">
        <v>291</v>
      </c>
      <c r="AB176" s="9" t="s">
        <v>291</v>
      </c>
      <c r="AC176" s="284">
        <v>3</v>
      </c>
      <c r="AD176" s="284">
        <v>6</v>
      </c>
      <c r="AE176" s="284">
        <v>1</v>
      </c>
      <c r="AF176" s="284">
        <v>-3</v>
      </c>
      <c r="AG176" s="9" t="s">
        <v>291</v>
      </c>
      <c r="AH176" s="9" t="s">
        <v>291</v>
      </c>
      <c r="AI176" s="9" t="s">
        <v>291</v>
      </c>
      <c r="AJ176" s="9" t="s">
        <v>291</v>
      </c>
    </row>
    <row r="177" spans="1:36">
      <c r="A177" s="9" t="s">
        <v>344</v>
      </c>
      <c r="B177" s="9" t="s">
        <v>273</v>
      </c>
      <c r="C177" s="9" t="s">
        <v>273</v>
      </c>
      <c r="D177" s="9" t="s">
        <v>273</v>
      </c>
      <c r="E177" s="9" t="s">
        <v>273</v>
      </c>
      <c r="F177" s="9" t="s">
        <v>273</v>
      </c>
      <c r="G177" s="9" t="s">
        <v>273</v>
      </c>
      <c r="H177" s="9" t="s">
        <v>273</v>
      </c>
      <c r="I177" s="9" t="s">
        <v>273</v>
      </c>
      <c r="J177" s="9" t="s">
        <v>273</v>
      </c>
      <c r="K177" s="9" t="s">
        <v>273</v>
      </c>
      <c r="L177" s="9" t="s">
        <v>273</v>
      </c>
      <c r="M177" s="9" t="s">
        <v>273</v>
      </c>
      <c r="N177" s="9" t="s">
        <v>273</v>
      </c>
      <c r="O177" s="9" t="s">
        <v>273</v>
      </c>
      <c r="P177" s="9" t="s">
        <v>273</v>
      </c>
      <c r="Q177" s="9" t="s">
        <v>273</v>
      </c>
      <c r="R177" s="9" t="s">
        <v>273</v>
      </c>
      <c r="S177" s="9" t="s">
        <v>273</v>
      </c>
      <c r="T177" s="9" t="s">
        <v>273</v>
      </c>
      <c r="U177" s="9" t="s">
        <v>273</v>
      </c>
      <c r="V177" s="9" t="s">
        <v>273</v>
      </c>
      <c r="W177" s="9" t="s">
        <v>273</v>
      </c>
      <c r="X177" s="9" t="s">
        <v>273</v>
      </c>
      <c r="Y177" s="9" t="s">
        <v>273</v>
      </c>
      <c r="Z177" s="9" t="s">
        <v>273</v>
      </c>
      <c r="AA177" s="9" t="s">
        <v>273</v>
      </c>
      <c r="AB177" s="9" t="s">
        <v>273</v>
      </c>
      <c r="AC177" s="284">
        <v>1</v>
      </c>
      <c r="AD177" s="284">
        <v>1</v>
      </c>
      <c r="AE177" s="284">
        <v>1</v>
      </c>
      <c r="AF177" s="284">
        <v>1</v>
      </c>
      <c r="AG177" s="9">
        <v>1</v>
      </c>
      <c r="AH177" s="9">
        <v>1</v>
      </c>
      <c r="AI177" s="9">
        <v>1</v>
      </c>
      <c r="AJ177" s="9">
        <v>1</v>
      </c>
    </row>
    <row r="178" spans="1:36" s="284" customFormat="1">
      <c r="A178" s="288" t="s">
        <v>1118</v>
      </c>
      <c r="AC178" s="284">
        <v>0</v>
      </c>
      <c r="AD178" s="284">
        <v>0</v>
      </c>
      <c r="AE178" s="284">
        <v>0</v>
      </c>
      <c r="AF178" s="284">
        <v>0</v>
      </c>
      <c r="AG178" s="284">
        <v>0</v>
      </c>
      <c r="AH178" s="284">
        <v>0</v>
      </c>
      <c r="AI178" s="284">
        <v>0</v>
      </c>
      <c r="AJ178" s="284">
        <v>0</v>
      </c>
    </row>
    <row r="179" spans="1:36">
      <c r="A179" s="9" t="s">
        <v>342</v>
      </c>
      <c r="B179" s="9">
        <v>7</v>
      </c>
      <c r="C179" s="9">
        <v>5</v>
      </c>
      <c r="D179" s="9">
        <v>4</v>
      </c>
      <c r="E179" s="9">
        <v>4</v>
      </c>
      <c r="F179" s="9">
        <v>-2</v>
      </c>
      <c r="G179" s="9">
        <v>1</v>
      </c>
      <c r="H179" s="9">
        <v>3</v>
      </c>
      <c r="I179" s="9">
        <v>1</v>
      </c>
      <c r="J179" s="9">
        <v>4</v>
      </c>
      <c r="K179" s="9">
        <v>-3</v>
      </c>
      <c r="L179" s="9">
        <v>8</v>
      </c>
      <c r="M179" s="9">
        <v>11</v>
      </c>
      <c r="N179" s="9">
        <v>1</v>
      </c>
      <c r="O179" s="9">
        <v>2</v>
      </c>
      <c r="P179" s="9">
        <v>3</v>
      </c>
      <c r="Q179" s="9" t="s">
        <v>306</v>
      </c>
      <c r="R179" s="9" t="s">
        <v>306</v>
      </c>
      <c r="S179" s="9">
        <v>6</v>
      </c>
      <c r="T179" s="9">
        <v>5</v>
      </c>
      <c r="U179" s="9">
        <v>2</v>
      </c>
      <c r="V179" s="9">
        <v>-5</v>
      </c>
      <c r="W179" s="9">
        <v>-4</v>
      </c>
      <c r="X179" s="9">
        <v>-3</v>
      </c>
      <c r="Y179" s="9" t="s">
        <v>306</v>
      </c>
      <c r="Z179" s="9">
        <v>15</v>
      </c>
      <c r="AA179" s="9">
        <v>5</v>
      </c>
      <c r="AB179" s="9">
        <v>-1</v>
      </c>
      <c r="AC179" s="284">
        <v>3</v>
      </c>
      <c r="AD179" s="284">
        <v>18</v>
      </c>
      <c r="AE179" s="284">
        <v>-3</v>
      </c>
      <c r="AF179" s="284" t="s">
        <v>306</v>
      </c>
      <c r="AG179" s="9">
        <v>-26</v>
      </c>
      <c r="AH179" s="9">
        <v>10</v>
      </c>
      <c r="AI179" s="9">
        <v>-25</v>
      </c>
      <c r="AJ179" s="9">
        <v>-11</v>
      </c>
    </row>
    <row r="180" spans="1:36">
      <c r="A180" s="9" t="s">
        <v>341</v>
      </c>
      <c r="B180" s="9">
        <v>13</v>
      </c>
      <c r="C180" s="9" t="s">
        <v>306</v>
      </c>
      <c r="D180" s="9">
        <v>4</v>
      </c>
      <c r="E180" s="9">
        <v>-2</v>
      </c>
      <c r="F180" s="9">
        <v>-4</v>
      </c>
      <c r="G180" s="9">
        <v>-3</v>
      </c>
      <c r="H180" s="9">
        <v>1</v>
      </c>
      <c r="I180" s="9">
        <v>11</v>
      </c>
      <c r="J180" s="9">
        <v>11</v>
      </c>
      <c r="K180" s="9">
        <v>17</v>
      </c>
      <c r="L180" s="9">
        <v>23</v>
      </c>
      <c r="M180" s="9">
        <v>22</v>
      </c>
      <c r="N180" s="9">
        <v>30</v>
      </c>
      <c r="O180" s="9">
        <v>-4</v>
      </c>
      <c r="P180" s="9">
        <v>70</v>
      </c>
      <c r="Q180" s="9">
        <v>-25</v>
      </c>
      <c r="R180" s="9">
        <v>-21</v>
      </c>
      <c r="S180" s="9">
        <v>27</v>
      </c>
      <c r="T180" s="9">
        <v>30</v>
      </c>
      <c r="U180" s="9">
        <v>33</v>
      </c>
      <c r="V180" s="9">
        <v>37</v>
      </c>
      <c r="W180" s="9">
        <v>42</v>
      </c>
      <c r="X180" s="9" t="s">
        <v>306</v>
      </c>
      <c r="Y180" s="9" t="s">
        <v>291</v>
      </c>
      <c r="Z180" s="9" t="s">
        <v>291</v>
      </c>
      <c r="AA180" s="9" t="s">
        <v>291</v>
      </c>
      <c r="AB180" s="9" t="s">
        <v>291</v>
      </c>
      <c r="AC180" s="284" t="s">
        <v>291</v>
      </c>
      <c r="AD180" s="284" t="s">
        <v>291</v>
      </c>
      <c r="AE180" s="284" t="s">
        <v>291</v>
      </c>
      <c r="AF180" s="284" t="s">
        <v>291</v>
      </c>
      <c r="AG180" s="9" t="s">
        <v>291</v>
      </c>
      <c r="AH180" s="9" t="s">
        <v>291</v>
      </c>
      <c r="AI180" s="9" t="s">
        <v>291</v>
      </c>
      <c r="AJ180" s="9">
        <v>-109</v>
      </c>
    </row>
    <row r="181" spans="1:36">
      <c r="A181" s="9" t="s">
        <v>340</v>
      </c>
      <c r="B181" s="9">
        <v>195</v>
      </c>
      <c r="C181" s="9">
        <v>1305</v>
      </c>
      <c r="D181" s="9">
        <v>518</v>
      </c>
      <c r="E181" s="9">
        <v>-81</v>
      </c>
      <c r="F181" s="9">
        <v>66</v>
      </c>
      <c r="G181" s="9">
        <v>157</v>
      </c>
      <c r="H181" s="9">
        <v>-321</v>
      </c>
      <c r="I181" s="9">
        <v>-473</v>
      </c>
      <c r="J181" s="9">
        <v>515</v>
      </c>
      <c r="K181" s="9">
        <v>521</v>
      </c>
      <c r="L181" s="9">
        <v>845</v>
      </c>
      <c r="M181" s="9">
        <v>775</v>
      </c>
      <c r="N181" s="9">
        <v>709</v>
      </c>
      <c r="O181" s="9">
        <v>879</v>
      </c>
      <c r="P181" s="9">
        <v>467</v>
      </c>
      <c r="Q181" s="9">
        <v>619</v>
      </c>
      <c r="R181" s="9">
        <v>2092</v>
      </c>
      <c r="S181" s="9">
        <v>1000</v>
      </c>
      <c r="T181" s="9">
        <v>1375</v>
      </c>
      <c r="U181" s="9">
        <v>1397</v>
      </c>
      <c r="V181" s="9">
        <v>2559</v>
      </c>
      <c r="W181" s="9">
        <v>1315</v>
      </c>
      <c r="X181" s="9">
        <v>2538</v>
      </c>
      <c r="Y181" s="9">
        <v>3785</v>
      </c>
      <c r="Z181" s="9">
        <v>5699</v>
      </c>
      <c r="AA181" s="9">
        <v>4070</v>
      </c>
      <c r="AB181" s="9">
        <v>3716</v>
      </c>
      <c r="AC181" s="284">
        <v>4025</v>
      </c>
      <c r="AD181" s="284">
        <v>-305</v>
      </c>
      <c r="AE181" s="284">
        <v>771</v>
      </c>
      <c r="AF181" s="284">
        <v>7942</v>
      </c>
      <c r="AG181" s="9">
        <v>4009</v>
      </c>
      <c r="AH181" s="9">
        <v>7108</v>
      </c>
      <c r="AI181" s="9">
        <v>1927</v>
      </c>
      <c r="AJ181" s="9">
        <v>-154</v>
      </c>
    </row>
    <row r="182" spans="1:36">
      <c r="A182" s="9" t="s">
        <v>339</v>
      </c>
      <c r="B182" s="9">
        <v>-102</v>
      </c>
      <c r="C182" s="9">
        <v>69</v>
      </c>
      <c r="D182" s="9">
        <v>123</v>
      </c>
      <c r="E182" s="9">
        <v>121</v>
      </c>
      <c r="F182" s="9">
        <v>-108</v>
      </c>
      <c r="G182" s="9">
        <v>162</v>
      </c>
      <c r="H182" s="9">
        <v>56</v>
      </c>
      <c r="I182" s="9">
        <v>-33</v>
      </c>
      <c r="J182" s="9">
        <v>-163</v>
      </c>
      <c r="K182" s="9">
        <v>94</v>
      </c>
      <c r="L182" s="9">
        <v>510</v>
      </c>
      <c r="M182" s="9">
        <v>260</v>
      </c>
      <c r="N182" s="9">
        <v>298</v>
      </c>
      <c r="O182" s="9">
        <v>340</v>
      </c>
      <c r="P182" s="9">
        <v>264</v>
      </c>
      <c r="Q182" s="9">
        <v>25</v>
      </c>
      <c r="R182" s="9">
        <v>1236</v>
      </c>
      <c r="S182" s="9">
        <v>1442</v>
      </c>
      <c r="T182" s="9">
        <v>467</v>
      </c>
      <c r="U182" s="9">
        <v>1000</v>
      </c>
      <c r="V182" s="9">
        <v>202</v>
      </c>
      <c r="W182" s="9">
        <v>1263</v>
      </c>
      <c r="X182" s="9">
        <v>531</v>
      </c>
      <c r="Y182" s="9">
        <v>3058</v>
      </c>
      <c r="Z182" s="9">
        <v>2416</v>
      </c>
      <c r="AA182" s="9">
        <v>554</v>
      </c>
      <c r="AB182" s="9">
        <v>536</v>
      </c>
      <c r="AC182" s="284">
        <v>-166</v>
      </c>
      <c r="AD182" s="284">
        <v>185</v>
      </c>
      <c r="AE182" s="284">
        <v>-253</v>
      </c>
      <c r="AF182" s="284">
        <v>828</v>
      </c>
      <c r="AG182" s="9">
        <v>184</v>
      </c>
      <c r="AH182" s="9">
        <v>207</v>
      </c>
      <c r="AI182" s="9">
        <v>742</v>
      </c>
      <c r="AJ182" s="9">
        <v>659</v>
      </c>
    </row>
    <row r="183" spans="1:36">
      <c r="A183" s="9" t="s">
        <v>338</v>
      </c>
      <c r="B183" s="9">
        <v>-89</v>
      </c>
      <c r="C183" s="9">
        <v>1025</v>
      </c>
      <c r="D183" s="9">
        <v>172</v>
      </c>
      <c r="E183" s="9">
        <v>43</v>
      </c>
      <c r="F183" s="9">
        <v>6</v>
      </c>
      <c r="G183" s="9">
        <v>98</v>
      </c>
      <c r="H183" s="9">
        <v>-406</v>
      </c>
      <c r="I183" s="9">
        <v>56</v>
      </c>
      <c r="J183" s="9">
        <v>494</v>
      </c>
      <c r="K183" s="9">
        <v>224</v>
      </c>
      <c r="L183" s="9">
        <v>45</v>
      </c>
      <c r="M183" s="9">
        <v>254</v>
      </c>
      <c r="N183" s="9">
        <v>83</v>
      </c>
      <c r="O183" s="9">
        <v>640</v>
      </c>
      <c r="P183" s="9">
        <v>-206</v>
      </c>
      <c r="Q183" s="9">
        <v>332</v>
      </c>
      <c r="R183" s="9">
        <v>858</v>
      </c>
      <c r="S183" s="9">
        <v>-320</v>
      </c>
      <c r="T183" s="9">
        <v>395</v>
      </c>
      <c r="U183" s="9">
        <v>-319</v>
      </c>
      <c r="V183" s="9">
        <v>1505</v>
      </c>
      <c r="W183" s="9">
        <v>-1245</v>
      </c>
      <c r="X183" s="9">
        <v>-1007</v>
      </c>
      <c r="Y183" s="9">
        <v>-209</v>
      </c>
      <c r="Z183" s="9">
        <v>768</v>
      </c>
      <c r="AA183" s="9">
        <v>560</v>
      </c>
      <c r="AB183" s="9">
        <v>341</v>
      </c>
      <c r="AC183" s="284">
        <v>2636</v>
      </c>
      <c r="AD183" s="284">
        <v>-66</v>
      </c>
      <c r="AE183" s="284">
        <v>807</v>
      </c>
      <c r="AF183" s="284">
        <v>1690</v>
      </c>
      <c r="AG183" s="9">
        <v>635</v>
      </c>
      <c r="AH183" s="9">
        <v>252</v>
      </c>
      <c r="AI183" s="9">
        <v>1244</v>
      </c>
      <c r="AJ183" s="9">
        <v>596</v>
      </c>
    </row>
    <row r="184" spans="1:36">
      <c r="A184" s="9" t="s">
        <v>337</v>
      </c>
      <c r="B184" s="9">
        <v>104</v>
      </c>
      <c r="C184" s="9">
        <v>196</v>
      </c>
      <c r="D184" s="9">
        <v>280</v>
      </c>
      <c r="E184" s="9">
        <v>-192</v>
      </c>
      <c r="F184" s="9">
        <v>89</v>
      </c>
      <c r="G184" s="9">
        <v>-74</v>
      </c>
      <c r="H184" s="9">
        <v>26</v>
      </c>
      <c r="I184" s="9">
        <v>-99</v>
      </c>
      <c r="J184" s="9">
        <v>14</v>
      </c>
      <c r="K184" s="9">
        <v>24</v>
      </c>
      <c r="L184" s="9">
        <v>73</v>
      </c>
      <c r="M184" s="9">
        <v>84</v>
      </c>
      <c r="N184" s="9">
        <v>-60</v>
      </c>
      <c r="O184" s="9">
        <v>164</v>
      </c>
      <c r="P184" s="9">
        <v>103</v>
      </c>
      <c r="Q184" s="9">
        <v>55</v>
      </c>
      <c r="R184" s="9">
        <v>127</v>
      </c>
      <c r="S184" s="9">
        <v>-127</v>
      </c>
      <c r="T184" s="9">
        <v>94</v>
      </c>
      <c r="U184" s="9">
        <v>98</v>
      </c>
      <c r="V184" s="9">
        <v>400</v>
      </c>
      <c r="W184" s="9">
        <v>186</v>
      </c>
      <c r="X184" s="9">
        <v>1345</v>
      </c>
      <c r="Y184" s="9">
        <v>-64</v>
      </c>
      <c r="Z184" s="9">
        <v>1322</v>
      </c>
      <c r="AA184" s="9">
        <v>255</v>
      </c>
      <c r="AB184" s="9">
        <v>286</v>
      </c>
      <c r="AC184" s="284">
        <v>326</v>
      </c>
      <c r="AD184" s="284">
        <v>168</v>
      </c>
      <c r="AE184" s="284">
        <v>751</v>
      </c>
      <c r="AF184" s="284">
        <v>2044</v>
      </c>
      <c r="AG184" s="9">
        <v>2055</v>
      </c>
      <c r="AH184" s="9">
        <v>5607</v>
      </c>
      <c r="AI184" s="9">
        <v>-431</v>
      </c>
      <c r="AJ184" s="9">
        <v>-2518</v>
      </c>
    </row>
    <row r="185" spans="1:36">
      <c r="A185" s="9" t="s">
        <v>236</v>
      </c>
      <c r="B185" s="9">
        <v>280</v>
      </c>
      <c r="C185" s="9">
        <v>15</v>
      </c>
      <c r="D185" s="9">
        <v>-56</v>
      </c>
      <c r="E185" s="9">
        <v>-53</v>
      </c>
      <c r="F185" s="9">
        <v>79</v>
      </c>
      <c r="G185" s="9">
        <v>-28</v>
      </c>
      <c r="H185" s="9">
        <v>2</v>
      </c>
      <c r="I185" s="9">
        <v>-399</v>
      </c>
      <c r="J185" s="9">
        <v>170</v>
      </c>
      <c r="K185" s="9">
        <v>180</v>
      </c>
      <c r="L185" s="9">
        <v>217</v>
      </c>
      <c r="M185" s="9">
        <v>177</v>
      </c>
      <c r="N185" s="9">
        <v>388</v>
      </c>
      <c r="O185" s="9">
        <v>-266</v>
      </c>
      <c r="P185" s="9">
        <v>305</v>
      </c>
      <c r="Q185" s="9">
        <v>208</v>
      </c>
      <c r="R185" s="9">
        <v>-129</v>
      </c>
      <c r="S185" s="9">
        <v>4</v>
      </c>
      <c r="T185" s="9">
        <v>418</v>
      </c>
      <c r="U185" s="9">
        <v>618</v>
      </c>
      <c r="V185" s="9">
        <v>452</v>
      </c>
      <c r="W185" s="9">
        <v>1111</v>
      </c>
      <c r="X185" s="9">
        <v>1669</v>
      </c>
      <c r="Y185" s="9">
        <v>1001</v>
      </c>
      <c r="Z185" s="9">
        <v>1193</v>
      </c>
      <c r="AA185" s="9">
        <v>2701</v>
      </c>
      <c r="AB185" s="9">
        <v>2554</v>
      </c>
      <c r="AC185" s="284">
        <v>1229</v>
      </c>
      <c r="AD185" s="284">
        <v>-592</v>
      </c>
      <c r="AE185" s="284">
        <v>-533</v>
      </c>
      <c r="AF185" s="284">
        <v>3380</v>
      </c>
      <c r="AG185" s="9">
        <v>1135</v>
      </c>
      <c r="AH185" s="9">
        <v>1042</v>
      </c>
      <c r="AI185" s="9">
        <v>371</v>
      </c>
      <c r="AJ185" s="9">
        <v>1109</v>
      </c>
    </row>
    <row r="186" spans="1:36">
      <c r="A186" s="9" t="s">
        <v>336</v>
      </c>
      <c r="B186" s="9">
        <v>240</v>
      </c>
      <c r="C186" s="9">
        <v>6</v>
      </c>
      <c r="D186" s="9">
        <v>-19</v>
      </c>
      <c r="E186" s="9">
        <v>-139</v>
      </c>
      <c r="F186" s="9">
        <v>-70</v>
      </c>
      <c r="G186" s="9">
        <v>-220</v>
      </c>
      <c r="H186" s="9">
        <v>20</v>
      </c>
      <c r="I186" s="9">
        <v>15</v>
      </c>
      <c r="J186" s="9">
        <v>-73</v>
      </c>
      <c r="K186" s="9">
        <v>131</v>
      </c>
      <c r="L186" s="9">
        <v>-35</v>
      </c>
      <c r="M186" s="9">
        <v>9</v>
      </c>
      <c r="N186" s="9" t="s">
        <v>291</v>
      </c>
      <c r="O186" s="9" t="s">
        <v>291</v>
      </c>
      <c r="P186" s="9" t="s">
        <v>291</v>
      </c>
      <c r="Q186" s="9">
        <v>-88</v>
      </c>
      <c r="R186" s="9">
        <v>-10</v>
      </c>
      <c r="S186" s="9">
        <v>25</v>
      </c>
      <c r="T186" s="9">
        <v>31</v>
      </c>
      <c r="U186" s="9">
        <v>-17</v>
      </c>
      <c r="V186" s="9">
        <v>13</v>
      </c>
      <c r="W186" s="9">
        <v>60</v>
      </c>
      <c r="X186" s="9">
        <v>27</v>
      </c>
      <c r="Y186" s="9">
        <v>-45</v>
      </c>
      <c r="Z186" s="9">
        <v>-102</v>
      </c>
      <c r="AA186" s="9">
        <v>-85</v>
      </c>
      <c r="AB186" s="9">
        <v>-19</v>
      </c>
      <c r="AC186" s="284">
        <v>-321</v>
      </c>
      <c r="AD186" s="284">
        <v>118</v>
      </c>
      <c r="AE186" s="284">
        <v>128</v>
      </c>
      <c r="AF186" s="284">
        <v>-234</v>
      </c>
      <c r="AG186" s="9">
        <v>151</v>
      </c>
      <c r="AH186" s="9">
        <v>325</v>
      </c>
      <c r="AI186" s="9">
        <v>-33</v>
      </c>
      <c r="AJ186" s="9">
        <v>44</v>
      </c>
    </row>
    <row r="187" spans="1:36">
      <c r="A187" s="9" t="s">
        <v>335</v>
      </c>
      <c r="B187" s="9">
        <v>-2</v>
      </c>
      <c r="C187" s="9">
        <v>13</v>
      </c>
      <c r="D187" s="9">
        <v>-58</v>
      </c>
      <c r="E187" s="9">
        <v>63</v>
      </c>
      <c r="F187" s="9">
        <v>7</v>
      </c>
      <c r="G187" s="9">
        <v>-4</v>
      </c>
      <c r="H187" s="9" t="s">
        <v>291</v>
      </c>
      <c r="I187" s="9" t="s">
        <v>291</v>
      </c>
      <c r="J187" s="9">
        <v>-99</v>
      </c>
      <c r="K187" s="9" t="s">
        <v>291</v>
      </c>
      <c r="L187" s="9" t="s">
        <v>291</v>
      </c>
      <c r="M187" s="9" t="s">
        <v>291</v>
      </c>
      <c r="N187" s="9">
        <v>0</v>
      </c>
      <c r="O187" s="9">
        <v>1</v>
      </c>
      <c r="P187" s="9">
        <v>-1</v>
      </c>
      <c r="Q187" s="9" t="s">
        <v>306</v>
      </c>
      <c r="R187" s="9">
        <v>0</v>
      </c>
      <c r="S187" s="9">
        <v>1</v>
      </c>
      <c r="T187" s="9" t="s">
        <v>306</v>
      </c>
      <c r="U187" s="9">
        <v>1</v>
      </c>
      <c r="V187" s="9">
        <v>1</v>
      </c>
      <c r="W187" s="9">
        <v>1</v>
      </c>
      <c r="X187" s="9" t="s">
        <v>291</v>
      </c>
      <c r="Y187" s="9" t="s">
        <v>291</v>
      </c>
      <c r="Z187" s="9" t="s">
        <v>291</v>
      </c>
      <c r="AA187" s="9" t="s">
        <v>291</v>
      </c>
      <c r="AB187" s="9">
        <v>-1</v>
      </c>
      <c r="AC187" s="284" t="s">
        <v>306</v>
      </c>
      <c r="AD187" s="284" t="s">
        <v>306</v>
      </c>
      <c r="AE187" s="284" t="s">
        <v>306</v>
      </c>
      <c r="AF187" s="284" t="s">
        <v>306</v>
      </c>
      <c r="AG187" s="9" t="s">
        <v>306</v>
      </c>
      <c r="AH187" s="9" t="s">
        <v>306</v>
      </c>
      <c r="AI187" s="9" t="s">
        <v>306</v>
      </c>
      <c r="AJ187" s="9" t="s">
        <v>306</v>
      </c>
    </row>
    <row r="188" spans="1:36">
      <c r="A188" s="9" t="s">
        <v>334</v>
      </c>
      <c r="B188" s="9" t="s">
        <v>306</v>
      </c>
      <c r="C188" s="9">
        <v>-1</v>
      </c>
      <c r="D188" s="9" t="s">
        <v>306</v>
      </c>
      <c r="E188" s="9" t="s">
        <v>306</v>
      </c>
      <c r="F188" s="9" t="s">
        <v>306</v>
      </c>
      <c r="G188" s="9">
        <v>-1</v>
      </c>
      <c r="H188" s="9">
        <v>3</v>
      </c>
      <c r="I188" s="9" t="s">
        <v>273</v>
      </c>
      <c r="J188" s="9" t="s">
        <v>273</v>
      </c>
      <c r="K188" s="9" t="s">
        <v>273</v>
      </c>
      <c r="L188" s="9" t="s">
        <v>273</v>
      </c>
      <c r="M188" s="9" t="s">
        <v>273</v>
      </c>
      <c r="N188" s="9" t="s">
        <v>273</v>
      </c>
      <c r="O188" s="9" t="s">
        <v>273</v>
      </c>
      <c r="P188" s="9" t="s">
        <v>273</v>
      </c>
      <c r="Q188" s="9" t="s">
        <v>273</v>
      </c>
      <c r="R188" s="9" t="s">
        <v>273</v>
      </c>
      <c r="S188" s="9">
        <v>0</v>
      </c>
      <c r="T188" s="9">
        <v>0</v>
      </c>
      <c r="U188" s="9">
        <v>0</v>
      </c>
      <c r="V188" s="9">
        <v>0</v>
      </c>
      <c r="W188" s="9">
        <v>53</v>
      </c>
      <c r="X188" s="9" t="s">
        <v>291</v>
      </c>
      <c r="Y188" s="9" t="s">
        <v>291</v>
      </c>
      <c r="Z188" s="9" t="s">
        <v>291</v>
      </c>
      <c r="AA188" s="9" t="s">
        <v>291</v>
      </c>
      <c r="AB188" s="9" t="s">
        <v>291</v>
      </c>
      <c r="AC188" s="284">
        <v>2</v>
      </c>
      <c r="AD188" s="284">
        <v>-151</v>
      </c>
      <c r="AE188" s="284">
        <v>506</v>
      </c>
      <c r="AF188" s="284" t="s">
        <v>291</v>
      </c>
      <c r="AG188" s="9">
        <v>56</v>
      </c>
      <c r="AH188" s="9">
        <v>202</v>
      </c>
      <c r="AI188" s="9">
        <v>-169</v>
      </c>
      <c r="AJ188" s="9">
        <v>269</v>
      </c>
    </row>
    <row r="189" spans="1:36">
      <c r="A189" s="9" t="s">
        <v>332</v>
      </c>
      <c r="B189" s="9" t="s">
        <v>291</v>
      </c>
      <c r="C189" s="9" t="s">
        <v>291</v>
      </c>
      <c r="D189" s="9" t="s">
        <v>291</v>
      </c>
      <c r="E189" s="9" t="s">
        <v>291</v>
      </c>
      <c r="F189" s="9" t="s">
        <v>291</v>
      </c>
      <c r="G189" s="9" t="s">
        <v>291</v>
      </c>
      <c r="H189" s="9" t="s">
        <v>291</v>
      </c>
      <c r="I189" s="9" t="s">
        <v>291</v>
      </c>
      <c r="J189" s="9">
        <v>-6</v>
      </c>
      <c r="K189" s="9" t="s">
        <v>291</v>
      </c>
      <c r="L189" s="9" t="s">
        <v>291</v>
      </c>
      <c r="M189" s="9">
        <v>3</v>
      </c>
      <c r="N189" s="9">
        <v>1</v>
      </c>
      <c r="O189" s="9">
        <v>2</v>
      </c>
      <c r="P189" s="9" t="s">
        <v>291</v>
      </c>
      <c r="Q189" s="9" t="s">
        <v>291</v>
      </c>
      <c r="R189" s="9" t="s">
        <v>291</v>
      </c>
      <c r="S189" s="9">
        <v>-6</v>
      </c>
      <c r="T189" s="9" t="s">
        <v>291</v>
      </c>
      <c r="U189" s="9" t="s">
        <v>291</v>
      </c>
      <c r="V189" s="9" t="s">
        <v>291</v>
      </c>
      <c r="W189" s="9" t="s">
        <v>291</v>
      </c>
      <c r="X189" s="9" t="s">
        <v>291</v>
      </c>
      <c r="Y189" s="9">
        <v>6</v>
      </c>
      <c r="Z189" s="9">
        <v>37</v>
      </c>
      <c r="AA189" s="9">
        <v>79</v>
      </c>
      <c r="AB189" s="9">
        <v>32</v>
      </c>
      <c r="AC189" s="284">
        <v>-7</v>
      </c>
      <c r="AD189" s="284">
        <v>3</v>
      </c>
      <c r="AE189" s="284">
        <v>43</v>
      </c>
      <c r="AF189" s="284">
        <v>6</v>
      </c>
      <c r="AG189" s="9">
        <v>22</v>
      </c>
      <c r="AH189" s="9" t="s">
        <v>291</v>
      </c>
      <c r="AI189" s="9">
        <v>11</v>
      </c>
      <c r="AJ189" s="9" t="s">
        <v>291</v>
      </c>
    </row>
    <row r="190" spans="1:36">
      <c r="A190" s="9" t="s">
        <v>331</v>
      </c>
      <c r="B190" s="9">
        <v>21</v>
      </c>
      <c r="C190" s="9">
        <v>8</v>
      </c>
      <c r="D190" s="9">
        <v>15</v>
      </c>
      <c r="E190" s="9" t="s">
        <v>306</v>
      </c>
      <c r="F190" s="9" t="s">
        <v>291</v>
      </c>
      <c r="G190" s="9" t="s">
        <v>291</v>
      </c>
      <c r="H190" s="9">
        <v>-34</v>
      </c>
      <c r="I190" s="9" t="s">
        <v>291</v>
      </c>
      <c r="J190" s="9" t="s">
        <v>291</v>
      </c>
      <c r="K190" s="9" t="s">
        <v>291</v>
      </c>
      <c r="L190" s="9" t="s">
        <v>291</v>
      </c>
      <c r="M190" s="9" t="s">
        <v>291</v>
      </c>
      <c r="N190" s="9">
        <v>-8</v>
      </c>
      <c r="O190" s="9">
        <v>45</v>
      </c>
      <c r="P190" s="9">
        <v>-45</v>
      </c>
      <c r="Q190" s="9">
        <v>-41</v>
      </c>
      <c r="R190" s="9">
        <v>174</v>
      </c>
      <c r="S190" s="9">
        <v>210</v>
      </c>
      <c r="T190" s="9">
        <v>154</v>
      </c>
      <c r="U190" s="9">
        <v>381</v>
      </c>
      <c r="V190" s="9" t="s">
        <v>291</v>
      </c>
      <c r="W190" s="9" t="s">
        <v>291</v>
      </c>
      <c r="X190" s="9" t="s">
        <v>291</v>
      </c>
      <c r="Y190" s="9" t="s">
        <v>291</v>
      </c>
      <c r="Z190" s="9" t="s">
        <v>291</v>
      </c>
      <c r="AA190" s="9" t="s">
        <v>291</v>
      </c>
      <c r="AB190" s="9" t="s">
        <v>291</v>
      </c>
      <c r="AC190" s="284">
        <v>-186</v>
      </c>
      <c r="AD190" s="284">
        <v>-151</v>
      </c>
      <c r="AE190" s="284" t="s">
        <v>291</v>
      </c>
      <c r="AF190" s="284" t="s">
        <v>291</v>
      </c>
      <c r="AG190" s="9">
        <v>50</v>
      </c>
      <c r="AH190" s="9">
        <v>99</v>
      </c>
      <c r="AI190" s="9">
        <v>-63</v>
      </c>
      <c r="AJ190" s="9">
        <v>-92</v>
      </c>
    </row>
    <row r="191" spans="1:36">
      <c r="A191" s="9" t="s">
        <v>330</v>
      </c>
      <c r="B191" s="9">
        <v>-19</v>
      </c>
      <c r="C191" s="9">
        <v>-12</v>
      </c>
      <c r="D191" s="9">
        <v>-4</v>
      </c>
      <c r="E191" s="9">
        <v>-3</v>
      </c>
      <c r="F191" s="9">
        <v>-13</v>
      </c>
      <c r="G191" s="9">
        <v>7</v>
      </c>
      <c r="H191" s="9">
        <v>-1</v>
      </c>
      <c r="I191" s="9" t="s">
        <v>291</v>
      </c>
      <c r="J191" s="9">
        <v>-7</v>
      </c>
      <c r="K191" s="9" t="s">
        <v>306</v>
      </c>
      <c r="L191" s="9" t="s">
        <v>306</v>
      </c>
      <c r="M191" s="9">
        <v>-5</v>
      </c>
      <c r="N191" s="9">
        <v>4</v>
      </c>
      <c r="O191" s="9">
        <v>5</v>
      </c>
      <c r="P191" s="9">
        <v>7</v>
      </c>
      <c r="Q191" s="9">
        <v>17</v>
      </c>
      <c r="R191" s="9">
        <v>20</v>
      </c>
      <c r="S191" s="9">
        <v>22</v>
      </c>
      <c r="T191" s="9">
        <v>24</v>
      </c>
      <c r="U191" s="9">
        <v>16</v>
      </c>
      <c r="V191" s="9">
        <v>2</v>
      </c>
      <c r="W191" s="9">
        <v>19</v>
      </c>
      <c r="X191" s="9">
        <v>38</v>
      </c>
      <c r="Y191" s="9">
        <v>-2</v>
      </c>
      <c r="Z191" s="9">
        <v>-26</v>
      </c>
      <c r="AA191" s="9">
        <v>22</v>
      </c>
      <c r="AB191" s="9">
        <v>24</v>
      </c>
      <c r="AC191" s="284">
        <v>33</v>
      </c>
      <c r="AD191" s="284">
        <v>38</v>
      </c>
      <c r="AE191" s="284">
        <v>10</v>
      </c>
      <c r="AF191" s="284">
        <v>-30</v>
      </c>
      <c r="AG191" s="9">
        <v>23</v>
      </c>
      <c r="AH191" s="9">
        <v>41</v>
      </c>
      <c r="AI191" s="9">
        <v>32</v>
      </c>
      <c r="AJ191" s="9">
        <v>40</v>
      </c>
    </row>
    <row r="192" spans="1:36">
      <c r="A192" s="9" t="s">
        <v>329</v>
      </c>
      <c r="B192" s="9">
        <v>8</v>
      </c>
      <c r="C192" s="9">
        <v>16</v>
      </c>
      <c r="D192" s="9">
        <v>7</v>
      </c>
      <c r="E192" s="9">
        <v>2</v>
      </c>
      <c r="F192" s="9">
        <v>-32</v>
      </c>
      <c r="G192" s="9">
        <v>-1</v>
      </c>
      <c r="H192" s="9">
        <v>17</v>
      </c>
      <c r="I192" s="9">
        <v>8</v>
      </c>
      <c r="J192" s="9">
        <v>5</v>
      </c>
      <c r="K192" s="9" t="s">
        <v>291</v>
      </c>
      <c r="L192" s="9" t="s">
        <v>291</v>
      </c>
      <c r="M192" s="9">
        <v>5</v>
      </c>
      <c r="N192" s="9">
        <v>38</v>
      </c>
      <c r="O192" s="9">
        <v>-42</v>
      </c>
      <c r="P192" s="9">
        <v>-30</v>
      </c>
      <c r="Q192" s="9">
        <v>-3</v>
      </c>
      <c r="R192" s="9">
        <v>5</v>
      </c>
      <c r="S192" s="9">
        <v>23</v>
      </c>
      <c r="T192" s="9">
        <v>-8</v>
      </c>
      <c r="U192" s="9">
        <v>57</v>
      </c>
      <c r="V192" s="9">
        <v>-46</v>
      </c>
      <c r="W192" s="9">
        <v>163</v>
      </c>
      <c r="X192" s="9" t="s">
        <v>291</v>
      </c>
      <c r="Y192" s="9" t="s">
        <v>291</v>
      </c>
      <c r="Z192" s="9" t="s">
        <v>291</v>
      </c>
      <c r="AA192" s="9" t="s">
        <v>291</v>
      </c>
      <c r="AB192" s="9" t="s">
        <v>291</v>
      </c>
      <c r="AC192" s="284" t="s">
        <v>291</v>
      </c>
      <c r="AD192" s="284" t="s">
        <v>291</v>
      </c>
      <c r="AE192" s="284" t="s">
        <v>291</v>
      </c>
      <c r="AF192" s="284" t="s">
        <v>291</v>
      </c>
      <c r="AG192" s="9">
        <v>156</v>
      </c>
      <c r="AH192" s="9">
        <v>323</v>
      </c>
      <c r="AI192" s="9">
        <v>161</v>
      </c>
      <c r="AJ192" s="9">
        <v>308</v>
      </c>
    </row>
    <row r="193" spans="1:36">
      <c r="A193" s="9" t="s">
        <v>328</v>
      </c>
      <c r="B193" s="9">
        <v>-2</v>
      </c>
      <c r="C193" s="9">
        <v>-2</v>
      </c>
      <c r="D193" s="9">
        <v>-1</v>
      </c>
      <c r="E193" s="9">
        <v>-1</v>
      </c>
      <c r="F193" s="9">
        <v>-2</v>
      </c>
      <c r="G193" s="9">
        <v>-4</v>
      </c>
      <c r="H193" s="9">
        <v>-1</v>
      </c>
      <c r="I193" s="9">
        <v>7</v>
      </c>
      <c r="J193" s="9">
        <v>-4</v>
      </c>
      <c r="K193" s="9">
        <v>11</v>
      </c>
      <c r="L193" s="9">
        <v>-3</v>
      </c>
      <c r="M193" s="9">
        <v>8</v>
      </c>
      <c r="N193" s="9">
        <v>249</v>
      </c>
      <c r="O193" s="9">
        <v>195</v>
      </c>
      <c r="P193" s="9">
        <v>234</v>
      </c>
      <c r="Q193" s="9">
        <v>340</v>
      </c>
      <c r="R193" s="9">
        <v>335</v>
      </c>
      <c r="S193" s="9">
        <v>82</v>
      </c>
      <c r="T193" s="9">
        <v>150</v>
      </c>
      <c r="U193" s="9">
        <v>164</v>
      </c>
      <c r="V193" s="9">
        <v>677</v>
      </c>
      <c r="W193" s="9">
        <v>665</v>
      </c>
      <c r="X193" s="9">
        <v>1184</v>
      </c>
      <c r="Y193" s="9">
        <v>1034</v>
      </c>
      <c r="Z193" s="9">
        <v>695</v>
      </c>
      <c r="AA193" s="9">
        <v>2181</v>
      </c>
      <c r="AB193" s="9" t="s">
        <v>291</v>
      </c>
      <c r="AC193" s="284" t="s">
        <v>291</v>
      </c>
      <c r="AD193" s="284" t="s">
        <v>291</v>
      </c>
      <c r="AE193" s="284">
        <v>-1609</v>
      </c>
      <c r="AF193" s="284">
        <v>2282</v>
      </c>
      <c r="AG193" s="9">
        <v>719</v>
      </c>
      <c r="AH193" s="9">
        <v>231</v>
      </c>
      <c r="AI193" s="9">
        <v>529</v>
      </c>
      <c r="AJ193" s="9">
        <v>722</v>
      </c>
    </row>
    <row r="194" spans="1:36">
      <c r="A194" s="9" t="s">
        <v>327</v>
      </c>
      <c r="B194" s="9" t="s">
        <v>291</v>
      </c>
      <c r="C194" s="9" t="s">
        <v>291</v>
      </c>
      <c r="D194" s="9" t="s">
        <v>291</v>
      </c>
      <c r="E194" s="9" t="s">
        <v>291</v>
      </c>
      <c r="F194" s="9" t="s">
        <v>291</v>
      </c>
      <c r="G194" s="9" t="s">
        <v>291</v>
      </c>
      <c r="H194" s="9" t="s">
        <v>291</v>
      </c>
      <c r="I194" s="9" t="s">
        <v>291</v>
      </c>
      <c r="J194" s="9" t="s">
        <v>291</v>
      </c>
      <c r="K194" s="9" t="s">
        <v>291</v>
      </c>
      <c r="L194" s="9" t="s">
        <v>291</v>
      </c>
      <c r="M194" s="9">
        <v>-42</v>
      </c>
      <c r="N194" s="9" t="s">
        <v>291</v>
      </c>
      <c r="O194" s="9" t="s">
        <v>291</v>
      </c>
      <c r="P194" s="9" t="s">
        <v>291</v>
      </c>
      <c r="Q194" s="9" t="s">
        <v>291</v>
      </c>
      <c r="R194" s="9" t="s">
        <v>291</v>
      </c>
      <c r="S194" s="9">
        <v>27</v>
      </c>
      <c r="T194" s="9" t="s">
        <v>291</v>
      </c>
      <c r="U194" s="9" t="s">
        <v>291</v>
      </c>
      <c r="V194" s="9" t="s">
        <v>291</v>
      </c>
      <c r="W194" s="9" t="s">
        <v>291</v>
      </c>
      <c r="X194" s="9" t="s">
        <v>291</v>
      </c>
      <c r="Y194" s="9" t="s">
        <v>291</v>
      </c>
      <c r="Z194" s="9">
        <v>-59</v>
      </c>
      <c r="AA194" s="9">
        <v>1</v>
      </c>
      <c r="AB194" s="9" t="s">
        <v>306</v>
      </c>
      <c r="AC194" s="284" t="s">
        <v>306</v>
      </c>
      <c r="AD194" s="284">
        <v>1</v>
      </c>
      <c r="AE194" s="284">
        <v>1</v>
      </c>
      <c r="AF194" s="284" t="s">
        <v>306</v>
      </c>
      <c r="AG194" s="9" t="s">
        <v>306</v>
      </c>
      <c r="AH194" s="9" t="s">
        <v>306</v>
      </c>
      <c r="AI194" s="9" t="s">
        <v>306</v>
      </c>
      <c r="AJ194" s="9">
        <v>1</v>
      </c>
    </row>
    <row r="195" spans="1:36">
      <c r="A195" s="9" t="s">
        <v>324</v>
      </c>
      <c r="B195" s="9" t="s">
        <v>273</v>
      </c>
      <c r="C195" s="9" t="s">
        <v>273</v>
      </c>
      <c r="D195" s="9" t="s">
        <v>273</v>
      </c>
      <c r="E195" s="9" t="s">
        <v>273</v>
      </c>
      <c r="F195" s="9" t="s">
        <v>273</v>
      </c>
      <c r="G195" s="9" t="s">
        <v>273</v>
      </c>
      <c r="H195" s="9" t="s">
        <v>273</v>
      </c>
      <c r="I195" s="9" t="s">
        <v>291</v>
      </c>
      <c r="J195" s="9" t="s">
        <v>291</v>
      </c>
      <c r="K195" s="9">
        <v>93</v>
      </c>
      <c r="L195" s="9">
        <v>149</v>
      </c>
      <c r="M195" s="9">
        <v>216</v>
      </c>
      <c r="N195" s="9">
        <v>51</v>
      </c>
      <c r="O195" s="9">
        <v>-174</v>
      </c>
      <c r="P195" s="9">
        <v>62</v>
      </c>
      <c r="Q195" s="9">
        <v>-43</v>
      </c>
      <c r="R195" s="9">
        <v>-582</v>
      </c>
      <c r="S195" s="9">
        <v>-380</v>
      </c>
      <c r="T195" s="9">
        <v>68</v>
      </c>
      <c r="U195" s="9">
        <v>15</v>
      </c>
      <c r="V195" s="9">
        <v>8</v>
      </c>
      <c r="W195" s="9">
        <v>66</v>
      </c>
      <c r="X195" s="9">
        <v>-20</v>
      </c>
      <c r="Y195" s="9">
        <v>-90</v>
      </c>
      <c r="Z195" s="9">
        <v>497</v>
      </c>
      <c r="AA195" s="9">
        <v>35</v>
      </c>
      <c r="AB195" s="9">
        <v>-115</v>
      </c>
      <c r="AC195" s="284" t="s">
        <v>291</v>
      </c>
      <c r="AD195" s="284" t="s">
        <v>291</v>
      </c>
      <c r="AE195" s="284" t="s">
        <v>291</v>
      </c>
      <c r="AF195" s="284" t="s">
        <v>291</v>
      </c>
      <c r="AG195" s="9">
        <v>-41</v>
      </c>
      <c r="AH195" s="9" t="s">
        <v>291</v>
      </c>
      <c r="AI195" s="9">
        <v>-97</v>
      </c>
      <c r="AJ195" s="9" t="s">
        <v>291</v>
      </c>
    </row>
    <row r="196" spans="1:36">
      <c r="A196" s="9" t="s">
        <v>323</v>
      </c>
      <c r="B196" s="9">
        <v>2362</v>
      </c>
      <c r="C196" s="9">
        <v>2857</v>
      </c>
      <c r="D196" s="9">
        <v>2097</v>
      </c>
      <c r="E196" s="9">
        <v>1161</v>
      </c>
      <c r="F196" s="9">
        <v>1687</v>
      </c>
      <c r="G196" s="9">
        <v>3537</v>
      </c>
      <c r="H196" s="9">
        <v>2703</v>
      </c>
      <c r="I196" s="9">
        <v>4375</v>
      </c>
      <c r="J196" s="9">
        <v>6783</v>
      </c>
      <c r="K196" s="9">
        <v>3854</v>
      </c>
      <c r="L196" s="9">
        <v>7391</v>
      </c>
      <c r="M196" s="9">
        <v>8895</v>
      </c>
      <c r="N196" s="9">
        <v>13437</v>
      </c>
      <c r="O196" s="9">
        <v>14342</v>
      </c>
      <c r="P196" s="9">
        <v>15363</v>
      </c>
      <c r="Q196" s="9">
        <v>13733</v>
      </c>
      <c r="R196" s="9">
        <v>14715</v>
      </c>
      <c r="S196" s="9">
        <v>30831</v>
      </c>
      <c r="T196" s="9">
        <v>22449</v>
      </c>
      <c r="U196" s="9">
        <v>12927</v>
      </c>
      <c r="V196" s="9">
        <v>23277</v>
      </c>
      <c r="W196" s="9">
        <v>16592</v>
      </c>
      <c r="X196" s="9">
        <v>97013</v>
      </c>
      <c r="Y196" s="9">
        <v>24426</v>
      </c>
      <c r="Z196" s="9">
        <v>31556</v>
      </c>
      <c r="AA196" s="9">
        <v>67500</v>
      </c>
      <c r="AB196" s="9">
        <v>46821</v>
      </c>
      <c r="AC196" s="284">
        <v>30635</v>
      </c>
      <c r="AD196" s="284">
        <v>34895</v>
      </c>
      <c r="AE196" s="284">
        <v>35564</v>
      </c>
      <c r="AF196" s="284">
        <v>47491</v>
      </c>
      <c r="AG196" s="9">
        <v>66590</v>
      </c>
      <c r="AH196" s="9">
        <v>53764</v>
      </c>
      <c r="AI196" s="9">
        <v>38783</v>
      </c>
      <c r="AJ196" s="9">
        <v>47931</v>
      </c>
    </row>
    <row r="197" spans="1:36">
      <c r="A197" s="9" t="s">
        <v>322</v>
      </c>
      <c r="B197" s="9">
        <v>166</v>
      </c>
      <c r="C197" s="9">
        <v>405</v>
      </c>
      <c r="D197" s="9">
        <v>217</v>
      </c>
      <c r="E197" s="9">
        <v>374</v>
      </c>
      <c r="F197" s="9">
        <v>-4</v>
      </c>
      <c r="G197" s="9">
        <v>1000</v>
      </c>
      <c r="H197" s="9">
        <v>865</v>
      </c>
      <c r="I197" s="9">
        <v>1997</v>
      </c>
      <c r="J197" s="9">
        <v>794</v>
      </c>
      <c r="K197" s="9">
        <v>1061</v>
      </c>
      <c r="L197" s="9">
        <v>1437</v>
      </c>
      <c r="M197" s="9">
        <v>1981</v>
      </c>
      <c r="N197" s="9">
        <v>552</v>
      </c>
      <c r="O197" s="9">
        <v>5537</v>
      </c>
      <c r="P197" s="9">
        <v>3787</v>
      </c>
      <c r="Q197" s="9">
        <v>1209</v>
      </c>
      <c r="R197" s="9">
        <v>6284</v>
      </c>
      <c r="S197" s="9">
        <v>4868</v>
      </c>
      <c r="T197" s="9">
        <v>890</v>
      </c>
      <c r="U197" s="9">
        <v>-751</v>
      </c>
      <c r="V197" s="9">
        <v>8036</v>
      </c>
      <c r="W197" s="9">
        <v>7717</v>
      </c>
      <c r="X197" s="9" t="s">
        <v>291</v>
      </c>
      <c r="Y197" s="9" t="s">
        <v>291</v>
      </c>
      <c r="Z197" s="9">
        <v>1473</v>
      </c>
      <c r="AA197" s="9">
        <v>10122</v>
      </c>
      <c r="AB197" s="9">
        <v>10158</v>
      </c>
      <c r="AC197" s="284">
        <v>4453</v>
      </c>
      <c r="AD197" s="284">
        <v>19877</v>
      </c>
      <c r="AE197" s="284">
        <v>12154</v>
      </c>
      <c r="AF197" s="284">
        <v>21729</v>
      </c>
      <c r="AG197" s="9">
        <v>19956</v>
      </c>
      <c r="AH197" s="9">
        <v>16112</v>
      </c>
      <c r="AI197" s="9">
        <v>-5346</v>
      </c>
      <c r="AJ197" s="9">
        <v>8404</v>
      </c>
    </row>
    <row r="198" spans="1:36">
      <c r="A198" s="9" t="s">
        <v>321</v>
      </c>
      <c r="B198" s="9">
        <v>23</v>
      </c>
      <c r="C198" s="9">
        <v>54</v>
      </c>
      <c r="D198" s="9">
        <v>109</v>
      </c>
      <c r="E198" s="9">
        <v>179</v>
      </c>
      <c r="F198" s="9">
        <v>-108</v>
      </c>
      <c r="G198" s="9">
        <v>120</v>
      </c>
      <c r="H198" s="9">
        <v>167</v>
      </c>
      <c r="I198" s="9">
        <v>100</v>
      </c>
      <c r="J198" s="9">
        <v>30</v>
      </c>
      <c r="K198" s="9">
        <v>40</v>
      </c>
      <c r="L198" s="9">
        <v>74</v>
      </c>
      <c r="M198" s="9">
        <v>556</v>
      </c>
      <c r="N198" s="9">
        <v>1232</v>
      </c>
      <c r="O198" s="9">
        <v>261</v>
      </c>
      <c r="P198" s="9">
        <v>933</v>
      </c>
      <c r="Q198" s="9">
        <v>1250</v>
      </c>
      <c r="R198" s="9">
        <v>1497</v>
      </c>
      <c r="S198" s="9">
        <v>1947</v>
      </c>
      <c r="T198" s="9">
        <v>1817</v>
      </c>
      <c r="U198" s="9">
        <v>1912</v>
      </c>
      <c r="V198" s="9">
        <v>875</v>
      </c>
      <c r="W198" s="9">
        <v>1273</v>
      </c>
      <c r="X198" s="9">
        <v>4499</v>
      </c>
      <c r="Y198" s="9">
        <v>1955</v>
      </c>
      <c r="Z198" s="9">
        <v>4226</v>
      </c>
      <c r="AA198" s="9">
        <v>5243</v>
      </c>
      <c r="AB198" s="9">
        <v>15971</v>
      </c>
      <c r="AC198" s="284">
        <v>-7512</v>
      </c>
      <c r="AD198" s="284">
        <v>5420</v>
      </c>
      <c r="AE198" s="284">
        <v>-1720</v>
      </c>
      <c r="AF198" s="284">
        <v>-1223</v>
      </c>
      <c r="AG198" s="9">
        <v>7397</v>
      </c>
      <c r="AH198" s="9">
        <v>8429</v>
      </c>
      <c r="AI198" s="9">
        <v>7391</v>
      </c>
      <c r="AJ198" s="9">
        <v>9474</v>
      </c>
    </row>
    <row r="199" spans="1:36">
      <c r="A199" s="9" t="s">
        <v>320</v>
      </c>
      <c r="B199" s="9">
        <v>283</v>
      </c>
      <c r="C199" s="9">
        <v>421</v>
      </c>
      <c r="D199" s="9">
        <v>411</v>
      </c>
      <c r="E199" s="9">
        <v>69</v>
      </c>
      <c r="F199" s="9">
        <v>786</v>
      </c>
      <c r="G199" s="9">
        <v>371</v>
      </c>
      <c r="H199" s="9">
        <v>412</v>
      </c>
      <c r="I199" s="9">
        <v>465</v>
      </c>
      <c r="J199" s="9">
        <v>352</v>
      </c>
      <c r="K199" s="9">
        <v>474</v>
      </c>
      <c r="L199" s="9">
        <v>1914</v>
      </c>
      <c r="M199" s="9">
        <v>1366</v>
      </c>
      <c r="N199" s="9">
        <v>1979</v>
      </c>
      <c r="O199" s="9">
        <v>631</v>
      </c>
      <c r="P199" s="9">
        <v>1690</v>
      </c>
      <c r="Q199" s="9">
        <v>3759</v>
      </c>
      <c r="R199" s="9">
        <v>1880</v>
      </c>
      <c r="S199" s="9">
        <v>4447</v>
      </c>
      <c r="T199" s="9">
        <v>4922</v>
      </c>
      <c r="U199" s="9">
        <v>4787</v>
      </c>
      <c r="V199" s="9">
        <v>1226</v>
      </c>
      <c r="W199" s="9">
        <v>-689</v>
      </c>
      <c r="X199" s="9" t="s">
        <v>291</v>
      </c>
      <c r="Y199" s="9">
        <v>4688</v>
      </c>
      <c r="Z199" s="9">
        <v>4174</v>
      </c>
      <c r="AA199" s="9">
        <v>11533</v>
      </c>
      <c r="AB199" s="9">
        <v>-325</v>
      </c>
      <c r="AC199" s="284">
        <v>8729</v>
      </c>
      <c r="AD199" s="284">
        <v>-21124</v>
      </c>
      <c r="AE199" s="284">
        <v>136</v>
      </c>
      <c r="AF199" s="284">
        <v>-2300</v>
      </c>
      <c r="AG199" s="9">
        <v>6370</v>
      </c>
      <c r="AH199" s="9">
        <v>4990</v>
      </c>
      <c r="AI199" s="9">
        <v>3657</v>
      </c>
      <c r="AJ199" s="9">
        <v>1505</v>
      </c>
    </row>
    <row r="200" spans="1:36">
      <c r="A200" s="9" t="s">
        <v>319</v>
      </c>
      <c r="B200" s="9">
        <v>41</v>
      </c>
      <c r="C200" s="9">
        <v>5</v>
      </c>
      <c r="D200" s="9">
        <v>-9</v>
      </c>
      <c r="E200" s="9">
        <v>38</v>
      </c>
      <c r="F200" s="9">
        <v>39</v>
      </c>
      <c r="G200" s="9">
        <v>44</v>
      </c>
      <c r="H200" s="9">
        <v>-49</v>
      </c>
      <c r="I200" s="9" t="s">
        <v>291</v>
      </c>
      <c r="J200" s="9" t="s">
        <v>291</v>
      </c>
      <c r="K200" s="9">
        <v>74</v>
      </c>
      <c r="L200" s="9">
        <v>52</v>
      </c>
      <c r="M200" s="9">
        <v>88</v>
      </c>
      <c r="N200" s="9">
        <v>250</v>
      </c>
      <c r="O200" s="9">
        <v>181</v>
      </c>
      <c r="P200" s="9">
        <v>262</v>
      </c>
      <c r="Q200" s="9">
        <v>267</v>
      </c>
      <c r="R200" s="9">
        <v>80</v>
      </c>
      <c r="S200" s="9">
        <v>269</v>
      </c>
      <c r="T200" s="9">
        <v>92</v>
      </c>
      <c r="U200" s="9">
        <v>214</v>
      </c>
      <c r="V200" s="9">
        <v>919</v>
      </c>
      <c r="W200" s="9">
        <v>354</v>
      </c>
      <c r="X200" s="9">
        <v>1138</v>
      </c>
      <c r="Y200" s="9">
        <v>721</v>
      </c>
      <c r="Z200" s="9">
        <v>1834</v>
      </c>
      <c r="AA200" s="9">
        <v>3915</v>
      </c>
      <c r="AB200" s="9">
        <v>4310</v>
      </c>
      <c r="AC200" s="284">
        <v>2470</v>
      </c>
      <c r="AD200" s="284">
        <v>3069</v>
      </c>
      <c r="AE200" s="284">
        <v>3083</v>
      </c>
      <c r="AF200" s="284">
        <v>3785</v>
      </c>
      <c r="AG200" s="9">
        <v>2563</v>
      </c>
      <c r="AH200" s="9">
        <v>3380</v>
      </c>
      <c r="AI200" s="9">
        <v>3888</v>
      </c>
      <c r="AJ200" s="9">
        <v>3597</v>
      </c>
    </row>
    <row r="201" spans="1:36">
      <c r="A201" s="9" t="s">
        <v>318</v>
      </c>
      <c r="B201" s="9">
        <v>1004</v>
      </c>
      <c r="C201" s="9">
        <v>538</v>
      </c>
      <c r="D201" s="9">
        <v>970</v>
      </c>
      <c r="E201" s="9">
        <v>245</v>
      </c>
      <c r="F201" s="9">
        <v>71</v>
      </c>
      <c r="G201" s="9">
        <v>-292</v>
      </c>
      <c r="H201" s="9">
        <v>-156</v>
      </c>
      <c r="I201" s="9">
        <v>-65</v>
      </c>
      <c r="J201" s="9">
        <v>691</v>
      </c>
      <c r="K201" s="9">
        <v>413</v>
      </c>
      <c r="L201" s="9">
        <v>806</v>
      </c>
      <c r="M201" s="9">
        <v>475</v>
      </c>
      <c r="N201" s="9">
        <v>2061</v>
      </c>
      <c r="O201" s="9">
        <v>519</v>
      </c>
      <c r="P201" s="9">
        <v>956</v>
      </c>
      <c r="Q201" s="9">
        <v>21</v>
      </c>
      <c r="R201" s="9">
        <v>461</v>
      </c>
      <c r="S201" s="9">
        <v>505</v>
      </c>
      <c r="T201" s="9">
        <v>683</v>
      </c>
      <c r="U201" s="9">
        <v>985</v>
      </c>
      <c r="V201" s="9" t="s">
        <v>291</v>
      </c>
      <c r="W201" s="9" t="s">
        <v>291</v>
      </c>
      <c r="X201" s="9" t="s">
        <v>291</v>
      </c>
      <c r="Y201" s="9" t="s">
        <v>291</v>
      </c>
      <c r="Z201" s="9">
        <v>771</v>
      </c>
      <c r="AA201" s="9">
        <v>2925</v>
      </c>
      <c r="AB201" s="9">
        <v>1750</v>
      </c>
      <c r="AC201" s="284">
        <v>1000</v>
      </c>
      <c r="AD201" s="284">
        <v>315</v>
      </c>
      <c r="AE201" s="284">
        <v>1926</v>
      </c>
      <c r="AF201" s="284">
        <v>2301</v>
      </c>
      <c r="AG201" s="9">
        <v>440</v>
      </c>
      <c r="AH201" s="9">
        <v>2062</v>
      </c>
      <c r="AI201" s="9">
        <v>-137</v>
      </c>
      <c r="AJ201" s="9">
        <v>1005</v>
      </c>
    </row>
    <row r="202" spans="1:36">
      <c r="A202" s="9" t="s">
        <v>317</v>
      </c>
      <c r="B202" s="9">
        <v>306</v>
      </c>
      <c r="C202" s="9">
        <v>1078</v>
      </c>
      <c r="D202" s="9">
        <v>-188</v>
      </c>
      <c r="E202" s="9">
        <v>402</v>
      </c>
      <c r="F202" s="9">
        <v>464</v>
      </c>
      <c r="G202" s="9">
        <v>1223</v>
      </c>
      <c r="H202" s="9">
        <v>1114</v>
      </c>
      <c r="I202" s="9">
        <v>299</v>
      </c>
      <c r="J202" s="9">
        <v>984</v>
      </c>
      <c r="K202" s="9">
        <v>-203</v>
      </c>
      <c r="L202" s="9">
        <v>683</v>
      </c>
      <c r="M202" s="9">
        <v>1625</v>
      </c>
      <c r="N202" s="9">
        <v>1867</v>
      </c>
      <c r="O202" s="9">
        <v>2336</v>
      </c>
      <c r="P202" s="9">
        <v>-280</v>
      </c>
      <c r="Q202" s="9">
        <v>-339</v>
      </c>
      <c r="R202" s="9">
        <v>6428</v>
      </c>
      <c r="S202" s="9">
        <v>10602</v>
      </c>
      <c r="T202" s="9">
        <v>4295</v>
      </c>
      <c r="U202" s="9">
        <v>-4731</v>
      </c>
      <c r="V202" s="9">
        <v>8711</v>
      </c>
      <c r="W202" s="9">
        <v>867</v>
      </c>
      <c r="X202" s="9">
        <v>12787</v>
      </c>
      <c r="Y202" s="9">
        <v>5940</v>
      </c>
      <c r="Z202" s="9">
        <v>2709</v>
      </c>
      <c r="AA202" s="9">
        <v>15721</v>
      </c>
      <c r="AB202" s="9">
        <v>-1656</v>
      </c>
      <c r="AC202" s="284">
        <v>11138</v>
      </c>
      <c r="AD202" s="284">
        <v>917</v>
      </c>
      <c r="AE202" s="284">
        <v>2787</v>
      </c>
      <c r="AF202" s="284">
        <v>943</v>
      </c>
      <c r="AG202" s="9">
        <v>6227</v>
      </c>
      <c r="AH202" s="9">
        <v>-14933</v>
      </c>
      <c r="AI202" s="9">
        <v>1123</v>
      </c>
      <c r="AJ202" s="9">
        <v>2269</v>
      </c>
    </row>
    <row r="203" spans="1:36">
      <c r="A203" s="9" t="s">
        <v>316</v>
      </c>
      <c r="B203" s="9">
        <v>-167</v>
      </c>
      <c r="C203" s="9">
        <v>-95</v>
      </c>
      <c r="D203" s="9">
        <v>151</v>
      </c>
      <c r="E203" s="9">
        <v>66</v>
      </c>
      <c r="F203" s="9">
        <v>88</v>
      </c>
      <c r="G203" s="9">
        <v>182</v>
      </c>
      <c r="H203" s="9">
        <v>152</v>
      </c>
      <c r="I203" s="9">
        <v>332</v>
      </c>
      <c r="J203" s="9">
        <v>330</v>
      </c>
      <c r="K203" s="9">
        <v>209</v>
      </c>
      <c r="L203" s="9">
        <v>-101</v>
      </c>
      <c r="M203" s="9">
        <v>293</v>
      </c>
      <c r="N203" s="9">
        <v>390</v>
      </c>
      <c r="O203" s="9">
        <v>1051</v>
      </c>
      <c r="P203" s="9">
        <v>752</v>
      </c>
      <c r="Q203" s="9">
        <v>681</v>
      </c>
      <c r="R203" s="9">
        <v>631</v>
      </c>
      <c r="S203" s="9">
        <v>2557</v>
      </c>
      <c r="T203" s="9">
        <v>2338</v>
      </c>
      <c r="U203" s="9">
        <v>1206</v>
      </c>
      <c r="V203" s="9">
        <v>1681</v>
      </c>
      <c r="W203" s="9">
        <v>1231</v>
      </c>
      <c r="X203" s="9">
        <v>4340</v>
      </c>
      <c r="Y203" s="9">
        <v>1687</v>
      </c>
      <c r="Z203" s="9">
        <v>2518</v>
      </c>
      <c r="AA203" s="9">
        <v>821</v>
      </c>
      <c r="AB203" s="9">
        <v>2157</v>
      </c>
      <c r="AC203" s="284">
        <v>3200</v>
      </c>
      <c r="AD203" s="284">
        <v>2745</v>
      </c>
      <c r="AE203" s="284">
        <v>3277</v>
      </c>
      <c r="AF203" s="284">
        <v>1838</v>
      </c>
      <c r="AG203" s="9">
        <v>2493</v>
      </c>
      <c r="AH203" s="9">
        <v>3374</v>
      </c>
      <c r="AI203" s="9">
        <v>2577</v>
      </c>
      <c r="AJ203" s="9">
        <v>2350</v>
      </c>
    </row>
    <row r="204" spans="1:36">
      <c r="A204" s="9" t="s">
        <v>315</v>
      </c>
      <c r="B204" s="9">
        <v>360</v>
      </c>
      <c r="C204" s="9">
        <v>-82</v>
      </c>
      <c r="D204" s="9">
        <v>-123</v>
      </c>
      <c r="E204" s="9">
        <v>37</v>
      </c>
      <c r="F204" s="9">
        <v>-107</v>
      </c>
      <c r="G204" s="9">
        <v>-60</v>
      </c>
      <c r="H204" s="9">
        <v>159</v>
      </c>
      <c r="I204" s="9">
        <v>50</v>
      </c>
      <c r="J204" s="9">
        <v>175</v>
      </c>
      <c r="K204" s="9">
        <v>270</v>
      </c>
      <c r="L204" s="9">
        <v>-129</v>
      </c>
      <c r="M204" s="9">
        <v>377</v>
      </c>
      <c r="N204" s="9">
        <v>553</v>
      </c>
      <c r="O204" s="9">
        <v>1037</v>
      </c>
      <c r="P204" s="9">
        <v>1298</v>
      </c>
      <c r="Q204" s="9">
        <v>733</v>
      </c>
      <c r="R204" s="9">
        <v>-470</v>
      </c>
      <c r="S204" s="9">
        <v>-250</v>
      </c>
      <c r="T204" s="9">
        <v>1787</v>
      </c>
      <c r="U204" s="9">
        <v>17</v>
      </c>
      <c r="V204" s="9">
        <v>-609</v>
      </c>
      <c r="W204" s="9">
        <v>416</v>
      </c>
      <c r="X204" s="9" t="s">
        <v>291</v>
      </c>
      <c r="Y204" s="9">
        <v>2040</v>
      </c>
      <c r="Z204" s="9">
        <v>866</v>
      </c>
      <c r="AA204" s="9">
        <v>2062</v>
      </c>
      <c r="AB204" s="9">
        <v>819</v>
      </c>
      <c r="AC204" s="284">
        <v>847</v>
      </c>
      <c r="AD204" s="284">
        <v>2730</v>
      </c>
      <c r="AE204" s="284">
        <v>450</v>
      </c>
      <c r="AF204" s="284">
        <v>1230</v>
      </c>
      <c r="AG204" s="9">
        <v>2496</v>
      </c>
      <c r="AH204" s="9">
        <v>1619</v>
      </c>
      <c r="AI204" s="9">
        <v>1310</v>
      </c>
      <c r="AJ204" s="9">
        <v>-1178</v>
      </c>
    </row>
    <row r="205" spans="1:36">
      <c r="A205" s="9" t="s">
        <v>314</v>
      </c>
      <c r="B205" s="9">
        <v>87</v>
      </c>
      <c r="C205" s="9">
        <v>-27</v>
      </c>
      <c r="D205" s="9">
        <v>-41</v>
      </c>
      <c r="E205" s="9">
        <v>46</v>
      </c>
      <c r="F205" s="9">
        <v>37</v>
      </c>
      <c r="G205" s="9">
        <v>77</v>
      </c>
      <c r="H205" s="9">
        <v>123</v>
      </c>
      <c r="I205" s="9">
        <v>162</v>
      </c>
      <c r="J205" s="9">
        <v>2019</v>
      </c>
      <c r="K205" s="9">
        <v>-267</v>
      </c>
      <c r="L205" s="9">
        <v>392</v>
      </c>
      <c r="M205" s="9">
        <v>-443</v>
      </c>
      <c r="N205" s="9">
        <v>749</v>
      </c>
      <c r="O205" s="9">
        <v>765</v>
      </c>
      <c r="P205" s="9">
        <v>1142</v>
      </c>
      <c r="Q205" s="9">
        <v>1530</v>
      </c>
      <c r="R205" s="9">
        <v>-2419</v>
      </c>
      <c r="S205" s="9">
        <v>-107</v>
      </c>
      <c r="T205" s="9">
        <v>-279</v>
      </c>
      <c r="U205" s="9">
        <v>155</v>
      </c>
      <c r="V205" s="9">
        <v>-398</v>
      </c>
      <c r="W205" s="9">
        <v>-60</v>
      </c>
      <c r="X205" s="9" t="s">
        <v>291</v>
      </c>
      <c r="Y205" s="9">
        <v>446</v>
      </c>
      <c r="Z205" s="9">
        <v>814</v>
      </c>
      <c r="AA205" s="9">
        <v>67</v>
      </c>
      <c r="AB205" s="9">
        <v>-906</v>
      </c>
      <c r="AC205" s="284">
        <v>945</v>
      </c>
      <c r="AD205" s="284">
        <v>499</v>
      </c>
      <c r="AE205" s="284">
        <v>599</v>
      </c>
      <c r="AF205" s="284">
        <v>613</v>
      </c>
      <c r="AG205" s="9">
        <v>-595</v>
      </c>
      <c r="AH205" s="9">
        <v>-189</v>
      </c>
      <c r="AI205" s="9">
        <v>182</v>
      </c>
      <c r="AJ205" s="9">
        <v>665</v>
      </c>
    </row>
    <row r="206" spans="1:36">
      <c r="A206" s="9" t="s">
        <v>313</v>
      </c>
      <c r="B206" s="9">
        <v>-9</v>
      </c>
      <c r="C206" s="9">
        <v>151</v>
      </c>
      <c r="D206" s="9">
        <v>-34</v>
      </c>
      <c r="E206" s="9">
        <v>-261</v>
      </c>
      <c r="F206" s="9">
        <v>19</v>
      </c>
      <c r="G206" s="9">
        <v>-46</v>
      </c>
      <c r="H206" s="9">
        <v>1</v>
      </c>
      <c r="I206" s="9">
        <v>49</v>
      </c>
      <c r="J206" s="9">
        <v>177</v>
      </c>
      <c r="K206" s="9" t="s">
        <v>306</v>
      </c>
      <c r="L206" s="9">
        <v>134</v>
      </c>
      <c r="M206" s="9">
        <v>369</v>
      </c>
      <c r="N206" s="9">
        <v>414</v>
      </c>
      <c r="O206" s="9">
        <v>269</v>
      </c>
      <c r="P206" s="9">
        <v>738</v>
      </c>
      <c r="Q206" s="9">
        <v>107</v>
      </c>
      <c r="R206" s="9">
        <v>287</v>
      </c>
      <c r="S206" s="9">
        <v>-255</v>
      </c>
      <c r="T206" s="9">
        <v>480</v>
      </c>
      <c r="U206" s="9">
        <v>970</v>
      </c>
      <c r="V206" s="9">
        <v>-669</v>
      </c>
      <c r="W206" s="9">
        <v>-22</v>
      </c>
      <c r="X206" s="9">
        <v>555</v>
      </c>
      <c r="Y206" s="9">
        <v>-126</v>
      </c>
      <c r="Z206" s="9">
        <v>-165</v>
      </c>
      <c r="AA206" s="9">
        <v>-2274</v>
      </c>
      <c r="AB206" s="9">
        <v>19</v>
      </c>
      <c r="AC206" s="284">
        <v>-203</v>
      </c>
      <c r="AD206" s="284">
        <v>703</v>
      </c>
      <c r="AE206" s="284">
        <v>228</v>
      </c>
      <c r="AF206" s="284">
        <v>-63</v>
      </c>
      <c r="AG206" s="9">
        <v>-111</v>
      </c>
      <c r="AH206" s="9">
        <v>632</v>
      </c>
      <c r="AI206" s="9">
        <v>754</v>
      </c>
      <c r="AJ206" s="9">
        <v>313</v>
      </c>
    </row>
    <row r="207" spans="1:36">
      <c r="A207" s="9" t="s">
        <v>312</v>
      </c>
      <c r="B207" s="9">
        <v>42</v>
      </c>
      <c r="C207" s="9">
        <v>139</v>
      </c>
      <c r="D207" s="9">
        <v>225</v>
      </c>
      <c r="E207" s="9">
        <v>-30</v>
      </c>
      <c r="F207" s="9">
        <v>290</v>
      </c>
      <c r="G207" s="9">
        <v>290</v>
      </c>
      <c r="H207" s="9">
        <v>-191</v>
      </c>
      <c r="I207" s="9">
        <v>165</v>
      </c>
      <c r="J207" s="9">
        <v>620</v>
      </c>
      <c r="K207" s="9">
        <v>1067</v>
      </c>
      <c r="L207" s="9">
        <v>1282</v>
      </c>
      <c r="M207" s="9">
        <v>1743</v>
      </c>
      <c r="N207" s="9">
        <v>1836</v>
      </c>
      <c r="O207" s="9">
        <v>947</v>
      </c>
      <c r="P207" s="9">
        <v>2760</v>
      </c>
      <c r="Q207" s="9">
        <v>3697</v>
      </c>
      <c r="R207" s="9">
        <v>261</v>
      </c>
      <c r="S207" s="9">
        <v>3863</v>
      </c>
      <c r="T207" s="9">
        <v>3688</v>
      </c>
      <c r="U207" s="9">
        <v>5593</v>
      </c>
      <c r="V207" s="9">
        <v>530</v>
      </c>
      <c r="W207" s="9">
        <v>5446</v>
      </c>
      <c r="X207" s="286">
        <f>(W207+Y207)/2</f>
        <v>4326</v>
      </c>
      <c r="Y207" s="9">
        <v>3206</v>
      </c>
      <c r="Z207" s="9">
        <v>8035</v>
      </c>
      <c r="AA207" s="9">
        <v>14003</v>
      </c>
      <c r="AB207" s="9">
        <v>8572</v>
      </c>
      <c r="AC207" s="284">
        <v>4880</v>
      </c>
      <c r="AD207" s="284">
        <v>15501</v>
      </c>
      <c r="AE207" s="284">
        <v>12500</v>
      </c>
      <c r="AF207" s="284">
        <v>15763</v>
      </c>
      <c r="AG207" s="9">
        <v>20329</v>
      </c>
      <c r="AH207" s="9">
        <v>25219</v>
      </c>
      <c r="AI207" s="9">
        <v>22334</v>
      </c>
      <c r="AJ207" s="9">
        <v>17432</v>
      </c>
    </row>
    <row r="208" spans="1:36">
      <c r="A208" s="9" t="s">
        <v>311</v>
      </c>
      <c r="B208" s="9">
        <v>66</v>
      </c>
      <c r="C208" s="9">
        <v>101</v>
      </c>
      <c r="D208" s="9">
        <v>126</v>
      </c>
      <c r="E208" s="9">
        <v>39</v>
      </c>
      <c r="F208" s="9">
        <v>119</v>
      </c>
      <c r="G208" s="9">
        <v>370</v>
      </c>
      <c r="H208" s="9">
        <v>233</v>
      </c>
      <c r="I208" s="9">
        <v>177</v>
      </c>
      <c r="J208" s="9">
        <v>222</v>
      </c>
      <c r="K208" s="9">
        <v>479</v>
      </c>
      <c r="L208" s="9">
        <v>108</v>
      </c>
      <c r="M208" s="9">
        <v>173</v>
      </c>
      <c r="N208" s="9">
        <v>711</v>
      </c>
      <c r="O208" s="9">
        <v>419</v>
      </c>
      <c r="P208" s="9">
        <v>290</v>
      </c>
      <c r="Q208" s="9">
        <v>702</v>
      </c>
      <c r="R208" s="9">
        <v>-647</v>
      </c>
      <c r="S208" s="9">
        <v>1010</v>
      </c>
      <c r="T208" s="9">
        <v>951</v>
      </c>
      <c r="U208" s="9">
        <v>1027</v>
      </c>
      <c r="V208" s="9">
        <v>634</v>
      </c>
      <c r="W208" s="9">
        <v>859</v>
      </c>
      <c r="X208" s="9" t="s">
        <v>291</v>
      </c>
      <c r="Y208" s="9" t="s">
        <v>291</v>
      </c>
      <c r="Z208" s="9">
        <v>2231</v>
      </c>
      <c r="AA208" s="9">
        <v>1051</v>
      </c>
      <c r="AB208" s="9">
        <v>4153</v>
      </c>
      <c r="AC208" s="284">
        <v>462</v>
      </c>
      <c r="AD208" s="284">
        <v>1435</v>
      </c>
      <c r="AE208" s="284">
        <v>-512</v>
      </c>
      <c r="AF208" s="284">
        <v>1227</v>
      </c>
      <c r="AG208" s="9">
        <v>32</v>
      </c>
      <c r="AH208" s="9">
        <v>553</v>
      </c>
      <c r="AI208" s="9">
        <v>647</v>
      </c>
      <c r="AJ208" s="9">
        <v>750</v>
      </c>
    </row>
    <row r="209" spans="1:36">
      <c r="A209" s="9" t="s">
        <v>310</v>
      </c>
      <c r="B209" s="9">
        <v>99</v>
      </c>
      <c r="C209" s="9">
        <v>142</v>
      </c>
      <c r="D209" s="9">
        <v>266</v>
      </c>
      <c r="E209" s="9">
        <v>-36</v>
      </c>
      <c r="F209" s="9">
        <v>2</v>
      </c>
      <c r="G209" s="9">
        <v>184</v>
      </c>
      <c r="H209" s="9">
        <v>-150</v>
      </c>
      <c r="I209" s="9">
        <v>384</v>
      </c>
      <c r="J209" s="9">
        <v>316</v>
      </c>
      <c r="K209" s="9">
        <v>228</v>
      </c>
      <c r="L209" s="9">
        <v>516</v>
      </c>
      <c r="M209" s="9">
        <v>285</v>
      </c>
      <c r="N209" s="9">
        <v>703</v>
      </c>
      <c r="O209" s="9">
        <v>686</v>
      </c>
      <c r="P209" s="9">
        <v>849</v>
      </c>
      <c r="Q209" s="9">
        <v>-16</v>
      </c>
      <c r="R209" s="9">
        <v>424</v>
      </c>
      <c r="S209" s="9">
        <v>1103</v>
      </c>
      <c r="T209" s="9">
        <v>722</v>
      </c>
      <c r="U209" s="9">
        <v>1286</v>
      </c>
      <c r="V209" s="9">
        <v>1433</v>
      </c>
      <c r="W209" s="9">
        <v>-627</v>
      </c>
      <c r="X209" s="9">
        <v>691</v>
      </c>
      <c r="Y209" s="9">
        <v>789</v>
      </c>
      <c r="Z209" s="9">
        <v>695</v>
      </c>
      <c r="AA209" s="9">
        <v>1198</v>
      </c>
      <c r="AB209" s="9">
        <v>-97</v>
      </c>
      <c r="AC209" s="284">
        <v>1094</v>
      </c>
      <c r="AD209" s="284">
        <v>2643</v>
      </c>
      <c r="AE209" s="284">
        <v>1181</v>
      </c>
      <c r="AF209" s="284">
        <v>1041</v>
      </c>
      <c r="AG209" s="9">
        <v>-710</v>
      </c>
      <c r="AH209" s="9">
        <v>1499</v>
      </c>
      <c r="AI209" s="9">
        <v>299</v>
      </c>
      <c r="AJ209" s="9">
        <v>1105</v>
      </c>
    </row>
    <row r="210" spans="1:36">
      <c r="A210" s="9" t="s">
        <v>236</v>
      </c>
      <c r="B210" s="9">
        <v>62</v>
      </c>
      <c r="C210" s="9">
        <v>26</v>
      </c>
      <c r="D210" s="9">
        <v>19</v>
      </c>
      <c r="E210" s="9">
        <v>-7</v>
      </c>
      <c r="F210" s="9">
        <v>-8</v>
      </c>
      <c r="G210" s="9">
        <v>75</v>
      </c>
      <c r="H210" s="9">
        <v>24</v>
      </c>
      <c r="I210" s="9" t="s">
        <v>291</v>
      </c>
      <c r="J210" s="9" t="s">
        <v>291</v>
      </c>
      <c r="K210" s="9">
        <v>10</v>
      </c>
      <c r="L210" s="9">
        <v>222</v>
      </c>
      <c r="M210" s="9">
        <v>6</v>
      </c>
      <c r="N210" s="9">
        <v>140</v>
      </c>
      <c r="O210" s="9">
        <v>-296</v>
      </c>
      <c r="P210" s="9">
        <v>188</v>
      </c>
      <c r="Q210" s="9">
        <v>130</v>
      </c>
      <c r="R210" s="9">
        <v>18</v>
      </c>
      <c r="S210" s="9">
        <v>271</v>
      </c>
      <c r="T210" s="9">
        <v>63</v>
      </c>
      <c r="U210" s="9">
        <v>257</v>
      </c>
      <c r="V210" s="9" t="s">
        <v>291</v>
      </c>
      <c r="W210" s="9" t="s">
        <v>291</v>
      </c>
      <c r="X210" s="9" t="s">
        <v>291</v>
      </c>
      <c r="Y210" s="9" t="s">
        <v>291</v>
      </c>
      <c r="Z210" s="9">
        <v>1376</v>
      </c>
      <c r="AA210" s="9">
        <v>1113</v>
      </c>
      <c r="AB210" s="9">
        <v>1895</v>
      </c>
      <c r="AC210" s="284">
        <v>-869</v>
      </c>
      <c r="AD210" s="284">
        <v>165</v>
      </c>
      <c r="AE210" s="284">
        <v>-526</v>
      </c>
      <c r="AF210" s="284">
        <v>607</v>
      </c>
      <c r="AG210" s="9">
        <v>-298</v>
      </c>
      <c r="AH210" s="9">
        <v>1017</v>
      </c>
      <c r="AI210" s="9">
        <v>105</v>
      </c>
      <c r="AJ210" s="9">
        <v>240</v>
      </c>
    </row>
    <row r="211" spans="1:36">
      <c r="A211" s="9" t="s">
        <v>309</v>
      </c>
      <c r="B211" s="9">
        <v>0</v>
      </c>
      <c r="C211" s="9" t="s">
        <v>306</v>
      </c>
      <c r="D211" s="9" t="s">
        <v>306</v>
      </c>
      <c r="E211" s="9" t="s">
        <v>306</v>
      </c>
      <c r="F211" s="9">
        <v>0</v>
      </c>
      <c r="G211" s="9">
        <v>0</v>
      </c>
      <c r="H211" s="9">
        <v>0</v>
      </c>
      <c r="I211" s="9" t="s">
        <v>273</v>
      </c>
      <c r="J211" s="9" t="s">
        <v>273</v>
      </c>
      <c r="K211" s="9" t="s">
        <v>273</v>
      </c>
      <c r="L211" s="9" t="s">
        <v>273</v>
      </c>
      <c r="M211" s="9" t="s">
        <v>273</v>
      </c>
      <c r="N211" s="9" t="s">
        <v>273</v>
      </c>
      <c r="O211" s="9" t="s">
        <v>273</v>
      </c>
      <c r="P211" s="9" t="s">
        <v>273</v>
      </c>
      <c r="Q211" s="9" t="s">
        <v>273</v>
      </c>
      <c r="R211" s="9" t="s">
        <v>273</v>
      </c>
      <c r="S211" s="9" t="s">
        <v>273</v>
      </c>
      <c r="T211" s="9" t="s">
        <v>273</v>
      </c>
      <c r="U211" s="9" t="s">
        <v>273</v>
      </c>
      <c r="V211" s="9" t="s">
        <v>273</v>
      </c>
      <c r="W211" s="9" t="s">
        <v>273</v>
      </c>
      <c r="X211" s="9">
        <v>0</v>
      </c>
      <c r="Y211" s="9">
        <v>0</v>
      </c>
      <c r="Z211" s="9">
        <v>0</v>
      </c>
      <c r="AA211" s="9">
        <v>0</v>
      </c>
      <c r="AB211" s="9">
        <v>0</v>
      </c>
      <c r="AC211" s="284">
        <v>-1</v>
      </c>
      <c r="AD211" s="284">
        <v>-1</v>
      </c>
      <c r="AE211" s="284">
        <v>-1</v>
      </c>
      <c r="AF211" s="284">
        <v>-1</v>
      </c>
      <c r="AG211" s="9">
        <v>-1</v>
      </c>
      <c r="AH211" s="9">
        <v>-1</v>
      </c>
      <c r="AI211" s="9">
        <v>-1</v>
      </c>
      <c r="AJ211" s="9">
        <v>-1</v>
      </c>
    </row>
    <row r="212" spans="1:36">
      <c r="A212" s="9" t="s">
        <v>308</v>
      </c>
      <c r="B212" s="9">
        <v>3</v>
      </c>
      <c r="C212" s="9">
        <v>-1</v>
      </c>
      <c r="D212" s="9" t="s">
        <v>306</v>
      </c>
      <c r="E212" s="9">
        <v>-2</v>
      </c>
      <c r="F212" s="9">
        <v>-1</v>
      </c>
      <c r="G212" s="9" t="s">
        <v>306</v>
      </c>
      <c r="H212" s="9" t="s">
        <v>306</v>
      </c>
      <c r="I212" s="9" t="s">
        <v>306</v>
      </c>
      <c r="J212" s="9">
        <v>1</v>
      </c>
      <c r="K212" s="9" t="s">
        <v>291</v>
      </c>
      <c r="L212" s="9" t="s">
        <v>291</v>
      </c>
      <c r="M212" s="9" t="s">
        <v>291</v>
      </c>
      <c r="N212" s="9">
        <v>15</v>
      </c>
      <c r="O212" s="9">
        <v>5</v>
      </c>
      <c r="P212" s="9">
        <v>12</v>
      </c>
      <c r="Q212" s="9">
        <v>27</v>
      </c>
      <c r="R212" s="9">
        <v>86</v>
      </c>
      <c r="S212" s="9">
        <v>-14</v>
      </c>
      <c r="T212" s="9">
        <v>63</v>
      </c>
      <c r="U212" s="9">
        <v>7</v>
      </c>
      <c r="V212" s="9">
        <v>28</v>
      </c>
      <c r="W212" s="9">
        <v>-22</v>
      </c>
      <c r="X212" s="9">
        <v>-2</v>
      </c>
      <c r="Y212" s="9">
        <v>103</v>
      </c>
      <c r="Z212" s="9">
        <v>174</v>
      </c>
      <c r="AA212" s="9">
        <v>29</v>
      </c>
      <c r="AB212" s="9">
        <v>28</v>
      </c>
      <c r="AC212" s="284">
        <v>23</v>
      </c>
      <c r="AD212" s="284">
        <v>-26</v>
      </c>
      <c r="AE212" s="284">
        <v>44</v>
      </c>
      <c r="AF212" s="284">
        <v>50</v>
      </c>
      <c r="AG212" s="9">
        <v>44</v>
      </c>
      <c r="AH212" s="9">
        <v>62</v>
      </c>
      <c r="AI212" s="9">
        <v>25</v>
      </c>
      <c r="AJ212" s="9">
        <v>30</v>
      </c>
    </row>
    <row r="213" spans="1:36">
      <c r="A213" s="9" t="s">
        <v>307</v>
      </c>
      <c r="B213" s="9" t="s">
        <v>273</v>
      </c>
      <c r="C213" s="9" t="s">
        <v>273</v>
      </c>
      <c r="D213" s="9" t="s">
        <v>273</v>
      </c>
      <c r="E213" s="9" t="s">
        <v>273</v>
      </c>
      <c r="F213" s="9" t="s">
        <v>273</v>
      </c>
      <c r="G213" s="9" t="s">
        <v>273</v>
      </c>
      <c r="H213" s="9" t="s">
        <v>273</v>
      </c>
      <c r="I213" s="9" t="s">
        <v>273</v>
      </c>
      <c r="J213" s="9" t="s">
        <v>273</v>
      </c>
      <c r="K213" s="9" t="s">
        <v>273</v>
      </c>
      <c r="L213" s="9" t="s">
        <v>273</v>
      </c>
      <c r="M213" s="9" t="s">
        <v>273</v>
      </c>
      <c r="N213" s="9" t="s">
        <v>273</v>
      </c>
      <c r="O213" s="9" t="s">
        <v>273</v>
      </c>
      <c r="P213" s="9" t="s">
        <v>273</v>
      </c>
      <c r="Q213" s="9" t="s">
        <v>273</v>
      </c>
      <c r="R213" s="9" t="s">
        <v>273</v>
      </c>
      <c r="S213" s="9">
        <v>9</v>
      </c>
      <c r="T213" s="9">
        <v>1</v>
      </c>
      <c r="U213" s="9">
        <v>1</v>
      </c>
      <c r="V213" s="9">
        <v>1</v>
      </c>
      <c r="W213" s="9">
        <v>1</v>
      </c>
      <c r="X213" s="9" t="s">
        <v>306</v>
      </c>
      <c r="Y213" s="9" t="s">
        <v>306</v>
      </c>
      <c r="Z213" s="9" t="s">
        <v>306</v>
      </c>
      <c r="AA213" s="9" t="s">
        <v>306</v>
      </c>
      <c r="AB213" s="9" t="s">
        <v>306</v>
      </c>
      <c r="AC213" s="284" t="s">
        <v>306</v>
      </c>
      <c r="AD213" s="284" t="s">
        <v>306</v>
      </c>
      <c r="AE213" s="284" t="s">
        <v>306</v>
      </c>
      <c r="AF213" s="284" t="s">
        <v>306</v>
      </c>
      <c r="AG213" s="9" t="s">
        <v>306</v>
      </c>
      <c r="AH213" s="9" t="s">
        <v>306</v>
      </c>
      <c r="AI213" s="9" t="s">
        <v>306</v>
      </c>
      <c r="AJ213" s="9" t="s">
        <v>306</v>
      </c>
    </row>
    <row r="214" spans="1:36">
      <c r="A214" s="9" t="s">
        <v>305</v>
      </c>
      <c r="B214" s="9" t="s">
        <v>291</v>
      </c>
      <c r="C214" s="9" t="s">
        <v>291</v>
      </c>
      <c r="D214" s="9" t="s">
        <v>291</v>
      </c>
      <c r="E214" s="9" t="s">
        <v>306</v>
      </c>
      <c r="F214" s="9">
        <v>-28</v>
      </c>
      <c r="G214" s="9">
        <v>-2</v>
      </c>
      <c r="H214" s="9">
        <v>-15</v>
      </c>
      <c r="I214" s="9">
        <v>10</v>
      </c>
      <c r="J214" s="9">
        <v>7</v>
      </c>
      <c r="K214" s="9">
        <v>5</v>
      </c>
      <c r="L214" s="9">
        <v>7</v>
      </c>
      <c r="M214" s="9">
        <v>8</v>
      </c>
      <c r="N214" s="9">
        <v>-15</v>
      </c>
      <c r="O214" s="9">
        <v>11</v>
      </c>
      <c r="P214" s="9">
        <v>-57</v>
      </c>
      <c r="Q214" s="9">
        <v>25</v>
      </c>
      <c r="R214" s="9">
        <v>-19</v>
      </c>
      <c r="S214" s="9">
        <v>-20</v>
      </c>
      <c r="T214" s="9">
        <v>-24</v>
      </c>
      <c r="U214" s="9">
        <v>-15</v>
      </c>
      <c r="V214" s="9">
        <v>-17</v>
      </c>
      <c r="W214" s="9">
        <v>4</v>
      </c>
      <c r="X214" s="9">
        <v>-5</v>
      </c>
      <c r="Y214" s="9">
        <v>-18</v>
      </c>
      <c r="Z214" s="9">
        <v>53</v>
      </c>
      <c r="AA214" s="9">
        <v>5</v>
      </c>
      <c r="AB214" s="9">
        <v>1</v>
      </c>
      <c r="AC214" s="284">
        <v>57</v>
      </c>
      <c r="AD214" s="284">
        <v>42</v>
      </c>
      <c r="AE214" s="284">
        <v>-5</v>
      </c>
      <c r="AF214" s="284">
        <v>17</v>
      </c>
      <c r="AG214" s="9">
        <v>6</v>
      </c>
      <c r="AH214" s="9">
        <v>-28</v>
      </c>
      <c r="AI214" s="9">
        <v>4</v>
      </c>
      <c r="AJ214" s="9" t="s">
        <v>291</v>
      </c>
    </row>
    <row r="215" spans="1:36">
      <c r="A215" s="9" t="s">
        <v>304</v>
      </c>
      <c r="B215" s="9">
        <v>0</v>
      </c>
      <c r="C215" s="9">
        <v>0</v>
      </c>
      <c r="D215" s="9">
        <v>0</v>
      </c>
      <c r="E215" s="9">
        <v>0</v>
      </c>
      <c r="F215" s="9">
        <v>0</v>
      </c>
      <c r="G215" s="9" t="s">
        <v>306</v>
      </c>
      <c r="H215" s="9" t="s">
        <v>306</v>
      </c>
      <c r="I215" s="9" t="s">
        <v>291</v>
      </c>
      <c r="J215" s="9" t="s">
        <v>291</v>
      </c>
      <c r="K215" s="9">
        <v>50</v>
      </c>
      <c r="L215" s="9">
        <v>-10</v>
      </c>
      <c r="M215" s="9" t="s">
        <v>291</v>
      </c>
      <c r="N215" s="9" t="s">
        <v>291</v>
      </c>
      <c r="O215" s="9" t="s">
        <v>291</v>
      </c>
      <c r="P215" s="9">
        <v>29</v>
      </c>
      <c r="Q215" s="9" t="s">
        <v>291</v>
      </c>
      <c r="R215" s="9" t="s">
        <v>291</v>
      </c>
      <c r="S215" s="9" t="s">
        <v>291</v>
      </c>
      <c r="T215" s="9" t="s">
        <v>291</v>
      </c>
      <c r="U215" s="9" t="s">
        <v>291</v>
      </c>
      <c r="V215" s="9" t="s">
        <v>291</v>
      </c>
      <c r="W215" s="9" t="s">
        <v>291</v>
      </c>
      <c r="X215" s="9" t="s">
        <v>291</v>
      </c>
      <c r="Y215" s="9">
        <v>1</v>
      </c>
      <c r="Z215" s="9" t="s">
        <v>306</v>
      </c>
      <c r="AA215" s="9" t="s">
        <v>306</v>
      </c>
      <c r="AB215" s="9" t="s">
        <v>306</v>
      </c>
      <c r="AC215" s="284" t="s">
        <v>306</v>
      </c>
      <c r="AD215" s="284" t="s">
        <v>306</v>
      </c>
      <c r="AE215" s="284" t="s">
        <v>306</v>
      </c>
      <c r="AF215" s="284" t="s">
        <v>306</v>
      </c>
      <c r="AG215" s="9" t="s">
        <v>306</v>
      </c>
      <c r="AH215" s="9">
        <v>-1</v>
      </c>
      <c r="AI215" s="9" t="s">
        <v>306</v>
      </c>
      <c r="AJ215" s="9" t="s">
        <v>306</v>
      </c>
    </row>
    <row r="216" spans="1:36">
      <c r="A216" s="9" t="s">
        <v>303</v>
      </c>
      <c r="B216" s="9" t="s">
        <v>273</v>
      </c>
      <c r="C216" s="9" t="s">
        <v>273</v>
      </c>
      <c r="D216" s="9" t="s">
        <v>273</v>
      </c>
      <c r="E216" s="9" t="s">
        <v>273</v>
      </c>
      <c r="F216" s="9" t="s">
        <v>273</v>
      </c>
      <c r="G216" s="9" t="s">
        <v>273</v>
      </c>
      <c r="H216" s="9" t="s">
        <v>273</v>
      </c>
      <c r="I216" s="9" t="s">
        <v>273</v>
      </c>
      <c r="J216" s="9" t="s">
        <v>273</v>
      </c>
      <c r="K216" s="9" t="s">
        <v>273</v>
      </c>
      <c r="L216" s="9" t="s">
        <v>273</v>
      </c>
      <c r="M216" s="9" t="s">
        <v>273</v>
      </c>
      <c r="N216" s="9">
        <v>0</v>
      </c>
      <c r="O216" s="9">
        <v>0</v>
      </c>
      <c r="P216" s="9">
        <v>0</v>
      </c>
      <c r="Q216" s="9">
        <v>0</v>
      </c>
      <c r="R216" s="9">
        <v>-1</v>
      </c>
      <c r="S216" s="9">
        <v>-1</v>
      </c>
      <c r="T216" s="9">
        <v>1</v>
      </c>
      <c r="U216" s="9" t="s">
        <v>306</v>
      </c>
      <c r="V216" s="9" t="s">
        <v>306</v>
      </c>
      <c r="W216" s="9" t="s">
        <v>306</v>
      </c>
      <c r="X216" s="9">
        <v>1</v>
      </c>
      <c r="Y216" s="9" t="s">
        <v>306</v>
      </c>
      <c r="Z216" s="9" t="s">
        <v>306</v>
      </c>
      <c r="AA216" s="9" t="s">
        <v>306</v>
      </c>
      <c r="AB216" s="9" t="s">
        <v>306</v>
      </c>
      <c r="AC216" s="284">
        <v>4</v>
      </c>
      <c r="AD216" s="284">
        <v>6</v>
      </c>
      <c r="AE216" s="284">
        <v>7</v>
      </c>
      <c r="AF216" s="284">
        <v>18</v>
      </c>
      <c r="AG216" s="9">
        <v>3</v>
      </c>
      <c r="AH216" s="9" t="s">
        <v>291</v>
      </c>
      <c r="AI216" s="9">
        <v>12</v>
      </c>
      <c r="AJ216" s="9" t="s">
        <v>291</v>
      </c>
    </row>
    <row r="217" spans="1:36">
      <c r="A217" s="9" t="s">
        <v>300</v>
      </c>
      <c r="B217" s="9" t="s">
        <v>291</v>
      </c>
      <c r="C217" s="9" t="s">
        <v>291</v>
      </c>
      <c r="D217" s="9" t="s">
        <v>291</v>
      </c>
      <c r="E217" s="9" t="s">
        <v>291</v>
      </c>
      <c r="F217" s="9" t="s">
        <v>291</v>
      </c>
      <c r="G217" s="9" t="s">
        <v>291</v>
      </c>
      <c r="H217" s="9" t="s">
        <v>291</v>
      </c>
      <c r="I217" s="9" t="s">
        <v>306</v>
      </c>
      <c r="J217" s="9" t="s">
        <v>306</v>
      </c>
      <c r="K217" s="9" t="s">
        <v>306</v>
      </c>
      <c r="L217" s="9" t="s">
        <v>306</v>
      </c>
      <c r="M217" s="9" t="s">
        <v>306</v>
      </c>
      <c r="N217" s="9">
        <v>4</v>
      </c>
      <c r="O217" s="9">
        <v>1</v>
      </c>
      <c r="P217" s="9">
        <v>18</v>
      </c>
      <c r="Q217" s="9" t="s">
        <v>306</v>
      </c>
      <c r="R217" s="9" t="s">
        <v>306</v>
      </c>
      <c r="S217" s="9">
        <v>8</v>
      </c>
      <c r="T217" s="9">
        <v>-15</v>
      </c>
      <c r="U217" s="9">
        <v>-16</v>
      </c>
      <c r="V217" s="9" t="s">
        <v>291</v>
      </c>
      <c r="W217" s="9" t="s">
        <v>291</v>
      </c>
      <c r="X217" s="9">
        <v>8</v>
      </c>
      <c r="Y217" s="9">
        <v>5</v>
      </c>
      <c r="Z217" s="9">
        <v>1</v>
      </c>
      <c r="AA217" s="9">
        <v>2</v>
      </c>
      <c r="AB217" s="9">
        <v>1</v>
      </c>
      <c r="AC217" s="284">
        <v>-6</v>
      </c>
      <c r="AD217" s="284">
        <v>-4</v>
      </c>
      <c r="AE217" s="284">
        <v>-30</v>
      </c>
      <c r="AF217" s="284" t="s">
        <v>291</v>
      </c>
      <c r="AG217" s="9">
        <v>-8</v>
      </c>
      <c r="AH217" s="9">
        <v>5</v>
      </c>
      <c r="AI217" s="9">
        <v>14</v>
      </c>
      <c r="AJ217" s="9" t="s">
        <v>291</v>
      </c>
    </row>
    <row r="218" spans="1:36">
      <c r="A218" s="9" t="s">
        <v>299</v>
      </c>
      <c r="B218" s="9">
        <v>-1</v>
      </c>
      <c r="C218" s="9">
        <v>-4</v>
      </c>
      <c r="D218" s="9" t="s">
        <v>306</v>
      </c>
      <c r="E218" s="9" t="s">
        <v>306</v>
      </c>
      <c r="F218" s="9" t="s">
        <v>306</v>
      </c>
      <c r="G218" s="9">
        <v>1</v>
      </c>
      <c r="H218" s="9" t="s">
        <v>306</v>
      </c>
      <c r="I218" s="9" t="s">
        <v>306</v>
      </c>
      <c r="J218" s="9">
        <v>2</v>
      </c>
      <c r="K218" s="9" t="s">
        <v>306</v>
      </c>
      <c r="L218" s="9">
        <v>4</v>
      </c>
      <c r="M218" s="9">
        <v>-2</v>
      </c>
      <c r="N218" s="9">
        <v>3</v>
      </c>
      <c r="O218" s="9" t="s">
        <v>291</v>
      </c>
      <c r="P218" s="9" t="s">
        <v>291</v>
      </c>
      <c r="Q218" s="9">
        <v>3</v>
      </c>
      <c r="R218" s="9">
        <v>1</v>
      </c>
      <c r="S218" s="9">
        <v>3</v>
      </c>
      <c r="T218" s="9">
        <v>-2</v>
      </c>
      <c r="U218" s="9">
        <v>-2</v>
      </c>
      <c r="V218" s="9" t="s">
        <v>306</v>
      </c>
      <c r="W218" s="9" t="s">
        <v>306</v>
      </c>
      <c r="X218" s="9">
        <v>-2</v>
      </c>
      <c r="Y218" s="9">
        <v>5</v>
      </c>
      <c r="Z218" s="9" t="s">
        <v>291</v>
      </c>
      <c r="AA218" s="9" t="s">
        <v>291</v>
      </c>
      <c r="AB218" s="9" t="s">
        <v>306</v>
      </c>
      <c r="AC218" s="284" t="s">
        <v>306</v>
      </c>
      <c r="AD218" s="284" t="s">
        <v>306</v>
      </c>
      <c r="AE218" s="284">
        <v>0</v>
      </c>
      <c r="AF218" s="284">
        <v>0</v>
      </c>
      <c r="AG218" s="9">
        <v>0</v>
      </c>
      <c r="AH218" s="9">
        <v>0</v>
      </c>
      <c r="AI218" s="9">
        <v>0</v>
      </c>
      <c r="AJ218" s="9">
        <v>0</v>
      </c>
    </row>
    <row r="219" spans="1:36">
      <c r="A219" s="9" t="s">
        <v>298</v>
      </c>
      <c r="B219" s="9">
        <v>5</v>
      </c>
      <c r="C219" s="9" t="s">
        <v>306</v>
      </c>
      <c r="D219" s="9">
        <v>1</v>
      </c>
      <c r="E219" s="9" t="s">
        <v>306</v>
      </c>
      <c r="F219" s="9" t="s">
        <v>306</v>
      </c>
      <c r="G219" s="9" t="s">
        <v>306</v>
      </c>
      <c r="H219" s="9">
        <v>1</v>
      </c>
      <c r="I219" s="9">
        <v>2</v>
      </c>
      <c r="J219" s="9">
        <v>11</v>
      </c>
      <c r="K219" s="9">
        <v>4</v>
      </c>
      <c r="L219" s="9">
        <v>11</v>
      </c>
      <c r="M219" s="9">
        <v>6</v>
      </c>
      <c r="N219" s="9" t="s">
        <v>291</v>
      </c>
      <c r="O219" s="9" t="s">
        <v>291</v>
      </c>
      <c r="P219" s="9" t="s">
        <v>291</v>
      </c>
      <c r="Q219" s="9" t="s">
        <v>291</v>
      </c>
      <c r="R219" s="9" t="s">
        <v>291</v>
      </c>
      <c r="S219" s="9">
        <v>-8</v>
      </c>
      <c r="T219" s="9" t="s">
        <v>291</v>
      </c>
      <c r="U219" s="9" t="s">
        <v>291</v>
      </c>
      <c r="V219" s="9" t="s">
        <v>291</v>
      </c>
      <c r="W219" s="9" t="s">
        <v>291</v>
      </c>
      <c r="X219" s="9" t="s">
        <v>291</v>
      </c>
      <c r="Y219" s="9" t="s">
        <v>291</v>
      </c>
      <c r="Z219" s="9" t="s">
        <v>291</v>
      </c>
      <c r="AA219" s="9" t="s">
        <v>291</v>
      </c>
      <c r="AB219" s="9" t="s">
        <v>291</v>
      </c>
      <c r="AC219" s="284" t="s">
        <v>291</v>
      </c>
      <c r="AD219" s="284" t="s">
        <v>291</v>
      </c>
      <c r="AE219" s="284" t="s">
        <v>291</v>
      </c>
      <c r="AF219" s="284" t="s">
        <v>291</v>
      </c>
      <c r="AG219" s="9">
        <v>5</v>
      </c>
      <c r="AH219" s="9">
        <v>4</v>
      </c>
      <c r="AI219" s="9" t="s">
        <v>306</v>
      </c>
      <c r="AJ219" s="9">
        <v>-6</v>
      </c>
    </row>
    <row r="220" spans="1:36" s="284" customFormat="1">
      <c r="A220" s="288" t="s">
        <v>1119</v>
      </c>
      <c r="AC220" s="284">
        <v>0</v>
      </c>
      <c r="AD220" s="284">
        <v>0</v>
      </c>
      <c r="AE220" s="284">
        <v>0</v>
      </c>
      <c r="AF220" s="284">
        <v>0</v>
      </c>
      <c r="AG220" s="284">
        <v>0</v>
      </c>
      <c r="AH220" s="284">
        <v>0</v>
      </c>
      <c r="AI220" s="284">
        <v>0</v>
      </c>
      <c r="AJ220" s="284">
        <v>0</v>
      </c>
    </row>
    <row r="221" spans="1:36">
      <c r="A221" s="9" t="s">
        <v>297</v>
      </c>
      <c r="B221" s="9" t="s">
        <v>273</v>
      </c>
      <c r="C221" s="9" t="s">
        <v>273</v>
      </c>
      <c r="D221" s="9" t="s">
        <v>273</v>
      </c>
      <c r="E221" s="9" t="s">
        <v>273</v>
      </c>
      <c r="F221" s="9" t="s">
        <v>273</v>
      </c>
      <c r="G221" s="9" t="s">
        <v>273</v>
      </c>
      <c r="H221" s="9" t="s">
        <v>273</v>
      </c>
      <c r="I221" s="9">
        <v>0</v>
      </c>
      <c r="J221" s="9">
        <v>0</v>
      </c>
      <c r="K221" s="9">
        <v>0</v>
      </c>
      <c r="L221" s="9">
        <v>0</v>
      </c>
      <c r="M221" s="9">
        <v>0</v>
      </c>
      <c r="N221" s="9">
        <v>1</v>
      </c>
      <c r="O221" s="9">
        <v>-1</v>
      </c>
      <c r="P221" s="9">
        <v>-2</v>
      </c>
      <c r="Q221" s="9">
        <v>-2</v>
      </c>
      <c r="R221" s="9">
        <v>-2</v>
      </c>
      <c r="S221" s="9">
        <v>4</v>
      </c>
      <c r="T221" s="9" t="s">
        <v>306</v>
      </c>
      <c r="U221" s="9" t="s">
        <v>306</v>
      </c>
      <c r="V221" s="9" t="s">
        <v>306</v>
      </c>
      <c r="W221" s="9" t="s">
        <v>306</v>
      </c>
      <c r="X221" s="9" t="s">
        <v>306</v>
      </c>
      <c r="Y221" s="9" t="s">
        <v>306</v>
      </c>
      <c r="Z221" s="9" t="s">
        <v>306</v>
      </c>
      <c r="AA221" s="9" t="s">
        <v>306</v>
      </c>
      <c r="AB221" s="9" t="s">
        <v>306</v>
      </c>
      <c r="AC221" s="284" t="s">
        <v>306</v>
      </c>
      <c r="AD221" s="284">
        <v>0</v>
      </c>
      <c r="AE221" s="284">
        <v>0</v>
      </c>
      <c r="AF221" s="284">
        <v>0</v>
      </c>
      <c r="AG221" s="9">
        <v>0</v>
      </c>
      <c r="AH221" s="9">
        <v>0</v>
      </c>
      <c r="AI221" s="9">
        <v>0</v>
      </c>
      <c r="AJ221" s="9">
        <v>0</v>
      </c>
    </row>
    <row r="222" spans="1:36">
      <c r="A222" s="9" t="s">
        <v>296</v>
      </c>
      <c r="B222" s="9">
        <v>0</v>
      </c>
      <c r="C222" s="9">
        <v>1</v>
      </c>
      <c r="D222" s="9">
        <v>1</v>
      </c>
      <c r="E222" s="9">
        <v>1</v>
      </c>
      <c r="F222" s="9">
        <v>1</v>
      </c>
      <c r="G222" s="9">
        <v>1</v>
      </c>
      <c r="H222" s="9">
        <v>2</v>
      </c>
      <c r="I222" s="9">
        <v>1</v>
      </c>
      <c r="J222" s="9">
        <v>1</v>
      </c>
      <c r="K222" s="9" t="s">
        <v>291</v>
      </c>
      <c r="L222" s="9" t="s">
        <v>291</v>
      </c>
      <c r="M222" s="9" t="s">
        <v>306</v>
      </c>
      <c r="N222" s="9">
        <v>-4</v>
      </c>
      <c r="O222" s="9">
        <v>1</v>
      </c>
      <c r="P222" s="9">
        <v>1</v>
      </c>
      <c r="Q222" s="9">
        <v>2</v>
      </c>
      <c r="R222" s="9">
        <v>1</v>
      </c>
      <c r="S222" s="9">
        <v>4</v>
      </c>
      <c r="T222" s="9">
        <v>3</v>
      </c>
      <c r="U222" s="9">
        <v>3</v>
      </c>
      <c r="V222" s="9" t="s">
        <v>291</v>
      </c>
      <c r="W222" s="9" t="s">
        <v>291</v>
      </c>
      <c r="X222" s="9" t="s">
        <v>291</v>
      </c>
      <c r="Y222" s="9" t="s">
        <v>291</v>
      </c>
      <c r="Z222" s="9" t="s">
        <v>291</v>
      </c>
      <c r="AA222" s="9">
        <v>687</v>
      </c>
      <c r="AB222" s="9">
        <v>1174</v>
      </c>
      <c r="AC222" s="284">
        <v>-1182</v>
      </c>
      <c r="AD222" s="284">
        <v>-61</v>
      </c>
      <c r="AE222" s="284">
        <v>-23</v>
      </c>
      <c r="AF222" s="284">
        <v>558</v>
      </c>
      <c r="AG222" s="9" t="s">
        <v>291</v>
      </c>
      <c r="AH222" s="9">
        <v>381</v>
      </c>
      <c r="AI222" s="9">
        <v>236</v>
      </c>
      <c r="AJ222" s="9">
        <v>57</v>
      </c>
    </row>
    <row r="223" spans="1:36">
      <c r="A223" s="9" t="s">
        <v>295</v>
      </c>
      <c r="B223" s="9" t="s">
        <v>273</v>
      </c>
      <c r="C223" s="9" t="s">
        <v>273</v>
      </c>
      <c r="D223" s="9" t="s">
        <v>273</v>
      </c>
      <c r="E223" s="9" t="s">
        <v>273</v>
      </c>
      <c r="F223" s="9" t="s">
        <v>273</v>
      </c>
      <c r="G223" s="9" t="s">
        <v>273</v>
      </c>
      <c r="H223" s="9" t="s">
        <v>273</v>
      </c>
      <c r="I223" s="9" t="s">
        <v>273</v>
      </c>
      <c r="J223" s="9" t="s">
        <v>273</v>
      </c>
      <c r="K223" s="9" t="s">
        <v>273</v>
      </c>
      <c r="L223" s="9" t="s">
        <v>273</v>
      </c>
      <c r="M223" s="9" t="s">
        <v>273</v>
      </c>
      <c r="N223" s="9" t="s">
        <v>273</v>
      </c>
      <c r="O223" s="9" t="s">
        <v>273</v>
      </c>
      <c r="P223" s="9" t="s">
        <v>273</v>
      </c>
      <c r="Q223" s="9" t="s">
        <v>273</v>
      </c>
      <c r="R223" s="9" t="s">
        <v>273</v>
      </c>
      <c r="S223" s="9" t="s">
        <v>273</v>
      </c>
      <c r="T223" s="9" t="s">
        <v>273</v>
      </c>
      <c r="U223" s="9" t="s">
        <v>273</v>
      </c>
      <c r="V223" s="9" t="s">
        <v>273</v>
      </c>
      <c r="W223" s="9" t="s">
        <v>273</v>
      </c>
      <c r="X223" s="9">
        <v>1</v>
      </c>
      <c r="Y223" s="9">
        <v>0</v>
      </c>
      <c r="Z223" s="9">
        <v>0</v>
      </c>
      <c r="AA223" s="9">
        <v>0</v>
      </c>
      <c r="AB223" s="9">
        <v>0</v>
      </c>
      <c r="AC223" s="284">
        <v>27</v>
      </c>
      <c r="AD223" s="284">
        <v>-1</v>
      </c>
      <c r="AE223" s="284">
        <v>-1</v>
      </c>
      <c r="AF223" s="284">
        <v>-1</v>
      </c>
      <c r="AG223" s="9">
        <v>-1</v>
      </c>
      <c r="AH223" s="9" t="s">
        <v>291</v>
      </c>
      <c r="AI223" s="9" t="s">
        <v>291</v>
      </c>
      <c r="AJ223" s="9" t="s">
        <v>291</v>
      </c>
    </row>
    <row r="224" spans="1:36">
      <c r="A224" s="9" t="s">
        <v>294</v>
      </c>
      <c r="B224" s="9">
        <v>0</v>
      </c>
      <c r="C224" s="9">
        <v>0</v>
      </c>
      <c r="D224" s="9">
        <v>0</v>
      </c>
      <c r="E224" s="9">
        <v>0</v>
      </c>
      <c r="F224" s="9">
        <v>0</v>
      </c>
      <c r="G224" s="9" t="s">
        <v>306</v>
      </c>
      <c r="H224" s="9" t="s">
        <v>306</v>
      </c>
      <c r="I224" s="9" t="s">
        <v>306</v>
      </c>
      <c r="J224" s="9">
        <v>1</v>
      </c>
      <c r="K224" s="9">
        <v>1</v>
      </c>
      <c r="L224" s="9" t="s">
        <v>306</v>
      </c>
      <c r="M224" s="9">
        <v>1</v>
      </c>
      <c r="N224" s="9">
        <v>-5</v>
      </c>
      <c r="O224" s="9">
        <v>-5</v>
      </c>
      <c r="P224" s="9">
        <v>-5</v>
      </c>
      <c r="Q224" s="9">
        <v>-4</v>
      </c>
      <c r="R224" s="9" t="s">
        <v>291</v>
      </c>
      <c r="S224" s="9">
        <v>98</v>
      </c>
      <c r="T224" s="9">
        <v>127</v>
      </c>
      <c r="U224" s="9">
        <v>258</v>
      </c>
      <c r="V224" s="9">
        <v>-81</v>
      </c>
      <c r="W224" s="9">
        <v>137</v>
      </c>
      <c r="X224" s="9" t="s">
        <v>291</v>
      </c>
      <c r="Y224" s="9" t="s">
        <v>291</v>
      </c>
      <c r="Z224" s="9" t="s">
        <v>291</v>
      </c>
      <c r="AA224" s="9" t="s">
        <v>291</v>
      </c>
      <c r="AB224" s="9" t="s">
        <v>291</v>
      </c>
      <c r="AC224" s="284" t="s">
        <v>291</v>
      </c>
      <c r="AD224" s="284" t="s">
        <v>291</v>
      </c>
      <c r="AE224" s="284" t="s">
        <v>291</v>
      </c>
      <c r="AF224" s="284" t="s">
        <v>291</v>
      </c>
      <c r="AG224" s="9">
        <v>-53</v>
      </c>
      <c r="AH224" s="9">
        <v>289</v>
      </c>
      <c r="AI224" s="9">
        <v>207</v>
      </c>
      <c r="AJ224" s="9">
        <v>23</v>
      </c>
    </row>
    <row r="225" spans="1:36">
      <c r="A225" s="9" t="s">
        <v>293</v>
      </c>
      <c r="B225" s="9" t="s">
        <v>273</v>
      </c>
      <c r="C225" s="9" t="s">
        <v>273</v>
      </c>
      <c r="D225" s="9" t="s">
        <v>273</v>
      </c>
      <c r="E225" s="9" t="s">
        <v>273</v>
      </c>
      <c r="F225" s="9" t="s">
        <v>273</v>
      </c>
      <c r="G225" s="9" t="s">
        <v>273</v>
      </c>
      <c r="H225" s="9" t="s">
        <v>273</v>
      </c>
      <c r="I225" s="9" t="s">
        <v>273</v>
      </c>
      <c r="J225" s="9" t="s">
        <v>273</v>
      </c>
      <c r="K225" s="9" t="s">
        <v>273</v>
      </c>
      <c r="L225" s="9" t="s">
        <v>273</v>
      </c>
      <c r="M225" s="9" t="s">
        <v>273</v>
      </c>
      <c r="N225" s="9" t="s">
        <v>291</v>
      </c>
      <c r="O225" s="9" t="s">
        <v>291</v>
      </c>
      <c r="P225" s="9" t="s">
        <v>291</v>
      </c>
      <c r="Q225" s="9" t="s">
        <v>291</v>
      </c>
      <c r="R225" s="9" t="s">
        <v>291</v>
      </c>
      <c r="S225" s="9">
        <v>-1</v>
      </c>
      <c r="T225" s="9" t="s">
        <v>291</v>
      </c>
      <c r="U225" s="9" t="s">
        <v>291</v>
      </c>
      <c r="V225" s="9" t="s">
        <v>291</v>
      </c>
      <c r="W225" s="9" t="s">
        <v>291</v>
      </c>
      <c r="X225" s="9" t="s">
        <v>291</v>
      </c>
      <c r="Y225" s="9" t="s">
        <v>291</v>
      </c>
      <c r="Z225" s="9" t="s">
        <v>291</v>
      </c>
      <c r="AA225" s="9" t="s">
        <v>291</v>
      </c>
      <c r="AB225" s="9" t="s">
        <v>291</v>
      </c>
      <c r="AC225" s="284" t="s">
        <v>291</v>
      </c>
      <c r="AD225" s="284" t="s">
        <v>291</v>
      </c>
      <c r="AE225" s="284">
        <v>2</v>
      </c>
      <c r="AF225" s="284">
        <v>2</v>
      </c>
      <c r="AG225" s="9" t="s">
        <v>291</v>
      </c>
      <c r="AH225" s="9">
        <v>1</v>
      </c>
      <c r="AI225" s="9">
        <v>1</v>
      </c>
      <c r="AJ225" s="9">
        <v>1</v>
      </c>
    </row>
    <row r="226" spans="1:36">
      <c r="A226" s="9" t="s">
        <v>292</v>
      </c>
      <c r="B226" s="9" t="s">
        <v>273</v>
      </c>
      <c r="C226" s="9" t="s">
        <v>273</v>
      </c>
      <c r="D226" s="9" t="s">
        <v>273</v>
      </c>
      <c r="E226" s="9" t="s">
        <v>273</v>
      </c>
      <c r="F226" s="9" t="s">
        <v>273</v>
      </c>
      <c r="G226" s="9" t="s">
        <v>273</v>
      </c>
      <c r="H226" s="9" t="s">
        <v>273</v>
      </c>
      <c r="I226" s="9" t="s">
        <v>273</v>
      </c>
      <c r="J226" s="9" t="s">
        <v>273</v>
      </c>
      <c r="K226" s="9" t="s">
        <v>273</v>
      </c>
      <c r="L226" s="9" t="s">
        <v>273</v>
      </c>
      <c r="M226" s="9" t="s">
        <v>273</v>
      </c>
      <c r="N226" s="9" t="s">
        <v>273</v>
      </c>
      <c r="O226" s="9" t="s">
        <v>273</v>
      </c>
      <c r="P226" s="9" t="s">
        <v>273</v>
      </c>
      <c r="Q226" s="9" t="s">
        <v>273</v>
      </c>
      <c r="R226" s="9" t="s">
        <v>273</v>
      </c>
      <c r="S226" s="9" t="s">
        <v>273</v>
      </c>
      <c r="T226" s="9" t="s">
        <v>273</v>
      </c>
      <c r="U226" s="9" t="s">
        <v>273</v>
      </c>
      <c r="V226" s="9" t="s">
        <v>273</v>
      </c>
      <c r="W226" s="9" t="s">
        <v>273</v>
      </c>
      <c r="X226" s="9">
        <v>0</v>
      </c>
      <c r="Y226" s="9">
        <v>0</v>
      </c>
      <c r="Z226" s="9">
        <v>0</v>
      </c>
      <c r="AA226" s="9">
        <v>0</v>
      </c>
      <c r="AB226" s="9">
        <v>-4</v>
      </c>
      <c r="AC226" s="284">
        <v>-6</v>
      </c>
      <c r="AD226" s="284">
        <v>-5</v>
      </c>
      <c r="AE226" s="284">
        <v>9</v>
      </c>
      <c r="AF226" s="284" t="s">
        <v>291</v>
      </c>
      <c r="AG226" s="9" t="s">
        <v>291</v>
      </c>
      <c r="AH226" s="9" t="s">
        <v>291</v>
      </c>
      <c r="AI226" s="9" t="s">
        <v>291</v>
      </c>
      <c r="AJ226" s="9" t="s">
        <v>291</v>
      </c>
    </row>
    <row r="227" spans="1:36">
      <c r="A227" s="9" t="s">
        <v>290</v>
      </c>
      <c r="B227" s="9" t="s">
        <v>273</v>
      </c>
      <c r="C227" s="9" t="s">
        <v>273</v>
      </c>
      <c r="D227" s="9" t="s">
        <v>273</v>
      </c>
      <c r="E227" s="9" t="s">
        <v>273</v>
      </c>
      <c r="F227" s="9" t="s">
        <v>273</v>
      </c>
      <c r="G227" s="9" t="s">
        <v>273</v>
      </c>
      <c r="H227" s="9" t="s">
        <v>273</v>
      </c>
      <c r="I227" s="9" t="s">
        <v>273</v>
      </c>
      <c r="J227" s="9" t="s">
        <v>273</v>
      </c>
      <c r="K227" s="9" t="s">
        <v>273</v>
      </c>
      <c r="L227" s="9" t="s">
        <v>273</v>
      </c>
      <c r="M227" s="9" t="s">
        <v>273</v>
      </c>
      <c r="N227" s="9" t="s">
        <v>273</v>
      </c>
      <c r="O227" s="9" t="s">
        <v>273</v>
      </c>
      <c r="P227" s="9" t="s">
        <v>273</v>
      </c>
      <c r="Q227" s="9" t="s">
        <v>273</v>
      </c>
      <c r="R227" s="9" t="s">
        <v>273</v>
      </c>
      <c r="S227" s="9">
        <v>1</v>
      </c>
      <c r="T227" s="9">
        <v>1</v>
      </c>
      <c r="U227" s="9">
        <v>1</v>
      </c>
      <c r="V227" s="9">
        <v>1</v>
      </c>
      <c r="W227" s="9">
        <v>1</v>
      </c>
      <c r="X227" s="9" t="s">
        <v>273</v>
      </c>
      <c r="Y227" s="9" t="s">
        <v>273</v>
      </c>
      <c r="Z227" s="9" t="s">
        <v>273</v>
      </c>
      <c r="AA227" s="9" t="s">
        <v>273</v>
      </c>
      <c r="AB227" s="9" t="s">
        <v>273</v>
      </c>
      <c r="AC227" s="284">
        <v>0</v>
      </c>
      <c r="AD227" s="284">
        <v>0</v>
      </c>
      <c r="AE227" s="284">
        <v>0</v>
      </c>
      <c r="AF227" s="284">
        <v>0</v>
      </c>
      <c r="AG227" s="9">
        <v>0</v>
      </c>
      <c r="AH227" s="9">
        <v>0</v>
      </c>
      <c r="AI227" s="9">
        <v>0</v>
      </c>
      <c r="AJ227" s="9">
        <v>0</v>
      </c>
    </row>
    <row r="228" spans="1:36">
      <c r="A228" s="9" t="s">
        <v>289</v>
      </c>
      <c r="B228" s="9" t="s">
        <v>273</v>
      </c>
      <c r="C228" s="9" t="s">
        <v>273</v>
      </c>
      <c r="D228" s="9" t="s">
        <v>273</v>
      </c>
      <c r="E228" s="9" t="s">
        <v>273</v>
      </c>
      <c r="F228" s="9" t="s">
        <v>273</v>
      </c>
      <c r="G228" s="9" t="s">
        <v>273</v>
      </c>
      <c r="H228" s="9" t="s">
        <v>273</v>
      </c>
      <c r="I228" s="9" t="s">
        <v>273</v>
      </c>
      <c r="J228" s="9" t="s">
        <v>273</v>
      </c>
      <c r="K228" s="9" t="s">
        <v>273</v>
      </c>
      <c r="L228" s="9" t="s">
        <v>273</v>
      </c>
      <c r="M228" s="9" t="s">
        <v>273</v>
      </c>
      <c r="N228" s="9" t="s">
        <v>273</v>
      </c>
      <c r="O228" s="9" t="s">
        <v>273</v>
      </c>
      <c r="P228" s="9" t="s">
        <v>273</v>
      </c>
      <c r="Q228" s="9" t="s">
        <v>273</v>
      </c>
      <c r="R228" s="9" t="s">
        <v>273</v>
      </c>
      <c r="S228" s="9">
        <v>2</v>
      </c>
      <c r="T228" s="9" t="s">
        <v>306</v>
      </c>
      <c r="U228" s="9" t="s">
        <v>306</v>
      </c>
      <c r="V228" s="9" t="s">
        <v>306</v>
      </c>
      <c r="W228" s="9" t="s">
        <v>306</v>
      </c>
      <c r="X228" s="9">
        <v>-1</v>
      </c>
      <c r="Y228" s="9">
        <v>-1</v>
      </c>
      <c r="Z228" s="9">
        <v>-1</v>
      </c>
      <c r="AA228" s="9">
        <v>-1</v>
      </c>
      <c r="AB228" s="9">
        <v>1</v>
      </c>
      <c r="AC228" s="284">
        <v>-1</v>
      </c>
      <c r="AD228" s="284">
        <v>1</v>
      </c>
      <c r="AE228" s="284">
        <v>1</v>
      </c>
      <c r="AF228" s="284">
        <v>1</v>
      </c>
      <c r="AG228" s="9">
        <v>2</v>
      </c>
      <c r="AH228" s="9">
        <v>3</v>
      </c>
      <c r="AI228" s="9" t="s">
        <v>291</v>
      </c>
      <c r="AJ228" s="9">
        <v>2</v>
      </c>
    </row>
    <row r="229" spans="1:36">
      <c r="A229" s="9" t="s">
        <v>288</v>
      </c>
      <c r="B229" s="9">
        <v>13</v>
      </c>
      <c r="C229" s="9">
        <v>-8</v>
      </c>
      <c r="D229" s="9">
        <v>16</v>
      </c>
      <c r="E229" s="9">
        <v>-1</v>
      </c>
      <c r="F229" s="9">
        <v>16</v>
      </c>
      <c r="G229" s="9">
        <v>80</v>
      </c>
      <c r="H229" s="9">
        <v>25</v>
      </c>
      <c r="I229" s="9">
        <v>25</v>
      </c>
      <c r="J229" s="9">
        <v>-7</v>
      </c>
      <c r="K229" s="9">
        <v>-15</v>
      </c>
      <c r="L229" s="9">
        <v>49</v>
      </c>
      <c r="M229" s="9">
        <v>-7</v>
      </c>
      <c r="N229" s="9">
        <v>76</v>
      </c>
      <c r="O229" s="9">
        <v>23</v>
      </c>
      <c r="P229" s="9">
        <v>57</v>
      </c>
      <c r="Q229" s="9">
        <v>106</v>
      </c>
      <c r="R229" s="9">
        <v>-44</v>
      </c>
      <c r="S229" s="9">
        <v>-53</v>
      </c>
      <c r="T229" s="9">
        <v>-125</v>
      </c>
      <c r="U229" s="9">
        <v>66</v>
      </c>
      <c r="V229" s="9">
        <v>46</v>
      </c>
      <c r="W229" s="9">
        <v>191</v>
      </c>
      <c r="X229" s="9">
        <v>108</v>
      </c>
      <c r="Y229" s="9">
        <v>275</v>
      </c>
      <c r="Z229" s="9">
        <v>161</v>
      </c>
      <c r="AA229" s="9" t="s">
        <v>291</v>
      </c>
      <c r="AB229" s="9" t="s">
        <v>291</v>
      </c>
      <c r="AC229" s="284">
        <v>142</v>
      </c>
      <c r="AD229" s="284" t="s">
        <v>291</v>
      </c>
      <c r="AE229" s="284" t="s">
        <v>291</v>
      </c>
      <c r="AF229" s="284">
        <v>-28</v>
      </c>
      <c r="AG229" s="9">
        <v>-46</v>
      </c>
      <c r="AH229" s="9">
        <v>14</v>
      </c>
      <c r="AI229" s="9">
        <v>47</v>
      </c>
      <c r="AJ229" s="9">
        <v>-3</v>
      </c>
    </row>
    <row r="230" spans="1:36">
      <c r="A230" s="9" t="s">
        <v>287</v>
      </c>
      <c r="B230" s="9">
        <v>0</v>
      </c>
      <c r="C230" s="9">
        <v>0</v>
      </c>
      <c r="D230" s="9">
        <v>0</v>
      </c>
      <c r="E230" s="9">
        <v>0</v>
      </c>
      <c r="F230" s="9">
        <v>0</v>
      </c>
      <c r="G230" s="9" t="s">
        <v>306</v>
      </c>
      <c r="H230" s="9" t="s">
        <v>306</v>
      </c>
      <c r="I230" s="9">
        <v>1</v>
      </c>
      <c r="J230" s="9">
        <v>1</v>
      </c>
      <c r="K230" s="9">
        <v>1</v>
      </c>
      <c r="L230" s="9">
        <v>1</v>
      </c>
      <c r="M230" s="9" t="s">
        <v>291</v>
      </c>
      <c r="N230" s="9" t="s">
        <v>291</v>
      </c>
      <c r="O230" s="9" t="s">
        <v>291</v>
      </c>
      <c r="P230" s="9" t="s">
        <v>291</v>
      </c>
      <c r="Q230" s="9" t="s">
        <v>291</v>
      </c>
      <c r="R230" s="9" t="s">
        <v>291</v>
      </c>
      <c r="S230" s="9" t="s">
        <v>291</v>
      </c>
      <c r="T230" s="9" t="s">
        <v>291</v>
      </c>
      <c r="U230" s="9" t="s">
        <v>291</v>
      </c>
      <c r="V230" s="9" t="s">
        <v>291</v>
      </c>
      <c r="W230" s="9" t="s">
        <v>291</v>
      </c>
      <c r="X230" s="9" t="s">
        <v>291</v>
      </c>
      <c r="Y230" s="9" t="s">
        <v>291</v>
      </c>
      <c r="Z230" s="9" t="s">
        <v>291</v>
      </c>
      <c r="AA230" s="9" t="s">
        <v>291</v>
      </c>
      <c r="AB230" s="9" t="s">
        <v>291</v>
      </c>
      <c r="AC230" s="284">
        <v>3</v>
      </c>
      <c r="AD230" s="284">
        <v>3</v>
      </c>
      <c r="AE230" s="284">
        <v>3</v>
      </c>
      <c r="AF230" s="284">
        <v>3</v>
      </c>
      <c r="AG230" s="9">
        <v>3</v>
      </c>
      <c r="AH230" s="9">
        <v>3</v>
      </c>
      <c r="AI230" s="9">
        <v>3</v>
      </c>
      <c r="AJ230" s="9">
        <v>3</v>
      </c>
    </row>
    <row r="231" spans="1:36">
      <c r="A231" s="9" t="s">
        <v>286</v>
      </c>
      <c r="B231" s="9">
        <v>22</v>
      </c>
      <c r="C231" s="9">
        <v>30</v>
      </c>
      <c r="D231" s="9">
        <v>40</v>
      </c>
      <c r="E231" s="9">
        <v>-14</v>
      </c>
      <c r="F231" s="9">
        <v>1</v>
      </c>
      <c r="G231" s="9">
        <v>7</v>
      </c>
      <c r="H231" s="9">
        <v>20</v>
      </c>
      <c r="I231" s="9">
        <v>162</v>
      </c>
      <c r="J231" s="9">
        <v>-11</v>
      </c>
      <c r="K231" s="9">
        <v>-43</v>
      </c>
      <c r="L231" s="9">
        <v>100</v>
      </c>
      <c r="M231" s="9">
        <v>-1</v>
      </c>
      <c r="N231" s="9">
        <v>41</v>
      </c>
      <c r="O231" s="9">
        <v>-284</v>
      </c>
      <c r="P231" s="9">
        <v>23</v>
      </c>
      <c r="Q231" s="9">
        <v>-45</v>
      </c>
      <c r="R231" s="9">
        <v>-21</v>
      </c>
      <c r="S231" s="9">
        <v>116</v>
      </c>
      <c r="T231" s="9">
        <v>-45</v>
      </c>
      <c r="U231" s="9">
        <v>4</v>
      </c>
      <c r="V231" s="9">
        <v>3</v>
      </c>
      <c r="W231" s="9">
        <v>-10</v>
      </c>
      <c r="X231" s="9">
        <v>3</v>
      </c>
      <c r="Y231" s="9">
        <v>-27</v>
      </c>
      <c r="Z231" s="9">
        <v>26</v>
      </c>
      <c r="AA231" s="9">
        <v>54</v>
      </c>
      <c r="AB231" s="9" t="s">
        <v>291</v>
      </c>
      <c r="AC231" s="284" t="s">
        <v>291</v>
      </c>
      <c r="AD231" s="284" t="s">
        <v>291</v>
      </c>
      <c r="AE231" s="284" t="s">
        <v>291</v>
      </c>
      <c r="AF231" s="284" t="s">
        <v>291</v>
      </c>
      <c r="AG231" s="9" t="s">
        <v>291</v>
      </c>
      <c r="AH231" s="9">
        <v>27</v>
      </c>
      <c r="AI231" s="9">
        <v>-96</v>
      </c>
      <c r="AJ231" s="9">
        <v>7</v>
      </c>
    </row>
    <row r="232" spans="1:36">
      <c r="A232" s="9" t="s">
        <v>285</v>
      </c>
      <c r="B232" s="9" t="s">
        <v>273</v>
      </c>
      <c r="C232" s="9" t="s">
        <v>273</v>
      </c>
      <c r="D232" s="9" t="s">
        <v>273</v>
      </c>
      <c r="E232" s="9" t="s">
        <v>273</v>
      </c>
      <c r="F232" s="9" t="s">
        <v>273</v>
      </c>
      <c r="G232" s="9" t="s">
        <v>273</v>
      </c>
      <c r="H232" s="9" t="s">
        <v>273</v>
      </c>
      <c r="I232" s="9" t="s">
        <v>273</v>
      </c>
      <c r="J232" s="9" t="s">
        <v>273</v>
      </c>
      <c r="K232" s="9" t="s">
        <v>273</v>
      </c>
      <c r="L232" s="9" t="s">
        <v>273</v>
      </c>
      <c r="M232" s="9" t="s">
        <v>273</v>
      </c>
      <c r="N232" s="9" t="s">
        <v>306</v>
      </c>
      <c r="O232" s="9" t="s">
        <v>306</v>
      </c>
      <c r="P232" s="9" t="s">
        <v>306</v>
      </c>
      <c r="Q232" s="9" t="s">
        <v>306</v>
      </c>
      <c r="R232" s="9" t="s">
        <v>306</v>
      </c>
      <c r="S232" s="9" t="s">
        <v>306</v>
      </c>
      <c r="T232" s="9">
        <v>-3</v>
      </c>
      <c r="U232" s="9">
        <v>0</v>
      </c>
      <c r="V232" s="9">
        <v>0</v>
      </c>
      <c r="W232" s="9">
        <v>0</v>
      </c>
      <c r="X232" s="9" t="s">
        <v>306</v>
      </c>
      <c r="Y232" s="9" t="s">
        <v>306</v>
      </c>
      <c r="Z232" s="9" t="s">
        <v>306</v>
      </c>
      <c r="AA232" s="9" t="s">
        <v>306</v>
      </c>
      <c r="AB232" s="9" t="s">
        <v>306</v>
      </c>
      <c r="AC232" s="284">
        <v>1</v>
      </c>
      <c r="AD232" s="284">
        <v>1</v>
      </c>
      <c r="AE232" s="284">
        <v>1</v>
      </c>
      <c r="AF232" s="284">
        <v>1</v>
      </c>
      <c r="AG232" s="9">
        <v>1</v>
      </c>
      <c r="AH232" s="9">
        <v>1</v>
      </c>
      <c r="AI232" s="9" t="s">
        <v>291</v>
      </c>
      <c r="AJ232" s="9">
        <v>1</v>
      </c>
    </row>
    <row r="233" spans="1:36">
      <c r="A233" s="9" t="s">
        <v>284</v>
      </c>
      <c r="B233" s="9" t="s">
        <v>273</v>
      </c>
      <c r="C233" s="9" t="s">
        <v>273</v>
      </c>
      <c r="D233" s="9" t="s">
        <v>273</v>
      </c>
      <c r="E233" s="9" t="s">
        <v>273</v>
      </c>
      <c r="F233" s="9" t="s">
        <v>273</v>
      </c>
      <c r="G233" s="9" t="s">
        <v>273</v>
      </c>
      <c r="H233" s="9" t="s">
        <v>273</v>
      </c>
      <c r="I233" s="9">
        <v>0</v>
      </c>
      <c r="J233" s="9">
        <v>0</v>
      </c>
      <c r="K233" s="9">
        <v>0</v>
      </c>
      <c r="L233" s="9">
        <v>0</v>
      </c>
      <c r="M233" s="9">
        <v>0</v>
      </c>
      <c r="N233" s="9" t="s">
        <v>306</v>
      </c>
      <c r="O233" s="9">
        <v>1</v>
      </c>
      <c r="P233" s="9" t="s">
        <v>306</v>
      </c>
      <c r="Q233" s="9">
        <v>1</v>
      </c>
      <c r="R233" s="9" t="s">
        <v>306</v>
      </c>
      <c r="S233" s="9">
        <v>1</v>
      </c>
      <c r="T233" s="9" t="s">
        <v>306</v>
      </c>
      <c r="U233" s="9">
        <v>-6</v>
      </c>
      <c r="V233" s="9">
        <v>0</v>
      </c>
      <c r="W233" s="9">
        <v>0</v>
      </c>
      <c r="X233" s="9" t="s">
        <v>273</v>
      </c>
      <c r="Y233" s="9" t="s">
        <v>273</v>
      </c>
      <c r="Z233" s="9" t="s">
        <v>273</v>
      </c>
      <c r="AA233" s="9" t="s">
        <v>273</v>
      </c>
      <c r="AB233" s="9" t="s">
        <v>273</v>
      </c>
      <c r="AC233" s="284">
        <v>0</v>
      </c>
      <c r="AD233" s="284">
        <v>0</v>
      </c>
      <c r="AE233" s="284">
        <v>0</v>
      </c>
      <c r="AF233" s="284">
        <v>0</v>
      </c>
      <c r="AG233" s="9">
        <v>0</v>
      </c>
      <c r="AH233" s="9">
        <v>0</v>
      </c>
      <c r="AI233" s="9">
        <v>0</v>
      </c>
      <c r="AJ233" s="9">
        <v>0</v>
      </c>
    </row>
    <row r="234" spans="1:36">
      <c r="A234" s="9" t="s">
        <v>283</v>
      </c>
      <c r="B234" s="9">
        <v>5</v>
      </c>
      <c r="C234" s="9" t="s">
        <v>306</v>
      </c>
      <c r="D234" s="9">
        <v>-1</v>
      </c>
      <c r="E234" s="9">
        <v>1</v>
      </c>
      <c r="F234" s="9">
        <v>-1</v>
      </c>
      <c r="G234" s="9">
        <v>-2</v>
      </c>
      <c r="H234" s="9">
        <v>1</v>
      </c>
      <c r="I234" s="9" t="s">
        <v>306</v>
      </c>
      <c r="J234" s="9">
        <v>1</v>
      </c>
      <c r="K234" s="9">
        <v>1</v>
      </c>
      <c r="L234" s="9">
        <v>1</v>
      </c>
      <c r="M234" s="9">
        <v>1</v>
      </c>
      <c r="N234" s="9">
        <v>6</v>
      </c>
      <c r="O234" s="9">
        <v>-1</v>
      </c>
      <c r="P234" s="9">
        <v>2</v>
      </c>
      <c r="Q234" s="9">
        <v>2</v>
      </c>
      <c r="R234" s="9">
        <v>3</v>
      </c>
      <c r="S234" s="9">
        <v>-1</v>
      </c>
      <c r="T234" s="9">
        <v>3</v>
      </c>
      <c r="U234" s="9">
        <v>15</v>
      </c>
      <c r="V234" s="9">
        <v>-14</v>
      </c>
      <c r="W234" s="9">
        <v>14</v>
      </c>
      <c r="X234" s="9">
        <v>-5</v>
      </c>
      <c r="Y234" s="9">
        <v>8</v>
      </c>
      <c r="Z234" s="9">
        <v>19</v>
      </c>
      <c r="AA234" s="9">
        <v>8</v>
      </c>
      <c r="AB234" s="9">
        <v>24</v>
      </c>
      <c r="AC234" s="284">
        <v>-7</v>
      </c>
      <c r="AD234" s="284">
        <v>7</v>
      </c>
      <c r="AE234" s="284" t="s">
        <v>291</v>
      </c>
      <c r="AF234" s="284" t="s">
        <v>291</v>
      </c>
      <c r="AG234" s="9">
        <v>-3</v>
      </c>
      <c r="AH234" s="9">
        <v>6</v>
      </c>
      <c r="AI234" s="9">
        <v>-1</v>
      </c>
      <c r="AJ234" s="9">
        <v>-5</v>
      </c>
    </row>
    <row r="235" spans="1:36">
      <c r="A235" s="9" t="s">
        <v>282</v>
      </c>
      <c r="B235" s="9" t="s">
        <v>273</v>
      </c>
      <c r="C235" s="9" t="s">
        <v>273</v>
      </c>
      <c r="D235" s="9" t="s">
        <v>273</v>
      </c>
      <c r="E235" s="9" t="s">
        <v>273</v>
      </c>
      <c r="F235" s="9" t="s">
        <v>273</v>
      </c>
      <c r="G235" s="9" t="s">
        <v>273</v>
      </c>
      <c r="H235" s="9" t="s">
        <v>273</v>
      </c>
      <c r="I235" s="9" t="s">
        <v>273</v>
      </c>
      <c r="J235" s="9" t="s">
        <v>273</v>
      </c>
      <c r="K235" s="9" t="s">
        <v>273</v>
      </c>
      <c r="L235" s="9" t="s">
        <v>273</v>
      </c>
      <c r="M235" s="9" t="s">
        <v>273</v>
      </c>
      <c r="N235" s="9" t="s">
        <v>273</v>
      </c>
      <c r="O235" s="9" t="s">
        <v>273</v>
      </c>
      <c r="P235" s="9" t="s">
        <v>273</v>
      </c>
      <c r="Q235" s="9" t="s">
        <v>273</v>
      </c>
      <c r="R235" s="9" t="s">
        <v>273</v>
      </c>
      <c r="S235" s="9" t="s">
        <v>273</v>
      </c>
      <c r="T235" s="9" t="s">
        <v>273</v>
      </c>
      <c r="U235" s="9" t="s">
        <v>273</v>
      </c>
      <c r="V235" s="9" t="s">
        <v>273</v>
      </c>
      <c r="W235" s="9" t="s">
        <v>273</v>
      </c>
      <c r="X235" s="9" t="s">
        <v>273</v>
      </c>
      <c r="Y235" s="9" t="s">
        <v>273</v>
      </c>
      <c r="Z235" s="9" t="s">
        <v>273</v>
      </c>
      <c r="AA235" s="9" t="s">
        <v>273</v>
      </c>
      <c r="AB235" s="9" t="s">
        <v>273</v>
      </c>
      <c r="AC235" s="284">
        <v>2</v>
      </c>
      <c r="AD235" s="284">
        <v>1</v>
      </c>
      <c r="AE235" s="284">
        <v>1</v>
      </c>
      <c r="AF235" s="284">
        <v>1</v>
      </c>
      <c r="AG235" s="9">
        <v>1</v>
      </c>
      <c r="AH235" s="9">
        <v>1</v>
      </c>
      <c r="AI235" s="9">
        <v>1</v>
      </c>
      <c r="AJ235" s="9">
        <v>1</v>
      </c>
    </row>
    <row r="236" spans="1:36">
      <c r="A236" s="9" t="s">
        <v>281</v>
      </c>
      <c r="B236" s="9" t="s">
        <v>306</v>
      </c>
      <c r="C236" s="9" t="s">
        <v>306</v>
      </c>
      <c r="D236" s="9" t="s">
        <v>306</v>
      </c>
      <c r="E236" s="9" t="s">
        <v>306</v>
      </c>
      <c r="F236" s="9" t="s">
        <v>306</v>
      </c>
      <c r="G236" s="9" t="s">
        <v>306</v>
      </c>
      <c r="H236" s="9">
        <v>1</v>
      </c>
      <c r="I236" s="9" t="s">
        <v>306</v>
      </c>
      <c r="J236" s="9">
        <v>2</v>
      </c>
      <c r="K236" s="9" t="s">
        <v>306</v>
      </c>
      <c r="L236" s="9" t="s">
        <v>306</v>
      </c>
      <c r="M236" s="9" t="s">
        <v>306</v>
      </c>
      <c r="N236" s="9" t="s">
        <v>306</v>
      </c>
      <c r="O236" s="9" t="s">
        <v>291</v>
      </c>
      <c r="P236" s="9" t="s">
        <v>291</v>
      </c>
      <c r="Q236" s="9" t="s">
        <v>291</v>
      </c>
      <c r="R236" s="9" t="s">
        <v>291</v>
      </c>
      <c r="S236" s="9">
        <v>-1</v>
      </c>
      <c r="T236" s="9">
        <v>-7</v>
      </c>
      <c r="U236" s="9" t="s">
        <v>306</v>
      </c>
      <c r="V236" s="9" t="s">
        <v>306</v>
      </c>
      <c r="W236" s="9" t="s">
        <v>306</v>
      </c>
      <c r="X236" s="9" t="s">
        <v>306</v>
      </c>
      <c r="Y236" s="9" t="s">
        <v>306</v>
      </c>
      <c r="Z236" s="9" t="s">
        <v>306</v>
      </c>
      <c r="AA236" s="9" t="s">
        <v>306</v>
      </c>
      <c r="AB236" s="9" t="s">
        <v>306</v>
      </c>
      <c r="AC236" s="284">
        <v>0</v>
      </c>
      <c r="AD236" s="284">
        <v>0</v>
      </c>
      <c r="AE236" s="284">
        <v>0</v>
      </c>
      <c r="AF236" s="284">
        <v>0</v>
      </c>
      <c r="AG236" s="9">
        <v>0</v>
      </c>
      <c r="AH236" s="9">
        <v>0</v>
      </c>
      <c r="AI236" s="9">
        <v>0</v>
      </c>
      <c r="AJ236" s="9">
        <v>0</v>
      </c>
    </row>
    <row r="237" spans="1:36">
      <c r="A237" s="9" t="s">
        <v>280</v>
      </c>
      <c r="B237" s="9" t="s">
        <v>273</v>
      </c>
      <c r="C237" s="9" t="s">
        <v>273</v>
      </c>
      <c r="D237" s="9" t="s">
        <v>273</v>
      </c>
      <c r="E237" s="9" t="s">
        <v>273</v>
      </c>
      <c r="F237" s="9" t="s">
        <v>273</v>
      </c>
      <c r="G237" s="9" t="s">
        <v>273</v>
      </c>
      <c r="H237" s="9" t="s">
        <v>273</v>
      </c>
      <c r="I237" s="9" t="s">
        <v>273</v>
      </c>
      <c r="J237" s="9" t="s">
        <v>273</v>
      </c>
      <c r="K237" s="9" t="s">
        <v>273</v>
      </c>
      <c r="L237" s="9" t="s">
        <v>273</v>
      </c>
      <c r="M237" s="9" t="s">
        <v>273</v>
      </c>
      <c r="N237" s="9" t="s">
        <v>273</v>
      </c>
      <c r="O237" s="9" t="s">
        <v>273</v>
      </c>
      <c r="P237" s="9" t="s">
        <v>273</v>
      </c>
      <c r="Q237" s="9" t="s">
        <v>273</v>
      </c>
      <c r="R237" s="9" t="s">
        <v>273</v>
      </c>
      <c r="S237" s="9" t="s">
        <v>273</v>
      </c>
      <c r="T237" s="9" t="s">
        <v>273</v>
      </c>
      <c r="U237" s="9" t="s">
        <v>273</v>
      </c>
      <c r="V237" s="9" t="s">
        <v>273</v>
      </c>
      <c r="W237" s="9" t="s">
        <v>273</v>
      </c>
      <c r="X237" s="9" t="s">
        <v>306</v>
      </c>
      <c r="Y237" s="9" t="s">
        <v>306</v>
      </c>
      <c r="Z237" s="9" t="s">
        <v>306</v>
      </c>
      <c r="AA237" s="9" t="s">
        <v>306</v>
      </c>
      <c r="AB237" s="9" t="s">
        <v>306</v>
      </c>
      <c r="AC237" s="284">
        <v>1</v>
      </c>
      <c r="AD237" s="284">
        <v>0</v>
      </c>
      <c r="AE237" s="284">
        <v>0</v>
      </c>
      <c r="AF237" s="284">
        <v>0</v>
      </c>
      <c r="AG237" s="9">
        <v>0</v>
      </c>
      <c r="AH237" s="9">
        <v>0</v>
      </c>
      <c r="AI237" s="9">
        <v>0</v>
      </c>
      <c r="AJ237" s="9">
        <v>0</v>
      </c>
    </row>
    <row r="238" spans="1:36">
      <c r="A238" s="9" t="s">
        <v>279</v>
      </c>
      <c r="B238" s="9" t="s">
        <v>273</v>
      </c>
      <c r="C238" s="9" t="s">
        <v>273</v>
      </c>
      <c r="D238" s="9" t="s">
        <v>273</v>
      </c>
      <c r="E238" s="9" t="s">
        <v>273</v>
      </c>
      <c r="F238" s="9" t="s">
        <v>273</v>
      </c>
      <c r="G238" s="9" t="s">
        <v>273</v>
      </c>
      <c r="H238" s="9" t="s">
        <v>273</v>
      </c>
      <c r="I238" s="9" t="s">
        <v>273</v>
      </c>
      <c r="J238" s="9" t="s">
        <v>273</v>
      </c>
      <c r="K238" s="9" t="s">
        <v>273</v>
      </c>
      <c r="L238" s="9" t="s">
        <v>273</v>
      </c>
      <c r="M238" s="9" t="s">
        <v>273</v>
      </c>
      <c r="N238" s="9" t="s">
        <v>273</v>
      </c>
      <c r="O238" s="9" t="s">
        <v>273</v>
      </c>
      <c r="P238" s="9" t="s">
        <v>273</v>
      </c>
      <c r="Q238" s="9" t="s">
        <v>273</v>
      </c>
      <c r="R238" s="9" t="s">
        <v>273</v>
      </c>
      <c r="S238" s="9" t="s">
        <v>273</v>
      </c>
      <c r="T238" s="9" t="s">
        <v>273</v>
      </c>
      <c r="U238" s="9" t="s">
        <v>273</v>
      </c>
      <c r="V238" s="9" t="s">
        <v>273</v>
      </c>
      <c r="W238" s="9" t="s">
        <v>273</v>
      </c>
      <c r="X238" s="9" t="s">
        <v>306</v>
      </c>
      <c r="Y238" s="9" t="s">
        <v>306</v>
      </c>
      <c r="Z238" s="9" t="s">
        <v>306</v>
      </c>
      <c r="AA238" s="9" t="s">
        <v>306</v>
      </c>
      <c r="AB238" s="9" t="s">
        <v>306</v>
      </c>
      <c r="AC238" s="284">
        <v>0</v>
      </c>
      <c r="AD238" s="284">
        <v>0</v>
      </c>
      <c r="AE238" s="284">
        <v>0</v>
      </c>
      <c r="AF238" s="284">
        <v>0</v>
      </c>
      <c r="AG238" s="9">
        <v>0</v>
      </c>
      <c r="AH238" s="9">
        <v>0</v>
      </c>
      <c r="AI238" s="9">
        <v>0</v>
      </c>
      <c r="AJ238" s="9">
        <v>0</v>
      </c>
    </row>
    <row r="239" spans="1:36">
      <c r="A239" s="9" t="s">
        <v>278</v>
      </c>
      <c r="B239" s="9">
        <v>0</v>
      </c>
      <c r="C239" s="9" t="s">
        <v>306</v>
      </c>
      <c r="D239" s="9" t="s">
        <v>306</v>
      </c>
      <c r="E239" s="9" t="s">
        <v>306</v>
      </c>
      <c r="F239" s="9" t="s">
        <v>306</v>
      </c>
      <c r="G239" s="9" t="s">
        <v>306</v>
      </c>
      <c r="H239" s="9" t="s">
        <v>306</v>
      </c>
      <c r="I239" s="9" t="s">
        <v>306</v>
      </c>
      <c r="J239" s="9" t="s">
        <v>306</v>
      </c>
      <c r="K239" s="9" t="s">
        <v>306</v>
      </c>
      <c r="L239" s="9" t="s">
        <v>306</v>
      </c>
      <c r="M239" s="9" t="s">
        <v>306</v>
      </c>
      <c r="N239" s="9" t="s">
        <v>273</v>
      </c>
      <c r="O239" s="9" t="s">
        <v>273</v>
      </c>
      <c r="P239" s="9" t="s">
        <v>273</v>
      </c>
      <c r="Q239" s="9" t="s">
        <v>273</v>
      </c>
      <c r="R239" s="9" t="s">
        <v>273</v>
      </c>
      <c r="S239" s="9" t="s">
        <v>273</v>
      </c>
      <c r="T239" s="9" t="s">
        <v>273</v>
      </c>
      <c r="U239" s="9" t="s">
        <v>273</v>
      </c>
      <c r="V239" s="9" t="s">
        <v>273</v>
      </c>
      <c r="W239" s="9" t="s">
        <v>273</v>
      </c>
      <c r="X239" s="9">
        <v>1</v>
      </c>
      <c r="Y239" s="9">
        <v>1</v>
      </c>
      <c r="Z239" s="9">
        <v>11</v>
      </c>
      <c r="AA239" s="9">
        <v>20</v>
      </c>
      <c r="AB239" s="9">
        <v>1</v>
      </c>
      <c r="AC239" s="284" t="s">
        <v>306</v>
      </c>
      <c r="AD239" s="284" t="s">
        <v>306</v>
      </c>
      <c r="AE239" s="284" t="s">
        <v>306</v>
      </c>
      <c r="AF239" s="284" t="s">
        <v>306</v>
      </c>
      <c r="AG239" s="9" t="s">
        <v>306</v>
      </c>
      <c r="AH239" s="9" t="s">
        <v>306</v>
      </c>
      <c r="AI239" s="9" t="s">
        <v>306</v>
      </c>
      <c r="AJ239" s="9" t="s">
        <v>306</v>
      </c>
    </row>
    <row r="240" spans="1:36">
      <c r="A240" s="9" t="s">
        <v>277</v>
      </c>
      <c r="B240" s="9" t="s">
        <v>291</v>
      </c>
      <c r="C240" s="9" t="s">
        <v>291</v>
      </c>
      <c r="D240" s="9" t="s">
        <v>291</v>
      </c>
      <c r="E240" s="9" t="s">
        <v>291</v>
      </c>
      <c r="F240" s="9" t="s">
        <v>291</v>
      </c>
      <c r="G240" s="9" t="s">
        <v>291</v>
      </c>
      <c r="H240" s="9" t="s">
        <v>291</v>
      </c>
      <c r="I240" s="9" t="s">
        <v>306</v>
      </c>
      <c r="J240" s="9">
        <v>1</v>
      </c>
      <c r="K240" s="9">
        <v>-2</v>
      </c>
      <c r="L240" s="9">
        <v>51</v>
      </c>
      <c r="M240" s="9" t="s">
        <v>291</v>
      </c>
      <c r="N240" s="9" t="s">
        <v>291</v>
      </c>
      <c r="O240" s="9" t="s">
        <v>291</v>
      </c>
      <c r="P240" s="9" t="s">
        <v>291</v>
      </c>
      <c r="Q240" s="9" t="s">
        <v>291</v>
      </c>
      <c r="R240" s="9" t="s">
        <v>291</v>
      </c>
      <c r="S240" s="9" t="s">
        <v>291</v>
      </c>
      <c r="T240" s="9" t="s">
        <v>291</v>
      </c>
      <c r="U240" s="9" t="s">
        <v>291</v>
      </c>
      <c r="V240" s="9" t="s">
        <v>291</v>
      </c>
      <c r="W240" s="9" t="s">
        <v>291</v>
      </c>
      <c r="X240" s="9" t="s">
        <v>291</v>
      </c>
      <c r="Y240" s="9">
        <v>7</v>
      </c>
      <c r="Z240" s="9">
        <v>7</v>
      </c>
      <c r="AA240" s="9">
        <v>9</v>
      </c>
      <c r="AB240" s="9">
        <v>9</v>
      </c>
      <c r="AC240" s="284" t="s">
        <v>291</v>
      </c>
      <c r="AD240" s="284" t="s">
        <v>291</v>
      </c>
      <c r="AE240" s="284" t="s">
        <v>291</v>
      </c>
      <c r="AF240" s="284" t="s">
        <v>291</v>
      </c>
      <c r="AG240" s="9" t="s">
        <v>291</v>
      </c>
      <c r="AH240" s="9" t="s">
        <v>291</v>
      </c>
      <c r="AI240" s="9">
        <v>2</v>
      </c>
      <c r="AJ240" s="9">
        <v>2</v>
      </c>
    </row>
    <row r="241" spans="1:36">
      <c r="A241" s="9" t="s">
        <v>276</v>
      </c>
      <c r="B241" s="9">
        <v>0</v>
      </c>
      <c r="C241" s="9">
        <v>0</v>
      </c>
      <c r="D241" s="9">
        <v>0</v>
      </c>
      <c r="E241" s="9">
        <v>0</v>
      </c>
      <c r="F241" s="9">
        <v>0</v>
      </c>
      <c r="G241" s="9" t="s">
        <v>306</v>
      </c>
      <c r="H241" s="9">
        <v>0</v>
      </c>
      <c r="I241" s="9">
        <v>0</v>
      </c>
      <c r="J241" s="9">
        <v>0</v>
      </c>
      <c r="K241" s="9">
        <v>0</v>
      </c>
      <c r="L241" s="9">
        <v>0</v>
      </c>
      <c r="M241" s="9">
        <v>0</v>
      </c>
      <c r="N241" s="9">
        <v>16</v>
      </c>
      <c r="O241" s="9">
        <v>-47</v>
      </c>
      <c r="P241" s="9">
        <v>56</v>
      </c>
      <c r="Q241" s="9">
        <v>-10</v>
      </c>
      <c r="R241" s="9" t="s">
        <v>291</v>
      </c>
      <c r="S241" s="9">
        <v>122</v>
      </c>
      <c r="T241" s="9">
        <v>-18</v>
      </c>
      <c r="U241" s="9">
        <v>-1</v>
      </c>
      <c r="V241" s="9">
        <v>-5</v>
      </c>
      <c r="W241" s="9">
        <v>15</v>
      </c>
      <c r="X241" s="9">
        <v>52</v>
      </c>
      <c r="Y241" s="9">
        <v>38</v>
      </c>
      <c r="Z241" s="9">
        <v>37</v>
      </c>
      <c r="AA241" s="9">
        <v>-55</v>
      </c>
      <c r="AB241" s="9">
        <v>23</v>
      </c>
      <c r="AC241" s="284">
        <v>166</v>
      </c>
      <c r="AD241" s="284">
        <v>68</v>
      </c>
      <c r="AE241" s="284">
        <v>166</v>
      </c>
      <c r="AF241" s="284">
        <v>136</v>
      </c>
      <c r="AG241" s="9">
        <v>184</v>
      </c>
      <c r="AH241" s="9">
        <v>179</v>
      </c>
      <c r="AI241" s="9">
        <v>-302</v>
      </c>
      <c r="AJ241" s="9">
        <v>174</v>
      </c>
    </row>
    <row r="242" spans="1:36">
      <c r="A242" s="9" t="s">
        <v>274</v>
      </c>
      <c r="B242" s="9">
        <v>149</v>
      </c>
      <c r="C242" s="9">
        <v>151</v>
      </c>
      <c r="D242" s="9">
        <v>-669</v>
      </c>
      <c r="E242" s="9">
        <v>201</v>
      </c>
      <c r="F242" s="9">
        <v>-520</v>
      </c>
      <c r="G242" s="9">
        <v>-425</v>
      </c>
      <c r="H242" s="9">
        <v>-577</v>
      </c>
      <c r="I242" s="9">
        <v>216</v>
      </c>
      <c r="J242" s="9">
        <v>-104</v>
      </c>
      <c r="K242" s="9">
        <v>152</v>
      </c>
      <c r="L242" s="9">
        <v>745</v>
      </c>
      <c r="M242" s="9">
        <v>348</v>
      </c>
      <c r="N242" s="9">
        <v>207</v>
      </c>
      <c r="O242" s="9">
        <v>-416</v>
      </c>
      <c r="P242" s="9">
        <v>1451</v>
      </c>
      <c r="Q242" s="9">
        <v>482</v>
      </c>
      <c r="R242" s="9">
        <v>462</v>
      </c>
      <c r="S242" s="9" t="s">
        <v>273</v>
      </c>
      <c r="T242" s="9" t="s">
        <v>273</v>
      </c>
      <c r="U242" s="9" t="s">
        <v>273</v>
      </c>
      <c r="V242" s="9" t="s">
        <v>273</v>
      </c>
      <c r="W242" s="9" t="s">
        <v>273</v>
      </c>
      <c r="X242" s="9" t="s">
        <v>273</v>
      </c>
      <c r="Y242" s="9" t="s">
        <v>273</v>
      </c>
      <c r="Z242" s="9" t="s">
        <v>273</v>
      </c>
      <c r="AA242" s="9" t="s">
        <v>273</v>
      </c>
      <c r="AB242" s="9" t="s">
        <v>273</v>
      </c>
      <c r="AC242" s="9" t="s">
        <v>273</v>
      </c>
      <c r="AD242" s="9" t="s">
        <v>273</v>
      </c>
      <c r="AE242" s="9" t="s">
        <v>273</v>
      </c>
      <c r="AF242" s="9" t="s">
        <v>273</v>
      </c>
    </row>
    <row r="243" spans="1:36" ht="13">
      <c r="A243" s="1944" t="s">
        <v>7</v>
      </c>
      <c r="B243" s="1976"/>
      <c r="C243" s="1976"/>
      <c r="D243" s="1976"/>
      <c r="E243" s="1976"/>
      <c r="F243" s="1976"/>
      <c r="G243" s="1976"/>
      <c r="H243" s="1976"/>
      <c r="I243" s="1976"/>
      <c r="J243" s="1976"/>
      <c r="K243" s="1976"/>
      <c r="L243" s="1976"/>
      <c r="M243" s="1976"/>
      <c r="N243" s="1976"/>
      <c r="O243" s="1976"/>
      <c r="P243" s="1976"/>
      <c r="Q243" s="1976"/>
      <c r="R243" s="1976"/>
      <c r="S243" s="1976"/>
      <c r="T243" s="1976"/>
      <c r="U243" s="1976"/>
      <c r="V243" s="1976"/>
      <c r="W243" s="1976"/>
      <c r="X243" s="1976"/>
      <c r="Y243" s="1976"/>
      <c r="Z243" s="1976"/>
      <c r="AA243" s="1976"/>
      <c r="AB243" s="1976"/>
      <c r="AC243" s="1976"/>
      <c r="AD243" s="1976"/>
      <c r="AE243" s="1976"/>
      <c r="AF243" s="1976"/>
    </row>
    <row r="244" spans="1:36">
      <c r="A244" s="1943" t="s">
        <v>272</v>
      </c>
      <c r="B244" s="1976"/>
      <c r="C244" s="1976"/>
      <c r="D244" s="1976"/>
      <c r="E244" s="1976"/>
      <c r="F244" s="1976"/>
      <c r="G244" s="1976"/>
      <c r="H244" s="1976"/>
      <c r="I244" s="1976"/>
      <c r="J244" s="1976"/>
      <c r="K244" s="1976"/>
      <c r="L244" s="1976"/>
      <c r="M244" s="1976"/>
      <c r="N244" s="1976"/>
      <c r="O244" s="1976"/>
      <c r="P244" s="1976"/>
      <c r="Q244" s="1976"/>
      <c r="R244" s="1976"/>
      <c r="S244" s="1976"/>
      <c r="T244" s="1976"/>
      <c r="U244" s="1976"/>
      <c r="V244" s="1976"/>
      <c r="W244" s="1976"/>
      <c r="X244" s="1976"/>
      <c r="Y244" s="1976"/>
      <c r="Z244" s="1976"/>
      <c r="AA244" s="1976"/>
      <c r="AB244" s="1976"/>
      <c r="AC244" s="1976"/>
      <c r="AD244" s="1976"/>
      <c r="AE244" s="1976"/>
      <c r="AF244" s="1976"/>
    </row>
    <row r="245" spans="1:36">
      <c r="A245" s="1943" t="s">
        <v>271</v>
      </c>
      <c r="B245" s="1976"/>
      <c r="C245" s="1976"/>
      <c r="D245" s="1976"/>
      <c r="E245" s="1976"/>
      <c r="F245" s="1976"/>
      <c r="G245" s="1976"/>
      <c r="H245" s="1976"/>
      <c r="I245" s="1976"/>
      <c r="J245" s="1976"/>
      <c r="K245" s="1976"/>
      <c r="L245" s="1976"/>
      <c r="M245" s="1976"/>
      <c r="N245" s="1976"/>
      <c r="O245" s="1976"/>
      <c r="P245" s="1976"/>
      <c r="Q245" s="1976"/>
      <c r="R245" s="1976"/>
      <c r="S245" s="1976"/>
      <c r="T245" s="1976"/>
      <c r="U245" s="1976"/>
      <c r="V245" s="1976"/>
      <c r="W245" s="1976"/>
      <c r="X245" s="1976"/>
      <c r="Y245" s="1976"/>
      <c r="Z245" s="1976"/>
      <c r="AA245" s="1976"/>
      <c r="AB245" s="1976"/>
      <c r="AC245" s="1976"/>
      <c r="AD245" s="1976"/>
      <c r="AE245" s="1976"/>
      <c r="AF245" s="1976"/>
    </row>
    <row r="246" spans="1:36">
      <c r="A246" s="1943" t="s">
        <v>270</v>
      </c>
      <c r="B246" s="1976"/>
      <c r="C246" s="1976"/>
      <c r="D246" s="1976"/>
      <c r="E246" s="1976"/>
      <c r="F246" s="1976"/>
      <c r="G246" s="1976"/>
      <c r="H246" s="1976"/>
      <c r="I246" s="1976"/>
      <c r="J246" s="1976"/>
      <c r="K246" s="1976"/>
      <c r="L246" s="1976"/>
      <c r="M246" s="1976"/>
      <c r="N246" s="1976"/>
      <c r="O246" s="1976"/>
      <c r="P246" s="1976"/>
      <c r="Q246" s="1976"/>
      <c r="R246" s="1976"/>
      <c r="S246" s="1976"/>
      <c r="T246" s="1976"/>
      <c r="U246" s="1976"/>
      <c r="V246" s="1976"/>
      <c r="W246" s="1976"/>
      <c r="X246" s="1976"/>
      <c r="Y246" s="1976"/>
      <c r="Z246" s="1976"/>
      <c r="AA246" s="1976"/>
      <c r="AB246" s="1976"/>
      <c r="AC246" s="1976"/>
      <c r="AD246" s="1976"/>
      <c r="AE246" s="1976"/>
      <c r="AF246" s="1976"/>
    </row>
    <row r="247" spans="1:36">
      <c r="A247" s="1943" t="s">
        <v>269</v>
      </c>
      <c r="B247" s="1976"/>
      <c r="C247" s="1976"/>
      <c r="D247" s="1976"/>
      <c r="E247" s="1976"/>
      <c r="F247" s="1976"/>
      <c r="G247" s="1976"/>
      <c r="H247" s="1976"/>
      <c r="I247" s="1976"/>
      <c r="J247" s="1976"/>
      <c r="K247" s="1976"/>
      <c r="L247" s="1976"/>
      <c r="M247" s="1976"/>
      <c r="N247" s="1976"/>
      <c r="O247" s="1976"/>
      <c r="P247" s="1976"/>
      <c r="Q247" s="1976"/>
      <c r="R247" s="1976"/>
      <c r="S247" s="1976"/>
      <c r="T247" s="1976"/>
      <c r="U247" s="1976"/>
      <c r="V247" s="1976"/>
      <c r="W247" s="1976"/>
      <c r="X247" s="1976"/>
      <c r="Y247" s="1976"/>
      <c r="Z247" s="1976"/>
      <c r="AA247" s="1976"/>
      <c r="AB247" s="1976"/>
      <c r="AC247" s="1976"/>
      <c r="AD247" s="1976"/>
      <c r="AE247" s="1976"/>
      <c r="AF247" s="1976"/>
    </row>
    <row r="248" spans="1:36">
      <c r="A248" s="1943" t="s">
        <v>268</v>
      </c>
      <c r="B248" s="1976"/>
      <c r="C248" s="1976"/>
      <c r="D248" s="1976"/>
      <c r="E248" s="1976"/>
      <c r="F248" s="1976"/>
      <c r="G248" s="1976"/>
      <c r="H248" s="1976"/>
      <c r="I248" s="1976"/>
      <c r="J248" s="1976"/>
      <c r="K248" s="1976"/>
      <c r="L248" s="1976"/>
      <c r="M248" s="1976"/>
      <c r="N248" s="1976"/>
      <c r="O248" s="1976"/>
      <c r="P248" s="1976"/>
      <c r="Q248" s="1976"/>
      <c r="R248" s="1976"/>
      <c r="S248" s="1976"/>
      <c r="T248" s="1976"/>
      <c r="U248" s="1976"/>
      <c r="V248" s="1976"/>
      <c r="W248" s="1976"/>
      <c r="X248" s="1976"/>
      <c r="Y248" s="1976"/>
      <c r="Z248" s="1976"/>
      <c r="AA248" s="1976"/>
      <c r="AB248" s="1976"/>
      <c r="AC248" s="1976"/>
      <c r="AD248" s="1976"/>
      <c r="AE248" s="1976"/>
      <c r="AF248" s="1976"/>
    </row>
    <row r="249" spans="1:36">
      <c r="A249" s="1943" t="s">
        <v>267</v>
      </c>
      <c r="B249" s="1976"/>
      <c r="C249" s="1976"/>
      <c r="D249" s="1976"/>
      <c r="E249" s="1976"/>
      <c r="F249" s="1976"/>
      <c r="G249" s="1976"/>
      <c r="H249" s="1976"/>
      <c r="I249" s="1976"/>
      <c r="J249" s="1976"/>
      <c r="K249" s="1976"/>
      <c r="L249" s="1976"/>
      <c r="M249" s="1976"/>
      <c r="N249" s="1976"/>
      <c r="O249" s="1976"/>
      <c r="P249" s="1976"/>
      <c r="Q249" s="1976"/>
      <c r="R249" s="1976"/>
      <c r="S249" s="1976"/>
      <c r="T249" s="1976"/>
      <c r="U249" s="1976"/>
      <c r="V249" s="1976"/>
      <c r="W249" s="1976"/>
      <c r="X249" s="1976"/>
      <c r="Y249" s="1976"/>
      <c r="Z249" s="1976"/>
      <c r="AA249" s="1976"/>
      <c r="AB249" s="1976"/>
      <c r="AC249" s="1976"/>
      <c r="AD249" s="1976"/>
      <c r="AE249" s="1976"/>
      <c r="AF249" s="1976"/>
    </row>
    <row r="250" spans="1:36">
      <c r="A250" s="1943" t="s">
        <v>266</v>
      </c>
      <c r="B250" s="1976"/>
      <c r="C250" s="1976"/>
      <c r="D250" s="1976"/>
      <c r="E250" s="1976"/>
      <c r="F250" s="1976"/>
      <c r="G250" s="1976"/>
      <c r="H250" s="1976"/>
      <c r="I250" s="1976"/>
      <c r="J250" s="1976"/>
      <c r="K250" s="1976"/>
      <c r="L250" s="1976"/>
      <c r="M250" s="1976"/>
      <c r="N250" s="1976"/>
      <c r="O250" s="1976"/>
      <c r="P250" s="1976"/>
      <c r="Q250" s="1976"/>
      <c r="R250" s="1976"/>
      <c r="S250" s="1976"/>
      <c r="T250" s="1976"/>
      <c r="U250" s="1976"/>
      <c r="V250" s="1976"/>
      <c r="W250" s="1976"/>
      <c r="X250" s="1976"/>
      <c r="Y250" s="1976"/>
      <c r="Z250" s="1976"/>
      <c r="AA250" s="1976"/>
      <c r="AB250" s="1976"/>
      <c r="AC250" s="1976"/>
      <c r="AD250" s="1976"/>
      <c r="AE250" s="1976"/>
      <c r="AF250" s="1976"/>
    </row>
    <row r="251" spans="1:36">
      <c r="A251" s="1943" t="s">
        <v>265</v>
      </c>
      <c r="B251" s="1976"/>
      <c r="C251" s="1976"/>
      <c r="D251" s="1976"/>
      <c r="E251" s="1976"/>
      <c r="F251" s="1976"/>
      <c r="G251" s="1976"/>
      <c r="H251" s="1976"/>
      <c r="I251" s="1976"/>
      <c r="J251" s="1976"/>
      <c r="K251" s="1976"/>
      <c r="L251" s="1976"/>
      <c r="M251" s="1976"/>
      <c r="N251" s="1976"/>
      <c r="O251" s="1976"/>
      <c r="P251" s="1976"/>
      <c r="Q251" s="1976"/>
      <c r="R251" s="1976"/>
      <c r="S251" s="1976"/>
      <c r="T251" s="1976"/>
      <c r="U251" s="1976"/>
      <c r="V251" s="1976"/>
      <c r="W251" s="1976"/>
      <c r="X251" s="1976"/>
      <c r="Y251" s="1976"/>
      <c r="Z251" s="1976"/>
      <c r="AA251" s="1976"/>
      <c r="AB251" s="1976"/>
      <c r="AC251" s="1976"/>
      <c r="AD251" s="1976"/>
      <c r="AE251" s="1976"/>
      <c r="AF251" s="1976"/>
    </row>
    <row r="252" spans="1:36">
      <c r="A252" s="1943" t="s">
        <v>264</v>
      </c>
      <c r="B252" s="1976"/>
      <c r="C252" s="1976"/>
      <c r="D252" s="1976"/>
      <c r="E252" s="1976"/>
      <c r="F252" s="1976"/>
      <c r="G252" s="1976"/>
      <c r="H252" s="1976"/>
      <c r="I252" s="1976"/>
      <c r="J252" s="1976"/>
      <c r="K252" s="1976"/>
      <c r="L252" s="1976"/>
      <c r="M252" s="1976"/>
      <c r="N252" s="1976"/>
      <c r="O252" s="1976"/>
      <c r="P252" s="1976"/>
      <c r="Q252" s="1976"/>
      <c r="R252" s="1976"/>
      <c r="S252" s="1976"/>
      <c r="T252" s="1976"/>
      <c r="U252" s="1976"/>
      <c r="V252" s="1976"/>
      <c r="W252" s="1976"/>
      <c r="X252" s="1976"/>
      <c r="Y252" s="1976"/>
      <c r="Z252" s="1976"/>
      <c r="AA252" s="1976"/>
      <c r="AB252" s="1976"/>
      <c r="AC252" s="1976"/>
      <c r="AD252" s="1976"/>
      <c r="AE252" s="1976"/>
      <c r="AF252" s="1976"/>
    </row>
    <row r="253" spans="1:36">
      <c r="A253" s="1943" t="s">
        <v>263</v>
      </c>
      <c r="B253" s="1976"/>
      <c r="C253" s="1976"/>
      <c r="D253" s="1976"/>
      <c r="E253" s="1976"/>
      <c r="F253" s="1976"/>
      <c r="G253" s="1976"/>
      <c r="H253" s="1976"/>
      <c r="I253" s="1976"/>
      <c r="J253" s="1976"/>
      <c r="K253" s="1976"/>
      <c r="L253" s="1976"/>
      <c r="M253" s="1976"/>
      <c r="N253" s="1976"/>
      <c r="O253" s="1976"/>
      <c r="P253" s="1976"/>
      <c r="Q253" s="1976"/>
      <c r="R253" s="1976"/>
      <c r="S253" s="1976"/>
      <c r="T253" s="1976"/>
      <c r="U253" s="1976"/>
      <c r="V253" s="1976"/>
      <c r="W253" s="1976"/>
      <c r="X253" s="1976"/>
      <c r="Y253" s="1976"/>
      <c r="Z253" s="1976"/>
      <c r="AA253" s="1976"/>
      <c r="AB253" s="1976"/>
      <c r="AC253" s="1976"/>
      <c r="AD253" s="1976"/>
      <c r="AE253" s="1976"/>
      <c r="AF253" s="1976"/>
    </row>
    <row r="254" spans="1:36">
      <c r="A254" s="1943" t="s">
        <v>262</v>
      </c>
      <c r="B254" s="1976"/>
      <c r="C254" s="1976"/>
      <c r="D254" s="1976"/>
      <c r="E254" s="1976"/>
      <c r="F254" s="1976"/>
      <c r="G254" s="1976"/>
      <c r="H254" s="1976"/>
      <c r="I254" s="1976"/>
      <c r="J254" s="1976"/>
      <c r="K254" s="1976"/>
      <c r="L254" s="1976"/>
      <c r="M254" s="1976"/>
      <c r="N254" s="1976"/>
      <c r="O254" s="1976"/>
      <c r="P254" s="1976"/>
      <c r="Q254" s="1976"/>
      <c r="R254" s="1976"/>
      <c r="S254" s="1976"/>
      <c r="T254" s="1976"/>
      <c r="U254" s="1976"/>
      <c r="V254" s="1976"/>
      <c r="W254" s="1976"/>
      <c r="X254" s="1976"/>
      <c r="Y254" s="1976"/>
      <c r="Z254" s="1976"/>
      <c r="AA254" s="1976"/>
      <c r="AB254" s="1976"/>
      <c r="AC254" s="1976"/>
      <c r="AD254" s="1976"/>
      <c r="AE254" s="1976"/>
      <c r="AF254" s="1976"/>
    </row>
  </sheetData>
  <mergeCells count="45">
    <mergeCell ref="A253:AF253"/>
    <mergeCell ref="A254:AF254"/>
    <mergeCell ref="A246:AF246"/>
    <mergeCell ref="A247:AF247"/>
    <mergeCell ref="A248:AF248"/>
    <mergeCell ref="A249:AF249"/>
    <mergeCell ref="A250:AF250"/>
    <mergeCell ref="A251:AF251"/>
    <mergeCell ref="L7"/>
    <mergeCell ref="A252:AF252"/>
    <mergeCell ref="H7"/>
    <mergeCell ref="I7"/>
    <mergeCell ref="J7"/>
    <mergeCell ref="K7"/>
    <mergeCell ref="A245:AF245"/>
    <mergeCell ref="X7"/>
    <mergeCell ref="Y7"/>
    <mergeCell ref="Z7"/>
    <mergeCell ref="AA7"/>
    <mergeCell ref="A243:AF243"/>
    <mergeCell ref="A244:AF244"/>
    <mergeCell ref="Q7"/>
    <mergeCell ref="AB7"/>
    <mergeCell ref="R7"/>
    <mergeCell ref="S7"/>
    <mergeCell ref="T7"/>
    <mergeCell ref="U7"/>
    <mergeCell ref="V7"/>
    <mergeCell ref="W7"/>
    <mergeCell ref="M7"/>
    <mergeCell ref="N7"/>
    <mergeCell ref="O7"/>
    <mergeCell ref="P7"/>
    <mergeCell ref="A1:AF1"/>
    <mergeCell ref="A2:AF2"/>
    <mergeCell ref="A3:AF3"/>
    <mergeCell ref="A4:AF4"/>
    <mergeCell ref="A6:A7"/>
    <mergeCell ref="B6:AF6"/>
    <mergeCell ref="B7"/>
    <mergeCell ref="C7"/>
    <mergeCell ref="D7"/>
    <mergeCell ref="E7"/>
    <mergeCell ref="F7"/>
    <mergeCell ref="G7"/>
  </mergeCell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4"/>
  <sheetViews>
    <sheetView zoomScale="150" zoomScaleNormal="150" zoomScalePageLayoutView="150" workbookViewId="0">
      <pane xSplit="1" ySplit="7" topLeftCell="U71"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30.42578125" style="15" bestFit="1" customWidth="1"/>
    <col min="2" max="16384" width="7.5703125" style="15"/>
  </cols>
  <sheetData>
    <row r="1" spans="1:36" ht="17">
      <c r="A1" s="1978" t="s">
        <v>706</v>
      </c>
      <c r="B1" s="1976"/>
      <c r="C1" s="1976"/>
      <c r="D1" s="1976"/>
      <c r="E1" s="1976"/>
      <c r="F1" s="1976"/>
      <c r="G1" s="1976"/>
      <c r="H1" s="1976"/>
      <c r="I1" s="1976"/>
      <c r="J1" s="1976"/>
      <c r="K1" s="1976"/>
      <c r="L1" s="1976"/>
      <c r="M1" s="1976"/>
      <c r="N1" s="1976"/>
      <c r="O1" s="1976"/>
      <c r="P1" s="1976"/>
      <c r="Q1" s="1976"/>
      <c r="R1" s="1976"/>
      <c r="S1" s="1976"/>
      <c r="T1" s="1976"/>
      <c r="U1" s="1976"/>
      <c r="V1" s="1976"/>
      <c r="W1" s="1976"/>
      <c r="X1" s="1976"/>
      <c r="Y1" s="1976"/>
      <c r="Z1" s="1976"/>
      <c r="AA1" s="1976"/>
      <c r="AB1" s="1976"/>
      <c r="AC1" s="1976"/>
      <c r="AD1" s="1976"/>
      <c r="AE1" s="1976"/>
      <c r="AF1" s="1976"/>
    </row>
    <row r="2" spans="1:36" ht="16">
      <c r="A2" s="1979" t="s">
        <v>705</v>
      </c>
      <c r="B2" s="1976"/>
      <c r="C2" s="1976"/>
      <c r="D2" s="1976"/>
      <c r="E2" s="1976"/>
      <c r="F2" s="1976"/>
      <c r="G2" s="1976"/>
      <c r="H2" s="1976"/>
      <c r="I2" s="1976"/>
      <c r="J2" s="1976"/>
      <c r="K2" s="1976"/>
      <c r="L2" s="1976"/>
      <c r="M2" s="1976"/>
      <c r="N2" s="1976"/>
      <c r="O2" s="1976"/>
      <c r="P2" s="1976"/>
      <c r="Q2" s="1976"/>
      <c r="R2" s="1976"/>
      <c r="S2" s="1976"/>
      <c r="T2" s="1976"/>
      <c r="U2" s="1976"/>
      <c r="V2" s="1976"/>
      <c r="W2" s="1976"/>
      <c r="X2" s="1976"/>
      <c r="Y2" s="1976"/>
      <c r="Z2" s="1976"/>
      <c r="AA2" s="1976"/>
      <c r="AB2" s="1976"/>
      <c r="AC2" s="1976"/>
      <c r="AD2" s="1976"/>
      <c r="AE2" s="1976"/>
      <c r="AF2" s="1976"/>
    </row>
    <row r="3" spans="1:36">
      <c r="A3" s="1976" t="s">
        <v>160</v>
      </c>
      <c r="B3" s="1976"/>
      <c r="C3" s="1976"/>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row>
    <row r="4" spans="1:36">
      <c r="A4" s="1976" t="s">
        <v>701</v>
      </c>
      <c r="B4" s="1976"/>
      <c r="C4" s="1976"/>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row>
    <row r="6" spans="1:36">
      <c r="A6" s="1977" t="s">
        <v>0</v>
      </c>
      <c r="B6" s="1977" t="s">
        <v>512</v>
      </c>
      <c r="C6" s="1977"/>
      <c r="D6" s="1977"/>
      <c r="E6" s="1977"/>
      <c r="F6" s="1977"/>
      <c r="G6" s="1977"/>
      <c r="H6" s="1977"/>
      <c r="I6" s="1977"/>
      <c r="J6" s="1977"/>
      <c r="K6" s="1977"/>
      <c r="L6" s="1977"/>
      <c r="M6" s="1977"/>
      <c r="N6" s="1977"/>
      <c r="O6" s="1977"/>
      <c r="P6" s="1977"/>
      <c r="Q6" s="1977"/>
      <c r="R6" s="1977"/>
      <c r="S6" s="1977"/>
      <c r="T6" s="1977"/>
      <c r="U6" s="1977"/>
      <c r="V6" s="1977"/>
      <c r="W6" s="1977"/>
      <c r="X6" s="1977"/>
      <c r="Y6" s="1977"/>
      <c r="Z6" s="1977"/>
      <c r="AA6" s="1977"/>
      <c r="AB6" s="1977"/>
      <c r="AC6" s="1977"/>
      <c r="AD6" s="1977"/>
      <c r="AE6" s="1977"/>
      <c r="AF6" s="1977"/>
    </row>
    <row r="7" spans="1:36">
      <c r="A7" s="1977"/>
      <c r="B7" s="1977" t="s">
        <v>105</v>
      </c>
      <c r="C7" s="1977" t="s">
        <v>104</v>
      </c>
      <c r="D7" s="1977" t="s">
        <v>103</v>
      </c>
      <c r="E7" s="1977" t="s">
        <v>102</v>
      </c>
      <c r="F7" s="1977" t="s">
        <v>101</v>
      </c>
      <c r="G7" s="1977" t="s">
        <v>100</v>
      </c>
      <c r="H7" s="1977" t="s">
        <v>99</v>
      </c>
      <c r="I7" s="1977" t="s">
        <v>98</v>
      </c>
      <c r="J7" s="1977" t="s">
        <v>97</v>
      </c>
      <c r="K7" s="1977" t="s">
        <v>96</v>
      </c>
      <c r="L7" s="1977" t="s">
        <v>95</v>
      </c>
      <c r="M7" s="1977" t="s">
        <v>94</v>
      </c>
      <c r="N7" s="1977" t="s">
        <v>93</v>
      </c>
      <c r="O7" s="1977" t="s">
        <v>92</v>
      </c>
      <c r="P7" s="1977" t="s">
        <v>91</v>
      </c>
      <c r="Q7" s="1977" t="s">
        <v>90</v>
      </c>
      <c r="R7" s="1977" t="s">
        <v>89</v>
      </c>
      <c r="S7" s="1977" t="s">
        <v>88</v>
      </c>
      <c r="T7" s="1977" t="s">
        <v>87</v>
      </c>
      <c r="U7" s="1977" t="s">
        <v>86</v>
      </c>
      <c r="V7" s="1977" t="s">
        <v>85</v>
      </c>
      <c r="W7" s="1977" t="s">
        <v>84</v>
      </c>
      <c r="X7" s="1977" t="s">
        <v>83</v>
      </c>
      <c r="Y7" s="1977" t="s">
        <v>82</v>
      </c>
      <c r="Z7" s="1977" t="s">
        <v>81</v>
      </c>
      <c r="AA7" s="1977" t="s">
        <v>80</v>
      </c>
      <c r="AB7" s="1977" t="s">
        <v>79</v>
      </c>
      <c r="AC7" s="1977" t="s">
        <v>78</v>
      </c>
      <c r="AD7" s="1977" t="s">
        <v>77</v>
      </c>
      <c r="AE7" s="1977" t="s">
        <v>76</v>
      </c>
      <c r="AF7" s="1977" t="s">
        <v>75</v>
      </c>
      <c r="AG7" s="285" t="s">
        <v>74</v>
      </c>
      <c r="AH7" s="285" t="s">
        <v>866</v>
      </c>
      <c r="AI7" s="285" t="s">
        <v>865</v>
      </c>
      <c r="AJ7" s="285" t="s">
        <v>864</v>
      </c>
    </row>
    <row r="8" spans="1:36">
      <c r="A8" s="15" t="s">
        <v>511</v>
      </c>
      <c r="B8" s="15">
        <v>9708</v>
      </c>
      <c r="C8" s="15">
        <v>7249</v>
      </c>
      <c r="D8" s="15">
        <v>2394</v>
      </c>
      <c r="E8" s="15">
        <v>-1672</v>
      </c>
      <c r="F8" s="15">
        <v>1147</v>
      </c>
      <c r="G8" s="15">
        <v>4868</v>
      </c>
      <c r="H8" s="15">
        <v>-6662</v>
      </c>
      <c r="I8" s="15">
        <v>6395</v>
      </c>
      <c r="J8" s="15">
        <v>8739</v>
      </c>
      <c r="K8" s="15">
        <v>17682</v>
      </c>
      <c r="L8" s="15">
        <v>14647</v>
      </c>
      <c r="M8" s="15">
        <v>24565</v>
      </c>
      <c r="N8" s="15">
        <v>33659</v>
      </c>
      <c r="O8" s="15">
        <v>40485</v>
      </c>
      <c r="P8" s="15">
        <v>27533</v>
      </c>
      <c r="Q8" s="15">
        <v>40792</v>
      </c>
      <c r="R8" s="15">
        <v>72447</v>
      </c>
      <c r="S8" s="15">
        <v>98929</v>
      </c>
      <c r="T8" s="15">
        <v>78041</v>
      </c>
      <c r="U8" s="15">
        <v>60942</v>
      </c>
      <c r="V8" s="15">
        <v>42707</v>
      </c>
      <c r="W8" s="15">
        <v>35484</v>
      </c>
      <c r="X8" s="15">
        <v>133277</v>
      </c>
      <c r="Y8" s="15">
        <v>61937</v>
      </c>
      <c r="Z8" s="15">
        <v>48970</v>
      </c>
      <c r="AA8" s="15">
        <v>200850</v>
      </c>
      <c r="AB8" s="15">
        <v>127037</v>
      </c>
      <c r="AC8" s="15">
        <v>34635</v>
      </c>
      <c r="AD8" s="15">
        <v>40550</v>
      </c>
      <c r="AE8" s="15">
        <v>89126</v>
      </c>
      <c r="AF8" s="15">
        <v>37241</v>
      </c>
      <c r="AG8" s="15">
        <v>19642</v>
      </c>
      <c r="AH8" s="15">
        <v>18791</v>
      </c>
      <c r="AI8" s="15">
        <v>5572</v>
      </c>
      <c r="AJ8" s="15">
        <v>31138</v>
      </c>
    </row>
    <row r="9" spans="1:36">
      <c r="A9" s="15" t="s">
        <v>510</v>
      </c>
      <c r="B9" s="15">
        <v>-2005</v>
      </c>
      <c r="C9" s="15">
        <v>-119</v>
      </c>
      <c r="D9" s="15">
        <v>91</v>
      </c>
      <c r="E9" s="15">
        <v>-2668</v>
      </c>
      <c r="F9" s="15">
        <v>-1</v>
      </c>
      <c r="G9" s="15">
        <v>1395</v>
      </c>
      <c r="H9" s="15">
        <v>-234</v>
      </c>
      <c r="I9" s="15">
        <v>-969</v>
      </c>
      <c r="J9" s="15">
        <v>863</v>
      </c>
      <c r="K9" s="15">
        <v>2465</v>
      </c>
      <c r="L9" s="15">
        <v>498</v>
      </c>
      <c r="M9" s="15">
        <v>1577</v>
      </c>
      <c r="N9" s="15">
        <v>1442</v>
      </c>
      <c r="O9" s="15">
        <v>2023</v>
      </c>
      <c r="P9" s="15">
        <v>2143</v>
      </c>
      <c r="Q9" s="15">
        <v>860</v>
      </c>
      <c r="R9" s="15">
        <v>6043</v>
      </c>
      <c r="S9" s="15">
        <v>12220</v>
      </c>
      <c r="T9" s="15">
        <v>5552</v>
      </c>
      <c r="U9" s="15">
        <v>7925</v>
      </c>
      <c r="V9" s="15">
        <v>2646</v>
      </c>
      <c r="W9" s="15">
        <v>1621</v>
      </c>
      <c r="X9" s="15">
        <v>4570</v>
      </c>
      <c r="Y9" s="15">
        <v>11838</v>
      </c>
      <c r="Z9" s="15">
        <v>1052</v>
      </c>
      <c r="AA9" s="15">
        <v>9006</v>
      </c>
      <c r="AB9" s="15">
        <v>7195</v>
      </c>
      <c r="AC9" s="15">
        <v>4868</v>
      </c>
      <c r="AD9" s="15">
        <v>2207</v>
      </c>
      <c r="AE9" s="15">
        <v>9219</v>
      </c>
      <c r="AF9" s="15">
        <v>1233</v>
      </c>
      <c r="AG9" s="15">
        <v>-2888</v>
      </c>
      <c r="AH9" s="15">
        <v>5410</v>
      </c>
      <c r="AI9" s="15">
        <v>1717</v>
      </c>
      <c r="AJ9" s="15">
        <v>4495</v>
      </c>
    </row>
    <row r="10" spans="1:36">
      <c r="A10" s="15" t="s">
        <v>2</v>
      </c>
      <c r="B10" s="15">
        <v>3777</v>
      </c>
      <c r="C10" s="15">
        <v>2379</v>
      </c>
      <c r="D10" s="15">
        <v>1335</v>
      </c>
      <c r="E10" s="15">
        <v>1427</v>
      </c>
      <c r="F10" s="15">
        <v>-213</v>
      </c>
      <c r="G10" s="15">
        <v>1609</v>
      </c>
      <c r="H10" s="15">
        <v>207</v>
      </c>
      <c r="I10" s="15">
        <v>3494</v>
      </c>
      <c r="J10" s="15">
        <v>7016</v>
      </c>
      <c r="K10" s="15">
        <v>7321</v>
      </c>
      <c r="L10" s="15">
        <v>10014</v>
      </c>
      <c r="M10" s="15">
        <v>16884</v>
      </c>
      <c r="N10" s="15">
        <v>22608</v>
      </c>
      <c r="O10" s="15">
        <v>27073</v>
      </c>
      <c r="P10" s="15">
        <v>14641</v>
      </c>
      <c r="Q10" s="15">
        <v>24220</v>
      </c>
      <c r="R10" s="15">
        <v>38681</v>
      </c>
      <c r="S10" s="15">
        <v>44455</v>
      </c>
      <c r="T10" s="15">
        <v>49711</v>
      </c>
      <c r="U10" s="15">
        <v>24448</v>
      </c>
      <c r="V10" s="15">
        <v>25494</v>
      </c>
      <c r="W10" s="15">
        <v>27709</v>
      </c>
      <c r="X10" s="15">
        <v>60690</v>
      </c>
      <c r="Y10" s="15">
        <v>39328</v>
      </c>
      <c r="Z10" s="15">
        <v>47935</v>
      </c>
      <c r="AA10" s="15">
        <v>137109</v>
      </c>
      <c r="AB10" s="15">
        <v>74077</v>
      </c>
      <c r="AC10" s="15">
        <v>35045</v>
      </c>
      <c r="AD10" s="15">
        <v>59197</v>
      </c>
      <c r="AE10" s="15">
        <v>74231</v>
      </c>
      <c r="AF10" s="15">
        <v>34857</v>
      </c>
      <c r="AG10" s="15">
        <v>10992</v>
      </c>
      <c r="AH10" s="15">
        <v>4663</v>
      </c>
      <c r="AI10" s="15">
        <v>5096</v>
      </c>
      <c r="AJ10" s="15">
        <v>22942</v>
      </c>
    </row>
    <row r="11" spans="1:36">
      <c r="A11" s="15" t="s">
        <v>509</v>
      </c>
      <c r="B11" s="15">
        <v>55</v>
      </c>
      <c r="C11" s="15">
        <v>-9</v>
      </c>
      <c r="D11" s="15">
        <v>7</v>
      </c>
      <c r="E11" s="15">
        <v>4</v>
      </c>
      <c r="F11" s="15" t="s">
        <v>291</v>
      </c>
      <c r="G11" s="15">
        <v>-59</v>
      </c>
      <c r="H11" s="15" t="s">
        <v>291</v>
      </c>
      <c r="I11" s="15">
        <v>31</v>
      </c>
      <c r="J11" s="15" t="s">
        <v>291</v>
      </c>
      <c r="K11" s="15">
        <v>-71</v>
      </c>
      <c r="L11" s="15">
        <v>4</v>
      </c>
      <c r="M11" s="15" t="s">
        <v>291</v>
      </c>
      <c r="N11" s="15">
        <v>143</v>
      </c>
      <c r="O11" s="15">
        <v>5</v>
      </c>
      <c r="P11" s="15">
        <v>-4</v>
      </c>
      <c r="Q11" s="15">
        <v>32</v>
      </c>
      <c r="R11" s="15" t="s">
        <v>291</v>
      </c>
      <c r="S11" s="15">
        <v>315</v>
      </c>
      <c r="T11" s="15" t="s">
        <v>291</v>
      </c>
      <c r="U11" s="15">
        <v>1123</v>
      </c>
      <c r="V11" s="15" t="s">
        <v>291</v>
      </c>
      <c r="W11" s="15" t="s">
        <v>291</v>
      </c>
      <c r="X11" s="15">
        <v>80</v>
      </c>
      <c r="Y11" s="15">
        <v>624</v>
      </c>
      <c r="Z11" s="15" t="s">
        <v>291</v>
      </c>
      <c r="AA11" s="15" t="s">
        <v>291</v>
      </c>
      <c r="AB11" s="15">
        <v>338</v>
      </c>
      <c r="AC11" s="15">
        <v>-109</v>
      </c>
      <c r="AD11" s="15">
        <v>-1</v>
      </c>
      <c r="AE11" s="15" t="s">
        <v>291</v>
      </c>
      <c r="AF11" s="15">
        <v>-17</v>
      </c>
      <c r="AG11" s="15" t="s">
        <v>291</v>
      </c>
      <c r="AH11" s="15">
        <v>24</v>
      </c>
      <c r="AI11" s="15" t="s">
        <v>291</v>
      </c>
      <c r="AJ11" s="15">
        <v>1</v>
      </c>
    </row>
    <row r="12" spans="1:36">
      <c r="A12" s="15" t="s">
        <v>508</v>
      </c>
      <c r="B12" s="15">
        <v>283</v>
      </c>
      <c r="C12" s="15">
        <v>-97</v>
      </c>
      <c r="D12" s="15">
        <v>-20</v>
      </c>
      <c r="E12" s="15">
        <v>-106</v>
      </c>
      <c r="F12" s="15">
        <v>-280</v>
      </c>
      <c r="G12" s="15">
        <v>-199</v>
      </c>
      <c r="H12" s="15">
        <v>-230</v>
      </c>
      <c r="I12" s="15">
        <v>167</v>
      </c>
      <c r="J12" s="15">
        <v>294</v>
      </c>
      <c r="K12" s="15">
        <v>112</v>
      </c>
      <c r="L12" s="15">
        <v>275</v>
      </c>
      <c r="M12" s="15">
        <v>251</v>
      </c>
      <c r="N12" s="15">
        <v>1268</v>
      </c>
      <c r="O12" s="15">
        <v>-332</v>
      </c>
      <c r="P12" s="15">
        <v>854</v>
      </c>
      <c r="Q12" s="15">
        <v>117</v>
      </c>
      <c r="R12" s="15">
        <v>740</v>
      </c>
      <c r="S12" s="15">
        <v>512</v>
      </c>
      <c r="T12" s="15">
        <v>9</v>
      </c>
      <c r="U12" s="15">
        <v>207</v>
      </c>
      <c r="V12" s="15">
        <v>67</v>
      </c>
      <c r="W12" s="15">
        <v>-307</v>
      </c>
      <c r="X12" s="15">
        <v>4415</v>
      </c>
      <c r="Y12" s="15" t="s">
        <v>291</v>
      </c>
      <c r="Z12" s="15">
        <v>940</v>
      </c>
      <c r="AA12" s="15">
        <v>4181</v>
      </c>
      <c r="AB12" s="15">
        <v>3862</v>
      </c>
      <c r="AC12" s="15">
        <v>1530</v>
      </c>
      <c r="AD12" s="15" t="s">
        <v>291</v>
      </c>
      <c r="AE12" s="15">
        <v>-273</v>
      </c>
      <c r="AF12" s="15" t="s">
        <v>291</v>
      </c>
      <c r="AG12" s="15">
        <v>55</v>
      </c>
      <c r="AH12" s="15">
        <v>819</v>
      </c>
      <c r="AI12" s="15">
        <v>276</v>
      </c>
      <c r="AJ12" s="15" t="s">
        <v>291</v>
      </c>
    </row>
    <row r="13" spans="1:36">
      <c r="A13" s="15" t="s">
        <v>507</v>
      </c>
      <c r="B13" s="15" t="s">
        <v>273</v>
      </c>
      <c r="C13" s="15" t="s">
        <v>273</v>
      </c>
      <c r="D13" s="15" t="s">
        <v>273</v>
      </c>
      <c r="E13" s="15" t="s">
        <v>273</v>
      </c>
      <c r="F13" s="15" t="s">
        <v>273</v>
      </c>
      <c r="G13" s="15" t="s">
        <v>273</v>
      </c>
      <c r="H13" s="15" t="s">
        <v>273</v>
      </c>
      <c r="I13" s="15" t="s">
        <v>273</v>
      </c>
      <c r="J13" s="15" t="s">
        <v>273</v>
      </c>
      <c r="K13" s="15" t="s">
        <v>273</v>
      </c>
      <c r="L13" s="15" t="s">
        <v>273</v>
      </c>
      <c r="M13" s="15" t="s">
        <v>273</v>
      </c>
      <c r="N13" s="15" t="s">
        <v>273</v>
      </c>
      <c r="O13" s="15" t="s">
        <v>273</v>
      </c>
      <c r="P13" s="15" t="s">
        <v>273</v>
      </c>
      <c r="Q13" s="15" t="s">
        <v>273</v>
      </c>
      <c r="R13" s="15" t="s">
        <v>273</v>
      </c>
      <c r="S13" s="15">
        <v>-94</v>
      </c>
      <c r="T13" s="15">
        <v>-18</v>
      </c>
      <c r="U13" s="15">
        <v>74</v>
      </c>
      <c r="V13" s="15">
        <v>9</v>
      </c>
      <c r="W13" s="15">
        <v>14</v>
      </c>
      <c r="X13" s="15">
        <v>48</v>
      </c>
      <c r="Y13" s="15" t="s">
        <v>291</v>
      </c>
      <c r="Z13" s="15" t="s">
        <v>291</v>
      </c>
      <c r="AA13" s="15" t="s">
        <v>291</v>
      </c>
      <c r="AB13" s="15" t="s">
        <v>291</v>
      </c>
      <c r="AC13" s="15">
        <v>-62</v>
      </c>
      <c r="AD13" s="15">
        <v>2</v>
      </c>
      <c r="AE13" s="15" t="s">
        <v>291</v>
      </c>
      <c r="AF13" s="15" t="s">
        <v>306</v>
      </c>
      <c r="AG13" s="15" t="s">
        <v>291</v>
      </c>
      <c r="AH13" s="15" t="s">
        <v>291</v>
      </c>
      <c r="AI13" s="15" t="s">
        <v>291</v>
      </c>
      <c r="AJ13" s="15" t="s">
        <v>291</v>
      </c>
    </row>
    <row r="14" spans="1:36">
      <c r="A14" s="15" t="s">
        <v>506</v>
      </c>
      <c r="B14" s="15">
        <v>49</v>
      </c>
      <c r="C14" s="15" t="s">
        <v>291</v>
      </c>
      <c r="D14" s="15">
        <v>4</v>
      </c>
      <c r="E14" s="15" t="s">
        <v>291</v>
      </c>
      <c r="F14" s="15">
        <v>-181</v>
      </c>
      <c r="G14" s="15" t="s">
        <v>291</v>
      </c>
      <c r="H14" s="15" t="s">
        <v>291</v>
      </c>
      <c r="I14" s="15">
        <v>70</v>
      </c>
      <c r="J14" s="15">
        <v>56</v>
      </c>
      <c r="K14" s="15">
        <v>11</v>
      </c>
      <c r="L14" s="15">
        <v>22</v>
      </c>
      <c r="M14" s="15" t="s">
        <v>291</v>
      </c>
      <c r="N14" s="15">
        <v>79</v>
      </c>
      <c r="O14" s="15">
        <v>-12</v>
      </c>
      <c r="P14" s="15">
        <v>172</v>
      </c>
      <c r="Q14" s="15" t="s">
        <v>291</v>
      </c>
      <c r="R14" s="15">
        <v>-8</v>
      </c>
      <c r="S14" s="15">
        <v>1133</v>
      </c>
      <c r="T14" s="15" t="s">
        <v>291</v>
      </c>
      <c r="U14" s="15" t="s">
        <v>291</v>
      </c>
      <c r="V14" s="15" t="s">
        <v>291</v>
      </c>
      <c r="W14" s="15" t="s">
        <v>291</v>
      </c>
      <c r="X14" s="15">
        <v>364</v>
      </c>
      <c r="Y14" s="15" t="s">
        <v>291</v>
      </c>
      <c r="Z14" s="15" t="s">
        <v>291</v>
      </c>
      <c r="AA14" s="15" t="s">
        <v>291</v>
      </c>
      <c r="AB14" s="15" t="s">
        <v>291</v>
      </c>
      <c r="AC14" s="15">
        <v>-25</v>
      </c>
      <c r="AD14" s="15" t="s">
        <v>291</v>
      </c>
      <c r="AE14" s="15" t="s">
        <v>291</v>
      </c>
      <c r="AF14" s="15" t="s">
        <v>291</v>
      </c>
      <c r="AG14" s="15">
        <v>676</v>
      </c>
      <c r="AH14" s="15" t="s">
        <v>291</v>
      </c>
      <c r="AI14" s="15">
        <v>33</v>
      </c>
      <c r="AJ14" s="15" t="s">
        <v>291</v>
      </c>
    </row>
    <row r="15" spans="1:36">
      <c r="A15" s="15" t="s">
        <v>505</v>
      </c>
      <c r="B15" s="15">
        <v>10</v>
      </c>
      <c r="C15" s="15">
        <v>2</v>
      </c>
      <c r="D15" s="15" t="s">
        <v>306</v>
      </c>
      <c r="E15" s="15">
        <v>2</v>
      </c>
      <c r="F15" s="15" t="s">
        <v>291</v>
      </c>
      <c r="G15" s="15">
        <v>-2</v>
      </c>
      <c r="H15" s="15">
        <v>1</v>
      </c>
      <c r="I15" s="15">
        <v>14</v>
      </c>
      <c r="J15" s="15" t="s">
        <v>291</v>
      </c>
      <c r="K15" s="15">
        <v>5</v>
      </c>
      <c r="L15" s="15" t="s">
        <v>291</v>
      </c>
      <c r="M15" s="15" t="s">
        <v>291</v>
      </c>
      <c r="N15" s="15">
        <v>53</v>
      </c>
      <c r="O15" s="15">
        <v>1</v>
      </c>
      <c r="P15" s="15">
        <v>7</v>
      </c>
      <c r="Q15" s="15" t="s">
        <v>291</v>
      </c>
      <c r="R15" s="15">
        <v>1</v>
      </c>
      <c r="S15" s="15">
        <v>-4</v>
      </c>
      <c r="T15" s="15">
        <v>49</v>
      </c>
      <c r="U15" s="15" t="s">
        <v>291</v>
      </c>
      <c r="V15" s="15" t="s">
        <v>306</v>
      </c>
      <c r="W15" s="15">
        <v>0</v>
      </c>
      <c r="X15" s="15">
        <v>84</v>
      </c>
      <c r="Y15" s="15">
        <v>7</v>
      </c>
      <c r="Z15" s="15">
        <v>-3</v>
      </c>
      <c r="AA15" s="15">
        <v>71</v>
      </c>
      <c r="AB15" s="15" t="s">
        <v>291</v>
      </c>
      <c r="AC15" s="15" t="s">
        <v>291</v>
      </c>
      <c r="AD15" s="15" t="s">
        <v>291</v>
      </c>
      <c r="AE15" s="15" t="s">
        <v>291</v>
      </c>
      <c r="AF15" s="15">
        <v>0</v>
      </c>
      <c r="AG15" s="15" t="s">
        <v>291</v>
      </c>
      <c r="AH15" s="15" t="s">
        <v>291</v>
      </c>
      <c r="AI15" s="15" t="s">
        <v>291</v>
      </c>
      <c r="AJ15" s="15" t="s">
        <v>291</v>
      </c>
    </row>
    <row r="16" spans="1:36">
      <c r="A16" s="15" t="s">
        <v>504</v>
      </c>
      <c r="B16" s="15">
        <v>176</v>
      </c>
      <c r="C16" s="15">
        <v>132</v>
      </c>
      <c r="D16" s="15">
        <v>156</v>
      </c>
      <c r="E16" s="15">
        <v>-108</v>
      </c>
      <c r="F16" s="15">
        <v>-197</v>
      </c>
      <c r="G16" s="15">
        <v>304</v>
      </c>
      <c r="H16" s="15">
        <v>30</v>
      </c>
      <c r="I16" s="15">
        <v>169</v>
      </c>
      <c r="J16" s="15">
        <v>554</v>
      </c>
      <c r="K16" s="15">
        <v>629</v>
      </c>
      <c r="L16" s="15">
        <v>3438</v>
      </c>
      <c r="M16" s="15">
        <v>1165</v>
      </c>
      <c r="N16" s="15">
        <v>2950</v>
      </c>
      <c r="O16" s="15">
        <v>2859</v>
      </c>
      <c r="P16" s="15" t="s">
        <v>291</v>
      </c>
      <c r="Q16" s="15">
        <v>1405</v>
      </c>
      <c r="R16" s="15">
        <v>2594</v>
      </c>
      <c r="S16" s="15">
        <v>1124</v>
      </c>
      <c r="T16" s="15">
        <v>1950</v>
      </c>
      <c r="U16" s="15">
        <v>915</v>
      </c>
      <c r="V16" s="15">
        <v>2145</v>
      </c>
      <c r="W16" s="15">
        <v>-1654</v>
      </c>
      <c r="X16" s="15">
        <v>1994</v>
      </c>
      <c r="Y16" s="15">
        <v>-445</v>
      </c>
      <c r="Z16" s="15">
        <v>2739</v>
      </c>
      <c r="AA16" s="15">
        <v>8498</v>
      </c>
      <c r="AB16" s="15">
        <v>507</v>
      </c>
      <c r="AC16" s="15">
        <v>1033</v>
      </c>
      <c r="AD16" s="15">
        <v>-360</v>
      </c>
      <c r="AE16" s="15">
        <v>1531</v>
      </c>
      <c r="AF16" s="15">
        <v>258</v>
      </c>
      <c r="AG16" s="15">
        <v>1453</v>
      </c>
      <c r="AH16" s="15">
        <v>337</v>
      </c>
      <c r="AI16" s="15">
        <v>3276</v>
      </c>
      <c r="AJ16" s="15">
        <v>-126</v>
      </c>
    </row>
    <row r="17" spans="1:36">
      <c r="A17" s="15" t="s">
        <v>503</v>
      </c>
      <c r="B17" s="15">
        <v>528</v>
      </c>
      <c r="C17" s="15">
        <v>329</v>
      </c>
      <c r="D17" s="15">
        <v>135</v>
      </c>
      <c r="E17" s="15">
        <v>194</v>
      </c>
      <c r="F17" s="15">
        <v>-629</v>
      </c>
      <c r="G17" s="15">
        <v>-473</v>
      </c>
      <c r="H17" s="15">
        <v>-1168</v>
      </c>
      <c r="I17" s="15">
        <v>1047</v>
      </c>
      <c r="J17" s="15">
        <v>866</v>
      </c>
      <c r="K17" s="15">
        <v>195</v>
      </c>
      <c r="L17" s="15">
        <v>1504</v>
      </c>
      <c r="M17" s="15">
        <v>1478</v>
      </c>
      <c r="N17" s="15">
        <v>2877</v>
      </c>
      <c r="O17" s="15">
        <v>2539</v>
      </c>
      <c r="P17" s="15">
        <v>479</v>
      </c>
      <c r="Q17" s="15">
        <v>1040</v>
      </c>
      <c r="R17" s="15">
        <v>2414</v>
      </c>
      <c r="S17" s="15">
        <v>1433</v>
      </c>
      <c r="T17" s="15">
        <v>3256</v>
      </c>
      <c r="U17" s="15">
        <v>7829</v>
      </c>
      <c r="V17" s="15">
        <v>-779</v>
      </c>
      <c r="W17" s="15">
        <v>4212</v>
      </c>
      <c r="X17" s="15">
        <v>6947</v>
      </c>
      <c r="Y17" s="15">
        <v>3037</v>
      </c>
      <c r="Z17" s="15">
        <v>1059</v>
      </c>
      <c r="AA17" s="15">
        <v>3638</v>
      </c>
      <c r="AB17" s="15">
        <v>-508</v>
      </c>
      <c r="AC17" s="15">
        <v>3382</v>
      </c>
      <c r="AD17" s="15">
        <v>3691</v>
      </c>
      <c r="AE17" s="15">
        <v>6962</v>
      </c>
      <c r="AF17" s="15">
        <v>335</v>
      </c>
      <c r="AG17" s="15">
        <v>-322</v>
      </c>
      <c r="AH17" s="15">
        <v>-2982</v>
      </c>
      <c r="AI17" s="15">
        <v>792</v>
      </c>
      <c r="AJ17" s="15">
        <v>1073</v>
      </c>
    </row>
    <row r="18" spans="1:36">
      <c r="A18" s="15" t="s">
        <v>502</v>
      </c>
      <c r="B18" s="15">
        <v>-15</v>
      </c>
      <c r="C18" s="15">
        <v>-8</v>
      </c>
      <c r="D18" s="15">
        <v>-10</v>
      </c>
      <c r="E18" s="15" t="s">
        <v>291</v>
      </c>
      <c r="F18" s="15" t="s">
        <v>291</v>
      </c>
      <c r="G18" s="15" t="s">
        <v>291</v>
      </c>
      <c r="H18" s="15">
        <v>-4</v>
      </c>
      <c r="I18" s="15" t="s">
        <v>291</v>
      </c>
      <c r="J18" s="15">
        <v>-7</v>
      </c>
      <c r="K18" s="15">
        <v>22</v>
      </c>
      <c r="L18" s="15" t="s">
        <v>291</v>
      </c>
      <c r="M18" s="15">
        <v>31</v>
      </c>
      <c r="N18" s="15">
        <v>39</v>
      </c>
      <c r="O18" s="15">
        <v>11</v>
      </c>
      <c r="P18" s="15">
        <v>10</v>
      </c>
      <c r="Q18" s="15">
        <v>16</v>
      </c>
      <c r="R18" s="15">
        <v>12</v>
      </c>
      <c r="S18" s="15">
        <v>13</v>
      </c>
      <c r="T18" s="15" t="s">
        <v>291</v>
      </c>
      <c r="U18" s="15" t="s">
        <v>291</v>
      </c>
      <c r="V18" s="15">
        <v>38</v>
      </c>
      <c r="W18" s="15">
        <v>18</v>
      </c>
      <c r="X18" s="15" t="s">
        <v>291</v>
      </c>
      <c r="Y18" s="15">
        <v>8</v>
      </c>
      <c r="Z18" s="15" t="s">
        <v>291</v>
      </c>
      <c r="AA18" s="15" t="s">
        <v>291</v>
      </c>
      <c r="AB18" s="15">
        <v>4</v>
      </c>
      <c r="AC18" s="15" t="s">
        <v>291</v>
      </c>
      <c r="AD18" s="15" t="s">
        <v>291</v>
      </c>
      <c r="AE18" s="15">
        <v>-8</v>
      </c>
      <c r="AF18" s="15" t="s">
        <v>291</v>
      </c>
      <c r="AG18" s="15">
        <v>0</v>
      </c>
      <c r="AH18" s="15" t="s">
        <v>291</v>
      </c>
      <c r="AI18" s="15" t="s">
        <v>291</v>
      </c>
      <c r="AJ18" s="15">
        <v>0</v>
      </c>
    </row>
    <row r="19" spans="1:36">
      <c r="A19" s="15" t="s">
        <v>501</v>
      </c>
      <c r="B19" s="15" t="s">
        <v>273</v>
      </c>
      <c r="C19" s="15" t="s">
        <v>273</v>
      </c>
      <c r="D19" s="15" t="s">
        <v>273</v>
      </c>
      <c r="E19" s="15" t="s">
        <v>273</v>
      </c>
      <c r="F19" s="15" t="s">
        <v>273</v>
      </c>
      <c r="G19" s="15" t="s">
        <v>273</v>
      </c>
      <c r="H19" s="15" t="s">
        <v>273</v>
      </c>
      <c r="I19" s="15" t="s">
        <v>273</v>
      </c>
      <c r="J19" s="15" t="s">
        <v>273</v>
      </c>
      <c r="K19" s="15" t="s">
        <v>273</v>
      </c>
      <c r="L19" s="15" t="s">
        <v>273</v>
      </c>
      <c r="M19" s="15" t="s">
        <v>273</v>
      </c>
      <c r="N19" s="15" t="s">
        <v>273</v>
      </c>
      <c r="O19" s="15" t="s">
        <v>273</v>
      </c>
      <c r="P19" s="15" t="s">
        <v>273</v>
      </c>
      <c r="Q19" s="15" t="s">
        <v>273</v>
      </c>
      <c r="R19" s="15" t="s">
        <v>273</v>
      </c>
      <c r="S19" s="15">
        <v>-15</v>
      </c>
      <c r="T19" s="15" t="s">
        <v>291</v>
      </c>
      <c r="U19" s="15">
        <v>16</v>
      </c>
      <c r="V19" s="15">
        <v>5</v>
      </c>
      <c r="W19" s="15">
        <v>-2</v>
      </c>
      <c r="X19" s="15">
        <v>20</v>
      </c>
      <c r="Y19" s="15" t="s">
        <v>291</v>
      </c>
      <c r="Z19" s="15" t="s">
        <v>291</v>
      </c>
      <c r="AA19" s="15">
        <v>2</v>
      </c>
      <c r="AB19" s="15">
        <v>47</v>
      </c>
      <c r="AC19" s="15">
        <v>166</v>
      </c>
      <c r="AD19" s="15">
        <v>30</v>
      </c>
      <c r="AE19" s="15" t="s">
        <v>291</v>
      </c>
      <c r="AF19" s="15" t="s">
        <v>291</v>
      </c>
      <c r="AG19" s="15" t="s">
        <v>291</v>
      </c>
      <c r="AH19" s="15">
        <v>116</v>
      </c>
      <c r="AI19" s="15" t="s">
        <v>291</v>
      </c>
      <c r="AJ19" s="15" t="s">
        <v>291</v>
      </c>
    </row>
    <row r="20" spans="1:36">
      <c r="A20" s="15" t="s">
        <v>500</v>
      </c>
      <c r="B20" s="15">
        <v>90</v>
      </c>
      <c r="C20" s="15">
        <v>93</v>
      </c>
      <c r="D20" s="15">
        <v>90</v>
      </c>
      <c r="E20" s="15">
        <v>39</v>
      </c>
      <c r="F20" s="15">
        <v>8</v>
      </c>
      <c r="G20" s="306">
        <f>(F20+H20)/2</f>
        <v>-5</v>
      </c>
      <c r="H20" s="15">
        <v>-18</v>
      </c>
      <c r="I20" s="15">
        <v>209</v>
      </c>
      <c r="J20" s="15">
        <v>-184</v>
      </c>
      <c r="K20" s="15">
        <v>85</v>
      </c>
      <c r="L20" s="15">
        <v>100</v>
      </c>
      <c r="M20" s="15">
        <v>326</v>
      </c>
      <c r="N20" s="15">
        <v>265</v>
      </c>
      <c r="O20" s="15">
        <v>249</v>
      </c>
      <c r="P20" s="15">
        <v>328</v>
      </c>
      <c r="Q20" s="15">
        <v>877</v>
      </c>
      <c r="R20" s="15">
        <v>1445</v>
      </c>
      <c r="S20" s="15">
        <v>1433</v>
      </c>
      <c r="T20" s="15">
        <v>825</v>
      </c>
      <c r="U20" s="15">
        <v>1998</v>
      </c>
      <c r="V20" s="15">
        <v>3558</v>
      </c>
      <c r="W20" s="15">
        <v>1359</v>
      </c>
      <c r="X20" s="15">
        <v>542</v>
      </c>
      <c r="Y20" s="15">
        <v>771</v>
      </c>
      <c r="Z20" s="15">
        <v>468</v>
      </c>
      <c r="AA20" s="15">
        <v>3948</v>
      </c>
      <c r="AB20" s="15">
        <v>860</v>
      </c>
      <c r="AC20" s="15">
        <v>2584</v>
      </c>
      <c r="AD20" s="15">
        <v>-567</v>
      </c>
      <c r="AE20" s="15">
        <v>980</v>
      </c>
      <c r="AF20" s="15">
        <v>907</v>
      </c>
      <c r="AG20" s="15">
        <v>378</v>
      </c>
      <c r="AH20" s="15">
        <v>245</v>
      </c>
      <c r="AI20" s="15">
        <v>2138</v>
      </c>
      <c r="AJ20" s="15">
        <v>555</v>
      </c>
    </row>
    <row r="21" spans="1:36">
      <c r="A21" s="15" t="s">
        <v>499</v>
      </c>
      <c r="B21" s="15">
        <v>132</v>
      </c>
      <c r="C21" s="15">
        <v>182</v>
      </c>
      <c r="D21" s="15">
        <v>193</v>
      </c>
      <c r="E21" s="15">
        <v>65</v>
      </c>
      <c r="F21" s="15">
        <v>-1318</v>
      </c>
      <c r="G21" s="15">
        <v>103</v>
      </c>
      <c r="H21" s="15" t="s">
        <v>291</v>
      </c>
      <c r="I21" s="15">
        <v>1119</v>
      </c>
      <c r="J21" s="15">
        <v>-147</v>
      </c>
      <c r="K21" s="15">
        <v>723</v>
      </c>
      <c r="L21" s="15">
        <v>450</v>
      </c>
      <c r="M21" s="15">
        <v>656</v>
      </c>
      <c r="N21" s="15">
        <v>1231</v>
      </c>
      <c r="O21" s="15">
        <v>940</v>
      </c>
      <c r="P21" s="15">
        <v>622</v>
      </c>
      <c r="Q21" s="15">
        <v>618</v>
      </c>
      <c r="R21" s="15">
        <v>-158</v>
      </c>
      <c r="S21" s="15">
        <v>610</v>
      </c>
      <c r="T21" s="15">
        <v>4814</v>
      </c>
      <c r="U21" s="15">
        <v>249</v>
      </c>
      <c r="V21" s="15">
        <v>35</v>
      </c>
      <c r="W21" s="15">
        <v>565</v>
      </c>
      <c r="X21" s="15">
        <v>1774</v>
      </c>
      <c r="Y21" s="15">
        <v>833</v>
      </c>
      <c r="Z21" s="15">
        <v>480</v>
      </c>
      <c r="AA21" s="15">
        <v>489</v>
      </c>
      <c r="AB21" s="15">
        <v>1942</v>
      </c>
      <c r="AC21" s="15">
        <v>2182</v>
      </c>
      <c r="AD21" s="15">
        <v>109</v>
      </c>
      <c r="AE21" s="15">
        <v>2307</v>
      </c>
      <c r="AF21" s="15">
        <v>-30</v>
      </c>
      <c r="AG21" s="15">
        <v>-355</v>
      </c>
      <c r="AH21" s="15">
        <v>901</v>
      </c>
      <c r="AI21" s="15">
        <v>23</v>
      </c>
      <c r="AJ21" s="15">
        <v>-333</v>
      </c>
    </row>
    <row r="22" spans="1:36">
      <c r="A22" s="15" t="s">
        <v>498</v>
      </c>
      <c r="B22" s="15">
        <v>23</v>
      </c>
      <c r="C22" s="306">
        <f>(B22+D22)/2</f>
        <v>20.5</v>
      </c>
      <c r="D22" s="15">
        <v>18</v>
      </c>
      <c r="E22" s="15">
        <v>24</v>
      </c>
      <c r="F22" s="15">
        <v>21</v>
      </c>
      <c r="G22" s="15">
        <v>70</v>
      </c>
      <c r="H22" s="15">
        <v>-52</v>
      </c>
      <c r="I22" s="15">
        <v>-9</v>
      </c>
      <c r="J22" s="15">
        <v>-188</v>
      </c>
      <c r="K22" s="15">
        <v>-30</v>
      </c>
      <c r="L22" s="15">
        <v>114</v>
      </c>
      <c r="M22" s="306">
        <f>(L22+N22)/2</f>
        <v>73.5</v>
      </c>
      <c r="N22" s="15">
        <v>33</v>
      </c>
      <c r="O22" s="15">
        <v>-150</v>
      </c>
      <c r="P22" s="15">
        <v>-42</v>
      </c>
      <c r="Q22" s="15">
        <v>142</v>
      </c>
      <c r="R22" s="15">
        <v>231</v>
      </c>
      <c r="S22" s="15">
        <v>2278</v>
      </c>
      <c r="T22" s="306">
        <f>(S22+U22)/2</f>
        <v>1549</v>
      </c>
      <c r="U22" s="15">
        <v>820</v>
      </c>
      <c r="V22" s="15">
        <v>1073</v>
      </c>
      <c r="W22" s="15">
        <v>83</v>
      </c>
      <c r="X22" s="15">
        <v>78</v>
      </c>
      <c r="Y22" s="15">
        <v>3986</v>
      </c>
      <c r="Z22" s="15">
        <v>3393</v>
      </c>
      <c r="AA22" s="15">
        <v>14143</v>
      </c>
      <c r="AB22" s="15">
        <v>10704</v>
      </c>
      <c r="AC22" s="15">
        <v>5314</v>
      </c>
      <c r="AD22" s="15">
        <v>18996</v>
      </c>
      <c r="AE22" s="15">
        <v>17243</v>
      </c>
      <c r="AF22" s="15">
        <v>5988</v>
      </c>
      <c r="AG22" s="15">
        <v>1323</v>
      </c>
      <c r="AH22" s="15">
        <v>18681</v>
      </c>
      <c r="AI22" s="306">
        <v>0</v>
      </c>
      <c r="AJ22" s="15">
        <v>-5007</v>
      </c>
    </row>
    <row r="23" spans="1:36">
      <c r="A23" s="15" t="s">
        <v>497</v>
      </c>
      <c r="B23" s="15">
        <v>535</v>
      </c>
      <c r="C23" s="15">
        <v>252</v>
      </c>
      <c r="D23" s="15">
        <v>129</v>
      </c>
      <c r="E23" s="15">
        <v>-35</v>
      </c>
      <c r="F23" s="306">
        <v>0</v>
      </c>
      <c r="G23" s="15">
        <v>-5</v>
      </c>
      <c r="H23" s="15">
        <v>-354</v>
      </c>
      <c r="I23" s="15">
        <v>556</v>
      </c>
      <c r="J23" s="15">
        <v>-314</v>
      </c>
      <c r="K23" s="15">
        <v>662</v>
      </c>
      <c r="L23" s="306">
        <f>(K23+M23)/2</f>
        <v>827</v>
      </c>
      <c r="M23" s="15">
        <v>992</v>
      </c>
      <c r="N23" s="15">
        <v>3838</v>
      </c>
      <c r="O23" s="15">
        <v>1238</v>
      </c>
      <c r="P23" s="15">
        <v>1428</v>
      </c>
      <c r="Q23" s="15">
        <v>2939</v>
      </c>
      <c r="R23" s="15">
        <v>4776</v>
      </c>
      <c r="S23" s="15">
        <v>1262</v>
      </c>
      <c r="T23" s="15">
        <v>1329</v>
      </c>
      <c r="U23" s="15">
        <v>2000</v>
      </c>
      <c r="V23" s="15">
        <v>2855</v>
      </c>
      <c r="W23" s="15">
        <v>675</v>
      </c>
      <c r="X23" s="15">
        <v>8987</v>
      </c>
      <c r="Y23" s="15">
        <v>276</v>
      </c>
      <c r="Z23" s="15">
        <v>16034</v>
      </c>
      <c r="AA23" s="15">
        <v>67724</v>
      </c>
      <c r="AB23" s="15">
        <v>9237</v>
      </c>
      <c r="AC23" s="15">
        <v>1983</v>
      </c>
      <c r="AD23" s="15">
        <v>5784</v>
      </c>
      <c r="AE23" s="15">
        <v>9688</v>
      </c>
      <c r="AF23" s="15">
        <v>2265</v>
      </c>
      <c r="AG23" s="15">
        <v>-2909</v>
      </c>
      <c r="AH23" s="15">
        <v>-26842</v>
      </c>
      <c r="AI23" s="15">
        <v>-7401</v>
      </c>
      <c r="AJ23" s="15">
        <v>359</v>
      </c>
    </row>
    <row r="24" spans="1:36">
      <c r="A24" s="15" t="s">
        <v>496</v>
      </c>
      <c r="B24" s="15">
        <v>-28</v>
      </c>
      <c r="C24" s="15">
        <v>77</v>
      </c>
      <c r="D24" s="15">
        <v>35</v>
      </c>
      <c r="E24" s="15">
        <v>213</v>
      </c>
      <c r="F24" s="15">
        <v>-132</v>
      </c>
      <c r="G24" s="15">
        <v>154</v>
      </c>
      <c r="H24" s="15" t="s">
        <v>291</v>
      </c>
      <c r="I24" s="15" t="s">
        <v>291</v>
      </c>
      <c r="J24" s="15" t="s">
        <v>291</v>
      </c>
      <c r="K24" s="15">
        <v>92</v>
      </c>
      <c r="L24" s="15">
        <v>206</v>
      </c>
      <c r="M24" s="15" t="s">
        <v>291</v>
      </c>
      <c r="N24" s="15">
        <v>-392</v>
      </c>
      <c r="O24" s="15">
        <v>39</v>
      </c>
      <c r="P24" s="15">
        <v>73</v>
      </c>
      <c r="Q24" s="15" t="s">
        <v>291</v>
      </c>
      <c r="R24" s="15" t="s">
        <v>291</v>
      </c>
      <c r="S24" s="15">
        <v>161</v>
      </c>
      <c r="T24" s="15">
        <v>-3</v>
      </c>
      <c r="U24" s="15" t="s">
        <v>291</v>
      </c>
      <c r="V24" s="15" t="s">
        <v>291</v>
      </c>
      <c r="W24" s="15" t="s">
        <v>291</v>
      </c>
      <c r="X24" s="15">
        <v>733</v>
      </c>
      <c r="Y24" s="15" t="s">
        <v>291</v>
      </c>
      <c r="Z24" s="15">
        <v>69</v>
      </c>
      <c r="AA24" s="15" t="s">
        <v>291</v>
      </c>
      <c r="AB24" s="15" t="s">
        <v>291</v>
      </c>
      <c r="AC24" s="15">
        <v>-856</v>
      </c>
      <c r="AD24" s="15" t="s">
        <v>291</v>
      </c>
      <c r="AE24" s="15">
        <v>971</v>
      </c>
      <c r="AF24" s="15" t="s">
        <v>291</v>
      </c>
      <c r="AG24" s="15">
        <v>158</v>
      </c>
      <c r="AH24" s="15">
        <v>1210</v>
      </c>
      <c r="AI24" s="15">
        <v>-857</v>
      </c>
      <c r="AJ24" s="15" t="s">
        <v>291</v>
      </c>
    </row>
    <row r="25" spans="1:36">
      <c r="A25" s="15" t="s">
        <v>495</v>
      </c>
      <c r="B25" s="15" t="s">
        <v>273</v>
      </c>
      <c r="C25" s="15" t="s">
        <v>273</v>
      </c>
      <c r="D25" s="15" t="s">
        <v>273</v>
      </c>
      <c r="E25" s="15" t="s">
        <v>273</v>
      </c>
      <c r="F25" s="15" t="s">
        <v>273</v>
      </c>
      <c r="G25" s="15" t="s">
        <v>273</v>
      </c>
      <c r="H25" s="15" t="s">
        <v>273</v>
      </c>
      <c r="I25" s="15" t="s">
        <v>273</v>
      </c>
      <c r="J25" s="15" t="s">
        <v>273</v>
      </c>
      <c r="K25" s="15" t="s">
        <v>273</v>
      </c>
      <c r="L25" s="15" t="s">
        <v>273</v>
      </c>
      <c r="M25" s="15" t="s">
        <v>273</v>
      </c>
      <c r="N25" s="15" t="s">
        <v>273</v>
      </c>
      <c r="O25" s="15" t="s">
        <v>273</v>
      </c>
      <c r="P25" s="15" t="s">
        <v>273</v>
      </c>
      <c r="Q25" s="15" t="s">
        <v>273</v>
      </c>
      <c r="R25" s="15" t="s">
        <v>273</v>
      </c>
      <c r="S25" s="15">
        <v>583</v>
      </c>
      <c r="T25" s="15" t="s">
        <v>291</v>
      </c>
      <c r="U25" s="15">
        <v>-18</v>
      </c>
      <c r="V25" s="15">
        <v>97</v>
      </c>
      <c r="W25" s="15">
        <v>11</v>
      </c>
      <c r="X25" s="15">
        <v>421</v>
      </c>
      <c r="Y25" s="15">
        <v>-30</v>
      </c>
      <c r="Z25" s="15">
        <v>114</v>
      </c>
      <c r="AA25" s="15" t="s">
        <v>291</v>
      </c>
      <c r="AB25" s="15">
        <v>-1935</v>
      </c>
      <c r="AC25" s="15">
        <v>745</v>
      </c>
      <c r="AD25" s="15">
        <v>-149</v>
      </c>
      <c r="AE25" s="15" t="s">
        <v>291</v>
      </c>
      <c r="AF25" s="15" t="s">
        <v>291</v>
      </c>
      <c r="AG25" s="15">
        <v>401</v>
      </c>
      <c r="AH25" s="15">
        <v>-277</v>
      </c>
      <c r="AI25" s="15" t="s">
        <v>291</v>
      </c>
      <c r="AJ25" s="15" t="s">
        <v>291</v>
      </c>
    </row>
    <row r="26" spans="1:36">
      <c r="A26" s="15" t="s">
        <v>494</v>
      </c>
      <c r="B26" s="15">
        <v>13</v>
      </c>
      <c r="C26" s="15">
        <v>24</v>
      </c>
      <c r="D26" s="15">
        <v>17</v>
      </c>
      <c r="E26" s="15">
        <v>24</v>
      </c>
      <c r="F26" s="15" t="s">
        <v>291</v>
      </c>
      <c r="G26" s="15">
        <v>81</v>
      </c>
      <c r="H26" s="15">
        <v>-53</v>
      </c>
      <c r="I26" s="15" t="s">
        <v>291</v>
      </c>
      <c r="J26" s="15">
        <v>-1</v>
      </c>
      <c r="K26" s="15">
        <v>57</v>
      </c>
      <c r="L26" s="15">
        <v>30</v>
      </c>
      <c r="M26" s="15">
        <v>2</v>
      </c>
      <c r="N26" s="15">
        <v>89</v>
      </c>
      <c r="O26" s="15">
        <v>5</v>
      </c>
      <c r="P26" s="15" t="s">
        <v>291</v>
      </c>
      <c r="Q26" s="15">
        <v>61</v>
      </c>
      <c r="R26" s="15">
        <v>-1</v>
      </c>
      <c r="S26" s="15">
        <v>62</v>
      </c>
      <c r="T26" s="15">
        <v>-3</v>
      </c>
      <c r="U26" s="15">
        <v>4</v>
      </c>
      <c r="V26" s="15">
        <v>3</v>
      </c>
      <c r="W26" s="15" t="s">
        <v>291</v>
      </c>
      <c r="X26" s="15" t="s">
        <v>291</v>
      </c>
      <c r="Y26" s="15" t="s">
        <v>291</v>
      </c>
      <c r="Z26" s="15" t="s">
        <v>291</v>
      </c>
      <c r="AA26" s="15">
        <v>-2</v>
      </c>
      <c r="AB26" s="15" t="s">
        <v>291</v>
      </c>
      <c r="AC26" s="15">
        <v>-67</v>
      </c>
      <c r="AD26" s="15">
        <v>-3</v>
      </c>
      <c r="AE26" s="15" t="s">
        <v>291</v>
      </c>
      <c r="AF26" s="15">
        <v>0</v>
      </c>
      <c r="AG26" s="15">
        <v>0</v>
      </c>
      <c r="AH26" s="15" t="s">
        <v>291</v>
      </c>
      <c r="AI26" s="15" t="s">
        <v>291</v>
      </c>
      <c r="AJ26" s="15" t="s">
        <v>291</v>
      </c>
    </row>
    <row r="27" spans="1:36">
      <c r="A27" s="15" t="s">
        <v>493</v>
      </c>
      <c r="B27" s="15" t="s">
        <v>273</v>
      </c>
      <c r="C27" s="15" t="s">
        <v>273</v>
      </c>
      <c r="D27" s="15" t="s">
        <v>273</v>
      </c>
      <c r="E27" s="15" t="s">
        <v>273</v>
      </c>
      <c r="F27" s="15" t="s">
        <v>273</v>
      </c>
      <c r="G27" s="15" t="s">
        <v>273</v>
      </c>
      <c r="H27" s="15" t="s">
        <v>273</v>
      </c>
      <c r="I27" s="15" t="s">
        <v>273</v>
      </c>
      <c r="J27" s="15" t="s">
        <v>273</v>
      </c>
      <c r="K27" s="15" t="s">
        <v>273</v>
      </c>
      <c r="L27" s="15" t="s">
        <v>273</v>
      </c>
      <c r="M27" s="15" t="s">
        <v>273</v>
      </c>
      <c r="N27" s="15" t="s">
        <v>273</v>
      </c>
      <c r="O27" s="15" t="s">
        <v>273</v>
      </c>
      <c r="P27" s="15" t="s">
        <v>273</v>
      </c>
      <c r="Q27" s="15" t="s">
        <v>273</v>
      </c>
      <c r="R27" s="15" t="s">
        <v>273</v>
      </c>
      <c r="S27" s="15">
        <v>406</v>
      </c>
      <c r="T27" s="15">
        <v>-28</v>
      </c>
      <c r="U27" s="15" t="s">
        <v>291</v>
      </c>
      <c r="V27" s="15">
        <v>34</v>
      </c>
      <c r="W27" s="15" t="s">
        <v>291</v>
      </c>
      <c r="X27" s="15" t="s">
        <v>291</v>
      </c>
      <c r="Y27" s="15">
        <v>469</v>
      </c>
      <c r="Z27" s="15" t="s">
        <v>291</v>
      </c>
      <c r="AA27" s="15">
        <v>827</v>
      </c>
      <c r="AB27" s="15">
        <v>1417</v>
      </c>
      <c r="AC27" s="15">
        <v>234</v>
      </c>
      <c r="AD27" s="15" t="s">
        <v>291</v>
      </c>
      <c r="AE27" s="15" t="s">
        <v>291</v>
      </c>
      <c r="AF27" s="15">
        <v>235</v>
      </c>
      <c r="AG27" s="15">
        <v>-891</v>
      </c>
      <c r="AH27" s="15">
        <v>89</v>
      </c>
      <c r="AI27" s="15" t="s">
        <v>291</v>
      </c>
      <c r="AJ27" s="15" t="s">
        <v>291</v>
      </c>
    </row>
    <row r="28" spans="1:36">
      <c r="A28" s="15" t="s">
        <v>492</v>
      </c>
      <c r="B28" s="15">
        <v>313</v>
      </c>
      <c r="C28" s="15">
        <v>108</v>
      </c>
      <c r="D28" s="15">
        <v>78</v>
      </c>
      <c r="E28" s="15" t="s">
        <v>291</v>
      </c>
      <c r="F28" s="15">
        <v>-22</v>
      </c>
      <c r="G28" s="15">
        <v>-77</v>
      </c>
      <c r="H28" s="15">
        <v>269</v>
      </c>
      <c r="I28" s="15">
        <v>220</v>
      </c>
      <c r="J28" s="15">
        <v>77</v>
      </c>
      <c r="K28" s="15">
        <v>-417</v>
      </c>
      <c r="L28" s="15">
        <v>496</v>
      </c>
      <c r="M28" s="15">
        <v>252</v>
      </c>
      <c r="N28" s="15">
        <v>714</v>
      </c>
      <c r="O28" s="15" t="s">
        <v>291</v>
      </c>
      <c r="P28" s="15">
        <v>179</v>
      </c>
      <c r="Q28" s="15">
        <v>53</v>
      </c>
      <c r="R28" s="15">
        <v>644</v>
      </c>
      <c r="S28" s="15">
        <v>5158</v>
      </c>
      <c r="T28" s="15">
        <v>690</v>
      </c>
      <c r="U28" s="15">
        <v>1144</v>
      </c>
      <c r="V28" s="15">
        <v>450</v>
      </c>
      <c r="W28" s="15">
        <v>367</v>
      </c>
      <c r="X28" s="15">
        <v>1408</v>
      </c>
      <c r="Y28" s="15">
        <v>3446</v>
      </c>
      <c r="Z28" s="15">
        <v>103</v>
      </c>
      <c r="AA28" s="15">
        <v>2712</v>
      </c>
      <c r="AB28" s="15">
        <v>61</v>
      </c>
      <c r="AC28" s="15">
        <v>44</v>
      </c>
      <c r="AD28" s="15">
        <v>345</v>
      </c>
      <c r="AE28" s="15" t="s">
        <v>291</v>
      </c>
      <c r="AF28" s="15" t="s">
        <v>291</v>
      </c>
      <c r="AG28" s="15">
        <v>493</v>
      </c>
      <c r="AH28" s="15">
        <v>1334</v>
      </c>
      <c r="AI28" s="15">
        <v>-146</v>
      </c>
      <c r="AJ28" s="15">
        <v>-640</v>
      </c>
    </row>
    <row r="29" spans="1:36">
      <c r="A29" s="15" t="s">
        <v>491</v>
      </c>
      <c r="B29" s="15">
        <v>15</v>
      </c>
      <c r="C29" s="15">
        <v>-43</v>
      </c>
      <c r="D29" s="15">
        <v>-23</v>
      </c>
      <c r="E29" s="15" t="s">
        <v>291</v>
      </c>
      <c r="F29" s="15">
        <v>-37</v>
      </c>
      <c r="G29" s="15">
        <v>-114</v>
      </c>
      <c r="H29" s="15">
        <v>-62</v>
      </c>
      <c r="I29" s="15">
        <v>-157</v>
      </c>
      <c r="J29" s="15">
        <v>-55</v>
      </c>
      <c r="K29" s="15">
        <v>196</v>
      </c>
      <c r="L29" s="15">
        <v>32</v>
      </c>
      <c r="M29" s="15" t="s">
        <v>291</v>
      </c>
      <c r="N29" s="15">
        <v>122</v>
      </c>
      <c r="O29" s="15" t="s">
        <v>291</v>
      </c>
      <c r="P29" s="15">
        <v>92</v>
      </c>
      <c r="Q29" s="15">
        <v>198</v>
      </c>
      <c r="R29" s="15" t="s">
        <v>291</v>
      </c>
      <c r="S29" s="15">
        <v>2841</v>
      </c>
      <c r="T29" s="15">
        <v>1967</v>
      </c>
      <c r="U29" s="15">
        <v>1731</v>
      </c>
      <c r="V29" s="15">
        <v>1003</v>
      </c>
      <c r="W29" s="15">
        <v>460</v>
      </c>
      <c r="X29" s="15">
        <v>347</v>
      </c>
      <c r="Y29" s="15">
        <v>913</v>
      </c>
      <c r="Z29" s="15" t="s">
        <v>291</v>
      </c>
      <c r="AA29" s="15" t="s">
        <v>291</v>
      </c>
      <c r="AB29" s="15">
        <v>5400</v>
      </c>
      <c r="AC29" s="15">
        <v>445</v>
      </c>
      <c r="AD29" s="15" t="s">
        <v>291</v>
      </c>
      <c r="AE29" s="15" t="s">
        <v>291</v>
      </c>
      <c r="AF29" s="15" t="s">
        <v>291</v>
      </c>
      <c r="AG29" s="15" t="s">
        <v>291</v>
      </c>
      <c r="AH29" s="15">
        <v>-1021</v>
      </c>
      <c r="AI29" s="15">
        <v>105</v>
      </c>
      <c r="AJ29" s="15" t="s">
        <v>291</v>
      </c>
    </row>
    <row r="30" spans="1:36">
      <c r="A30" s="15" t="s">
        <v>490</v>
      </c>
      <c r="B30" s="15">
        <v>166</v>
      </c>
      <c r="C30" s="15">
        <v>463</v>
      </c>
      <c r="D30" s="15">
        <v>-140</v>
      </c>
      <c r="E30" s="15">
        <v>-93</v>
      </c>
      <c r="F30" s="15">
        <v>-281</v>
      </c>
      <c r="G30" s="15">
        <v>-361</v>
      </c>
      <c r="H30" s="15">
        <v>311</v>
      </c>
      <c r="I30" s="15">
        <v>98</v>
      </c>
      <c r="J30" s="15">
        <v>2999</v>
      </c>
      <c r="K30" s="15">
        <v>131</v>
      </c>
      <c r="L30" s="15">
        <v>78</v>
      </c>
      <c r="M30" s="15">
        <v>249</v>
      </c>
      <c r="N30" s="306">
        <f>(M30+O30)/2</f>
        <v>453</v>
      </c>
      <c r="O30" s="15">
        <v>657</v>
      </c>
      <c r="P30" s="15">
        <v>402</v>
      </c>
      <c r="Q30" s="15">
        <v>835</v>
      </c>
      <c r="R30" s="15">
        <v>1186</v>
      </c>
      <c r="S30" s="15">
        <v>-3206</v>
      </c>
      <c r="T30" s="15">
        <v>5279</v>
      </c>
      <c r="U30" s="15">
        <v>1434</v>
      </c>
      <c r="V30" s="15">
        <v>1261</v>
      </c>
      <c r="W30" s="306">
        <f>(V30+X30)/2</f>
        <v>1407</v>
      </c>
      <c r="X30" s="15">
        <v>1553</v>
      </c>
      <c r="Y30" s="15">
        <v>970</v>
      </c>
      <c r="Z30" s="15">
        <v>1532</v>
      </c>
      <c r="AA30" s="15">
        <v>-307</v>
      </c>
      <c r="AB30" s="15">
        <v>6083</v>
      </c>
      <c r="AC30" s="15">
        <v>4382</v>
      </c>
      <c r="AD30" s="306">
        <f>(AC30+AE30)/2</f>
        <v>4670.5</v>
      </c>
      <c r="AE30" s="15">
        <v>4959</v>
      </c>
      <c r="AF30" s="15">
        <v>191</v>
      </c>
      <c r="AG30" s="15">
        <v>-800</v>
      </c>
      <c r="AH30" s="15">
        <v>850</v>
      </c>
      <c r="AI30" s="15">
        <v>-440</v>
      </c>
      <c r="AJ30" s="15">
        <v>461</v>
      </c>
    </row>
    <row r="31" spans="1:36">
      <c r="A31" s="15" t="s">
        <v>489</v>
      </c>
      <c r="B31" s="15">
        <v>11</v>
      </c>
      <c r="C31" s="15" t="s">
        <v>306</v>
      </c>
      <c r="D31" s="15" t="s">
        <v>291</v>
      </c>
      <c r="E31" s="15">
        <v>8</v>
      </c>
      <c r="F31" s="15">
        <v>14</v>
      </c>
      <c r="G31" s="15">
        <v>-9</v>
      </c>
      <c r="H31" s="15">
        <v>24</v>
      </c>
      <c r="I31" s="15">
        <v>60</v>
      </c>
      <c r="J31" s="15">
        <v>14</v>
      </c>
      <c r="K31" s="15">
        <v>95</v>
      </c>
      <c r="L31" s="15">
        <v>14</v>
      </c>
      <c r="M31" s="15" t="s">
        <v>291</v>
      </c>
      <c r="N31" s="15">
        <v>-38</v>
      </c>
      <c r="O31" s="15">
        <v>62</v>
      </c>
      <c r="P31" s="15">
        <v>39</v>
      </c>
      <c r="Q31" s="15">
        <v>76</v>
      </c>
      <c r="R31" s="15">
        <v>37</v>
      </c>
      <c r="S31" s="15">
        <v>258</v>
      </c>
      <c r="T31" s="15">
        <v>28</v>
      </c>
      <c r="U31" s="15" t="s">
        <v>291</v>
      </c>
      <c r="V31" s="15" t="s">
        <v>291</v>
      </c>
      <c r="W31" s="15">
        <v>7</v>
      </c>
      <c r="X31" s="15">
        <v>98</v>
      </c>
      <c r="Y31" s="15" t="s">
        <v>291</v>
      </c>
      <c r="Z31" s="15">
        <v>162</v>
      </c>
      <c r="AA31" s="15" t="s">
        <v>291</v>
      </c>
      <c r="AB31" s="15">
        <v>-26</v>
      </c>
      <c r="AC31" s="15">
        <v>196</v>
      </c>
      <c r="AD31" s="15" t="s">
        <v>291</v>
      </c>
      <c r="AE31" s="15" t="s">
        <v>291</v>
      </c>
      <c r="AF31" s="15" t="s">
        <v>291</v>
      </c>
      <c r="AG31" s="15" t="s">
        <v>291</v>
      </c>
      <c r="AH31" s="15" t="s">
        <v>291</v>
      </c>
      <c r="AI31" s="15" t="s">
        <v>291</v>
      </c>
      <c r="AJ31" s="15">
        <v>0</v>
      </c>
    </row>
    <row r="32" spans="1:36">
      <c r="A32" s="15" t="s">
        <v>488</v>
      </c>
      <c r="B32" s="15">
        <v>1419</v>
      </c>
      <c r="C32" s="15">
        <v>807</v>
      </c>
      <c r="D32" s="15">
        <v>675</v>
      </c>
      <c r="E32" s="15">
        <v>1225</v>
      </c>
      <c r="F32" s="15">
        <v>1182</v>
      </c>
      <c r="G32" s="15">
        <v>2356</v>
      </c>
      <c r="H32" s="15">
        <v>1387</v>
      </c>
      <c r="I32" s="15">
        <v>348</v>
      </c>
      <c r="J32" s="15">
        <v>3337</v>
      </c>
      <c r="K32" s="15">
        <v>4541</v>
      </c>
      <c r="L32" s="15">
        <v>5626</v>
      </c>
      <c r="M32" s="15">
        <v>5676</v>
      </c>
      <c r="N32" s="15">
        <v>3808</v>
      </c>
      <c r="O32" s="15">
        <v>8312</v>
      </c>
      <c r="P32" s="15">
        <v>5312</v>
      </c>
      <c r="Q32" s="15">
        <v>14617</v>
      </c>
      <c r="R32" s="15">
        <v>24242</v>
      </c>
      <c r="S32" s="15">
        <v>27216</v>
      </c>
      <c r="T32" s="15">
        <v>27323</v>
      </c>
      <c r="U32" s="15">
        <v>4388</v>
      </c>
      <c r="V32" s="15">
        <v>9984</v>
      </c>
      <c r="W32" s="15">
        <v>16412</v>
      </c>
      <c r="X32" s="15">
        <v>28990</v>
      </c>
      <c r="Y32" s="15">
        <v>17332</v>
      </c>
      <c r="Z32" s="15">
        <v>20314</v>
      </c>
      <c r="AA32" s="15">
        <v>25964</v>
      </c>
      <c r="AB32" s="15">
        <v>30935</v>
      </c>
      <c r="AC32" s="15">
        <v>11628</v>
      </c>
      <c r="AD32" s="15">
        <v>28242</v>
      </c>
      <c r="AE32" s="15">
        <v>20635</v>
      </c>
      <c r="AF32" s="15">
        <v>17801</v>
      </c>
      <c r="AG32" s="15">
        <v>10706</v>
      </c>
      <c r="AH32" s="15">
        <v>9900</v>
      </c>
      <c r="AI32" s="15">
        <v>5760</v>
      </c>
      <c r="AJ32" s="15">
        <v>24079</v>
      </c>
    </row>
    <row r="33" spans="1:36">
      <c r="A33" s="15" t="s">
        <v>236</v>
      </c>
      <c r="B33" s="15">
        <v>1</v>
      </c>
      <c r="C33" s="15" t="s">
        <v>291</v>
      </c>
      <c r="D33" s="15" t="s">
        <v>291</v>
      </c>
      <c r="E33" s="15">
        <v>-13</v>
      </c>
      <c r="F33" s="15">
        <v>-8</v>
      </c>
      <c r="G33" s="15">
        <v>-67</v>
      </c>
      <c r="H33" s="15">
        <v>-75</v>
      </c>
      <c r="I33" s="15" t="s">
        <v>291</v>
      </c>
      <c r="J33" s="15" t="s">
        <v>291</v>
      </c>
      <c r="K33" s="15">
        <v>282</v>
      </c>
      <c r="L33" s="15">
        <v>598</v>
      </c>
      <c r="M33" s="15">
        <v>1140</v>
      </c>
      <c r="N33" s="15" t="s">
        <v>291</v>
      </c>
      <c r="O33" s="15">
        <v>1257</v>
      </c>
      <c r="P33" s="15">
        <v>586</v>
      </c>
      <c r="Q33" s="15" t="s">
        <v>291</v>
      </c>
      <c r="R33" s="15" t="s">
        <v>291</v>
      </c>
      <c r="S33" s="15">
        <v>976</v>
      </c>
      <c r="T33" s="15">
        <v>184</v>
      </c>
      <c r="U33" s="15">
        <v>543</v>
      </c>
      <c r="V33" s="15">
        <v>2207</v>
      </c>
      <c r="W33" s="15" t="s">
        <v>291</v>
      </c>
      <c r="X33" s="15">
        <v>563</v>
      </c>
      <c r="Y33" s="15">
        <v>769</v>
      </c>
      <c r="Z33" s="15">
        <v>-141</v>
      </c>
      <c r="AA33" s="15">
        <v>811</v>
      </c>
      <c r="AB33" s="15">
        <v>1863</v>
      </c>
      <c r="AC33" s="15">
        <v>491</v>
      </c>
      <c r="AD33" s="15">
        <v>-1281</v>
      </c>
      <c r="AE33" s="15">
        <v>296</v>
      </c>
      <c r="AF33" s="15" t="s">
        <v>291</v>
      </c>
      <c r="AG33" s="15" t="s">
        <v>291</v>
      </c>
      <c r="AH33" s="15">
        <v>681</v>
      </c>
      <c r="AI33" s="15">
        <v>874</v>
      </c>
      <c r="AJ33" s="15" t="s">
        <v>291</v>
      </c>
    </row>
    <row r="34" spans="1:36">
      <c r="A34" s="15" t="s">
        <v>448</v>
      </c>
      <c r="B34" s="15">
        <v>6303</v>
      </c>
      <c r="C34" s="15">
        <v>1934</v>
      </c>
      <c r="D34" s="15">
        <v>1540</v>
      </c>
      <c r="E34" s="15">
        <v>-1556</v>
      </c>
      <c r="F34" s="15">
        <v>463</v>
      </c>
      <c r="G34" s="15">
        <v>1047</v>
      </c>
      <c r="H34" s="15">
        <v>-4003</v>
      </c>
      <c r="I34" s="15">
        <v>2981</v>
      </c>
      <c r="J34" s="15">
        <v>571</v>
      </c>
      <c r="K34" s="15">
        <v>6180</v>
      </c>
      <c r="L34" s="15">
        <v>2432</v>
      </c>
      <c r="M34" s="15">
        <v>3569</v>
      </c>
      <c r="N34" s="15">
        <v>4974</v>
      </c>
      <c r="O34" s="15">
        <v>5908</v>
      </c>
      <c r="P34" s="15">
        <v>5565</v>
      </c>
      <c r="Q34" s="15">
        <v>8682</v>
      </c>
      <c r="R34" s="15">
        <v>16506</v>
      </c>
      <c r="S34" s="15">
        <v>28003</v>
      </c>
      <c r="T34" s="15">
        <v>16270</v>
      </c>
      <c r="U34" s="15">
        <v>20756</v>
      </c>
      <c r="V34" s="15">
        <v>10432</v>
      </c>
      <c r="W34" s="15">
        <v>4588</v>
      </c>
      <c r="X34" s="15">
        <v>6032</v>
      </c>
      <c r="Y34" s="15">
        <v>5187</v>
      </c>
      <c r="Z34" s="15">
        <v>-2710</v>
      </c>
      <c r="AA34" s="15">
        <v>25280</v>
      </c>
      <c r="AB34" s="15">
        <v>21319</v>
      </c>
      <c r="AC34" s="15">
        <v>-5135</v>
      </c>
      <c r="AD34" s="15">
        <v>-11032</v>
      </c>
      <c r="AE34" s="15">
        <v>5351</v>
      </c>
      <c r="AF34" s="15">
        <v>8651</v>
      </c>
      <c r="AG34" s="15">
        <v>2181</v>
      </c>
      <c r="AH34" s="15">
        <v>3160</v>
      </c>
      <c r="AI34" s="15">
        <v>-6074</v>
      </c>
      <c r="AJ34" s="15">
        <v>-8390</v>
      </c>
    </row>
    <row r="35" spans="1:36">
      <c r="A35" s="15" t="s">
        <v>447</v>
      </c>
      <c r="B35" s="15">
        <v>1071</v>
      </c>
      <c r="C35" s="15">
        <v>510</v>
      </c>
      <c r="D35" s="15">
        <v>505</v>
      </c>
      <c r="E35" s="15">
        <v>-380</v>
      </c>
      <c r="F35" s="15">
        <v>633</v>
      </c>
      <c r="G35" s="15">
        <v>551</v>
      </c>
      <c r="H35" s="15">
        <v>-1206</v>
      </c>
      <c r="I35" s="15">
        <v>1034</v>
      </c>
      <c r="J35" s="15">
        <v>490</v>
      </c>
      <c r="K35" s="15">
        <v>1718</v>
      </c>
      <c r="L35" s="15">
        <v>1020</v>
      </c>
      <c r="M35" s="15">
        <v>221</v>
      </c>
      <c r="N35" s="15">
        <v>1931</v>
      </c>
      <c r="O35" s="15">
        <v>3498</v>
      </c>
      <c r="P35" s="15">
        <v>3536</v>
      </c>
      <c r="Q35" s="15">
        <v>4371</v>
      </c>
      <c r="R35" s="15">
        <v>6615</v>
      </c>
      <c r="S35" s="15">
        <v>9823</v>
      </c>
      <c r="T35" s="15">
        <v>6428</v>
      </c>
      <c r="U35" s="15">
        <v>4311</v>
      </c>
      <c r="V35" s="15">
        <v>695</v>
      </c>
      <c r="W35" s="15">
        <v>832</v>
      </c>
      <c r="X35" s="15">
        <v>-2087</v>
      </c>
      <c r="Y35" s="15">
        <v>-66</v>
      </c>
      <c r="Z35" s="15">
        <v>803</v>
      </c>
      <c r="AA35" s="15">
        <v>6395</v>
      </c>
      <c r="AB35" s="15">
        <v>4202</v>
      </c>
      <c r="AC35" s="15">
        <v>1140</v>
      </c>
      <c r="AD35" s="15">
        <v>1307</v>
      </c>
      <c r="AE35" s="15">
        <v>1113</v>
      </c>
      <c r="AF35" s="15">
        <v>2975</v>
      </c>
      <c r="AG35" s="15">
        <v>1292</v>
      </c>
      <c r="AH35" s="15">
        <v>912</v>
      </c>
      <c r="AI35" s="15">
        <v>-1394</v>
      </c>
      <c r="AJ35" s="15">
        <v>2669</v>
      </c>
    </row>
    <row r="36" spans="1:36">
      <c r="A36" s="15" t="s">
        <v>446</v>
      </c>
      <c r="B36" s="15">
        <v>149</v>
      </c>
      <c r="C36" s="15">
        <v>-62</v>
      </c>
      <c r="D36" s="15">
        <v>40</v>
      </c>
      <c r="E36" s="15">
        <v>124</v>
      </c>
      <c r="F36" s="15">
        <v>19</v>
      </c>
      <c r="G36" s="15">
        <v>-31</v>
      </c>
      <c r="H36" s="15">
        <v>-4</v>
      </c>
      <c r="I36" s="15">
        <v>155</v>
      </c>
      <c r="J36" s="15">
        <v>162</v>
      </c>
      <c r="K36" s="15">
        <v>343</v>
      </c>
      <c r="L36" s="15">
        <v>260</v>
      </c>
      <c r="M36" s="15">
        <v>418</v>
      </c>
      <c r="N36" s="15">
        <v>522</v>
      </c>
      <c r="O36" s="15">
        <v>859</v>
      </c>
      <c r="P36" s="15">
        <v>98</v>
      </c>
      <c r="Q36" s="15">
        <v>921</v>
      </c>
      <c r="R36" s="15">
        <v>1152</v>
      </c>
      <c r="S36" s="15">
        <v>2150</v>
      </c>
      <c r="T36" s="15">
        <v>818</v>
      </c>
      <c r="U36" s="15">
        <v>716</v>
      </c>
      <c r="V36" s="15">
        <v>477</v>
      </c>
      <c r="W36" s="15">
        <v>137</v>
      </c>
      <c r="X36" s="15">
        <v>218</v>
      </c>
      <c r="Y36" s="15" t="s">
        <v>291</v>
      </c>
      <c r="Z36" s="15" t="s">
        <v>291</v>
      </c>
      <c r="AA36" s="15" t="s">
        <v>291</v>
      </c>
      <c r="AB36" s="15">
        <v>373</v>
      </c>
      <c r="AC36" s="15">
        <v>379</v>
      </c>
      <c r="AD36" s="15">
        <v>-116</v>
      </c>
      <c r="AE36" s="15" t="s">
        <v>291</v>
      </c>
      <c r="AF36" s="15" t="s">
        <v>291</v>
      </c>
      <c r="AG36" s="15">
        <v>602</v>
      </c>
      <c r="AH36" s="15">
        <v>566</v>
      </c>
      <c r="AI36" s="15">
        <v>-46</v>
      </c>
      <c r="AJ36" s="15">
        <v>378</v>
      </c>
    </row>
    <row r="37" spans="1:36">
      <c r="A37" s="15" t="s">
        <v>445</v>
      </c>
      <c r="B37" s="15">
        <v>623</v>
      </c>
      <c r="C37" s="15">
        <v>213</v>
      </c>
      <c r="D37" s="15">
        <v>267</v>
      </c>
      <c r="E37" s="15">
        <v>12</v>
      </c>
      <c r="F37" s="15">
        <v>-88</v>
      </c>
      <c r="G37" s="15">
        <v>394</v>
      </c>
      <c r="H37" s="15">
        <v>217</v>
      </c>
      <c r="I37" s="15">
        <v>606</v>
      </c>
      <c r="J37" s="15">
        <v>116</v>
      </c>
      <c r="K37" s="15">
        <v>349</v>
      </c>
      <c r="L37" s="15">
        <v>186</v>
      </c>
      <c r="M37" s="15">
        <v>-116</v>
      </c>
      <c r="N37" s="15">
        <v>370</v>
      </c>
      <c r="O37" s="15" t="s">
        <v>291</v>
      </c>
      <c r="P37" s="15">
        <v>1934</v>
      </c>
      <c r="Q37" s="15">
        <v>2962</v>
      </c>
      <c r="R37" s="15">
        <v>3944</v>
      </c>
      <c r="S37" s="15">
        <v>5881</v>
      </c>
      <c r="T37" s="15">
        <v>2852</v>
      </c>
      <c r="U37" s="15">
        <v>824</v>
      </c>
      <c r="V37" s="15">
        <v>1222</v>
      </c>
      <c r="W37" s="15">
        <v>827</v>
      </c>
      <c r="X37" s="15">
        <v>370</v>
      </c>
      <c r="Y37" s="15">
        <v>478</v>
      </c>
      <c r="Z37" s="15">
        <v>-1830</v>
      </c>
      <c r="AA37" s="15">
        <v>1239</v>
      </c>
      <c r="AB37" s="15">
        <v>-19</v>
      </c>
      <c r="AC37" s="15">
        <v>621</v>
      </c>
      <c r="AD37" s="15">
        <v>1977</v>
      </c>
      <c r="AE37" s="15">
        <v>2933</v>
      </c>
      <c r="AF37" s="15">
        <v>2709</v>
      </c>
      <c r="AG37" s="15">
        <v>-206</v>
      </c>
      <c r="AH37" s="15">
        <v>1577</v>
      </c>
      <c r="AI37" s="15">
        <v>-133</v>
      </c>
      <c r="AJ37" s="15">
        <v>2041</v>
      </c>
    </row>
    <row r="38" spans="1:36">
      <c r="A38" s="15" t="s">
        <v>444</v>
      </c>
      <c r="B38" s="15">
        <v>24</v>
      </c>
      <c r="C38" s="15">
        <v>37</v>
      </c>
      <c r="D38" s="15">
        <v>57</v>
      </c>
      <c r="E38" s="15">
        <v>69</v>
      </c>
      <c r="F38" s="15">
        <v>142</v>
      </c>
      <c r="G38" s="15">
        <v>73</v>
      </c>
      <c r="H38" s="15">
        <v>102</v>
      </c>
      <c r="I38" s="15">
        <v>363</v>
      </c>
      <c r="J38" s="15">
        <v>55</v>
      </c>
      <c r="K38" s="15">
        <v>-55</v>
      </c>
      <c r="L38" s="15">
        <v>61</v>
      </c>
      <c r="M38" s="15">
        <v>50</v>
      </c>
      <c r="N38" s="15">
        <v>819</v>
      </c>
      <c r="O38" s="15">
        <v>193</v>
      </c>
      <c r="P38" s="15" t="s">
        <v>291</v>
      </c>
      <c r="Q38" s="15">
        <v>198</v>
      </c>
      <c r="R38" s="15">
        <v>456</v>
      </c>
      <c r="S38" s="15">
        <v>-131</v>
      </c>
      <c r="T38" s="15">
        <v>89</v>
      </c>
      <c r="U38" s="15">
        <v>1947</v>
      </c>
      <c r="V38" s="15">
        <v>-1526</v>
      </c>
      <c r="W38" s="15">
        <v>-228</v>
      </c>
      <c r="X38" s="15">
        <v>95</v>
      </c>
      <c r="Y38" s="15" t="s">
        <v>291</v>
      </c>
      <c r="Z38" s="15" t="s">
        <v>291</v>
      </c>
      <c r="AA38" s="15" t="s">
        <v>291</v>
      </c>
      <c r="AB38" s="15" t="s">
        <v>291</v>
      </c>
      <c r="AC38" s="15">
        <v>-846</v>
      </c>
      <c r="AD38" s="15">
        <v>58</v>
      </c>
      <c r="AE38" s="15">
        <v>386</v>
      </c>
      <c r="AF38" s="15">
        <v>903</v>
      </c>
      <c r="AG38" s="15">
        <v>513</v>
      </c>
      <c r="AH38" s="15">
        <v>-1147</v>
      </c>
      <c r="AI38" s="15">
        <v>-133</v>
      </c>
      <c r="AJ38" s="15">
        <v>-225</v>
      </c>
    </row>
    <row r="39" spans="1:36">
      <c r="A39" s="15" t="s">
        <v>443</v>
      </c>
      <c r="B39" s="15">
        <v>158</v>
      </c>
      <c r="C39" s="15">
        <v>265</v>
      </c>
      <c r="D39" s="15">
        <v>69</v>
      </c>
      <c r="E39" s="15" t="s">
        <v>291</v>
      </c>
      <c r="F39" s="15">
        <v>208</v>
      </c>
      <c r="G39" s="15">
        <v>68</v>
      </c>
      <c r="H39" s="15" t="s">
        <v>291</v>
      </c>
      <c r="I39" s="15">
        <v>-42</v>
      </c>
      <c r="J39" s="15" t="s">
        <v>291</v>
      </c>
      <c r="K39" s="15">
        <v>10</v>
      </c>
      <c r="L39" s="15" t="s">
        <v>291</v>
      </c>
      <c r="M39" s="15">
        <v>-48</v>
      </c>
      <c r="N39" s="15">
        <v>56</v>
      </c>
      <c r="O39" s="15">
        <v>-52</v>
      </c>
      <c r="P39" s="15">
        <v>38</v>
      </c>
      <c r="Q39" s="15">
        <v>193</v>
      </c>
      <c r="R39" s="15">
        <v>415</v>
      </c>
      <c r="S39" s="15">
        <v>198</v>
      </c>
      <c r="T39" s="15">
        <v>541</v>
      </c>
      <c r="U39" s="15">
        <v>37</v>
      </c>
      <c r="V39" s="15" t="s">
        <v>291</v>
      </c>
      <c r="W39" s="15" t="s">
        <v>291</v>
      </c>
      <c r="X39" s="15">
        <v>-505</v>
      </c>
      <c r="Y39" s="15" t="s">
        <v>291</v>
      </c>
      <c r="Z39" s="15" t="s">
        <v>291</v>
      </c>
      <c r="AA39" s="15" t="s">
        <v>291</v>
      </c>
      <c r="AB39" s="15" t="s">
        <v>291</v>
      </c>
      <c r="AC39" s="15">
        <v>602</v>
      </c>
      <c r="AD39" s="15" t="s">
        <v>291</v>
      </c>
      <c r="AE39" s="15" t="s">
        <v>291</v>
      </c>
      <c r="AF39" s="15">
        <v>-47</v>
      </c>
      <c r="AG39" s="15">
        <v>548</v>
      </c>
      <c r="AH39" s="15">
        <v>6</v>
      </c>
      <c r="AI39" s="15">
        <v>188</v>
      </c>
      <c r="AJ39" s="15" t="s">
        <v>291</v>
      </c>
    </row>
    <row r="40" spans="1:36">
      <c r="A40" s="15" t="s">
        <v>442</v>
      </c>
      <c r="B40" s="15">
        <v>6</v>
      </c>
      <c r="C40" s="15">
        <v>-1</v>
      </c>
      <c r="D40" s="15" t="s">
        <v>306</v>
      </c>
      <c r="E40" s="15">
        <v>-6</v>
      </c>
      <c r="F40" s="15" t="s">
        <v>291</v>
      </c>
      <c r="G40" s="15">
        <v>7</v>
      </c>
      <c r="H40" s="15">
        <v>-2</v>
      </c>
      <c r="I40" s="15" t="s">
        <v>291</v>
      </c>
      <c r="J40" s="15">
        <v>12</v>
      </c>
      <c r="K40" s="15" t="s">
        <v>291</v>
      </c>
      <c r="L40" s="15" t="s">
        <v>291</v>
      </c>
      <c r="M40" s="15" t="s">
        <v>291</v>
      </c>
      <c r="N40" s="15">
        <v>31</v>
      </c>
      <c r="O40" s="15">
        <v>9</v>
      </c>
      <c r="P40" s="15">
        <v>5</v>
      </c>
      <c r="Q40" s="15" t="s">
        <v>291</v>
      </c>
      <c r="R40" s="15" t="s">
        <v>291</v>
      </c>
      <c r="S40" s="15">
        <v>163</v>
      </c>
      <c r="T40" s="15" t="s">
        <v>291</v>
      </c>
      <c r="U40" s="15" t="s">
        <v>291</v>
      </c>
      <c r="V40" s="15">
        <v>66</v>
      </c>
      <c r="W40" s="15" t="s">
        <v>291</v>
      </c>
      <c r="X40" s="15" t="s">
        <v>291</v>
      </c>
      <c r="Y40" s="15">
        <v>0</v>
      </c>
      <c r="Z40" s="15">
        <v>0</v>
      </c>
      <c r="AA40" s="15" t="s">
        <v>291</v>
      </c>
      <c r="AB40" s="15" t="s">
        <v>306</v>
      </c>
      <c r="AC40" s="15">
        <v>18</v>
      </c>
      <c r="AD40" s="15">
        <v>0</v>
      </c>
      <c r="AE40" s="15">
        <v>0</v>
      </c>
      <c r="AF40" s="15">
        <v>5</v>
      </c>
      <c r="AG40" s="15" t="s">
        <v>291</v>
      </c>
      <c r="AH40" s="15" t="s">
        <v>291</v>
      </c>
      <c r="AI40" s="15" t="s">
        <v>291</v>
      </c>
      <c r="AJ40" s="15" t="s">
        <v>291</v>
      </c>
    </row>
    <row r="41" spans="1:36">
      <c r="A41" s="15" t="s">
        <v>441</v>
      </c>
      <c r="B41" s="15">
        <v>8</v>
      </c>
      <c r="C41" s="15">
        <v>46</v>
      </c>
      <c r="D41" s="15">
        <v>36</v>
      </c>
      <c r="E41" s="15">
        <v>-12</v>
      </c>
      <c r="F41" s="15">
        <v>24</v>
      </c>
      <c r="G41" s="15">
        <v>5</v>
      </c>
      <c r="H41" s="15">
        <v>37</v>
      </c>
      <c r="I41" s="15" t="s">
        <v>291</v>
      </c>
      <c r="J41" s="15" t="s">
        <v>291</v>
      </c>
      <c r="K41" s="15" t="s">
        <v>291</v>
      </c>
      <c r="L41" s="15" t="s">
        <v>291</v>
      </c>
      <c r="M41" s="15">
        <v>4</v>
      </c>
      <c r="N41" s="15">
        <v>119</v>
      </c>
      <c r="O41" s="15">
        <v>66</v>
      </c>
      <c r="P41" s="15" t="s">
        <v>291</v>
      </c>
      <c r="Q41" s="15">
        <v>127</v>
      </c>
      <c r="R41" s="15">
        <v>55</v>
      </c>
      <c r="S41" s="15">
        <v>736</v>
      </c>
      <c r="T41" s="15" t="s">
        <v>291</v>
      </c>
      <c r="U41" s="15" t="s">
        <v>291</v>
      </c>
      <c r="V41" s="15">
        <v>6</v>
      </c>
      <c r="W41" s="15">
        <v>57</v>
      </c>
      <c r="X41" s="15" t="s">
        <v>291</v>
      </c>
      <c r="Y41" s="15">
        <v>43</v>
      </c>
      <c r="Z41" s="15">
        <v>2</v>
      </c>
      <c r="AA41" s="15">
        <v>49</v>
      </c>
      <c r="AB41" s="15" t="s">
        <v>291</v>
      </c>
      <c r="AC41" s="15">
        <v>105</v>
      </c>
      <c r="AD41" s="15" t="s">
        <v>291</v>
      </c>
      <c r="AE41" s="15" t="s">
        <v>291</v>
      </c>
      <c r="AF41" s="15" t="s">
        <v>291</v>
      </c>
      <c r="AG41" s="15" t="s">
        <v>291</v>
      </c>
      <c r="AH41" s="15" t="s">
        <v>306</v>
      </c>
      <c r="AI41" s="15">
        <v>24</v>
      </c>
      <c r="AJ41" s="15">
        <v>0</v>
      </c>
    </row>
    <row r="42" spans="1:36">
      <c r="A42" s="15" t="s">
        <v>440</v>
      </c>
      <c r="B42" s="15">
        <v>68</v>
      </c>
      <c r="C42" s="15">
        <v>5</v>
      </c>
      <c r="D42" s="15">
        <v>24</v>
      </c>
      <c r="E42" s="15">
        <v>-12</v>
      </c>
      <c r="F42" s="15">
        <v>268</v>
      </c>
      <c r="G42" s="15">
        <v>4</v>
      </c>
      <c r="H42" s="15" t="s">
        <v>291</v>
      </c>
      <c r="I42" s="15">
        <v>-63</v>
      </c>
      <c r="J42" s="15">
        <v>119</v>
      </c>
      <c r="K42" s="15" t="s">
        <v>291</v>
      </c>
      <c r="L42" s="15">
        <v>268</v>
      </c>
      <c r="M42" s="15" t="s">
        <v>291</v>
      </c>
      <c r="N42" s="15">
        <v>16</v>
      </c>
      <c r="O42" s="15" t="s">
        <v>291</v>
      </c>
      <c r="P42" s="15" t="s">
        <v>291</v>
      </c>
      <c r="Q42" s="15" t="s">
        <v>291</v>
      </c>
      <c r="R42" s="15">
        <v>259</v>
      </c>
      <c r="S42" s="15">
        <v>837</v>
      </c>
      <c r="T42" s="15">
        <v>2055</v>
      </c>
      <c r="U42" s="15">
        <v>529</v>
      </c>
      <c r="V42" s="15">
        <v>301</v>
      </c>
      <c r="W42" s="15">
        <v>4</v>
      </c>
      <c r="X42" s="15">
        <v>-1459</v>
      </c>
      <c r="Y42" s="15">
        <v>-61</v>
      </c>
      <c r="Z42" s="15" t="s">
        <v>291</v>
      </c>
      <c r="AA42" s="15" t="s">
        <v>291</v>
      </c>
      <c r="AB42" s="15">
        <v>-71</v>
      </c>
      <c r="AC42" s="15">
        <v>219</v>
      </c>
      <c r="AD42" s="15" t="s">
        <v>291</v>
      </c>
      <c r="AE42" s="15">
        <v>36</v>
      </c>
      <c r="AF42" s="15" t="s">
        <v>291</v>
      </c>
      <c r="AG42" s="15" t="s">
        <v>291</v>
      </c>
      <c r="AH42" s="15">
        <v>-102</v>
      </c>
      <c r="AI42" s="15" t="s">
        <v>291</v>
      </c>
      <c r="AJ42" s="15">
        <v>0</v>
      </c>
    </row>
    <row r="43" spans="1:36">
      <c r="A43" s="15" t="s">
        <v>67</v>
      </c>
      <c r="B43" s="15">
        <v>34</v>
      </c>
      <c r="C43" s="15">
        <v>7</v>
      </c>
      <c r="D43" s="15">
        <v>13</v>
      </c>
      <c r="E43" s="15" t="s">
        <v>291</v>
      </c>
      <c r="F43" s="15" t="s">
        <v>291</v>
      </c>
      <c r="G43" s="15">
        <v>30</v>
      </c>
      <c r="H43" s="15">
        <v>-43</v>
      </c>
      <c r="I43" s="15">
        <v>-10</v>
      </c>
      <c r="J43" s="15">
        <v>17</v>
      </c>
      <c r="K43" s="15">
        <v>22</v>
      </c>
      <c r="L43" s="15">
        <v>23</v>
      </c>
      <c r="M43" s="15" t="s">
        <v>291</v>
      </c>
      <c r="N43" s="15">
        <v>-3</v>
      </c>
      <c r="O43" s="15" t="s">
        <v>291</v>
      </c>
      <c r="P43" s="15" t="s">
        <v>291</v>
      </c>
      <c r="Q43" s="15" t="s">
        <v>291</v>
      </c>
      <c r="R43" s="15" t="s">
        <v>291</v>
      </c>
      <c r="S43" s="15">
        <v>-11</v>
      </c>
      <c r="T43" s="15" t="s">
        <v>291</v>
      </c>
      <c r="U43" s="15" t="s">
        <v>291</v>
      </c>
      <c r="V43" s="15" t="s">
        <v>291</v>
      </c>
      <c r="W43" s="15">
        <v>35</v>
      </c>
      <c r="X43" s="15">
        <v>-70</v>
      </c>
      <c r="Y43" s="15">
        <v>-4</v>
      </c>
      <c r="Z43" s="15" t="s">
        <v>291</v>
      </c>
      <c r="AA43" s="15">
        <v>-17</v>
      </c>
      <c r="AB43" s="15" t="s">
        <v>306</v>
      </c>
      <c r="AC43" s="15">
        <v>42</v>
      </c>
      <c r="AD43" s="15">
        <v>-3</v>
      </c>
      <c r="AE43" s="15">
        <v>11</v>
      </c>
      <c r="AF43" s="15">
        <v>5</v>
      </c>
      <c r="AG43" s="15">
        <v>7</v>
      </c>
      <c r="AH43" s="15" t="s">
        <v>291</v>
      </c>
      <c r="AI43" s="15" t="s">
        <v>291</v>
      </c>
      <c r="AJ43" s="15" t="s">
        <v>291</v>
      </c>
    </row>
    <row r="44" spans="1:36">
      <c r="A44" s="15" t="s">
        <v>433</v>
      </c>
      <c r="B44" s="15">
        <v>580</v>
      </c>
      <c r="C44" s="15">
        <v>164</v>
      </c>
      <c r="D44" s="15">
        <v>5</v>
      </c>
      <c r="E44" s="15">
        <v>166</v>
      </c>
      <c r="F44" s="15">
        <v>-86</v>
      </c>
      <c r="G44" s="15">
        <v>607</v>
      </c>
      <c r="H44" s="15">
        <v>9</v>
      </c>
      <c r="I44" s="15">
        <v>522</v>
      </c>
      <c r="J44" s="15">
        <v>463</v>
      </c>
      <c r="K44" s="15">
        <v>608</v>
      </c>
      <c r="L44" s="15">
        <v>106</v>
      </c>
      <c r="M44" s="15">
        <v>1717</v>
      </c>
      <c r="N44" s="15">
        <v>1802</v>
      </c>
      <c r="O44" s="15">
        <v>1223</v>
      </c>
      <c r="P44" s="15">
        <v>782</v>
      </c>
      <c r="Q44" s="15">
        <v>2086</v>
      </c>
      <c r="R44" s="15">
        <v>3623</v>
      </c>
      <c r="S44" s="15">
        <v>3035</v>
      </c>
      <c r="T44" s="15">
        <v>2943</v>
      </c>
      <c r="U44" s="15" t="s">
        <v>291</v>
      </c>
      <c r="V44" s="15">
        <v>4969</v>
      </c>
      <c r="W44" s="15">
        <v>1724</v>
      </c>
      <c r="X44" s="15">
        <v>994</v>
      </c>
      <c r="Y44" s="15">
        <v>2771</v>
      </c>
      <c r="Z44" s="15">
        <v>592</v>
      </c>
      <c r="AA44" s="15">
        <v>5900</v>
      </c>
      <c r="AB44" s="15">
        <v>3655</v>
      </c>
      <c r="AC44" s="15">
        <v>1569</v>
      </c>
      <c r="AD44" s="15">
        <v>-3756</v>
      </c>
      <c r="AE44" s="15">
        <v>-403</v>
      </c>
      <c r="AF44" s="15">
        <v>1704</v>
      </c>
      <c r="AG44" s="15">
        <v>395</v>
      </c>
      <c r="AH44" s="15">
        <v>949</v>
      </c>
      <c r="AI44" s="15">
        <v>3115</v>
      </c>
      <c r="AJ44" s="15">
        <v>758</v>
      </c>
    </row>
    <row r="45" spans="1:36">
      <c r="A45" s="15" t="s">
        <v>432</v>
      </c>
      <c r="B45" s="15" t="s">
        <v>291</v>
      </c>
      <c r="C45" s="15">
        <v>2</v>
      </c>
      <c r="D45" s="15">
        <v>2</v>
      </c>
      <c r="E45" s="15">
        <v>-17</v>
      </c>
      <c r="F45" s="15">
        <v>1</v>
      </c>
      <c r="G45" s="15" t="s">
        <v>291</v>
      </c>
      <c r="H45" s="15">
        <v>4</v>
      </c>
      <c r="I45" s="15" t="s">
        <v>291</v>
      </c>
      <c r="J45" s="15">
        <v>0</v>
      </c>
      <c r="K45" s="15">
        <v>0</v>
      </c>
      <c r="L45" s="15">
        <v>0</v>
      </c>
      <c r="M45" s="15">
        <v>-5</v>
      </c>
      <c r="N45" s="15">
        <v>2</v>
      </c>
      <c r="O45" s="15" t="s">
        <v>291</v>
      </c>
      <c r="P45" s="15">
        <v>31</v>
      </c>
      <c r="Q45" s="15" t="s">
        <v>291</v>
      </c>
      <c r="R45" s="15" t="s">
        <v>291</v>
      </c>
      <c r="S45" s="15">
        <v>-33</v>
      </c>
      <c r="T45" s="15">
        <v>8</v>
      </c>
      <c r="U45" s="15" t="s">
        <v>291</v>
      </c>
      <c r="V45" s="15" t="s">
        <v>291</v>
      </c>
      <c r="W45" s="15">
        <v>10</v>
      </c>
      <c r="X45" s="15" t="s">
        <v>291</v>
      </c>
      <c r="Y45" s="15" t="s">
        <v>291</v>
      </c>
      <c r="Z45" s="15">
        <v>0</v>
      </c>
      <c r="AA45" s="15" t="s">
        <v>291</v>
      </c>
      <c r="AB45" s="15" t="s">
        <v>291</v>
      </c>
      <c r="AC45" s="15" t="s">
        <v>291</v>
      </c>
      <c r="AD45" s="15" t="s">
        <v>291</v>
      </c>
      <c r="AE45" s="15" t="s">
        <v>291</v>
      </c>
      <c r="AF45" s="15">
        <v>0</v>
      </c>
      <c r="AG45" s="15">
        <v>0</v>
      </c>
      <c r="AH45" s="15" t="s">
        <v>291</v>
      </c>
      <c r="AI45" s="15">
        <v>0</v>
      </c>
      <c r="AJ45" s="15" t="s">
        <v>291</v>
      </c>
    </row>
    <row r="46" spans="1:36">
      <c r="A46" s="15" t="s">
        <v>431</v>
      </c>
      <c r="B46" s="15">
        <v>16</v>
      </c>
      <c r="C46" s="15">
        <v>8</v>
      </c>
      <c r="D46" s="15">
        <v>6</v>
      </c>
      <c r="E46" s="15">
        <v>4</v>
      </c>
      <c r="F46" s="15">
        <v>-4</v>
      </c>
      <c r="G46" s="15">
        <v>3</v>
      </c>
      <c r="H46" s="15">
        <v>-9</v>
      </c>
      <c r="I46" s="15">
        <v>1</v>
      </c>
      <c r="J46" s="15">
        <v>0</v>
      </c>
      <c r="K46" s="15">
        <v>1</v>
      </c>
      <c r="L46" s="15">
        <v>1</v>
      </c>
      <c r="M46" s="15" t="s">
        <v>291</v>
      </c>
      <c r="N46" s="15">
        <v>-4</v>
      </c>
      <c r="O46" s="15">
        <v>0</v>
      </c>
      <c r="P46" s="15">
        <v>0</v>
      </c>
      <c r="Q46" s="15">
        <v>0</v>
      </c>
      <c r="R46" s="15" t="s">
        <v>291</v>
      </c>
      <c r="S46" s="15" t="s">
        <v>273</v>
      </c>
      <c r="T46" s="15" t="s">
        <v>273</v>
      </c>
      <c r="U46" s="15" t="s">
        <v>273</v>
      </c>
      <c r="V46" s="15" t="s">
        <v>273</v>
      </c>
      <c r="W46" s="15" t="s">
        <v>273</v>
      </c>
      <c r="X46" s="15" t="s">
        <v>273</v>
      </c>
      <c r="Y46" s="15" t="s">
        <v>273</v>
      </c>
      <c r="Z46" s="15" t="s">
        <v>273</v>
      </c>
      <c r="AA46" s="15" t="s">
        <v>273</v>
      </c>
      <c r="AB46" s="15" t="s">
        <v>273</v>
      </c>
      <c r="AC46" s="15" t="s">
        <v>273</v>
      </c>
      <c r="AD46" s="15" t="s">
        <v>273</v>
      </c>
      <c r="AE46" s="15" t="s">
        <v>273</v>
      </c>
      <c r="AF46" s="15" t="s">
        <v>273</v>
      </c>
      <c r="AG46" s="15" t="s">
        <v>273</v>
      </c>
      <c r="AH46" s="15" t="s">
        <v>273</v>
      </c>
      <c r="AI46" s="15" t="s">
        <v>273</v>
      </c>
      <c r="AJ46" s="15" t="s">
        <v>273</v>
      </c>
    </row>
    <row r="47" spans="1:36">
      <c r="A47" s="15" t="s">
        <v>430</v>
      </c>
      <c r="B47" s="15" t="s">
        <v>291</v>
      </c>
      <c r="C47" s="15">
        <v>4</v>
      </c>
      <c r="D47" s="15">
        <v>-1</v>
      </c>
      <c r="E47" s="15">
        <v>-7</v>
      </c>
      <c r="F47" s="15">
        <v>-3</v>
      </c>
      <c r="G47" s="15">
        <v>-9</v>
      </c>
      <c r="H47" s="15" t="s">
        <v>306</v>
      </c>
      <c r="I47" s="15" t="s">
        <v>291</v>
      </c>
      <c r="J47" s="15">
        <v>-3</v>
      </c>
      <c r="K47" s="15">
        <v>0</v>
      </c>
      <c r="L47" s="15">
        <v>0</v>
      </c>
      <c r="M47" s="15">
        <v>0</v>
      </c>
      <c r="N47" s="15">
        <v>6</v>
      </c>
      <c r="O47" s="15">
        <v>0</v>
      </c>
      <c r="P47" s="15">
        <v>-1</v>
      </c>
      <c r="Q47" s="15" t="s">
        <v>306</v>
      </c>
      <c r="R47" s="15">
        <v>-1</v>
      </c>
      <c r="S47" s="15" t="s">
        <v>291</v>
      </c>
      <c r="T47" s="15">
        <v>0</v>
      </c>
      <c r="U47" s="15" t="s">
        <v>291</v>
      </c>
      <c r="V47" s="15">
        <v>0</v>
      </c>
      <c r="W47" s="15" t="s">
        <v>291</v>
      </c>
      <c r="X47" s="15" t="s">
        <v>306</v>
      </c>
      <c r="Y47" s="15">
        <v>0</v>
      </c>
      <c r="Z47" s="15">
        <v>0</v>
      </c>
      <c r="AA47" s="15">
        <v>4</v>
      </c>
      <c r="AB47" s="15" t="s">
        <v>291</v>
      </c>
      <c r="AC47" s="15">
        <v>7</v>
      </c>
      <c r="AD47" s="15">
        <v>3</v>
      </c>
      <c r="AE47" s="15">
        <v>0</v>
      </c>
      <c r="AF47" s="15">
        <v>0</v>
      </c>
      <c r="AG47" s="15">
        <v>0</v>
      </c>
      <c r="AH47" s="15">
        <v>0</v>
      </c>
      <c r="AI47" s="15">
        <v>0</v>
      </c>
      <c r="AJ47" s="15">
        <v>0</v>
      </c>
    </row>
    <row r="48" spans="1:36">
      <c r="A48" s="15" t="s">
        <v>429</v>
      </c>
      <c r="B48" s="15">
        <v>296</v>
      </c>
      <c r="C48" s="15">
        <v>109</v>
      </c>
      <c r="D48" s="15">
        <v>152</v>
      </c>
      <c r="E48" s="15">
        <v>174</v>
      </c>
      <c r="F48" s="15">
        <v>112</v>
      </c>
      <c r="G48" s="15">
        <v>246</v>
      </c>
      <c r="H48" s="15">
        <v>-8</v>
      </c>
      <c r="I48" s="15">
        <v>383</v>
      </c>
      <c r="J48" s="15">
        <v>508</v>
      </c>
      <c r="K48" s="15">
        <v>602</v>
      </c>
      <c r="L48" s="15">
        <v>78</v>
      </c>
      <c r="M48" s="15">
        <v>1643</v>
      </c>
      <c r="N48" s="15">
        <v>1678</v>
      </c>
      <c r="O48" s="15">
        <v>1273</v>
      </c>
      <c r="P48" s="15">
        <v>698</v>
      </c>
      <c r="Q48" s="15">
        <v>2398</v>
      </c>
      <c r="R48" s="15">
        <v>2836</v>
      </c>
      <c r="S48" s="15">
        <v>2706</v>
      </c>
      <c r="T48" s="15">
        <v>2361</v>
      </c>
      <c r="U48" s="15" t="s">
        <v>291</v>
      </c>
      <c r="V48" s="15">
        <v>4674</v>
      </c>
      <c r="W48" s="15">
        <v>1557</v>
      </c>
      <c r="X48" s="15">
        <v>2184</v>
      </c>
      <c r="Y48" s="15">
        <v>2340</v>
      </c>
      <c r="Z48" s="15" t="s">
        <v>291</v>
      </c>
      <c r="AA48" s="15">
        <v>3026</v>
      </c>
      <c r="AB48" s="15">
        <v>-329</v>
      </c>
      <c r="AC48" s="15">
        <v>1015</v>
      </c>
      <c r="AD48" s="15">
        <v>-2348</v>
      </c>
      <c r="AE48" s="15">
        <v>-428</v>
      </c>
      <c r="AF48" s="15">
        <v>1767</v>
      </c>
      <c r="AG48" s="15">
        <v>383</v>
      </c>
      <c r="AH48" s="15">
        <v>867</v>
      </c>
      <c r="AI48" s="15">
        <v>3115</v>
      </c>
      <c r="AJ48" s="15">
        <v>654</v>
      </c>
    </row>
    <row r="49" spans="1:36">
      <c r="A49" s="15" t="s">
        <v>428</v>
      </c>
      <c r="B49" s="15">
        <v>258</v>
      </c>
      <c r="C49" s="15">
        <v>10</v>
      </c>
      <c r="D49" s="15">
        <v>-182</v>
      </c>
      <c r="E49" s="15">
        <v>3</v>
      </c>
      <c r="F49" s="15">
        <v>-213</v>
      </c>
      <c r="G49" s="15" t="s">
        <v>291</v>
      </c>
      <c r="H49" s="15">
        <v>-13</v>
      </c>
      <c r="I49" s="15">
        <v>113</v>
      </c>
      <c r="J49" s="15">
        <v>-43</v>
      </c>
      <c r="K49" s="15">
        <v>13</v>
      </c>
      <c r="L49" s="15">
        <v>24</v>
      </c>
      <c r="M49" s="15">
        <v>59</v>
      </c>
      <c r="N49" s="15">
        <v>117</v>
      </c>
      <c r="O49" s="15">
        <v>50</v>
      </c>
      <c r="P49" s="15">
        <v>55</v>
      </c>
      <c r="Q49" s="15">
        <v>-385</v>
      </c>
      <c r="R49" s="15">
        <v>148</v>
      </c>
      <c r="S49" s="15">
        <v>166</v>
      </c>
      <c r="T49" s="15" t="s">
        <v>291</v>
      </c>
      <c r="U49" s="15">
        <v>124</v>
      </c>
      <c r="V49" s="15">
        <v>329</v>
      </c>
      <c r="W49" s="15" t="s">
        <v>291</v>
      </c>
      <c r="X49" s="15" t="s">
        <v>291</v>
      </c>
      <c r="Y49" s="15" t="s">
        <v>291</v>
      </c>
      <c r="Z49" s="15" t="s">
        <v>291</v>
      </c>
      <c r="AA49" s="15" t="s">
        <v>291</v>
      </c>
      <c r="AB49" s="15" t="s">
        <v>291</v>
      </c>
      <c r="AC49" s="15" t="s">
        <v>291</v>
      </c>
      <c r="AD49" s="15" t="s">
        <v>291</v>
      </c>
      <c r="AE49" s="15">
        <v>3</v>
      </c>
      <c r="AF49" s="15" t="s">
        <v>291</v>
      </c>
      <c r="AG49" s="15" t="s">
        <v>291</v>
      </c>
      <c r="AH49" s="15" t="s">
        <v>291</v>
      </c>
      <c r="AI49" s="15" t="s">
        <v>291</v>
      </c>
      <c r="AJ49" s="15">
        <v>55</v>
      </c>
    </row>
    <row r="50" spans="1:36">
      <c r="A50" s="15" t="s">
        <v>67</v>
      </c>
      <c r="B50" s="15">
        <v>-29</v>
      </c>
      <c r="C50" s="15">
        <v>31</v>
      </c>
      <c r="D50" s="15">
        <v>27</v>
      </c>
      <c r="E50" s="15">
        <v>11</v>
      </c>
      <c r="F50" s="15">
        <v>21</v>
      </c>
      <c r="G50" s="15" t="s">
        <v>291</v>
      </c>
      <c r="H50" s="15">
        <v>35</v>
      </c>
      <c r="I50" s="15">
        <v>2</v>
      </c>
      <c r="J50" s="15" t="s">
        <v>306</v>
      </c>
      <c r="K50" s="15">
        <v>-8</v>
      </c>
      <c r="L50" s="15">
        <v>3</v>
      </c>
      <c r="M50" s="15" t="s">
        <v>291</v>
      </c>
      <c r="N50" s="15">
        <v>3</v>
      </c>
      <c r="O50" s="15" t="s">
        <v>291</v>
      </c>
      <c r="P50" s="15">
        <v>0</v>
      </c>
      <c r="Q50" s="15" t="s">
        <v>291</v>
      </c>
      <c r="R50" s="15" t="s">
        <v>291</v>
      </c>
      <c r="S50" s="15" t="s">
        <v>291</v>
      </c>
      <c r="T50" s="15" t="s">
        <v>291</v>
      </c>
      <c r="U50" s="15" t="s">
        <v>291</v>
      </c>
      <c r="V50" s="15" t="s">
        <v>291</v>
      </c>
      <c r="W50" s="15" t="s">
        <v>291</v>
      </c>
      <c r="X50" s="15">
        <v>-201</v>
      </c>
      <c r="Y50" s="15" t="s">
        <v>291</v>
      </c>
      <c r="Z50" s="15">
        <v>-4</v>
      </c>
      <c r="AA50" s="15" t="s">
        <v>291</v>
      </c>
      <c r="AB50" s="15">
        <v>2497</v>
      </c>
      <c r="AC50" s="15" t="s">
        <v>291</v>
      </c>
      <c r="AD50" s="15" t="s">
        <v>291</v>
      </c>
      <c r="AE50" s="15" t="s">
        <v>291</v>
      </c>
      <c r="AF50" s="15" t="s">
        <v>291</v>
      </c>
      <c r="AG50" s="15" t="s">
        <v>291</v>
      </c>
      <c r="AH50" s="15" t="s">
        <v>291</v>
      </c>
      <c r="AI50" s="15" t="s">
        <v>291</v>
      </c>
      <c r="AJ50" s="15" t="s">
        <v>291</v>
      </c>
    </row>
    <row r="51" spans="1:36">
      <c r="A51" s="15" t="s">
        <v>423</v>
      </c>
      <c r="B51" s="15">
        <v>4653</v>
      </c>
      <c r="C51" s="15">
        <v>1260</v>
      </c>
      <c r="D51" s="15">
        <v>1030</v>
      </c>
      <c r="E51" s="15">
        <v>-1342</v>
      </c>
      <c r="F51" s="15">
        <v>-83</v>
      </c>
      <c r="G51" s="15">
        <v>-110</v>
      </c>
      <c r="H51" s="15">
        <v>-2807</v>
      </c>
      <c r="I51" s="15">
        <v>1425</v>
      </c>
      <c r="J51" s="15">
        <v>-382</v>
      </c>
      <c r="K51" s="15">
        <v>3854</v>
      </c>
      <c r="L51" s="15">
        <v>1305</v>
      </c>
      <c r="M51" s="15">
        <v>1631</v>
      </c>
      <c r="N51" s="15">
        <v>1241</v>
      </c>
      <c r="O51" s="15">
        <v>1187</v>
      </c>
      <c r="P51" s="15">
        <v>1247</v>
      </c>
      <c r="Q51" s="15">
        <v>2226</v>
      </c>
      <c r="R51" s="15">
        <v>6267</v>
      </c>
      <c r="S51" s="15">
        <v>15145</v>
      </c>
      <c r="T51" s="15">
        <v>6899</v>
      </c>
      <c r="U51" s="306">
        <f>(T51+V51)/2</f>
        <v>5833</v>
      </c>
      <c r="V51" s="15">
        <v>4767</v>
      </c>
      <c r="W51" s="15">
        <v>2032</v>
      </c>
      <c r="X51" s="15">
        <v>7126</v>
      </c>
      <c r="Y51" s="15">
        <v>2483</v>
      </c>
      <c r="Z51" s="15">
        <v>-4104</v>
      </c>
      <c r="AA51" s="15">
        <v>12985</v>
      </c>
      <c r="AB51" s="15">
        <v>13463</v>
      </c>
      <c r="AC51" s="15">
        <v>-7844</v>
      </c>
      <c r="AD51" s="15">
        <v>-8584</v>
      </c>
      <c r="AE51" s="15">
        <v>4641</v>
      </c>
      <c r="AF51" s="15">
        <v>3973</v>
      </c>
      <c r="AG51" s="15">
        <v>494</v>
      </c>
      <c r="AH51" s="15">
        <v>1298</v>
      </c>
      <c r="AI51" s="15">
        <v>-7795</v>
      </c>
      <c r="AJ51" s="15">
        <v>-11817</v>
      </c>
    </row>
    <row r="52" spans="1:36">
      <c r="A52" s="15" t="s">
        <v>422</v>
      </c>
      <c r="B52" s="15">
        <v>120</v>
      </c>
      <c r="C52" s="15">
        <v>105</v>
      </c>
      <c r="D52" s="15">
        <v>37</v>
      </c>
      <c r="E52" s="15" t="s">
        <v>291</v>
      </c>
      <c r="F52" s="15">
        <v>-761</v>
      </c>
      <c r="G52" s="15" t="s">
        <v>291</v>
      </c>
      <c r="H52" s="15">
        <v>652</v>
      </c>
      <c r="I52" s="15">
        <v>226</v>
      </c>
      <c r="J52" s="15">
        <v>209</v>
      </c>
      <c r="K52" s="15">
        <v>29</v>
      </c>
      <c r="L52" s="15">
        <v>92</v>
      </c>
      <c r="M52" s="15">
        <v>11</v>
      </c>
      <c r="N52" s="15" t="s">
        <v>291</v>
      </c>
      <c r="O52" s="15" t="s">
        <v>291</v>
      </c>
      <c r="P52" s="15">
        <v>254</v>
      </c>
      <c r="Q52" s="15" t="s">
        <v>291</v>
      </c>
      <c r="R52" s="15" t="s">
        <v>291</v>
      </c>
      <c r="S52" s="15" t="s">
        <v>273</v>
      </c>
      <c r="T52" s="15" t="s">
        <v>273</v>
      </c>
      <c r="U52" s="15" t="s">
        <v>273</v>
      </c>
      <c r="V52" s="15" t="s">
        <v>273</v>
      </c>
      <c r="W52" s="15" t="s">
        <v>273</v>
      </c>
      <c r="X52" s="15" t="s">
        <v>273</v>
      </c>
      <c r="Y52" s="15" t="s">
        <v>273</v>
      </c>
      <c r="Z52" s="15" t="s">
        <v>273</v>
      </c>
      <c r="AA52" s="15" t="s">
        <v>273</v>
      </c>
      <c r="AB52" s="15" t="s">
        <v>273</v>
      </c>
      <c r="AC52" s="15" t="s">
        <v>273</v>
      </c>
      <c r="AD52" s="15" t="s">
        <v>273</v>
      </c>
      <c r="AE52" s="15" t="s">
        <v>273</v>
      </c>
      <c r="AF52" s="15" t="s">
        <v>273</v>
      </c>
      <c r="AG52" s="15" t="s">
        <v>273</v>
      </c>
      <c r="AH52" s="15" t="s">
        <v>273</v>
      </c>
      <c r="AI52" s="15" t="s">
        <v>273</v>
      </c>
      <c r="AJ52" s="15" t="s">
        <v>273</v>
      </c>
    </row>
    <row r="53" spans="1:36">
      <c r="A53" s="15" t="s">
        <v>421</v>
      </c>
      <c r="B53" s="15" t="s">
        <v>291</v>
      </c>
      <c r="C53" s="15">
        <v>3</v>
      </c>
      <c r="D53" s="15">
        <v>4</v>
      </c>
      <c r="E53" s="15">
        <v>34</v>
      </c>
      <c r="F53" s="15" t="s">
        <v>291</v>
      </c>
      <c r="G53" s="15">
        <v>-8</v>
      </c>
      <c r="H53" s="15">
        <v>39</v>
      </c>
      <c r="I53" s="15" t="s">
        <v>291</v>
      </c>
      <c r="J53" s="15" t="s">
        <v>306</v>
      </c>
      <c r="K53" s="15" t="s">
        <v>306</v>
      </c>
      <c r="L53" s="15" t="s">
        <v>306</v>
      </c>
      <c r="M53" s="15">
        <v>-2</v>
      </c>
      <c r="N53" s="15">
        <v>13</v>
      </c>
      <c r="O53" s="15">
        <v>-4</v>
      </c>
      <c r="P53" s="15" t="s">
        <v>306</v>
      </c>
      <c r="Q53" s="15" t="s">
        <v>306</v>
      </c>
      <c r="R53" s="15">
        <v>-3</v>
      </c>
      <c r="S53" s="15" t="s">
        <v>291</v>
      </c>
      <c r="T53" s="15" t="s">
        <v>291</v>
      </c>
      <c r="U53" s="15" t="s">
        <v>291</v>
      </c>
      <c r="V53" s="15" t="s">
        <v>291</v>
      </c>
      <c r="W53" s="15" t="s">
        <v>291</v>
      </c>
      <c r="X53" s="15" t="s">
        <v>291</v>
      </c>
      <c r="Y53" s="15" t="s">
        <v>291</v>
      </c>
      <c r="Z53" s="15" t="s">
        <v>291</v>
      </c>
      <c r="AA53" s="15" t="s">
        <v>291</v>
      </c>
      <c r="AB53" s="15" t="s">
        <v>306</v>
      </c>
      <c r="AC53" s="15" t="s">
        <v>291</v>
      </c>
      <c r="AD53" s="15">
        <v>-368</v>
      </c>
      <c r="AE53" s="15">
        <v>-498</v>
      </c>
      <c r="AF53" s="15" t="s">
        <v>291</v>
      </c>
      <c r="AG53" s="15">
        <v>10</v>
      </c>
      <c r="AH53" s="15">
        <v>112</v>
      </c>
      <c r="AI53" s="15" t="s">
        <v>291</v>
      </c>
      <c r="AJ53" s="15" t="s">
        <v>291</v>
      </c>
    </row>
    <row r="54" spans="1:36">
      <c r="A54" s="15" t="s">
        <v>420</v>
      </c>
      <c r="B54" s="15">
        <v>120</v>
      </c>
      <c r="C54" s="15">
        <v>-211</v>
      </c>
      <c r="D54" s="15">
        <v>185</v>
      </c>
      <c r="E54" s="15">
        <v>-95</v>
      </c>
      <c r="F54" s="15">
        <v>-265</v>
      </c>
      <c r="G54" s="306">
        <f>(F54+H54)/2</f>
        <v>-351</v>
      </c>
      <c r="H54" s="15">
        <v>-437</v>
      </c>
      <c r="I54" s="15">
        <v>1473</v>
      </c>
      <c r="J54" s="15">
        <v>284</v>
      </c>
      <c r="K54" s="15">
        <v>2974</v>
      </c>
      <c r="L54" s="306">
        <f>(K54+M54)/2</f>
        <v>2287</v>
      </c>
      <c r="M54" s="15">
        <v>1600</v>
      </c>
      <c r="N54" s="15">
        <v>-154</v>
      </c>
      <c r="O54" s="15">
        <v>1136</v>
      </c>
      <c r="P54" s="15">
        <v>874</v>
      </c>
      <c r="Q54" s="15">
        <v>933</v>
      </c>
      <c r="R54" s="15">
        <v>2262</v>
      </c>
      <c r="S54" s="15">
        <v>5777</v>
      </c>
      <c r="T54" s="15">
        <v>4995</v>
      </c>
      <c r="U54" s="15">
        <v>2178</v>
      </c>
      <c r="V54" s="15">
        <v>5295</v>
      </c>
      <c r="W54" s="15">
        <v>1155</v>
      </c>
      <c r="X54" s="15">
        <v>2569</v>
      </c>
      <c r="Y54" s="15">
        <v>1406</v>
      </c>
      <c r="Z54" s="15">
        <v>1113</v>
      </c>
      <c r="AA54" s="15">
        <v>-1573</v>
      </c>
      <c r="AB54" s="15">
        <v>3194</v>
      </c>
      <c r="AC54" s="15">
        <v>-443</v>
      </c>
      <c r="AD54" s="15">
        <v>911</v>
      </c>
      <c r="AE54" s="15">
        <v>2398</v>
      </c>
      <c r="AF54" s="15">
        <v>-1280</v>
      </c>
      <c r="AG54" s="15">
        <v>2875</v>
      </c>
      <c r="AH54" s="15">
        <v>55</v>
      </c>
      <c r="AI54" s="15">
        <v>-1082</v>
      </c>
      <c r="AJ54" s="15">
        <v>-1885</v>
      </c>
    </row>
    <row r="55" spans="1:36">
      <c r="A55" s="15" t="s">
        <v>419</v>
      </c>
      <c r="B55" s="15">
        <v>17</v>
      </c>
      <c r="C55" s="15">
        <v>12</v>
      </c>
      <c r="D55" s="15">
        <v>5</v>
      </c>
      <c r="E55" s="15">
        <v>4</v>
      </c>
      <c r="F55" s="15">
        <v>-4</v>
      </c>
      <c r="G55" s="15">
        <v>-47</v>
      </c>
      <c r="H55" s="15">
        <v>3</v>
      </c>
      <c r="I55" s="15">
        <v>12</v>
      </c>
      <c r="J55" s="15" t="s">
        <v>291</v>
      </c>
      <c r="K55" s="15">
        <v>1</v>
      </c>
      <c r="L55" s="15">
        <v>2</v>
      </c>
      <c r="M55" s="15">
        <v>3</v>
      </c>
      <c r="N55" s="15" t="s">
        <v>306</v>
      </c>
      <c r="O55" s="15">
        <v>0</v>
      </c>
      <c r="P55" s="15">
        <v>3</v>
      </c>
      <c r="Q55" s="15" t="s">
        <v>306</v>
      </c>
      <c r="R55" s="15" t="s">
        <v>291</v>
      </c>
      <c r="S55" s="15">
        <v>10</v>
      </c>
      <c r="T55" s="15" t="s">
        <v>291</v>
      </c>
      <c r="U55" s="15">
        <v>0</v>
      </c>
      <c r="V55" s="15">
        <v>0</v>
      </c>
      <c r="W55" s="15">
        <v>4</v>
      </c>
      <c r="X55" s="15" t="s">
        <v>291</v>
      </c>
      <c r="Y55" s="15">
        <v>-4</v>
      </c>
      <c r="Z55" s="15" t="s">
        <v>291</v>
      </c>
      <c r="AA55" s="15">
        <v>6</v>
      </c>
      <c r="AB55" s="15" t="s">
        <v>291</v>
      </c>
      <c r="AC55" s="15">
        <v>76</v>
      </c>
      <c r="AD55" s="15">
        <v>29</v>
      </c>
      <c r="AE55" s="15">
        <v>7</v>
      </c>
      <c r="AF55" s="15">
        <v>1</v>
      </c>
      <c r="AG55" s="15">
        <v>1</v>
      </c>
      <c r="AH55" s="15" t="s">
        <v>291</v>
      </c>
      <c r="AI55" s="15" t="s">
        <v>291</v>
      </c>
      <c r="AJ55" s="15" t="s">
        <v>291</v>
      </c>
    </row>
    <row r="56" spans="1:36">
      <c r="A56" s="15" t="s">
        <v>418</v>
      </c>
      <c r="B56" s="15" t="s">
        <v>291</v>
      </c>
      <c r="C56" s="15">
        <v>-18</v>
      </c>
      <c r="D56" s="15" t="s">
        <v>291</v>
      </c>
      <c r="E56" s="15" t="s">
        <v>291</v>
      </c>
      <c r="F56" s="15">
        <v>-3</v>
      </c>
      <c r="G56" s="15">
        <v>4</v>
      </c>
      <c r="H56" s="15">
        <v>9</v>
      </c>
      <c r="I56" s="15" t="s">
        <v>291</v>
      </c>
      <c r="J56" s="15">
        <v>2</v>
      </c>
      <c r="K56" s="15">
        <v>3</v>
      </c>
      <c r="L56" s="15">
        <v>-4</v>
      </c>
      <c r="M56" s="15" t="s">
        <v>291</v>
      </c>
      <c r="N56" s="15" t="s">
        <v>291</v>
      </c>
      <c r="O56" s="15">
        <v>5</v>
      </c>
      <c r="P56" s="15">
        <v>6</v>
      </c>
      <c r="Q56" s="15">
        <v>13</v>
      </c>
      <c r="R56" s="15">
        <v>9</v>
      </c>
      <c r="S56" s="15" t="s">
        <v>273</v>
      </c>
      <c r="T56" s="15" t="s">
        <v>273</v>
      </c>
      <c r="U56" s="15" t="s">
        <v>273</v>
      </c>
      <c r="V56" s="15" t="s">
        <v>273</v>
      </c>
      <c r="W56" s="15" t="s">
        <v>273</v>
      </c>
      <c r="X56" s="15" t="s">
        <v>273</v>
      </c>
      <c r="Y56" s="15" t="s">
        <v>273</v>
      </c>
      <c r="Z56" s="15" t="s">
        <v>273</v>
      </c>
      <c r="AA56" s="15" t="s">
        <v>273</v>
      </c>
      <c r="AB56" s="15" t="s">
        <v>273</v>
      </c>
      <c r="AC56" s="15" t="s">
        <v>273</v>
      </c>
      <c r="AD56" s="15" t="s">
        <v>273</v>
      </c>
      <c r="AE56" s="15" t="s">
        <v>273</v>
      </c>
      <c r="AF56" s="15" t="s">
        <v>273</v>
      </c>
      <c r="AG56" s="15" t="s">
        <v>273</v>
      </c>
      <c r="AH56" s="15" t="s">
        <v>273</v>
      </c>
      <c r="AI56" s="15" t="s">
        <v>273</v>
      </c>
      <c r="AJ56" s="15" t="s">
        <v>273</v>
      </c>
    </row>
    <row r="57" spans="1:36">
      <c r="A57" s="15" t="s">
        <v>417</v>
      </c>
      <c r="B57" s="15">
        <v>4177</v>
      </c>
      <c r="C57" s="15">
        <v>1307</v>
      </c>
      <c r="D57" s="15">
        <v>884</v>
      </c>
      <c r="E57" s="15">
        <v>-1067</v>
      </c>
      <c r="F57" s="15">
        <v>705</v>
      </c>
      <c r="G57" s="15">
        <v>-1586</v>
      </c>
      <c r="H57" s="15">
        <v>-2844</v>
      </c>
      <c r="I57" s="15">
        <v>-1125</v>
      </c>
      <c r="J57" s="15">
        <v>-617</v>
      </c>
      <c r="K57" s="15">
        <v>87</v>
      </c>
      <c r="L57" s="15">
        <v>-235</v>
      </c>
      <c r="M57" s="15">
        <v>-522</v>
      </c>
      <c r="N57" s="15">
        <v>128</v>
      </c>
      <c r="O57" s="15">
        <v>-98</v>
      </c>
      <c r="P57" s="306">
        <f>(O57+Q57)/2</f>
        <v>-807.5</v>
      </c>
      <c r="Q57" s="15">
        <v>-1517</v>
      </c>
      <c r="R57" s="15">
        <v>-27</v>
      </c>
      <c r="S57" s="15" t="s">
        <v>273</v>
      </c>
      <c r="T57" s="15" t="s">
        <v>273</v>
      </c>
      <c r="U57" s="15" t="s">
        <v>273</v>
      </c>
      <c r="V57" s="15" t="s">
        <v>273</v>
      </c>
      <c r="W57" s="15" t="s">
        <v>273</v>
      </c>
      <c r="X57" s="15" t="s">
        <v>273</v>
      </c>
      <c r="Y57" s="15" t="s">
        <v>273</v>
      </c>
      <c r="Z57" s="15" t="s">
        <v>273</v>
      </c>
      <c r="AA57" s="15" t="s">
        <v>273</v>
      </c>
      <c r="AB57" s="15" t="s">
        <v>273</v>
      </c>
      <c r="AC57" s="15" t="s">
        <v>273</v>
      </c>
      <c r="AD57" s="15" t="s">
        <v>273</v>
      </c>
      <c r="AE57" s="15" t="s">
        <v>273</v>
      </c>
      <c r="AF57" s="15" t="s">
        <v>273</v>
      </c>
      <c r="AG57" s="15" t="s">
        <v>273</v>
      </c>
      <c r="AH57" s="15" t="s">
        <v>273</v>
      </c>
      <c r="AI57" s="15" t="s">
        <v>273</v>
      </c>
      <c r="AJ57" s="15" t="s">
        <v>273</v>
      </c>
    </row>
    <row r="58" spans="1:36">
      <c r="A58" s="15" t="s">
        <v>416</v>
      </c>
      <c r="B58" s="15" t="s">
        <v>291</v>
      </c>
      <c r="C58" s="15" t="s">
        <v>291</v>
      </c>
      <c r="D58" s="15">
        <v>-2</v>
      </c>
      <c r="E58" s="15">
        <v>-77</v>
      </c>
      <c r="F58" s="15" t="s">
        <v>291</v>
      </c>
      <c r="G58" s="15">
        <v>17</v>
      </c>
      <c r="H58" s="15" t="s">
        <v>291</v>
      </c>
      <c r="I58" s="15" t="s">
        <v>291</v>
      </c>
      <c r="J58" s="15">
        <v>1</v>
      </c>
      <c r="K58" s="15" t="s">
        <v>291</v>
      </c>
      <c r="L58" s="15">
        <v>1</v>
      </c>
      <c r="M58" s="15" t="s">
        <v>291</v>
      </c>
      <c r="N58" s="15">
        <v>162</v>
      </c>
      <c r="O58" s="15">
        <v>56</v>
      </c>
      <c r="P58" s="15" t="s">
        <v>291</v>
      </c>
      <c r="Q58" s="15" t="s">
        <v>291</v>
      </c>
      <c r="R58" s="15" t="s">
        <v>291</v>
      </c>
      <c r="S58" s="15" t="s">
        <v>273</v>
      </c>
      <c r="T58" s="15" t="s">
        <v>273</v>
      </c>
      <c r="U58" s="15" t="s">
        <v>273</v>
      </c>
      <c r="V58" s="15" t="s">
        <v>273</v>
      </c>
      <c r="W58" s="15" t="s">
        <v>273</v>
      </c>
      <c r="X58" s="15" t="s">
        <v>273</v>
      </c>
      <c r="Y58" s="15" t="s">
        <v>273</v>
      </c>
      <c r="Z58" s="15" t="s">
        <v>273</v>
      </c>
      <c r="AA58" s="15" t="s">
        <v>273</v>
      </c>
      <c r="AB58" s="15" t="s">
        <v>273</v>
      </c>
      <c r="AC58" s="15" t="s">
        <v>273</v>
      </c>
      <c r="AD58" s="15" t="s">
        <v>273</v>
      </c>
      <c r="AE58" s="15" t="s">
        <v>273</v>
      </c>
      <c r="AF58" s="15" t="s">
        <v>273</v>
      </c>
      <c r="AG58" s="15" t="s">
        <v>273</v>
      </c>
      <c r="AH58" s="15" t="s">
        <v>273</v>
      </c>
      <c r="AI58" s="15" t="s">
        <v>273</v>
      </c>
      <c r="AJ58" s="15" t="s">
        <v>273</v>
      </c>
    </row>
    <row r="59" spans="1:36">
      <c r="A59" s="15" t="s">
        <v>415</v>
      </c>
      <c r="B59" s="15">
        <v>37</v>
      </c>
      <c r="C59" s="15">
        <v>37</v>
      </c>
      <c r="D59" s="15">
        <v>53</v>
      </c>
      <c r="E59" s="15">
        <v>86</v>
      </c>
      <c r="F59" s="15">
        <v>59</v>
      </c>
      <c r="G59" s="15">
        <v>74</v>
      </c>
      <c r="H59" s="15">
        <v>-213</v>
      </c>
      <c r="I59" s="15">
        <v>800</v>
      </c>
      <c r="J59" s="15">
        <v>-230</v>
      </c>
      <c r="K59" s="15">
        <v>795</v>
      </c>
      <c r="L59" s="15" t="s">
        <v>291</v>
      </c>
      <c r="M59" s="15">
        <v>185</v>
      </c>
      <c r="N59" s="15" t="s">
        <v>291</v>
      </c>
      <c r="O59" s="15">
        <v>141</v>
      </c>
      <c r="P59" s="15">
        <v>480</v>
      </c>
      <c r="Q59" s="15">
        <v>2730</v>
      </c>
      <c r="R59" s="15">
        <v>3209</v>
      </c>
      <c r="S59" s="15">
        <v>7103</v>
      </c>
      <c r="T59" s="15">
        <v>1017</v>
      </c>
      <c r="U59" s="15">
        <v>253</v>
      </c>
      <c r="V59" s="15">
        <v>-23</v>
      </c>
      <c r="W59" s="15">
        <v>657</v>
      </c>
      <c r="X59" s="15">
        <v>4963</v>
      </c>
      <c r="Y59" s="15">
        <v>-718</v>
      </c>
      <c r="Z59" s="15">
        <v>-5497</v>
      </c>
      <c r="AA59" s="15">
        <v>14277</v>
      </c>
      <c r="AB59" s="15" t="s">
        <v>291</v>
      </c>
      <c r="AC59" s="15">
        <v>-7208</v>
      </c>
      <c r="AD59" s="15">
        <v>-6819</v>
      </c>
      <c r="AE59" s="15">
        <v>1485</v>
      </c>
      <c r="AF59" s="15">
        <v>5412</v>
      </c>
      <c r="AG59" s="15">
        <v>-1798</v>
      </c>
      <c r="AH59" s="15">
        <v>1012</v>
      </c>
      <c r="AI59" s="15">
        <v>-6854</v>
      </c>
      <c r="AJ59" s="15">
        <v>-15252</v>
      </c>
    </row>
    <row r="60" spans="1:36">
      <c r="A60" s="15" t="s">
        <v>67</v>
      </c>
      <c r="B60" s="15">
        <v>130</v>
      </c>
      <c r="C60" s="15" t="s">
        <v>291</v>
      </c>
      <c r="D60" s="15" t="s">
        <v>291</v>
      </c>
      <c r="E60" s="15">
        <v>-6</v>
      </c>
      <c r="F60" s="15" t="s">
        <v>291</v>
      </c>
      <c r="G60" s="15">
        <v>-6</v>
      </c>
      <c r="H60" s="15" t="s">
        <v>291</v>
      </c>
      <c r="I60" s="15" t="s">
        <v>291</v>
      </c>
      <c r="J60" s="15" t="s">
        <v>291</v>
      </c>
      <c r="K60" s="15" t="s">
        <v>291</v>
      </c>
      <c r="L60" s="15" t="s">
        <v>306</v>
      </c>
      <c r="M60" s="15" t="s">
        <v>291</v>
      </c>
      <c r="N60" s="15" t="s">
        <v>291</v>
      </c>
      <c r="O60" s="15" t="s">
        <v>291</v>
      </c>
      <c r="P60" s="15">
        <v>0</v>
      </c>
      <c r="Q60" s="15" t="s">
        <v>291</v>
      </c>
      <c r="R60" s="15">
        <v>3</v>
      </c>
      <c r="S60" s="15" t="s">
        <v>291</v>
      </c>
      <c r="T60" s="15">
        <v>716</v>
      </c>
      <c r="U60" s="15">
        <v>234</v>
      </c>
      <c r="V60" s="15" t="s">
        <v>291</v>
      </c>
      <c r="W60" s="15" t="s">
        <v>291</v>
      </c>
      <c r="X60" s="15" t="s">
        <v>291</v>
      </c>
      <c r="Y60" s="15" t="s">
        <v>291</v>
      </c>
      <c r="Z60" s="15" t="s">
        <v>291</v>
      </c>
      <c r="AA60" s="15" t="s">
        <v>291</v>
      </c>
      <c r="AB60" s="15" t="s">
        <v>291</v>
      </c>
      <c r="AC60" s="15" t="s">
        <v>291</v>
      </c>
      <c r="AD60" s="15">
        <v>-2337</v>
      </c>
      <c r="AE60" s="15">
        <v>1249</v>
      </c>
      <c r="AF60" s="15" t="s">
        <v>291</v>
      </c>
      <c r="AG60" s="15">
        <v>-594</v>
      </c>
      <c r="AH60" s="15" t="s">
        <v>291</v>
      </c>
      <c r="AI60" s="15">
        <v>340</v>
      </c>
      <c r="AJ60" s="15" t="s">
        <v>291</v>
      </c>
    </row>
    <row r="61" spans="1:36">
      <c r="A61" s="15" t="s">
        <v>394</v>
      </c>
      <c r="B61" s="15">
        <v>463</v>
      </c>
      <c r="C61" s="15">
        <v>979</v>
      </c>
      <c r="D61" s="15">
        <v>246</v>
      </c>
      <c r="E61" s="15">
        <v>342</v>
      </c>
      <c r="F61" s="15">
        <v>-290</v>
      </c>
      <c r="G61" s="15">
        <v>-122</v>
      </c>
      <c r="H61" s="15">
        <v>-355</v>
      </c>
      <c r="I61" s="15">
        <v>-364</v>
      </c>
      <c r="J61" s="15">
        <v>109</v>
      </c>
      <c r="K61" s="15">
        <v>124</v>
      </c>
      <c r="L61" s="15" t="s">
        <v>291</v>
      </c>
      <c r="M61" s="15">
        <v>362</v>
      </c>
      <c r="N61" s="15">
        <v>463</v>
      </c>
      <c r="O61" s="15" t="s">
        <v>291</v>
      </c>
      <c r="P61" s="15" t="s">
        <v>291</v>
      </c>
      <c r="Q61" s="15">
        <v>1566</v>
      </c>
      <c r="R61" s="15">
        <v>1925</v>
      </c>
      <c r="S61" s="15">
        <v>38</v>
      </c>
      <c r="T61" s="15">
        <v>796</v>
      </c>
      <c r="U61" s="15" t="s">
        <v>291</v>
      </c>
      <c r="V61" s="15">
        <v>1550</v>
      </c>
      <c r="W61" s="15">
        <v>-603</v>
      </c>
      <c r="X61" s="15">
        <v>1858</v>
      </c>
      <c r="Y61" s="15">
        <v>1188</v>
      </c>
      <c r="Z61" s="15">
        <v>1143</v>
      </c>
      <c r="AA61" s="15">
        <v>1072</v>
      </c>
      <c r="AB61" s="15">
        <v>-361</v>
      </c>
      <c r="AC61" s="15">
        <v>1973</v>
      </c>
      <c r="AD61" s="15">
        <v>2523</v>
      </c>
      <c r="AE61" s="15">
        <v>839</v>
      </c>
      <c r="AF61" s="15">
        <v>-599</v>
      </c>
      <c r="AG61" s="15">
        <v>357</v>
      </c>
      <c r="AH61" s="15">
        <v>287</v>
      </c>
      <c r="AI61" s="15">
        <v>967</v>
      </c>
      <c r="AJ61" s="15">
        <v>431</v>
      </c>
    </row>
    <row r="62" spans="1:36">
      <c r="A62" s="15" t="s">
        <v>393</v>
      </c>
      <c r="B62" s="15">
        <v>67</v>
      </c>
      <c r="C62" s="15">
        <v>17</v>
      </c>
      <c r="D62" s="15">
        <v>30</v>
      </c>
      <c r="E62" s="15" t="s">
        <v>291</v>
      </c>
      <c r="F62" s="15">
        <v>28</v>
      </c>
      <c r="G62" s="15" t="s">
        <v>291</v>
      </c>
      <c r="H62" s="15">
        <v>-3</v>
      </c>
      <c r="I62" s="15">
        <v>22</v>
      </c>
      <c r="J62" s="15">
        <v>8</v>
      </c>
      <c r="K62" s="15">
        <v>11</v>
      </c>
      <c r="L62" s="15">
        <v>290</v>
      </c>
      <c r="M62" s="15" t="s">
        <v>291</v>
      </c>
      <c r="N62" s="15">
        <v>4</v>
      </c>
      <c r="O62" s="15">
        <v>36</v>
      </c>
      <c r="P62" s="15">
        <v>6</v>
      </c>
      <c r="Q62" s="15">
        <v>2</v>
      </c>
      <c r="R62" s="15" t="s">
        <v>291</v>
      </c>
      <c r="S62" s="15">
        <v>76</v>
      </c>
      <c r="T62" s="15">
        <v>-76</v>
      </c>
      <c r="U62" s="15" t="s">
        <v>291</v>
      </c>
      <c r="V62" s="15">
        <v>-84</v>
      </c>
      <c r="W62" s="15" t="s">
        <v>291</v>
      </c>
      <c r="X62" s="15" t="s">
        <v>291</v>
      </c>
      <c r="Y62" s="15">
        <v>49</v>
      </c>
      <c r="Z62" s="15">
        <v>-55</v>
      </c>
      <c r="AA62" s="15" t="s">
        <v>291</v>
      </c>
      <c r="AB62" s="15">
        <v>268</v>
      </c>
      <c r="AC62" s="15">
        <v>4</v>
      </c>
      <c r="AD62" s="15" t="s">
        <v>291</v>
      </c>
      <c r="AE62" s="15" t="s">
        <v>291</v>
      </c>
      <c r="AF62" s="15" t="s">
        <v>291</v>
      </c>
      <c r="AG62" s="15" t="s">
        <v>291</v>
      </c>
      <c r="AH62" s="15" t="s">
        <v>291</v>
      </c>
      <c r="AI62" s="15">
        <v>13</v>
      </c>
      <c r="AJ62" s="15">
        <v>-12</v>
      </c>
    </row>
    <row r="63" spans="1:36">
      <c r="A63" s="15" t="s">
        <v>392</v>
      </c>
      <c r="B63" s="15" t="s">
        <v>291</v>
      </c>
      <c r="C63" s="15">
        <v>12</v>
      </c>
      <c r="D63" s="15" t="s">
        <v>291</v>
      </c>
      <c r="E63" s="15" t="s">
        <v>291</v>
      </c>
      <c r="F63" s="15" t="s">
        <v>291</v>
      </c>
      <c r="G63" s="15" t="s">
        <v>291</v>
      </c>
      <c r="H63" s="15" t="s">
        <v>291</v>
      </c>
      <c r="I63" s="15">
        <v>-20</v>
      </c>
      <c r="J63" s="15">
        <v>7</v>
      </c>
      <c r="K63" s="15">
        <v>5</v>
      </c>
      <c r="L63" s="15">
        <v>-22</v>
      </c>
      <c r="M63" s="15">
        <v>3</v>
      </c>
      <c r="N63" s="15" t="s">
        <v>291</v>
      </c>
      <c r="O63" s="15" t="s">
        <v>291</v>
      </c>
      <c r="P63" s="15">
        <v>36</v>
      </c>
      <c r="Q63" s="15" t="s">
        <v>291</v>
      </c>
      <c r="R63" s="15">
        <v>-14</v>
      </c>
      <c r="S63" s="15" t="s">
        <v>291</v>
      </c>
      <c r="T63" s="15" t="s">
        <v>306</v>
      </c>
      <c r="U63" s="15">
        <v>-3</v>
      </c>
      <c r="V63" s="15">
        <v>0</v>
      </c>
      <c r="W63" s="15" t="s">
        <v>306</v>
      </c>
      <c r="X63" s="15" t="s">
        <v>291</v>
      </c>
      <c r="Y63" s="15" t="s">
        <v>291</v>
      </c>
      <c r="Z63" s="15">
        <v>30</v>
      </c>
      <c r="AA63" s="15" t="s">
        <v>291</v>
      </c>
      <c r="AB63" s="15">
        <v>10</v>
      </c>
      <c r="AC63" s="15">
        <v>128</v>
      </c>
      <c r="AD63" s="15" t="s">
        <v>291</v>
      </c>
      <c r="AE63" s="15">
        <v>19</v>
      </c>
      <c r="AF63" s="15" t="s">
        <v>291</v>
      </c>
      <c r="AG63" s="15" t="s">
        <v>291</v>
      </c>
      <c r="AH63" s="15" t="s">
        <v>291</v>
      </c>
      <c r="AI63" s="15" t="s">
        <v>291</v>
      </c>
      <c r="AJ63" s="15" t="s">
        <v>291</v>
      </c>
    </row>
    <row r="64" spans="1:36">
      <c r="A64" s="15" t="s">
        <v>391</v>
      </c>
      <c r="B64" s="15">
        <v>39</v>
      </c>
      <c r="C64" s="15">
        <v>-3</v>
      </c>
      <c r="D64" s="15">
        <v>-11</v>
      </c>
      <c r="E64" s="15">
        <v>-22</v>
      </c>
      <c r="F64" s="15">
        <v>-112</v>
      </c>
      <c r="G64" s="15">
        <v>-133</v>
      </c>
      <c r="H64" s="15">
        <v>-192</v>
      </c>
      <c r="I64" s="15">
        <v>-395</v>
      </c>
      <c r="J64" s="15">
        <v>0</v>
      </c>
      <c r="K64" s="15">
        <v>-8</v>
      </c>
      <c r="L64" s="15">
        <v>15</v>
      </c>
      <c r="M64" s="15" t="s">
        <v>291</v>
      </c>
      <c r="N64" s="15">
        <v>93</v>
      </c>
      <c r="O64" s="15">
        <v>137</v>
      </c>
      <c r="P64" s="15" t="s">
        <v>291</v>
      </c>
      <c r="Q64" s="15" t="s">
        <v>291</v>
      </c>
      <c r="R64" s="15">
        <v>-334</v>
      </c>
      <c r="S64" s="15">
        <v>305</v>
      </c>
      <c r="T64" s="15">
        <v>570</v>
      </c>
      <c r="U64" s="15" t="s">
        <v>291</v>
      </c>
      <c r="V64" s="15" t="s">
        <v>291</v>
      </c>
      <c r="W64" s="15">
        <v>11</v>
      </c>
      <c r="X64" s="15">
        <v>120</v>
      </c>
      <c r="Y64" s="15" t="s">
        <v>291</v>
      </c>
      <c r="Z64" s="15">
        <v>-90</v>
      </c>
      <c r="AA64" s="15" t="s">
        <v>291</v>
      </c>
      <c r="AB64" s="15" t="s">
        <v>291</v>
      </c>
      <c r="AC64" s="15">
        <v>512</v>
      </c>
      <c r="AD64" s="15" t="s">
        <v>291</v>
      </c>
      <c r="AE64" s="15" t="s">
        <v>291</v>
      </c>
      <c r="AF64" s="15" t="s">
        <v>291</v>
      </c>
      <c r="AG64" s="15">
        <v>194</v>
      </c>
      <c r="AH64" s="15">
        <v>-27</v>
      </c>
      <c r="AI64" s="15">
        <v>-38</v>
      </c>
      <c r="AJ64" s="15" t="s">
        <v>291</v>
      </c>
    </row>
    <row r="65" spans="1:36">
      <c r="A65" s="15" t="s">
        <v>236</v>
      </c>
      <c r="B65" s="15" t="s">
        <v>291</v>
      </c>
      <c r="C65" s="15">
        <v>952</v>
      </c>
      <c r="D65" s="15" t="s">
        <v>291</v>
      </c>
      <c r="E65" s="15">
        <v>202</v>
      </c>
      <c r="F65" s="15" t="s">
        <v>291</v>
      </c>
      <c r="G65" s="15" t="s">
        <v>291</v>
      </c>
      <c r="H65" s="15" t="s">
        <v>291</v>
      </c>
      <c r="I65" s="15">
        <v>29</v>
      </c>
      <c r="J65" s="15">
        <v>93</v>
      </c>
      <c r="K65" s="15">
        <v>116</v>
      </c>
      <c r="L65" s="15" t="s">
        <v>291</v>
      </c>
      <c r="M65" s="15">
        <v>296</v>
      </c>
      <c r="N65" s="15" t="s">
        <v>291</v>
      </c>
      <c r="O65" s="15" t="s">
        <v>291</v>
      </c>
      <c r="P65" s="15">
        <v>594</v>
      </c>
      <c r="Q65" s="15" t="s">
        <v>291</v>
      </c>
      <c r="R65" s="15" t="s">
        <v>291</v>
      </c>
      <c r="S65" s="15" t="s">
        <v>291</v>
      </c>
      <c r="T65" s="15">
        <v>302</v>
      </c>
      <c r="U65" s="15">
        <v>673</v>
      </c>
      <c r="V65" s="15" t="s">
        <v>291</v>
      </c>
      <c r="W65" s="15" t="s">
        <v>291</v>
      </c>
      <c r="X65" s="15">
        <v>1456</v>
      </c>
      <c r="Y65" s="15">
        <v>1016</v>
      </c>
      <c r="Z65" s="15">
        <v>1258</v>
      </c>
      <c r="AA65" s="15">
        <v>1576</v>
      </c>
      <c r="AB65" s="15" t="s">
        <v>291</v>
      </c>
      <c r="AC65" s="15">
        <v>1330</v>
      </c>
      <c r="AD65" s="15">
        <v>2500</v>
      </c>
      <c r="AE65" s="15" t="s">
        <v>291</v>
      </c>
      <c r="AF65" s="15">
        <v>-281</v>
      </c>
      <c r="AG65" s="15" t="s">
        <v>291</v>
      </c>
      <c r="AH65" s="15">
        <v>-879</v>
      </c>
      <c r="AI65" s="15" t="s">
        <v>291</v>
      </c>
      <c r="AJ65" s="15" t="s">
        <v>291</v>
      </c>
    </row>
    <row r="66" spans="1:36">
      <c r="A66" s="15" t="s">
        <v>340</v>
      </c>
      <c r="B66" s="15">
        <v>334</v>
      </c>
      <c r="C66" s="15">
        <v>472</v>
      </c>
      <c r="D66" s="15">
        <v>-7</v>
      </c>
      <c r="E66" s="15">
        <v>-130</v>
      </c>
      <c r="F66" s="15">
        <v>768</v>
      </c>
      <c r="G66" s="15">
        <v>188</v>
      </c>
      <c r="H66" s="15">
        <v>-575</v>
      </c>
      <c r="I66" s="15">
        <v>-169</v>
      </c>
      <c r="J66" s="15">
        <v>-182</v>
      </c>
      <c r="K66" s="15">
        <v>-203</v>
      </c>
      <c r="L66" s="15">
        <v>470</v>
      </c>
      <c r="M66" s="15" t="s">
        <v>291</v>
      </c>
      <c r="N66" s="15">
        <v>311</v>
      </c>
      <c r="O66" s="15">
        <v>-19</v>
      </c>
      <c r="P66" s="15">
        <v>3</v>
      </c>
      <c r="Q66" s="15">
        <v>-96</v>
      </c>
      <c r="R66" s="15">
        <v>1178</v>
      </c>
      <c r="S66" s="15">
        <v>310</v>
      </c>
      <c r="T66" s="15">
        <v>523</v>
      </c>
      <c r="U66" s="15" t="s">
        <v>291</v>
      </c>
      <c r="V66" s="15">
        <v>211</v>
      </c>
      <c r="W66" s="15">
        <v>521</v>
      </c>
      <c r="X66" s="15">
        <v>-1055</v>
      </c>
      <c r="Y66" s="15">
        <v>3077</v>
      </c>
      <c r="Z66" s="15">
        <v>3077</v>
      </c>
      <c r="AA66" s="15">
        <v>1961</v>
      </c>
      <c r="AB66" s="15">
        <v>1502</v>
      </c>
      <c r="AC66" s="15">
        <v>3876</v>
      </c>
      <c r="AD66" s="15">
        <v>-82</v>
      </c>
      <c r="AE66" s="15">
        <v>985</v>
      </c>
      <c r="AF66" s="15">
        <v>3725</v>
      </c>
      <c r="AG66" s="15">
        <v>1449</v>
      </c>
      <c r="AH66" s="15">
        <v>1334</v>
      </c>
      <c r="AI66" s="15">
        <v>1723</v>
      </c>
      <c r="AJ66" s="15">
        <v>1378</v>
      </c>
    </row>
    <row r="67" spans="1:36">
      <c r="A67" s="15" t="s">
        <v>339</v>
      </c>
      <c r="B67" s="15">
        <v>6</v>
      </c>
      <c r="C67" s="15">
        <v>-73</v>
      </c>
      <c r="D67" s="15">
        <v>-8</v>
      </c>
      <c r="E67" s="15">
        <v>-1</v>
      </c>
      <c r="F67" s="15">
        <v>-5</v>
      </c>
      <c r="G67" s="15">
        <v>-15</v>
      </c>
      <c r="H67" s="15">
        <v>-58</v>
      </c>
      <c r="I67" s="15">
        <v>5</v>
      </c>
      <c r="J67" s="15" t="s">
        <v>291</v>
      </c>
      <c r="K67" s="15">
        <v>1</v>
      </c>
      <c r="L67" s="15" t="s">
        <v>291</v>
      </c>
      <c r="M67" s="15">
        <v>5</v>
      </c>
      <c r="N67" s="15">
        <v>141</v>
      </c>
      <c r="O67" s="15" t="s">
        <v>291</v>
      </c>
      <c r="P67" s="15" t="s">
        <v>291</v>
      </c>
      <c r="Q67" s="15" t="s">
        <v>291</v>
      </c>
      <c r="R67" s="15">
        <v>1013</v>
      </c>
      <c r="S67" s="15">
        <v>889</v>
      </c>
      <c r="T67" s="15" t="s">
        <v>291</v>
      </c>
      <c r="U67" s="15">
        <v>895</v>
      </c>
      <c r="V67" s="15" t="s">
        <v>291</v>
      </c>
      <c r="W67" s="15" t="s">
        <v>291</v>
      </c>
      <c r="X67" s="15" t="s">
        <v>291</v>
      </c>
      <c r="Y67" s="15" t="s">
        <v>291</v>
      </c>
      <c r="Z67" s="15" t="s">
        <v>291</v>
      </c>
      <c r="AA67" s="15" t="s">
        <v>291</v>
      </c>
      <c r="AB67" s="15" t="s">
        <v>291</v>
      </c>
      <c r="AC67" s="15">
        <v>549</v>
      </c>
      <c r="AD67" s="15" t="s">
        <v>291</v>
      </c>
      <c r="AE67" s="15" t="s">
        <v>291</v>
      </c>
      <c r="AF67" s="15" t="s">
        <v>291</v>
      </c>
      <c r="AG67" s="15">
        <v>265</v>
      </c>
      <c r="AH67" s="15">
        <v>279</v>
      </c>
      <c r="AI67" s="15">
        <v>290</v>
      </c>
      <c r="AJ67" s="15">
        <v>90</v>
      </c>
    </row>
    <row r="68" spans="1:36">
      <c r="A68" s="15" t="s">
        <v>338</v>
      </c>
      <c r="B68" s="15">
        <v>151</v>
      </c>
      <c r="C68" s="15">
        <v>339</v>
      </c>
      <c r="D68" s="15">
        <v>-188</v>
      </c>
      <c r="E68" s="15">
        <v>-53</v>
      </c>
      <c r="F68" s="15">
        <v>-7</v>
      </c>
      <c r="G68" s="15" t="s">
        <v>291</v>
      </c>
      <c r="H68" s="15" t="s">
        <v>291</v>
      </c>
      <c r="I68" s="15">
        <v>-34</v>
      </c>
      <c r="J68" s="15">
        <v>2</v>
      </c>
      <c r="K68" s="15" t="s">
        <v>291</v>
      </c>
      <c r="L68" s="15">
        <v>6</v>
      </c>
      <c r="M68" s="15">
        <v>15</v>
      </c>
      <c r="N68" s="15">
        <v>65</v>
      </c>
      <c r="O68" s="15">
        <v>-63</v>
      </c>
      <c r="P68" s="15">
        <v>14</v>
      </c>
      <c r="Q68" s="15">
        <v>14</v>
      </c>
      <c r="R68" s="15" t="s">
        <v>291</v>
      </c>
      <c r="S68" s="15" t="s">
        <v>291</v>
      </c>
      <c r="T68" s="15">
        <v>21</v>
      </c>
      <c r="U68" s="15">
        <v>11</v>
      </c>
      <c r="V68" s="15">
        <v>5</v>
      </c>
      <c r="W68" s="15" t="s">
        <v>291</v>
      </c>
      <c r="X68" s="15" t="s">
        <v>291</v>
      </c>
      <c r="Y68" s="15" t="s">
        <v>291</v>
      </c>
      <c r="Z68" s="15" t="s">
        <v>291</v>
      </c>
      <c r="AA68" s="15">
        <v>64</v>
      </c>
      <c r="AB68" s="15">
        <v>-59</v>
      </c>
      <c r="AC68" s="15" t="s">
        <v>291</v>
      </c>
      <c r="AD68" s="15">
        <v>191</v>
      </c>
      <c r="AE68" s="15" t="s">
        <v>291</v>
      </c>
      <c r="AF68" s="15" t="s">
        <v>291</v>
      </c>
      <c r="AG68" s="15" t="s">
        <v>291</v>
      </c>
      <c r="AH68" s="15">
        <v>-13</v>
      </c>
      <c r="AI68" s="15" t="s">
        <v>291</v>
      </c>
      <c r="AJ68" s="15" t="s">
        <v>291</v>
      </c>
    </row>
    <row r="69" spans="1:36">
      <c r="A69" s="15" t="s">
        <v>337</v>
      </c>
      <c r="B69" s="15">
        <v>118</v>
      </c>
      <c r="C69" s="15">
        <v>151</v>
      </c>
      <c r="D69" s="15">
        <v>166</v>
      </c>
      <c r="E69" s="15">
        <v>-156</v>
      </c>
      <c r="F69" s="15">
        <v>34</v>
      </c>
      <c r="G69" s="15">
        <v>-39</v>
      </c>
      <c r="H69" s="15" t="s">
        <v>291</v>
      </c>
      <c r="I69" s="15" t="s">
        <v>291</v>
      </c>
      <c r="J69" s="15" t="s">
        <v>291</v>
      </c>
      <c r="K69" s="15">
        <v>1</v>
      </c>
      <c r="L69" s="15" t="s">
        <v>291</v>
      </c>
      <c r="M69" s="15">
        <v>-43</v>
      </c>
      <c r="N69" s="15" t="s">
        <v>291</v>
      </c>
      <c r="O69" s="15">
        <v>-30</v>
      </c>
      <c r="P69" s="15" t="s">
        <v>291</v>
      </c>
      <c r="Q69" s="15">
        <v>-1</v>
      </c>
      <c r="R69" s="15">
        <v>7</v>
      </c>
      <c r="S69" s="15">
        <v>-3</v>
      </c>
      <c r="T69" s="15" t="s">
        <v>291</v>
      </c>
      <c r="U69" s="15">
        <v>0</v>
      </c>
      <c r="V69" s="15">
        <v>3</v>
      </c>
      <c r="W69" s="15">
        <v>14</v>
      </c>
      <c r="X69" s="15" t="s">
        <v>291</v>
      </c>
      <c r="Y69" s="15">
        <v>2</v>
      </c>
      <c r="Z69" s="15" t="s">
        <v>291</v>
      </c>
      <c r="AA69" s="15" t="s">
        <v>291</v>
      </c>
      <c r="AB69" s="15" t="s">
        <v>291</v>
      </c>
      <c r="AC69" s="15" t="s">
        <v>291</v>
      </c>
      <c r="AD69" s="15" t="s">
        <v>291</v>
      </c>
      <c r="AE69" s="15">
        <v>4</v>
      </c>
      <c r="AF69" s="15">
        <v>2</v>
      </c>
      <c r="AG69" s="15" t="s">
        <v>291</v>
      </c>
      <c r="AH69" s="15" t="s">
        <v>291</v>
      </c>
      <c r="AI69" s="15" t="s">
        <v>291</v>
      </c>
      <c r="AJ69" s="15" t="s">
        <v>291</v>
      </c>
    </row>
    <row r="70" spans="1:36">
      <c r="A70" s="15" t="s">
        <v>236</v>
      </c>
      <c r="B70" s="15">
        <v>58</v>
      </c>
      <c r="C70" s="15">
        <v>56</v>
      </c>
      <c r="D70" s="15">
        <v>23</v>
      </c>
      <c r="E70" s="15">
        <v>80</v>
      </c>
      <c r="F70" s="15">
        <v>747</v>
      </c>
      <c r="G70" s="15" t="s">
        <v>291</v>
      </c>
      <c r="H70" s="15">
        <v>-20</v>
      </c>
      <c r="I70" s="15" t="s">
        <v>291</v>
      </c>
      <c r="J70" s="15">
        <v>-164</v>
      </c>
      <c r="K70" s="15" t="s">
        <v>291</v>
      </c>
      <c r="L70" s="15">
        <v>223</v>
      </c>
      <c r="M70" s="15" t="s">
        <v>291</v>
      </c>
      <c r="N70" s="15" t="s">
        <v>291</v>
      </c>
      <c r="O70" s="15" t="s">
        <v>291</v>
      </c>
      <c r="P70" s="15" t="s">
        <v>291</v>
      </c>
      <c r="Q70" s="15" t="s">
        <v>291</v>
      </c>
      <c r="R70" s="15" t="s">
        <v>291</v>
      </c>
      <c r="S70" s="15" t="s">
        <v>291</v>
      </c>
      <c r="T70" s="15">
        <v>19</v>
      </c>
      <c r="U70" s="15" t="s">
        <v>291</v>
      </c>
      <c r="V70" s="15" t="s">
        <v>291</v>
      </c>
      <c r="W70" s="15" t="s">
        <v>291</v>
      </c>
      <c r="X70" s="15" t="s">
        <v>291</v>
      </c>
      <c r="Y70" s="15" t="s">
        <v>291</v>
      </c>
      <c r="Z70" s="15">
        <v>306</v>
      </c>
      <c r="AA70" s="15" t="s">
        <v>291</v>
      </c>
      <c r="AB70" s="15" t="s">
        <v>291</v>
      </c>
      <c r="AC70" s="15" t="s">
        <v>291</v>
      </c>
      <c r="AD70" s="15" t="s">
        <v>291</v>
      </c>
      <c r="AE70" s="15">
        <v>490</v>
      </c>
      <c r="AF70" s="15">
        <v>2324</v>
      </c>
      <c r="AG70" s="15" t="s">
        <v>291</v>
      </c>
      <c r="AH70" s="15" t="s">
        <v>291</v>
      </c>
      <c r="AI70" s="15">
        <v>517</v>
      </c>
      <c r="AJ70" s="15">
        <v>583</v>
      </c>
    </row>
    <row r="71" spans="1:36">
      <c r="A71" s="15" t="s">
        <v>323</v>
      </c>
      <c r="B71" s="15">
        <v>697</v>
      </c>
      <c r="C71" s="15">
        <v>1396</v>
      </c>
      <c r="D71" s="15">
        <v>-604</v>
      </c>
      <c r="E71" s="15">
        <v>903</v>
      </c>
      <c r="F71" s="15">
        <v>395</v>
      </c>
      <c r="G71" s="15">
        <v>887</v>
      </c>
      <c r="H71" s="15">
        <v>-1604</v>
      </c>
      <c r="I71" s="15">
        <v>1304</v>
      </c>
      <c r="J71" s="15">
        <v>502</v>
      </c>
      <c r="K71" s="15">
        <v>1636</v>
      </c>
      <c r="L71" s="15">
        <v>1003</v>
      </c>
      <c r="M71" s="15">
        <v>2204</v>
      </c>
      <c r="N71" s="15">
        <v>3768</v>
      </c>
      <c r="O71" s="15">
        <v>5224</v>
      </c>
      <c r="P71" s="15">
        <v>2918</v>
      </c>
      <c r="Q71" s="15">
        <v>5422</v>
      </c>
      <c r="R71" s="15">
        <v>7923</v>
      </c>
      <c r="S71" s="15">
        <v>13902</v>
      </c>
      <c r="T71" s="15">
        <v>5190</v>
      </c>
      <c r="U71" s="15">
        <v>5513</v>
      </c>
      <c r="V71" s="15">
        <v>2374</v>
      </c>
      <c r="W71" s="15">
        <v>1647</v>
      </c>
      <c r="X71" s="15">
        <v>61181</v>
      </c>
      <c r="Y71" s="15">
        <v>1319</v>
      </c>
      <c r="Z71" s="15">
        <v>-1527</v>
      </c>
      <c r="AA71" s="15">
        <v>26422</v>
      </c>
      <c r="AB71" s="15">
        <v>23304</v>
      </c>
      <c r="AC71" s="15">
        <v>-5992</v>
      </c>
      <c r="AD71" s="15">
        <v>-12262</v>
      </c>
      <c r="AE71" s="15">
        <v>-1498</v>
      </c>
      <c r="AF71" s="15">
        <v>-10626</v>
      </c>
      <c r="AG71" s="15">
        <v>7552</v>
      </c>
      <c r="AH71" s="15">
        <v>3937</v>
      </c>
      <c r="AI71" s="15">
        <v>2143</v>
      </c>
      <c r="AJ71" s="15">
        <v>10282</v>
      </c>
    </row>
    <row r="72" spans="1:36">
      <c r="A72" s="15" t="s">
        <v>322</v>
      </c>
      <c r="B72" s="15">
        <v>144</v>
      </c>
      <c r="C72" s="15">
        <v>191</v>
      </c>
      <c r="D72" s="15">
        <v>-773</v>
      </c>
      <c r="E72" s="15">
        <v>282</v>
      </c>
      <c r="F72" s="15" t="s">
        <v>291</v>
      </c>
      <c r="G72" s="15" t="s">
        <v>291</v>
      </c>
      <c r="H72" s="15">
        <v>-24</v>
      </c>
      <c r="I72" s="15">
        <v>912</v>
      </c>
      <c r="J72" s="15">
        <v>332</v>
      </c>
      <c r="K72" s="15">
        <v>1046</v>
      </c>
      <c r="L72" s="15">
        <v>444</v>
      </c>
      <c r="M72" s="15">
        <v>388</v>
      </c>
      <c r="N72" s="15">
        <v>-56</v>
      </c>
      <c r="O72" s="15">
        <v>3546</v>
      </c>
      <c r="P72" s="15">
        <v>2126</v>
      </c>
      <c r="Q72" s="15">
        <v>212</v>
      </c>
      <c r="R72" s="15">
        <v>4363</v>
      </c>
      <c r="S72" s="15">
        <v>3144</v>
      </c>
      <c r="T72" s="15">
        <v>-343</v>
      </c>
      <c r="U72" s="15">
        <v>-471</v>
      </c>
      <c r="V72" s="15">
        <v>597</v>
      </c>
      <c r="W72" s="15">
        <v>2015</v>
      </c>
      <c r="X72" s="15" t="s">
        <v>291</v>
      </c>
      <c r="Y72" s="15">
        <v>1231</v>
      </c>
      <c r="Z72" s="15">
        <v>-7390</v>
      </c>
      <c r="AA72" s="15">
        <v>2773</v>
      </c>
      <c r="AB72" s="15">
        <v>6122</v>
      </c>
      <c r="AC72" s="15">
        <v>-1340</v>
      </c>
      <c r="AD72" s="15">
        <v>3524</v>
      </c>
      <c r="AE72" s="15">
        <v>1940</v>
      </c>
      <c r="AF72" s="15">
        <v>3314</v>
      </c>
      <c r="AG72" s="15">
        <v>3802</v>
      </c>
      <c r="AH72" s="15">
        <v>779</v>
      </c>
      <c r="AI72" s="15">
        <v>-434</v>
      </c>
      <c r="AJ72" s="15">
        <v>6447</v>
      </c>
    </row>
    <row r="73" spans="1:36">
      <c r="A73" s="15" t="s">
        <v>321</v>
      </c>
      <c r="B73" s="15">
        <v>40</v>
      </c>
      <c r="C73" s="15" t="s">
        <v>291</v>
      </c>
      <c r="D73" s="15">
        <v>212</v>
      </c>
      <c r="E73" s="15">
        <v>160</v>
      </c>
      <c r="F73" s="15">
        <v>46</v>
      </c>
      <c r="G73" s="15">
        <v>66</v>
      </c>
      <c r="H73" s="15">
        <v>139</v>
      </c>
      <c r="I73" s="15">
        <v>90</v>
      </c>
      <c r="J73" s="15">
        <v>183</v>
      </c>
      <c r="K73" s="15">
        <v>37</v>
      </c>
      <c r="L73" s="15">
        <v>77</v>
      </c>
      <c r="M73" s="15">
        <v>302</v>
      </c>
      <c r="N73" s="15">
        <v>509</v>
      </c>
      <c r="O73" s="15">
        <v>356</v>
      </c>
      <c r="P73" s="15">
        <v>347</v>
      </c>
      <c r="Q73" s="15">
        <v>131</v>
      </c>
      <c r="R73" s="15">
        <v>1012</v>
      </c>
      <c r="S73" s="15">
        <v>1148</v>
      </c>
      <c r="T73" s="15">
        <v>370</v>
      </c>
      <c r="U73" s="15">
        <v>1504</v>
      </c>
      <c r="V73" s="15">
        <v>298</v>
      </c>
      <c r="W73" s="15">
        <v>452</v>
      </c>
      <c r="X73" s="15">
        <v>1127</v>
      </c>
      <c r="Y73" s="15">
        <v>390</v>
      </c>
      <c r="Z73" s="15">
        <v>845</v>
      </c>
      <c r="AA73" s="15">
        <v>1529</v>
      </c>
      <c r="AB73" s="15" t="s">
        <v>291</v>
      </c>
      <c r="AC73" s="15">
        <v>-10658</v>
      </c>
      <c r="AD73" s="15">
        <v>-442</v>
      </c>
      <c r="AE73" s="15">
        <v>-7701</v>
      </c>
      <c r="AF73" s="15">
        <v>-4848</v>
      </c>
      <c r="AG73" s="15">
        <v>834</v>
      </c>
      <c r="AH73" s="15">
        <v>-441</v>
      </c>
      <c r="AI73" s="15">
        <v>-107</v>
      </c>
      <c r="AJ73" s="15">
        <v>18</v>
      </c>
    </row>
    <row r="74" spans="1:36">
      <c r="A74" s="15" t="s">
        <v>320</v>
      </c>
      <c r="B74" s="15">
        <v>41</v>
      </c>
      <c r="C74" s="15">
        <v>111</v>
      </c>
      <c r="D74" s="15">
        <v>229</v>
      </c>
      <c r="E74" s="15">
        <v>-7</v>
      </c>
      <c r="F74" s="15">
        <v>375</v>
      </c>
      <c r="G74" s="15">
        <v>-4</v>
      </c>
      <c r="H74" s="15">
        <v>-215</v>
      </c>
      <c r="I74" s="15">
        <v>86</v>
      </c>
      <c r="J74" s="15">
        <v>-94</v>
      </c>
      <c r="K74" s="15">
        <v>56</v>
      </c>
      <c r="L74" s="15" t="s">
        <v>291</v>
      </c>
      <c r="M74" s="15">
        <v>227</v>
      </c>
      <c r="N74" s="15">
        <v>426</v>
      </c>
      <c r="O74" s="15">
        <v>-36</v>
      </c>
      <c r="P74" s="15">
        <v>64</v>
      </c>
      <c r="Q74" s="15">
        <v>3780</v>
      </c>
      <c r="R74" s="15">
        <v>1182</v>
      </c>
      <c r="S74" s="15">
        <v>1959</v>
      </c>
      <c r="T74" s="15">
        <v>1326</v>
      </c>
      <c r="U74" s="15">
        <v>346</v>
      </c>
      <c r="V74" s="15">
        <v>112</v>
      </c>
      <c r="W74" s="15">
        <v>-19</v>
      </c>
      <c r="X74" s="15">
        <v>1233</v>
      </c>
      <c r="Y74" s="15">
        <v>1582</v>
      </c>
      <c r="Z74" s="15">
        <v>-131</v>
      </c>
      <c r="AA74" s="15">
        <v>1113</v>
      </c>
      <c r="AB74" s="15">
        <v>2613</v>
      </c>
      <c r="AC74" s="15">
        <v>1444</v>
      </c>
      <c r="AD74" s="15" t="s">
        <v>291</v>
      </c>
      <c r="AE74" s="15">
        <v>-142</v>
      </c>
      <c r="AF74" s="15" t="s">
        <v>291</v>
      </c>
      <c r="AG74" s="15">
        <v>901</v>
      </c>
      <c r="AH74" s="15">
        <v>-921</v>
      </c>
      <c r="AI74" s="15">
        <v>371</v>
      </c>
      <c r="AJ74" s="15">
        <v>336</v>
      </c>
    </row>
    <row r="75" spans="1:36">
      <c r="A75" s="15" t="s">
        <v>319</v>
      </c>
      <c r="B75" s="15">
        <v>13</v>
      </c>
      <c r="C75" s="15">
        <v>-15</v>
      </c>
      <c r="D75" s="15">
        <v>-61</v>
      </c>
      <c r="E75" s="15">
        <v>-4</v>
      </c>
      <c r="F75" s="15">
        <v>-10</v>
      </c>
      <c r="G75" s="15">
        <v>-27</v>
      </c>
      <c r="H75" s="15">
        <v>-106</v>
      </c>
      <c r="I75" s="15" t="s">
        <v>291</v>
      </c>
      <c r="J75" s="15">
        <v>2</v>
      </c>
      <c r="K75" s="15">
        <v>30</v>
      </c>
      <c r="L75" s="15">
        <v>-13</v>
      </c>
      <c r="M75" s="15">
        <v>32</v>
      </c>
      <c r="N75" s="15">
        <v>120</v>
      </c>
      <c r="O75" s="15">
        <v>29</v>
      </c>
      <c r="P75" s="15">
        <v>84</v>
      </c>
      <c r="Q75" s="15">
        <v>235</v>
      </c>
      <c r="R75" s="15">
        <v>311</v>
      </c>
      <c r="S75" s="15" t="s">
        <v>291</v>
      </c>
      <c r="T75" s="15">
        <v>40</v>
      </c>
      <c r="U75" s="15">
        <v>203</v>
      </c>
      <c r="V75" s="15" t="s">
        <v>291</v>
      </c>
      <c r="W75" s="15">
        <v>18</v>
      </c>
      <c r="X75" s="15">
        <v>61</v>
      </c>
      <c r="Y75" s="15">
        <v>-129</v>
      </c>
      <c r="Z75" s="15">
        <v>462</v>
      </c>
      <c r="AA75" s="15">
        <v>2194</v>
      </c>
      <c r="AB75" s="15">
        <v>1724</v>
      </c>
      <c r="AC75" s="15">
        <v>-140</v>
      </c>
      <c r="AD75" s="15">
        <v>325</v>
      </c>
      <c r="AE75" s="15">
        <v>973</v>
      </c>
      <c r="AF75" s="15">
        <v>769</v>
      </c>
      <c r="AG75" s="15">
        <v>66</v>
      </c>
      <c r="AH75" s="15">
        <v>970</v>
      </c>
      <c r="AI75" s="15">
        <v>8</v>
      </c>
      <c r="AJ75" s="15">
        <v>-358</v>
      </c>
    </row>
    <row r="76" spans="1:36">
      <c r="A76" s="15" t="s">
        <v>318</v>
      </c>
      <c r="B76" s="15">
        <v>254</v>
      </c>
      <c r="C76" s="15">
        <v>388</v>
      </c>
      <c r="D76" s="15">
        <v>20</v>
      </c>
      <c r="E76" s="15">
        <v>256</v>
      </c>
      <c r="F76" s="15">
        <v>-32</v>
      </c>
      <c r="G76" s="15">
        <v>595</v>
      </c>
      <c r="H76" s="15">
        <v>-466</v>
      </c>
      <c r="I76" s="15">
        <v>-10</v>
      </c>
      <c r="J76" s="15">
        <v>31</v>
      </c>
      <c r="K76" s="15">
        <v>102</v>
      </c>
      <c r="L76" s="15">
        <v>156</v>
      </c>
      <c r="M76" s="15">
        <v>106</v>
      </c>
      <c r="N76" s="15">
        <v>444</v>
      </c>
      <c r="O76" s="15">
        <v>-67</v>
      </c>
      <c r="P76" s="15">
        <v>77</v>
      </c>
      <c r="Q76" s="15">
        <v>-612</v>
      </c>
      <c r="R76" s="15">
        <v>616</v>
      </c>
      <c r="S76" s="15">
        <v>273</v>
      </c>
      <c r="T76" s="15">
        <v>22</v>
      </c>
      <c r="U76" s="15">
        <v>466</v>
      </c>
      <c r="V76" s="15" t="s">
        <v>291</v>
      </c>
      <c r="W76" s="15">
        <v>14</v>
      </c>
      <c r="X76" s="15">
        <v>66</v>
      </c>
      <c r="Y76" s="15">
        <v>-315</v>
      </c>
      <c r="Z76" s="15">
        <v>-252</v>
      </c>
      <c r="AA76" s="15" t="s">
        <v>291</v>
      </c>
      <c r="AB76" s="15">
        <v>273</v>
      </c>
      <c r="AC76" s="15">
        <v>373</v>
      </c>
      <c r="AD76" s="15" t="s">
        <v>291</v>
      </c>
      <c r="AE76" s="15" t="s">
        <v>291</v>
      </c>
      <c r="AF76" s="15">
        <v>312</v>
      </c>
      <c r="AG76" s="15" t="s">
        <v>291</v>
      </c>
      <c r="AH76" s="15">
        <v>442</v>
      </c>
      <c r="AI76" s="15" t="s">
        <v>291</v>
      </c>
      <c r="AJ76" s="15" t="s">
        <v>291</v>
      </c>
    </row>
    <row r="77" spans="1:36">
      <c r="A77" s="15" t="s">
        <v>317</v>
      </c>
      <c r="B77" s="15">
        <v>32</v>
      </c>
      <c r="C77" s="15">
        <v>357</v>
      </c>
      <c r="D77" s="15">
        <v>-409</v>
      </c>
      <c r="E77" s="15">
        <v>193</v>
      </c>
      <c r="F77" s="15">
        <v>-94</v>
      </c>
      <c r="G77" s="15">
        <v>-136</v>
      </c>
      <c r="H77" s="15">
        <v>-893</v>
      </c>
      <c r="I77" s="15">
        <v>-397</v>
      </c>
      <c r="J77" s="15">
        <v>-119</v>
      </c>
      <c r="K77" s="15">
        <v>-815</v>
      </c>
      <c r="L77" s="15">
        <v>-425</v>
      </c>
      <c r="M77" s="15">
        <v>1131</v>
      </c>
      <c r="N77" s="15">
        <v>486</v>
      </c>
      <c r="O77" s="15">
        <v>418</v>
      </c>
      <c r="P77" s="15">
        <v>-1325</v>
      </c>
      <c r="Q77" s="15">
        <v>103</v>
      </c>
      <c r="R77" s="15">
        <v>2138</v>
      </c>
      <c r="S77" s="15">
        <v>2859</v>
      </c>
      <c r="T77" s="15">
        <v>2673</v>
      </c>
      <c r="U77" s="15">
        <v>-38</v>
      </c>
      <c r="V77" s="15">
        <v>656</v>
      </c>
      <c r="W77" s="15">
        <v>911</v>
      </c>
      <c r="X77" s="15">
        <v>2248</v>
      </c>
      <c r="Y77" s="15">
        <v>-2227</v>
      </c>
      <c r="Z77" s="15">
        <v>-1550</v>
      </c>
      <c r="AA77" s="15">
        <v>12755</v>
      </c>
      <c r="AB77" s="15" t="s">
        <v>291</v>
      </c>
      <c r="AC77" s="15">
        <v>2224</v>
      </c>
      <c r="AD77" s="15">
        <v>-2915</v>
      </c>
      <c r="AE77" s="15">
        <v>1370</v>
      </c>
      <c r="AF77" s="15">
        <v>-525</v>
      </c>
      <c r="AG77" s="15">
        <v>324</v>
      </c>
      <c r="AH77" s="15">
        <v>-1818</v>
      </c>
      <c r="AI77" s="15">
        <v>-1494</v>
      </c>
      <c r="AJ77" s="15">
        <v>-430</v>
      </c>
    </row>
    <row r="78" spans="1:36">
      <c r="A78" s="15" t="s">
        <v>316</v>
      </c>
      <c r="B78" s="15">
        <v>-86</v>
      </c>
      <c r="C78" s="15">
        <v>13</v>
      </c>
      <c r="D78" s="15">
        <v>27</v>
      </c>
      <c r="E78" s="15">
        <v>28</v>
      </c>
      <c r="F78" s="15">
        <v>57</v>
      </c>
      <c r="G78" s="15">
        <v>67</v>
      </c>
      <c r="H78" s="15">
        <v>71</v>
      </c>
      <c r="I78" s="15">
        <v>175</v>
      </c>
      <c r="J78" s="15">
        <v>140</v>
      </c>
      <c r="K78" s="15">
        <v>121</v>
      </c>
      <c r="L78" s="15">
        <v>-51</v>
      </c>
      <c r="M78" s="15">
        <v>100</v>
      </c>
      <c r="N78" s="15">
        <v>154</v>
      </c>
      <c r="O78" s="15">
        <v>282</v>
      </c>
      <c r="P78" s="15">
        <v>102</v>
      </c>
      <c r="Q78" s="15">
        <v>337</v>
      </c>
      <c r="R78" s="15">
        <v>-69</v>
      </c>
      <c r="S78" s="15">
        <v>1390</v>
      </c>
      <c r="T78" s="15">
        <v>720</v>
      </c>
      <c r="U78" s="15">
        <v>196</v>
      </c>
      <c r="V78" s="15" t="s">
        <v>291</v>
      </c>
      <c r="W78" s="15">
        <v>-11</v>
      </c>
      <c r="X78" s="15">
        <v>2266</v>
      </c>
      <c r="Y78" s="15">
        <v>29</v>
      </c>
      <c r="Z78" s="15">
        <v>-498</v>
      </c>
      <c r="AA78" s="15">
        <v>-58</v>
      </c>
      <c r="AB78" s="15">
        <v>184</v>
      </c>
      <c r="AC78" s="15">
        <v>574</v>
      </c>
      <c r="AD78" s="15">
        <v>-408</v>
      </c>
      <c r="AE78" s="15">
        <v>-222</v>
      </c>
      <c r="AF78" s="15">
        <v>-68</v>
      </c>
      <c r="AG78" s="15">
        <v>-162</v>
      </c>
      <c r="AH78" s="15">
        <v>1841</v>
      </c>
      <c r="AI78" s="15">
        <v>7</v>
      </c>
      <c r="AJ78" s="15">
        <v>-647</v>
      </c>
    </row>
    <row r="79" spans="1:36">
      <c r="A79" s="15" t="s">
        <v>315</v>
      </c>
      <c r="B79" s="15">
        <v>10</v>
      </c>
      <c r="C79" s="15">
        <v>-12</v>
      </c>
      <c r="D79" s="15" t="s">
        <v>291</v>
      </c>
      <c r="E79" s="15">
        <v>7</v>
      </c>
      <c r="F79" s="15">
        <v>-19</v>
      </c>
      <c r="G79" s="15">
        <v>-5</v>
      </c>
      <c r="H79" s="15">
        <v>4</v>
      </c>
      <c r="I79" s="15">
        <v>79</v>
      </c>
      <c r="J79" s="15">
        <v>44</v>
      </c>
      <c r="K79" s="15">
        <v>24</v>
      </c>
      <c r="L79" s="15">
        <v>99</v>
      </c>
      <c r="M79" s="15">
        <v>46</v>
      </c>
      <c r="N79" s="15">
        <v>197</v>
      </c>
      <c r="O79" s="15">
        <v>166</v>
      </c>
      <c r="P79" s="15">
        <v>179</v>
      </c>
      <c r="Q79" s="15">
        <v>134</v>
      </c>
      <c r="R79" s="15">
        <v>63</v>
      </c>
      <c r="S79" s="15">
        <v>-17</v>
      </c>
      <c r="T79" s="15">
        <v>362</v>
      </c>
      <c r="U79" s="15" t="s">
        <v>291</v>
      </c>
      <c r="V79" s="15">
        <v>-25</v>
      </c>
      <c r="W79" s="15">
        <v>7</v>
      </c>
      <c r="X79" s="15">
        <v>236</v>
      </c>
      <c r="Y79" s="15">
        <v>41</v>
      </c>
      <c r="Z79" s="15" t="s">
        <v>291</v>
      </c>
      <c r="AA79" s="15">
        <v>55</v>
      </c>
      <c r="AB79" s="15">
        <v>-4</v>
      </c>
      <c r="AC79" s="15">
        <v>-397</v>
      </c>
      <c r="AD79" s="15">
        <v>5</v>
      </c>
      <c r="AE79" s="15">
        <v>13</v>
      </c>
      <c r="AF79" s="15" t="s">
        <v>291</v>
      </c>
      <c r="AG79" s="15">
        <v>5</v>
      </c>
      <c r="AH79" s="15">
        <v>-11</v>
      </c>
      <c r="AI79" s="15" t="s">
        <v>291</v>
      </c>
      <c r="AJ79" s="15">
        <v>-12</v>
      </c>
    </row>
    <row r="80" spans="1:36">
      <c r="A80" s="15" t="s">
        <v>314</v>
      </c>
      <c r="B80" s="15">
        <v>40</v>
      </c>
      <c r="C80" s="15" t="s">
        <v>306</v>
      </c>
      <c r="D80" s="15">
        <v>2</v>
      </c>
      <c r="E80" s="15">
        <v>-27</v>
      </c>
      <c r="F80" s="15" t="s">
        <v>291</v>
      </c>
      <c r="G80" s="15" t="s">
        <v>291</v>
      </c>
      <c r="H80" s="15">
        <v>105</v>
      </c>
      <c r="I80" s="15" t="s">
        <v>291</v>
      </c>
      <c r="J80" s="15">
        <v>68</v>
      </c>
      <c r="K80" s="15" t="s">
        <v>291</v>
      </c>
      <c r="L80" s="15">
        <v>58</v>
      </c>
      <c r="M80" s="15">
        <v>63</v>
      </c>
      <c r="N80" s="15">
        <v>644</v>
      </c>
      <c r="O80" s="15" t="s">
        <v>291</v>
      </c>
      <c r="P80" s="15" t="s">
        <v>291</v>
      </c>
      <c r="Q80" s="15">
        <v>447</v>
      </c>
      <c r="R80" s="15" t="s">
        <v>291</v>
      </c>
      <c r="S80" s="15" t="s">
        <v>291</v>
      </c>
      <c r="T80" s="15" t="s">
        <v>291</v>
      </c>
      <c r="U80" s="15">
        <v>12</v>
      </c>
      <c r="V80" s="15">
        <v>-550</v>
      </c>
      <c r="W80" s="15" t="s">
        <v>291</v>
      </c>
      <c r="X80" s="15" t="s">
        <v>291</v>
      </c>
      <c r="Y80" s="15" t="s">
        <v>291</v>
      </c>
      <c r="Z80" s="15">
        <v>25</v>
      </c>
      <c r="AA80" s="15" t="s">
        <v>291</v>
      </c>
      <c r="AB80" s="15" t="s">
        <v>291</v>
      </c>
      <c r="AC80" s="15">
        <v>161</v>
      </c>
      <c r="AD80" s="15" t="s">
        <v>291</v>
      </c>
      <c r="AE80" s="15" t="s">
        <v>291</v>
      </c>
      <c r="AF80" s="15">
        <v>34</v>
      </c>
      <c r="AG80" s="15" t="s">
        <v>291</v>
      </c>
      <c r="AH80" s="15" t="s">
        <v>291</v>
      </c>
      <c r="AI80" s="15">
        <v>-48</v>
      </c>
      <c r="AJ80" s="15" t="s">
        <v>291</v>
      </c>
    </row>
    <row r="81" spans="1:36">
      <c r="A81" s="15" t="s">
        <v>313</v>
      </c>
      <c r="B81" s="15">
        <v>-18</v>
      </c>
      <c r="C81" s="15">
        <v>-21</v>
      </c>
      <c r="D81" s="15">
        <v>21</v>
      </c>
      <c r="E81" s="15">
        <v>-75</v>
      </c>
      <c r="F81" s="15">
        <v>-37</v>
      </c>
      <c r="G81" s="15">
        <v>19</v>
      </c>
      <c r="H81" s="15">
        <v>-98</v>
      </c>
      <c r="I81" s="15">
        <v>-1</v>
      </c>
      <c r="J81" s="15">
        <v>-64</v>
      </c>
      <c r="K81" s="15">
        <v>41</v>
      </c>
      <c r="L81" s="15">
        <v>-81</v>
      </c>
      <c r="M81" s="15">
        <v>-31</v>
      </c>
      <c r="N81" s="15">
        <v>75</v>
      </c>
      <c r="O81" s="15" t="s">
        <v>291</v>
      </c>
      <c r="P81" s="15">
        <v>3</v>
      </c>
      <c r="Q81" s="15" t="s">
        <v>291</v>
      </c>
      <c r="R81" s="15">
        <v>103</v>
      </c>
      <c r="S81" s="15">
        <v>232</v>
      </c>
      <c r="T81" s="15">
        <v>-12</v>
      </c>
      <c r="U81" s="15">
        <v>5</v>
      </c>
      <c r="V81" s="15" t="s">
        <v>291</v>
      </c>
      <c r="W81" s="15" t="s">
        <v>291</v>
      </c>
      <c r="X81" s="15">
        <v>57</v>
      </c>
      <c r="Y81" s="15" t="s">
        <v>291</v>
      </c>
      <c r="Z81" s="15" t="s">
        <v>291</v>
      </c>
      <c r="AA81" s="15">
        <v>-2869</v>
      </c>
      <c r="AB81" s="15">
        <v>49</v>
      </c>
      <c r="AC81" s="15">
        <v>-134</v>
      </c>
      <c r="AD81" s="15" t="s">
        <v>291</v>
      </c>
      <c r="AE81" s="15">
        <v>-35</v>
      </c>
      <c r="AF81" s="15" t="s">
        <v>291</v>
      </c>
      <c r="AG81" s="15" t="s">
        <v>291</v>
      </c>
      <c r="AH81" s="15" t="s">
        <v>291</v>
      </c>
      <c r="AI81" s="15" t="s">
        <v>306</v>
      </c>
      <c r="AJ81" s="15" t="s">
        <v>291</v>
      </c>
    </row>
    <row r="82" spans="1:36">
      <c r="A82" s="15" t="s">
        <v>312</v>
      </c>
      <c r="B82" s="15">
        <v>47</v>
      </c>
      <c r="C82" s="15">
        <v>35</v>
      </c>
      <c r="D82" s="15">
        <v>22</v>
      </c>
      <c r="E82" s="15">
        <v>56</v>
      </c>
      <c r="F82" s="15">
        <v>7</v>
      </c>
      <c r="G82" s="15">
        <v>103</v>
      </c>
      <c r="H82" s="15">
        <v>-142</v>
      </c>
      <c r="I82" s="15">
        <v>37</v>
      </c>
      <c r="J82" s="15">
        <v>15</v>
      </c>
      <c r="K82" s="15">
        <v>207</v>
      </c>
      <c r="L82" s="15">
        <v>101</v>
      </c>
      <c r="M82" s="15">
        <v>107</v>
      </c>
      <c r="N82" s="15">
        <v>272</v>
      </c>
      <c r="O82" s="15">
        <v>-125</v>
      </c>
      <c r="P82" s="15">
        <v>227</v>
      </c>
      <c r="Q82" s="15">
        <v>451</v>
      </c>
      <c r="R82" s="15">
        <v>546</v>
      </c>
      <c r="S82" s="15">
        <v>574</v>
      </c>
      <c r="T82" s="15">
        <v>-398</v>
      </c>
      <c r="U82" s="15">
        <v>2782</v>
      </c>
      <c r="V82" s="15">
        <v>153</v>
      </c>
      <c r="W82" s="15">
        <v>-991</v>
      </c>
      <c r="X82" s="306">
        <f>(W82+Y82)/2</f>
        <v>153.5</v>
      </c>
      <c r="Y82" s="15">
        <v>1298</v>
      </c>
      <c r="Z82" s="306">
        <f>(Y82+AA82)/2</f>
        <v>2937.5</v>
      </c>
      <c r="AA82" s="15">
        <v>4577</v>
      </c>
      <c r="AB82" s="15">
        <v>1661</v>
      </c>
      <c r="AC82" s="15">
        <v>1629</v>
      </c>
      <c r="AD82" s="15">
        <v>2147</v>
      </c>
      <c r="AE82" s="15">
        <v>4276</v>
      </c>
      <c r="AF82" s="15">
        <v>2907</v>
      </c>
      <c r="AG82" s="15">
        <v>2503</v>
      </c>
      <c r="AH82" s="15">
        <v>1659</v>
      </c>
      <c r="AI82" s="306">
        <f>(AH82+AJ82)/2</f>
        <v>3181.5</v>
      </c>
      <c r="AJ82" s="15">
        <v>4704</v>
      </c>
    </row>
    <row r="83" spans="1:36">
      <c r="A83" s="15" t="s">
        <v>311</v>
      </c>
      <c r="B83" s="15">
        <v>14</v>
      </c>
      <c r="C83" s="15">
        <v>31</v>
      </c>
      <c r="D83" s="15">
        <v>-16</v>
      </c>
      <c r="E83" s="15">
        <v>12</v>
      </c>
      <c r="F83" s="15">
        <v>-15</v>
      </c>
      <c r="G83" s="15">
        <v>27</v>
      </c>
      <c r="H83" s="15">
        <v>-3</v>
      </c>
      <c r="I83" s="15">
        <v>53</v>
      </c>
      <c r="J83" s="15">
        <v>-51</v>
      </c>
      <c r="K83" s="15">
        <v>63</v>
      </c>
      <c r="L83" s="15">
        <v>36</v>
      </c>
      <c r="M83" s="15">
        <v>-279</v>
      </c>
      <c r="N83" s="15">
        <v>228</v>
      </c>
      <c r="O83" s="15">
        <v>98</v>
      </c>
      <c r="P83" s="15">
        <v>53</v>
      </c>
      <c r="Q83" s="15">
        <v>292</v>
      </c>
      <c r="R83" s="15">
        <v>-924</v>
      </c>
      <c r="S83" s="15">
        <v>402</v>
      </c>
      <c r="T83" s="15">
        <v>156</v>
      </c>
      <c r="U83" s="15" t="s">
        <v>291</v>
      </c>
      <c r="V83" s="15">
        <v>-70</v>
      </c>
      <c r="W83" s="15">
        <v>-62</v>
      </c>
      <c r="X83" s="15">
        <v>149</v>
      </c>
      <c r="Y83" s="15">
        <v>-4</v>
      </c>
      <c r="Z83" s="15">
        <v>555</v>
      </c>
      <c r="AA83" s="15">
        <v>107</v>
      </c>
      <c r="AB83" s="15">
        <v>2734</v>
      </c>
      <c r="AC83" s="15">
        <v>252</v>
      </c>
      <c r="AD83" s="15">
        <v>-273</v>
      </c>
      <c r="AE83" s="15">
        <v>-2460</v>
      </c>
      <c r="AF83" s="15" t="s">
        <v>291</v>
      </c>
      <c r="AG83" s="15">
        <v>2</v>
      </c>
      <c r="AH83" s="15">
        <v>38</v>
      </c>
      <c r="AI83" s="15" t="s">
        <v>291</v>
      </c>
      <c r="AJ83" s="15">
        <v>-9</v>
      </c>
    </row>
    <row r="84" spans="1:36">
      <c r="A84" s="15" t="s">
        <v>310</v>
      </c>
      <c r="B84" s="15">
        <v>126</v>
      </c>
      <c r="C84" s="15" t="s">
        <v>291</v>
      </c>
      <c r="D84" s="15" t="s">
        <v>291</v>
      </c>
      <c r="E84" s="15">
        <v>12</v>
      </c>
      <c r="F84" s="15" t="s">
        <v>291</v>
      </c>
      <c r="G84" s="15">
        <v>80</v>
      </c>
      <c r="H84" s="15">
        <v>35</v>
      </c>
      <c r="I84" s="15">
        <v>9</v>
      </c>
      <c r="J84" s="15">
        <v>-4</v>
      </c>
      <c r="K84" s="15" t="s">
        <v>291</v>
      </c>
      <c r="L84" s="15" t="s">
        <v>291</v>
      </c>
      <c r="M84" s="15">
        <v>17</v>
      </c>
      <c r="N84" s="15">
        <v>145</v>
      </c>
      <c r="O84" s="15">
        <v>97</v>
      </c>
      <c r="P84" s="15" t="s">
        <v>291</v>
      </c>
      <c r="Q84" s="15" t="s">
        <v>291</v>
      </c>
      <c r="R84" s="15">
        <v>407</v>
      </c>
      <c r="S84" s="15">
        <v>1002</v>
      </c>
      <c r="T84" s="15">
        <v>281</v>
      </c>
      <c r="U84" s="15">
        <v>-68</v>
      </c>
      <c r="V84" s="15">
        <v>9</v>
      </c>
      <c r="W84" s="15">
        <v>-20</v>
      </c>
      <c r="X84" s="15">
        <v>98</v>
      </c>
      <c r="Y84" s="15">
        <v>-85</v>
      </c>
      <c r="Z84" s="15">
        <v>42</v>
      </c>
      <c r="AA84" s="15" t="s">
        <v>291</v>
      </c>
      <c r="AB84" s="15" t="s">
        <v>291</v>
      </c>
      <c r="AC84" s="15">
        <v>37</v>
      </c>
      <c r="AD84" s="15" t="s">
        <v>291</v>
      </c>
      <c r="AE84" s="15">
        <v>170</v>
      </c>
      <c r="AF84" s="15" t="s">
        <v>291</v>
      </c>
      <c r="AG84" s="15" t="s">
        <v>291</v>
      </c>
      <c r="AH84" s="15" t="s">
        <v>291</v>
      </c>
      <c r="AI84" s="15">
        <v>-22</v>
      </c>
      <c r="AJ84" s="15">
        <v>13</v>
      </c>
    </row>
    <row r="85" spans="1:36">
      <c r="A85" s="15" t="s">
        <v>236</v>
      </c>
      <c r="B85" s="15">
        <v>39</v>
      </c>
      <c r="C85" s="15" t="s">
        <v>291</v>
      </c>
      <c r="D85" s="15">
        <v>29</v>
      </c>
      <c r="E85" s="15">
        <v>11</v>
      </c>
      <c r="F85" s="15" t="s">
        <v>291</v>
      </c>
      <c r="G85" s="15">
        <v>14</v>
      </c>
      <c r="H85" s="15">
        <v>-9</v>
      </c>
      <c r="I85" s="15" t="s">
        <v>291</v>
      </c>
      <c r="J85" s="15">
        <v>19</v>
      </c>
      <c r="K85" s="15">
        <v>84</v>
      </c>
      <c r="L85" s="15" t="s">
        <v>291</v>
      </c>
      <c r="M85" s="15">
        <v>-5</v>
      </c>
      <c r="N85" s="15">
        <v>125</v>
      </c>
      <c r="O85" s="15" t="s">
        <v>291</v>
      </c>
      <c r="P85" s="15">
        <v>107</v>
      </c>
      <c r="Q85" s="15">
        <v>75</v>
      </c>
      <c r="R85" s="15" t="s">
        <v>291</v>
      </c>
      <c r="S85" s="15">
        <v>-28</v>
      </c>
      <c r="T85" s="15" t="s">
        <v>291</v>
      </c>
      <c r="U85" s="15">
        <v>-131</v>
      </c>
      <c r="V85" s="15">
        <v>15</v>
      </c>
      <c r="W85" s="15">
        <v>2</v>
      </c>
      <c r="X85" s="15">
        <v>-46</v>
      </c>
      <c r="Y85" s="15" t="s">
        <v>291</v>
      </c>
      <c r="Z85" s="15">
        <v>10</v>
      </c>
      <c r="AA85" s="15" t="s">
        <v>291</v>
      </c>
      <c r="AB85" s="15">
        <v>64</v>
      </c>
      <c r="AC85" s="15">
        <v>-17</v>
      </c>
      <c r="AD85" s="15" t="s">
        <v>291</v>
      </c>
      <c r="AE85" s="15" t="s">
        <v>291</v>
      </c>
      <c r="AF85" s="15">
        <v>306</v>
      </c>
      <c r="AG85" s="15" t="s">
        <v>291</v>
      </c>
      <c r="AH85" s="15" t="s">
        <v>291</v>
      </c>
      <c r="AI85" s="15">
        <v>-299</v>
      </c>
      <c r="AJ85" s="15" t="s">
        <v>291</v>
      </c>
    </row>
    <row r="86" spans="1:36">
      <c r="A86" s="15" t="s">
        <v>274</v>
      </c>
      <c r="B86" s="15">
        <v>139</v>
      </c>
      <c r="C86" s="15">
        <v>208</v>
      </c>
      <c r="D86" s="15">
        <v>-208</v>
      </c>
      <c r="E86" s="15">
        <v>10</v>
      </c>
      <c r="F86" s="15">
        <v>23</v>
      </c>
      <c r="G86" s="15">
        <v>-136</v>
      </c>
      <c r="H86" s="15">
        <v>-97</v>
      </c>
      <c r="I86" s="15">
        <v>119</v>
      </c>
      <c r="J86" s="15">
        <v>-140</v>
      </c>
      <c r="K86" s="15">
        <v>158</v>
      </c>
      <c r="L86" s="15" t="s">
        <v>291</v>
      </c>
      <c r="M86" s="15" t="s">
        <v>291</v>
      </c>
      <c r="N86" s="15">
        <v>93</v>
      </c>
      <c r="O86" s="15" t="s">
        <v>291</v>
      </c>
      <c r="P86" s="15" t="s">
        <v>291</v>
      </c>
      <c r="Q86" s="15">
        <v>138</v>
      </c>
      <c r="R86" s="15">
        <v>192</v>
      </c>
      <c r="S86" s="15" t="s">
        <v>273</v>
      </c>
      <c r="T86" s="15" t="s">
        <v>273</v>
      </c>
      <c r="U86" s="15" t="s">
        <v>273</v>
      </c>
      <c r="V86" s="15" t="s">
        <v>273</v>
      </c>
      <c r="W86" s="15" t="s">
        <v>273</v>
      </c>
      <c r="X86" s="15" t="s">
        <v>273</v>
      </c>
      <c r="Y86" s="15" t="s">
        <v>273</v>
      </c>
      <c r="Z86" s="15" t="s">
        <v>273</v>
      </c>
      <c r="AA86" s="15" t="s">
        <v>273</v>
      </c>
      <c r="AB86" s="15" t="s">
        <v>273</v>
      </c>
      <c r="AC86" s="15" t="s">
        <v>273</v>
      </c>
      <c r="AD86" s="15" t="s">
        <v>273</v>
      </c>
      <c r="AE86" s="15" t="s">
        <v>273</v>
      </c>
      <c r="AF86" s="15" t="s">
        <v>273</v>
      </c>
      <c r="AG86" s="15" t="s">
        <v>273</v>
      </c>
      <c r="AH86" s="15" t="s">
        <v>273</v>
      </c>
      <c r="AI86" s="15" t="s">
        <v>273</v>
      </c>
      <c r="AJ86" s="15" t="s">
        <v>273</v>
      </c>
    </row>
    <row r="87" spans="1:36">
      <c r="A87" s="15" t="s">
        <v>31</v>
      </c>
      <c r="B87" s="15" t="s">
        <v>0</v>
      </c>
      <c r="C87" s="15" t="s">
        <v>0</v>
      </c>
      <c r="D87" s="15" t="s">
        <v>0</v>
      </c>
      <c r="E87" s="15" t="s">
        <v>0</v>
      </c>
      <c r="F87" s="15" t="s">
        <v>0</v>
      </c>
      <c r="G87" s="15" t="s">
        <v>0</v>
      </c>
      <c r="H87" s="15" t="s">
        <v>0</v>
      </c>
      <c r="I87" s="15" t="s">
        <v>0</v>
      </c>
      <c r="J87" s="15" t="s">
        <v>0</v>
      </c>
      <c r="K87" s="15" t="s">
        <v>0</v>
      </c>
      <c r="L87" s="15" t="s">
        <v>0</v>
      </c>
      <c r="M87" s="15" t="s">
        <v>0</v>
      </c>
      <c r="N87" s="15" t="s">
        <v>0</v>
      </c>
      <c r="O87" s="15" t="s">
        <v>0</v>
      </c>
      <c r="P87" s="15" t="s">
        <v>0</v>
      </c>
      <c r="Q87" s="15" t="s">
        <v>0</v>
      </c>
      <c r="R87" s="15" t="s">
        <v>0</v>
      </c>
      <c r="S87" s="15" t="s">
        <v>0</v>
      </c>
      <c r="T87" s="15" t="s">
        <v>0</v>
      </c>
      <c r="U87" s="15" t="s">
        <v>0</v>
      </c>
      <c r="V87" s="15" t="s">
        <v>0</v>
      </c>
      <c r="W87" s="15" t="s">
        <v>0</v>
      </c>
      <c r="X87" s="15" t="s">
        <v>0</v>
      </c>
      <c r="Y87" s="15" t="s">
        <v>0</v>
      </c>
      <c r="Z87" s="15" t="s">
        <v>0</v>
      </c>
      <c r="AA87" s="15" t="s">
        <v>0</v>
      </c>
      <c r="AB87" s="15" t="s">
        <v>0</v>
      </c>
      <c r="AC87" s="15" t="s">
        <v>0</v>
      </c>
      <c r="AD87" s="15" t="s">
        <v>0</v>
      </c>
      <c r="AE87" s="15" t="s">
        <v>0</v>
      </c>
      <c r="AF87" s="15" t="s">
        <v>0</v>
      </c>
      <c r="AG87" s="15" t="s">
        <v>0</v>
      </c>
      <c r="AH87" s="15" t="s">
        <v>0</v>
      </c>
      <c r="AI87" s="15" t="s">
        <v>0</v>
      </c>
      <c r="AJ87" s="15" t="s">
        <v>0</v>
      </c>
    </row>
    <row r="88" spans="1:36">
      <c r="A88" s="15" t="s">
        <v>699</v>
      </c>
      <c r="B88" s="15" t="s">
        <v>273</v>
      </c>
      <c r="C88" s="15" t="s">
        <v>273</v>
      </c>
      <c r="D88" s="15" t="s">
        <v>273</v>
      </c>
      <c r="E88" s="15" t="s">
        <v>273</v>
      </c>
      <c r="F88" s="15" t="s">
        <v>273</v>
      </c>
      <c r="G88" s="15" t="s">
        <v>273</v>
      </c>
      <c r="H88" s="15" t="s">
        <v>273</v>
      </c>
      <c r="I88" s="15" t="s">
        <v>291</v>
      </c>
      <c r="J88" s="15" t="s">
        <v>291</v>
      </c>
      <c r="K88" s="15">
        <v>219</v>
      </c>
      <c r="L88" s="15">
        <v>579</v>
      </c>
      <c r="M88" s="15">
        <v>1132</v>
      </c>
      <c r="N88" s="15">
        <v>1171</v>
      </c>
      <c r="O88" s="15">
        <v>1251</v>
      </c>
      <c r="P88" s="15">
        <v>583</v>
      </c>
      <c r="Q88" s="15">
        <v>940</v>
      </c>
      <c r="R88" s="15">
        <v>926</v>
      </c>
      <c r="S88" s="15">
        <v>1545</v>
      </c>
      <c r="T88" s="15" t="s">
        <v>291</v>
      </c>
      <c r="U88" s="15">
        <v>411</v>
      </c>
      <c r="V88" s="15" t="s">
        <v>273</v>
      </c>
      <c r="W88" s="15" t="s">
        <v>273</v>
      </c>
      <c r="X88" s="15" t="s">
        <v>273</v>
      </c>
      <c r="Y88" s="15" t="s">
        <v>273</v>
      </c>
      <c r="Z88" s="15" t="s">
        <v>273</v>
      </c>
      <c r="AA88" s="15" t="s">
        <v>273</v>
      </c>
      <c r="AB88" s="15" t="s">
        <v>273</v>
      </c>
      <c r="AC88" s="15" t="s">
        <v>273</v>
      </c>
      <c r="AD88" s="15" t="s">
        <v>273</v>
      </c>
      <c r="AE88" s="15" t="s">
        <v>273</v>
      </c>
      <c r="AF88" s="15" t="s">
        <v>273</v>
      </c>
      <c r="AG88" s="15" t="s">
        <v>273</v>
      </c>
      <c r="AH88" s="15" t="s">
        <v>273</v>
      </c>
      <c r="AI88" s="15" t="s">
        <v>273</v>
      </c>
      <c r="AJ88" s="15" t="s">
        <v>273</v>
      </c>
    </row>
    <row r="89" spans="1:36">
      <c r="A89" s="15" t="s">
        <v>523</v>
      </c>
      <c r="B89" s="15">
        <v>3222</v>
      </c>
      <c r="C89" s="15">
        <v>1727</v>
      </c>
      <c r="D89" s="15">
        <v>1370</v>
      </c>
      <c r="E89" s="15">
        <v>1338</v>
      </c>
      <c r="F89" s="15">
        <v>329</v>
      </c>
      <c r="G89" s="15">
        <v>2067</v>
      </c>
      <c r="H89" s="15">
        <v>26</v>
      </c>
      <c r="I89" s="15">
        <v>3928</v>
      </c>
      <c r="J89" s="15">
        <v>4342</v>
      </c>
      <c r="K89" s="15">
        <v>6591</v>
      </c>
      <c r="L89" s="15">
        <v>9085</v>
      </c>
      <c r="M89" s="15">
        <v>13781</v>
      </c>
      <c r="N89" s="15">
        <v>17191</v>
      </c>
      <c r="O89" s="15">
        <v>25059</v>
      </c>
      <c r="P89" s="15">
        <v>13541</v>
      </c>
      <c r="Q89" s="15">
        <v>22177</v>
      </c>
      <c r="R89" s="15">
        <v>37260</v>
      </c>
      <c r="S89" s="15">
        <v>45387</v>
      </c>
      <c r="T89" s="15">
        <v>45819</v>
      </c>
      <c r="U89" s="15">
        <v>22210</v>
      </c>
      <c r="V89" s="15">
        <v>21316</v>
      </c>
      <c r="W89" s="15">
        <v>23345</v>
      </c>
      <c r="X89" s="15">
        <v>56976</v>
      </c>
      <c r="Y89" s="15">
        <v>35924</v>
      </c>
      <c r="Z89" s="15">
        <v>45932</v>
      </c>
      <c r="AA89" s="15">
        <v>132443</v>
      </c>
      <c r="AB89" s="15">
        <v>62496</v>
      </c>
      <c r="AC89" s="15">
        <v>31013</v>
      </c>
      <c r="AD89" s="15">
        <v>60796</v>
      </c>
      <c r="AE89" s="15">
        <v>67951</v>
      </c>
      <c r="AF89" s="15">
        <v>31358</v>
      </c>
      <c r="AG89" s="15">
        <v>12135</v>
      </c>
      <c r="AH89" s="15">
        <v>1864</v>
      </c>
      <c r="AI89" s="15">
        <v>5590</v>
      </c>
      <c r="AJ89" s="15">
        <v>22376</v>
      </c>
    </row>
    <row r="90" spans="1:36">
      <c r="A90" s="15" t="s">
        <v>522</v>
      </c>
      <c r="B90" s="15">
        <v>603</v>
      </c>
      <c r="C90" s="15">
        <v>906</v>
      </c>
      <c r="D90" s="15">
        <v>38</v>
      </c>
      <c r="E90" s="15">
        <v>3</v>
      </c>
      <c r="F90" s="15">
        <v>13</v>
      </c>
      <c r="G90" s="15">
        <v>780</v>
      </c>
      <c r="H90" s="15">
        <v>-1755</v>
      </c>
      <c r="I90" s="15">
        <v>-129</v>
      </c>
      <c r="J90" s="15">
        <v>267</v>
      </c>
      <c r="K90" s="15">
        <v>853</v>
      </c>
      <c r="L90" s="15">
        <v>383</v>
      </c>
      <c r="M90" s="15">
        <v>-53</v>
      </c>
      <c r="N90" s="15">
        <v>934</v>
      </c>
      <c r="O90" s="15">
        <v>-110</v>
      </c>
      <c r="P90" s="15">
        <v>904</v>
      </c>
      <c r="Q90" s="15">
        <v>-146</v>
      </c>
      <c r="R90" s="15">
        <v>2867</v>
      </c>
      <c r="S90" s="15">
        <v>85</v>
      </c>
      <c r="T90" s="15">
        <v>2100</v>
      </c>
      <c r="U90" s="15">
        <v>1230</v>
      </c>
      <c r="V90" s="15">
        <v>2247</v>
      </c>
      <c r="W90" s="15">
        <v>20</v>
      </c>
      <c r="X90" s="15">
        <v>-2248</v>
      </c>
      <c r="Y90" s="15">
        <v>1740</v>
      </c>
      <c r="Z90" s="15">
        <v>1589</v>
      </c>
      <c r="AA90" s="15">
        <v>9343</v>
      </c>
      <c r="AB90" s="15">
        <v>2206</v>
      </c>
      <c r="AC90" s="15">
        <v>4953</v>
      </c>
      <c r="AD90" s="15">
        <v>1425</v>
      </c>
      <c r="AE90" s="15">
        <v>1362</v>
      </c>
      <c r="AF90" s="15">
        <v>3222</v>
      </c>
      <c r="AG90" s="15">
        <v>1107</v>
      </c>
      <c r="AH90" s="15">
        <v>-148</v>
      </c>
      <c r="AI90" s="15">
        <v>1019</v>
      </c>
      <c r="AJ90" s="15">
        <v>1198</v>
      </c>
    </row>
    <row r="91" spans="1:36" ht="13">
      <c r="A91" s="1944" t="s">
        <v>7</v>
      </c>
      <c r="B91" s="1976"/>
      <c r="C91" s="1976"/>
      <c r="D91" s="1976"/>
      <c r="E91" s="1976"/>
      <c r="F91" s="1976"/>
      <c r="G91" s="1976"/>
      <c r="H91" s="1976"/>
      <c r="I91" s="1976"/>
      <c r="J91" s="1976"/>
      <c r="K91" s="1976"/>
      <c r="L91" s="1976"/>
      <c r="M91" s="1976"/>
      <c r="N91" s="1976"/>
      <c r="O91" s="1976"/>
      <c r="P91" s="1976"/>
      <c r="Q91" s="1976"/>
      <c r="R91" s="1976"/>
      <c r="S91" s="1976"/>
      <c r="T91" s="1976"/>
      <c r="U91" s="1976"/>
      <c r="V91" s="1976"/>
      <c r="W91" s="1976"/>
      <c r="X91" s="1976"/>
      <c r="Y91" s="1976"/>
      <c r="Z91" s="1976"/>
      <c r="AA91" s="1976"/>
      <c r="AB91" s="1976"/>
      <c r="AC91" s="1976"/>
      <c r="AD91" s="1976"/>
      <c r="AE91" s="1976"/>
      <c r="AF91" s="1976"/>
    </row>
    <row r="92" spans="1:36">
      <c r="A92" s="1943" t="s">
        <v>272</v>
      </c>
      <c r="B92" s="1976"/>
      <c r="C92" s="1976"/>
      <c r="D92" s="1976"/>
      <c r="E92" s="1976"/>
      <c r="F92" s="1976"/>
      <c r="G92" s="1976"/>
      <c r="H92" s="1976"/>
      <c r="I92" s="1976"/>
      <c r="J92" s="1976"/>
      <c r="K92" s="1976"/>
      <c r="L92" s="1976"/>
      <c r="M92" s="1976"/>
      <c r="N92" s="1976"/>
      <c r="O92" s="1976"/>
      <c r="P92" s="1976"/>
      <c r="Q92" s="1976"/>
      <c r="R92" s="1976"/>
      <c r="S92" s="1976"/>
      <c r="T92" s="1976"/>
      <c r="U92" s="1976"/>
      <c r="V92" s="1976"/>
      <c r="W92" s="1976"/>
      <c r="X92" s="1976"/>
      <c r="Y92" s="1976"/>
      <c r="Z92" s="1976"/>
      <c r="AA92" s="1976"/>
      <c r="AB92" s="1976"/>
      <c r="AC92" s="1976"/>
      <c r="AD92" s="1976"/>
      <c r="AE92" s="1976"/>
      <c r="AF92" s="1976"/>
    </row>
    <row r="93" spans="1:36">
      <c r="A93" s="1943" t="s">
        <v>271</v>
      </c>
      <c r="B93" s="1976"/>
      <c r="C93" s="1976"/>
      <c r="D93" s="1976"/>
      <c r="E93" s="1976"/>
      <c r="F93" s="1976"/>
      <c r="G93" s="1976"/>
      <c r="H93" s="1976"/>
      <c r="I93" s="1976"/>
      <c r="J93" s="1976"/>
      <c r="K93" s="1976"/>
      <c r="L93" s="1976"/>
      <c r="M93" s="1976"/>
      <c r="N93" s="1976"/>
      <c r="O93" s="1976"/>
      <c r="P93" s="1976"/>
      <c r="Q93" s="1976"/>
      <c r="R93" s="1976"/>
      <c r="S93" s="1976"/>
      <c r="T93" s="1976"/>
      <c r="U93" s="1976"/>
      <c r="V93" s="1976"/>
      <c r="W93" s="1976"/>
      <c r="X93" s="1976"/>
      <c r="Y93" s="1976"/>
      <c r="Z93" s="1976"/>
      <c r="AA93" s="1976"/>
      <c r="AB93" s="1976"/>
      <c r="AC93" s="1976"/>
      <c r="AD93" s="1976"/>
      <c r="AE93" s="1976"/>
      <c r="AF93" s="1976"/>
    </row>
    <row r="94" spans="1:36">
      <c r="A94" s="1943" t="s">
        <v>270</v>
      </c>
      <c r="B94" s="1976"/>
      <c r="C94" s="1976"/>
      <c r="D94" s="1976"/>
      <c r="E94" s="1976"/>
      <c r="F94" s="1976"/>
      <c r="G94" s="1976"/>
      <c r="H94" s="1976"/>
      <c r="I94" s="1976"/>
      <c r="J94" s="1976"/>
      <c r="K94" s="1976"/>
      <c r="L94" s="1976"/>
      <c r="M94" s="1976"/>
      <c r="N94" s="1976"/>
      <c r="O94" s="1976"/>
      <c r="P94" s="1976"/>
      <c r="Q94" s="1976"/>
      <c r="R94" s="1976"/>
      <c r="S94" s="1976"/>
      <c r="T94" s="1976"/>
      <c r="U94" s="1976"/>
      <c r="V94" s="1976"/>
      <c r="W94" s="1976"/>
      <c r="X94" s="1976"/>
      <c r="Y94" s="1976"/>
      <c r="Z94" s="1976"/>
      <c r="AA94" s="1976"/>
      <c r="AB94" s="1976"/>
      <c r="AC94" s="1976"/>
      <c r="AD94" s="1976"/>
      <c r="AE94" s="1976"/>
      <c r="AF94" s="1976"/>
    </row>
    <row r="95" spans="1:36">
      <c r="A95" s="1943" t="s">
        <v>269</v>
      </c>
      <c r="B95" s="1976"/>
      <c r="C95" s="1976"/>
      <c r="D95" s="1976"/>
      <c r="E95" s="1976"/>
      <c r="F95" s="1976"/>
      <c r="G95" s="1976"/>
      <c r="H95" s="1976"/>
      <c r="I95" s="1976"/>
      <c r="J95" s="1976"/>
      <c r="K95" s="1976"/>
      <c r="L95" s="1976"/>
      <c r="M95" s="1976"/>
      <c r="N95" s="1976"/>
      <c r="O95" s="1976"/>
      <c r="P95" s="1976"/>
      <c r="Q95" s="1976"/>
      <c r="R95" s="1976"/>
      <c r="S95" s="1976"/>
      <c r="T95" s="1976"/>
      <c r="U95" s="1976"/>
      <c r="V95" s="1976"/>
      <c r="W95" s="1976"/>
      <c r="X95" s="1976"/>
      <c r="Y95" s="1976"/>
      <c r="Z95" s="1976"/>
      <c r="AA95" s="1976"/>
      <c r="AB95" s="1976"/>
      <c r="AC95" s="1976"/>
      <c r="AD95" s="1976"/>
      <c r="AE95" s="1976"/>
      <c r="AF95" s="1976"/>
    </row>
    <row r="96" spans="1:36">
      <c r="A96" s="1943" t="s">
        <v>268</v>
      </c>
      <c r="B96" s="1976"/>
      <c r="C96" s="1976"/>
      <c r="D96" s="1976"/>
      <c r="E96" s="1976"/>
      <c r="F96" s="1976"/>
      <c r="G96" s="1976"/>
      <c r="H96" s="1976"/>
      <c r="I96" s="1976"/>
      <c r="J96" s="1976"/>
      <c r="K96" s="1976"/>
      <c r="L96" s="1976"/>
      <c r="M96" s="1976"/>
      <c r="N96" s="1976"/>
      <c r="O96" s="1976"/>
      <c r="P96" s="1976"/>
      <c r="Q96" s="1976"/>
      <c r="R96" s="1976"/>
      <c r="S96" s="1976"/>
      <c r="T96" s="1976"/>
      <c r="U96" s="1976"/>
      <c r="V96" s="1976"/>
      <c r="W96" s="1976"/>
      <c r="X96" s="1976"/>
      <c r="Y96" s="1976"/>
      <c r="Z96" s="1976"/>
      <c r="AA96" s="1976"/>
      <c r="AB96" s="1976"/>
      <c r="AC96" s="1976"/>
      <c r="AD96" s="1976"/>
      <c r="AE96" s="1976"/>
      <c r="AF96" s="1976"/>
    </row>
    <row r="97" spans="1:32">
      <c r="A97" s="1943" t="s">
        <v>267</v>
      </c>
      <c r="B97" s="1976"/>
      <c r="C97" s="1976"/>
      <c r="D97" s="1976"/>
      <c r="E97" s="1976"/>
      <c r="F97" s="1976"/>
      <c r="G97" s="1976"/>
      <c r="H97" s="1976"/>
      <c r="I97" s="1976"/>
      <c r="J97" s="1976"/>
      <c r="K97" s="1976"/>
      <c r="L97" s="1976"/>
      <c r="M97" s="1976"/>
      <c r="N97" s="1976"/>
      <c r="O97" s="1976"/>
      <c r="P97" s="1976"/>
      <c r="Q97" s="1976"/>
      <c r="R97" s="1976"/>
      <c r="S97" s="1976"/>
      <c r="T97" s="1976"/>
      <c r="U97" s="1976"/>
      <c r="V97" s="1976"/>
      <c r="W97" s="1976"/>
      <c r="X97" s="1976"/>
      <c r="Y97" s="1976"/>
      <c r="Z97" s="1976"/>
      <c r="AA97" s="1976"/>
      <c r="AB97" s="1976"/>
      <c r="AC97" s="1976"/>
      <c r="AD97" s="1976"/>
      <c r="AE97" s="1976"/>
      <c r="AF97" s="1976"/>
    </row>
    <row r="98" spans="1:32">
      <c r="A98" s="1943" t="s">
        <v>266</v>
      </c>
      <c r="B98" s="1976"/>
      <c r="C98" s="1976"/>
      <c r="D98" s="1976"/>
      <c r="E98" s="1976"/>
      <c r="F98" s="1976"/>
      <c r="G98" s="1976"/>
      <c r="H98" s="1976"/>
      <c r="I98" s="1976"/>
      <c r="J98" s="1976"/>
      <c r="K98" s="1976"/>
      <c r="L98" s="1976"/>
      <c r="M98" s="1976"/>
      <c r="N98" s="1976"/>
      <c r="O98" s="1976"/>
      <c r="P98" s="1976"/>
      <c r="Q98" s="1976"/>
      <c r="R98" s="1976"/>
      <c r="S98" s="1976"/>
      <c r="T98" s="1976"/>
      <c r="U98" s="1976"/>
      <c r="V98" s="1976"/>
      <c r="W98" s="1976"/>
      <c r="X98" s="1976"/>
      <c r="Y98" s="1976"/>
      <c r="Z98" s="1976"/>
      <c r="AA98" s="1976"/>
      <c r="AB98" s="1976"/>
      <c r="AC98" s="1976"/>
      <c r="AD98" s="1976"/>
      <c r="AE98" s="1976"/>
      <c r="AF98" s="1976"/>
    </row>
    <row r="99" spans="1:32">
      <c r="A99" s="1943" t="s">
        <v>521</v>
      </c>
      <c r="B99" s="1976"/>
      <c r="C99" s="1976"/>
      <c r="D99" s="1976"/>
      <c r="E99" s="1976"/>
      <c r="F99" s="1976"/>
      <c r="G99" s="1976"/>
      <c r="H99" s="1976"/>
      <c r="I99" s="1976"/>
      <c r="J99" s="1976"/>
      <c r="K99" s="1976"/>
      <c r="L99" s="1976"/>
      <c r="M99" s="1976"/>
      <c r="N99" s="1976"/>
      <c r="O99" s="1976"/>
      <c r="P99" s="1976"/>
      <c r="Q99" s="1976"/>
      <c r="R99" s="1976"/>
      <c r="S99" s="1976"/>
      <c r="T99" s="1976"/>
      <c r="U99" s="1976"/>
      <c r="V99" s="1976"/>
      <c r="W99" s="1976"/>
      <c r="X99" s="1976"/>
      <c r="Y99" s="1976"/>
      <c r="Z99" s="1976"/>
      <c r="AA99" s="1976"/>
      <c r="AB99" s="1976"/>
      <c r="AC99" s="1976"/>
      <c r="AD99" s="1976"/>
      <c r="AE99" s="1976"/>
      <c r="AF99" s="1976"/>
    </row>
    <row r="100" spans="1:32">
      <c r="A100" s="1943" t="s">
        <v>520</v>
      </c>
      <c r="B100" s="1976"/>
      <c r="C100" s="1976"/>
      <c r="D100" s="1976"/>
      <c r="E100" s="1976"/>
      <c r="F100" s="1976"/>
      <c r="G100" s="1976"/>
      <c r="H100" s="1976"/>
      <c r="I100" s="1976"/>
      <c r="J100" s="1976"/>
      <c r="K100" s="1976"/>
      <c r="L100" s="1976"/>
      <c r="M100" s="1976"/>
      <c r="N100" s="1976"/>
      <c r="O100" s="1976"/>
      <c r="P100" s="1976"/>
      <c r="Q100" s="1976"/>
      <c r="R100" s="1976"/>
      <c r="S100" s="1976"/>
      <c r="T100" s="1976"/>
      <c r="U100" s="1976"/>
      <c r="V100" s="1976"/>
      <c r="W100" s="1976"/>
      <c r="X100" s="1976"/>
      <c r="Y100" s="1976"/>
      <c r="Z100" s="1976"/>
      <c r="AA100" s="1976"/>
      <c r="AB100" s="1976"/>
      <c r="AC100" s="1976"/>
      <c r="AD100" s="1976"/>
      <c r="AE100" s="1976"/>
      <c r="AF100" s="1976"/>
    </row>
    <row r="101" spans="1:32">
      <c r="A101" s="1943" t="s">
        <v>265</v>
      </c>
      <c r="B101" s="1976"/>
      <c r="C101" s="1976"/>
      <c r="D101" s="1976"/>
      <c r="E101" s="1976"/>
      <c r="F101" s="1976"/>
      <c r="G101" s="1976"/>
      <c r="H101" s="1976"/>
      <c r="I101" s="1976"/>
      <c r="J101" s="1976"/>
      <c r="K101" s="1976"/>
      <c r="L101" s="1976"/>
      <c r="M101" s="1976"/>
      <c r="N101" s="1976"/>
      <c r="O101" s="1976"/>
      <c r="P101" s="1976"/>
      <c r="Q101" s="1976"/>
      <c r="R101" s="1976"/>
      <c r="S101" s="1976"/>
      <c r="T101" s="1976"/>
      <c r="U101" s="1976"/>
      <c r="V101" s="1976"/>
      <c r="W101" s="1976"/>
      <c r="X101" s="1976"/>
      <c r="Y101" s="1976"/>
      <c r="Z101" s="1976"/>
      <c r="AA101" s="1976"/>
      <c r="AB101" s="1976"/>
      <c r="AC101" s="1976"/>
      <c r="AD101" s="1976"/>
      <c r="AE101" s="1976"/>
      <c r="AF101" s="1976"/>
    </row>
    <row r="102" spans="1:32">
      <c r="A102" s="1943" t="s">
        <v>264</v>
      </c>
      <c r="B102" s="1976"/>
      <c r="C102" s="1976"/>
      <c r="D102" s="1976"/>
      <c r="E102" s="1976"/>
      <c r="F102" s="1976"/>
      <c r="G102" s="1976"/>
      <c r="H102" s="1976"/>
      <c r="I102" s="1976"/>
      <c r="J102" s="1976"/>
      <c r="K102" s="1976"/>
      <c r="L102" s="1976"/>
      <c r="M102" s="1976"/>
      <c r="N102" s="1976"/>
      <c r="O102" s="1976"/>
      <c r="P102" s="1976"/>
      <c r="Q102" s="1976"/>
      <c r="R102" s="1976"/>
      <c r="S102" s="1976"/>
      <c r="T102" s="1976"/>
      <c r="U102" s="1976"/>
      <c r="V102" s="1976"/>
      <c r="W102" s="1976"/>
      <c r="X102" s="1976"/>
      <c r="Y102" s="1976"/>
      <c r="Z102" s="1976"/>
      <c r="AA102" s="1976"/>
      <c r="AB102" s="1976"/>
      <c r="AC102" s="1976"/>
      <c r="AD102" s="1976"/>
      <c r="AE102" s="1976"/>
      <c r="AF102" s="1976"/>
    </row>
    <row r="103" spans="1:32">
      <c r="A103" s="1943" t="s">
        <v>263</v>
      </c>
      <c r="B103" s="1976"/>
      <c r="C103" s="1976"/>
      <c r="D103" s="1976"/>
      <c r="E103" s="1976"/>
      <c r="F103" s="1976"/>
      <c r="G103" s="1976"/>
      <c r="H103" s="1976"/>
      <c r="I103" s="1976"/>
      <c r="J103" s="1976"/>
      <c r="K103" s="1976"/>
      <c r="L103" s="1976"/>
      <c r="M103" s="1976"/>
      <c r="N103" s="1976"/>
      <c r="O103" s="1976"/>
      <c r="P103" s="1976"/>
      <c r="Q103" s="1976"/>
      <c r="R103" s="1976"/>
      <c r="S103" s="1976"/>
      <c r="T103" s="1976"/>
      <c r="U103" s="1976"/>
      <c r="V103" s="1976"/>
      <c r="W103" s="1976"/>
      <c r="X103" s="1976"/>
      <c r="Y103" s="1976"/>
      <c r="Z103" s="1976"/>
      <c r="AA103" s="1976"/>
      <c r="AB103" s="1976"/>
      <c r="AC103" s="1976"/>
      <c r="AD103" s="1976"/>
      <c r="AE103" s="1976"/>
      <c r="AF103" s="1976"/>
    </row>
    <row r="104" spans="1:32">
      <c r="A104" s="1943" t="s">
        <v>262</v>
      </c>
      <c r="B104" s="1976"/>
      <c r="C104" s="1976"/>
      <c r="D104" s="1976"/>
      <c r="E104" s="1976"/>
      <c r="F104" s="1976"/>
      <c r="G104" s="1976"/>
      <c r="H104" s="1976"/>
      <c r="I104" s="1976"/>
      <c r="J104" s="1976"/>
      <c r="K104" s="1976"/>
      <c r="L104" s="1976"/>
      <c r="M104" s="1976"/>
      <c r="N104" s="1976"/>
      <c r="O104" s="1976"/>
      <c r="P104" s="1976"/>
      <c r="Q104" s="1976"/>
      <c r="R104" s="1976"/>
      <c r="S104" s="1976"/>
      <c r="T104" s="1976"/>
      <c r="U104" s="1976"/>
      <c r="V104" s="1976"/>
      <c r="W104" s="1976"/>
      <c r="X104" s="1976"/>
      <c r="Y104" s="1976"/>
      <c r="Z104" s="1976"/>
      <c r="AA104" s="1976"/>
      <c r="AB104" s="1976"/>
      <c r="AC104" s="1976"/>
      <c r="AD104" s="1976"/>
      <c r="AE104" s="1976"/>
      <c r="AF104" s="1976"/>
    </row>
  </sheetData>
  <mergeCells count="51">
    <mergeCell ref="A100:AF100"/>
    <mergeCell ref="A101:AF101"/>
    <mergeCell ref="A102:AF102"/>
    <mergeCell ref="A103:AF103"/>
    <mergeCell ref="A104:AF104"/>
    <mergeCell ref="A99:AF99"/>
    <mergeCell ref="AD7"/>
    <mergeCell ref="AE7"/>
    <mergeCell ref="AF7"/>
    <mergeCell ref="A91:AF91"/>
    <mergeCell ref="A92:AF92"/>
    <mergeCell ref="A93:AF93"/>
    <mergeCell ref="X7"/>
    <mergeCell ref="Y7"/>
    <mergeCell ref="Z7"/>
    <mergeCell ref="A94:AF94"/>
    <mergeCell ref="A95:AF95"/>
    <mergeCell ref="A96:AF96"/>
    <mergeCell ref="A97:AF97"/>
    <mergeCell ref="A98:AF98"/>
    <mergeCell ref="Q7"/>
    <mergeCell ref="AA7"/>
    <mergeCell ref="AB7"/>
    <mergeCell ref="AC7"/>
    <mergeCell ref="R7"/>
    <mergeCell ref="S7"/>
    <mergeCell ref="T7"/>
    <mergeCell ref="U7"/>
    <mergeCell ref="V7"/>
    <mergeCell ref="W7"/>
    <mergeCell ref="L7"/>
    <mergeCell ref="M7"/>
    <mergeCell ref="N7"/>
    <mergeCell ref="O7"/>
    <mergeCell ref="P7"/>
    <mergeCell ref="A1:AF1"/>
    <mergeCell ref="A2:AF2"/>
    <mergeCell ref="A3:AF3"/>
    <mergeCell ref="A4:AF4"/>
    <mergeCell ref="A6:A7"/>
    <mergeCell ref="B6:AF6"/>
    <mergeCell ref="B7"/>
    <mergeCell ref="C7"/>
    <mergeCell ref="D7"/>
    <mergeCell ref="E7"/>
    <mergeCell ref="F7"/>
    <mergeCell ref="G7"/>
    <mergeCell ref="H7"/>
    <mergeCell ref="I7"/>
    <mergeCell ref="J7"/>
    <mergeCell ref="K7"/>
  </mergeCell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4"/>
  <sheetViews>
    <sheetView zoomScale="150" zoomScaleNormal="150" zoomScalePageLayoutView="150" workbookViewId="0">
      <pane xSplit="1" ySplit="7" topLeftCell="B8"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30.42578125" style="15" bestFit="1" customWidth="1"/>
    <col min="2" max="16384" width="7.5703125" style="15"/>
  </cols>
  <sheetData>
    <row r="1" spans="1:36" ht="17">
      <c r="A1" s="1978" t="s">
        <v>708</v>
      </c>
      <c r="B1" s="1976"/>
      <c r="C1" s="1976"/>
      <c r="D1" s="1976"/>
      <c r="E1" s="1976"/>
      <c r="F1" s="1976"/>
      <c r="G1" s="1976"/>
      <c r="H1" s="1976"/>
      <c r="I1" s="1976"/>
      <c r="J1" s="1976"/>
      <c r="K1" s="1976"/>
      <c r="L1" s="1976"/>
      <c r="M1" s="1976"/>
      <c r="N1" s="1976"/>
      <c r="O1" s="1976"/>
      <c r="P1" s="1976"/>
      <c r="Q1" s="1976"/>
      <c r="R1" s="1976"/>
      <c r="S1" s="1976"/>
      <c r="T1" s="1976"/>
      <c r="U1" s="1976"/>
      <c r="V1" s="1976"/>
      <c r="W1" s="1976"/>
      <c r="X1" s="1976"/>
      <c r="Y1" s="1976"/>
      <c r="Z1" s="1976"/>
      <c r="AA1" s="1976"/>
      <c r="AB1" s="1976"/>
      <c r="AC1" s="1976"/>
      <c r="AD1" s="1976"/>
      <c r="AE1" s="1976"/>
      <c r="AF1" s="1976"/>
    </row>
    <row r="2" spans="1:36" ht="16">
      <c r="A2" s="1979" t="s">
        <v>707</v>
      </c>
      <c r="B2" s="1976"/>
      <c r="C2" s="1976"/>
      <c r="D2" s="1976"/>
      <c r="E2" s="1976"/>
      <c r="F2" s="1976"/>
      <c r="G2" s="1976"/>
      <c r="H2" s="1976"/>
      <c r="I2" s="1976"/>
      <c r="J2" s="1976"/>
      <c r="K2" s="1976"/>
      <c r="L2" s="1976"/>
      <c r="M2" s="1976"/>
      <c r="N2" s="1976"/>
      <c r="O2" s="1976"/>
      <c r="P2" s="1976"/>
      <c r="Q2" s="1976"/>
      <c r="R2" s="1976"/>
      <c r="S2" s="1976"/>
      <c r="T2" s="1976"/>
      <c r="U2" s="1976"/>
      <c r="V2" s="1976"/>
      <c r="W2" s="1976"/>
      <c r="X2" s="1976"/>
      <c r="Y2" s="1976"/>
      <c r="Z2" s="1976"/>
      <c r="AA2" s="1976"/>
      <c r="AB2" s="1976"/>
      <c r="AC2" s="1976"/>
      <c r="AD2" s="1976"/>
      <c r="AE2" s="1976"/>
      <c r="AF2" s="1976"/>
    </row>
    <row r="3" spans="1:36">
      <c r="A3" s="1976" t="s">
        <v>160</v>
      </c>
      <c r="B3" s="1976"/>
      <c r="C3" s="1976"/>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row>
    <row r="4" spans="1:36">
      <c r="A4" s="1976" t="s">
        <v>701</v>
      </c>
      <c r="B4" s="1976"/>
      <c r="C4" s="1976"/>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row>
    <row r="6" spans="1:36">
      <c r="A6" s="1977" t="s">
        <v>0</v>
      </c>
      <c r="B6" s="1977" t="s">
        <v>512</v>
      </c>
      <c r="C6" s="1977"/>
      <c r="D6" s="1977"/>
      <c r="E6" s="1977"/>
      <c r="F6" s="1977"/>
      <c r="G6" s="1977"/>
      <c r="H6" s="1977"/>
      <c r="I6" s="1977"/>
      <c r="J6" s="1977"/>
      <c r="K6" s="1977"/>
      <c r="L6" s="1977"/>
      <c r="M6" s="1977"/>
      <c r="N6" s="1977"/>
      <c r="O6" s="1977"/>
      <c r="P6" s="1977"/>
      <c r="Q6" s="1977"/>
      <c r="R6" s="1977"/>
      <c r="S6" s="1977"/>
      <c r="T6" s="1977"/>
      <c r="U6" s="1977"/>
      <c r="V6" s="1977"/>
      <c r="W6" s="1977"/>
      <c r="X6" s="1977"/>
      <c r="Y6" s="1977"/>
      <c r="Z6" s="1977"/>
      <c r="AA6" s="1977"/>
      <c r="AB6" s="1977"/>
      <c r="AC6" s="1977"/>
      <c r="AD6" s="1977"/>
      <c r="AE6" s="1977"/>
      <c r="AF6" s="1977"/>
    </row>
    <row r="7" spans="1:36">
      <c r="A7" s="1977"/>
      <c r="B7" s="1977" t="s">
        <v>105</v>
      </c>
      <c r="C7" s="1977" t="s">
        <v>104</v>
      </c>
      <c r="D7" s="1977" t="s">
        <v>103</v>
      </c>
      <c r="E7" s="1977" t="s">
        <v>102</v>
      </c>
      <c r="F7" s="1977" t="s">
        <v>101</v>
      </c>
      <c r="G7" s="1977" t="s">
        <v>100</v>
      </c>
      <c r="H7" s="1977" t="s">
        <v>99</v>
      </c>
      <c r="I7" s="1977" t="s">
        <v>98</v>
      </c>
      <c r="J7" s="1977" t="s">
        <v>97</v>
      </c>
      <c r="K7" s="1977" t="s">
        <v>96</v>
      </c>
      <c r="L7" s="1977" t="s">
        <v>95</v>
      </c>
      <c r="M7" s="1977" t="s">
        <v>94</v>
      </c>
      <c r="N7" s="1977" t="s">
        <v>93</v>
      </c>
      <c r="O7" s="1977" t="s">
        <v>92</v>
      </c>
      <c r="P7" s="1977" t="s">
        <v>91</v>
      </c>
      <c r="Q7" s="1977" t="s">
        <v>90</v>
      </c>
      <c r="R7" s="1977" t="s">
        <v>89</v>
      </c>
      <c r="S7" s="1977" t="s">
        <v>88</v>
      </c>
      <c r="T7" s="1977" t="s">
        <v>87</v>
      </c>
      <c r="U7" s="1977" t="s">
        <v>86</v>
      </c>
      <c r="V7" s="1977" t="s">
        <v>85</v>
      </c>
      <c r="W7" s="1977" t="s">
        <v>84</v>
      </c>
      <c r="X7" s="1977" t="s">
        <v>83</v>
      </c>
      <c r="Y7" s="1977" t="s">
        <v>82</v>
      </c>
      <c r="Z7" s="1977" t="s">
        <v>81</v>
      </c>
      <c r="AA7" s="1977" t="s">
        <v>80</v>
      </c>
      <c r="AB7" s="1977" t="s">
        <v>79</v>
      </c>
      <c r="AC7" s="1977" t="s">
        <v>78</v>
      </c>
      <c r="AD7" s="1977" t="s">
        <v>77</v>
      </c>
      <c r="AE7" s="1977" t="s">
        <v>76</v>
      </c>
      <c r="AF7" s="1977" t="s">
        <v>75</v>
      </c>
      <c r="AG7" s="285" t="s">
        <v>74</v>
      </c>
      <c r="AH7" s="285" t="s">
        <v>866</v>
      </c>
      <c r="AI7" s="285" t="s">
        <v>865</v>
      </c>
      <c r="AJ7" s="285" t="s">
        <v>864</v>
      </c>
    </row>
    <row r="8" spans="1:36">
      <c r="A8" s="15" t="s">
        <v>511</v>
      </c>
      <c r="B8" s="15">
        <v>-13436</v>
      </c>
      <c r="C8" s="15">
        <v>-11404</v>
      </c>
      <c r="D8" s="15">
        <v>-6956</v>
      </c>
      <c r="E8" s="15">
        <v>895</v>
      </c>
      <c r="F8" s="15">
        <v>8825</v>
      </c>
      <c r="G8" s="15">
        <v>6832</v>
      </c>
      <c r="H8" s="15">
        <v>11187</v>
      </c>
      <c r="I8" s="15">
        <v>18512</v>
      </c>
      <c r="J8" s="15">
        <v>807</v>
      </c>
      <c r="K8" s="15">
        <v>-3313</v>
      </c>
      <c r="L8" s="15">
        <v>11705</v>
      </c>
      <c r="M8" s="15">
        <v>22668</v>
      </c>
      <c r="N8" s="15">
        <v>15505</v>
      </c>
      <c r="O8" s="15">
        <v>4357</v>
      </c>
      <c r="P8" s="15">
        <v>9661</v>
      </c>
      <c r="Q8" s="15">
        <v>5999</v>
      </c>
      <c r="R8" s="15">
        <v>26035</v>
      </c>
      <c r="S8" s="15">
        <v>61756</v>
      </c>
      <c r="T8" s="15">
        <v>-12431</v>
      </c>
      <c r="U8" s="15">
        <v>11624</v>
      </c>
      <c r="V8" s="15">
        <v>26483</v>
      </c>
      <c r="W8" s="15">
        <v>-6609</v>
      </c>
      <c r="X8" s="15">
        <v>20039</v>
      </c>
      <c r="Y8" s="15">
        <v>-15386</v>
      </c>
      <c r="Z8" s="15">
        <v>-21390</v>
      </c>
      <c r="AA8" s="15">
        <v>-17339</v>
      </c>
      <c r="AB8" s="15">
        <v>-31049</v>
      </c>
      <c r="AC8" s="15">
        <v>48324</v>
      </c>
      <c r="AD8" s="15">
        <v>-41960</v>
      </c>
      <c r="AE8" s="15">
        <v>17528</v>
      </c>
      <c r="AF8" s="15">
        <v>17136</v>
      </c>
      <c r="AG8" s="15">
        <v>-12768</v>
      </c>
      <c r="AH8" s="15">
        <v>-16841</v>
      </c>
      <c r="AI8" s="15">
        <v>-14826</v>
      </c>
      <c r="AJ8" s="15">
        <v>-29236</v>
      </c>
    </row>
    <row r="9" spans="1:36">
      <c r="A9" s="15" t="s">
        <v>510</v>
      </c>
      <c r="B9" s="15">
        <v>-356</v>
      </c>
      <c r="C9" s="15">
        <v>-2208</v>
      </c>
      <c r="D9" s="15">
        <v>-181</v>
      </c>
      <c r="E9" s="15">
        <v>-119</v>
      </c>
      <c r="F9" s="15">
        <v>930</v>
      </c>
      <c r="G9" s="15">
        <v>1589</v>
      </c>
      <c r="H9" s="15">
        <v>403</v>
      </c>
      <c r="I9" s="15">
        <v>-31</v>
      </c>
      <c r="J9" s="15">
        <v>2751</v>
      </c>
      <c r="K9" s="15">
        <v>-1589</v>
      </c>
      <c r="L9" s="15">
        <v>1605</v>
      </c>
      <c r="M9" s="15">
        <v>277</v>
      </c>
      <c r="N9" s="15">
        <v>1077</v>
      </c>
      <c r="O9" s="15">
        <v>-153</v>
      </c>
      <c r="P9" s="15">
        <v>-923</v>
      </c>
      <c r="Q9" s="15">
        <v>906</v>
      </c>
      <c r="R9" s="15">
        <v>-859</v>
      </c>
      <c r="S9" s="15">
        <v>4688</v>
      </c>
      <c r="T9" s="15">
        <v>-903</v>
      </c>
      <c r="U9" s="15">
        <v>1555</v>
      </c>
      <c r="V9" s="15">
        <v>4945</v>
      </c>
      <c r="W9" s="15">
        <v>4715</v>
      </c>
      <c r="X9" s="15">
        <v>1817</v>
      </c>
      <c r="Y9" s="15">
        <v>-315</v>
      </c>
      <c r="Z9" s="15">
        <v>-17828</v>
      </c>
      <c r="AA9" s="15">
        <v>2185</v>
      </c>
      <c r="AB9" s="15">
        <v>-7324</v>
      </c>
      <c r="AC9" s="15">
        <v>1763</v>
      </c>
      <c r="AD9" s="15">
        <v>-470</v>
      </c>
      <c r="AE9" s="15">
        <v>10745</v>
      </c>
      <c r="AF9" s="15">
        <v>1949</v>
      </c>
      <c r="AG9" s="15">
        <v>105</v>
      </c>
      <c r="AH9" s="15">
        <v>-2072</v>
      </c>
      <c r="AI9" s="15">
        <v>-3414</v>
      </c>
      <c r="AJ9" s="15">
        <v>885</v>
      </c>
    </row>
    <row r="10" spans="1:36">
      <c r="A10" s="15" t="s">
        <v>2</v>
      </c>
      <c r="B10" s="15">
        <v>-1627</v>
      </c>
      <c r="C10" s="15">
        <v>-747</v>
      </c>
      <c r="D10" s="15">
        <v>-2018</v>
      </c>
      <c r="E10" s="15">
        <v>-1309</v>
      </c>
      <c r="F10" s="15">
        <v>2334</v>
      </c>
      <c r="G10" s="15">
        <v>1182</v>
      </c>
      <c r="H10" s="15">
        <v>2939</v>
      </c>
      <c r="I10" s="15">
        <v>13323</v>
      </c>
      <c r="J10" s="15">
        <v>-9169</v>
      </c>
      <c r="K10" s="15">
        <v>2974</v>
      </c>
      <c r="L10" s="15">
        <v>4640</v>
      </c>
      <c r="M10" s="15">
        <v>16575</v>
      </c>
      <c r="N10" s="15">
        <v>4570</v>
      </c>
      <c r="O10" s="15">
        <v>3569</v>
      </c>
      <c r="P10" s="15">
        <v>6173</v>
      </c>
      <c r="Q10" s="15">
        <v>4061</v>
      </c>
      <c r="R10" s="15">
        <v>23157</v>
      </c>
      <c r="S10" s="15">
        <v>34769</v>
      </c>
      <c r="T10" s="15">
        <v>-7850</v>
      </c>
      <c r="U10" s="15">
        <v>16607</v>
      </c>
      <c r="V10" s="15">
        <v>14500</v>
      </c>
      <c r="W10" s="15">
        <v>6266</v>
      </c>
      <c r="X10" s="15">
        <v>10685</v>
      </c>
      <c r="Y10" s="15">
        <v>-21278</v>
      </c>
      <c r="Z10" s="15">
        <v>-1362</v>
      </c>
      <c r="AA10" s="15">
        <v>-14251</v>
      </c>
      <c r="AB10" s="15">
        <v>-13351</v>
      </c>
      <c r="AC10" s="15">
        <v>15123</v>
      </c>
      <c r="AD10" s="15">
        <v>-23303</v>
      </c>
      <c r="AE10" s="15">
        <v>17157</v>
      </c>
      <c r="AF10" s="15">
        <v>472</v>
      </c>
      <c r="AG10" s="15">
        <v>-10847</v>
      </c>
      <c r="AH10" s="15">
        <v>-18762</v>
      </c>
      <c r="AI10" s="15">
        <v>-17075</v>
      </c>
      <c r="AJ10" s="15">
        <v>-26434</v>
      </c>
    </row>
    <row r="11" spans="1:36">
      <c r="A11" s="15" t="s">
        <v>509</v>
      </c>
      <c r="B11" s="15">
        <v>-6</v>
      </c>
      <c r="C11" s="15">
        <v>22</v>
      </c>
      <c r="D11" s="15">
        <v>-7</v>
      </c>
      <c r="E11" s="15">
        <v>-31</v>
      </c>
      <c r="F11" s="304">
        <f>(G11+E11)/2</f>
        <v>-39.5</v>
      </c>
      <c r="G11" s="15">
        <v>-48</v>
      </c>
      <c r="H11" s="15" t="s">
        <v>291</v>
      </c>
      <c r="I11" s="15">
        <v>-33</v>
      </c>
      <c r="J11" s="15" t="s">
        <v>291</v>
      </c>
      <c r="K11" s="15">
        <v>153</v>
      </c>
      <c r="L11" s="15">
        <v>102</v>
      </c>
      <c r="M11" s="304">
        <f>(L11+N11)/2</f>
        <v>325</v>
      </c>
      <c r="N11" s="15">
        <v>548</v>
      </c>
      <c r="O11" s="15">
        <v>230</v>
      </c>
      <c r="P11" s="15">
        <v>188</v>
      </c>
      <c r="Q11" s="15">
        <v>-81</v>
      </c>
      <c r="R11" s="15" t="s">
        <v>291</v>
      </c>
      <c r="S11" s="15">
        <v>-374</v>
      </c>
      <c r="T11" s="304">
        <f>(S11+U11)/2</f>
        <v>-186.5</v>
      </c>
      <c r="U11" s="15">
        <v>1</v>
      </c>
      <c r="V11" s="15" t="s">
        <v>291</v>
      </c>
      <c r="W11" s="15" t="s">
        <v>291</v>
      </c>
      <c r="X11" s="15">
        <v>-416</v>
      </c>
      <c r="Y11" s="15">
        <v>164</v>
      </c>
      <c r="Z11" s="15" t="s">
        <v>291</v>
      </c>
      <c r="AA11" s="15" t="s">
        <v>291</v>
      </c>
      <c r="AB11" s="15">
        <v>-605</v>
      </c>
      <c r="AC11" s="15">
        <v>1189</v>
      </c>
      <c r="AD11" s="15">
        <v>-457</v>
      </c>
      <c r="AE11" s="15" t="s">
        <v>291</v>
      </c>
      <c r="AF11" s="15">
        <v>66</v>
      </c>
      <c r="AG11" s="15">
        <v>-125</v>
      </c>
      <c r="AH11" s="15">
        <v>28</v>
      </c>
      <c r="AI11" s="15">
        <v>-270</v>
      </c>
      <c r="AJ11" s="15">
        <v>303</v>
      </c>
    </row>
    <row r="12" spans="1:36">
      <c r="A12" s="15" t="s">
        <v>508</v>
      </c>
      <c r="B12" s="15">
        <v>-210</v>
      </c>
      <c r="C12" s="15">
        <v>-342</v>
      </c>
      <c r="D12" s="15">
        <v>45</v>
      </c>
      <c r="E12" s="15">
        <v>-193</v>
      </c>
      <c r="F12" s="15">
        <v>-566</v>
      </c>
      <c r="G12" s="15">
        <v>448</v>
      </c>
      <c r="H12" s="15">
        <v>-40</v>
      </c>
      <c r="I12" s="15">
        <v>303</v>
      </c>
      <c r="J12" s="15">
        <v>-365</v>
      </c>
      <c r="K12" s="15">
        <v>476</v>
      </c>
      <c r="L12" s="15">
        <v>122</v>
      </c>
      <c r="M12" s="15">
        <v>135</v>
      </c>
      <c r="N12" s="15">
        <v>100</v>
      </c>
      <c r="O12" s="15">
        <v>2040</v>
      </c>
      <c r="P12" s="15">
        <v>-630</v>
      </c>
      <c r="Q12" s="15">
        <v>-339</v>
      </c>
      <c r="R12" s="15">
        <v>-720</v>
      </c>
      <c r="S12" s="15">
        <v>113</v>
      </c>
      <c r="T12" s="15">
        <v>-2289</v>
      </c>
      <c r="U12" s="15">
        <v>2841</v>
      </c>
      <c r="V12" s="15">
        <v>1324</v>
      </c>
      <c r="W12" s="15">
        <v>-527</v>
      </c>
      <c r="X12" s="15">
        <v>-683</v>
      </c>
      <c r="Y12" s="304">
        <f>(X12+Z12)/2</f>
        <v>-191.5</v>
      </c>
      <c r="Z12" s="15">
        <v>300</v>
      </c>
      <c r="AA12" s="15">
        <v>-130</v>
      </c>
      <c r="AB12" s="15">
        <v>-755</v>
      </c>
      <c r="AC12" s="15">
        <v>1190</v>
      </c>
      <c r="AD12" s="304">
        <f>(AC12+AE12)/2</f>
        <v>1983</v>
      </c>
      <c r="AE12" s="15">
        <v>2776</v>
      </c>
      <c r="AF12" s="304">
        <f>(AE12+AG12)/2</f>
        <v>1355.5</v>
      </c>
      <c r="AG12" s="15">
        <v>-65</v>
      </c>
      <c r="AH12" s="15">
        <v>-3531</v>
      </c>
      <c r="AI12" s="15">
        <v>-1921</v>
      </c>
      <c r="AJ12" s="15">
        <v>196</v>
      </c>
    </row>
    <row r="13" spans="1:36">
      <c r="A13" s="15" t="s">
        <v>507</v>
      </c>
      <c r="B13" s="15" t="s">
        <v>273</v>
      </c>
      <c r="C13" s="15" t="s">
        <v>273</v>
      </c>
      <c r="D13" s="15" t="s">
        <v>273</v>
      </c>
      <c r="E13" s="15" t="s">
        <v>273</v>
      </c>
      <c r="G13" s="15" t="s">
        <v>273</v>
      </c>
      <c r="H13" s="15" t="s">
        <v>273</v>
      </c>
      <c r="I13" s="15" t="s">
        <v>273</v>
      </c>
      <c r="J13" s="15" t="s">
        <v>273</v>
      </c>
      <c r="K13" s="15" t="s">
        <v>273</v>
      </c>
      <c r="N13" s="15" t="s">
        <v>273</v>
      </c>
      <c r="O13" s="15" t="s">
        <v>273</v>
      </c>
      <c r="P13" s="15" t="s">
        <v>273</v>
      </c>
      <c r="Q13" s="15" t="s">
        <v>273</v>
      </c>
      <c r="R13" s="15" t="s">
        <v>273</v>
      </c>
      <c r="S13" s="15">
        <v>135</v>
      </c>
      <c r="T13" s="15">
        <v>82</v>
      </c>
      <c r="U13" s="15">
        <v>128</v>
      </c>
      <c r="V13" s="15">
        <v>18</v>
      </c>
      <c r="W13" s="15">
        <v>78</v>
      </c>
      <c r="X13" s="15">
        <v>-95</v>
      </c>
      <c r="Y13" s="15" t="s">
        <v>291</v>
      </c>
      <c r="Z13" s="15" t="s">
        <v>291</v>
      </c>
      <c r="AA13" s="15" t="s">
        <v>291</v>
      </c>
      <c r="AB13" s="15" t="s">
        <v>291</v>
      </c>
      <c r="AC13" s="15">
        <v>-201</v>
      </c>
      <c r="AD13" s="15">
        <v>328</v>
      </c>
      <c r="AE13" s="15" t="s">
        <v>291</v>
      </c>
      <c r="AF13" s="15">
        <v>-198</v>
      </c>
      <c r="AG13" s="15">
        <v>-72</v>
      </c>
      <c r="AH13" s="15">
        <v>27</v>
      </c>
      <c r="AI13" s="15">
        <v>399</v>
      </c>
      <c r="AJ13" s="15">
        <v>-10</v>
      </c>
    </row>
    <row r="14" spans="1:36">
      <c r="A14" s="15" t="s">
        <v>506</v>
      </c>
      <c r="B14" s="15">
        <v>-3</v>
      </c>
      <c r="C14" s="15" t="s">
        <v>291</v>
      </c>
      <c r="D14" s="15">
        <v>-81</v>
      </c>
      <c r="E14" s="15" t="s">
        <v>291</v>
      </c>
      <c r="F14" s="15">
        <v>-94</v>
      </c>
      <c r="G14" s="15" t="s">
        <v>291</v>
      </c>
      <c r="H14" s="15" t="s">
        <v>291</v>
      </c>
      <c r="I14" s="15" t="s">
        <v>291</v>
      </c>
      <c r="J14" s="15" t="s">
        <v>291</v>
      </c>
      <c r="K14" s="15">
        <v>55</v>
      </c>
      <c r="L14" s="15">
        <v>22</v>
      </c>
      <c r="M14" s="304">
        <f>(L14+N14)/2</f>
        <v>144.5</v>
      </c>
      <c r="N14" s="15">
        <v>267</v>
      </c>
      <c r="O14" s="15">
        <v>-253</v>
      </c>
      <c r="P14" s="15">
        <v>392</v>
      </c>
      <c r="Q14" s="15" t="s">
        <v>291</v>
      </c>
      <c r="R14" s="15">
        <v>324</v>
      </c>
      <c r="S14" s="15">
        <v>-167</v>
      </c>
      <c r="T14" s="304">
        <v>0</v>
      </c>
      <c r="U14" s="15" t="s">
        <v>291</v>
      </c>
      <c r="V14" s="15" t="s">
        <v>291</v>
      </c>
      <c r="W14" s="15" t="s">
        <v>291</v>
      </c>
      <c r="X14" s="15">
        <v>-190</v>
      </c>
      <c r="Y14" s="15" t="s">
        <v>291</v>
      </c>
      <c r="Z14" s="15" t="s">
        <v>291</v>
      </c>
      <c r="AA14" s="15" t="s">
        <v>291</v>
      </c>
      <c r="AB14" s="15" t="s">
        <v>291</v>
      </c>
      <c r="AC14" s="15">
        <v>-370</v>
      </c>
      <c r="AD14" s="15" t="s">
        <v>291</v>
      </c>
      <c r="AE14" s="15" t="s">
        <v>291</v>
      </c>
      <c r="AF14" s="15" t="s">
        <v>291</v>
      </c>
      <c r="AG14" s="15">
        <v>114</v>
      </c>
      <c r="AH14" s="15" t="s">
        <v>291</v>
      </c>
      <c r="AI14" s="15">
        <v>-263</v>
      </c>
      <c r="AJ14" s="15">
        <v>-60</v>
      </c>
    </row>
    <row r="15" spans="1:36">
      <c r="A15" s="15" t="s">
        <v>505</v>
      </c>
      <c r="B15" s="15">
        <v>-4</v>
      </c>
      <c r="C15" s="15">
        <v>3</v>
      </c>
      <c r="D15" s="15" t="s">
        <v>306</v>
      </c>
      <c r="E15" s="15">
        <v>1</v>
      </c>
      <c r="F15" s="304">
        <v>0</v>
      </c>
      <c r="G15" s="15">
        <v>2</v>
      </c>
      <c r="H15" s="15">
        <v>18</v>
      </c>
      <c r="I15" s="15" t="s">
        <v>291</v>
      </c>
      <c r="J15" s="15">
        <v>34</v>
      </c>
      <c r="K15" s="15">
        <v>-32</v>
      </c>
      <c r="L15" s="304">
        <v>0</v>
      </c>
      <c r="M15" s="15">
        <v>0</v>
      </c>
      <c r="N15" s="15">
        <v>50</v>
      </c>
      <c r="O15" s="15">
        <v>7</v>
      </c>
      <c r="P15" s="15">
        <v>-3</v>
      </c>
      <c r="Q15" s="15" t="s">
        <v>291</v>
      </c>
      <c r="R15" s="15">
        <v>34</v>
      </c>
      <c r="S15" s="15">
        <v>153</v>
      </c>
      <c r="T15" s="15">
        <v>-28</v>
      </c>
      <c r="U15" s="15" t="s">
        <v>291</v>
      </c>
      <c r="V15" s="15">
        <v>-75</v>
      </c>
      <c r="W15" s="15">
        <v>-110</v>
      </c>
      <c r="X15" s="15">
        <v>-22</v>
      </c>
      <c r="Y15" s="15">
        <v>-304</v>
      </c>
      <c r="Z15" s="15">
        <v>311</v>
      </c>
      <c r="AA15" s="15">
        <v>-355</v>
      </c>
      <c r="AB15" s="15" t="s">
        <v>291</v>
      </c>
      <c r="AC15" s="15" t="s">
        <v>291</v>
      </c>
      <c r="AD15" s="15" t="s">
        <v>291</v>
      </c>
      <c r="AE15" s="15" t="s">
        <v>291</v>
      </c>
      <c r="AF15" s="15">
        <v>-2</v>
      </c>
      <c r="AG15" s="15">
        <v>-36</v>
      </c>
      <c r="AH15" s="15">
        <v>-4</v>
      </c>
      <c r="AI15" s="15">
        <v>-1508</v>
      </c>
      <c r="AJ15" s="15">
        <v>1529</v>
      </c>
    </row>
    <row r="16" spans="1:36">
      <c r="A16" s="15" t="s">
        <v>504</v>
      </c>
      <c r="B16" s="15">
        <v>74</v>
      </c>
      <c r="C16" s="15">
        <v>-95</v>
      </c>
      <c r="D16" s="15">
        <v>-204</v>
      </c>
      <c r="E16" s="15">
        <v>395</v>
      </c>
      <c r="F16" s="15">
        <v>163</v>
      </c>
      <c r="G16" s="15">
        <v>353</v>
      </c>
      <c r="H16" s="15">
        <v>880</v>
      </c>
      <c r="I16" s="15">
        <v>598</v>
      </c>
      <c r="J16" s="15">
        <v>-44</v>
      </c>
      <c r="K16" s="15">
        <v>918</v>
      </c>
      <c r="L16" s="15">
        <v>97</v>
      </c>
      <c r="M16" s="15">
        <v>-1481</v>
      </c>
      <c r="N16" s="15">
        <v>296</v>
      </c>
      <c r="O16" s="15">
        <v>1148</v>
      </c>
      <c r="P16" s="15" t="s">
        <v>291</v>
      </c>
      <c r="Q16" s="15">
        <v>521</v>
      </c>
      <c r="R16" s="15">
        <v>1160</v>
      </c>
      <c r="S16" s="15">
        <v>1044</v>
      </c>
      <c r="T16" s="15">
        <v>-586</v>
      </c>
      <c r="U16" s="15">
        <v>-747</v>
      </c>
      <c r="V16" s="15">
        <v>1022</v>
      </c>
      <c r="W16" s="15">
        <v>35</v>
      </c>
      <c r="X16" s="15">
        <v>2737</v>
      </c>
      <c r="Y16" s="15">
        <v>-1831</v>
      </c>
      <c r="Z16" s="15">
        <v>-315</v>
      </c>
      <c r="AA16" s="15">
        <v>-378</v>
      </c>
      <c r="AB16" s="15">
        <v>-4581</v>
      </c>
      <c r="AC16" s="15">
        <v>8951</v>
      </c>
      <c r="AD16" s="15">
        <v>2543</v>
      </c>
      <c r="AE16" s="15">
        <v>-1046</v>
      </c>
      <c r="AF16" s="15">
        <v>-1476</v>
      </c>
      <c r="AG16" s="15">
        <v>-1578</v>
      </c>
      <c r="AH16" s="15">
        <v>-1671</v>
      </c>
      <c r="AI16" s="15">
        <v>869</v>
      </c>
      <c r="AJ16" s="15">
        <v>272</v>
      </c>
    </row>
    <row r="17" spans="1:36">
      <c r="A17" s="15" t="s">
        <v>503</v>
      </c>
      <c r="B17" s="15">
        <v>-22</v>
      </c>
      <c r="C17" s="15">
        <v>-188</v>
      </c>
      <c r="D17" s="15">
        <v>42</v>
      </c>
      <c r="E17" s="15">
        <v>-880</v>
      </c>
      <c r="F17" s="15">
        <v>684</v>
      </c>
      <c r="G17" s="15">
        <v>-278</v>
      </c>
      <c r="H17" s="15">
        <v>-703</v>
      </c>
      <c r="I17" s="15">
        <v>-59</v>
      </c>
      <c r="J17" s="15">
        <v>-492</v>
      </c>
      <c r="K17" s="15">
        <v>2165</v>
      </c>
      <c r="L17" s="15">
        <v>646</v>
      </c>
      <c r="M17" s="15">
        <v>1729</v>
      </c>
      <c r="N17" s="15">
        <v>442</v>
      </c>
      <c r="O17" s="15">
        <v>-646</v>
      </c>
      <c r="P17" s="15">
        <v>1304</v>
      </c>
      <c r="Q17" s="15">
        <v>-175</v>
      </c>
      <c r="R17" s="15">
        <v>-191</v>
      </c>
      <c r="S17" s="15">
        <v>2769</v>
      </c>
      <c r="T17" s="15">
        <v>-410</v>
      </c>
      <c r="U17" s="15">
        <v>2951</v>
      </c>
      <c r="V17" s="15">
        <v>2713</v>
      </c>
      <c r="W17" s="15">
        <v>-2148</v>
      </c>
      <c r="X17" s="15">
        <v>-1194</v>
      </c>
      <c r="Y17" s="15">
        <v>1417</v>
      </c>
      <c r="Z17" s="15">
        <v>-3343</v>
      </c>
      <c r="AA17" s="15">
        <v>-746</v>
      </c>
      <c r="AB17" s="15">
        <v>-3626</v>
      </c>
      <c r="AC17" s="15">
        <v>3798</v>
      </c>
      <c r="AD17" s="15">
        <v>-1853</v>
      </c>
      <c r="AE17" s="15">
        <v>-1494</v>
      </c>
      <c r="AF17" s="15">
        <v>339</v>
      </c>
      <c r="AG17" s="15">
        <v>-1467</v>
      </c>
      <c r="AH17" s="15">
        <v>-452</v>
      </c>
      <c r="AI17" s="15">
        <v>-738</v>
      </c>
      <c r="AJ17" s="15">
        <v>2399</v>
      </c>
    </row>
    <row r="18" spans="1:36">
      <c r="A18" s="15" t="s">
        <v>502</v>
      </c>
      <c r="B18" s="15">
        <v>-26</v>
      </c>
      <c r="C18" s="15">
        <v>-45</v>
      </c>
      <c r="D18" s="15">
        <v>-24</v>
      </c>
      <c r="E18" s="15" t="s">
        <v>291</v>
      </c>
      <c r="F18" s="304">
        <v>0</v>
      </c>
      <c r="G18" s="15" t="s">
        <v>291</v>
      </c>
      <c r="H18" s="15">
        <v>8</v>
      </c>
      <c r="I18" s="15" t="s">
        <v>291</v>
      </c>
      <c r="J18" s="15">
        <v>13</v>
      </c>
      <c r="K18" s="15">
        <v>23</v>
      </c>
      <c r="L18" s="304">
        <v>0</v>
      </c>
      <c r="M18" s="15">
        <v>19</v>
      </c>
      <c r="N18" s="15">
        <v>-2</v>
      </c>
      <c r="O18" s="15">
        <v>-46</v>
      </c>
      <c r="P18" s="15">
        <v>53</v>
      </c>
      <c r="Q18" s="15">
        <v>-23</v>
      </c>
      <c r="R18" s="15">
        <v>-14</v>
      </c>
      <c r="S18" s="15">
        <v>-14</v>
      </c>
      <c r="T18" s="304">
        <v>0</v>
      </c>
      <c r="U18" s="15" t="s">
        <v>291</v>
      </c>
      <c r="V18" s="15">
        <v>96</v>
      </c>
      <c r="W18" s="15">
        <v>-45</v>
      </c>
      <c r="X18" s="15" t="s">
        <v>291</v>
      </c>
      <c r="Y18" s="15">
        <v>-4</v>
      </c>
      <c r="Z18" s="15" t="s">
        <v>291</v>
      </c>
      <c r="AA18" s="15" t="s">
        <v>291</v>
      </c>
      <c r="AB18" s="15">
        <v>55</v>
      </c>
      <c r="AC18" s="15" t="s">
        <v>291</v>
      </c>
      <c r="AD18" s="15" t="s">
        <v>291</v>
      </c>
      <c r="AE18" s="15">
        <v>-55</v>
      </c>
      <c r="AF18" s="15" t="s">
        <v>291</v>
      </c>
      <c r="AG18" s="15">
        <v>-27</v>
      </c>
      <c r="AH18" s="15">
        <v>-41</v>
      </c>
      <c r="AI18" s="15">
        <v>36</v>
      </c>
      <c r="AJ18" s="15">
        <v>-23</v>
      </c>
    </row>
    <row r="19" spans="1:36">
      <c r="A19" s="15" t="s">
        <v>501</v>
      </c>
      <c r="B19" s="15" t="s">
        <v>273</v>
      </c>
      <c r="C19" s="15" t="s">
        <v>273</v>
      </c>
      <c r="D19" s="15" t="s">
        <v>273</v>
      </c>
      <c r="E19" s="15" t="s">
        <v>273</v>
      </c>
      <c r="G19" s="15" t="s">
        <v>273</v>
      </c>
      <c r="H19" s="15" t="s">
        <v>273</v>
      </c>
      <c r="I19" s="15" t="s">
        <v>273</v>
      </c>
      <c r="J19" s="15" t="s">
        <v>273</v>
      </c>
      <c r="K19" s="15" t="s">
        <v>273</v>
      </c>
      <c r="N19" s="15" t="s">
        <v>273</v>
      </c>
      <c r="O19" s="15" t="s">
        <v>273</v>
      </c>
      <c r="P19" s="15" t="s">
        <v>273</v>
      </c>
      <c r="Q19" s="15" t="s">
        <v>273</v>
      </c>
      <c r="R19" s="15" t="s">
        <v>273</v>
      </c>
      <c r="S19" s="15">
        <v>-13</v>
      </c>
      <c r="T19" s="304">
        <v>0</v>
      </c>
      <c r="U19" s="15">
        <v>-167</v>
      </c>
      <c r="V19" s="15">
        <v>152</v>
      </c>
      <c r="W19" s="15">
        <v>-119</v>
      </c>
      <c r="X19" s="15">
        <v>-186</v>
      </c>
      <c r="Y19" s="15" t="s">
        <v>291</v>
      </c>
      <c r="Z19" s="15" t="s">
        <v>291</v>
      </c>
      <c r="AA19" s="15">
        <v>665</v>
      </c>
      <c r="AB19" s="15">
        <v>-525</v>
      </c>
      <c r="AC19" s="15">
        <v>-332</v>
      </c>
      <c r="AD19" s="15">
        <v>96</v>
      </c>
      <c r="AE19" s="15" t="s">
        <v>291</v>
      </c>
      <c r="AF19" s="15" t="s">
        <v>291</v>
      </c>
      <c r="AG19" s="15">
        <v>-249</v>
      </c>
      <c r="AH19" s="15">
        <v>-395</v>
      </c>
      <c r="AI19" s="15">
        <v>819</v>
      </c>
      <c r="AJ19" s="15">
        <v>44</v>
      </c>
    </row>
    <row r="20" spans="1:36">
      <c r="A20" s="15" t="s">
        <v>500</v>
      </c>
      <c r="B20" s="15">
        <v>41</v>
      </c>
      <c r="C20" s="15">
        <v>-8</v>
      </c>
      <c r="D20" s="15">
        <v>-74</v>
      </c>
      <c r="E20" s="15">
        <v>18</v>
      </c>
      <c r="F20" s="15">
        <v>-56</v>
      </c>
      <c r="G20" s="304">
        <f>(F20+H20)/2</f>
        <v>9.5</v>
      </c>
      <c r="H20" s="15">
        <v>75</v>
      </c>
      <c r="I20" s="15">
        <v>-15</v>
      </c>
      <c r="J20" s="15">
        <v>328</v>
      </c>
      <c r="K20" s="15">
        <v>-693</v>
      </c>
      <c r="L20" s="15">
        <v>-188</v>
      </c>
      <c r="M20" s="15">
        <v>-37</v>
      </c>
      <c r="N20" s="15">
        <v>-1511</v>
      </c>
      <c r="O20" s="15">
        <v>-1288</v>
      </c>
      <c r="P20" s="15">
        <v>223</v>
      </c>
      <c r="Q20" s="15">
        <v>302</v>
      </c>
      <c r="R20" s="15">
        <v>2750</v>
      </c>
      <c r="S20" s="15">
        <v>235</v>
      </c>
      <c r="T20" s="15">
        <v>4653</v>
      </c>
      <c r="U20" s="15">
        <v>-3416</v>
      </c>
      <c r="V20" s="15">
        <v>2214</v>
      </c>
      <c r="W20" s="15">
        <v>-1345</v>
      </c>
      <c r="X20" s="15">
        <v>528</v>
      </c>
      <c r="Y20" s="15">
        <v>-12555</v>
      </c>
      <c r="Z20" s="15">
        <v>13180</v>
      </c>
      <c r="AA20" s="15">
        <v>5090</v>
      </c>
      <c r="AB20" s="15">
        <v>8568</v>
      </c>
      <c r="AC20" s="15">
        <v>-912</v>
      </c>
      <c r="AD20" s="15">
        <v>5748</v>
      </c>
      <c r="AE20" s="15">
        <v>-2588</v>
      </c>
      <c r="AF20" s="15">
        <v>-5991</v>
      </c>
      <c r="AG20" s="15">
        <v>-10979</v>
      </c>
      <c r="AH20" s="15">
        <v>10501</v>
      </c>
      <c r="AI20" s="15">
        <v>16340</v>
      </c>
      <c r="AJ20" s="15">
        <v>-2894</v>
      </c>
    </row>
    <row r="21" spans="1:36">
      <c r="A21" s="15" t="s">
        <v>499</v>
      </c>
      <c r="B21" s="15">
        <v>182</v>
      </c>
      <c r="C21" s="15">
        <v>116</v>
      </c>
      <c r="D21" s="15">
        <v>14</v>
      </c>
      <c r="E21" s="15">
        <v>192</v>
      </c>
      <c r="F21" s="15">
        <v>-352</v>
      </c>
      <c r="G21" s="15">
        <v>218</v>
      </c>
      <c r="H21" s="15" t="s">
        <v>291</v>
      </c>
      <c r="I21" s="15">
        <v>274</v>
      </c>
      <c r="J21" s="15">
        <v>282</v>
      </c>
      <c r="K21" s="15">
        <v>-445</v>
      </c>
      <c r="L21" s="15">
        <v>-36</v>
      </c>
      <c r="M21" s="15">
        <v>22</v>
      </c>
      <c r="N21" s="15">
        <v>617</v>
      </c>
      <c r="O21" s="15">
        <v>350</v>
      </c>
      <c r="P21" s="15">
        <v>45</v>
      </c>
      <c r="Q21" s="15">
        <v>-686</v>
      </c>
      <c r="R21" s="15">
        <v>-1100</v>
      </c>
      <c r="S21" s="15">
        <v>1776</v>
      </c>
      <c r="T21" s="15">
        <v>-99</v>
      </c>
      <c r="U21" s="15">
        <v>527</v>
      </c>
      <c r="V21" s="15">
        <v>173</v>
      </c>
      <c r="W21" s="15">
        <v>462</v>
      </c>
      <c r="X21" s="15">
        <v>1450</v>
      </c>
      <c r="Y21" s="15">
        <v>-1241</v>
      </c>
      <c r="Z21" s="15">
        <v>-65</v>
      </c>
      <c r="AA21" s="15">
        <v>1140</v>
      </c>
      <c r="AB21" s="15">
        <v>-908</v>
      </c>
      <c r="AC21" s="15">
        <v>262</v>
      </c>
      <c r="AD21" s="15">
        <v>-578</v>
      </c>
      <c r="AE21" s="15">
        <v>-701</v>
      </c>
      <c r="AF21" s="15">
        <v>986</v>
      </c>
      <c r="AG21" s="15">
        <v>260</v>
      </c>
      <c r="AH21" s="15">
        <v>-150</v>
      </c>
      <c r="AI21" s="15">
        <v>-500</v>
      </c>
      <c r="AJ21" s="15">
        <v>-2027</v>
      </c>
    </row>
    <row r="22" spans="1:36">
      <c r="A22" s="15" t="s">
        <v>498</v>
      </c>
      <c r="B22" s="15">
        <v>31</v>
      </c>
      <c r="C22" s="304">
        <f>(B22+D22)/2</f>
        <v>13</v>
      </c>
      <c r="D22" s="15">
        <v>-5</v>
      </c>
      <c r="E22" s="15">
        <v>18</v>
      </c>
      <c r="F22" s="15">
        <v>-88</v>
      </c>
      <c r="G22" s="15">
        <v>-112</v>
      </c>
      <c r="H22" s="15">
        <v>404</v>
      </c>
      <c r="I22" s="15">
        <v>-22</v>
      </c>
      <c r="J22" s="15">
        <v>150</v>
      </c>
      <c r="K22" s="15">
        <v>-100</v>
      </c>
      <c r="L22" s="15">
        <v>-42</v>
      </c>
      <c r="M22" s="304">
        <f>M10-M11-M12-M13-M14-M15-M16-M17-M18-M19-M20-M21-M23-M24-M25-M26-M27-M28-M29-M30-M31-M32-M33</f>
        <v>110</v>
      </c>
      <c r="N22" s="15">
        <v>-125</v>
      </c>
      <c r="O22" s="15">
        <v>-995</v>
      </c>
      <c r="P22" s="15">
        <v>64</v>
      </c>
      <c r="Q22" s="15">
        <v>1053</v>
      </c>
      <c r="R22" s="15">
        <v>3049</v>
      </c>
      <c r="S22" s="15">
        <v>-473</v>
      </c>
      <c r="T22" s="304">
        <f>T10-T11-T12-T13-T14-T15-T16-T17-T18-T19-T20-T21-T23-T24-T25-T26-T27-T28-T29-T30-T31-T32-T33</f>
        <v>-3337.5</v>
      </c>
      <c r="U22" s="15">
        <v>16489</v>
      </c>
      <c r="V22" s="15">
        <v>3288</v>
      </c>
      <c r="W22" s="15">
        <v>4829</v>
      </c>
      <c r="X22" s="15">
        <v>261</v>
      </c>
      <c r="Y22" s="15">
        <v>-6831</v>
      </c>
      <c r="Z22" s="15">
        <v>-1419</v>
      </c>
      <c r="AA22" s="15">
        <v>-6677</v>
      </c>
      <c r="AB22" s="15">
        <v>-2674</v>
      </c>
      <c r="AC22" s="15">
        <v>920</v>
      </c>
      <c r="AD22" s="15">
        <v>3694</v>
      </c>
      <c r="AE22" s="15">
        <v>11130</v>
      </c>
      <c r="AF22" s="15">
        <v>-3466</v>
      </c>
      <c r="AG22" s="15">
        <v>11991</v>
      </c>
      <c r="AH22" s="15">
        <v>-16708</v>
      </c>
      <c r="AI22" s="15">
        <v>-14187</v>
      </c>
      <c r="AJ22" s="15">
        <v>6805</v>
      </c>
    </row>
    <row r="23" spans="1:36">
      <c r="A23" s="15" t="s">
        <v>497</v>
      </c>
      <c r="B23" s="15">
        <v>-480</v>
      </c>
      <c r="C23" s="15">
        <v>-541</v>
      </c>
      <c r="D23" s="15">
        <v>-610</v>
      </c>
      <c r="E23" s="15">
        <v>-72</v>
      </c>
      <c r="F23" s="304">
        <f>F10-F11-F12-F13-F14-F15-F16-F17-F18-F19-F20-F21-F22-F24-F25-F26-F27-F28-F29-F30-F31-F32-F33</f>
        <v>-28.5</v>
      </c>
      <c r="G23" s="15">
        <v>896</v>
      </c>
      <c r="H23" s="15">
        <v>583</v>
      </c>
      <c r="I23" s="15">
        <v>1220</v>
      </c>
      <c r="J23" s="15">
        <v>-4093</v>
      </c>
      <c r="K23" s="15">
        <v>-922</v>
      </c>
      <c r="L23" s="304">
        <f>L10-L11-L12-L13-L14-L15-L16-L17-L18-L19-L20-L21-L22-L24-L25-L26-L27-L28-L29-L30-L31-L32-L33</f>
        <v>116</v>
      </c>
      <c r="M23" s="15">
        <v>-696</v>
      </c>
      <c r="N23" s="15">
        <v>635</v>
      </c>
      <c r="O23" s="15">
        <v>2855</v>
      </c>
      <c r="P23" s="15">
        <v>-1932</v>
      </c>
      <c r="Q23" s="15">
        <v>726</v>
      </c>
      <c r="R23" s="15">
        <v>9661</v>
      </c>
      <c r="S23" s="15">
        <v>333</v>
      </c>
      <c r="T23" s="15">
        <v>-10446</v>
      </c>
      <c r="U23" s="15">
        <v>2505</v>
      </c>
      <c r="V23" s="15">
        <v>2920</v>
      </c>
      <c r="W23" s="15">
        <v>114</v>
      </c>
      <c r="X23" s="15">
        <v>262</v>
      </c>
      <c r="Y23" s="15">
        <v>14289</v>
      </c>
      <c r="Z23" s="15">
        <v>-3971</v>
      </c>
      <c r="AA23" s="15">
        <v>5694</v>
      </c>
      <c r="AB23" s="15">
        <v>2957</v>
      </c>
      <c r="AC23" s="15">
        <v>6624</v>
      </c>
      <c r="AD23" s="15">
        <v>-11944</v>
      </c>
      <c r="AE23" s="15">
        <v>11368</v>
      </c>
      <c r="AF23" s="15">
        <v>3163</v>
      </c>
      <c r="AG23" s="15">
        <v>-4890</v>
      </c>
      <c r="AH23" s="15">
        <v>-595</v>
      </c>
      <c r="AI23" s="15">
        <v>-222</v>
      </c>
      <c r="AJ23" s="15">
        <v>-6179</v>
      </c>
    </row>
    <row r="24" spans="1:36">
      <c r="A24" s="15" t="s">
        <v>496</v>
      </c>
      <c r="B24" s="15">
        <v>76</v>
      </c>
      <c r="C24" s="15">
        <v>-297</v>
      </c>
      <c r="D24" s="15">
        <v>-684</v>
      </c>
      <c r="E24" s="15">
        <v>-15</v>
      </c>
      <c r="F24" s="15">
        <v>509</v>
      </c>
      <c r="G24" s="15">
        <v>110</v>
      </c>
      <c r="H24" s="15" t="s">
        <v>291</v>
      </c>
      <c r="I24" s="15" t="s">
        <v>291</v>
      </c>
      <c r="J24" s="15" t="s">
        <v>291</v>
      </c>
      <c r="K24" s="15">
        <v>-55</v>
      </c>
      <c r="L24" s="15">
        <v>290</v>
      </c>
      <c r="M24" s="304">
        <f>(L24+N24)/2</f>
        <v>534</v>
      </c>
      <c r="N24" s="15">
        <v>778</v>
      </c>
      <c r="O24" s="15">
        <v>-175</v>
      </c>
      <c r="P24" s="15">
        <v>107</v>
      </c>
      <c r="Q24" s="15" t="s">
        <v>291</v>
      </c>
      <c r="R24" s="15" t="s">
        <v>291</v>
      </c>
      <c r="S24" s="15">
        <v>-349</v>
      </c>
      <c r="T24" s="15">
        <v>-1052</v>
      </c>
      <c r="U24" s="15" t="s">
        <v>291</v>
      </c>
      <c r="V24" s="15" t="s">
        <v>291</v>
      </c>
      <c r="W24" s="15" t="s">
        <v>291</v>
      </c>
      <c r="X24" s="15">
        <v>-716</v>
      </c>
      <c r="Y24" s="15" t="s">
        <v>291</v>
      </c>
      <c r="Z24" s="15">
        <v>627</v>
      </c>
      <c r="AA24" s="15" t="s">
        <v>291</v>
      </c>
      <c r="AB24" s="15" t="s">
        <v>291</v>
      </c>
      <c r="AC24" s="15">
        <v>1453</v>
      </c>
      <c r="AD24" s="15" t="s">
        <v>291</v>
      </c>
      <c r="AE24" s="15">
        <v>-1167</v>
      </c>
      <c r="AF24" s="15" t="s">
        <v>291</v>
      </c>
      <c r="AG24" s="15">
        <v>-2528</v>
      </c>
      <c r="AH24" s="15">
        <v>-2055</v>
      </c>
      <c r="AI24" s="15">
        <v>-383</v>
      </c>
      <c r="AJ24" s="15">
        <v>777</v>
      </c>
    </row>
    <row r="25" spans="1:36">
      <c r="A25" s="15" t="s">
        <v>495</v>
      </c>
      <c r="B25" s="15" t="s">
        <v>273</v>
      </c>
      <c r="C25" s="15" t="s">
        <v>273</v>
      </c>
      <c r="D25" s="15" t="s">
        <v>273</v>
      </c>
      <c r="E25" s="15" t="s">
        <v>273</v>
      </c>
      <c r="G25" s="15" t="s">
        <v>273</v>
      </c>
      <c r="H25" s="15" t="s">
        <v>273</v>
      </c>
      <c r="I25" s="15" t="s">
        <v>273</v>
      </c>
      <c r="J25" s="15" t="s">
        <v>273</v>
      </c>
      <c r="K25" s="15" t="s">
        <v>273</v>
      </c>
      <c r="N25" s="15" t="s">
        <v>273</v>
      </c>
      <c r="O25" s="15" t="s">
        <v>273</v>
      </c>
      <c r="P25" s="15" t="s">
        <v>273</v>
      </c>
      <c r="Q25" s="15" t="s">
        <v>273</v>
      </c>
      <c r="R25" s="15" t="s">
        <v>273</v>
      </c>
      <c r="S25" s="15">
        <v>297</v>
      </c>
      <c r="T25" s="304">
        <v>0</v>
      </c>
      <c r="U25" s="15">
        <v>-226</v>
      </c>
      <c r="V25" s="15">
        <v>21</v>
      </c>
      <c r="W25" s="15">
        <v>-56</v>
      </c>
      <c r="X25" s="15">
        <v>128</v>
      </c>
      <c r="Y25" s="15">
        <v>-163</v>
      </c>
      <c r="Z25" s="15">
        <v>-105</v>
      </c>
      <c r="AA25" s="15" t="s">
        <v>291</v>
      </c>
      <c r="AB25" s="15">
        <v>239</v>
      </c>
      <c r="AC25" s="15">
        <v>312</v>
      </c>
      <c r="AD25" s="15">
        <v>-67</v>
      </c>
      <c r="AE25" s="15" t="s">
        <v>291</v>
      </c>
      <c r="AF25" s="15" t="s">
        <v>291</v>
      </c>
      <c r="AG25" s="15">
        <v>-101</v>
      </c>
      <c r="AH25" s="15">
        <v>181</v>
      </c>
      <c r="AI25" s="15">
        <v>5</v>
      </c>
      <c r="AJ25" s="15">
        <v>-2</v>
      </c>
    </row>
    <row r="26" spans="1:36">
      <c r="A26" s="15" t="s">
        <v>494</v>
      </c>
      <c r="B26" s="15">
        <v>18</v>
      </c>
      <c r="C26" s="15">
        <v>-7</v>
      </c>
      <c r="D26" s="15">
        <v>-2</v>
      </c>
      <c r="E26" s="15">
        <v>-32</v>
      </c>
      <c r="F26" s="304">
        <v>0</v>
      </c>
      <c r="G26" s="15">
        <v>11</v>
      </c>
      <c r="H26" s="15">
        <v>41</v>
      </c>
      <c r="I26" s="15">
        <v>-8</v>
      </c>
      <c r="J26" s="15" t="s">
        <v>291</v>
      </c>
      <c r="K26" s="15">
        <v>42</v>
      </c>
      <c r="L26" s="15">
        <v>30</v>
      </c>
      <c r="M26" s="15">
        <v>-29</v>
      </c>
      <c r="N26" s="15">
        <v>70</v>
      </c>
      <c r="O26" s="15">
        <v>-22</v>
      </c>
      <c r="P26" s="15" t="s">
        <v>291</v>
      </c>
      <c r="Q26" s="15">
        <v>-91</v>
      </c>
      <c r="R26" s="15">
        <v>17</v>
      </c>
      <c r="S26" s="15">
        <v>590</v>
      </c>
      <c r="T26" s="15">
        <v>416</v>
      </c>
      <c r="U26" s="15">
        <v>20</v>
      </c>
      <c r="V26" s="15">
        <v>341</v>
      </c>
      <c r="W26" s="15" t="s">
        <v>291</v>
      </c>
      <c r="X26" s="15" t="s">
        <v>291</v>
      </c>
      <c r="Y26" s="15" t="s">
        <v>291</v>
      </c>
      <c r="Z26" s="15" t="s">
        <v>291</v>
      </c>
      <c r="AA26" s="15">
        <v>179</v>
      </c>
      <c r="AB26" s="15" t="s">
        <v>291</v>
      </c>
      <c r="AC26" s="15">
        <v>94</v>
      </c>
      <c r="AD26" s="15">
        <v>-113</v>
      </c>
      <c r="AE26" s="15" t="s">
        <v>291</v>
      </c>
      <c r="AF26" s="15">
        <v>-84</v>
      </c>
      <c r="AG26" s="15">
        <v>-195</v>
      </c>
      <c r="AH26" s="15" t="s">
        <v>291</v>
      </c>
      <c r="AI26" s="15">
        <v>-161</v>
      </c>
      <c r="AJ26" s="15">
        <v>-74</v>
      </c>
    </row>
    <row r="27" spans="1:36">
      <c r="A27" s="15" t="s">
        <v>493</v>
      </c>
      <c r="B27" s="15" t="s">
        <v>273</v>
      </c>
      <c r="C27" s="15" t="s">
        <v>273</v>
      </c>
      <c r="D27" s="15" t="s">
        <v>273</v>
      </c>
      <c r="E27" s="15" t="s">
        <v>273</v>
      </c>
      <c r="G27" s="15" t="s">
        <v>273</v>
      </c>
      <c r="H27" s="15" t="s">
        <v>273</v>
      </c>
      <c r="I27" s="15" t="s">
        <v>273</v>
      </c>
      <c r="J27" s="15" t="s">
        <v>273</v>
      </c>
      <c r="K27" s="15" t="s">
        <v>273</v>
      </c>
      <c r="N27" s="15" t="s">
        <v>273</v>
      </c>
      <c r="O27" s="15" t="s">
        <v>273</v>
      </c>
      <c r="P27" s="15" t="s">
        <v>273</v>
      </c>
      <c r="Q27" s="15" t="s">
        <v>273</v>
      </c>
      <c r="R27" s="15" t="s">
        <v>273</v>
      </c>
      <c r="S27" s="15">
        <v>289</v>
      </c>
      <c r="T27" s="15">
        <v>-150</v>
      </c>
      <c r="U27" s="15" t="s">
        <v>291</v>
      </c>
      <c r="V27" s="15">
        <v>-230</v>
      </c>
      <c r="W27" s="15" t="s">
        <v>291</v>
      </c>
      <c r="X27" s="15" t="s">
        <v>291</v>
      </c>
      <c r="Y27" s="15">
        <v>887</v>
      </c>
      <c r="Z27" s="15" t="s">
        <v>291</v>
      </c>
      <c r="AA27" s="15">
        <v>-457</v>
      </c>
      <c r="AB27" s="15">
        <v>-390</v>
      </c>
      <c r="AC27" s="15">
        <v>-1057</v>
      </c>
      <c r="AD27" s="15" t="s">
        <v>291</v>
      </c>
      <c r="AE27" s="15" t="s">
        <v>291</v>
      </c>
      <c r="AF27" s="15">
        <v>709</v>
      </c>
      <c r="AG27" s="15">
        <v>76</v>
      </c>
      <c r="AH27" s="15">
        <v>-941</v>
      </c>
      <c r="AI27" s="15">
        <v>105</v>
      </c>
      <c r="AJ27" s="15">
        <v>493</v>
      </c>
    </row>
    <row r="28" spans="1:36">
      <c r="A28" s="15" t="s">
        <v>492</v>
      </c>
      <c r="B28" s="15">
        <v>-24</v>
      </c>
      <c r="C28" s="15">
        <v>317</v>
      </c>
      <c r="D28" s="15">
        <v>-109</v>
      </c>
      <c r="E28" s="15" t="s">
        <v>291</v>
      </c>
      <c r="F28" s="15">
        <v>260</v>
      </c>
      <c r="G28" s="15">
        <v>290</v>
      </c>
      <c r="H28" s="15">
        <v>-217</v>
      </c>
      <c r="I28" s="15">
        <v>-570</v>
      </c>
      <c r="J28" s="15">
        <v>-924</v>
      </c>
      <c r="K28" s="15">
        <v>812</v>
      </c>
      <c r="L28" s="15">
        <v>675</v>
      </c>
      <c r="M28" s="15">
        <v>-904</v>
      </c>
      <c r="N28" s="15">
        <v>1052</v>
      </c>
      <c r="O28" s="15" t="s">
        <v>291</v>
      </c>
      <c r="P28" s="15">
        <v>329</v>
      </c>
      <c r="Q28" s="15">
        <v>-293</v>
      </c>
      <c r="R28" s="15">
        <v>86</v>
      </c>
      <c r="S28" s="15">
        <v>-209</v>
      </c>
      <c r="T28" s="15">
        <v>847</v>
      </c>
      <c r="U28" s="15">
        <v>-705</v>
      </c>
      <c r="V28" s="15">
        <v>-91</v>
      </c>
      <c r="W28" s="15">
        <v>237</v>
      </c>
      <c r="X28" s="15">
        <v>382</v>
      </c>
      <c r="Y28" s="15">
        <v>-86</v>
      </c>
      <c r="Z28" s="15">
        <v>-2421</v>
      </c>
      <c r="AA28" s="15">
        <v>347</v>
      </c>
      <c r="AB28" s="15">
        <v>421</v>
      </c>
      <c r="AC28" s="15">
        <v>718</v>
      </c>
      <c r="AD28" s="15">
        <v>527</v>
      </c>
      <c r="AE28" s="15" t="s">
        <v>291</v>
      </c>
      <c r="AF28" s="15" t="s">
        <v>291</v>
      </c>
      <c r="AG28" s="15">
        <v>-27</v>
      </c>
      <c r="AH28" s="15">
        <v>-365</v>
      </c>
      <c r="AI28" s="15">
        <v>-26</v>
      </c>
      <c r="AJ28" s="15">
        <v>-402</v>
      </c>
    </row>
    <row r="29" spans="1:36">
      <c r="A29" s="15" t="s">
        <v>491</v>
      </c>
      <c r="B29" s="15">
        <v>-54</v>
      </c>
      <c r="C29" s="15">
        <v>31</v>
      </c>
      <c r="D29" s="15">
        <v>-88</v>
      </c>
      <c r="E29" s="15" t="s">
        <v>291</v>
      </c>
      <c r="F29" s="15">
        <v>-41</v>
      </c>
      <c r="G29" s="15">
        <v>109</v>
      </c>
      <c r="H29" s="15">
        <v>-39</v>
      </c>
      <c r="I29" s="15">
        <v>16</v>
      </c>
      <c r="J29" s="15">
        <v>163</v>
      </c>
      <c r="K29" s="15">
        <v>-154</v>
      </c>
      <c r="L29" s="15">
        <v>18</v>
      </c>
      <c r="M29" s="304">
        <f>(L29+N29)/2</f>
        <v>187.5</v>
      </c>
      <c r="N29" s="15">
        <v>357</v>
      </c>
      <c r="O29" s="15" t="s">
        <v>291</v>
      </c>
      <c r="P29" s="15">
        <v>-10</v>
      </c>
      <c r="Q29" s="15">
        <v>237</v>
      </c>
      <c r="R29" s="15" t="s">
        <v>291</v>
      </c>
      <c r="S29" s="15">
        <v>3476</v>
      </c>
      <c r="T29" s="15">
        <v>11957</v>
      </c>
      <c r="U29" s="15">
        <v>-8702</v>
      </c>
      <c r="V29" s="15">
        <v>1487</v>
      </c>
      <c r="W29" s="15">
        <v>797</v>
      </c>
      <c r="X29" s="15">
        <v>2710</v>
      </c>
      <c r="Y29" s="15">
        <v>-1131</v>
      </c>
      <c r="Z29" s="15" t="s">
        <v>291</v>
      </c>
      <c r="AA29" s="15" t="s">
        <v>291</v>
      </c>
      <c r="AB29" s="15">
        <v>-1857</v>
      </c>
      <c r="AC29" s="15">
        <v>-7705</v>
      </c>
      <c r="AD29" s="15" t="s">
        <v>291</v>
      </c>
      <c r="AE29" s="15" t="s">
        <v>291</v>
      </c>
      <c r="AF29" s="15" t="s">
        <v>291</v>
      </c>
      <c r="AG29" s="15">
        <v>-1369</v>
      </c>
      <c r="AH29" s="15">
        <v>-6561</v>
      </c>
      <c r="AI29" s="15">
        <v>-455</v>
      </c>
      <c r="AJ29" s="15">
        <v>-2064</v>
      </c>
    </row>
    <row r="30" spans="1:36">
      <c r="A30" s="15" t="s">
        <v>490</v>
      </c>
      <c r="B30" s="15">
        <v>-197</v>
      </c>
      <c r="C30" s="15">
        <v>41</v>
      </c>
      <c r="D30" s="15">
        <v>-181</v>
      </c>
      <c r="E30" s="15">
        <v>-556</v>
      </c>
      <c r="F30" s="15">
        <v>89</v>
      </c>
      <c r="G30" s="15">
        <v>311</v>
      </c>
      <c r="H30" s="15">
        <v>-613</v>
      </c>
      <c r="I30" s="15">
        <v>-349</v>
      </c>
      <c r="J30" s="15">
        <v>191</v>
      </c>
      <c r="K30" s="15">
        <v>-381</v>
      </c>
      <c r="L30" s="15">
        <v>1549</v>
      </c>
      <c r="M30" s="15">
        <v>1091</v>
      </c>
      <c r="N30" s="304">
        <f>(M30+O30)/2</f>
        <v>543</v>
      </c>
      <c r="O30" s="15">
        <v>-5</v>
      </c>
      <c r="P30" s="15">
        <v>-851</v>
      </c>
      <c r="Q30" s="15">
        <v>-2050</v>
      </c>
      <c r="R30" s="15">
        <v>2496</v>
      </c>
      <c r="S30" s="15">
        <v>5997</v>
      </c>
      <c r="T30" s="15">
        <v>459</v>
      </c>
      <c r="U30" s="15">
        <v>31</v>
      </c>
      <c r="V30" s="15">
        <v>-1063</v>
      </c>
      <c r="W30" s="304">
        <f>(V30+X30)/2</f>
        <v>-370.5</v>
      </c>
      <c r="X30" s="15">
        <v>322</v>
      </c>
      <c r="Y30" s="15">
        <v>-2150</v>
      </c>
      <c r="Z30" s="15">
        <v>-151</v>
      </c>
      <c r="AA30" s="15">
        <v>-1772</v>
      </c>
      <c r="AB30" s="15">
        <v>4219</v>
      </c>
      <c r="AC30" s="15">
        <v>-1188</v>
      </c>
      <c r="AD30" s="304">
        <f>(AC30+AE30)/2</f>
        <v>-3080</v>
      </c>
      <c r="AE30" s="15">
        <v>-4972</v>
      </c>
      <c r="AF30" s="15">
        <v>3920</v>
      </c>
      <c r="AG30" s="15">
        <v>-5952</v>
      </c>
      <c r="AH30" s="15">
        <v>4636</v>
      </c>
      <c r="AI30" s="15">
        <v>-5094</v>
      </c>
      <c r="AJ30" s="15">
        <v>-7326</v>
      </c>
    </row>
    <row r="31" spans="1:36">
      <c r="A31" s="15" t="s">
        <v>489</v>
      </c>
      <c r="B31" s="15">
        <v>-47</v>
      </c>
      <c r="C31" s="15">
        <v>-36</v>
      </c>
      <c r="D31" s="15" t="s">
        <v>291</v>
      </c>
      <c r="E31" s="15">
        <v>-10</v>
      </c>
      <c r="F31" s="15">
        <v>-13</v>
      </c>
      <c r="G31" s="15">
        <v>10</v>
      </c>
      <c r="H31" s="15" t="s">
        <v>306</v>
      </c>
      <c r="I31" s="15">
        <v>20</v>
      </c>
      <c r="J31" s="15">
        <v>73</v>
      </c>
      <c r="K31" s="15">
        <v>-8</v>
      </c>
      <c r="L31" s="15">
        <v>15</v>
      </c>
      <c r="M31" s="304">
        <v>0</v>
      </c>
      <c r="N31" s="15">
        <v>51</v>
      </c>
      <c r="O31" s="15">
        <v>-18</v>
      </c>
      <c r="P31" s="15">
        <v>47</v>
      </c>
      <c r="Q31" s="15">
        <v>-62</v>
      </c>
      <c r="R31" s="15">
        <v>-21</v>
      </c>
      <c r="S31" s="15">
        <v>136</v>
      </c>
      <c r="T31" s="15">
        <v>0</v>
      </c>
      <c r="U31" s="15" t="s">
        <v>291</v>
      </c>
      <c r="V31" s="15" t="s">
        <v>291</v>
      </c>
      <c r="W31" s="15">
        <v>-26</v>
      </c>
      <c r="X31" s="15">
        <v>44</v>
      </c>
      <c r="Y31" s="15" t="s">
        <v>291</v>
      </c>
      <c r="Z31" s="15">
        <v>-233</v>
      </c>
      <c r="AA31" s="15" t="s">
        <v>291</v>
      </c>
      <c r="AB31" s="15">
        <v>-34</v>
      </c>
      <c r="AC31" s="15">
        <v>154</v>
      </c>
      <c r="AD31" s="15" t="s">
        <v>291</v>
      </c>
      <c r="AE31" s="15" t="s">
        <v>291</v>
      </c>
      <c r="AF31" s="15" t="s">
        <v>291</v>
      </c>
      <c r="AG31" s="15">
        <v>73</v>
      </c>
      <c r="AH31" s="15">
        <v>-207</v>
      </c>
      <c r="AI31" s="15">
        <v>6</v>
      </c>
      <c r="AJ31" s="15">
        <v>93</v>
      </c>
    </row>
    <row r="32" spans="1:36">
      <c r="A32" s="15" t="s">
        <v>488</v>
      </c>
      <c r="B32" s="15">
        <v>-1045</v>
      </c>
      <c r="C32" s="15">
        <v>253</v>
      </c>
      <c r="D32" s="15">
        <v>-57</v>
      </c>
      <c r="E32" s="15">
        <v>-50</v>
      </c>
      <c r="F32" s="15">
        <v>1978</v>
      </c>
      <c r="G32" s="15">
        <v>-1218</v>
      </c>
      <c r="H32" s="15">
        <v>2109</v>
      </c>
      <c r="I32" s="15">
        <v>12672</v>
      </c>
      <c r="J32" s="15">
        <v>-4490</v>
      </c>
      <c r="K32" s="15">
        <v>1027</v>
      </c>
      <c r="L32" s="15">
        <v>1203</v>
      </c>
      <c r="M32" s="15">
        <v>14832</v>
      </c>
      <c r="N32" s="15">
        <v>5987</v>
      </c>
      <c r="O32" s="15">
        <v>434</v>
      </c>
      <c r="P32" s="15">
        <v>7067</v>
      </c>
      <c r="Q32" s="15">
        <v>4932</v>
      </c>
      <c r="R32" s="15">
        <v>2277</v>
      </c>
      <c r="S32" s="15">
        <v>18139</v>
      </c>
      <c r="T32" s="15">
        <v>-7648</v>
      </c>
      <c r="U32" s="15">
        <v>2924</v>
      </c>
      <c r="V32" s="15">
        <v>1982</v>
      </c>
      <c r="W32" s="15">
        <v>4960</v>
      </c>
      <c r="X32" s="15">
        <v>4869</v>
      </c>
      <c r="Y32" s="15">
        <v>-13071</v>
      </c>
      <c r="Z32" s="15">
        <v>-7399</v>
      </c>
      <c r="AA32" s="15">
        <v>-15235</v>
      </c>
      <c r="AB32" s="15">
        <v>-12545</v>
      </c>
      <c r="AC32" s="15">
        <v>1005</v>
      </c>
      <c r="AD32" s="15">
        <v>-2853</v>
      </c>
      <c r="AE32" s="15">
        <v>-740</v>
      </c>
      <c r="AF32" s="15">
        <v>9138</v>
      </c>
      <c r="AG32" s="15">
        <v>4189</v>
      </c>
      <c r="AH32" s="15">
        <v>-2015</v>
      </c>
      <c r="AI32" s="15">
        <v>-10592</v>
      </c>
      <c r="AJ32" s="15">
        <v>-16004</v>
      </c>
    </row>
    <row r="33" spans="1:36">
      <c r="A33" s="15" t="s">
        <v>236</v>
      </c>
      <c r="B33" s="15">
        <v>71</v>
      </c>
      <c r="C33" s="15" t="s">
        <v>291</v>
      </c>
      <c r="D33" s="15" t="s">
        <v>291</v>
      </c>
      <c r="E33" s="15">
        <v>36</v>
      </c>
      <c r="F33" s="15">
        <v>-71</v>
      </c>
      <c r="G33" s="15">
        <v>134</v>
      </c>
      <c r="H33" s="15">
        <v>4</v>
      </c>
      <c r="I33" s="15">
        <v>-18</v>
      </c>
      <c r="J33" s="15">
        <v>20</v>
      </c>
      <c r="K33" s="15">
        <v>94</v>
      </c>
      <c r="L33" s="15">
        <v>21</v>
      </c>
      <c r="M33" s="15">
        <v>593</v>
      </c>
      <c r="N33" s="15" t="s">
        <v>291</v>
      </c>
      <c r="O33" s="15">
        <v>38</v>
      </c>
      <c r="P33" s="15">
        <v>844</v>
      </c>
      <c r="Q33" s="15" t="s">
        <v>291</v>
      </c>
      <c r="R33" s="15" t="s">
        <v>291</v>
      </c>
      <c r="S33" s="15">
        <v>885</v>
      </c>
      <c r="T33" s="15">
        <v>-32</v>
      </c>
      <c r="U33" s="15">
        <v>1923</v>
      </c>
      <c r="V33" s="15">
        <v>-2690</v>
      </c>
      <c r="W33" s="15" t="s">
        <v>291</v>
      </c>
      <c r="X33" s="15">
        <v>-87</v>
      </c>
      <c r="Y33" s="15">
        <v>-655</v>
      </c>
      <c r="Z33" s="15">
        <v>1633</v>
      </c>
      <c r="AA33" s="15">
        <v>-354</v>
      </c>
      <c r="AB33" s="15">
        <v>519</v>
      </c>
      <c r="AC33" s="15">
        <v>80</v>
      </c>
      <c r="AD33" s="15">
        <v>1436</v>
      </c>
      <c r="AE33" s="15">
        <v>4877</v>
      </c>
      <c r="AF33" s="15" t="s">
        <v>291</v>
      </c>
      <c r="AG33" s="15">
        <v>2113</v>
      </c>
      <c r="AH33" s="15">
        <v>1695</v>
      </c>
      <c r="AI33" s="15">
        <v>670</v>
      </c>
      <c r="AJ33" s="15">
        <v>-2280</v>
      </c>
    </row>
    <row r="34" spans="1:36">
      <c r="A34" s="15" t="s">
        <v>448</v>
      </c>
      <c r="B34" s="15">
        <v>-12445</v>
      </c>
      <c r="C34" s="15">
        <v>-7155</v>
      </c>
      <c r="D34" s="15">
        <v>-4085</v>
      </c>
      <c r="E34" s="15">
        <v>3491</v>
      </c>
      <c r="F34" s="15">
        <v>5132</v>
      </c>
      <c r="G34" s="15">
        <v>4059</v>
      </c>
      <c r="H34" s="15">
        <v>5936</v>
      </c>
      <c r="I34" s="15">
        <v>4736</v>
      </c>
      <c r="J34" s="15">
        <v>4696</v>
      </c>
      <c r="K34" s="15">
        <v>-3981</v>
      </c>
      <c r="L34" s="15">
        <v>3389</v>
      </c>
      <c r="M34" s="15">
        <v>4804</v>
      </c>
      <c r="N34" s="15">
        <v>4184</v>
      </c>
      <c r="O34" s="15">
        <v>265</v>
      </c>
      <c r="P34" s="15">
        <v>1621</v>
      </c>
      <c r="Q34" s="15">
        <v>84</v>
      </c>
      <c r="R34" s="15">
        <v>-2348</v>
      </c>
      <c r="S34" s="15">
        <v>8583</v>
      </c>
      <c r="T34" s="15">
        <v>-1442</v>
      </c>
      <c r="U34" s="15">
        <v>-1457</v>
      </c>
      <c r="V34" s="15">
        <v>-474</v>
      </c>
      <c r="W34" s="15">
        <v>-12616</v>
      </c>
      <c r="X34" s="15">
        <v>1734</v>
      </c>
      <c r="Y34" s="15">
        <v>-245</v>
      </c>
      <c r="Z34" s="15">
        <v>3729</v>
      </c>
      <c r="AA34" s="15">
        <v>-12676</v>
      </c>
      <c r="AB34" s="15">
        <v>352</v>
      </c>
      <c r="AC34" s="15">
        <v>23253</v>
      </c>
      <c r="AD34" s="15">
        <v>-15316</v>
      </c>
      <c r="AE34" s="15">
        <v>564</v>
      </c>
      <c r="AF34" s="15">
        <v>-2276</v>
      </c>
      <c r="AG34" s="15">
        <v>-7849</v>
      </c>
      <c r="AH34" s="15">
        <v>140</v>
      </c>
      <c r="AI34" s="15">
        <v>9880</v>
      </c>
      <c r="AJ34" s="15">
        <v>-8233</v>
      </c>
    </row>
    <row r="35" spans="1:36">
      <c r="A35" s="15" t="s">
        <v>447</v>
      </c>
      <c r="B35" s="15">
        <v>751</v>
      </c>
      <c r="C35" s="15">
        <v>-699</v>
      </c>
      <c r="D35" s="15">
        <v>-307</v>
      </c>
      <c r="E35" s="15">
        <v>-391</v>
      </c>
      <c r="F35" s="15">
        <v>291</v>
      </c>
      <c r="G35" s="15">
        <v>-364</v>
      </c>
      <c r="H35" s="15">
        <v>274</v>
      </c>
      <c r="I35" s="15">
        <v>258</v>
      </c>
      <c r="J35" s="15">
        <v>272</v>
      </c>
      <c r="K35" s="15">
        <v>-162</v>
      </c>
      <c r="L35" s="15">
        <v>235</v>
      </c>
      <c r="M35" s="15">
        <v>875</v>
      </c>
      <c r="N35" s="15">
        <v>2189</v>
      </c>
      <c r="O35" s="15">
        <v>3443</v>
      </c>
      <c r="P35" s="15">
        <v>-575</v>
      </c>
      <c r="Q35" s="15">
        <v>2273</v>
      </c>
      <c r="R35" s="15">
        <v>-175</v>
      </c>
      <c r="S35" s="15">
        <v>3093</v>
      </c>
      <c r="T35" s="15">
        <v>658</v>
      </c>
      <c r="U35" s="15">
        <v>-677</v>
      </c>
      <c r="V35" s="15">
        <v>-2085</v>
      </c>
      <c r="W35" s="15">
        <v>-1019</v>
      </c>
      <c r="X35" s="15">
        <v>1512</v>
      </c>
      <c r="Y35" s="15">
        <v>-448</v>
      </c>
      <c r="Z35" s="15">
        <v>-1609</v>
      </c>
      <c r="AA35" s="15">
        <v>-2625</v>
      </c>
      <c r="AB35" s="15">
        <v>1197</v>
      </c>
      <c r="AC35" s="15">
        <v>604</v>
      </c>
      <c r="AD35" s="15">
        <v>-3387</v>
      </c>
      <c r="AE35" s="15">
        <v>3756</v>
      </c>
      <c r="AF35" s="15">
        <v>2684</v>
      </c>
      <c r="AG35" s="15">
        <v>471</v>
      </c>
      <c r="AH35" s="15">
        <v>1110</v>
      </c>
      <c r="AI35" s="15">
        <v>1537</v>
      </c>
      <c r="AJ35" s="15">
        <v>247</v>
      </c>
    </row>
    <row r="36" spans="1:36">
      <c r="A36" s="15" t="s">
        <v>446</v>
      </c>
      <c r="B36" s="15">
        <v>-9</v>
      </c>
      <c r="C36" s="15">
        <v>-231</v>
      </c>
      <c r="D36" s="15">
        <v>98</v>
      </c>
      <c r="E36" s="15">
        <v>-19</v>
      </c>
      <c r="F36" s="15">
        <v>-17</v>
      </c>
      <c r="G36" s="15">
        <v>-53</v>
      </c>
      <c r="H36" s="15">
        <v>-4</v>
      </c>
      <c r="I36" s="15">
        <v>108</v>
      </c>
      <c r="J36" s="15">
        <v>112</v>
      </c>
      <c r="K36" s="15">
        <v>-225</v>
      </c>
      <c r="L36" s="15">
        <v>79</v>
      </c>
      <c r="M36" s="15">
        <v>373</v>
      </c>
      <c r="N36" s="15">
        <v>392</v>
      </c>
      <c r="O36" s="15">
        <v>800</v>
      </c>
      <c r="P36" s="15">
        <v>-93</v>
      </c>
      <c r="Q36" s="15">
        <v>418</v>
      </c>
      <c r="R36" s="15">
        <v>-130</v>
      </c>
      <c r="S36" s="15">
        <v>914</v>
      </c>
      <c r="T36" s="15">
        <v>137</v>
      </c>
      <c r="U36" s="15">
        <v>151</v>
      </c>
      <c r="V36" s="15">
        <v>-623</v>
      </c>
      <c r="W36" s="15">
        <v>-693</v>
      </c>
      <c r="X36" s="15">
        <v>634</v>
      </c>
      <c r="Y36" s="15" t="s">
        <v>291</v>
      </c>
      <c r="Z36" s="15" t="s">
        <v>291</v>
      </c>
      <c r="AA36" s="15" t="s">
        <v>291</v>
      </c>
      <c r="AB36" s="15">
        <v>-71</v>
      </c>
      <c r="AC36" s="15">
        <v>427</v>
      </c>
      <c r="AD36" s="15">
        <v>-3659</v>
      </c>
      <c r="AE36" s="15" t="s">
        <v>291</v>
      </c>
      <c r="AF36" s="15" t="s">
        <v>291</v>
      </c>
      <c r="AG36" s="15">
        <v>452</v>
      </c>
      <c r="AH36" s="15">
        <v>-616</v>
      </c>
      <c r="AI36" s="15">
        <v>216</v>
      </c>
      <c r="AJ36" s="15">
        <v>-913</v>
      </c>
    </row>
    <row r="37" spans="1:36">
      <c r="A37" s="15" t="s">
        <v>445</v>
      </c>
      <c r="B37" s="15">
        <v>83</v>
      </c>
      <c r="C37" s="15">
        <v>-85</v>
      </c>
      <c r="D37" s="15">
        <v>81</v>
      </c>
      <c r="E37" s="15">
        <v>-198</v>
      </c>
      <c r="F37" s="15">
        <v>215</v>
      </c>
      <c r="G37" s="15">
        <v>8</v>
      </c>
      <c r="H37" s="15">
        <v>300</v>
      </c>
      <c r="I37" s="15">
        <v>121</v>
      </c>
      <c r="J37" s="15">
        <v>95</v>
      </c>
      <c r="K37" s="15">
        <v>-52</v>
      </c>
      <c r="L37" s="15">
        <v>82</v>
      </c>
      <c r="M37" s="15">
        <v>-131</v>
      </c>
      <c r="N37" s="15">
        <v>162</v>
      </c>
      <c r="O37" s="15" t="s">
        <v>291</v>
      </c>
      <c r="P37" s="15">
        <v>-459</v>
      </c>
      <c r="Q37" s="15">
        <v>1842</v>
      </c>
      <c r="R37" s="15">
        <v>136</v>
      </c>
      <c r="S37" s="15">
        <v>935</v>
      </c>
      <c r="T37" s="15">
        <v>100</v>
      </c>
      <c r="U37" s="15">
        <v>-163</v>
      </c>
      <c r="V37" s="15">
        <v>21</v>
      </c>
      <c r="W37" s="15">
        <v>-256</v>
      </c>
      <c r="X37" s="15">
        <v>1035</v>
      </c>
      <c r="Y37" s="15">
        <v>-380</v>
      </c>
      <c r="Z37" s="15">
        <v>-696</v>
      </c>
      <c r="AA37" s="15">
        <v>68</v>
      </c>
      <c r="AB37" s="15">
        <v>66</v>
      </c>
      <c r="AC37" s="15">
        <v>-1068</v>
      </c>
      <c r="AD37" s="15">
        <v>912</v>
      </c>
      <c r="AE37" s="15">
        <v>39</v>
      </c>
      <c r="AF37" s="15">
        <v>-150</v>
      </c>
      <c r="AG37" s="15">
        <v>29</v>
      </c>
      <c r="AH37" s="15">
        <v>2228</v>
      </c>
      <c r="AI37" s="15">
        <v>1199</v>
      </c>
      <c r="AJ37" s="15">
        <v>2440</v>
      </c>
    </row>
    <row r="38" spans="1:36">
      <c r="A38" s="15" t="s">
        <v>444</v>
      </c>
      <c r="B38" s="15">
        <v>49</v>
      </c>
      <c r="C38" s="15">
        <v>-198</v>
      </c>
      <c r="D38" s="15">
        <v>-30</v>
      </c>
      <c r="E38" s="15">
        <v>16</v>
      </c>
      <c r="F38" s="15">
        <v>-47</v>
      </c>
      <c r="G38" s="15">
        <v>7</v>
      </c>
      <c r="H38" s="15">
        <v>-15</v>
      </c>
      <c r="I38" s="15">
        <v>-21</v>
      </c>
      <c r="J38" s="15">
        <v>197</v>
      </c>
      <c r="K38" s="15">
        <v>-33</v>
      </c>
      <c r="L38" s="15">
        <v>-164</v>
      </c>
      <c r="M38" s="15">
        <v>91</v>
      </c>
      <c r="N38" s="15">
        <v>451</v>
      </c>
      <c r="O38" s="15">
        <v>290</v>
      </c>
      <c r="P38" s="15" t="s">
        <v>291</v>
      </c>
      <c r="Q38" s="15">
        <v>-257</v>
      </c>
      <c r="R38" s="15">
        <v>-214</v>
      </c>
      <c r="S38" s="15">
        <v>243</v>
      </c>
      <c r="T38" s="15">
        <v>-287</v>
      </c>
      <c r="U38" s="15">
        <v>365</v>
      </c>
      <c r="V38" s="15">
        <v>-323</v>
      </c>
      <c r="W38" s="15">
        <v>-185</v>
      </c>
      <c r="X38" s="15">
        <v>222</v>
      </c>
      <c r="Y38" s="15" t="s">
        <v>291</v>
      </c>
      <c r="Z38" s="15" t="s">
        <v>291</v>
      </c>
      <c r="AA38" s="15" t="s">
        <v>291</v>
      </c>
      <c r="AB38" s="15" t="s">
        <v>291</v>
      </c>
      <c r="AC38" s="15">
        <v>31</v>
      </c>
      <c r="AD38" s="15">
        <v>421</v>
      </c>
      <c r="AE38" s="15">
        <v>825</v>
      </c>
      <c r="AF38" s="15">
        <v>262</v>
      </c>
      <c r="AG38" s="15">
        <v>-3</v>
      </c>
      <c r="AH38" s="15">
        <v>-741</v>
      </c>
      <c r="AI38" s="15">
        <v>418</v>
      </c>
      <c r="AJ38" s="15">
        <v>-371</v>
      </c>
    </row>
    <row r="39" spans="1:36">
      <c r="A39" s="15" t="s">
        <v>443</v>
      </c>
      <c r="B39" s="15">
        <v>168</v>
      </c>
      <c r="C39" s="15">
        <v>62</v>
      </c>
      <c r="D39" s="15">
        <v>-144</v>
      </c>
      <c r="E39" s="15" t="s">
        <v>291</v>
      </c>
      <c r="F39" s="15">
        <v>-25</v>
      </c>
      <c r="G39" s="15">
        <v>-237</v>
      </c>
      <c r="H39" s="15" t="s">
        <v>291</v>
      </c>
      <c r="I39" s="15">
        <v>-22</v>
      </c>
      <c r="J39" s="15" t="s">
        <v>291</v>
      </c>
      <c r="K39" s="15">
        <v>-24</v>
      </c>
      <c r="L39" s="15" t="s">
        <v>291</v>
      </c>
      <c r="M39" s="15">
        <v>45</v>
      </c>
      <c r="N39" s="15">
        <v>223</v>
      </c>
      <c r="O39" s="15">
        <v>113</v>
      </c>
      <c r="P39" s="15">
        <v>-127</v>
      </c>
      <c r="Q39" s="15">
        <v>44</v>
      </c>
      <c r="R39" s="15">
        <v>-346</v>
      </c>
      <c r="S39" s="15">
        <v>231</v>
      </c>
      <c r="T39" s="15">
        <v>-449</v>
      </c>
      <c r="U39" s="15">
        <v>-393</v>
      </c>
      <c r="V39" s="15" t="s">
        <v>291</v>
      </c>
      <c r="W39" s="15" t="s">
        <v>291</v>
      </c>
      <c r="X39" s="15">
        <v>115</v>
      </c>
      <c r="Y39" s="15" t="s">
        <v>291</v>
      </c>
      <c r="Z39" s="15" t="s">
        <v>291</v>
      </c>
      <c r="AA39" s="15" t="s">
        <v>291</v>
      </c>
      <c r="AB39" s="15" t="s">
        <v>291</v>
      </c>
      <c r="AC39" s="15">
        <v>612</v>
      </c>
      <c r="AD39" s="15" t="s">
        <v>291</v>
      </c>
      <c r="AE39" s="15" t="s">
        <v>291</v>
      </c>
      <c r="AF39" s="15">
        <v>345</v>
      </c>
      <c r="AG39" s="15">
        <v>-452</v>
      </c>
      <c r="AH39" s="15">
        <v>128</v>
      </c>
      <c r="AI39" s="15">
        <v>515</v>
      </c>
      <c r="AJ39" s="15">
        <v>-179</v>
      </c>
    </row>
    <row r="40" spans="1:36">
      <c r="A40" s="15" t="s">
        <v>442</v>
      </c>
      <c r="B40" s="15">
        <v>48</v>
      </c>
      <c r="C40" s="15">
        <v>20</v>
      </c>
      <c r="D40" s="15">
        <v>-91</v>
      </c>
      <c r="E40" s="15">
        <v>-30</v>
      </c>
      <c r="F40" s="15" t="s">
        <v>291</v>
      </c>
      <c r="G40" s="15">
        <v>68</v>
      </c>
      <c r="H40" s="15">
        <v>-13</v>
      </c>
      <c r="I40" s="15" t="s">
        <v>291</v>
      </c>
      <c r="J40" s="15">
        <v>-38</v>
      </c>
      <c r="K40" s="15" t="s">
        <v>291</v>
      </c>
      <c r="L40" s="15" t="s">
        <v>291</v>
      </c>
      <c r="M40" s="15" t="s">
        <v>291</v>
      </c>
      <c r="N40" s="15">
        <v>174</v>
      </c>
      <c r="O40" s="15">
        <v>17</v>
      </c>
      <c r="P40" s="15">
        <v>-52</v>
      </c>
      <c r="Q40" s="15" t="s">
        <v>291</v>
      </c>
      <c r="R40" s="15" t="s">
        <v>291</v>
      </c>
      <c r="S40" s="15">
        <v>-40</v>
      </c>
      <c r="T40" s="15" t="s">
        <v>291</v>
      </c>
      <c r="U40" s="15" t="s">
        <v>291</v>
      </c>
      <c r="V40" s="15">
        <v>38</v>
      </c>
      <c r="W40" s="15" t="s">
        <v>291</v>
      </c>
      <c r="X40" s="15" t="s">
        <v>291</v>
      </c>
      <c r="Y40" s="15">
        <v>-250</v>
      </c>
      <c r="Z40" s="15">
        <v>-126</v>
      </c>
      <c r="AA40" s="15" t="s">
        <v>291</v>
      </c>
      <c r="AB40" s="15">
        <v>120</v>
      </c>
      <c r="AC40" s="15">
        <v>151</v>
      </c>
      <c r="AD40" s="15">
        <v>39</v>
      </c>
      <c r="AE40" s="15">
        <v>31</v>
      </c>
      <c r="AF40" s="15">
        <v>10</v>
      </c>
      <c r="AG40" s="15">
        <v>-2</v>
      </c>
      <c r="AH40" s="15">
        <v>141</v>
      </c>
      <c r="AI40" s="15">
        <v>9</v>
      </c>
      <c r="AJ40" s="15" t="s">
        <v>291</v>
      </c>
    </row>
    <row r="41" spans="1:36">
      <c r="A41" s="15" t="s">
        <v>441</v>
      </c>
      <c r="B41" s="15">
        <v>-32</v>
      </c>
      <c r="C41" s="15">
        <v>-106</v>
      </c>
      <c r="D41" s="15">
        <v>-178</v>
      </c>
      <c r="E41" s="15">
        <v>-129</v>
      </c>
      <c r="F41" s="15">
        <v>-110</v>
      </c>
      <c r="G41" s="15">
        <v>17</v>
      </c>
      <c r="H41" s="15">
        <v>35</v>
      </c>
      <c r="I41" s="15" t="s">
        <v>291</v>
      </c>
      <c r="J41" s="15" t="s">
        <v>291</v>
      </c>
      <c r="K41" s="15" t="s">
        <v>291</v>
      </c>
      <c r="L41" s="15" t="s">
        <v>291</v>
      </c>
      <c r="M41" s="15">
        <v>-3</v>
      </c>
      <c r="N41" s="15">
        <v>47</v>
      </c>
      <c r="O41" s="15">
        <v>-52</v>
      </c>
      <c r="P41" s="15" t="s">
        <v>291</v>
      </c>
      <c r="Q41" s="15">
        <v>-55</v>
      </c>
      <c r="R41" s="15">
        <v>232</v>
      </c>
      <c r="S41" s="15">
        <v>322</v>
      </c>
      <c r="T41" s="15" t="s">
        <v>291</v>
      </c>
      <c r="U41" s="15" t="s">
        <v>291</v>
      </c>
      <c r="V41" s="15">
        <v>-443</v>
      </c>
      <c r="W41" s="15">
        <v>137</v>
      </c>
      <c r="X41" s="15" t="s">
        <v>291</v>
      </c>
      <c r="Y41" s="15">
        <v>149</v>
      </c>
      <c r="Z41" s="15">
        <v>74</v>
      </c>
      <c r="AA41" s="15">
        <v>83</v>
      </c>
      <c r="AB41" s="15" t="s">
        <v>291</v>
      </c>
      <c r="AC41" s="15">
        <v>-11</v>
      </c>
      <c r="AD41" s="15" t="s">
        <v>291</v>
      </c>
      <c r="AE41" s="15" t="s">
        <v>291</v>
      </c>
      <c r="AF41" s="15" t="s">
        <v>291</v>
      </c>
      <c r="AG41" s="15">
        <v>-143</v>
      </c>
      <c r="AH41" s="15">
        <v>125</v>
      </c>
      <c r="AI41" s="15">
        <v>-250</v>
      </c>
      <c r="AJ41" s="15">
        <v>-40</v>
      </c>
    </row>
    <row r="42" spans="1:36">
      <c r="A42" s="15" t="s">
        <v>440</v>
      </c>
      <c r="B42" s="15">
        <v>409</v>
      </c>
      <c r="C42" s="15">
        <v>-145</v>
      </c>
      <c r="D42" s="15">
        <v>-23</v>
      </c>
      <c r="E42" s="15">
        <v>-164</v>
      </c>
      <c r="F42" s="15">
        <v>124</v>
      </c>
      <c r="G42" s="15">
        <v>-147</v>
      </c>
      <c r="H42" s="15" t="s">
        <v>291</v>
      </c>
      <c r="I42" s="15">
        <v>55</v>
      </c>
      <c r="J42" s="15">
        <v>-62</v>
      </c>
      <c r="K42" s="15" t="s">
        <v>291</v>
      </c>
      <c r="L42" s="15">
        <v>90</v>
      </c>
      <c r="M42" s="15" t="s">
        <v>291</v>
      </c>
      <c r="N42" s="15">
        <v>728</v>
      </c>
      <c r="O42" s="15" t="s">
        <v>291</v>
      </c>
      <c r="P42" s="15" t="s">
        <v>291</v>
      </c>
      <c r="Q42" s="15" t="s">
        <v>291</v>
      </c>
      <c r="R42" s="15">
        <v>182</v>
      </c>
      <c r="S42" s="15">
        <v>347</v>
      </c>
      <c r="T42" s="15">
        <v>1263</v>
      </c>
      <c r="U42" s="15">
        <v>-732</v>
      </c>
      <c r="V42" s="15">
        <v>-173</v>
      </c>
      <c r="W42" s="15">
        <v>-538</v>
      </c>
      <c r="X42" s="15">
        <v>114</v>
      </c>
      <c r="Y42" s="15">
        <v>149</v>
      </c>
      <c r="Z42" s="15" t="s">
        <v>291</v>
      </c>
      <c r="AA42" s="15" t="s">
        <v>291</v>
      </c>
      <c r="AB42" s="15">
        <v>673</v>
      </c>
      <c r="AC42" s="15">
        <v>298</v>
      </c>
      <c r="AD42" s="15" t="s">
        <v>291</v>
      </c>
      <c r="AE42" s="15">
        <v>382</v>
      </c>
      <c r="AF42" s="15" t="s">
        <v>291</v>
      </c>
      <c r="AG42" s="15">
        <v>721</v>
      </c>
      <c r="AH42" s="15">
        <v>-290</v>
      </c>
      <c r="AI42" s="15">
        <v>-525</v>
      </c>
      <c r="AJ42" s="15">
        <v>-746</v>
      </c>
    </row>
    <row r="43" spans="1:36">
      <c r="A43" s="15" t="s">
        <v>67</v>
      </c>
      <c r="B43" s="15">
        <v>34</v>
      </c>
      <c r="C43" s="15">
        <v>-16</v>
      </c>
      <c r="D43" s="15">
        <v>-19</v>
      </c>
      <c r="E43" s="15" t="s">
        <v>291</v>
      </c>
      <c r="F43" s="15" t="s">
        <v>291</v>
      </c>
      <c r="G43" s="15">
        <v>-27</v>
      </c>
      <c r="H43" s="15">
        <v>-44</v>
      </c>
      <c r="I43" s="15">
        <v>29</v>
      </c>
      <c r="J43" s="15">
        <v>-25</v>
      </c>
      <c r="K43" s="15">
        <v>96</v>
      </c>
      <c r="L43" s="15">
        <v>68</v>
      </c>
      <c r="M43" s="15" t="s">
        <v>291</v>
      </c>
      <c r="N43" s="15">
        <v>13</v>
      </c>
      <c r="O43" s="15" t="s">
        <v>291</v>
      </c>
      <c r="P43" s="15" t="s">
        <v>291</v>
      </c>
      <c r="Q43" s="15" t="s">
        <v>291</v>
      </c>
      <c r="R43" s="15" t="s">
        <v>291</v>
      </c>
      <c r="S43" s="15">
        <v>142</v>
      </c>
      <c r="T43" s="15" t="s">
        <v>291</v>
      </c>
      <c r="U43" s="15" t="s">
        <v>291</v>
      </c>
      <c r="V43" s="15" t="s">
        <v>291</v>
      </c>
      <c r="W43" s="15">
        <v>24</v>
      </c>
      <c r="X43" s="15">
        <v>-83</v>
      </c>
      <c r="Y43" s="15">
        <v>6</v>
      </c>
      <c r="Z43" s="15" t="s">
        <v>291</v>
      </c>
      <c r="AA43" s="15">
        <v>16</v>
      </c>
      <c r="AB43" s="15">
        <v>-68</v>
      </c>
      <c r="AC43" s="15">
        <v>164</v>
      </c>
      <c r="AD43" s="15">
        <v>-85</v>
      </c>
      <c r="AE43" s="15">
        <v>-68</v>
      </c>
      <c r="AF43" s="15">
        <v>-18</v>
      </c>
      <c r="AG43" s="15">
        <v>-131</v>
      </c>
      <c r="AH43" s="15">
        <v>134</v>
      </c>
      <c r="AI43" s="15">
        <v>-44</v>
      </c>
      <c r="AJ43" s="15" t="s">
        <v>291</v>
      </c>
    </row>
    <row r="44" spans="1:36">
      <c r="A44" s="15" t="s">
        <v>433</v>
      </c>
      <c r="B44" s="15">
        <v>292</v>
      </c>
      <c r="C44" s="15">
        <v>-164</v>
      </c>
      <c r="D44" s="15">
        <v>94</v>
      </c>
      <c r="E44" s="15">
        <v>-196</v>
      </c>
      <c r="F44" s="15">
        <v>-385</v>
      </c>
      <c r="G44" s="15">
        <v>-370</v>
      </c>
      <c r="H44" s="15">
        <v>-244</v>
      </c>
      <c r="I44" s="15">
        <v>552</v>
      </c>
      <c r="J44" s="15">
        <v>260</v>
      </c>
      <c r="K44" s="15">
        <v>295</v>
      </c>
      <c r="L44" s="15">
        <v>-686</v>
      </c>
      <c r="M44" s="15">
        <v>-780</v>
      </c>
      <c r="N44" s="15">
        <v>2143</v>
      </c>
      <c r="O44" s="15">
        <v>776</v>
      </c>
      <c r="P44" s="15">
        <v>33</v>
      </c>
      <c r="Q44" s="15">
        <v>282</v>
      </c>
      <c r="R44" s="15">
        <v>545</v>
      </c>
      <c r="S44" s="15">
        <v>2625</v>
      </c>
      <c r="T44" s="15">
        <v>108</v>
      </c>
      <c r="U44" s="15" t="s">
        <v>291</v>
      </c>
      <c r="V44" s="15">
        <v>1003</v>
      </c>
      <c r="W44" s="15">
        <v>-2045</v>
      </c>
      <c r="X44" s="15">
        <v>1583</v>
      </c>
      <c r="Y44" s="15">
        <v>1213</v>
      </c>
      <c r="Z44" s="15">
        <v>2196</v>
      </c>
      <c r="AA44" s="15">
        <v>-130</v>
      </c>
      <c r="AB44" s="15">
        <v>-3168</v>
      </c>
      <c r="AC44" s="15">
        <v>292</v>
      </c>
      <c r="AD44" s="15">
        <v>-2889</v>
      </c>
      <c r="AE44" s="15">
        <v>496</v>
      </c>
      <c r="AF44" s="15">
        <v>2298</v>
      </c>
      <c r="AG44" s="15">
        <v>-182</v>
      </c>
      <c r="AH44" s="15">
        <v>427</v>
      </c>
      <c r="AI44" s="15">
        <v>-434</v>
      </c>
      <c r="AJ44" s="15">
        <v>430</v>
      </c>
    </row>
    <row r="45" spans="1:36">
      <c r="A45" s="15" t="s">
        <v>432</v>
      </c>
      <c r="B45" s="15" t="s">
        <v>291</v>
      </c>
      <c r="C45" s="15">
        <v>17</v>
      </c>
      <c r="D45" s="15">
        <v>-12</v>
      </c>
      <c r="E45" s="15">
        <v>-7</v>
      </c>
      <c r="F45" s="15">
        <v>8</v>
      </c>
      <c r="G45" s="15" t="s">
        <v>291</v>
      </c>
      <c r="H45" s="15">
        <v>19</v>
      </c>
      <c r="I45" s="15" t="s">
        <v>291</v>
      </c>
      <c r="J45" s="15">
        <v>13</v>
      </c>
      <c r="K45" s="15">
        <v>-50</v>
      </c>
      <c r="L45" s="15">
        <v>-350</v>
      </c>
      <c r="M45" s="15">
        <v>-101</v>
      </c>
      <c r="N45" s="15">
        <v>-80</v>
      </c>
      <c r="O45" s="15" t="s">
        <v>291</v>
      </c>
      <c r="P45" s="15">
        <v>33</v>
      </c>
      <c r="Q45" s="15" t="s">
        <v>291</v>
      </c>
      <c r="R45" s="15" t="s">
        <v>291</v>
      </c>
      <c r="S45" s="15">
        <v>-413</v>
      </c>
      <c r="T45" s="15">
        <v>464</v>
      </c>
      <c r="U45" s="15" t="s">
        <v>291</v>
      </c>
      <c r="V45" s="15" t="s">
        <v>291</v>
      </c>
      <c r="W45" s="15">
        <v>-147</v>
      </c>
      <c r="X45" s="15" t="s">
        <v>291</v>
      </c>
      <c r="Y45" s="15" t="s">
        <v>291</v>
      </c>
      <c r="Z45" s="15">
        <v>1253</v>
      </c>
      <c r="AA45" s="15" t="s">
        <v>291</v>
      </c>
      <c r="AB45" s="15" t="s">
        <v>291</v>
      </c>
      <c r="AC45" s="15" t="s">
        <v>291</v>
      </c>
      <c r="AD45" s="15" t="s">
        <v>291</v>
      </c>
      <c r="AE45" s="15" t="s">
        <v>291</v>
      </c>
      <c r="AF45" s="15">
        <v>-65</v>
      </c>
      <c r="AG45" s="15">
        <v>-185</v>
      </c>
      <c r="AH45" s="15">
        <v>241</v>
      </c>
      <c r="AI45" s="15">
        <v>-46</v>
      </c>
      <c r="AJ45" s="15">
        <v>-32</v>
      </c>
    </row>
    <row r="46" spans="1:36">
      <c r="A46" s="15" t="s">
        <v>431</v>
      </c>
      <c r="B46" s="15">
        <v>-32</v>
      </c>
      <c r="C46" s="15">
        <v>-38</v>
      </c>
      <c r="D46" s="15">
        <v>30</v>
      </c>
      <c r="E46" s="15">
        <v>-5</v>
      </c>
      <c r="F46" s="15">
        <v>-51</v>
      </c>
      <c r="G46" s="15">
        <v>4</v>
      </c>
      <c r="H46" s="15">
        <v>6</v>
      </c>
      <c r="I46" s="15">
        <v>20</v>
      </c>
      <c r="J46" s="15">
        <v>2</v>
      </c>
      <c r="K46" s="15">
        <v>-2</v>
      </c>
      <c r="L46" s="15">
        <v>-1</v>
      </c>
      <c r="M46" s="15" t="s">
        <v>291</v>
      </c>
      <c r="N46" s="15">
        <v>-7</v>
      </c>
      <c r="O46" s="15">
        <v>11</v>
      </c>
      <c r="P46" s="15">
        <v>51</v>
      </c>
      <c r="Q46" s="15">
        <v>-33</v>
      </c>
      <c r="R46" s="15" t="s">
        <v>291</v>
      </c>
      <c r="S46" s="15" t="s">
        <v>273</v>
      </c>
      <c r="T46" s="15" t="s">
        <v>273</v>
      </c>
      <c r="U46" s="15" t="s">
        <v>273</v>
      </c>
      <c r="V46" s="15" t="s">
        <v>273</v>
      </c>
      <c r="W46" s="15" t="s">
        <v>273</v>
      </c>
      <c r="X46" s="15" t="s">
        <v>273</v>
      </c>
      <c r="Y46" s="15" t="s">
        <v>273</v>
      </c>
      <c r="Z46" s="15" t="s">
        <v>273</v>
      </c>
      <c r="AA46" s="15" t="s">
        <v>273</v>
      </c>
      <c r="AB46" s="15" t="s">
        <v>273</v>
      </c>
      <c r="AC46" s="15" t="s">
        <v>273</v>
      </c>
      <c r="AD46" s="15" t="s">
        <v>273</v>
      </c>
      <c r="AE46" s="15" t="s">
        <v>273</v>
      </c>
      <c r="AF46" s="15" t="s">
        <v>273</v>
      </c>
      <c r="AG46" s="15" t="s">
        <v>273</v>
      </c>
      <c r="AH46" s="15" t="s">
        <v>273</v>
      </c>
      <c r="AI46" s="15" t="s">
        <v>273</v>
      </c>
      <c r="AJ46" s="15" t="s">
        <v>273</v>
      </c>
    </row>
    <row r="47" spans="1:36">
      <c r="A47" s="15" t="s">
        <v>430</v>
      </c>
      <c r="B47" s="15" t="s">
        <v>291</v>
      </c>
      <c r="C47" s="15">
        <v>-31</v>
      </c>
      <c r="D47" s="15">
        <v>83</v>
      </c>
      <c r="E47" s="15">
        <v>-113</v>
      </c>
      <c r="F47" s="15">
        <v>-16</v>
      </c>
      <c r="G47" s="15">
        <v>-34</v>
      </c>
      <c r="H47" s="15">
        <v>18</v>
      </c>
      <c r="I47" s="15" t="s">
        <v>291</v>
      </c>
      <c r="J47" s="15">
        <v>17</v>
      </c>
      <c r="K47" s="15">
        <v>5</v>
      </c>
      <c r="L47" s="15">
        <v>18</v>
      </c>
      <c r="M47" s="15">
        <v>-53</v>
      </c>
      <c r="N47" s="15">
        <v>34</v>
      </c>
      <c r="O47" s="15">
        <v>-26</v>
      </c>
      <c r="P47" s="15">
        <v>-14</v>
      </c>
      <c r="Q47" s="15">
        <v>11</v>
      </c>
      <c r="R47" s="15">
        <v>2</v>
      </c>
      <c r="S47" s="15" t="s">
        <v>291</v>
      </c>
      <c r="T47" s="15">
        <v>-3</v>
      </c>
      <c r="U47" s="15" t="s">
        <v>291</v>
      </c>
      <c r="V47" s="15">
        <v>10</v>
      </c>
      <c r="W47" s="15" t="s">
        <v>291</v>
      </c>
      <c r="X47" s="15">
        <v>120</v>
      </c>
      <c r="Y47" s="15">
        <v>63</v>
      </c>
      <c r="Z47" s="15">
        <v>-19</v>
      </c>
      <c r="AA47" s="15">
        <v>43</v>
      </c>
      <c r="AB47" s="15" t="s">
        <v>291</v>
      </c>
      <c r="AC47" s="15">
        <v>-13</v>
      </c>
      <c r="AD47" s="15">
        <v>133</v>
      </c>
      <c r="AE47" s="15">
        <v>-145</v>
      </c>
      <c r="AF47" s="15">
        <v>26</v>
      </c>
      <c r="AG47" s="15">
        <v>34</v>
      </c>
      <c r="AH47" s="15">
        <v>-47</v>
      </c>
      <c r="AI47" s="15">
        <v>372</v>
      </c>
      <c r="AJ47" s="15">
        <v>-93</v>
      </c>
    </row>
    <row r="48" spans="1:36">
      <c r="A48" s="15" t="s">
        <v>429</v>
      </c>
      <c r="B48" s="15">
        <v>133</v>
      </c>
      <c r="C48" s="15">
        <v>-237</v>
      </c>
      <c r="D48" s="15">
        <v>-66</v>
      </c>
      <c r="E48" s="15">
        <v>-31</v>
      </c>
      <c r="F48" s="15">
        <v>-143</v>
      </c>
      <c r="G48" s="15">
        <v>-378</v>
      </c>
      <c r="H48" s="15">
        <v>-163</v>
      </c>
      <c r="I48" s="15">
        <v>536</v>
      </c>
      <c r="J48" s="15">
        <v>217</v>
      </c>
      <c r="K48" s="15">
        <v>376</v>
      </c>
      <c r="L48" s="15">
        <v>-403</v>
      </c>
      <c r="M48" s="15">
        <v>-711</v>
      </c>
      <c r="N48" s="15">
        <v>1949</v>
      </c>
      <c r="O48" s="15">
        <v>822</v>
      </c>
      <c r="P48" s="15">
        <v>-274</v>
      </c>
      <c r="Q48" s="15">
        <v>466</v>
      </c>
      <c r="R48" s="15">
        <v>-397</v>
      </c>
      <c r="S48" s="15">
        <v>2465</v>
      </c>
      <c r="T48" s="15">
        <v>-781</v>
      </c>
      <c r="U48" s="15" t="s">
        <v>291</v>
      </c>
      <c r="V48" s="15">
        <v>1136</v>
      </c>
      <c r="W48" s="15">
        <v>-1695</v>
      </c>
      <c r="X48" s="15">
        <v>739</v>
      </c>
      <c r="Y48" s="15">
        <v>2474</v>
      </c>
      <c r="Z48" s="15" t="s">
        <v>291</v>
      </c>
      <c r="AA48" s="15">
        <v>-451</v>
      </c>
      <c r="AB48" s="15">
        <v>-2670</v>
      </c>
      <c r="AC48" s="15">
        <v>73</v>
      </c>
      <c r="AD48" s="15">
        <v>-3075</v>
      </c>
      <c r="AE48" s="15">
        <v>388</v>
      </c>
      <c r="AF48" s="15">
        <v>2554</v>
      </c>
      <c r="AG48" s="15">
        <v>53</v>
      </c>
      <c r="AH48" s="15">
        <v>291</v>
      </c>
      <c r="AI48" s="15">
        <v>-312</v>
      </c>
      <c r="AJ48" s="15">
        <v>293</v>
      </c>
    </row>
    <row r="49" spans="1:36">
      <c r="A49" s="15" t="s">
        <v>428</v>
      </c>
      <c r="B49" s="15">
        <v>158</v>
      </c>
      <c r="C49" s="15">
        <v>132</v>
      </c>
      <c r="D49" s="15">
        <v>66</v>
      </c>
      <c r="E49" s="15">
        <v>-22</v>
      </c>
      <c r="F49" s="15">
        <v>-164</v>
      </c>
      <c r="G49" s="15" t="s">
        <v>291</v>
      </c>
      <c r="H49" s="15">
        <v>-113</v>
      </c>
      <c r="I49" s="15">
        <v>-42</v>
      </c>
      <c r="J49" s="15">
        <v>-12</v>
      </c>
      <c r="K49" s="15">
        <v>-17</v>
      </c>
      <c r="L49" s="15">
        <v>51</v>
      </c>
      <c r="M49" s="15">
        <v>55</v>
      </c>
      <c r="N49" s="15">
        <v>270</v>
      </c>
      <c r="O49" s="15">
        <v>-31</v>
      </c>
      <c r="P49" s="15">
        <v>220</v>
      </c>
      <c r="Q49" s="15">
        <v>-215</v>
      </c>
      <c r="R49" s="15">
        <v>490</v>
      </c>
      <c r="S49" s="15">
        <v>385</v>
      </c>
      <c r="T49" s="15" t="s">
        <v>291</v>
      </c>
      <c r="U49" s="15">
        <v>370</v>
      </c>
      <c r="V49" s="15">
        <v>-336</v>
      </c>
      <c r="W49" s="15" t="s">
        <v>291</v>
      </c>
      <c r="X49" s="15" t="s">
        <v>291</v>
      </c>
      <c r="Y49" s="15" t="s">
        <v>291</v>
      </c>
      <c r="Z49" s="15" t="s">
        <v>291</v>
      </c>
      <c r="AA49" s="15" t="s">
        <v>291</v>
      </c>
      <c r="AB49" s="15" t="s">
        <v>291</v>
      </c>
      <c r="AC49" s="15" t="s">
        <v>291</v>
      </c>
      <c r="AD49" s="15" t="s">
        <v>291</v>
      </c>
      <c r="AE49" s="15">
        <v>150</v>
      </c>
      <c r="AF49" s="15" t="s">
        <v>291</v>
      </c>
      <c r="AG49" s="15">
        <v>-65</v>
      </c>
      <c r="AH49" s="15">
        <v>-53</v>
      </c>
      <c r="AI49" s="15">
        <v>-295</v>
      </c>
      <c r="AJ49" s="15">
        <v>265</v>
      </c>
    </row>
    <row r="50" spans="1:36">
      <c r="A50" s="15" t="s">
        <v>67</v>
      </c>
      <c r="B50" s="15">
        <v>18</v>
      </c>
      <c r="C50" s="15">
        <v>-8</v>
      </c>
      <c r="D50" s="15">
        <v>-7</v>
      </c>
      <c r="E50" s="15">
        <v>-18</v>
      </c>
      <c r="F50" s="15">
        <v>-19</v>
      </c>
      <c r="G50" s="15" t="s">
        <v>291</v>
      </c>
      <c r="H50" s="15">
        <v>-10</v>
      </c>
      <c r="I50" s="15">
        <v>26</v>
      </c>
      <c r="J50" s="15">
        <v>23</v>
      </c>
      <c r="K50" s="15">
        <v>-16</v>
      </c>
      <c r="L50" s="15">
        <v>-2</v>
      </c>
      <c r="M50" s="15" t="s">
        <v>291</v>
      </c>
      <c r="N50" s="15">
        <v>-23</v>
      </c>
      <c r="O50" s="15" t="s">
        <v>291</v>
      </c>
      <c r="P50" s="15">
        <v>18</v>
      </c>
      <c r="Q50" s="15" t="s">
        <v>291</v>
      </c>
      <c r="R50" s="15" t="s">
        <v>291</v>
      </c>
      <c r="S50" s="15" t="s">
        <v>291</v>
      </c>
      <c r="T50" s="15" t="s">
        <v>291</v>
      </c>
      <c r="U50" s="15" t="s">
        <v>291</v>
      </c>
      <c r="V50" s="15" t="s">
        <v>291</v>
      </c>
      <c r="W50" s="15" t="s">
        <v>291</v>
      </c>
      <c r="X50" s="15">
        <v>126</v>
      </c>
      <c r="Y50" s="15" t="s">
        <v>291</v>
      </c>
      <c r="Z50" s="15">
        <v>-153</v>
      </c>
      <c r="AA50" s="15" t="s">
        <v>291</v>
      </c>
      <c r="AB50" s="15">
        <v>-77</v>
      </c>
      <c r="AC50" s="15" t="s">
        <v>291</v>
      </c>
      <c r="AD50" s="15" t="s">
        <v>291</v>
      </c>
      <c r="AE50" s="15" t="s">
        <v>291</v>
      </c>
      <c r="AF50" s="15" t="s">
        <v>291</v>
      </c>
      <c r="AG50" s="15">
        <v>-18</v>
      </c>
      <c r="AH50" s="15">
        <v>-4</v>
      </c>
      <c r="AI50" s="15">
        <v>-155</v>
      </c>
      <c r="AJ50" s="15">
        <v>-3</v>
      </c>
    </row>
    <row r="51" spans="1:36">
      <c r="A51" s="15" t="s">
        <v>423</v>
      </c>
      <c r="B51" s="15">
        <v>-13488</v>
      </c>
      <c r="C51" s="15">
        <v>-6292</v>
      </c>
      <c r="D51" s="15">
        <v>-3872</v>
      </c>
      <c r="E51" s="15">
        <v>4078</v>
      </c>
      <c r="F51" s="15">
        <v>5227</v>
      </c>
      <c r="G51" s="15">
        <v>4793</v>
      </c>
      <c r="H51" s="15">
        <v>5906</v>
      </c>
      <c r="I51" s="15">
        <v>3925</v>
      </c>
      <c r="J51" s="15">
        <v>4165</v>
      </c>
      <c r="K51" s="15">
        <v>-4114</v>
      </c>
      <c r="L51" s="15">
        <v>3840</v>
      </c>
      <c r="M51" s="15">
        <v>4709</v>
      </c>
      <c r="N51" s="15">
        <v>-149</v>
      </c>
      <c r="O51" s="15">
        <v>-3954</v>
      </c>
      <c r="P51" s="15">
        <v>2163</v>
      </c>
      <c r="Q51" s="15">
        <v>-2470</v>
      </c>
      <c r="R51" s="15">
        <v>-2718</v>
      </c>
      <c r="S51" s="15">
        <v>2865</v>
      </c>
      <c r="T51" s="15">
        <v>-2207</v>
      </c>
      <c r="U51" s="304">
        <f>(T51+V51)/2</f>
        <v>-800</v>
      </c>
      <c r="V51" s="15">
        <v>607</v>
      </c>
      <c r="W51" s="15">
        <v>-9552</v>
      </c>
      <c r="X51" s="15">
        <v>-1360</v>
      </c>
      <c r="Y51" s="15">
        <v>-1010</v>
      </c>
      <c r="Z51" s="15">
        <v>3142</v>
      </c>
      <c r="AA51" s="15">
        <v>-9921</v>
      </c>
      <c r="AB51" s="15">
        <v>2322</v>
      </c>
      <c r="AC51" s="15">
        <v>22356</v>
      </c>
      <c r="AD51" s="15">
        <v>-9041</v>
      </c>
      <c r="AE51" s="15">
        <v>-3687</v>
      </c>
      <c r="AF51" s="15">
        <v>-7258</v>
      </c>
      <c r="AG51" s="15">
        <v>-8138</v>
      </c>
      <c r="AH51" s="15">
        <v>-1397</v>
      </c>
      <c r="AI51" s="15">
        <v>8777</v>
      </c>
      <c r="AJ51" s="15">
        <v>-8910</v>
      </c>
    </row>
    <row r="52" spans="1:36">
      <c r="A52" s="15" t="s">
        <v>422</v>
      </c>
      <c r="B52" s="15">
        <v>-71</v>
      </c>
      <c r="C52" s="15">
        <v>47</v>
      </c>
      <c r="D52" s="15">
        <v>-189</v>
      </c>
      <c r="E52" s="15" t="s">
        <v>291</v>
      </c>
      <c r="F52" s="15">
        <v>47</v>
      </c>
      <c r="G52" s="15" t="s">
        <v>291</v>
      </c>
      <c r="H52" s="15">
        <v>-8</v>
      </c>
      <c r="I52" s="15">
        <v>162</v>
      </c>
      <c r="J52" s="15">
        <v>-94</v>
      </c>
      <c r="K52" s="15">
        <v>107</v>
      </c>
      <c r="L52" s="15">
        <v>-112</v>
      </c>
      <c r="M52" s="15">
        <v>1014</v>
      </c>
      <c r="N52" s="15" t="s">
        <v>291</v>
      </c>
      <c r="O52" s="15" t="s">
        <v>291</v>
      </c>
      <c r="P52" s="15">
        <v>82</v>
      </c>
      <c r="Q52" s="15" t="s">
        <v>291</v>
      </c>
      <c r="R52" s="15" t="s">
        <v>291</v>
      </c>
      <c r="S52" s="15" t="s">
        <v>273</v>
      </c>
      <c r="T52" s="15" t="s">
        <v>273</v>
      </c>
      <c r="U52" s="15" t="s">
        <v>273</v>
      </c>
      <c r="V52" s="15" t="s">
        <v>273</v>
      </c>
      <c r="W52" s="15" t="s">
        <v>273</v>
      </c>
      <c r="X52" s="15" t="s">
        <v>273</v>
      </c>
      <c r="Y52" s="15" t="s">
        <v>273</v>
      </c>
      <c r="Z52" s="15" t="s">
        <v>273</v>
      </c>
      <c r="AA52" s="15" t="s">
        <v>273</v>
      </c>
      <c r="AB52" s="15" t="s">
        <v>273</v>
      </c>
      <c r="AC52" s="15" t="s">
        <v>273</v>
      </c>
      <c r="AD52" s="15" t="s">
        <v>273</v>
      </c>
      <c r="AE52" s="15" t="s">
        <v>273</v>
      </c>
      <c r="AF52" s="15" t="s">
        <v>273</v>
      </c>
      <c r="AG52" s="15" t="s">
        <v>273</v>
      </c>
      <c r="AH52" s="15" t="s">
        <v>273</v>
      </c>
      <c r="AI52" s="15" t="s">
        <v>273</v>
      </c>
      <c r="AJ52" s="15" t="s">
        <v>273</v>
      </c>
    </row>
    <row r="53" spans="1:36">
      <c r="A53" s="15" t="s">
        <v>421</v>
      </c>
      <c r="B53" s="15" t="s">
        <v>291</v>
      </c>
      <c r="C53" s="15">
        <v>-3</v>
      </c>
      <c r="D53" s="15">
        <v>-16</v>
      </c>
      <c r="E53" s="15">
        <v>1</v>
      </c>
      <c r="F53" s="15" t="s">
        <v>291</v>
      </c>
      <c r="G53" s="15">
        <v>1</v>
      </c>
      <c r="H53" s="15">
        <v>64</v>
      </c>
      <c r="I53" s="15" t="s">
        <v>291</v>
      </c>
      <c r="J53" s="15">
        <v>16</v>
      </c>
      <c r="K53" s="15">
        <v>-66</v>
      </c>
      <c r="L53" s="15">
        <v>-18</v>
      </c>
      <c r="M53" s="15">
        <v>50</v>
      </c>
      <c r="N53" s="15">
        <v>21</v>
      </c>
      <c r="O53" s="15">
        <v>88</v>
      </c>
      <c r="P53" s="15">
        <v>-3</v>
      </c>
      <c r="Q53" s="15">
        <v>-202</v>
      </c>
      <c r="R53" s="15">
        <v>13</v>
      </c>
      <c r="S53" s="15" t="s">
        <v>291</v>
      </c>
      <c r="T53" s="15" t="s">
        <v>291</v>
      </c>
      <c r="U53" s="15" t="s">
        <v>291</v>
      </c>
      <c r="V53" s="15" t="s">
        <v>291</v>
      </c>
      <c r="W53" s="15" t="s">
        <v>291</v>
      </c>
      <c r="X53" s="15" t="s">
        <v>291</v>
      </c>
      <c r="Y53" s="15" t="s">
        <v>291</v>
      </c>
      <c r="Z53" s="15" t="s">
        <v>291</v>
      </c>
      <c r="AA53" s="15" t="s">
        <v>291</v>
      </c>
      <c r="AB53" s="15">
        <v>-278</v>
      </c>
      <c r="AC53" s="15" t="s">
        <v>291</v>
      </c>
      <c r="AD53" s="15">
        <v>597</v>
      </c>
      <c r="AE53" s="15">
        <v>3310</v>
      </c>
      <c r="AF53" s="15" t="s">
        <v>291</v>
      </c>
      <c r="AG53" s="15">
        <v>708</v>
      </c>
      <c r="AH53" s="15">
        <v>-427</v>
      </c>
      <c r="AI53" s="15">
        <v>-145</v>
      </c>
      <c r="AJ53" s="15">
        <v>198</v>
      </c>
    </row>
    <row r="54" spans="1:36">
      <c r="A54" s="15" t="s">
        <v>420</v>
      </c>
      <c r="B54" s="15">
        <v>193</v>
      </c>
      <c r="C54" s="15">
        <v>-742</v>
      </c>
      <c r="D54" s="15">
        <v>-107</v>
      </c>
      <c r="E54" s="15">
        <v>35</v>
      </c>
      <c r="F54" s="15">
        <v>420</v>
      </c>
      <c r="G54" s="304">
        <f>(F54+H54)/2</f>
        <v>-8</v>
      </c>
      <c r="H54" s="15">
        <v>-436</v>
      </c>
      <c r="I54" s="15">
        <v>-1085</v>
      </c>
      <c r="J54" s="15">
        <v>-304</v>
      </c>
      <c r="K54" s="15">
        <v>-1539</v>
      </c>
      <c r="L54" s="304">
        <f>(K54+M54)/2</f>
        <v>-659.5</v>
      </c>
      <c r="M54" s="15">
        <v>220</v>
      </c>
      <c r="N54" s="15">
        <v>-1034</v>
      </c>
      <c r="O54" s="15">
        <v>-3204</v>
      </c>
      <c r="P54" s="15">
        <v>-317</v>
      </c>
      <c r="Q54" s="15">
        <v>-3111</v>
      </c>
      <c r="R54" s="15">
        <v>-2060</v>
      </c>
      <c r="S54" s="15">
        <v>-1927</v>
      </c>
      <c r="T54" s="15">
        <v>257</v>
      </c>
      <c r="U54" s="15">
        <v>2344</v>
      </c>
      <c r="V54" s="15">
        <v>-3048</v>
      </c>
      <c r="W54" s="15">
        <v>-8395</v>
      </c>
      <c r="X54" s="15">
        <v>-3743</v>
      </c>
      <c r="Y54" s="15">
        <v>2920</v>
      </c>
      <c r="Z54" s="15">
        <v>6591</v>
      </c>
      <c r="AA54" s="15">
        <v>1988</v>
      </c>
      <c r="AB54" s="15">
        <v>-5059</v>
      </c>
      <c r="AC54" s="15">
        <v>16351</v>
      </c>
      <c r="AD54" s="15">
        <v>-11039</v>
      </c>
      <c r="AE54" s="15">
        <v>-5627</v>
      </c>
      <c r="AF54" s="15">
        <v>-9059</v>
      </c>
      <c r="AG54" s="15">
        <v>-12030</v>
      </c>
      <c r="AH54" s="15">
        <v>-5831</v>
      </c>
      <c r="AI54" s="15">
        <v>-1664</v>
      </c>
      <c r="AJ54" s="15">
        <v>-9748</v>
      </c>
    </row>
    <row r="55" spans="1:36">
      <c r="A55" s="15" t="s">
        <v>419</v>
      </c>
      <c r="B55" s="15">
        <v>11</v>
      </c>
      <c r="C55" s="15">
        <v>34</v>
      </c>
      <c r="D55" s="15">
        <v>-3</v>
      </c>
      <c r="E55" s="15">
        <v>1</v>
      </c>
      <c r="F55" s="15">
        <v>-3</v>
      </c>
      <c r="G55" s="15">
        <v>-46</v>
      </c>
      <c r="H55" s="15">
        <v>2</v>
      </c>
      <c r="I55" s="15" t="s">
        <v>291</v>
      </c>
      <c r="J55" s="15">
        <v>15</v>
      </c>
      <c r="K55" s="15">
        <v>-19</v>
      </c>
      <c r="L55" s="15">
        <v>-4</v>
      </c>
      <c r="M55" s="15">
        <v>17</v>
      </c>
      <c r="N55" s="15">
        <v>-4</v>
      </c>
      <c r="O55" s="15">
        <v>11</v>
      </c>
      <c r="P55" s="15">
        <v>6</v>
      </c>
      <c r="Q55" s="15">
        <v>1</v>
      </c>
      <c r="R55" s="15" t="s">
        <v>291</v>
      </c>
      <c r="S55" s="15">
        <v>20</v>
      </c>
      <c r="T55" s="15" t="s">
        <v>291</v>
      </c>
      <c r="U55" s="15">
        <v>107</v>
      </c>
      <c r="V55" s="15">
        <v>-56</v>
      </c>
      <c r="W55" s="15">
        <v>-33</v>
      </c>
      <c r="X55" s="15" t="s">
        <v>291</v>
      </c>
      <c r="Y55" s="15">
        <v>-165</v>
      </c>
      <c r="Z55" s="15" t="s">
        <v>291</v>
      </c>
      <c r="AA55" s="15">
        <v>36</v>
      </c>
      <c r="AB55" s="15" t="s">
        <v>291</v>
      </c>
      <c r="AC55" s="15">
        <v>-53</v>
      </c>
      <c r="AD55" s="15">
        <v>42</v>
      </c>
      <c r="AE55" s="15">
        <v>-81</v>
      </c>
      <c r="AF55" s="15">
        <v>-67</v>
      </c>
      <c r="AG55" s="15">
        <v>-25</v>
      </c>
      <c r="AH55" s="15">
        <v>-66</v>
      </c>
      <c r="AI55" s="15">
        <v>-51</v>
      </c>
      <c r="AJ55" s="15">
        <v>85</v>
      </c>
    </row>
    <row r="56" spans="1:36">
      <c r="A56" s="15" t="s">
        <v>418</v>
      </c>
      <c r="B56" s="15" t="s">
        <v>291</v>
      </c>
      <c r="C56" s="15">
        <v>-64</v>
      </c>
      <c r="D56" s="15" t="s">
        <v>291</v>
      </c>
      <c r="E56" s="15" t="s">
        <v>291</v>
      </c>
      <c r="F56" s="15">
        <v>-23</v>
      </c>
      <c r="G56" s="15">
        <v>-49</v>
      </c>
      <c r="H56" s="15">
        <v>-51</v>
      </c>
      <c r="I56" s="15" t="s">
        <v>291</v>
      </c>
      <c r="J56" s="15">
        <v>157</v>
      </c>
      <c r="K56" s="15">
        <v>57</v>
      </c>
      <c r="L56" s="15">
        <v>56</v>
      </c>
      <c r="M56" s="15" t="s">
        <v>291</v>
      </c>
      <c r="N56" s="15" t="s">
        <v>291</v>
      </c>
      <c r="O56" s="15">
        <v>98</v>
      </c>
      <c r="P56" s="15">
        <v>217</v>
      </c>
      <c r="Q56" s="15">
        <v>161</v>
      </c>
      <c r="R56" s="15">
        <v>171</v>
      </c>
      <c r="S56" s="15" t="s">
        <v>273</v>
      </c>
      <c r="T56" s="15" t="s">
        <v>273</v>
      </c>
      <c r="U56" s="15" t="s">
        <v>273</v>
      </c>
      <c r="V56" s="15" t="s">
        <v>273</v>
      </c>
      <c r="W56" s="15" t="s">
        <v>273</v>
      </c>
      <c r="X56" s="15" t="s">
        <v>273</v>
      </c>
      <c r="Y56" s="15" t="s">
        <v>273</v>
      </c>
      <c r="Z56" s="15" t="s">
        <v>273</v>
      </c>
      <c r="AA56" s="15" t="s">
        <v>273</v>
      </c>
      <c r="AB56" s="15" t="s">
        <v>273</v>
      </c>
      <c r="AC56" s="15" t="s">
        <v>273</v>
      </c>
      <c r="AD56" s="15" t="s">
        <v>273</v>
      </c>
      <c r="AE56" s="15" t="s">
        <v>273</v>
      </c>
      <c r="AF56" s="15" t="s">
        <v>273</v>
      </c>
      <c r="AG56" s="15" t="s">
        <v>273</v>
      </c>
      <c r="AH56" s="15" t="s">
        <v>273</v>
      </c>
      <c r="AI56" s="15" t="s">
        <v>273</v>
      </c>
      <c r="AJ56" s="15" t="s">
        <v>273</v>
      </c>
    </row>
    <row r="57" spans="1:36">
      <c r="A57" s="15" t="s">
        <v>417</v>
      </c>
      <c r="B57" s="15">
        <v>-13659</v>
      </c>
      <c r="C57" s="15">
        <v>-5312</v>
      </c>
      <c r="D57" s="15">
        <v>-3813</v>
      </c>
      <c r="E57" s="15">
        <v>4050</v>
      </c>
      <c r="F57" s="15">
        <v>4847</v>
      </c>
      <c r="G57" s="15">
        <v>4152</v>
      </c>
      <c r="H57" s="15">
        <v>6315</v>
      </c>
      <c r="I57" s="15">
        <v>4662</v>
      </c>
      <c r="J57" s="15">
        <v>4472</v>
      </c>
      <c r="K57" s="15">
        <v>-1032</v>
      </c>
      <c r="L57" s="15">
        <v>3697</v>
      </c>
      <c r="M57" s="15">
        <v>2918</v>
      </c>
      <c r="N57" s="15">
        <v>671</v>
      </c>
      <c r="O57" s="15">
        <v>-156</v>
      </c>
      <c r="P57" s="15" t="s">
        <v>291</v>
      </c>
      <c r="Q57" s="15">
        <v>189</v>
      </c>
      <c r="R57" s="15" t="s">
        <v>306</v>
      </c>
      <c r="S57" s="15" t="s">
        <v>273</v>
      </c>
      <c r="T57" s="15" t="s">
        <v>273</v>
      </c>
      <c r="U57" s="15" t="s">
        <v>273</v>
      </c>
      <c r="V57" s="15" t="s">
        <v>273</v>
      </c>
      <c r="W57" s="15" t="s">
        <v>273</v>
      </c>
      <c r="X57" s="15" t="s">
        <v>273</v>
      </c>
      <c r="Y57" s="15" t="s">
        <v>273</v>
      </c>
      <c r="Z57" s="15" t="s">
        <v>273</v>
      </c>
      <c r="AA57" s="15" t="s">
        <v>273</v>
      </c>
      <c r="AB57" s="15" t="s">
        <v>273</v>
      </c>
      <c r="AC57" s="15" t="s">
        <v>273</v>
      </c>
      <c r="AD57" s="15" t="s">
        <v>273</v>
      </c>
      <c r="AE57" s="15" t="s">
        <v>273</v>
      </c>
      <c r="AF57" s="15" t="s">
        <v>273</v>
      </c>
      <c r="AG57" s="15" t="s">
        <v>273</v>
      </c>
      <c r="AH57" s="15" t="s">
        <v>273</v>
      </c>
      <c r="AI57" s="15" t="s">
        <v>273</v>
      </c>
      <c r="AJ57" s="15" t="s">
        <v>273</v>
      </c>
    </row>
    <row r="58" spans="1:36">
      <c r="A58" s="15" t="s">
        <v>416</v>
      </c>
      <c r="B58" s="15" t="s">
        <v>291</v>
      </c>
      <c r="C58" s="15" t="s">
        <v>291</v>
      </c>
      <c r="D58" s="15">
        <v>-212</v>
      </c>
      <c r="E58" s="15">
        <v>-36</v>
      </c>
      <c r="F58" s="15" t="s">
        <v>291</v>
      </c>
      <c r="G58" s="15">
        <v>-34</v>
      </c>
      <c r="H58" s="15" t="s">
        <v>291</v>
      </c>
      <c r="I58" s="15">
        <v>27</v>
      </c>
      <c r="J58" s="15" t="s">
        <v>291</v>
      </c>
      <c r="K58" s="15" t="s">
        <v>291</v>
      </c>
      <c r="L58" s="15">
        <v>70</v>
      </c>
      <c r="M58" s="15" t="s">
        <v>291</v>
      </c>
      <c r="N58" s="15">
        <v>8</v>
      </c>
      <c r="O58" s="15">
        <v>34</v>
      </c>
      <c r="P58" s="15" t="s">
        <v>291</v>
      </c>
      <c r="Q58" s="15" t="s">
        <v>291</v>
      </c>
      <c r="R58" s="15" t="s">
        <v>291</v>
      </c>
      <c r="S58" s="15" t="s">
        <v>273</v>
      </c>
      <c r="T58" s="15" t="s">
        <v>273</v>
      </c>
      <c r="U58" s="15" t="s">
        <v>273</v>
      </c>
      <c r="V58" s="15" t="s">
        <v>273</v>
      </c>
      <c r="W58" s="15" t="s">
        <v>273</v>
      </c>
      <c r="X58" s="15" t="s">
        <v>273</v>
      </c>
      <c r="Y58" s="15" t="s">
        <v>273</v>
      </c>
      <c r="Z58" s="15" t="s">
        <v>273</v>
      </c>
      <c r="AA58" s="15" t="s">
        <v>273</v>
      </c>
      <c r="AB58" s="15" t="s">
        <v>273</v>
      </c>
      <c r="AC58" s="15" t="s">
        <v>273</v>
      </c>
      <c r="AD58" s="15" t="s">
        <v>273</v>
      </c>
      <c r="AE58" s="15" t="s">
        <v>273</v>
      </c>
      <c r="AF58" s="15" t="s">
        <v>273</v>
      </c>
      <c r="AG58" s="15" t="s">
        <v>273</v>
      </c>
      <c r="AH58" s="15" t="s">
        <v>273</v>
      </c>
      <c r="AI58" s="15" t="s">
        <v>273</v>
      </c>
      <c r="AJ58" s="15" t="s">
        <v>273</v>
      </c>
    </row>
    <row r="59" spans="1:36">
      <c r="A59" s="15" t="s">
        <v>415</v>
      </c>
      <c r="B59" s="15">
        <v>-37</v>
      </c>
      <c r="C59" s="15">
        <v>-176</v>
      </c>
      <c r="D59" s="15">
        <v>399</v>
      </c>
      <c r="E59" s="15">
        <v>30</v>
      </c>
      <c r="F59" s="15">
        <v>70</v>
      </c>
      <c r="G59" s="15">
        <v>126</v>
      </c>
      <c r="H59" s="15">
        <v>19</v>
      </c>
      <c r="I59" s="15">
        <v>36</v>
      </c>
      <c r="J59" s="15">
        <v>-235</v>
      </c>
      <c r="K59" s="15">
        <v>-1538</v>
      </c>
      <c r="L59" s="15" t="s">
        <v>291</v>
      </c>
      <c r="M59" s="15">
        <v>-14</v>
      </c>
      <c r="N59" s="15" t="s">
        <v>291</v>
      </c>
      <c r="O59" s="15">
        <v>-572</v>
      </c>
      <c r="P59" s="15">
        <v>1298</v>
      </c>
      <c r="Q59" s="15">
        <v>307</v>
      </c>
      <c r="R59" s="15">
        <v>-735</v>
      </c>
      <c r="S59" s="15">
        <v>3160</v>
      </c>
      <c r="T59" s="15">
        <v>-316</v>
      </c>
      <c r="U59" s="15">
        <v>-1696</v>
      </c>
      <c r="V59" s="15">
        <v>3651</v>
      </c>
      <c r="W59" s="15">
        <v>-827</v>
      </c>
      <c r="X59" s="15">
        <v>343</v>
      </c>
      <c r="Y59" s="15">
        <v>-1745</v>
      </c>
      <c r="Z59" s="15">
        <v>-3623</v>
      </c>
      <c r="AA59" s="15">
        <v>-7138</v>
      </c>
      <c r="AB59" s="15" t="s">
        <v>291</v>
      </c>
      <c r="AC59" s="15">
        <v>3970</v>
      </c>
      <c r="AD59" s="15">
        <v>135</v>
      </c>
      <c r="AE59" s="15">
        <v>-2291</v>
      </c>
      <c r="AF59" s="15">
        <v>-214</v>
      </c>
      <c r="AG59" s="15">
        <v>2889</v>
      </c>
      <c r="AH59" s="15">
        <v>5648</v>
      </c>
      <c r="AI59" s="15">
        <v>15526</v>
      </c>
      <c r="AJ59" s="15">
        <v>253</v>
      </c>
    </row>
    <row r="60" spans="1:36">
      <c r="A60" s="15" t="s">
        <v>67</v>
      </c>
      <c r="B60" s="15">
        <v>-2</v>
      </c>
      <c r="C60" s="15" t="s">
        <v>291</v>
      </c>
      <c r="D60" s="15" t="s">
        <v>291</v>
      </c>
      <c r="E60" s="15">
        <v>6</v>
      </c>
      <c r="F60" s="15" t="s">
        <v>291</v>
      </c>
      <c r="G60" s="15">
        <v>13</v>
      </c>
      <c r="H60" s="15" t="s">
        <v>291</v>
      </c>
      <c r="I60" s="15" t="s">
        <v>291</v>
      </c>
      <c r="J60" s="15" t="s">
        <v>291</v>
      </c>
      <c r="K60" s="15" t="s">
        <v>291</v>
      </c>
      <c r="L60" s="15">
        <v>-319</v>
      </c>
      <c r="M60" s="15" t="s">
        <v>291</v>
      </c>
      <c r="N60" s="15" t="s">
        <v>291</v>
      </c>
      <c r="O60" s="15" t="s">
        <v>291</v>
      </c>
      <c r="P60" s="15">
        <v>28</v>
      </c>
      <c r="Q60" s="15" t="s">
        <v>291</v>
      </c>
      <c r="R60" s="15">
        <v>-211</v>
      </c>
      <c r="S60" s="15" t="s">
        <v>291</v>
      </c>
      <c r="T60" s="15">
        <v>-920</v>
      </c>
      <c r="U60" s="15">
        <v>566</v>
      </c>
      <c r="V60" s="15" t="s">
        <v>291</v>
      </c>
      <c r="W60" s="15" t="s">
        <v>291</v>
      </c>
      <c r="X60" s="15" t="s">
        <v>291</v>
      </c>
      <c r="Y60" s="15" t="s">
        <v>291</v>
      </c>
      <c r="Z60" s="15" t="s">
        <v>291</v>
      </c>
      <c r="AA60" s="15" t="s">
        <v>291</v>
      </c>
      <c r="AB60" s="15" t="s">
        <v>291</v>
      </c>
      <c r="AC60" s="15" t="s">
        <v>291</v>
      </c>
      <c r="AD60" s="15">
        <v>1224</v>
      </c>
      <c r="AE60" s="15">
        <v>1002</v>
      </c>
      <c r="AF60" s="15" t="s">
        <v>291</v>
      </c>
      <c r="AG60" s="15">
        <v>320</v>
      </c>
      <c r="AH60" s="15">
        <v>-721</v>
      </c>
      <c r="AI60" s="15">
        <v>-4889</v>
      </c>
      <c r="AJ60" s="15">
        <v>301</v>
      </c>
    </row>
    <row r="61" spans="1:36">
      <c r="A61" s="15" t="s">
        <v>394</v>
      </c>
      <c r="B61" s="15">
        <v>595</v>
      </c>
      <c r="C61" s="15">
        <v>-911</v>
      </c>
      <c r="D61" s="15">
        <v>-246</v>
      </c>
      <c r="E61" s="15">
        <v>-305</v>
      </c>
      <c r="F61" s="15">
        <v>711</v>
      </c>
      <c r="G61" s="15">
        <v>274</v>
      </c>
      <c r="H61" s="15">
        <v>282</v>
      </c>
      <c r="I61" s="15">
        <v>-48</v>
      </c>
      <c r="J61" s="15">
        <v>-405</v>
      </c>
      <c r="K61" s="15">
        <v>-18</v>
      </c>
      <c r="L61" s="15" t="s">
        <v>291</v>
      </c>
      <c r="M61" s="15">
        <v>162</v>
      </c>
      <c r="N61" s="15">
        <v>114</v>
      </c>
      <c r="O61" s="15" t="s">
        <v>291</v>
      </c>
      <c r="P61" s="15" t="s">
        <v>291</v>
      </c>
      <c r="Q61" s="15">
        <v>1410</v>
      </c>
      <c r="R61" s="15">
        <v>910</v>
      </c>
      <c r="S61" s="15">
        <v>2299</v>
      </c>
      <c r="T61" s="15">
        <v>-1538</v>
      </c>
      <c r="U61" s="15" t="s">
        <v>291</v>
      </c>
      <c r="V61" s="15">
        <v>-1851</v>
      </c>
      <c r="W61" s="15">
        <v>1604</v>
      </c>
      <c r="X61" s="15">
        <v>-1827</v>
      </c>
      <c r="Y61" s="15">
        <v>-2047</v>
      </c>
      <c r="Z61" s="15">
        <v>-216</v>
      </c>
      <c r="AA61" s="15">
        <v>985</v>
      </c>
      <c r="AB61" s="15">
        <v>1338</v>
      </c>
      <c r="AC61" s="15">
        <v>4694</v>
      </c>
      <c r="AD61" s="15">
        <v>16</v>
      </c>
      <c r="AE61" s="15">
        <v>-2143</v>
      </c>
      <c r="AF61" s="15">
        <v>2830</v>
      </c>
      <c r="AG61" s="15">
        <v>-2395</v>
      </c>
      <c r="AH61" s="15">
        <v>-329</v>
      </c>
      <c r="AI61" s="15">
        <v>-438</v>
      </c>
      <c r="AJ61" s="15">
        <v>6502</v>
      </c>
    </row>
    <row r="62" spans="1:36">
      <c r="A62" s="15" t="s">
        <v>393</v>
      </c>
      <c r="B62" s="15">
        <v>26</v>
      </c>
      <c r="C62" s="15">
        <v>29</v>
      </c>
      <c r="D62" s="15">
        <v>-213</v>
      </c>
      <c r="E62" s="15" t="s">
        <v>291</v>
      </c>
      <c r="F62" s="15">
        <v>52</v>
      </c>
      <c r="G62" s="15" t="s">
        <v>291</v>
      </c>
      <c r="H62" s="15">
        <v>45</v>
      </c>
      <c r="I62" s="15">
        <v>-60</v>
      </c>
      <c r="J62" s="15">
        <v>-398</v>
      </c>
      <c r="K62" s="15">
        <v>32</v>
      </c>
      <c r="L62" s="15">
        <v>159</v>
      </c>
      <c r="M62" s="15" t="s">
        <v>291</v>
      </c>
      <c r="N62" s="15">
        <v>13</v>
      </c>
      <c r="O62" s="15">
        <v>-193</v>
      </c>
      <c r="P62" s="15">
        <v>242</v>
      </c>
      <c r="Q62" s="15">
        <v>205</v>
      </c>
      <c r="R62" s="15" t="s">
        <v>291</v>
      </c>
      <c r="S62" s="15">
        <v>-42</v>
      </c>
      <c r="T62" s="15">
        <v>-347</v>
      </c>
      <c r="U62" s="15" t="s">
        <v>291</v>
      </c>
      <c r="V62" s="15">
        <v>-35</v>
      </c>
      <c r="W62" s="15" t="s">
        <v>291</v>
      </c>
      <c r="X62" s="15" t="s">
        <v>291</v>
      </c>
      <c r="Y62" s="15">
        <v>205</v>
      </c>
      <c r="Z62" s="15">
        <v>-949</v>
      </c>
      <c r="AA62" s="15" t="s">
        <v>291</v>
      </c>
      <c r="AB62" s="15">
        <v>-278</v>
      </c>
      <c r="AC62" s="15">
        <v>35</v>
      </c>
      <c r="AD62" s="15" t="s">
        <v>291</v>
      </c>
      <c r="AE62" s="15" t="s">
        <v>291</v>
      </c>
      <c r="AF62" s="15" t="s">
        <v>291</v>
      </c>
      <c r="AG62" s="15">
        <v>-55</v>
      </c>
      <c r="AH62" s="15" t="s">
        <v>291</v>
      </c>
      <c r="AI62" s="15" t="s">
        <v>291</v>
      </c>
      <c r="AJ62" s="15">
        <v>-268</v>
      </c>
    </row>
    <row r="63" spans="1:36">
      <c r="A63" s="15" t="s">
        <v>392</v>
      </c>
      <c r="B63" s="15" t="s">
        <v>291</v>
      </c>
      <c r="C63" s="15">
        <v>-289</v>
      </c>
      <c r="D63" s="15" t="s">
        <v>291</v>
      </c>
      <c r="E63" s="15" t="s">
        <v>291</v>
      </c>
      <c r="F63" s="15" t="s">
        <v>291</v>
      </c>
      <c r="G63" s="15" t="s">
        <v>291</v>
      </c>
      <c r="H63" s="15" t="s">
        <v>291</v>
      </c>
      <c r="I63" s="15">
        <v>-77</v>
      </c>
      <c r="J63" s="15">
        <v>-257</v>
      </c>
      <c r="K63" s="15">
        <v>694</v>
      </c>
      <c r="L63" s="15">
        <v>-237</v>
      </c>
      <c r="M63" s="15">
        <v>190</v>
      </c>
      <c r="N63" s="15" t="s">
        <v>291</v>
      </c>
      <c r="O63" s="15" t="s">
        <v>291</v>
      </c>
      <c r="P63" s="15">
        <v>442</v>
      </c>
      <c r="Q63" s="15" t="s">
        <v>291</v>
      </c>
      <c r="R63" s="15">
        <v>575</v>
      </c>
      <c r="S63" s="15" t="s">
        <v>291</v>
      </c>
      <c r="T63" s="15">
        <v>-540</v>
      </c>
      <c r="U63" s="15">
        <v>-459</v>
      </c>
      <c r="V63" s="15">
        <v>1101</v>
      </c>
      <c r="W63" s="15">
        <v>-309</v>
      </c>
      <c r="X63" s="15" t="s">
        <v>291</v>
      </c>
      <c r="Y63" s="15" t="s">
        <v>291</v>
      </c>
      <c r="Z63" s="15">
        <v>-386</v>
      </c>
      <c r="AA63" s="15" t="s">
        <v>291</v>
      </c>
      <c r="AB63" s="15">
        <v>659</v>
      </c>
      <c r="AC63" s="15">
        <v>4248</v>
      </c>
      <c r="AD63" s="15" t="s">
        <v>291</v>
      </c>
      <c r="AE63" s="15">
        <v>-1079</v>
      </c>
      <c r="AF63" s="15" t="s">
        <v>291</v>
      </c>
      <c r="AG63" s="15">
        <v>-547</v>
      </c>
      <c r="AH63" s="15">
        <v>-202</v>
      </c>
      <c r="AI63" s="15">
        <v>199</v>
      </c>
      <c r="AJ63" s="15">
        <v>-480</v>
      </c>
    </row>
    <row r="64" spans="1:36">
      <c r="A64" s="15" t="s">
        <v>391</v>
      </c>
      <c r="B64" s="15">
        <v>32</v>
      </c>
      <c r="C64" s="15">
        <v>-72</v>
      </c>
      <c r="D64" s="15">
        <v>5</v>
      </c>
      <c r="E64" s="15">
        <v>-13</v>
      </c>
      <c r="F64" s="15">
        <v>-18</v>
      </c>
      <c r="G64" s="15">
        <v>-37</v>
      </c>
      <c r="H64" s="15">
        <v>11</v>
      </c>
      <c r="I64" s="15">
        <v>-1</v>
      </c>
      <c r="J64" s="15">
        <v>-10</v>
      </c>
      <c r="K64" s="15">
        <v>2</v>
      </c>
      <c r="L64" s="15">
        <v>16</v>
      </c>
      <c r="M64" s="15" t="s">
        <v>291</v>
      </c>
      <c r="N64" s="15">
        <v>66</v>
      </c>
      <c r="O64" s="15">
        <v>54</v>
      </c>
      <c r="P64" s="15" t="s">
        <v>291</v>
      </c>
      <c r="Q64" s="15" t="s">
        <v>291</v>
      </c>
      <c r="R64" s="15">
        <v>33</v>
      </c>
      <c r="S64" s="15">
        <v>785</v>
      </c>
      <c r="T64" s="15">
        <v>-168</v>
      </c>
      <c r="U64" s="15" t="s">
        <v>291</v>
      </c>
      <c r="V64" s="15" t="s">
        <v>291</v>
      </c>
      <c r="W64" s="15">
        <v>-100</v>
      </c>
      <c r="X64" s="15">
        <v>-147</v>
      </c>
      <c r="Y64" s="15" t="s">
        <v>291</v>
      </c>
      <c r="Z64" s="15">
        <v>-305</v>
      </c>
      <c r="AA64" s="15" t="s">
        <v>291</v>
      </c>
      <c r="AB64" s="15" t="s">
        <v>291</v>
      </c>
      <c r="AC64" s="15">
        <v>433</v>
      </c>
      <c r="AD64" s="15" t="s">
        <v>291</v>
      </c>
      <c r="AE64" s="15" t="s">
        <v>291</v>
      </c>
      <c r="AF64" s="15" t="s">
        <v>291</v>
      </c>
      <c r="AG64" s="15">
        <v>27</v>
      </c>
      <c r="AH64" s="15">
        <v>-203</v>
      </c>
      <c r="AI64" s="15">
        <v>-180</v>
      </c>
      <c r="AJ64" s="15">
        <v>-23</v>
      </c>
    </row>
    <row r="65" spans="1:36">
      <c r="A65" s="15" t="s">
        <v>236</v>
      </c>
      <c r="B65" s="15" t="s">
        <v>291</v>
      </c>
      <c r="C65" s="15">
        <v>-579</v>
      </c>
      <c r="D65" s="15" t="s">
        <v>291</v>
      </c>
      <c r="E65" s="15">
        <v>20</v>
      </c>
      <c r="F65" s="15" t="s">
        <v>291</v>
      </c>
      <c r="G65" s="15" t="s">
        <v>291</v>
      </c>
      <c r="H65" s="15" t="s">
        <v>291</v>
      </c>
      <c r="I65" s="15">
        <v>91</v>
      </c>
      <c r="J65" s="15">
        <v>260</v>
      </c>
      <c r="K65" s="15">
        <v>-746</v>
      </c>
      <c r="L65" s="15" t="s">
        <v>291</v>
      </c>
      <c r="M65" s="15">
        <v>223</v>
      </c>
      <c r="N65" s="15" t="s">
        <v>291</v>
      </c>
      <c r="O65" s="15" t="s">
        <v>291</v>
      </c>
      <c r="P65" s="15">
        <v>246</v>
      </c>
      <c r="Q65" s="15" t="s">
        <v>291</v>
      </c>
      <c r="R65" s="15" t="s">
        <v>291</v>
      </c>
      <c r="S65" s="15" t="s">
        <v>291</v>
      </c>
      <c r="T65" s="15">
        <v>-483</v>
      </c>
      <c r="U65" s="15">
        <v>1207</v>
      </c>
      <c r="V65" s="15" t="s">
        <v>291</v>
      </c>
      <c r="W65" s="15" t="s">
        <v>291</v>
      </c>
      <c r="X65" s="15">
        <v>-2149</v>
      </c>
      <c r="Y65" s="15">
        <v>-998</v>
      </c>
      <c r="Z65" s="15">
        <v>1424</v>
      </c>
      <c r="AA65" s="15">
        <v>2156</v>
      </c>
      <c r="AB65" s="15" t="s">
        <v>291</v>
      </c>
      <c r="AC65" s="15">
        <v>-22</v>
      </c>
      <c r="AD65" s="15">
        <v>968</v>
      </c>
      <c r="AE65" s="15" t="s">
        <v>291</v>
      </c>
      <c r="AF65" s="15">
        <v>740</v>
      </c>
      <c r="AG65" s="15">
        <v>-1821</v>
      </c>
      <c r="AH65" s="15" t="s">
        <v>291</v>
      </c>
      <c r="AI65" s="15" t="s">
        <v>291</v>
      </c>
      <c r="AJ65" s="15">
        <v>7273</v>
      </c>
    </row>
    <row r="66" spans="1:36">
      <c r="A66" s="15" t="s">
        <v>340</v>
      </c>
      <c r="B66" s="15">
        <v>-439</v>
      </c>
      <c r="C66" s="15">
        <v>271</v>
      </c>
      <c r="D66" s="15">
        <v>155</v>
      </c>
      <c r="E66" s="15">
        <v>-97</v>
      </c>
      <c r="F66" s="15">
        <v>-197</v>
      </c>
      <c r="G66" s="15">
        <v>-134</v>
      </c>
      <c r="H66" s="15">
        <v>58</v>
      </c>
      <c r="I66" s="15">
        <v>-146</v>
      </c>
      <c r="J66" s="15">
        <v>87</v>
      </c>
      <c r="K66" s="15">
        <v>93</v>
      </c>
      <c r="L66" s="15">
        <v>-87</v>
      </c>
      <c r="M66" s="15" t="s">
        <v>291</v>
      </c>
      <c r="N66" s="15">
        <v>69</v>
      </c>
      <c r="O66" s="15">
        <v>1044</v>
      </c>
      <c r="P66" s="15">
        <v>-366</v>
      </c>
      <c r="Q66" s="15">
        <v>177</v>
      </c>
      <c r="R66" s="15">
        <v>321</v>
      </c>
      <c r="S66" s="15">
        <v>224</v>
      </c>
      <c r="T66" s="15">
        <v>-714</v>
      </c>
      <c r="U66" s="15" t="s">
        <v>291</v>
      </c>
      <c r="V66" s="15">
        <v>1783</v>
      </c>
      <c r="W66" s="15">
        <v>-1036</v>
      </c>
      <c r="X66" s="15">
        <v>375</v>
      </c>
      <c r="Y66" s="15">
        <v>-2437</v>
      </c>
      <c r="Z66" s="15">
        <v>548</v>
      </c>
      <c r="AA66" s="15">
        <v>-1635</v>
      </c>
      <c r="AB66" s="15">
        <v>-425</v>
      </c>
      <c r="AC66" s="15">
        <v>-600</v>
      </c>
      <c r="AD66" s="15">
        <v>-3812</v>
      </c>
      <c r="AE66" s="15">
        <v>-5414</v>
      </c>
      <c r="AF66" s="15">
        <v>1245</v>
      </c>
      <c r="AG66" s="15">
        <v>-1613</v>
      </c>
      <c r="AH66" s="15">
        <v>2312</v>
      </c>
      <c r="AI66" s="15">
        <v>-1001</v>
      </c>
      <c r="AJ66" s="15">
        <v>-2432</v>
      </c>
    </row>
    <row r="67" spans="1:36">
      <c r="A67" s="15" t="s">
        <v>339</v>
      </c>
      <c r="B67" s="15">
        <v>-176</v>
      </c>
      <c r="C67" s="15">
        <v>65</v>
      </c>
      <c r="D67" s="15">
        <v>7</v>
      </c>
      <c r="E67" s="15">
        <v>60</v>
      </c>
      <c r="F67" s="15">
        <v>-203</v>
      </c>
      <c r="G67" s="15">
        <v>139</v>
      </c>
      <c r="H67" s="15">
        <v>53</v>
      </c>
      <c r="I67" s="15">
        <v>-61</v>
      </c>
      <c r="J67" s="15" t="s">
        <v>291</v>
      </c>
      <c r="K67" s="15">
        <v>-17</v>
      </c>
      <c r="L67" s="15" t="s">
        <v>291</v>
      </c>
      <c r="M67" s="15" t="s">
        <v>306</v>
      </c>
      <c r="N67" s="15">
        <v>2</v>
      </c>
      <c r="O67" s="15" t="s">
        <v>291</v>
      </c>
      <c r="P67" s="15" t="s">
        <v>291</v>
      </c>
      <c r="Q67" s="15" t="s">
        <v>291</v>
      </c>
      <c r="R67" s="15">
        <v>38</v>
      </c>
      <c r="S67" s="15">
        <v>372</v>
      </c>
      <c r="T67" s="15" t="s">
        <v>291</v>
      </c>
      <c r="U67" s="15">
        <v>25</v>
      </c>
      <c r="V67" s="15" t="s">
        <v>291</v>
      </c>
      <c r="W67" s="15" t="s">
        <v>291</v>
      </c>
      <c r="X67" s="15" t="s">
        <v>291</v>
      </c>
      <c r="Y67" s="15" t="s">
        <v>291</v>
      </c>
      <c r="Z67" s="15" t="s">
        <v>291</v>
      </c>
      <c r="AA67" s="15" t="s">
        <v>291</v>
      </c>
      <c r="AB67" s="15" t="s">
        <v>291</v>
      </c>
      <c r="AC67" s="15">
        <v>-382</v>
      </c>
      <c r="AD67" s="15" t="s">
        <v>291</v>
      </c>
      <c r="AE67" s="15" t="s">
        <v>291</v>
      </c>
      <c r="AF67" s="15" t="s">
        <v>291</v>
      </c>
      <c r="AG67" s="15">
        <v>-180</v>
      </c>
      <c r="AH67" s="15">
        <v>-195</v>
      </c>
      <c r="AI67" s="15">
        <v>279</v>
      </c>
      <c r="AJ67" s="15">
        <v>-10</v>
      </c>
    </row>
    <row r="68" spans="1:36">
      <c r="A68" s="15" t="s">
        <v>338</v>
      </c>
      <c r="B68" s="15">
        <v>-301</v>
      </c>
      <c r="C68" s="15">
        <v>257</v>
      </c>
      <c r="D68" s="15">
        <v>64</v>
      </c>
      <c r="E68" s="15">
        <v>-54</v>
      </c>
      <c r="F68" s="15">
        <v>-144</v>
      </c>
      <c r="G68" s="15" t="s">
        <v>291</v>
      </c>
      <c r="H68" s="15" t="s">
        <v>291</v>
      </c>
      <c r="I68" s="15">
        <v>63</v>
      </c>
      <c r="J68" s="15">
        <v>118</v>
      </c>
      <c r="K68" s="15" t="s">
        <v>291</v>
      </c>
      <c r="L68" s="15">
        <v>-43</v>
      </c>
      <c r="M68" s="15">
        <v>58</v>
      </c>
      <c r="N68" s="15">
        <v>6</v>
      </c>
      <c r="O68" s="15">
        <v>298</v>
      </c>
      <c r="P68" s="15">
        <v>-418</v>
      </c>
      <c r="Q68" s="15">
        <v>21</v>
      </c>
      <c r="R68" s="15" t="s">
        <v>291</v>
      </c>
      <c r="S68" s="15" t="s">
        <v>291</v>
      </c>
      <c r="T68" s="15">
        <v>175</v>
      </c>
      <c r="U68" s="15">
        <v>-130</v>
      </c>
      <c r="V68" s="15">
        <v>1402</v>
      </c>
      <c r="W68" s="15" t="s">
        <v>291</v>
      </c>
      <c r="X68" s="15" t="s">
        <v>291</v>
      </c>
      <c r="Y68" s="15" t="s">
        <v>291</v>
      </c>
      <c r="Z68" s="15" t="s">
        <v>291</v>
      </c>
      <c r="AA68" s="15">
        <v>-484</v>
      </c>
      <c r="AB68" s="15">
        <v>554</v>
      </c>
      <c r="AC68" s="15" t="s">
        <v>291</v>
      </c>
      <c r="AD68" s="15">
        <v>-301</v>
      </c>
      <c r="AE68" s="15" t="s">
        <v>291</v>
      </c>
      <c r="AF68" s="15" t="s">
        <v>291</v>
      </c>
      <c r="AG68" s="15" t="s">
        <v>291</v>
      </c>
      <c r="AH68" s="15">
        <v>3</v>
      </c>
      <c r="AI68" s="15">
        <v>155</v>
      </c>
      <c r="AJ68" s="15">
        <v>72</v>
      </c>
    </row>
    <row r="69" spans="1:36">
      <c r="A69" s="15" t="s">
        <v>337</v>
      </c>
      <c r="B69" s="15">
        <v>-180</v>
      </c>
      <c r="C69" s="15">
        <v>-56</v>
      </c>
      <c r="D69" s="15">
        <v>18</v>
      </c>
      <c r="E69" s="15">
        <v>-103</v>
      </c>
      <c r="F69" s="15">
        <v>61</v>
      </c>
      <c r="G69" s="15">
        <v>-84</v>
      </c>
      <c r="H69" s="15" t="s">
        <v>291</v>
      </c>
      <c r="I69" s="15" t="s">
        <v>291</v>
      </c>
      <c r="J69" s="15" t="s">
        <v>291</v>
      </c>
      <c r="K69" s="15">
        <v>-54</v>
      </c>
      <c r="L69" s="15" t="s">
        <v>291</v>
      </c>
      <c r="M69" s="15">
        <v>91</v>
      </c>
      <c r="N69" s="15" t="s">
        <v>291</v>
      </c>
      <c r="O69" s="15">
        <v>1138</v>
      </c>
      <c r="P69" s="15" t="s">
        <v>291</v>
      </c>
      <c r="Q69" s="15">
        <v>-22</v>
      </c>
      <c r="R69" s="15">
        <v>68</v>
      </c>
      <c r="S69" s="15">
        <v>-110</v>
      </c>
      <c r="T69" s="15" t="s">
        <v>291</v>
      </c>
      <c r="U69" s="15">
        <v>63</v>
      </c>
      <c r="V69" s="15">
        <v>462</v>
      </c>
      <c r="W69" s="15">
        <v>79</v>
      </c>
      <c r="X69" s="15" t="s">
        <v>291</v>
      </c>
      <c r="Y69" s="15">
        <v>-419</v>
      </c>
      <c r="Z69" s="15" t="s">
        <v>291</v>
      </c>
      <c r="AA69" s="15" t="s">
        <v>291</v>
      </c>
      <c r="AB69" s="15" t="s">
        <v>291</v>
      </c>
      <c r="AC69" s="15" t="s">
        <v>291</v>
      </c>
      <c r="AD69" s="15" t="s">
        <v>291</v>
      </c>
      <c r="AE69" s="15">
        <v>-3</v>
      </c>
      <c r="AF69" s="15">
        <v>840</v>
      </c>
      <c r="AG69" s="15">
        <v>570</v>
      </c>
      <c r="AH69" s="15">
        <v>3909</v>
      </c>
      <c r="AI69" s="15">
        <v>-2136</v>
      </c>
      <c r="AJ69" s="15">
        <v>-3584</v>
      </c>
    </row>
    <row r="70" spans="1:36">
      <c r="A70" s="15" t="s">
        <v>236</v>
      </c>
      <c r="B70" s="15">
        <v>218</v>
      </c>
      <c r="C70" s="15">
        <v>5</v>
      </c>
      <c r="D70" s="15">
        <v>66</v>
      </c>
      <c r="E70" s="15" t="s">
        <v>306</v>
      </c>
      <c r="F70" s="15">
        <v>88</v>
      </c>
      <c r="G70" s="15" t="s">
        <v>291</v>
      </c>
      <c r="H70" s="15">
        <v>-33</v>
      </c>
      <c r="I70" s="15" t="s">
        <v>291</v>
      </c>
      <c r="J70" s="15">
        <v>298</v>
      </c>
      <c r="K70" s="15" t="s">
        <v>291</v>
      </c>
      <c r="L70" s="15">
        <v>-85</v>
      </c>
      <c r="M70" s="15" t="s">
        <v>291</v>
      </c>
      <c r="N70" s="15" t="s">
        <v>291</v>
      </c>
      <c r="O70" s="15" t="s">
        <v>291</v>
      </c>
      <c r="P70" s="15" t="s">
        <v>291</v>
      </c>
      <c r="Q70" s="15" t="s">
        <v>291</v>
      </c>
      <c r="R70" s="15" t="s">
        <v>291</v>
      </c>
      <c r="S70" s="15" t="s">
        <v>291</v>
      </c>
      <c r="T70" s="15">
        <v>-384</v>
      </c>
      <c r="U70" s="15" t="s">
        <v>291</v>
      </c>
      <c r="V70" s="15" t="s">
        <v>291</v>
      </c>
      <c r="W70" s="15" t="s">
        <v>291</v>
      </c>
      <c r="X70" s="15" t="s">
        <v>291</v>
      </c>
      <c r="Y70" s="15" t="s">
        <v>291</v>
      </c>
      <c r="Z70" s="15">
        <v>-1060</v>
      </c>
      <c r="AA70" s="15" t="s">
        <v>291</v>
      </c>
      <c r="AB70" s="15" t="s">
        <v>291</v>
      </c>
      <c r="AC70" s="15" t="s">
        <v>291</v>
      </c>
      <c r="AD70" s="15" t="s">
        <v>291</v>
      </c>
      <c r="AE70" s="15">
        <v>-4137</v>
      </c>
      <c r="AF70" s="15">
        <v>-251</v>
      </c>
      <c r="AG70" s="15" t="s">
        <v>291</v>
      </c>
      <c r="AH70" s="15">
        <v>-1405</v>
      </c>
      <c r="AI70" s="15">
        <v>700</v>
      </c>
      <c r="AJ70" s="15">
        <v>1089</v>
      </c>
    </row>
    <row r="71" spans="1:36">
      <c r="A71" s="15" t="s">
        <v>323</v>
      </c>
      <c r="B71" s="15">
        <v>1042</v>
      </c>
      <c r="C71" s="15">
        <v>-155</v>
      </c>
      <c r="D71" s="15">
        <v>-281</v>
      </c>
      <c r="E71" s="15">
        <v>-1003</v>
      </c>
      <c r="F71" s="15">
        <v>52</v>
      </c>
      <c r="G71" s="15">
        <v>-185</v>
      </c>
      <c r="H71" s="15">
        <v>1607</v>
      </c>
      <c r="I71" s="15">
        <v>612</v>
      </c>
      <c r="J71" s="15">
        <v>2847</v>
      </c>
      <c r="K71" s="15">
        <v>-655</v>
      </c>
      <c r="L71" s="15">
        <v>1396</v>
      </c>
      <c r="M71" s="15">
        <v>451</v>
      </c>
      <c r="N71" s="15">
        <v>5353</v>
      </c>
      <c r="O71" s="15">
        <v>30</v>
      </c>
      <c r="P71" s="15">
        <v>2487</v>
      </c>
      <c r="Q71" s="15">
        <v>-658</v>
      </c>
      <c r="R71" s="15">
        <v>5048</v>
      </c>
      <c r="S71" s="15">
        <v>11194</v>
      </c>
      <c r="T71" s="15">
        <v>14</v>
      </c>
      <c r="U71" s="15">
        <v>-5432</v>
      </c>
      <c r="V71" s="15">
        <v>7581</v>
      </c>
      <c r="W71" s="15">
        <v>-5544</v>
      </c>
      <c r="X71" s="15">
        <v>7255</v>
      </c>
      <c r="Y71" s="15">
        <v>10936</v>
      </c>
      <c r="Z71" s="15">
        <v>-6261</v>
      </c>
      <c r="AA71" s="15">
        <v>8053</v>
      </c>
      <c r="AB71" s="15">
        <v>-11639</v>
      </c>
      <c r="AC71" s="15">
        <v>4092</v>
      </c>
      <c r="AD71" s="15">
        <v>927</v>
      </c>
      <c r="AE71" s="15">
        <v>-3381</v>
      </c>
      <c r="AF71" s="15">
        <v>12916</v>
      </c>
      <c r="AG71" s="15">
        <v>9830</v>
      </c>
      <c r="AH71" s="15">
        <v>1870</v>
      </c>
      <c r="AI71" s="15">
        <v>-2778</v>
      </c>
      <c r="AJ71" s="15">
        <v>477</v>
      </c>
    </row>
    <row r="72" spans="1:36">
      <c r="A72" s="15" t="s">
        <v>322</v>
      </c>
      <c r="B72" s="15">
        <v>145</v>
      </c>
      <c r="C72" s="15">
        <v>132</v>
      </c>
      <c r="D72" s="15">
        <v>464</v>
      </c>
      <c r="E72" s="15">
        <v>-165</v>
      </c>
      <c r="F72" s="15" t="s">
        <v>291</v>
      </c>
      <c r="G72" s="15" t="s">
        <v>291</v>
      </c>
      <c r="H72" s="15">
        <v>26</v>
      </c>
      <c r="I72" s="15">
        <v>54</v>
      </c>
      <c r="J72" s="15">
        <v>-497</v>
      </c>
      <c r="K72" s="15">
        <v>461</v>
      </c>
      <c r="L72" s="15">
        <v>-151</v>
      </c>
      <c r="M72" s="15">
        <v>226</v>
      </c>
      <c r="N72" s="15">
        <v>-139</v>
      </c>
      <c r="O72" s="15">
        <v>712</v>
      </c>
      <c r="P72" s="15">
        <v>421</v>
      </c>
      <c r="Q72" s="15">
        <v>-651</v>
      </c>
      <c r="R72" s="15">
        <v>1920</v>
      </c>
      <c r="S72" s="15">
        <v>503</v>
      </c>
      <c r="T72" s="15">
        <v>-707</v>
      </c>
      <c r="U72" s="15">
        <v>-473</v>
      </c>
      <c r="V72" s="15">
        <v>6926</v>
      </c>
      <c r="W72" s="15">
        <v>4052</v>
      </c>
      <c r="X72" s="15">
        <v>-3353</v>
      </c>
      <c r="Y72" s="15" t="s">
        <v>291</v>
      </c>
      <c r="Z72" s="15">
        <v>5491</v>
      </c>
      <c r="AA72" s="15">
        <v>2243</v>
      </c>
      <c r="AB72" s="15">
        <v>-663</v>
      </c>
      <c r="AC72" s="15">
        <v>2793</v>
      </c>
      <c r="AD72" s="15">
        <v>9594</v>
      </c>
      <c r="AE72" s="15">
        <v>3740</v>
      </c>
      <c r="AF72" s="15">
        <v>8691</v>
      </c>
      <c r="AG72" s="15">
        <v>9079</v>
      </c>
      <c r="AH72" s="15">
        <v>11735</v>
      </c>
      <c r="AI72" s="15">
        <v>-4943</v>
      </c>
      <c r="AJ72" s="15">
        <v>1318</v>
      </c>
    </row>
    <row r="73" spans="1:36">
      <c r="A73" s="15" t="s">
        <v>321</v>
      </c>
      <c r="B73" s="15">
        <v>-13</v>
      </c>
      <c r="C73" s="15" t="s">
        <v>291</v>
      </c>
      <c r="D73" s="15">
        <v>-11</v>
      </c>
      <c r="E73" s="15">
        <v>108</v>
      </c>
      <c r="F73" s="15">
        <v>-92</v>
      </c>
      <c r="G73" s="15">
        <v>127</v>
      </c>
      <c r="H73" s="15">
        <v>66</v>
      </c>
      <c r="I73" s="15">
        <v>80</v>
      </c>
      <c r="J73" s="15">
        <v>-130</v>
      </c>
      <c r="K73" s="15">
        <v>19</v>
      </c>
      <c r="L73" s="15">
        <v>8</v>
      </c>
      <c r="M73" s="15">
        <v>163</v>
      </c>
      <c r="N73" s="15">
        <v>705</v>
      </c>
      <c r="O73" s="15">
        <v>-235</v>
      </c>
      <c r="P73" s="15">
        <v>45</v>
      </c>
      <c r="Q73" s="15">
        <v>427</v>
      </c>
      <c r="R73" s="15">
        <v>273</v>
      </c>
      <c r="S73" s="15">
        <v>356</v>
      </c>
      <c r="T73" s="15">
        <v>680</v>
      </c>
      <c r="U73" s="15">
        <v>-152</v>
      </c>
      <c r="V73" s="15">
        <v>-493</v>
      </c>
      <c r="W73" s="15">
        <v>-450</v>
      </c>
      <c r="X73" s="15">
        <v>1326</v>
      </c>
      <c r="Y73" s="15">
        <v>-274</v>
      </c>
      <c r="Z73" s="15">
        <v>-362</v>
      </c>
      <c r="AA73" s="15">
        <v>1717</v>
      </c>
      <c r="AB73" s="15" t="s">
        <v>291</v>
      </c>
      <c r="AC73" s="15">
        <v>-785</v>
      </c>
      <c r="AD73" s="15">
        <v>-16</v>
      </c>
      <c r="AE73" s="15">
        <v>156</v>
      </c>
      <c r="AF73" s="15">
        <v>722</v>
      </c>
      <c r="AG73" s="15">
        <v>-354</v>
      </c>
      <c r="AH73" s="15">
        <v>-161</v>
      </c>
      <c r="AI73" s="15">
        <v>-27</v>
      </c>
      <c r="AJ73" s="15">
        <v>653</v>
      </c>
    </row>
    <row r="74" spans="1:36">
      <c r="A74" s="15" t="s">
        <v>320</v>
      </c>
      <c r="B74" s="15">
        <v>-151</v>
      </c>
      <c r="C74" s="15">
        <v>-35</v>
      </c>
      <c r="D74" s="15">
        <v>-34</v>
      </c>
      <c r="E74" s="15">
        <v>-48</v>
      </c>
      <c r="F74" s="15">
        <v>141</v>
      </c>
      <c r="G74" s="15">
        <v>-226</v>
      </c>
      <c r="H74" s="15">
        <v>238</v>
      </c>
      <c r="I74" s="15">
        <v>119</v>
      </c>
      <c r="J74" s="15">
        <v>85</v>
      </c>
      <c r="K74" s="15">
        <v>-152</v>
      </c>
      <c r="L74" s="15" t="s">
        <v>291</v>
      </c>
      <c r="M74" s="15">
        <v>12</v>
      </c>
      <c r="N74" s="15">
        <v>1014</v>
      </c>
      <c r="O74" s="15">
        <v>-562</v>
      </c>
      <c r="P74" s="15">
        <v>740</v>
      </c>
      <c r="Q74" s="15">
        <v>-1129</v>
      </c>
      <c r="R74" s="15">
        <v>22</v>
      </c>
      <c r="S74" s="15">
        <v>1127</v>
      </c>
      <c r="T74" s="15">
        <v>88</v>
      </c>
      <c r="U74" s="15">
        <v>908</v>
      </c>
      <c r="V74" s="15">
        <v>-216</v>
      </c>
      <c r="W74" s="15">
        <v>-3162</v>
      </c>
      <c r="X74" s="15" t="s">
        <v>291</v>
      </c>
      <c r="Y74" s="15">
        <v>3503</v>
      </c>
      <c r="Z74" s="15">
        <v>48</v>
      </c>
      <c r="AA74" s="15">
        <v>5652</v>
      </c>
      <c r="AB74" s="15">
        <v>-7395</v>
      </c>
      <c r="AC74" s="15">
        <v>2825</v>
      </c>
      <c r="AD74" s="15" t="s">
        <v>291</v>
      </c>
      <c r="AE74" s="15">
        <v>-3600</v>
      </c>
      <c r="AF74" s="15" t="s">
        <v>291</v>
      </c>
      <c r="AG74" s="15">
        <v>2245</v>
      </c>
      <c r="AH74" s="15">
        <v>2654</v>
      </c>
      <c r="AI74" s="15">
        <v>474</v>
      </c>
      <c r="AJ74" s="15">
        <v>-1514</v>
      </c>
    </row>
    <row r="75" spans="1:36">
      <c r="A75" s="15" t="s">
        <v>319</v>
      </c>
      <c r="B75" s="15">
        <v>-7</v>
      </c>
      <c r="C75" s="15">
        <v>-26</v>
      </c>
      <c r="D75" s="15">
        <v>10</v>
      </c>
      <c r="E75" s="15">
        <v>-3</v>
      </c>
      <c r="F75" s="15">
        <v>-12</v>
      </c>
      <c r="G75" s="15">
        <v>15</v>
      </c>
      <c r="H75" s="15">
        <v>-4</v>
      </c>
      <c r="I75" s="15" t="s">
        <v>291</v>
      </c>
      <c r="J75" s="15" t="s">
        <v>291</v>
      </c>
      <c r="K75" s="15">
        <v>5</v>
      </c>
      <c r="L75" s="15">
        <v>11</v>
      </c>
      <c r="M75" s="15" t="s">
        <v>306</v>
      </c>
      <c r="N75" s="15">
        <v>33</v>
      </c>
      <c r="O75" s="15">
        <v>44</v>
      </c>
      <c r="P75" s="15">
        <v>107</v>
      </c>
      <c r="Q75" s="15">
        <v>122</v>
      </c>
      <c r="R75" s="15">
        <v>-49</v>
      </c>
      <c r="S75" s="15" t="s">
        <v>291</v>
      </c>
      <c r="T75" s="15">
        <v>-112</v>
      </c>
      <c r="U75" s="15">
        <v>-89</v>
      </c>
      <c r="V75" s="15" t="s">
        <v>291</v>
      </c>
      <c r="W75" s="15">
        <v>-70</v>
      </c>
      <c r="X75" s="15">
        <v>139</v>
      </c>
      <c r="Y75" s="15">
        <v>-87</v>
      </c>
      <c r="Z75" s="15">
        <v>-58</v>
      </c>
      <c r="AA75" s="15">
        <v>-309</v>
      </c>
      <c r="AB75" s="15">
        <v>563</v>
      </c>
      <c r="AC75" s="15">
        <v>114</v>
      </c>
      <c r="AD75" s="15">
        <v>-169</v>
      </c>
      <c r="AE75" s="15">
        <v>-578</v>
      </c>
      <c r="AF75" s="15">
        <v>232</v>
      </c>
      <c r="AG75" s="15">
        <v>120</v>
      </c>
      <c r="AH75" s="15">
        <v>42</v>
      </c>
      <c r="AI75" s="15">
        <v>1367</v>
      </c>
      <c r="AJ75" s="15">
        <v>433</v>
      </c>
    </row>
    <row r="76" spans="1:36">
      <c r="A76" s="15" t="s">
        <v>318</v>
      </c>
      <c r="B76" s="15">
        <v>865</v>
      </c>
      <c r="C76" s="15">
        <v>-39</v>
      </c>
      <c r="D76" s="15">
        <v>-274</v>
      </c>
      <c r="E76" s="15">
        <v>-232</v>
      </c>
      <c r="F76" s="15">
        <v>308</v>
      </c>
      <c r="G76" s="15">
        <v>-872</v>
      </c>
      <c r="H76" s="15">
        <v>313</v>
      </c>
      <c r="I76" s="15">
        <v>-80</v>
      </c>
      <c r="J76" s="15">
        <v>33</v>
      </c>
      <c r="K76" s="15">
        <v>-549</v>
      </c>
      <c r="L76" s="15">
        <v>571</v>
      </c>
      <c r="M76" s="15">
        <v>-196</v>
      </c>
      <c r="N76" s="15">
        <v>1729</v>
      </c>
      <c r="O76" s="15">
        <v>435</v>
      </c>
      <c r="P76" s="15">
        <v>-152</v>
      </c>
      <c r="Q76" s="15">
        <v>-234</v>
      </c>
      <c r="R76" s="15">
        <v>-618</v>
      </c>
      <c r="S76" s="15">
        <v>1188</v>
      </c>
      <c r="T76" s="15">
        <v>57</v>
      </c>
      <c r="U76" s="15">
        <v>-208</v>
      </c>
      <c r="V76" s="15">
        <v>-169</v>
      </c>
      <c r="W76" s="15" t="s">
        <v>291</v>
      </c>
      <c r="X76" s="15" t="s">
        <v>291</v>
      </c>
      <c r="Y76" s="15" t="s">
        <v>291</v>
      </c>
      <c r="Z76" s="15">
        <v>50</v>
      </c>
      <c r="AA76" s="15" t="s">
        <v>291</v>
      </c>
      <c r="AB76" s="15">
        <v>490</v>
      </c>
      <c r="AC76" s="15">
        <v>215</v>
      </c>
      <c r="AD76" s="15" t="s">
        <v>291</v>
      </c>
      <c r="AE76" s="15" t="s">
        <v>291</v>
      </c>
      <c r="AF76" s="15">
        <v>510</v>
      </c>
      <c r="AG76" s="15">
        <v>-614</v>
      </c>
      <c r="AH76" s="15">
        <v>617</v>
      </c>
      <c r="AI76" s="15">
        <v>-759</v>
      </c>
      <c r="AJ76" s="15">
        <v>1125</v>
      </c>
    </row>
    <row r="77" spans="1:36">
      <c r="A77" s="15" t="s">
        <v>317</v>
      </c>
      <c r="B77" s="15">
        <v>153</v>
      </c>
      <c r="C77" s="15">
        <v>285</v>
      </c>
      <c r="D77" s="15">
        <v>-79</v>
      </c>
      <c r="E77" s="15">
        <v>-9</v>
      </c>
      <c r="F77" s="15">
        <v>-84</v>
      </c>
      <c r="G77" s="15">
        <v>586</v>
      </c>
      <c r="H77" s="15">
        <v>851</v>
      </c>
      <c r="I77" s="15">
        <v>429</v>
      </c>
      <c r="J77" s="15">
        <v>1009</v>
      </c>
      <c r="K77" s="15">
        <v>-260</v>
      </c>
      <c r="L77" s="15">
        <v>427</v>
      </c>
      <c r="M77" s="15">
        <v>-117</v>
      </c>
      <c r="N77" s="15">
        <v>1078</v>
      </c>
      <c r="O77" s="15">
        <v>228</v>
      </c>
      <c r="P77" s="15">
        <v>-67</v>
      </c>
      <c r="Q77" s="15">
        <v>-909</v>
      </c>
      <c r="R77" s="15">
        <v>4682</v>
      </c>
      <c r="S77" s="15">
        <v>6505</v>
      </c>
      <c r="T77" s="15">
        <v>-1754</v>
      </c>
      <c r="U77" s="15">
        <v>-7427</v>
      </c>
      <c r="V77" s="15">
        <v>2778</v>
      </c>
      <c r="W77" s="15">
        <v>-6688</v>
      </c>
      <c r="X77" s="15">
        <v>2863</v>
      </c>
      <c r="Y77" s="15">
        <v>1261</v>
      </c>
      <c r="Z77" s="15">
        <v>-1314</v>
      </c>
      <c r="AA77" s="15">
        <v>-1380</v>
      </c>
      <c r="AB77" s="15" t="s">
        <v>291</v>
      </c>
      <c r="AC77" s="15">
        <v>-294</v>
      </c>
      <c r="AD77" s="15">
        <v>-1285</v>
      </c>
      <c r="AE77" s="15">
        <v>-3845</v>
      </c>
      <c r="AF77" s="15">
        <v>-5339</v>
      </c>
      <c r="AG77" s="15">
        <v>1056</v>
      </c>
      <c r="AH77" s="15">
        <v>-16299</v>
      </c>
      <c r="AI77" s="15">
        <v>-2730</v>
      </c>
      <c r="AJ77" s="15">
        <v>-2975</v>
      </c>
    </row>
    <row r="78" spans="1:36">
      <c r="A78" s="15" t="s">
        <v>316</v>
      </c>
      <c r="B78" s="15">
        <v>-96</v>
      </c>
      <c r="C78" s="15">
        <v>-107</v>
      </c>
      <c r="D78" s="15">
        <v>-2</v>
      </c>
      <c r="E78" s="15">
        <v>-79</v>
      </c>
      <c r="F78" s="15">
        <v>41</v>
      </c>
      <c r="G78" s="15">
        <v>52</v>
      </c>
      <c r="H78" s="15">
        <v>8</v>
      </c>
      <c r="I78" s="15">
        <v>-12</v>
      </c>
      <c r="J78" s="15">
        <v>-9</v>
      </c>
      <c r="K78" s="15">
        <v>102</v>
      </c>
      <c r="L78" s="15">
        <v>-87</v>
      </c>
      <c r="M78" s="15">
        <v>28</v>
      </c>
      <c r="N78" s="15">
        <v>-78</v>
      </c>
      <c r="O78" s="15">
        <v>185</v>
      </c>
      <c r="P78" s="15">
        <v>-19</v>
      </c>
      <c r="Q78" s="15">
        <v>49</v>
      </c>
      <c r="R78" s="15">
        <v>134</v>
      </c>
      <c r="S78" s="15">
        <v>700</v>
      </c>
      <c r="T78" s="15">
        <v>654</v>
      </c>
      <c r="U78" s="15">
        <v>223</v>
      </c>
      <c r="V78" s="15" t="s">
        <v>291</v>
      </c>
      <c r="W78" s="15">
        <v>132</v>
      </c>
      <c r="X78" s="15">
        <v>630</v>
      </c>
      <c r="Y78" s="15">
        <v>-223</v>
      </c>
      <c r="Z78" s="15">
        <v>533</v>
      </c>
      <c r="AA78" s="15">
        <v>-1015</v>
      </c>
      <c r="AB78" s="15">
        <v>-772</v>
      </c>
      <c r="AC78" s="15">
        <v>365</v>
      </c>
      <c r="AD78" s="15">
        <v>-479</v>
      </c>
      <c r="AE78" s="15">
        <v>671</v>
      </c>
      <c r="AF78" s="15">
        <v>-888</v>
      </c>
      <c r="AG78" s="15">
        <v>616</v>
      </c>
      <c r="AH78" s="15">
        <v>-161</v>
      </c>
      <c r="AI78" s="15">
        <v>766</v>
      </c>
      <c r="AJ78" s="15">
        <v>849</v>
      </c>
    </row>
    <row r="79" spans="1:36">
      <c r="A79" s="15" t="s">
        <v>315</v>
      </c>
      <c r="B79" s="15">
        <v>214</v>
      </c>
      <c r="C79" s="15">
        <v>-227</v>
      </c>
      <c r="D79" s="15" t="s">
        <v>291</v>
      </c>
      <c r="E79" s="15">
        <v>-51</v>
      </c>
      <c r="F79" s="15">
        <v>-18</v>
      </c>
      <c r="G79" s="15">
        <v>17</v>
      </c>
      <c r="H79" s="15">
        <v>11</v>
      </c>
      <c r="I79" s="15">
        <v>56</v>
      </c>
      <c r="J79" s="15">
        <v>46</v>
      </c>
      <c r="K79" s="15">
        <v>55</v>
      </c>
      <c r="L79" s="15">
        <v>-438</v>
      </c>
      <c r="M79" s="15">
        <v>184</v>
      </c>
      <c r="N79" s="15">
        <v>76</v>
      </c>
      <c r="O79" s="15">
        <v>243</v>
      </c>
      <c r="P79" s="15">
        <v>364</v>
      </c>
      <c r="Q79" s="15">
        <v>91</v>
      </c>
      <c r="R79" s="15">
        <v>-256</v>
      </c>
      <c r="S79" s="15">
        <v>-909</v>
      </c>
      <c r="T79" s="15">
        <v>603</v>
      </c>
      <c r="U79" s="15" t="s">
        <v>291</v>
      </c>
      <c r="V79" s="15">
        <v>201</v>
      </c>
      <c r="W79" s="15">
        <v>-442</v>
      </c>
      <c r="X79" s="15" t="s">
        <v>291</v>
      </c>
      <c r="Y79" s="15">
        <v>785</v>
      </c>
      <c r="Z79" s="15" t="s">
        <v>291</v>
      </c>
      <c r="AA79" s="15">
        <v>300</v>
      </c>
      <c r="AB79" s="15">
        <v>-705</v>
      </c>
      <c r="AC79" s="15">
        <v>60</v>
      </c>
      <c r="AD79" s="15">
        <v>947</v>
      </c>
      <c r="AE79" s="15">
        <v>-350</v>
      </c>
      <c r="AF79" s="15" t="s">
        <v>291</v>
      </c>
      <c r="AG79" s="15">
        <v>675</v>
      </c>
      <c r="AH79" s="15">
        <v>869</v>
      </c>
      <c r="AI79" s="15">
        <v>681</v>
      </c>
      <c r="AJ79" s="15">
        <v>-1903</v>
      </c>
    </row>
    <row r="80" spans="1:36">
      <c r="A80" s="15" t="s">
        <v>314</v>
      </c>
      <c r="B80" s="15">
        <v>34</v>
      </c>
      <c r="C80" s="15">
        <v>-53</v>
      </c>
      <c r="D80" s="15">
        <v>-66</v>
      </c>
      <c r="E80" s="15">
        <v>37</v>
      </c>
      <c r="F80" s="15" t="s">
        <v>291</v>
      </c>
      <c r="G80" s="15" t="s">
        <v>291</v>
      </c>
      <c r="H80" s="15">
        <v>-16</v>
      </c>
      <c r="I80" s="15" t="s">
        <v>291</v>
      </c>
      <c r="J80" s="15">
        <v>1954</v>
      </c>
      <c r="K80" s="15" t="s">
        <v>291</v>
      </c>
      <c r="L80" s="15">
        <v>163</v>
      </c>
      <c r="M80" s="15">
        <v>-554</v>
      </c>
      <c r="N80" s="15">
        <v>-260</v>
      </c>
      <c r="O80" s="15" t="s">
        <v>291</v>
      </c>
      <c r="P80" s="15" t="s">
        <v>291</v>
      </c>
      <c r="Q80" s="15">
        <v>723</v>
      </c>
      <c r="R80" s="15" t="s">
        <v>291</v>
      </c>
      <c r="S80" s="15" t="s">
        <v>291</v>
      </c>
      <c r="T80" s="15" t="s">
        <v>291</v>
      </c>
      <c r="U80" s="15">
        <v>51</v>
      </c>
      <c r="V80" s="15">
        <v>109</v>
      </c>
      <c r="W80" s="15" t="s">
        <v>291</v>
      </c>
      <c r="X80" s="15">
        <v>928</v>
      </c>
      <c r="Y80" s="15" t="s">
        <v>291</v>
      </c>
      <c r="Z80" s="15">
        <v>521</v>
      </c>
      <c r="AA80" s="15" t="s">
        <v>291</v>
      </c>
      <c r="AB80" s="15" t="s">
        <v>291</v>
      </c>
      <c r="AC80" s="15">
        <v>591</v>
      </c>
      <c r="AD80" s="15" t="s">
        <v>291</v>
      </c>
      <c r="AE80" s="15" t="s">
        <v>291</v>
      </c>
      <c r="AF80" s="15">
        <v>195</v>
      </c>
      <c r="AG80" s="15">
        <v>-658</v>
      </c>
      <c r="AH80" s="15" t="s">
        <v>291</v>
      </c>
      <c r="AI80" s="15">
        <v>-60</v>
      </c>
      <c r="AJ80" s="15" t="s">
        <v>291</v>
      </c>
    </row>
    <row r="81" spans="1:36">
      <c r="A81" s="15" t="s">
        <v>313</v>
      </c>
      <c r="B81" s="15">
        <v>89</v>
      </c>
      <c r="C81" s="15">
        <v>207</v>
      </c>
      <c r="D81" s="15">
        <v>-130</v>
      </c>
      <c r="E81" s="15">
        <v>-99</v>
      </c>
      <c r="F81" s="15">
        <v>21</v>
      </c>
      <c r="G81" s="15">
        <v>-20</v>
      </c>
      <c r="H81" s="15">
        <v>-5</v>
      </c>
      <c r="I81" s="15">
        <v>-96</v>
      </c>
      <c r="J81" s="15">
        <v>160</v>
      </c>
      <c r="K81" s="15">
        <v>-144</v>
      </c>
      <c r="L81" s="15">
        <v>55</v>
      </c>
      <c r="M81" s="15">
        <v>209</v>
      </c>
      <c r="N81" s="15">
        <v>152</v>
      </c>
      <c r="O81" s="15" t="s">
        <v>291</v>
      </c>
      <c r="P81" s="15">
        <v>362</v>
      </c>
      <c r="Q81" s="15" t="s">
        <v>291</v>
      </c>
      <c r="R81" s="15">
        <v>62</v>
      </c>
      <c r="S81" s="15">
        <v>-484</v>
      </c>
      <c r="T81" s="15">
        <v>292</v>
      </c>
      <c r="U81" s="15">
        <v>911</v>
      </c>
      <c r="V81" s="15" t="s">
        <v>291</v>
      </c>
      <c r="W81" s="15" t="s">
        <v>291</v>
      </c>
      <c r="X81" s="15">
        <v>18</v>
      </c>
      <c r="Y81" s="15" t="s">
        <v>291</v>
      </c>
      <c r="Z81" s="15" t="s">
        <v>291</v>
      </c>
      <c r="AA81" s="15">
        <v>-44</v>
      </c>
      <c r="AB81" s="15">
        <v>-298</v>
      </c>
      <c r="AC81" s="15">
        <v>150</v>
      </c>
      <c r="AD81" s="15" t="s">
        <v>291</v>
      </c>
      <c r="AE81" s="15">
        <v>-32</v>
      </c>
      <c r="AF81" s="15" t="s">
        <v>291</v>
      </c>
      <c r="AG81" s="15">
        <v>-540</v>
      </c>
      <c r="AH81" s="15" t="s">
        <v>291</v>
      </c>
      <c r="AI81" s="15" t="s">
        <v>291</v>
      </c>
      <c r="AJ81" s="15" t="s">
        <v>291</v>
      </c>
    </row>
    <row r="82" spans="1:36">
      <c r="A82" s="15" t="s">
        <v>312</v>
      </c>
      <c r="B82" s="15">
        <v>-252</v>
      </c>
      <c r="C82" s="15">
        <v>-252</v>
      </c>
      <c r="D82" s="15">
        <v>-54</v>
      </c>
      <c r="E82" s="15">
        <v>-239</v>
      </c>
      <c r="F82" s="15">
        <v>23</v>
      </c>
      <c r="G82" s="15">
        <v>-226</v>
      </c>
      <c r="H82" s="15">
        <v>129</v>
      </c>
      <c r="I82" s="15">
        <v>-128</v>
      </c>
      <c r="J82" s="15">
        <v>-59</v>
      </c>
      <c r="K82" s="15">
        <v>348</v>
      </c>
      <c r="L82" s="15">
        <v>253</v>
      </c>
      <c r="M82" s="15">
        <v>285</v>
      </c>
      <c r="N82" s="15">
        <v>325</v>
      </c>
      <c r="O82" s="15">
        <v>-691</v>
      </c>
      <c r="P82" s="15">
        <v>672</v>
      </c>
      <c r="Q82" s="15">
        <v>872</v>
      </c>
      <c r="R82" s="15">
        <v>-535</v>
      </c>
      <c r="S82" s="15">
        <v>1946</v>
      </c>
      <c r="T82" s="15">
        <v>879</v>
      </c>
      <c r="U82" s="15">
        <v>462</v>
      </c>
      <c r="V82" s="15">
        <v>-2373</v>
      </c>
      <c r="W82" s="15">
        <v>2645</v>
      </c>
      <c r="X82" s="15">
        <v>1268</v>
      </c>
      <c r="Y82" s="15">
        <v>6546</v>
      </c>
      <c r="Z82" s="304">
        <f>(Z71-Z72-Z73-Z74-Z75-Z76-Z77-Z78-Z80-Z83-Z84-Z85)</f>
        <v>-11393</v>
      </c>
      <c r="AA82" s="15">
        <v>2427</v>
      </c>
      <c r="AB82" s="15">
        <v>-362</v>
      </c>
      <c r="AC82" s="15">
        <v>-770</v>
      </c>
      <c r="AD82" s="15">
        <v>3072</v>
      </c>
      <c r="AE82" s="15">
        <v>-420</v>
      </c>
      <c r="AF82" s="15">
        <v>1508</v>
      </c>
      <c r="AG82" s="15">
        <v>9</v>
      </c>
      <c r="AH82" s="15">
        <v>2257</v>
      </c>
      <c r="AI82" s="15">
        <v>1790</v>
      </c>
      <c r="AJ82" s="15">
        <v>1501</v>
      </c>
    </row>
    <row r="83" spans="1:36">
      <c r="A83" s="15" t="s">
        <v>311</v>
      </c>
      <c r="B83" s="15">
        <v>-28</v>
      </c>
      <c r="C83" s="15">
        <v>-12</v>
      </c>
      <c r="D83" s="15">
        <v>10</v>
      </c>
      <c r="E83" s="15">
        <v>-10</v>
      </c>
      <c r="F83" s="15">
        <v>98</v>
      </c>
      <c r="G83" s="15">
        <v>99</v>
      </c>
      <c r="H83" s="15">
        <v>-2</v>
      </c>
      <c r="I83" s="15">
        <v>-43</v>
      </c>
      <c r="J83" s="15">
        <v>108</v>
      </c>
      <c r="K83" s="15">
        <v>127</v>
      </c>
      <c r="L83" s="15">
        <v>-181</v>
      </c>
      <c r="M83" s="15">
        <v>222</v>
      </c>
      <c r="N83" s="15">
        <v>234</v>
      </c>
      <c r="O83" s="15">
        <v>-150</v>
      </c>
      <c r="P83" s="15">
        <v>-166</v>
      </c>
      <c r="Q83" s="15">
        <v>-21</v>
      </c>
      <c r="R83" s="15">
        <v>-88</v>
      </c>
      <c r="S83" s="15">
        <v>115</v>
      </c>
      <c r="T83" s="15">
        <v>-75</v>
      </c>
      <c r="U83" s="15" t="s">
        <v>291</v>
      </c>
      <c r="V83" s="15">
        <v>-47</v>
      </c>
      <c r="W83" s="15">
        <v>181</v>
      </c>
      <c r="X83" s="15" t="s">
        <v>291</v>
      </c>
      <c r="Y83" s="15" t="s">
        <v>291</v>
      </c>
      <c r="Z83" s="15">
        <v>74</v>
      </c>
      <c r="AA83" s="15">
        <v>-142</v>
      </c>
      <c r="AB83" s="15">
        <v>68</v>
      </c>
      <c r="AC83" s="15">
        <v>-166</v>
      </c>
      <c r="AD83" s="15">
        <v>5</v>
      </c>
      <c r="AE83" s="15">
        <v>712</v>
      </c>
      <c r="AF83" s="15" t="s">
        <v>291</v>
      </c>
      <c r="AG83" s="15">
        <v>-424</v>
      </c>
      <c r="AH83" s="15">
        <v>18</v>
      </c>
      <c r="AI83" s="15">
        <v>652</v>
      </c>
      <c r="AJ83" s="15">
        <v>-22</v>
      </c>
    </row>
    <row r="84" spans="1:36">
      <c r="A84" s="15" t="s">
        <v>310</v>
      </c>
      <c r="B84" s="15">
        <v>52</v>
      </c>
      <c r="C84" s="15" t="s">
        <v>291</v>
      </c>
      <c r="D84" s="15" t="s">
        <v>291</v>
      </c>
      <c r="E84" s="15">
        <v>-166</v>
      </c>
      <c r="F84" s="15" t="s">
        <v>291</v>
      </c>
      <c r="G84" s="15">
        <v>-17</v>
      </c>
      <c r="H84" s="15">
        <v>-12</v>
      </c>
      <c r="I84" s="15">
        <v>94</v>
      </c>
      <c r="J84" s="15">
        <v>120</v>
      </c>
      <c r="K84" s="15" t="s">
        <v>291</v>
      </c>
      <c r="L84" s="15" t="s">
        <v>291</v>
      </c>
      <c r="M84" s="15">
        <v>25</v>
      </c>
      <c r="N84" s="15">
        <v>352</v>
      </c>
      <c r="O84" s="15">
        <v>131</v>
      </c>
      <c r="P84" s="15" t="s">
        <v>291</v>
      </c>
      <c r="Q84" s="15" t="s">
        <v>291</v>
      </c>
      <c r="R84" s="15">
        <v>73</v>
      </c>
      <c r="S84" s="15">
        <v>413</v>
      </c>
      <c r="T84" s="15">
        <v>-363</v>
      </c>
      <c r="U84" s="15">
        <v>1040</v>
      </c>
      <c r="V84" s="15">
        <v>1025</v>
      </c>
      <c r="W84" s="15">
        <v>-1058</v>
      </c>
      <c r="X84" s="15">
        <v>-215</v>
      </c>
      <c r="Y84" s="15">
        <v>-10</v>
      </c>
      <c r="Z84" s="15">
        <v>-482</v>
      </c>
      <c r="AA84" s="15" t="s">
        <v>291</v>
      </c>
      <c r="AB84" s="15" t="s">
        <v>291</v>
      </c>
      <c r="AC84" s="15">
        <v>-319</v>
      </c>
      <c r="AD84" s="15" t="s">
        <v>291</v>
      </c>
      <c r="AE84" s="15">
        <v>482</v>
      </c>
      <c r="AF84" s="15" t="s">
        <v>291</v>
      </c>
      <c r="AG84" s="15">
        <v>-439</v>
      </c>
      <c r="AH84" s="15" t="s">
        <v>291</v>
      </c>
      <c r="AI84" s="15" t="s">
        <v>291</v>
      </c>
      <c r="AJ84" s="15">
        <v>658</v>
      </c>
    </row>
    <row r="85" spans="1:36">
      <c r="A85" s="15" t="s">
        <v>236</v>
      </c>
      <c r="B85" s="15">
        <v>39</v>
      </c>
      <c r="C85" s="15" t="s">
        <v>291</v>
      </c>
      <c r="D85" s="15">
        <v>-24</v>
      </c>
      <c r="E85" s="15">
        <v>-45</v>
      </c>
      <c r="F85" s="15" t="s">
        <v>291</v>
      </c>
      <c r="G85" s="15">
        <v>15</v>
      </c>
      <c r="H85" s="15">
        <v>5</v>
      </c>
      <c r="I85" s="15">
        <v>65</v>
      </c>
      <c r="J85" s="15" t="s">
        <v>291</v>
      </c>
      <c r="K85" s="15">
        <v>-44</v>
      </c>
      <c r="L85" s="15" t="s">
        <v>291</v>
      </c>
      <c r="M85" s="15">
        <v>-35</v>
      </c>
      <c r="N85" s="15">
        <v>133</v>
      </c>
      <c r="O85" s="15" t="s">
        <v>291</v>
      </c>
      <c r="P85" s="15">
        <v>54</v>
      </c>
      <c r="Q85" s="15">
        <v>-8</v>
      </c>
      <c r="R85" s="15" t="s">
        <v>291</v>
      </c>
      <c r="S85" s="15">
        <v>333</v>
      </c>
      <c r="T85" s="15" t="s">
        <v>291</v>
      </c>
      <c r="U85" s="15">
        <v>-26</v>
      </c>
      <c r="V85" s="15" t="s">
        <v>291</v>
      </c>
      <c r="W85" s="15" t="s">
        <v>291</v>
      </c>
      <c r="X85" s="15" t="s">
        <v>291</v>
      </c>
      <c r="Y85" s="15">
        <v>118</v>
      </c>
      <c r="Z85" s="15">
        <v>631</v>
      </c>
      <c r="AA85" s="15" t="s">
        <v>291</v>
      </c>
      <c r="AB85" s="15">
        <v>1495</v>
      </c>
      <c r="AC85" s="15">
        <v>-687</v>
      </c>
      <c r="AD85" s="15" t="s">
        <v>291</v>
      </c>
      <c r="AE85" s="15" t="s">
        <v>291</v>
      </c>
      <c r="AF85" s="15">
        <v>-187</v>
      </c>
      <c r="AG85" s="15">
        <v>-938</v>
      </c>
      <c r="AH85" s="15" t="s">
        <v>291</v>
      </c>
      <c r="AI85" s="15">
        <v>-250</v>
      </c>
      <c r="AJ85" s="15" t="s">
        <v>291</v>
      </c>
    </row>
    <row r="86" spans="1:36">
      <c r="A86" s="15" t="s">
        <v>274</v>
      </c>
      <c r="B86" s="15">
        <v>-207</v>
      </c>
      <c r="C86" s="15">
        <v>-498</v>
      </c>
      <c r="D86" s="15">
        <v>-300</v>
      </c>
      <c r="E86" s="15">
        <v>237</v>
      </c>
      <c r="F86" s="15">
        <v>-136</v>
      </c>
      <c r="G86" s="15">
        <v>46</v>
      </c>
      <c r="H86" s="15">
        <v>-37</v>
      </c>
      <c r="I86" s="15">
        <v>67</v>
      </c>
      <c r="J86" s="15">
        <v>-1</v>
      </c>
      <c r="K86" s="15">
        <v>-137</v>
      </c>
      <c r="L86" s="15" t="s">
        <v>291</v>
      </c>
      <c r="M86" s="15" t="s">
        <v>291</v>
      </c>
      <c r="N86" s="15">
        <v>137</v>
      </c>
      <c r="O86" s="15" t="s">
        <v>291</v>
      </c>
      <c r="P86" s="15" t="s">
        <v>291</v>
      </c>
      <c r="Q86" s="15">
        <v>18</v>
      </c>
      <c r="R86" s="15">
        <v>-194</v>
      </c>
      <c r="S86" s="15" t="s">
        <v>273</v>
      </c>
      <c r="T86" s="15" t="s">
        <v>273</v>
      </c>
      <c r="U86" s="15" t="s">
        <v>273</v>
      </c>
      <c r="V86" s="15" t="s">
        <v>273</v>
      </c>
      <c r="W86" s="15" t="s">
        <v>273</v>
      </c>
      <c r="X86" s="15" t="s">
        <v>273</v>
      </c>
      <c r="Y86" s="15" t="s">
        <v>273</v>
      </c>
      <c r="Z86" s="15" t="s">
        <v>273</v>
      </c>
      <c r="AA86" s="15" t="s">
        <v>273</v>
      </c>
      <c r="AB86" s="15" t="s">
        <v>273</v>
      </c>
      <c r="AC86" s="15" t="s">
        <v>273</v>
      </c>
      <c r="AD86" s="15" t="s">
        <v>273</v>
      </c>
      <c r="AE86" s="15" t="s">
        <v>273</v>
      </c>
      <c r="AF86" s="15" t="s">
        <v>273</v>
      </c>
      <c r="AG86" s="15" t="s">
        <v>273</v>
      </c>
      <c r="AH86" s="15" t="s">
        <v>273</v>
      </c>
      <c r="AI86" s="15" t="s">
        <v>273</v>
      </c>
      <c r="AJ86" s="15" t="s">
        <v>273</v>
      </c>
    </row>
    <row r="87" spans="1:36">
      <c r="A87" s="15" t="s">
        <v>31</v>
      </c>
      <c r="B87" s="15" t="s">
        <v>0</v>
      </c>
      <c r="C87" s="15" t="s">
        <v>0</v>
      </c>
      <c r="D87" s="15" t="s">
        <v>0</v>
      </c>
      <c r="E87" s="15" t="s">
        <v>0</v>
      </c>
      <c r="F87" s="15" t="s">
        <v>0</v>
      </c>
      <c r="G87" s="15" t="s">
        <v>0</v>
      </c>
      <c r="H87" s="15" t="s">
        <v>0</v>
      </c>
      <c r="I87" s="15" t="s">
        <v>0</v>
      </c>
      <c r="J87" s="15" t="s">
        <v>0</v>
      </c>
      <c r="K87" s="15" t="s">
        <v>0</v>
      </c>
      <c r="L87" s="15" t="s">
        <v>0</v>
      </c>
      <c r="M87" s="15" t="s">
        <v>0</v>
      </c>
      <c r="N87" s="15" t="s">
        <v>0</v>
      </c>
      <c r="O87" s="15" t="s">
        <v>0</v>
      </c>
      <c r="P87" s="15" t="s">
        <v>0</v>
      </c>
      <c r="Q87" s="15" t="s">
        <v>0</v>
      </c>
      <c r="R87" s="15" t="s">
        <v>0</v>
      </c>
      <c r="S87" s="15" t="s">
        <v>0</v>
      </c>
      <c r="T87" s="15" t="s">
        <v>0</v>
      </c>
      <c r="U87" s="15" t="s">
        <v>0</v>
      </c>
      <c r="V87" s="15" t="s">
        <v>0</v>
      </c>
      <c r="W87" s="15" t="s">
        <v>0</v>
      </c>
      <c r="X87" s="15" t="s">
        <v>0</v>
      </c>
      <c r="Y87" s="15" t="s">
        <v>0</v>
      </c>
      <c r="Z87" s="15" t="s">
        <v>0</v>
      </c>
      <c r="AA87" s="15" t="s">
        <v>0</v>
      </c>
      <c r="AB87" s="15" t="s">
        <v>0</v>
      </c>
      <c r="AC87" s="15" t="s">
        <v>0</v>
      </c>
      <c r="AD87" s="15" t="s">
        <v>0</v>
      </c>
      <c r="AE87" s="15" t="s">
        <v>0</v>
      </c>
      <c r="AF87" s="15" t="s">
        <v>0</v>
      </c>
      <c r="AG87" s="15" t="s">
        <v>0</v>
      </c>
      <c r="AH87" s="15" t="s">
        <v>0</v>
      </c>
      <c r="AI87" s="15" t="s">
        <v>0</v>
      </c>
      <c r="AJ87" s="15" t="s">
        <v>0</v>
      </c>
    </row>
    <row r="88" spans="1:36">
      <c r="A88" s="15" t="s">
        <v>699</v>
      </c>
      <c r="B88" s="15" t="s">
        <v>273</v>
      </c>
      <c r="C88" s="15" t="s">
        <v>273</v>
      </c>
      <c r="D88" s="15" t="s">
        <v>273</v>
      </c>
      <c r="E88" s="15" t="s">
        <v>273</v>
      </c>
      <c r="F88" s="15" t="s">
        <v>273</v>
      </c>
      <c r="G88" s="15" t="s">
        <v>273</v>
      </c>
      <c r="H88" s="15" t="s">
        <v>273</v>
      </c>
      <c r="I88" s="15" t="s">
        <v>306</v>
      </c>
      <c r="J88" s="15">
        <v>13</v>
      </c>
      <c r="K88" s="15">
        <v>104</v>
      </c>
      <c r="L88" s="15">
        <v>35</v>
      </c>
      <c r="M88" s="15">
        <v>599</v>
      </c>
      <c r="N88" s="15">
        <v>684</v>
      </c>
      <c r="O88" s="15">
        <v>43</v>
      </c>
      <c r="P88" s="15">
        <v>834</v>
      </c>
      <c r="Q88" s="15">
        <v>140</v>
      </c>
      <c r="R88" s="15">
        <v>1317</v>
      </c>
      <c r="S88" s="15">
        <v>1655</v>
      </c>
      <c r="T88" s="15" t="s">
        <v>291</v>
      </c>
      <c r="U88" s="15">
        <v>1342</v>
      </c>
      <c r="V88" s="15" t="s">
        <v>273</v>
      </c>
      <c r="W88" s="15" t="s">
        <v>273</v>
      </c>
      <c r="X88" s="15" t="s">
        <v>273</v>
      </c>
      <c r="Y88" s="15" t="s">
        <v>273</v>
      </c>
      <c r="Z88" s="15" t="s">
        <v>273</v>
      </c>
      <c r="AA88" s="15" t="s">
        <v>273</v>
      </c>
      <c r="AB88" s="15" t="s">
        <v>273</v>
      </c>
      <c r="AC88" s="15" t="s">
        <v>273</v>
      </c>
      <c r="AD88" s="15" t="s">
        <v>273</v>
      </c>
      <c r="AE88" s="15" t="s">
        <v>273</v>
      </c>
      <c r="AF88" s="15" t="s">
        <v>273</v>
      </c>
      <c r="AG88" s="15" t="s">
        <v>273</v>
      </c>
      <c r="AH88" s="15" t="s">
        <v>273</v>
      </c>
      <c r="AI88" s="15" t="s">
        <v>273</v>
      </c>
      <c r="AJ88" s="15" t="s">
        <v>273</v>
      </c>
    </row>
    <row r="89" spans="1:36">
      <c r="A89" s="15" t="s">
        <v>523</v>
      </c>
      <c r="B89" s="15">
        <v>-1459</v>
      </c>
      <c r="C89" s="15">
        <v>-748</v>
      </c>
      <c r="D89" s="15">
        <v>-953</v>
      </c>
      <c r="E89" s="15">
        <v>-678</v>
      </c>
      <c r="F89" s="15">
        <v>1869</v>
      </c>
      <c r="G89" s="15">
        <v>555</v>
      </c>
      <c r="H89" s="15">
        <v>3176</v>
      </c>
      <c r="I89" s="15">
        <v>14293</v>
      </c>
      <c r="J89" s="15">
        <v>-9571</v>
      </c>
      <c r="K89" s="15">
        <v>3357</v>
      </c>
      <c r="L89" s="15">
        <v>2630</v>
      </c>
      <c r="M89" s="15">
        <v>14082</v>
      </c>
      <c r="N89" s="15">
        <v>7828</v>
      </c>
      <c r="O89" s="15">
        <v>3729</v>
      </c>
      <c r="P89" s="15">
        <v>6026</v>
      </c>
      <c r="Q89" s="15">
        <v>6156</v>
      </c>
      <c r="R89" s="15">
        <v>18898</v>
      </c>
      <c r="S89" s="15">
        <v>27392</v>
      </c>
      <c r="T89" s="15">
        <v>-7017</v>
      </c>
      <c r="U89" s="15">
        <v>14644</v>
      </c>
      <c r="V89" s="15">
        <v>18126</v>
      </c>
      <c r="W89" s="15">
        <v>5199</v>
      </c>
      <c r="X89" s="15">
        <v>10146</v>
      </c>
      <c r="Y89" s="15">
        <v>-19504</v>
      </c>
      <c r="Z89" s="15">
        <v>-3062</v>
      </c>
      <c r="AA89" s="15">
        <v>-10150</v>
      </c>
      <c r="AB89" s="15">
        <v>-16237</v>
      </c>
      <c r="AC89" s="15">
        <v>15992</v>
      </c>
      <c r="AD89" s="15">
        <v>-13059</v>
      </c>
      <c r="AE89" s="15">
        <v>18051</v>
      </c>
      <c r="AF89" s="15">
        <v>-1587</v>
      </c>
      <c r="AG89" s="15">
        <v>-4497</v>
      </c>
      <c r="AH89" s="15">
        <v>-21813</v>
      </c>
      <c r="AI89" s="15">
        <v>-12234</v>
      </c>
      <c r="AJ89" s="15">
        <v>-18593</v>
      </c>
    </row>
    <row r="90" spans="1:36">
      <c r="A90" s="15" t="s">
        <v>522</v>
      </c>
      <c r="B90" s="15">
        <v>816</v>
      </c>
      <c r="C90" s="15">
        <v>-347</v>
      </c>
      <c r="D90" s="15">
        <v>-328</v>
      </c>
      <c r="E90" s="15">
        <v>-1055</v>
      </c>
      <c r="F90" s="15">
        <v>1082</v>
      </c>
      <c r="G90" s="15">
        <v>-1161</v>
      </c>
      <c r="H90" s="15">
        <v>826</v>
      </c>
      <c r="I90" s="15">
        <v>-256</v>
      </c>
      <c r="J90" s="15">
        <v>64</v>
      </c>
      <c r="K90" s="15">
        <v>173</v>
      </c>
      <c r="L90" s="15">
        <v>460</v>
      </c>
      <c r="M90" s="15">
        <v>335</v>
      </c>
      <c r="N90" s="15">
        <v>2450</v>
      </c>
      <c r="O90" s="15">
        <v>2773</v>
      </c>
      <c r="P90" s="15">
        <v>27</v>
      </c>
      <c r="Q90" s="15">
        <v>802</v>
      </c>
      <c r="R90" s="15">
        <v>459</v>
      </c>
      <c r="S90" s="15">
        <v>2297</v>
      </c>
      <c r="T90" s="15">
        <v>860</v>
      </c>
      <c r="U90" s="15">
        <v>-260</v>
      </c>
      <c r="V90" s="15">
        <v>607</v>
      </c>
      <c r="W90" s="15">
        <v>-2348</v>
      </c>
      <c r="X90" s="15">
        <v>1483</v>
      </c>
      <c r="Y90" s="15">
        <v>-4615</v>
      </c>
      <c r="Z90" s="15">
        <v>1011</v>
      </c>
      <c r="AA90" s="15">
        <v>-3591</v>
      </c>
      <c r="AB90" s="15">
        <v>2590</v>
      </c>
      <c r="AC90" s="15">
        <v>4344</v>
      </c>
      <c r="AD90" s="15">
        <v>-3097</v>
      </c>
      <c r="AE90" s="15">
        <v>-5153</v>
      </c>
      <c r="AF90" s="15">
        <v>2613</v>
      </c>
      <c r="AG90" s="15">
        <v>-1777</v>
      </c>
      <c r="AH90" s="15">
        <v>2582</v>
      </c>
      <c r="AI90" s="15">
        <v>-2329</v>
      </c>
      <c r="AJ90" s="15">
        <v>4276</v>
      </c>
    </row>
    <row r="91" spans="1:36" ht="13">
      <c r="A91" s="1944" t="s">
        <v>7</v>
      </c>
      <c r="B91" s="1976"/>
      <c r="C91" s="1976"/>
      <c r="D91" s="1976"/>
      <c r="E91" s="1976"/>
      <c r="F91" s="1976"/>
      <c r="G91" s="1976"/>
      <c r="H91" s="1976"/>
      <c r="I91" s="1976"/>
      <c r="J91" s="1976"/>
      <c r="K91" s="1976"/>
      <c r="L91" s="1976"/>
      <c r="M91" s="1976"/>
      <c r="N91" s="1976"/>
      <c r="O91" s="1976"/>
      <c r="P91" s="1976"/>
      <c r="Q91" s="1976"/>
      <c r="R91" s="1976"/>
      <c r="S91" s="1976"/>
      <c r="T91" s="1976"/>
      <c r="U91" s="1976"/>
      <c r="V91" s="1976"/>
      <c r="W91" s="1976"/>
      <c r="X91" s="1976"/>
      <c r="Y91" s="1976"/>
      <c r="Z91" s="1976"/>
      <c r="AA91" s="1976"/>
      <c r="AB91" s="1976"/>
      <c r="AC91" s="1976"/>
      <c r="AD91" s="1976"/>
      <c r="AE91" s="1976"/>
      <c r="AF91" s="1976"/>
    </row>
    <row r="92" spans="1:36">
      <c r="A92" s="1943" t="s">
        <v>272</v>
      </c>
      <c r="B92" s="1976"/>
      <c r="C92" s="1976"/>
      <c r="D92" s="1976"/>
      <c r="E92" s="1976"/>
      <c r="F92" s="1976"/>
      <c r="G92" s="1976"/>
      <c r="H92" s="1976"/>
      <c r="I92" s="1976"/>
      <c r="J92" s="1976"/>
      <c r="K92" s="1976"/>
      <c r="L92" s="1976"/>
      <c r="M92" s="1976"/>
      <c r="N92" s="1976"/>
      <c r="O92" s="1976"/>
      <c r="P92" s="1976"/>
      <c r="Q92" s="1976"/>
      <c r="R92" s="1976"/>
      <c r="S92" s="1976"/>
      <c r="T92" s="1976"/>
      <c r="U92" s="1976"/>
      <c r="V92" s="1976"/>
      <c r="W92" s="1976"/>
      <c r="X92" s="1976"/>
      <c r="Y92" s="1976"/>
      <c r="Z92" s="1976"/>
      <c r="AA92" s="1976"/>
      <c r="AB92" s="1976"/>
      <c r="AC92" s="1976"/>
      <c r="AD92" s="1976"/>
      <c r="AE92" s="1976"/>
      <c r="AF92" s="1976"/>
    </row>
    <row r="93" spans="1:36">
      <c r="A93" s="1943" t="s">
        <v>271</v>
      </c>
      <c r="B93" s="1976"/>
      <c r="C93" s="1976"/>
      <c r="D93" s="1976"/>
      <c r="E93" s="1976"/>
      <c r="F93" s="1976"/>
      <c r="G93" s="1976"/>
      <c r="H93" s="1976"/>
      <c r="I93" s="1976"/>
      <c r="J93" s="1976"/>
      <c r="K93" s="1976"/>
      <c r="L93" s="1976"/>
      <c r="M93" s="1976"/>
      <c r="N93" s="1976"/>
      <c r="O93" s="1976"/>
      <c r="P93" s="1976"/>
      <c r="Q93" s="1976"/>
      <c r="R93" s="1976"/>
      <c r="S93" s="1976"/>
      <c r="T93" s="1976"/>
      <c r="U93" s="1976"/>
      <c r="V93" s="1976"/>
      <c r="W93" s="1976"/>
      <c r="X93" s="1976"/>
      <c r="Y93" s="1976"/>
      <c r="Z93" s="1976"/>
      <c r="AA93" s="1976"/>
      <c r="AB93" s="1976"/>
      <c r="AC93" s="1976"/>
      <c r="AD93" s="1976"/>
      <c r="AE93" s="1976"/>
      <c r="AF93" s="1976"/>
    </row>
    <row r="94" spans="1:36">
      <c r="A94" s="1943" t="s">
        <v>270</v>
      </c>
      <c r="B94" s="1976"/>
      <c r="C94" s="1976"/>
      <c r="D94" s="1976"/>
      <c r="E94" s="1976"/>
      <c r="F94" s="1976"/>
      <c r="G94" s="1976"/>
      <c r="H94" s="1976"/>
      <c r="I94" s="1976"/>
      <c r="J94" s="1976"/>
      <c r="K94" s="1976"/>
      <c r="L94" s="1976"/>
      <c r="M94" s="1976"/>
      <c r="N94" s="1976"/>
      <c r="O94" s="1976"/>
      <c r="P94" s="1976"/>
      <c r="Q94" s="1976"/>
      <c r="R94" s="1976"/>
      <c r="S94" s="1976"/>
      <c r="T94" s="1976"/>
      <c r="U94" s="1976"/>
      <c r="V94" s="1976"/>
      <c r="W94" s="1976"/>
      <c r="X94" s="1976"/>
      <c r="Y94" s="1976"/>
      <c r="Z94" s="1976"/>
      <c r="AA94" s="1976"/>
      <c r="AB94" s="1976"/>
      <c r="AC94" s="1976"/>
      <c r="AD94" s="1976"/>
      <c r="AE94" s="1976"/>
      <c r="AF94" s="1976"/>
    </row>
    <row r="95" spans="1:36">
      <c r="A95" s="1943" t="s">
        <v>269</v>
      </c>
      <c r="B95" s="1976"/>
      <c r="C95" s="1976"/>
      <c r="D95" s="1976"/>
      <c r="E95" s="1976"/>
      <c r="F95" s="1976"/>
      <c r="G95" s="1976"/>
      <c r="H95" s="1976"/>
      <c r="I95" s="1976"/>
      <c r="J95" s="1976"/>
      <c r="K95" s="1976"/>
      <c r="L95" s="1976"/>
      <c r="M95" s="1976"/>
      <c r="N95" s="1976"/>
      <c r="O95" s="1976"/>
      <c r="P95" s="1976"/>
      <c r="Q95" s="1976"/>
      <c r="R95" s="1976"/>
      <c r="S95" s="1976"/>
      <c r="T95" s="1976"/>
      <c r="U95" s="1976"/>
      <c r="V95" s="1976"/>
      <c r="W95" s="1976"/>
      <c r="X95" s="1976"/>
      <c r="Y95" s="1976"/>
      <c r="Z95" s="1976"/>
      <c r="AA95" s="1976"/>
      <c r="AB95" s="1976"/>
      <c r="AC95" s="1976"/>
      <c r="AD95" s="1976"/>
      <c r="AE95" s="1976"/>
      <c r="AF95" s="1976"/>
    </row>
    <row r="96" spans="1:36">
      <c r="A96" s="1943" t="s">
        <v>268</v>
      </c>
      <c r="B96" s="1976"/>
      <c r="C96" s="1976"/>
      <c r="D96" s="1976"/>
      <c r="E96" s="1976"/>
      <c r="F96" s="1976"/>
      <c r="G96" s="1976"/>
      <c r="H96" s="1976"/>
      <c r="I96" s="1976"/>
      <c r="J96" s="1976"/>
      <c r="K96" s="1976"/>
      <c r="L96" s="1976"/>
      <c r="M96" s="1976"/>
      <c r="N96" s="1976"/>
      <c r="O96" s="1976"/>
      <c r="P96" s="1976"/>
      <c r="Q96" s="1976"/>
      <c r="R96" s="1976"/>
      <c r="S96" s="1976"/>
      <c r="T96" s="1976"/>
      <c r="U96" s="1976"/>
      <c r="V96" s="1976"/>
      <c r="W96" s="1976"/>
      <c r="X96" s="1976"/>
      <c r="Y96" s="1976"/>
      <c r="Z96" s="1976"/>
      <c r="AA96" s="1976"/>
      <c r="AB96" s="1976"/>
      <c r="AC96" s="1976"/>
      <c r="AD96" s="1976"/>
      <c r="AE96" s="1976"/>
      <c r="AF96" s="1976"/>
    </row>
    <row r="97" spans="1:32">
      <c r="A97" s="1943" t="s">
        <v>267</v>
      </c>
      <c r="B97" s="1976"/>
      <c r="C97" s="1976"/>
      <c r="D97" s="1976"/>
      <c r="E97" s="1976"/>
      <c r="F97" s="1976"/>
      <c r="G97" s="1976"/>
      <c r="H97" s="1976"/>
      <c r="I97" s="1976"/>
      <c r="J97" s="1976"/>
      <c r="K97" s="1976"/>
      <c r="L97" s="1976"/>
      <c r="M97" s="1976"/>
      <c r="N97" s="1976"/>
      <c r="O97" s="1976"/>
      <c r="P97" s="1976"/>
      <c r="Q97" s="1976"/>
      <c r="R97" s="1976"/>
      <c r="S97" s="1976"/>
      <c r="T97" s="1976"/>
      <c r="U97" s="1976"/>
      <c r="V97" s="1976"/>
      <c r="W97" s="1976"/>
      <c r="X97" s="1976"/>
      <c r="Y97" s="1976"/>
      <c r="Z97" s="1976"/>
      <c r="AA97" s="1976"/>
      <c r="AB97" s="1976"/>
      <c r="AC97" s="1976"/>
      <c r="AD97" s="1976"/>
      <c r="AE97" s="1976"/>
      <c r="AF97" s="1976"/>
    </row>
    <row r="98" spans="1:32">
      <c r="A98" s="1943" t="s">
        <v>266</v>
      </c>
      <c r="B98" s="1976"/>
      <c r="C98" s="1976"/>
      <c r="D98" s="1976"/>
      <c r="E98" s="1976"/>
      <c r="F98" s="1976"/>
      <c r="G98" s="1976"/>
      <c r="H98" s="1976"/>
      <c r="I98" s="1976"/>
      <c r="J98" s="1976"/>
      <c r="K98" s="1976"/>
      <c r="L98" s="1976"/>
      <c r="M98" s="1976"/>
      <c r="N98" s="1976"/>
      <c r="O98" s="1976"/>
      <c r="P98" s="1976"/>
      <c r="Q98" s="1976"/>
      <c r="R98" s="1976"/>
      <c r="S98" s="1976"/>
      <c r="T98" s="1976"/>
      <c r="U98" s="1976"/>
      <c r="V98" s="1976"/>
      <c r="W98" s="1976"/>
      <c r="X98" s="1976"/>
      <c r="Y98" s="1976"/>
      <c r="Z98" s="1976"/>
      <c r="AA98" s="1976"/>
      <c r="AB98" s="1976"/>
      <c r="AC98" s="1976"/>
      <c r="AD98" s="1976"/>
      <c r="AE98" s="1976"/>
      <c r="AF98" s="1976"/>
    </row>
    <row r="99" spans="1:32">
      <c r="A99" s="1943" t="s">
        <v>521</v>
      </c>
      <c r="B99" s="1976"/>
      <c r="C99" s="1976"/>
      <c r="D99" s="1976"/>
      <c r="E99" s="1976"/>
      <c r="F99" s="1976"/>
      <c r="G99" s="1976"/>
      <c r="H99" s="1976"/>
      <c r="I99" s="1976"/>
      <c r="J99" s="1976"/>
      <c r="K99" s="1976"/>
      <c r="L99" s="1976"/>
      <c r="M99" s="1976"/>
      <c r="N99" s="1976"/>
      <c r="O99" s="1976"/>
      <c r="P99" s="1976"/>
      <c r="Q99" s="1976"/>
      <c r="R99" s="1976"/>
      <c r="S99" s="1976"/>
      <c r="T99" s="1976"/>
      <c r="U99" s="1976"/>
      <c r="V99" s="1976"/>
      <c r="W99" s="1976"/>
      <c r="X99" s="1976"/>
      <c r="Y99" s="1976"/>
      <c r="Z99" s="1976"/>
      <c r="AA99" s="1976"/>
      <c r="AB99" s="1976"/>
      <c r="AC99" s="1976"/>
      <c r="AD99" s="1976"/>
      <c r="AE99" s="1976"/>
      <c r="AF99" s="1976"/>
    </row>
    <row r="100" spans="1:32">
      <c r="A100" s="1943" t="s">
        <v>520</v>
      </c>
      <c r="B100" s="1976"/>
      <c r="C100" s="1976"/>
      <c r="D100" s="1976"/>
      <c r="E100" s="1976"/>
      <c r="F100" s="1976"/>
      <c r="G100" s="1976"/>
      <c r="H100" s="1976"/>
      <c r="I100" s="1976"/>
      <c r="J100" s="1976"/>
      <c r="K100" s="1976"/>
      <c r="L100" s="1976"/>
      <c r="M100" s="1976"/>
      <c r="N100" s="1976"/>
      <c r="O100" s="1976"/>
      <c r="P100" s="1976"/>
      <c r="Q100" s="1976"/>
      <c r="R100" s="1976"/>
      <c r="S100" s="1976"/>
      <c r="T100" s="1976"/>
      <c r="U100" s="1976"/>
      <c r="V100" s="1976"/>
      <c r="W100" s="1976"/>
      <c r="X100" s="1976"/>
      <c r="Y100" s="1976"/>
      <c r="Z100" s="1976"/>
      <c r="AA100" s="1976"/>
      <c r="AB100" s="1976"/>
      <c r="AC100" s="1976"/>
      <c r="AD100" s="1976"/>
      <c r="AE100" s="1976"/>
      <c r="AF100" s="1976"/>
    </row>
    <row r="101" spans="1:32">
      <c r="A101" s="1943" t="s">
        <v>265</v>
      </c>
      <c r="B101" s="1976"/>
      <c r="C101" s="1976"/>
      <c r="D101" s="1976"/>
      <c r="E101" s="1976"/>
      <c r="F101" s="1976"/>
      <c r="G101" s="1976"/>
      <c r="H101" s="1976"/>
      <c r="I101" s="1976"/>
      <c r="J101" s="1976"/>
      <c r="K101" s="1976"/>
      <c r="L101" s="1976"/>
      <c r="M101" s="1976"/>
      <c r="N101" s="1976"/>
      <c r="O101" s="1976"/>
      <c r="P101" s="1976"/>
      <c r="Q101" s="1976"/>
      <c r="R101" s="1976"/>
      <c r="S101" s="1976"/>
      <c r="T101" s="1976"/>
      <c r="U101" s="1976"/>
      <c r="V101" s="1976"/>
      <c r="W101" s="1976"/>
      <c r="X101" s="1976"/>
      <c r="Y101" s="1976"/>
      <c r="Z101" s="1976"/>
      <c r="AA101" s="1976"/>
      <c r="AB101" s="1976"/>
      <c r="AC101" s="1976"/>
      <c r="AD101" s="1976"/>
      <c r="AE101" s="1976"/>
      <c r="AF101" s="1976"/>
    </row>
    <row r="102" spans="1:32">
      <c r="A102" s="1943" t="s">
        <v>264</v>
      </c>
      <c r="B102" s="1976"/>
      <c r="C102" s="1976"/>
      <c r="D102" s="1976"/>
      <c r="E102" s="1976"/>
      <c r="F102" s="1976"/>
      <c r="G102" s="1976"/>
      <c r="H102" s="1976"/>
      <c r="I102" s="1976"/>
      <c r="J102" s="1976"/>
      <c r="K102" s="1976"/>
      <c r="L102" s="1976"/>
      <c r="M102" s="1976"/>
      <c r="N102" s="1976"/>
      <c r="O102" s="1976"/>
      <c r="P102" s="1976"/>
      <c r="Q102" s="1976"/>
      <c r="R102" s="1976"/>
      <c r="S102" s="1976"/>
      <c r="T102" s="1976"/>
      <c r="U102" s="1976"/>
      <c r="V102" s="1976"/>
      <c r="W102" s="1976"/>
      <c r="X102" s="1976"/>
      <c r="Y102" s="1976"/>
      <c r="Z102" s="1976"/>
      <c r="AA102" s="1976"/>
      <c r="AB102" s="1976"/>
      <c r="AC102" s="1976"/>
      <c r="AD102" s="1976"/>
      <c r="AE102" s="1976"/>
      <c r="AF102" s="1976"/>
    </row>
    <row r="103" spans="1:32">
      <c r="A103" s="1943" t="s">
        <v>263</v>
      </c>
      <c r="B103" s="1976"/>
      <c r="C103" s="1976"/>
      <c r="D103" s="1976"/>
      <c r="E103" s="1976"/>
      <c r="F103" s="1976"/>
      <c r="G103" s="1976"/>
      <c r="H103" s="1976"/>
      <c r="I103" s="1976"/>
      <c r="J103" s="1976"/>
      <c r="K103" s="1976"/>
      <c r="L103" s="1976"/>
      <c r="M103" s="1976"/>
      <c r="N103" s="1976"/>
      <c r="O103" s="1976"/>
      <c r="P103" s="1976"/>
      <c r="Q103" s="1976"/>
      <c r="R103" s="1976"/>
      <c r="S103" s="1976"/>
      <c r="T103" s="1976"/>
      <c r="U103" s="1976"/>
      <c r="V103" s="1976"/>
      <c r="W103" s="1976"/>
      <c r="X103" s="1976"/>
      <c r="Y103" s="1976"/>
      <c r="Z103" s="1976"/>
      <c r="AA103" s="1976"/>
      <c r="AB103" s="1976"/>
      <c r="AC103" s="1976"/>
      <c r="AD103" s="1976"/>
      <c r="AE103" s="1976"/>
      <c r="AF103" s="1976"/>
    </row>
    <row r="104" spans="1:32">
      <c r="A104" s="1943" t="s">
        <v>262</v>
      </c>
      <c r="B104" s="1976"/>
      <c r="C104" s="1976"/>
      <c r="D104" s="1976"/>
      <c r="E104" s="1976"/>
      <c r="F104" s="1976"/>
      <c r="G104" s="1976"/>
      <c r="H104" s="1976"/>
      <c r="I104" s="1976"/>
      <c r="J104" s="1976"/>
      <c r="K104" s="1976"/>
      <c r="L104" s="1976"/>
      <c r="M104" s="1976"/>
      <c r="N104" s="1976"/>
      <c r="O104" s="1976"/>
      <c r="P104" s="1976"/>
      <c r="Q104" s="1976"/>
      <c r="R104" s="1976"/>
      <c r="S104" s="1976"/>
      <c r="T104" s="1976"/>
      <c r="U104" s="1976"/>
      <c r="V104" s="1976"/>
      <c r="W104" s="1976"/>
      <c r="X104" s="1976"/>
      <c r="Y104" s="1976"/>
      <c r="Z104" s="1976"/>
      <c r="AA104" s="1976"/>
      <c r="AB104" s="1976"/>
      <c r="AC104" s="1976"/>
      <c r="AD104" s="1976"/>
      <c r="AE104" s="1976"/>
      <c r="AF104" s="1976"/>
    </row>
  </sheetData>
  <mergeCells count="51">
    <mergeCell ref="A100:AF100"/>
    <mergeCell ref="A101:AF101"/>
    <mergeCell ref="A102:AF102"/>
    <mergeCell ref="A103:AF103"/>
    <mergeCell ref="A104:AF104"/>
    <mergeCell ref="A99:AF99"/>
    <mergeCell ref="AD7"/>
    <mergeCell ref="AE7"/>
    <mergeCell ref="AF7"/>
    <mergeCell ref="A91:AF91"/>
    <mergeCell ref="A92:AF92"/>
    <mergeCell ref="A93:AF93"/>
    <mergeCell ref="X7"/>
    <mergeCell ref="Y7"/>
    <mergeCell ref="Z7"/>
    <mergeCell ref="A94:AF94"/>
    <mergeCell ref="A95:AF95"/>
    <mergeCell ref="A96:AF96"/>
    <mergeCell ref="A97:AF97"/>
    <mergeCell ref="A98:AF98"/>
    <mergeCell ref="Q7"/>
    <mergeCell ref="AA7"/>
    <mergeCell ref="AB7"/>
    <mergeCell ref="AC7"/>
    <mergeCell ref="R7"/>
    <mergeCell ref="S7"/>
    <mergeCell ref="T7"/>
    <mergeCell ref="U7"/>
    <mergeCell ref="V7"/>
    <mergeCell ref="W7"/>
    <mergeCell ref="L7"/>
    <mergeCell ref="M7"/>
    <mergeCell ref="N7"/>
    <mergeCell ref="O7"/>
    <mergeCell ref="P7"/>
    <mergeCell ref="A1:AF1"/>
    <mergeCell ref="A2:AF2"/>
    <mergeCell ref="A3:AF3"/>
    <mergeCell ref="A4:AF4"/>
    <mergeCell ref="A6:A7"/>
    <mergeCell ref="B6:AF6"/>
    <mergeCell ref="B7"/>
    <mergeCell ref="C7"/>
    <mergeCell ref="D7"/>
    <mergeCell ref="E7"/>
    <mergeCell ref="F7"/>
    <mergeCell ref="G7"/>
    <mergeCell ref="H7"/>
    <mergeCell ref="I7"/>
    <mergeCell ref="J7"/>
    <mergeCell ref="K7"/>
  </mergeCell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54"/>
  <sheetViews>
    <sheetView zoomScale="150" zoomScaleNormal="150" zoomScalePageLayoutView="150" workbookViewId="0">
      <pane xSplit="1" ySplit="7" topLeftCell="B55"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30.42578125" style="15" bestFit="1" customWidth="1"/>
    <col min="2" max="16384" width="7.5703125" style="15"/>
  </cols>
  <sheetData>
    <row r="1" spans="1:36" ht="17">
      <c r="A1" s="1978" t="s">
        <v>711</v>
      </c>
      <c r="B1" s="1976"/>
      <c r="C1" s="1976"/>
      <c r="D1" s="1976"/>
      <c r="E1" s="1976"/>
      <c r="F1" s="1976"/>
      <c r="G1" s="1976"/>
      <c r="H1" s="1976"/>
      <c r="I1" s="1976"/>
      <c r="J1" s="1976"/>
      <c r="K1" s="1976"/>
      <c r="L1" s="1976"/>
      <c r="M1" s="1976"/>
      <c r="N1" s="1976"/>
      <c r="O1" s="1976"/>
      <c r="P1" s="1976"/>
      <c r="Q1" s="1976"/>
      <c r="R1" s="1976"/>
      <c r="S1" s="1976"/>
      <c r="T1" s="1976"/>
      <c r="U1" s="1976"/>
      <c r="V1" s="1976"/>
      <c r="W1" s="1976"/>
      <c r="X1" s="1976"/>
      <c r="Y1" s="1976"/>
      <c r="Z1" s="1976"/>
      <c r="AA1" s="1976"/>
      <c r="AB1" s="1976"/>
      <c r="AC1" s="1976"/>
      <c r="AD1" s="1976"/>
      <c r="AE1" s="1976"/>
      <c r="AF1" s="1976"/>
    </row>
    <row r="2" spans="1:36" ht="16">
      <c r="A2" s="1979" t="s">
        <v>514</v>
      </c>
      <c r="B2" s="1976"/>
      <c r="C2" s="1976"/>
      <c r="D2" s="1976"/>
      <c r="E2" s="1976"/>
      <c r="F2" s="1976"/>
      <c r="G2" s="1976"/>
      <c r="H2" s="1976"/>
      <c r="I2" s="1976"/>
      <c r="J2" s="1976"/>
      <c r="K2" s="1976"/>
      <c r="L2" s="1976"/>
      <c r="M2" s="1976"/>
      <c r="N2" s="1976"/>
      <c r="O2" s="1976"/>
      <c r="P2" s="1976"/>
      <c r="Q2" s="1976"/>
      <c r="R2" s="1976"/>
      <c r="S2" s="1976"/>
      <c r="T2" s="1976"/>
      <c r="U2" s="1976"/>
      <c r="V2" s="1976"/>
      <c r="W2" s="1976"/>
      <c r="X2" s="1976"/>
      <c r="Y2" s="1976"/>
      <c r="Z2" s="1976"/>
      <c r="AA2" s="1976"/>
      <c r="AB2" s="1976"/>
      <c r="AC2" s="1976"/>
      <c r="AD2" s="1976"/>
      <c r="AE2" s="1976"/>
      <c r="AF2" s="1976"/>
    </row>
    <row r="3" spans="1:36">
      <c r="A3" s="1976" t="s">
        <v>160</v>
      </c>
      <c r="B3" s="1976"/>
      <c r="C3" s="1976"/>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row>
    <row r="4" spans="1:36">
      <c r="A4" s="1976" t="s">
        <v>513</v>
      </c>
      <c r="B4" s="1976"/>
      <c r="C4" s="1976"/>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row>
    <row r="6" spans="1:36">
      <c r="A6" s="1977" t="s">
        <v>0</v>
      </c>
      <c r="B6" s="1977" t="s">
        <v>512</v>
      </c>
      <c r="C6" s="1977"/>
      <c r="D6" s="1977"/>
      <c r="E6" s="1977"/>
      <c r="F6" s="1977"/>
      <c r="G6" s="1977"/>
      <c r="H6" s="1977"/>
      <c r="I6" s="1977"/>
      <c r="J6" s="1977"/>
      <c r="K6" s="1977"/>
      <c r="L6" s="1977"/>
      <c r="M6" s="1977"/>
      <c r="N6" s="1977"/>
      <c r="O6" s="1977"/>
      <c r="P6" s="1977"/>
      <c r="Q6" s="1977"/>
      <c r="R6" s="1977"/>
      <c r="S6" s="1977"/>
      <c r="T6" s="1977"/>
      <c r="U6" s="1977"/>
      <c r="V6" s="1977"/>
      <c r="W6" s="1977"/>
      <c r="X6" s="1977"/>
      <c r="Y6" s="1977"/>
      <c r="Z6" s="1977"/>
      <c r="AA6" s="1977"/>
      <c r="AB6" s="1977"/>
      <c r="AC6" s="1977"/>
      <c r="AD6" s="1977"/>
      <c r="AE6" s="1977"/>
      <c r="AF6" s="1977"/>
    </row>
    <row r="7" spans="1:36">
      <c r="A7" s="1977"/>
      <c r="B7" s="1977" t="s">
        <v>105</v>
      </c>
      <c r="C7" s="1977" t="s">
        <v>104</v>
      </c>
      <c r="D7" s="1977" t="s">
        <v>103</v>
      </c>
      <c r="E7" s="1977" t="s">
        <v>102</v>
      </c>
      <c r="F7" s="1977" t="s">
        <v>101</v>
      </c>
      <c r="G7" s="1977" t="s">
        <v>100</v>
      </c>
      <c r="H7" s="1977" t="s">
        <v>99</v>
      </c>
      <c r="I7" s="1977" t="s">
        <v>98</v>
      </c>
      <c r="J7" s="1977" t="s">
        <v>97</v>
      </c>
      <c r="K7" s="1977" t="s">
        <v>96</v>
      </c>
      <c r="L7" s="1977" t="s">
        <v>95</v>
      </c>
      <c r="M7" s="1977" t="s">
        <v>94</v>
      </c>
      <c r="N7" s="1977" t="s">
        <v>93</v>
      </c>
      <c r="O7" s="1977" t="s">
        <v>92</v>
      </c>
      <c r="P7" s="1977" t="s">
        <v>91</v>
      </c>
      <c r="Q7" s="1977" t="s">
        <v>90</v>
      </c>
      <c r="R7" s="1977" t="s">
        <v>89</v>
      </c>
      <c r="S7" s="1977" t="s">
        <v>88</v>
      </c>
      <c r="T7" s="1977" t="s">
        <v>87</v>
      </c>
      <c r="U7" s="1977" t="s">
        <v>86</v>
      </c>
      <c r="V7" s="1977" t="s">
        <v>85</v>
      </c>
      <c r="W7" s="1977" t="s">
        <v>84</v>
      </c>
      <c r="X7" s="1977" t="s">
        <v>83</v>
      </c>
      <c r="Y7" s="1977" t="s">
        <v>82</v>
      </c>
      <c r="Z7" s="1977" t="s">
        <v>81</v>
      </c>
      <c r="AA7" s="1977" t="s">
        <v>80</v>
      </c>
      <c r="AB7" s="1977" t="s">
        <v>79</v>
      </c>
      <c r="AC7" s="285">
        <v>2009</v>
      </c>
      <c r="AD7" s="285">
        <v>2010</v>
      </c>
      <c r="AE7" s="285">
        <v>2011</v>
      </c>
      <c r="AF7" s="285">
        <v>2012</v>
      </c>
      <c r="AG7" s="15">
        <v>2013</v>
      </c>
      <c r="AH7" s="15">
        <v>2014</v>
      </c>
      <c r="AI7" s="15">
        <v>2015</v>
      </c>
      <c r="AJ7" s="15">
        <v>2016</v>
      </c>
    </row>
    <row r="8" spans="1:36">
      <c r="A8" s="15" t="s">
        <v>511</v>
      </c>
      <c r="B8" s="15">
        <v>207752</v>
      </c>
      <c r="C8" s="15">
        <v>212150</v>
      </c>
      <c r="D8" s="15">
        <v>218093</v>
      </c>
      <c r="E8" s="15">
        <v>238369</v>
      </c>
      <c r="F8" s="15">
        <v>270472</v>
      </c>
      <c r="G8" s="15">
        <v>326253</v>
      </c>
      <c r="H8" s="15">
        <v>347179</v>
      </c>
      <c r="I8" s="15">
        <v>381781</v>
      </c>
      <c r="J8" s="15">
        <v>430521</v>
      </c>
      <c r="K8" s="15">
        <v>467844</v>
      </c>
      <c r="L8" s="15">
        <v>502063</v>
      </c>
      <c r="M8" s="15">
        <v>564283</v>
      </c>
      <c r="N8" s="15">
        <v>612893</v>
      </c>
      <c r="O8" s="15">
        <v>699015</v>
      </c>
      <c r="P8" s="15">
        <v>795195</v>
      </c>
      <c r="Q8" s="15">
        <v>871316</v>
      </c>
      <c r="R8" s="15">
        <v>1000703</v>
      </c>
      <c r="S8" s="15">
        <v>1215960</v>
      </c>
      <c r="T8" s="15">
        <v>1316247</v>
      </c>
      <c r="U8" s="15">
        <v>1460352</v>
      </c>
      <c r="V8" s="15">
        <v>1616548</v>
      </c>
      <c r="W8" s="15">
        <v>1769613</v>
      </c>
      <c r="X8" s="15">
        <v>2160844</v>
      </c>
      <c r="Y8" s="15">
        <v>2241656</v>
      </c>
      <c r="Z8" s="15">
        <v>2477268</v>
      </c>
      <c r="AA8" s="15">
        <v>2993980</v>
      </c>
      <c r="AB8" s="15">
        <v>3232493</v>
      </c>
      <c r="AC8" s="284">
        <v>3565020</v>
      </c>
      <c r="AD8" s="284">
        <v>3741910</v>
      </c>
      <c r="AE8" s="284">
        <v>4050026</v>
      </c>
      <c r="AF8" s="284">
        <v>4410015</v>
      </c>
      <c r="AG8" s="15">
        <v>4579713</v>
      </c>
      <c r="AH8" s="15">
        <v>4910065</v>
      </c>
      <c r="AI8" s="15">
        <v>5048773</v>
      </c>
      <c r="AJ8" s="15">
        <v>5332225</v>
      </c>
    </row>
    <row r="9" spans="1:36">
      <c r="A9" s="15" t="s">
        <v>510</v>
      </c>
      <c r="B9" s="15">
        <v>43511</v>
      </c>
      <c r="C9" s="15">
        <v>44779</v>
      </c>
      <c r="D9" s="15">
        <v>47498</v>
      </c>
      <c r="E9" s="15">
        <v>47934</v>
      </c>
      <c r="F9" s="15">
        <v>52006</v>
      </c>
      <c r="G9" s="15">
        <v>59145</v>
      </c>
      <c r="H9" s="15">
        <v>63900</v>
      </c>
      <c r="I9" s="15">
        <v>63948</v>
      </c>
      <c r="J9" s="15">
        <v>69508</v>
      </c>
      <c r="K9" s="15">
        <v>70711</v>
      </c>
      <c r="L9" s="15">
        <v>68690</v>
      </c>
      <c r="M9" s="15">
        <v>69922</v>
      </c>
      <c r="N9" s="15">
        <v>74221</v>
      </c>
      <c r="O9" s="15">
        <v>83498</v>
      </c>
      <c r="P9" s="15">
        <v>89592</v>
      </c>
      <c r="Q9" s="15">
        <v>96626</v>
      </c>
      <c r="R9" s="15">
        <v>98200</v>
      </c>
      <c r="S9" s="15">
        <v>119590</v>
      </c>
      <c r="T9" s="15">
        <v>132472</v>
      </c>
      <c r="U9" s="15">
        <v>152601</v>
      </c>
      <c r="V9" s="15">
        <v>166473</v>
      </c>
      <c r="W9" s="15">
        <v>187953</v>
      </c>
      <c r="X9" s="15">
        <v>214931</v>
      </c>
      <c r="Y9" s="15">
        <v>231836</v>
      </c>
      <c r="Z9" s="15">
        <v>205134</v>
      </c>
      <c r="AA9" s="15">
        <v>250642</v>
      </c>
      <c r="AB9" s="15">
        <v>246483</v>
      </c>
      <c r="AC9" s="284">
        <v>274807</v>
      </c>
      <c r="AD9" s="284">
        <v>295206</v>
      </c>
      <c r="AE9" s="284">
        <v>330041</v>
      </c>
      <c r="AF9" s="284">
        <v>366709</v>
      </c>
      <c r="AG9" s="15">
        <v>370259</v>
      </c>
      <c r="AH9" s="15">
        <v>357439</v>
      </c>
      <c r="AI9" s="15">
        <v>346746</v>
      </c>
      <c r="AJ9" s="15">
        <v>363914</v>
      </c>
    </row>
    <row r="10" spans="1:36">
      <c r="A10" s="15" t="s">
        <v>2</v>
      </c>
      <c r="B10" s="15">
        <v>92449</v>
      </c>
      <c r="C10" s="15">
        <v>94400</v>
      </c>
      <c r="D10" s="15">
        <v>94388</v>
      </c>
      <c r="E10" s="15">
        <v>108664</v>
      </c>
      <c r="F10" s="15">
        <v>125613</v>
      </c>
      <c r="G10" s="15">
        <v>156003</v>
      </c>
      <c r="H10" s="15">
        <v>163138</v>
      </c>
      <c r="I10" s="15">
        <v>189467</v>
      </c>
      <c r="J10" s="15">
        <v>214739</v>
      </c>
      <c r="K10" s="15">
        <v>235163</v>
      </c>
      <c r="L10" s="15">
        <v>248744</v>
      </c>
      <c r="M10" s="15">
        <v>285735</v>
      </c>
      <c r="N10" s="15">
        <v>297133</v>
      </c>
      <c r="O10" s="15">
        <v>344596</v>
      </c>
      <c r="P10" s="15">
        <v>389378</v>
      </c>
      <c r="Q10" s="15">
        <v>425139</v>
      </c>
      <c r="R10" s="15">
        <v>518433</v>
      </c>
      <c r="S10" s="15">
        <v>627754</v>
      </c>
      <c r="T10" s="15">
        <v>687320</v>
      </c>
      <c r="U10" s="15">
        <v>771936</v>
      </c>
      <c r="V10" s="15">
        <v>859378</v>
      </c>
      <c r="W10" s="15">
        <v>976889</v>
      </c>
      <c r="X10" s="15">
        <v>1180130</v>
      </c>
      <c r="Y10" s="15">
        <v>1210679</v>
      </c>
      <c r="Z10" s="15">
        <v>1397704</v>
      </c>
      <c r="AA10" s="15">
        <v>1682023</v>
      </c>
      <c r="AB10" s="15">
        <v>1844182</v>
      </c>
      <c r="AC10" s="284">
        <v>1991191</v>
      </c>
      <c r="AD10" s="284">
        <v>2034559</v>
      </c>
      <c r="AE10" s="284">
        <v>2246394</v>
      </c>
      <c r="AF10" s="284">
        <v>2445652</v>
      </c>
      <c r="AG10" s="15">
        <v>2604776</v>
      </c>
      <c r="AH10" s="15">
        <v>2796982</v>
      </c>
      <c r="AI10" s="15">
        <v>2919510</v>
      </c>
      <c r="AJ10" s="15">
        <v>3174885</v>
      </c>
    </row>
    <row r="11" spans="1:36">
      <c r="A11" s="15" t="s">
        <v>509</v>
      </c>
      <c r="B11" s="15">
        <v>562</v>
      </c>
      <c r="C11" s="15">
        <v>548</v>
      </c>
      <c r="D11" s="15">
        <v>534</v>
      </c>
      <c r="E11" s="15">
        <v>509</v>
      </c>
      <c r="F11" s="15">
        <v>736</v>
      </c>
      <c r="G11" s="15">
        <v>711</v>
      </c>
      <c r="H11" s="15">
        <v>697</v>
      </c>
      <c r="I11" s="15">
        <v>962</v>
      </c>
      <c r="J11" s="15">
        <v>1113</v>
      </c>
      <c r="K11" s="15">
        <v>1268</v>
      </c>
      <c r="L11" s="15">
        <v>1371</v>
      </c>
      <c r="M11" s="15">
        <v>1312</v>
      </c>
      <c r="N11" s="15">
        <v>2197</v>
      </c>
      <c r="O11" s="15">
        <v>2829</v>
      </c>
      <c r="P11" s="15">
        <v>2854</v>
      </c>
      <c r="Q11" s="15">
        <v>2646</v>
      </c>
      <c r="R11" s="15">
        <v>3856</v>
      </c>
      <c r="S11" s="15">
        <v>3848</v>
      </c>
      <c r="T11" s="15">
        <v>2872</v>
      </c>
      <c r="U11" s="15">
        <v>3964</v>
      </c>
      <c r="V11" s="15">
        <v>4011</v>
      </c>
      <c r="W11" s="15">
        <v>6366</v>
      </c>
      <c r="X11" s="15">
        <v>9264</v>
      </c>
      <c r="Y11" s="15">
        <v>11236</v>
      </c>
      <c r="Z11" s="15">
        <v>14897</v>
      </c>
      <c r="AA11" s="15">
        <v>14646</v>
      </c>
      <c r="AB11" s="15">
        <v>13546</v>
      </c>
      <c r="AC11" s="284">
        <v>10954</v>
      </c>
      <c r="AD11" s="284">
        <v>11485</v>
      </c>
      <c r="AE11" s="284">
        <v>12556</v>
      </c>
      <c r="AF11" s="284">
        <v>14327</v>
      </c>
      <c r="AG11" s="15">
        <v>15630</v>
      </c>
      <c r="AH11" s="15">
        <v>10118</v>
      </c>
      <c r="AI11" s="15">
        <v>11814</v>
      </c>
      <c r="AJ11" s="15">
        <v>15891</v>
      </c>
    </row>
    <row r="12" spans="1:36">
      <c r="A12" s="15" t="s">
        <v>508</v>
      </c>
      <c r="B12" s="15">
        <v>5549</v>
      </c>
      <c r="C12" s="15">
        <v>5087</v>
      </c>
      <c r="D12" s="15">
        <v>5202</v>
      </c>
      <c r="E12" s="15">
        <v>5619</v>
      </c>
      <c r="F12" s="15">
        <v>5568</v>
      </c>
      <c r="G12" s="15">
        <v>7719</v>
      </c>
      <c r="H12" s="15">
        <v>7830</v>
      </c>
      <c r="I12" s="15">
        <v>7710</v>
      </c>
      <c r="J12" s="15">
        <v>9464</v>
      </c>
      <c r="K12" s="15">
        <v>10611</v>
      </c>
      <c r="L12" s="15">
        <v>11381</v>
      </c>
      <c r="M12" s="15">
        <v>11697</v>
      </c>
      <c r="N12" s="15">
        <v>14714</v>
      </c>
      <c r="O12" s="15">
        <v>18706</v>
      </c>
      <c r="P12" s="15">
        <v>18740</v>
      </c>
      <c r="Q12" s="15">
        <v>17337</v>
      </c>
      <c r="R12" s="15">
        <v>17899</v>
      </c>
      <c r="S12" s="15">
        <v>21756</v>
      </c>
      <c r="T12" s="15">
        <v>17973</v>
      </c>
      <c r="U12" s="15">
        <v>22589</v>
      </c>
      <c r="V12" s="15">
        <v>25727</v>
      </c>
      <c r="W12" s="15">
        <v>27415</v>
      </c>
      <c r="X12" s="15">
        <v>41840</v>
      </c>
      <c r="Y12" s="15">
        <v>49306</v>
      </c>
      <c r="Z12" s="15">
        <v>51862</v>
      </c>
      <c r="AA12" s="15">
        <v>62491</v>
      </c>
      <c r="AB12" s="15">
        <v>65279</v>
      </c>
      <c r="AC12" s="284">
        <v>46610</v>
      </c>
      <c r="AD12" s="284">
        <v>43975</v>
      </c>
      <c r="AE12" s="284">
        <v>50984</v>
      </c>
      <c r="AF12" s="284">
        <v>49144</v>
      </c>
      <c r="AG12" s="15">
        <v>51966</v>
      </c>
      <c r="AH12" s="15">
        <v>48314</v>
      </c>
      <c r="AI12" s="15">
        <v>46120</v>
      </c>
      <c r="AJ12" s="15">
        <v>55822</v>
      </c>
    </row>
    <row r="13" spans="1:36">
      <c r="A13" s="15" t="s">
        <v>507</v>
      </c>
      <c r="B13" s="15" t="s">
        <v>273</v>
      </c>
      <c r="C13" s="15" t="s">
        <v>273</v>
      </c>
      <c r="D13" s="15" t="s">
        <v>273</v>
      </c>
      <c r="E13" s="15" t="s">
        <v>273</v>
      </c>
      <c r="F13" s="15" t="s">
        <v>273</v>
      </c>
      <c r="G13" s="15" t="s">
        <v>273</v>
      </c>
      <c r="H13" s="15" t="s">
        <v>273</v>
      </c>
      <c r="I13" s="15" t="s">
        <v>273</v>
      </c>
      <c r="J13" s="15" t="s">
        <v>273</v>
      </c>
      <c r="K13" s="15" t="s">
        <v>273</v>
      </c>
      <c r="L13" s="15" t="s">
        <v>273</v>
      </c>
      <c r="M13" s="15" t="s">
        <v>273</v>
      </c>
      <c r="N13" s="15" t="s">
        <v>273</v>
      </c>
      <c r="O13" s="15" t="s">
        <v>273</v>
      </c>
      <c r="P13" s="15" t="s">
        <v>273</v>
      </c>
      <c r="Q13" s="15" t="s">
        <v>273</v>
      </c>
      <c r="R13" s="15" t="s">
        <v>273</v>
      </c>
      <c r="S13" s="15">
        <v>1038</v>
      </c>
      <c r="T13" s="15">
        <v>1228</v>
      </c>
      <c r="U13" s="15">
        <v>1179</v>
      </c>
      <c r="V13" s="15">
        <v>1264</v>
      </c>
      <c r="W13" s="15">
        <v>1668</v>
      </c>
      <c r="X13" s="15">
        <v>2444</v>
      </c>
      <c r="Y13" s="15">
        <v>2729</v>
      </c>
      <c r="Z13" s="15">
        <v>3615</v>
      </c>
      <c r="AA13" s="15">
        <v>4066</v>
      </c>
      <c r="AB13" s="15">
        <v>5053</v>
      </c>
      <c r="AC13" s="284">
        <v>5372</v>
      </c>
      <c r="AD13" s="284">
        <v>5268</v>
      </c>
      <c r="AE13" s="284">
        <v>5840</v>
      </c>
      <c r="AF13" s="284">
        <v>6016</v>
      </c>
      <c r="AG13" s="15">
        <v>6383</v>
      </c>
      <c r="AH13" s="15">
        <v>6377</v>
      </c>
      <c r="AI13" s="15">
        <v>5847</v>
      </c>
      <c r="AJ13" s="15">
        <v>5524</v>
      </c>
    </row>
    <row r="14" spans="1:36">
      <c r="A14" s="15" t="s">
        <v>506</v>
      </c>
      <c r="B14" s="15">
        <v>1155</v>
      </c>
      <c r="C14" s="15">
        <v>1275</v>
      </c>
      <c r="D14" s="15">
        <v>1263</v>
      </c>
      <c r="E14" s="15">
        <v>1383</v>
      </c>
      <c r="F14" s="15">
        <v>1164</v>
      </c>
      <c r="G14" s="15">
        <v>1120</v>
      </c>
      <c r="H14" s="15">
        <v>1182</v>
      </c>
      <c r="I14" s="15" t="s">
        <v>291</v>
      </c>
      <c r="J14" s="15">
        <v>1726</v>
      </c>
      <c r="K14" s="15">
        <v>1940</v>
      </c>
      <c r="L14" s="15">
        <v>1676</v>
      </c>
      <c r="M14" s="15">
        <v>1735</v>
      </c>
      <c r="N14" s="15">
        <v>2030</v>
      </c>
      <c r="O14" s="15">
        <v>2161</v>
      </c>
      <c r="P14" s="15">
        <v>2554</v>
      </c>
      <c r="Q14" s="15">
        <v>2385</v>
      </c>
      <c r="R14" s="15">
        <v>2764</v>
      </c>
      <c r="S14" s="15">
        <v>3846</v>
      </c>
      <c r="T14" s="15">
        <v>5270</v>
      </c>
      <c r="U14" s="15">
        <v>5160</v>
      </c>
      <c r="V14" s="15">
        <v>6184</v>
      </c>
      <c r="W14" s="15">
        <v>5597</v>
      </c>
      <c r="X14" s="15">
        <v>6815</v>
      </c>
      <c r="Y14" s="15">
        <v>6914</v>
      </c>
      <c r="Z14" s="15">
        <v>5849</v>
      </c>
      <c r="AA14" s="15">
        <v>8950</v>
      </c>
      <c r="AB14" s="15">
        <v>10481</v>
      </c>
      <c r="AC14" s="284">
        <v>13053</v>
      </c>
      <c r="AD14" s="284">
        <v>11802</v>
      </c>
      <c r="AE14" s="284">
        <v>14942</v>
      </c>
      <c r="AF14" s="284">
        <v>14306</v>
      </c>
      <c r="AG14" s="15">
        <v>13397</v>
      </c>
      <c r="AH14" s="15">
        <v>13024</v>
      </c>
      <c r="AI14" s="15">
        <v>12969</v>
      </c>
      <c r="AJ14" s="15">
        <v>13643</v>
      </c>
    </row>
    <row r="15" spans="1:36">
      <c r="A15" s="15" t="s">
        <v>505</v>
      </c>
      <c r="B15" s="15">
        <v>178</v>
      </c>
      <c r="C15" s="15">
        <v>199</v>
      </c>
      <c r="D15" s="15">
        <v>193</v>
      </c>
      <c r="E15" s="15">
        <v>268</v>
      </c>
      <c r="F15" s="15">
        <v>306</v>
      </c>
      <c r="G15" s="15">
        <v>404</v>
      </c>
      <c r="H15" s="15">
        <v>426</v>
      </c>
      <c r="I15" s="15" t="s">
        <v>291</v>
      </c>
      <c r="J15" s="15">
        <v>544</v>
      </c>
      <c r="K15" s="15">
        <v>386</v>
      </c>
      <c r="L15" s="15">
        <v>343</v>
      </c>
      <c r="M15" s="15">
        <v>414</v>
      </c>
      <c r="N15" s="15">
        <v>761</v>
      </c>
      <c r="O15" s="15">
        <v>965</v>
      </c>
      <c r="P15" s="15">
        <v>1070</v>
      </c>
      <c r="Q15" s="15">
        <v>1311</v>
      </c>
      <c r="R15" s="15">
        <v>1628</v>
      </c>
      <c r="S15" s="15">
        <v>1379</v>
      </c>
      <c r="T15" s="15">
        <v>1342</v>
      </c>
      <c r="U15" s="15">
        <v>1686</v>
      </c>
      <c r="V15" s="15">
        <v>1722</v>
      </c>
      <c r="W15" s="15">
        <v>1677</v>
      </c>
      <c r="X15" s="15">
        <v>2208</v>
      </c>
      <c r="Y15" s="15">
        <v>1950</v>
      </c>
      <c r="Z15" s="15">
        <v>2107</v>
      </c>
      <c r="AA15" s="15">
        <v>2202</v>
      </c>
      <c r="AB15" s="15">
        <v>2012</v>
      </c>
      <c r="AC15" s="284">
        <v>1659</v>
      </c>
      <c r="AD15" s="284">
        <v>1597</v>
      </c>
      <c r="AE15" s="284">
        <v>2123</v>
      </c>
      <c r="AF15" s="284">
        <v>2007</v>
      </c>
      <c r="AG15" s="15">
        <v>1919</v>
      </c>
      <c r="AH15" s="15">
        <v>2753</v>
      </c>
      <c r="AI15" s="15">
        <v>1239</v>
      </c>
      <c r="AJ15" s="15">
        <v>3395</v>
      </c>
    </row>
    <row r="16" spans="1:36">
      <c r="A16" s="15" t="s">
        <v>504</v>
      </c>
      <c r="B16" s="15">
        <v>7391</v>
      </c>
      <c r="C16" s="15">
        <v>6613</v>
      </c>
      <c r="D16" s="15">
        <v>6434</v>
      </c>
      <c r="E16" s="15">
        <v>7747</v>
      </c>
      <c r="F16" s="15">
        <v>9323</v>
      </c>
      <c r="G16" s="15">
        <v>12335</v>
      </c>
      <c r="H16" s="15">
        <v>13576</v>
      </c>
      <c r="I16" s="15">
        <v>16443</v>
      </c>
      <c r="J16" s="15">
        <v>19164</v>
      </c>
      <c r="K16" s="15">
        <v>21569</v>
      </c>
      <c r="L16" s="15">
        <v>25157</v>
      </c>
      <c r="M16" s="15">
        <v>24312</v>
      </c>
      <c r="N16" s="15">
        <v>27322</v>
      </c>
      <c r="O16" s="15">
        <v>33358</v>
      </c>
      <c r="P16" s="15">
        <v>35200</v>
      </c>
      <c r="Q16" s="15">
        <v>36630</v>
      </c>
      <c r="R16" s="15">
        <v>42328</v>
      </c>
      <c r="S16" s="15">
        <v>43120</v>
      </c>
      <c r="T16" s="15">
        <v>42628</v>
      </c>
      <c r="U16" s="15">
        <v>40125</v>
      </c>
      <c r="V16" s="15">
        <v>43348</v>
      </c>
      <c r="W16" s="15">
        <v>51229</v>
      </c>
      <c r="X16" s="15">
        <v>63359</v>
      </c>
      <c r="Y16" s="15">
        <v>60526</v>
      </c>
      <c r="Z16" s="15">
        <v>63008</v>
      </c>
      <c r="AA16" s="15">
        <v>74179</v>
      </c>
      <c r="AB16" s="15">
        <v>84409</v>
      </c>
      <c r="AC16" s="284">
        <v>90879</v>
      </c>
      <c r="AD16" s="284">
        <v>78320</v>
      </c>
      <c r="AE16" s="284">
        <v>76283</v>
      </c>
      <c r="AF16" s="284">
        <v>75185</v>
      </c>
      <c r="AG16" s="15">
        <v>78667</v>
      </c>
      <c r="AH16" s="15">
        <v>79129</v>
      </c>
      <c r="AI16" s="15">
        <v>77860</v>
      </c>
      <c r="AJ16" s="15">
        <v>78062</v>
      </c>
    </row>
    <row r="17" spans="1:36">
      <c r="A17" s="15" t="s">
        <v>503</v>
      </c>
      <c r="B17" s="15">
        <v>15463</v>
      </c>
      <c r="C17" s="15">
        <v>15451</v>
      </c>
      <c r="D17" s="15">
        <v>15055</v>
      </c>
      <c r="E17" s="15">
        <v>17176</v>
      </c>
      <c r="F17" s="15">
        <v>21476</v>
      </c>
      <c r="G17" s="15">
        <v>25128</v>
      </c>
      <c r="H17" s="15">
        <v>22784</v>
      </c>
      <c r="I17" s="15">
        <v>23673</v>
      </c>
      <c r="J17" s="15">
        <v>27609</v>
      </c>
      <c r="K17" s="15">
        <v>32411</v>
      </c>
      <c r="L17" s="15">
        <v>33003</v>
      </c>
      <c r="M17" s="15">
        <v>36811</v>
      </c>
      <c r="N17" s="15">
        <v>38878</v>
      </c>
      <c r="O17" s="15">
        <v>44242</v>
      </c>
      <c r="P17" s="15">
        <v>41281</v>
      </c>
      <c r="Q17" s="15">
        <v>40726</v>
      </c>
      <c r="R17" s="15">
        <v>47685</v>
      </c>
      <c r="S17" s="15">
        <v>53399</v>
      </c>
      <c r="T17" s="15">
        <v>55508</v>
      </c>
      <c r="U17" s="15">
        <v>63396</v>
      </c>
      <c r="V17" s="15">
        <v>61073</v>
      </c>
      <c r="W17" s="15">
        <v>72262</v>
      </c>
      <c r="X17" s="15">
        <v>79467</v>
      </c>
      <c r="Y17" s="15">
        <v>100473</v>
      </c>
      <c r="Z17" s="15">
        <v>93620</v>
      </c>
      <c r="AA17" s="15">
        <v>100601</v>
      </c>
      <c r="AB17" s="15">
        <v>107833</v>
      </c>
      <c r="AC17" s="284">
        <v>110149</v>
      </c>
      <c r="AD17" s="284">
        <v>103319</v>
      </c>
      <c r="AE17" s="284">
        <v>119648</v>
      </c>
      <c r="AF17" s="284">
        <v>121072</v>
      </c>
      <c r="AG17" s="15">
        <v>111724</v>
      </c>
      <c r="AH17" s="15">
        <v>107720</v>
      </c>
      <c r="AI17" s="15">
        <v>102068</v>
      </c>
      <c r="AJ17" s="15">
        <v>107711</v>
      </c>
    </row>
    <row r="18" spans="1:36">
      <c r="A18" s="15" t="s">
        <v>502</v>
      </c>
      <c r="B18" s="15">
        <v>412</v>
      </c>
      <c r="C18" s="15">
        <v>315</v>
      </c>
      <c r="D18" s="15">
        <v>239</v>
      </c>
      <c r="E18" s="15">
        <v>179</v>
      </c>
      <c r="F18" s="15">
        <v>129</v>
      </c>
      <c r="G18" s="15">
        <v>164</v>
      </c>
      <c r="H18" s="15">
        <v>216</v>
      </c>
      <c r="I18" s="15">
        <v>210</v>
      </c>
      <c r="J18" s="15">
        <v>282</v>
      </c>
      <c r="K18" s="15">
        <v>306</v>
      </c>
      <c r="L18" s="15">
        <v>372</v>
      </c>
      <c r="M18" s="15">
        <v>410</v>
      </c>
      <c r="N18" s="15">
        <v>482</v>
      </c>
      <c r="O18" s="15">
        <v>533</v>
      </c>
      <c r="P18" s="15">
        <v>566</v>
      </c>
      <c r="Q18" s="15">
        <v>634</v>
      </c>
      <c r="R18" s="15">
        <v>648</v>
      </c>
      <c r="S18" s="15">
        <v>760</v>
      </c>
      <c r="T18" s="15">
        <v>795</v>
      </c>
      <c r="U18" s="15">
        <v>835</v>
      </c>
      <c r="V18" s="15">
        <v>981</v>
      </c>
      <c r="W18" s="15">
        <v>1431</v>
      </c>
      <c r="X18" s="15">
        <v>1899</v>
      </c>
      <c r="Y18" s="15">
        <v>1884</v>
      </c>
      <c r="Z18" s="15">
        <v>1804</v>
      </c>
      <c r="AA18" s="15">
        <v>2179</v>
      </c>
      <c r="AB18" s="15">
        <v>2092</v>
      </c>
      <c r="AC18" s="284">
        <v>1919</v>
      </c>
      <c r="AD18" s="284">
        <v>1775</v>
      </c>
      <c r="AE18" s="284">
        <v>1440</v>
      </c>
      <c r="AF18" s="284">
        <v>1065</v>
      </c>
      <c r="AG18" s="15">
        <v>-584</v>
      </c>
      <c r="AH18" s="15">
        <v>-442</v>
      </c>
      <c r="AI18" s="15">
        <v>605</v>
      </c>
      <c r="AJ18" s="15">
        <v>628</v>
      </c>
    </row>
    <row r="19" spans="1:36">
      <c r="A19" s="15" t="s">
        <v>501</v>
      </c>
      <c r="B19" s="15" t="s">
        <v>273</v>
      </c>
      <c r="C19" s="15" t="s">
        <v>273</v>
      </c>
      <c r="D19" s="15" t="s">
        <v>273</v>
      </c>
      <c r="E19" s="15" t="s">
        <v>273</v>
      </c>
      <c r="F19" s="15" t="s">
        <v>273</v>
      </c>
      <c r="G19" s="15" t="s">
        <v>273</v>
      </c>
      <c r="H19" s="15" t="s">
        <v>273</v>
      </c>
      <c r="I19" s="15" t="s">
        <v>273</v>
      </c>
      <c r="J19" s="15" t="s">
        <v>273</v>
      </c>
      <c r="K19" s="15" t="s">
        <v>273</v>
      </c>
      <c r="L19" s="15" t="s">
        <v>273</v>
      </c>
      <c r="M19" s="15" t="s">
        <v>273</v>
      </c>
      <c r="N19" s="15" t="s">
        <v>273</v>
      </c>
      <c r="O19" s="15" t="s">
        <v>273</v>
      </c>
      <c r="P19" s="15" t="s">
        <v>273</v>
      </c>
      <c r="Q19" s="15" t="s">
        <v>273</v>
      </c>
      <c r="R19" s="15" t="s">
        <v>273</v>
      </c>
      <c r="S19" s="15">
        <v>2409</v>
      </c>
      <c r="T19" s="15">
        <v>1920</v>
      </c>
      <c r="U19" s="15">
        <v>2033</v>
      </c>
      <c r="V19" s="15">
        <v>2503</v>
      </c>
      <c r="W19" s="15">
        <v>2856</v>
      </c>
      <c r="X19" s="15">
        <v>3024</v>
      </c>
      <c r="Y19" s="15">
        <v>2795</v>
      </c>
      <c r="Z19" s="15">
        <v>2602</v>
      </c>
      <c r="AA19" s="15">
        <v>6457</v>
      </c>
      <c r="AB19" s="15">
        <v>3737</v>
      </c>
      <c r="AC19" s="284">
        <v>4090</v>
      </c>
      <c r="AD19" s="284">
        <v>4237</v>
      </c>
      <c r="AE19" s="284">
        <v>6305</v>
      </c>
      <c r="AF19" s="284">
        <v>7500</v>
      </c>
      <c r="AG19" s="15">
        <v>6317</v>
      </c>
      <c r="AH19" s="15">
        <v>5851</v>
      </c>
      <c r="AI19" s="15">
        <v>6302</v>
      </c>
      <c r="AJ19" s="15">
        <v>6552</v>
      </c>
    </row>
    <row r="20" spans="1:36">
      <c r="A20" s="15" t="s">
        <v>500</v>
      </c>
      <c r="B20" s="15">
        <v>2031</v>
      </c>
      <c r="C20" s="15">
        <v>2517</v>
      </c>
      <c r="D20" s="15">
        <v>2964</v>
      </c>
      <c r="E20" s="15">
        <v>3762</v>
      </c>
      <c r="F20" s="15">
        <v>4412</v>
      </c>
      <c r="G20" s="15">
        <v>5530</v>
      </c>
      <c r="H20" s="15">
        <v>6063</v>
      </c>
      <c r="I20" s="15">
        <v>4665</v>
      </c>
      <c r="J20" s="15">
        <v>5894</v>
      </c>
      <c r="K20" s="15">
        <v>6471</v>
      </c>
      <c r="L20" s="15">
        <v>7607</v>
      </c>
      <c r="M20" s="15">
        <v>9019</v>
      </c>
      <c r="N20" s="15">
        <v>7239</v>
      </c>
      <c r="O20" s="15">
        <v>7996</v>
      </c>
      <c r="P20" s="15">
        <v>10133</v>
      </c>
      <c r="Q20" s="15">
        <v>11339</v>
      </c>
      <c r="R20" s="15">
        <v>21825</v>
      </c>
      <c r="S20" s="15">
        <v>25157</v>
      </c>
      <c r="T20" s="15">
        <v>35903</v>
      </c>
      <c r="U20" s="15">
        <v>39541</v>
      </c>
      <c r="V20" s="15">
        <v>51598</v>
      </c>
      <c r="W20" s="15">
        <v>60604</v>
      </c>
      <c r="X20" s="15">
        <v>72907</v>
      </c>
      <c r="Y20" s="15">
        <v>55173</v>
      </c>
      <c r="Z20" s="15">
        <v>86372</v>
      </c>
      <c r="AA20" s="15">
        <v>117708</v>
      </c>
      <c r="AB20" s="15">
        <v>150131</v>
      </c>
      <c r="AC20" s="284">
        <v>129829</v>
      </c>
      <c r="AD20" s="284">
        <v>158851</v>
      </c>
      <c r="AE20" s="284">
        <v>184804</v>
      </c>
      <c r="AF20" s="284">
        <v>212411</v>
      </c>
      <c r="AG20" s="15">
        <v>220670</v>
      </c>
      <c r="AH20" s="15">
        <v>276012</v>
      </c>
      <c r="AI20" s="15">
        <v>334325</v>
      </c>
      <c r="AJ20" s="15">
        <v>387092</v>
      </c>
    </row>
    <row r="21" spans="1:36">
      <c r="A21" s="15" t="s">
        <v>499</v>
      </c>
      <c r="B21" s="15">
        <v>4316</v>
      </c>
      <c r="C21" s="15">
        <v>4535</v>
      </c>
      <c r="D21" s="15">
        <v>4745</v>
      </c>
      <c r="E21" s="15">
        <v>6137</v>
      </c>
      <c r="F21" s="15">
        <v>7745</v>
      </c>
      <c r="G21" s="15">
        <v>9726</v>
      </c>
      <c r="H21" s="15">
        <v>10046</v>
      </c>
      <c r="I21" s="15">
        <v>11221</v>
      </c>
      <c r="J21" s="15">
        <v>14063</v>
      </c>
      <c r="K21" s="15">
        <v>15085</v>
      </c>
      <c r="L21" s="15">
        <v>13015</v>
      </c>
      <c r="M21" s="15">
        <v>12748</v>
      </c>
      <c r="N21" s="15">
        <v>14808</v>
      </c>
      <c r="O21" s="15">
        <v>17096</v>
      </c>
      <c r="P21" s="15">
        <v>16193</v>
      </c>
      <c r="Q21" s="15">
        <v>15547</v>
      </c>
      <c r="R21" s="15">
        <v>15548</v>
      </c>
      <c r="S21" s="15">
        <v>17889</v>
      </c>
      <c r="T21" s="15">
        <v>23484</v>
      </c>
      <c r="U21" s="15">
        <v>22883</v>
      </c>
      <c r="V21" s="15">
        <v>23771</v>
      </c>
      <c r="W21" s="15">
        <v>23092</v>
      </c>
      <c r="X21" s="15">
        <v>25184</v>
      </c>
      <c r="Y21" s="15">
        <v>24528</v>
      </c>
      <c r="Z21" s="15">
        <v>25435</v>
      </c>
      <c r="AA21" s="15">
        <v>28216</v>
      </c>
      <c r="AB21" s="15">
        <v>27663</v>
      </c>
      <c r="AC21" s="284">
        <v>29944</v>
      </c>
      <c r="AD21" s="284">
        <v>27137</v>
      </c>
      <c r="AE21" s="284">
        <v>26896</v>
      </c>
      <c r="AF21" s="284">
        <v>27317</v>
      </c>
      <c r="AG21" s="15">
        <v>25829</v>
      </c>
      <c r="AH21" s="15">
        <v>27491</v>
      </c>
      <c r="AI21" s="15">
        <v>26300</v>
      </c>
      <c r="AJ21" s="15">
        <v>24686</v>
      </c>
    </row>
    <row r="22" spans="1:36">
      <c r="A22" s="15" t="s">
        <v>498</v>
      </c>
      <c r="B22" s="15">
        <v>1098</v>
      </c>
      <c r="C22" s="15">
        <v>1240</v>
      </c>
      <c r="D22" s="15">
        <v>493</v>
      </c>
      <c r="E22" s="15">
        <v>795</v>
      </c>
      <c r="F22" s="15">
        <v>957</v>
      </c>
      <c r="G22" s="15">
        <v>874</v>
      </c>
      <c r="H22" s="15">
        <v>1122</v>
      </c>
      <c r="I22" s="15">
        <v>1560</v>
      </c>
      <c r="J22" s="15">
        <v>1697</v>
      </c>
      <c r="K22" s="15">
        <v>1734</v>
      </c>
      <c r="L22" s="15">
        <v>2031</v>
      </c>
      <c r="M22" s="15">
        <v>5611</v>
      </c>
      <c r="N22" s="15">
        <v>6310</v>
      </c>
      <c r="O22" s="15">
        <v>5929</v>
      </c>
      <c r="P22" s="15">
        <v>7753</v>
      </c>
      <c r="Q22" s="15">
        <v>10258</v>
      </c>
      <c r="R22" s="15">
        <v>14571</v>
      </c>
      <c r="S22" s="15">
        <v>22148</v>
      </c>
      <c r="T22" s="15">
        <v>27849</v>
      </c>
      <c r="U22" s="15">
        <v>50771</v>
      </c>
      <c r="V22" s="15">
        <v>62181</v>
      </c>
      <c r="W22" s="15">
        <v>68298</v>
      </c>
      <c r="X22" s="15">
        <v>83634</v>
      </c>
      <c r="Y22" s="15">
        <v>79937</v>
      </c>
      <c r="Z22" s="15">
        <v>125146</v>
      </c>
      <c r="AA22" s="15">
        <v>144180</v>
      </c>
      <c r="AB22" s="15">
        <v>172251</v>
      </c>
      <c r="AC22" s="284">
        <v>219082</v>
      </c>
      <c r="AD22" s="284">
        <v>272206</v>
      </c>
      <c r="AE22" s="284">
        <v>357898</v>
      </c>
      <c r="AF22" s="284">
        <v>408205</v>
      </c>
      <c r="AG22" s="15">
        <v>460029</v>
      </c>
      <c r="AH22" s="15">
        <v>537881</v>
      </c>
      <c r="AI22" s="15">
        <v>553066</v>
      </c>
      <c r="AJ22" s="15">
        <v>607849</v>
      </c>
    </row>
    <row r="23" spans="1:36">
      <c r="A23" s="15" t="s">
        <v>497</v>
      </c>
      <c r="B23" s="15">
        <v>6760</v>
      </c>
      <c r="C23" s="15">
        <v>6917</v>
      </c>
      <c r="D23" s="15">
        <v>6207</v>
      </c>
      <c r="E23" s="15">
        <v>7552</v>
      </c>
      <c r="F23" s="15">
        <v>12203</v>
      </c>
      <c r="G23" s="15">
        <v>15507</v>
      </c>
      <c r="H23" s="15">
        <v>16765</v>
      </c>
      <c r="I23" s="15">
        <v>19160</v>
      </c>
      <c r="J23" s="15">
        <v>19120</v>
      </c>
      <c r="K23" s="15">
        <v>20293</v>
      </c>
      <c r="L23" s="15">
        <v>20700</v>
      </c>
      <c r="M23" s="15">
        <v>20911</v>
      </c>
      <c r="N23" s="15">
        <v>29889</v>
      </c>
      <c r="O23" s="15">
        <v>42113</v>
      </c>
      <c r="P23" s="15">
        <v>54118</v>
      </c>
      <c r="Q23" s="15">
        <v>68619</v>
      </c>
      <c r="R23" s="15">
        <v>89978</v>
      </c>
      <c r="S23" s="15">
        <v>121315</v>
      </c>
      <c r="T23" s="15">
        <v>115429</v>
      </c>
      <c r="U23" s="15">
        <v>147687</v>
      </c>
      <c r="V23" s="15">
        <v>158415</v>
      </c>
      <c r="W23" s="15">
        <v>186366</v>
      </c>
      <c r="X23" s="15">
        <v>219384</v>
      </c>
      <c r="Y23" s="15">
        <v>240205</v>
      </c>
      <c r="Z23" s="15">
        <v>279373</v>
      </c>
      <c r="AA23" s="15">
        <v>412122</v>
      </c>
      <c r="AB23" s="15">
        <v>423059</v>
      </c>
      <c r="AC23" s="284">
        <v>497471</v>
      </c>
      <c r="AD23" s="284">
        <v>514689</v>
      </c>
      <c r="AE23" s="284">
        <v>595658</v>
      </c>
      <c r="AF23" s="284">
        <v>647365</v>
      </c>
      <c r="AG23" s="15">
        <v>740740</v>
      </c>
      <c r="AH23" s="15">
        <v>737653</v>
      </c>
      <c r="AI23" s="15">
        <v>783309</v>
      </c>
      <c r="AJ23" s="15">
        <v>847391</v>
      </c>
    </row>
    <row r="24" spans="1:36">
      <c r="A24" s="15" t="s">
        <v>496</v>
      </c>
      <c r="B24" s="15">
        <v>2735</v>
      </c>
      <c r="C24" s="15">
        <v>3099</v>
      </c>
      <c r="D24" s="15">
        <v>2850</v>
      </c>
      <c r="E24" s="15">
        <v>3235</v>
      </c>
      <c r="F24" s="15">
        <v>3247</v>
      </c>
      <c r="G24" s="15">
        <v>3873</v>
      </c>
      <c r="H24" s="15">
        <v>4429</v>
      </c>
      <c r="I24" s="15">
        <v>3447</v>
      </c>
      <c r="J24" s="15">
        <v>4209</v>
      </c>
      <c r="K24" s="15">
        <v>4318</v>
      </c>
      <c r="L24" s="15">
        <v>3825</v>
      </c>
      <c r="M24" s="15">
        <v>3757</v>
      </c>
      <c r="N24" s="15">
        <v>5026</v>
      </c>
      <c r="O24" s="15">
        <v>4741</v>
      </c>
      <c r="P24" s="15">
        <v>5483</v>
      </c>
      <c r="Q24" s="15">
        <v>6633</v>
      </c>
      <c r="R24" s="15">
        <v>6897</v>
      </c>
      <c r="S24" s="15">
        <v>5944</v>
      </c>
      <c r="T24" s="15">
        <v>4379</v>
      </c>
      <c r="U24" s="15">
        <v>4446</v>
      </c>
      <c r="V24" s="15">
        <v>6045</v>
      </c>
      <c r="W24" s="15">
        <v>7511</v>
      </c>
      <c r="X24" s="15">
        <v>8491</v>
      </c>
      <c r="Y24" s="15">
        <v>8533</v>
      </c>
      <c r="Z24" s="15">
        <v>9667</v>
      </c>
      <c r="AA24" s="15">
        <v>12188</v>
      </c>
      <c r="AB24" s="15">
        <v>24706</v>
      </c>
      <c r="AC24" s="284">
        <v>24238</v>
      </c>
      <c r="AD24" s="284">
        <v>28541</v>
      </c>
      <c r="AE24" s="284">
        <v>32727</v>
      </c>
      <c r="AF24" s="284">
        <v>43326</v>
      </c>
      <c r="AG24" s="15">
        <v>40617</v>
      </c>
      <c r="AH24" s="15">
        <v>37614</v>
      </c>
      <c r="AI24" s="15">
        <v>34736</v>
      </c>
      <c r="AJ24" s="15">
        <v>32318</v>
      </c>
    </row>
    <row r="25" spans="1:36">
      <c r="A25" s="15" t="s">
        <v>495</v>
      </c>
      <c r="B25" s="15" t="s">
        <v>273</v>
      </c>
      <c r="C25" s="15" t="s">
        <v>273</v>
      </c>
      <c r="D25" s="15" t="s">
        <v>273</v>
      </c>
      <c r="E25" s="15" t="s">
        <v>273</v>
      </c>
      <c r="F25" s="15" t="s">
        <v>273</v>
      </c>
      <c r="G25" s="15" t="s">
        <v>273</v>
      </c>
      <c r="H25" s="15" t="s">
        <v>273</v>
      </c>
      <c r="I25" s="15">
        <v>0</v>
      </c>
      <c r="J25" s="15">
        <v>3</v>
      </c>
      <c r="K25" s="15">
        <v>32</v>
      </c>
      <c r="L25" s="15">
        <v>191</v>
      </c>
      <c r="M25" s="15">
        <v>427</v>
      </c>
      <c r="N25" s="15">
        <v>771</v>
      </c>
      <c r="O25" s="15">
        <v>946</v>
      </c>
      <c r="P25" s="15">
        <v>1011</v>
      </c>
      <c r="Q25" s="15">
        <v>1390</v>
      </c>
      <c r="R25" s="15">
        <v>1870</v>
      </c>
      <c r="S25" s="15">
        <v>3281</v>
      </c>
      <c r="T25" s="15">
        <v>3884</v>
      </c>
      <c r="U25" s="15">
        <v>4573</v>
      </c>
      <c r="V25" s="15">
        <v>4231</v>
      </c>
      <c r="W25" s="15">
        <v>4382</v>
      </c>
      <c r="X25" s="15">
        <v>7256</v>
      </c>
      <c r="Y25" s="15">
        <v>5575</v>
      </c>
      <c r="Z25" s="15">
        <v>6934</v>
      </c>
      <c r="AA25" s="15">
        <v>15614</v>
      </c>
      <c r="AB25" s="15">
        <v>12489</v>
      </c>
      <c r="AC25" s="284">
        <v>13412</v>
      </c>
      <c r="AD25" s="284">
        <v>13152</v>
      </c>
      <c r="AE25" s="284">
        <v>12744</v>
      </c>
      <c r="AF25" s="284">
        <v>13137</v>
      </c>
      <c r="AG25" s="15">
        <v>12480</v>
      </c>
      <c r="AH25" s="15">
        <v>11529</v>
      </c>
      <c r="AI25" s="15">
        <v>11239</v>
      </c>
      <c r="AJ25" s="15">
        <v>11621</v>
      </c>
    </row>
    <row r="26" spans="1:36">
      <c r="A26" s="15" t="s">
        <v>494</v>
      </c>
      <c r="B26" s="15">
        <v>277</v>
      </c>
      <c r="C26" s="15">
        <v>222</v>
      </c>
      <c r="D26" s="15">
        <v>210</v>
      </c>
      <c r="E26" s="15">
        <v>243</v>
      </c>
      <c r="F26" s="15">
        <v>302</v>
      </c>
      <c r="G26" s="15">
        <v>528</v>
      </c>
      <c r="H26" s="15">
        <v>583</v>
      </c>
      <c r="I26" s="15" t="s">
        <v>291</v>
      </c>
      <c r="J26" s="15">
        <v>897</v>
      </c>
      <c r="K26" s="15">
        <v>1034</v>
      </c>
      <c r="L26" s="15">
        <v>1290</v>
      </c>
      <c r="M26" s="15">
        <v>1264</v>
      </c>
      <c r="N26" s="15">
        <v>1181</v>
      </c>
      <c r="O26" s="15">
        <v>1413</v>
      </c>
      <c r="P26" s="15">
        <v>1423</v>
      </c>
      <c r="Q26" s="15">
        <v>1399</v>
      </c>
      <c r="R26" s="15">
        <v>1360</v>
      </c>
      <c r="S26" s="15">
        <v>2188</v>
      </c>
      <c r="T26" s="15">
        <v>2664</v>
      </c>
      <c r="U26" s="15">
        <v>2746</v>
      </c>
      <c r="V26" s="15">
        <v>3093</v>
      </c>
      <c r="W26" s="15">
        <v>2402</v>
      </c>
      <c r="X26" s="15">
        <v>1915</v>
      </c>
      <c r="Y26" s="15">
        <v>2138</v>
      </c>
      <c r="Z26" s="15">
        <v>2832</v>
      </c>
      <c r="AA26" s="15">
        <v>2991</v>
      </c>
      <c r="AB26" s="15">
        <v>3006</v>
      </c>
      <c r="AC26" s="284">
        <v>2803</v>
      </c>
      <c r="AD26" s="284">
        <v>2612</v>
      </c>
      <c r="AE26" s="284">
        <v>2421</v>
      </c>
      <c r="AF26" s="284">
        <v>2061</v>
      </c>
      <c r="AG26" s="15">
        <v>1978</v>
      </c>
      <c r="AH26" s="15">
        <v>2372</v>
      </c>
      <c r="AI26" s="15">
        <v>2240</v>
      </c>
      <c r="AJ26" s="15">
        <v>2273</v>
      </c>
    </row>
    <row r="27" spans="1:36">
      <c r="A27" s="15" t="s">
        <v>493</v>
      </c>
      <c r="B27" s="15" t="s">
        <v>273</v>
      </c>
      <c r="C27" s="15" t="s">
        <v>273</v>
      </c>
      <c r="D27" s="15" t="s">
        <v>273</v>
      </c>
      <c r="E27" s="15" t="s">
        <v>273</v>
      </c>
      <c r="F27" s="15" t="s">
        <v>273</v>
      </c>
      <c r="G27" s="15" t="s">
        <v>273</v>
      </c>
      <c r="H27" s="15" t="s">
        <v>273</v>
      </c>
      <c r="I27" s="15" t="s">
        <v>33</v>
      </c>
      <c r="J27" s="15" t="s">
        <v>33</v>
      </c>
      <c r="K27" s="15" t="s">
        <v>33</v>
      </c>
      <c r="L27" s="15">
        <v>94</v>
      </c>
      <c r="M27" s="15">
        <v>280</v>
      </c>
      <c r="N27" s="15">
        <v>562</v>
      </c>
      <c r="O27" s="15">
        <v>1115</v>
      </c>
      <c r="P27" s="15">
        <v>1334</v>
      </c>
      <c r="Q27" s="15">
        <v>1371</v>
      </c>
      <c r="R27" s="15">
        <v>623</v>
      </c>
      <c r="S27" s="15">
        <v>1678</v>
      </c>
      <c r="T27" s="15">
        <v>1147</v>
      </c>
      <c r="U27" s="15">
        <v>883</v>
      </c>
      <c r="V27" s="15">
        <v>1135</v>
      </c>
      <c r="W27" s="15">
        <v>2511</v>
      </c>
      <c r="X27" s="15">
        <v>6088</v>
      </c>
      <c r="Y27" s="15">
        <v>9363</v>
      </c>
      <c r="Z27" s="15">
        <v>11371</v>
      </c>
      <c r="AA27" s="15">
        <v>15029</v>
      </c>
      <c r="AB27" s="15">
        <v>19777</v>
      </c>
      <c r="AC27" s="284">
        <v>20763</v>
      </c>
      <c r="AD27" s="284">
        <v>10040</v>
      </c>
      <c r="AE27" s="284">
        <v>11285</v>
      </c>
      <c r="AF27" s="284">
        <v>13389</v>
      </c>
      <c r="AG27" s="15">
        <v>13280</v>
      </c>
      <c r="AH27" s="15">
        <v>8570</v>
      </c>
      <c r="AI27" s="15">
        <v>8543</v>
      </c>
      <c r="AJ27" s="15">
        <v>10574</v>
      </c>
    </row>
    <row r="28" spans="1:36">
      <c r="A28" s="15" t="s">
        <v>492</v>
      </c>
      <c r="B28" s="15">
        <v>2350</v>
      </c>
      <c r="C28" s="15">
        <v>2331</v>
      </c>
      <c r="D28" s="15">
        <v>2224</v>
      </c>
      <c r="E28" s="15">
        <v>2407</v>
      </c>
      <c r="F28" s="15">
        <v>2882</v>
      </c>
      <c r="G28" s="15">
        <v>4334</v>
      </c>
      <c r="H28" s="15">
        <v>5220</v>
      </c>
      <c r="I28" s="15">
        <v>6500</v>
      </c>
      <c r="J28" s="15">
        <v>7868</v>
      </c>
      <c r="K28" s="15">
        <v>8088</v>
      </c>
      <c r="L28" s="15">
        <v>8757</v>
      </c>
      <c r="M28" s="15">
        <v>6689</v>
      </c>
      <c r="N28" s="15">
        <v>9572</v>
      </c>
      <c r="O28" s="15">
        <v>10856</v>
      </c>
      <c r="P28" s="15">
        <v>12252</v>
      </c>
      <c r="Q28" s="15">
        <v>11541</v>
      </c>
      <c r="R28" s="15">
        <v>14221</v>
      </c>
      <c r="S28" s="15">
        <v>19970</v>
      </c>
      <c r="T28" s="15">
        <v>21236</v>
      </c>
      <c r="U28" s="15">
        <v>28174</v>
      </c>
      <c r="V28" s="15">
        <v>38001</v>
      </c>
      <c r="W28" s="15">
        <v>41119</v>
      </c>
      <c r="X28" s="15">
        <v>48409</v>
      </c>
      <c r="Y28" s="15">
        <v>50197</v>
      </c>
      <c r="Z28" s="15">
        <v>49356</v>
      </c>
      <c r="AA28" s="15">
        <v>61093</v>
      </c>
      <c r="AB28" s="15">
        <v>54194</v>
      </c>
      <c r="AC28" s="284">
        <v>58341</v>
      </c>
      <c r="AD28" s="284">
        <v>52390</v>
      </c>
      <c r="AE28" s="284">
        <v>45351</v>
      </c>
      <c r="AF28" s="284">
        <v>27978</v>
      </c>
      <c r="AG28" s="15">
        <v>33879</v>
      </c>
      <c r="AH28" s="15">
        <v>34962</v>
      </c>
      <c r="AI28" s="15">
        <v>36280</v>
      </c>
      <c r="AJ28" s="15">
        <v>37388</v>
      </c>
    </row>
    <row r="29" spans="1:36">
      <c r="A29" s="15" t="s">
        <v>491</v>
      </c>
      <c r="B29" s="15">
        <v>1103</v>
      </c>
      <c r="C29" s="15">
        <v>1064</v>
      </c>
      <c r="D29" s="15">
        <v>997</v>
      </c>
      <c r="E29" s="15">
        <v>1060</v>
      </c>
      <c r="F29" s="15">
        <v>1030</v>
      </c>
      <c r="G29" s="15">
        <v>1179</v>
      </c>
      <c r="H29" s="15">
        <v>1131</v>
      </c>
      <c r="I29" s="15">
        <v>1297</v>
      </c>
      <c r="J29" s="15">
        <v>1787</v>
      </c>
      <c r="K29" s="15">
        <v>2323</v>
      </c>
      <c r="L29" s="15">
        <v>1881</v>
      </c>
      <c r="M29" s="15">
        <v>2374</v>
      </c>
      <c r="N29" s="15">
        <v>1905</v>
      </c>
      <c r="O29" s="15">
        <v>6816</v>
      </c>
      <c r="P29" s="15">
        <v>5248</v>
      </c>
      <c r="Q29" s="15">
        <v>3542</v>
      </c>
      <c r="R29" s="15">
        <v>5237</v>
      </c>
      <c r="S29" s="15">
        <v>10624</v>
      </c>
      <c r="T29" s="15">
        <v>25959</v>
      </c>
      <c r="U29" s="15">
        <v>26374</v>
      </c>
      <c r="V29" s="15">
        <v>30114</v>
      </c>
      <c r="W29" s="15">
        <v>27004</v>
      </c>
      <c r="X29" s="15">
        <v>29730</v>
      </c>
      <c r="Y29" s="15">
        <v>30153</v>
      </c>
      <c r="Z29" s="15">
        <v>33857</v>
      </c>
      <c r="AA29" s="15">
        <v>36615</v>
      </c>
      <c r="AB29" s="15">
        <v>35876</v>
      </c>
      <c r="AC29" s="284">
        <v>36702</v>
      </c>
      <c r="AD29" s="284">
        <v>23275</v>
      </c>
      <c r="AE29" s="284">
        <v>33422</v>
      </c>
      <c r="AF29" s="284">
        <v>33635</v>
      </c>
      <c r="AG29" s="15">
        <v>31675</v>
      </c>
      <c r="AH29" s="15">
        <v>29467</v>
      </c>
      <c r="AI29" s="15">
        <v>30497</v>
      </c>
      <c r="AJ29" s="15">
        <v>27145</v>
      </c>
    </row>
    <row r="30" spans="1:36">
      <c r="A30" s="15" t="s">
        <v>490</v>
      </c>
      <c r="B30" s="15">
        <v>12863</v>
      </c>
      <c r="C30" s="15">
        <v>14257</v>
      </c>
      <c r="D30" s="15">
        <v>14877</v>
      </c>
      <c r="E30" s="15">
        <v>15888</v>
      </c>
      <c r="F30" s="15">
        <v>16608</v>
      </c>
      <c r="G30" s="15">
        <v>19691</v>
      </c>
      <c r="H30" s="15">
        <v>18709</v>
      </c>
      <c r="I30" s="15">
        <v>21144</v>
      </c>
      <c r="J30" s="15">
        <v>25099</v>
      </c>
      <c r="K30" s="15">
        <v>25682</v>
      </c>
      <c r="L30" s="15">
        <v>28698</v>
      </c>
      <c r="M30" s="15">
        <v>33056</v>
      </c>
      <c r="N30" s="15">
        <v>27908</v>
      </c>
      <c r="O30" s="15">
        <v>31125</v>
      </c>
      <c r="P30" s="15">
        <v>30744</v>
      </c>
      <c r="Q30" s="15">
        <v>30634</v>
      </c>
      <c r="R30" s="15">
        <v>38225</v>
      </c>
      <c r="S30" s="15">
        <v>40532</v>
      </c>
      <c r="T30" s="15">
        <v>55377</v>
      </c>
      <c r="U30" s="15">
        <v>63768</v>
      </c>
      <c r="V30" s="15">
        <v>74229</v>
      </c>
      <c r="W30" s="15">
        <v>92750</v>
      </c>
      <c r="X30" s="15">
        <v>121790</v>
      </c>
      <c r="Y30" s="15">
        <v>100692</v>
      </c>
      <c r="Z30" s="15">
        <v>102022</v>
      </c>
      <c r="AA30" s="15">
        <v>94675</v>
      </c>
      <c r="AB30" s="15">
        <v>133222</v>
      </c>
      <c r="AC30" s="284">
        <v>131707</v>
      </c>
      <c r="AD30" s="284">
        <v>119891</v>
      </c>
      <c r="AE30" s="284">
        <v>107341</v>
      </c>
      <c r="AF30" s="284">
        <v>122417</v>
      </c>
      <c r="AG30" s="15">
        <v>128490</v>
      </c>
      <c r="AH30" s="15">
        <v>140427</v>
      </c>
      <c r="AI30" s="15">
        <v>155710</v>
      </c>
      <c r="AJ30" s="15">
        <v>172608</v>
      </c>
    </row>
    <row r="31" spans="1:36">
      <c r="A31" s="15" t="s">
        <v>489</v>
      </c>
      <c r="B31" s="15">
        <v>146</v>
      </c>
      <c r="C31" s="15">
        <v>131</v>
      </c>
      <c r="D31" s="15">
        <v>248</v>
      </c>
      <c r="E31" s="15">
        <v>259</v>
      </c>
      <c r="F31" s="15">
        <v>246</v>
      </c>
      <c r="G31" s="15">
        <v>238</v>
      </c>
      <c r="H31" s="15">
        <v>287</v>
      </c>
      <c r="I31" s="15">
        <v>343</v>
      </c>
      <c r="J31" s="15">
        <v>522</v>
      </c>
      <c r="K31" s="15">
        <v>545</v>
      </c>
      <c r="L31" s="15">
        <v>732</v>
      </c>
      <c r="M31" s="15">
        <v>995</v>
      </c>
      <c r="N31" s="15">
        <v>874</v>
      </c>
      <c r="O31" s="15">
        <v>973</v>
      </c>
      <c r="P31" s="15">
        <v>1059</v>
      </c>
      <c r="Q31" s="15">
        <v>1033</v>
      </c>
      <c r="R31" s="15">
        <v>1014</v>
      </c>
      <c r="S31" s="15">
        <v>1792</v>
      </c>
      <c r="T31" s="15">
        <v>1826</v>
      </c>
      <c r="U31" s="15">
        <v>1641</v>
      </c>
      <c r="V31" s="15">
        <v>1869</v>
      </c>
      <c r="W31" s="15">
        <v>2213</v>
      </c>
      <c r="X31" s="15">
        <v>2682</v>
      </c>
      <c r="Y31" s="15">
        <v>2563</v>
      </c>
      <c r="Z31" s="15">
        <v>3141</v>
      </c>
      <c r="AA31" s="15">
        <v>5584</v>
      </c>
      <c r="AB31" s="15">
        <v>4542</v>
      </c>
      <c r="AC31" s="284">
        <v>3675</v>
      </c>
      <c r="AD31" s="284">
        <v>4155</v>
      </c>
      <c r="AE31" s="284">
        <v>4027</v>
      </c>
      <c r="AF31" s="284">
        <v>4945</v>
      </c>
      <c r="AG31" s="15">
        <v>3845</v>
      </c>
      <c r="AH31" s="15">
        <v>2984</v>
      </c>
      <c r="AI31" s="15">
        <v>3058</v>
      </c>
      <c r="AJ31" s="15">
        <v>3109</v>
      </c>
    </row>
    <row r="32" spans="1:36">
      <c r="A32" s="15" t="s">
        <v>488</v>
      </c>
      <c r="B32" s="15">
        <v>27537</v>
      </c>
      <c r="C32" s="15">
        <v>28086</v>
      </c>
      <c r="D32" s="15">
        <v>29265</v>
      </c>
      <c r="E32" s="15">
        <v>34066</v>
      </c>
      <c r="F32" s="15">
        <v>36974</v>
      </c>
      <c r="G32" s="15">
        <v>46489</v>
      </c>
      <c r="H32" s="15">
        <v>51734</v>
      </c>
      <c r="I32" s="15">
        <v>67722</v>
      </c>
      <c r="J32" s="15">
        <v>72707</v>
      </c>
      <c r="K32" s="15">
        <v>79819</v>
      </c>
      <c r="L32" s="15">
        <v>85176</v>
      </c>
      <c r="M32" s="15">
        <v>109208</v>
      </c>
      <c r="N32" s="15">
        <v>100817</v>
      </c>
      <c r="O32" s="15">
        <v>106332</v>
      </c>
      <c r="P32" s="15">
        <v>134559</v>
      </c>
      <c r="Q32" s="15">
        <v>154462</v>
      </c>
      <c r="R32" s="15">
        <v>183035</v>
      </c>
      <c r="S32" s="15">
        <v>216638</v>
      </c>
      <c r="T32" s="15">
        <v>230762</v>
      </c>
      <c r="U32" s="15">
        <v>228230</v>
      </c>
      <c r="V32" s="15">
        <v>247952</v>
      </c>
      <c r="W32" s="15">
        <v>277246</v>
      </c>
      <c r="X32" s="15">
        <v>330416</v>
      </c>
      <c r="Y32" s="15">
        <v>351513</v>
      </c>
      <c r="Z32" s="15">
        <v>406358</v>
      </c>
      <c r="AA32" s="15">
        <v>426357</v>
      </c>
      <c r="AB32" s="15">
        <v>448412</v>
      </c>
      <c r="AC32" s="284">
        <v>495382</v>
      </c>
      <c r="AD32" s="284">
        <v>501247</v>
      </c>
      <c r="AE32" s="284">
        <v>485029</v>
      </c>
      <c r="AF32" s="284">
        <v>537041</v>
      </c>
      <c r="AG32" s="15">
        <v>537714</v>
      </c>
      <c r="AH32" s="15">
        <v>621663</v>
      </c>
      <c r="AI32" s="15">
        <v>625124</v>
      </c>
      <c r="AJ32" s="15">
        <v>682361</v>
      </c>
    </row>
    <row r="33" spans="1:36">
      <c r="A33" s="15" t="s">
        <v>236</v>
      </c>
      <c r="B33" s="15">
        <v>524</v>
      </c>
      <c r="C33" s="15">
        <v>513</v>
      </c>
      <c r="D33" s="15">
        <v>388</v>
      </c>
      <c r="E33" s="15">
        <v>377</v>
      </c>
      <c r="F33" s="15">
        <v>304</v>
      </c>
      <c r="G33" s="15">
        <v>452</v>
      </c>
      <c r="H33" s="15">
        <v>338</v>
      </c>
      <c r="I33" s="15" t="s">
        <v>291</v>
      </c>
      <c r="J33" s="15">
        <v>974</v>
      </c>
      <c r="K33" s="15">
        <v>1282</v>
      </c>
      <c r="L33" s="15">
        <v>1729</v>
      </c>
      <c r="M33" s="15">
        <v>3411</v>
      </c>
      <c r="N33" s="15">
        <v>5219</v>
      </c>
      <c r="O33" s="15">
        <v>6412</v>
      </c>
      <c r="P33" s="15">
        <v>8148</v>
      </c>
      <c r="Q33" s="15">
        <v>8464</v>
      </c>
      <c r="R33" s="15">
        <v>9713</v>
      </c>
      <c r="S33" s="15">
        <v>7042</v>
      </c>
      <c r="T33" s="15">
        <v>7885</v>
      </c>
      <c r="U33" s="15">
        <v>9252</v>
      </c>
      <c r="V33" s="15">
        <v>9929</v>
      </c>
      <c r="W33" s="15">
        <v>10888</v>
      </c>
      <c r="X33" s="15">
        <v>11924</v>
      </c>
      <c r="Y33" s="15">
        <v>12297</v>
      </c>
      <c r="Z33" s="15">
        <v>16473</v>
      </c>
      <c r="AA33" s="15">
        <v>33882</v>
      </c>
      <c r="AB33" s="15">
        <v>40413</v>
      </c>
      <c r="AC33" s="284">
        <v>43158</v>
      </c>
      <c r="AD33" s="284">
        <v>44597</v>
      </c>
      <c r="AE33" s="284">
        <v>56670</v>
      </c>
      <c r="AF33" s="284">
        <v>61802</v>
      </c>
      <c r="AG33" s="15">
        <v>68130</v>
      </c>
      <c r="AH33" s="15">
        <v>55511</v>
      </c>
      <c r="AI33" s="15">
        <v>50257</v>
      </c>
      <c r="AJ33" s="15">
        <v>41242</v>
      </c>
    </row>
    <row r="34" spans="1:36">
      <c r="A34" s="15" t="s">
        <v>487</v>
      </c>
      <c r="B34" s="15" t="s">
        <v>273</v>
      </c>
      <c r="C34" s="15" t="s">
        <v>273</v>
      </c>
      <c r="D34" s="15" t="s">
        <v>273</v>
      </c>
      <c r="E34" s="15" t="s">
        <v>273</v>
      </c>
      <c r="F34" s="15" t="s">
        <v>273</v>
      </c>
      <c r="G34" s="15" t="s">
        <v>273</v>
      </c>
      <c r="H34" s="15" t="s">
        <v>273</v>
      </c>
      <c r="I34" s="15">
        <v>0</v>
      </c>
      <c r="J34" s="15">
        <v>0</v>
      </c>
      <c r="K34" s="15">
        <v>0</v>
      </c>
      <c r="L34" s="15">
        <v>0</v>
      </c>
      <c r="M34" s="15">
        <v>0</v>
      </c>
      <c r="N34" s="15">
        <v>3</v>
      </c>
      <c r="O34" s="15">
        <v>1</v>
      </c>
      <c r="P34" s="15">
        <v>-3</v>
      </c>
      <c r="Q34" s="15">
        <v>-8</v>
      </c>
      <c r="R34" s="15">
        <v>-12</v>
      </c>
      <c r="S34" s="15">
        <v>-11</v>
      </c>
      <c r="T34" s="15" t="s">
        <v>291</v>
      </c>
      <c r="U34" s="15" t="s">
        <v>291</v>
      </c>
      <c r="V34" s="15">
        <v>6</v>
      </c>
      <c r="W34" s="15">
        <v>5</v>
      </c>
      <c r="X34" s="15">
        <v>2</v>
      </c>
      <c r="Y34" s="15">
        <v>2</v>
      </c>
      <c r="Z34" s="15">
        <v>2</v>
      </c>
      <c r="AA34" s="15">
        <v>2</v>
      </c>
      <c r="AB34" s="15">
        <v>2</v>
      </c>
      <c r="AC34" s="284">
        <v>-2</v>
      </c>
      <c r="AD34" s="284">
        <v>-2</v>
      </c>
      <c r="AE34" s="284">
        <v>-2</v>
      </c>
      <c r="AF34" s="284">
        <v>-2</v>
      </c>
      <c r="AG34" s="15">
        <v>-2</v>
      </c>
      <c r="AH34" s="15">
        <v>-2</v>
      </c>
      <c r="AI34" s="15">
        <v>2</v>
      </c>
      <c r="AJ34" s="15">
        <v>20</v>
      </c>
    </row>
    <row r="35" spans="1:36">
      <c r="A35" s="15" t="s">
        <v>486</v>
      </c>
      <c r="B35" s="15" t="s">
        <v>273</v>
      </c>
      <c r="C35" s="15" t="s">
        <v>273</v>
      </c>
      <c r="D35" s="15" t="s">
        <v>273</v>
      </c>
      <c r="E35" s="15" t="s">
        <v>273</v>
      </c>
      <c r="F35" s="15" t="s">
        <v>273</v>
      </c>
      <c r="G35" s="15" t="s">
        <v>273</v>
      </c>
      <c r="H35" s="15" t="s">
        <v>273</v>
      </c>
      <c r="I35" s="15" t="s">
        <v>273</v>
      </c>
      <c r="J35" s="15" t="s">
        <v>273</v>
      </c>
      <c r="K35" s="15" t="s">
        <v>273</v>
      </c>
      <c r="L35" s="15" t="s">
        <v>273</v>
      </c>
      <c r="M35" s="15" t="s">
        <v>273</v>
      </c>
      <c r="N35" s="15" t="s">
        <v>273</v>
      </c>
      <c r="O35" s="15" t="s">
        <v>273</v>
      </c>
      <c r="P35" s="15" t="s">
        <v>273</v>
      </c>
      <c r="Q35" s="15" t="s">
        <v>273</v>
      </c>
      <c r="R35" s="15" t="s">
        <v>273</v>
      </c>
      <c r="S35" s="15" t="s">
        <v>306</v>
      </c>
      <c r="T35" s="15" t="s">
        <v>306</v>
      </c>
      <c r="U35" s="15" t="s">
        <v>306</v>
      </c>
      <c r="V35" s="15" t="s">
        <v>306</v>
      </c>
      <c r="W35" s="15" t="s">
        <v>306</v>
      </c>
      <c r="X35" s="15" t="s">
        <v>306</v>
      </c>
      <c r="Y35" s="15" t="s">
        <v>306</v>
      </c>
      <c r="Z35" s="15" t="s">
        <v>306</v>
      </c>
      <c r="AA35" s="15" t="s">
        <v>306</v>
      </c>
      <c r="AB35" s="15" t="s">
        <v>306</v>
      </c>
      <c r="AC35" s="284">
        <v>0</v>
      </c>
      <c r="AD35" s="284">
        <v>0</v>
      </c>
      <c r="AE35" s="284">
        <v>0</v>
      </c>
      <c r="AF35" s="284">
        <v>0</v>
      </c>
      <c r="AG35" s="15">
        <v>0</v>
      </c>
      <c r="AH35" s="15">
        <v>0</v>
      </c>
      <c r="AI35" s="15">
        <v>0</v>
      </c>
      <c r="AJ35" s="15">
        <v>0</v>
      </c>
    </row>
    <row r="36" spans="1:36">
      <c r="A36" s="15" t="s">
        <v>485</v>
      </c>
      <c r="B36" s="15" t="s">
        <v>273</v>
      </c>
      <c r="C36" s="15" t="s">
        <v>273</v>
      </c>
      <c r="D36" s="15" t="s">
        <v>273</v>
      </c>
      <c r="E36" s="15" t="s">
        <v>273</v>
      </c>
      <c r="F36" s="15" t="s">
        <v>273</v>
      </c>
      <c r="G36" s="15" t="s">
        <v>273</v>
      </c>
      <c r="H36" s="15" t="s">
        <v>273</v>
      </c>
      <c r="I36" s="15" t="s">
        <v>273</v>
      </c>
      <c r="J36" s="15" t="s">
        <v>273</v>
      </c>
      <c r="K36" s="15" t="s">
        <v>273</v>
      </c>
      <c r="L36" s="15" t="s">
        <v>273</v>
      </c>
      <c r="M36" s="15" t="s">
        <v>273</v>
      </c>
      <c r="N36" s="15" t="s">
        <v>273</v>
      </c>
      <c r="O36" s="15" t="s">
        <v>273</v>
      </c>
      <c r="P36" s="15" t="s">
        <v>273</v>
      </c>
      <c r="Q36" s="15" t="s">
        <v>273</v>
      </c>
      <c r="R36" s="15" t="s">
        <v>273</v>
      </c>
      <c r="S36" s="15" t="s">
        <v>306</v>
      </c>
      <c r="T36" s="15" t="s">
        <v>306</v>
      </c>
      <c r="U36" s="15" t="s">
        <v>306</v>
      </c>
      <c r="V36" s="15" t="s">
        <v>306</v>
      </c>
      <c r="W36" s="15" t="s">
        <v>306</v>
      </c>
      <c r="X36" s="15">
        <v>3</v>
      </c>
      <c r="Y36" s="15">
        <v>3</v>
      </c>
      <c r="Z36" s="15">
        <v>3</v>
      </c>
      <c r="AA36" s="15">
        <v>3</v>
      </c>
      <c r="AB36" s="15">
        <v>3</v>
      </c>
      <c r="AC36" s="284">
        <v>1</v>
      </c>
      <c r="AD36" s="284">
        <v>1</v>
      </c>
      <c r="AE36" s="284">
        <v>1</v>
      </c>
      <c r="AF36" s="284">
        <v>1</v>
      </c>
      <c r="AG36" s="15">
        <v>1</v>
      </c>
      <c r="AH36" s="15">
        <v>1</v>
      </c>
      <c r="AI36" s="15">
        <v>1</v>
      </c>
      <c r="AJ36" s="15">
        <v>1</v>
      </c>
    </row>
    <row r="37" spans="1:36">
      <c r="A37" s="15" t="s">
        <v>484</v>
      </c>
      <c r="B37" s="15" t="s">
        <v>273</v>
      </c>
      <c r="C37" s="15" t="s">
        <v>273</v>
      </c>
      <c r="D37" s="15" t="s">
        <v>273</v>
      </c>
      <c r="E37" s="15" t="s">
        <v>273</v>
      </c>
      <c r="F37" s="15" t="s">
        <v>273</v>
      </c>
      <c r="G37" s="15" t="s">
        <v>273</v>
      </c>
      <c r="H37" s="15" t="s">
        <v>273</v>
      </c>
      <c r="I37" s="15" t="s">
        <v>33</v>
      </c>
      <c r="J37" s="15" t="s">
        <v>33</v>
      </c>
      <c r="K37" s="15" t="s">
        <v>33</v>
      </c>
      <c r="L37" s="15" t="s">
        <v>291</v>
      </c>
      <c r="M37" s="15" t="s">
        <v>291</v>
      </c>
      <c r="N37" s="15" t="s">
        <v>291</v>
      </c>
      <c r="O37" s="15">
        <v>206</v>
      </c>
      <c r="P37" s="15">
        <v>271</v>
      </c>
      <c r="Q37" s="15">
        <v>702</v>
      </c>
      <c r="R37" s="15">
        <v>873</v>
      </c>
      <c r="S37" s="15">
        <v>823</v>
      </c>
      <c r="T37" s="15">
        <v>896</v>
      </c>
      <c r="U37" s="15">
        <v>1019</v>
      </c>
      <c r="V37" s="15">
        <v>1703</v>
      </c>
      <c r="W37" s="15">
        <v>2006</v>
      </c>
      <c r="X37" s="15">
        <v>2788</v>
      </c>
      <c r="Y37" s="15">
        <v>3002</v>
      </c>
      <c r="Z37" s="15">
        <v>4166</v>
      </c>
      <c r="AA37" s="15">
        <v>5480</v>
      </c>
      <c r="AB37" s="15" t="s">
        <v>291</v>
      </c>
      <c r="AC37" s="284" t="s">
        <v>291</v>
      </c>
      <c r="AD37" s="284" t="s">
        <v>291</v>
      </c>
      <c r="AE37" s="284" t="s">
        <v>291</v>
      </c>
      <c r="AF37" s="284" t="s">
        <v>291</v>
      </c>
      <c r="AG37" s="15" t="s">
        <v>291</v>
      </c>
      <c r="AH37" s="15" t="s">
        <v>291</v>
      </c>
      <c r="AI37" s="15" t="s">
        <v>291</v>
      </c>
      <c r="AJ37" s="15" t="s">
        <v>291</v>
      </c>
    </row>
    <row r="38" spans="1:36">
      <c r="A38" s="15" t="s">
        <v>483</v>
      </c>
      <c r="B38" s="15" t="s">
        <v>273</v>
      </c>
      <c r="C38" s="15" t="s">
        <v>273</v>
      </c>
      <c r="D38" s="15" t="s">
        <v>273</v>
      </c>
      <c r="E38" s="15" t="s">
        <v>273</v>
      </c>
      <c r="F38" s="15" t="s">
        <v>273</v>
      </c>
      <c r="G38" s="15" t="s">
        <v>273</v>
      </c>
      <c r="H38" s="15" t="s">
        <v>273</v>
      </c>
      <c r="I38" s="15" t="s">
        <v>273</v>
      </c>
      <c r="J38" s="15" t="s">
        <v>273</v>
      </c>
      <c r="K38" s="15" t="s">
        <v>273</v>
      </c>
      <c r="L38" s="15" t="s">
        <v>273</v>
      </c>
      <c r="M38" s="15" t="s">
        <v>273</v>
      </c>
      <c r="N38" s="15">
        <v>0</v>
      </c>
      <c r="O38" s="15">
        <v>0</v>
      </c>
      <c r="P38" s="15">
        <v>0</v>
      </c>
      <c r="Q38" s="15">
        <v>0</v>
      </c>
      <c r="R38" s="15" t="s">
        <v>291</v>
      </c>
      <c r="S38" s="15">
        <v>4</v>
      </c>
      <c r="T38" s="15">
        <v>7</v>
      </c>
      <c r="U38" s="15">
        <v>6</v>
      </c>
      <c r="V38" s="15" t="s">
        <v>306</v>
      </c>
      <c r="W38" s="15" t="s">
        <v>306</v>
      </c>
      <c r="X38" s="15" t="s">
        <v>291</v>
      </c>
      <c r="Y38" s="15">
        <v>13</v>
      </c>
      <c r="Z38" s="15">
        <v>14</v>
      </c>
      <c r="AA38" s="15">
        <v>16</v>
      </c>
      <c r="AB38" s="15">
        <v>17</v>
      </c>
      <c r="AC38" s="284">
        <v>10</v>
      </c>
      <c r="AD38" s="284">
        <v>10</v>
      </c>
      <c r="AE38" s="284">
        <v>10</v>
      </c>
      <c r="AF38" s="284">
        <v>10</v>
      </c>
      <c r="AG38" s="15">
        <v>10</v>
      </c>
      <c r="AH38" s="15">
        <v>10</v>
      </c>
      <c r="AI38" s="15">
        <v>10</v>
      </c>
      <c r="AJ38" s="15">
        <v>10</v>
      </c>
    </row>
    <row r="39" spans="1:36">
      <c r="A39" s="15" t="s">
        <v>482</v>
      </c>
      <c r="B39" s="15" t="s">
        <v>273</v>
      </c>
      <c r="C39" s="15" t="s">
        <v>273</v>
      </c>
      <c r="D39" s="15" t="s">
        <v>273</v>
      </c>
      <c r="E39" s="15" t="s">
        <v>273</v>
      </c>
      <c r="F39" s="15" t="s">
        <v>273</v>
      </c>
      <c r="G39" s="15" t="s">
        <v>273</v>
      </c>
      <c r="H39" s="15" t="s">
        <v>273</v>
      </c>
      <c r="I39" s="15" t="s">
        <v>33</v>
      </c>
      <c r="J39" s="15" t="s">
        <v>33</v>
      </c>
      <c r="K39" s="15" t="s">
        <v>33</v>
      </c>
      <c r="L39" s="15">
        <v>0</v>
      </c>
      <c r="M39" s="15">
        <v>0</v>
      </c>
      <c r="N39" s="15">
        <v>1</v>
      </c>
      <c r="O39" s="15">
        <v>-4</v>
      </c>
      <c r="P39" s="15">
        <v>-5</v>
      </c>
      <c r="Q39" s="15">
        <v>-7</v>
      </c>
      <c r="R39" s="15" t="s">
        <v>291</v>
      </c>
      <c r="S39" s="15">
        <v>-38</v>
      </c>
      <c r="T39" s="15">
        <v>-3</v>
      </c>
      <c r="U39" s="15">
        <v>7</v>
      </c>
      <c r="V39" s="15">
        <v>7</v>
      </c>
      <c r="W39" s="15">
        <v>7</v>
      </c>
      <c r="X39" s="15" t="s">
        <v>291</v>
      </c>
      <c r="Y39" s="15">
        <v>5</v>
      </c>
      <c r="Z39" s="15">
        <v>2</v>
      </c>
      <c r="AA39" s="15" t="s">
        <v>306</v>
      </c>
      <c r="AB39" s="15">
        <v>-2</v>
      </c>
      <c r="AC39" s="284">
        <v>6</v>
      </c>
      <c r="AD39" s="284">
        <v>6</v>
      </c>
      <c r="AE39" s="284">
        <v>6</v>
      </c>
      <c r="AF39" s="284">
        <v>6</v>
      </c>
      <c r="AG39" s="15">
        <v>6</v>
      </c>
      <c r="AH39" s="15">
        <v>6</v>
      </c>
      <c r="AI39" s="15">
        <v>6</v>
      </c>
      <c r="AJ39" s="15">
        <v>6</v>
      </c>
    </row>
    <row r="40" spans="1:36">
      <c r="A40" s="15" t="s">
        <v>481</v>
      </c>
      <c r="B40" s="15" t="s">
        <v>273</v>
      </c>
      <c r="C40" s="15" t="s">
        <v>273</v>
      </c>
      <c r="D40" s="15" t="s">
        <v>273</v>
      </c>
      <c r="E40" s="15" t="s">
        <v>273</v>
      </c>
      <c r="F40" s="15" t="s">
        <v>273</v>
      </c>
      <c r="G40" s="15" t="s">
        <v>273</v>
      </c>
      <c r="H40" s="15" t="s">
        <v>273</v>
      </c>
      <c r="I40" s="15">
        <v>0</v>
      </c>
      <c r="J40" s="15">
        <v>0</v>
      </c>
      <c r="K40" s="15">
        <v>0</v>
      </c>
      <c r="L40" s="15">
        <v>0</v>
      </c>
      <c r="M40" s="15">
        <v>0</v>
      </c>
      <c r="N40" s="15">
        <v>10</v>
      </c>
      <c r="O40" s="15">
        <v>20</v>
      </c>
      <c r="P40" s="15">
        <v>18</v>
      </c>
      <c r="Q40" s="15">
        <v>22</v>
      </c>
      <c r="R40" s="15">
        <v>21</v>
      </c>
      <c r="S40" s="15">
        <v>106</v>
      </c>
      <c r="T40" s="15">
        <v>115</v>
      </c>
      <c r="U40" s="15">
        <v>107</v>
      </c>
      <c r="V40" s="15">
        <v>142</v>
      </c>
      <c r="W40" s="15">
        <v>186</v>
      </c>
      <c r="X40" s="15">
        <v>386</v>
      </c>
      <c r="Y40" s="15">
        <v>342</v>
      </c>
      <c r="Z40" s="15">
        <v>232</v>
      </c>
      <c r="AA40" s="15">
        <v>662</v>
      </c>
      <c r="AB40" s="15">
        <v>527</v>
      </c>
      <c r="AC40" s="284">
        <v>338</v>
      </c>
      <c r="AD40" s="284">
        <v>360</v>
      </c>
      <c r="AE40" s="284" t="s">
        <v>291</v>
      </c>
      <c r="AF40" s="284">
        <v>439</v>
      </c>
      <c r="AG40" s="15">
        <v>465</v>
      </c>
      <c r="AH40" s="15">
        <v>485</v>
      </c>
      <c r="AI40" s="15">
        <v>436</v>
      </c>
      <c r="AJ40" s="15">
        <v>451</v>
      </c>
    </row>
    <row r="41" spans="1:36">
      <c r="A41" s="15" t="s">
        <v>480</v>
      </c>
      <c r="B41" s="15" t="s">
        <v>273</v>
      </c>
      <c r="C41" s="15" t="s">
        <v>273</v>
      </c>
      <c r="D41" s="15" t="s">
        <v>273</v>
      </c>
      <c r="E41" s="15" t="s">
        <v>273</v>
      </c>
      <c r="F41" s="15" t="s">
        <v>273</v>
      </c>
      <c r="G41" s="15" t="s">
        <v>273</v>
      </c>
      <c r="H41" s="15" t="s">
        <v>273</v>
      </c>
      <c r="I41" s="15" t="s">
        <v>33</v>
      </c>
      <c r="J41" s="15" t="s">
        <v>33</v>
      </c>
      <c r="K41" s="15" t="s">
        <v>33</v>
      </c>
      <c r="L41" s="15" t="s">
        <v>306</v>
      </c>
      <c r="M41" s="15">
        <v>0</v>
      </c>
      <c r="N41" s="15">
        <v>0</v>
      </c>
      <c r="O41" s="15">
        <v>0</v>
      </c>
      <c r="P41" s="15">
        <v>0</v>
      </c>
      <c r="Q41" s="15">
        <v>0</v>
      </c>
      <c r="R41" s="15">
        <v>0</v>
      </c>
      <c r="S41" s="15">
        <v>33</v>
      </c>
      <c r="T41" s="15">
        <v>34</v>
      </c>
      <c r="U41" s="15">
        <v>50</v>
      </c>
      <c r="V41" s="15">
        <v>78</v>
      </c>
      <c r="W41" s="15">
        <v>38</v>
      </c>
      <c r="X41" s="15">
        <v>62</v>
      </c>
      <c r="Y41" s="15">
        <v>61</v>
      </c>
      <c r="Z41" s="15">
        <v>61</v>
      </c>
      <c r="AA41" s="15">
        <v>83</v>
      </c>
      <c r="AB41" s="15">
        <v>88</v>
      </c>
      <c r="AC41" s="284">
        <v>76</v>
      </c>
      <c r="AD41" s="284">
        <v>-28</v>
      </c>
      <c r="AE41" s="284">
        <v>-37</v>
      </c>
      <c r="AF41" s="284">
        <v>150</v>
      </c>
      <c r="AG41" s="15">
        <v>143</v>
      </c>
      <c r="AH41" s="15" t="s">
        <v>291</v>
      </c>
      <c r="AI41" s="15">
        <v>89</v>
      </c>
      <c r="AJ41" s="15">
        <v>4</v>
      </c>
    </row>
    <row r="42" spans="1:36">
      <c r="A42" s="15" t="s">
        <v>479</v>
      </c>
      <c r="B42" s="15">
        <v>19</v>
      </c>
      <c r="C42" s="15">
        <v>22</v>
      </c>
      <c r="D42" s="15">
        <v>20</v>
      </c>
      <c r="E42" s="15">
        <v>21</v>
      </c>
      <c r="F42" s="15">
        <v>15</v>
      </c>
      <c r="G42" s="15">
        <v>16</v>
      </c>
      <c r="H42" s="15">
        <v>16</v>
      </c>
      <c r="I42" s="15">
        <v>26</v>
      </c>
      <c r="J42" s="15">
        <v>40</v>
      </c>
      <c r="K42" s="15">
        <v>39</v>
      </c>
      <c r="L42" s="15">
        <v>24</v>
      </c>
      <c r="M42" s="15">
        <v>32</v>
      </c>
      <c r="N42" s="15">
        <v>32</v>
      </c>
      <c r="O42" s="15">
        <v>28</v>
      </c>
      <c r="P42" s="15">
        <v>36</v>
      </c>
      <c r="Q42" s="15">
        <v>43</v>
      </c>
      <c r="R42" s="15">
        <v>44</v>
      </c>
      <c r="S42" s="15">
        <v>85</v>
      </c>
      <c r="T42" s="15">
        <v>92</v>
      </c>
      <c r="U42" s="15">
        <v>292</v>
      </c>
      <c r="V42" s="15">
        <v>238</v>
      </c>
      <c r="W42" s="15">
        <v>257</v>
      </c>
      <c r="X42" s="15">
        <v>12</v>
      </c>
      <c r="Y42" s="15">
        <v>248</v>
      </c>
      <c r="Z42" s="15">
        <v>597</v>
      </c>
      <c r="AA42" s="15" t="s">
        <v>291</v>
      </c>
      <c r="AB42" s="15">
        <v>1250</v>
      </c>
      <c r="AC42" s="284">
        <v>1555</v>
      </c>
      <c r="AD42" s="284">
        <v>1653</v>
      </c>
      <c r="AE42" s="284">
        <v>1934</v>
      </c>
      <c r="AF42" s="284">
        <v>1837</v>
      </c>
      <c r="AG42" s="15">
        <v>1943</v>
      </c>
      <c r="AH42" s="15">
        <v>2089</v>
      </c>
      <c r="AI42" s="15">
        <v>2030</v>
      </c>
      <c r="AJ42" s="15">
        <v>1625</v>
      </c>
    </row>
    <row r="43" spans="1:36">
      <c r="A43" s="15" t="s">
        <v>478</v>
      </c>
      <c r="B43" s="15" t="s">
        <v>273</v>
      </c>
      <c r="C43" s="15" t="s">
        <v>273</v>
      </c>
      <c r="D43" s="15" t="s">
        <v>273</v>
      </c>
      <c r="E43" s="15" t="s">
        <v>273</v>
      </c>
      <c r="F43" s="15" t="s">
        <v>273</v>
      </c>
      <c r="G43" s="15" t="s">
        <v>273</v>
      </c>
      <c r="H43" s="15" t="s">
        <v>273</v>
      </c>
      <c r="I43" s="15" t="s">
        <v>33</v>
      </c>
      <c r="J43" s="15" t="s">
        <v>33</v>
      </c>
      <c r="K43" s="15" t="s">
        <v>33</v>
      </c>
      <c r="L43" s="15" t="s">
        <v>33</v>
      </c>
      <c r="M43" s="15">
        <v>157</v>
      </c>
      <c r="N43" s="15">
        <v>487</v>
      </c>
      <c r="O43" s="15">
        <v>526</v>
      </c>
      <c r="P43" s="15">
        <v>511</v>
      </c>
      <c r="Q43" s="15">
        <v>409</v>
      </c>
      <c r="R43" s="15">
        <v>500</v>
      </c>
      <c r="S43" s="15" t="s">
        <v>273</v>
      </c>
      <c r="T43" s="15" t="s">
        <v>273</v>
      </c>
      <c r="U43" s="15" t="s">
        <v>273</v>
      </c>
      <c r="V43" s="15" t="s">
        <v>273</v>
      </c>
      <c r="W43" s="15" t="s">
        <v>273</v>
      </c>
      <c r="X43" s="15" t="s">
        <v>273</v>
      </c>
      <c r="Y43" s="15" t="s">
        <v>273</v>
      </c>
      <c r="Z43" s="15" t="s">
        <v>273</v>
      </c>
      <c r="AA43" s="15" t="s">
        <v>273</v>
      </c>
      <c r="AB43" s="15" t="s">
        <v>273</v>
      </c>
      <c r="AC43" s="284"/>
      <c r="AD43" s="284"/>
      <c r="AE43" s="284"/>
      <c r="AF43" s="284"/>
    </row>
    <row r="44" spans="1:36">
      <c r="A44" s="15" t="s">
        <v>477</v>
      </c>
      <c r="B44" s="15" t="s">
        <v>273</v>
      </c>
      <c r="C44" s="15" t="s">
        <v>273</v>
      </c>
      <c r="D44" s="15" t="s">
        <v>273</v>
      </c>
      <c r="E44" s="15" t="s">
        <v>273</v>
      </c>
      <c r="F44" s="15" t="s">
        <v>273</v>
      </c>
      <c r="G44" s="15" t="s">
        <v>273</v>
      </c>
      <c r="H44" s="15" t="s">
        <v>273</v>
      </c>
      <c r="I44" s="15">
        <v>0</v>
      </c>
      <c r="J44" s="15" t="s">
        <v>306</v>
      </c>
      <c r="K44" s="15" t="s">
        <v>291</v>
      </c>
      <c r="L44" s="15">
        <v>141</v>
      </c>
      <c r="M44" s="15" t="s">
        <v>33</v>
      </c>
      <c r="N44" s="15" t="s">
        <v>273</v>
      </c>
      <c r="O44" s="15" t="s">
        <v>273</v>
      </c>
      <c r="P44" s="15" t="s">
        <v>273</v>
      </c>
      <c r="Q44" s="15" t="s">
        <v>273</v>
      </c>
      <c r="R44" s="15" t="s">
        <v>273</v>
      </c>
      <c r="S44" s="15" t="s">
        <v>273</v>
      </c>
      <c r="T44" s="15" t="s">
        <v>273</v>
      </c>
      <c r="U44" s="15" t="s">
        <v>273</v>
      </c>
      <c r="V44" s="15" t="s">
        <v>273</v>
      </c>
      <c r="W44" s="15" t="s">
        <v>273</v>
      </c>
      <c r="X44" s="15" t="s">
        <v>273</v>
      </c>
      <c r="Y44" s="15" t="s">
        <v>273</v>
      </c>
      <c r="Z44" s="15" t="s">
        <v>273</v>
      </c>
      <c r="AA44" s="15" t="s">
        <v>273</v>
      </c>
      <c r="AB44" s="15" t="s">
        <v>273</v>
      </c>
      <c r="AC44" s="284"/>
      <c r="AD44" s="284"/>
      <c r="AE44" s="284"/>
      <c r="AF44" s="284"/>
    </row>
    <row r="45" spans="1:36">
      <c r="A45" s="15" t="s">
        <v>476</v>
      </c>
      <c r="B45" s="15" t="s">
        <v>273</v>
      </c>
      <c r="C45" s="15" t="s">
        <v>273</v>
      </c>
      <c r="D45" s="15" t="s">
        <v>273</v>
      </c>
      <c r="E45" s="15" t="s">
        <v>273</v>
      </c>
      <c r="F45" s="15" t="s">
        <v>273</v>
      </c>
      <c r="G45" s="15" t="s">
        <v>273</v>
      </c>
      <c r="H45" s="15" t="s">
        <v>273</v>
      </c>
      <c r="I45" s="15" t="s">
        <v>33</v>
      </c>
      <c r="J45" s="15" t="s">
        <v>33</v>
      </c>
      <c r="K45" s="15">
        <v>0</v>
      </c>
      <c r="L45" s="15">
        <v>0</v>
      </c>
      <c r="M45" s="15">
        <v>0</v>
      </c>
      <c r="N45" s="15" t="s">
        <v>291</v>
      </c>
      <c r="O45" s="15" t="s">
        <v>291</v>
      </c>
      <c r="P45" s="15" t="s">
        <v>291</v>
      </c>
      <c r="Q45" s="15" t="s">
        <v>291</v>
      </c>
      <c r="R45" s="15" t="s">
        <v>291</v>
      </c>
      <c r="S45" s="15">
        <v>43</v>
      </c>
      <c r="T45" s="15">
        <v>24</v>
      </c>
      <c r="U45" s="15">
        <v>37</v>
      </c>
      <c r="V45" s="15">
        <v>33</v>
      </c>
      <c r="W45" s="15">
        <v>15</v>
      </c>
      <c r="X45" s="15">
        <v>27</v>
      </c>
      <c r="Y45" s="15">
        <v>28</v>
      </c>
      <c r="Z45" s="15">
        <v>30</v>
      </c>
      <c r="AA45" s="15">
        <v>32</v>
      </c>
      <c r="AB45" s="15">
        <v>12</v>
      </c>
      <c r="AC45" s="284" t="s">
        <v>291</v>
      </c>
      <c r="AD45" s="284" t="s">
        <v>291</v>
      </c>
      <c r="AE45" s="284">
        <v>60</v>
      </c>
      <c r="AF45" s="284">
        <v>111</v>
      </c>
      <c r="AG45" s="15">
        <v>146</v>
      </c>
      <c r="AH45" s="15" t="s">
        <v>291</v>
      </c>
      <c r="AI45" s="15">
        <v>133</v>
      </c>
      <c r="AJ45" s="15">
        <v>134</v>
      </c>
    </row>
    <row r="46" spans="1:36">
      <c r="A46" s="15" t="s">
        <v>475</v>
      </c>
      <c r="B46" s="15" t="s">
        <v>273</v>
      </c>
      <c r="C46" s="15" t="s">
        <v>273</v>
      </c>
      <c r="D46" s="15" t="s">
        <v>273</v>
      </c>
      <c r="E46" s="15" t="s">
        <v>273</v>
      </c>
      <c r="F46" s="15" t="s">
        <v>273</v>
      </c>
      <c r="G46" s="15" t="s">
        <v>273</v>
      </c>
      <c r="H46" s="15" t="s">
        <v>273</v>
      </c>
      <c r="I46" s="15" t="s">
        <v>273</v>
      </c>
      <c r="J46" s="15" t="s">
        <v>273</v>
      </c>
      <c r="K46" s="15" t="s">
        <v>273</v>
      </c>
      <c r="L46" s="15" t="s">
        <v>273</v>
      </c>
      <c r="M46" s="15" t="s">
        <v>273</v>
      </c>
      <c r="N46" s="15">
        <v>0</v>
      </c>
      <c r="O46" s="15">
        <v>0</v>
      </c>
      <c r="P46" s="15">
        <v>0</v>
      </c>
      <c r="Q46" s="15">
        <v>0</v>
      </c>
      <c r="R46" s="15">
        <v>0</v>
      </c>
      <c r="S46" s="15" t="s">
        <v>291</v>
      </c>
      <c r="T46" s="15" t="s">
        <v>291</v>
      </c>
      <c r="U46" s="15" t="s">
        <v>291</v>
      </c>
      <c r="V46" s="15">
        <v>350</v>
      </c>
      <c r="W46" s="15">
        <v>62</v>
      </c>
      <c r="X46" s="15">
        <v>65</v>
      </c>
      <c r="Y46" s="15">
        <v>82</v>
      </c>
      <c r="Z46" s="15" t="s">
        <v>291</v>
      </c>
      <c r="AA46" s="15">
        <v>2</v>
      </c>
      <c r="AB46" s="15">
        <v>3</v>
      </c>
      <c r="AC46" s="284">
        <v>1</v>
      </c>
      <c r="AD46" s="284">
        <v>1</v>
      </c>
      <c r="AE46" s="284">
        <v>1</v>
      </c>
      <c r="AF46" s="284">
        <v>1</v>
      </c>
      <c r="AG46" s="15">
        <v>1</v>
      </c>
      <c r="AH46" s="15">
        <v>1</v>
      </c>
      <c r="AI46" s="15">
        <v>-1</v>
      </c>
      <c r="AJ46" s="15">
        <v>-2</v>
      </c>
    </row>
    <row r="47" spans="1:36">
      <c r="A47" s="15" t="s">
        <v>474</v>
      </c>
      <c r="B47" s="15">
        <v>0</v>
      </c>
      <c r="C47" s="15" t="s">
        <v>306</v>
      </c>
      <c r="D47" s="15" t="s">
        <v>306</v>
      </c>
      <c r="E47" s="15" t="s">
        <v>306</v>
      </c>
      <c r="F47" s="15" t="s">
        <v>306</v>
      </c>
      <c r="G47" s="15" t="s">
        <v>306</v>
      </c>
      <c r="H47" s="15">
        <v>1</v>
      </c>
      <c r="I47" s="15" t="s">
        <v>291</v>
      </c>
      <c r="J47" s="15" t="s">
        <v>291</v>
      </c>
      <c r="K47" s="15" t="s">
        <v>291</v>
      </c>
      <c r="L47" s="15" t="s">
        <v>291</v>
      </c>
      <c r="M47" s="15" t="s">
        <v>291</v>
      </c>
      <c r="N47" s="15" t="s">
        <v>291</v>
      </c>
      <c r="O47" s="15" t="s">
        <v>291</v>
      </c>
      <c r="P47" s="15" t="s">
        <v>291</v>
      </c>
      <c r="Q47" s="15" t="s">
        <v>291</v>
      </c>
      <c r="R47" s="15" t="s">
        <v>291</v>
      </c>
      <c r="S47" s="15">
        <v>23</v>
      </c>
      <c r="T47" s="15" t="s">
        <v>291</v>
      </c>
      <c r="U47" s="15" t="s">
        <v>291</v>
      </c>
      <c r="V47" s="15">
        <v>565</v>
      </c>
      <c r="W47" s="15">
        <v>625</v>
      </c>
      <c r="X47" s="15">
        <v>1768</v>
      </c>
      <c r="Y47" s="15">
        <v>1584</v>
      </c>
      <c r="Z47" s="15">
        <v>2643</v>
      </c>
      <c r="AA47" s="15">
        <v>15081</v>
      </c>
      <c r="AB47" s="15">
        <v>19347</v>
      </c>
      <c r="AC47" s="284">
        <v>25573</v>
      </c>
      <c r="AD47" s="284">
        <v>24630</v>
      </c>
      <c r="AE47" s="284">
        <v>34878</v>
      </c>
      <c r="AF47" s="284">
        <v>41232</v>
      </c>
      <c r="AG47" s="15">
        <v>43187</v>
      </c>
      <c r="AH47" s="15">
        <v>29088</v>
      </c>
      <c r="AI47" s="15">
        <v>22620</v>
      </c>
      <c r="AJ47" s="15">
        <v>14851</v>
      </c>
    </row>
    <row r="48" spans="1:36">
      <c r="A48" s="15" t="s">
        <v>473</v>
      </c>
      <c r="B48" s="15">
        <v>0</v>
      </c>
      <c r="C48" s="15">
        <v>0</v>
      </c>
      <c r="D48" s="15">
        <v>0</v>
      </c>
      <c r="E48" s="15">
        <v>-2</v>
      </c>
      <c r="F48" s="15" t="s">
        <v>291</v>
      </c>
      <c r="G48" s="15" t="s">
        <v>291</v>
      </c>
      <c r="H48" s="15" t="s">
        <v>291</v>
      </c>
      <c r="I48" s="15">
        <v>4</v>
      </c>
      <c r="J48" s="15">
        <v>2</v>
      </c>
      <c r="K48" s="15">
        <v>2</v>
      </c>
      <c r="L48" s="15">
        <v>3</v>
      </c>
      <c r="M48" s="15">
        <v>3</v>
      </c>
      <c r="N48" s="15" t="s">
        <v>273</v>
      </c>
      <c r="O48" s="15" t="s">
        <v>273</v>
      </c>
      <c r="P48" s="15" t="s">
        <v>273</v>
      </c>
      <c r="Q48" s="15" t="s">
        <v>273</v>
      </c>
      <c r="R48" s="15" t="s">
        <v>273</v>
      </c>
      <c r="S48" s="15" t="s">
        <v>306</v>
      </c>
      <c r="T48" s="15" t="s">
        <v>306</v>
      </c>
      <c r="U48" s="15" t="s">
        <v>306</v>
      </c>
      <c r="V48" s="15" t="s">
        <v>306</v>
      </c>
      <c r="W48" s="15" t="s">
        <v>306</v>
      </c>
      <c r="X48" s="15" t="s">
        <v>273</v>
      </c>
      <c r="Y48" s="15" t="s">
        <v>273</v>
      </c>
      <c r="Z48" s="15" t="s">
        <v>273</v>
      </c>
      <c r="AA48" s="15" t="s">
        <v>273</v>
      </c>
      <c r="AB48" s="15" t="s">
        <v>273</v>
      </c>
      <c r="AC48" s="284">
        <v>0</v>
      </c>
      <c r="AD48" s="284">
        <v>0</v>
      </c>
      <c r="AE48" s="284">
        <v>0</v>
      </c>
      <c r="AF48" s="284">
        <v>0</v>
      </c>
      <c r="AG48" s="15">
        <v>0</v>
      </c>
      <c r="AH48" s="15">
        <v>0</v>
      </c>
      <c r="AI48" s="15">
        <v>0</v>
      </c>
      <c r="AJ48" s="15">
        <v>0</v>
      </c>
    </row>
    <row r="49" spans="1:36">
      <c r="A49" s="15" t="s">
        <v>472</v>
      </c>
      <c r="B49" s="15">
        <v>0</v>
      </c>
      <c r="C49" s="15">
        <v>0</v>
      </c>
      <c r="D49" s="15">
        <v>0</v>
      </c>
      <c r="E49" s="15">
        <v>0</v>
      </c>
      <c r="F49" s="15" t="s">
        <v>291</v>
      </c>
      <c r="G49" s="15" t="s">
        <v>291</v>
      </c>
      <c r="H49" s="15" t="s">
        <v>291</v>
      </c>
      <c r="I49" s="15" t="s">
        <v>291</v>
      </c>
      <c r="J49" s="15">
        <v>119</v>
      </c>
      <c r="K49" s="15">
        <v>189</v>
      </c>
      <c r="L49" s="15">
        <v>254</v>
      </c>
      <c r="M49" s="15">
        <v>1053</v>
      </c>
      <c r="N49" s="15">
        <v>1066</v>
      </c>
      <c r="O49" s="15">
        <v>1487</v>
      </c>
      <c r="P49" s="15">
        <v>1843</v>
      </c>
      <c r="Q49" s="15">
        <v>1168</v>
      </c>
      <c r="R49" s="15">
        <v>1485</v>
      </c>
      <c r="S49" s="15" t="s">
        <v>273</v>
      </c>
      <c r="T49" s="15" t="s">
        <v>273</v>
      </c>
      <c r="U49" s="15" t="s">
        <v>273</v>
      </c>
      <c r="V49" s="15" t="s">
        <v>273</v>
      </c>
      <c r="W49" s="15" t="s">
        <v>273</v>
      </c>
      <c r="X49" s="15" t="s">
        <v>273</v>
      </c>
      <c r="Y49" s="15" t="s">
        <v>273</v>
      </c>
      <c r="Z49" s="15" t="s">
        <v>273</v>
      </c>
      <c r="AA49" s="15" t="s">
        <v>273</v>
      </c>
      <c r="AB49" s="15" t="s">
        <v>273</v>
      </c>
      <c r="AC49" s="284" t="s">
        <v>291</v>
      </c>
      <c r="AD49" s="284" t="s">
        <v>291</v>
      </c>
      <c r="AE49" s="284" t="s">
        <v>291</v>
      </c>
      <c r="AF49" s="284" t="s">
        <v>291</v>
      </c>
      <c r="AG49" s="15" t="s">
        <v>291</v>
      </c>
      <c r="AH49" s="15" t="s">
        <v>291</v>
      </c>
      <c r="AI49" s="15" t="s">
        <v>291</v>
      </c>
      <c r="AJ49" s="15">
        <v>85</v>
      </c>
    </row>
    <row r="50" spans="1:36">
      <c r="A50" s="15" t="s">
        <v>471</v>
      </c>
      <c r="B50" s="15">
        <v>6</v>
      </c>
      <c r="C50" s="15">
        <v>7</v>
      </c>
      <c r="D50" s="15">
        <v>8</v>
      </c>
      <c r="E50" s="15">
        <v>9</v>
      </c>
      <c r="F50" s="15">
        <v>10</v>
      </c>
      <c r="G50" s="15">
        <v>10</v>
      </c>
      <c r="H50" s="15">
        <v>11</v>
      </c>
      <c r="I50" s="15">
        <v>19</v>
      </c>
      <c r="J50" s="15">
        <v>26</v>
      </c>
      <c r="K50" s="15">
        <v>31</v>
      </c>
      <c r="L50" s="15">
        <v>30</v>
      </c>
      <c r="M50" s="15">
        <v>34</v>
      </c>
      <c r="N50" s="15" t="s">
        <v>306</v>
      </c>
      <c r="O50" s="15" t="s">
        <v>306</v>
      </c>
      <c r="P50" s="15" t="s">
        <v>306</v>
      </c>
      <c r="Q50" s="15">
        <v>1</v>
      </c>
      <c r="R50" s="15">
        <v>1</v>
      </c>
      <c r="S50" s="15" t="s">
        <v>291</v>
      </c>
      <c r="T50" s="15">
        <v>26</v>
      </c>
      <c r="U50" s="15">
        <v>12</v>
      </c>
      <c r="V50" s="15">
        <v>4</v>
      </c>
      <c r="W50" s="15">
        <v>5</v>
      </c>
      <c r="X50" s="15">
        <v>10</v>
      </c>
      <c r="Y50" s="15">
        <v>10</v>
      </c>
      <c r="Z50" s="15" t="s">
        <v>291</v>
      </c>
      <c r="AA50" s="15" t="s">
        <v>291</v>
      </c>
      <c r="AB50" s="15" t="s">
        <v>291</v>
      </c>
      <c r="AC50" s="284">
        <v>7501</v>
      </c>
      <c r="AD50" s="284">
        <v>9314</v>
      </c>
      <c r="AE50" s="284">
        <v>11754</v>
      </c>
      <c r="AF50" s="284">
        <v>12512</v>
      </c>
      <c r="AG50" s="15" t="s">
        <v>291</v>
      </c>
      <c r="AH50" s="15" t="s">
        <v>291</v>
      </c>
      <c r="AI50" s="15" t="s">
        <v>291</v>
      </c>
      <c r="AJ50" s="15" t="s">
        <v>291</v>
      </c>
    </row>
    <row r="51" spans="1:36">
      <c r="A51" s="15" t="s">
        <v>470</v>
      </c>
      <c r="B51" s="15" t="s">
        <v>273</v>
      </c>
      <c r="C51" s="15" t="s">
        <v>273</v>
      </c>
      <c r="D51" s="15" t="s">
        <v>273</v>
      </c>
      <c r="E51" s="15" t="s">
        <v>273</v>
      </c>
      <c r="F51" s="15" t="s">
        <v>273</v>
      </c>
      <c r="G51" s="15" t="s">
        <v>273</v>
      </c>
      <c r="H51" s="15" t="s">
        <v>273</v>
      </c>
      <c r="I51" s="15" t="s">
        <v>33</v>
      </c>
      <c r="J51" s="15" t="s">
        <v>33</v>
      </c>
      <c r="K51" s="15" t="s">
        <v>33</v>
      </c>
      <c r="L51" s="15" t="s">
        <v>291</v>
      </c>
      <c r="M51" s="15" t="s">
        <v>291</v>
      </c>
      <c r="N51" s="15" t="s">
        <v>291</v>
      </c>
      <c r="O51" s="15" t="s">
        <v>291</v>
      </c>
      <c r="P51" s="15">
        <v>1384</v>
      </c>
      <c r="Q51" s="15">
        <v>1454</v>
      </c>
      <c r="R51" s="15">
        <v>2522</v>
      </c>
      <c r="S51" s="15">
        <v>4128</v>
      </c>
      <c r="T51" s="15">
        <v>4580</v>
      </c>
      <c r="U51" s="15">
        <v>5246</v>
      </c>
      <c r="V51" s="15">
        <v>4502</v>
      </c>
      <c r="W51" s="15">
        <v>4935</v>
      </c>
      <c r="X51" s="15">
        <v>4754</v>
      </c>
      <c r="Y51" s="15">
        <v>4565</v>
      </c>
      <c r="Z51" s="15">
        <v>5187</v>
      </c>
      <c r="AA51" s="15" t="s">
        <v>291</v>
      </c>
      <c r="AB51" s="15">
        <v>6548</v>
      </c>
      <c r="AC51" s="284">
        <v>0</v>
      </c>
      <c r="AD51" s="284">
        <v>0</v>
      </c>
      <c r="AE51" s="284">
        <v>0</v>
      </c>
      <c r="AF51" s="284">
        <v>0</v>
      </c>
      <c r="AG51" s="15">
        <v>0</v>
      </c>
      <c r="AH51" s="15">
        <v>0</v>
      </c>
      <c r="AI51" s="15">
        <v>0</v>
      </c>
      <c r="AJ51" s="15">
        <v>0</v>
      </c>
    </row>
    <row r="52" spans="1:36">
      <c r="A52" s="15" t="s">
        <v>469</v>
      </c>
      <c r="B52" s="15" t="s">
        <v>273</v>
      </c>
      <c r="C52" s="15" t="s">
        <v>273</v>
      </c>
      <c r="D52" s="15" t="s">
        <v>273</v>
      </c>
      <c r="E52" s="15" t="s">
        <v>273</v>
      </c>
      <c r="F52" s="15" t="s">
        <v>273</v>
      </c>
      <c r="G52" s="15" t="s">
        <v>273</v>
      </c>
      <c r="H52" s="15" t="s">
        <v>273</v>
      </c>
      <c r="I52" s="15" t="s">
        <v>273</v>
      </c>
      <c r="J52" s="15" t="s">
        <v>273</v>
      </c>
      <c r="K52" s="15" t="s">
        <v>273</v>
      </c>
      <c r="L52" s="15" t="s">
        <v>273</v>
      </c>
      <c r="M52" s="15" t="s">
        <v>273</v>
      </c>
      <c r="N52" s="15" t="s">
        <v>273</v>
      </c>
      <c r="O52" s="15" t="s">
        <v>273</v>
      </c>
      <c r="P52" s="15" t="s">
        <v>273</v>
      </c>
      <c r="Q52" s="15" t="s">
        <v>273</v>
      </c>
      <c r="R52" s="15" t="s">
        <v>273</v>
      </c>
      <c r="S52" s="15">
        <v>2</v>
      </c>
      <c r="T52" s="15">
        <v>2</v>
      </c>
      <c r="U52" s="15">
        <v>2</v>
      </c>
      <c r="V52" s="15">
        <v>2</v>
      </c>
      <c r="W52" s="15">
        <v>2</v>
      </c>
      <c r="X52" s="15" t="s">
        <v>273</v>
      </c>
      <c r="Y52" s="15" t="s">
        <v>273</v>
      </c>
      <c r="Z52" s="15" t="s">
        <v>273</v>
      </c>
      <c r="AA52" s="15" t="s">
        <v>273</v>
      </c>
      <c r="AB52" s="15" t="s">
        <v>273</v>
      </c>
      <c r="AC52" s="284">
        <v>12</v>
      </c>
      <c r="AD52" s="284">
        <v>12</v>
      </c>
      <c r="AE52" s="284">
        <v>12</v>
      </c>
      <c r="AF52" s="284">
        <v>12</v>
      </c>
      <c r="AG52" s="15">
        <v>12</v>
      </c>
      <c r="AH52" s="15">
        <v>12</v>
      </c>
      <c r="AI52" s="15">
        <v>12</v>
      </c>
      <c r="AJ52" s="15">
        <v>18</v>
      </c>
    </row>
    <row r="53" spans="1:36">
      <c r="A53" s="15" t="s">
        <v>468</v>
      </c>
      <c r="B53" s="15" t="s">
        <v>273</v>
      </c>
      <c r="C53" s="15" t="s">
        <v>273</v>
      </c>
      <c r="D53" s="15" t="s">
        <v>273</v>
      </c>
      <c r="E53" s="15" t="s">
        <v>273</v>
      </c>
      <c r="F53" s="15" t="s">
        <v>273</v>
      </c>
      <c r="G53" s="15" t="s">
        <v>273</v>
      </c>
      <c r="H53" s="15" t="s">
        <v>273</v>
      </c>
      <c r="I53" s="15" t="s">
        <v>33</v>
      </c>
      <c r="J53" s="15" t="s">
        <v>33</v>
      </c>
      <c r="K53" s="15">
        <v>0</v>
      </c>
      <c r="L53" s="15">
        <v>0</v>
      </c>
      <c r="M53" s="15">
        <v>0</v>
      </c>
      <c r="N53" s="15" t="s">
        <v>291</v>
      </c>
      <c r="O53" s="15" t="s">
        <v>291</v>
      </c>
      <c r="P53" s="15" t="s">
        <v>291</v>
      </c>
      <c r="Q53" s="15">
        <v>21</v>
      </c>
      <c r="R53" s="15">
        <v>8</v>
      </c>
      <c r="S53" s="15">
        <v>44</v>
      </c>
      <c r="T53" s="15">
        <v>8</v>
      </c>
      <c r="U53" s="15">
        <v>-2</v>
      </c>
      <c r="V53" s="15" t="s">
        <v>291</v>
      </c>
      <c r="W53" s="15">
        <v>31</v>
      </c>
      <c r="X53" s="15">
        <v>61</v>
      </c>
      <c r="Y53" s="15">
        <v>44</v>
      </c>
      <c r="Z53" s="15">
        <v>48</v>
      </c>
      <c r="AA53" s="15">
        <v>51</v>
      </c>
      <c r="AB53" s="15">
        <v>42</v>
      </c>
      <c r="AC53" s="284">
        <v>9</v>
      </c>
      <c r="AD53" s="284">
        <v>2</v>
      </c>
      <c r="AE53" s="284">
        <v>-3</v>
      </c>
      <c r="AF53" s="284" t="s">
        <v>291</v>
      </c>
      <c r="AG53" s="15" t="s">
        <v>291</v>
      </c>
      <c r="AH53" s="15" t="s">
        <v>291</v>
      </c>
      <c r="AI53" s="15" t="s">
        <v>291</v>
      </c>
      <c r="AJ53" s="15" t="s">
        <v>291</v>
      </c>
    </row>
    <row r="54" spans="1:36">
      <c r="A54" s="15" t="s">
        <v>467</v>
      </c>
      <c r="B54" s="15">
        <v>329</v>
      </c>
      <c r="C54" s="15">
        <v>320</v>
      </c>
      <c r="D54" s="15">
        <v>326</v>
      </c>
      <c r="E54" s="15">
        <v>350</v>
      </c>
      <c r="F54" s="15">
        <v>337</v>
      </c>
      <c r="G54" s="15">
        <v>407</v>
      </c>
      <c r="H54" s="15">
        <v>294</v>
      </c>
      <c r="I54" s="15">
        <v>342</v>
      </c>
      <c r="J54" s="15">
        <v>362</v>
      </c>
      <c r="K54" s="15">
        <v>385</v>
      </c>
      <c r="L54" s="15">
        <v>345</v>
      </c>
      <c r="M54" s="15">
        <v>359</v>
      </c>
      <c r="N54" s="15">
        <v>282</v>
      </c>
      <c r="O54" s="15">
        <v>264</v>
      </c>
      <c r="P54" s="15">
        <v>281</v>
      </c>
      <c r="Q54" s="15">
        <v>302</v>
      </c>
      <c r="R54" s="15">
        <v>351</v>
      </c>
      <c r="S54" s="15">
        <v>381</v>
      </c>
      <c r="T54" s="15">
        <v>388</v>
      </c>
      <c r="U54" s="15">
        <v>422</v>
      </c>
      <c r="V54" s="15">
        <v>518</v>
      </c>
      <c r="W54" s="15">
        <v>561</v>
      </c>
      <c r="X54" s="15">
        <v>284</v>
      </c>
      <c r="Y54" s="15">
        <v>306</v>
      </c>
      <c r="Z54" s="15">
        <v>248</v>
      </c>
      <c r="AA54" s="15">
        <v>300</v>
      </c>
      <c r="AB54" s="15">
        <v>269</v>
      </c>
      <c r="AC54" s="284">
        <v>56</v>
      </c>
      <c r="AD54" s="284">
        <v>264</v>
      </c>
      <c r="AE54" s="284">
        <v>267</v>
      </c>
      <c r="AF54" s="284">
        <v>278</v>
      </c>
      <c r="AG54" s="15">
        <v>265</v>
      </c>
      <c r="AH54" s="15">
        <v>237</v>
      </c>
      <c r="AI54" s="15">
        <v>242</v>
      </c>
      <c r="AJ54" s="15">
        <v>303</v>
      </c>
    </row>
    <row r="55" spans="1:36">
      <c r="A55" s="15" t="s">
        <v>466</v>
      </c>
      <c r="B55" s="15" t="s">
        <v>273</v>
      </c>
      <c r="C55" s="15" t="s">
        <v>273</v>
      </c>
      <c r="D55" s="15" t="s">
        <v>273</v>
      </c>
      <c r="E55" s="15" t="s">
        <v>273</v>
      </c>
      <c r="F55" s="15" t="s">
        <v>273</v>
      </c>
      <c r="G55" s="15" t="s">
        <v>273</v>
      </c>
      <c r="H55" s="15" t="s">
        <v>273</v>
      </c>
      <c r="I55" s="15" t="s">
        <v>33</v>
      </c>
      <c r="J55" s="15" t="s">
        <v>33</v>
      </c>
      <c r="K55" s="15">
        <v>0</v>
      </c>
      <c r="L55" s="15">
        <v>0</v>
      </c>
      <c r="M55" s="15">
        <v>0</v>
      </c>
      <c r="N55" s="15" t="s">
        <v>291</v>
      </c>
      <c r="O55" s="15" t="s">
        <v>291</v>
      </c>
      <c r="P55" s="15" t="s">
        <v>291</v>
      </c>
      <c r="Q55" s="15">
        <v>47</v>
      </c>
      <c r="R55" s="15">
        <v>43</v>
      </c>
      <c r="S55" s="15">
        <v>150</v>
      </c>
      <c r="T55" s="15" t="s">
        <v>291</v>
      </c>
      <c r="U55" s="15" t="s">
        <v>291</v>
      </c>
      <c r="V55" s="15">
        <v>69</v>
      </c>
      <c r="W55" s="15" t="s">
        <v>291</v>
      </c>
      <c r="X55" s="15" t="s">
        <v>291</v>
      </c>
      <c r="Y55" s="15">
        <v>32</v>
      </c>
      <c r="Z55" s="15">
        <v>52</v>
      </c>
      <c r="AA55" s="15">
        <v>81</v>
      </c>
      <c r="AB55" s="15">
        <v>79</v>
      </c>
      <c r="AC55" s="284" t="s">
        <v>291</v>
      </c>
      <c r="AD55" s="284" t="s">
        <v>291</v>
      </c>
      <c r="AE55" s="284" t="s">
        <v>291</v>
      </c>
      <c r="AF55" s="284" t="s">
        <v>291</v>
      </c>
      <c r="AG55" s="15" t="s">
        <v>291</v>
      </c>
      <c r="AH55" s="15" t="s">
        <v>291</v>
      </c>
      <c r="AI55" s="15" t="s">
        <v>291</v>
      </c>
      <c r="AJ55" s="15" t="s">
        <v>291</v>
      </c>
    </row>
    <row r="56" spans="1:36">
      <c r="A56" s="15" t="s">
        <v>465</v>
      </c>
      <c r="B56" s="15" t="s">
        <v>273</v>
      </c>
      <c r="C56" s="15" t="s">
        <v>273</v>
      </c>
      <c r="D56" s="15" t="s">
        <v>273</v>
      </c>
      <c r="E56" s="15" t="s">
        <v>273</v>
      </c>
      <c r="F56" s="15" t="s">
        <v>273</v>
      </c>
      <c r="G56" s="15" t="s">
        <v>273</v>
      </c>
      <c r="H56" s="15" t="s">
        <v>273</v>
      </c>
      <c r="I56" s="15" t="s">
        <v>273</v>
      </c>
      <c r="J56" s="15" t="s">
        <v>273</v>
      </c>
      <c r="K56" s="15" t="s">
        <v>273</v>
      </c>
      <c r="L56" s="15" t="s">
        <v>273</v>
      </c>
      <c r="M56" s="15" t="s">
        <v>273</v>
      </c>
      <c r="N56" s="15" t="s">
        <v>273</v>
      </c>
      <c r="O56" s="15" t="s">
        <v>273</v>
      </c>
      <c r="P56" s="15" t="s">
        <v>273</v>
      </c>
      <c r="Q56" s="15" t="s">
        <v>273</v>
      </c>
      <c r="R56" s="15" t="s">
        <v>273</v>
      </c>
      <c r="S56" s="15">
        <v>5</v>
      </c>
      <c r="T56" s="15">
        <v>5</v>
      </c>
      <c r="U56" s="15">
        <v>5</v>
      </c>
      <c r="V56" s="15">
        <v>5</v>
      </c>
      <c r="W56" s="15">
        <v>5</v>
      </c>
      <c r="X56" s="15">
        <v>4</v>
      </c>
      <c r="Y56" s="15">
        <v>4</v>
      </c>
      <c r="Z56" s="15">
        <v>4</v>
      </c>
      <c r="AA56" s="15">
        <v>4</v>
      </c>
      <c r="AB56" s="15">
        <v>4</v>
      </c>
      <c r="AC56" s="284">
        <v>4</v>
      </c>
      <c r="AD56" s="284">
        <v>4</v>
      </c>
      <c r="AE56" s="284">
        <v>4</v>
      </c>
      <c r="AF56" s="284">
        <v>4</v>
      </c>
      <c r="AG56" s="15">
        <v>30</v>
      </c>
      <c r="AH56" s="15">
        <v>32</v>
      </c>
      <c r="AI56" s="15">
        <v>17</v>
      </c>
      <c r="AJ56" s="15">
        <v>7</v>
      </c>
    </row>
    <row r="57" spans="1:36">
      <c r="A57" s="15" t="s">
        <v>464</v>
      </c>
      <c r="B57" s="15" t="s">
        <v>291</v>
      </c>
      <c r="C57" s="15" t="s">
        <v>291</v>
      </c>
      <c r="D57" s="15" t="s">
        <v>291</v>
      </c>
      <c r="E57" s="15" t="s">
        <v>291</v>
      </c>
      <c r="F57" s="15" t="s">
        <v>291</v>
      </c>
      <c r="G57" s="15">
        <v>15</v>
      </c>
      <c r="H57" s="15">
        <v>17</v>
      </c>
      <c r="I57" s="15" t="s">
        <v>291</v>
      </c>
      <c r="J57" s="15" t="s">
        <v>291</v>
      </c>
      <c r="K57" s="15" t="s">
        <v>291</v>
      </c>
      <c r="L57" s="15" t="s">
        <v>291</v>
      </c>
      <c r="M57" s="15">
        <v>13</v>
      </c>
      <c r="N57" s="15">
        <v>26</v>
      </c>
      <c r="O57" s="15">
        <v>24</v>
      </c>
      <c r="P57" s="15">
        <v>18</v>
      </c>
      <c r="Q57" s="15">
        <v>10</v>
      </c>
      <c r="R57" s="15" t="s">
        <v>291</v>
      </c>
      <c r="S57" s="15" t="s">
        <v>291</v>
      </c>
      <c r="T57" s="15" t="s">
        <v>291</v>
      </c>
      <c r="U57" s="15">
        <v>55</v>
      </c>
      <c r="V57" s="15" t="s">
        <v>291</v>
      </c>
      <c r="W57" s="15" t="s">
        <v>291</v>
      </c>
      <c r="X57" s="15">
        <v>81</v>
      </c>
      <c r="Y57" s="15">
        <v>384</v>
      </c>
      <c r="Z57" s="15">
        <v>365</v>
      </c>
      <c r="AA57" s="15" t="s">
        <v>291</v>
      </c>
      <c r="AB57" s="15">
        <v>534</v>
      </c>
      <c r="AC57" s="284">
        <v>1421</v>
      </c>
      <c r="AD57" s="284">
        <v>1944</v>
      </c>
      <c r="AE57" s="284">
        <v>1116</v>
      </c>
      <c r="AF57" s="284" t="s">
        <v>291</v>
      </c>
      <c r="AG57" s="15">
        <v>839</v>
      </c>
      <c r="AH57" s="15">
        <v>541</v>
      </c>
      <c r="AI57" s="15">
        <v>703</v>
      </c>
      <c r="AJ57" s="15">
        <v>751</v>
      </c>
    </row>
    <row r="58" spans="1:36">
      <c r="A58" s="15" t="s">
        <v>463</v>
      </c>
      <c r="B58" s="15" t="s">
        <v>273</v>
      </c>
      <c r="C58" s="15" t="s">
        <v>273</v>
      </c>
      <c r="D58" s="15" t="s">
        <v>273</v>
      </c>
      <c r="E58" s="15" t="s">
        <v>273</v>
      </c>
      <c r="F58" s="15" t="s">
        <v>273</v>
      </c>
      <c r="G58" s="15" t="s">
        <v>273</v>
      </c>
      <c r="H58" s="15" t="s">
        <v>273</v>
      </c>
      <c r="I58" s="15" t="s">
        <v>273</v>
      </c>
      <c r="J58" s="15" t="s">
        <v>273</v>
      </c>
      <c r="K58" s="15" t="s">
        <v>273</v>
      </c>
      <c r="L58" s="15" t="s">
        <v>273</v>
      </c>
      <c r="M58" s="15" t="s">
        <v>273</v>
      </c>
      <c r="N58" s="15" t="s">
        <v>273</v>
      </c>
      <c r="O58" s="15" t="s">
        <v>273</v>
      </c>
      <c r="P58" s="15" t="s">
        <v>273</v>
      </c>
      <c r="Q58" s="15" t="s">
        <v>273</v>
      </c>
      <c r="R58" s="15" t="s">
        <v>273</v>
      </c>
      <c r="S58" s="15">
        <v>1</v>
      </c>
      <c r="T58" s="15">
        <v>1</v>
      </c>
      <c r="U58" s="15">
        <v>1</v>
      </c>
      <c r="V58" s="15">
        <v>1</v>
      </c>
      <c r="W58" s="15">
        <v>1</v>
      </c>
      <c r="X58" s="15">
        <v>1</v>
      </c>
      <c r="Y58" s="15">
        <v>1</v>
      </c>
      <c r="Z58" s="15">
        <v>1</v>
      </c>
      <c r="AA58" s="15">
        <v>1</v>
      </c>
      <c r="AB58" s="15">
        <v>1</v>
      </c>
      <c r="AC58" s="284">
        <v>3</v>
      </c>
      <c r="AD58" s="284">
        <v>3</v>
      </c>
      <c r="AE58" s="284">
        <v>3</v>
      </c>
      <c r="AF58" s="284">
        <v>3</v>
      </c>
      <c r="AG58" s="15">
        <v>3</v>
      </c>
      <c r="AH58" s="15">
        <v>3</v>
      </c>
      <c r="AI58" s="15">
        <v>2</v>
      </c>
      <c r="AJ58" s="15">
        <v>3</v>
      </c>
    </row>
    <row r="59" spans="1:36">
      <c r="A59" s="15" t="s">
        <v>462</v>
      </c>
      <c r="B59" s="15" t="s">
        <v>273</v>
      </c>
      <c r="C59" s="15" t="s">
        <v>273</v>
      </c>
      <c r="D59" s="15" t="s">
        <v>273</v>
      </c>
      <c r="E59" s="15" t="s">
        <v>273</v>
      </c>
      <c r="F59" s="15" t="s">
        <v>273</v>
      </c>
      <c r="G59" s="15" t="s">
        <v>273</v>
      </c>
      <c r="H59" s="15" t="s">
        <v>273</v>
      </c>
      <c r="I59" s="15" t="s">
        <v>273</v>
      </c>
      <c r="J59" s="15" t="s">
        <v>273</v>
      </c>
      <c r="K59" s="15" t="s">
        <v>273</v>
      </c>
      <c r="L59" s="15" t="s">
        <v>273</v>
      </c>
      <c r="M59" s="15" t="s">
        <v>273</v>
      </c>
      <c r="N59" s="15" t="s">
        <v>273</v>
      </c>
      <c r="O59" s="15" t="s">
        <v>273</v>
      </c>
      <c r="P59" s="15" t="s">
        <v>273</v>
      </c>
      <c r="Q59" s="15" t="s">
        <v>273</v>
      </c>
      <c r="R59" s="15" t="s">
        <v>273</v>
      </c>
      <c r="S59" s="15" t="s">
        <v>273</v>
      </c>
      <c r="T59" s="15" t="s">
        <v>273</v>
      </c>
      <c r="U59" s="15" t="s">
        <v>273</v>
      </c>
      <c r="V59" s="15" t="s">
        <v>273</v>
      </c>
      <c r="W59" s="15" t="s">
        <v>273</v>
      </c>
      <c r="X59" s="15" t="s">
        <v>517</v>
      </c>
      <c r="Y59" s="15" t="s">
        <v>517</v>
      </c>
      <c r="Z59" s="15" t="s">
        <v>517</v>
      </c>
      <c r="AA59" s="15">
        <v>47</v>
      </c>
      <c r="AB59" s="15">
        <v>44</v>
      </c>
      <c r="AC59" s="284">
        <v>38</v>
      </c>
      <c r="AD59" s="284">
        <v>42</v>
      </c>
      <c r="AE59" s="284">
        <v>34</v>
      </c>
      <c r="AF59" s="284">
        <v>33</v>
      </c>
      <c r="AG59" s="15">
        <v>6</v>
      </c>
      <c r="AH59" s="15">
        <v>-5</v>
      </c>
      <c r="AI59" s="15">
        <v>-11</v>
      </c>
      <c r="AJ59" s="15">
        <v>-12</v>
      </c>
    </row>
    <row r="60" spans="1:36">
      <c r="A60" s="15" t="s">
        <v>461</v>
      </c>
      <c r="B60" s="15" t="s">
        <v>273</v>
      </c>
      <c r="C60" s="15" t="s">
        <v>273</v>
      </c>
      <c r="D60" s="15" t="s">
        <v>273</v>
      </c>
      <c r="E60" s="15" t="s">
        <v>273</v>
      </c>
      <c r="F60" s="15" t="s">
        <v>273</v>
      </c>
      <c r="G60" s="15" t="s">
        <v>273</v>
      </c>
      <c r="H60" s="15" t="s">
        <v>273</v>
      </c>
      <c r="I60" s="15" t="s">
        <v>273</v>
      </c>
      <c r="J60" s="15" t="s">
        <v>273</v>
      </c>
      <c r="K60" s="15" t="s">
        <v>273</v>
      </c>
      <c r="L60" s="15" t="s">
        <v>273</v>
      </c>
      <c r="M60" s="15" t="s">
        <v>273</v>
      </c>
      <c r="N60" s="15" t="s">
        <v>273</v>
      </c>
      <c r="O60" s="15" t="s">
        <v>273</v>
      </c>
      <c r="P60" s="15" t="s">
        <v>273</v>
      </c>
      <c r="Q60" s="15" t="s">
        <v>273</v>
      </c>
      <c r="R60" s="15" t="s">
        <v>273</v>
      </c>
      <c r="S60" s="15" t="s">
        <v>273</v>
      </c>
      <c r="T60" s="15" t="s">
        <v>273</v>
      </c>
      <c r="U60" s="15" t="s">
        <v>273</v>
      </c>
      <c r="V60" s="15" t="s">
        <v>273</v>
      </c>
      <c r="W60" s="15" t="s">
        <v>273</v>
      </c>
      <c r="X60" s="15">
        <v>1</v>
      </c>
      <c r="Y60" s="15">
        <v>1</v>
      </c>
      <c r="Z60" s="15">
        <v>1</v>
      </c>
      <c r="AA60" s="15">
        <v>1</v>
      </c>
      <c r="AB60" s="15">
        <v>1</v>
      </c>
      <c r="AC60" s="284">
        <v>1</v>
      </c>
      <c r="AD60" s="284">
        <v>1</v>
      </c>
      <c r="AE60" s="284">
        <v>1</v>
      </c>
      <c r="AF60" s="284">
        <v>1</v>
      </c>
      <c r="AG60" s="15">
        <v>1</v>
      </c>
      <c r="AH60" s="15">
        <v>1</v>
      </c>
      <c r="AI60" s="15">
        <v>1</v>
      </c>
      <c r="AJ60" s="15">
        <v>1</v>
      </c>
    </row>
    <row r="61" spans="1:36">
      <c r="A61" s="15" t="s">
        <v>459</v>
      </c>
      <c r="B61" s="15">
        <v>1</v>
      </c>
      <c r="C61" s="15">
        <v>4</v>
      </c>
      <c r="D61" s="15">
        <v>4</v>
      </c>
      <c r="E61" s="15">
        <v>5</v>
      </c>
      <c r="F61" s="15">
        <v>5</v>
      </c>
      <c r="G61" s="15">
        <v>1</v>
      </c>
      <c r="H61" s="15">
        <v>3</v>
      </c>
      <c r="I61" s="15">
        <v>-2</v>
      </c>
      <c r="J61" s="15">
        <v>-1</v>
      </c>
      <c r="K61" s="15">
        <v>8</v>
      </c>
      <c r="L61" s="15">
        <v>16</v>
      </c>
      <c r="M61" s="15">
        <v>25</v>
      </c>
      <c r="N61" s="15">
        <v>43</v>
      </c>
      <c r="O61" s="15">
        <v>31</v>
      </c>
      <c r="P61" s="15">
        <v>77</v>
      </c>
      <c r="Q61" s="15">
        <v>89</v>
      </c>
      <c r="R61" s="15">
        <v>126</v>
      </c>
      <c r="S61" s="15">
        <v>189</v>
      </c>
      <c r="T61" s="15">
        <v>248</v>
      </c>
      <c r="U61" s="15">
        <v>277</v>
      </c>
      <c r="V61" s="15">
        <v>332</v>
      </c>
      <c r="W61" s="15">
        <v>431</v>
      </c>
      <c r="X61" s="15">
        <v>570</v>
      </c>
      <c r="Y61" s="15">
        <v>597</v>
      </c>
      <c r="Z61" s="15">
        <v>875</v>
      </c>
      <c r="AA61" s="15">
        <v>1061</v>
      </c>
      <c r="AB61" s="15">
        <v>1349</v>
      </c>
      <c r="AC61" s="284">
        <v>1541</v>
      </c>
      <c r="AD61" s="284">
        <v>1543</v>
      </c>
      <c r="AE61" s="284">
        <v>1357</v>
      </c>
      <c r="AF61" s="284">
        <v>2167</v>
      </c>
      <c r="AG61" s="15">
        <v>2088</v>
      </c>
      <c r="AH61" s="15">
        <v>2119</v>
      </c>
      <c r="AI61" s="15">
        <v>2557</v>
      </c>
      <c r="AJ61" s="15">
        <v>2646</v>
      </c>
    </row>
    <row r="62" spans="1:36" s="284" customFormat="1">
      <c r="A62" s="288" t="s">
        <v>1112</v>
      </c>
      <c r="AC62" s="284">
        <v>0</v>
      </c>
      <c r="AD62" s="284">
        <v>0</v>
      </c>
      <c r="AE62" s="284">
        <v>0</v>
      </c>
      <c r="AF62" s="284">
        <v>0</v>
      </c>
      <c r="AG62" s="284">
        <v>0</v>
      </c>
      <c r="AH62" s="284">
        <v>0</v>
      </c>
      <c r="AI62" s="284">
        <v>0</v>
      </c>
      <c r="AJ62" s="284">
        <v>0</v>
      </c>
    </row>
    <row r="63" spans="1:36">
      <c r="A63" s="15" t="s">
        <v>457</v>
      </c>
      <c r="B63" s="15" t="s">
        <v>273</v>
      </c>
      <c r="C63" s="15" t="s">
        <v>273</v>
      </c>
      <c r="D63" s="15" t="s">
        <v>273</v>
      </c>
      <c r="E63" s="15" t="s">
        <v>273</v>
      </c>
      <c r="F63" s="15" t="s">
        <v>273</v>
      </c>
      <c r="G63" s="15" t="s">
        <v>273</v>
      </c>
      <c r="H63" s="15" t="s">
        <v>273</v>
      </c>
      <c r="I63" s="15" t="s">
        <v>33</v>
      </c>
      <c r="J63" s="15" t="s">
        <v>33</v>
      </c>
      <c r="K63" s="15" t="s">
        <v>33</v>
      </c>
      <c r="L63" s="15" t="s">
        <v>291</v>
      </c>
      <c r="M63" s="15" t="s">
        <v>291</v>
      </c>
      <c r="N63" s="15" t="s">
        <v>291</v>
      </c>
      <c r="O63" s="15" t="s">
        <v>291</v>
      </c>
      <c r="P63" s="15" t="s">
        <v>291</v>
      </c>
      <c r="Q63" s="15" t="s">
        <v>291</v>
      </c>
      <c r="R63" s="15">
        <v>-10</v>
      </c>
      <c r="S63" s="15" t="s">
        <v>291</v>
      </c>
      <c r="T63" s="15" t="s">
        <v>291</v>
      </c>
      <c r="U63" s="15">
        <v>24</v>
      </c>
      <c r="V63" s="15">
        <v>24</v>
      </c>
      <c r="W63" s="15">
        <v>19</v>
      </c>
      <c r="X63" s="15">
        <v>15</v>
      </c>
      <c r="Y63" s="15">
        <v>37</v>
      </c>
      <c r="Z63" s="15">
        <v>42</v>
      </c>
      <c r="AA63" s="15">
        <v>46</v>
      </c>
      <c r="AB63" s="15">
        <v>60</v>
      </c>
      <c r="AC63" s="284">
        <v>141</v>
      </c>
      <c r="AD63" s="284">
        <v>108</v>
      </c>
      <c r="AE63" s="284">
        <v>110</v>
      </c>
      <c r="AF63" s="284">
        <v>112</v>
      </c>
      <c r="AG63" s="15">
        <v>125</v>
      </c>
      <c r="AH63" s="15">
        <v>210</v>
      </c>
      <c r="AI63" s="15">
        <v>209</v>
      </c>
      <c r="AJ63" s="15">
        <v>209</v>
      </c>
    </row>
    <row r="64" spans="1:36">
      <c r="A64" s="15" t="s">
        <v>456</v>
      </c>
      <c r="B64" s="15" t="s">
        <v>273</v>
      </c>
      <c r="C64" s="15" t="s">
        <v>273</v>
      </c>
      <c r="D64" s="15" t="s">
        <v>273</v>
      </c>
      <c r="E64" s="15" t="s">
        <v>273</v>
      </c>
      <c r="F64" s="15" t="s">
        <v>273</v>
      </c>
      <c r="G64" s="15" t="s">
        <v>273</v>
      </c>
      <c r="H64" s="15" t="s">
        <v>273</v>
      </c>
      <c r="I64" s="15" t="s">
        <v>33</v>
      </c>
      <c r="J64" s="15" t="s">
        <v>33</v>
      </c>
      <c r="K64" s="15" t="s">
        <v>33</v>
      </c>
      <c r="L64" s="15" t="s">
        <v>33</v>
      </c>
      <c r="M64" s="15" t="s">
        <v>291</v>
      </c>
      <c r="N64" s="15">
        <v>41</v>
      </c>
      <c r="O64" s="15">
        <v>36</v>
      </c>
      <c r="P64" s="15">
        <v>45</v>
      </c>
      <c r="Q64" s="15">
        <v>61</v>
      </c>
      <c r="R64" s="15">
        <v>28</v>
      </c>
      <c r="S64" s="15">
        <v>133</v>
      </c>
      <c r="T64" s="15">
        <v>163</v>
      </c>
      <c r="U64" s="15">
        <v>749</v>
      </c>
      <c r="V64" s="15">
        <v>823</v>
      </c>
      <c r="W64" s="15">
        <v>1014</v>
      </c>
      <c r="X64" s="15">
        <v>379</v>
      </c>
      <c r="Y64" s="15">
        <v>250</v>
      </c>
      <c r="Z64" s="15">
        <v>343</v>
      </c>
      <c r="AA64" s="15">
        <v>687</v>
      </c>
      <c r="AB64" s="15">
        <v>703</v>
      </c>
      <c r="AC64" s="284" t="s">
        <v>291</v>
      </c>
      <c r="AD64" s="284" t="s">
        <v>291</v>
      </c>
      <c r="AE64" s="284" t="s">
        <v>291</v>
      </c>
      <c r="AF64" s="284">
        <v>1000</v>
      </c>
      <c r="AG64" s="15">
        <v>716</v>
      </c>
      <c r="AH64" s="15">
        <v>689</v>
      </c>
      <c r="AI64" s="15">
        <v>747</v>
      </c>
      <c r="AJ64" s="15">
        <v>568</v>
      </c>
    </row>
    <row r="65" spans="1:36">
      <c r="A65" s="15" t="s">
        <v>455</v>
      </c>
      <c r="B65" s="15" t="s">
        <v>273</v>
      </c>
      <c r="C65" s="15" t="s">
        <v>273</v>
      </c>
      <c r="D65" s="15" t="s">
        <v>273</v>
      </c>
      <c r="E65" s="15" t="s">
        <v>273</v>
      </c>
      <c r="F65" s="15" t="s">
        <v>273</v>
      </c>
      <c r="G65" s="15" t="s">
        <v>273</v>
      </c>
      <c r="H65" s="15" t="s">
        <v>273</v>
      </c>
      <c r="I65" s="15" t="s">
        <v>33</v>
      </c>
      <c r="J65" s="15" t="s">
        <v>33</v>
      </c>
      <c r="K65" s="15" t="s">
        <v>33</v>
      </c>
      <c r="L65" s="15">
        <v>-3</v>
      </c>
      <c r="M65" s="15">
        <v>-4</v>
      </c>
      <c r="N65" s="15">
        <v>5</v>
      </c>
      <c r="O65" s="15">
        <v>5</v>
      </c>
      <c r="P65" s="15">
        <v>24</v>
      </c>
      <c r="Q65" s="15">
        <v>27</v>
      </c>
      <c r="R65" s="15">
        <v>36</v>
      </c>
      <c r="S65" s="15">
        <v>65</v>
      </c>
      <c r="T65" s="15">
        <v>73</v>
      </c>
      <c r="U65" s="15">
        <v>89</v>
      </c>
      <c r="V65" s="15">
        <v>39</v>
      </c>
      <c r="W65" s="15">
        <v>38</v>
      </c>
      <c r="X65" s="15" t="s">
        <v>291</v>
      </c>
      <c r="Y65" s="15">
        <v>166</v>
      </c>
      <c r="Z65" s="15">
        <v>134</v>
      </c>
      <c r="AA65" s="15">
        <v>156</v>
      </c>
      <c r="AB65" s="15">
        <v>331</v>
      </c>
      <c r="AC65" s="284" t="s">
        <v>291</v>
      </c>
      <c r="AD65" s="284" t="s">
        <v>291</v>
      </c>
      <c r="AE65" s="284" t="s">
        <v>291</v>
      </c>
      <c r="AF65" s="284" t="s">
        <v>291</v>
      </c>
      <c r="AG65" s="15">
        <v>391</v>
      </c>
      <c r="AH65" s="15">
        <v>362</v>
      </c>
      <c r="AI65" s="15">
        <v>381</v>
      </c>
      <c r="AJ65" s="15">
        <v>399</v>
      </c>
    </row>
    <row r="66" spans="1:36">
      <c r="A66" s="15" t="s">
        <v>454</v>
      </c>
      <c r="B66" s="15" t="s">
        <v>273</v>
      </c>
      <c r="C66" s="15" t="s">
        <v>273</v>
      </c>
      <c r="D66" s="15" t="s">
        <v>273</v>
      </c>
      <c r="E66" s="15" t="s">
        <v>273</v>
      </c>
      <c r="F66" s="15" t="s">
        <v>273</v>
      </c>
      <c r="G66" s="15" t="s">
        <v>273</v>
      </c>
      <c r="H66" s="15" t="s">
        <v>273</v>
      </c>
      <c r="I66" s="15" t="s">
        <v>273</v>
      </c>
      <c r="J66" s="15" t="s">
        <v>273</v>
      </c>
      <c r="K66" s="15" t="s">
        <v>273</v>
      </c>
      <c r="L66" s="15" t="s">
        <v>273</v>
      </c>
      <c r="M66" s="15" t="s">
        <v>273</v>
      </c>
      <c r="N66" s="15" t="s">
        <v>273</v>
      </c>
      <c r="O66" s="15" t="s">
        <v>273</v>
      </c>
      <c r="P66" s="15" t="s">
        <v>273</v>
      </c>
      <c r="Q66" s="15" t="s">
        <v>273</v>
      </c>
      <c r="R66" s="15" t="s">
        <v>273</v>
      </c>
      <c r="S66" s="15" t="s">
        <v>273</v>
      </c>
      <c r="T66" s="15" t="s">
        <v>273</v>
      </c>
      <c r="U66" s="15" t="s">
        <v>273</v>
      </c>
      <c r="V66" s="15" t="s">
        <v>273</v>
      </c>
      <c r="W66" s="15" t="s">
        <v>273</v>
      </c>
      <c r="X66" s="15" t="s">
        <v>306</v>
      </c>
      <c r="Y66" s="15" t="s">
        <v>306</v>
      </c>
      <c r="Z66" s="15" t="s">
        <v>306</v>
      </c>
      <c r="AA66" s="15" t="s">
        <v>306</v>
      </c>
      <c r="AB66" s="15" t="s">
        <v>306</v>
      </c>
      <c r="AC66" s="284">
        <v>0</v>
      </c>
      <c r="AD66" s="284">
        <v>0</v>
      </c>
      <c r="AE66" s="284">
        <v>0</v>
      </c>
      <c r="AF66" s="284">
        <v>0</v>
      </c>
      <c r="AG66" s="15">
        <v>0</v>
      </c>
      <c r="AH66" s="15">
        <v>0</v>
      </c>
      <c r="AI66" s="15">
        <v>0</v>
      </c>
      <c r="AJ66" s="15">
        <v>0</v>
      </c>
    </row>
    <row r="67" spans="1:36">
      <c r="A67" s="15" t="s">
        <v>453</v>
      </c>
      <c r="B67" s="15" t="s">
        <v>273</v>
      </c>
      <c r="C67" s="15" t="s">
        <v>273</v>
      </c>
      <c r="D67" s="15" t="s">
        <v>273</v>
      </c>
      <c r="E67" s="15" t="s">
        <v>273</v>
      </c>
      <c r="F67" s="15" t="s">
        <v>273</v>
      </c>
      <c r="G67" s="15" t="s">
        <v>273</v>
      </c>
      <c r="H67" s="15" t="s">
        <v>273</v>
      </c>
      <c r="I67" s="15" t="s">
        <v>273</v>
      </c>
      <c r="J67" s="15" t="s">
        <v>273</v>
      </c>
      <c r="K67" s="15" t="s">
        <v>273</v>
      </c>
      <c r="L67" s="15" t="s">
        <v>273</v>
      </c>
      <c r="M67" s="15" t="s">
        <v>273</v>
      </c>
      <c r="N67" s="15">
        <v>1</v>
      </c>
      <c r="O67" s="15">
        <v>-2</v>
      </c>
      <c r="P67" s="15">
        <v>-4</v>
      </c>
      <c r="Q67" s="15">
        <v>-7</v>
      </c>
      <c r="R67" s="15" t="s">
        <v>291</v>
      </c>
      <c r="S67" s="15">
        <v>-9</v>
      </c>
      <c r="T67" s="15">
        <v>-69</v>
      </c>
      <c r="U67" s="15">
        <v>66</v>
      </c>
      <c r="V67" s="15" t="s">
        <v>291</v>
      </c>
      <c r="W67" s="15">
        <v>137</v>
      </c>
      <c r="X67" s="15">
        <v>-4</v>
      </c>
      <c r="Y67" s="15">
        <v>-3</v>
      </c>
      <c r="Z67" s="15">
        <v>-2</v>
      </c>
      <c r="AA67" s="15">
        <v>-1</v>
      </c>
      <c r="AB67" s="15" t="s">
        <v>306</v>
      </c>
      <c r="AC67" s="284">
        <v>2</v>
      </c>
      <c r="AD67" s="284">
        <v>2</v>
      </c>
      <c r="AE67" s="284" t="s">
        <v>306</v>
      </c>
      <c r="AF67" s="284">
        <v>-9</v>
      </c>
      <c r="AG67" s="15" t="s">
        <v>291</v>
      </c>
      <c r="AH67" s="15" t="s">
        <v>291</v>
      </c>
      <c r="AI67" s="15" t="s">
        <v>291</v>
      </c>
      <c r="AJ67" s="15" t="s">
        <v>291</v>
      </c>
    </row>
    <row r="68" spans="1:36">
      <c r="A68" s="15" t="s">
        <v>452</v>
      </c>
      <c r="B68" s="15" t="s">
        <v>273</v>
      </c>
      <c r="C68" s="15" t="s">
        <v>273</v>
      </c>
      <c r="D68" s="15" t="s">
        <v>273</v>
      </c>
      <c r="E68" s="15" t="s">
        <v>273</v>
      </c>
      <c r="F68" s="15" t="s">
        <v>273</v>
      </c>
      <c r="G68" s="15" t="s">
        <v>273</v>
      </c>
      <c r="H68" s="15" t="s">
        <v>273</v>
      </c>
      <c r="I68" s="15" t="s">
        <v>33</v>
      </c>
      <c r="J68" s="15" t="s">
        <v>33</v>
      </c>
      <c r="K68" s="15" t="s">
        <v>33</v>
      </c>
      <c r="L68" s="15">
        <v>0</v>
      </c>
      <c r="M68" s="15">
        <v>0</v>
      </c>
      <c r="N68" s="15" t="s">
        <v>291</v>
      </c>
      <c r="O68" s="15">
        <v>17</v>
      </c>
      <c r="P68" s="15">
        <v>22</v>
      </c>
      <c r="Q68" s="15">
        <v>12</v>
      </c>
      <c r="R68" s="15">
        <v>93</v>
      </c>
      <c r="S68" s="15">
        <v>200</v>
      </c>
      <c r="T68" s="15">
        <v>252</v>
      </c>
      <c r="U68" s="15">
        <v>168</v>
      </c>
      <c r="V68" s="15">
        <v>198</v>
      </c>
      <c r="W68" s="15">
        <v>238</v>
      </c>
      <c r="X68" s="15">
        <v>295</v>
      </c>
      <c r="Y68" s="15">
        <v>397</v>
      </c>
      <c r="Z68" s="15">
        <v>536</v>
      </c>
      <c r="AA68" s="15">
        <v>991</v>
      </c>
      <c r="AB68" s="15">
        <v>912</v>
      </c>
      <c r="AC68" s="284">
        <v>616</v>
      </c>
      <c r="AD68" s="284">
        <v>616</v>
      </c>
      <c r="AE68" s="284">
        <v>792</v>
      </c>
      <c r="AF68" s="284">
        <v>934</v>
      </c>
      <c r="AG68" s="15">
        <v>926</v>
      </c>
      <c r="AH68" s="15">
        <v>743</v>
      </c>
      <c r="AI68" s="15">
        <v>633</v>
      </c>
      <c r="AJ68" s="15">
        <v>618</v>
      </c>
    </row>
    <row r="69" spans="1:36">
      <c r="A69" s="15" t="s">
        <v>450</v>
      </c>
      <c r="B69" s="15" t="s">
        <v>273</v>
      </c>
      <c r="C69" s="15" t="s">
        <v>273</v>
      </c>
      <c r="D69" s="15" t="s">
        <v>273</v>
      </c>
      <c r="E69" s="15" t="s">
        <v>273</v>
      </c>
      <c r="F69" s="15" t="s">
        <v>273</v>
      </c>
      <c r="G69" s="15" t="s">
        <v>273</v>
      </c>
      <c r="H69" s="15" t="s">
        <v>273</v>
      </c>
      <c r="I69" s="15" t="s">
        <v>33</v>
      </c>
      <c r="J69" s="15" t="s">
        <v>33</v>
      </c>
      <c r="K69" s="15" t="s">
        <v>33</v>
      </c>
      <c r="L69" s="15">
        <v>0</v>
      </c>
      <c r="M69" s="15" t="s">
        <v>291</v>
      </c>
      <c r="N69" s="15" t="s">
        <v>291</v>
      </c>
      <c r="O69" s="15" t="s">
        <v>291</v>
      </c>
      <c r="P69" s="15" t="s">
        <v>291</v>
      </c>
      <c r="Q69" s="15" t="s">
        <v>291</v>
      </c>
      <c r="R69" s="15" t="s">
        <v>291</v>
      </c>
      <c r="S69" s="15">
        <v>167</v>
      </c>
      <c r="T69" s="15" t="s">
        <v>291</v>
      </c>
      <c r="U69" s="15">
        <v>99</v>
      </c>
      <c r="V69" s="15">
        <v>91</v>
      </c>
      <c r="W69" s="15">
        <v>77</v>
      </c>
      <c r="X69" s="15" t="s">
        <v>291</v>
      </c>
      <c r="Y69" s="15">
        <v>135</v>
      </c>
      <c r="Z69" s="15" t="s">
        <v>291</v>
      </c>
      <c r="AA69" s="15" t="s">
        <v>291</v>
      </c>
      <c r="AB69" s="15" t="s">
        <v>291</v>
      </c>
      <c r="AC69" s="284">
        <v>55</v>
      </c>
      <c r="AD69" s="284">
        <v>58</v>
      </c>
      <c r="AE69" s="284">
        <v>63</v>
      </c>
      <c r="AF69" s="284">
        <v>71</v>
      </c>
      <c r="AG69" s="15">
        <v>74</v>
      </c>
      <c r="AH69" s="15">
        <v>70</v>
      </c>
      <c r="AI69" s="15">
        <v>83</v>
      </c>
      <c r="AJ69" s="15">
        <v>90</v>
      </c>
    </row>
    <row r="70" spans="1:36">
      <c r="A70" s="15" t="s">
        <v>1113</v>
      </c>
      <c r="B70" s="15" t="s">
        <v>291</v>
      </c>
      <c r="C70" s="15" t="s">
        <v>291</v>
      </c>
      <c r="D70" s="15" t="s">
        <v>291</v>
      </c>
      <c r="E70" s="15" t="s">
        <v>291</v>
      </c>
      <c r="F70" s="15" t="s">
        <v>291</v>
      </c>
      <c r="G70" s="15" t="s">
        <v>291</v>
      </c>
      <c r="H70" s="15" t="s">
        <v>291</v>
      </c>
      <c r="I70" s="15">
        <v>4</v>
      </c>
      <c r="J70" s="15" t="s">
        <v>291</v>
      </c>
      <c r="K70" s="15" t="s">
        <v>291</v>
      </c>
      <c r="L70" s="15" t="s">
        <v>33</v>
      </c>
      <c r="M70" s="15" t="s">
        <v>33</v>
      </c>
      <c r="N70" s="15" t="s">
        <v>273</v>
      </c>
      <c r="O70" s="15" t="s">
        <v>273</v>
      </c>
      <c r="P70" s="15" t="s">
        <v>273</v>
      </c>
      <c r="Q70" s="15" t="s">
        <v>273</v>
      </c>
      <c r="R70" s="15" t="s">
        <v>273</v>
      </c>
      <c r="S70" s="15" t="s">
        <v>273</v>
      </c>
      <c r="T70" s="15" t="s">
        <v>273</v>
      </c>
      <c r="U70" s="15" t="s">
        <v>273</v>
      </c>
      <c r="V70" s="15" t="s">
        <v>273</v>
      </c>
      <c r="W70" s="15" t="s">
        <v>273</v>
      </c>
      <c r="X70" s="15" t="s">
        <v>273</v>
      </c>
      <c r="Y70" s="15" t="s">
        <v>273</v>
      </c>
      <c r="Z70" s="15" t="s">
        <v>273</v>
      </c>
      <c r="AA70" s="15" t="s">
        <v>273</v>
      </c>
      <c r="AB70" s="15" t="s">
        <v>273</v>
      </c>
      <c r="AC70" s="284">
        <v>0</v>
      </c>
      <c r="AD70" s="284">
        <v>0</v>
      </c>
      <c r="AE70" s="284">
        <v>0</v>
      </c>
      <c r="AF70" s="284">
        <v>0</v>
      </c>
      <c r="AG70" s="15">
        <v>0</v>
      </c>
      <c r="AH70" s="15">
        <v>0</v>
      </c>
      <c r="AI70" s="15">
        <v>0</v>
      </c>
      <c r="AJ70" s="15">
        <v>0</v>
      </c>
    </row>
    <row r="71" spans="1:36">
      <c r="A71" s="15" t="s">
        <v>448</v>
      </c>
      <c r="B71" s="15">
        <v>28161</v>
      </c>
      <c r="C71" s="15">
        <v>25631</v>
      </c>
      <c r="D71" s="15">
        <v>26549</v>
      </c>
      <c r="E71" s="15">
        <v>30417</v>
      </c>
      <c r="F71" s="15">
        <v>39318</v>
      </c>
      <c r="G71" s="15">
        <v>50147</v>
      </c>
      <c r="H71" s="15">
        <v>55411</v>
      </c>
      <c r="I71" s="15">
        <v>62145</v>
      </c>
      <c r="J71" s="15">
        <v>71413</v>
      </c>
      <c r="K71" s="15">
        <v>77677</v>
      </c>
      <c r="L71" s="15">
        <v>91307</v>
      </c>
      <c r="M71" s="15">
        <v>100482</v>
      </c>
      <c r="N71" s="15">
        <v>116478</v>
      </c>
      <c r="O71" s="15">
        <v>131377</v>
      </c>
      <c r="P71" s="15">
        <v>155925</v>
      </c>
      <c r="Q71" s="15">
        <v>180818</v>
      </c>
      <c r="R71" s="15">
        <v>196755</v>
      </c>
      <c r="S71" s="15">
        <v>253928</v>
      </c>
      <c r="T71" s="15">
        <v>266576</v>
      </c>
      <c r="U71" s="15">
        <v>279611</v>
      </c>
      <c r="V71" s="15">
        <v>289413</v>
      </c>
      <c r="W71" s="15">
        <v>297222</v>
      </c>
      <c r="X71" s="15">
        <v>351709</v>
      </c>
      <c r="Y71" s="15">
        <v>379582</v>
      </c>
      <c r="Z71" s="15">
        <v>418429</v>
      </c>
      <c r="AA71" s="15">
        <v>556160</v>
      </c>
      <c r="AB71" s="15">
        <v>588992</v>
      </c>
      <c r="AC71" s="284">
        <v>718478</v>
      </c>
      <c r="AD71" s="284">
        <v>752788</v>
      </c>
      <c r="AE71" s="284">
        <v>788987</v>
      </c>
      <c r="AF71" s="284">
        <v>828721</v>
      </c>
      <c r="AG71" s="15">
        <v>788772</v>
      </c>
      <c r="AH71" s="15">
        <v>875390</v>
      </c>
      <c r="AI71" s="15">
        <v>873398</v>
      </c>
      <c r="AJ71" s="15">
        <v>843357</v>
      </c>
    </row>
    <row r="72" spans="1:36">
      <c r="A72" s="15" t="s">
        <v>447</v>
      </c>
      <c r="B72" s="15">
        <v>19834</v>
      </c>
      <c r="C72" s="15">
        <v>18931</v>
      </c>
      <c r="D72" s="15">
        <v>19133</v>
      </c>
      <c r="E72" s="15">
        <v>18115</v>
      </c>
      <c r="F72" s="15">
        <v>20416</v>
      </c>
      <c r="G72" s="15">
        <v>21921</v>
      </c>
      <c r="H72" s="15">
        <v>22473</v>
      </c>
      <c r="I72" s="15">
        <v>21806</v>
      </c>
      <c r="J72" s="15">
        <v>22933</v>
      </c>
      <c r="K72" s="15">
        <v>24607</v>
      </c>
      <c r="L72" s="15">
        <v>28760</v>
      </c>
      <c r="M72" s="15">
        <v>31210</v>
      </c>
      <c r="N72" s="15">
        <v>37673</v>
      </c>
      <c r="O72" s="15">
        <v>49170</v>
      </c>
      <c r="P72" s="15">
        <v>57372</v>
      </c>
      <c r="Q72" s="15">
        <v>69507</v>
      </c>
      <c r="R72" s="15">
        <v>72593</v>
      </c>
      <c r="S72" s="15">
        <v>83477</v>
      </c>
      <c r="T72" s="15">
        <v>84220</v>
      </c>
      <c r="U72" s="15">
        <v>76809</v>
      </c>
      <c r="V72" s="15">
        <v>64603</v>
      </c>
      <c r="W72" s="15">
        <v>66256</v>
      </c>
      <c r="X72" s="15">
        <v>68685</v>
      </c>
      <c r="Y72" s="15">
        <v>73311</v>
      </c>
      <c r="Z72" s="15">
        <v>80477</v>
      </c>
      <c r="AA72" s="15">
        <v>104732</v>
      </c>
      <c r="AB72" s="15">
        <v>98603</v>
      </c>
      <c r="AC72" s="284">
        <v>119765</v>
      </c>
      <c r="AD72" s="284">
        <v>136598</v>
      </c>
      <c r="AE72" s="284">
        <v>149562</v>
      </c>
      <c r="AF72" s="284">
        <v>147490</v>
      </c>
      <c r="AG72" s="15">
        <v>140871</v>
      </c>
      <c r="AH72" s="15">
        <v>136379</v>
      </c>
      <c r="AI72" s="15">
        <v>124523</v>
      </c>
      <c r="AJ72" s="15">
        <v>131629</v>
      </c>
    </row>
    <row r="73" spans="1:36">
      <c r="A73" s="15" t="s">
        <v>446</v>
      </c>
      <c r="B73" s="15">
        <v>2864</v>
      </c>
      <c r="C73" s="15">
        <v>2697</v>
      </c>
      <c r="D73" s="15">
        <v>2735</v>
      </c>
      <c r="E73" s="15">
        <v>2698</v>
      </c>
      <c r="F73" s="15">
        <v>2931</v>
      </c>
      <c r="G73" s="15">
        <v>2818</v>
      </c>
      <c r="H73" s="15">
        <v>2682</v>
      </c>
      <c r="I73" s="15">
        <v>2215</v>
      </c>
      <c r="J73" s="15">
        <v>2531</v>
      </c>
      <c r="K73" s="15">
        <v>2831</v>
      </c>
      <c r="L73" s="15">
        <v>3327</v>
      </c>
      <c r="M73" s="15">
        <v>4442</v>
      </c>
      <c r="N73" s="15">
        <v>5692</v>
      </c>
      <c r="O73" s="15">
        <v>7660</v>
      </c>
      <c r="P73" s="15">
        <v>7893</v>
      </c>
      <c r="Q73" s="15">
        <v>10980</v>
      </c>
      <c r="R73" s="15">
        <v>12327</v>
      </c>
      <c r="S73" s="15">
        <v>18865</v>
      </c>
      <c r="T73" s="15">
        <v>17488</v>
      </c>
      <c r="U73" s="15">
        <v>15535</v>
      </c>
      <c r="V73" s="15">
        <v>11288</v>
      </c>
      <c r="W73" s="15">
        <v>10663</v>
      </c>
      <c r="X73" s="15">
        <v>9201</v>
      </c>
      <c r="Y73" s="15">
        <v>10103</v>
      </c>
      <c r="Z73" s="15">
        <v>13174</v>
      </c>
      <c r="AA73" s="15">
        <v>13692</v>
      </c>
      <c r="AB73" s="15">
        <v>12197</v>
      </c>
      <c r="AC73" s="284">
        <v>12610</v>
      </c>
      <c r="AD73" s="284">
        <v>11747</v>
      </c>
      <c r="AE73" s="284">
        <v>13885</v>
      </c>
      <c r="AF73" s="284">
        <v>13393</v>
      </c>
      <c r="AG73" s="15">
        <v>13427</v>
      </c>
      <c r="AH73" s="15">
        <v>13911</v>
      </c>
      <c r="AI73" s="15">
        <v>13600</v>
      </c>
      <c r="AJ73" s="15">
        <v>13721</v>
      </c>
    </row>
    <row r="74" spans="1:36">
      <c r="A74" s="15" t="s">
        <v>445</v>
      </c>
      <c r="B74" s="15">
        <v>9290</v>
      </c>
      <c r="C74" s="15">
        <v>9154</v>
      </c>
      <c r="D74" s="15">
        <v>9425</v>
      </c>
      <c r="E74" s="15">
        <v>9110</v>
      </c>
      <c r="F74" s="15">
        <v>9498</v>
      </c>
      <c r="G74" s="15">
        <v>11128</v>
      </c>
      <c r="H74" s="15">
        <v>12767</v>
      </c>
      <c r="I74" s="15">
        <v>14025</v>
      </c>
      <c r="J74" s="15">
        <v>14384</v>
      </c>
      <c r="K74" s="15">
        <v>14997</v>
      </c>
      <c r="L74" s="15">
        <v>16313</v>
      </c>
      <c r="M74" s="15">
        <v>16772</v>
      </c>
      <c r="N74" s="15">
        <v>17885</v>
      </c>
      <c r="O74" s="15">
        <v>25002</v>
      </c>
      <c r="P74" s="15">
        <v>29105</v>
      </c>
      <c r="Q74" s="15">
        <v>35778</v>
      </c>
      <c r="R74" s="15">
        <v>37195</v>
      </c>
      <c r="S74" s="15">
        <v>37184</v>
      </c>
      <c r="T74" s="15">
        <v>36717</v>
      </c>
      <c r="U74" s="15">
        <v>32027</v>
      </c>
      <c r="V74" s="15">
        <v>27598</v>
      </c>
      <c r="W74" s="15">
        <v>29553</v>
      </c>
      <c r="X74" s="15">
        <v>29485</v>
      </c>
      <c r="Y74" s="15">
        <v>30882</v>
      </c>
      <c r="Z74" s="15">
        <v>33504</v>
      </c>
      <c r="AA74" s="15">
        <v>48807</v>
      </c>
      <c r="AB74" s="15">
        <v>43953</v>
      </c>
      <c r="AC74" s="284">
        <v>55380</v>
      </c>
      <c r="AD74" s="284">
        <v>66963</v>
      </c>
      <c r="AE74" s="284">
        <v>74840</v>
      </c>
      <c r="AF74" s="284">
        <v>76821</v>
      </c>
      <c r="AG74" s="15">
        <v>69760</v>
      </c>
      <c r="AH74" s="15">
        <v>66782</v>
      </c>
      <c r="AI74" s="15">
        <v>57579</v>
      </c>
      <c r="AJ74" s="15">
        <v>64438</v>
      </c>
    </row>
    <row r="75" spans="1:36">
      <c r="A75" s="15" t="s">
        <v>444</v>
      </c>
      <c r="B75" s="15">
        <v>311</v>
      </c>
      <c r="C75" s="15">
        <v>160</v>
      </c>
      <c r="D75" s="15">
        <v>162</v>
      </c>
      <c r="E75" s="15">
        <v>255</v>
      </c>
      <c r="F75" s="15">
        <v>473</v>
      </c>
      <c r="G75" s="15">
        <v>617</v>
      </c>
      <c r="H75" s="15">
        <v>988</v>
      </c>
      <c r="I75" s="15">
        <v>1412</v>
      </c>
      <c r="J75" s="15">
        <v>1896</v>
      </c>
      <c r="K75" s="15">
        <v>2069</v>
      </c>
      <c r="L75" s="15">
        <v>2544</v>
      </c>
      <c r="M75" s="15">
        <v>2749</v>
      </c>
      <c r="N75" s="15">
        <v>5062</v>
      </c>
      <c r="O75" s="15">
        <v>6216</v>
      </c>
      <c r="P75" s="15">
        <v>8156</v>
      </c>
      <c r="Q75" s="15">
        <v>9148</v>
      </c>
      <c r="R75" s="15">
        <v>9029</v>
      </c>
      <c r="S75" s="15">
        <v>10177</v>
      </c>
      <c r="T75" s="15">
        <v>10052</v>
      </c>
      <c r="U75" s="15">
        <v>10526</v>
      </c>
      <c r="V75" s="15">
        <v>8928</v>
      </c>
      <c r="W75" s="15">
        <v>9021</v>
      </c>
      <c r="X75" s="15">
        <v>10804</v>
      </c>
      <c r="Y75" s="15">
        <v>11127</v>
      </c>
      <c r="Z75" s="15">
        <v>10927</v>
      </c>
      <c r="AA75" s="15">
        <v>16337</v>
      </c>
      <c r="AB75" s="15">
        <v>16286</v>
      </c>
      <c r="AC75" s="284">
        <v>25404</v>
      </c>
      <c r="AD75" s="284">
        <v>30747</v>
      </c>
      <c r="AE75" s="284">
        <v>33265</v>
      </c>
      <c r="AF75" s="284">
        <v>27537</v>
      </c>
      <c r="AG75" s="15">
        <v>28329</v>
      </c>
      <c r="AH75" s="15">
        <v>28301</v>
      </c>
      <c r="AI75" s="15">
        <v>28543</v>
      </c>
      <c r="AJ75" s="15">
        <v>29428</v>
      </c>
    </row>
    <row r="76" spans="1:36">
      <c r="A76" s="15" t="s">
        <v>443</v>
      </c>
      <c r="B76" s="15">
        <v>1769</v>
      </c>
      <c r="C76" s="15">
        <v>2135</v>
      </c>
      <c r="D76" s="15">
        <v>2150</v>
      </c>
      <c r="E76" s="15">
        <v>2188</v>
      </c>
      <c r="F76" s="15">
        <v>3332</v>
      </c>
      <c r="G76" s="15">
        <v>3148</v>
      </c>
      <c r="H76" s="15">
        <v>2331</v>
      </c>
      <c r="I76" s="15">
        <v>1660</v>
      </c>
      <c r="J76" s="15">
        <v>1677</v>
      </c>
      <c r="K76" s="15">
        <v>1876</v>
      </c>
      <c r="L76" s="15">
        <v>3053</v>
      </c>
      <c r="M76" s="15">
        <v>2930</v>
      </c>
      <c r="N76" s="15">
        <v>3463</v>
      </c>
      <c r="O76" s="15">
        <v>3506</v>
      </c>
      <c r="P76" s="15">
        <v>3531</v>
      </c>
      <c r="Q76" s="15">
        <v>4097</v>
      </c>
      <c r="R76" s="15">
        <v>3749</v>
      </c>
      <c r="S76" s="15">
        <v>3775</v>
      </c>
      <c r="T76" s="15">
        <v>3693</v>
      </c>
      <c r="U76" s="15">
        <v>3122</v>
      </c>
      <c r="V76" s="15">
        <v>2622</v>
      </c>
      <c r="W76" s="15">
        <v>2773</v>
      </c>
      <c r="X76" s="15">
        <v>2991</v>
      </c>
      <c r="Y76" s="15">
        <v>4292</v>
      </c>
      <c r="Z76" s="15">
        <v>3799</v>
      </c>
      <c r="AA76" s="15">
        <v>4552</v>
      </c>
      <c r="AB76" s="15">
        <v>5028</v>
      </c>
      <c r="AC76" s="284">
        <v>6050</v>
      </c>
      <c r="AD76" s="284">
        <v>6181</v>
      </c>
      <c r="AE76" s="284">
        <v>6236</v>
      </c>
      <c r="AF76" s="284">
        <v>7251</v>
      </c>
      <c r="AG76" s="15">
        <v>7523</v>
      </c>
      <c r="AH76" s="15">
        <v>7139</v>
      </c>
      <c r="AI76" s="15">
        <v>6522</v>
      </c>
      <c r="AJ76" s="15">
        <v>6217</v>
      </c>
    </row>
    <row r="77" spans="1:36">
      <c r="A77" s="15" t="s">
        <v>442</v>
      </c>
      <c r="B77" s="15">
        <v>388</v>
      </c>
      <c r="C77" s="15">
        <v>443</v>
      </c>
      <c r="D77" s="15">
        <v>372</v>
      </c>
      <c r="E77" s="15">
        <v>352</v>
      </c>
      <c r="F77" s="15">
        <v>410</v>
      </c>
      <c r="G77" s="15">
        <v>475</v>
      </c>
      <c r="H77" s="15">
        <v>437</v>
      </c>
      <c r="I77" s="15">
        <v>301</v>
      </c>
      <c r="J77" s="15">
        <v>280</v>
      </c>
      <c r="K77" s="15">
        <v>321</v>
      </c>
      <c r="L77" s="15">
        <v>295</v>
      </c>
      <c r="M77" s="15">
        <v>555</v>
      </c>
      <c r="N77" s="15">
        <v>784</v>
      </c>
      <c r="O77" s="15">
        <v>889</v>
      </c>
      <c r="P77" s="15">
        <v>922</v>
      </c>
      <c r="Q77" s="15">
        <v>838</v>
      </c>
      <c r="R77" s="15">
        <v>904</v>
      </c>
      <c r="S77" s="15">
        <v>1116</v>
      </c>
      <c r="T77" s="15">
        <v>832</v>
      </c>
      <c r="U77" s="15">
        <v>579</v>
      </c>
      <c r="V77" s="15">
        <v>809</v>
      </c>
      <c r="W77" s="15">
        <v>975</v>
      </c>
      <c r="X77" s="15">
        <v>881</v>
      </c>
      <c r="Y77" s="15">
        <v>941</v>
      </c>
      <c r="Z77" s="15">
        <v>904</v>
      </c>
      <c r="AA77" s="15">
        <v>1007</v>
      </c>
      <c r="AB77" s="15">
        <v>1098</v>
      </c>
      <c r="AC77" s="284">
        <v>1339</v>
      </c>
      <c r="AD77" s="284">
        <v>1283</v>
      </c>
      <c r="AE77" s="284">
        <v>793</v>
      </c>
      <c r="AF77" s="284">
        <v>571</v>
      </c>
      <c r="AG77" s="15">
        <v>581</v>
      </c>
      <c r="AH77" s="15">
        <v>566</v>
      </c>
      <c r="AI77" s="15">
        <v>491</v>
      </c>
      <c r="AJ77" s="15">
        <v>509</v>
      </c>
    </row>
    <row r="78" spans="1:36">
      <c r="A78" s="15" t="s">
        <v>441</v>
      </c>
      <c r="B78" s="15">
        <v>1990</v>
      </c>
      <c r="C78" s="15">
        <v>2082</v>
      </c>
      <c r="D78" s="15">
        <v>2003</v>
      </c>
      <c r="E78" s="15">
        <v>1368</v>
      </c>
      <c r="F78" s="15">
        <v>1239</v>
      </c>
      <c r="G78" s="15">
        <v>1141</v>
      </c>
      <c r="H78" s="15">
        <v>1124</v>
      </c>
      <c r="I78" s="15">
        <v>813</v>
      </c>
      <c r="J78" s="15">
        <v>599</v>
      </c>
      <c r="K78" s="15">
        <v>492</v>
      </c>
      <c r="L78" s="15">
        <v>620</v>
      </c>
      <c r="M78" s="15">
        <v>622</v>
      </c>
      <c r="N78" s="15">
        <v>971</v>
      </c>
      <c r="O78" s="15">
        <v>1335</v>
      </c>
      <c r="P78" s="15">
        <v>2281</v>
      </c>
      <c r="Q78" s="15">
        <v>2147</v>
      </c>
      <c r="R78" s="15">
        <v>2148</v>
      </c>
      <c r="S78" s="15">
        <v>3148</v>
      </c>
      <c r="T78" s="15">
        <v>3130</v>
      </c>
      <c r="U78" s="15">
        <v>3197</v>
      </c>
      <c r="V78" s="15">
        <v>3310</v>
      </c>
      <c r="W78" s="15">
        <v>3401</v>
      </c>
      <c r="X78" s="15">
        <v>4773</v>
      </c>
      <c r="Y78" s="15">
        <v>5542</v>
      </c>
      <c r="Z78" s="15">
        <v>5561</v>
      </c>
      <c r="AA78" s="15">
        <v>5964</v>
      </c>
      <c r="AB78" s="15">
        <v>4448</v>
      </c>
      <c r="AC78" s="284">
        <v>6435</v>
      </c>
      <c r="AD78" s="284">
        <v>7196</v>
      </c>
      <c r="AE78" s="284">
        <v>6216</v>
      </c>
      <c r="AF78" s="284">
        <v>6651</v>
      </c>
      <c r="AG78" s="15">
        <v>5559</v>
      </c>
      <c r="AH78" s="15">
        <v>6122</v>
      </c>
      <c r="AI78" s="15">
        <v>5743</v>
      </c>
      <c r="AJ78" s="15">
        <v>6187</v>
      </c>
    </row>
    <row r="79" spans="1:36">
      <c r="A79" s="15" t="s">
        <v>440</v>
      </c>
      <c r="B79" s="15">
        <v>2631</v>
      </c>
      <c r="C79" s="15">
        <v>1708</v>
      </c>
      <c r="D79" s="15">
        <v>1752</v>
      </c>
      <c r="E79" s="15">
        <v>1562</v>
      </c>
      <c r="F79" s="15">
        <v>1920</v>
      </c>
      <c r="G79" s="15">
        <v>2045</v>
      </c>
      <c r="H79" s="15">
        <v>1714</v>
      </c>
      <c r="I79" s="15">
        <v>932</v>
      </c>
      <c r="J79" s="15">
        <v>1087</v>
      </c>
      <c r="K79" s="15">
        <v>1427</v>
      </c>
      <c r="L79" s="15">
        <v>1972</v>
      </c>
      <c r="M79" s="15">
        <v>2362</v>
      </c>
      <c r="N79" s="15">
        <v>3087</v>
      </c>
      <c r="O79" s="15">
        <v>3634</v>
      </c>
      <c r="P79" s="15">
        <v>4474</v>
      </c>
      <c r="Q79" s="15">
        <v>5339</v>
      </c>
      <c r="R79" s="15">
        <v>5912</v>
      </c>
      <c r="S79" s="15">
        <v>7385</v>
      </c>
      <c r="T79" s="15">
        <v>10531</v>
      </c>
      <c r="U79" s="15">
        <v>10069</v>
      </c>
      <c r="V79" s="15">
        <v>8671</v>
      </c>
      <c r="W79" s="15">
        <v>8438</v>
      </c>
      <c r="X79" s="15">
        <v>9109</v>
      </c>
      <c r="Y79" s="15">
        <v>8934</v>
      </c>
      <c r="Z79" s="15">
        <v>10922</v>
      </c>
      <c r="AA79" s="15">
        <v>12871</v>
      </c>
      <c r="AB79" s="15">
        <v>13545</v>
      </c>
      <c r="AC79" s="284">
        <v>10248</v>
      </c>
      <c r="AD79" s="284">
        <v>10255</v>
      </c>
      <c r="AE79" s="284">
        <v>12086</v>
      </c>
      <c r="AF79" s="284">
        <v>12781</v>
      </c>
      <c r="AG79" s="15">
        <v>13267</v>
      </c>
      <c r="AH79" s="15">
        <v>11005</v>
      </c>
      <c r="AI79" s="15">
        <v>9568</v>
      </c>
      <c r="AJ79" s="15">
        <v>7984</v>
      </c>
    </row>
    <row r="80" spans="1:36">
      <c r="A80" s="15" t="s">
        <v>67</v>
      </c>
      <c r="B80" s="15">
        <v>591</v>
      </c>
      <c r="C80" s="15">
        <v>552</v>
      </c>
      <c r="D80" s="15">
        <v>533</v>
      </c>
      <c r="E80" s="15">
        <v>583</v>
      </c>
      <c r="F80" s="15">
        <v>613</v>
      </c>
      <c r="G80" s="15">
        <v>551</v>
      </c>
      <c r="H80" s="15">
        <v>431</v>
      </c>
      <c r="I80" s="15">
        <v>448</v>
      </c>
      <c r="J80" s="15">
        <v>479</v>
      </c>
      <c r="K80" s="15">
        <v>594</v>
      </c>
      <c r="L80" s="15">
        <v>636</v>
      </c>
      <c r="M80" s="15">
        <v>778</v>
      </c>
      <c r="N80" s="15">
        <v>728</v>
      </c>
      <c r="O80" s="15">
        <v>928</v>
      </c>
      <c r="P80" s="15">
        <v>1010</v>
      </c>
      <c r="Q80" s="15">
        <v>1182</v>
      </c>
      <c r="R80" s="15">
        <v>1329</v>
      </c>
      <c r="S80" s="15">
        <v>1828</v>
      </c>
      <c r="T80" s="15">
        <v>1778</v>
      </c>
      <c r="U80" s="15">
        <v>1755</v>
      </c>
      <c r="V80" s="15">
        <v>1377</v>
      </c>
      <c r="W80" s="15">
        <v>1431</v>
      </c>
      <c r="X80" s="15">
        <v>1441</v>
      </c>
      <c r="Y80" s="15">
        <v>1489</v>
      </c>
      <c r="Z80" s="15">
        <v>1686</v>
      </c>
      <c r="AA80" s="15">
        <v>1501</v>
      </c>
      <c r="AB80" s="15">
        <v>2048</v>
      </c>
      <c r="AC80" s="284">
        <v>2297</v>
      </c>
      <c r="AD80" s="284">
        <v>2225</v>
      </c>
      <c r="AE80" s="284">
        <v>2239</v>
      </c>
      <c r="AF80" s="284">
        <v>2484</v>
      </c>
      <c r="AG80" s="15">
        <v>2426</v>
      </c>
      <c r="AH80" s="15">
        <v>2554</v>
      </c>
      <c r="AI80" s="15">
        <v>2478</v>
      </c>
      <c r="AJ80" s="15">
        <v>3145</v>
      </c>
    </row>
    <row r="81" spans="1:36">
      <c r="A81" s="15" t="s">
        <v>439</v>
      </c>
      <c r="B81" s="15">
        <v>147</v>
      </c>
      <c r="C81" s="15">
        <v>158</v>
      </c>
      <c r="D81" s="15">
        <v>163</v>
      </c>
      <c r="E81" s="15">
        <v>201</v>
      </c>
      <c r="F81" s="15">
        <v>233</v>
      </c>
      <c r="G81" s="15">
        <v>195</v>
      </c>
      <c r="H81" s="15">
        <v>128</v>
      </c>
      <c r="I81" s="15">
        <v>184</v>
      </c>
      <c r="J81" s="15">
        <v>196</v>
      </c>
      <c r="K81" s="15">
        <v>185</v>
      </c>
      <c r="L81" s="15">
        <v>122</v>
      </c>
      <c r="M81" s="15">
        <v>191</v>
      </c>
      <c r="N81" s="15">
        <v>174</v>
      </c>
      <c r="O81" s="15">
        <v>300</v>
      </c>
      <c r="P81" s="15">
        <v>252</v>
      </c>
      <c r="Q81" s="15">
        <v>248</v>
      </c>
      <c r="R81" s="15">
        <v>349</v>
      </c>
      <c r="S81" s="15">
        <v>504</v>
      </c>
      <c r="T81" s="15">
        <v>403</v>
      </c>
      <c r="U81" s="15">
        <v>439</v>
      </c>
      <c r="V81" s="15">
        <v>380</v>
      </c>
      <c r="W81" s="15">
        <v>361</v>
      </c>
      <c r="X81" s="15">
        <v>331</v>
      </c>
      <c r="Y81" s="15">
        <v>316</v>
      </c>
      <c r="Z81" s="15">
        <v>308</v>
      </c>
      <c r="AA81" s="15">
        <v>248</v>
      </c>
      <c r="AB81" s="15">
        <v>324</v>
      </c>
      <c r="AC81" s="284">
        <v>462</v>
      </c>
      <c r="AD81" s="284">
        <v>535</v>
      </c>
      <c r="AE81" s="284">
        <v>547</v>
      </c>
      <c r="AF81" s="284">
        <v>515</v>
      </c>
      <c r="AG81" s="15">
        <v>528</v>
      </c>
      <c r="AH81" s="15">
        <v>463</v>
      </c>
      <c r="AI81" s="15">
        <v>455</v>
      </c>
      <c r="AJ81" s="15">
        <v>546</v>
      </c>
    </row>
    <row r="82" spans="1:36">
      <c r="A82" s="15" t="s">
        <v>438</v>
      </c>
      <c r="B82" s="15" t="s">
        <v>291</v>
      </c>
      <c r="C82" s="15" t="s">
        <v>291</v>
      </c>
      <c r="D82" s="15" t="s">
        <v>291</v>
      </c>
      <c r="E82" s="15" t="s">
        <v>291</v>
      </c>
      <c r="F82" s="15" t="s">
        <v>291</v>
      </c>
      <c r="G82" s="15" t="s">
        <v>291</v>
      </c>
      <c r="H82" s="15" t="s">
        <v>291</v>
      </c>
      <c r="I82" s="15">
        <v>2</v>
      </c>
      <c r="J82" s="15">
        <v>4</v>
      </c>
      <c r="K82" s="15" t="s">
        <v>291</v>
      </c>
      <c r="L82" s="15" t="s">
        <v>291</v>
      </c>
      <c r="M82" s="15" t="s">
        <v>291</v>
      </c>
      <c r="N82" s="15" t="s">
        <v>291</v>
      </c>
      <c r="O82" s="15">
        <v>7</v>
      </c>
      <c r="P82" s="15">
        <v>8</v>
      </c>
      <c r="Q82" s="15">
        <v>9</v>
      </c>
      <c r="R82" s="15">
        <v>10</v>
      </c>
      <c r="S82" s="15" t="s">
        <v>291</v>
      </c>
      <c r="T82" s="15">
        <v>8</v>
      </c>
      <c r="U82" s="15">
        <v>9</v>
      </c>
      <c r="V82" s="15">
        <v>9</v>
      </c>
      <c r="W82" s="15" t="s">
        <v>306</v>
      </c>
      <c r="X82" s="15">
        <v>1</v>
      </c>
      <c r="Y82" s="15">
        <v>1</v>
      </c>
      <c r="Z82" s="15">
        <v>1</v>
      </c>
      <c r="AA82" s="15">
        <v>1</v>
      </c>
      <c r="AB82" s="15">
        <v>1</v>
      </c>
      <c r="AC82" s="284">
        <v>0</v>
      </c>
      <c r="AD82" s="284">
        <v>0</v>
      </c>
      <c r="AE82" s="284">
        <v>0</v>
      </c>
      <c r="AF82" s="284">
        <v>0</v>
      </c>
      <c r="AG82" s="15">
        <v>0</v>
      </c>
      <c r="AH82" s="15">
        <v>0</v>
      </c>
      <c r="AI82" s="15">
        <v>0</v>
      </c>
      <c r="AJ82" s="15">
        <v>0</v>
      </c>
    </row>
    <row r="83" spans="1:36">
      <c r="A83" s="15" t="s">
        <v>437</v>
      </c>
      <c r="B83" s="15">
        <v>3</v>
      </c>
      <c r="C83" s="15">
        <v>6</v>
      </c>
      <c r="D83" s="15">
        <v>2</v>
      </c>
      <c r="E83" s="15" t="s">
        <v>306</v>
      </c>
      <c r="F83" s="15" t="s">
        <v>306</v>
      </c>
      <c r="G83" s="15">
        <v>1</v>
      </c>
      <c r="H83" s="15">
        <v>1</v>
      </c>
      <c r="I83" s="15">
        <v>3</v>
      </c>
      <c r="J83" s="15">
        <v>7</v>
      </c>
      <c r="K83" s="15" t="s">
        <v>291</v>
      </c>
      <c r="L83" s="15" t="s">
        <v>291</v>
      </c>
      <c r="M83" s="15" t="s">
        <v>291</v>
      </c>
      <c r="N83" s="15">
        <v>97</v>
      </c>
      <c r="O83" s="15">
        <v>111</v>
      </c>
      <c r="P83" s="15">
        <v>126</v>
      </c>
      <c r="Q83" s="15">
        <v>132</v>
      </c>
      <c r="R83" s="15">
        <v>125</v>
      </c>
      <c r="S83" s="15">
        <v>177</v>
      </c>
      <c r="T83" s="15">
        <v>131</v>
      </c>
      <c r="U83" s="15">
        <v>143</v>
      </c>
      <c r="V83" s="15">
        <v>157</v>
      </c>
      <c r="W83" s="15">
        <v>165</v>
      </c>
      <c r="X83" s="15">
        <v>163</v>
      </c>
      <c r="Y83" s="15">
        <v>174</v>
      </c>
      <c r="Z83" s="15">
        <v>197</v>
      </c>
      <c r="AA83" s="15">
        <v>194</v>
      </c>
      <c r="AB83" s="15">
        <v>210</v>
      </c>
      <c r="AC83" s="284" t="s">
        <v>291</v>
      </c>
      <c r="AD83" s="284" t="s">
        <v>291</v>
      </c>
      <c r="AE83" s="284" t="s">
        <v>291</v>
      </c>
      <c r="AF83" s="284" t="s">
        <v>291</v>
      </c>
      <c r="AG83" s="15" t="s">
        <v>291</v>
      </c>
      <c r="AH83" s="15" t="s">
        <v>291</v>
      </c>
      <c r="AI83" s="15" t="s">
        <v>291</v>
      </c>
      <c r="AJ83" s="15" t="s">
        <v>291</v>
      </c>
    </row>
    <row r="84" spans="1:36">
      <c r="A84" s="15" t="s">
        <v>436</v>
      </c>
      <c r="B84" s="15">
        <v>57</v>
      </c>
      <c r="C84" s="15">
        <v>39</v>
      </c>
      <c r="D84" s="15">
        <v>32</v>
      </c>
      <c r="E84" s="15">
        <v>38</v>
      </c>
      <c r="F84" s="15">
        <v>42</v>
      </c>
      <c r="G84" s="15">
        <v>45</v>
      </c>
      <c r="H84" s="15">
        <v>44</v>
      </c>
      <c r="I84" s="15">
        <v>42</v>
      </c>
      <c r="J84" s="15">
        <v>44</v>
      </c>
      <c r="K84" s="15">
        <v>46</v>
      </c>
      <c r="L84" s="15">
        <v>49</v>
      </c>
      <c r="M84" s="15">
        <v>64</v>
      </c>
      <c r="N84" s="15">
        <v>87</v>
      </c>
      <c r="O84" s="15">
        <v>83</v>
      </c>
      <c r="P84" s="15">
        <v>106</v>
      </c>
      <c r="Q84" s="15">
        <v>146</v>
      </c>
      <c r="R84" s="15">
        <v>204</v>
      </c>
      <c r="S84" s="15">
        <v>222</v>
      </c>
      <c r="T84" s="15">
        <v>419</v>
      </c>
      <c r="U84" s="15">
        <v>414</v>
      </c>
      <c r="V84" s="15">
        <v>114</v>
      </c>
      <c r="W84" s="15">
        <v>115</v>
      </c>
      <c r="X84" s="15">
        <v>103</v>
      </c>
      <c r="Y84" s="15">
        <v>98</v>
      </c>
      <c r="Z84" s="15">
        <v>90</v>
      </c>
      <c r="AA84" s="15" t="s">
        <v>291</v>
      </c>
      <c r="AB84" s="15" t="s">
        <v>291</v>
      </c>
      <c r="AC84" s="284">
        <v>207</v>
      </c>
      <c r="AD84" s="284">
        <v>134</v>
      </c>
      <c r="AE84" s="284">
        <v>149</v>
      </c>
      <c r="AF84" s="284" t="s">
        <v>291</v>
      </c>
      <c r="AG84" s="15">
        <v>123</v>
      </c>
      <c r="AH84" s="15">
        <v>144</v>
      </c>
      <c r="AI84" s="15">
        <v>138</v>
      </c>
      <c r="AJ84" s="15">
        <v>159</v>
      </c>
    </row>
    <row r="85" spans="1:36">
      <c r="A85" s="15" t="s">
        <v>435</v>
      </c>
      <c r="B85" s="15" t="s">
        <v>291</v>
      </c>
      <c r="C85" s="15" t="s">
        <v>291</v>
      </c>
      <c r="D85" s="15" t="s">
        <v>291</v>
      </c>
      <c r="E85" s="15" t="s">
        <v>291</v>
      </c>
      <c r="F85" s="15" t="s">
        <v>291</v>
      </c>
      <c r="G85" s="15" t="s">
        <v>291</v>
      </c>
      <c r="H85" s="15" t="s">
        <v>291</v>
      </c>
      <c r="I85" s="15">
        <v>116</v>
      </c>
      <c r="J85" s="15">
        <v>134</v>
      </c>
      <c r="K85" s="15">
        <v>147</v>
      </c>
      <c r="L85" s="15">
        <v>139</v>
      </c>
      <c r="M85" s="15">
        <v>163</v>
      </c>
      <c r="N85" s="15">
        <v>76</v>
      </c>
      <c r="O85" s="15">
        <v>83</v>
      </c>
      <c r="P85" s="15">
        <v>99</v>
      </c>
      <c r="Q85" s="15">
        <v>154</v>
      </c>
      <c r="R85" s="15">
        <v>64</v>
      </c>
      <c r="S85" s="15" t="s">
        <v>291</v>
      </c>
      <c r="T85" s="15">
        <v>28</v>
      </c>
      <c r="U85" s="15">
        <v>40</v>
      </c>
      <c r="V85" s="15">
        <v>97</v>
      </c>
      <c r="W85" s="15">
        <v>176</v>
      </c>
      <c r="X85" s="15">
        <v>255</v>
      </c>
      <c r="Y85" s="15">
        <v>292</v>
      </c>
      <c r="Z85" s="15">
        <v>276</v>
      </c>
      <c r="AA85" s="15" t="s">
        <v>291</v>
      </c>
      <c r="AB85" s="15" t="s">
        <v>291</v>
      </c>
      <c r="AC85" s="284" t="s">
        <v>291</v>
      </c>
      <c r="AD85" s="284" t="s">
        <v>291</v>
      </c>
      <c r="AE85" s="284" t="s">
        <v>291</v>
      </c>
      <c r="AF85" s="284">
        <v>144</v>
      </c>
      <c r="AG85" s="15" t="s">
        <v>291</v>
      </c>
      <c r="AH85" s="15" t="s">
        <v>291</v>
      </c>
      <c r="AI85" s="15" t="s">
        <v>291</v>
      </c>
      <c r="AJ85" s="15" t="s">
        <v>291</v>
      </c>
    </row>
    <row r="86" spans="1:36">
      <c r="A86" s="15" t="s">
        <v>434</v>
      </c>
      <c r="B86" s="15">
        <v>114</v>
      </c>
      <c r="C86" s="15">
        <v>100</v>
      </c>
      <c r="D86" s="15">
        <v>87</v>
      </c>
      <c r="E86" s="15">
        <v>93</v>
      </c>
      <c r="F86" s="15">
        <v>112</v>
      </c>
      <c r="G86" s="15">
        <v>127</v>
      </c>
      <c r="H86" s="15">
        <v>116</v>
      </c>
      <c r="I86" s="15">
        <v>101</v>
      </c>
      <c r="J86" s="15">
        <v>95</v>
      </c>
      <c r="K86" s="15">
        <v>184</v>
      </c>
      <c r="L86" s="15">
        <v>261</v>
      </c>
      <c r="M86" s="15">
        <v>285</v>
      </c>
      <c r="N86" s="15" t="s">
        <v>291</v>
      </c>
      <c r="O86" s="15">
        <v>345</v>
      </c>
      <c r="P86" s="15">
        <v>419</v>
      </c>
      <c r="Q86" s="15">
        <v>494</v>
      </c>
      <c r="R86" s="15">
        <v>577</v>
      </c>
      <c r="S86" s="15">
        <v>794</v>
      </c>
      <c r="T86" s="15">
        <v>789</v>
      </c>
      <c r="U86" s="15">
        <v>711</v>
      </c>
      <c r="V86" s="15">
        <v>620</v>
      </c>
      <c r="W86" s="15">
        <v>614</v>
      </c>
      <c r="X86" s="15">
        <v>589</v>
      </c>
      <c r="Y86" s="15">
        <v>609</v>
      </c>
      <c r="Z86" s="15">
        <v>815</v>
      </c>
      <c r="AA86" s="15">
        <v>638</v>
      </c>
      <c r="AB86" s="15">
        <v>1081</v>
      </c>
      <c r="AC86" s="284">
        <v>1245</v>
      </c>
      <c r="AD86" s="284">
        <v>1229</v>
      </c>
      <c r="AE86" s="284">
        <v>1303</v>
      </c>
      <c r="AF86" s="284">
        <v>1569</v>
      </c>
      <c r="AG86" s="15">
        <v>1531</v>
      </c>
      <c r="AH86" s="15">
        <v>1561</v>
      </c>
      <c r="AI86" s="15">
        <v>1580</v>
      </c>
      <c r="AJ86" s="15">
        <v>1548</v>
      </c>
    </row>
    <row r="87" spans="1:36">
      <c r="A87" s="15" t="s">
        <v>433</v>
      </c>
      <c r="B87" s="15">
        <v>10174</v>
      </c>
      <c r="C87" s="15">
        <v>10051</v>
      </c>
      <c r="D87" s="15">
        <v>10071</v>
      </c>
      <c r="E87" s="15">
        <v>10100</v>
      </c>
      <c r="F87" s="15">
        <v>10844</v>
      </c>
      <c r="G87" s="15">
        <v>12425</v>
      </c>
      <c r="H87" s="15">
        <v>13626</v>
      </c>
      <c r="I87" s="15">
        <v>17846</v>
      </c>
      <c r="J87" s="15">
        <v>20415</v>
      </c>
      <c r="K87" s="15">
        <v>23939</v>
      </c>
      <c r="L87" s="15">
        <v>25579</v>
      </c>
      <c r="M87" s="15">
        <v>28092</v>
      </c>
      <c r="N87" s="15">
        <v>30083</v>
      </c>
      <c r="O87" s="15">
        <v>33493</v>
      </c>
      <c r="P87" s="15">
        <v>37667</v>
      </c>
      <c r="Q87" s="15">
        <v>48549</v>
      </c>
      <c r="R87" s="15">
        <v>56035</v>
      </c>
      <c r="S87" s="15">
        <v>73761</v>
      </c>
      <c r="T87" s="15">
        <v>73841</v>
      </c>
      <c r="U87" s="15">
        <v>60716</v>
      </c>
      <c r="V87" s="15">
        <v>65395</v>
      </c>
      <c r="W87" s="15">
        <v>64647</v>
      </c>
      <c r="X87" s="15">
        <v>73214</v>
      </c>
      <c r="Y87" s="15">
        <v>82496</v>
      </c>
      <c r="Z87" s="15">
        <v>91811</v>
      </c>
      <c r="AA87" s="15">
        <v>102472</v>
      </c>
      <c r="AB87" s="15">
        <v>101291</v>
      </c>
      <c r="AC87" s="284">
        <v>97127</v>
      </c>
      <c r="AD87" s="284">
        <v>97752</v>
      </c>
      <c r="AE87" s="284">
        <v>98226</v>
      </c>
      <c r="AF87" s="284">
        <v>114848</v>
      </c>
      <c r="AG87" s="15">
        <v>97095</v>
      </c>
      <c r="AH87" s="15">
        <v>97411</v>
      </c>
      <c r="AI87" s="15">
        <v>97020</v>
      </c>
      <c r="AJ87" s="15">
        <v>98557</v>
      </c>
    </row>
    <row r="88" spans="1:36">
      <c r="A88" s="15" t="s">
        <v>432</v>
      </c>
      <c r="B88" s="15">
        <v>142</v>
      </c>
      <c r="C88" s="15">
        <v>169</v>
      </c>
      <c r="D88" s="15">
        <v>164</v>
      </c>
      <c r="E88" s="15">
        <v>123</v>
      </c>
      <c r="F88" s="15">
        <v>127</v>
      </c>
      <c r="G88" s="15">
        <v>161</v>
      </c>
      <c r="H88" s="15">
        <v>196</v>
      </c>
      <c r="I88" s="15">
        <v>213</v>
      </c>
      <c r="J88" s="15">
        <v>251</v>
      </c>
      <c r="K88" s="15">
        <v>417</v>
      </c>
      <c r="L88" s="15">
        <v>274</v>
      </c>
      <c r="M88" s="15">
        <v>298</v>
      </c>
      <c r="N88" s="15">
        <v>607</v>
      </c>
      <c r="O88" s="15">
        <v>921</v>
      </c>
      <c r="P88" s="15">
        <v>1223</v>
      </c>
      <c r="Q88" s="15">
        <v>1529</v>
      </c>
      <c r="R88" s="15">
        <v>2074</v>
      </c>
      <c r="S88" s="15">
        <v>1493</v>
      </c>
      <c r="T88" s="15">
        <v>1716</v>
      </c>
      <c r="U88" s="15">
        <v>1835</v>
      </c>
      <c r="V88" s="15">
        <v>1803</v>
      </c>
      <c r="W88" s="15">
        <v>840</v>
      </c>
      <c r="X88" s="15">
        <v>2687</v>
      </c>
      <c r="Y88" s="15">
        <v>1598</v>
      </c>
      <c r="Z88" s="15">
        <v>2105</v>
      </c>
      <c r="AA88" s="15">
        <v>2267</v>
      </c>
      <c r="AB88" s="15">
        <v>2414</v>
      </c>
      <c r="AC88" s="284">
        <v>2155</v>
      </c>
      <c r="AD88" s="284">
        <v>1827</v>
      </c>
      <c r="AE88" s="284">
        <v>1849</v>
      </c>
      <c r="AF88" s="284">
        <v>1034</v>
      </c>
      <c r="AG88" s="15">
        <v>999</v>
      </c>
      <c r="AH88" s="15">
        <v>1404</v>
      </c>
      <c r="AI88" s="15">
        <v>1423</v>
      </c>
      <c r="AJ88" s="15">
        <v>1565</v>
      </c>
    </row>
    <row r="89" spans="1:36">
      <c r="A89" s="15" t="s">
        <v>430</v>
      </c>
      <c r="B89" s="15">
        <v>247</v>
      </c>
      <c r="C89" s="15">
        <v>215</v>
      </c>
      <c r="D89" s="15">
        <v>286</v>
      </c>
      <c r="E89" s="15">
        <v>169</v>
      </c>
      <c r="F89" s="15">
        <v>165</v>
      </c>
      <c r="G89" s="15">
        <v>183</v>
      </c>
      <c r="H89" s="15">
        <v>238</v>
      </c>
      <c r="I89" s="15">
        <v>251</v>
      </c>
      <c r="J89" s="15">
        <v>262</v>
      </c>
      <c r="K89" s="15">
        <v>255</v>
      </c>
      <c r="L89" s="15">
        <v>239</v>
      </c>
      <c r="M89" s="15">
        <v>159</v>
      </c>
      <c r="N89" s="15">
        <v>140</v>
      </c>
      <c r="O89" s="15">
        <v>68</v>
      </c>
      <c r="P89" s="15">
        <v>129</v>
      </c>
      <c r="Q89" s="15">
        <v>183</v>
      </c>
      <c r="R89" s="15">
        <v>111</v>
      </c>
      <c r="S89" s="15">
        <v>347</v>
      </c>
      <c r="T89" s="15">
        <v>399</v>
      </c>
      <c r="U89" s="15">
        <v>227</v>
      </c>
      <c r="V89" s="15">
        <v>181</v>
      </c>
      <c r="W89" s="15">
        <v>272</v>
      </c>
      <c r="X89" s="15">
        <v>755</v>
      </c>
      <c r="Y89" s="15">
        <v>821</v>
      </c>
      <c r="Z89" s="15">
        <v>864</v>
      </c>
      <c r="AA89" s="15">
        <v>626</v>
      </c>
      <c r="AB89" s="15">
        <v>809</v>
      </c>
      <c r="AC89" s="284">
        <v>852</v>
      </c>
      <c r="AD89" s="284">
        <v>936</v>
      </c>
      <c r="AE89" s="284">
        <v>799</v>
      </c>
      <c r="AF89" s="284">
        <v>722</v>
      </c>
      <c r="AG89" s="15">
        <v>772</v>
      </c>
      <c r="AH89" s="15">
        <v>730</v>
      </c>
      <c r="AI89" s="15">
        <v>1147</v>
      </c>
      <c r="AJ89" s="15">
        <v>1140</v>
      </c>
    </row>
    <row r="90" spans="1:36">
      <c r="A90" s="15" t="s">
        <v>429</v>
      </c>
      <c r="B90" s="15">
        <v>5019</v>
      </c>
      <c r="C90" s="15">
        <v>4516</v>
      </c>
      <c r="D90" s="15">
        <v>4829</v>
      </c>
      <c r="E90" s="15">
        <v>5417</v>
      </c>
      <c r="F90" s="15">
        <v>5060</v>
      </c>
      <c r="G90" s="15">
        <v>5434</v>
      </c>
      <c r="H90" s="15">
        <v>6312</v>
      </c>
      <c r="I90" s="15">
        <v>8264</v>
      </c>
      <c r="J90" s="15">
        <v>10313</v>
      </c>
      <c r="K90" s="15">
        <v>12501</v>
      </c>
      <c r="L90" s="15">
        <v>13730</v>
      </c>
      <c r="M90" s="15">
        <v>15221</v>
      </c>
      <c r="N90" s="15">
        <v>16968</v>
      </c>
      <c r="O90" s="15">
        <v>16873</v>
      </c>
      <c r="P90" s="15">
        <v>19351</v>
      </c>
      <c r="Q90" s="15">
        <v>24050</v>
      </c>
      <c r="R90" s="15">
        <v>26657</v>
      </c>
      <c r="S90" s="15">
        <v>37151</v>
      </c>
      <c r="T90" s="15">
        <v>39352</v>
      </c>
      <c r="U90" s="15">
        <v>52544</v>
      </c>
      <c r="V90" s="15">
        <v>56303</v>
      </c>
      <c r="W90" s="15">
        <v>56851</v>
      </c>
      <c r="X90" s="15">
        <v>63384</v>
      </c>
      <c r="Y90" s="15">
        <v>73687</v>
      </c>
      <c r="Z90" s="15">
        <v>82965</v>
      </c>
      <c r="AA90" s="15">
        <v>91046</v>
      </c>
      <c r="AB90" s="15">
        <v>87443</v>
      </c>
      <c r="AC90" s="284">
        <v>84047</v>
      </c>
      <c r="AD90" s="284">
        <v>85751</v>
      </c>
      <c r="AE90" s="284">
        <v>85599</v>
      </c>
      <c r="AF90" s="284">
        <v>104388</v>
      </c>
      <c r="AG90" s="15">
        <v>86433</v>
      </c>
      <c r="AH90" s="15">
        <v>86976</v>
      </c>
      <c r="AI90" s="15">
        <v>86795</v>
      </c>
      <c r="AJ90" s="15">
        <v>87635</v>
      </c>
    </row>
    <row r="91" spans="1:36">
      <c r="A91" s="15" t="s">
        <v>428</v>
      </c>
      <c r="B91" s="15">
        <v>4413</v>
      </c>
      <c r="C91" s="15">
        <v>4863</v>
      </c>
      <c r="D91" s="15">
        <v>4460</v>
      </c>
      <c r="E91" s="15">
        <v>4069</v>
      </c>
      <c r="F91" s="15">
        <v>5227</v>
      </c>
      <c r="G91" s="15">
        <v>6294</v>
      </c>
      <c r="H91" s="15">
        <v>6489</v>
      </c>
      <c r="I91" s="15">
        <v>8913</v>
      </c>
      <c r="J91" s="15">
        <v>9289</v>
      </c>
      <c r="K91" s="15">
        <v>10484</v>
      </c>
      <c r="L91" s="15">
        <v>11038</v>
      </c>
      <c r="M91" s="15">
        <v>12043</v>
      </c>
      <c r="N91" s="15">
        <v>11905</v>
      </c>
      <c r="O91" s="15">
        <v>15123</v>
      </c>
      <c r="P91" s="15">
        <v>16335</v>
      </c>
      <c r="Q91" s="15">
        <v>22016</v>
      </c>
      <c r="R91" s="15">
        <v>25924</v>
      </c>
      <c r="S91" s="15">
        <v>33493</v>
      </c>
      <c r="T91" s="15">
        <v>30758</v>
      </c>
      <c r="U91" s="15">
        <v>5141</v>
      </c>
      <c r="V91" s="15">
        <v>5842</v>
      </c>
      <c r="W91" s="15">
        <v>5409</v>
      </c>
      <c r="X91" s="15">
        <v>4919</v>
      </c>
      <c r="Y91" s="15">
        <v>4826</v>
      </c>
      <c r="Z91" s="15">
        <v>4636</v>
      </c>
      <c r="AA91" s="15">
        <v>6171</v>
      </c>
      <c r="AB91" s="15">
        <v>5963</v>
      </c>
      <c r="AC91" s="284">
        <v>6060</v>
      </c>
      <c r="AD91" s="284">
        <v>5156</v>
      </c>
      <c r="AE91" s="284">
        <v>5849</v>
      </c>
      <c r="AF91" s="284">
        <v>4709</v>
      </c>
      <c r="AG91" s="15">
        <v>4682</v>
      </c>
      <c r="AH91" s="15">
        <v>4002</v>
      </c>
      <c r="AI91" s="15">
        <v>3751</v>
      </c>
      <c r="AJ91" s="15">
        <v>4377</v>
      </c>
    </row>
    <row r="92" spans="1:36">
      <c r="A92" s="15" t="s">
        <v>67</v>
      </c>
      <c r="B92" s="15">
        <v>119</v>
      </c>
      <c r="C92" s="15">
        <v>75</v>
      </c>
      <c r="D92" s="15">
        <v>88</v>
      </c>
      <c r="E92" s="15">
        <v>110</v>
      </c>
      <c r="F92" s="15">
        <v>90</v>
      </c>
      <c r="G92" s="15">
        <v>188</v>
      </c>
      <c r="H92" s="15">
        <v>208</v>
      </c>
      <c r="I92" s="15">
        <v>94</v>
      </c>
      <c r="J92" s="15">
        <v>169</v>
      </c>
      <c r="K92" s="15">
        <v>175</v>
      </c>
      <c r="L92" s="15">
        <v>182</v>
      </c>
      <c r="M92" s="15">
        <v>233</v>
      </c>
      <c r="N92" s="15">
        <v>262</v>
      </c>
      <c r="O92" s="15">
        <v>273</v>
      </c>
      <c r="P92" s="15">
        <v>298</v>
      </c>
      <c r="Q92" s="15">
        <v>413</v>
      </c>
      <c r="R92" s="15">
        <v>771</v>
      </c>
      <c r="S92" s="15">
        <v>1277</v>
      </c>
      <c r="T92" s="15">
        <v>1618</v>
      </c>
      <c r="U92" s="15">
        <v>970</v>
      </c>
      <c r="V92" s="15">
        <v>1267</v>
      </c>
      <c r="W92" s="15">
        <v>1274</v>
      </c>
      <c r="X92" s="15">
        <v>1469</v>
      </c>
      <c r="Y92" s="15">
        <v>1563</v>
      </c>
      <c r="Z92" s="15">
        <v>1240</v>
      </c>
      <c r="AA92" s="15">
        <v>2362</v>
      </c>
      <c r="AB92" s="15">
        <v>4663</v>
      </c>
      <c r="AC92" s="284">
        <v>4013</v>
      </c>
      <c r="AD92" s="284">
        <v>4082</v>
      </c>
      <c r="AE92" s="284">
        <v>4130</v>
      </c>
      <c r="AF92" s="284">
        <v>3994</v>
      </c>
      <c r="AG92" s="15">
        <v>4209</v>
      </c>
      <c r="AH92" s="15">
        <v>4298</v>
      </c>
      <c r="AI92" s="15">
        <v>3903</v>
      </c>
      <c r="AJ92" s="15">
        <v>3841</v>
      </c>
    </row>
    <row r="93" spans="1:36">
      <c r="A93" s="15" t="s">
        <v>427</v>
      </c>
      <c r="B93" s="15">
        <v>3</v>
      </c>
      <c r="C93" s="15">
        <v>-44</v>
      </c>
      <c r="D93" s="15">
        <v>-32</v>
      </c>
      <c r="E93" s="15">
        <v>7</v>
      </c>
      <c r="F93" s="15">
        <v>-7</v>
      </c>
      <c r="G93" s="15">
        <v>-7</v>
      </c>
      <c r="H93" s="15">
        <v>10</v>
      </c>
      <c r="I93" s="15">
        <v>11</v>
      </c>
      <c r="J93" s="15" t="s">
        <v>291</v>
      </c>
      <c r="K93" s="15">
        <v>12</v>
      </c>
      <c r="L93" s="15" t="s">
        <v>291</v>
      </c>
      <c r="M93" s="15" t="s">
        <v>291</v>
      </c>
      <c r="N93" s="15" t="s">
        <v>291</v>
      </c>
      <c r="O93" s="15">
        <v>35</v>
      </c>
      <c r="P93" s="15">
        <v>43</v>
      </c>
      <c r="Q93" s="15">
        <v>57</v>
      </c>
      <c r="R93" s="15">
        <v>59</v>
      </c>
      <c r="S93" s="15">
        <v>59</v>
      </c>
      <c r="T93" s="15">
        <v>103</v>
      </c>
      <c r="U93" s="15">
        <v>37</v>
      </c>
      <c r="V93" s="15">
        <v>52</v>
      </c>
      <c r="W93" s="15">
        <v>54</v>
      </c>
      <c r="X93" s="15">
        <v>78</v>
      </c>
      <c r="Y93" s="15">
        <v>80</v>
      </c>
      <c r="Z93" s="15" t="s">
        <v>291</v>
      </c>
      <c r="AA93" s="15">
        <v>38</v>
      </c>
      <c r="AB93" s="15">
        <v>46</v>
      </c>
      <c r="AC93" s="284">
        <v>58</v>
      </c>
      <c r="AD93" s="284">
        <v>54</v>
      </c>
      <c r="AE93" s="284">
        <v>47</v>
      </c>
      <c r="AF93" s="284">
        <v>30</v>
      </c>
      <c r="AG93" s="15">
        <v>31</v>
      </c>
      <c r="AH93" s="15">
        <v>33</v>
      </c>
      <c r="AI93" s="15">
        <v>34</v>
      </c>
      <c r="AJ93" s="15">
        <v>35</v>
      </c>
    </row>
    <row r="94" spans="1:36">
      <c r="A94" s="15" t="s">
        <v>426</v>
      </c>
      <c r="B94" s="15">
        <v>96</v>
      </c>
      <c r="C94" s="15">
        <v>102</v>
      </c>
      <c r="D94" s="15">
        <v>96</v>
      </c>
      <c r="E94" s="15">
        <v>77</v>
      </c>
      <c r="F94" s="15">
        <v>55</v>
      </c>
      <c r="G94" s="15">
        <v>54</v>
      </c>
      <c r="H94" s="15">
        <v>61</v>
      </c>
      <c r="I94" s="15">
        <v>67</v>
      </c>
      <c r="J94" s="15">
        <v>90</v>
      </c>
      <c r="K94" s="15">
        <v>83</v>
      </c>
      <c r="L94" s="15">
        <v>83</v>
      </c>
      <c r="M94" s="15">
        <v>105</v>
      </c>
      <c r="N94" s="15">
        <v>146</v>
      </c>
      <c r="O94" s="15">
        <v>150</v>
      </c>
      <c r="P94" s="15">
        <v>175</v>
      </c>
      <c r="Q94" s="15">
        <v>219</v>
      </c>
      <c r="R94" s="15">
        <v>555</v>
      </c>
      <c r="S94" s="15">
        <v>621</v>
      </c>
      <c r="T94" s="15">
        <v>540</v>
      </c>
      <c r="U94" s="15">
        <v>464</v>
      </c>
      <c r="V94" s="15">
        <v>664</v>
      </c>
      <c r="W94" s="15">
        <v>645</v>
      </c>
      <c r="X94" s="15">
        <v>851</v>
      </c>
      <c r="Y94" s="15">
        <v>934</v>
      </c>
      <c r="Z94" s="15">
        <v>626</v>
      </c>
      <c r="AA94" s="15">
        <v>1490</v>
      </c>
      <c r="AB94" s="15">
        <v>3163</v>
      </c>
      <c r="AC94" s="284">
        <v>2572</v>
      </c>
      <c r="AD94" s="284">
        <v>2599</v>
      </c>
      <c r="AE94" s="284">
        <v>2630</v>
      </c>
      <c r="AF94" s="284">
        <v>2697</v>
      </c>
      <c r="AG94" s="15">
        <v>2863</v>
      </c>
      <c r="AH94" s="15">
        <v>2955</v>
      </c>
      <c r="AI94" s="15">
        <v>2614</v>
      </c>
      <c r="AJ94" s="15">
        <v>2684</v>
      </c>
    </row>
    <row r="95" spans="1:36">
      <c r="A95" s="15" t="s">
        <v>425</v>
      </c>
      <c r="B95" s="15">
        <v>233</v>
      </c>
      <c r="C95" s="15">
        <v>213</v>
      </c>
      <c r="D95" s="15">
        <v>244</v>
      </c>
      <c r="E95" s="15">
        <v>211</v>
      </c>
      <c r="F95" s="15">
        <v>175</v>
      </c>
      <c r="G95" s="15">
        <v>165</v>
      </c>
      <c r="H95" s="15">
        <v>183</v>
      </c>
      <c r="I95" s="15">
        <v>111</v>
      </c>
      <c r="J95" s="15">
        <v>130</v>
      </c>
      <c r="K95" s="15">
        <v>107</v>
      </c>
      <c r="L95" s="15">
        <v>115</v>
      </c>
      <c r="M95" s="15">
        <v>139</v>
      </c>
      <c r="N95" s="15">
        <v>200</v>
      </c>
      <c r="O95" s="15">
        <v>233</v>
      </c>
      <c r="P95" s="15">
        <v>331</v>
      </c>
      <c r="Q95" s="15">
        <v>358</v>
      </c>
      <c r="R95" s="15">
        <v>498</v>
      </c>
      <c r="S95" s="15">
        <v>478</v>
      </c>
      <c r="T95" s="15">
        <v>835</v>
      </c>
      <c r="U95" s="15">
        <v>311</v>
      </c>
      <c r="V95" s="15">
        <v>300</v>
      </c>
      <c r="W95" s="15">
        <v>298</v>
      </c>
      <c r="X95" s="15">
        <v>410</v>
      </c>
      <c r="Y95" s="15">
        <v>386</v>
      </c>
      <c r="Z95" s="15">
        <v>436</v>
      </c>
      <c r="AA95" s="15">
        <v>614</v>
      </c>
      <c r="AB95" s="15">
        <v>1188</v>
      </c>
      <c r="AC95" s="284">
        <v>1051</v>
      </c>
      <c r="AD95" s="284">
        <v>1110</v>
      </c>
      <c r="AE95" s="284">
        <v>1095</v>
      </c>
      <c r="AF95" s="284">
        <v>1049</v>
      </c>
      <c r="AG95" s="15">
        <v>1103</v>
      </c>
      <c r="AH95" s="15">
        <v>1111</v>
      </c>
      <c r="AI95" s="15">
        <v>1072</v>
      </c>
      <c r="AJ95" s="15">
        <v>1005</v>
      </c>
    </row>
    <row r="96" spans="1:36">
      <c r="A96" s="15" t="s">
        <v>424</v>
      </c>
      <c r="B96" s="15">
        <v>20</v>
      </c>
      <c r="C96" s="15">
        <v>18</v>
      </c>
      <c r="D96" s="15">
        <v>24</v>
      </c>
      <c r="E96" s="15">
        <v>27</v>
      </c>
      <c r="F96" s="15">
        <v>42</v>
      </c>
      <c r="G96" s="15">
        <v>141</v>
      </c>
      <c r="H96" s="15">
        <v>136</v>
      </c>
      <c r="I96" s="15">
        <v>16</v>
      </c>
      <c r="J96" s="15" t="s">
        <v>291</v>
      </c>
      <c r="K96" s="15">
        <v>80</v>
      </c>
      <c r="L96" s="15" t="s">
        <v>291</v>
      </c>
      <c r="M96" s="15" t="s">
        <v>291</v>
      </c>
      <c r="N96" s="15" t="s">
        <v>291</v>
      </c>
      <c r="O96" s="15">
        <v>88</v>
      </c>
      <c r="P96" s="15">
        <v>80</v>
      </c>
      <c r="Q96" s="15">
        <v>137</v>
      </c>
      <c r="R96" s="15">
        <v>156</v>
      </c>
      <c r="S96" s="15">
        <v>119</v>
      </c>
      <c r="T96" s="15">
        <v>140</v>
      </c>
      <c r="U96" s="15">
        <v>157</v>
      </c>
      <c r="V96" s="15">
        <v>250</v>
      </c>
      <c r="W96" s="15">
        <v>278</v>
      </c>
      <c r="X96" s="15">
        <v>131</v>
      </c>
      <c r="Y96" s="15">
        <v>163</v>
      </c>
      <c r="Z96" s="15" t="s">
        <v>291</v>
      </c>
      <c r="AA96" s="15">
        <v>220</v>
      </c>
      <c r="AB96" s="15">
        <v>266</v>
      </c>
      <c r="AC96" s="284">
        <v>333</v>
      </c>
      <c r="AD96" s="284">
        <v>319</v>
      </c>
      <c r="AE96" s="284">
        <v>357</v>
      </c>
      <c r="AF96" s="284">
        <v>218</v>
      </c>
      <c r="AG96" s="15">
        <v>211</v>
      </c>
      <c r="AH96" s="15">
        <v>199</v>
      </c>
      <c r="AI96" s="15">
        <v>184</v>
      </c>
      <c r="AJ96" s="15">
        <v>117</v>
      </c>
    </row>
    <row r="97" spans="1:36">
      <c r="A97" s="15" t="s">
        <v>423</v>
      </c>
      <c r="B97" s="15">
        <v>-1847</v>
      </c>
      <c r="C97" s="15">
        <v>-3352</v>
      </c>
      <c r="D97" s="15">
        <v>-2655</v>
      </c>
      <c r="E97" s="15">
        <v>2201</v>
      </c>
      <c r="F97" s="15">
        <v>8058</v>
      </c>
      <c r="G97" s="15">
        <v>15801</v>
      </c>
      <c r="H97" s="15">
        <v>19313</v>
      </c>
      <c r="I97" s="15">
        <v>22493</v>
      </c>
      <c r="J97" s="15">
        <v>28065</v>
      </c>
      <c r="K97" s="15">
        <v>29131</v>
      </c>
      <c r="L97" s="15">
        <v>36969</v>
      </c>
      <c r="M97" s="15">
        <v>41180</v>
      </c>
      <c r="N97" s="15">
        <v>48722</v>
      </c>
      <c r="O97" s="15">
        <v>48714</v>
      </c>
      <c r="P97" s="15">
        <v>60886</v>
      </c>
      <c r="Q97" s="15">
        <v>62761</v>
      </c>
      <c r="R97" s="15">
        <v>68127</v>
      </c>
      <c r="S97" s="15">
        <v>96690</v>
      </c>
      <c r="T97" s="15">
        <v>108515</v>
      </c>
      <c r="U97" s="15">
        <v>142086</v>
      </c>
      <c r="V97" s="15">
        <v>159416</v>
      </c>
      <c r="W97" s="15">
        <v>166319</v>
      </c>
      <c r="X97" s="15">
        <v>209810</v>
      </c>
      <c r="Y97" s="15">
        <v>223775</v>
      </c>
      <c r="Z97" s="15">
        <v>246142</v>
      </c>
      <c r="AA97" s="15">
        <v>348956</v>
      </c>
      <c r="AB97" s="15">
        <v>389098</v>
      </c>
      <c r="AC97" s="284">
        <v>501586</v>
      </c>
      <c r="AD97" s="284">
        <v>518438</v>
      </c>
      <c r="AE97" s="284">
        <v>541200</v>
      </c>
      <c r="AF97" s="284">
        <v>566384</v>
      </c>
      <c r="AG97" s="15">
        <v>550806</v>
      </c>
      <c r="AH97" s="15">
        <v>641600</v>
      </c>
      <c r="AI97" s="15">
        <v>651855</v>
      </c>
      <c r="AJ97" s="15">
        <v>613171</v>
      </c>
    </row>
    <row r="98" spans="1:36">
      <c r="A98" s="15" t="s">
        <v>421</v>
      </c>
      <c r="B98" s="15">
        <v>55</v>
      </c>
      <c r="C98" s="15">
        <v>62</v>
      </c>
      <c r="D98" s="15">
        <v>54</v>
      </c>
      <c r="E98" s="15">
        <v>92</v>
      </c>
      <c r="F98" s="15">
        <v>204</v>
      </c>
      <c r="G98" s="15">
        <v>181</v>
      </c>
      <c r="H98" s="15">
        <v>314</v>
      </c>
      <c r="I98" s="15">
        <v>141</v>
      </c>
      <c r="J98" s="15">
        <v>252</v>
      </c>
      <c r="K98" s="15">
        <v>291</v>
      </c>
      <c r="L98" s="15">
        <v>340</v>
      </c>
      <c r="M98" s="15">
        <v>471</v>
      </c>
      <c r="N98" s="15">
        <v>391</v>
      </c>
      <c r="O98" s="15">
        <v>698</v>
      </c>
      <c r="P98" s="15">
        <v>848</v>
      </c>
      <c r="Q98" s="15">
        <v>787</v>
      </c>
      <c r="R98" s="15">
        <v>929</v>
      </c>
      <c r="S98" s="15">
        <v>3030</v>
      </c>
      <c r="T98" s="15">
        <v>2141</v>
      </c>
      <c r="U98" s="15">
        <v>2240</v>
      </c>
      <c r="V98" s="15">
        <v>1817</v>
      </c>
      <c r="W98" s="15">
        <v>984</v>
      </c>
      <c r="X98" s="15">
        <v>3249</v>
      </c>
      <c r="Y98" s="15">
        <v>3881</v>
      </c>
      <c r="Z98" s="15">
        <v>4831</v>
      </c>
      <c r="AA98" s="15">
        <v>2136</v>
      </c>
      <c r="AB98" s="15">
        <v>3154</v>
      </c>
      <c r="AC98" s="284">
        <v>5804</v>
      </c>
      <c r="AD98" s="284">
        <v>7524</v>
      </c>
      <c r="AE98" s="284">
        <v>11738</v>
      </c>
      <c r="AF98" s="284">
        <v>11242</v>
      </c>
      <c r="AG98" s="15">
        <v>12413</v>
      </c>
      <c r="AH98" s="15">
        <v>15230</v>
      </c>
      <c r="AI98" s="15">
        <v>15548</v>
      </c>
      <c r="AJ98" s="15">
        <v>18990</v>
      </c>
    </row>
    <row r="99" spans="1:36">
      <c r="A99" s="15" t="s">
        <v>420</v>
      </c>
      <c r="B99" s="15">
        <v>11519</v>
      </c>
      <c r="C99" s="15">
        <v>11400</v>
      </c>
      <c r="D99" s="15">
        <v>13322</v>
      </c>
      <c r="E99" s="15">
        <v>13343</v>
      </c>
      <c r="F99" s="15">
        <v>15717</v>
      </c>
      <c r="G99" s="15">
        <v>19166</v>
      </c>
      <c r="H99" s="15">
        <v>18916</v>
      </c>
      <c r="I99" s="15">
        <v>18297</v>
      </c>
      <c r="J99" s="15">
        <v>20169</v>
      </c>
      <c r="K99" s="15">
        <v>22262</v>
      </c>
      <c r="L99" s="15">
        <v>26736</v>
      </c>
      <c r="M99" s="15">
        <v>28666</v>
      </c>
      <c r="N99" s="15">
        <v>28355</v>
      </c>
      <c r="O99" s="15">
        <v>28374</v>
      </c>
      <c r="P99" s="15">
        <v>37091</v>
      </c>
      <c r="Q99" s="15">
        <v>38071</v>
      </c>
      <c r="R99" s="15">
        <v>41908</v>
      </c>
      <c r="S99" s="15">
        <v>50847</v>
      </c>
      <c r="T99" s="15">
        <v>60114</v>
      </c>
      <c r="U99" s="15">
        <v>84969</v>
      </c>
      <c r="V99" s="15">
        <v>89473</v>
      </c>
      <c r="W99" s="15">
        <v>84508</v>
      </c>
      <c r="X99" s="15">
        <v>100856</v>
      </c>
      <c r="Y99" s="15">
        <v>113222</v>
      </c>
      <c r="Z99" s="15">
        <v>133480</v>
      </c>
      <c r="AA99" s="15">
        <v>211708</v>
      </c>
      <c r="AB99" s="15">
        <v>207547</v>
      </c>
      <c r="AC99" s="284">
        <v>287933</v>
      </c>
      <c r="AD99" s="284">
        <v>265524</v>
      </c>
      <c r="AE99" s="284">
        <v>277313</v>
      </c>
      <c r="AF99" s="284">
        <v>279555</v>
      </c>
      <c r="AG99" s="15">
        <v>256359</v>
      </c>
      <c r="AH99" s="15">
        <v>294147</v>
      </c>
      <c r="AI99" s="15">
        <v>304812</v>
      </c>
      <c r="AJ99" s="15">
        <v>288822</v>
      </c>
    </row>
    <row r="100" spans="1:36">
      <c r="A100" s="15" t="s">
        <v>419</v>
      </c>
      <c r="B100" s="15">
        <v>188</v>
      </c>
      <c r="C100" s="15">
        <v>246</v>
      </c>
      <c r="D100" s="15">
        <v>236</v>
      </c>
      <c r="E100" s="15">
        <v>227</v>
      </c>
      <c r="F100" s="15">
        <v>220</v>
      </c>
      <c r="G100" s="15">
        <v>185</v>
      </c>
      <c r="H100" s="15">
        <v>183</v>
      </c>
      <c r="I100" s="15" t="s">
        <v>291</v>
      </c>
      <c r="J100" s="15">
        <v>529</v>
      </c>
      <c r="K100" s="15">
        <v>661</v>
      </c>
      <c r="L100" s="15">
        <v>779</v>
      </c>
      <c r="M100" s="15">
        <v>1039</v>
      </c>
      <c r="N100" s="15">
        <v>266</v>
      </c>
      <c r="O100" s="15">
        <v>330</v>
      </c>
      <c r="P100" s="15">
        <v>400</v>
      </c>
      <c r="Q100" s="15">
        <v>488</v>
      </c>
      <c r="R100" s="15">
        <v>645</v>
      </c>
      <c r="S100" s="15">
        <v>968</v>
      </c>
      <c r="T100" s="15">
        <v>1143</v>
      </c>
      <c r="U100" s="15">
        <v>1116</v>
      </c>
      <c r="V100" s="15">
        <v>983</v>
      </c>
      <c r="W100" s="15">
        <v>816</v>
      </c>
      <c r="X100" s="15">
        <v>1028</v>
      </c>
      <c r="Y100" s="15">
        <v>815</v>
      </c>
      <c r="Z100" s="15">
        <v>789</v>
      </c>
      <c r="AA100" s="15">
        <v>712</v>
      </c>
      <c r="AB100" s="15">
        <v>806</v>
      </c>
      <c r="AC100" s="284">
        <v>1193</v>
      </c>
      <c r="AD100" s="284">
        <v>1432</v>
      </c>
      <c r="AE100" s="284">
        <v>1216</v>
      </c>
      <c r="AF100" s="284">
        <v>1088</v>
      </c>
      <c r="AG100" s="15">
        <v>1183</v>
      </c>
      <c r="AH100" s="15">
        <v>1217</v>
      </c>
      <c r="AI100" s="15">
        <v>1299</v>
      </c>
      <c r="AJ100" s="15">
        <v>1401</v>
      </c>
    </row>
    <row r="101" spans="1:36">
      <c r="A101" s="15" t="s">
        <v>415</v>
      </c>
      <c r="B101" s="15">
        <v>1425</v>
      </c>
      <c r="C101" s="15">
        <v>2050</v>
      </c>
      <c r="D101" s="15">
        <v>3198</v>
      </c>
      <c r="E101" s="15">
        <v>3865</v>
      </c>
      <c r="F101" s="15">
        <v>4347</v>
      </c>
      <c r="G101" s="15">
        <v>4961</v>
      </c>
      <c r="H101" s="15">
        <v>4788</v>
      </c>
      <c r="I101" s="15">
        <v>6123</v>
      </c>
      <c r="J101" s="15">
        <v>5929</v>
      </c>
      <c r="K101" s="15">
        <v>5397</v>
      </c>
      <c r="L101" s="15">
        <v>5401</v>
      </c>
      <c r="M101" s="15">
        <v>5544</v>
      </c>
      <c r="N101" s="15">
        <v>7858</v>
      </c>
      <c r="O101" s="15">
        <v>8358</v>
      </c>
      <c r="P101" s="15">
        <v>10121</v>
      </c>
      <c r="Q101" s="15">
        <v>14044</v>
      </c>
      <c r="R101" s="15">
        <v>17434</v>
      </c>
      <c r="S101" s="15">
        <v>29762</v>
      </c>
      <c r="T101" s="15">
        <v>33451</v>
      </c>
      <c r="U101" s="15">
        <v>36443</v>
      </c>
      <c r="V101" s="15">
        <v>48305</v>
      </c>
      <c r="W101" s="15">
        <v>61882</v>
      </c>
      <c r="X101" s="15">
        <v>82159</v>
      </c>
      <c r="Y101" s="15">
        <v>83164</v>
      </c>
      <c r="Z101" s="15">
        <v>84817</v>
      </c>
      <c r="AA101" s="15">
        <v>105829</v>
      </c>
      <c r="AB101" s="15">
        <v>134298</v>
      </c>
      <c r="AC101" s="284">
        <v>160627</v>
      </c>
      <c r="AD101" s="284">
        <v>191680</v>
      </c>
      <c r="AE101" s="284">
        <v>193688</v>
      </c>
      <c r="AF101" s="284">
        <v>218648</v>
      </c>
      <c r="AG101" s="15">
        <v>218049</v>
      </c>
      <c r="AH101" s="15">
        <v>284231</v>
      </c>
      <c r="AI101" s="15">
        <v>286679</v>
      </c>
      <c r="AJ101" s="15">
        <v>265548</v>
      </c>
    </row>
    <row r="102" spans="1:36">
      <c r="A102" s="15" t="s">
        <v>67</v>
      </c>
      <c r="B102" s="15">
        <v>284</v>
      </c>
      <c r="C102" s="15">
        <v>171</v>
      </c>
      <c r="D102" s="15">
        <v>168</v>
      </c>
      <c r="E102" s="15">
        <v>173</v>
      </c>
      <c r="F102" s="15">
        <v>193</v>
      </c>
      <c r="G102" s="15">
        <v>227</v>
      </c>
      <c r="H102" s="15">
        <v>214</v>
      </c>
      <c r="I102" s="15">
        <v>427</v>
      </c>
      <c r="J102" s="15">
        <v>574</v>
      </c>
      <c r="K102" s="15">
        <v>455</v>
      </c>
      <c r="L102" s="15">
        <v>75</v>
      </c>
      <c r="M102" s="15">
        <v>645</v>
      </c>
      <c r="N102" s="15">
        <v>608</v>
      </c>
      <c r="O102" s="15">
        <v>392</v>
      </c>
      <c r="P102" s="15">
        <v>583</v>
      </c>
      <c r="Q102" s="15">
        <v>797</v>
      </c>
      <c r="R102" s="15">
        <v>632</v>
      </c>
      <c r="S102" s="15">
        <v>12083</v>
      </c>
      <c r="T102" s="15">
        <v>11665</v>
      </c>
      <c r="U102" s="15">
        <v>17317</v>
      </c>
      <c r="V102" s="15">
        <v>18839</v>
      </c>
      <c r="W102" s="15">
        <v>18129</v>
      </c>
      <c r="X102" s="15">
        <v>22518</v>
      </c>
      <c r="Y102" s="15">
        <v>22693</v>
      </c>
      <c r="Z102" s="15">
        <v>22224</v>
      </c>
      <c r="AA102" s="15">
        <v>28572</v>
      </c>
      <c r="AB102" s="15">
        <v>43293</v>
      </c>
      <c r="AC102" s="284">
        <v>46029</v>
      </c>
      <c r="AD102" s="284">
        <v>52278</v>
      </c>
      <c r="AE102" s="284">
        <v>57244</v>
      </c>
      <c r="AF102" s="284">
        <v>55850</v>
      </c>
      <c r="AG102" s="15">
        <v>62802</v>
      </c>
      <c r="AH102" s="15">
        <v>46776</v>
      </c>
      <c r="AI102" s="15">
        <v>43518</v>
      </c>
      <c r="AJ102" s="15">
        <v>38411</v>
      </c>
    </row>
    <row r="103" spans="1:36">
      <c r="A103" s="15" t="s">
        <v>414</v>
      </c>
      <c r="B103" s="15" t="s">
        <v>273</v>
      </c>
      <c r="C103" s="15" t="s">
        <v>273</v>
      </c>
      <c r="D103" s="15" t="s">
        <v>273</v>
      </c>
      <c r="E103" s="15" t="s">
        <v>273</v>
      </c>
      <c r="F103" s="15" t="s">
        <v>273</v>
      </c>
      <c r="G103" s="15" t="s">
        <v>273</v>
      </c>
      <c r="H103" s="15" t="s">
        <v>273</v>
      </c>
      <c r="I103" s="15" t="s">
        <v>273</v>
      </c>
      <c r="J103" s="15" t="s">
        <v>273</v>
      </c>
      <c r="K103" s="15" t="s">
        <v>273</v>
      </c>
      <c r="L103" s="15" t="s">
        <v>273</v>
      </c>
      <c r="M103" s="15" t="s">
        <v>273</v>
      </c>
      <c r="N103" s="15" t="s">
        <v>273</v>
      </c>
      <c r="O103" s="15" t="s">
        <v>273</v>
      </c>
      <c r="P103" s="15" t="s">
        <v>273</v>
      </c>
      <c r="Q103" s="15" t="s">
        <v>273</v>
      </c>
      <c r="R103" s="15" t="s">
        <v>273</v>
      </c>
      <c r="S103" s="15">
        <v>8</v>
      </c>
      <c r="T103" s="15">
        <v>6</v>
      </c>
      <c r="U103" s="15" t="s">
        <v>291</v>
      </c>
      <c r="V103" s="15">
        <v>2</v>
      </c>
      <c r="W103" s="15" t="s">
        <v>306</v>
      </c>
      <c r="X103" s="15">
        <v>-5</v>
      </c>
      <c r="Y103" s="15">
        <v>-5</v>
      </c>
      <c r="Z103" s="15">
        <v>-5</v>
      </c>
      <c r="AA103" s="15">
        <v>-5</v>
      </c>
      <c r="AB103" s="15">
        <v>-5</v>
      </c>
      <c r="AC103" s="284" t="s">
        <v>306</v>
      </c>
      <c r="AD103" s="284" t="s">
        <v>306</v>
      </c>
      <c r="AE103" s="284" t="s">
        <v>291</v>
      </c>
      <c r="AF103" s="284">
        <v>-2</v>
      </c>
      <c r="AG103" s="15" t="s">
        <v>291</v>
      </c>
      <c r="AH103" s="15" t="s">
        <v>291</v>
      </c>
      <c r="AI103" s="15" t="s">
        <v>291</v>
      </c>
      <c r="AJ103" s="15" t="s">
        <v>291</v>
      </c>
    </row>
    <row r="104" spans="1:36">
      <c r="A104" s="15" t="s">
        <v>413</v>
      </c>
      <c r="B104" s="15">
        <v>3</v>
      </c>
      <c r="C104" s="15">
        <v>2</v>
      </c>
      <c r="D104" s="15">
        <v>2</v>
      </c>
      <c r="E104" s="15" t="s">
        <v>291</v>
      </c>
      <c r="F104" s="15">
        <v>3</v>
      </c>
      <c r="G104" s="15">
        <v>5</v>
      </c>
      <c r="H104" s="15">
        <v>3</v>
      </c>
      <c r="I104" s="15">
        <v>3</v>
      </c>
      <c r="J104" s="15">
        <v>3</v>
      </c>
      <c r="K104" s="15">
        <v>4</v>
      </c>
      <c r="L104" s="15">
        <v>5</v>
      </c>
      <c r="M104" s="15">
        <v>5</v>
      </c>
      <c r="N104" s="15">
        <v>1</v>
      </c>
      <c r="O104" s="15">
        <v>1</v>
      </c>
      <c r="P104" s="15">
        <v>1</v>
      </c>
      <c r="Q104" s="15">
        <v>1</v>
      </c>
      <c r="R104" s="15">
        <v>2</v>
      </c>
      <c r="S104" s="15" t="s">
        <v>291</v>
      </c>
      <c r="T104" s="15">
        <v>67</v>
      </c>
      <c r="U104" s="15">
        <v>89</v>
      </c>
      <c r="V104" s="15">
        <v>93</v>
      </c>
      <c r="W104" s="15">
        <v>30</v>
      </c>
      <c r="X104" s="15">
        <v>34</v>
      </c>
      <c r="Y104" s="15">
        <v>30</v>
      </c>
      <c r="Z104" s="15">
        <v>9</v>
      </c>
      <c r="AA104" s="15">
        <v>9</v>
      </c>
      <c r="AB104" s="15">
        <v>9</v>
      </c>
      <c r="AC104" s="284">
        <v>2</v>
      </c>
      <c r="AD104" s="284">
        <v>2</v>
      </c>
      <c r="AE104" s="284">
        <v>2</v>
      </c>
      <c r="AF104" s="284">
        <v>2</v>
      </c>
      <c r="AG104" s="15">
        <v>2</v>
      </c>
      <c r="AH104" s="15">
        <v>2</v>
      </c>
      <c r="AI104" s="15">
        <v>2</v>
      </c>
      <c r="AJ104" s="15">
        <v>2</v>
      </c>
    </row>
    <row r="105" spans="1:36">
      <c r="A105" s="15" t="s">
        <v>412</v>
      </c>
      <c r="B105" s="15" t="s">
        <v>516</v>
      </c>
      <c r="C105" s="15" t="s">
        <v>516</v>
      </c>
      <c r="D105" s="15" t="s">
        <v>516</v>
      </c>
      <c r="E105" s="15" t="s">
        <v>516</v>
      </c>
      <c r="F105" s="15" t="s">
        <v>516</v>
      </c>
      <c r="G105" s="15" t="s">
        <v>291</v>
      </c>
      <c r="H105" s="15" t="s">
        <v>291</v>
      </c>
      <c r="I105" s="15" t="s">
        <v>291</v>
      </c>
      <c r="J105" s="15" t="s">
        <v>291</v>
      </c>
      <c r="K105" s="15" t="s">
        <v>291</v>
      </c>
      <c r="L105" s="15" t="s">
        <v>291</v>
      </c>
      <c r="M105" s="15">
        <v>430</v>
      </c>
      <c r="N105" s="15" t="s">
        <v>291</v>
      </c>
      <c r="O105" s="15">
        <v>183</v>
      </c>
      <c r="P105" s="15" t="s">
        <v>291</v>
      </c>
      <c r="Q105" s="15">
        <v>600</v>
      </c>
      <c r="R105" s="15">
        <v>487</v>
      </c>
      <c r="S105" s="15">
        <v>799</v>
      </c>
      <c r="T105" s="15">
        <v>546</v>
      </c>
      <c r="U105" s="15">
        <v>806</v>
      </c>
      <c r="V105" s="15">
        <v>728</v>
      </c>
      <c r="W105" s="15">
        <v>442</v>
      </c>
      <c r="X105" s="15">
        <v>172</v>
      </c>
      <c r="Y105" s="15">
        <v>117</v>
      </c>
      <c r="Z105" s="15">
        <v>314</v>
      </c>
      <c r="AA105" s="15">
        <v>410</v>
      </c>
      <c r="AB105" s="15">
        <v>360</v>
      </c>
      <c r="AC105" s="284" t="s">
        <v>306</v>
      </c>
      <c r="AD105" s="284">
        <v>287</v>
      </c>
      <c r="AE105" s="284">
        <v>628</v>
      </c>
      <c r="AF105" s="284">
        <v>187</v>
      </c>
      <c r="AG105" s="15">
        <v>158</v>
      </c>
      <c r="AH105" s="15">
        <v>248</v>
      </c>
      <c r="AI105" s="15">
        <v>82</v>
      </c>
      <c r="AJ105" s="15">
        <v>-291</v>
      </c>
    </row>
    <row r="106" spans="1:36">
      <c r="A106" s="15" t="s">
        <v>411</v>
      </c>
      <c r="B106" s="15">
        <v>3121</v>
      </c>
      <c r="C106" s="15">
        <v>3720</v>
      </c>
      <c r="D106" s="15">
        <v>3345</v>
      </c>
      <c r="E106" s="15">
        <v>3796</v>
      </c>
      <c r="F106" s="15">
        <v>2959</v>
      </c>
      <c r="G106" s="15">
        <v>3766</v>
      </c>
      <c r="H106" s="15">
        <v>4462</v>
      </c>
      <c r="I106" s="15">
        <v>4577</v>
      </c>
      <c r="J106" s="15">
        <v>4004</v>
      </c>
      <c r="K106" s="15">
        <v>3864</v>
      </c>
      <c r="L106" s="15">
        <v>4167</v>
      </c>
      <c r="M106" s="15">
        <v>3138</v>
      </c>
      <c r="N106" s="15">
        <v>2808</v>
      </c>
      <c r="O106" s="15">
        <v>1768</v>
      </c>
      <c r="P106" s="15">
        <v>1876</v>
      </c>
      <c r="Q106" s="15">
        <v>1569</v>
      </c>
      <c r="R106" s="15">
        <v>-282</v>
      </c>
      <c r="S106" s="15">
        <v>3740</v>
      </c>
      <c r="T106" s="15">
        <v>3291</v>
      </c>
      <c r="U106" s="15">
        <v>5533</v>
      </c>
      <c r="V106" s="15">
        <v>7645</v>
      </c>
      <c r="W106" s="15">
        <v>8643</v>
      </c>
      <c r="X106" s="15">
        <v>11255</v>
      </c>
      <c r="Y106" s="15">
        <v>13451</v>
      </c>
      <c r="Z106" s="15">
        <v>13703</v>
      </c>
      <c r="AA106" s="15">
        <v>16567</v>
      </c>
      <c r="AB106" s="15">
        <v>23127</v>
      </c>
      <c r="AC106" s="284">
        <v>24951</v>
      </c>
      <c r="AD106" s="284">
        <v>28501</v>
      </c>
      <c r="AE106" s="284">
        <v>29785</v>
      </c>
      <c r="AF106" s="284">
        <v>28454</v>
      </c>
      <c r="AG106" s="15">
        <v>33599</v>
      </c>
      <c r="AH106" s="15">
        <v>28808</v>
      </c>
      <c r="AI106" s="15">
        <v>25204</v>
      </c>
      <c r="AJ106" s="15">
        <v>24736</v>
      </c>
    </row>
    <row r="107" spans="1:36">
      <c r="A107" s="15" t="s">
        <v>410</v>
      </c>
      <c r="B107" s="15" t="s">
        <v>291</v>
      </c>
      <c r="C107" s="15" t="s">
        <v>291</v>
      </c>
      <c r="D107" s="15" t="s">
        <v>291</v>
      </c>
      <c r="E107" s="15" t="s">
        <v>291</v>
      </c>
      <c r="F107" s="15" t="s">
        <v>291</v>
      </c>
      <c r="G107" s="15" t="s">
        <v>291</v>
      </c>
      <c r="H107" s="15" t="s">
        <v>291</v>
      </c>
      <c r="I107" s="15" t="s">
        <v>291</v>
      </c>
      <c r="J107" s="15" t="s">
        <v>291</v>
      </c>
      <c r="K107" s="15" t="s">
        <v>291</v>
      </c>
      <c r="L107" s="15" t="s">
        <v>291</v>
      </c>
      <c r="M107" s="15" t="s">
        <v>291</v>
      </c>
      <c r="N107" s="15" t="s">
        <v>291</v>
      </c>
      <c r="O107" s="15" t="s">
        <v>291</v>
      </c>
      <c r="P107" s="15" t="s">
        <v>291</v>
      </c>
      <c r="Q107" s="15" t="s">
        <v>291</v>
      </c>
      <c r="R107" s="15" t="s">
        <v>291</v>
      </c>
      <c r="S107" s="15" t="s">
        <v>291</v>
      </c>
      <c r="T107" s="15" t="s">
        <v>291</v>
      </c>
      <c r="U107" s="15" t="s">
        <v>291</v>
      </c>
      <c r="V107" s="15">
        <v>-25</v>
      </c>
      <c r="W107" s="15">
        <v>-26</v>
      </c>
      <c r="X107" s="15" t="s">
        <v>291</v>
      </c>
      <c r="Y107" s="15">
        <v>-2</v>
      </c>
      <c r="Z107" s="15">
        <v>-2</v>
      </c>
      <c r="AA107" s="15">
        <v>-2</v>
      </c>
      <c r="AB107" s="15">
        <v>-2</v>
      </c>
      <c r="AC107" s="284" t="s">
        <v>306</v>
      </c>
      <c r="AD107" s="284" t="s">
        <v>306</v>
      </c>
      <c r="AE107" s="284" t="s">
        <v>306</v>
      </c>
      <c r="AF107" s="284" t="s">
        <v>306</v>
      </c>
      <c r="AG107" s="15" t="s">
        <v>306</v>
      </c>
      <c r="AH107" s="15" t="s">
        <v>306</v>
      </c>
      <c r="AI107" s="15" t="s">
        <v>306</v>
      </c>
      <c r="AJ107" s="15" t="s">
        <v>306</v>
      </c>
    </row>
    <row r="108" spans="1:36">
      <c r="A108" s="15" t="s">
        <v>409</v>
      </c>
      <c r="B108" s="15" t="s">
        <v>273</v>
      </c>
      <c r="C108" s="15" t="s">
        <v>273</v>
      </c>
      <c r="D108" s="15" t="s">
        <v>273</v>
      </c>
      <c r="E108" s="15" t="s">
        <v>273</v>
      </c>
      <c r="F108" s="15" t="s">
        <v>273</v>
      </c>
      <c r="G108" s="15" t="s">
        <v>273</v>
      </c>
      <c r="H108" s="15" t="s">
        <v>273</v>
      </c>
      <c r="I108" s="15" t="s">
        <v>273</v>
      </c>
      <c r="J108" s="15" t="s">
        <v>273</v>
      </c>
      <c r="K108" s="15" t="s">
        <v>273</v>
      </c>
      <c r="L108" s="15" t="s">
        <v>273</v>
      </c>
      <c r="M108" s="15" t="s">
        <v>273</v>
      </c>
      <c r="N108" s="15" t="s">
        <v>273</v>
      </c>
      <c r="O108" s="15" t="s">
        <v>273</v>
      </c>
      <c r="P108" s="15" t="s">
        <v>273</v>
      </c>
      <c r="Q108" s="15" t="s">
        <v>273</v>
      </c>
      <c r="R108" s="15" t="s">
        <v>273</v>
      </c>
      <c r="S108" s="15" t="s">
        <v>273</v>
      </c>
      <c r="T108" s="15" t="s">
        <v>273</v>
      </c>
      <c r="U108" s="15" t="s">
        <v>273</v>
      </c>
      <c r="V108" s="15" t="s">
        <v>273</v>
      </c>
      <c r="W108" s="15" t="s">
        <v>273</v>
      </c>
      <c r="X108" s="15" t="s">
        <v>273</v>
      </c>
      <c r="Y108" s="15" t="s">
        <v>273</v>
      </c>
      <c r="Z108" s="15" t="s">
        <v>273</v>
      </c>
      <c r="AA108" s="15" t="s">
        <v>273</v>
      </c>
      <c r="AB108" s="15" t="s">
        <v>273</v>
      </c>
      <c r="AC108" s="284" t="s">
        <v>402</v>
      </c>
      <c r="AD108" s="284" t="s">
        <v>402</v>
      </c>
      <c r="AE108" s="284" t="s">
        <v>291</v>
      </c>
      <c r="AF108" s="284">
        <v>5101</v>
      </c>
      <c r="AG108" s="15">
        <v>5672</v>
      </c>
      <c r="AH108" s="15">
        <v>5709</v>
      </c>
      <c r="AI108" s="15">
        <v>5653</v>
      </c>
      <c r="AJ108" s="15">
        <v>5841</v>
      </c>
    </row>
    <row r="109" spans="1:36">
      <c r="A109" s="15" t="s">
        <v>408</v>
      </c>
      <c r="B109" s="15">
        <v>0</v>
      </c>
      <c r="C109" s="15">
        <v>0</v>
      </c>
      <c r="D109" s="15" t="s">
        <v>306</v>
      </c>
      <c r="E109" s="15" t="s">
        <v>306</v>
      </c>
      <c r="F109" s="15">
        <v>1</v>
      </c>
      <c r="G109" s="15">
        <v>1</v>
      </c>
      <c r="H109" s="15">
        <v>1</v>
      </c>
      <c r="I109" s="15" t="s">
        <v>306</v>
      </c>
      <c r="J109" s="15" t="s">
        <v>306</v>
      </c>
      <c r="K109" s="15" t="s">
        <v>306</v>
      </c>
      <c r="L109" s="15" t="s">
        <v>306</v>
      </c>
      <c r="M109" s="15" t="s">
        <v>306</v>
      </c>
      <c r="N109" s="15">
        <v>3</v>
      </c>
      <c r="O109" s="15">
        <v>33</v>
      </c>
      <c r="P109" s="15">
        <v>36</v>
      </c>
      <c r="Q109" s="15">
        <v>38</v>
      </c>
      <c r="R109" s="15">
        <v>39</v>
      </c>
      <c r="S109" s="15">
        <v>46</v>
      </c>
      <c r="T109" s="15">
        <v>45</v>
      </c>
      <c r="U109" s="15">
        <v>43</v>
      </c>
      <c r="V109" s="15">
        <v>45</v>
      </c>
      <c r="W109" s="15" t="s">
        <v>291</v>
      </c>
      <c r="X109" s="15" t="s">
        <v>291</v>
      </c>
      <c r="Y109" s="15">
        <v>22</v>
      </c>
      <c r="Z109" s="15">
        <v>6</v>
      </c>
      <c r="AA109" s="15">
        <v>-14</v>
      </c>
      <c r="AB109" s="15">
        <v>-2</v>
      </c>
      <c r="AC109" s="284">
        <v>-1</v>
      </c>
      <c r="AD109" s="284">
        <v>-1</v>
      </c>
      <c r="AE109" s="284">
        <v>-11</v>
      </c>
      <c r="AF109" s="284" t="s">
        <v>291</v>
      </c>
      <c r="AG109" s="15" t="s">
        <v>291</v>
      </c>
      <c r="AH109" s="15" t="s">
        <v>291</v>
      </c>
      <c r="AI109" s="15" t="s">
        <v>291</v>
      </c>
      <c r="AJ109" s="15" t="s">
        <v>291</v>
      </c>
    </row>
    <row r="110" spans="1:36">
      <c r="A110" s="15" t="s">
        <v>407</v>
      </c>
      <c r="B110" s="15">
        <v>14</v>
      </c>
      <c r="C110" s="15">
        <v>14</v>
      </c>
      <c r="D110" s="15">
        <v>12</v>
      </c>
      <c r="E110" s="15">
        <v>10</v>
      </c>
      <c r="F110" s="15">
        <v>13</v>
      </c>
      <c r="G110" s="15">
        <v>26</v>
      </c>
      <c r="H110" s="15">
        <v>20</v>
      </c>
      <c r="I110" s="15">
        <v>68</v>
      </c>
      <c r="J110" s="15">
        <v>80</v>
      </c>
      <c r="K110" s="15">
        <v>94</v>
      </c>
      <c r="L110" s="15">
        <v>106</v>
      </c>
      <c r="M110" s="15">
        <v>114</v>
      </c>
      <c r="N110" s="15">
        <v>97</v>
      </c>
      <c r="O110" s="15">
        <v>129</v>
      </c>
      <c r="P110" s="15">
        <v>126</v>
      </c>
      <c r="Q110" s="15">
        <v>132</v>
      </c>
      <c r="R110" s="15">
        <v>127</v>
      </c>
      <c r="S110" s="15">
        <v>96</v>
      </c>
      <c r="T110" s="15">
        <v>106</v>
      </c>
      <c r="U110" s="15">
        <v>106</v>
      </c>
      <c r="V110" s="15">
        <v>81</v>
      </c>
      <c r="W110" s="15">
        <v>72</v>
      </c>
      <c r="X110" s="15">
        <v>58</v>
      </c>
      <c r="Y110" s="15">
        <v>49</v>
      </c>
      <c r="Z110" s="15" t="s">
        <v>291</v>
      </c>
      <c r="AA110" s="15">
        <v>245</v>
      </c>
      <c r="AB110" s="15">
        <v>275</v>
      </c>
      <c r="AC110" s="284">
        <v>572</v>
      </c>
      <c r="AD110" s="284">
        <v>528</v>
      </c>
      <c r="AE110" s="284">
        <v>146</v>
      </c>
      <c r="AF110" s="284">
        <v>158</v>
      </c>
      <c r="AG110" s="15">
        <v>160</v>
      </c>
      <c r="AH110" s="15">
        <v>119</v>
      </c>
      <c r="AI110" s="15">
        <v>173</v>
      </c>
      <c r="AJ110" s="15">
        <v>177</v>
      </c>
    </row>
    <row r="111" spans="1:36">
      <c r="A111" s="15" t="s">
        <v>406</v>
      </c>
      <c r="B111" s="15" t="s">
        <v>306</v>
      </c>
      <c r="C111" s="15" t="s">
        <v>306</v>
      </c>
      <c r="D111" s="15" t="s">
        <v>306</v>
      </c>
      <c r="E111" s="15" t="s">
        <v>306</v>
      </c>
      <c r="F111" s="15" t="s">
        <v>306</v>
      </c>
      <c r="G111" s="15">
        <v>1</v>
      </c>
      <c r="H111" s="15">
        <v>1</v>
      </c>
      <c r="I111" s="15" t="s">
        <v>306</v>
      </c>
      <c r="J111" s="15">
        <v>1</v>
      </c>
      <c r="K111" s="15">
        <v>1</v>
      </c>
      <c r="L111" s="15">
        <v>2</v>
      </c>
      <c r="M111" s="15">
        <v>2</v>
      </c>
      <c r="N111" s="15" t="s">
        <v>306</v>
      </c>
      <c r="O111" s="15">
        <v>1</v>
      </c>
      <c r="P111" s="15">
        <v>1</v>
      </c>
      <c r="Q111" s="15">
        <v>1</v>
      </c>
      <c r="R111" s="15">
        <v>1</v>
      </c>
      <c r="S111" s="15">
        <v>4</v>
      </c>
      <c r="T111" s="15">
        <v>6</v>
      </c>
      <c r="U111" s="15">
        <v>7</v>
      </c>
      <c r="V111" s="15">
        <v>7</v>
      </c>
      <c r="W111" s="15">
        <v>7</v>
      </c>
      <c r="X111" s="15" t="s">
        <v>291</v>
      </c>
      <c r="Y111" s="15">
        <v>9</v>
      </c>
      <c r="Z111" s="15">
        <v>4</v>
      </c>
      <c r="AA111" s="15" t="s">
        <v>306</v>
      </c>
      <c r="AB111" s="15" t="s">
        <v>306</v>
      </c>
      <c r="AC111" s="284">
        <v>7</v>
      </c>
      <c r="AD111" s="284">
        <v>7</v>
      </c>
      <c r="AE111" s="284">
        <v>7</v>
      </c>
      <c r="AF111" s="284">
        <v>7</v>
      </c>
      <c r="AG111" s="15">
        <v>7</v>
      </c>
      <c r="AH111" s="15">
        <v>7</v>
      </c>
      <c r="AI111" s="15">
        <v>7</v>
      </c>
      <c r="AJ111" s="15">
        <v>7</v>
      </c>
    </row>
    <row r="112" spans="1:36">
      <c r="A112" s="15" t="s">
        <v>405</v>
      </c>
      <c r="B112" s="15">
        <v>19</v>
      </c>
      <c r="C112" s="15">
        <v>16</v>
      </c>
      <c r="D112" s="15">
        <v>20</v>
      </c>
      <c r="E112" s="15">
        <v>24</v>
      </c>
      <c r="F112" s="15">
        <v>27</v>
      </c>
      <c r="G112" s="15">
        <v>33</v>
      </c>
      <c r="H112" s="15">
        <v>26</v>
      </c>
      <c r="I112" s="15">
        <v>26</v>
      </c>
      <c r="J112" s="15">
        <v>32</v>
      </c>
      <c r="K112" s="15">
        <v>18</v>
      </c>
      <c r="L112" s="15">
        <v>31</v>
      </c>
      <c r="M112" s="15">
        <v>30</v>
      </c>
      <c r="N112" s="15">
        <v>18</v>
      </c>
      <c r="O112" s="15">
        <v>14</v>
      </c>
      <c r="P112" s="15">
        <v>14</v>
      </c>
      <c r="Q112" s="15">
        <v>24</v>
      </c>
      <c r="R112" s="15" t="s">
        <v>291</v>
      </c>
      <c r="S112" s="15">
        <v>70</v>
      </c>
      <c r="T112" s="15">
        <v>64</v>
      </c>
      <c r="U112" s="15">
        <v>55</v>
      </c>
      <c r="V112" s="15">
        <v>63</v>
      </c>
      <c r="W112" s="15">
        <v>74</v>
      </c>
      <c r="X112" s="15">
        <v>77</v>
      </c>
      <c r="Y112" s="15">
        <v>100</v>
      </c>
      <c r="Z112" s="15">
        <v>137</v>
      </c>
      <c r="AA112" s="15">
        <v>115</v>
      </c>
      <c r="AB112" s="15">
        <v>113</v>
      </c>
      <c r="AC112" s="284" t="s">
        <v>291</v>
      </c>
      <c r="AD112" s="284" t="s">
        <v>291</v>
      </c>
      <c r="AE112" s="284" t="s">
        <v>291</v>
      </c>
      <c r="AF112" s="284" t="s">
        <v>291</v>
      </c>
      <c r="AG112" s="15">
        <v>22</v>
      </c>
      <c r="AH112" s="15">
        <v>24</v>
      </c>
      <c r="AI112" s="15" t="s">
        <v>291</v>
      </c>
      <c r="AJ112" s="15">
        <v>24</v>
      </c>
    </row>
    <row r="113" spans="1:36">
      <c r="A113" s="15" t="s">
        <v>404</v>
      </c>
      <c r="B113" s="15">
        <v>386</v>
      </c>
      <c r="C113" s="15">
        <v>306</v>
      </c>
      <c r="D113" s="15">
        <v>250</v>
      </c>
      <c r="E113" s="15">
        <v>107</v>
      </c>
      <c r="F113" s="15">
        <v>80</v>
      </c>
      <c r="G113" s="15">
        <v>71</v>
      </c>
      <c r="H113" s="15">
        <v>111</v>
      </c>
      <c r="I113" s="15">
        <v>383</v>
      </c>
      <c r="J113" s="15">
        <v>625</v>
      </c>
      <c r="K113" s="15">
        <v>763</v>
      </c>
      <c r="L113" s="15">
        <v>892</v>
      </c>
      <c r="M113" s="15">
        <v>1049</v>
      </c>
      <c r="N113" s="15">
        <v>1167</v>
      </c>
      <c r="O113" s="15">
        <v>1287</v>
      </c>
      <c r="P113" s="15">
        <v>1583</v>
      </c>
      <c r="Q113" s="15">
        <v>1952</v>
      </c>
      <c r="R113" s="15">
        <v>1960</v>
      </c>
      <c r="S113" s="15">
        <v>2296</v>
      </c>
      <c r="T113" s="15">
        <v>2483</v>
      </c>
      <c r="U113" s="15">
        <v>2957</v>
      </c>
      <c r="V113" s="15">
        <v>3097</v>
      </c>
      <c r="W113" s="15">
        <v>3406</v>
      </c>
      <c r="X113" s="15">
        <v>3551</v>
      </c>
      <c r="Y113" s="15">
        <v>1018</v>
      </c>
      <c r="Z113" s="15">
        <v>940</v>
      </c>
      <c r="AA113" s="15">
        <v>801</v>
      </c>
      <c r="AB113" s="15">
        <v>940</v>
      </c>
      <c r="AC113" s="284">
        <v>616</v>
      </c>
      <c r="AD113" s="284">
        <v>493</v>
      </c>
      <c r="AE113" s="284">
        <v>488</v>
      </c>
      <c r="AF113" s="284">
        <v>508</v>
      </c>
      <c r="AG113" s="15">
        <v>472</v>
      </c>
      <c r="AH113" s="15">
        <v>200</v>
      </c>
      <c r="AI113" s="15">
        <v>210</v>
      </c>
      <c r="AJ113" s="15">
        <v>185</v>
      </c>
    </row>
    <row r="114" spans="1:36">
      <c r="A114" s="15" t="s">
        <v>403</v>
      </c>
      <c r="B114" s="15">
        <v>-19756</v>
      </c>
      <c r="C114" s="15">
        <v>-22169</v>
      </c>
      <c r="D114" s="15">
        <v>-23891</v>
      </c>
      <c r="E114" s="15">
        <v>-19878</v>
      </c>
      <c r="F114" s="15">
        <v>-16074</v>
      </c>
      <c r="G114" s="15">
        <v>-13137</v>
      </c>
      <c r="H114" s="15">
        <v>-10078</v>
      </c>
      <c r="I114" s="15">
        <v>-8378</v>
      </c>
      <c r="J114" s="15">
        <v>-4501</v>
      </c>
      <c r="K114" s="15">
        <v>-5072</v>
      </c>
      <c r="L114" s="15">
        <v>-1989</v>
      </c>
      <c r="M114" s="15">
        <v>-62</v>
      </c>
      <c r="N114" s="15">
        <v>6739</v>
      </c>
      <c r="O114" s="15">
        <v>6835</v>
      </c>
      <c r="P114" s="15">
        <v>7597</v>
      </c>
      <c r="Q114" s="15">
        <v>4415</v>
      </c>
      <c r="R114" s="15">
        <v>3897</v>
      </c>
      <c r="S114" s="15">
        <v>3451</v>
      </c>
      <c r="T114" s="15">
        <v>3579</v>
      </c>
      <c r="U114" s="15">
        <v>5695</v>
      </c>
      <c r="V114" s="15">
        <v>4753</v>
      </c>
      <c r="W114" s="15">
        <v>2926</v>
      </c>
      <c r="X114" s="15">
        <v>4712</v>
      </c>
      <c r="Y114" s="15">
        <v>5607</v>
      </c>
      <c r="Z114" s="15">
        <v>3924</v>
      </c>
      <c r="AA114" s="15">
        <v>6483</v>
      </c>
      <c r="AB114" s="15">
        <v>13314</v>
      </c>
      <c r="AC114" s="284">
        <v>14482</v>
      </c>
      <c r="AD114" s="284">
        <v>16335</v>
      </c>
      <c r="AE114" s="284" t="s">
        <v>402</v>
      </c>
      <c r="AF114" s="284" t="s">
        <v>402</v>
      </c>
      <c r="AG114" s="15" t="s">
        <v>402</v>
      </c>
      <c r="AH114" s="15" t="s">
        <v>402</v>
      </c>
      <c r="AI114" s="15" t="s">
        <v>402</v>
      </c>
      <c r="AJ114" s="15" t="s">
        <v>402</v>
      </c>
    </row>
    <row r="115" spans="1:36">
      <c r="A115" s="15" t="s">
        <v>401</v>
      </c>
      <c r="B115" s="303">
        <f t="shared" ref="B115:AC115" si="0">B114</f>
        <v>-19756</v>
      </c>
      <c r="C115" s="303">
        <f t="shared" si="0"/>
        <v>-22169</v>
      </c>
      <c r="D115" s="303">
        <f t="shared" si="0"/>
        <v>-23891</v>
      </c>
      <c r="E115" s="303">
        <f t="shared" si="0"/>
        <v>-19878</v>
      </c>
      <c r="F115" s="303">
        <f t="shared" si="0"/>
        <v>-16074</v>
      </c>
      <c r="G115" s="303">
        <f t="shared" si="0"/>
        <v>-13137</v>
      </c>
      <c r="H115" s="303">
        <f t="shared" si="0"/>
        <v>-10078</v>
      </c>
      <c r="I115" s="303">
        <f t="shared" si="0"/>
        <v>-8378</v>
      </c>
      <c r="J115" s="303">
        <f t="shared" si="0"/>
        <v>-4501</v>
      </c>
      <c r="K115" s="303">
        <f t="shared" si="0"/>
        <v>-5072</v>
      </c>
      <c r="L115" s="303">
        <f t="shared" si="0"/>
        <v>-1989</v>
      </c>
      <c r="M115" s="303">
        <f t="shared" si="0"/>
        <v>-62</v>
      </c>
      <c r="N115" s="303">
        <f t="shared" si="0"/>
        <v>6739</v>
      </c>
      <c r="O115" s="303">
        <f t="shared" si="0"/>
        <v>6835</v>
      </c>
      <c r="P115" s="303">
        <f t="shared" si="0"/>
        <v>7597</v>
      </c>
      <c r="Q115" s="303">
        <f t="shared" si="0"/>
        <v>4415</v>
      </c>
      <c r="R115" s="303">
        <f t="shared" si="0"/>
        <v>3897</v>
      </c>
      <c r="S115" s="303">
        <f t="shared" si="0"/>
        <v>3451</v>
      </c>
      <c r="T115" s="303">
        <f t="shared" si="0"/>
        <v>3579</v>
      </c>
      <c r="U115" s="303">
        <f t="shared" si="0"/>
        <v>5695</v>
      </c>
      <c r="V115" s="303">
        <f t="shared" si="0"/>
        <v>4753</v>
      </c>
      <c r="W115" s="303">
        <f t="shared" si="0"/>
        <v>2926</v>
      </c>
      <c r="X115" s="303">
        <f t="shared" si="0"/>
        <v>4712</v>
      </c>
      <c r="Y115" s="303">
        <f t="shared" si="0"/>
        <v>5607</v>
      </c>
      <c r="Z115" s="303">
        <f t="shared" si="0"/>
        <v>3924</v>
      </c>
      <c r="AA115" s="303">
        <f t="shared" si="0"/>
        <v>6483</v>
      </c>
      <c r="AB115" s="303">
        <f t="shared" si="0"/>
        <v>13314</v>
      </c>
      <c r="AC115" s="303">
        <f t="shared" si="0"/>
        <v>14482</v>
      </c>
      <c r="AD115" s="284">
        <f>AD114</f>
        <v>16335</v>
      </c>
      <c r="AE115" s="304">
        <f t="shared" ref="AE115:AJ115" si="1">AD115</f>
        <v>16335</v>
      </c>
      <c r="AF115" s="304">
        <f t="shared" si="1"/>
        <v>16335</v>
      </c>
      <c r="AG115" s="304">
        <f t="shared" si="1"/>
        <v>16335</v>
      </c>
      <c r="AH115" s="304">
        <f t="shared" si="1"/>
        <v>16335</v>
      </c>
      <c r="AI115" s="304">
        <f t="shared" si="1"/>
        <v>16335</v>
      </c>
      <c r="AJ115" s="304">
        <f t="shared" si="1"/>
        <v>16335</v>
      </c>
    </row>
    <row r="116" spans="1:36">
      <c r="A116" s="15" t="s">
        <v>400</v>
      </c>
      <c r="B116" s="15" t="s">
        <v>273</v>
      </c>
      <c r="C116" s="15" t="s">
        <v>273</v>
      </c>
      <c r="D116" s="15" t="s">
        <v>273</v>
      </c>
      <c r="E116" s="15" t="s">
        <v>273</v>
      </c>
      <c r="F116" s="15" t="s">
        <v>273</v>
      </c>
      <c r="G116" s="15" t="s">
        <v>273</v>
      </c>
      <c r="H116" s="15" t="s">
        <v>273</v>
      </c>
      <c r="I116" s="15" t="s">
        <v>273</v>
      </c>
      <c r="J116" s="15" t="s">
        <v>273</v>
      </c>
      <c r="K116" s="15" t="s">
        <v>273</v>
      </c>
      <c r="L116" s="15" t="s">
        <v>273</v>
      </c>
      <c r="M116" s="15" t="s">
        <v>273</v>
      </c>
      <c r="N116" s="15" t="s">
        <v>273</v>
      </c>
      <c r="O116" s="15" t="s">
        <v>273</v>
      </c>
      <c r="P116" s="15" t="s">
        <v>273</v>
      </c>
      <c r="Q116" s="15" t="s">
        <v>273</v>
      </c>
      <c r="R116" s="15" t="s">
        <v>273</v>
      </c>
      <c r="S116" s="15" t="s">
        <v>273</v>
      </c>
      <c r="T116" s="15" t="s">
        <v>273</v>
      </c>
      <c r="U116" s="15" t="s">
        <v>273</v>
      </c>
      <c r="V116" s="15" t="s">
        <v>273</v>
      </c>
      <c r="W116" s="15" t="s">
        <v>273</v>
      </c>
      <c r="X116" s="15" t="s">
        <v>273</v>
      </c>
      <c r="Y116" s="15" t="s">
        <v>273</v>
      </c>
      <c r="Z116" s="15" t="s">
        <v>273</v>
      </c>
      <c r="AA116" s="15" t="s">
        <v>273</v>
      </c>
      <c r="AB116" s="15" t="s">
        <v>273</v>
      </c>
      <c r="AC116" s="284" t="s">
        <v>402</v>
      </c>
      <c r="AD116" s="284" t="s">
        <v>402</v>
      </c>
      <c r="AE116" s="284">
        <v>-24</v>
      </c>
      <c r="AF116" s="284">
        <v>-71</v>
      </c>
      <c r="AG116" s="15" t="s">
        <v>291</v>
      </c>
      <c r="AH116" s="15" t="s">
        <v>291</v>
      </c>
      <c r="AI116" s="15" t="s">
        <v>291</v>
      </c>
      <c r="AJ116" s="15" t="s">
        <v>291</v>
      </c>
    </row>
    <row r="117" spans="1:36">
      <c r="A117" s="15" t="s">
        <v>399</v>
      </c>
      <c r="B117" s="15">
        <v>0</v>
      </c>
      <c r="C117" s="15" t="s">
        <v>306</v>
      </c>
      <c r="D117" s="15">
        <v>0</v>
      </c>
      <c r="E117" s="15">
        <v>0</v>
      </c>
      <c r="F117" s="15">
        <v>0</v>
      </c>
      <c r="G117" s="15">
        <v>2</v>
      </c>
      <c r="H117" s="15">
        <v>2</v>
      </c>
      <c r="I117" s="15">
        <v>2</v>
      </c>
      <c r="J117" s="15">
        <v>1</v>
      </c>
      <c r="K117" s="15">
        <v>1</v>
      </c>
      <c r="L117" s="15">
        <v>1</v>
      </c>
      <c r="M117" s="15">
        <v>1</v>
      </c>
      <c r="N117" s="15">
        <v>3</v>
      </c>
      <c r="O117" s="15">
        <v>3</v>
      </c>
      <c r="P117" s="15">
        <v>3</v>
      </c>
      <c r="Q117" s="15">
        <v>3</v>
      </c>
      <c r="R117" s="15">
        <v>3</v>
      </c>
      <c r="S117" s="15">
        <v>-1</v>
      </c>
      <c r="T117" s="15">
        <v>-1</v>
      </c>
      <c r="U117" s="15">
        <v>-1</v>
      </c>
      <c r="V117" s="15">
        <v>-1</v>
      </c>
      <c r="W117" s="15">
        <v>-1</v>
      </c>
      <c r="X117" s="15">
        <v>-1</v>
      </c>
      <c r="Y117" s="15">
        <v>36</v>
      </c>
      <c r="Z117" s="15" t="s">
        <v>291</v>
      </c>
      <c r="AA117" s="15" t="s">
        <v>306</v>
      </c>
      <c r="AB117" s="15" t="s">
        <v>306</v>
      </c>
      <c r="AC117" s="284" t="s">
        <v>291</v>
      </c>
      <c r="AD117" s="284">
        <v>5</v>
      </c>
      <c r="AE117" s="284">
        <v>5</v>
      </c>
      <c r="AF117" s="284">
        <v>5</v>
      </c>
      <c r="AG117" s="15">
        <v>5</v>
      </c>
      <c r="AH117" s="15">
        <v>5</v>
      </c>
      <c r="AI117" s="15">
        <v>8</v>
      </c>
      <c r="AJ117" s="15" t="s">
        <v>291</v>
      </c>
    </row>
    <row r="118" spans="1:36">
      <c r="A118" s="15" t="s">
        <v>398</v>
      </c>
      <c r="B118" s="15" t="s">
        <v>291</v>
      </c>
      <c r="C118" s="15" t="s">
        <v>291</v>
      </c>
      <c r="D118" s="15" t="s">
        <v>291</v>
      </c>
      <c r="E118" s="15" t="s">
        <v>291</v>
      </c>
      <c r="F118" s="15" t="s">
        <v>291</v>
      </c>
      <c r="G118" s="15" t="s">
        <v>291</v>
      </c>
      <c r="H118" s="15" t="s">
        <v>291</v>
      </c>
      <c r="I118" s="15" t="s">
        <v>291</v>
      </c>
      <c r="J118" s="15" t="s">
        <v>291</v>
      </c>
      <c r="K118" s="15" t="s">
        <v>291</v>
      </c>
      <c r="L118" s="15" t="s">
        <v>291</v>
      </c>
      <c r="M118" s="15" t="s">
        <v>291</v>
      </c>
      <c r="N118" s="15" t="s">
        <v>291</v>
      </c>
      <c r="O118" s="15" t="s">
        <v>291</v>
      </c>
      <c r="P118" s="15" t="s">
        <v>291</v>
      </c>
      <c r="Q118" s="15" t="s">
        <v>291</v>
      </c>
      <c r="R118" s="15">
        <v>39</v>
      </c>
      <c r="S118" s="15" t="s">
        <v>291</v>
      </c>
      <c r="T118" s="15">
        <v>24</v>
      </c>
      <c r="U118" s="15">
        <v>19</v>
      </c>
      <c r="V118" s="15">
        <v>17</v>
      </c>
      <c r="W118" s="15" t="s">
        <v>291</v>
      </c>
      <c r="X118" s="15">
        <v>36</v>
      </c>
      <c r="Y118" s="15">
        <v>32</v>
      </c>
      <c r="Z118" s="15">
        <v>36</v>
      </c>
      <c r="AA118" s="15">
        <v>33</v>
      </c>
      <c r="AB118" s="15">
        <v>26</v>
      </c>
      <c r="AC118" s="284">
        <v>73</v>
      </c>
      <c r="AD118" s="284" t="s">
        <v>291</v>
      </c>
      <c r="AE118" s="284">
        <v>168</v>
      </c>
      <c r="AF118" s="284">
        <v>153</v>
      </c>
      <c r="AG118" s="15">
        <v>112</v>
      </c>
      <c r="AH118" s="15">
        <v>163</v>
      </c>
      <c r="AI118" s="15">
        <v>230</v>
      </c>
      <c r="AJ118" s="15">
        <v>281</v>
      </c>
    </row>
    <row r="119" spans="1:36" s="284" customFormat="1">
      <c r="A119" s="289" t="s">
        <v>1114</v>
      </c>
      <c r="AC119" s="284">
        <v>0</v>
      </c>
      <c r="AD119" s="284">
        <v>0</v>
      </c>
      <c r="AE119" s="284">
        <v>0</v>
      </c>
      <c r="AF119" s="284">
        <v>0</v>
      </c>
      <c r="AG119" s="284">
        <v>0</v>
      </c>
      <c r="AH119" s="284">
        <v>0</v>
      </c>
      <c r="AI119" s="284">
        <v>0</v>
      </c>
      <c r="AJ119" s="284">
        <v>0</v>
      </c>
    </row>
    <row r="120" spans="1:36">
      <c r="A120" s="15" t="s">
        <v>397</v>
      </c>
      <c r="B120" s="15">
        <v>0</v>
      </c>
      <c r="C120" s="15">
        <v>0</v>
      </c>
      <c r="D120" s="15">
        <v>1</v>
      </c>
      <c r="E120" s="15">
        <v>1</v>
      </c>
      <c r="F120" s="15" t="s">
        <v>306</v>
      </c>
      <c r="G120" s="15">
        <v>2</v>
      </c>
      <c r="H120" s="15">
        <v>2</v>
      </c>
      <c r="I120" s="15" t="s">
        <v>306</v>
      </c>
      <c r="J120" s="15">
        <v>1</v>
      </c>
      <c r="K120" s="15">
        <v>1</v>
      </c>
      <c r="L120" s="15">
        <v>2</v>
      </c>
      <c r="M120" s="15">
        <v>2</v>
      </c>
      <c r="N120" s="15" t="s">
        <v>306</v>
      </c>
      <c r="O120" s="15" t="s">
        <v>306</v>
      </c>
      <c r="P120" s="15" t="s">
        <v>306</v>
      </c>
      <c r="Q120" s="15" t="s">
        <v>306</v>
      </c>
      <c r="R120" s="15" t="s">
        <v>306</v>
      </c>
      <c r="S120" s="15">
        <v>11</v>
      </c>
      <c r="T120" s="15" t="s">
        <v>291</v>
      </c>
      <c r="U120" s="15">
        <v>6</v>
      </c>
      <c r="V120" s="15">
        <v>6</v>
      </c>
      <c r="W120" s="15">
        <v>6</v>
      </c>
      <c r="X120" s="15" t="s">
        <v>291</v>
      </c>
      <c r="Y120" s="15">
        <v>7</v>
      </c>
      <c r="Z120" s="15">
        <v>3</v>
      </c>
      <c r="AA120" s="15">
        <v>1</v>
      </c>
      <c r="AB120" s="15">
        <v>1</v>
      </c>
      <c r="AC120" s="284">
        <v>1</v>
      </c>
      <c r="AD120" s="284">
        <v>1</v>
      </c>
      <c r="AE120" s="284">
        <v>1</v>
      </c>
      <c r="AF120" s="284">
        <v>1</v>
      </c>
      <c r="AG120" s="15">
        <v>1</v>
      </c>
      <c r="AH120" s="15">
        <v>1</v>
      </c>
      <c r="AI120" s="15">
        <v>1</v>
      </c>
      <c r="AJ120" s="15">
        <v>1</v>
      </c>
    </row>
    <row r="121" spans="1:36">
      <c r="A121" s="15" t="s">
        <v>396</v>
      </c>
      <c r="B121" s="15">
        <v>931</v>
      </c>
      <c r="C121" s="15">
        <v>862</v>
      </c>
      <c r="D121" s="15">
        <v>663</v>
      </c>
      <c r="E121" s="15">
        <v>476</v>
      </c>
      <c r="F121" s="15">
        <v>412</v>
      </c>
      <c r="G121" s="15">
        <v>381</v>
      </c>
      <c r="H121" s="15">
        <v>400</v>
      </c>
      <c r="I121" s="15" t="s">
        <v>291</v>
      </c>
      <c r="J121" s="15">
        <v>485</v>
      </c>
      <c r="K121" s="15">
        <v>510</v>
      </c>
      <c r="L121" s="15">
        <v>565</v>
      </c>
      <c r="M121" s="15">
        <v>691</v>
      </c>
      <c r="N121" s="15">
        <v>529</v>
      </c>
      <c r="O121" s="15">
        <v>673</v>
      </c>
      <c r="P121" s="15">
        <v>786</v>
      </c>
      <c r="Q121" s="15">
        <v>639</v>
      </c>
      <c r="R121" s="15">
        <v>1004</v>
      </c>
      <c r="S121" s="15">
        <v>1508</v>
      </c>
      <c r="T121" s="15">
        <v>1550</v>
      </c>
      <c r="U121" s="15">
        <v>2025</v>
      </c>
      <c r="V121" s="15">
        <v>2326</v>
      </c>
      <c r="W121" s="15">
        <v>2392</v>
      </c>
      <c r="X121" s="15">
        <v>2577</v>
      </c>
      <c r="Y121" s="15">
        <v>2219</v>
      </c>
      <c r="Z121" s="15" t="s">
        <v>291</v>
      </c>
      <c r="AA121" s="15">
        <v>3916</v>
      </c>
      <c r="AB121" s="15">
        <v>5109</v>
      </c>
      <c r="AC121" s="284">
        <v>5210</v>
      </c>
      <c r="AD121" s="284">
        <v>5905</v>
      </c>
      <c r="AE121" s="284">
        <v>6337</v>
      </c>
      <c r="AF121" s="284">
        <v>7416</v>
      </c>
      <c r="AG121" s="15">
        <v>6327</v>
      </c>
      <c r="AH121" s="15">
        <v>5523</v>
      </c>
      <c r="AI121" s="15">
        <v>5561</v>
      </c>
      <c r="AJ121" s="15">
        <v>5252</v>
      </c>
    </row>
    <row r="122" spans="1:36">
      <c r="A122" s="15" t="s">
        <v>395</v>
      </c>
      <c r="B122" s="15" t="s">
        <v>273</v>
      </c>
      <c r="C122" s="15" t="s">
        <v>273</v>
      </c>
      <c r="D122" s="15" t="s">
        <v>273</v>
      </c>
      <c r="E122" s="15" t="s">
        <v>273</v>
      </c>
      <c r="F122" s="15" t="s">
        <v>273</v>
      </c>
      <c r="G122" s="15" t="s">
        <v>273</v>
      </c>
      <c r="H122" s="15" t="s">
        <v>273</v>
      </c>
      <c r="I122" s="15" t="s">
        <v>273</v>
      </c>
      <c r="J122" s="15" t="s">
        <v>273</v>
      </c>
      <c r="K122" s="15" t="s">
        <v>273</v>
      </c>
      <c r="L122" s="15" t="s">
        <v>273</v>
      </c>
      <c r="M122" s="15" t="s">
        <v>273</v>
      </c>
      <c r="N122" s="15">
        <v>0</v>
      </c>
      <c r="O122" s="15">
        <v>0</v>
      </c>
      <c r="P122" s="15">
        <v>0</v>
      </c>
      <c r="Q122" s="15">
        <v>0</v>
      </c>
      <c r="R122" s="15">
        <v>0</v>
      </c>
      <c r="S122" s="15" t="s">
        <v>306</v>
      </c>
      <c r="T122" s="15" t="s">
        <v>306</v>
      </c>
      <c r="U122" s="15" t="s">
        <v>306</v>
      </c>
      <c r="V122" s="15" t="s">
        <v>306</v>
      </c>
      <c r="W122" s="15" t="s">
        <v>306</v>
      </c>
      <c r="X122" s="15">
        <v>2</v>
      </c>
      <c r="Y122" s="15">
        <v>2</v>
      </c>
      <c r="Z122" s="15">
        <v>5</v>
      </c>
      <c r="AA122" s="15">
        <v>14</v>
      </c>
      <c r="AB122" s="15">
        <v>29</v>
      </c>
      <c r="AC122" s="284">
        <v>46</v>
      </c>
      <c r="AD122" s="284">
        <v>5</v>
      </c>
      <c r="AE122" s="284">
        <v>593</v>
      </c>
      <c r="AF122" s="284" t="s">
        <v>291</v>
      </c>
      <c r="AG122" s="15" t="s">
        <v>291</v>
      </c>
      <c r="AH122" s="15">
        <v>5515</v>
      </c>
      <c r="AI122" s="15">
        <v>5912</v>
      </c>
      <c r="AJ122" s="15">
        <v>1856</v>
      </c>
    </row>
    <row r="123" spans="1:36">
      <c r="A123" s="15" t="s">
        <v>394</v>
      </c>
      <c r="B123" s="15">
        <v>6487</v>
      </c>
      <c r="C123" s="15">
        <v>6230</v>
      </c>
      <c r="D123" s="15">
        <v>6076</v>
      </c>
      <c r="E123" s="15">
        <v>6130</v>
      </c>
      <c r="F123" s="15">
        <v>5748</v>
      </c>
      <c r="G123" s="15">
        <v>6032</v>
      </c>
      <c r="H123" s="15">
        <v>5474</v>
      </c>
      <c r="I123" s="15">
        <v>3936</v>
      </c>
      <c r="J123" s="15">
        <v>3650</v>
      </c>
      <c r="K123" s="15">
        <v>4427</v>
      </c>
      <c r="L123" s="15">
        <v>4469</v>
      </c>
      <c r="M123" s="15">
        <v>5469</v>
      </c>
      <c r="N123" s="15">
        <v>5760</v>
      </c>
      <c r="O123" s="15">
        <v>6017</v>
      </c>
      <c r="P123" s="15">
        <v>8162</v>
      </c>
      <c r="Q123" s="15">
        <v>11330</v>
      </c>
      <c r="R123" s="15">
        <v>14061</v>
      </c>
      <c r="S123" s="15">
        <v>13118</v>
      </c>
      <c r="T123" s="15">
        <v>11891</v>
      </c>
      <c r="U123" s="15">
        <v>15574</v>
      </c>
      <c r="V123" s="15">
        <v>16040</v>
      </c>
      <c r="W123" s="15">
        <v>19835</v>
      </c>
      <c r="X123" s="15">
        <v>20356</v>
      </c>
      <c r="Y123" s="15">
        <v>22756</v>
      </c>
      <c r="Z123" s="15">
        <v>28158</v>
      </c>
      <c r="AA123" s="15">
        <v>32607</v>
      </c>
      <c r="AB123" s="15">
        <v>36746</v>
      </c>
      <c r="AC123" s="284">
        <v>43941</v>
      </c>
      <c r="AD123" s="284">
        <v>54816</v>
      </c>
      <c r="AE123" s="284">
        <v>56996</v>
      </c>
      <c r="AF123" s="284">
        <v>55849</v>
      </c>
      <c r="AG123" s="15">
        <v>60884</v>
      </c>
      <c r="AH123" s="15">
        <v>66403</v>
      </c>
      <c r="AI123" s="15">
        <v>59266</v>
      </c>
      <c r="AJ123" s="15">
        <v>57465</v>
      </c>
    </row>
    <row r="124" spans="1:36">
      <c r="A124" s="15" t="s">
        <v>393</v>
      </c>
      <c r="B124" s="15">
        <v>1229</v>
      </c>
      <c r="C124" s="15">
        <v>1416</v>
      </c>
      <c r="D124" s="15">
        <v>1521</v>
      </c>
      <c r="E124" s="15">
        <v>1905</v>
      </c>
      <c r="F124" s="15">
        <v>1792</v>
      </c>
      <c r="G124" s="15">
        <v>1644</v>
      </c>
      <c r="H124" s="15">
        <v>1596</v>
      </c>
      <c r="I124" s="15">
        <v>1541</v>
      </c>
      <c r="J124" s="15">
        <v>1231</v>
      </c>
      <c r="K124" s="15">
        <v>1246</v>
      </c>
      <c r="L124" s="15">
        <v>1334</v>
      </c>
      <c r="M124" s="15">
        <v>1510</v>
      </c>
      <c r="N124" s="15">
        <v>1090</v>
      </c>
      <c r="O124" s="15">
        <v>1093</v>
      </c>
      <c r="P124" s="15">
        <v>1366</v>
      </c>
      <c r="Q124" s="15">
        <v>1603</v>
      </c>
      <c r="R124" s="15">
        <v>1963</v>
      </c>
      <c r="S124" s="15">
        <v>2210</v>
      </c>
      <c r="T124" s="15">
        <v>1998</v>
      </c>
      <c r="U124" s="15">
        <v>2557</v>
      </c>
      <c r="V124" s="15">
        <v>2682</v>
      </c>
      <c r="W124" s="15">
        <v>3524</v>
      </c>
      <c r="X124" s="15">
        <v>4526</v>
      </c>
      <c r="Y124" s="15">
        <v>5475</v>
      </c>
      <c r="Z124" s="15">
        <v>5564</v>
      </c>
      <c r="AA124" s="15">
        <v>7023</v>
      </c>
      <c r="AB124" s="15">
        <v>7804</v>
      </c>
      <c r="AC124" s="284">
        <v>10257</v>
      </c>
      <c r="AD124" s="284">
        <v>12599</v>
      </c>
      <c r="AE124" s="284">
        <v>15428</v>
      </c>
      <c r="AF124" s="284">
        <v>17341</v>
      </c>
      <c r="AG124" s="15">
        <v>18796</v>
      </c>
      <c r="AH124" s="15" t="s">
        <v>291</v>
      </c>
      <c r="AI124" s="15">
        <v>23236</v>
      </c>
      <c r="AJ124" s="15">
        <v>22202</v>
      </c>
    </row>
    <row r="125" spans="1:36">
      <c r="A125" s="15" t="s">
        <v>392</v>
      </c>
      <c r="B125" s="15">
        <v>334</v>
      </c>
      <c r="C125" s="15">
        <v>231</v>
      </c>
      <c r="D125" s="15">
        <v>345</v>
      </c>
      <c r="E125" s="15">
        <v>63</v>
      </c>
      <c r="F125" s="15">
        <v>793</v>
      </c>
      <c r="G125" s="15">
        <v>913</v>
      </c>
      <c r="H125" s="15">
        <v>680</v>
      </c>
      <c r="I125" s="15">
        <v>-42</v>
      </c>
      <c r="J125" s="15">
        <v>-401</v>
      </c>
      <c r="K125" s="15">
        <v>529</v>
      </c>
      <c r="L125" s="15">
        <v>301</v>
      </c>
      <c r="M125" s="15">
        <v>478</v>
      </c>
      <c r="N125" s="15">
        <v>605</v>
      </c>
      <c r="O125" s="15">
        <v>629</v>
      </c>
      <c r="P125" s="15">
        <v>1020</v>
      </c>
      <c r="Q125" s="15">
        <v>1396</v>
      </c>
      <c r="R125" s="15">
        <v>1686</v>
      </c>
      <c r="S125" s="15">
        <v>233</v>
      </c>
      <c r="T125" s="15">
        <v>470</v>
      </c>
      <c r="U125" s="15">
        <v>260</v>
      </c>
      <c r="V125" s="15">
        <v>901</v>
      </c>
      <c r="W125" s="15">
        <v>1100</v>
      </c>
      <c r="X125" s="15">
        <v>1936</v>
      </c>
      <c r="Y125" s="15">
        <v>1105</v>
      </c>
      <c r="Z125" s="15">
        <v>1677</v>
      </c>
      <c r="AA125" s="15">
        <v>1584</v>
      </c>
      <c r="AB125" s="15">
        <v>3254</v>
      </c>
      <c r="AC125" s="284">
        <v>4938</v>
      </c>
      <c r="AD125" s="284">
        <v>5058</v>
      </c>
      <c r="AE125" s="284">
        <v>5307</v>
      </c>
      <c r="AF125" s="284">
        <v>5369</v>
      </c>
      <c r="AG125" s="15">
        <v>5066</v>
      </c>
      <c r="AH125" s="15">
        <v>4405</v>
      </c>
      <c r="AI125" s="15">
        <v>4558</v>
      </c>
      <c r="AJ125" s="15">
        <v>3819</v>
      </c>
    </row>
    <row r="126" spans="1:36">
      <c r="A126" s="15" t="s">
        <v>391</v>
      </c>
      <c r="B126" s="15">
        <v>2281</v>
      </c>
      <c r="C126" s="15">
        <v>2007</v>
      </c>
      <c r="D126" s="15">
        <v>1446</v>
      </c>
      <c r="E126" s="15">
        <v>1390</v>
      </c>
      <c r="F126" s="15">
        <v>1499</v>
      </c>
      <c r="G126" s="15">
        <v>1465</v>
      </c>
      <c r="H126" s="15">
        <v>1189</v>
      </c>
      <c r="I126" s="15">
        <v>699</v>
      </c>
      <c r="J126" s="15">
        <v>775</v>
      </c>
      <c r="K126" s="15">
        <v>868</v>
      </c>
      <c r="L126" s="15">
        <v>879</v>
      </c>
      <c r="M126" s="15">
        <v>900</v>
      </c>
      <c r="N126" s="15">
        <v>1132</v>
      </c>
      <c r="O126" s="15">
        <v>1422</v>
      </c>
      <c r="P126" s="15">
        <v>1495</v>
      </c>
      <c r="Q126" s="15">
        <v>2499</v>
      </c>
      <c r="R126" s="15">
        <v>2344</v>
      </c>
      <c r="S126" s="15">
        <v>3474</v>
      </c>
      <c r="T126" s="15">
        <v>3562</v>
      </c>
      <c r="U126" s="15">
        <v>3070</v>
      </c>
      <c r="V126" s="15">
        <v>3334</v>
      </c>
      <c r="W126" s="15">
        <v>3580</v>
      </c>
      <c r="X126" s="15">
        <v>3913</v>
      </c>
      <c r="Y126" s="15">
        <v>3969</v>
      </c>
      <c r="Z126" s="15">
        <v>3980</v>
      </c>
      <c r="AA126" s="15">
        <v>5240</v>
      </c>
      <c r="AB126" s="15">
        <v>4999</v>
      </c>
      <c r="AC126" s="284">
        <v>5447</v>
      </c>
      <c r="AD126" s="284">
        <v>6017</v>
      </c>
      <c r="AE126" s="284">
        <v>5870</v>
      </c>
      <c r="AF126" s="284">
        <v>5471</v>
      </c>
      <c r="AG126" s="15">
        <v>6457</v>
      </c>
      <c r="AH126" s="15">
        <v>5921</v>
      </c>
      <c r="AI126" s="15">
        <v>5336</v>
      </c>
      <c r="AJ126" s="15">
        <v>5061</v>
      </c>
    </row>
    <row r="127" spans="1:36">
      <c r="A127" s="15" t="s">
        <v>236</v>
      </c>
      <c r="B127" s="15">
        <v>2642</v>
      </c>
      <c r="C127" s="15">
        <v>2576</v>
      </c>
      <c r="D127" s="15">
        <v>2764</v>
      </c>
      <c r="E127" s="15">
        <v>2772</v>
      </c>
      <c r="F127" s="15">
        <v>1663</v>
      </c>
      <c r="G127" s="15">
        <v>2011</v>
      </c>
      <c r="H127" s="15">
        <v>2008</v>
      </c>
      <c r="I127" s="15">
        <v>1739</v>
      </c>
      <c r="J127" s="15">
        <v>2045</v>
      </c>
      <c r="K127" s="15">
        <v>1784</v>
      </c>
      <c r="L127" s="15">
        <v>1955</v>
      </c>
      <c r="M127" s="15">
        <v>2581</v>
      </c>
      <c r="N127" s="15">
        <v>2933</v>
      </c>
      <c r="O127" s="15">
        <v>2873</v>
      </c>
      <c r="P127" s="15">
        <v>4281</v>
      </c>
      <c r="Q127" s="15">
        <v>5833</v>
      </c>
      <c r="R127" s="15">
        <v>8068</v>
      </c>
      <c r="S127" s="15">
        <v>7202</v>
      </c>
      <c r="T127" s="15">
        <v>5861</v>
      </c>
      <c r="U127" s="15">
        <v>9687</v>
      </c>
      <c r="V127" s="15">
        <v>9122</v>
      </c>
      <c r="W127" s="15">
        <v>11631</v>
      </c>
      <c r="X127" s="15">
        <v>9981</v>
      </c>
      <c r="Y127" s="15">
        <v>12206</v>
      </c>
      <c r="Z127" s="15">
        <v>16937</v>
      </c>
      <c r="AA127" s="15">
        <v>18759</v>
      </c>
      <c r="AB127" s="15">
        <v>20689</v>
      </c>
      <c r="AC127" s="284">
        <v>23300</v>
      </c>
      <c r="AD127" s="284">
        <v>31143</v>
      </c>
      <c r="AE127" s="284">
        <v>30390</v>
      </c>
      <c r="AF127" s="284">
        <v>27669</v>
      </c>
      <c r="AG127" s="15">
        <v>30566</v>
      </c>
      <c r="AH127" s="15" t="s">
        <v>291</v>
      </c>
      <c r="AI127" s="15">
        <v>26136</v>
      </c>
      <c r="AJ127" s="15">
        <v>26382</v>
      </c>
    </row>
    <row r="128" spans="1:36">
      <c r="A128" s="15" t="s">
        <v>390</v>
      </c>
      <c r="B128" s="15">
        <v>26</v>
      </c>
      <c r="C128" s="15">
        <v>39</v>
      </c>
      <c r="D128" s="15">
        <v>43</v>
      </c>
      <c r="E128" s="15">
        <v>107</v>
      </c>
      <c r="F128" s="15">
        <v>56</v>
      </c>
      <c r="G128" s="15">
        <v>53</v>
      </c>
      <c r="H128" s="15">
        <v>29</v>
      </c>
      <c r="I128" s="15">
        <v>6</v>
      </c>
      <c r="J128" s="15">
        <v>1</v>
      </c>
      <c r="K128" s="15">
        <v>6</v>
      </c>
      <c r="L128" s="15">
        <v>52</v>
      </c>
      <c r="M128" s="15" t="s">
        <v>291</v>
      </c>
      <c r="N128" s="15">
        <v>153</v>
      </c>
      <c r="O128" s="15">
        <v>224</v>
      </c>
      <c r="P128" s="15">
        <v>1068</v>
      </c>
      <c r="Q128" s="15">
        <v>1890</v>
      </c>
      <c r="R128" s="15">
        <v>3330</v>
      </c>
      <c r="S128" s="15">
        <v>1929</v>
      </c>
      <c r="T128" s="15">
        <v>2333</v>
      </c>
      <c r="U128" s="15">
        <v>3629</v>
      </c>
      <c r="V128" s="15">
        <v>3384</v>
      </c>
      <c r="W128" s="15">
        <v>4080</v>
      </c>
      <c r="X128" s="15">
        <v>3602</v>
      </c>
      <c r="Y128" s="15">
        <v>4975</v>
      </c>
      <c r="Z128" s="15">
        <v>5461</v>
      </c>
      <c r="AA128" s="15">
        <v>5092</v>
      </c>
      <c r="AB128" s="15">
        <v>4919</v>
      </c>
      <c r="AC128" s="284">
        <v>4854</v>
      </c>
      <c r="AD128" s="284">
        <v>5360</v>
      </c>
      <c r="AE128" s="284">
        <v>5084</v>
      </c>
      <c r="AF128" s="284">
        <v>5289</v>
      </c>
      <c r="AG128" s="15">
        <v>4625</v>
      </c>
      <c r="AH128" s="15">
        <v>4427</v>
      </c>
      <c r="AI128" s="15">
        <v>4098</v>
      </c>
      <c r="AJ128" s="15">
        <v>4451</v>
      </c>
    </row>
    <row r="129" spans="1:36">
      <c r="A129" s="15" t="s">
        <v>389</v>
      </c>
      <c r="B129" s="15">
        <v>311</v>
      </c>
      <c r="C129" s="15">
        <v>37</v>
      </c>
      <c r="D129" s="15">
        <v>110</v>
      </c>
      <c r="E129" s="15">
        <v>101</v>
      </c>
      <c r="F129" s="15">
        <v>232</v>
      </c>
      <c r="G129" s="15">
        <v>434</v>
      </c>
      <c r="H129" s="15">
        <v>419</v>
      </c>
      <c r="I129" s="15" t="s">
        <v>291</v>
      </c>
      <c r="J129" s="15" t="s">
        <v>291</v>
      </c>
      <c r="K129" s="15" t="s">
        <v>291</v>
      </c>
      <c r="L129" s="15" t="s">
        <v>291</v>
      </c>
      <c r="M129" s="15" t="s">
        <v>291</v>
      </c>
      <c r="N129" s="15" t="s">
        <v>291</v>
      </c>
      <c r="O129" s="15">
        <v>659</v>
      </c>
      <c r="P129" s="15">
        <v>594</v>
      </c>
      <c r="Q129" s="15">
        <v>798</v>
      </c>
      <c r="R129" s="15">
        <v>1116</v>
      </c>
      <c r="S129" s="15">
        <v>1535</v>
      </c>
      <c r="T129" s="15">
        <v>585</v>
      </c>
      <c r="U129" s="15">
        <v>1220</v>
      </c>
      <c r="V129" s="15">
        <v>1110</v>
      </c>
      <c r="W129" s="15">
        <v>1067</v>
      </c>
      <c r="X129" s="15">
        <v>1206</v>
      </c>
      <c r="Y129" s="15">
        <v>1197</v>
      </c>
      <c r="Z129" s="15">
        <v>1540</v>
      </c>
      <c r="AA129" s="15">
        <v>1633</v>
      </c>
      <c r="AB129" s="15">
        <v>2645</v>
      </c>
      <c r="AC129" s="284">
        <v>2540</v>
      </c>
      <c r="AD129" s="284">
        <v>4460</v>
      </c>
      <c r="AE129" s="284">
        <v>5430</v>
      </c>
      <c r="AF129" s="284">
        <v>846</v>
      </c>
      <c r="AG129" s="15">
        <v>1214</v>
      </c>
      <c r="AH129" s="15">
        <v>1803</v>
      </c>
      <c r="AI129" s="15">
        <v>239</v>
      </c>
      <c r="AJ129" s="15">
        <v>804</v>
      </c>
    </row>
    <row r="130" spans="1:36">
      <c r="A130" s="15" t="s">
        <v>388</v>
      </c>
      <c r="B130" s="15" t="s">
        <v>273</v>
      </c>
      <c r="C130" s="15" t="s">
        <v>273</v>
      </c>
      <c r="D130" s="15" t="s">
        <v>273</v>
      </c>
      <c r="E130" s="15" t="s">
        <v>273</v>
      </c>
      <c r="F130" s="15" t="s">
        <v>273</v>
      </c>
      <c r="G130" s="15" t="s">
        <v>273</v>
      </c>
      <c r="H130" s="15" t="s">
        <v>273</v>
      </c>
      <c r="I130" s="15" t="s">
        <v>273</v>
      </c>
      <c r="J130" s="15" t="s">
        <v>273</v>
      </c>
      <c r="K130" s="15" t="s">
        <v>273</v>
      </c>
      <c r="L130" s="15" t="s">
        <v>273</v>
      </c>
      <c r="M130" s="15" t="s">
        <v>273</v>
      </c>
      <c r="N130" s="15" t="s">
        <v>273</v>
      </c>
      <c r="O130" s="15" t="s">
        <v>273</v>
      </c>
      <c r="P130" s="15" t="s">
        <v>273</v>
      </c>
      <c r="Q130" s="15" t="s">
        <v>273</v>
      </c>
      <c r="R130" s="15" t="s">
        <v>273</v>
      </c>
      <c r="S130" s="15" t="s">
        <v>273</v>
      </c>
      <c r="T130" s="15" t="s">
        <v>273</v>
      </c>
      <c r="U130" s="15" t="s">
        <v>273</v>
      </c>
      <c r="V130" s="15" t="s">
        <v>273</v>
      </c>
      <c r="W130" s="15" t="s">
        <v>273</v>
      </c>
      <c r="X130" s="15">
        <v>55</v>
      </c>
      <c r="Y130" s="15">
        <v>13</v>
      </c>
      <c r="Z130" s="15">
        <v>17</v>
      </c>
      <c r="AA130" s="15">
        <v>7</v>
      </c>
      <c r="AB130" s="15">
        <v>7</v>
      </c>
      <c r="AC130" s="284">
        <v>18</v>
      </c>
      <c r="AD130" s="284">
        <v>18</v>
      </c>
      <c r="AE130" s="284">
        <v>18</v>
      </c>
      <c r="AF130" s="284">
        <v>18</v>
      </c>
      <c r="AG130" s="15">
        <v>18</v>
      </c>
      <c r="AH130" s="15">
        <v>18</v>
      </c>
      <c r="AI130" s="15">
        <v>18</v>
      </c>
      <c r="AJ130" s="15">
        <v>18</v>
      </c>
    </row>
    <row r="131" spans="1:36">
      <c r="A131" s="15" t="s">
        <v>387</v>
      </c>
      <c r="B131" s="15" t="s">
        <v>291</v>
      </c>
      <c r="C131" s="15" t="s">
        <v>291</v>
      </c>
      <c r="D131" s="15" t="s">
        <v>291</v>
      </c>
      <c r="E131" s="15" t="s">
        <v>291</v>
      </c>
      <c r="F131" s="15" t="s">
        <v>291</v>
      </c>
      <c r="G131" s="15" t="s">
        <v>291</v>
      </c>
      <c r="H131" s="15" t="s">
        <v>291</v>
      </c>
      <c r="I131" s="15" t="s">
        <v>291</v>
      </c>
      <c r="J131" s="15" t="s">
        <v>291</v>
      </c>
      <c r="K131" s="15">
        <v>-126</v>
      </c>
      <c r="L131" s="15">
        <v>-101</v>
      </c>
      <c r="M131" s="15">
        <v>1</v>
      </c>
      <c r="N131" s="15">
        <v>36</v>
      </c>
      <c r="O131" s="15">
        <v>24</v>
      </c>
      <c r="P131" s="15">
        <v>23</v>
      </c>
      <c r="Q131" s="15">
        <v>22</v>
      </c>
      <c r="R131" s="15">
        <v>13</v>
      </c>
      <c r="S131" s="15">
        <v>0</v>
      </c>
      <c r="T131" s="15">
        <v>0</v>
      </c>
      <c r="U131" s="15">
        <v>0</v>
      </c>
      <c r="V131" s="15">
        <v>0</v>
      </c>
      <c r="W131" s="15">
        <v>0</v>
      </c>
      <c r="X131" s="15">
        <v>11</v>
      </c>
      <c r="Y131" s="15" t="s">
        <v>291</v>
      </c>
      <c r="Z131" s="15" t="s">
        <v>291</v>
      </c>
      <c r="AA131" s="15">
        <v>19</v>
      </c>
      <c r="AB131" s="15">
        <v>22</v>
      </c>
      <c r="AC131" s="284">
        <v>22</v>
      </c>
      <c r="AD131" s="284">
        <v>22</v>
      </c>
      <c r="AE131" s="284">
        <v>22</v>
      </c>
      <c r="AF131" s="284">
        <v>63</v>
      </c>
      <c r="AG131" s="15">
        <v>46</v>
      </c>
      <c r="AH131" s="15">
        <v>44</v>
      </c>
      <c r="AI131" s="15">
        <v>19</v>
      </c>
      <c r="AJ131" s="15" t="s">
        <v>291</v>
      </c>
    </row>
    <row r="132" spans="1:36">
      <c r="A132" s="15" t="s">
        <v>386</v>
      </c>
      <c r="B132" s="15">
        <v>2</v>
      </c>
      <c r="C132" s="15">
        <v>3</v>
      </c>
      <c r="D132" s="15">
        <v>4</v>
      </c>
      <c r="E132" s="15" t="s">
        <v>291</v>
      </c>
      <c r="F132" s="15" t="s">
        <v>291</v>
      </c>
      <c r="G132" s="15" t="s">
        <v>291</v>
      </c>
      <c r="H132" s="15" t="s">
        <v>291</v>
      </c>
      <c r="I132" s="15">
        <v>2</v>
      </c>
      <c r="J132" s="15">
        <v>2</v>
      </c>
      <c r="K132" s="15">
        <v>2</v>
      </c>
      <c r="L132" s="15">
        <v>2</v>
      </c>
      <c r="M132" s="15">
        <v>2</v>
      </c>
      <c r="N132" s="15">
        <v>1</v>
      </c>
      <c r="O132" s="15">
        <v>1</v>
      </c>
      <c r="P132" s="15">
        <v>1</v>
      </c>
      <c r="Q132" s="15">
        <v>2</v>
      </c>
      <c r="R132" s="15">
        <v>2</v>
      </c>
      <c r="S132" s="15">
        <v>22</v>
      </c>
      <c r="T132" s="15">
        <v>13</v>
      </c>
      <c r="U132" s="15">
        <v>17</v>
      </c>
      <c r="V132" s="15">
        <v>21</v>
      </c>
      <c r="W132" s="15">
        <v>3</v>
      </c>
      <c r="X132" s="15">
        <v>0</v>
      </c>
      <c r="Y132" s="15">
        <v>0</v>
      </c>
      <c r="Z132" s="15">
        <v>0</v>
      </c>
      <c r="AA132" s="15" t="s">
        <v>273</v>
      </c>
      <c r="AB132" s="15" t="s">
        <v>273</v>
      </c>
      <c r="AC132" s="284">
        <v>0</v>
      </c>
      <c r="AD132" s="284">
        <v>0</v>
      </c>
      <c r="AE132" s="284">
        <v>0</v>
      </c>
      <c r="AF132" s="284">
        <v>0</v>
      </c>
      <c r="AG132" s="15">
        <v>0</v>
      </c>
      <c r="AH132" s="15">
        <v>0</v>
      </c>
      <c r="AI132" s="15">
        <v>0</v>
      </c>
      <c r="AJ132" s="15">
        <v>0</v>
      </c>
    </row>
    <row r="133" spans="1:36">
      <c r="A133" s="15" t="s">
        <v>385</v>
      </c>
      <c r="B133" s="15" t="s">
        <v>306</v>
      </c>
      <c r="C133" s="15" t="s">
        <v>306</v>
      </c>
      <c r="D133" s="15">
        <v>1</v>
      </c>
      <c r="E133" s="15" t="s">
        <v>306</v>
      </c>
      <c r="F133" s="15">
        <v>0</v>
      </c>
      <c r="G133" s="15">
        <v>0</v>
      </c>
      <c r="H133" s="15">
        <v>0</v>
      </c>
      <c r="I133" s="15" t="s">
        <v>273</v>
      </c>
      <c r="J133" s="15" t="s">
        <v>273</v>
      </c>
      <c r="K133" s="15" t="s">
        <v>273</v>
      </c>
      <c r="L133" s="15" t="s">
        <v>273</v>
      </c>
      <c r="M133" s="15" t="s">
        <v>273</v>
      </c>
      <c r="N133" s="15" t="s">
        <v>273</v>
      </c>
      <c r="O133" s="15" t="s">
        <v>273</v>
      </c>
      <c r="P133" s="15" t="s">
        <v>273</v>
      </c>
      <c r="Q133" s="15" t="s">
        <v>273</v>
      </c>
      <c r="R133" s="15" t="s">
        <v>273</v>
      </c>
      <c r="S133" s="15" t="s">
        <v>273</v>
      </c>
      <c r="T133" s="15" t="s">
        <v>273</v>
      </c>
      <c r="U133" s="15" t="s">
        <v>273</v>
      </c>
      <c r="V133" s="15" t="s">
        <v>273</v>
      </c>
      <c r="W133" s="15" t="s">
        <v>273</v>
      </c>
      <c r="X133" s="15">
        <v>1</v>
      </c>
      <c r="Y133" s="15">
        <v>1</v>
      </c>
      <c r="Z133" s="15">
        <v>1</v>
      </c>
      <c r="AA133" s="15">
        <v>1</v>
      </c>
      <c r="AB133" s="15">
        <v>1</v>
      </c>
      <c r="AC133" s="284" t="s">
        <v>306</v>
      </c>
      <c r="AD133" s="284" t="s">
        <v>306</v>
      </c>
      <c r="AE133" s="284" t="s">
        <v>306</v>
      </c>
      <c r="AF133" s="284" t="s">
        <v>306</v>
      </c>
      <c r="AG133" s="15" t="s">
        <v>306</v>
      </c>
      <c r="AH133" s="15" t="s">
        <v>306</v>
      </c>
      <c r="AI133" s="15" t="s">
        <v>306</v>
      </c>
      <c r="AJ133" s="15" t="s">
        <v>306</v>
      </c>
    </row>
    <row r="134" spans="1:36" s="284" customFormat="1">
      <c r="A134" s="290" t="s">
        <v>1115</v>
      </c>
      <c r="AC134" s="284">
        <v>0</v>
      </c>
      <c r="AD134" s="284">
        <v>0</v>
      </c>
      <c r="AE134" s="284">
        <v>0</v>
      </c>
      <c r="AF134" s="284">
        <v>0</v>
      </c>
      <c r="AG134" s="284" t="s">
        <v>291</v>
      </c>
      <c r="AH134" s="284">
        <v>0</v>
      </c>
      <c r="AI134" s="284">
        <v>0</v>
      </c>
      <c r="AJ134" s="284">
        <v>0</v>
      </c>
    </row>
    <row r="135" spans="1:36">
      <c r="A135" s="15" t="s">
        <v>384</v>
      </c>
      <c r="B135" s="15" t="s">
        <v>291</v>
      </c>
      <c r="C135" s="15" t="s">
        <v>291</v>
      </c>
      <c r="D135" s="15" t="s">
        <v>291</v>
      </c>
      <c r="E135" s="15" t="s">
        <v>291</v>
      </c>
      <c r="F135" s="15" t="s">
        <v>291</v>
      </c>
      <c r="G135" s="15" t="s">
        <v>291</v>
      </c>
      <c r="H135" s="15" t="s">
        <v>291</v>
      </c>
      <c r="I135" s="15" t="s">
        <v>291</v>
      </c>
      <c r="J135" s="15" t="s">
        <v>291</v>
      </c>
      <c r="K135" s="15" t="s">
        <v>291</v>
      </c>
      <c r="L135" s="15">
        <v>263</v>
      </c>
      <c r="M135" s="15">
        <v>253</v>
      </c>
      <c r="N135" s="15">
        <v>143</v>
      </c>
      <c r="O135" s="15">
        <v>156</v>
      </c>
      <c r="P135" s="15">
        <v>181</v>
      </c>
      <c r="Q135" s="15">
        <v>218</v>
      </c>
      <c r="R135" s="15">
        <v>178</v>
      </c>
      <c r="S135" s="15">
        <v>2</v>
      </c>
      <c r="T135" s="15">
        <v>2</v>
      </c>
      <c r="U135" s="15">
        <v>1</v>
      </c>
      <c r="V135" s="15" t="s">
        <v>306</v>
      </c>
      <c r="W135" s="15" t="s">
        <v>306</v>
      </c>
      <c r="X135" s="15">
        <v>264</v>
      </c>
      <c r="Y135" s="15">
        <v>122</v>
      </c>
      <c r="Z135" s="15">
        <v>114</v>
      </c>
      <c r="AA135" s="15">
        <v>73</v>
      </c>
      <c r="AB135" s="15">
        <v>68</v>
      </c>
      <c r="AC135" s="284">
        <v>185</v>
      </c>
      <c r="AD135" s="284">
        <v>194</v>
      </c>
      <c r="AE135" s="284">
        <v>192</v>
      </c>
      <c r="AF135" s="284">
        <v>60</v>
      </c>
      <c r="AG135" s="15">
        <v>82</v>
      </c>
      <c r="AH135" s="15">
        <v>73</v>
      </c>
      <c r="AI135" s="15">
        <v>30</v>
      </c>
      <c r="AJ135" s="15">
        <v>-68</v>
      </c>
    </row>
    <row r="136" spans="1:36">
      <c r="A136" s="15" t="s">
        <v>383</v>
      </c>
      <c r="B136" s="15">
        <v>1</v>
      </c>
      <c r="C136" s="15">
        <v>1</v>
      </c>
      <c r="D136" s="15" t="s">
        <v>306</v>
      </c>
      <c r="E136" s="15">
        <v>2</v>
      </c>
      <c r="F136" s="15" t="s">
        <v>306</v>
      </c>
      <c r="G136" s="15" t="s">
        <v>306</v>
      </c>
      <c r="H136" s="15">
        <v>0</v>
      </c>
      <c r="I136" s="15" t="s">
        <v>273</v>
      </c>
      <c r="J136" s="15" t="s">
        <v>273</v>
      </c>
      <c r="K136" s="15" t="s">
        <v>273</v>
      </c>
      <c r="L136" s="15" t="s">
        <v>273</v>
      </c>
      <c r="M136" s="15" t="s">
        <v>273</v>
      </c>
      <c r="N136" s="15" t="s">
        <v>273</v>
      </c>
      <c r="O136" s="15" t="s">
        <v>273</v>
      </c>
      <c r="P136" s="15" t="s">
        <v>273</v>
      </c>
      <c r="Q136" s="15" t="s">
        <v>273</v>
      </c>
      <c r="R136" s="15" t="s">
        <v>273</v>
      </c>
      <c r="S136" s="15">
        <v>313</v>
      </c>
      <c r="T136" s="15">
        <v>257</v>
      </c>
      <c r="U136" s="15">
        <v>148</v>
      </c>
      <c r="V136" s="15">
        <v>135</v>
      </c>
      <c r="W136" s="15">
        <v>242</v>
      </c>
      <c r="X136" s="15" t="s">
        <v>291</v>
      </c>
      <c r="Y136" s="15" t="s">
        <v>291</v>
      </c>
      <c r="Z136" s="15" t="s">
        <v>291</v>
      </c>
      <c r="AA136" s="15" t="s">
        <v>273</v>
      </c>
      <c r="AB136" s="15" t="s">
        <v>273</v>
      </c>
      <c r="AC136" s="284" t="s">
        <v>306</v>
      </c>
      <c r="AD136" s="284" t="s">
        <v>306</v>
      </c>
      <c r="AE136" s="284" t="s">
        <v>291</v>
      </c>
      <c r="AF136" s="284" t="s">
        <v>291</v>
      </c>
      <c r="AG136" s="15" t="s">
        <v>291</v>
      </c>
      <c r="AH136" s="15" t="s">
        <v>291</v>
      </c>
      <c r="AI136" s="15" t="s">
        <v>291</v>
      </c>
      <c r="AJ136" s="15" t="s">
        <v>291</v>
      </c>
    </row>
    <row r="137" spans="1:36">
      <c r="A137" s="15" t="s">
        <v>382</v>
      </c>
      <c r="B137" s="15" t="s">
        <v>291</v>
      </c>
      <c r="C137" s="15">
        <v>16</v>
      </c>
      <c r="D137" s="15" t="s">
        <v>291</v>
      </c>
      <c r="E137" s="15" t="s">
        <v>291</v>
      </c>
      <c r="F137" s="15">
        <v>31</v>
      </c>
      <c r="G137" s="15">
        <v>31</v>
      </c>
      <c r="H137" s="15">
        <v>30</v>
      </c>
      <c r="I137" s="15">
        <v>40</v>
      </c>
      <c r="J137" s="15" t="s">
        <v>291</v>
      </c>
      <c r="K137" s="15">
        <v>28</v>
      </c>
      <c r="L137" s="15">
        <v>59</v>
      </c>
      <c r="M137" s="15">
        <v>67</v>
      </c>
      <c r="N137" s="15" t="s">
        <v>291</v>
      </c>
      <c r="O137" s="15">
        <v>106</v>
      </c>
      <c r="P137" s="15">
        <v>112</v>
      </c>
      <c r="Q137" s="15">
        <v>128</v>
      </c>
      <c r="R137" s="15" t="s">
        <v>291</v>
      </c>
      <c r="S137" s="15" t="s">
        <v>306</v>
      </c>
      <c r="T137" s="15" t="s">
        <v>306</v>
      </c>
      <c r="U137" s="15" t="s">
        <v>306</v>
      </c>
      <c r="V137" s="15" t="s">
        <v>306</v>
      </c>
      <c r="W137" s="15" t="s">
        <v>306</v>
      </c>
      <c r="X137" s="15">
        <v>1</v>
      </c>
      <c r="Y137" s="15">
        <v>1</v>
      </c>
      <c r="Z137" s="15">
        <v>1</v>
      </c>
      <c r="AA137" s="15" t="s">
        <v>291</v>
      </c>
      <c r="AB137" s="15" t="s">
        <v>291</v>
      </c>
      <c r="AC137" s="284" t="s">
        <v>291</v>
      </c>
      <c r="AD137" s="284" t="s">
        <v>291</v>
      </c>
      <c r="AE137" s="284" t="s">
        <v>291</v>
      </c>
      <c r="AF137" s="284" t="s">
        <v>291</v>
      </c>
      <c r="AG137" s="15" t="s">
        <v>291</v>
      </c>
      <c r="AH137" s="15" t="s">
        <v>291</v>
      </c>
      <c r="AI137" s="15" t="s">
        <v>291</v>
      </c>
      <c r="AJ137" s="15" t="s">
        <v>291</v>
      </c>
    </row>
    <row r="138" spans="1:36">
      <c r="A138" s="15" t="s">
        <v>381</v>
      </c>
      <c r="B138" s="15" t="s">
        <v>273</v>
      </c>
      <c r="C138" s="15" t="s">
        <v>273</v>
      </c>
      <c r="D138" s="15" t="s">
        <v>273</v>
      </c>
      <c r="E138" s="15" t="s">
        <v>273</v>
      </c>
      <c r="F138" s="15" t="s">
        <v>273</v>
      </c>
      <c r="G138" s="15" t="s">
        <v>273</v>
      </c>
      <c r="H138" s="15" t="s">
        <v>273</v>
      </c>
      <c r="I138" s="15" t="s">
        <v>273</v>
      </c>
      <c r="J138" s="15" t="s">
        <v>273</v>
      </c>
      <c r="K138" s="15" t="s">
        <v>273</v>
      </c>
      <c r="L138" s="15" t="s">
        <v>273</v>
      </c>
      <c r="M138" s="15" t="s">
        <v>273</v>
      </c>
      <c r="N138" s="15" t="s">
        <v>273</v>
      </c>
      <c r="O138" s="15" t="s">
        <v>273</v>
      </c>
      <c r="P138" s="15" t="s">
        <v>273</v>
      </c>
      <c r="Q138" s="15" t="s">
        <v>273</v>
      </c>
      <c r="R138" s="15" t="s">
        <v>273</v>
      </c>
      <c r="S138" s="15" t="s">
        <v>291</v>
      </c>
      <c r="T138" s="15" t="s">
        <v>291</v>
      </c>
      <c r="U138" s="15" t="s">
        <v>291</v>
      </c>
      <c r="V138" s="15" t="s">
        <v>291</v>
      </c>
      <c r="W138" s="15" t="s">
        <v>291</v>
      </c>
      <c r="X138" s="15" t="s">
        <v>273</v>
      </c>
      <c r="Y138" s="15" t="s">
        <v>273</v>
      </c>
      <c r="Z138" s="15" t="s">
        <v>273</v>
      </c>
      <c r="AA138" s="15">
        <v>1</v>
      </c>
      <c r="AB138" s="15">
        <v>1</v>
      </c>
      <c r="AC138" s="284" t="s">
        <v>306</v>
      </c>
      <c r="AD138" s="284" t="s">
        <v>306</v>
      </c>
      <c r="AE138" s="284" t="s">
        <v>306</v>
      </c>
      <c r="AF138" s="284" t="s">
        <v>306</v>
      </c>
      <c r="AG138" s="15" t="s">
        <v>306</v>
      </c>
      <c r="AH138" s="15" t="s">
        <v>306</v>
      </c>
      <c r="AI138" s="15" t="s">
        <v>306</v>
      </c>
      <c r="AJ138" s="15" t="s">
        <v>306</v>
      </c>
    </row>
    <row r="139" spans="1:36">
      <c r="A139" s="15" t="s">
        <v>380</v>
      </c>
      <c r="B139" s="15" t="s">
        <v>273</v>
      </c>
      <c r="C139" s="15" t="s">
        <v>273</v>
      </c>
      <c r="D139" s="15" t="s">
        <v>273</v>
      </c>
      <c r="E139" s="15" t="s">
        <v>273</v>
      </c>
      <c r="F139" s="15" t="s">
        <v>273</v>
      </c>
      <c r="G139" s="15" t="s">
        <v>273</v>
      </c>
      <c r="H139" s="15" t="s">
        <v>273</v>
      </c>
      <c r="I139" s="15" t="s">
        <v>273</v>
      </c>
      <c r="J139" s="15" t="s">
        <v>273</v>
      </c>
      <c r="K139" s="15" t="s">
        <v>273</v>
      </c>
      <c r="L139" s="15" t="s">
        <v>273</v>
      </c>
      <c r="M139" s="15" t="s">
        <v>273</v>
      </c>
      <c r="N139" s="15" t="s">
        <v>291</v>
      </c>
      <c r="O139" s="15" t="s">
        <v>291</v>
      </c>
      <c r="P139" s="15">
        <v>72</v>
      </c>
      <c r="Q139" s="15">
        <v>79</v>
      </c>
      <c r="R139" s="15">
        <v>108</v>
      </c>
      <c r="S139" s="15">
        <v>222</v>
      </c>
      <c r="T139" s="15">
        <v>133</v>
      </c>
      <c r="U139" s="15">
        <v>126</v>
      </c>
      <c r="V139" s="15">
        <v>116</v>
      </c>
      <c r="W139" s="15">
        <v>45</v>
      </c>
      <c r="X139" s="15">
        <v>169</v>
      </c>
      <c r="Y139" s="15">
        <v>135</v>
      </c>
      <c r="Z139" s="15">
        <v>330</v>
      </c>
      <c r="AA139" s="15">
        <v>316</v>
      </c>
      <c r="AB139" s="15" t="s">
        <v>291</v>
      </c>
      <c r="AC139" s="284">
        <v>277</v>
      </c>
      <c r="AD139" s="284">
        <v>214</v>
      </c>
      <c r="AE139" s="284">
        <v>-198</v>
      </c>
      <c r="AF139" s="284" t="s">
        <v>291</v>
      </c>
      <c r="AG139" s="15">
        <v>-191</v>
      </c>
      <c r="AH139" s="15">
        <v>-54</v>
      </c>
      <c r="AI139" s="15">
        <v>-9</v>
      </c>
      <c r="AJ139" s="15">
        <v>202</v>
      </c>
    </row>
    <row r="140" spans="1:36">
      <c r="A140" s="15" t="s">
        <v>379</v>
      </c>
      <c r="B140" s="15" t="s">
        <v>273</v>
      </c>
      <c r="C140" s="15" t="s">
        <v>273</v>
      </c>
      <c r="D140" s="15" t="s">
        <v>273</v>
      </c>
      <c r="E140" s="15" t="s">
        <v>273</v>
      </c>
      <c r="F140" s="15" t="s">
        <v>273</v>
      </c>
      <c r="G140" s="15" t="s">
        <v>273</v>
      </c>
      <c r="H140" s="15" t="s">
        <v>273</v>
      </c>
      <c r="I140" s="15" t="s">
        <v>273</v>
      </c>
      <c r="J140" s="15" t="s">
        <v>273</v>
      </c>
      <c r="K140" s="15" t="s">
        <v>273</v>
      </c>
      <c r="L140" s="15" t="s">
        <v>273</v>
      </c>
      <c r="M140" s="15" t="s">
        <v>273</v>
      </c>
      <c r="N140" s="15">
        <v>69</v>
      </c>
      <c r="O140" s="15">
        <v>65</v>
      </c>
      <c r="P140" s="15">
        <v>66</v>
      </c>
      <c r="Q140" s="15">
        <v>28</v>
      </c>
      <c r="R140" s="15">
        <v>77</v>
      </c>
      <c r="S140" s="15">
        <v>101</v>
      </c>
      <c r="T140" s="15">
        <v>102</v>
      </c>
      <c r="U140" s="15">
        <v>96</v>
      </c>
      <c r="V140" s="15">
        <v>70</v>
      </c>
      <c r="W140" s="15">
        <v>55</v>
      </c>
      <c r="X140" s="15">
        <v>65</v>
      </c>
      <c r="Y140" s="15">
        <v>51</v>
      </c>
      <c r="Z140" s="15">
        <v>21</v>
      </c>
      <c r="AA140" s="15" t="s">
        <v>291</v>
      </c>
      <c r="AB140" s="15" t="s">
        <v>291</v>
      </c>
      <c r="AC140" s="284" t="s">
        <v>291</v>
      </c>
      <c r="AD140" s="284" t="s">
        <v>291</v>
      </c>
      <c r="AE140" s="284" t="s">
        <v>291</v>
      </c>
      <c r="AF140" s="284" t="s">
        <v>291</v>
      </c>
      <c r="AG140" s="15" t="s">
        <v>291</v>
      </c>
      <c r="AH140" s="15" t="s">
        <v>291</v>
      </c>
      <c r="AI140" s="15" t="s">
        <v>291</v>
      </c>
      <c r="AJ140" s="15" t="s">
        <v>291</v>
      </c>
    </row>
    <row r="141" spans="1:36">
      <c r="A141" s="15" t="s">
        <v>378</v>
      </c>
      <c r="B141" s="15">
        <v>357</v>
      </c>
      <c r="C141" s="15">
        <v>222</v>
      </c>
      <c r="D141" s="15">
        <v>157</v>
      </c>
      <c r="E141" s="15">
        <v>126</v>
      </c>
      <c r="F141" s="15">
        <v>45</v>
      </c>
      <c r="G141" s="15">
        <v>64</v>
      </c>
      <c r="H141" s="15">
        <v>131</v>
      </c>
      <c r="I141" s="15">
        <v>47</v>
      </c>
      <c r="J141" s="15">
        <v>59</v>
      </c>
      <c r="K141" s="15">
        <v>20</v>
      </c>
      <c r="L141" s="15" t="s">
        <v>291</v>
      </c>
      <c r="M141" s="15">
        <v>19</v>
      </c>
      <c r="N141" s="15">
        <v>34</v>
      </c>
      <c r="O141" s="15">
        <v>48</v>
      </c>
      <c r="P141" s="15">
        <v>93</v>
      </c>
      <c r="Q141" s="15">
        <v>167</v>
      </c>
      <c r="R141" s="15">
        <v>254</v>
      </c>
      <c r="S141" s="15">
        <v>206</v>
      </c>
      <c r="T141" s="15">
        <v>194</v>
      </c>
      <c r="U141" s="15">
        <v>136</v>
      </c>
      <c r="V141" s="15">
        <v>184</v>
      </c>
      <c r="W141" s="15">
        <v>215</v>
      </c>
      <c r="X141" s="15">
        <v>207</v>
      </c>
      <c r="Y141" s="15">
        <v>260</v>
      </c>
      <c r="Z141" s="15">
        <v>258</v>
      </c>
      <c r="AA141" s="15">
        <v>102</v>
      </c>
      <c r="AB141" s="15">
        <v>-23</v>
      </c>
      <c r="AC141" s="284">
        <v>16</v>
      </c>
      <c r="AD141" s="284">
        <v>-1</v>
      </c>
      <c r="AE141" s="284">
        <v>-13</v>
      </c>
      <c r="AF141" s="284">
        <v>-40</v>
      </c>
      <c r="AG141" s="15">
        <v>118</v>
      </c>
      <c r="AH141" s="15">
        <v>134</v>
      </c>
      <c r="AI141" s="15">
        <v>110</v>
      </c>
      <c r="AJ141" s="15">
        <v>185</v>
      </c>
    </row>
    <row r="142" spans="1:36">
      <c r="A142" s="15" t="s">
        <v>377</v>
      </c>
      <c r="B142" s="15" t="s">
        <v>291</v>
      </c>
      <c r="C142" s="15" t="s">
        <v>291</v>
      </c>
      <c r="D142" s="15" t="s">
        <v>291</v>
      </c>
      <c r="E142" s="15" t="s">
        <v>291</v>
      </c>
      <c r="F142" s="15">
        <v>5</v>
      </c>
      <c r="G142" s="15">
        <v>1</v>
      </c>
      <c r="H142" s="15">
        <v>1</v>
      </c>
      <c r="I142" s="15" t="s">
        <v>291</v>
      </c>
      <c r="J142" s="15" t="s">
        <v>291</v>
      </c>
      <c r="K142" s="15" t="s">
        <v>291</v>
      </c>
      <c r="L142" s="15" t="s">
        <v>291</v>
      </c>
      <c r="M142" s="15" t="s">
        <v>291</v>
      </c>
      <c r="N142" s="15" t="s">
        <v>291</v>
      </c>
      <c r="O142" s="15" t="s">
        <v>291</v>
      </c>
      <c r="P142" s="15" t="s">
        <v>291</v>
      </c>
      <c r="Q142" s="15" t="s">
        <v>291</v>
      </c>
      <c r="R142" s="15" t="s">
        <v>291</v>
      </c>
      <c r="S142" s="15">
        <v>9</v>
      </c>
      <c r="T142" s="15">
        <v>8</v>
      </c>
      <c r="U142" s="15">
        <v>7</v>
      </c>
      <c r="V142" s="15">
        <v>7</v>
      </c>
      <c r="W142" s="15">
        <v>6</v>
      </c>
      <c r="X142" s="15" t="s">
        <v>291</v>
      </c>
      <c r="Y142" s="15" t="s">
        <v>291</v>
      </c>
      <c r="Z142" s="15">
        <v>2</v>
      </c>
      <c r="AA142" s="15">
        <v>1</v>
      </c>
      <c r="AB142" s="15">
        <v>0</v>
      </c>
      <c r="AC142" s="284" t="s">
        <v>306</v>
      </c>
      <c r="AD142" s="284" t="s">
        <v>306</v>
      </c>
      <c r="AE142" s="284" t="s">
        <v>306</v>
      </c>
      <c r="AF142" s="284" t="s">
        <v>306</v>
      </c>
      <c r="AG142" s="15" t="s">
        <v>291</v>
      </c>
      <c r="AH142" s="15" t="s">
        <v>291</v>
      </c>
      <c r="AI142" s="15" t="s">
        <v>291</v>
      </c>
      <c r="AJ142" s="15">
        <v>-1</v>
      </c>
    </row>
    <row r="143" spans="1:36">
      <c r="A143" s="15" t="s">
        <v>376</v>
      </c>
      <c r="B143" s="15" t="s">
        <v>273</v>
      </c>
      <c r="C143" s="15" t="s">
        <v>273</v>
      </c>
      <c r="D143" s="15" t="s">
        <v>273</v>
      </c>
      <c r="E143" s="15" t="s">
        <v>273</v>
      </c>
      <c r="F143" s="15" t="s">
        <v>273</v>
      </c>
      <c r="G143" s="15" t="s">
        <v>273</v>
      </c>
      <c r="H143" s="15" t="s">
        <v>273</v>
      </c>
      <c r="I143" s="15">
        <v>0</v>
      </c>
      <c r="J143" s="15">
        <v>0</v>
      </c>
      <c r="K143" s="15">
        <v>0</v>
      </c>
      <c r="L143" s="15">
        <v>-4</v>
      </c>
      <c r="M143" s="15">
        <v>-2</v>
      </c>
      <c r="N143" s="15" t="s">
        <v>291</v>
      </c>
      <c r="O143" s="15" t="s">
        <v>306</v>
      </c>
      <c r="P143" s="15" t="s">
        <v>291</v>
      </c>
      <c r="Q143" s="15" t="s">
        <v>291</v>
      </c>
      <c r="R143" s="15" t="s">
        <v>291</v>
      </c>
      <c r="S143" s="15">
        <v>1249</v>
      </c>
      <c r="T143" s="15">
        <v>1144</v>
      </c>
      <c r="U143" s="15">
        <v>2316</v>
      </c>
      <c r="V143" s="15">
        <v>3080</v>
      </c>
      <c r="W143" s="15">
        <v>3188</v>
      </c>
      <c r="X143" s="15">
        <v>1448</v>
      </c>
      <c r="Y143" s="15">
        <v>1774</v>
      </c>
      <c r="Z143" s="15">
        <v>2864</v>
      </c>
      <c r="AA143" s="15">
        <v>2984</v>
      </c>
      <c r="AB143" s="15">
        <v>3186</v>
      </c>
      <c r="AC143" s="284">
        <v>2065</v>
      </c>
      <c r="AD143" s="284">
        <v>1978</v>
      </c>
      <c r="AE143" s="284">
        <v>1984</v>
      </c>
      <c r="AF143" s="284">
        <v>3107</v>
      </c>
      <c r="AG143" s="15">
        <v>3978</v>
      </c>
      <c r="AH143" s="15">
        <v>4343</v>
      </c>
      <c r="AI143" s="15">
        <v>800</v>
      </c>
      <c r="AJ143" s="15">
        <v>704</v>
      </c>
    </row>
    <row r="144" spans="1:36">
      <c r="A144" s="15" t="s">
        <v>375</v>
      </c>
      <c r="B144" s="15" t="s">
        <v>273</v>
      </c>
      <c r="C144" s="15" t="s">
        <v>273</v>
      </c>
      <c r="D144" s="15" t="s">
        <v>273</v>
      </c>
      <c r="E144" s="15" t="s">
        <v>273</v>
      </c>
      <c r="F144" s="15" t="s">
        <v>273</v>
      </c>
      <c r="G144" s="15" t="s">
        <v>273</v>
      </c>
      <c r="H144" s="15" t="s">
        <v>273</v>
      </c>
      <c r="I144" s="15" t="s">
        <v>273</v>
      </c>
      <c r="J144" s="15" t="s">
        <v>273</v>
      </c>
      <c r="K144" s="15" t="s">
        <v>273</v>
      </c>
      <c r="L144" s="15" t="s">
        <v>273</v>
      </c>
      <c r="M144" s="15" t="s">
        <v>273</v>
      </c>
      <c r="N144" s="15">
        <v>0</v>
      </c>
      <c r="O144" s="15">
        <v>0</v>
      </c>
      <c r="P144" s="15">
        <v>0</v>
      </c>
      <c r="Q144" s="15">
        <v>2</v>
      </c>
      <c r="R144" s="15">
        <v>-1</v>
      </c>
      <c r="S144" s="15">
        <v>12</v>
      </c>
      <c r="T144" s="15">
        <v>-3</v>
      </c>
      <c r="U144" s="15">
        <v>-17</v>
      </c>
      <c r="V144" s="15">
        <v>-32</v>
      </c>
      <c r="W144" s="15">
        <v>-53</v>
      </c>
      <c r="X144" s="15">
        <v>4</v>
      </c>
      <c r="Y144" s="15" t="s">
        <v>306</v>
      </c>
      <c r="Z144" s="15" t="s">
        <v>306</v>
      </c>
      <c r="AA144" s="15">
        <v>0</v>
      </c>
      <c r="AB144" s="15">
        <v>0</v>
      </c>
      <c r="AC144" s="284">
        <v>7</v>
      </c>
      <c r="AD144" s="284">
        <v>7</v>
      </c>
      <c r="AE144" s="284">
        <v>7</v>
      </c>
      <c r="AF144" s="284">
        <v>7</v>
      </c>
      <c r="AG144" s="15">
        <v>7</v>
      </c>
      <c r="AH144" s="15">
        <v>7</v>
      </c>
      <c r="AI144" s="15">
        <v>7</v>
      </c>
      <c r="AJ144" s="15">
        <v>7</v>
      </c>
    </row>
    <row r="145" spans="1:36">
      <c r="A145" s="15" t="s">
        <v>374</v>
      </c>
      <c r="B145" s="15">
        <v>2</v>
      </c>
      <c r="C145" s="15">
        <v>2</v>
      </c>
      <c r="D145" s="15">
        <v>2</v>
      </c>
      <c r="E145" s="15">
        <v>2</v>
      </c>
      <c r="F145" s="15">
        <v>2</v>
      </c>
      <c r="G145" s="15">
        <v>2</v>
      </c>
      <c r="H145" s="15">
        <v>2</v>
      </c>
      <c r="I145" s="15">
        <v>2</v>
      </c>
      <c r="J145" s="15">
        <v>2</v>
      </c>
      <c r="K145" s="15">
        <v>3</v>
      </c>
      <c r="L145" s="15">
        <v>4</v>
      </c>
      <c r="M145" s="15">
        <v>4</v>
      </c>
      <c r="N145" s="15">
        <v>3</v>
      </c>
      <c r="O145" s="15">
        <v>15</v>
      </c>
      <c r="P145" s="15">
        <v>30</v>
      </c>
      <c r="Q145" s="15">
        <v>35</v>
      </c>
      <c r="R145" s="15">
        <v>38</v>
      </c>
      <c r="S145" s="15" t="s">
        <v>291</v>
      </c>
      <c r="T145" s="15">
        <v>38</v>
      </c>
      <c r="U145" s="15">
        <v>40</v>
      </c>
      <c r="V145" s="15">
        <v>50</v>
      </c>
      <c r="W145" s="15">
        <v>50</v>
      </c>
      <c r="X145" s="15">
        <v>7</v>
      </c>
      <c r="Y145" s="15">
        <v>6</v>
      </c>
      <c r="Z145" s="15">
        <v>2</v>
      </c>
      <c r="AA145" s="15">
        <v>2</v>
      </c>
      <c r="AB145" s="15">
        <v>2</v>
      </c>
      <c r="AC145" s="284">
        <v>3</v>
      </c>
      <c r="AD145" s="284">
        <v>6</v>
      </c>
      <c r="AE145" s="284">
        <v>9</v>
      </c>
      <c r="AF145" s="284">
        <v>11</v>
      </c>
      <c r="AG145" s="15">
        <v>10</v>
      </c>
      <c r="AH145" s="15" t="s">
        <v>291</v>
      </c>
      <c r="AI145" s="15" t="s">
        <v>291</v>
      </c>
      <c r="AJ145" s="15" t="s">
        <v>291</v>
      </c>
    </row>
    <row r="146" spans="1:36">
      <c r="A146" s="15" t="s">
        <v>373</v>
      </c>
      <c r="B146" s="15">
        <v>156</v>
      </c>
      <c r="C146" s="15">
        <v>105</v>
      </c>
      <c r="D146" s="15">
        <v>183</v>
      </c>
      <c r="E146" s="15">
        <v>218</v>
      </c>
      <c r="F146" s="15">
        <v>199</v>
      </c>
      <c r="G146" s="15">
        <v>254</v>
      </c>
      <c r="H146" s="15">
        <v>185</v>
      </c>
      <c r="I146" s="15">
        <v>93</v>
      </c>
      <c r="J146" s="15">
        <v>355</v>
      </c>
      <c r="K146" s="15">
        <v>334</v>
      </c>
      <c r="L146" s="15">
        <v>244</v>
      </c>
      <c r="M146" s="15">
        <v>232</v>
      </c>
      <c r="N146" s="15">
        <v>147</v>
      </c>
      <c r="O146" s="15">
        <v>116</v>
      </c>
      <c r="P146" s="15">
        <v>86</v>
      </c>
      <c r="Q146" s="15">
        <v>68</v>
      </c>
      <c r="R146" s="15">
        <v>186</v>
      </c>
      <c r="S146" s="15">
        <v>469</v>
      </c>
      <c r="T146" s="15">
        <v>546</v>
      </c>
      <c r="U146" s="15">
        <v>555</v>
      </c>
      <c r="V146" s="15">
        <v>344</v>
      </c>
      <c r="W146" s="15">
        <v>370</v>
      </c>
      <c r="X146" s="15">
        <v>483</v>
      </c>
      <c r="Y146" s="15">
        <v>121</v>
      </c>
      <c r="Z146" s="15">
        <v>113</v>
      </c>
      <c r="AA146" s="15">
        <v>249</v>
      </c>
      <c r="AB146" s="15">
        <v>-87</v>
      </c>
      <c r="AC146" s="284">
        <v>-78</v>
      </c>
      <c r="AD146" s="284">
        <v>586</v>
      </c>
      <c r="AE146" s="284">
        <v>63</v>
      </c>
      <c r="AF146" s="284">
        <v>155</v>
      </c>
      <c r="AG146" s="15">
        <v>143</v>
      </c>
      <c r="AH146" s="15">
        <v>-51</v>
      </c>
      <c r="AI146" s="15">
        <v>-132</v>
      </c>
      <c r="AJ146" s="15">
        <v>-149</v>
      </c>
    </row>
    <row r="147" spans="1:36">
      <c r="A147" s="15" t="s">
        <v>372</v>
      </c>
      <c r="B147" s="15">
        <v>4</v>
      </c>
      <c r="C147" s="15">
        <v>2</v>
      </c>
      <c r="D147" s="15">
        <v>1</v>
      </c>
      <c r="E147" s="15">
        <v>1</v>
      </c>
      <c r="F147" s="15">
        <v>0</v>
      </c>
      <c r="G147" s="15">
        <v>0</v>
      </c>
      <c r="H147" s="15">
        <v>0</v>
      </c>
      <c r="I147" s="15" t="s">
        <v>273</v>
      </c>
      <c r="J147" s="15" t="s">
        <v>273</v>
      </c>
      <c r="K147" s="15" t="s">
        <v>273</v>
      </c>
      <c r="L147" s="15" t="s">
        <v>273</v>
      </c>
      <c r="M147" s="15" t="s">
        <v>273</v>
      </c>
      <c r="N147" s="15" t="s">
        <v>273</v>
      </c>
      <c r="O147" s="15" t="s">
        <v>273</v>
      </c>
      <c r="P147" s="15" t="s">
        <v>273</v>
      </c>
      <c r="Q147" s="15" t="s">
        <v>273</v>
      </c>
      <c r="R147" s="15" t="s">
        <v>273</v>
      </c>
      <c r="S147" s="15" t="s">
        <v>273</v>
      </c>
      <c r="T147" s="15" t="s">
        <v>273</v>
      </c>
      <c r="U147" s="15" t="s">
        <v>273</v>
      </c>
      <c r="V147" s="15" t="s">
        <v>273</v>
      </c>
      <c r="W147" s="15" t="s">
        <v>273</v>
      </c>
      <c r="X147" s="15" t="s">
        <v>306</v>
      </c>
      <c r="Y147" s="15" t="s">
        <v>306</v>
      </c>
      <c r="Z147" s="15" t="s">
        <v>306</v>
      </c>
      <c r="AA147" s="15" t="s">
        <v>306</v>
      </c>
      <c r="AB147" s="15" t="s">
        <v>306</v>
      </c>
      <c r="AC147" s="284">
        <v>0</v>
      </c>
      <c r="AD147" s="284">
        <v>0</v>
      </c>
      <c r="AE147" s="284">
        <v>0</v>
      </c>
      <c r="AF147" s="284">
        <v>0</v>
      </c>
      <c r="AG147" s="15">
        <v>0</v>
      </c>
      <c r="AH147" s="15">
        <v>0</v>
      </c>
      <c r="AI147" s="15">
        <v>0</v>
      </c>
      <c r="AJ147" s="15">
        <v>0</v>
      </c>
    </row>
    <row r="148" spans="1:36">
      <c r="A148" s="15" t="s">
        <v>371</v>
      </c>
      <c r="B148" s="15" t="s">
        <v>291</v>
      </c>
      <c r="C148" s="15">
        <v>157</v>
      </c>
      <c r="D148" s="15">
        <v>137</v>
      </c>
      <c r="E148" s="15">
        <v>125</v>
      </c>
      <c r="F148" s="15">
        <v>111</v>
      </c>
      <c r="G148" s="15">
        <v>86</v>
      </c>
      <c r="H148" s="15">
        <v>111</v>
      </c>
      <c r="I148" s="15">
        <v>122</v>
      </c>
      <c r="J148" s="15">
        <v>116</v>
      </c>
      <c r="K148" s="15">
        <v>141</v>
      </c>
      <c r="L148" s="15">
        <v>122</v>
      </c>
      <c r="M148" s="15">
        <v>117</v>
      </c>
      <c r="N148" s="15">
        <v>149</v>
      </c>
      <c r="O148" s="15">
        <v>190</v>
      </c>
      <c r="P148" s="15">
        <v>248</v>
      </c>
      <c r="Q148" s="15">
        <v>279</v>
      </c>
      <c r="R148" s="15">
        <v>330</v>
      </c>
      <c r="S148" s="15">
        <v>225</v>
      </c>
      <c r="T148" s="15">
        <v>205</v>
      </c>
      <c r="U148" s="15">
        <v>297</v>
      </c>
      <c r="V148" s="15">
        <v>266</v>
      </c>
      <c r="W148" s="15">
        <v>250</v>
      </c>
      <c r="X148" s="15">
        <v>223</v>
      </c>
      <c r="Y148" s="15">
        <v>220</v>
      </c>
      <c r="Z148" s="15">
        <v>974</v>
      </c>
      <c r="AA148" s="15" t="s">
        <v>291</v>
      </c>
      <c r="AB148" s="15" t="s">
        <v>291</v>
      </c>
      <c r="AC148" s="284">
        <v>1518</v>
      </c>
      <c r="AD148" s="284">
        <v>2874</v>
      </c>
      <c r="AE148" s="284">
        <v>3169</v>
      </c>
      <c r="AF148" s="284">
        <v>3567</v>
      </c>
      <c r="AG148" s="15">
        <v>3140</v>
      </c>
      <c r="AH148" s="15" t="s">
        <v>291</v>
      </c>
      <c r="AI148" s="15" t="s">
        <v>291</v>
      </c>
      <c r="AJ148" s="15">
        <v>2944</v>
      </c>
    </row>
    <row r="149" spans="1:36">
      <c r="A149" s="15" t="s">
        <v>370</v>
      </c>
      <c r="B149" s="15" t="s">
        <v>291</v>
      </c>
      <c r="C149" s="15" t="s">
        <v>291</v>
      </c>
      <c r="D149" s="15" t="s">
        <v>291</v>
      </c>
      <c r="E149" s="15" t="s">
        <v>291</v>
      </c>
      <c r="F149" s="15" t="s">
        <v>291</v>
      </c>
      <c r="G149" s="15" t="s">
        <v>291</v>
      </c>
      <c r="H149" s="15" t="s">
        <v>291</v>
      </c>
      <c r="I149" s="15" t="s">
        <v>291</v>
      </c>
      <c r="J149" s="15" t="s">
        <v>291</v>
      </c>
      <c r="K149" s="15" t="s">
        <v>291</v>
      </c>
      <c r="L149" s="15" t="s">
        <v>291</v>
      </c>
      <c r="M149" s="15" t="s">
        <v>291</v>
      </c>
      <c r="N149" s="15" t="s">
        <v>291</v>
      </c>
      <c r="O149" s="15">
        <v>23</v>
      </c>
      <c r="P149" s="15">
        <v>2</v>
      </c>
      <c r="Q149" s="15" t="s">
        <v>291</v>
      </c>
      <c r="R149" s="15" t="s">
        <v>291</v>
      </c>
      <c r="S149" s="15" t="s">
        <v>291</v>
      </c>
      <c r="T149" s="15" t="s">
        <v>291</v>
      </c>
      <c r="U149" s="15">
        <v>130</v>
      </c>
      <c r="V149" s="15" t="s">
        <v>291</v>
      </c>
      <c r="W149" s="15" t="s">
        <v>291</v>
      </c>
      <c r="X149" s="15" t="s">
        <v>291</v>
      </c>
      <c r="Y149" s="15" t="s">
        <v>291</v>
      </c>
      <c r="Z149" s="15" t="s">
        <v>291</v>
      </c>
      <c r="AA149" s="15" t="s">
        <v>291</v>
      </c>
      <c r="AB149" s="15" t="s">
        <v>291</v>
      </c>
      <c r="AC149" s="284" t="s">
        <v>291</v>
      </c>
      <c r="AD149" s="284" t="s">
        <v>291</v>
      </c>
      <c r="AE149" s="284">
        <v>41</v>
      </c>
      <c r="AF149" s="284">
        <v>73</v>
      </c>
      <c r="AG149" s="15">
        <v>118</v>
      </c>
      <c r="AH149" s="15">
        <v>188</v>
      </c>
      <c r="AI149" s="15">
        <v>214</v>
      </c>
      <c r="AJ149" s="15" t="s">
        <v>291</v>
      </c>
    </row>
    <row r="150" spans="1:36" s="284" customFormat="1">
      <c r="A150" s="288" t="s">
        <v>1116</v>
      </c>
      <c r="AC150" s="284">
        <v>0</v>
      </c>
      <c r="AD150" s="284">
        <v>0</v>
      </c>
      <c r="AE150" s="284">
        <v>0</v>
      </c>
      <c r="AF150" s="284">
        <v>0</v>
      </c>
      <c r="AG150" s="284">
        <v>0</v>
      </c>
      <c r="AH150" s="284">
        <v>0</v>
      </c>
      <c r="AI150" s="284">
        <v>0</v>
      </c>
      <c r="AJ150" s="284">
        <v>0</v>
      </c>
    </row>
    <row r="151" spans="1:36">
      <c r="A151" s="15" t="s">
        <v>369</v>
      </c>
      <c r="B151" s="15">
        <v>134</v>
      </c>
      <c r="C151" s="15">
        <v>142</v>
      </c>
      <c r="D151" s="15">
        <v>116</v>
      </c>
      <c r="E151" s="15">
        <v>93</v>
      </c>
      <c r="F151" s="15">
        <v>100</v>
      </c>
      <c r="G151" s="15">
        <v>83</v>
      </c>
      <c r="H151" s="15">
        <v>90</v>
      </c>
      <c r="I151" s="15">
        <v>133</v>
      </c>
      <c r="J151" s="15">
        <v>100</v>
      </c>
      <c r="K151" s="15">
        <v>99</v>
      </c>
      <c r="L151" s="15">
        <v>88</v>
      </c>
      <c r="M151" s="15">
        <v>104</v>
      </c>
      <c r="N151" s="15">
        <v>126</v>
      </c>
      <c r="O151" s="15">
        <v>142</v>
      </c>
      <c r="P151" s="15">
        <v>143</v>
      </c>
      <c r="Q151" s="15">
        <v>188</v>
      </c>
      <c r="R151" s="15">
        <v>198</v>
      </c>
      <c r="S151" s="15">
        <v>89</v>
      </c>
      <c r="T151" s="15">
        <v>66</v>
      </c>
      <c r="U151" s="15" t="s">
        <v>291</v>
      </c>
      <c r="V151" s="15">
        <v>73</v>
      </c>
      <c r="W151" s="15">
        <v>90</v>
      </c>
      <c r="X151" s="15">
        <v>178</v>
      </c>
      <c r="Y151" s="15">
        <v>246</v>
      </c>
      <c r="Z151" s="15">
        <v>166</v>
      </c>
      <c r="AA151" s="15">
        <v>189</v>
      </c>
      <c r="AB151" s="15">
        <v>196</v>
      </c>
      <c r="AC151" s="284">
        <v>309</v>
      </c>
      <c r="AD151" s="284">
        <v>308</v>
      </c>
      <c r="AE151" s="284">
        <v>390</v>
      </c>
      <c r="AF151" s="284">
        <v>285</v>
      </c>
      <c r="AG151" s="15">
        <v>412</v>
      </c>
      <c r="AH151" s="15">
        <v>387</v>
      </c>
      <c r="AI151" s="15">
        <v>324</v>
      </c>
      <c r="AJ151" s="15">
        <v>369</v>
      </c>
    </row>
    <row r="152" spans="1:36">
      <c r="A152" s="15" t="s">
        <v>368</v>
      </c>
      <c r="B152" s="15">
        <v>-1</v>
      </c>
      <c r="C152" s="15">
        <v>-2</v>
      </c>
      <c r="D152" s="15">
        <v>-3</v>
      </c>
      <c r="E152" s="15">
        <v>-5</v>
      </c>
      <c r="F152" s="15">
        <v>-7</v>
      </c>
      <c r="G152" s="15">
        <v>-8</v>
      </c>
      <c r="H152" s="15">
        <v>-9</v>
      </c>
      <c r="I152" s="15" t="s">
        <v>306</v>
      </c>
      <c r="J152" s="15">
        <v>1</v>
      </c>
      <c r="K152" s="15">
        <v>1</v>
      </c>
      <c r="L152" s="15">
        <v>2</v>
      </c>
      <c r="M152" s="15">
        <v>2</v>
      </c>
      <c r="N152" s="15">
        <v>1</v>
      </c>
      <c r="O152" s="15">
        <v>1</v>
      </c>
      <c r="P152" s="15">
        <v>1</v>
      </c>
      <c r="Q152" s="15">
        <v>1</v>
      </c>
      <c r="R152" s="15">
        <v>1</v>
      </c>
      <c r="S152" s="15">
        <v>3</v>
      </c>
      <c r="T152" s="15">
        <v>3</v>
      </c>
      <c r="U152" s="15">
        <v>3</v>
      </c>
      <c r="V152" s="15">
        <v>3</v>
      </c>
      <c r="W152" s="15">
        <v>3</v>
      </c>
      <c r="X152" s="15" t="s">
        <v>273</v>
      </c>
      <c r="Y152" s="15" t="s">
        <v>273</v>
      </c>
      <c r="Z152" s="15" t="s">
        <v>273</v>
      </c>
      <c r="AA152" s="15">
        <v>3</v>
      </c>
      <c r="AB152" s="15">
        <v>3</v>
      </c>
      <c r="AC152" s="284">
        <v>5</v>
      </c>
      <c r="AD152" s="284">
        <v>5</v>
      </c>
      <c r="AE152" s="284">
        <v>5</v>
      </c>
      <c r="AF152" s="284">
        <v>5</v>
      </c>
      <c r="AG152" s="15">
        <v>5</v>
      </c>
      <c r="AH152" s="15">
        <v>5</v>
      </c>
      <c r="AI152" s="15">
        <v>5</v>
      </c>
      <c r="AJ152" s="15">
        <v>5</v>
      </c>
    </row>
    <row r="153" spans="1:36">
      <c r="A153" s="15" t="s">
        <v>367</v>
      </c>
      <c r="B153" s="15">
        <v>115</v>
      </c>
      <c r="C153" s="15">
        <v>142</v>
      </c>
      <c r="D153" s="15">
        <v>148</v>
      </c>
      <c r="E153" s="15">
        <v>153</v>
      </c>
      <c r="F153" s="15">
        <v>174</v>
      </c>
      <c r="G153" s="15">
        <v>93</v>
      </c>
      <c r="H153" s="15">
        <v>123</v>
      </c>
      <c r="I153" s="15">
        <v>262</v>
      </c>
      <c r="J153" s="15">
        <v>235</v>
      </c>
      <c r="K153" s="15">
        <v>193</v>
      </c>
      <c r="L153" s="15">
        <v>208</v>
      </c>
      <c r="M153" s="15">
        <v>181</v>
      </c>
      <c r="N153" s="15">
        <v>215</v>
      </c>
      <c r="O153" s="15">
        <v>242</v>
      </c>
      <c r="P153" s="15">
        <v>224</v>
      </c>
      <c r="Q153" s="15">
        <v>214</v>
      </c>
      <c r="R153" s="15">
        <v>227</v>
      </c>
      <c r="S153" s="15">
        <v>-225</v>
      </c>
      <c r="T153" s="15">
        <v>-819</v>
      </c>
      <c r="U153" s="15">
        <v>-547</v>
      </c>
      <c r="V153" s="15">
        <v>-1344</v>
      </c>
      <c r="W153" s="15">
        <v>273</v>
      </c>
      <c r="X153" s="15">
        <v>403</v>
      </c>
      <c r="Y153" s="15">
        <v>390</v>
      </c>
      <c r="Z153" s="15">
        <v>556</v>
      </c>
      <c r="AA153" s="15">
        <v>703</v>
      </c>
      <c r="AB153" s="15">
        <v>797</v>
      </c>
      <c r="AC153" s="284">
        <v>694</v>
      </c>
      <c r="AD153" s="284">
        <v>851</v>
      </c>
      <c r="AE153" s="284">
        <v>1039</v>
      </c>
      <c r="AF153" s="284">
        <v>1019</v>
      </c>
      <c r="AG153" s="15">
        <v>996</v>
      </c>
      <c r="AH153" s="15">
        <v>911</v>
      </c>
      <c r="AI153" s="15">
        <v>1065</v>
      </c>
      <c r="AJ153" s="15">
        <v>1041</v>
      </c>
    </row>
    <row r="154" spans="1:36">
      <c r="A154" s="15" t="s">
        <v>366</v>
      </c>
      <c r="B154" s="15">
        <v>172</v>
      </c>
      <c r="C154" s="15">
        <v>234</v>
      </c>
      <c r="D154" s="15">
        <v>339</v>
      </c>
      <c r="E154" s="15">
        <v>313</v>
      </c>
      <c r="F154" s="15">
        <v>234</v>
      </c>
      <c r="G154" s="15">
        <v>297</v>
      </c>
      <c r="H154" s="15">
        <v>249</v>
      </c>
      <c r="I154" s="15">
        <v>221</v>
      </c>
      <c r="J154" s="15">
        <v>235</v>
      </c>
      <c r="K154" s="15">
        <v>232</v>
      </c>
      <c r="L154" s="15">
        <v>268</v>
      </c>
      <c r="M154" s="15">
        <v>266</v>
      </c>
      <c r="N154" s="15">
        <v>209</v>
      </c>
      <c r="O154" s="15">
        <v>161</v>
      </c>
      <c r="P154" s="15">
        <v>187</v>
      </c>
      <c r="Q154" s="15">
        <v>120</v>
      </c>
      <c r="R154" s="15">
        <v>60</v>
      </c>
      <c r="S154" s="15">
        <v>48</v>
      </c>
      <c r="T154" s="15">
        <v>49</v>
      </c>
      <c r="U154" s="15">
        <v>52</v>
      </c>
      <c r="V154" s="15">
        <v>53</v>
      </c>
      <c r="W154" s="15">
        <v>56</v>
      </c>
      <c r="X154" s="15">
        <v>58</v>
      </c>
      <c r="Y154" s="15">
        <v>247</v>
      </c>
      <c r="Z154" s="15">
        <v>1664</v>
      </c>
      <c r="AA154" s="15">
        <v>1676</v>
      </c>
      <c r="AB154" s="15" t="s">
        <v>291</v>
      </c>
      <c r="AC154" s="284" t="s">
        <v>291</v>
      </c>
      <c r="AD154" s="284">
        <v>2719</v>
      </c>
      <c r="AE154" s="284" t="s">
        <v>291</v>
      </c>
      <c r="AF154" s="284" t="s">
        <v>291</v>
      </c>
      <c r="AG154" s="15">
        <v>2628</v>
      </c>
      <c r="AH154" s="15">
        <v>2678</v>
      </c>
      <c r="AI154" s="15">
        <v>1897</v>
      </c>
      <c r="AJ154" s="15">
        <v>1255</v>
      </c>
    </row>
    <row r="155" spans="1:36">
      <c r="A155" s="15" t="s">
        <v>365</v>
      </c>
      <c r="B155" s="15">
        <v>2</v>
      </c>
      <c r="C155" s="15">
        <v>2</v>
      </c>
      <c r="D155" s="15" t="s">
        <v>291</v>
      </c>
      <c r="E155" s="15" t="s">
        <v>291</v>
      </c>
      <c r="F155" s="15" t="s">
        <v>291</v>
      </c>
      <c r="G155" s="15" t="s">
        <v>291</v>
      </c>
      <c r="H155" s="15" t="s">
        <v>291</v>
      </c>
      <c r="I155" s="15">
        <v>5</v>
      </c>
      <c r="J155" s="15" t="s">
        <v>306</v>
      </c>
      <c r="K155" s="15">
        <v>4</v>
      </c>
      <c r="L155" s="15" t="s">
        <v>291</v>
      </c>
      <c r="M155" s="15" t="s">
        <v>291</v>
      </c>
      <c r="N155" s="15" t="s">
        <v>273</v>
      </c>
      <c r="O155" s="15" t="s">
        <v>273</v>
      </c>
      <c r="P155" s="15" t="s">
        <v>273</v>
      </c>
      <c r="Q155" s="15" t="s">
        <v>273</v>
      </c>
      <c r="R155" s="15" t="s">
        <v>273</v>
      </c>
      <c r="S155" s="15" t="s">
        <v>306</v>
      </c>
      <c r="T155" s="15" t="s">
        <v>306</v>
      </c>
      <c r="U155" s="15" t="s">
        <v>306</v>
      </c>
      <c r="V155" s="15" t="s">
        <v>306</v>
      </c>
      <c r="W155" s="15" t="s">
        <v>306</v>
      </c>
      <c r="X155" s="15">
        <v>6</v>
      </c>
      <c r="Y155" s="15">
        <v>-5</v>
      </c>
      <c r="Z155" s="15">
        <v>-17</v>
      </c>
      <c r="AA155" s="15">
        <v>-29</v>
      </c>
      <c r="AB155" s="15">
        <v>-38</v>
      </c>
      <c r="AC155" s="284">
        <v>47</v>
      </c>
      <c r="AD155" s="284">
        <v>47</v>
      </c>
      <c r="AE155" s="284">
        <v>47</v>
      </c>
      <c r="AF155" s="284">
        <v>47</v>
      </c>
      <c r="AG155" s="15">
        <v>57</v>
      </c>
      <c r="AH155" s="15">
        <v>146</v>
      </c>
      <c r="AI155" s="15">
        <v>170</v>
      </c>
      <c r="AJ155" s="15">
        <v>197</v>
      </c>
    </row>
    <row r="156" spans="1:36">
      <c r="A156" s="15" t="s">
        <v>364</v>
      </c>
      <c r="B156" s="15">
        <v>14</v>
      </c>
      <c r="C156" s="15">
        <v>11</v>
      </c>
      <c r="D156" s="15">
        <v>4</v>
      </c>
      <c r="E156" s="15">
        <v>5</v>
      </c>
      <c r="F156" s="15">
        <v>5</v>
      </c>
      <c r="G156" s="15">
        <v>3</v>
      </c>
      <c r="H156" s="15">
        <v>2</v>
      </c>
      <c r="I156" s="15">
        <v>-2</v>
      </c>
      <c r="J156" s="15">
        <v>3</v>
      </c>
      <c r="K156" s="15">
        <v>1</v>
      </c>
      <c r="L156" s="15">
        <v>3</v>
      </c>
      <c r="M156" s="15">
        <v>16</v>
      </c>
      <c r="N156" s="15">
        <v>17</v>
      </c>
      <c r="O156" s="15">
        <v>32</v>
      </c>
      <c r="P156" s="15" t="s">
        <v>291</v>
      </c>
      <c r="Q156" s="15" t="s">
        <v>291</v>
      </c>
      <c r="R156" s="15">
        <v>40</v>
      </c>
      <c r="S156" s="15">
        <v>2</v>
      </c>
      <c r="T156" s="15">
        <v>-4</v>
      </c>
      <c r="U156" s="15">
        <v>-8</v>
      </c>
      <c r="V156" s="15">
        <v>-10</v>
      </c>
      <c r="W156" s="15">
        <v>8</v>
      </c>
      <c r="X156" s="15">
        <v>10</v>
      </c>
      <c r="Y156" s="15">
        <v>5</v>
      </c>
      <c r="Z156" s="15">
        <v>5</v>
      </c>
      <c r="AA156" s="15">
        <v>3</v>
      </c>
      <c r="AB156" s="15">
        <v>1</v>
      </c>
      <c r="AC156" s="284" t="s">
        <v>306</v>
      </c>
      <c r="AD156" s="284">
        <v>-3</v>
      </c>
      <c r="AE156" s="284">
        <v>-17</v>
      </c>
      <c r="AF156" s="284">
        <v>-5</v>
      </c>
      <c r="AG156" s="15">
        <v>-5</v>
      </c>
      <c r="AH156" s="15">
        <v>-5</v>
      </c>
      <c r="AI156" s="15">
        <v>-3</v>
      </c>
      <c r="AJ156" s="15">
        <v>1</v>
      </c>
    </row>
    <row r="157" spans="1:36">
      <c r="A157" s="15" t="s">
        <v>363</v>
      </c>
      <c r="B157" s="15">
        <v>2</v>
      </c>
      <c r="C157" s="15">
        <v>1</v>
      </c>
      <c r="D157" s="15">
        <v>2</v>
      </c>
      <c r="E157" s="15">
        <v>5</v>
      </c>
      <c r="F157" s="15" t="s">
        <v>291</v>
      </c>
      <c r="G157" s="15" t="s">
        <v>291</v>
      </c>
      <c r="H157" s="15" t="s">
        <v>291</v>
      </c>
      <c r="I157" s="15">
        <v>2</v>
      </c>
      <c r="J157" s="15">
        <v>3</v>
      </c>
      <c r="K157" s="15">
        <v>3</v>
      </c>
      <c r="L157" s="15">
        <v>3</v>
      </c>
      <c r="M157" s="15">
        <v>3</v>
      </c>
      <c r="N157" s="15">
        <v>3</v>
      </c>
      <c r="O157" s="15">
        <v>3</v>
      </c>
      <c r="P157" s="15">
        <v>202</v>
      </c>
      <c r="Q157" s="15">
        <v>225</v>
      </c>
      <c r="R157" s="15">
        <v>5</v>
      </c>
      <c r="S157" s="15">
        <v>5</v>
      </c>
      <c r="T157" s="15">
        <v>5</v>
      </c>
      <c r="U157" s="15">
        <v>2</v>
      </c>
      <c r="V157" s="15">
        <v>-5</v>
      </c>
      <c r="W157" s="15" t="s">
        <v>291</v>
      </c>
      <c r="X157" s="15">
        <v>-4</v>
      </c>
      <c r="Y157" s="15">
        <v>0</v>
      </c>
      <c r="Z157" s="15">
        <v>0</v>
      </c>
      <c r="AA157" s="15" t="s">
        <v>273</v>
      </c>
      <c r="AB157" s="15" t="s">
        <v>273</v>
      </c>
      <c r="AC157" s="284">
        <v>1</v>
      </c>
      <c r="AD157" s="284">
        <v>1</v>
      </c>
      <c r="AE157" s="284">
        <v>1</v>
      </c>
      <c r="AF157" s="284">
        <v>1</v>
      </c>
      <c r="AG157" s="15">
        <v>1</v>
      </c>
      <c r="AH157" s="15">
        <v>1</v>
      </c>
      <c r="AI157" s="15">
        <v>1</v>
      </c>
      <c r="AJ157" s="15">
        <v>1</v>
      </c>
    </row>
    <row r="158" spans="1:36">
      <c r="A158" s="15" t="s">
        <v>362</v>
      </c>
      <c r="B158" s="15">
        <v>2</v>
      </c>
      <c r="C158" s="15">
        <v>3</v>
      </c>
      <c r="D158" s="15">
        <v>3</v>
      </c>
      <c r="E158" s="15">
        <v>1</v>
      </c>
      <c r="F158" s="15">
        <v>1</v>
      </c>
      <c r="G158" s="15">
        <v>1</v>
      </c>
      <c r="H158" s="15">
        <v>1</v>
      </c>
      <c r="I158" s="15">
        <v>2</v>
      </c>
      <c r="J158" s="15">
        <v>-3</v>
      </c>
      <c r="K158" s="15" t="s">
        <v>291</v>
      </c>
      <c r="L158" s="15" t="s">
        <v>291</v>
      </c>
      <c r="M158" s="15" t="s">
        <v>291</v>
      </c>
      <c r="N158" s="15" t="s">
        <v>273</v>
      </c>
      <c r="O158" s="15" t="s">
        <v>273</v>
      </c>
      <c r="P158" s="15" t="s">
        <v>273</v>
      </c>
      <c r="Q158" s="15" t="s">
        <v>273</v>
      </c>
      <c r="R158" s="15" t="s">
        <v>273</v>
      </c>
      <c r="S158" s="15">
        <v>1</v>
      </c>
      <c r="T158" s="15">
        <v>1</v>
      </c>
      <c r="U158" s="15">
        <v>1</v>
      </c>
      <c r="V158" s="15">
        <v>1</v>
      </c>
      <c r="W158" s="15">
        <v>1</v>
      </c>
      <c r="X158" s="15">
        <v>1</v>
      </c>
      <c r="Y158" s="15">
        <v>-3</v>
      </c>
      <c r="Z158" s="15">
        <v>-3</v>
      </c>
      <c r="AA158" s="15">
        <v>-3</v>
      </c>
      <c r="AB158" s="15">
        <v>-3</v>
      </c>
      <c r="AC158" s="284">
        <v>0</v>
      </c>
      <c r="AD158" s="284">
        <v>0</v>
      </c>
      <c r="AE158" s="284">
        <v>0</v>
      </c>
      <c r="AF158" s="284">
        <v>0</v>
      </c>
      <c r="AG158" s="15">
        <v>0</v>
      </c>
      <c r="AH158" s="15">
        <v>0</v>
      </c>
      <c r="AI158" s="15">
        <v>0</v>
      </c>
      <c r="AJ158" s="15">
        <v>2</v>
      </c>
    </row>
    <row r="159" spans="1:36">
      <c r="A159" s="15" t="s">
        <v>361</v>
      </c>
      <c r="B159" s="15">
        <v>8</v>
      </c>
      <c r="C159" s="15">
        <v>8</v>
      </c>
      <c r="D159" s="15">
        <v>8</v>
      </c>
      <c r="E159" s="15">
        <v>3</v>
      </c>
      <c r="F159" s="15">
        <v>4</v>
      </c>
      <c r="G159" s="15">
        <v>3</v>
      </c>
      <c r="H159" s="15">
        <v>4</v>
      </c>
      <c r="I159" s="15">
        <v>3</v>
      </c>
      <c r="J159" s="15">
        <v>3</v>
      </c>
      <c r="K159" s="15">
        <v>3</v>
      </c>
      <c r="L159" s="15">
        <v>3</v>
      </c>
      <c r="M159" s="15">
        <v>3</v>
      </c>
      <c r="N159" s="15" t="s">
        <v>291</v>
      </c>
      <c r="O159" s="15">
        <v>11</v>
      </c>
      <c r="P159" s="15">
        <v>10</v>
      </c>
      <c r="Q159" s="15">
        <v>11</v>
      </c>
      <c r="R159" s="15">
        <v>148</v>
      </c>
      <c r="S159" s="15">
        <v>119</v>
      </c>
      <c r="T159" s="15">
        <v>97</v>
      </c>
      <c r="U159" s="15">
        <v>124</v>
      </c>
      <c r="V159" s="15" t="s">
        <v>306</v>
      </c>
      <c r="W159" s="15">
        <v>10</v>
      </c>
      <c r="X159" s="15">
        <v>373</v>
      </c>
      <c r="Y159" s="15">
        <v>624</v>
      </c>
      <c r="Z159" s="15">
        <v>1272</v>
      </c>
      <c r="AA159" s="15">
        <v>2973</v>
      </c>
      <c r="AB159" s="15">
        <v>2470</v>
      </c>
      <c r="AC159" s="284">
        <v>5238</v>
      </c>
      <c r="AD159" s="284">
        <v>7885</v>
      </c>
      <c r="AE159" s="284">
        <v>6771</v>
      </c>
      <c r="AF159" s="284">
        <v>6369</v>
      </c>
      <c r="AG159" s="15">
        <v>7165</v>
      </c>
      <c r="AH159" s="15">
        <v>6734</v>
      </c>
      <c r="AI159" s="15">
        <v>7359</v>
      </c>
      <c r="AJ159" s="15">
        <v>6962</v>
      </c>
    </row>
    <row r="160" spans="1:36">
      <c r="A160" s="15" t="s">
        <v>360</v>
      </c>
      <c r="B160" s="15">
        <v>23</v>
      </c>
      <c r="C160" s="15">
        <v>38</v>
      </c>
      <c r="D160" s="15">
        <v>39</v>
      </c>
      <c r="E160" s="15">
        <v>39</v>
      </c>
      <c r="F160" s="15">
        <v>27</v>
      </c>
      <c r="G160" s="15">
        <v>22</v>
      </c>
      <c r="H160" s="15">
        <v>15</v>
      </c>
      <c r="I160" s="15">
        <v>35</v>
      </c>
      <c r="J160" s="15">
        <v>50</v>
      </c>
      <c r="K160" s="15">
        <v>57</v>
      </c>
      <c r="L160" s="15">
        <v>77</v>
      </c>
      <c r="M160" s="15">
        <v>81</v>
      </c>
      <c r="N160" s="15">
        <v>93</v>
      </c>
      <c r="O160" s="15">
        <v>106</v>
      </c>
      <c r="P160" s="15">
        <v>102</v>
      </c>
      <c r="Q160" s="15">
        <v>83</v>
      </c>
      <c r="R160" s="15">
        <v>77</v>
      </c>
      <c r="S160" s="15">
        <v>184</v>
      </c>
      <c r="T160" s="15">
        <v>220</v>
      </c>
      <c r="U160" s="15">
        <v>275</v>
      </c>
      <c r="V160" s="15">
        <v>280</v>
      </c>
      <c r="W160" s="15">
        <v>292</v>
      </c>
      <c r="X160" s="15">
        <v>167</v>
      </c>
      <c r="Y160" s="15">
        <v>150</v>
      </c>
      <c r="Z160" s="15">
        <v>130</v>
      </c>
      <c r="AA160" s="15">
        <v>248</v>
      </c>
      <c r="AB160" s="15">
        <v>263</v>
      </c>
      <c r="AC160" s="284">
        <v>396</v>
      </c>
      <c r="AD160" s="284">
        <v>550</v>
      </c>
      <c r="AE160" s="284">
        <v>548</v>
      </c>
      <c r="AF160" s="284">
        <v>606</v>
      </c>
      <c r="AG160" s="15">
        <v>414</v>
      </c>
      <c r="AH160" s="15">
        <v>393</v>
      </c>
      <c r="AI160" s="15">
        <v>356</v>
      </c>
      <c r="AJ160" s="15">
        <v>288</v>
      </c>
    </row>
    <row r="161" spans="1:36">
      <c r="A161" s="15" t="s">
        <v>359</v>
      </c>
      <c r="B161" s="15" t="s">
        <v>306</v>
      </c>
      <c r="C161" s="15" t="s">
        <v>291</v>
      </c>
      <c r="D161" s="15" t="s">
        <v>291</v>
      </c>
      <c r="E161" s="15">
        <v>1</v>
      </c>
      <c r="F161" s="15" t="s">
        <v>306</v>
      </c>
      <c r="G161" s="15">
        <v>0</v>
      </c>
      <c r="H161" s="15">
        <v>0</v>
      </c>
      <c r="I161" s="15" t="s">
        <v>273</v>
      </c>
      <c r="J161" s="15" t="s">
        <v>273</v>
      </c>
      <c r="K161" s="15" t="s">
        <v>273</v>
      </c>
      <c r="L161" s="15" t="s">
        <v>273</v>
      </c>
      <c r="M161" s="15" t="s">
        <v>273</v>
      </c>
      <c r="N161" s="15">
        <v>1</v>
      </c>
      <c r="O161" s="15">
        <v>2</v>
      </c>
      <c r="P161" s="15">
        <v>3</v>
      </c>
      <c r="Q161" s="15">
        <v>4</v>
      </c>
      <c r="R161" s="15">
        <v>5</v>
      </c>
      <c r="S161" s="15">
        <v>1</v>
      </c>
      <c r="T161" s="15">
        <v>3</v>
      </c>
      <c r="U161" s="15">
        <v>8</v>
      </c>
      <c r="V161" s="15">
        <v>12</v>
      </c>
      <c r="W161" s="15">
        <v>13</v>
      </c>
      <c r="X161" s="15" t="s">
        <v>291</v>
      </c>
      <c r="Y161" s="15" t="s">
        <v>306</v>
      </c>
      <c r="Z161" s="15">
        <v>6</v>
      </c>
      <c r="AA161" s="15">
        <v>5</v>
      </c>
      <c r="AB161" s="15">
        <v>5</v>
      </c>
      <c r="AC161" s="284">
        <v>28</v>
      </c>
      <c r="AD161" s="284">
        <v>121</v>
      </c>
      <c r="AE161" s="284" t="s">
        <v>291</v>
      </c>
      <c r="AF161" s="284">
        <v>619</v>
      </c>
      <c r="AG161" s="15">
        <v>660</v>
      </c>
      <c r="AH161" s="15" t="s">
        <v>291</v>
      </c>
      <c r="AI161" s="15" t="s">
        <v>291</v>
      </c>
      <c r="AJ161" s="15">
        <v>354</v>
      </c>
    </row>
    <row r="162" spans="1:36">
      <c r="A162" s="15" t="s">
        <v>358</v>
      </c>
      <c r="B162" s="15" t="s">
        <v>291</v>
      </c>
      <c r="C162" s="15" t="s">
        <v>291</v>
      </c>
      <c r="D162" s="15">
        <v>5</v>
      </c>
      <c r="E162" s="15" t="s">
        <v>291</v>
      </c>
      <c r="F162" s="15">
        <v>5</v>
      </c>
      <c r="G162" s="15">
        <v>1</v>
      </c>
      <c r="H162" s="15">
        <v>0</v>
      </c>
      <c r="I162" s="15">
        <v>0</v>
      </c>
      <c r="J162" s="15">
        <v>0</v>
      </c>
      <c r="K162" s="15">
        <v>0</v>
      </c>
      <c r="L162" s="15">
        <v>0</v>
      </c>
      <c r="M162" s="15">
        <v>0</v>
      </c>
      <c r="N162" s="15">
        <v>1</v>
      </c>
      <c r="O162" s="15">
        <v>1</v>
      </c>
      <c r="P162" s="15">
        <v>1</v>
      </c>
      <c r="Q162" s="15">
        <v>2</v>
      </c>
      <c r="R162" s="15">
        <v>2</v>
      </c>
      <c r="S162" s="15" t="s">
        <v>306</v>
      </c>
      <c r="T162" s="15" t="s">
        <v>306</v>
      </c>
      <c r="U162" s="15" t="s">
        <v>306</v>
      </c>
      <c r="V162" s="15" t="s">
        <v>306</v>
      </c>
      <c r="W162" s="15" t="s">
        <v>306</v>
      </c>
      <c r="X162" s="15">
        <v>3</v>
      </c>
      <c r="Y162" s="15">
        <v>3</v>
      </c>
      <c r="Z162" s="15">
        <v>3</v>
      </c>
      <c r="AA162" s="15">
        <v>3</v>
      </c>
      <c r="AB162" s="15">
        <v>3</v>
      </c>
      <c r="AC162" s="284">
        <v>8</v>
      </c>
      <c r="AD162" s="284">
        <v>8</v>
      </c>
      <c r="AE162" s="284">
        <v>8</v>
      </c>
      <c r="AF162" s="284">
        <v>8</v>
      </c>
      <c r="AG162" s="15">
        <v>8</v>
      </c>
      <c r="AH162" s="15">
        <v>5</v>
      </c>
      <c r="AI162" s="15">
        <v>3</v>
      </c>
      <c r="AJ162" s="15">
        <v>8</v>
      </c>
    </row>
    <row r="163" spans="1:36">
      <c r="A163" s="15" t="s">
        <v>357</v>
      </c>
      <c r="B163" s="15" t="s">
        <v>291</v>
      </c>
      <c r="C163" s="15">
        <v>58</v>
      </c>
      <c r="D163" s="15">
        <v>60</v>
      </c>
      <c r="E163" s="15">
        <v>62</v>
      </c>
      <c r="F163" s="15" t="s">
        <v>291</v>
      </c>
      <c r="G163" s="15" t="s">
        <v>291</v>
      </c>
      <c r="H163" s="15" t="s">
        <v>291</v>
      </c>
      <c r="I163" s="15">
        <v>2</v>
      </c>
      <c r="J163" s="15">
        <v>2</v>
      </c>
      <c r="K163" s="15">
        <v>3</v>
      </c>
      <c r="L163" s="15">
        <v>3</v>
      </c>
      <c r="M163" s="15">
        <v>3</v>
      </c>
      <c r="N163" s="15" t="s">
        <v>291</v>
      </c>
      <c r="O163" s="15">
        <v>6</v>
      </c>
      <c r="P163" s="15">
        <v>1</v>
      </c>
      <c r="Q163" s="15">
        <v>-3</v>
      </c>
      <c r="R163" s="15">
        <v>-8</v>
      </c>
      <c r="S163" s="15">
        <v>-10</v>
      </c>
      <c r="T163" s="15">
        <v>-12</v>
      </c>
      <c r="U163" s="15">
        <v>-14</v>
      </c>
      <c r="V163" s="15">
        <v>-15</v>
      </c>
      <c r="W163" s="15">
        <v>-16</v>
      </c>
      <c r="X163" s="15">
        <v>2</v>
      </c>
      <c r="Y163" s="15" t="s">
        <v>306</v>
      </c>
      <c r="Z163" s="15" t="s">
        <v>306</v>
      </c>
      <c r="AA163" s="15" t="s">
        <v>306</v>
      </c>
      <c r="AB163" s="15" t="s">
        <v>306</v>
      </c>
      <c r="AC163" s="284">
        <v>0</v>
      </c>
      <c r="AD163" s="284">
        <v>0</v>
      </c>
      <c r="AE163" s="284">
        <v>0</v>
      </c>
      <c r="AF163" s="284">
        <v>0</v>
      </c>
      <c r="AG163" s="15">
        <v>0</v>
      </c>
      <c r="AH163" s="15">
        <v>0</v>
      </c>
      <c r="AI163" s="15">
        <v>0</v>
      </c>
      <c r="AJ163" s="15">
        <v>0</v>
      </c>
    </row>
    <row r="164" spans="1:36">
      <c r="A164" s="15" t="s">
        <v>356</v>
      </c>
      <c r="B164" s="15">
        <v>2</v>
      </c>
      <c r="C164" s="15">
        <v>1</v>
      </c>
      <c r="D164" s="15">
        <v>3</v>
      </c>
      <c r="E164" s="15">
        <v>4</v>
      </c>
      <c r="F164" s="15">
        <v>2</v>
      </c>
      <c r="G164" s="15">
        <v>3</v>
      </c>
      <c r="H164" s="15" t="s">
        <v>306</v>
      </c>
      <c r="I164" s="15">
        <v>1</v>
      </c>
      <c r="J164" s="15">
        <v>1</v>
      </c>
      <c r="K164" s="15">
        <v>2</v>
      </c>
      <c r="L164" s="15">
        <v>2</v>
      </c>
      <c r="M164" s="15">
        <v>2</v>
      </c>
      <c r="N164" s="15" t="s">
        <v>273</v>
      </c>
      <c r="O164" s="15" t="s">
        <v>273</v>
      </c>
      <c r="P164" s="15" t="s">
        <v>273</v>
      </c>
      <c r="Q164" s="15" t="s">
        <v>273</v>
      </c>
      <c r="R164" s="15" t="s">
        <v>273</v>
      </c>
      <c r="S164" s="15" t="s">
        <v>273</v>
      </c>
      <c r="T164" s="15" t="s">
        <v>273</v>
      </c>
      <c r="U164" s="15" t="s">
        <v>273</v>
      </c>
      <c r="V164" s="15" t="s">
        <v>273</v>
      </c>
      <c r="W164" s="15" t="s">
        <v>273</v>
      </c>
      <c r="X164" s="15">
        <v>1</v>
      </c>
      <c r="Y164" s="15">
        <v>1</v>
      </c>
      <c r="Z164" s="15">
        <v>1</v>
      </c>
      <c r="AA164" s="15">
        <v>1</v>
      </c>
      <c r="AB164" s="15">
        <v>1</v>
      </c>
      <c r="AC164" s="284">
        <v>0</v>
      </c>
      <c r="AD164" s="284">
        <v>0</v>
      </c>
      <c r="AE164" s="284">
        <v>0</v>
      </c>
      <c r="AF164" s="284">
        <v>0</v>
      </c>
      <c r="AG164" s="15">
        <v>0</v>
      </c>
      <c r="AH164" s="15">
        <v>0</v>
      </c>
      <c r="AI164" s="15">
        <v>0</v>
      </c>
      <c r="AJ164" s="15">
        <v>0</v>
      </c>
    </row>
    <row r="165" spans="1:36">
      <c r="A165" s="15" t="s">
        <v>355</v>
      </c>
      <c r="B165" s="15" t="s">
        <v>273</v>
      </c>
      <c r="C165" s="15" t="s">
        <v>273</v>
      </c>
      <c r="D165" s="15" t="s">
        <v>273</v>
      </c>
      <c r="E165" s="15" t="s">
        <v>273</v>
      </c>
      <c r="F165" s="15" t="s">
        <v>273</v>
      </c>
      <c r="G165" s="15" t="s">
        <v>273</v>
      </c>
      <c r="H165" s="15" t="s">
        <v>273</v>
      </c>
      <c r="I165" s="15" t="s">
        <v>273</v>
      </c>
      <c r="J165" s="15" t="s">
        <v>273</v>
      </c>
      <c r="K165" s="15" t="s">
        <v>273</v>
      </c>
      <c r="L165" s="15" t="s">
        <v>273</v>
      </c>
      <c r="M165" s="15" t="s">
        <v>273</v>
      </c>
      <c r="N165" s="15" t="s">
        <v>273</v>
      </c>
      <c r="O165" s="15" t="s">
        <v>273</v>
      </c>
      <c r="P165" s="15" t="s">
        <v>273</v>
      </c>
      <c r="Q165" s="15" t="s">
        <v>273</v>
      </c>
      <c r="R165" s="15" t="s">
        <v>273</v>
      </c>
      <c r="S165" s="15" t="s">
        <v>273</v>
      </c>
      <c r="T165" s="15" t="s">
        <v>273</v>
      </c>
      <c r="U165" s="15" t="s">
        <v>273</v>
      </c>
      <c r="V165" s="15" t="s">
        <v>273</v>
      </c>
      <c r="W165" s="15" t="s">
        <v>273</v>
      </c>
      <c r="X165" s="15" t="s">
        <v>291</v>
      </c>
      <c r="Y165" s="15" t="s">
        <v>291</v>
      </c>
      <c r="Z165" s="15" t="s">
        <v>291</v>
      </c>
      <c r="AA165" s="15" t="s">
        <v>291</v>
      </c>
      <c r="AB165" s="15">
        <v>85</v>
      </c>
      <c r="AC165" s="284" t="s">
        <v>291</v>
      </c>
      <c r="AD165" s="284" t="s">
        <v>291</v>
      </c>
      <c r="AE165" s="284" t="s">
        <v>291</v>
      </c>
      <c r="AF165" s="284" t="s">
        <v>291</v>
      </c>
      <c r="AG165" s="15" t="s">
        <v>291</v>
      </c>
      <c r="AH165" s="15" t="s">
        <v>291</v>
      </c>
      <c r="AI165" s="15" t="s">
        <v>291</v>
      </c>
      <c r="AJ165" s="15" t="s">
        <v>291</v>
      </c>
    </row>
    <row r="166" spans="1:36">
      <c r="A166" s="15" t="s">
        <v>354</v>
      </c>
      <c r="B166" s="15">
        <v>13</v>
      </c>
      <c r="C166" s="15">
        <v>22</v>
      </c>
      <c r="D166" s="15">
        <v>24</v>
      </c>
      <c r="E166" s="15">
        <v>26</v>
      </c>
      <c r="F166" s="15">
        <v>28</v>
      </c>
      <c r="G166" s="15" t="s">
        <v>291</v>
      </c>
      <c r="H166" s="15" t="s">
        <v>291</v>
      </c>
      <c r="I166" s="15">
        <v>16</v>
      </c>
      <c r="J166" s="15">
        <v>19</v>
      </c>
      <c r="K166" s="15">
        <v>19</v>
      </c>
      <c r="L166" s="15">
        <v>13</v>
      </c>
      <c r="M166" s="15">
        <v>13</v>
      </c>
      <c r="N166" s="15">
        <v>26</v>
      </c>
      <c r="O166" s="15">
        <v>36</v>
      </c>
      <c r="P166" s="15">
        <v>50</v>
      </c>
      <c r="Q166" s="15">
        <v>58</v>
      </c>
      <c r="R166" s="15">
        <v>67</v>
      </c>
      <c r="S166" s="15">
        <v>67</v>
      </c>
      <c r="T166" s="15">
        <v>30</v>
      </c>
      <c r="U166" s="15">
        <v>33</v>
      </c>
      <c r="V166" s="15">
        <v>39</v>
      </c>
      <c r="W166" s="15">
        <v>38</v>
      </c>
      <c r="X166" s="15">
        <v>30</v>
      </c>
      <c r="Y166" s="15">
        <v>17</v>
      </c>
      <c r="Z166" s="15">
        <v>19</v>
      </c>
      <c r="AA166" s="15">
        <v>18</v>
      </c>
      <c r="AB166" s="15">
        <v>18</v>
      </c>
      <c r="AC166" s="284">
        <v>23</v>
      </c>
      <c r="AD166" s="284">
        <v>-31</v>
      </c>
      <c r="AE166" s="284">
        <v>-43</v>
      </c>
      <c r="AF166" s="284">
        <v>-59</v>
      </c>
      <c r="AG166" s="15">
        <v>5</v>
      </c>
      <c r="AH166" s="15">
        <v>14</v>
      </c>
      <c r="AI166" s="15">
        <v>14</v>
      </c>
      <c r="AJ166" s="15">
        <v>13</v>
      </c>
    </row>
    <row r="167" spans="1:36">
      <c r="A167" s="15" t="s">
        <v>353</v>
      </c>
      <c r="B167" s="15" t="s">
        <v>273</v>
      </c>
      <c r="C167" s="15" t="s">
        <v>273</v>
      </c>
      <c r="D167" s="15" t="s">
        <v>273</v>
      </c>
      <c r="E167" s="15" t="s">
        <v>273</v>
      </c>
      <c r="F167" s="15" t="s">
        <v>273</v>
      </c>
      <c r="G167" s="15" t="s">
        <v>273</v>
      </c>
      <c r="H167" s="15" t="s">
        <v>273</v>
      </c>
      <c r="I167" s="15" t="s">
        <v>273</v>
      </c>
      <c r="J167" s="15" t="s">
        <v>273</v>
      </c>
      <c r="K167" s="15" t="s">
        <v>273</v>
      </c>
      <c r="L167" s="15" t="s">
        <v>273</v>
      </c>
      <c r="M167" s="15" t="s">
        <v>273</v>
      </c>
      <c r="N167" s="15" t="s">
        <v>273</v>
      </c>
      <c r="O167" s="15" t="s">
        <v>273</v>
      </c>
      <c r="P167" s="15" t="s">
        <v>273</v>
      </c>
      <c r="Q167" s="15" t="s">
        <v>273</v>
      </c>
      <c r="R167" s="15" t="s">
        <v>273</v>
      </c>
      <c r="S167" s="15" t="s">
        <v>306</v>
      </c>
      <c r="T167" s="15" t="s">
        <v>306</v>
      </c>
      <c r="U167" s="15" t="s">
        <v>306</v>
      </c>
      <c r="V167" s="15">
        <v>4</v>
      </c>
      <c r="W167" s="15" t="s">
        <v>291</v>
      </c>
      <c r="X167" s="15" t="s">
        <v>291</v>
      </c>
      <c r="Y167" s="15" t="s">
        <v>291</v>
      </c>
      <c r="Z167" s="15" t="s">
        <v>306</v>
      </c>
      <c r="AA167" s="15" t="s">
        <v>306</v>
      </c>
      <c r="AB167" s="15" t="s">
        <v>291</v>
      </c>
      <c r="AC167" s="284" t="s">
        <v>306</v>
      </c>
      <c r="AD167" s="284" t="s">
        <v>306</v>
      </c>
      <c r="AE167" s="284" t="s">
        <v>306</v>
      </c>
      <c r="AF167" s="284" t="s">
        <v>306</v>
      </c>
      <c r="AG167" s="15" t="s">
        <v>306</v>
      </c>
      <c r="AH167" s="15" t="s">
        <v>291</v>
      </c>
      <c r="AI167" s="15" t="s">
        <v>291</v>
      </c>
      <c r="AJ167" s="15" t="s">
        <v>291</v>
      </c>
    </row>
    <row r="168" spans="1:36">
      <c r="A168" s="15" t="s">
        <v>352</v>
      </c>
      <c r="B168" s="15">
        <v>13</v>
      </c>
      <c r="C168" s="15" t="s">
        <v>291</v>
      </c>
      <c r="D168" s="15">
        <v>-5</v>
      </c>
      <c r="E168" s="15">
        <v>2</v>
      </c>
      <c r="F168" s="15">
        <v>12</v>
      </c>
      <c r="G168" s="15" t="s">
        <v>291</v>
      </c>
      <c r="H168" s="15" t="s">
        <v>291</v>
      </c>
      <c r="I168" s="15" t="s">
        <v>291</v>
      </c>
      <c r="J168" s="15" t="s">
        <v>291</v>
      </c>
      <c r="K168" s="15" t="s">
        <v>291</v>
      </c>
      <c r="L168" s="15" t="s">
        <v>291</v>
      </c>
      <c r="M168" s="15" t="s">
        <v>291</v>
      </c>
      <c r="N168" s="15">
        <v>4</v>
      </c>
      <c r="O168" s="15" t="s">
        <v>291</v>
      </c>
      <c r="P168" s="15" t="s">
        <v>291</v>
      </c>
      <c r="Q168" s="15">
        <v>32</v>
      </c>
      <c r="R168" s="15">
        <v>2</v>
      </c>
      <c r="S168" s="15">
        <v>6</v>
      </c>
      <c r="T168" s="15">
        <v>10</v>
      </c>
      <c r="U168" s="15">
        <v>11</v>
      </c>
      <c r="V168" s="15">
        <v>12</v>
      </c>
      <c r="W168" s="15">
        <v>15</v>
      </c>
      <c r="X168" s="15">
        <v>7</v>
      </c>
      <c r="Y168" s="15">
        <v>1</v>
      </c>
      <c r="Z168" s="15">
        <v>1</v>
      </c>
      <c r="AA168" s="15">
        <v>1</v>
      </c>
      <c r="AB168" s="15">
        <v>1</v>
      </c>
      <c r="AC168" s="284" t="s">
        <v>291</v>
      </c>
      <c r="AD168" s="284" t="s">
        <v>291</v>
      </c>
      <c r="AE168" s="284" t="s">
        <v>291</v>
      </c>
      <c r="AF168" s="284" t="s">
        <v>291</v>
      </c>
      <c r="AG168" s="15" t="s">
        <v>291</v>
      </c>
      <c r="AH168" s="15" t="s">
        <v>291</v>
      </c>
      <c r="AI168" s="15" t="s">
        <v>291</v>
      </c>
      <c r="AJ168" s="15" t="s">
        <v>291</v>
      </c>
    </row>
    <row r="169" spans="1:36">
      <c r="A169" s="15" t="s">
        <v>351</v>
      </c>
      <c r="B169" s="15">
        <v>12</v>
      </c>
      <c r="C169" s="15">
        <v>8</v>
      </c>
      <c r="D169" s="15">
        <v>-3</v>
      </c>
      <c r="E169" s="15">
        <v>-11</v>
      </c>
      <c r="F169" s="15">
        <v>-1</v>
      </c>
      <c r="G169" s="15">
        <v>-5</v>
      </c>
      <c r="H169" s="15">
        <v>-1</v>
      </c>
      <c r="I169" s="15">
        <v>4</v>
      </c>
      <c r="J169" s="15">
        <v>-4</v>
      </c>
      <c r="K169" s="15" t="s">
        <v>291</v>
      </c>
      <c r="L169" s="15" t="s">
        <v>291</v>
      </c>
      <c r="M169" s="15" t="s">
        <v>291</v>
      </c>
      <c r="N169" s="15">
        <v>-1</v>
      </c>
      <c r="O169" s="15">
        <v>-1</v>
      </c>
      <c r="P169" s="15">
        <v>-1</v>
      </c>
      <c r="Q169" s="15">
        <v>-1</v>
      </c>
      <c r="R169" s="15" t="s">
        <v>306</v>
      </c>
      <c r="S169" s="15">
        <v>29</v>
      </c>
      <c r="T169" s="15">
        <v>29</v>
      </c>
      <c r="U169" s="15">
        <v>29</v>
      </c>
      <c r="V169" s="15">
        <v>29</v>
      </c>
      <c r="W169" s="15">
        <v>29</v>
      </c>
      <c r="X169" s="15" t="s">
        <v>306</v>
      </c>
      <c r="Y169" s="15" t="s">
        <v>306</v>
      </c>
      <c r="Z169" s="15" t="s">
        <v>306</v>
      </c>
      <c r="AA169" s="15" t="s">
        <v>306</v>
      </c>
      <c r="AB169" s="15" t="s">
        <v>306</v>
      </c>
      <c r="AC169" s="284" t="s">
        <v>306</v>
      </c>
      <c r="AD169" s="284" t="s">
        <v>306</v>
      </c>
      <c r="AE169" s="284" t="s">
        <v>306</v>
      </c>
      <c r="AF169" s="284" t="s">
        <v>306</v>
      </c>
      <c r="AG169" s="15" t="s">
        <v>291</v>
      </c>
      <c r="AH169" s="15" t="s">
        <v>291</v>
      </c>
      <c r="AI169" s="15" t="s">
        <v>291</v>
      </c>
      <c r="AJ169" s="15" t="s">
        <v>306</v>
      </c>
    </row>
    <row r="170" spans="1:36" s="284" customFormat="1">
      <c r="A170" s="288" t="s">
        <v>1117</v>
      </c>
      <c r="AC170" s="284">
        <v>0</v>
      </c>
      <c r="AD170" s="284">
        <v>0</v>
      </c>
      <c r="AE170" s="284">
        <v>0</v>
      </c>
      <c r="AF170" s="284">
        <v>0</v>
      </c>
      <c r="AG170" s="284">
        <v>0</v>
      </c>
      <c r="AH170" s="284">
        <v>0</v>
      </c>
      <c r="AI170" s="284">
        <v>0</v>
      </c>
      <c r="AJ170" s="284">
        <v>0</v>
      </c>
    </row>
    <row r="171" spans="1:36">
      <c r="A171" s="15" t="s">
        <v>350</v>
      </c>
      <c r="B171" s="15">
        <v>220</v>
      </c>
      <c r="C171" s="15">
        <v>243</v>
      </c>
      <c r="D171" s="15">
        <v>340</v>
      </c>
      <c r="E171" s="15">
        <v>366</v>
      </c>
      <c r="F171" s="15">
        <v>-176</v>
      </c>
      <c r="G171" s="15">
        <v>-60</v>
      </c>
      <c r="H171" s="15">
        <v>-101</v>
      </c>
      <c r="I171" s="15">
        <v>19</v>
      </c>
      <c r="J171" s="15">
        <v>10</v>
      </c>
      <c r="K171" s="15">
        <v>4</v>
      </c>
      <c r="L171" s="15">
        <v>-4</v>
      </c>
      <c r="M171" s="15">
        <v>-16</v>
      </c>
      <c r="N171" s="15" t="s">
        <v>291</v>
      </c>
      <c r="O171" s="15">
        <v>13</v>
      </c>
      <c r="P171" s="15">
        <v>21</v>
      </c>
      <c r="Q171" s="15" t="s">
        <v>291</v>
      </c>
      <c r="R171" s="15">
        <v>15</v>
      </c>
      <c r="S171" s="15">
        <v>13</v>
      </c>
      <c r="T171" s="15">
        <v>13</v>
      </c>
      <c r="U171" s="15">
        <v>14</v>
      </c>
      <c r="V171" s="15">
        <v>14</v>
      </c>
      <c r="W171" s="15">
        <v>3</v>
      </c>
      <c r="X171" s="15" t="s">
        <v>273</v>
      </c>
      <c r="Y171" s="15" t="s">
        <v>273</v>
      </c>
      <c r="Z171" s="15" t="s">
        <v>273</v>
      </c>
      <c r="AA171" s="15" t="s">
        <v>273</v>
      </c>
      <c r="AB171" s="15" t="s">
        <v>273</v>
      </c>
      <c r="AC171" s="284" t="s">
        <v>306</v>
      </c>
      <c r="AD171" s="284" t="s">
        <v>306</v>
      </c>
      <c r="AE171" s="284" t="s">
        <v>306</v>
      </c>
      <c r="AF171" s="284" t="s">
        <v>306</v>
      </c>
      <c r="AG171" s="15" t="s">
        <v>306</v>
      </c>
      <c r="AH171" s="15" t="s">
        <v>306</v>
      </c>
      <c r="AI171" s="15" t="s">
        <v>306</v>
      </c>
      <c r="AJ171" s="15" t="s">
        <v>306</v>
      </c>
    </row>
    <row r="172" spans="1:36">
      <c r="A172" s="15" t="s">
        <v>349</v>
      </c>
      <c r="B172" s="15" t="s">
        <v>306</v>
      </c>
      <c r="C172" s="15" t="s">
        <v>306</v>
      </c>
      <c r="D172" s="15" t="s">
        <v>306</v>
      </c>
      <c r="E172" s="15" t="s">
        <v>306</v>
      </c>
      <c r="F172" s="15">
        <v>-1</v>
      </c>
      <c r="G172" s="15" t="s">
        <v>291</v>
      </c>
      <c r="H172" s="15" t="s">
        <v>291</v>
      </c>
      <c r="I172" s="15">
        <v>3</v>
      </c>
      <c r="J172" s="15">
        <v>4</v>
      </c>
      <c r="K172" s="15">
        <v>5</v>
      </c>
      <c r="L172" s="15" t="s">
        <v>291</v>
      </c>
      <c r="M172" s="15">
        <v>90</v>
      </c>
      <c r="N172" s="15" t="s">
        <v>291</v>
      </c>
      <c r="O172" s="15" t="s">
        <v>306</v>
      </c>
      <c r="P172" s="15" t="s">
        <v>291</v>
      </c>
      <c r="Q172" s="15">
        <v>34</v>
      </c>
      <c r="R172" s="15">
        <v>6</v>
      </c>
      <c r="S172" s="15">
        <v>46</v>
      </c>
      <c r="T172" s="15">
        <v>59</v>
      </c>
      <c r="U172" s="15">
        <v>45</v>
      </c>
      <c r="V172" s="15" t="s">
        <v>291</v>
      </c>
      <c r="W172" s="15">
        <v>65</v>
      </c>
      <c r="X172" s="15" t="s">
        <v>291</v>
      </c>
      <c r="Y172" s="15" t="s">
        <v>291</v>
      </c>
      <c r="Z172" s="15" t="s">
        <v>291</v>
      </c>
      <c r="AA172" s="15" t="s">
        <v>291</v>
      </c>
      <c r="AB172" s="15" t="s">
        <v>291</v>
      </c>
      <c r="AC172" s="284" t="s">
        <v>291</v>
      </c>
      <c r="AD172" s="284" t="s">
        <v>291</v>
      </c>
      <c r="AE172" s="284" t="s">
        <v>291</v>
      </c>
      <c r="AF172" s="284" t="s">
        <v>291</v>
      </c>
      <c r="AG172" s="15" t="s">
        <v>291</v>
      </c>
      <c r="AH172" s="15" t="s">
        <v>291</v>
      </c>
      <c r="AI172" s="15" t="s">
        <v>291</v>
      </c>
      <c r="AJ172" s="15" t="s">
        <v>291</v>
      </c>
    </row>
    <row r="173" spans="1:36">
      <c r="A173" s="15" t="s">
        <v>348</v>
      </c>
      <c r="B173" s="15">
        <v>30</v>
      </c>
      <c r="C173" s="15">
        <v>40</v>
      </c>
      <c r="D173" s="15">
        <v>38</v>
      </c>
      <c r="E173" s="15">
        <v>29</v>
      </c>
      <c r="F173" s="15">
        <v>21</v>
      </c>
      <c r="G173" s="15">
        <v>15</v>
      </c>
      <c r="H173" s="15">
        <v>14</v>
      </c>
      <c r="I173" s="15">
        <v>9</v>
      </c>
      <c r="J173" s="15" t="s">
        <v>291</v>
      </c>
      <c r="K173" s="15" t="s">
        <v>291</v>
      </c>
      <c r="L173" s="15" t="s">
        <v>291</v>
      </c>
      <c r="M173" s="15" t="s">
        <v>291</v>
      </c>
      <c r="N173" s="15">
        <v>15</v>
      </c>
      <c r="O173" s="15">
        <v>-4</v>
      </c>
      <c r="P173" s="15">
        <v>32</v>
      </c>
      <c r="Q173" s="15">
        <v>-33</v>
      </c>
      <c r="R173" s="15">
        <v>61</v>
      </c>
      <c r="S173" s="15">
        <v>17</v>
      </c>
      <c r="T173" s="15">
        <v>39</v>
      </c>
      <c r="U173" s="15">
        <v>21</v>
      </c>
      <c r="V173" s="15">
        <v>22</v>
      </c>
      <c r="W173" s="15">
        <v>18</v>
      </c>
      <c r="X173" s="15">
        <v>22</v>
      </c>
      <c r="Y173" s="15">
        <v>21</v>
      </c>
      <c r="Z173" s="15" t="s">
        <v>291</v>
      </c>
      <c r="AA173" s="15" t="s">
        <v>291</v>
      </c>
      <c r="AB173" s="15" t="s">
        <v>291</v>
      </c>
      <c r="AC173" s="284" t="s">
        <v>291</v>
      </c>
      <c r="AD173" s="284" t="s">
        <v>291</v>
      </c>
      <c r="AE173" s="284" t="s">
        <v>291</v>
      </c>
      <c r="AF173" s="284">
        <v>286</v>
      </c>
      <c r="AG173" s="15">
        <v>206</v>
      </c>
      <c r="AH173" s="15" t="s">
        <v>291</v>
      </c>
      <c r="AI173" s="15" t="s">
        <v>291</v>
      </c>
      <c r="AJ173" s="15" t="s">
        <v>291</v>
      </c>
    </row>
    <row r="174" spans="1:36">
      <c r="A174" s="15" t="s">
        <v>347</v>
      </c>
      <c r="B174" s="15">
        <v>4</v>
      </c>
      <c r="C174" s="15" t="s">
        <v>291</v>
      </c>
      <c r="D174" s="15">
        <v>6</v>
      </c>
      <c r="E174" s="15">
        <v>9</v>
      </c>
      <c r="F174" s="15" t="s">
        <v>291</v>
      </c>
      <c r="G174" s="15" t="s">
        <v>291</v>
      </c>
      <c r="H174" s="15" t="s">
        <v>291</v>
      </c>
      <c r="I174" s="15">
        <v>4</v>
      </c>
      <c r="J174" s="15">
        <v>4</v>
      </c>
      <c r="K174" s="15">
        <v>6</v>
      </c>
      <c r="L174" s="15">
        <v>4</v>
      </c>
      <c r="M174" s="15">
        <v>4</v>
      </c>
      <c r="N174" s="15">
        <v>9</v>
      </c>
      <c r="O174" s="15">
        <v>8</v>
      </c>
      <c r="P174" s="15">
        <v>8</v>
      </c>
      <c r="Q174" s="15">
        <v>9</v>
      </c>
      <c r="R174" s="15">
        <v>10</v>
      </c>
      <c r="S174" s="15">
        <v>6</v>
      </c>
      <c r="T174" s="15">
        <v>7</v>
      </c>
      <c r="U174" s="15">
        <v>7</v>
      </c>
      <c r="V174" s="15">
        <v>8</v>
      </c>
      <c r="W174" s="15">
        <v>3</v>
      </c>
      <c r="X174" s="15">
        <v>3</v>
      </c>
      <c r="Y174" s="15">
        <v>5</v>
      </c>
      <c r="Z174" s="15">
        <v>-11</v>
      </c>
      <c r="AA174" s="15">
        <v>-11</v>
      </c>
      <c r="AB174" s="15">
        <v>-10</v>
      </c>
      <c r="AC174" s="284">
        <v>0</v>
      </c>
      <c r="AD174" s="284">
        <v>0</v>
      </c>
      <c r="AE174" s="284">
        <v>0</v>
      </c>
      <c r="AF174" s="284">
        <v>0</v>
      </c>
      <c r="AG174" s="15">
        <v>0</v>
      </c>
      <c r="AH174" s="15">
        <v>0</v>
      </c>
      <c r="AI174" s="15">
        <v>0</v>
      </c>
      <c r="AJ174" s="15">
        <v>0</v>
      </c>
    </row>
    <row r="175" spans="1:36">
      <c r="A175" s="15" t="s">
        <v>346</v>
      </c>
      <c r="B175" s="15">
        <v>123</v>
      </c>
      <c r="C175" s="15">
        <v>146</v>
      </c>
      <c r="D175" s="15">
        <v>117</v>
      </c>
      <c r="E175" s="15">
        <v>95</v>
      </c>
      <c r="F175" s="15">
        <v>53</v>
      </c>
      <c r="G175" s="15">
        <v>102</v>
      </c>
      <c r="H175" s="15">
        <v>63</v>
      </c>
      <c r="I175" s="15">
        <v>38</v>
      </c>
      <c r="J175" s="15">
        <v>42</v>
      </c>
      <c r="K175" s="15">
        <v>46</v>
      </c>
      <c r="L175" s="15">
        <v>30</v>
      </c>
      <c r="M175" s="15">
        <v>33</v>
      </c>
      <c r="N175" s="15">
        <v>103</v>
      </c>
      <c r="O175" s="15">
        <v>70</v>
      </c>
      <c r="P175" s="15">
        <v>89</v>
      </c>
      <c r="Q175" s="15">
        <v>149</v>
      </c>
      <c r="R175" s="15">
        <v>150</v>
      </c>
      <c r="S175" s="15">
        <v>92</v>
      </c>
      <c r="T175" s="15">
        <v>47</v>
      </c>
      <c r="U175" s="15">
        <v>32</v>
      </c>
      <c r="V175" s="15">
        <v>99</v>
      </c>
      <c r="W175" s="15">
        <v>115</v>
      </c>
      <c r="X175" s="15">
        <v>120</v>
      </c>
      <c r="Y175" s="15">
        <v>154</v>
      </c>
      <c r="Z175" s="15">
        <v>67</v>
      </c>
      <c r="AA175" s="15">
        <v>175</v>
      </c>
      <c r="AB175" s="15">
        <v>257</v>
      </c>
      <c r="AC175" s="284">
        <v>298</v>
      </c>
      <c r="AD175" s="284">
        <v>351</v>
      </c>
      <c r="AE175" s="284">
        <v>221</v>
      </c>
      <c r="AF175" s="284">
        <v>248</v>
      </c>
      <c r="AG175" s="15">
        <v>348</v>
      </c>
      <c r="AH175" s="15">
        <v>360</v>
      </c>
      <c r="AI175" s="15">
        <v>270</v>
      </c>
      <c r="AJ175" s="15">
        <v>294</v>
      </c>
    </row>
    <row r="176" spans="1:36">
      <c r="A176" s="15" t="s">
        <v>345</v>
      </c>
      <c r="B176" s="15">
        <v>14</v>
      </c>
      <c r="C176" s="15">
        <v>17</v>
      </c>
      <c r="D176" s="15" t="s">
        <v>291</v>
      </c>
      <c r="E176" s="15" t="s">
        <v>291</v>
      </c>
      <c r="F176" s="15" t="s">
        <v>291</v>
      </c>
      <c r="G176" s="15" t="s">
        <v>291</v>
      </c>
      <c r="H176" s="15" t="s">
        <v>291</v>
      </c>
      <c r="I176" s="15">
        <v>5</v>
      </c>
      <c r="J176" s="15">
        <v>6</v>
      </c>
      <c r="K176" s="15">
        <v>6</v>
      </c>
      <c r="L176" s="15">
        <v>7</v>
      </c>
      <c r="M176" s="15">
        <v>8</v>
      </c>
      <c r="N176" s="15" t="s">
        <v>291</v>
      </c>
      <c r="O176" s="15" t="s">
        <v>291</v>
      </c>
      <c r="P176" s="15" t="s">
        <v>291</v>
      </c>
      <c r="Q176" s="15" t="s">
        <v>291</v>
      </c>
      <c r="R176" s="15" t="s">
        <v>291</v>
      </c>
      <c r="S176" s="15">
        <v>23</v>
      </c>
      <c r="T176" s="15">
        <v>3</v>
      </c>
      <c r="U176" s="15">
        <v>2</v>
      </c>
      <c r="V176" s="15">
        <v>4</v>
      </c>
      <c r="W176" s="15">
        <v>4</v>
      </c>
      <c r="X176" s="15">
        <v>7</v>
      </c>
      <c r="Y176" s="15">
        <v>9</v>
      </c>
      <c r="Z176" s="15">
        <v>10</v>
      </c>
      <c r="AA176" s="15" t="s">
        <v>291</v>
      </c>
      <c r="AB176" s="15" t="s">
        <v>291</v>
      </c>
      <c r="AC176" s="284">
        <v>81</v>
      </c>
      <c r="AD176" s="284">
        <v>91</v>
      </c>
      <c r="AE176" s="284">
        <v>104</v>
      </c>
      <c r="AF176" s="284">
        <v>100</v>
      </c>
      <c r="AG176" s="15">
        <v>108</v>
      </c>
      <c r="AH176" s="15">
        <v>128</v>
      </c>
      <c r="AI176" s="15">
        <v>89</v>
      </c>
      <c r="AJ176" s="15">
        <v>108</v>
      </c>
    </row>
    <row r="177" spans="1:36">
      <c r="A177" s="15" t="s">
        <v>344</v>
      </c>
      <c r="B177" s="15" t="s">
        <v>273</v>
      </c>
      <c r="C177" s="15" t="s">
        <v>273</v>
      </c>
      <c r="D177" s="15" t="s">
        <v>273</v>
      </c>
      <c r="E177" s="15" t="s">
        <v>273</v>
      </c>
      <c r="F177" s="15" t="s">
        <v>273</v>
      </c>
      <c r="G177" s="15" t="s">
        <v>273</v>
      </c>
      <c r="H177" s="15" t="s">
        <v>273</v>
      </c>
      <c r="I177" s="15" t="s">
        <v>273</v>
      </c>
      <c r="J177" s="15" t="s">
        <v>273</v>
      </c>
      <c r="K177" s="15" t="s">
        <v>273</v>
      </c>
      <c r="L177" s="15" t="s">
        <v>273</v>
      </c>
      <c r="M177" s="15" t="s">
        <v>273</v>
      </c>
      <c r="N177" s="15" t="s">
        <v>273</v>
      </c>
      <c r="O177" s="15" t="s">
        <v>273</v>
      </c>
      <c r="P177" s="15" t="s">
        <v>273</v>
      </c>
      <c r="Q177" s="15" t="s">
        <v>273</v>
      </c>
      <c r="R177" s="15" t="s">
        <v>273</v>
      </c>
      <c r="S177" s="15" t="s">
        <v>273</v>
      </c>
      <c r="T177" s="15" t="s">
        <v>273</v>
      </c>
      <c r="U177" s="15" t="s">
        <v>273</v>
      </c>
      <c r="V177" s="15" t="s">
        <v>273</v>
      </c>
      <c r="W177" s="15" t="s">
        <v>273</v>
      </c>
      <c r="X177" s="15" t="s">
        <v>273</v>
      </c>
      <c r="Y177" s="15" t="s">
        <v>273</v>
      </c>
      <c r="Z177" s="15" t="s">
        <v>273</v>
      </c>
      <c r="AA177" s="15" t="s">
        <v>273</v>
      </c>
      <c r="AB177" s="15" t="s">
        <v>273</v>
      </c>
      <c r="AC177" s="284">
        <v>15</v>
      </c>
      <c r="AD177" s="284">
        <v>15</v>
      </c>
      <c r="AE177" s="284">
        <v>15</v>
      </c>
      <c r="AF177" s="284">
        <v>15</v>
      </c>
      <c r="AG177" s="15">
        <v>15</v>
      </c>
      <c r="AH177" s="15" t="s">
        <v>291</v>
      </c>
      <c r="AI177" s="15">
        <v>15</v>
      </c>
      <c r="AJ177" s="15">
        <v>15</v>
      </c>
    </row>
    <row r="178" spans="1:36">
      <c r="A178" s="15" t="s">
        <v>1118</v>
      </c>
      <c r="AC178" s="284">
        <v>0</v>
      </c>
      <c r="AD178" s="284">
        <v>0</v>
      </c>
      <c r="AE178" s="284">
        <v>0</v>
      </c>
      <c r="AF178" s="284">
        <v>0</v>
      </c>
      <c r="AG178" s="15">
        <v>0</v>
      </c>
      <c r="AH178" s="15">
        <v>0</v>
      </c>
      <c r="AI178" s="15">
        <v>0</v>
      </c>
      <c r="AJ178" s="15">
        <v>0</v>
      </c>
    </row>
    <row r="179" spans="1:36">
      <c r="A179" s="15" t="s">
        <v>342</v>
      </c>
      <c r="B179" s="15">
        <v>65</v>
      </c>
      <c r="C179" s="15">
        <v>67</v>
      </c>
      <c r="D179" s="15">
        <v>61</v>
      </c>
      <c r="E179" s="15">
        <v>41</v>
      </c>
      <c r="F179" s="15">
        <v>28</v>
      </c>
      <c r="G179" s="15">
        <v>30</v>
      </c>
      <c r="H179" s="15">
        <v>31</v>
      </c>
      <c r="I179" s="15">
        <v>27</v>
      </c>
      <c r="J179" s="15">
        <v>31</v>
      </c>
      <c r="K179" s="15">
        <v>28</v>
      </c>
      <c r="L179" s="15">
        <v>35</v>
      </c>
      <c r="M179" s="15">
        <v>45</v>
      </c>
      <c r="N179" s="15">
        <v>26</v>
      </c>
      <c r="O179" s="15">
        <v>29</v>
      </c>
      <c r="P179" s="15">
        <v>33</v>
      </c>
      <c r="Q179" s="15">
        <v>35</v>
      </c>
      <c r="R179" s="15">
        <v>36</v>
      </c>
      <c r="S179" s="15">
        <v>42</v>
      </c>
      <c r="T179" s="15">
        <v>41</v>
      </c>
      <c r="U179" s="15">
        <v>48</v>
      </c>
      <c r="V179" s="15">
        <v>44</v>
      </c>
      <c r="W179" s="15">
        <v>45</v>
      </c>
      <c r="X179" s="15">
        <v>36</v>
      </c>
      <c r="Y179" s="15">
        <v>35</v>
      </c>
      <c r="Z179" s="15">
        <v>74</v>
      </c>
      <c r="AA179" s="15">
        <v>76</v>
      </c>
      <c r="AB179" s="15">
        <v>79</v>
      </c>
      <c r="AC179" s="284">
        <v>118</v>
      </c>
      <c r="AD179" s="284">
        <v>131</v>
      </c>
      <c r="AE179" s="284">
        <v>130</v>
      </c>
      <c r="AF179" s="284">
        <v>144</v>
      </c>
      <c r="AG179" s="15">
        <v>119</v>
      </c>
      <c r="AH179" s="15">
        <v>127</v>
      </c>
      <c r="AI179" s="15">
        <v>66</v>
      </c>
      <c r="AJ179" s="15">
        <v>68</v>
      </c>
    </row>
    <row r="180" spans="1:36">
      <c r="A180" s="15" t="s">
        <v>341</v>
      </c>
      <c r="B180" s="15">
        <v>74</v>
      </c>
      <c r="C180" s="15">
        <v>62</v>
      </c>
      <c r="D180" s="15">
        <v>54</v>
      </c>
      <c r="E180" s="15">
        <v>50</v>
      </c>
      <c r="F180" s="15">
        <v>47</v>
      </c>
      <c r="G180" s="15">
        <v>43</v>
      </c>
      <c r="H180" s="15">
        <v>41</v>
      </c>
      <c r="I180" s="15">
        <v>77</v>
      </c>
      <c r="J180" s="15">
        <v>92</v>
      </c>
      <c r="K180" s="15">
        <v>91</v>
      </c>
      <c r="L180" s="15">
        <v>109</v>
      </c>
      <c r="M180" s="15">
        <v>127</v>
      </c>
      <c r="N180" s="15">
        <v>117</v>
      </c>
      <c r="O180" s="15">
        <v>100</v>
      </c>
      <c r="P180" s="15">
        <v>169</v>
      </c>
      <c r="Q180" s="15">
        <v>130</v>
      </c>
      <c r="R180" s="15">
        <v>99</v>
      </c>
      <c r="S180" s="15">
        <v>77</v>
      </c>
      <c r="T180" s="15">
        <v>93</v>
      </c>
      <c r="U180" s="15">
        <v>117</v>
      </c>
      <c r="V180" s="15">
        <v>146</v>
      </c>
      <c r="W180" s="15">
        <v>140</v>
      </c>
      <c r="X180" s="15">
        <v>109</v>
      </c>
      <c r="Y180" s="15" t="s">
        <v>291</v>
      </c>
      <c r="Z180" s="15">
        <v>73</v>
      </c>
      <c r="AA180" s="15" t="s">
        <v>291</v>
      </c>
      <c r="AB180" s="15" t="s">
        <v>291</v>
      </c>
      <c r="AC180" s="284" t="s">
        <v>291</v>
      </c>
      <c r="AD180" s="284" t="s">
        <v>291</v>
      </c>
      <c r="AE180" s="284" t="s">
        <v>291</v>
      </c>
      <c r="AF180" s="284" t="s">
        <v>291</v>
      </c>
      <c r="AG180" s="15" t="s">
        <v>291</v>
      </c>
      <c r="AH180" s="15" t="s">
        <v>291</v>
      </c>
      <c r="AI180" s="15" t="s">
        <v>291</v>
      </c>
      <c r="AJ180" s="15">
        <v>8</v>
      </c>
    </row>
    <row r="181" spans="1:36">
      <c r="A181" s="15" t="s">
        <v>340</v>
      </c>
      <c r="B181" s="15">
        <v>3550</v>
      </c>
      <c r="C181" s="15">
        <v>4470</v>
      </c>
      <c r="D181" s="15">
        <v>4979</v>
      </c>
      <c r="E181" s="15">
        <v>4554</v>
      </c>
      <c r="F181" s="15">
        <v>4876</v>
      </c>
      <c r="G181" s="15">
        <v>4225</v>
      </c>
      <c r="H181" s="15">
        <v>3923</v>
      </c>
      <c r="I181" s="15">
        <v>3518</v>
      </c>
      <c r="J181" s="15">
        <v>3959</v>
      </c>
      <c r="K181" s="15">
        <v>4963</v>
      </c>
      <c r="L181" s="15">
        <v>5759</v>
      </c>
      <c r="M181" s="15">
        <v>6571</v>
      </c>
      <c r="N181" s="15">
        <v>6367</v>
      </c>
      <c r="O181" s="15">
        <v>7198</v>
      </c>
      <c r="P181" s="15">
        <v>8294</v>
      </c>
      <c r="Q181" s="15">
        <v>8836</v>
      </c>
      <c r="R181" s="15">
        <v>10739</v>
      </c>
      <c r="S181" s="15">
        <v>10950</v>
      </c>
      <c r="T181" s="15">
        <v>10863</v>
      </c>
      <c r="U181" s="15">
        <v>13212</v>
      </c>
      <c r="V181" s="15">
        <v>15158</v>
      </c>
      <c r="W181" s="15">
        <v>16885</v>
      </c>
      <c r="X181" s="15">
        <v>18963</v>
      </c>
      <c r="Y181" s="15">
        <v>21115</v>
      </c>
      <c r="Z181" s="15">
        <v>24206</v>
      </c>
      <c r="AA181" s="15">
        <v>28448</v>
      </c>
      <c r="AB181" s="15">
        <v>31294</v>
      </c>
      <c r="AC181" s="284">
        <v>33776</v>
      </c>
      <c r="AD181" s="284">
        <v>34431</v>
      </c>
      <c r="AE181" s="284">
        <v>35951</v>
      </c>
      <c r="AF181" s="284">
        <v>40306</v>
      </c>
      <c r="AG181" s="15">
        <v>45399</v>
      </c>
      <c r="AH181" s="15">
        <v>49775</v>
      </c>
      <c r="AI181" s="15">
        <v>46583</v>
      </c>
      <c r="AJ181" s="15">
        <v>45925</v>
      </c>
    </row>
    <row r="182" spans="1:36">
      <c r="A182" s="15" t="s">
        <v>339</v>
      </c>
      <c r="B182" s="15">
        <v>579</v>
      </c>
      <c r="C182" s="15">
        <v>636</v>
      </c>
      <c r="D182" s="15">
        <v>761</v>
      </c>
      <c r="E182" s="15">
        <v>744</v>
      </c>
      <c r="F182" s="15">
        <v>469</v>
      </c>
      <c r="G182" s="15">
        <v>688</v>
      </c>
      <c r="H182" s="15">
        <v>752</v>
      </c>
      <c r="I182" s="15">
        <v>827</v>
      </c>
      <c r="J182" s="15">
        <v>746</v>
      </c>
      <c r="K182" s="15">
        <v>826</v>
      </c>
      <c r="L182" s="15">
        <v>1335</v>
      </c>
      <c r="M182" s="15">
        <v>1604</v>
      </c>
      <c r="N182" s="15">
        <v>1483</v>
      </c>
      <c r="O182" s="15">
        <v>1831</v>
      </c>
      <c r="P182" s="15">
        <v>2045</v>
      </c>
      <c r="Q182" s="15">
        <v>2071</v>
      </c>
      <c r="R182" s="15">
        <v>2837</v>
      </c>
      <c r="S182" s="15">
        <v>4777</v>
      </c>
      <c r="T182" s="15">
        <v>3735</v>
      </c>
      <c r="U182" s="15">
        <v>5690</v>
      </c>
      <c r="V182" s="15">
        <v>5726</v>
      </c>
      <c r="W182" s="15">
        <v>7020</v>
      </c>
      <c r="X182" s="15">
        <v>6171</v>
      </c>
      <c r="Y182" s="15">
        <v>7978</v>
      </c>
      <c r="Z182" s="15">
        <v>9168</v>
      </c>
      <c r="AA182" s="15">
        <v>9487</v>
      </c>
      <c r="AB182" s="15">
        <v>9444</v>
      </c>
      <c r="AC182" s="284">
        <v>9018</v>
      </c>
      <c r="AD182" s="284">
        <v>9464</v>
      </c>
      <c r="AE182" s="284">
        <v>9008</v>
      </c>
      <c r="AF182" s="284">
        <v>8977</v>
      </c>
      <c r="AG182" s="15">
        <v>8934</v>
      </c>
      <c r="AH182" s="15">
        <v>8500</v>
      </c>
      <c r="AI182" s="15">
        <v>9119</v>
      </c>
      <c r="AJ182" s="15">
        <v>9669</v>
      </c>
    </row>
    <row r="183" spans="1:36">
      <c r="A183" s="15" t="s">
        <v>338</v>
      </c>
      <c r="B183" s="15">
        <v>1495</v>
      </c>
      <c r="C183" s="15">
        <v>2131</v>
      </c>
      <c r="D183" s="15">
        <v>2274</v>
      </c>
      <c r="E183" s="15">
        <v>2325</v>
      </c>
      <c r="F183" s="15">
        <v>2332</v>
      </c>
      <c r="G183" s="15">
        <v>2082</v>
      </c>
      <c r="H183" s="15">
        <v>1700</v>
      </c>
      <c r="I183" s="15">
        <v>1655</v>
      </c>
      <c r="J183" s="15">
        <v>1899</v>
      </c>
      <c r="K183" s="15">
        <v>2303</v>
      </c>
      <c r="L183" s="15">
        <v>2351</v>
      </c>
      <c r="M183" s="15">
        <v>2587</v>
      </c>
      <c r="N183" s="15">
        <v>2100</v>
      </c>
      <c r="O183" s="15">
        <v>2741</v>
      </c>
      <c r="P183" s="15">
        <v>3476</v>
      </c>
      <c r="Q183" s="15">
        <v>3821</v>
      </c>
      <c r="R183" s="15">
        <v>4672</v>
      </c>
      <c r="S183" s="15">
        <v>3336</v>
      </c>
      <c r="T183" s="15">
        <v>3661</v>
      </c>
      <c r="U183" s="15">
        <v>3570</v>
      </c>
      <c r="V183" s="15">
        <v>4930</v>
      </c>
      <c r="W183" s="15">
        <v>3140</v>
      </c>
      <c r="X183" s="15">
        <v>3657</v>
      </c>
      <c r="Y183" s="15">
        <v>3830</v>
      </c>
      <c r="Z183" s="15">
        <v>4410</v>
      </c>
      <c r="AA183" s="15">
        <v>5012</v>
      </c>
      <c r="AB183" s="15">
        <v>5126</v>
      </c>
      <c r="AC183" s="284">
        <v>7530</v>
      </c>
      <c r="AD183" s="284">
        <v>7436</v>
      </c>
      <c r="AE183" s="284">
        <v>8132</v>
      </c>
      <c r="AF183" s="284">
        <v>9500</v>
      </c>
      <c r="AG183" s="15">
        <v>10084</v>
      </c>
      <c r="AH183" s="15">
        <v>8470</v>
      </c>
      <c r="AI183" s="15">
        <v>9669</v>
      </c>
      <c r="AJ183" s="15">
        <v>9825</v>
      </c>
    </row>
    <row r="184" spans="1:36">
      <c r="A184" s="15" t="s">
        <v>337</v>
      </c>
      <c r="B184" s="15">
        <v>511</v>
      </c>
      <c r="C184" s="15">
        <v>716</v>
      </c>
      <c r="D184" s="15">
        <v>1006</v>
      </c>
      <c r="E184" s="15">
        <v>813</v>
      </c>
      <c r="F184" s="15">
        <v>884</v>
      </c>
      <c r="G184" s="15">
        <v>766</v>
      </c>
      <c r="H184" s="15">
        <v>774</v>
      </c>
      <c r="I184" s="15">
        <v>391</v>
      </c>
      <c r="J184" s="15">
        <v>409</v>
      </c>
      <c r="K184" s="15">
        <v>416</v>
      </c>
      <c r="L184" s="15">
        <v>429</v>
      </c>
      <c r="M184" s="15">
        <v>524</v>
      </c>
      <c r="N184" s="15">
        <v>357</v>
      </c>
      <c r="O184" s="15">
        <v>500</v>
      </c>
      <c r="P184" s="15">
        <v>598</v>
      </c>
      <c r="Q184" s="15">
        <v>567</v>
      </c>
      <c r="R184" s="15">
        <v>674</v>
      </c>
      <c r="S184" s="15">
        <v>540</v>
      </c>
      <c r="T184" s="15">
        <v>683</v>
      </c>
      <c r="U184" s="15">
        <v>834</v>
      </c>
      <c r="V184" s="15">
        <v>1087</v>
      </c>
      <c r="W184" s="15">
        <v>1934</v>
      </c>
      <c r="X184" s="15">
        <v>2962</v>
      </c>
      <c r="Y184" s="15">
        <v>2285</v>
      </c>
      <c r="Z184" s="15">
        <v>2670</v>
      </c>
      <c r="AA184" s="15">
        <v>2967</v>
      </c>
      <c r="AB184" s="15">
        <v>3337</v>
      </c>
      <c r="AC184" s="284">
        <v>4118</v>
      </c>
      <c r="AD184" s="284">
        <v>4935</v>
      </c>
      <c r="AE184" s="284">
        <v>6603</v>
      </c>
      <c r="AF184" s="284">
        <v>8481</v>
      </c>
      <c r="AG184" s="15">
        <v>11401</v>
      </c>
      <c r="AH184" s="15">
        <v>15921</v>
      </c>
      <c r="AI184" s="15">
        <v>15625</v>
      </c>
      <c r="AJ184" s="15">
        <v>13355</v>
      </c>
    </row>
    <row r="185" spans="1:36">
      <c r="A185" s="15" t="s">
        <v>236</v>
      </c>
      <c r="B185" s="15">
        <v>965</v>
      </c>
      <c r="C185" s="15">
        <v>987</v>
      </c>
      <c r="D185" s="15">
        <v>938</v>
      </c>
      <c r="E185" s="15">
        <v>672</v>
      </c>
      <c r="F185" s="15">
        <v>1190</v>
      </c>
      <c r="G185" s="15">
        <v>689</v>
      </c>
      <c r="H185" s="15">
        <v>697</v>
      </c>
      <c r="I185" s="15">
        <v>644</v>
      </c>
      <c r="J185" s="15">
        <v>905</v>
      </c>
      <c r="K185" s="15">
        <v>1419</v>
      </c>
      <c r="L185" s="15">
        <v>1644</v>
      </c>
      <c r="M185" s="15">
        <v>1856</v>
      </c>
      <c r="N185" s="15">
        <v>2427</v>
      </c>
      <c r="O185" s="15">
        <v>2126</v>
      </c>
      <c r="P185" s="15">
        <v>2174</v>
      </c>
      <c r="Q185" s="15">
        <v>2377</v>
      </c>
      <c r="R185" s="15">
        <v>2556</v>
      </c>
      <c r="S185" s="15">
        <v>2298</v>
      </c>
      <c r="T185" s="15">
        <v>2784</v>
      </c>
      <c r="U185" s="15">
        <v>3118</v>
      </c>
      <c r="V185" s="15">
        <v>3415</v>
      </c>
      <c r="W185" s="15">
        <v>4790</v>
      </c>
      <c r="X185" s="15">
        <v>6172</v>
      </c>
      <c r="Y185" s="15">
        <v>7022</v>
      </c>
      <c r="Z185" s="15">
        <v>7958</v>
      </c>
      <c r="AA185" s="15">
        <v>10982</v>
      </c>
      <c r="AB185" s="15">
        <v>13387</v>
      </c>
      <c r="AC185" s="284">
        <v>13110</v>
      </c>
      <c r="AD185" s="284">
        <v>12595</v>
      </c>
      <c r="AE185" s="284">
        <v>12208</v>
      </c>
      <c r="AF185" s="284">
        <v>13348</v>
      </c>
      <c r="AG185" s="15">
        <v>14980</v>
      </c>
      <c r="AH185" s="15">
        <v>16883</v>
      </c>
      <c r="AI185" s="15">
        <v>12171</v>
      </c>
      <c r="AJ185" s="15">
        <v>13075</v>
      </c>
    </row>
    <row r="186" spans="1:36">
      <c r="A186" s="15" t="s">
        <v>336</v>
      </c>
      <c r="B186" s="15">
        <v>756</v>
      </c>
      <c r="C186" s="15">
        <v>769</v>
      </c>
      <c r="D186" s="15">
        <v>763</v>
      </c>
      <c r="E186" s="15">
        <v>398</v>
      </c>
      <c r="F186" s="15">
        <v>288</v>
      </c>
      <c r="G186" s="15">
        <v>-377</v>
      </c>
      <c r="H186" s="15">
        <v>-348</v>
      </c>
      <c r="I186" s="15">
        <v>-65</v>
      </c>
      <c r="J186" s="15">
        <v>-139</v>
      </c>
      <c r="K186" s="15">
        <v>-3</v>
      </c>
      <c r="L186" s="15">
        <v>-6</v>
      </c>
      <c r="M186" s="15">
        <v>20</v>
      </c>
      <c r="N186" s="15" t="s">
        <v>291</v>
      </c>
      <c r="O186" s="15" t="s">
        <v>291</v>
      </c>
      <c r="P186" s="15">
        <v>-138</v>
      </c>
      <c r="Q186" s="15">
        <v>-186</v>
      </c>
      <c r="R186" s="15">
        <v>-200</v>
      </c>
      <c r="S186" s="15">
        <v>-37</v>
      </c>
      <c r="T186" s="15">
        <v>39</v>
      </c>
      <c r="U186" s="15">
        <v>46</v>
      </c>
      <c r="V186" s="15">
        <v>70</v>
      </c>
      <c r="W186" s="15">
        <v>144</v>
      </c>
      <c r="X186" s="15">
        <v>207</v>
      </c>
      <c r="Y186" s="15">
        <v>210</v>
      </c>
      <c r="Z186" s="15">
        <v>155</v>
      </c>
      <c r="AA186" s="15">
        <v>80</v>
      </c>
      <c r="AB186" s="15">
        <v>6</v>
      </c>
      <c r="AC186" s="284">
        <v>-329</v>
      </c>
      <c r="AD186" s="284">
        <v>-199</v>
      </c>
      <c r="AE186" s="284">
        <v>219</v>
      </c>
      <c r="AF186" s="284">
        <v>715</v>
      </c>
      <c r="AG186" s="15">
        <v>857</v>
      </c>
      <c r="AH186" s="15">
        <v>603</v>
      </c>
      <c r="AI186" s="15">
        <v>567</v>
      </c>
      <c r="AJ186" s="15">
        <v>548</v>
      </c>
    </row>
    <row r="187" spans="1:36">
      <c r="A187" s="15" t="s">
        <v>335</v>
      </c>
      <c r="B187" s="15">
        <v>9</v>
      </c>
      <c r="C187" s="15">
        <v>21</v>
      </c>
      <c r="D187" s="15">
        <v>-37</v>
      </c>
      <c r="E187" s="15">
        <v>25</v>
      </c>
      <c r="F187" s="15">
        <v>21</v>
      </c>
      <c r="G187" s="15">
        <v>11</v>
      </c>
      <c r="H187" s="15" t="s">
        <v>291</v>
      </c>
      <c r="I187" s="15" t="s">
        <v>291</v>
      </c>
      <c r="J187" s="15" t="s">
        <v>306</v>
      </c>
      <c r="K187" s="15" t="s">
        <v>291</v>
      </c>
      <c r="L187" s="15" t="s">
        <v>291</v>
      </c>
      <c r="M187" s="15" t="s">
        <v>291</v>
      </c>
      <c r="N187" s="15">
        <v>309</v>
      </c>
      <c r="O187" s="15">
        <v>310</v>
      </c>
      <c r="P187" s="15" t="s">
        <v>306</v>
      </c>
      <c r="Q187" s="15" t="s">
        <v>306</v>
      </c>
      <c r="R187" s="15" t="s">
        <v>306</v>
      </c>
      <c r="S187" s="15">
        <v>-1</v>
      </c>
      <c r="T187" s="15">
        <v>-1</v>
      </c>
      <c r="U187" s="15" t="s">
        <v>306</v>
      </c>
      <c r="V187" s="15" t="s">
        <v>306</v>
      </c>
      <c r="W187" s="15" t="s">
        <v>306</v>
      </c>
      <c r="X187" s="15" t="s">
        <v>291</v>
      </c>
      <c r="Y187" s="15" t="s">
        <v>291</v>
      </c>
      <c r="Z187" s="15" t="s">
        <v>291</v>
      </c>
      <c r="AA187" s="15">
        <v>2</v>
      </c>
      <c r="AB187" s="15">
        <v>1</v>
      </c>
      <c r="AC187" s="284">
        <v>-1</v>
      </c>
      <c r="AD187" s="284">
        <v>-1</v>
      </c>
      <c r="AE187" s="284">
        <v>-1</v>
      </c>
      <c r="AF187" s="284">
        <v>-1</v>
      </c>
      <c r="AG187" s="15">
        <v>-1</v>
      </c>
      <c r="AH187" s="15">
        <v>-1</v>
      </c>
      <c r="AI187" s="15" t="s">
        <v>291</v>
      </c>
      <c r="AJ187" s="15">
        <v>-1</v>
      </c>
    </row>
    <row r="188" spans="1:36">
      <c r="A188" s="15" t="s">
        <v>334</v>
      </c>
      <c r="B188" s="15">
        <v>3</v>
      </c>
      <c r="C188" s="15">
        <v>2</v>
      </c>
      <c r="D188" s="15">
        <v>1</v>
      </c>
      <c r="E188" s="15">
        <v>2</v>
      </c>
      <c r="F188" s="15">
        <v>1</v>
      </c>
      <c r="G188" s="15">
        <v>1</v>
      </c>
      <c r="H188" s="15">
        <v>0</v>
      </c>
      <c r="I188" s="15" t="s">
        <v>273</v>
      </c>
      <c r="J188" s="15" t="s">
        <v>273</v>
      </c>
      <c r="K188" s="15" t="s">
        <v>273</v>
      </c>
      <c r="L188" s="15" t="s">
        <v>273</v>
      </c>
      <c r="M188" s="15" t="s">
        <v>273</v>
      </c>
      <c r="N188" s="15" t="s">
        <v>273</v>
      </c>
      <c r="O188" s="15" t="s">
        <v>273</v>
      </c>
      <c r="P188" s="15" t="s">
        <v>273</v>
      </c>
      <c r="Q188" s="15" t="s">
        <v>273</v>
      </c>
      <c r="R188" s="15" t="s">
        <v>273</v>
      </c>
      <c r="S188" s="15">
        <v>0</v>
      </c>
      <c r="T188" s="15">
        <v>0</v>
      </c>
      <c r="U188" s="15">
        <v>0</v>
      </c>
      <c r="V188" s="15">
        <v>0</v>
      </c>
      <c r="W188" s="15">
        <v>53</v>
      </c>
      <c r="X188" s="15" t="s">
        <v>291</v>
      </c>
      <c r="Y188" s="15" t="s">
        <v>291</v>
      </c>
      <c r="Z188" s="15" t="s">
        <v>291</v>
      </c>
      <c r="AA188" s="15" t="s">
        <v>291</v>
      </c>
      <c r="AB188" s="15" t="s">
        <v>291</v>
      </c>
      <c r="AC188" s="284">
        <v>43</v>
      </c>
      <c r="AD188" s="284">
        <v>-46</v>
      </c>
      <c r="AE188" s="284">
        <v>468</v>
      </c>
      <c r="AF188" s="284" t="s">
        <v>291</v>
      </c>
      <c r="AG188" s="15">
        <v>2316</v>
      </c>
      <c r="AH188" s="15">
        <v>2528</v>
      </c>
      <c r="AI188" s="15">
        <v>1606</v>
      </c>
      <c r="AJ188" s="15">
        <v>1748</v>
      </c>
    </row>
    <row r="189" spans="1:36">
      <c r="A189" s="15" t="s">
        <v>332</v>
      </c>
      <c r="B189" s="15" t="s">
        <v>291</v>
      </c>
      <c r="C189" s="15" t="s">
        <v>291</v>
      </c>
      <c r="D189" s="15" t="s">
        <v>291</v>
      </c>
      <c r="E189" s="15" t="s">
        <v>291</v>
      </c>
      <c r="F189" s="15" t="s">
        <v>291</v>
      </c>
      <c r="G189" s="15" t="s">
        <v>291</v>
      </c>
      <c r="H189" s="15" t="s">
        <v>291</v>
      </c>
      <c r="I189" s="15" t="s">
        <v>291</v>
      </c>
      <c r="J189" s="15">
        <v>8</v>
      </c>
      <c r="K189" s="15" t="s">
        <v>291</v>
      </c>
      <c r="L189" s="15" t="s">
        <v>291</v>
      </c>
      <c r="M189" s="15">
        <v>8</v>
      </c>
      <c r="N189" s="15">
        <v>13</v>
      </c>
      <c r="O189" s="15">
        <v>15</v>
      </c>
      <c r="P189" s="15" t="s">
        <v>291</v>
      </c>
      <c r="Q189" s="15" t="s">
        <v>291</v>
      </c>
      <c r="R189" s="15" t="s">
        <v>291</v>
      </c>
      <c r="S189" s="15">
        <v>21</v>
      </c>
      <c r="T189" s="15" t="s">
        <v>291</v>
      </c>
      <c r="U189" s="15" t="s">
        <v>291</v>
      </c>
      <c r="V189" s="15" t="s">
        <v>291</v>
      </c>
      <c r="W189" s="15" t="s">
        <v>291</v>
      </c>
      <c r="X189" s="15">
        <v>55</v>
      </c>
      <c r="Y189" s="15">
        <v>-2</v>
      </c>
      <c r="Z189" s="15">
        <v>39</v>
      </c>
      <c r="AA189" s="15">
        <v>105</v>
      </c>
      <c r="AB189" s="15">
        <v>137</v>
      </c>
      <c r="AC189" s="284">
        <v>140</v>
      </c>
      <c r="AD189" s="284">
        <v>135</v>
      </c>
      <c r="AE189" s="284">
        <v>182</v>
      </c>
      <c r="AF189" s="284">
        <v>189</v>
      </c>
      <c r="AG189" s="15">
        <v>184</v>
      </c>
      <c r="AH189" s="15" t="s">
        <v>291</v>
      </c>
      <c r="AI189" s="15">
        <v>228</v>
      </c>
      <c r="AJ189" s="15">
        <v>213</v>
      </c>
    </row>
    <row r="190" spans="1:36">
      <c r="A190" s="15" t="s">
        <v>331</v>
      </c>
      <c r="B190" s="15">
        <v>40</v>
      </c>
      <c r="C190" s="15">
        <v>47</v>
      </c>
      <c r="D190" s="15">
        <v>62</v>
      </c>
      <c r="E190" s="15">
        <v>62</v>
      </c>
      <c r="F190" s="15" t="s">
        <v>291</v>
      </c>
      <c r="G190" s="15">
        <v>35</v>
      </c>
      <c r="H190" s="15">
        <v>-1</v>
      </c>
      <c r="I190" s="15" t="s">
        <v>291</v>
      </c>
      <c r="J190" s="15" t="s">
        <v>291</v>
      </c>
      <c r="K190" s="15" t="s">
        <v>291</v>
      </c>
      <c r="L190" s="15" t="s">
        <v>291</v>
      </c>
      <c r="M190" s="15" t="s">
        <v>291</v>
      </c>
      <c r="N190" s="15">
        <v>168</v>
      </c>
      <c r="O190" s="15">
        <v>71</v>
      </c>
      <c r="P190" s="15">
        <v>28</v>
      </c>
      <c r="Q190" s="15">
        <v>-60</v>
      </c>
      <c r="R190" s="15">
        <v>111</v>
      </c>
      <c r="S190" s="15">
        <v>157</v>
      </c>
      <c r="T190" s="15">
        <v>313</v>
      </c>
      <c r="U190" s="15">
        <v>380</v>
      </c>
      <c r="V190" s="15" t="s">
        <v>291</v>
      </c>
      <c r="W190" s="15" t="s">
        <v>291</v>
      </c>
      <c r="X190" s="15" t="s">
        <v>291</v>
      </c>
      <c r="Y190" s="15" t="s">
        <v>291</v>
      </c>
      <c r="Z190" s="15">
        <v>637</v>
      </c>
      <c r="AA190" s="15" t="s">
        <v>291</v>
      </c>
      <c r="AB190" s="15">
        <v>1458</v>
      </c>
      <c r="AC190" s="284">
        <v>285</v>
      </c>
      <c r="AD190" s="284">
        <v>134</v>
      </c>
      <c r="AE190" s="284" t="s">
        <v>291</v>
      </c>
      <c r="AF190" s="284">
        <v>262</v>
      </c>
      <c r="AG190" s="15">
        <v>303</v>
      </c>
      <c r="AH190" s="15">
        <v>391</v>
      </c>
      <c r="AI190" s="15" t="s">
        <v>291</v>
      </c>
      <c r="AJ190" s="15">
        <v>189</v>
      </c>
    </row>
    <row r="191" spans="1:36">
      <c r="A191" s="15" t="s">
        <v>330</v>
      </c>
      <c r="B191" s="15">
        <v>54</v>
      </c>
      <c r="C191" s="15">
        <v>52</v>
      </c>
      <c r="D191" s="15">
        <v>39</v>
      </c>
      <c r="E191" s="15">
        <v>40</v>
      </c>
      <c r="F191" s="15">
        <v>39</v>
      </c>
      <c r="G191" s="15">
        <v>22</v>
      </c>
      <c r="H191" s="15">
        <v>21</v>
      </c>
      <c r="I191" s="15" t="s">
        <v>291</v>
      </c>
      <c r="J191" s="15" t="s">
        <v>306</v>
      </c>
      <c r="K191" s="15" t="s">
        <v>306</v>
      </c>
      <c r="L191" s="15">
        <v>1</v>
      </c>
      <c r="M191" s="15">
        <v>2</v>
      </c>
      <c r="N191" s="15">
        <v>-5</v>
      </c>
      <c r="O191" s="15" t="s">
        <v>306</v>
      </c>
      <c r="P191" s="15">
        <v>7</v>
      </c>
      <c r="Q191" s="15">
        <v>24</v>
      </c>
      <c r="R191" s="15">
        <v>45</v>
      </c>
      <c r="S191" s="15">
        <v>53</v>
      </c>
      <c r="T191" s="15">
        <v>83</v>
      </c>
      <c r="U191" s="15">
        <v>100</v>
      </c>
      <c r="V191" s="15">
        <v>102</v>
      </c>
      <c r="W191" s="15">
        <v>109</v>
      </c>
      <c r="X191" s="15">
        <v>156</v>
      </c>
      <c r="Y191" s="15">
        <v>169</v>
      </c>
      <c r="Z191" s="15">
        <v>151</v>
      </c>
      <c r="AA191" s="15">
        <v>179</v>
      </c>
      <c r="AB191" s="15">
        <v>214</v>
      </c>
      <c r="AC191" s="284">
        <v>150</v>
      </c>
      <c r="AD191" s="284">
        <v>203</v>
      </c>
      <c r="AE191" s="284">
        <v>206</v>
      </c>
      <c r="AF191" s="284">
        <v>173</v>
      </c>
      <c r="AG191" s="15">
        <v>189</v>
      </c>
      <c r="AH191" s="15">
        <v>233</v>
      </c>
      <c r="AI191" s="15">
        <v>259</v>
      </c>
      <c r="AJ191" s="15">
        <v>294</v>
      </c>
    </row>
    <row r="192" spans="1:36">
      <c r="A192" s="15" t="s">
        <v>329</v>
      </c>
      <c r="B192" s="15">
        <v>31</v>
      </c>
      <c r="C192" s="15">
        <v>48</v>
      </c>
      <c r="D192" s="15">
        <v>55</v>
      </c>
      <c r="E192" s="15">
        <v>67</v>
      </c>
      <c r="F192" s="15">
        <v>35</v>
      </c>
      <c r="G192" s="15">
        <v>33</v>
      </c>
      <c r="H192" s="15">
        <v>51</v>
      </c>
      <c r="I192" s="15">
        <v>75</v>
      </c>
      <c r="J192" s="15">
        <v>81</v>
      </c>
      <c r="K192" s="15" t="s">
        <v>291</v>
      </c>
      <c r="L192" s="15" t="s">
        <v>291</v>
      </c>
      <c r="M192" s="15">
        <v>121</v>
      </c>
      <c r="N192" s="15">
        <v>144</v>
      </c>
      <c r="O192" s="15">
        <v>102</v>
      </c>
      <c r="P192" s="15">
        <v>78</v>
      </c>
      <c r="Q192" s="15">
        <v>75</v>
      </c>
      <c r="R192" s="15">
        <v>80</v>
      </c>
      <c r="S192" s="15">
        <v>182</v>
      </c>
      <c r="T192" s="15">
        <v>176</v>
      </c>
      <c r="U192" s="15">
        <v>236</v>
      </c>
      <c r="V192" s="15">
        <v>193</v>
      </c>
      <c r="W192" s="15">
        <v>358</v>
      </c>
      <c r="X192" s="15" t="s">
        <v>291</v>
      </c>
      <c r="Y192" s="15" t="s">
        <v>291</v>
      </c>
      <c r="Z192" s="15" t="s">
        <v>291</v>
      </c>
      <c r="AA192" s="15" t="s">
        <v>291</v>
      </c>
      <c r="AB192" s="15" t="s">
        <v>291</v>
      </c>
      <c r="AC192" s="284" t="s">
        <v>291</v>
      </c>
      <c r="AD192" s="284" t="s">
        <v>291</v>
      </c>
      <c r="AE192" s="284" t="s">
        <v>291</v>
      </c>
      <c r="AF192" s="284" t="s">
        <v>291</v>
      </c>
      <c r="AG192" s="15" t="s">
        <v>291</v>
      </c>
      <c r="AH192" s="15" t="s">
        <v>291</v>
      </c>
      <c r="AI192" s="15">
        <v>1248</v>
      </c>
      <c r="AJ192" s="15" t="s">
        <v>291</v>
      </c>
    </row>
    <row r="193" spans="1:36">
      <c r="A193" s="15" t="s">
        <v>328</v>
      </c>
      <c r="B193" s="15">
        <v>5</v>
      </c>
      <c r="C193" s="15">
        <v>3</v>
      </c>
      <c r="D193" s="15">
        <v>2</v>
      </c>
      <c r="E193" s="15">
        <v>1</v>
      </c>
      <c r="F193" s="15">
        <v>-1</v>
      </c>
      <c r="G193" s="15">
        <v>-4</v>
      </c>
      <c r="H193" s="15">
        <v>-5</v>
      </c>
      <c r="I193" s="15">
        <v>7</v>
      </c>
      <c r="J193" s="15">
        <v>2</v>
      </c>
      <c r="K193" s="15">
        <v>13</v>
      </c>
      <c r="L193" s="15">
        <v>11</v>
      </c>
      <c r="M193" s="15">
        <v>19</v>
      </c>
      <c r="N193" s="15">
        <v>304</v>
      </c>
      <c r="O193" s="15">
        <v>499</v>
      </c>
      <c r="P193" s="15">
        <v>747</v>
      </c>
      <c r="Q193" s="15">
        <v>1088</v>
      </c>
      <c r="R193" s="15">
        <v>1399</v>
      </c>
      <c r="S193" s="15">
        <v>1450</v>
      </c>
      <c r="T193" s="15">
        <v>1601</v>
      </c>
      <c r="U193" s="15">
        <v>1767</v>
      </c>
      <c r="V193" s="15">
        <v>2278</v>
      </c>
      <c r="W193" s="15">
        <v>3195</v>
      </c>
      <c r="X193" s="15">
        <v>4027</v>
      </c>
      <c r="Y193" s="15">
        <v>4997</v>
      </c>
      <c r="Z193" s="15">
        <v>5395</v>
      </c>
      <c r="AA193" s="15">
        <v>7841</v>
      </c>
      <c r="AB193" s="15" t="s">
        <v>291</v>
      </c>
      <c r="AC193" s="284" t="s">
        <v>291</v>
      </c>
      <c r="AD193" s="284">
        <v>9907</v>
      </c>
      <c r="AE193" s="284">
        <v>8314</v>
      </c>
      <c r="AF193" s="284">
        <v>7686</v>
      </c>
      <c r="AG193" s="15">
        <v>8355</v>
      </c>
      <c r="AH193" s="15">
        <v>9957</v>
      </c>
      <c r="AI193" s="15">
        <v>8005</v>
      </c>
      <c r="AJ193" s="15">
        <v>8737</v>
      </c>
    </row>
    <row r="194" spans="1:36">
      <c r="A194" s="15" t="s">
        <v>327</v>
      </c>
      <c r="B194" s="15" t="s">
        <v>291</v>
      </c>
      <c r="C194" s="15" t="s">
        <v>291</v>
      </c>
      <c r="D194" s="15" t="s">
        <v>291</v>
      </c>
      <c r="E194" s="15" t="s">
        <v>291</v>
      </c>
      <c r="F194" s="15" t="s">
        <v>291</v>
      </c>
      <c r="G194" s="15" t="s">
        <v>291</v>
      </c>
      <c r="H194" s="15" t="s">
        <v>291</v>
      </c>
      <c r="I194" s="15" t="s">
        <v>291</v>
      </c>
      <c r="J194" s="15" t="s">
        <v>291</v>
      </c>
      <c r="K194" s="15" t="s">
        <v>291</v>
      </c>
      <c r="L194" s="15" t="s">
        <v>291</v>
      </c>
      <c r="M194" s="15">
        <v>408</v>
      </c>
      <c r="N194" s="15" t="s">
        <v>291</v>
      </c>
      <c r="O194" s="15" t="s">
        <v>291</v>
      </c>
      <c r="P194" s="15" t="s">
        <v>291</v>
      </c>
      <c r="Q194" s="15" t="s">
        <v>291</v>
      </c>
      <c r="R194" s="15" t="s">
        <v>291</v>
      </c>
      <c r="S194" s="15">
        <v>6</v>
      </c>
      <c r="T194" s="15" t="s">
        <v>291</v>
      </c>
      <c r="U194" s="15" t="s">
        <v>291</v>
      </c>
      <c r="V194" s="15" t="s">
        <v>291</v>
      </c>
      <c r="W194" s="15" t="s">
        <v>291</v>
      </c>
      <c r="X194" s="15" t="s">
        <v>291</v>
      </c>
      <c r="Y194" s="15">
        <v>-45</v>
      </c>
      <c r="Z194" s="15">
        <v>8</v>
      </c>
      <c r="AA194" s="15">
        <v>10</v>
      </c>
      <c r="AB194" s="15">
        <v>9</v>
      </c>
      <c r="AC194" s="284">
        <v>7</v>
      </c>
      <c r="AD194" s="284">
        <v>8</v>
      </c>
      <c r="AE194" s="284">
        <v>7</v>
      </c>
      <c r="AF194" s="284">
        <v>7</v>
      </c>
      <c r="AG194" s="15">
        <v>6</v>
      </c>
      <c r="AH194" s="15">
        <v>5</v>
      </c>
      <c r="AI194" s="15" t="s">
        <v>291</v>
      </c>
      <c r="AJ194" s="15">
        <v>5</v>
      </c>
    </row>
    <row r="195" spans="1:36">
      <c r="A195" s="15" t="s">
        <v>324</v>
      </c>
      <c r="B195" s="15" t="s">
        <v>273</v>
      </c>
      <c r="C195" s="15" t="s">
        <v>273</v>
      </c>
      <c r="D195" s="15" t="s">
        <v>273</v>
      </c>
      <c r="E195" s="15" t="s">
        <v>273</v>
      </c>
      <c r="F195" s="15" t="s">
        <v>273</v>
      </c>
      <c r="G195" s="15" t="s">
        <v>273</v>
      </c>
      <c r="H195" s="15" t="s">
        <v>273</v>
      </c>
      <c r="I195" s="15" t="s">
        <v>291</v>
      </c>
      <c r="J195" s="15" t="s">
        <v>291</v>
      </c>
      <c r="K195" s="15">
        <v>514</v>
      </c>
      <c r="L195" s="15">
        <v>695</v>
      </c>
      <c r="M195" s="15">
        <v>910</v>
      </c>
      <c r="N195" s="15">
        <v>1096</v>
      </c>
      <c r="O195" s="15">
        <v>922</v>
      </c>
      <c r="P195" s="15">
        <v>984</v>
      </c>
      <c r="Q195" s="15">
        <v>940</v>
      </c>
      <c r="R195" s="15">
        <v>752</v>
      </c>
      <c r="S195" s="15">
        <v>465</v>
      </c>
      <c r="T195" s="15">
        <v>533</v>
      </c>
      <c r="U195" s="15">
        <v>548</v>
      </c>
      <c r="V195" s="15">
        <v>552</v>
      </c>
      <c r="W195" s="15">
        <v>618</v>
      </c>
      <c r="X195" s="15">
        <v>640</v>
      </c>
      <c r="Y195" s="15">
        <v>497</v>
      </c>
      <c r="Z195" s="15">
        <v>779</v>
      </c>
      <c r="AA195" s="15">
        <v>814</v>
      </c>
      <c r="AB195" s="15">
        <v>700</v>
      </c>
      <c r="AC195" s="284" t="s">
        <v>291</v>
      </c>
      <c r="AD195" s="284" t="s">
        <v>291</v>
      </c>
      <c r="AE195" s="284" t="s">
        <v>291</v>
      </c>
      <c r="AF195" s="284">
        <v>302</v>
      </c>
      <c r="AG195" s="15" t="s">
        <v>291</v>
      </c>
      <c r="AH195" s="15">
        <v>53</v>
      </c>
      <c r="AI195" s="15">
        <v>-43</v>
      </c>
      <c r="AJ195" s="15" t="s">
        <v>291</v>
      </c>
    </row>
    <row r="196" spans="1:36">
      <c r="A196" s="15" t="s">
        <v>323</v>
      </c>
      <c r="B196" s="15">
        <v>28282</v>
      </c>
      <c r="C196" s="15">
        <v>30916</v>
      </c>
      <c r="D196" s="15">
        <v>33405</v>
      </c>
      <c r="E196" s="15">
        <v>35294</v>
      </c>
      <c r="F196" s="15">
        <v>38472</v>
      </c>
      <c r="G196" s="15">
        <v>46925</v>
      </c>
      <c r="H196" s="15">
        <v>52206</v>
      </c>
      <c r="I196" s="15">
        <v>55805</v>
      </c>
      <c r="J196" s="15">
        <v>64718</v>
      </c>
      <c r="K196" s="15">
        <v>72219</v>
      </c>
      <c r="L196" s="15">
        <v>79962</v>
      </c>
      <c r="M196" s="15">
        <v>92671</v>
      </c>
      <c r="N196" s="15">
        <v>108528</v>
      </c>
      <c r="O196" s="15">
        <v>122711</v>
      </c>
      <c r="P196" s="15">
        <v>139548</v>
      </c>
      <c r="Q196" s="15">
        <v>144815</v>
      </c>
      <c r="R196" s="15">
        <v>159678</v>
      </c>
      <c r="S196" s="15">
        <v>190621</v>
      </c>
      <c r="T196" s="15">
        <v>207125</v>
      </c>
      <c r="U196" s="15">
        <v>227418</v>
      </c>
      <c r="V196" s="15">
        <v>270086</v>
      </c>
      <c r="W196" s="15">
        <v>270830</v>
      </c>
      <c r="X196" s="15">
        <v>374754</v>
      </c>
      <c r="Y196" s="15">
        <v>375689</v>
      </c>
      <c r="Z196" s="15">
        <v>403637</v>
      </c>
      <c r="AA196" s="15">
        <v>444101</v>
      </c>
      <c r="AB196" s="15">
        <v>484796</v>
      </c>
      <c r="AC196" s="284">
        <v>502826</v>
      </c>
      <c r="AD196" s="284">
        <v>570111</v>
      </c>
      <c r="AE196" s="284">
        <v>591657</v>
      </c>
      <c r="AF196" s="284">
        <v>672777</v>
      </c>
      <c r="AG196" s="15">
        <v>709623</v>
      </c>
      <c r="AH196" s="15">
        <v>764077</v>
      </c>
      <c r="AI196" s="15">
        <v>803269</v>
      </c>
      <c r="AJ196" s="15">
        <v>846680</v>
      </c>
    </row>
    <row r="197" spans="1:36">
      <c r="A197" s="15" t="s">
        <v>322</v>
      </c>
      <c r="B197" s="15">
        <v>9089</v>
      </c>
      <c r="C197" s="15">
        <v>9151</v>
      </c>
      <c r="D197" s="15">
        <v>9121</v>
      </c>
      <c r="E197" s="15">
        <v>9067</v>
      </c>
      <c r="F197" s="15">
        <v>9670</v>
      </c>
      <c r="G197" s="15">
        <v>11728</v>
      </c>
      <c r="H197" s="15">
        <v>13155</v>
      </c>
      <c r="I197" s="15">
        <v>14368</v>
      </c>
      <c r="J197" s="15">
        <v>15110</v>
      </c>
      <c r="K197" s="15">
        <v>16072</v>
      </c>
      <c r="L197" s="15">
        <v>16928</v>
      </c>
      <c r="M197" s="15">
        <v>19047</v>
      </c>
      <c r="N197" s="15">
        <v>20196</v>
      </c>
      <c r="O197" s="15">
        <v>24328</v>
      </c>
      <c r="P197" s="15">
        <v>30006</v>
      </c>
      <c r="Q197" s="15">
        <v>28404</v>
      </c>
      <c r="R197" s="15">
        <v>31483</v>
      </c>
      <c r="S197" s="15">
        <v>35386</v>
      </c>
      <c r="T197" s="15">
        <v>34838</v>
      </c>
      <c r="U197" s="15">
        <v>27778</v>
      </c>
      <c r="V197" s="15">
        <v>39074</v>
      </c>
      <c r="W197" s="15">
        <v>48447</v>
      </c>
      <c r="X197" s="15" t="s">
        <v>291</v>
      </c>
      <c r="Y197" s="15">
        <v>75669</v>
      </c>
      <c r="Z197" s="15">
        <v>67632</v>
      </c>
      <c r="AA197" s="15">
        <v>84331</v>
      </c>
      <c r="AB197" s="15">
        <v>92668</v>
      </c>
      <c r="AC197" s="284">
        <v>106212</v>
      </c>
      <c r="AD197" s="284">
        <v>125421</v>
      </c>
      <c r="AE197" s="284">
        <v>133000</v>
      </c>
      <c r="AF197" s="284">
        <v>165106</v>
      </c>
      <c r="AG197" s="15">
        <v>168300</v>
      </c>
      <c r="AH197" s="15">
        <v>170897</v>
      </c>
      <c r="AI197" s="15">
        <v>158726</v>
      </c>
      <c r="AJ197" s="15">
        <v>165347</v>
      </c>
    </row>
    <row r="198" spans="1:36">
      <c r="A198" s="15" t="s">
        <v>321</v>
      </c>
      <c r="B198" s="15">
        <v>49</v>
      </c>
      <c r="C198" s="15">
        <v>103</v>
      </c>
      <c r="D198" s="15">
        <v>215</v>
      </c>
      <c r="E198" s="15">
        <v>322</v>
      </c>
      <c r="F198" s="15">
        <v>183</v>
      </c>
      <c r="G198" s="15">
        <v>240</v>
      </c>
      <c r="H198" s="15">
        <v>346</v>
      </c>
      <c r="I198" s="15">
        <v>436</v>
      </c>
      <c r="J198" s="15">
        <v>354</v>
      </c>
      <c r="K198" s="15">
        <v>426</v>
      </c>
      <c r="L198" s="15">
        <v>563</v>
      </c>
      <c r="M198" s="15">
        <v>916</v>
      </c>
      <c r="N198" s="15">
        <v>2557</v>
      </c>
      <c r="O198" s="15">
        <v>2765</v>
      </c>
      <c r="P198" s="15">
        <v>3848</v>
      </c>
      <c r="Q198" s="15">
        <v>5150</v>
      </c>
      <c r="R198" s="15">
        <v>6350</v>
      </c>
      <c r="S198" s="15">
        <v>9401</v>
      </c>
      <c r="T198" s="15">
        <v>11140</v>
      </c>
      <c r="U198" s="15">
        <v>12081</v>
      </c>
      <c r="V198" s="15">
        <v>10570</v>
      </c>
      <c r="W198" s="15">
        <v>11261</v>
      </c>
      <c r="X198" s="15">
        <v>17616</v>
      </c>
      <c r="Y198" s="15">
        <v>19016</v>
      </c>
      <c r="Z198" s="15">
        <v>26459</v>
      </c>
      <c r="AA198" s="15">
        <v>29710</v>
      </c>
      <c r="AB198" s="15">
        <v>53927</v>
      </c>
      <c r="AC198" s="284">
        <v>54069</v>
      </c>
      <c r="AD198" s="284">
        <v>58996</v>
      </c>
      <c r="AE198" s="284">
        <v>53661</v>
      </c>
      <c r="AF198" s="284">
        <v>54514</v>
      </c>
      <c r="AG198" s="15">
        <v>60454</v>
      </c>
      <c r="AH198" s="15">
        <v>73660</v>
      </c>
      <c r="AI198" s="15">
        <v>84525</v>
      </c>
      <c r="AJ198" s="15">
        <v>92481</v>
      </c>
    </row>
    <row r="199" spans="1:36">
      <c r="A199" s="15" t="s">
        <v>320</v>
      </c>
      <c r="B199" s="15">
        <v>2854</v>
      </c>
      <c r="C199" s="15">
        <v>3157</v>
      </c>
      <c r="D199" s="15">
        <v>3418</v>
      </c>
      <c r="E199" s="15">
        <v>3510</v>
      </c>
      <c r="F199" s="15">
        <v>4227</v>
      </c>
      <c r="G199" s="15">
        <v>4795</v>
      </c>
      <c r="H199" s="15">
        <v>5486</v>
      </c>
      <c r="I199" s="15">
        <v>5412</v>
      </c>
      <c r="J199" s="15">
        <v>6055</v>
      </c>
      <c r="K199" s="15">
        <v>6656</v>
      </c>
      <c r="L199" s="15">
        <v>8693</v>
      </c>
      <c r="M199" s="15">
        <v>10063</v>
      </c>
      <c r="N199" s="15">
        <v>11092</v>
      </c>
      <c r="O199" s="15">
        <v>11768</v>
      </c>
      <c r="P199" s="15">
        <v>14391</v>
      </c>
      <c r="Q199" s="15">
        <v>17315</v>
      </c>
      <c r="R199" s="15">
        <v>17548</v>
      </c>
      <c r="S199" s="15">
        <v>22759</v>
      </c>
      <c r="T199" s="15">
        <v>27447</v>
      </c>
      <c r="U199" s="15">
        <v>32494</v>
      </c>
      <c r="V199" s="15">
        <v>40329</v>
      </c>
      <c r="W199" s="15">
        <v>36426</v>
      </c>
      <c r="X199" s="15">
        <v>32735</v>
      </c>
      <c r="Y199" s="15">
        <v>36415</v>
      </c>
      <c r="Z199" s="15">
        <v>39636</v>
      </c>
      <c r="AA199" s="15">
        <v>40720</v>
      </c>
      <c r="AB199" s="15">
        <v>40042</v>
      </c>
      <c r="AC199" s="284">
        <v>50720</v>
      </c>
      <c r="AD199" s="284">
        <v>41264</v>
      </c>
      <c r="AE199" s="284">
        <v>46713</v>
      </c>
      <c r="AF199" s="284">
        <v>56086</v>
      </c>
      <c r="AG199" s="15">
        <v>56785</v>
      </c>
      <c r="AH199" s="15">
        <v>60795</v>
      </c>
      <c r="AI199" s="15">
        <v>64105</v>
      </c>
      <c r="AJ199" s="15">
        <v>65625</v>
      </c>
    </row>
    <row r="200" spans="1:36">
      <c r="A200" s="15" t="s">
        <v>319</v>
      </c>
      <c r="B200" s="15">
        <v>360</v>
      </c>
      <c r="C200" s="15">
        <v>358</v>
      </c>
      <c r="D200" s="15">
        <v>331</v>
      </c>
      <c r="E200" s="15">
        <v>381</v>
      </c>
      <c r="F200" s="15">
        <v>406</v>
      </c>
      <c r="G200" s="15">
        <v>407</v>
      </c>
      <c r="H200" s="15">
        <v>378</v>
      </c>
      <c r="I200" s="15" t="s">
        <v>291</v>
      </c>
      <c r="J200" s="15">
        <v>372</v>
      </c>
      <c r="K200" s="15">
        <v>415</v>
      </c>
      <c r="L200" s="15">
        <v>484</v>
      </c>
      <c r="M200" s="15">
        <v>599</v>
      </c>
      <c r="N200" s="15">
        <v>1030</v>
      </c>
      <c r="O200" s="15">
        <v>1105</v>
      </c>
      <c r="P200" s="15">
        <v>1344</v>
      </c>
      <c r="Q200" s="15">
        <v>1563</v>
      </c>
      <c r="R200" s="15">
        <v>1592</v>
      </c>
      <c r="S200" s="15">
        <v>2390</v>
      </c>
      <c r="T200" s="15">
        <v>2379</v>
      </c>
      <c r="U200" s="15">
        <v>2496</v>
      </c>
      <c r="V200" s="15">
        <v>4232</v>
      </c>
      <c r="W200" s="15">
        <v>4868</v>
      </c>
      <c r="X200" s="15">
        <v>7658</v>
      </c>
      <c r="Y200" s="15">
        <v>7162</v>
      </c>
      <c r="Z200" s="15">
        <v>9746</v>
      </c>
      <c r="AA200" s="15">
        <v>14622</v>
      </c>
      <c r="AB200" s="15">
        <v>18354</v>
      </c>
      <c r="AC200" s="284">
        <v>21752</v>
      </c>
      <c r="AD200" s="284">
        <v>24666</v>
      </c>
      <c r="AE200" s="284">
        <v>19000</v>
      </c>
      <c r="AF200" s="284">
        <v>25413</v>
      </c>
      <c r="AG200" s="15">
        <v>24850</v>
      </c>
      <c r="AH200" s="15">
        <v>27812</v>
      </c>
      <c r="AI200" s="15">
        <v>29939</v>
      </c>
      <c r="AJ200" s="15">
        <v>32939</v>
      </c>
    </row>
    <row r="201" spans="1:36">
      <c r="A201" s="15" t="s">
        <v>318</v>
      </c>
      <c r="B201" s="15">
        <v>2295</v>
      </c>
      <c r="C201" s="15">
        <v>2846</v>
      </c>
      <c r="D201" s="15">
        <v>4185</v>
      </c>
      <c r="E201" s="15">
        <v>4592</v>
      </c>
      <c r="F201" s="15">
        <v>3369</v>
      </c>
      <c r="G201" s="15">
        <v>3252</v>
      </c>
      <c r="H201" s="15">
        <v>3131</v>
      </c>
      <c r="I201" s="15">
        <v>2771</v>
      </c>
      <c r="J201" s="15">
        <v>3207</v>
      </c>
      <c r="K201" s="15">
        <v>3826</v>
      </c>
      <c r="L201" s="15">
        <v>4384</v>
      </c>
      <c r="M201" s="15">
        <v>4864</v>
      </c>
      <c r="N201" s="15">
        <v>6355</v>
      </c>
      <c r="O201" s="15">
        <v>6777</v>
      </c>
      <c r="P201" s="15">
        <v>8322</v>
      </c>
      <c r="Q201" s="15">
        <v>6729</v>
      </c>
      <c r="R201" s="15">
        <v>8104</v>
      </c>
      <c r="S201" s="15">
        <v>8402</v>
      </c>
      <c r="T201" s="15">
        <v>8904</v>
      </c>
      <c r="U201" s="15">
        <v>10511</v>
      </c>
      <c r="V201" s="15" t="s">
        <v>291</v>
      </c>
      <c r="W201" s="15" t="s">
        <v>291</v>
      </c>
      <c r="X201" s="15" t="s">
        <v>291</v>
      </c>
      <c r="Y201" s="15">
        <v>8603</v>
      </c>
      <c r="Z201" s="15">
        <v>9484</v>
      </c>
      <c r="AA201" s="15">
        <v>14978</v>
      </c>
      <c r="AB201" s="15">
        <v>16273</v>
      </c>
      <c r="AC201" s="284">
        <v>9743</v>
      </c>
      <c r="AD201" s="284">
        <v>10558</v>
      </c>
      <c r="AE201" s="284">
        <v>12046</v>
      </c>
      <c r="AF201" s="284">
        <v>11441</v>
      </c>
      <c r="AG201" s="15">
        <v>12117</v>
      </c>
      <c r="AH201" s="15">
        <v>13580</v>
      </c>
      <c r="AI201" s="15">
        <v>13352</v>
      </c>
      <c r="AJ201" s="15">
        <v>14563</v>
      </c>
    </row>
    <row r="202" spans="1:36">
      <c r="A202" s="15" t="s">
        <v>317</v>
      </c>
      <c r="B202" s="15">
        <v>6407</v>
      </c>
      <c r="C202" s="15">
        <v>7768</v>
      </c>
      <c r="D202" s="15">
        <v>8100</v>
      </c>
      <c r="E202" s="15">
        <v>9467</v>
      </c>
      <c r="F202" s="15">
        <v>11839</v>
      </c>
      <c r="G202" s="15">
        <v>16141</v>
      </c>
      <c r="H202" s="15">
        <v>18546</v>
      </c>
      <c r="I202" s="15">
        <v>19911</v>
      </c>
      <c r="J202" s="15">
        <v>22599</v>
      </c>
      <c r="K202" s="15">
        <v>25403</v>
      </c>
      <c r="L202" s="15">
        <v>26591</v>
      </c>
      <c r="M202" s="15">
        <v>31095</v>
      </c>
      <c r="N202" s="15">
        <v>34117</v>
      </c>
      <c r="O202" s="15">
        <v>37309</v>
      </c>
      <c r="P202" s="15">
        <v>34578</v>
      </c>
      <c r="Q202" s="15">
        <v>33854</v>
      </c>
      <c r="R202" s="15">
        <v>41423</v>
      </c>
      <c r="S202" s="15">
        <v>55120</v>
      </c>
      <c r="T202" s="15">
        <v>57091</v>
      </c>
      <c r="U202" s="15">
        <v>55651</v>
      </c>
      <c r="V202" s="15">
        <v>66468</v>
      </c>
      <c r="W202" s="15">
        <v>57794</v>
      </c>
      <c r="X202" s="15">
        <v>71005</v>
      </c>
      <c r="Y202" s="15">
        <v>81175</v>
      </c>
      <c r="Z202" s="15">
        <v>84428</v>
      </c>
      <c r="AA202" s="15">
        <v>85224</v>
      </c>
      <c r="AB202" s="15">
        <v>99803</v>
      </c>
      <c r="AC202" s="284">
        <v>91196</v>
      </c>
      <c r="AD202" s="284">
        <v>113523</v>
      </c>
      <c r="AE202" s="284">
        <v>120482</v>
      </c>
      <c r="AF202" s="284">
        <v>125283</v>
      </c>
      <c r="AG202" s="15">
        <v>117239</v>
      </c>
      <c r="AH202" s="15">
        <v>100823</v>
      </c>
      <c r="AI202" s="15">
        <v>104128</v>
      </c>
      <c r="AJ202" s="15">
        <v>114637</v>
      </c>
    </row>
    <row r="203" spans="1:36">
      <c r="A203" s="15" t="s">
        <v>316</v>
      </c>
      <c r="B203" s="15">
        <v>690</v>
      </c>
      <c r="C203" s="15">
        <v>622</v>
      </c>
      <c r="D203" s="15">
        <v>776</v>
      </c>
      <c r="E203" s="15">
        <v>828</v>
      </c>
      <c r="F203" s="15">
        <v>897</v>
      </c>
      <c r="G203" s="15">
        <v>1318</v>
      </c>
      <c r="H203" s="15">
        <v>1647</v>
      </c>
      <c r="I203" s="15">
        <v>2370</v>
      </c>
      <c r="J203" s="15">
        <v>2695</v>
      </c>
      <c r="K203" s="15">
        <v>2900</v>
      </c>
      <c r="L203" s="15">
        <v>2912</v>
      </c>
      <c r="M203" s="15">
        <v>3427</v>
      </c>
      <c r="N203" s="15">
        <v>4334</v>
      </c>
      <c r="O203" s="15">
        <v>5557</v>
      </c>
      <c r="P203" s="15">
        <v>6508</v>
      </c>
      <c r="Q203" s="15">
        <v>6467</v>
      </c>
      <c r="R203" s="15">
        <v>7365</v>
      </c>
      <c r="S203" s="15">
        <v>7474</v>
      </c>
      <c r="T203" s="15">
        <v>8968</v>
      </c>
      <c r="U203" s="15">
        <v>9977</v>
      </c>
      <c r="V203" s="15">
        <v>11856</v>
      </c>
      <c r="W203" s="15">
        <v>13063</v>
      </c>
      <c r="X203" s="15">
        <v>17747</v>
      </c>
      <c r="Y203" s="15">
        <v>19760</v>
      </c>
      <c r="Z203" s="15">
        <v>27299</v>
      </c>
      <c r="AA203" s="15">
        <v>23558</v>
      </c>
      <c r="AB203" s="15">
        <v>22426</v>
      </c>
      <c r="AC203" s="284">
        <v>23930</v>
      </c>
      <c r="AD203" s="284">
        <v>26233</v>
      </c>
      <c r="AE203" s="284">
        <v>28172</v>
      </c>
      <c r="AF203" s="284">
        <v>32202</v>
      </c>
      <c r="AG203" s="15">
        <v>32108</v>
      </c>
      <c r="AH203" s="15">
        <v>35540</v>
      </c>
      <c r="AI203" s="15">
        <v>36931</v>
      </c>
      <c r="AJ203" s="15">
        <v>39068</v>
      </c>
    </row>
    <row r="204" spans="1:36">
      <c r="A204" s="15" t="s">
        <v>315</v>
      </c>
      <c r="B204" s="15">
        <v>1221</v>
      </c>
      <c r="C204" s="15">
        <v>1162</v>
      </c>
      <c r="D204" s="15">
        <v>1111</v>
      </c>
      <c r="E204" s="15">
        <v>1152</v>
      </c>
      <c r="F204" s="15">
        <v>1019</v>
      </c>
      <c r="G204" s="15">
        <v>962</v>
      </c>
      <c r="H204" s="15">
        <v>1158</v>
      </c>
      <c r="I204" s="15">
        <v>1263</v>
      </c>
      <c r="J204" s="15">
        <v>1466</v>
      </c>
      <c r="K204" s="15">
        <v>1774</v>
      </c>
      <c r="L204" s="15">
        <v>1596</v>
      </c>
      <c r="M204" s="15">
        <v>1975</v>
      </c>
      <c r="N204" s="15">
        <v>3148</v>
      </c>
      <c r="O204" s="15">
        <v>4237</v>
      </c>
      <c r="P204" s="15">
        <v>5663</v>
      </c>
      <c r="Q204" s="15">
        <v>6530</v>
      </c>
      <c r="R204" s="15">
        <v>5629</v>
      </c>
      <c r="S204" s="15">
        <v>6222</v>
      </c>
      <c r="T204" s="15">
        <v>7910</v>
      </c>
      <c r="U204" s="15">
        <v>7489</v>
      </c>
      <c r="V204" s="15">
        <v>7101</v>
      </c>
      <c r="W204" s="15">
        <v>7057</v>
      </c>
      <c r="X204" s="15">
        <v>8909</v>
      </c>
      <c r="Y204" s="15">
        <v>11097</v>
      </c>
      <c r="Z204" s="15">
        <v>11185</v>
      </c>
      <c r="AA204" s="15">
        <v>12140</v>
      </c>
      <c r="AB204" s="15">
        <v>12243</v>
      </c>
      <c r="AC204" s="284">
        <v>9740</v>
      </c>
      <c r="AD204" s="284">
        <v>11791</v>
      </c>
      <c r="AE204" s="284">
        <v>11627</v>
      </c>
      <c r="AF204" s="284">
        <v>10898</v>
      </c>
      <c r="AG204" s="15">
        <v>13360</v>
      </c>
      <c r="AH204" s="15">
        <v>11088</v>
      </c>
      <c r="AI204" s="15">
        <v>14968</v>
      </c>
      <c r="AJ204" s="15">
        <v>13897</v>
      </c>
    </row>
    <row r="205" spans="1:36">
      <c r="A205" s="15" t="s">
        <v>314</v>
      </c>
      <c r="B205" s="15">
        <v>644</v>
      </c>
      <c r="C205" s="15">
        <v>575</v>
      </c>
      <c r="D205" s="15">
        <v>510</v>
      </c>
      <c r="E205" s="15">
        <v>582</v>
      </c>
      <c r="F205" s="15">
        <v>607</v>
      </c>
      <c r="G205" s="15">
        <v>744</v>
      </c>
      <c r="H205" s="15">
        <v>842</v>
      </c>
      <c r="I205" s="15">
        <v>1062</v>
      </c>
      <c r="J205" s="15">
        <v>3156</v>
      </c>
      <c r="K205" s="15">
        <v>2949</v>
      </c>
      <c r="L205" s="15">
        <v>3314</v>
      </c>
      <c r="M205" s="15">
        <v>3064</v>
      </c>
      <c r="N205" s="15">
        <v>3893</v>
      </c>
      <c r="O205" s="15">
        <v>4601</v>
      </c>
      <c r="P205" s="15">
        <v>5940</v>
      </c>
      <c r="Q205" s="15">
        <v>7160</v>
      </c>
      <c r="R205" s="15">
        <v>6021</v>
      </c>
      <c r="S205" s="15">
        <v>4852</v>
      </c>
      <c r="T205" s="15">
        <v>4271</v>
      </c>
      <c r="U205" s="15">
        <v>4273</v>
      </c>
      <c r="V205" s="15">
        <v>3926</v>
      </c>
      <c r="W205" s="15">
        <v>3859</v>
      </c>
      <c r="X205" s="15">
        <v>4620</v>
      </c>
      <c r="Y205" s="15">
        <v>5191</v>
      </c>
      <c r="Z205" s="15">
        <v>5933</v>
      </c>
      <c r="AA205" s="15">
        <v>5527</v>
      </c>
      <c r="AB205" s="15">
        <v>4451</v>
      </c>
      <c r="AC205" s="284">
        <v>6141</v>
      </c>
      <c r="AD205" s="284">
        <v>6724</v>
      </c>
      <c r="AE205" s="284">
        <v>7930</v>
      </c>
      <c r="AF205" s="284">
        <v>8476</v>
      </c>
      <c r="AG205" s="15">
        <v>7414</v>
      </c>
      <c r="AH205" s="15">
        <v>8215</v>
      </c>
      <c r="AI205" s="15">
        <v>7929</v>
      </c>
      <c r="AJ205" s="15">
        <v>8430</v>
      </c>
    </row>
    <row r="206" spans="1:36">
      <c r="A206" s="15" t="s">
        <v>313</v>
      </c>
      <c r="B206" s="15">
        <v>1315</v>
      </c>
      <c r="C206" s="15">
        <v>1372</v>
      </c>
      <c r="D206" s="15">
        <v>1292</v>
      </c>
      <c r="E206" s="15">
        <v>1029</v>
      </c>
      <c r="F206" s="15">
        <v>1274</v>
      </c>
      <c r="G206" s="15">
        <v>1331</v>
      </c>
      <c r="H206" s="15">
        <v>1371</v>
      </c>
      <c r="I206" s="15">
        <v>1107</v>
      </c>
      <c r="J206" s="15">
        <v>1355</v>
      </c>
      <c r="K206" s="15">
        <v>1395</v>
      </c>
      <c r="L206" s="15">
        <v>1666</v>
      </c>
      <c r="M206" s="15">
        <v>1953</v>
      </c>
      <c r="N206" s="15">
        <v>2484</v>
      </c>
      <c r="O206" s="15">
        <v>2719</v>
      </c>
      <c r="P206" s="15">
        <v>3541</v>
      </c>
      <c r="Q206" s="15">
        <v>3219</v>
      </c>
      <c r="R206" s="15">
        <v>3931</v>
      </c>
      <c r="S206" s="15">
        <v>3517</v>
      </c>
      <c r="T206" s="15">
        <v>3638</v>
      </c>
      <c r="U206" s="15">
        <v>5436</v>
      </c>
      <c r="V206" s="15">
        <v>5964</v>
      </c>
      <c r="W206" s="15">
        <v>6390</v>
      </c>
      <c r="X206" s="15">
        <v>6176</v>
      </c>
      <c r="Y206" s="15">
        <v>6522</v>
      </c>
      <c r="Z206" s="15">
        <v>6948</v>
      </c>
      <c r="AA206" s="15">
        <v>6953</v>
      </c>
      <c r="AB206" s="15">
        <v>5505</v>
      </c>
      <c r="AC206" s="284">
        <v>4602</v>
      </c>
      <c r="AD206" s="284">
        <v>5399</v>
      </c>
      <c r="AE206" s="284">
        <v>4897</v>
      </c>
      <c r="AF206" s="284">
        <v>3988</v>
      </c>
      <c r="AG206" s="15">
        <v>4091</v>
      </c>
      <c r="AH206" s="15">
        <v>4057</v>
      </c>
      <c r="AI206" s="15">
        <v>5390</v>
      </c>
      <c r="AJ206" s="15">
        <v>5896</v>
      </c>
    </row>
    <row r="207" spans="1:36">
      <c r="A207" s="15" t="s">
        <v>312</v>
      </c>
      <c r="B207" s="15">
        <v>1720</v>
      </c>
      <c r="C207" s="15">
        <v>1881</v>
      </c>
      <c r="D207" s="15">
        <v>2018</v>
      </c>
      <c r="E207" s="15">
        <v>2008</v>
      </c>
      <c r="F207" s="15">
        <v>2481</v>
      </c>
      <c r="G207" s="15">
        <v>2722</v>
      </c>
      <c r="H207" s="15">
        <v>2662</v>
      </c>
      <c r="I207" s="15">
        <v>2998</v>
      </c>
      <c r="J207" s="15">
        <v>3975</v>
      </c>
      <c r="K207" s="15">
        <v>5363</v>
      </c>
      <c r="L207" s="15">
        <v>6715</v>
      </c>
      <c r="M207" s="15">
        <v>8875</v>
      </c>
      <c r="N207" s="15">
        <v>10940</v>
      </c>
      <c r="O207" s="15">
        <v>12140</v>
      </c>
      <c r="P207" s="15">
        <v>14912</v>
      </c>
      <c r="Q207" s="15">
        <v>18026</v>
      </c>
      <c r="R207" s="15">
        <v>17550</v>
      </c>
      <c r="S207" s="15">
        <v>20665</v>
      </c>
      <c r="T207" s="15">
        <v>24133</v>
      </c>
      <c r="U207" s="15">
        <v>40764</v>
      </c>
      <c r="V207" s="15">
        <v>50955</v>
      </c>
      <c r="W207" s="15">
        <v>51053</v>
      </c>
      <c r="X207" s="15">
        <v>61076</v>
      </c>
      <c r="Y207" s="15">
        <v>76390</v>
      </c>
      <c r="Z207" s="15">
        <v>81879</v>
      </c>
      <c r="AA207" s="15">
        <v>93529</v>
      </c>
      <c r="AB207" s="15">
        <v>83169</v>
      </c>
      <c r="AC207" s="284">
        <v>87909</v>
      </c>
      <c r="AD207" s="284">
        <v>102778</v>
      </c>
      <c r="AE207" s="284">
        <v>119395</v>
      </c>
      <c r="AF207" s="284">
        <v>145236</v>
      </c>
      <c r="AG207" s="15">
        <v>182079</v>
      </c>
      <c r="AH207" s="15">
        <v>225223</v>
      </c>
      <c r="AI207" s="15">
        <v>250748</v>
      </c>
      <c r="AJ207" s="15">
        <v>258864</v>
      </c>
    </row>
    <row r="208" spans="1:36">
      <c r="A208" s="15" t="s">
        <v>311</v>
      </c>
      <c r="B208" s="15">
        <v>544</v>
      </c>
      <c r="C208" s="15">
        <v>644</v>
      </c>
      <c r="D208" s="15">
        <v>795</v>
      </c>
      <c r="E208" s="15">
        <v>845</v>
      </c>
      <c r="F208" s="15">
        <v>1003</v>
      </c>
      <c r="G208" s="15">
        <v>1531</v>
      </c>
      <c r="H208" s="15">
        <v>1831</v>
      </c>
      <c r="I208" s="15">
        <v>1968</v>
      </c>
      <c r="J208" s="15">
        <v>2226</v>
      </c>
      <c r="K208" s="15">
        <v>2666</v>
      </c>
      <c r="L208" s="15">
        <v>2827</v>
      </c>
      <c r="M208" s="15">
        <v>3113</v>
      </c>
      <c r="N208" s="15">
        <v>3775</v>
      </c>
      <c r="O208" s="15">
        <v>4293</v>
      </c>
      <c r="P208" s="15">
        <v>4476</v>
      </c>
      <c r="Q208" s="15">
        <v>5007</v>
      </c>
      <c r="R208" s="15">
        <v>6295</v>
      </c>
      <c r="S208" s="15">
        <v>6744</v>
      </c>
      <c r="T208" s="15">
        <v>7836</v>
      </c>
      <c r="U208" s="15">
        <v>9301</v>
      </c>
      <c r="V208" s="15">
        <v>10144</v>
      </c>
      <c r="W208" s="15">
        <v>11983</v>
      </c>
      <c r="X208" s="15" t="s">
        <v>291</v>
      </c>
      <c r="Y208" s="15">
        <v>14356</v>
      </c>
      <c r="Z208" s="15">
        <v>16999</v>
      </c>
      <c r="AA208" s="15">
        <v>15807</v>
      </c>
      <c r="AB208" s="15">
        <v>18053</v>
      </c>
      <c r="AC208" s="284">
        <v>19894</v>
      </c>
      <c r="AD208" s="284">
        <v>22188</v>
      </c>
      <c r="AE208" s="284">
        <v>16073</v>
      </c>
      <c r="AF208" s="284">
        <v>17546</v>
      </c>
      <c r="AG208" s="15">
        <v>15307</v>
      </c>
      <c r="AH208" s="15">
        <v>15093</v>
      </c>
      <c r="AI208" s="15">
        <v>15307</v>
      </c>
      <c r="AJ208" s="15">
        <v>16187</v>
      </c>
    </row>
    <row r="209" spans="1:36">
      <c r="A209" s="15" t="s">
        <v>310</v>
      </c>
      <c r="B209" s="15">
        <v>780</v>
      </c>
      <c r="C209" s="15">
        <v>918</v>
      </c>
      <c r="D209" s="15">
        <v>1160</v>
      </c>
      <c r="E209" s="15">
        <v>1146</v>
      </c>
      <c r="F209" s="15">
        <v>1152</v>
      </c>
      <c r="G209" s="15">
        <v>1349</v>
      </c>
      <c r="H209" s="15">
        <v>1211</v>
      </c>
      <c r="I209" s="15">
        <v>1511</v>
      </c>
      <c r="J209" s="15">
        <v>1790</v>
      </c>
      <c r="K209" s="15">
        <v>2025</v>
      </c>
      <c r="L209" s="15">
        <v>2594</v>
      </c>
      <c r="M209" s="15">
        <v>2943</v>
      </c>
      <c r="N209" s="15">
        <v>3585</v>
      </c>
      <c r="O209" s="15">
        <v>4283</v>
      </c>
      <c r="P209" s="15">
        <v>5000</v>
      </c>
      <c r="Q209" s="15">
        <v>4332</v>
      </c>
      <c r="R209" s="15">
        <v>5209</v>
      </c>
      <c r="S209" s="15">
        <v>5500</v>
      </c>
      <c r="T209" s="15">
        <v>5824</v>
      </c>
      <c r="U209" s="15">
        <v>6176</v>
      </c>
      <c r="V209" s="15">
        <v>7774</v>
      </c>
      <c r="W209" s="15">
        <v>6886</v>
      </c>
      <c r="X209" s="15">
        <v>7499</v>
      </c>
      <c r="Y209" s="15">
        <v>10252</v>
      </c>
      <c r="Z209" s="15">
        <v>10642</v>
      </c>
      <c r="AA209" s="15">
        <v>10284</v>
      </c>
      <c r="AB209" s="15">
        <v>9162</v>
      </c>
      <c r="AC209" s="284">
        <v>9457</v>
      </c>
      <c r="AD209" s="284">
        <v>12999</v>
      </c>
      <c r="AE209" s="284">
        <v>11840</v>
      </c>
      <c r="AF209" s="284">
        <v>10773</v>
      </c>
      <c r="AG209" s="15">
        <v>9957</v>
      </c>
      <c r="AH209" s="15">
        <v>11054</v>
      </c>
      <c r="AI209" s="15">
        <v>10594</v>
      </c>
      <c r="AJ209" s="15">
        <v>11774</v>
      </c>
    </row>
    <row r="210" spans="1:36">
      <c r="A210" s="15" t="s">
        <v>236</v>
      </c>
      <c r="B210" s="15">
        <v>313</v>
      </c>
      <c r="C210" s="15">
        <v>358</v>
      </c>
      <c r="D210" s="15">
        <v>375</v>
      </c>
      <c r="E210" s="15">
        <v>365</v>
      </c>
      <c r="F210" s="15">
        <v>345</v>
      </c>
      <c r="G210" s="15">
        <v>408</v>
      </c>
      <c r="H210" s="15">
        <v>441</v>
      </c>
      <c r="I210" s="15" t="s">
        <v>291</v>
      </c>
      <c r="J210" s="15">
        <v>356</v>
      </c>
      <c r="K210" s="15">
        <v>348</v>
      </c>
      <c r="L210" s="15">
        <v>696</v>
      </c>
      <c r="M210" s="15">
        <v>737</v>
      </c>
      <c r="N210" s="15">
        <v>1022</v>
      </c>
      <c r="O210" s="15">
        <v>830</v>
      </c>
      <c r="P210" s="15">
        <v>1019</v>
      </c>
      <c r="Q210" s="15">
        <v>1058</v>
      </c>
      <c r="R210" s="15">
        <v>1177</v>
      </c>
      <c r="S210" s="15">
        <v>2190</v>
      </c>
      <c r="T210" s="15">
        <v>2746</v>
      </c>
      <c r="U210" s="15">
        <v>2990</v>
      </c>
      <c r="V210" s="15" t="s">
        <v>291</v>
      </c>
      <c r="W210" s="15" t="s">
        <v>291</v>
      </c>
      <c r="X210" s="15" t="s">
        <v>291</v>
      </c>
      <c r="Y210" s="15">
        <v>4082</v>
      </c>
      <c r="Z210" s="15">
        <v>5367</v>
      </c>
      <c r="AA210" s="15">
        <v>6717</v>
      </c>
      <c r="AB210" s="15">
        <v>8719</v>
      </c>
      <c r="AC210" s="284">
        <v>7463</v>
      </c>
      <c r="AD210" s="284">
        <v>7570</v>
      </c>
      <c r="AE210" s="284">
        <v>6820</v>
      </c>
      <c r="AF210" s="284">
        <v>5816</v>
      </c>
      <c r="AG210" s="15">
        <v>5562</v>
      </c>
      <c r="AH210" s="15">
        <v>6240</v>
      </c>
      <c r="AI210" s="15">
        <v>6627</v>
      </c>
      <c r="AJ210" s="15">
        <v>6972</v>
      </c>
    </row>
    <row r="211" spans="1:36">
      <c r="A211" s="15" t="s">
        <v>309</v>
      </c>
      <c r="B211" s="15">
        <v>0</v>
      </c>
      <c r="C211" s="15" t="s">
        <v>306</v>
      </c>
      <c r="D211" s="15" t="s">
        <v>306</v>
      </c>
      <c r="E211" s="15">
        <v>0</v>
      </c>
      <c r="F211" s="15">
        <v>0</v>
      </c>
      <c r="G211" s="15">
        <v>0</v>
      </c>
      <c r="H211" s="15">
        <v>0</v>
      </c>
      <c r="I211" s="15" t="s">
        <v>273</v>
      </c>
      <c r="J211" s="15" t="s">
        <v>273</v>
      </c>
      <c r="K211" s="15" t="s">
        <v>273</v>
      </c>
      <c r="L211" s="15" t="s">
        <v>273</v>
      </c>
      <c r="M211" s="15" t="s">
        <v>273</v>
      </c>
      <c r="N211" s="15" t="s">
        <v>273</v>
      </c>
      <c r="O211" s="15" t="s">
        <v>273</v>
      </c>
      <c r="P211" s="15" t="s">
        <v>273</v>
      </c>
      <c r="Q211" s="15" t="s">
        <v>273</v>
      </c>
      <c r="R211" s="15" t="s">
        <v>273</v>
      </c>
      <c r="S211" s="15" t="s">
        <v>273</v>
      </c>
      <c r="T211" s="15" t="s">
        <v>273</v>
      </c>
      <c r="U211" s="15" t="s">
        <v>273</v>
      </c>
      <c r="V211" s="15" t="s">
        <v>273</v>
      </c>
      <c r="W211" s="15" t="s">
        <v>273</v>
      </c>
      <c r="X211" s="15">
        <v>6</v>
      </c>
      <c r="Y211" s="15">
        <v>6</v>
      </c>
      <c r="Z211" s="15">
        <v>6</v>
      </c>
      <c r="AA211" s="15">
        <v>6</v>
      </c>
      <c r="AB211" s="15">
        <v>6</v>
      </c>
      <c r="AC211" s="284">
        <v>3</v>
      </c>
      <c r="AD211" s="284">
        <v>3</v>
      </c>
      <c r="AE211" s="284">
        <v>3</v>
      </c>
      <c r="AF211" s="284">
        <v>3</v>
      </c>
      <c r="AG211" s="15">
        <v>3</v>
      </c>
      <c r="AH211" s="15">
        <v>3</v>
      </c>
      <c r="AI211" s="15">
        <v>3</v>
      </c>
      <c r="AJ211" s="15">
        <v>3</v>
      </c>
    </row>
    <row r="212" spans="1:36">
      <c r="A212" s="15" t="s">
        <v>308</v>
      </c>
      <c r="B212" s="15">
        <v>13</v>
      </c>
      <c r="C212" s="15">
        <v>11</v>
      </c>
      <c r="D212" s="15">
        <v>10</v>
      </c>
      <c r="E212" s="15">
        <v>8</v>
      </c>
      <c r="F212" s="15">
        <v>7</v>
      </c>
      <c r="G212" s="15">
        <v>7</v>
      </c>
      <c r="H212" s="15">
        <v>7</v>
      </c>
      <c r="I212" s="15">
        <v>6</v>
      </c>
      <c r="J212" s="15">
        <v>7</v>
      </c>
      <c r="K212" s="15" t="s">
        <v>291</v>
      </c>
      <c r="L212" s="15" t="s">
        <v>291</v>
      </c>
      <c r="M212" s="15" t="s">
        <v>291</v>
      </c>
      <c r="N212" s="15">
        <v>42</v>
      </c>
      <c r="O212" s="15">
        <v>46</v>
      </c>
      <c r="P212" s="15">
        <v>59</v>
      </c>
      <c r="Q212" s="15">
        <v>86</v>
      </c>
      <c r="R212" s="15">
        <v>171</v>
      </c>
      <c r="S212" s="15">
        <v>174</v>
      </c>
      <c r="T212" s="15">
        <v>208</v>
      </c>
      <c r="U212" s="15">
        <v>193</v>
      </c>
      <c r="V212" s="15">
        <v>220</v>
      </c>
      <c r="W212" s="15">
        <v>189</v>
      </c>
      <c r="X212" s="15">
        <v>354</v>
      </c>
      <c r="Y212" s="15">
        <v>181</v>
      </c>
      <c r="Z212" s="15">
        <v>365</v>
      </c>
      <c r="AA212" s="15">
        <v>218</v>
      </c>
      <c r="AB212" s="15">
        <v>260</v>
      </c>
      <c r="AC212" s="284">
        <v>331</v>
      </c>
      <c r="AD212" s="284">
        <v>296</v>
      </c>
      <c r="AE212" s="284">
        <v>326</v>
      </c>
      <c r="AF212" s="284">
        <v>368</v>
      </c>
      <c r="AG212" s="15">
        <v>413</v>
      </c>
      <c r="AH212" s="15">
        <v>449</v>
      </c>
      <c r="AI212" s="15">
        <v>564</v>
      </c>
      <c r="AJ212" s="15">
        <v>616</v>
      </c>
    </row>
    <row r="213" spans="1:36">
      <c r="A213" s="15" t="s">
        <v>307</v>
      </c>
      <c r="B213" s="15" t="s">
        <v>273</v>
      </c>
      <c r="C213" s="15" t="s">
        <v>273</v>
      </c>
      <c r="D213" s="15" t="s">
        <v>273</v>
      </c>
      <c r="E213" s="15" t="s">
        <v>273</v>
      </c>
      <c r="F213" s="15" t="s">
        <v>273</v>
      </c>
      <c r="G213" s="15" t="s">
        <v>273</v>
      </c>
      <c r="H213" s="15" t="s">
        <v>273</v>
      </c>
      <c r="I213" s="15" t="s">
        <v>273</v>
      </c>
      <c r="J213" s="15" t="s">
        <v>273</v>
      </c>
      <c r="K213" s="15" t="s">
        <v>273</v>
      </c>
      <c r="L213" s="15" t="s">
        <v>273</v>
      </c>
      <c r="M213" s="15" t="s">
        <v>273</v>
      </c>
      <c r="N213" s="15" t="s">
        <v>273</v>
      </c>
      <c r="O213" s="15" t="s">
        <v>273</v>
      </c>
      <c r="P213" s="15" t="s">
        <v>273</v>
      </c>
      <c r="Q213" s="15" t="s">
        <v>273</v>
      </c>
      <c r="R213" s="15" t="s">
        <v>273</v>
      </c>
      <c r="S213" s="15">
        <v>4</v>
      </c>
      <c r="T213" s="15">
        <v>4</v>
      </c>
      <c r="U213" s="15">
        <v>4</v>
      </c>
      <c r="V213" s="15">
        <v>4</v>
      </c>
      <c r="W213" s="15">
        <v>4</v>
      </c>
      <c r="X213" s="15">
        <v>3</v>
      </c>
      <c r="Y213" s="15">
        <v>3</v>
      </c>
      <c r="Z213" s="15">
        <v>3</v>
      </c>
      <c r="AA213" s="15">
        <v>3</v>
      </c>
      <c r="AB213" s="15">
        <v>3</v>
      </c>
      <c r="AC213" s="284" t="s">
        <v>306</v>
      </c>
      <c r="AD213" s="284" t="s">
        <v>306</v>
      </c>
      <c r="AE213" s="284" t="s">
        <v>306</v>
      </c>
      <c r="AF213" s="284" t="s">
        <v>306</v>
      </c>
      <c r="AG213" s="15" t="s">
        <v>306</v>
      </c>
      <c r="AH213" s="15" t="s">
        <v>306</v>
      </c>
      <c r="AI213" s="15" t="s">
        <v>306</v>
      </c>
      <c r="AJ213" s="15" t="s">
        <v>306</v>
      </c>
    </row>
    <row r="214" spans="1:36">
      <c r="A214" s="15" t="s">
        <v>305</v>
      </c>
      <c r="B214" s="15" t="s">
        <v>291</v>
      </c>
      <c r="C214" s="15" t="s">
        <v>291</v>
      </c>
      <c r="D214" s="15">
        <v>19</v>
      </c>
      <c r="E214" s="15">
        <v>19</v>
      </c>
      <c r="F214" s="15">
        <v>-8</v>
      </c>
      <c r="G214" s="15">
        <v>4</v>
      </c>
      <c r="H214" s="15">
        <v>6</v>
      </c>
      <c r="I214" s="15">
        <v>17</v>
      </c>
      <c r="J214" s="15">
        <v>26</v>
      </c>
      <c r="K214" s="15">
        <v>33</v>
      </c>
      <c r="L214" s="15">
        <v>42</v>
      </c>
      <c r="M214" s="15">
        <v>47</v>
      </c>
      <c r="N214" s="15">
        <v>12</v>
      </c>
      <c r="O214" s="15">
        <v>30</v>
      </c>
      <c r="P214" s="15">
        <v>-18</v>
      </c>
      <c r="Q214" s="15">
        <v>10</v>
      </c>
      <c r="R214" s="15">
        <v>62</v>
      </c>
      <c r="S214" s="15">
        <v>21</v>
      </c>
      <c r="T214" s="15">
        <v>-2</v>
      </c>
      <c r="U214" s="15">
        <v>-17</v>
      </c>
      <c r="V214" s="15">
        <v>-33</v>
      </c>
      <c r="W214" s="15">
        <v>-27</v>
      </c>
      <c r="X214" s="15">
        <v>-6</v>
      </c>
      <c r="Y214" s="15">
        <v>-25</v>
      </c>
      <c r="Z214" s="15">
        <v>27</v>
      </c>
      <c r="AA214" s="15">
        <v>28</v>
      </c>
      <c r="AB214" s="15">
        <v>27</v>
      </c>
      <c r="AC214" s="284">
        <v>60</v>
      </c>
      <c r="AD214" s="284">
        <v>103</v>
      </c>
      <c r="AE214" s="284">
        <v>99</v>
      </c>
      <c r="AF214" s="284">
        <v>116</v>
      </c>
      <c r="AG214" s="15">
        <v>31</v>
      </c>
      <c r="AH214" s="15">
        <v>21</v>
      </c>
      <c r="AI214" s="15">
        <v>22</v>
      </c>
      <c r="AJ214" s="15">
        <v>30</v>
      </c>
    </row>
    <row r="215" spans="1:36">
      <c r="A215" s="15" t="s">
        <v>304</v>
      </c>
      <c r="B215" s="15">
        <v>0</v>
      </c>
      <c r="C215" s="15">
        <v>0</v>
      </c>
      <c r="D215" s="15">
        <v>0</v>
      </c>
      <c r="E215" s="15">
        <v>0</v>
      </c>
      <c r="F215" s="15">
        <v>0</v>
      </c>
      <c r="G215" s="15" t="s">
        <v>306</v>
      </c>
      <c r="H215" s="15" t="s">
        <v>306</v>
      </c>
      <c r="I215" s="15" t="s">
        <v>291</v>
      </c>
      <c r="J215" s="15" t="s">
        <v>291</v>
      </c>
      <c r="K215" s="15">
        <v>55</v>
      </c>
      <c r="L215" s="15">
        <v>45</v>
      </c>
      <c r="M215" s="15" t="s">
        <v>291</v>
      </c>
      <c r="N215" s="15" t="s">
        <v>291</v>
      </c>
      <c r="O215" s="15">
        <v>61</v>
      </c>
      <c r="P215" s="15">
        <v>90</v>
      </c>
      <c r="Q215" s="15" t="s">
        <v>291</v>
      </c>
      <c r="R215" s="15" t="s">
        <v>291</v>
      </c>
      <c r="S215" s="15" t="s">
        <v>291</v>
      </c>
      <c r="T215" s="15" t="s">
        <v>291</v>
      </c>
      <c r="U215" s="15" t="s">
        <v>291</v>
      </c>
      <c r="V215" s="15" t="s">
        <v>291</v>
      </c>
      <c r="W215" s="15" t="s">
        <v>291</v>
      </c>
      <c r="X215" s="15" t="s">
        <v>306</v>
      </c>
      <c r="Y215" s="15">
        <v>1</v>
      </c>
      <c r="Z215" s="15" t="s">
        <v>306</v>
      </c>
      <c r="AA215" s="15" t="s">
        <v>306</v>
      </c>
      <c r="AB215" s="15" t="s">
        <v>306</v>
      </c>
      <c r="AC215" s="284" t="s">
        <v>306</v>
      </c>
      <c r="AD215" s="284" t="s">
        <v>306</v>
      </c>
      <c r="AE215" s="284">
        <v>1</v>
      </c>
      <c r="AF215" s="284">
        <v>1</v>
      </c>
      <c r="AG215" s="15">
        <v>1</v>
      </c>
      <c r="AH215" s="15">
        <v>1</v>
      </c>
      <c r="AI215" s="15">
        <v>1</v>
      </c>
      <c r="AJ215" s="15">
        <v>1</v>
      </c>
    </row>
    <row r="216" spans="1:36">
      <c r="A216" s="15" t="s">
        <v>303</v>
      </c>
      <c r="B216" s="15" t="s">
        <v>273</v>
      </c>
      <c r="C216" s="15" t="s">
        <v>273</v>
      </c>
      <c r="D216" s="15" t="s">
        <v>273</v>
      </c>
      <c r="E216" s="15" t="s">
        <v>273</v>
      </c>
      <c r="F216" s="15" t="s">
        <v>273</v>
      </c>
      <c r="G216" s="15" t="s">
        <v>273</v>
      </c>
      <c r="H216" s="15" t="s">
        <v>273</v>
      </c>
      <c r="I216" s="15" t="s">
        <v>273</v>
      </c>
      <c r="J216" s="15" t="s">
        <v>273</v>
      </c>
      <c r="K216" s="15" t="s">
        <v>273</v>
      </c>
      <c r="L216" s="15" t="s">
        <v>273</v>
      </c>
      <c r="M216" s="15" t="s">
        <v>273</v>
      </c>
      <c r="N216" s="15">
        <v>0</v>
      </c>
      <c r="O216" s="15">
        <v>0</v>
      </c>
      <c r="P216" s="15">
        <v>0</v>
      </c>
      <c r="Q216" s="15">
        <v>0</v>
      </c>
      <c r="R216" s="15">
        <v>-1</v>
      </c>
      <c r="S216" s="15">
        <v>-2</v>
      </c>
      <c r="T216" s="15">
        <v>1</v>
      </c>
      <c r="U216" s="15">
        <v>1</v>
      </c>
      <c r="V216" s="15">
        <v>1</v>
      </c>
      <c r="W216" s="15">
        <v>1</v>
      </c>
      <c r="X216" s="15">
        <v>-2</v>
      </c>
      <c r="Y216" s="15">
        <v>-2</v>
      </c>
      <c r="Z216" s="15">
        <v>-2</v>
      </c>
      <c r="AA216" s="15">
        <v>-2</v>
      </c>
      <c r="AB216" s="15">
        <v>-2</v>
      </c>
      <c r="AC216" s="284">
        <v>25</v>
      </c>
      <c r="AD216" s="284">
        <v>30</v>
      </c>
      <c r="AE216" s="284">
        <v>37</v>
      </c>
      <c r="AF216" s="284">
        <v>54</v>
      </c>
      <c r="AG216" s="15" t="s">
        <v>291</v>
      </c>
      <c r="AH216" s="15" t="s">
        <v>291</v>
      </c>
      <c r="AI216" s="15" t="s">
        <v>291</v>
      </c>
      <c r="AJ216" s="15" t="s">
        <v>291</v>
      </c>
    </row>
    <row r="217" spans="1:36">
      <c r="A217" s="15" t="s">
        <v>300</v>
      </c>
      <c r="B217" s="15" t="s">
        <v>291</v>
      </c>
      <c r="C217" s="15" t="s">
        <v>291</v>
      </c>
      <c r="D217" s="15" t="s">
        <v>291</v>
      </c>
      <c r="E217" s="15" t="s">
        <v>291</v>
      </c>
      <c r="F217" s="15" t="s">
        <v>291</v>
      </c>
      <c r="G217" s="15" t="s">
        <v>291</v>
      </c>
      <c r="H217" s="15" t="s">
        <v>291</v>
      </c>
      <c r="I217" s="15">
        <v>1</v>
      </c>
      <c r="J217" s="15">
        <v>1</v>
      </c>
      <c r="K217" s="15">
        <v>1</v>
      </c>
      <c r="L217" s="15">
        <v>1</v>
      </c>
      <c r="M217" s="15">
        <v>1</v>
      </c>
      <c r="N217" s="15">
        <v>-3</v>
      </c>
      <c r="O217" s="15">
        <v>-1</v>
      </c>
      <c r="P217" s="15">
        <v>17</v>
      </c>
      <c r="Q217" s="15">
        <v>20</v>
      </c>
      <c r="R217" s="15">
        <v>14</v>
      </c>
      <c r="S217" s="15">
        <v>32</v>
      </c>
      <c r="T217" s="15">
        <v>13</v>
      </c>
      <c r="U217" s="15">
        <v>23</v>
      </c>
      <c r="V217" s="15" t="s">
        <v>291</v>
      </c>
      <c r="W217" s="15">
        <v>32</v>
      </c>
      <c r="X217" s="15">
        <v>38</v>
      </c>
      <c r="Y217" s="15">
        <v>42</v>
      </c>
      <c r="Z217" s="15">
        <v>43</v>
      </c>
      <c r="AA217" s="15">
        <v>48</v>
      </c>
      <c r="AB217" s="15">
        <v>44</v>
      </c>
      <c r="AC217" s="284">
        <v>27</v>
      </c>
      <c r="AD217" s="284">
        <v>20</v>
      </c>
      <c r="AE217" s="284">
        <v>-12</v>
      </c>
      <c r="AF217" s="284" t="s">
        <v>291</v>
      </c>
      <c r="AG217" s="15">
        <v>-40</v>
      </c>
      <c r="AH217" s="15">
        <v>31</v>
      </c>
      <c r="AI217" s="15">
        <v>45</v>
      </c>
      <c r="AJ217" s="15">
        <v>22</v>
      </c>
    </row>
    <row r="218" spans="1:36">
      <c r="A218" s="15" t="s">
        <v>299</v>
      </c>
      <c r="B218" s="15">
        <v>6</v>
      </c>
      <c r="C218" s="15">
        <v>2</v>
      </c>
      <c r="D218" s="15">
        <v>2</v>
      </c>
      <c r="E218" s="15">
        <v>2</v>
      </c>
      <c r="F218" s="15">
        <v>3</v>
      </c>
      <c r="G218" s="15">
        <v>4</v>
      </c>
      <c r="H218" s="15">
        <v>4</v>
      </c>
      <c r="I218" s="15">
        <v>3</v>
      </c>
      <c r="J218" s="15">
        <v>6</v>
      </c>
      <c r="K218" s="15">
        <v>6</v>
      </c>
      <c r="L218" s="15">
        <v>10</v>
      </c>
      <c r="M218" s="15">
        <v>7</v>
      </c>
      <c r="N218" s="15">
        <v>10</v>
      </c>
      <c r="O218" s="15" t="s">
        <v>291</v>
      </c>
      <c r="P218" s="15">
        <v>13</v>
      </c>
      <c r="Q218" s="15">
        <v>15</v>
      </c>
      <c r="R218" s="15">
        <v>16</v>
      </c>
      <c r="S218" s="15">
        <v>18</v>
      </c>
      <c r="T218" s="15">
        <v>7</v>
      </c>
      <c r="U218" s="15">
        <v>5</v>
      </c>
      <c r="V218" s="15">
        <v>6</v>
      </c>
      <c r="W218" s="15">
        <v>7</v>
      </c>
      <c r="X218" s="15">
        <v>5</v>
      </c>
      <c r="Y218" s="15">
        <v>9</v>
      </c>
      <c r="Z218" s="15" t="s">
        <v>291</v>
      </c>
      <c r="AA218" s="15">
        <v>1</v>
      </c>
      <c r="AB218" s="15">
        <v>1</v>
      </c>
      <c r="AC218" s="284" t="s">
        <v>306</v>
      </c>
      <c r="AD218" s="284">
        <v>0</v>
      </c>
      <c r="AE218" s="284">
        <v>0</v>
      </c>
      <c r="AF218" s="284">
        <v>0</v>
      </c>
      <c r="AG218" s="15">
        <v>0</v>
      </c>
      <c r="AH218" s="15">
        <v>0</v>
      </c>
      <c r="AI218" s="15">
        <v>0</v>
      </c>
      <c r="AJ218" s="15">
        <v>0</v>
      </c>
    </row>
    <row r="219" spans="1:36">
      <c r="A219" s="15" t="s">
        <v>298</v>
      </c>
      <c r="B219" s="15">
        <v>3</v>
      </c>
      <c r="C219" s="15">
        <v>3</v>
      </c>
      <c r="D219" s="15">
        <v>3</v>
      </c>
      <c r="E219" s="15">
        <v>4</v>
      </c>
      <c r="F219" s="15">
        <v>5</v>
      </c>
      <c r="G219" s="15">
        <v>7</v>
      </c>
      <c r="H219" s="15">
        <v>7</v>
      </c>
      <c r="I219" s="15">
        <v>9</v>
      </c>
      <c r="J219" s="15">
        <v>21</v>
      </c>
      <c r="K219" s="15">
        <v>27</v>
      </c>
      <c r="L219" s="15">
        <v>37</v>
      </c>
      <c r="M219" s="15">
        <v>42</v>
      </c>
      <c r="N219" s="15" t="s">
        <v>291</v>
      </c>
      <c r="O219" s="15" t="s">
        <v>291</v>
      </c>
      <c r="P219" s="15" t="s">
        <v>291</v>
      </c>
      <c r="Q219" s="15" t="s">
        <v>291</v>
      </c>
      <c r="R219" s="15" t="s">
        <v>291</v>
      </c>
      <c r="S219" s="15">
        <v>109</v>
      </c>
      <c r="T219" s="15" t="s">
        <v>291</v>
      </c>
      <c r="U219" s="15" t="s">
        <v>291</v>
      </c>
      <c r="V219" s="15" t="s">
        <v>291</v>
      </c>
      <c r="W219" s="15">
        <v>8</v>
      </c>
      <c r="X219" s="15" t="s">
        <v>291</v>
      </c>
      <c r="Y219" s="15" t="s">
        <v>291</v>
      </c>
      <c r="Z219" s="15" t="s">
        <v>291</v>
      </c>
      <c r="AA219" s="15" t="s">
        <v>291</v>
      </c>
      <c r="AB219" s="15" t="s">
        <v>291</v>
      </c>
      <c r="AC219" s="284" t="s">
        <v>291</v>
      </c>
      <c r="AD219" s="284" t="s">
        <v>291</v>
      </c>
      <c r="AE219" s="284" t="s">
        <v>291</v>
      </c>
      <c r="AF219" s="284" t="s">
        <v>291</v>
      </c>
      <c r="AG219" s="15" t="s">
        <v>291</v>
      </c>
      <c r="AH219" s="15" t="s">
        <v>291</v>
      </c>
      <c r="AI219" s="15" t="s">
        <v>291</v>
      </c>
      <c r="AJ219" s="15" t="s">
        <v>291</v>
      </c>
    </row>
    <row r="220" spans="1:36" s="284" customFormat="1">
      <c r="A220" s="284" t="s">
        <v>1119</v>
      </c>
      <c r="AC220" s="284">
        <v>0</v>
      </c>
      <c r="AD220" s="284">
        <v>0</v>
      </c>
      <c r="AE220" s="284">
        <v>0</v>
      </c>
      <c r="AF220" s="284">
        <v>0</v>
      </c>
      <c r="AG220" s="284">
        <v>0</v>
      </c>
      <c r="AH220" s="284">
        <v>0</v>
      </c>
      <c r="AI220" s="284">
        <v>0</v>
      </c>
      <c r="AJ220" s="284">
        <v>0</v>
      </c>
    </row>
    <row r="221" spans="1:36">
      <c r="A221" s="15" t="s">
        <v>297</v>
      </c>
      <c r="B221" s="15" t="s">
        <v>273</v>
      </c>
      <c r="C221" s="15" t="s">
        <v>273</v>
      </c>
      <c r="D221" s="15" t="s">
        <v>273</v>
      </c>
      <c r="E221" s="15" t="s">
        <v>273</v>
      </c>
      <c r="F221" s="15" t="s">
        <v>273</v>
      </c>
      <c r="G221" s="15" t="s">
        <v>273</v>
      </c>
      <c r="H221" s="15" t="s">
        <v>273</v>
      </c>
      <c r="I221" s="15">
        <v>0</v>
      </c>
      <c r="J221" s="15">
        <v>0</v>
      </c>
      <c r="K221" s="15">
        <v>0</v>
      </c>
      <c r="L221" s="15">
        <v>0</v>
      </c>
      <c r="M221" s="15">
        <v>0</v>
      </c>
      <c r="N221" s="15">
        <v>1</v>
      </c>
      <c r="O221" s="15" t="s">
        <v>306</v>
      </c>
      <c r="P221" s="15">
        <v>-2</v>
      </c>
      <c r="Q221" s="15">
        <v>-4</v>
      </c>
      <c r="R221" s="15">
        <v>-6</v>
      </c>
      <c r="S221" s="15" t="s">
        <v>306</v>
      </c>
      <c r="T221" s="15" t="s">
        <v>306</v>
      </c>
      <c r="U221" s="15" t="s">
        <v>306</v>
      </c>
      <c r="V221" s="15" t="s">
        <v>306</v>
      </c>
      <c r="W221" s="15" t="s">
        <v>306</v>
      </c>
      <c r="X221" s="15">
        <v>-3</v>
      </c>
      <c r="Y221" s="15">
        <v>-3</v>
      </c>
      <c r="Z221" s="15">
        <v>-3</v>
      </c>
      <c r="AA221" s="15">
        <v>-3</v>
      </c>
      <c r="AB221" s="15">
        <v>-3</v>
      </c>
      <c r="AC221" s="284">
        <v>0</v>
      </c>
      <c r="AD221" s="284">
        <v>0</v>
      </c>
      <c r="AE221" s="284">
        <v>0</v>
      </c>
      <c r="AF221" s="284">
        <v>0</v>
      </c>
      <c r="AG221" s="15">
        <v>0</v>
      </c>
      <c r="AH221" s="15">
        <v>0</v>
      </c>
      <c r="AI221" s="15">
        <v>0</v>
      </c>
      <c r="AJ221" s="15">
        <v>0</v>
      </c>
    </row>
    <row r="222" spans="1:36">
      <c r="A222" s="15" t="s">
        <v>296</v>
      </c>
      <c r="B222" s="15">
        <v>0</v>
      </c>
      <c r="C222" s="15">
        <v>1</v>
      </c>
      <c r="D222" s="15">
        <v>2</v>
      </c>
      <c r="E222" s="15">
        <v>3</v>
      </c>
      <c r="F222" s="15">
        <v>4</v>
      </c>
      <c r="G222" s="15">
        <v>6</v>
      </c>
      <c r="H222" s="15">
        <v>8</v>
      </c>
      <c r="I222" s="15">
        <v>13</v>
      </c>
      <c r="J222" s="15">
        <v>13</v>
      </c>
      <c r="K222" s="15" t="s">
        <v>291</v>
      </c>
      <c r="L222" s="15" t="s">
        <v>291</v>
      </c>
      <c r="M222" s="15">
        <v>4</v>
      </c>
      <c r="N222" s="15">
        <v>2</v>
      </c>
      <c r="O222" s="15">
        <v>3</v>
      </c>
      <c r="P222" s="15">
        <v>4</v>
      </c>
      <c r="Q222" s="15">
        <v>6</v>
      </c>
      <c r="R222" s="15">
        <v>7</v>
      </c>
      <c r="S222" s="15">
        <v>3</v>
      </c>
      <c r="T222" s="15">
        <v>3</v>
      </c>
      <c r="U222" s="15">
        <v>3</v>
      </c>
      <c r="V222" s="15" t="s">
        <v>291</v>
      </c>
      <c r="W222" s="15" t="s">
        <v>291</v>
      </c>
      <c r="X222" s="15">
        <v>40</v>
      </c>
      <c r="Y222" s="15" t="s">
        <v>291</v>
      </c>
      <c r="Z222" s="15">
        <v>259</v>
      </c>
      <c r="AA222" s="15">
        <v>1511</v>
      </c>
      <c r="AB222" s="15">
        <v>2707</v>
      </c>
      <c r="AC222" s="284">
        <v>1013</v>
      </c>
      <c r="AD222" s="284">
        <v>938</v>
      </c>
      <c r="AE222" s="284">
        <v>808</v>
      </c>
      <c r="AF222" s="284">
        <v>1279</v>
      </c>
      <c r="AG222" s="15">
        <v>929</v>
      </c>
      <c r="AH222" s="15">
        <v>1344</v>
      </c>
      <c r="AI222" s="15">
        <v>1585</v>
      </c>
      <c r="AJ222" s="15">
        <v>1643</v>
      </c>
    </row>
    <row r="223" spans="1:36">
      <c r="A223" s="15" t="s">
        <v>295</v>
      </c>
      <c r="B223" s="15" t="s">
        <v>273</v>
      </c>
      <c r="C223" s="15" t="s">
        <v>273</v>
      </c>
      <c r="D223" s="15" t="s">
        <v>273</v>
      </c>
      <c r="E223" s="15" t="s">
        <v>273</v>
      </c>
      <c r="F223" s="15" t="s">
        <v>273</v>
      </c>
      <c r="G223" s="15" t="s">
        <v>273</v>
      </c>
      <c r="H223" s="15" t="s">
        <v>273</v>
      </c>
      <c r="I223" s="15" t="s">
        <v>273</v>
      </c>
      <c r="J223" s="15" t="s">
        <v>273</v>
      </c>
      <c r="K223" s="15" t="s">
        <v>273</v>
      </c>
      <c r="L223" s="15" t="s">
        <v>273</v>
      </c>
      <c r="M223" s="15" t="s">
        <v>273</v>
      </c>
      <c r="N223" s="15" t="s">
        <v>273</v>
      </c>
      <c r="O223" s="15" t="s">
        <v>273</v>
      </c>
      <c r="P223" s="15" t="s">
        <v>273</v>
      </c>
      <c r="Q223" s="15" t="s">
        <v>273</v>
      </c>
      <c r="R223" s="15" t="s">
        <v>273</v>
      </c>
      <c r="S223" s="15" t="s">
        <v>273</v>
      </c>
      <c r="T223" s="15" t="s">
        <v>273</v>
      </c>
      <c r="U223" s="15" t="s">
        <v>273</v>
      </c>
      <c r="V223" s="15" t="s">
        <v>273</v>
      </c>
      <c r="W223" s="15" t="s">
        <v>273</v>
      </c>
      <c r="X223" s="15">
        <v>1</v>
      </c>
      <c r="Y223" s="15">
        <v>1</v>
      </c>
      <c r="Z223" s="15">
        <v>1</v>
      </c>
      <c r="AA223" s="15">
        <v>1</v>
      </c>
      <c r="AB223" s="15">
        <v>1</v>
      </c>
      <c r="AC223" s="284">
        <v>1</v>
      </c>
      <c r="AD223" s="284">
        <v>1</v>
      </c>
      <c r="AE223" s="284">
        <v>1</v>
      </c>
      <c r="AF223" s="284">
        <v>1</v>
      </c>
      <c r="AG223" s="15">
        <v>1</v>
      </c>
      <c r="AH223" s="15" t="s">
        <v>291</v>
      </c>
      <c r="AI223" s="15" t="s">
        <v>291</v>
      </c>
      <c r="AJ223" s="15" t="s">
        <v>291</v>
      </c>
    </row>
    <row r="224" spans="1:36">
      <c r="A224" s="15" t="s">
        <v>294</v>
      </c>
      <c r="B224" s="15">
        <v>0</v>
      </c>
      <c r="C224" s="15">
        <v>0</v>
      </c>
      <c r="D224" s="15">
        <v>0</v>
      </c>
      <c r="E224" s="15">
        <v>0</v>
      </c>
      <c r="F224" s="15">
        <v>0</v>
      </c>
      <c r="G224" s="15">
        <v>1</v>
      </c>
      <c r="H224" s="15">
        <v>2</v>
      </c>
      <c r="I224" s="15">
        <v>2</v>
      </c>
      <c r="J224" s="15">
        <v>2</v>
      </c>
      <c r="K224" s="15">
        <v>3</v>
      </c>
      <c r="L224" s="15">
        <v>4</v>
      </c>
      <c r="M224" s="15">
        <v>4</v>
      </c>
      <c r="N224" s="15">
        <v>4</v>
      </c>
      <c r="O224" s="15">
        <v>-1</v>
      </c>
      <c r="P224" s="15">
        <v>-5</v>
      </c>
      <c r="Q224" s="15">
        <v>-9</v>
      </c>
      <c r="R224" s="15" t="s">
        <v>291</v>
      </c>
      <c r="S224" s="15">
        <v>515</v>
      </c>
      <c r="T224" s="15">
        <v>1391</v>
      </c>
      <c r="U224" s="15">
        <v>1632</v>
      </c>
      <c r="V224" s="15">
        <v>1652</v>
      </c>
      <c r="W224" s="15">
        <v>1610</v>
      </c>
      <c r="X224" s="15" t="s">
        <v>291</v>
      </c>
      <c r="Y224" s="15" t="s">
        <v>291</v>
      </c>
      <c r="Z224" s="15">
        <v>2917</v>
      </c>
      <c r="AA224" s="15" t="s">
        <v>291</v>
      </c>
      <c r="AB224" s="15" t="s">
        <v>291</v>
      </c>
      <c r="AC224" s="284" t="s">
        <v>291</v>
      </c>
      <c r="AD224" s="284" t="s">
        <v>291</v>
      </c>
      <c r="AE224" s="284" t="s">
        <v>291</v>
      </c>
      <c r="AF224" s="284">
        <v>2138</v>
      </c>
      <c r="AG224" s="15">
        <v>1937</v>
      </c>
      <c r="AH224" s="15">
        <v>1694</v>
      </c>
      <c r="AI224" s="15">
        <v>2115</v>
      </c>
      <c r="AJ224" s="15">
        <v>2160</v>
      </c>
    </row>
    <row r="225" spans="1:36">
      <c r="A225" s="15" t="s">
        <v>293</v>
      </c>
      <c r="B225" s="15" t="s">
        <v>273</v>
      </c>
      <c r="C225" s="15" t="s">
        <v>273</v>
      </c>
      <c r="D225" s="15" t="s">
        <v>273</v>
      </c>
      <c r="E225" s="15" t="s">
        <v>273</v>
      </c>
      <c r="F225" s="15" t="s">
        <v>273</v>
      </c>
      <c r="G225" s="15" t="s">
        <v>273</v>
      </c>
      <c r="H225" s="15" t="s">
        <v>273</v>
      </c>
      <c r="I225" s="15" t="s">
        <v>273</v>
      </c>
      <c r="J225" s="15" t="s">
        <v>273</v>
      </c>
      <c r="K225" s="15" t="s">
        <v>273</v>
      </c>
      <c r="L225" s="15" t="s">
        <v>273</v>
      </c>
      <c r="M225" s="15" t="s">
        <v>273</v>
      </c>
      <c r="N225" s="15" t="s">
        <v>291</v>
      </c>
      <c r="O225" s="15" t="s">
        <v>291</v>
      </c>
      <c r="P225" s="15" t="s">
        <v>291</v>
      </c>
      <c r="Q225" s="15" t="s">
        <v>291</v>
      </c>
      <c r="R225" s="15" t="s">
        <v>291</v>
      </c>
      <c r="S225" s="15">
        <v>28</v>
      </c>
      <c r="T225" s="15" t="s">
        <v>291</v>
      </c>
      <c r="U225" s="15" t="s">
        <v>291</v>
      </c>
      <c r="V225" s="15" t="s">
        <v>291</v>
      </c>
      <c r="W225" s="15" t="s">
        <v>291</v>
      </c>
      <c r="X225" s="15" t="s">
        <v>291</v>
      </c>
      <c r="Y225" s="15" t="s">
        <v>291</v>
      </c>
      <c r="Z225" s="15" t="s">
        <v>291</v>
      </c>
      <c r="AA225" s="15" t="s">
        <v>291</v>
      </c>
      <c r="AB225" s="15" t="s">
        <v>291</v>
      </c>
      <c r="AC225" s="284" t="s">
        <v>291</v>
      </c>
      <c r="AD225" s="284">
        <v>27</v>
      </c>
      <c r="AE225" s="284">
        <v>29</v>
      </c>
      <c r="AF225" s="284">
        <v>30</v>
      </c>
      <c r="AG225" s="15" t="s">
        <v>291</v>
      </c>
      <c r="AH225" s="15" t="s">
        <v>291</v>
      </c>
      <c r="AI225" s="15" t="s">
        <v>291</v>
      </c>
      <c r="AJ225" s="15" t="s">
        <v>291</v>
      </c>
    </row>
    <row r="226" spans="1:36">
      <c r="A226" s="15" t="s">
        <v>292</v>
      </c>
      <c r="B226" s="15" t="s">
        <v>273</v>
      </c>
      <c r="C226" s="15" t="s">
        <v>273</v>
      </c>
      <c r="D226" s="15" t="s">
        <v>273</v>
      </c>
      <c r="E226" s="15" t="s">
        <v>273</v>
      </c>
      <c r="F226" s="15" t="s">
        <v>273</v>
      </c>
      <c r="G226" s="15" t="s">
        <v>273</v>
      </c>
      <c r="H226" s="15" t="s">
        <v>273</v>
      </c>
      <c r="I226" s="15" t="s">
        <v>273</v>
      </c>
      <c r="J226" s="15" t="s">
        <v>273</v>
      </c>
      <c r="K226" s="15" t="s">
        <v>273</v>
      </c>
      <c r="L226" s="15" t="s">
        <v>273</v>
      </c>
      <c r="M226" s="15" t="s">
        <v>273</v>
      </c>
      <c r="N226" s="15" t="s">
        <v>273</v>
      </c>
      <c r="O226" s="15" t="s">
        <v>273</v>
      </c>
      <c r="P226" s="15" t="s">
        <v>273</v>
      </c>
      <c r="Q226" s="15" t="s">
        <v>273</v>
      </c>
      <c r="R226" s="15" t="s">
        <v>273</v>
      </c>
      <c r="S226" s="15" t="s">
        <v>273</v>
      </c>
      <c r="T226" s="15" t="s">
        <v>273</v>
      </c>
      <c r="U226" s="15" t="s">
        <v>273</v>
      </c>
      <c r="V226" s="15" t="s">
        <v>273</v>
      </c>
      <c r="W226" s="15" t="s">
        <v>273</v>
      </c>
      <c r="X226" s="15" t="s">
        <v>306</v>
      </c>
      <c r="Y226" s="15" t="s">
        <v>306</v>
      </c>
      <c r="Z226" s="15" t="s">
        <v>306</v>
      </c>
      <c r="AA226" s="15" t="s">
        <v>306</v>
      </c>
      <c r="AB226" s="15">
        <v>-3</v>
      </c>
      <c r="AC226" s="284">
        <v>2</v>
      </c>
      <c r="AD226" s="284">
        <v>-3</v>
      </c>
      <c r="AE226" s="284">
        <v>6</v>
      </c>
      <c r="AF226" s="284" t="s">
        <v>291</v>
      </c>
      <c r="AG226" s="15" t="s">
        <v>291</v>
      </c>
      <c r="AH226" s="15" t="s">
        <v>291</v>
      </c>
      <c r="AI226" s="15" t="s">
        <v>291</v>
      </c>
      <c r="AJ226" s="15" t="s">
        <v>291</v>
      </c>
    </row>
    <row r="227" spans="1:36">
      <c r="A227" s="15" t="s">
        <v>290</v>
      </c>
      <c r="B227" s="15" t="s">
        <v>273</v>
      </c>
      <c r="C227" s="15" t="s">
        <v>273</v>
      </c>
      <c r="D227" s="15" t="s">
        <v>273</v>
      </c>
      <c r="E227" s="15" t="s">
        <v>273</v>
      </c>
      <c r="F227" s="15" t="s">
        <v>273</v>
      </c>
      <c r="G227" s="15" t="s">
        <v>273</v>
      </c>
      <c r="H227" s="15" t="s">
        <v>273</v>
      </c>
      <c r="I227" s="15" t="s">
        <v>273</v>
      </c>
      <c r="J227" s="15" t="s">
        <v>273</v>
      </c>
      <c r="K227" s="15" t="s">
        <v>273</v>
      </c>
      <c r="L227" s="15" t="s">
        <v>273</v>
      </c>
      <c r="M227" s="15" t="s">
        <v>273</v>
      </c>
      <c r="N227" s="15" t="s">
        <v>273</v>
      </c>
      <c r="O227" s="15" t="s">
        <v>273</v>
      </c>
      <c r="P227" s="15" t="s">
        <v>273</v>
      </c>
      <c r="Q227" s="15" t="s">
        <v>273</v>
      </c>
      <c r="R227" s="15" t="s">
        <v>273</v>
      </c>
      <c r="S227" s="15">
        <v>1</v>
      </c>
      <c r="T227" s="15">
        <v>1</v>
      </c>
      <c r="U227" s="15">
        <v>1</v>
      </c>
      <c r="V227" s="15">
        <v>1</v>
      </c>
      <c r="W227" s="15">
        <v>1</v>
      </c>
      <c r="X227" s="15" t="s">
        <v>273</v>
      </c>
      <c r="Y227" s="15" t="s">
        <v>273</v>
      </c>
      <c r="Z227" s="15" t="s">
        <v>273</v>
      </c>
      <c r="AA227" s="15" t="s">
        <v>273</v>
      </c>
      <c r="AB227" s="15" t="s">
        <v>273</v>
      </c>
      <c r="AC227" s="284">
        <v>0</v>
      </c>
      <c r="AD227" s="284">
        <v>0</v>
      </c>
      <c r="AE227" s="284">
        <v>0</v>
      </c>
      <c r="AF227" s="284">
        <v>0</v>
      </c>
      <c r="AG227" s="15">
        <v>0</v>
      </c>
      <c r="AH227" s="15">
        <v>0</v>
      </c>
      <c r="AI227" s="15">
        <v>0</v>
      </c>
      <c r="AJ227" s="15">
        <v>0</v>
      </c>
    </row>
    <row r="228" spans="1:36">
      <c r="A228" s="15" t="s">
        <v>289</v>
      </c>
      <c r="B228" s="15" t="s">
        <v>273</v>
      </c>
      <c r="C228" s="15" t="s">
        <v>273</v>
      </c>
      <c r="D228" s="15" t="s">
        <v>273</v>
      </c>
      <c r="E228" s="15" t="s">
        <v>273</v>
      </c>
      <c r="F228" s="15" t="s">
        <v>273</v>
      </c>
      <c r="G228" s="15" t="s">
        <v>273</v>
      </c>
      <c r="H228" s="15" t="s">
        <v>273</v>
      </c>
      <c r="I228" s="15" t="s">
        <v>273</v>
      </c>
      <c r="J228" s="15" t="s">
        <v>273</v>
      </c>
      <c r="K228" s="15" t="s">
        <v>273</v>
      </c>
      <c r="L228" s="15" t="s">
        <v>273</v>
      </c>
      <c r="M228" s="15" t="s">
        <v>273</v>
      </c>
      <c r="N228" s="15" t="s">
        <v>273</v>
      </c>
      <c r="O228" s="15" t="s">
        <v>273</v>
      </c>
      <c r="P228" s="15" t="s">
        <v>273</v>
      </c>
      <c r="Q228" s="15" t="s">
        <v>273</v>
      </c>
      <c r="R228" s="15" t="s">
        <v>273</v>
      </c>
      <c r="S228" s="15">
        <v>4</v>
      </c>
      <c r="T228" s="15">
        <v>4</v>
      </c>
      <c r="U228" s="15">
        <v>4</v>
      </c>
      <c r="V228" s="15">
        <v>4</v>
      </c>
      <c r="W228" s="15">
        <v>2</v>
      </c>
      <c r="X228" s="15">
        <v>1</v>
      </c>
      <c r="Y228" s="15">
        <v>1</v>
      </c>
      <c r="Z228" s="15">
        <v>1</v>
      </c>
      <c r="AA228" s="15">
        <v>1</v>
      </c>
      <c r="AB228" s="15">
        <v>2</v>
      </c>
      <c r="AC228" s="284">
        <v>4</v>
      </c>
      <c r="AD228" s="284">
        <v>5</v>
      </c>
      <c r="AE228" s="284">
        <v>4</v>
      </c>
      <c r="AF228" s="284">
        <v>5</v>
      </c>
      <c r="AG228" s="15" t="s">
        <v>291</v>
      </c>
      <c r="AH228" s="15" t="s">
        <v>291</v>
      </c>
      <c r="AI228" s="15" t="s">
        <v>291</v>
      </c>
      <c r="AJ228" s="15" t="s">
        <v>291</v>
      </c>
    </row>
    <row r="229" spans="1:36">
      <c r="A229" s="15" t="s">
        <v>288</v>
      </c>
      <c r="B229" s="15">
        <v>129</v>
      </c>
      <c r="C229" s="15">
        <v>119</v>
      </c>
      <c r="D229" s="15">
        <v>123</v>
      </c>
      <c r="E229" s="15">
        <v>108</v>
      </c>
      <c r="F229" s="15">
        <v>108</v>
      </c>
      <c r="G229" s="15">
        <v>155</v>
      </c>
      <c r="H229" s="15">
        <v>177</v>
      </c>
      <c r="I229" s="15">
        <v>177</v>
      </c>
      <c r="J229" s="15">
        <v>184</v>
      </c>
      <c r="K229" s="15">
        <v>187</v>
      </c>
      <c r="L229" s="15">
        <v>245</v>
      </c>
      <c r="M229" s="15">
        <v>255</v>
      </c>
      <c r="N229" s="15">
        <v>389</v>
      </c>
      <c r="O229" s="15">
        <v>425</v>
      </c>
      <c r="P229" s="15">
        <v>497</v>
      </c>
      <c r="Q229" s="15">
        <v>548</v>
      </c>
      <c r="R229" s="15">
        <v>516</v>
      </c>
      <c r="S229" s="15">
        <v>595</v>
      </c>
      <c r="T229" s="15">
        <v>475</v>
      </c>
      <c r="U229" s="15">
        <v>522</v>
      </c>
      <c r="V229" s="15">
        <v>563</v>
      </c>
      <c r="W229" s="15">
        <v>755</v>
      </c>
      <c r="X229" s="15">
        <v>858</v>
      </c>
      <c r="Y229" s="15">
        <v>1130</v>
      </c>
      <c r="Z229" s="15">
        <v>1167</v>
      </c>
      <c r="AA229" s="15" t="s">
        <v>291</v>
      </c>
      <c r="AB229" s="15">
        <v>430</v>
      </c>
      <c r="AC229" s="284">
        <v>624</v>
      </c>
      <c r="AD229" s="284" t="s">
        <v>291</v>
      </c>
      <c r="AE229" s="284">
        <v>245</v>
      </c>
      <c r="AF229" s="284">
        <v>231</v>
      </c>
      <c r="AG229" s="15">
        <v>313</v>
      </c>
      <c r="AH229" s="15">
        <v>362</v>
      </c>
      <c r="AI229" s="15">
        <v>398</v>
      </c>
      <c r="AJ229" s="15">
        <v>409</v>
      </c>
    </row>
    <row r="230" spans="1:36">
      <c r="A230" s="15" t="s">
        <v>287</v>
      </c>
      <c r="B230" s="15">
        <v>0</v>
      </c>
      <c r="C230" s="15">
        <v>0</v>
      </c>
      <c r="D230" s="15">
        <v>0</v>
      </c>
      <c r="E230" s="15">
        <v>0</v>
      </c>
      <c r="F230" s="15">
        <v>0</v>
      </c>
      <c r="G230" s="15">
        <v>1</v>
      </c>
      <c r="H230" s="15">
        <v>1</v>
      </c>
      <c r="I230" s="15">
        <v>2</v>
      </c>
      <c r="J230" s="15">
        <v>3</v>
      </c>
      <c r="K230" s="15">
        <v>4</v>
      </c>
      <c r="L230" s="15">
        <v>5</v>
      </c>
      <c r="M230" s="15" t="s">
        <v>291</v>
      </c>
      <c r="N230" s="15" t="s">
        <v>291</v>
      </c>
      <c r="O230" s="15" t="s">
        <v>291</v>
      </c>
      <c r="P230" s="15" t="s">
        <v>291</v>
      </c>
      <c r="Q230" s="15" t="s">
        <v>291</v>
      </c>
      <c r="R230" s="15" t="s">
        <v>291</v>
      </c>
      <c r="S230" s="15" t="s">
        <v>291</v>
      </c>
      <c r="T230" s="15" t="s">
        <v>291</v>
      </c>
      <c r="U230" s="15" t="s">
        <v>291</v>
      </c>
      <c r="V230" s="15" t="s">
        <v>291</v>
      </c>
      <c r="W230" s="15" t="s">
        <v>291</v>
      </c>
      <c r="X230" s="15" t="s">
        <v>291</v>
      </c>
      <c r="Y230" s="15" t="s">
        <v>291</v>
      </c>
      <c r="Z230" s="15" t="s">
        <v>291</v>
      </c>
      <c r="AA230" s="15" t="s">
        <v>291</v>
      </c>
      <c r="AB230" s="15" t="s">
        <v>291</v>
      </c>
      <c r="AC230" s="284">
        <v>-36</v>
      </c>
      <c r="AD230" s="284">
        <v>-36</v>
      </c>
      <c r="AE230" s="284">
        <v>-36</v>
      </c>
      <c r="AF230" s="284">
        <v>-36</v>
      </c>
      <c r="AG230" s="15">
        <v>-36</v>
      </c>
      <c r="AH230" s="15">
        <v>-36</v>
      </c>
      <c r="AI230" s="15">
        <v>-36</v>
      </c>
      <c r="AJ230" s="15">
        <v>-36</v>
      </c>
    </row>
    <row r="231" spans="1:36">
      <c r="A231" s="15" t="s">
        <v>286</v>
      </c>
      <c r="B231" s="15">
        <v>57</v>
      </c>
      <c r="C231" s="15">
        <v>108</v>
      </c>
      <c r="D231" s="15">
        <v>159</v>
      </c>
      <c r="E231" s="15">
        <v>155</v>
      </c>
      <c r="F231" s="15">
        <v>156</v>
      </c>
      <c r="G231" s="15">
        <v>164</v>
      </c>
      <c r="H231" s="15">
        <v>185</v>
      </c>
      <c r="I231" s="15">
        <v>54</v>
      </c>
      <c r="J231" s="15">
        <v>43</v>
      </c>
      <c r="K231" s="15">
        <v>-33</v>
      </c>
      <c r="L231" s="15">
        <v>193</v>
      </c>
      <c r="M231" s="15">
        <v>215</v>
      </c>
      <c r="N231" s="15">
        <v>335</v>
      </c>
      <c r="O231" s="15">
        <v>135</v>
      </c>
      <c r="P231" s="15">
        <v>146</v>
      </c>
      <c r="Q231" s="15">
        <v>56</v>
      </c>
      <c r="R231" s="15">
        <v>49</v>
      </c>
      <c r="S231" s="15">
        <v>323</v>
      </c>
      <c r="T231" s="15">
        <v>73</v>
      </c>
      <c r="U231" s="15">
        <v>29</v>
      </c>
      <c r="V231" s="15">
        <v>30</v>
      </c>
      <c r="W231" s="15">
        <v>20</v>
      </c>
      <c r="X231" s="15">
        <v>12</v>
      </c>
      <c r="Y231" s="15">
        <v>-16</v>
      </c>
      <c r="Z231" s="15">
        <v>8</v>
      </c>
      <c r="AA231" s="15">
        <v>61</v>
      </c>
      <c r="AB231" s="15" t="s">
        <v>291</v>
      </c>
      <c r="AC231" s="284" t="s">
        <v>291</v>
      </c>
      <c r="AD231" s="284">
        <v>235</v>
      </c>
      <c r="AE231" s="284" t="s">
        <v>291</v>
      </c>
      <c r="AF231" s="284">
        <v>198</v>
      </c>
      <c r="AG231" s="15">
        <v>317</v>
      </c>
      <c r="AH231" s="15">
        <v>338</v>
      </c>
      <c r="AI231" s="15">
        <v>237</v>
      </c>
      <c r="AJ231" s="15">
        <v>239</v>
      </c>
    </row>
    <row r="232" spans="1:36">
      <c r="A232" s="15" t="s">
        <v>285</v>
      </c>
      <c r="B232" s="15" t="s">
        <v>273</v>
      </c>
      <c r="C232" s="15" t="s">
        <v>273</v>
      </c>
      <c r="D232" s="15" t="s">
        <v>273</v>
      </c>
      <c r="E232" s="15" t="s">
        <v>273</v>
      </c>
      <c r="F232" s="15" t="s">
        <v>273</v>
      </c>
      <c r="G232" s="15" t="s">
        <v>273</v>
      </c>
      <c r="H232" s="15" t="s">
        <v>273</v>
      </c>
      <c r="I232" s="15" t="s">
        <v>273</v>
      </c>
      <c r="J232" s="15" t="s">
        <v>273</v>
      </c>
      <c r="K232" s="15" t="s">
        <v>273</v>
      </c>
      <c r="L232" s="15" t="s">
        <v>273</v>
      </c>
      <c r="M232" s="15" t="s">
        <v>273</v>
      </c>
      <c r="N232" s="15">
        <v>1</v>
      </c>
      <c r="O232" s="15">
        <v>1</v>
      </c>
      <c r="P232" s="15">
        <v>1</v>
      </c>
      <c r="Q232" s="15">
        <v>1</v>
      </c>
      <c r="R232" s="15">
        <v>1</v>
      </c>
      <c r="S232" s="15">
        <v>1</v>
      </c>
      <c r="T232" s="15" t="s">
        <v>306</v>
      </c>
      <c r="U232" s="15" t="s">
        <v>306</v>
      </c>
      <c r="V232" s="15" t="s">
        <v>306</v>
      </c>
      <c r="W232" s="15" t="s">
        <v>306</v>
      </c>
      <c r="X232" s="15">
        <v>1</v>
      </c>
      <c r="Y232" s="15">
        <v>1</v>
      </c>
      <c r="Z232" s="15">
        <v>1</v>
      </c>
      <c r="AA232" s="15">
        <v>1</v>
      </c>
      <c r="AB232" s="15">
        <v>1</v>
      </c>
      <c r="AC232" s="284">
        <v>1</v>
      </c>
      <c r="AD232" s="284">
        <v>1</v>
      </c>
      <c r="AE232" s="284">
        <v>1</v>
      </c>
      <c r="AF232" s="284">
        <v>1</v>
      </c>
      <c r="AG232" s="15">
        <v>1</v>
      </c>
      <c r="AH232" s="15">
        <v>1</v>
      </c>
      <c r="AI232" s="15">
        <v>1</v>
      </c>
      <c r="AJ232" s="15">
        <v>1</v>
      </c>
    </row>
    <row r="233" spans="1:36">
      <c r="A233" s="15" t="s">
        <v>284</v>
      </c>
      <c r="B233" s="15" t="s">
        <v>273</v>
      </c>
      <c r="C233" s="15" t="s">
        <v>273</v>
      </c>
      <c r="D233" s="15" t="s">
        <v>273</v>
      </c>
      <c r="E233" s="15" t="s">
        <v>273</v>
      </c>
      <c r="F233" s="15" t="s">
        <v>273</v>
      </c>
      <c r="G233" s="15" t="s">
        <v>273</v>
      </c>
      <c r="H233" s="15" t="s">
        <v>273</v>
      </c>
      <c r="I233" s="15">
        <v>0</v>
      </c>
      <c r="J233" s="15">
        <v>0</v>
      </c>
      <c r="K233" s="15">
        <v>0</v>
      </c>
      <c r="L233" s="15">
        <v>0</v>
      </c>
      <c r="M233" s="15">
        <v>0</v>
      </c>
      <c r="N233" s="15">
        <v>2</v>
      </c>
      <c r="O233" s="15">
        <v>3</v>
      </c>
      <c r="P233" s="15">
        <v>3</v>
      </c>
      <c r="Q233" s="15">
        <v>2</v>
      </c>
      <c r="R233" s="15">
        <v>2</v>
      </c>
      <c r="S233" s="15">
        <v>3</v>
      </c>
      <c r="T233" s="15">
        <v>3</v>
      </c>
      <c r="U233" s="15">
        <v>0</v>
      </c>
      <c r="V233" s="15">
        <v>0</v>
      </c>
      <c r="W233" s="15">
        <v>0</v>
      </c>
      <c r="X233" s="15" t="s">
        <v>273</v>
      </c>
      <c r="Y233" s="15" t="s">
        <v>273</v>
      </c>
      <c r="Z233" s="15" t="s">
        <v>273</v>
      </c>
      <c r="AA233" s="15" t="s">
        <v>273</v>
      </c>
      <c r="AB233" s="15" t="s">
        <v>273</v>
      </c>
      <c r="AC233" s="284">
        <v>0</v>
      </c>
      <c r="AD233" s="284">
        <v>0</v>
      </c>
      <c r="AE233" s="284">
        <v>0</v>
      </c>
      <c r="AF233" s="284">
        <v>0</v>
      </c>
      <c r="AG233" s="15">
        <v>0</v>
      </c>
      <c r="AH233" s="15">
        <v>0</v>
      </c>
      <c r="AI233" s="15">
        <v>0</v>
      </c>
      <c r="AJ233" s="15">
        <v>0</v>
      </c>
    </row>
    <row r="234" spans="1:36">
      <c r="A234" s="15" t="s">
        <v>283</v>
      </c>
      <c r="B234" s="15">
        <v>11</v>
      </c>
      <c r="C234" s="15">
        <v>12</v>
      </c>
      <c r="D234" s="15">
        <v>10</v>
      </c>
      <c r="E234" s="15">
        <v>11</v>
      </c>
      <c r="F234" s="15">
        <v>12</v>
      </c>
      <c r="G234" s="15">
        <v>9</v>
      </c>
      <c r="H234" s="15">
        <v>11</v>
      </c>
      <c r="I234" s="15">
        <v>10</v>
      </c>
      <c r="J234" s="15">
        <v>12</v>
      </c>
      <c r="K234" s="15">
        <v>7</v>
      </c>
      <c r="L234" s="15">
        <v>9</v>
      </c>
      <c r="M234" s="15">
        <v>10</v>
      </c>
      <c r="N234" s="15">
        <v>21</v>
      </c>
      <c r="O234" s="15">
        <v>16</v>
      </c>
      <c r="P234" s="15">
        <v>19</v>
      </c>
      <c r="Q234" s="15">
        <v>22</v>
      </c>
      <c r="R234" s="15">
        <v>24</v>
      </c>
      <c r="S234" s="15">
        <v>27</v>
      </c>
      <c r="T234" s="15">
        <v>29</v>
      </c>
      <c r="U234" s="15">
        <v>45</v>
      </c>
      <c r="V234" s="15">
        <v>31</v>
      </c>
      <c r="W234" s="15">
        <v>47</v>
      </c>
      <c r="X234" s="15">
        <v>56</v>
      </c>
      <c r="Y234" s="15">
        <v>52</v>
      </c>
      <c r="Z234" s="15">
        <v>69</v>
      </c>
      <c r="AA234" s="15">
        <v>80</v>
      </c>
      <c r="AB234" s="15">
        <v>113</v>
      </c>
      <c r="AC234" s="284">
        <v>90</v>
      </c>
      <c r="AD234" s="284">
        <v>101</v>
      </c>
      <c r="AE234" s="284" t="s">
        <v>291</v>
      </c>
      <c r="AF234" s="284">
        <v>102</v>
      </c>
      <c r="AG234" s="15">
        <v>102</v>
      </c>
      <c r="AH234" s="15">
        <v>111</v>
      </c>
      <c r="AI234" s="15">
        <v>113</v>
      </c>
      <c r="AJ234" s="15">
        <v>117</v>
      </c>
    </row>
    <row r="235" spans="1:36">
      <c r="A235" s="15" t="s">
        <v>282</v>
      </c>
      <c r="B235" s="15" t="s">
        <v>273</v>
      </c>
      <c r="C235" s="15" t="s">
        <v>273</v>
      </c>
      <c r="D235" s="15" t="s">
        <v>273</v>
      </c>
      <c r="E235" s="15" t="s">
        <v>273</v>
      </c>
      <c r="F235" s="15" t="s">
        <v>273</v>
      </c>
      <c r="G235" s="15" t="s">
        <v>273</v>
      </c>
      <c r="H235" s="15" t="s">
        <v>273</v>
      </c>
      <c r="I235" s="15" t="s">
        <v>273</v>
      </c>
      <c r="J235" s="15" t="s">
        <v>273</v>
      </c>
      <c r="K235" s="15" t="s">
        <v>273</v>
      </c>
      <c r="L235" s="15" t="s">
        <v>273</v>
      </c>
      <c r="M235" s="15" t="s">
        <v>273</v>
      </c>
      <c r="N235" s="15" t="s">
        <v>273</v>
      </c>
      <c r="O235" s="15" t="s">
        <v>273</v>
      </c>
      <c r="P235" s="15" t="s">
        <v>273</v>
      </c>
      <c r="Q235" s="15" t="s">
        <v>273</v>
      </c>
      <c r="R235" s="15" t="s">
        <v>273</v>
      </c>
      <c r="S235" s="15" t="s">
        <v>273</v>
      </c>
      <c r="T235" s="15" t="s">
        <v>273</v>
      </c>
      <c r="U235" s="15" t="s">
        <v>273</v>
      </c>
      <c r="V235" s="15" t="s">
        <v>273</v>
      </c>
      <c r="W235" s="15" t="s">
        <v>273</v>
      </c>
      <c r="X235" s="15" t="s">
        <v>273</v>
      </c>
      <c r="Y235" s="15" t="s">
        <v>273</v>
      </c>
      <c r="Z235" s="15" t="s">
        <v>273</v>
      </c>
      <c r="AA235" s="15" t="s">
        <v>273</v>
      </c>
      <c r="AB235" s="15" t="s">
        <v>273</v>
      </c>
      <c r="AC235" s="284">
        <v>10</v>
      </c>
      <c r="AD235" s="284">
        <v>10</v>
      </c>
      <c r="AE235" s="284">
        <v>10</v>
      </c>
      <c r="AF235" s="284">
        <v>10</v>
      </c>
      <c r="AG235" s="15">
        <v>10</v>
      </c>
      <c r="AH235" s="15">
        <v>10</v>
      </c>
      <c r="AI235" s="15">
        <v>10</v>
      </c>
      <c r="AJ235" s="15">
        <v>10</v>
      </c>
    </row>
    <row r="236" spans="1:36">
      <c r="A236" s="15" t="s">
        <v>281</v>
      </c>
      <c r="B236" s="15">
        <v>1</v>
      </c>
      <c r="C236" s="15">
        <v>2</v>
      </c>
      <c r="D236" s="15">
        <v>2</v>
      </c>
      <c r="E236" s="15">
        <v>2</v>
      </c>
      <c r="F236" s="15">
        <v>2</v>
      </c>
      <c r="G236" s="15">
        <v>3</v>
      </c>
      <c r="H236" s="15">
        <v>3</v>
      </c>
      <c r="I236" s="15">
        <v>2</v>
      </c>
      <c r="J236" s="15">
        <v>4</v>
      </c>
      <c r="K236" s="15">
        <v>4</v>
      </c>
      <c r="L236" s="15">
        <v>4</v>
      </c>
      <c r="M236" s="15">
        <v>4</v>
      </c>
      <c r="N236" s="15">
        <v>4</v>
      </c>
      <c r="O236" s="15" t="s">
        <v>291</v>
      </c>
      <c r="P236" s="15" t="s">
        <v>291</v>
      </c>
      <c r="Q236" s="15" t="s">
        <v>291</v>
      </c>
      <c r="R236" s="15">
        <v>5</v>
      </c>
      <c r="S236" s="15">
        <v>4</v>
      </c>
      <c r="T236" s="15" t="s">
        <v>306</v>
      </c>
      <c r="U236" s="15" t="s">
        <v>306</v>
      </c>
      <c r="V236" s="15" t="s">
        <v>306</v>
      </c>
      <c r="W236" s="15" t="s">
        <v>306</v>
      </c>
      <c r="X236" s="15" t="s">
        <v>306</v>
      </c>
      <c r="Y236" s="15" t="s">
        <v>306</v>
      </c>
      <c r="Z236" s="15" t="s">
        <v>306</v>
      </c>
      <c r="AA236" s="15" t="s">
        <v>306</v>
      </c>
      <c r="AB236" s="15" t="s">
        <v>306</v>
      </c>
      <c r="AC236" s="284">
        <v>0</v>
      </c>
      <c r="AD236" s="284">
        <v>0</v>
      </c>
      <c r="AE236" s="284">
        <v>0</v>
      </c>
      <c r="AF236" s="284">
        <v>0</v>
      </c>
      <c r="AG236" s="15">
        <v>0</v>
      </c>
      <c r="AH236" s="15">
        <v>0</v>
      </c>
      <c r="AI236" s="15">
        <v>0</v>
      </c>
      <c r="AJ236" s="15">
        <v>0</v>
      </c>
    </row>
    <row r="237" spans="1:36">
      <c r="A237" s="15" t="s">
        <v>280</v>
      </c>
      <c r="B237" s="15" t="s">
        <v>273</v>
      </c>
      <c r="C237" s="15" t="s">
        <v>273</v>
      </c>
      <c r="D237" s="15" t="s">
        <v>273</v>
      </c>
      <c r="E237" s="15" t="s">
        <v>273</v>
      </c>
      <c r="F237" s="15" t="s">
        <v>273</v>
      </c>
      <c r="G237" s="15" t="s">
        <v>273</v>
      </c>
      <c r="H237" s="15" t="s">
        <v>273</v>
      </c>
      <c r="I237" s="15" t="s">
        <v>273</v>
      </c>
      <c r="J237" s="15" t="s">
        <v>273</v>
      </c>
      <c r="K237" s="15" t="s">
        <v>273</v>
      </c>
      <c r="L237" s="15" t="s">
        <v>273</v>
      </c>
      <c r="M237" s="15" t="s">
        <v>273</v>
      </c>
      <c r="N237" s="15" t="s">
        <v>273</v>
      </c>
      <c r="O237" s="15" t="s">
        <v>273</v>
      </c>
      <c r="P237" s="15" t="s">
        <v>273</v>
      </c>
      <c r="Q237" s="15" t="s">
        <v>273</v>
      </c>
      <c r="R237" s="15" t="s">
        <v>273</v>
      </c>
      <c r="S237" s="15" t="s">
        <v>273</v>
      </c>
      <c r="T237" s="15" t="s">
        <v>273</v>
      </c>
      <c r="U237" s="15" t="s">
        <v>273</v>
      </c>
      <c r="V237" s="15" t="s">
        <v>273</v>
      </c>
      <c r="W237" s="15" t="s">
        <v>273</v>
      </c>
      <c r="X237" s="15" t="s">
        <v>306</v>
      </c>
      <c r="Y237" s="15" t="s">
        <v>306</v>
      </c>
      <c r="Z237" s="15" t="s">
        <v>306</v>
      </c>
      <c r="AA237" s="15" t="s">
        <v>306</v>
      </c>
      <c r="AB237" s="15" t="s">
        <v>306</v>
      </c>
      <c r="AC237" s="284">
        <v>1</v>
      </c>
      <c r="AD237" s="284">
        <v>1</v>
      </c>
      <c r="AE237" s="284">
        <v>1</v>
      </c>
      <c r="AF237" s="284">
        <v>1</v>
      </c>
      <c r="AG237" s="15">
        <v>1</v>
      </c>
      <c r="AH237" s="15">
        <v>1</v>
      </c>
      <c r="AI237" s="15">
        <v>1</v>
      </c>
      <c r="AJ237" s="15">
        <v>1</v>
      </c>
    </row>
    <row r="238" spans="1:36">
      <c r="A238" s="15" t="s">
        <v>279</v>
      </c>
      <c r="B238" s="15" t="s">
        <v>273</v>
      </c>
      <c r="C238" s="15" t="s">
        <v>273</v>
      </c>
      <c r="D238" s="15" t="s">
        <v>273</v>
      </c>
      <c r="E238" s="15" t="s">
        <v>273</v>
      </c>
      <c r="F238" s="15" t="s">
        <v>273</v>
      </c>
      <c r="G238" s="15" t="s">
        <v>273</v>
      </c>
      <c r="H238" s="15" t="s">
        <v>273</v>
      </c>
      <c r="I238" s="15" t="s">
        <v>273</v>
      </c>
      <c r="J238" s="15" t="s">
        <v>273</v>
      </c>
      <c r="K238" s="15" t="s">
        <v>273</v>
      </c>
      <c r="L238" s="15" t="s">
        <v>273</v>
      </c>
      <c r="M238" s="15" t="s">
        <v>273</v>
      </c>
      <c r="N238" s="15" t="s">
        <v>273</v>
      </c>
      <c r="O238" s="15" t="s">
        <v>273</v>
      </c>
      <c r="P238" s="15" t="s">
        <v>273</v>
      </c>
      <c r="Q238" s="15" t="s">
        <v>273</v>
      </c>
      <c r="R238" s="15" t="s">
        <v>273</v>
      </c>
      <c r="S238" s="15" t="s">
        <v>273</v>
      </c>
      <c r="T238" s="15" t="s">
        <v>273</v>
      </c>
      <c r="U238" s="15" t="s">
        <v>273</v>
      </c>
      <c r="V238" s="15" t="s">
        <v>273</v>
      </c>
      <c r="W238" s="15" t="s">
        <v>273</v>
      </c>
      <c r="X238" s="15" t="s">
        <v>306</v>
      </c>
      <c r="Y238" s="15" t="s">
        <v>306</v>
      </c>
      <c r="Z238" s="15" t="s">
        <v>306</v>
      </c>
      <c r="AA238" s="15" t="s">
        <v>306</v>
      </c>
      <c r="AB238" s="15" t="s">
        <v>306</v>
      </c>
      <c r="AC238" s="284">
        <v>0</v>
      </c>
      <c r="AD238" s="284">
        <v>0</v>
      </c>
      <c r="AE238" s="284">
        <v>0</v>
      </c>
      <c r="AF238" s="284">
        <v>0</v>
      </c>
      <c r="AG238" s="15">
        <v>0</v>
      </c>
      <c r="AH238" s="15">
        <v>0</v>
      </c>
      <c r="AI238" s="15">
        <v>0</v>
      </c>
      <c r="AJ238" s="15">
        <v>0</v>
      </c>
    </row>
    <row r="239" spans="1:36">
      <c r="A239" s="15" t="s">
        <v>278</v>
      </c>
      <c r="B239" s="15">
        <v>0</v>
      </c>
      <c r="C239" s="15" t="s">
        <v>306</v>
      </c>
      <c r="D239" s="15" t="s">
        <v>306</v>
      </c>
      <c r="E239" s="15" t="s">
        <v>306</v>
      </c>
      <c r="F239" s="15" t="s">
        <v>306</v>
      </c>
      <c r="G239" s="15" t="s">
        <v>306</v>
      </c>
      <c r="H239" s="15" t="s">
        <v>306</v>
      </c>
      <c r="I239" s="15">
        <v>-1</v>
      </c>
      <c r="J239" s="15">
        <v>-1</v>
      </c>
      <c r="K239" s="15">
        <v>-1</v>
      </c>
      <c r="L239" s="15">
        <v>-1</v>
      </c>
      <c r="M239" s="15">
        <v>-1</v>
      </c>
      <c r="N239" s="15" t="s">
        <v>273</v>
      </c>
      <c r="O239" s="15" t="s">
        <v>273</v>
      </c>
      <c r="P239" s="15" t="s">
        <v>273</v>
      </c>
      <c r="Q239" s="15" t="s">
        <v>273</v>
      </c>
      <c r="R239" s="15" t="s">
        <v>273</v>
      </c>
      <c r="S239" s="15" t="s">
        <v>273</v>
      </c>
      <c r="T239" s="15" t="s">
        <v>273</v>
      </c>
      <c r="U239" s="15" t="s">
        <v>273</v>
      </c>
      <c r="V239" s="15" t="s">
        <v>273</v>
      </c>
      <c r="W239" s="15" t="s">
        <v>273</v>
      </c>
      <c r="X239" s="15">
        <v>4</v>
      </c>
      <c r="Y239" s="15">
        <v>4</v>
      </c>
      <c r="Z239" s="15">
        <v>14</v>
      </c>
      <c r="AA239" s="15">
        <v>34</v>
      </c>
      <c r="AB239" s="15">
        <v>4</v>
      </c>
      <c r="AC239" s="284">
        <v>6</v>
      </c>
      <c r="AD239" s="284">
        <v>6</v>
      </c>
      <c r="AE239" s="284">
        <v>6</v>
      </c>
      <c r="AF239" s="284">
        <v>6</v>
      </c>
      <c r="AG239" s="15">
        <v>6</v>
      </c>
      <c r="AH239" s="15">
        <v>6</v>
      </c>
      <c r="AI239" s="15">
        <v>6</v>
      </c>
      <c r="AJ239" s="15">
        <v>6</v>
      </c>
    </row>
    <row r="240" spans="1:36">
      <c r="A240" s="15" t="s">
        <v>277</v>
      </c>
      <c r="B240" s="15" t="s">
        <v>291</v>
      </c>
      <c r="C240" s="15" t="s">
        <v>291</v>
      </c>
      <c r="D240" s="15" t="s">
        <v>291</v>
      </c>
      <c r="E240" s="15" t="s">
        <v>291</v>
      </c>
      <c r="F240" s="15" t="s">
        <v>291</v>
      </c>
      <c r="G240" s="15" t="s">
        <v>291</v>
      </c>
      <c r="H240" s="15" t="s">
        <v>306</v>
      </c>
      <c r="I240" s="15" t="s">
        <v>306</v>
      </c>
      <c r="J240" s="15">
        <v>1</v>
      </c>
      <c r="K240" s="15">
        <v>-1</v>
      </c>
      <c r="L240" s="15">
        <v>49</v>
      </c>
      <c r="M240" s="15" t="s">
        <v>291</v>
      </c>
      <c r="N240" s="15" t="s">
        <v>291</v>
      </c>
      <c r="O240" s="15" t="s">
        <v>291</v>
      </c>
      <c r="P240" s="15" t="s">
        <v>291</v>
      </c>
      <c r="Q240" s="15" t="s">
        <v>291</v>
      </c>
      <c r="R240" s="15" t="s">
        <v>291</v>
      </c>
      <c r="S240" s="15" t="s">
        <v>291</v>
      </c>
      <c r="T240" s="15" t="s">
        <v>291</v>
      </c>
      <c r="U240" s="15" t="s">
        <v>291</v>
      </c>
      <c r="V240" s="15" t="s">
        <v>291</v>
      </c>
      <c r="W240" s="15" t="s">
        <v>291</v>
      </c>
      <c r="X240" s="15">
        <v>77</v>
      </c>
      <c r="Y240" s="15">
        <v>82</v>
      </c>
      <c r="Z240" s="15">
        <v>89</v>
      </c>
      <c r="AA240" s="15">
        <v>97</v>
      </c>
      <c r="AB240" s="15">
        <v>107</v>
      </c>
      <c r="AC240" s="284" t="s">
        <v>291</v>
      </c>
      <c r="AD240" s="284" t="s">
        <v>291</v>
      </c>
      <c r="AE240" s="284" t="s">
        <v>291</v>
      </c>
      <c r="AF240" s="284">
        <v>130</v>
      </c>
      <c r="AG240" s="15" t="s">
        <v>291</v>
      </c>
      <c r="AH240" s="15">
        <v>5</v>
      </c>
      <c r="AI240" s="15">
        <v>5</v>
      </c>
      <c r="AJ240" s="15">
        <v>5</v>
      </c>
    </row>
    <row r="241" spans="1:36">
      <c r="A241" s="15" t="s">
        <v>276</v>
      </c>
      <c r="B241" s="15" t="s">
        <v>306</v>
      </c>
      <c r="C241" s="15" t="s">
        <v>306</v>
      </c>
      <c r="D241" s="15" t="s">
        <v>306</v>
      </c>
      <c r="E241" s="15" t="s">
        <v>306</v>
      </c>
      <c r="F241" s="15" t="s">
        <v>306</v>
      </c>
      <c r="G241" s="15">
        <v>0</v>
      </c>
      <c r="H241" s="15">
        <v>0</v>
      </c>
      <c r="I241" s="15">
        <v>0</v>
      </c>
      <c r="J241" s="15">
        <v>0</v>
      </c>
      <c r="K241" s="15">
        <v>0</v>
      </c>
      <c r="L241" s="15">
        <v>0</v>
      </c>
      <c r="M241" s="15">
        <v>0</v>
      </c>
      <c r="N241" s="15">
        <v>15</v>
      </c>
      <c r="O241" s="15">
        <v>-31</v>
      </c>
      <c r="P241" s="15">
        <v>24</v>
      </c>
      <c r="Q241" s="15">
        <v>15</v>
      </c>
      <c r="R241" s="15" t="s">
        <v>291</v>
      </c>
      <c r="S241" s="15">
        <v>168</v>
      </c>
      <c r="T241" s="15">
        <v>141</v>
      </c>
      <c r="U241" s="15">
        <v>172</v>
      </c>
      <c r="V241" s="15">
        <v>181</v>
      </c>
      <c r="W241" s="15">
        <v>218</v>
      </c>
      <c r="X241" s="15">
        <v>205</v>
      </c>
      <c r="Y241" s="15">
        <v>261</v>
      </c>
      <c r="Z241" s="15">
        <v>261</v>
      </c>
      <c r="AA241" s="15">
        <v>426</v>
      </c>
      <c r="AB241" s="15">
        <v>477</v>
      </c>
      <c r="AC241" s="284">
        <v>738</v>
      </c>
      <c r="AD241" s="284">
        <v>799</v>
      </c>
      <c r="AE241" s="284">
        <v>964</v>
      </c>
      <c r="AF241" s="284">
        <v>1143</v>
      </c>
      <c r="AG241" s="15">
        <v>1348</v>
      </c>
      <c r="AH241" s="15">
        <v>1575</v>
      </c>
      <c r="AI241" s="15">
        <v>1268</v>
      </c>
      <c r="AJ241" s="15">
        <v>1492</v>
      </c>
    </row>
    <row r="242" spans="1:36">
      <c r="A242" s="15" t="s">
        <v>274</v>
      </c>
      <c r="B242" s="15">
        <v>5314</v>
      </c>
      <c r="C242" s="15">
        <v>5724</v>
      </c>
      <c r="D242" s="15">
        <v>5198</v>
      </c>
      <c r="E242" s="15">
        <v>5378</v>
      </c>
      <c r="F242" s="15">
        <v>4440</v>
      </c>
      <c r="G242" s="15">
        <v>3776</v>
      </c>
      <c r="H242" s="15">
        <v>3127</v>
      </c>
      <c r="I242" s="15">
        <v>2962</v>
      </c>
      <c r="J242" s="15">
        <v>2535</v>
      </c>
      <c r="K242" s="15">
        <v>2684</v>
      </c>
      <c r="L242" s="15">
        <v>3131</v>
      </c>
      <c r="M242" s="15">
        <v>3433</v>
      </c>
      <c r="N242" s="15">
        <v>4406</v>
      </c>
      <c r="O242" s="15">
        <v>3618</v>
      </c>
      <c r="P242" s="15">
        <v>4295</v>
      </c>
      <c r="Q242" s="15">
        <v>3752</v>
      </c>
      <c r="R242" s="15">
        <v>2837</v>
      </c>
      <c r="S242" s="15" t="s">
        <v>273</v>
      </c>
      <c r="T242" s="15" t="s">
        <v>273</v>
      </c>
      <c r="U242" s="15" t="s">
        <v>273</v>
      </c>
      <c r="V242" s="15" t="s">
        <v>273</v>
      </c>
      <c r="W242" s="15" t="s">
        <v>273</v>
      </c>
      <c r="X242" s="15" t="s">
        <v>273</v>
      </c>
      <c r="Y242" s="15" t="s">
        <v>273</v>
      </c>
      <c r="Z242" s="15" t="s">
        <v>273</v>
      </c>
      <c r="AA242" s="15" t="s">
        <v>273</v>
      </c>
      <c r="AB242" s="15" t="s">
        <v>273</v>
      </c>
      <c r="AC242" s="15" t="s">
        <v>273</v>
      </c>
      <c r="AD242" s="15" t="s">
        <v>273</v>
      </c>
      <c r="AE242" s="15" t="s">
        <v>273</v>
      </c>
      <c r="AF242" s="15" t="s">
        <v>273</v>
      </c>
    </row>
    <row r="243" spans="1:36" ht="13">
      <c r="A243" s="1944" t="s">
        <v>7</v>
      </c>
      <c r="B243" s="1976"/>
      <c r="C243" s="1976"/>
      <c r="D243" s="1976"/>
      <c r="E243" s="1976"/>
      <c r="F243" s="1976"/>
      <c r="G243" s="1976"/>
      <c r="H243" s="1976"/>
      <c r="I243" s="1976"/>
      <c r="J243" s="1976"/>
      <c r="K243" s="1976"/>
      <c r="L243" s="1976"/>
      <c r="M243" s="1976"/>
      <c r="N243" s="1976"/>
      <c r="O243" s="1976"/>
      <c r="P243" s="1976"/>
      <c r="Q243" s="1976"/>
      <c r="R243" s="1976"/>
      <c r="S243" s="1976"/>
      <c r="T243" s="1976"/>
      <c r="U243" s="1976"/>
      <c r="V243" s="1976"/>
      <c r="W243" s="1976"/>
      <c r="X243" s="1976"/>
      <c r="Y243" s="1976"/>
      <c r="Z243" s="1976"/>
      <c r="AA243" s="1976"/>
      <c r="AB243" s="1976"/>
      <c r="AC243" s="1976"/>
      <c r="AD243" s="1976"/>
      <c r="AE243" s="1976"/>
      <c r="AF243" s="1976"/>
    </row>
    <row r="244" spans="1:36">
      <c r="A244" s="1943" t="s">
        <v>272</v>
      </c>
      <c r="B244" s="1976"/>
      <c r="C244" s="1976"/>
      <c r="D244" s="1976"/>
      <c r="E244" s="1976"/>
      <c r="F244" s="1976"/>
      <c r="G244" s="1976"/>
      <c r="H244" s="1976"/>
      <c r="I244" s="1976"/>
      <c r="J244" s="1976"/>
      <c r="K244" s="1976"/>
      <c r="L244" s="1976"/>
      <c r="M244" s="1976"/>
      <c r="N244" s="1976"/>
      <c r="O244" s="1976"/>
      <c r="P244" s="1976"/>
      <c r="Q244" s="1976"/>
      <c r="R244" s="1976"/>
      <c r="S244" s="1976"/>
      <c r="T244" s="1976"/>
      <c r="U244" s="1976"/>
      <c r="V244" s="1976"/>
      <c r="W244" s="1976"/>
      <c r="X244" s="1976"/>
      <c r="Y244" s="1976"/>
      <c r="Z244" s="1976"/>
      <c r="AA244" s="1976"/>
      <c r="AB244" s="1976"/>
      <c r="AC244" s="1976"/>
      <c r="AD244" s="1976"/>
      <c r="AE244" s="1976"/>
      <c r="AF244" s="1976"/>
    </row>
    <row r="245" spans="1:36">
      <c r="A245" s="1943" t="s">
        <v>271</v>
      </c>
      <c r="B245" s="1976"/>
      <c r="C245" s="1976"/>
      <c r="D245" s="1976"/>
      <c r="E245" s="1976"/>
      <c r="F245" s="1976"/>
      <c r="G245" s="1976"/>
      <c r="H245" s="1976"/>
      <c r="I245" s="1976"/>
      <c r="J245" s="1976"/>
      <c r="K245" s="1976"/>
      <c r="L245" s="1976"/>
      <c r="M245" s="1976"/>
      <c r="N245" s="1976"/>
      <c r="O245" s="1976"/>
      <c r="P245" s="1976"/>
      <c r="Q245" s="1976"/>
      <c r="R245" s="1976"/>
      <c r="S245" s="1976"/>
      <c r="T245" s="1976"/>
      <c r="U245" s="1976"/>
      <c r="V245" s="1976"/>
      <c r="W245" s="1976"/>
      <c r="X245" s="1976"/>
      <c r="Y245" s="1976"/>
      <c r="Z245" s="1976"/>
      <c r="AA245" s="1976"/>
      <c r="AB245" s="1976"/>
      <c r="AC245" s="1976"/>
      <c r="AD245" s="1976"/>
      <c r="AE245" s="1976"/>
      <c r="AF245" s="1976"/>
    </row>
    <row r="246" spans="1:36">
      <c r="A246" s="1943" t="s">
        <v>270</v>
      </c>
      <c r="B246" s="1976"/>
      <c r="C246" s="1976"/>
      <c r="D246" s="1976"/>
      <c r="E246" s="1976"/>
      <c r="F246" s="1976"/>
      <c r="G246" s="1976"/>
      <c r="H246" s="1976"/>
      <c r="I246" s="1976"/>
      <c r="J246" s="1976"/>
      <c r="K246" s="1976"/>
      <c r="L246" s="1976"/>
      <c r="M246" s="1976"/>
      <c r="N246" s="1976"/>
      <c r="O246" s="1976"/>
      <c r="P246" s="1976"/>
      <c r="Q246" s="1976"/>
      <c r="R246" s="1976"/>
      <c r="S246" s="1976"/>
      <c r="T246" s="1976"/>
      <c r="U246" s="1976"/>
      <c r="V246" s="1976"/>
      <c r="W246" s="1976"/>
      <c r="X246" s="1976"/>
      <c r="Y246" s="1976"/>
      <c r="Z246" s="1976"/>
      <c r="AA246" s="1976"/>
      <c r="AB246" s="1976"/>
      <c r="AC246" s="1976"/>
      <c r="AD246" s="1976"/>
      <c r="AE246" s="1976"/>
      <c r="AF246" s="1976"/>
    </row>
    <row r="247" spans="1:36">
      <c r="A247" s="1943" t="s">
        <v>269</v>
      </c>
      <c r="B247" s="1976"/>
      <c r="C247" s="1976"/>
      <c r="D247" s="1976"/>
      <c r="E247" s="1976"/>
      <c r="F247" s="1976"/>
      <c r="G247" s="1976"/>
      <c r="H247" s="1976"/>
      <c r="I247" s="1976"/>
      <c r="J247" s="1976"/>
      <c r="K247" s="1976"/>
      <c r="L247" s="1976"/>
      <c r="M247" s="1976"/>
      <c r="N247" s="1976"/>
      <c r="O247" s="1976"/>
      <c r="P247" s="1976"/>
      <c r="Q247" s="1976"/>
      <c r="R247" s="1976"/>
      <c r="S247" s="1976"/>
      <c r="T247" s="1976"/>
      <c r="U247" s="1976"/>
      <c r="V247" s="1976"/>
      <c r="W247" s="1976"/>
      <c r="X247" s="1976"/>
      <c r="Y247" s="1976"/>
      <c r="Z247" s="1976"/>
      <c r="AA247" s="1976"/>
      <c r="AB247" s="1976"/>
      <c r="AC247" s="1976"/>
      <c r="AD247" s="1976"/>
      <c r="AE247" s="1976"/>
      <c r="AF247" s="1976"/>
    </row>
    <row r="248" spans="1:36">
      <c r="A248" s="1943" t="s">
        <v>268</v>
      </c>
      <c r="B248" s="1976"/>
      <c r="C248" s="1976"/>
      <c r="D248" s="1976"/>
      <c r="E248" s="1976"/>
      <c r="F248" s="1976"/>
      <c r="G248" s="1976"/>
      <c r="H248" s="1976"/>
      <c r="I248" s="1976"/>
      <c r="J248" s="1976"/>
      <c r="K248" s="1976"/>
      <c r="L248" s="1976"/>
      <c r="M248" s="1976"/>
      <c r="N248" s="1976"/>
      <c r="O248" s="1976"/>
      <c r="P248" s="1976"/>
      <c r="Q248" s="1976"/>
      <c r="R248" s="1976"/>
      <c r="S248" s="1976"/>
      <c r="T248" s="1976"/>
      <c r="U248" s="1976"/>
      <c r="V248" s="1976"/>
      <c r="W248" s="1976"/>
      <c r="X248" s="1976"/>
      <c r="Y248" s="1976"/>
      <c r="Z248" s="1976"/>
      <c r="AA248" s="1976"/>
      <c r="AB248" s="1976"/>
      <c r="AC248" s="1976"/>
      <c r="AD248" s="1976"/>
      <c r="AE248" s="1976"/>
      <c r="AF248" s="1976"/>
    </row>
    <row r="249" spans="1:36">
      <c r="A249" s="1943" t="s">
        <v>267</v>
      </c>
      <c r="B249" s="1976"/>
      <c r="C249" s="1976"/>
      <c r="D249" s="1976"/>
      <c r="E249" s="1976"/>
      <c r="F249" s="1976"/>
      <c r="G249" s="1976"/>
      <c r="H249" s="1976"/>
      <c r="I249" s="1976"/>
      <c r="J249" s="1976"/>
      <c r="K249" s="1976"/>
      <c r="L249" s="1976"/>
      <c r="M249" s="1976"/>
      <c r="N249" s="1976"/>
      <c r="O249" s="1976"/>
      <c r="P249" s="1976"/>
      <c r="Q249" s="1976"/>
      <c r="R249" s="1976"/>
      <c r="S249" s="1976"/>
      <c r="T249" s="1976"/>
      <c r="U249" s="1976"/>
      <c r="V249" s="1976"/>
      <c r="W249" s="1976"/>
      <c r="X249" s="1976"/>
      <c r="Y249" s="1976"/>
      <c r="Z249" s="1976"/>
      <c r="AA249" s="1976"/>
      <c r="AB249" s="1976"/>
      <c r="AC249" s="1976"/>
      <c r="AD249" s="1976"/>
      <c r="AE249" s="1976"/>
      <c r="AF249" s="1976"/>
    </row>
    <row r="250" spans="1:36">
      <c r="A250" s="1943" t="s">
        <v>266</v>
      </c>
      <c r="B250" s="1976"/>
      <c r="C250" s="1976"/>
      <c r="D250" s="1976"/>
      <c r="E250" s="1976"/>
      <c r="F250" s="1976"/>
      <c r="G250" s="1976"/>
      <c r="H250" s="1976"/>
      <c r="I250" s="1976"/>
      <c r="J250" s="1976"/>
      <c r="K250" s="1976"/>
      <c r="L250" s="1976"/>
      <c r="M250" s="1976"/>
      <c r="N250" s="1976"/>
      <c r="O250" s="1976"/>
      <c r="P250" s="1976"/>
      <c r="Q250" s="1976"/>
      <c r="R250" s="1976"/>
      <c r="S250" s="1976"/>
      <c r="T250" s="1976"/>
      <c r="U250" s="1976"/>
      <c r="V250" s="1976"/>
      <c r="W250" s="1976"/>
      <c r="X250" s="1976"/>
      <c r="Y250" s="1976"/>
      <c r="Z250" s="1976"/>
      <c r="AA250" s="1976"/>
      <c r="AB250" s="1976"/>
      <c r="AC250" s="1976"/>
      <c r="AD250" s="1976"/>
      <c r="AE250" s="1976"/>
      <c r="AF250" s="1976"/>
    </row>
    <row r="251" spans="1:36">
      <c r="A251" s="1943" t="s">
        <v>265</v>
      </c>
      <c r="B251" s="1976"/>
      <c r="C251" s="1976"/>
      <c r="D251" s="1976"/>
      <c r="E251" s="1976"/>
      <c r="F251" s="1976"/>
      <c r="G251" s="1976"/>
      <c r="H251" s="1976"/>
      <c r="I251" s="1976"/>
      <c r="J251" s="1976"/>
      <c r="K251" s="1976"/>
      <c r="L251" s="1976"/>
      <c r="M251" s="1976"/>
      <c r="N251" s="1976"/>
      <c r="O251" s="1976"/>
      <c r="P251" s="1976"/>
      <c r="Q251" s="1976"/>
      <c r="R251" s="1976"/>
      <c r="S251" s="1976"/>
      <c r="T251" s="1976"/>
      <c r="U251" s="1976"/>
      <c r="V251" s="1976"/>
      <c r="W251" s="1976"/>
      <c r="X251" s="1976"/>
      <c r="Y251" s="1976"/>
      <c r="Z251" s="1976"/>
      <c r="AA251" s="1976"/>
      <c r="AB251" s="1976"/>
      <c r="AC251" s="1976"/>
      <c r="AD251" s="1976"/>
      <c r="AE251" s="1976"/>
      <c r="AF251" s="1976"/>
    </row>
    <row r="252" spans="1:36">
      <c r="A252" s="1943" t="s">
        <v>264</v>
      </c>
      <c r="B252" s="1976"/>
      <c r="C252" s="1976"/>
      <c r="D252" s="1976"/>
      <c r="E252" s="1976"/>
      <c r="F252" s="1976"/>
      <c r="G252" s="1976"/>
      <c r="H252" s="1976"/>
      <c r="I252" s="1976"/>
      <c r="J252" s="1976"/>
      <c r="K252" s="1976"/>
      <c r="L252" s="1976"/>
      <c r="M252" s="1976"/>
      <c r="N252" s="1976"/>
      <c r="O252" s="1976"/>
      <c r="P252" s="1976"/>
      <c r="Q252" s="1976"/>
      <c r="R252" s="1976"/>
      <c r="S252" s="1976"/>
      <c r="T252" s="1976"/>
      <c r="U252" s="1976"/>
      <c r="V252" s="1976"/>
      <c r="W252" s="1976"/>
      <c r="X252" s="1976"/>
      <c r="Y252" s="1976"/>
      <c r="Z252" s="1976"/>
      <c r="AA252" s="1976"/>
      <c r="AB252" s="1976"/>
      <c r="AC252" s="1976"/>
      <c r="AD252" s="1976"/>
      <c r="AE252" s="1976"/>
      <c r="AF252" s="1976"/>
    </row>
    <row r="253" spans="1:36">
      <c r="A253" s="1943" t="s">
        <v>263</v>
      </c>
      <c r="B253" s="1976"/>
      <c r="C253" s="1976"/>
      <c r="D253" s="1976"/>
      <c r="E253" s="1976"/>
      <c r="F253" s="1976"/>
      <c r="G253" s="1976"/>
      <c r="H253" s="1976"/>
      <c r="I253" s="1976"/>
      <c r="J253" s="1976"/>
      <c r="K253" s="1976"/>
      <c r="L253" s="1976"/>
      <c r="M253" s="1976"/>
      <c r="N253" s="1976"/>
      <c r="O253" s="1976"/>
      <c r="P253" s="1976"/>
      <c r="Q253" s="1976"/>
      <c r="R253" s="1976"/>
      <c r="S253" s="1976"/>
      <c r="T253" s="1976"/>
      <c r="U253" s="1976"/>
      <c r="V253" s="1976"/>
      <c r="W253" s="1976"/>
      <c r="X253" s="1976"/>
      <c r="Y253" s="1976"/>
      <c r="Z253" s="1976"/>
      <c r="AA253" s="1976"/>
      <c r="AB253" s="1976"/>
      <c r="AC253" s="1976"/>
      <c r="AD253" s="1976"/>
      <c r="AE253" s="1976"/>
      <c r="AF253" s="1976"/>
    </row>
    <row r="254" spans="1:36">
      <c r="A254" s="1943" t="s">
        <v>262</v>
      </c>
      <c r="B254" s="1976"/>
      <c r="C254" s="1976"/>
      <c r="D254" s="1976"/>
      <c r="E254" s="1976"/>
      <c r="F254" s="1976"/>
      <c r="G254" s="1976"/>
      <c r="H254" s="1976"/>
      <c r="I254" s="1976"/>
      <c r="J254" s="1976"/>
      <c r="K254" s="1976"/>
      <c r="L254" s="1976"/>
      <c r="M254" s="1976"/>
      <c r="N254" s="1976"/>
      <c r="O254" s="1976"/>
      <c r="P254" s="1976"/>
      <c r="Q254" s="1976"/>
      <c r="R254" s="1976"/>
      <c r="S254" s="1976"/>
      <c r="T254" s="1976"/>
      <c r="U254" s="1976"/>
      <c r="V254" s="1976"/>
      <c r="W254" s="1976"/>
      <c r="X254" s="1976"/>
      <c r="Y254" s="1976"/>
      <c r="Z254" s="1976"/>
      <c r="AA254" s="1976"/>
      <c r="AB254" s="1976"/>
      <c r="AC254" s="1976"/>
      <c r="AD254" s="1976"/>
      <c r="AE254" s="1976"/>
      <c r="AF254" s="1976"/>
    </row>
  </sheetData>
  <mergeCells count="45">
    <mergeCell ref="A253:AF253"/>
    <mergeCell ref="A254:AF254"/>
    <mergeCell ref="A246:AF246"/>
    <mergeCell ref="A247:AF247"/>
    <mergeCell ref="A248:AF248"/>
    <mergeCell ref="A249:AF249"/>
    <mergeCell ref="A250:AF250"/>
    <mergeCell ref="A251:AF251"/>
    <mergeCell ref="L7"/>
    <mergeCell ref="A252:AF252"/>
    <mergeCell ref="H7"/>
    <mergeCell ref="I7"/>
    <mergeCell ref="J7"/>
    <mergeCell ref="K7"/>
    <mergeCell ref="A245:AF245"/>
    <mergeCell ref="X7"/>
    <mergeCell ref="Y7"/>
    <mergeCell ref="Z7"/>
    <mergeCell ref="AA7"/>
    <mergeCell ref="A243:AF243"/>
    <mergeCell ref="A244:AF244"/>
    <mergeCell ref="Q7"/>
    <mergeCell ref="AB7"/>
    <mergeCell ref="R7"/>
    <mergeCell ref="S7"/>
    <mergeCell ref="T7"/>
    <mergeCell ref="U7"/>
    <mergeCell ref="V7"/>
    <mergeCell ref="W7"/>
    <mergeCell ref="M7"/>
    <mergeCell ref="N7"/>
    <mergeCell ref="O7"/>
    <mergeCell ref="P7"/>
    <mergeCell ref="A1:AF1"/>
    <mergeCell ref="A2:AF2"/>
    <mergeCell ref="A3:AF3"/>
    <mergeCell ref="A4:AF4"/>
    <mergeCell ref="A6:A7"/>
    <mergeCell ref="B6:AF6"/>
    <mergeCell ref="B7"/>
    <mergeCell ref="C7"/>
    <mergeCell ref="D7"/>
    <mergeCell ref="E7"/>
    <mergeCell ref="F7"/>
    <mergeCell ref="G7"/>
  </mergeCell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5"/>
  <sheetViews>
    <sheetView workbookViewId="0">
      <pane xSplit="1" ySplit="7" topLeftCell="B229"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31" style="909" customWidth="1"/>
    <col min="2" max="16384" width="7.5703125" style="909"/>
  </cols>
  <sheetData>
    <row r="1" spans="1:19" ht="17">
      <c r="A1" s="1957" t="s">
        <v>2534</v>
      </c>
      <c r="B1" s="1958"/>
      <c r="C1" s="1958"/>
      <c r="D1" s="1958"/>
      <c r="E1" s="1958"/>
      <c r="F1" s="1958"/>
      <c r="G1" s="1958"/>
      <c r="H1" s="1958"/>
      <c r="I1" s="1958"/>
      <c r="J1" s="1958"/>
      <c r="K1" s="1958"/>
      <c r="L1" s="1958"/>
      <c r="M1" s="1958"/>
      <c r="N1" s="1958"/>
      <c r="O1" s="1958"/>
      <c r="P1" s="1958"/>
      <c r="Q1" s="1958"/>
      <c r="R1" s="1958"/>
      <c r="S1" s="1958"/>
    </row>
    <row r="2" spans="1:19" ht="16">
      <c r="A2" s="1959" t="s">
        <v>514</v>
      </c>
      <c r="B2" s="1958"/>
      <c r="C2" s="1958"/>
      <c r="D2" s="1958"/>
      <c r="E2" s="1958"/>
      <c r="F2" s="1958"/>
      <c r="G2" s="1958"/>
      <c r="H2" s="1958"/>
      <c r="I2" s="1958"/>
      <c r="J2" s="1958"/>
      <c r="K2" s="1958"/>
      <c r="L2" s="1958"/>
      <c r="M2" s="1958"/>
      <c r="N2" s="1958"/>
      <c r="O2" s="1958"/>
      <c r="P2" s="1958"/>
      <c r="Q2" s="1958"/>
      <c r="R2" s="1958"/>
      <c r="S2" s="1958"/>
    </row>
    <row r="3" spans="1:19">
      <c r="A3" s="1958" t="s">
        <v>160</v>
      </c>
      <c r="B3" s="1958"/>
      <c r="C3" s="1958"/>
      <c r="D3" s="1958"/>
      <c r="E3" s="1958"/>
      <c r="F3" s="1958"/>
      <c r="G3" s="1958"/>
      <c r="H3" s="1958"/>
      <c r="I3" s="1958"/>
      <c r="J3" s="1958"/>
      <c r="K3" s="1958"/>
      <c r="L3" s="1958"/>
      <c r="M3" s="1958"/>
      <c r="N3" s="1958"/>
      <c r="O3" s="1958"/>
      <c r="P3" s="1958"/>
      <c r="Q3" s="1958"/>
      <c r="R3" s="1958"/>
      <c r="S3" s="1958"/>
    </row>
    <row r="4" spans="1:19">
      <c r="A4" s="1958" t="s">
        <v>1821</v>
      </c>
      <c r="B4" s="1958"/>
      <c r="C4" s="1958"/>
      <c r="D4" s="1958"/>
      <c r="E4" s="1958"/>
      <c r="F4" s="1958"/>
      <c r="G4" s="1958"/>
      <c r="H4" s="1958"/>
      <c r="I4" s="1958"/>
      <c r="J4" s="1958"/>
      <c r="K4" s="1958"/>
      <c r="L4" s="1958"/>
      <c r="M4" s="1958"/>
      <c r="N4" s="1958"/>
      <c r="O4" s="1958"/>
      <c r="P4" s="1958"/>
      <c r="Q4" s="1958"/>
      <c r="R4" s="1958"/>
      <c r="S4" s="1958"/>
    </row>
    <row r="6" spans="1:19">
      <c r="A6" s="1960" t="s">
        <v>0</v>
      </c>
      <c r="B6" s="1960" t="s">
        <v>1483</v>
      </c>
      <c r="C6" s="1960"/>
      <c r="D6" s="1960"/>
      <c r="E6" s="1960"/>
      <c r="F6" s="1960"/>
      <c r="G6" s="1960"/>
      <c r="H6" s="1960"/>
      <c r="I6" s="1960"/>
      <c r="J6" s="1960"/>
      <c r="K6" s="1960"/>
      <c r="L6" s="1960"/>
      <c r="M6" s="1960"/>
      <c r="N6" s="1960"/>
      <c r="O6" s="1960"/>
      <c r="P6" s="1960"/>
      <c r="Q6" s="1960"/>
      <c r="R6" s="1960"/>
      <c r="S6" s="1960"/>
    </row>
    <row r="7" spans="1:19">
      <c r="A7" s="1960"/>
      <c r="B7" s="1960" t="s">
        <v>88</v>
      </c>
      <c r="C7" s="1960" t="s">
        <v>87</v>
      </c>
      <c r="D7" s="1960" t="s">
        <v>86</v>
      </c>
      <c r="E7" s="1960" t="s">
        <v>85</v>
      </c>
      <c r="F7" s="1960" t="s">
        <v>84</v>
      </c>
      <c r="G7" s="1960" t="s">
        <v>83</v>
      </c>
      <c r="H7" s="1960" t="s">
        <v>82</v>
      </c>
      <c r="I7" s="1960" t="s">
        <v>81</v>
      </c>
      <c r="J7" s="1960" t="s">
        <v>80</v>
      </c>
      <c r="K7" s="1960" t="s">
        <v>79</v>
      </c>
      <c r="L7" s="1960" t="s">
        <v>78</v>
      </c>
      <c r="M7" s="1960" t="s">
        <v>77</v>
      </c>
      <c r="N7" s="1960" t="s">
        <v>76</v>
      </c>
      <c r="O7" s="1960" t="s">
        <v>75</v>
      </c>
      <c r="P7" s="1960" t="s">
        <v>74</v>
      </c>
      <c r="Q7" s="1960" t="s">
        <v>866</v>
      </c>
      <c r="R7" s="1960" t="s">
        <v>865</v>
      </c>
      <c r="S7" s="1960" t="s">
        <v>864</v>
      </c>
    </row>
    <row r="8" spans="1:19">
      <c r="A8" s="909" t="s">
        <v>512</v>
      </c>
      <c r="B8" s="909">
        <v>1215960</v>
      </c>
      <c r="C8" s="909">
        <v>1316247</v>
      </c>
      <c r="D8" s="909">
        <v>1460352</v>
      </c>
      <c r="E8" s="909">
        <v>1616548</v>
      </c>
      <c r="F8" s="909">
        <v>1769613</v>
      </c>
      <c r="G8" s="909">
        <v>2160844</v>
      </c>
      <c r="H8" s="909">
        <v>2241656</v>
      </c>
      <c r="I8" s="909">
        <v>2477268</v>
      </c>
      <c r="J8" s="909">
        <v>2993980</v>
      </c>
      <c r="K8" s="909">
        <v>3232493</v>
      </c>
      <c r="L8" s="909">
        <v>3565020</v>
      </c>
      <c r="M8" s="909">
        <v>3741910</v>
      </c>
      <c r="N8" s="909">
        <v>4050026</v>
      </c>
      <c r="O8" s="909">
        <v>4410015</v>
      </c>
      <c r="P8" s="909">
        <v>4579713</v>
      </c>
      <c r="Q8" s="909">
        <v>4910065</v>
      </c>
      <c r="R8" s="909">
        <v>5048773</v>
      </c>
      <c r="S8" s="909">
        <v>5332225</v>
      </c>
    </row>
    <row r="9" spans="1:19">
      <c r="A9" s="909" t="s">
        <v>1820</v>
      </c>
      <c r="B9" s="909">
        <v>72526</v>
      </c>
      <c r="C9" s="909">
        <v>72111</v>
      </c>
      <c r="D9" s="909">
        <v>79392</v>
      </c>
      <c r="E9" s="909">
        <v>81822</v>
      </c>
      <c r="F9" s="909">
        <v>85473</v>
      </c>
      <c r="G9" s="909">
        <v>102495</v>
      </c>
      <c r="H9" s="909">
        <v>109280</v>
      </c>
      <c r="I9" s="909">
        <v>121006</v>
      </c>
      <c r="J9" s="909">
        <v>141299</v>
      </c>
      <c r="K9" s="909">
        <v>147496</v>
      </c>
      <c r="L9" s="909">
        <v>165674</v>
      </c>
      <c r="M9" s="909">
        <v>172819</v>
      </c>
      <c r="N9" s="909">
        <v>198805</v>
      </c>
      <c r="O9" s="909">
        <v>208897</v>
      </c>
      <c r="P9" s="909">
        <v>213081</v>
      </c>
      <c r="Q9" s="909">
        <v>218054</v>
      </c>
      <c r="R9" s="909">
        <v>198800</v>
      </c>
      <c r="S9" s="909">
        <v>198742</v>
      </c>
    </row>
    <row r="10" spans="1:19">
      <c r="A10" s="752" t="s">
        <v>1819</v>
      </c>
      <c r="B10" s="752">
        <v>52517</v>
      </c>
      <c r="C10" s="752">
        <v>51522</v>
      </c>
      <c r="D10" s="752">
        <v>59349</v>
      </c>
      <c r="E10" s="752">
        <v>59494</v>
      </c>
      <c r="F10" s="752">
        <v>59502</v>
      </c>
      <c r="G10" s="752">
        <v>71527</v>
      </c>
      <c r="H10" s="752">
        <v>76307</v>
      </c>
      <c r="I10" s="752">
        <v>83184</v>
      </c>
      <c r="J10" s="752">
        <v>94074</v>
      </c>
      <c r="K10" s="752">
        <v>100863</v>
      </c>
      <c r="L10" s="752">
        <v>95214</v>
      </c>
      <c r="M10" s="752">
        <v>96350</v>
      </c>
      <c r="N10" s="752">
        <v>103433</v>
      </c>
      <c r="O10" s="752">
        <v>104781</v>
      </c>
      <c r="P10" s="752">
        <v>113711</v>
      </c>
      <c r="Q10" s="752">
        <v>122103</v>
      </c>
      <c r="R10" s="752">
        <v>102839</v>
      </c>
      <c r="S10" s="752">
        <v>101922</v>
      </c>
    </row>
    <row r="11" spans="1:19">
      <c r="A11" s="909" t="s">
        <v>236</v>
      </c>
      <c r="B11" s="909">
        <v>20010</v>
      </c>
      <c r="C11" s="909">
        <v>20590</v>
      </c>
      <c r="D11" s="909">
        <v>20043</v>
      </c>
      <c r="E11" s="909">
        <v>22328</v>
      </c>
      <c r="F11" s="909">
        <v>25970</v>
      </c>
      <c r="G11" s="909">
        <v>30968</v>
      </c>
      <c r="H11" s="909">
        <v>32973</v>
      </c>
      <c r="I11" s="909">
        <v>37821</v>
      </c>
      <c r="J11" s="909">
        <v>47225</v>
      </c>
      <c r="K11" s="909">
        <v>46634</v>
      </c>
      <c r="L11" s="909">
        <v>70460</v>
      </c>
      <c r="M11" s="909">
        <v>76469</v>
      </c>
      <c r="N11" s="909">
        <v>95373</v>
      </c>
      <c r="O11" s="909">
        <v>104116</v>
      </c>
      <c r="P11" s="909">
        <v>99370</v>
      </c>
      <c r="Q11" s="909">
        <v>95951</v>
      </c>
      <c r="R11" s="909">
        <v>95960</v>
      </c>
      <c r="S11" s="909">
        <v>96820</v>
      </c>
    </row>
    <row r="12" spans="1:19">
      <c r="A12" s="909" t="s">
        <v>1818</v>
      </c>
      <c r="B12" s="909">
        <v>456</v>
      </c>
      <c r="C12" s="909">
        <v>367</v>
      </c>
      <c r="D12" s="909" t="s">
        <v>291</v>
      </c>
      <c r="E12" s="909">
        <v>421</v>
      </c>
      <c r="F12" s="909">
        <v>445</v>
      </c>
      <c r="G12" s="909">
        <v>884</v>
      </c>
      <c r="H12" s="909">
        <v>1329</v>
      </c>
      <c r="I12" s="909">
        <v>2454</v>
      </c>
      <c r="J12" s="909">
        <v>2894</v>
      </c>
      <c r="K12" s="909">
        <v>1861</v>
      </c>
      <c r="L12" s="909">
        <v>1438</v>
      </c>
      <c r="M12" s="909">
        <v>1939</v>
      </c>
      <c r="N12" s="909">
        <v>3393</v>
      </c>
      <c r="O12" s="909">
        <v>5330</v>
      </c>
      <c r="P12" s="909">
        <v>6379</v>
      </c>
      <c r="Q12" s="909">
        <v>6119</v>
      </c>
      <c r="R12" s="909">
        <v>3277</v>
      </c>
      <c r="S12" s="909">
        <v>3498</v>
      </c>
    </row>
    <row r="13" spans="1:19">
      <c r="A13" s="909" t="s">
        <v>1817</v>
      </c>
      <c r="B13" s="909">
        <v>1274</v>
      </c>
      <c r="C13" s="909">
        <v>1356</v>
      </c>
      <c r="D13" s="909">
        <v>2350</v>
      </c>
      <c r="E13" s="909">
        <v>2330</v>
      </c>
      <c r="F13" s="909">
        <v>3119</v>
      </c>
      <c r="G13" s="909">
        <v>3754</v>
      </c>
      <c r="H13" s="909">
        <v>2966</v>
      </c>
      <c r="I13" s="909">
        <v>2585</v>
      </c>
      <c r="J13" s="909">
        <v>2696</v>
      </c>
      <c r="K13" s="909">
        <v>1282</v>
      </c>
      <c r="L13" s="909">
        <v>3180</v>
      </c>
      <c r="M13" s="909">
        <v>2892</v>
      </c>
      <c r="N13" s="909">
        <v>3352</v>
      </c>
      <c r="O13" s="909">
        <v>3892</v>
      </c>
      <c r="P13" s="909">
        <v>3089</v>
      </c>
      <c r="Q13" s="909">
        <v>3185</v>
      </c>
      <c r="R13" s="909">
        <v>2634</v>
      </c>
      <c r="S13" s="909">
        <v>3181</v>
      </c>
    </row>
    <row r="14" spans="1:19">
      <c r="A14" s="909" t="s">
        <v>1816</v>
      </c>
      <c r="B14" s="909">
        <v>8619</v>
      </c>
      <c r="C14" s="909">
        <v>8404</v>
      </c>
      <c r="D14" s="909">
        <v>7211</v>
      </c>
      <c r="E14" s="909">
        <v>8813</v>
      </c>
      <c r="F14" s="909">
        <v>10345</v>
      </c>
      <c r="G14" s="909">
        <v>13801</v>
      </c>
      <c r="H14" s="909">
        <v>15547</v>
      </c>
      <c r="I14" s="909">
        <v>17866</v>
      </c>
      <c r="J14" s="909">
        <v>22986</v>
      </c>
      <c r="K14" s="909">
        <v>21006</v>
      </c>
      <c r="L14" s="909">
        <v>35454</v>
      </c>
      <c r="M14" s="909">
        <v>41925</v>
      </c>
      <c r="N14" s="909">
        <v>50902</v>
      </c>
      <c r="O14" s="909">
        <v>55910</v>
      </c>
      <c r="P14" s="909">
        <v>51879</v>
      </c>
      <c r="Q14" s="909">
        <v>52533</v>
      </c>
      <c r="R14" s="909">
        <v>56899</v>
      </c>
      <c r="S14" s="909">
        <v>58260</v>
      </c>
    </row>
    <row r="15" spans="1:19">
      <c r="A15" s="909" t="s">
        <v>1815</v>
      </c>
      <c r="B15" s="909" t="s">
        <v>291</v>
      </c>
      <c r="C15" s="909" t="s">
        <v>291</v>
      </c>
      <c r="D15" s="909">
        <v>588</v>
      </c>
      <c r="E15" s="909" t="s">
        <v>291</v>
      </c>
      <c r="F15" s="909" t="s">
        <v>291</v>
      </c>
      <c r="G15" s="909" t="s">
        <v>291</v>
      </c>
      <c r="H15" s="909">
        <v>2030</v>
      </c>
      <c r="I15" s="909">
        <v>2748</v>
      </c>
      <c r="J15" s="909">
        <v>2142</v>
      </c>
      <c r="K15" s="909">
        <v>1442</v>
      </c>
      <c r="L15" s="909">
        <v>2406</v>
      </c>
      <c r="M15" s="909">
        <v>3609</v>
      </c>
      <c r="N15" s="909" t="s">
        <v>291</v>
      </c>
      <c r="O15" s="909" t="s">
        <v>291</v>
      </c>
      <c r="P15" s="909" t="s">
        <v>291</v>
      </c>
      <c r="Q15" s="909" t="s">
        <v>291</v>
      </c>
      <c r="R15" s="909" t="s">
        <v>291</v>
      </c>
      <c r="S15" s="909" t="s">
        <v>291</v>
      </c>
    </row>
    <row r="16" spans="1:19">
      <c r="A16" s="909" t="s">
        <v>1814</v>
      </c>
      <c r="B16" s="909">
        <v>1793</v>
      </c>
      <c r="C16" s="909">
        <v>1360</v>
      </c>
      <c r="D16" s="909">
        <v>1345</v>
      </c>
      <c r="E16" s="909">
        <v>4674</v>
      </c>
      <c r="F16" s="909">
        <v>5050</v>
      </c>
      <c r="G16" s="909">
        <v>5256</v>
      </c>
      <c r="H16" s="909">
        <v>5565</v>
      </c>
      <c r="I16" s="909">
        <v>7044</v>
      </c>
      <c r="J16" s="909">
        <v>8208</v>
      </c>
      <c r="K16" s="909">
        <v>5727</v>
      </c>
      <c r="L16" s="909">
        <v>8349</v>
      </c>
      <c r="M16" s="909">
        <v>8636</v>
      </c>
      <c r="N16" s="909">
        <v>13330</v>
      </c>
      <c r="O16" s="909">
        <v>27020</v>
      </c>
      <c r="P16" s="909" t="s">
        <v>291</v>
      </c>
      <c r="Q16" s="909" t="s">
        <v>291</v>
      </c>
      <c r="R16" s="909">
        <v>24243</v>
      </c>
      <c r="S16" s="909">
        <v>23679</v>
      </c>
    </row>
    <row r="17" spans="1:19">
      <c r="A17" s="909" t="s">
        <v>1813</v>
      </c>
      <c r="B17" s="909">
        <v>6113</v>
      </c>
      <c r="C17" s="909">
        <v>6331</v>
      </c>
      <c r="D17" s="909">
        <v>4998</v>
      </c>
      <c r="E17" s="909">
        <v>3300</v>
      </c>
      <c r="F17" s="909">
        <v>4239</v>
      </c>
      <c r="G17" s="909">
        <v>7052</v>
      </c>
      <c r="H17" s="909">
        <v>7586</v>
      </c>
      <c r="I17" s="909">
        <v>7898</v>
      </c>
      <c r="J17" s="909">
        <v>12456</v>
      </c>
      <c r="K17" s="909">
        <v>13681</v>
      </c>
      <c r="L17" s="909">
        <v>24289</v>
      </c>
      <c r="M17" s="909">
        <v>28975</v>
      </c>
      <c r="N17" s="909">
        <v>31776</v>
      </c>
      <c r="O17" s="909">
        <v>23351</v>
      </c>
      <c r="P17" s="909">
        <v>25067</v>
      </c>
      <c r="Q17" s="909">
        <v>26333</v>
      </c>
      <c r="R17" s="909">
        <v>28352</v>
      </c>
      <c r="S17" s="909">
        <v>31485</v>
      </c>
    </row>
    <row r="18" spans="1:19">
      <c r="A18" s="909" t="s">
        <v>1812</v>
      </c>
      <c r="B18" s="909" t="s">
        <v>291</v>
      </c>
      <c r="C18" s="909" t="s">
        <v>291</v>
      </c>
      <c r="D18" s="909">
        <v>280</v>
      </c>
      <c r="E18" s="909" t="s">
        <v>291</v>
      </c>
      <c r="F18" s="909" t="s">
        <v>291</v>
      </c>
      <c r="G18" s="909" t="s">
        <v>291</v>
      </c>
      <c r="H18" s="909">
        <v>367</v>
      </c>
      <c r="I18" s="909">
        <v>176</v>
      </c>
      <c r="J18" s="909">
        <v>180</v>
      </c>
      <c r="K18" s="909">
        <v>155</v>
      </c>
      <c r="L18" s="909">
        <v>410</v>
      </c>
      <c r="M18" s="909">
        <v>705</v>
      </c>
      <c r="N18" s="909" t="s">
        <v>291</v>
      </c>
      <c r="O18" s="909" t="s">
        <v>291</v>
      </c>
      <c r="P18" s="909">
        <v>418</v>
      </c>
      <c r="Q18" s="909">
        <v>470</v>
      </c>
      <c r="R18" s="909" t="s">
        <v>291</v>
      </c>
      <c r="S18" s="909" t="s">
        <v>291</v>
      </c>
    </row>
    <row r="19" spans="1:19">
      <c r="A19" s="909" t="s">
        <v>1811</v>
      </c>
      <c r="B19" s="909">
        <v>9660</v>
      </c>
      <c r="C19" s="909">
        <v>10463</v>
      </c>
      <c r="D19" s="909" t="s">
        <v>291</v>
      </c>
      <c r="E19" s="909">
        <v>10763</v>
      </c>
      <c r="F19" s="909">
        <v>12061</v>
      </c>
      <c r="G19" s="909">
        <v>12529</v>
      </c>
      <c r="H19" s="909">
        <v>13131</v>
      </c>
      <c r="I19" s="909">
        <v>14917</v>
      </c>
      <c r="J19" s="909">
        <v>18649</v>
      </c>
      <c r="K19" s="909">
        <v>22485</v>
      </c>
      <c r="L19" s="909">
        <v>30389</v>
      </c>
      <c r="M19" s="909">
        <v>29712</v>
      </c>
      <c r="N19" s="909">
        <v>37725</v>
      </c>
      <c r="O19" s="909">
        <v>38984</v>
      </c>
      <c r="P19" s="909">
        <v>38023</v>
      </c>
      <c r="Q19" s="909">
        <v>34114</v>
      </c>
      <c r="R19" s="909">
        <v>33150</v>
      </c>
      <c r="S19" s="909">
        <v>31881</v>
      </c>
    </row>
    <row r="20" spans="1:19">
      <c r="A20" s="909" t="s">
        <v>1810</v>
      </c>
      <c r="B20" s="909">
        <v>9532</v>
      </c>
      <c r="C20" s="909">
        <v>10393</v>
      </c>
      <c r="D20" s="909">
        <v>10064</v>
      </c>
      <c r="E20" s="909">
        <v>10717</v>
      </c>
      <c r="F20" s="909">
        <v>11990</v>
      </c>
      <c r="G20" s="909">
        <v>12381</v>
      </c>
      <c r="H20" s="909">
        <v>13014</v>
      </c>
      <c r="I20" s="909">
        <v>14807</v>
      </c>
      <c r="J20" s="909">
        <v>18594</v>
      </c>
      <c r="K20" s="909">
        <v>22456</v>
      </c>
      <c r="L20" s="909">
        <v>30215</v>
      </c>
      <c r="M20" s="909">
        <v>29605</v>
      </c>
      <c r="N20" s="909">
        <v>37585</v>
      </c>
      <c r="O20" s="909">
        <v>38773</v>
      </c>
      <c r="P20" s="909">
        <v>37521</v>
      </c>
      <c r="Q20" s="909">
        <v>33559</v>
      </c>
      <c r="R20" s="909">
        <v>32455</v>
      </c>
      <c r="S20" s="909">
        <v>30977</v>
      </c>
    </row>
    <row r="21" spans="1:19">
      <c r="A21" s="909" t="s">
        <v>1809</v>
      </c>
      <c r="B21" s="909">
        <v>128</v>
      </c>
      <c r="C21" s="909">
        <v>70</v>
      </c>
      <c r="D21" s="909" t="s">
        <v>291</v>
      </c>
      <c r="E21" s="909">
        <v>46</v>
      </c>
      <c r="F21" s="909">
        <v>72</v>
      </c>
      <c r="G21" s="909">
        <v>148</v>
      </c>
      <c r="H21" s="909">
        <v>118</v>
      </c>
      <c r="I21" s="909">
        <v>109</v>
      </c>
      <c r="J21" s="909">
        <v>55</v>
      </c>
      <c r="K21" s="909">
        <v>29</v>
      </c>
      <c r="L21" s="909">
        <v>174</v>
      </c>
      <c r="M21" s="909">
        <v>108</v>
      </c>
      <c r="N21" s="909">
        <v>140</v>
      </c>
      <c r="O21" s="909">
        <v>211</v>
      </c>
      <c r="P21" s="909">
        <v>502</v>
      </c>
      <c r="Q21" s="909">
        <v>555</v>
      </c>
      <c r="R21" s="909">
        <v>696</v>
      </c>
      <c r="S21" s="909">
        <v>904</v>
      </c>
    </row>
    <row r="22" spans="1:19">
      <c r="A22" s="909" t="s">
        <v>1808</v>
      </c>
      <c r="B22" s="909">
        <v>22472</v>
      </c>
      <c r="C22" s="909">
        <v>21964</v>
      </c>
      <c r="D22" s="909" t="s">
        <v>273</v>
      </c>
      <c r="E22" s="909" t="s">
        <v>273</v>
      </c>
      <c r="F22" s="909" t="s">
        <v>273</v>
      </c>
      <c r="G22" s="909" t="s">
        <v>273</v>
      </c>
      <c r="H22" s="909" t="s">
        <v>273</v>
      </c>
      <c r="I22" s="909" t="s">
        <v>273</v>
      </c>
      <c r="J22" s="909" t="s">
        <v>273</v>
      </c>
      <c r="K22" s="909" t="s">
        <v>273</v>
      </c>
      <c r="L22" s="909" t="s">
        <v>273</v>
      </c>
      <c r="M22" s="909" t="s">
        <v>273</v>
      </c>
      <c r="N22" s="909" t="s">
        <v>273</v>
      </c>
      <c r="O22" s="909" t="s">
        <v>273</v>
      </c>
      <c r="P22" s="909" t="s">
        <v>273</v>
      </c>
      <c r="Q22" s="909" t="s">
        <v>273</v>
      </c>
      <c r="R22" s="909" t="s">
        <v>273</v>
      </c>
      <c r="S22" s="909" t="s">
        <v>273</v>
      </c>
    </row>
    <row r="23" spans="1:19">
      <c r="A23" s="909" t="s">
        <v>1807</v>
      </c>
      <c r="B23" s="909">
        <v>21487</v>
      </c>
      <c r="C23" s="909">
        <v>20381</v>
      </c>
      <c r="D23" s="909" t="s">
        <v>273</v>
      </c>
      <c r="E23" s="909" t="s">
        <v>273</v>
      </c>
      <c r="F23" s="909" t="s">
        <v>273</v>
      </c>
      <c r="G23" s="909" t="s">
        <v>273</v>
      </c>
      <c r="H23" s="909" t="s">
        <v>273</v>
      </c>
      <c r="I23" s="909" t="s">
        <v>273</v>
      </c>
      <c r="J23" s="909" t="s">
        <v>273</v>
      </c>
      <c r="K23" s="909" t="s">
        <v>273</v>
      </c>
      <c r="L23" s="909" t="s">
        <v>273</v>
      </c>
      <c r="M23" s="909" t="s">
        <v>273</v>
      </c>
      <c r="N23" s="909" t="s">
        <v>273</v>
      </c>
      <c r="O23" s="909" t="s">
        <v>273</v>
      </c>
      <c r="P23" s="909" t="s">
        <v>273</v>
      </c>
      <c r="Q23" s="909" t="s">
        <v>273</v>
      </c>
      <c r="R23" s="909" t="s">
        <v>273</v>
      </c>
      <c r="S23" s="909" t="s">
        <v>273</v>
      </c>
    </row>
    <row r="24" spans="1:19">
      <c r="A24" s="909" t="s">
        <v>1806</v>
      </c>
      <c r="B24" s="909" t="s">
        <v>291</v>
      </c>
      <c r="C24" s="909" t="s">
        <v>291</v>
      </c>
      <c r="D24" s="909" t="s">
        <v>273</v>
      </c>
      <c r="E24" s="909" t="s">
        <v>273</v>
      </c>
      <c r="F24" s="909" t="s">
        <v>273</v>
      </c>
      <c r="G24" s="909" t="s">
        <v>273</v>
      </c>
      <c r="H24" s="909" t="s">
        <v>273</v>
      </c>
      <c r="I24" s="909" t="s">
        <v>273</v>
      </c>
      <c r="J24" s="909" t="s">
        <v>273</v>
      </c>
      <c r="K24" s="909" t="s">
        <v>273</v>
      </c>
      <c r="L24" s="909" t="s">
        <v>273</v>
      </c>
      <c r="M24" s="909" t="s">
        <v>273</v>
      </c>
      <c r="N24" s="909" t="s">
        <v>273</v>
      </c>
      <c r="O24" s="909" t="s">
        <v>273</v>
      </c>
      <c r="P24" s="909" t="s">
        <v>273</v>
      </c>
      <c r="Q24" s="909" t="s">
        <v>273</v>
      </c>
      <c r="R24" s="909" t="s">
        <v>273</v>
      </c>
      <c r="S24" s="909" t="s">
        <v>273</v>
      </c>
    </row>
    <row r="25" spans="1:19">
      <c r="A25" s="909" t="s">
        <v>1805</v>
      </c>
      <c r="B25" s="909" t="s">
        <v>291</v>
      </c>
      <c r="C25" s="909" t="s">
        <v>291</v>
      </c>
      <c r="D25" s="909" t="s">
        <v>273</v>
      </c>
      <c r="E25" s="909" t="s">
        <v>273</v>
      </c>
      <c r="F25" s="909" t="s">
        <v>273</v>
      </c>
      <c r="G25" s="909" t="s">
        <v>273</v>
      </c>
      <c r="H25" s="909" t="s">
        <v>273</v>
      </c>
      <c r="I25" s="909" t="s">
        <v>273</v>
      </c>
      <c r="J25" s="909" t="s">
        <v>273</v>
      </c>
      <c r="K25" s="909" t="s">
        <v>273</v>
      </c>
      <c r="L25" s="909" t="s">
        <v>273</v>
      </c>
      <c r="M25" s="909" t="s">
        <v>273</v>
      </c>
      <c r="N25" s="909" t="s">
        <v>273</v>
      </c>
      <c r="O25" s="909" t="s">
        <v>273</v>
      </c>
      <c r="P25" s="909" t="s">
        <v>273</v>
      </c>
      <c r="Q25" s="909" t="s">
        <v>273</v>
      </c>
      <c r="R25" s="909" t="s">
        <v>273</v>
      </c>
      <c r="S25" s="909" t="s">
        <v>273</v>
      </c>
    </row>
    <row r="26" spans="1:19">
      <c r="A26" s="909" t="s">
        <v>1804</v>
      </c>
      <c r="B26" s="909">
        <v>327282</v>
      </c>
      <c r="C26" s="909">
        <v>343899</v>
      </c>
      <c r="D26" s="909">
        <v>328030</v>
      </c>
      <c r="E26" s="909">
        <v>337741</v>
      </c>
      <c r="F26" s="909">
        <v>371078</v>
      </c>
      <c r="G26" s="909">
        <v>416643</v>
      </c>
      <c r="H26" s="909">
        <v>430737</v>
      </c>
      <c r="I26" s="909">
        <v>441724</v>
      </c>
      <c r="J26" s="909">
        <v>484839</v>
      </c>
      <c r="K26" s="909">
        <v>474733</v>
      </c>
      <c r="L26" s="909">
        <v>501122</v>
      </c>
      <c r="M26" s="909">
        <v>518321</v>
      </c>
      <c r="N26" s="909">
        <v>536656</v>
      </c>
      <c r="O26" s="909">
        <v>582583</v>
      </c>
      <c r="P26" s="909">
        <v>623700</v>
      </c>
      <c r="Q26" s="909">
        <v>613079</v>
      </c>
      <c r="R26" s="909">
        <v>620746</v>
      </c>
      <c r="S26" s="909">
        <v>666580</v>
      </c>
    </row>
    <row r="27" spans="1:19">
      <c r="A27" s="909" t="s">
        <v>1803</v>
      </c>
      <c r="B27" s="909">
        <v>23268</v>
      </c>
      <c r="C27" s="909">
        <v>23497</v>
      </c>
      <c r="D27" s="909">
        <v>21334</v>
      </c>
      <c r="E27" s="909">
        <v>19236</v>
      </c>
      <c r="F27" s="909">
        <v>27692</v>
      </c>
      <c r="G27" s="909">
        <v>28220</v>
      </c>
      <c r="H27" s="909">
        <v>27638</v>
      </c>
      <c r="I27" s="909">
        <v>31215</v>
      </c>
      <c r="J27" s="909">
        <v>40588</v>
      </c>
      <c r="K27" s="909">
        <v>40317</v>
      </c>
      <c r="L27" s="909">
        <v>42780</v>
      </c>
      <c r="M27" s="909">
        <v>47704</v>
      </c>
      <c r="N27" s="909">
        <v>52388</v>
      </c>
      <c r="O27" s="909">
        <v>56580</v>
      </c>
      <c r="P27" s="909">
        <v>64766</v>
      </c>
      <c r="Q27" s="909">
        <v>68010</v>
      </c>
      <c r="R27" s="909">
        <v>61197</v>
      </c>
      <c r="S27" s="909">
        <v>60602</v>
      </c>
    </row>
    <row r="28" spans="1:19">
      <c r="A28" s="909" t="s">
        <v>1802</v>
      </c>
      <c r="B28" s="909">
        <v>1335</v>
      </c>
      <c r="C28" s="909">
        <v>1410</v>
      </c>
      <c r="D28" s="909">
        <v>1238</v>
      </c>
      <c r="E28" s="909">
        <v>1203</v>
      </c>
      <c r="F28" s="909">
        <v>1780</v>
      </c>
      <c r="G28" s="909">
        <v>1213</v>
      </c>
      <c r="H28" s="909">
        <v>1257</v>
      </c>
      <c r="I28" s="909">
        <v>1470</v>
      </c>
      <c r="J28" s="909">
        <v>1709</v>
      </c>
      <c r="K28" s="909">
        <v>985</v>
      </c>
      <c r="L28" s="909" t="s">
        <v>291</v>
      </c>
      <c r="M28" s="909">
        <v>1239</v>
      </c>
      <c r="N28" s="909">
        <v>919</v>
      </c>
      <c r="O28" s="909">
        <v>972</v>
      </c>
      <c r="P28" s="909" t="s">
        <v>291</v>
      </c>
      <c r="Q28" s="909" t="s">
        <v>291</v>
      </c>
      <c r="R28" s="909" t="s">
        <v>291</v>
      </c>
      <c r="S28" s="909">
        <v>496</v>
      </c>
    </row>
    <row r="29" spans="1:19">
      <c r="A29" s="909" t="s">
        <v>1801</v>
      </c>
      <c r="B29" s="909">
        <v>4770</v>
      </c>
      <c r="C29" s="909">
        <v>4621</v>
      </c>
      <c r="D29" s="909">
        <v>4889</v>
      </c>
      <c r="E29" s="909">
        <v>5177</v>
      </c>
      <c r="F29" s="909">
        <v>5411</v>
      </c>
      <c r="G29" s="909">
        <v>5991</v>
      </c>
      <c r="H29" s="909">
        <v>5403</v>
      </c>
      <c r="I29" s="909">
        <v>6047</v>
      </c>
      <c r="J29" s="909">
        <v>6780</v>
      </c>
      <c r="K29" s="909">
        <v>6356</v>
      </c>
      <c r="L29" s="909">
        <v>7822</v>
      </c>
      <c r="M29" s="909">
        <v>7961</v>
      </c>
      <c r="N29" s="909">
        <v>9094</v>
      </c>
      <c r="O29" s="909">
        <v>10221</v>
      </c>
      <c r="P29" s="909">
        <v>11256</v>
      </c>
      <c r="Q29" s="909">
        <v>11640</v>
      </c>
      <c r="R29" s="909">
        <v>10438</v>
      </c>
      <c r="S29" s="909">
        <v>10641</v>
      </c>
    </row>
    <row r="30" spans="1:19">
      <c r="A30" s="909" t="s">
        <v>1800</v>
      </c>
      <c r="B30" s="909">
        <v>2438</v>
      </c>
      <c r="C30" s="909">
        <v>2319</v>
      </c>
      <c r="D30" s="909">
        <v>2594</v>
      </c>
      <c r="E30" s="909">
        <v>2073</v>
      </c>
      <c r="F30" s="909">
        <v>2240</v>
      </c>
      <c r="G30" s="909">
        <v>3208</v>
      </c>
      <c r="H30" s="909">
        <v>1906</v>
      </c>
      <c r="I30" s="909">
        <v>2509</v>
      </c>
      <c r="J30" s="909">
        <v>7918</v>
      </c>
      <c r="K30" s="909">
        <v>14672</v>
      </c>
      <c r="L30" s="909">
        <v>11676</v>
      </c>
      <c r="M30" s="909">
        <v>15724</v>
      </c>
      <c r="N30" s="909">
        <v>15354</v>
      </c>
      <c r="O30" s="909">
        <v>15321</v>
      </c>
      <c r="P30" s="909">
        <v>15697</v>
      </c>
      <c r="Q30" s="909">
        <v>17000</v>
      </c>
      <c r="R30" s="909">
        <v>16516</v>
      </c>
      <c r="S30" s="909">
        <v>16724</v>
      </c>
    </row>
    <row r="31" spans="1:19">
      <c r="A31" s="909" t="s">
        <v>1799</v>
      </c>
      <c r="B31" s="909">
        <v>3069</v>
      </c>
      <c r="C31" s="909">
        <v>3520</v>
      </c>
      <c r="D31" s="909">
        <v>3312</v>
      </c>
      <c r="E31" s="909">
        <v>1668</v>
      </c>
      <c r="F31" s="909">
        <v>4927</v>
      </c>
      <c r="G31" s="909">
        <v>2573</v>
      </c>
      <c r="H31" s="909">
        <v>2200</v>
      </c>
      <c r="I31" s="909">
        <v>2435</v>
      </c>
      <c r="J31" s="909">
        <v>3409</v>
      </c>
      <c r="K31" s="909">
        <v>3569</v>
      </c>
      <c r="L31" s="909">
        <v>3382</v>
      </c>
      <c r="M31" s="909">
        <v>4579</v>
      </c>
      <c r="N31" s="909">
        <v>6478</v>
      </c>
      <c r="O31" s="909">
        <v>7411</v>
      </c>
      <c r="P31" s="909">
        <v>11368</v>
      </c>
      <c r="Q31" s="909">
        <v>10786</v>
      </c>
      <c r="R31" s="909">
        <v>8048</v>
      </c>
      <c r="S31" s="909">
        <v>7869</v>
      </c>
    </row>
    <row r="32" spans="1:19">
      <c r="A32" s="909" t="s">
        <v>1798</v>
      </c>
      <c r="B32" s="909">
        <v>380</v>
      </c>
      <c r="C32" s="909">
        <v>452</v>
      </c>
      <c r="D32" s="909">
        <v>469</v>
      </c>
      <c r="E32" s="909">
        <v>695</v>
      </c>
      <c r="F32" s="909">
        <v>939</v>
      </c>
      <c r="G32" s="909">
        <v>683</v>
      </c>
      <c r="H32" s="909">
        <v>891</v>
      </c>
      <c r="I32" s="909">
        <v>700</v>
      </c>
      <c r="J32" s="909">
        <v>727</v>
      </c>
      <c r="K32" s="909">
        <v>724</v>
      </c>
      <c r="L32" s="909">
        <v>1306</v>
      </c>
      <c r="M32" s="909">
        <v>2445</v>
      </c>
      <c r="N32" s="909">
        <v>4068</v>
      </c>
      <c r="O32" s="909">
        <v>4650</v>
      </c>
      <c r="P32" s="909">
        <v>4407</v>
      </c>
      <c r="Q32" s="909">
        <v>2691</v>
      </c>
      <c r="R32" s="909">
        <v>2611</v>
      </c>
      <c r="S32" s="909">
        <v>5906</v>
      </c>
    </row>
    <row r="33" spans="1:19">
      <c r="A33" s="909" t="s">
        <v>1797</v>
      </c>
      <c r="B33" s="909">
        <v>1563</v>
      </c>
      <c r="C33" s="909">
        <v>1595</v>
      </c>
      <c r="D33" s="909">
        <v>860</v>
      </c>
      <c r="E33" s="909">
        <v>712</v>
      </c>
      <c r="F33" s="909">
        <v>1169</v>
      </c>
      <c r="G33" s="909" t="s">
        <v>291</v>
      </c>
      <c r="H33" s="909" t="s">
        <v>291</v>
      </c>
      <c r="I33" s="909">
        <v>1343</v>
      </c>
      <c r="J33" s="909">
        <v>1324</v>
      </c>
      <c r="K33" s="909">
        <v>1949</v>
      </c>
      <c r="L33" s="909">
        <v>2712</v>
      </c>
      <c r="M33" s="909">
        <v>1961</v>
      </c>
      <c r="N33" s="909">
        <v>1685</v>
      </c>
      <c r="O33" s="909">
        <v>1770</v>
      </c>
      <c r="P33" s="909">
        <v>2001</v>
      </c>
      <c r="Q33" s="909">
        <v>3684</v>
      </c>
      <c r="R33" s="909">
        <v>2390</v>
      </c>
      <c r="S33" s="909">
        <v>2367</v>
      </c>
    </row>
    <row r="34" spans="1:19">
      <c r="A34" s="909" t="s">
        <v>1796</v>
      </c>
      <c r="B34" s="909">
        <v>29</v>
      </c>
      <c r="C34" s="909">
        <v>38</v>
      </c>
      <c r="D34" s="909">
        <v>89</v>
      </c>
      <c r="E34" s="909">
        <v>87</v>
      </c>
      <c r="F34" s="909">
        <v>174</v>
      </c>
      <c r="G34" s="909" t="s">
        <v>291</v>
      </c>
      <c r="H34" s="909" t="s">
        <v>291</v>
      </c>
      <c r="I34" s="909">
        <v>8</v>
      </c>
      <c r="J34" s="909">
        <v>47</v>
      </c>
      <c r="K34" s="909">
        <v>46</v>
      </c>
      <c r="L34" s="909" t="s">
        <v>291</v>
      </c>
      <c r="M34" s="909">
        <v>21</v>
      </c>
      <c r="N34" s="909">
        <v>20</v>
      </c>
      <c r="O34" s="909">
        <v>20</v>
      </c>
      <c r="P34" s="909" t="s">
        <v>291</v>
      </c>
      <c r="Q34" s="909" t="s">
        <v>291</v>
      </c>
      <c r="R34" s="909" t="s">
        <v>291</v>
      </c>
      <c r="S34" s="909">
        <v>45</v>
      </c>
    </row>
    <row r="35" spans="1:19">
      <c r="A35" s="909" t="s">
        <v>1795</v>
      </c>
      <c r="B35" s="909">
        <v>2238</v>
      </c>
      <c r="C35" s="909">
        <v>1300</v>
      </c>
      <c r="D35" s="909">
        <v>2000</v>
      </c>
      <c r="E35" s="909">
        <v>2022</v>
      </c>
      <c r="F35" s="909">
        <v>1436</v>
      </c>
      <c r="G35" s="909">
        <v>592</v>
      </c>
      <c r="H35" s="909">
        <v>1387</v>
      </c>
      <c r="I35" s="909">
        <v>1174</v>
      </c>
      <c r="J35" s="909">
        <v>1162</v>
      </c>
      <c r="K35" s="909">
        <v>1344</v>
      </c>
      <c r="L35" s="909" t="s">
        <v>291</v>
      </c>
      <c r="M35" s="909">
        <v>1386</v>
      </c>
      <c r="N35" s="909">
        <v>1722</v>
      </c>
      <c r="O35" s="909">
        <v>3941</v>
      </c>
      <c r="P35" s="909">
        <v>4930</v>
      </c>
      <c r="Q35" s="909">
        <v>8916</v>
      </c>
      <c r="R35" s="909">
        <v>8702</v>
      </c>
      <c r="S35" s="909">
        <v>8487</v>
      </c>
    </row>
    <row r="36" spans="1:19">
      <c r="A36" s="909" t="s">
        <v>1794</v>
      </c>
      <c r="B36" s="909">
        <v>7446</v>
      </c>
      <c r="C36" s="909">
        <v>8243</v>
      </c>
      <c r="D36" s="909">
        <v>5883</v>
      </c>
      <c r="E36" s="909">
        <v>5600</v>
      </c>
      <c r="F36" s="909">
        <v>9616</v>
      </c>
      <c r="G36" s="909">
        <v>13565</v>
      </c>
      <c r="H36" s="909">
        <v>13820</v>
      </c>
      <c r="I36" s="909">
        <v>15528</v>
      </c>
      <c r="J36" s="909">
        <v>17511</v>
      </c>
      <c r="K36" s="909">
        <v>10671</v>
      </c>
      <c r="L36" s="909">
        <v>13933</v>
      </c>
      <c r="M36" s="909">
        <v>12388</v>
      </c>
      <c r="N36" s="909">
        <v>13048</v>
      </c>
      <c r="O36" s="909">
        <v>12275</v>
      </c>
      <c r="P36" s="909">
        <v>14248</v>
      </c>
      <c r="Q36" s="909">
        <v>12631</v>
      </c>
      <c r="R36" s="909">
        <v>11990</v>
      </c>
      <c r="S36" s="909">
        <v>8067</v>
      </c>
    </row>
    <row r="37" spans="1:19">
      <c r="A37" s="909" t="s">
        <v>1793</v>
      </c>
      <c r="B37" s="909">
        <v>15660</v>
      </c>
      <c r="C37" s="909">
        <v>14238</v>
      </c>
      <c r="D37" s="909" t="s">
        <v>273</v>
      </c>
      <c r="E37" s="909" t="s">
        <v>273</v>
      </c>
      <c r="F37" s="909" t="s">
        <v>273</v>
      </c>
      <c r="G37" s="909" t="s">
        <v>273</v>
      </c>
      <c r="H37" s="909" t="s">
        <v>273</v>
      </c>
      <c r="I37" s="909" t="s">
        <v>273</v>
      </c>
      <c r="J37" s="909" t="s">
        <v>273</v>
      </c>
      <c r="K37" s="909" t="s">
        <v>273</v>
      </c>
      <c r="L37" s="909" t="s">
        <v>273</v>
      </c>
      <c r="M37" s="909" t="s">
        <v>273</v>
      </c>
      <c r="N37" s="909" t="s">
        <v>273</v>
      </c>
      <c r="O37" s="909" t="s">
        <v>273</v>
      </c>
      <c r="P37" s="909" t="s">
        <v>273</v>
      </c>
      <c r="Q37" s="909" t="s">
        <v>273</v>
      </c>
      <c r="R37" s="909" t="s">
        <v>273</v>
      </c>
      <c r="S37" s="909" t="s">
        <v>273</v>
      </c>
    </row>
    <row r="38" spans="1:19">
      <c r="A38" s="909" t="s">
        <v>1792</v>
      </c>
      <c r="B38" s="909">
        <v>12760</v>
      </c>
      <c r="C38" s="909">
        <v>11446</v>
      </c>
      <c r="D38" s="909" t="s">
        <v>273</v>
      </c>
      <c r="E38" s="909" t="s">
        <v>273</v>
      </c>
      <c r="F38" s="909" t="s">
        <v>273</v>
      </c>
      <c r="G38" s="909" t="s">
        <v>273</v>
      </c>
      <c r="H38" s="909" t="s">
        <v>273</v>
      </c>
      <c r="I38" s="909" t="s">
        <v>273</v>
      </c>
      <c r="J38" s="909" t="s">
        <v>273</v>
      </c>
      <c r="K38" s="909" t="s">
        <v>273</v>
      </c>
      <c r="L38" s="909" t="s">
        <v>273</v>
      </c>
      <c r="M38" s="909" t="s">
        <v>273</v>
      </c>
      <c r="N38" s="909" t="s">
        <v>273</v>
      </c>
      <c r="O38" s="909" t="s">
        <v>273</v>
      </c>
      <c r="P38" s="909" t="s">
        <v>273</v>
      </c>
      <c r="Q38" s="909" t="s">
        <v>273</v>
      </c>
      <c r="R38" s="909" t="s">
        <v>273</v>
      </c>
      <c r="S38" s="909" t="s">
        <v>273</v>
      </c>
    </row>
    <row r="39" spans="1:19">
      <c r="A39" s="909" t="s">
        <v>1791</v>
      </c>
      <c r="B39" s="909">
        <v>2899</v>
      </c>
      <c r="C39" s="909">
        <v>2791</v>
      </c>
      <c r="D39" s="909" t="s">
        <v>273</v>
      </c>
      <c r="E39" s="909" t="s">
        <v>273</v>
      </c>
      <c r="F39" s="909" t="s">
        <v>273</v>
      </c>
      <c r="G39" s="909" t="s">
        <v>273</v>
      </c>
      <c r="H39" s="909" t="s">
        <v>273</v>
      </c>
      <c r="I39" s="909" t="s">
        <v>273</v>
      </c>
      <c r="J39" s="909" t="s">
        <v>273</v>
      </c>
      <c r="K39" s="909" t="s">
        <v>273</v>
      </c>
      <c r="L39" s="909" t="s">
        <v>273</v>
      </c>
      <c r="M39" s="909" t="s">
        <v>273</v>
      </c>
      <c r="N39" s="909" t="s">
        <v>273</v>
      </c>
      <c r="O39" s="909" t="s">
        <v>273</v>
      </c>
      <c r="P39" s="909" t="s">
        <v>273</v>
      </c>
      <c r="Q39" s="909" t="s">
        <v>273</v>
      </c>
      <c r="R39" s="909" t="s">
        <v>273</v>
      </c>
      <c r="S39" s="909" t="s">
        <v>273</v>
      </c>
    </row>
    <row r="40" spans="1:19">
      <c r="A40" s="909" t="s">
        <v>1790</v>
      </c>
      <c r="B40" s="909">
        <v>3969</v>
      </c>
      <c r="C40" s="909">
        <v>3894</v>
      </c>
      <c r="D40" s="909" t="s">
        <v>273</v>
      </c>
      <c r="E40" s="909" t="s">
        <v>273</v>
      </c>
      <c r="F40" s="909" t="s">
        <v>273</v>
      </c>
      <c r="G40" s="909" t="s">
        <v>273</v>
      </c>
      <c r="H40" s="909" t="s">
        <v>273</v>
      </c>
      <c r="I40" s="909" t="s">
        <v>273</v>
      </c>
      <c r="J40" s="909" t="s">
        <v>273</v>
      </c>
      <c r="K40" s="909" t="s">
        <v>273</v>
      </c>
      <c r="L40" s="909" t="s">
        <v>273</v>
      </c>
      <c r="M40" s="909" t="s">
        <v>273</v>
      </c>
      <c r="N40" s="909" t="s">
        <v>273</v>
      </c>
      <c r="O40" s="909" t="s">
        <v>273</v>
      </c>
      <c r="P40" s="909" t="s">
        <v>273</v>
      </c>
      <c r="Q40" s="909" t="s">
        <v>273</v>
      </c>
      <c r="R40" s="909" t="s">
        <v>273</v>
      </c>
      <c r="S40" s="909" t="s">
        <v>273</v>
      </c>
    </row>
    <row r="41" spans="1:19">
      <c r="A41" s="909" t="s">
        <v>1789</v>
      </c>
      <c r="B41" s="909">
        <v>1207</v>
      </c>
      <c r="C41" s="909">
        <v>1459</v>
      </c>
      <c r="D41" s="909" t="s">
        <v>273</v>
      </c>
      <c r="E41" s="909" t="s">
        <v>273</v>
      </c>
      <c r="F41" s="909" t="s">
        <v>273</v>
      </c>
      <c r="G41" s="909" t="s">
        <v>273</v>
      </c>
      <c r="H41" s="909" t="s">
        <v>273</v>
      </c>
      <c r="I41" s="909" t="s">
        <v>273</v>
      </c>
      <c r="J41" s="909" t="s">
        <v>273</v>
      </c>
      <c r="K41" s="909" t="s">
        <v>273</v>
      </c>
      <c r="L41" s="909" t="s">
        <v>273</v>
      </c>
      <c r="M41" s="909" t="s">
        <v>273</v>
      </c>
      <c r="N41" s="909" t="s">
        <v>273</v>
      </c>
      <c r="O41" s="909" t="s">
        <v>273</v>
      </c>
      <c r="P41" s="909" t="s">
        <v>273</v>
      </c>
      <c r="Q41" s="909" t="s">
        <v>273</v>
      </c>
      <c r="R41" s="909" t="s">
        <v>273</v>
      </c>
      <c r="S41" s="909" t="s">
        <v>273</v>
      </c>
    </row>
    <row r="42" spans="1:19">
      <c r="A42" s="909" t="s">
        <v>1788</v>
      </c>
      <c r="B42" s="909">
        <v>821</v>
      </c>
      <c r="C42" s="909">
        <v>642</v>
      </c>
      <c r="D42" s="909" t="s">
        <v>273</v>
      </c>
      <c r="E42" s="909" t="s">
        <v>273</v>
      </c>
      <c r="F42" s="909" t="s">
        <v>273</v>
      </c>
      <c r="G42" s="909" t="s">
        <v>273</v>
      </c>
      <c r="H42" s="909" t="s">
        <v>273</v>
      </c>
      <c r="I42" s="909" t="s">
        <v>273</v>
      </c>
      <c r="J42" s="909" t="s">
        <v>273</v>
      </c>
      <c r="K42" s="909" t="s">
        <v>273</v>
      </c>
      <c r="L42" s="909" t="s">
        <v>273</v>
      </c>
      <c r="M42" s="909" t="s">
        <v>273</v>
      </c>
      <c r="N42" s="909" t="s">
        <v>273</v>
      </c>
      <c r="O42" s="909" t="s">
        <v>273</v>
      </c>
      <c r="P42" s="909" t="s">
        <v>273</v>
      </c>
      <c r="Q42" s="909" t="s">
        <v>273</v>
      </c>
      <c r="R42" s="909" t="s">
        <v>273</v>
      </c>
      <c r="S42" s="909" t="s">
        <v>273</v>
      </c>
    </row>
    <row r="43" spans="1:19">
      <c r="A43" s="909" t="s">
        <v>1787</v>
      </c>
      <c r="B43" s="909">
        <v>1744</v>
      </c>
      <c r="C43" s="909">
        <v>1587</v>
      </c>
      <c r="D43" s="909" t="s">
        <v>273</v>
      </c>
      <c r="E43" s="909" t="s">
        <v>273</v>
      </c>
      <c r="F43" s="909" t="s">
        <v>273</v>
      </c>
      <c r="G43" s="909" t="s">
        <v>273</v>
      </c>
      <c r="H43" s="909" t="s">
        <v>273</v>
      </c>
      <c r="I43" s="909" t="s">
        <v>273</v>
      </c>
      <c r="J43" s="909" t="s">
        <v>273</v>
      </c>
      <c r="K43" s="909" t="s">
        <v>273</v>
      </c>
      <c r="L43" s="909" t="s">
        <v>273</v>
      </c>
      <c r="M43" s="909" t="s">
        <v>273</v>
      </c>
      <c r="N43" s="909" t="s">
        <v>273</v>
      </c>
      <c r="O43" s="909" t="s">
        <v>273</v>
      </c>
      <c r="P43" s="909" t="s">
        <v>273</v>
      </c>
      <c r="Q43" s="909" t="s">
        <v>273</v>
      </c>
      <c r="R43" s="909" t="s">
        <v>273</v>
      </c>
      <c r="S43" s="909" t="s">
        <v>273</v>
      </c>
    </row>
    <row r="44" spans="1:19">
      <c r="A44" s="909" t="s">
        <v>1786</v>
      </c>
      <c r="B44" s="909">
        <v>197</v>
      </c>
      <c r="C44" s="909">
        <v>206</v>
      </c>
      <c r="D44" s="909" t="s">
        <v>273</v>
      </c>
      <c r="E44" s="909" t="s">
        <v>273</v>
      </c>
      <c r="F44" s="909" t="s">
        <v>273</v>
      </c>
      <c r="G44" s="909" t="s">
        <v>273</v>
      </c>
      <c r="H44" s="909" t="s">
        <v>273</v>
      </c>
      <c r="I44" s="909" t="s">
        <v>273</v>
      </c>
      <c r="J44" s="909" t="s">
        <v>273</v>
      </c>
      <c r="K44" s="909" t="s">
        <v>273</v>
      </c>
      <c r="L44" s="909" t="s">
        <v>273</v>
      </c>
      <c r="M44" s="909" t="s">
        <v>273</v>
      </c>
      <c r="N44" s="909" t="s">
        <v>273</v>
      </c>
      <c r="O44" s="909" t="s">
        <v>273</v>
      </c>
      <c r="P44" s="909" t="s">
        <v>273</v>
      </c>
      <c r="Q44" s="909" t="s">
        <v>273</v>
      </c>
      <c r="R44" s="909" t="s">
        <v>273</v>
      </c>
      <c r="S44" s="909" t="s">
        <v>273</v>
      </c>
    </row>
    <row r="45" spans="1:19">
      <c r="A45" s="909" t="s">
        <v>1785</v>
      </c>
      <c r="B45" s="909">
        <v>3278</v>
      </c>
      <c r="C45" s="909">
        <v>3168</v>
      </c>
      <c r="D45" s="909" t="s">
        <v>273</v>
      </c>
      <c r="E45" s="909" t="s">
        <v>273</v>
      </c>
      <c r="F45" s="909" t="s">
        <v>273</v>
      </c>
      <c r="G45" s="909" t="s">
        <v>273</v>
      </c>
      <c r="H45" s="909" t="s">
        <v>273</v>
      </c>
      <c r="I45" s="909" t="s">
        <v>273</v>
      </c>
      <c r="J45" s="909" t="s">
        <v>273</v>
      </c>
      <c r="K45" s="909" t="s">
        <v>273</v>
      </c>
      <c r="L45" s="909" t="s">
        <v>273</v>
      </c>
      <c r="M45" s="909" t="s">
        <v>273</v>
      </c>
      <c r="N45" s="909" t="s">
        <v>273</v>
      </c>
      <c r="O45" s="909" t="s">
        <v>273</v>
      </c>
      <c r="P45" s="909" t="s">
        <v>273</v>
      </c>
      <c r="Q45" s="909" t="s">
        <v>273</v>
      </c>
      <c r="R45" s="909" t="s">
        <v>273</v>
      </c>
      <c r="S45" s="909" t="s">
        <v>273</v>
      </c>
    </row>
    <row r="46" spans="1:19">
      <c r="A46" s="909" t="s">
        <v>1784</v>
      </c>
      <c r="B46" s="909">
        <v>12479</v>
      </c>
      <c r="C46" s="909">
        <v>13211</v>
      </c>
      <c r="D46" s="909" t="s">
        <v>273</v>
      </c>
      <c r="E46" s="909" t="s">
        <v>273</v>
      </c>
      <c r="F46" s="909" t="s">
        <v>273</v>
      </c>
      <c r="G46" s="909" t="s">
        <v>273</v>
      </c>
      <c r="H46" s="909" t="s">
        <v>273</v>
      </c>
      <c r="I46" s="909" t="s">
        <v>273</v>
      </c>
      <c r="J46" s="909" t="s">
        <v>273</v>
      </c>
      <c r="K46" s="909" t="s">
        <v>273</v>
      </c>
      <c r="L46" s="909" t="s">
        <v>273</v>
      </c>
      <c r="M46" s="909" t="s">
        <v>273</v>
      </c>
      <c r="N46" s="909" t="s">
        <v>273</v>
      </c>
      <c r="O46" s="909" t="s">
        <v>273</v>
      </c>
      <c r="P46" s="909" t="s">
        <v>273</v>
      </c>
      <c r="Q46" s="909" t="s">
        <v>273</v>
      </c>
      <c r="R46" s="909" t="s">
        <v>273</v>
      </c>
      <c r="S46" s="909" t="s">
        <v>273</v>
      </c>
    </row>
    <row r="47" spans="1:19">
      <c r="A47" s="909" t="s">
        <v>1783</v>
      </c>
      <c r="B47" s="909">
        <v>3833</v>
      </c>
      <c r="C47" s="909">
        <v>4603</v>
      </c>
      <c r="D47" s="909" t="s">
        <v>273</v>
      </c>
      <c r="E47" s="909" t="s">
        <v>273</v>
      </c>
      <c r="F47" s="909" t="s">
        <v>273</v>
      </c>
      <c r="G47" s="909" t="s">
        <v>273</v>
      </c>
      <c r="H47" s="909" t="s">
        <v>273</v>
      </c>
      <c r="I47" s="909" t="s">
        <v>273</v>
      </c>
      <c r="J47" s="909" t="s">
        <v>273</v>
      </c>
      <c r="K47" s="909" t="s">
        <v>273</v>
      </c>
      <c r="L47" s="909" t="s">
        <v>273</v>
      </c>
      <c r="M47" s="909" t="s">
        <v>273</v>
      </c>
      <c r="N47" s="909" t="s">
        <v>273</v>
      </c>
      <c r="O47" s="909" t="s">
        <v>273</v>
      </c>
      <c r="P47" s="909" t="s">
        <v>273</v>
      </c>
      <c r="Q47" s="909" t="s">
        <v>273</v>
      </c>
      <c r="R47" s="909" t="s">
        <v>273</v>
      </c>
      <c r="S47" s="909" t="s">
        <v>273</v>
      </c>
    </row>
    <row r="48" spans="1:19">
      <c r="A48" s="909" t="s">
        <v>1782</v>
      </c>
      <c r="B48" s="909">
        <v>8646</v>
      </c>
      <c r="C48" s="909">
        <v>8608</v>
      </c>
      <c r="D48" s="909" t="s">
        <v>273</v>
      </c>
      <c r="E48" s="909" t="s">
        <v>273</v>
      </c>
      <c r="F48" s="909" t="s">
        <v>273</v>
      </c>
      <c r="G48" s="909" t="s">
        <v>273</v>
      </c>
      <c r="H48" s="909" t="s">
        <v>273</v>
      </c>
      <c r="I48" s="909" t="s">
        <v>273</v>
      </c>
      <c r="J48" s="909" t="s">
        <v>273</v>
      </c>
      <c r="K48" s="909" t="s">
        <v>273</v>
      </c>
      <c r="L48" s="909" t="s">
        <v>273</v>
      </c>
      <c r="M48" s="909" t="s">
        <v>273</v>
      </c>
      <c r="N48" s="909" t="s">
        <v>273</v>
      </c>
      <c r="O48" s="909" t="s">
        <v>273</v>
      </c>
      <c r="P48" s="909" t="s">
        <v>273</v>
      </c>
      <c r="Q48" s="909" t="s">
        <v>273</v>
      </c>
      <c r="R48" s="909" t="s">
        <v>273</v>
      </c>
      <c r="S48" s="909" t="s">
        <v>273</v>
      </c>
    </row>
    <row r="49" spans="1:19">
      <c r="A49" s="909" t="s">
        <v>1781</v>
      </c>
      <c r="B49" s="909">
        <v>2112</v>
      </c>
      <c r="C49" s="909">
        <v>2181</v>
      </c>
      <c r="D49" s="909" t="s">
        <v>273</v>
      </c>
      <c r="E49" s="909" t="s">
        <v>273</v>
      </c>
      <c r="F49" s="909" t="s">
        <v>273</v>
      </c>
      <c r="G49" s="909" t="s">
        <v>273</v>
      </c>
      <c r="H49" s="909" t="s">
        <v>273</v>
      </c>
      <c r="I49" s="909" t="s">
        <v>273</v>
      </c>
      <c r="J49" s="909" t="s">
        <v>273</v>
      </c>
      <c r="K49" s="909" t="s">
        <v>273</v>
      </c>
      <c r="L49" s="909" t="s">
        <v>273</v>
      </c>
      <c r="M49" s="909" t="s">
        <v>273</v>
      </c>
      <c r="N49" s="909" t="s">
        <v>273</v>
      </c>
      <c r="O49" s="909" t="s">
        <v>273</v>
      </c>
      <c r="P49" s="909" t="s">
        <v>273</v>
      </c>
      <c r="Q49" s="909" t="s">
        <v>273</v>
      </c>
      <c r="R49" s="909" t="s">
        <v>273</v>
      </c>
      <c r="S49" s="909" t="s">
        <v>273</v>
      </c>
    </row>
    <row r="50" spans="1:19">
      <c r="A50" s="752" t="s">
        <v>1780</v>
      </c>
      <c r="B50" s="752">
        <v>13886</v>
      </c>
      <c r="C50" s="752">
        <v>13654</v>
      </c>
      <c r="D50" s="1070">
        <f>D134</f>
        <v>9680</v>
      </c>
      <c r="E50" s="1070">
        <f t="shared" ref="E50:P50" si="0">E134</f>
        <v>12068</v>
      </c>
      <c r="F50" s="1070">
        <f t="shared" si="0"/>
        <v>13398</v>
      </c>
      <c r="G50" s="1070">
        <f t="shared" si="0"/>
        <v>12950</v>
      </c>
      <c r="H50" s="1070">
        <f t="shared" si="0"/>
        <v>14665</v>
      </c>
      <c r="I50" s="1070">
        <f t="shared" si="0"/>
        <v>16199</v>
      </c>
      <c r="J50" s="1070">
        <f t="shared" si="0"/>
        <v>14053</v>
      </c>
      <c r="K50" s="1070">
        <f t="shared" si="0"/>
        <v>11270</v>
      </c>
      <c r="L50" s="1070">
        <f t="shared" si="0"/>
        <v>18044</v>
      </c>
      <c r="M50" s="1070">
        <f t="shared" si="0"/>
        <v>15498</v>
      </c>
      <c r="N50" s="1070">
        <f t="shared" si="0"/>
        <v>12786</v>
      </c>
      <c r="O50" s="1070">
        <f t="shared" si="0"/>
        <v>24300</v>
      </c>
      <c r="P50" s="1070">
        <f t="shared" si="0"/>
        <v>35742</v>
      </c>
      <c r="Q50" s="1070">
        <f>P50</f>
        <v>35742</v>
      </c>
      <c r="R50" s="1070">
        <f t="shared" ref="R50:S50" si="1">Q50</f>
        <v>35742</v>
      </c>
      <c r="S50" s="1070">
        <f t="shared" si="1"/>
        <v>35742</v>
      </c>
    </row>
    <row r="51" spans="1:19">
      <c r="A51" s="909" t="s">
        <v>1779</v>
      </c>
      <c r="B51" s="909">
        <v>5983</v>
      </c>
      <c r="C51" s="909">
        <v>6146</v>
      </c>
      <c r="D51" s="909" t="s">
        <v>273</v>
      </c>
      <c r="E51" s="909" t="s">
        <v>273</v>
      </c>
      <c r="F51" s="909" t="s">
        <v>273</v>
      </c>
      <c r="G51" s="909" t="s">
        <v>273</v>
      </c>
      <c r="H51" s="909" t="s">
        <v>273</v>
      </c>
      <c r="I51" s="909" t="s">
        <v>273</v>
      </c>
      <c r="J51" s="909" t="s">
        <v>273</v>
      </c>
      <c r="K51" s="909" t="s">
        <v>273</v>
      </c>
      <c r="L51" s="909" t="s">
        <v>273</v>
      </c>
      <c r="M51" s="909" t="s">
        <v>273</v>
      </c>
      <c r="N51" s="909" t="s">
        <v>273</v>
      </c>
      <c r="O51" s="909" t="s">
        <v>273</v>
      </c>
      <c r="P51" s="909" t="s">
        <v>273</v>
      </c>
      <c r="Q51" s="909" t="s">
        <v>273</v>
      </c>
      <c r="R51" s="909" t="s">
        <v>273</v>
      </c>
      <c r="S51" s="909" t="s">
        <v>273</v>
      </c>
    </row>
    <row r="52" spans="1:19">
      <c r="A52" s="909" t="s">
        <v>1778</v>
      </c>
      <c r="B52" s="909">
        <v>7486</v>
      </c>
      <c r="C52" s="909">
        <v>7041</v>
      </c>
      <c r="D52" s="909" t="s">
        <v>273</v>
      </c>
      <c r="E52" s="909" t="s">
        <v>273</v>
      </c>
      <c r="F52" s="909" t="s">
        <v>273</v>
      </c>
      <c r="G52" s="909" t="s">
        <v>273</v>
      </c>
      <c r="H52" s="909" t="s">
        <v>273</v>
      </c>
      <c r="I52" s="909" t="s">
        <v>273</v>
      </c>
      <c r="J52" s="909" t="s">
        <v>273</v>
      </c>
      <c r="K52" s="909" t="s">
        <v>273</v>
      </c>
      <c r="L52" s="909" t="s">
        <v>273</v>
      </c>
      <c r="M52" s="909" t="s">
        <v>273</v>
      </c>
      <c r="N52" s="909" t="s">
        <v>273</v>
      </c>
      <c r="O52" s="909" t="s">
        <v>273</v>
      </c>
      <c r="P52" s="909" t="s">
        <v>273</v>
      </c>
      <c r="Q52" s="909" t="s">
        <v>273</v>
      </c>
      <c r="R52" s="909" t="s">
        <v>273</v>
      </c>
      <c r="S52" s="909" t="s">
        <v>273</v>
      </c>
    </row>
    <row r="53" spans="1:19">
      <c r="A53" s="909" t="s">
        <v>1777</v>
      </c>
      <c r="B53" s="909">
        <v>417</v>
      </c>
      <c r="C53" s="909">
        <v>467</v>
      </c>
      <c r="D53" s="909" t="s">
        <v>273</v>
      </c>
      <c r="E53" s="909" t="s">
        <v>273</v>
      </c>
      <c r="F53" s="909" t="s">
        <v>273</v>
      </c>
      <c r="G53" s="909" t="s">
        <v>273</v>
      </c>
      <c r="H53" s="909" t="s">
        <v>273</v>
      </c>
      <c r="I53" s="909" t="s">
        <v>273</v>
      </c>
      <c r="J53" s="909" t="s">
        <v>273</v>
      </c>
      <c r="K53" s="909" t="s">
        <v>273</v>
      </c>
      <c r="L53" s="909" t="s">
        <v>273</v>
      </c>
      <c r="M53" s="909" t="s">
        <v>273</v>
      </c>
      <c r="N53" s="909" t="s">
        <v>273</v>
      </c>
      <c r="O53" s="909" t="s">
        <v>273</v>
      </c>
      <c r="P53" s="909" t="s">
        <v>273</v>
      </c>
      <c r="Q53" s="909" t="s">
        <v>273</v>
      </c>
      <c r="R53" s="909" t="s">
        <v>273</v>
      </c>
      <c r="S53" s="909" t="s">
        <v>273</v>
      </c>
    </row>
    <row r="54" spans="1:19">
      <c r="A54" s="909" t="s">
        <v>1776</v>
      </c>
      <c r="B54" s="909">
        <v>81727</v>
      </c>
      <c r="C54" s="909">
        <v>75807</v>
      </c>
      <c r="D54" s="909">
        <v>79186</v>
      </c>
      <c r="E54" s="909">
        <v>82543</v>
      </c>
      <c r="F54" s="909">
        <v>91435</v>
      </c>
      <c r="G54" s="909">
        <v>101794</v>
      </c>
      <c r="H54" s="909">
        <v>106975</v>
      </c>
      <c r="I54" s="909">
        <v>94519</v>
      </c>
      <c r="J54" s="909">
        <v>95915</v>
      </c>
      <c r="K54" s="909">
        <v>110311</v>
      </c>
      <c r="L54" s="909">
        <v>113507</v>
      </c>
      <c r="M54" s="909">
        <v>111327</v>
      </c>
      <c r="N54" s="909">
        <v>127350</v>
      </c>
      <c r="O54" s="909">
        <v>131626</v>
      </c>
      <c r="P54" s="909">
        <v>135824</v>
      </c>
      <c r="Q54" s="909">
        <v>134211</v>
      </c>
      <c r="R54" s="909">
        <v>142820</v>
      </c>
      <c r="S54" s="909">
        <v>147836</v>
      </c>
    </row>
    <row r="55" spans="1:19">
      <c r="A55" s="909" t="s">
        <v>1775</v>
      </c>
      <c r="B55" s="909">
        <v>13588</v>
      </c>
      <c r="C55" s="909">
        <v>14026</v>
      </c>
      <c r="D55" s="909">
        <v>14030</v>
      </c>
      <c r="E55" s="909">
        <v>13679</v>
      </c>
      <c r="F55" s="909">
        <v>15344</v>
      </c>
      <c r="G55" s="909">
        <v>19783</v>
      </c>
      <c r="H55" s="909">
        <v>27958</v>
      </c>
      <c r="I55" s="909">
        <v>26217</v>
      </c>
      <c r="J55" s="909">
        <v>22444</v>
      </c>
      <c r="K55" s="909">
        <v>25857</v>
      </c>
      <c r="L55" s="909">
        <v>18055</v>
      </c>
      <c r="M55" s="909">
        <v>22099</v>
      </c>
      <c r="N55" s="909">
        <v>22792</v>
      </c>
      <c r="O55" s="909">
        <v>25910</v>
      </c>
      <c r="P55" s="909">
        <v>26021</v>
      </c>
      <c r="Q55" s="909">
        <v>24368</v>
      </c>
      <c r="R55" s="909">
        <v>25274</v>
      </c>
      <c r="S55" s="909">
        <v>25202</v>
      </c>
    </row>
    <row r="56" spans="1:19">
      <c r="A56" s="909" t="s">
        <v>1774</v>
      </c>
      <c r="B56" s="909">
        <v>11677</v>
      </c>
      <c r="C56" s="909">
        <v>10543</v>
      </c>
      <c r="D56" s="909">
        <v>11376</v>
      </c>
      <c r="E56" s="909">
        <v>12484</v>
      </c>
      <c r="F56" s="909">
        <v>14536</v>
      </c>
      <c r="G56" s="909">
        <v>17332</v>
      </c>
      <c r="H56" s="909">
        <v>14406</v>
      </c>
      <c r="I56" s="909">
        <v>8460</v>
      </c>
      <c r="J56" s="909">
        <v>10525</v>
      </c>
      <c r="K56" s="909">
        <v>10196</v>
      </c>
      <c r="L56" s="909">
        <v>9906</v>
      </c>
      <c r="M56" s="909">
        <v>9626</v>
      </c>
      <c r="N56" s="909">
        <v>11931</v>
      </c>
      <c r="O56" s="909">
        <v>9759</v>
      </c>
      <c r="P56" s="909">
        <v>10296</v>
      </c>
      <c r="Q56" s="909">
        <v>11210</v>
      </c>
      <c r="R56" s="909">
        <v>17316</v>
      </c>
      <c r="S56" s="909">
        <v>17982</v>
      </c>
    </row>
    <row r="57" spans="1:19">
      <c r="A57" s="909" t="s">
        <v>1773</v>
      </c>
      <c r="B57" s="909">
        <v>29661</v>
      </c>
      <c r="C57" s="909">
        <v>25262</v>
      </c>
      <c r="D57" s="909">
        <v>29127</v>
      </c>
      <c r="E57" s="909">
        <v>30158</v>
      </c>
      <c r="F57" s="909">
        <v>34060</v>
      </c>
      <c r="G57" s="909">
        <v>37265</v>
      </c>
      <c r="H57" s="909">
        <v>38699</v>
      </c>
      <c r="I57" s="909">
        <v>31063</v>
      </c>
      <c r="J57" s="909">
        <v>30057</v>
      </c>
      <c r="K57" s="909">
        <v>41028</v>
      </c>
      <c r="L57" s="909">
        <v>52446</v>
      </c>
      <c r="M57" s="909">
        <v>47906</v>
      </c>
      <c r="N57" s="909">
        <v>57606</v>
      </c>
      <c r="O57" s="909">
        <v>56168</v>
      </c>
      <c r="P57" s="909">
        <v>58104</v>
      </c>
      <c r="Q57" s="909">
        <v>56064</v>
      </c>
      <c r="R57" s="909">
        <v>58421</v>
      </c>
      <c r="S57" s="909">
        <v>63710</v>
      </c>
    </row>
    <row r="58" spans="1:19">
      <c r="A58" s="909" t="s">
        <v>1772</v>
      </c>
      <c r="B58" s="909">
        <v>8800</v>
      </c>
      <c r="C58" s="909">
        <v>8750</v>
      </c>
      <c r="D58" s="909">
        <v>8555</v>
      </c>
      <c r="E58" s="909">
        <v>8743</v>
      </c>
      <c r="F58" s="909">
        <v>9282</v>
      </c>
      <c r="G58" s="909">
        <v>9702</v>
      </c>
      <c r="H58" s="909">
        <v>9594</v>
      </c>
      <c r="I58" s="909">
        <v>10018</v>
      </c>
      <c r="J58" s="909">
        <v>12914</v>
      </c>
      <c r="K58" s="909">
        <v>12749</v>
      </c>
      <c r="L58" s="909">
        <v>15554</v>
      </c>
      <c r="M58" s="909">
        <v>12999</v>
      </c>
      <c r="N58" s="909">
        <v>15546</v>
      </c>
      <c r="O58" s="909">
        <v>18508</v>
      </c>
      <c r="P58" s="909">
        <v>19048</v>
      </c>
      <c r="Q58" s="909">
        <v>21049</v>
      </c>
      <c r="R58" s="909">
        <v>18415</v>
      </c>
      <c r="S58" s="909">
        <v>16684</v>
      </c>
    </row>
    <row r="59" spans="1:19">
      <c r="A59" s="909" t="s">
        <v>67</v>
      </c>
      <c r="B59" s="909">
        <v>18001</v>
      </c>
      <c r="C59" s="909">
        <v>17226</v>
      </c>
      <c r="D59" s="909">
        <v>16097</v>
      </c>
      <c r="E59" s="909">
        <v>17479</v>
      </c>
      <c r="F59" s="909">
        <v>18213</v>
      </c>
      <c r="G59" s="909">
        <v>17712</v>
      </c>
      <c r="H59" s="909">
        <v>16319</v>
      </c>
      <c r="I59" s="909">
        <v>18761</v>
      </c>
      <c r="J59" s="909">
        <v>19974</v>
      </c>
      <c r="K59" s="909">
        <v>20481</v>
      </c>
      <c r="L59" s="909">
        <v>17546</v>
      </c>
      <c r="M59" s="909">
        <v>18697</v>
      </c>
      <c r="N59" s="909">
        <v>19476</v>
      </c>
      <c r="O59" s="909">
        <v>21281</v>
      </c>
      <c r="P59" s="909">
        <v>22355</v>
      </c>
      <c r="Q59" s="909">
        <v>21519</v>
      </c>
      <c r="R59" s="909">
        <v>23394</v>
      </c>
      <c r="S59" s="909">
        <v>24258</v>
      </c>
    </row>
    <row r="60" spans="1:19">
      <c r="A60" s="909" t="s">
        <v>1771</v>
      </c>
      <c r="B60" s="909">
        <v>3781</v>
      </c>
      <c r="C60" s="909">
        <v>3102</v>
      </c>
      <c r="D60" s="909">
        <v>3722</v>
      </c>
      <c r="E60" s="909">
        <v>3421</v>
      </c>
      <c r="F60" s="909">
        <v>3009</v>
      </c>
      <c r="G60" s="909">
        <v>2001</v>
      </c>
      <c r="H60" s="909">
        <v>2390</v>
      </c>
      <c r="I60" s="909">
        <v>2969</v>
      </c>
      <c r="J60" s="909">
        <v>4106</v>
      </c>
      <c r="K60" s="909">
        <v>4421</v>
      </c>
      <c r="L60" s="909">
        <v>3902</v>
      </c>
      <c r="M60" s="909">
        <v>3982</v>
      </c>
      <c r="N60" s="909">
        <v>2449</v>
      </c>
      <c r="O60" s="909">
        <v>4216</v>
      </c>
      <c r="P60" s="909">
        <v>5200</v>
      </c>
      <c r="Q60" s="909">
        <v>6069</v>
      </c>
      <c r="R60" s="909">
        <v>5421</v>
      </c>
      <c r="S60" s="909">
        <v>5116</v>
      </c>
    </row>
    <row r="61" spans="1:19">
      <c r="A61" s="909" t="s">
        <v>1770</v>
      </c>
      <c r="B61" s="909">
        <v>2734</v>
      </c>
      <c r="C61" s="909">
        <v>2709</v>
      </c>
      <c r="D61" s="909">
        <v>2967</v>
      </c>
      <c r="E61" s="909">
        <v>3199</v>
      </c>
      <c r="F61" s="909">
        <v>3487</v>
      </c>
      <c r="G61" s="909">
        <v>3052</v>
      </c>
      <c r="H61" s="909">
        <v>2831</v>
      </c>
      <c r="I61" s="909">
        <v>4462</v>
      </c>
      <c r="J61" s="909">
        <v>5296</v>
      </c>
      <c r="K61" s="909">
        <v>5485</v>
      </c>
      <c r="L61" s="909">
        <v>4690</v>
      </c>
      <c r="M61" s="909">
        <v>6090</v>
      </c>
      <c r="N61" s="909">
        <v>9374</v>
      </c>
      <c r="O61" s="909">
        <v>7580</v>
      </c>
      <c r="P61" s="909">
        <v>7084</v>
      </c>
      <c r="Q61" s="909">
        <v>6901</v>
      </c>
      <c r="R61" s="909">
        <v>7272</v>
      </c>
      <c r="S61" s="909">
        <v>8161</v>
      </c>
    </row>
    <row r="62" spans="1:19">
      <c r="A62" s="909" t="s">
        <v>1769</v>
      </c>
      <c r="B62" s="909">
        <v>11487</v>
      </c>
      <c r="C62" s="909">
        <v>11415</v>
      </c>
      <c r="D62" s="909">
        <v>9408</v>
      </c>
      <c r="E62" s="909">
        <v>10858</v>
      </c>
      <c r="F62" s="909">
        <v>11716</v>
      </c>
      <c r="G62" s="909">
        <v>12658</v>
      </c>
      <c r="H62" s="909">
        <v>11097</v>
      </c>
      <c r="I62" s="909">
        <v>11330</v>
      </c>
      <c r="J62" s="909">
        <v>10573</v>
      </c>
      <c r="K62" s="909">
        <v>10575</v>
      </c>
      <c r="L62" s="909">
        <v>8953</v>
      </c>
      <c r="M62" s="909">
        <v>8625</v>
      </c>
      <c r="N62" s="909">
        <v>7653</v>
      </c>
      <c r="O62" s="909">
        <v>9485</v>
      </c>
      <c r="P62" s="909">
        <v>10070</v>
      </c>
      <c r="Q62" s="909">
        <v>8549</v>
      </c>
      <c r="R62" s="909">
        <v>10701</v>
      </c>
      <c r="S62" s="909">
        <v>10982</v>
      </c>
    </row>
    <row r="63" spans="1:19">
      <c r="A63" s="909" t="s">
        <v>1768</v>
      </c>
      <c r="B63" s="909">
        <v>10542</v>
      </c>
      <c r="C63" s="909">
        <v>10607</v>
      </c>
      <c r="D63" s="909" t="s">
        <v>273</v>
      </c>
      <c r="E63" s="909" t="s">
        <v>273</v>
      </c>
      <c r="F63" s="909" t="s">
        <v>273</v>
      </c>
      <c r="G63" s="909" t="s">
        <v>273</v>
      </c>
      <c r="H63" s="909" t="s">
        <v>273</v>
      </c>
      <c r="I63" s="909" t="s">
        <v>273</v>
      </c>
      <c r="J63" s="909" t="s">
        <v>273</v>
      </c>
      <c r="K63" s="909" t="s">
        <v>273</v>
      </c>
      <c r="L63" s="909" t="s">
        <v>273</v>
      </c>
      <c r="M63" s="909" t="s">
        <v>273</v>
      </c>
      <c r="N63" s="909" t="s">
        <v>273</v>
      </c>
      <c r="O63" s="909" t="s">
        <v>273</v>
      </c>
      <c r="P63" s="909" t="s">
        <v>273</v>
      </c>
      <c r="Q63" s="909" t="s">
        <v>273</v>
      </c>
      <c r="R63" s="909" t="s">
        <v>273</v>
      </c>
      <c r="S63" s="909" t="s">
        <v>273</v>
      </c>
    </row>
    <row r="64" spans="1:19">
      <c r="A64" s="909" t="s">
        <v>1767</v>
      </c>
      <c r="B64" s="909">
        <v>4106</v>
      </c>
      <c r="C64" s="909">
        <v>4464</v>
      </c>
      <c r="D64" s="909" t="s">
        <v>273</v>
      </c>
      <c r="E64" s="909" t="s">
        <v>273</v>
      </c>
      <c r="F64" s="909" t="s">
        <v>273</v>
      </c>
      <c r="G64" s="909" t="s">
        <v>273</v>
      </c>
      <c r="H64" s="909" t="s">
        <v>273</v>
      </c>
      <c r="I64" s="909" t="s">
        <v>273</v>
      </c>
      <c r="J64" s="909" t="s">
        <v>273</v>
      </c>
      <c r="K64" s="909" t="s">
        <v>273</v>
      </c>
      <c r="L64" s="909" t="s">
        <v>273</v>
      </c>
      <c r="M64" s="909" t="s">
        <v>273</v>
      </c>
      <c r="N64" s="909" t="s">
        <v>273</v>
      </c>
      <c r="O64" s="909" t="s">
        <v>273</v>
      </c>
      <c r="P64" s="909" t="s">
        <v>273</v>
      </c>
      <c r="Q64" s="909" t="s">
        <v>273</v>
      </c>
      <c r="R64" s="909" t="s">
        <v>273</v>
      </c>
      <c r="S64" s="909" t="s">
        <v>273</v>
      </c>
    </row>
    <row r="65" spans="1:19">
      <c r="A65" s="909" t="s">
        <v>1766</v>
      </c>
      <c r="B65" s="909">
        <v>6436</v>
      </c>
      <c r="C65" s="909">
        <v>6143</v>
      </c>
      <c r="D65" s="909" t="s">
        <v>273</v>
      </c>
      <c r="E65" s="909" t="s">
        <v>273</v>
      </c>
      <c r="F65" s="909" t="s">
        <v>273</v>
      </c>
      <c r="G65" s="909" t="s">
        <v>273</v>
      </c>
      <c r="H65" s="909" t="s">
        <v>273</v>
      </c>
      <c r="I65" s="909" t="s">
        <v>273</v>
      </c>
      <c r="J65" s="909" t="s">
        <v>273</v>
      </c>
      <c r="K65" s="909" t="s">
        <v>273</v>
      </c>
      <c r="L65" s="909" t="s">
        <v>273</v>
      </c>
      <c r="M65" s="909" t="s">
        <v>273</v>
      </c>
      <c r="N65" s="909" t="s">
        <v>273</v>
      </c>
      <c r="O65" s="909" t="s">
        <v>273</v>
      </c>
      <c r="P65" s="909" t="s">
        <v>273</v>
      </c>
      <c r="Q65" s="909" t="s">
        <v>273</v>
      </c>
      <c r="R65" s="909" t="s">
        <v>273</v>
      </c>
      <c r="S65" s="909" t="s">
        <v>273</v>
      </c>
    </row>
    <row r="66" spans="1:19">
      <c r="A66" s="909" t="s">
        <v>1765</v>
      </c>
      <c r="B66" s="909">
        <v>6370</v>
      </c>
      <c r="C66" s="909">
        <v>6576</v>
      </c>
      <c r="D66" s="909" t="s">
        <v>273</v>
      </c>
      <c r="E66" s="909" t="s">
        <v>273</v>
      </c>
      <c r="F66" s="909" t="s">
        <v>273</v>
      </c>
      <c r="G66" s="909" t="s">
        <v>273</v>
      </c>
      <c r="H66" s="909" t="s">
        <v>273</v>
      </c>
      <c r="I66" s="909" t="s">
        <v>273</v>
      </c>
      <c r="J66" s="909" t="s">
        <v>273</v>
      </c>
      <c r="K66" s="909" t="s">
        <v>273</v>
      </c>
      <c r="L66" s="909" t="s">
        <v>273</v>
      </c>
      <c r="M66" s="909" t="s">
        <v>273</v>
      </c>
      <c r="N66" s="909" t="s">
        <v>273</v>
      </c>
      <c r="O66" s="909" t="s">
        <v>273</v>
      </c>
      <c r="P66" s="909" t="s">
        <v>273</v>
      </c>
      <c r="Q66" s="909" t="s">
        <v>273</v>
      </c>
      <c r="R66" s="909" t="s">
        <v>273</v>
      </c>
      <c r="S66" s="909" t="s">
        <v>273</v>
      </c>
    </row>
    <row r="67" spans="1:19">
      <c r="A67" s="909" t="s">
        <v>1764</v>
      </c>
      <c r="B67" s="909">
        <v>459</v>
      </c>
      <c r="C67" s="909">
        <v>502</v>
      </c>
      <c r="D67" s="909" t="s">
        <v>273</v>
      </c>
      <c r="E67" s="909" t="s">
        <v>273</v>
      </c>
      <c r="F67" s="909" t="s">
        <v>273</v>
      </c>
      <c r="G67" s="909" t="s">
        <v>273</v>
      </c>
      <c r="H67" s="909" t="s">
        <v>273</v>
      </c>
      <c r="I67" s="909" t="s">
        <v>273</v>
      </c>
      <c r="J67" s="909" t="s">
        <v>273</v>
      </c>
      <c r="K67" s="909" t="s">
        <v>273</v>
      </c>
      <c r="L67" s="909" t="s">
        <v>273</v>
      </c>
      <c r="M67" s="909" t="s">
        <v>273</v>
      </c>
      <c r="N67" s="909" t="s">
        <v>273</v>
      </c>
      <c r="O67" s="909" t="s">
        <v>273</v>
      </c>
      <c r="P67" s="909" t="s">
        <v>273</v>
      </c>
      <c r="Q67" s="909" t="s">
        <v>273</v>
      </c>
      <c r="R67" s="909" t="s">
        <v>273</v>
      </c>
      <c r="S67" s="909" t="s">
        <v>273</v>
      </c>
    </row>
    <row r="68" spans="1:19">
      <c r="A68" s="909" t="s">
        <v>1763</v>
      </c>
      <c r="B68" s="909">
        <v>3879</v>
      </c>
      <c r="C68" s="909">
        <v>4115</v>
      </c>
      <c r="D68" s="909" t="s">
        <v>273</v>
      </c>
      <c r="E68" s="909" t="s">
        <v>273</v>
      </c>
      <c r="F68" s="909" t="s">
        <v>273</v>
      </c>
      <c r="G68" s="909" t="s">
        <v>273</v>
      </c>
      <c r="H68" s="909" t="s">
        <v>273</v>
      </c>
      <c r="I68" s="909" t="s">
        <v>273</v>
      </c>
      <c r="J68" s="909" t="s">
        <v>273</v>
      </c>
      <c r="K68" s="909" t="s">
        <v>273</v>
      </c>
      <c r="L68" s="909" t="s">
        <v>273</v>
      </c>
      <c r="M68" s="909" t="s">
        <v>273</v>
      </c>
      <c r="N68" s="909" t="s">
        <v>273</v>
      </c>
      <c r="O68" s="909" t="s">
        <v>273</v>
      </c>
      <c r="P68" s="909" t="s">
        <v>273</v>
      </c>
      <c r="Q68" s="909" t="s">
        <v>273</v>
      </c>
      <c r="R68" s="909" t="s">
        <v>273</v>
      </c>
      <c r="S68" s="909" t="s">
        <v>273</v>
      </c>
    </row>
    <row r="69" spans="1:19">
      <c r="A69" s="909" t="s">
        <v>1762</v>
      </c>
      <c r="B69" s="909">
        <v>1174</v>
      </c>
      <c r="C69" s="909">
        <v>1247</v>
      </c>
      <c r="D69" s="909" t="s">
        <v>273</v>
      </c>
      <c r="E69" s="909" t="s">
        <v>273</v>
      </c>
      <c r="F69" s="909" t="s">
        <v>273</v>
      </c>
      <c r="G69" s="909" t="s">
        <v>273</v>
      </c>
      <c r="H69" s="909" t="s">
        <v>273</v>
      </c>
      <c r="I69" s="909" t="s">
        <v>273</v>
      </c>
      <c r="J69" s="909" t="s">
        <v>273</v>
      </c>
      <c r="K69" s="909" t="s">
        <v>273</v>
      </c>
      <c r="L69" s="909" t="s">
        <v>273</v>
      </c>
      <c r="M69" s="909" t="s">
        <v>273</v>
      </c>
      <c r="N69" s="909" t="s">
        <v>273</v>
      </c>
      <c r="O69" s="909" t="s">
        <v>273</v>
      </c>
      <c r="P69" s="909" t="s">
        <v>273</v>
      </c>
      <c r="Q69" s="909" t="s">
        <v>273</v>
      </c>
      <c r="R69" s="909" t="s">
        <v>273</v>
      </c>
      <c r="S69" s="909" t="s">
        <v>273</v>
      </c>
    </row>
    <row r="70" spans="1:19">
      <c r="A70" s="909" t="s">
        <v>1761</v>
      </c>
      <c r="B70" s="909">
        <v>265</v>
      </c>
      <c r="C70" s="909">
        <v>263</v>
      </c>
      <c r="D70" s="909" t="s">
        <v>273</v>
      </c>
      <c r="E70" s="909" t="s">
        <v>273</v>
      </c>
      <c r="F70" s="909" t="s">
        <v>273</v>
      </c>
      <c r="G70" s="909" t="s">
        <v>273</v>
      </c>
      <c r="H70" s="909" t="s">
        <v>273</v>
      </c>
      <c r="I70" s="909" t="s">
        <v>273</v>
      </c>
      <c r="J70" s="909" t="s">
        <v>273</v>
      </c>
      <c r="K70" s="909" t="s">
        <v>273</v>
      </c>
      <c r="L70" s="909" t="s">
        <v>273</v>
      </c>
      <c r="M70" s="909" t="s">
        <v>273</v>
      </c>
      <c r="N70" s="909" t="s">
        <v>273</v>
      </c>
      <c r="O70" s="909" t="s">
        <v>273</v>
      </c>
      <c r="P70" s="909" t="s">
        <v>273</v>
      </c>
      <c r="Q70" s="909" t="s">
        <v>273</v>
      </c>
      <c r="R70" s="909" t="s">
        <v>273</v>
      </c>
      <c r="S70" s="909" t="s">
        <v>273</v>
      </c>
    </row>
    <row r="71" spans="1:19">
      <c r="A71" s="909" t="s">
        <v>1760</v>
      </c>
      <c r="B71" s="909">
        <v>595</v>
      </c>
      <c r="C71" s="909">
        <v>448</v>
      </c>
      <c r="D71" s="909" t="s">
        <v>273</v>
      </c>
      <c r="E71" s="909" t="s">
        <v>273</v>
      </c>
      <c r="F71" s="909" t="s">
        <v>273</v>
      </c>
      <c r="G71" s="909" t="s">
        <v>273</v>
      </c>
      <c r="H71" s="909" t="s">
        <v>273</v>
      </c>
      <c r="I71" s="909" t="s">
        <v>273</v>
      </c>
      <c r="J71" s="909" t="s">
        <v>273</v>
      </c>
      <c r="K71" s="909" t="s">
        <v>273</v>
      </c>
      <c r="L71" s="909" t="s">
        <v>273</v>
      </c>
      <c r="M71" s="909" t="s">
        <v>273</v>
      </c>
      <c r="N71" s="909" t="s">
        <v>273</v>
      </c>
      <c r="O71" s="909" t="s">
        <v>273</v>
      </c>
      <c r="P71" s="909" t="s">
        <v>273</v>
      </c>
      <c r="Q71" s="909" t="s">
        <v>273</v>
      </c>
      <c r="R71" s="909" t="s">
        <v>273</v>
      </c>
      <c r="S71" s="909" t="s">
        <v>273</v>
      </c>
    </row>
    <row r="72" spans="1:19">
      <c r="A72" s="909" t="s">
        <v>1759</v>
      </c>
      <c r="B72" s="909">
        <v>21569</v>
      </c>
      <c r="C72" s="909">
        <v>21644</v>
      </c>
      <c r="D72" s="909">
        <v>21814</v>
      </c>
      <c r="E72" s="909">
        <v>20790</v>
      </c>
      <c r="F72" s="909">
        <v>21349</v>
      </c>
      <c r="G72" s="909">
        <v>24917</v>
      </c>
      <c r="H72" s="909">
        <v>23013</v>
      </c>
      <c r="I72" s="909">
        <v>18773</v>
      </c>
      <c r="J72" s="909">
        <v>22244</v>
      </c>
      <c r="K72" s="909">
        <v>18207</v>
      </c>
      <c r="L72" s="909">
        <v>18728</v>
      </c>
      <c r="M72" s="909">
        <v>18674</v>
      </c>
      <c r="N72" s="909">
        <v>20818</v>
      </c>
      <c r="O72" s="909">
        <v>25142</v>
      </c>
      <c r="P72" s="909">
        <v>27138</v>
      </c>
      <c r="Q72" s="909">
        <v>26590</v>
      </c>
      <c r="R72" s="909">
        <v>26949</v>
      </c>
      <c r="S72" s="909">
        <v>25512</v>
      </c>
    </row>
    <row r="73" spans="1:19">
      <c r="A73" s="909" t="s">
        <v>1758</v>
      </c>
      <c r="B73" s="909">
        <v>9821</v>
      </c>
      <c r="C73" s="909">
        <v>10206</v>
      </c>
      <c r="D73" s="909">
        <v>11067</v>
      </c>
      <c r="E73" s="909">
        <v>10790</v>
      </c>
      <c r="F73" s="909">
        <v>12174</v>
      </c>
      <c r="G73" s="909">
        <v>13872</v>
      </c>
      <c r="H73" s="909">
        <v>11505</v>
      </c>
      <c r="I73" s="909">
        <v>4821</v>
      </c>
      <c r="J73" s="909">
        <v>8354</v>
      </c>
      <c r="K73" s="909">
        <v>7606</v>
      </c>
      <c r="L73" s="909">
        <v>7007</v>
      </c>
      <c r="M73" s="909">
        <v>7566</v>
      </c>
      <c r="N73" s="909">
        <v>8721</v>
      </c>
      <c r="O73" s="909">
        <v>13129</v>
      </c>
      <c r="P73" s="909">
        <v>13931</v>
      </c>
      <c r="Q73" s="909">
        <v>10460</v>
      </c>
      <c r="R73" s="909">
        <v>10390</v>
      </c>
      <c r="S73" s="909">
        <v>8243</v>
      </c>
    </row>
    <row r="74" spans="1:19">
      <c r="A74" s="909" t="s">
        <v>1757</v>
      </c>
      <c r="B74" s="909">
        <v>526</v>
      </c>
      <c r="C74" s="909">
        <v>495</v>
      </c>
      <c r="D74" s="909" t="s">
        <v>291</v>
      </c>
      <c r="E74" s="909">
        <v>779</v>
      </c>
      <c r="F74" s="909">
        <v>977</v>
      </c>
      <c r="G74" s="909">
        <v>129</v>
      </c>
      <c r="H74" s="909">
        <v>221</v>
      </c>
      <c r="I74" s="909">
        <v>605</v>
      </c>
      <c r="J74" s="909">
        <v>2586</v>
      </c>
      <c r="K74" s="909">
        <v>1591</v>
      </c>
      <c r="L74" s="909">
        <v>656</v>
      </c>
      <c r="M74" s="909">
        <v>485</v>
      </c>
      <c r="N74" s="909">
        <v>421</v>
      </c>
      <c r="O74" s="909">
        <v>1247</v>
      </c>
      <c r="P74" s="909">
        <v>1008</v>
      </c>
      <c r="Q74" s="909">
        <v>1077</v>
      </c>
      <c r="R74" s="909">
        <v>987</v>
      </c>
      <c r="S74" s="909">
        <v>718</v>
      </c>
    </row>
    <row r="75" spans="1:19">
      <c r="A75" s="909" t="s">
        <v>1756</v>
      </c>
      <c r="B75" s="909">
        <v>445</v>
      </c>
      <c r="C75" s="909">
        <v>594</v>
      </c>
      <c r="D75" s="909">
        <v>701</v>
      </c>
      <c r="E75" s="909">
        <v>1022</v>
      </c>
      <c r="F75" s="909">
        <v>1000</v>
      </c>
      <c r="G75" s="909">
        <v>1644</v>
      </c>
      <c r="H75" s="909">
        <v>1901</v>
      </c>
      <c r="I75" s="909">
        <v>1740</v>
      </c>
      <c r="J75" s="909">
        <v>3129</v>
      </c>
      <c r="K75" s="909">
        <v>2868</v>
      </c>
      <c r="L75" s="909">
        <v>4182</v>
      </c>
      <c r="M75" s="909">
        <v>4610</v>
      </c>
      <c r="N75" s="909">
        <v>5065</v>
      </c>
      <c r="O75" s="909">
        <v>7814</v>
      </c>
      <c r="P75" s="909">
        <v>8129</v>
      </c>
      <c r="Q75" s="909">
        <v>5167</v>
      </c>
      <c r="R75" s="909">
        <v>4972</v>
      </c>
      <c r="S75" s="909">
        <v>4600</v>
      </c>
    </row>
    <row r="76" spans="1:19">
      <c r="A76" s="909" t="s">
        <v>1755</v>
      </c>
      <c r="B76" s="909">
        <v>7849</v>
      </c>
      <c r="C76" s="909">
        <v>8108</v>
      </c>
      <c r="D76" s="909" t="s">
        <v>291</v>
      </c>
      <c r="E76" s="909">
        <v>8110</v>
      </c>
      <c r="F76" s="909">
        <v>9388</v>
      </c>
      <c r="G76" s="909">
        <v>10361</v>
      </c>
      <c r="H76" s="909">
        <v>7986</v>
      </c>
      <c r="I76" s="909">
        <v>829</v>
      </c>
      <c r="J76" s="909">
        <v>1326</v>
      </c>
      <c r="K76" s="909">
        <v>1575</v>
      </c>
      <c r="L76" s="909">
        <v>959</v>
      </c>
      <c r="M76" s="909">
        <v>1212</v>
      </c>
      <c r="N76" s="909">
        <v>1696</v>
      </c>
      <c r="O76" s="909">
        <v>1434</v>
      </c>
      <c r="P76" s="909" t="s">
        <v>291</v>
      </c>
      <c r="Q76" s="909">
        <v>916</v>
      </c>
      <c r="R76" s="909">
        <v>1452</v>
      </c>
      <c r="S76" s="909">
        <v>938</v>
      </c>
    </row>
    <row r="77" spans="1:19">
      <c r="A77" s="909" t="s">
        <v>1754</v>
      </c>
      <c r="B77" s="909">
        <v>660</v>
      </c>
      <c r="C77" s="909">
        <v>565</v>
      </c>
      <c r="D77" s="909">
        <v>633</v>
      </c>
      <c r="E77" s="909">
        <v>493</v>
      </c>
      <c r="F77" s="909">
        <v>520</v>
      </c>
      <c r="G77" s="909">
        <v>1021</v>
      </c>
      <c r="H77" s="909">
        <v>1086</v>
      </c>
      <c r="I77" s="909">
        <v>1435</v>
      </c>
      <c r="J77" s="909">
        <v>1183</v>
      </c>
      <c r="K77" s="909">
        <v>1388</v>
      </c>
      <c r="L77" s="909">
        <v>979</v>
      </c>
      <c r="M77" s="909">
        <v>1074</v>
      </c>
      <c r="N77" s="909">
        <v>1261</v>
      </c>
      <c r="O77" s="909">
        <v>2329</v>
      </c>
      <c r="P77" s="909">
        <v>3039</v>
      </c>
      <c r="Q77" s="909">
        <v>3048</v>
      </c>
      <c r="R77" s="909">
        <v>2689</v>
      </c>
      <c r="S77" s="909">
        <v>1767</v>
      </c>
    </row>
    <row r="78" spans="1:19">
      <c r="A78" s="909" t="s">
        <v>1753</v>
      </c>
      <c r="B78" s="909">
        <v>342</v>
      </c>
      <c r="C78" s="909">
        <v>444</v>
      </c>
      <c r="D78" s="909">
        <v>486</v>
      </c>
      <c r="E78" s="909">
        <v>385</v>
      </c>
      <c r="F78" s="909">
        <v>290</v>
      </c>
      <c r="G78" s="909">
        <v>717</v>
      </c>
      <c r="H78" s="909">
        <v>311</v>
      </c>
      <c r="I78" s="909">
        <v>211</v>
      </c>
      <c r="J78" s="909">
        <v>130</v>
      </c>
      <c r="K78" s="909">
        <v>183</v>
      </c>
      <c r="L78" s="909">
        <v>231</v>
      </c>
      <c r="M78" s="909">
        <v>185</v>
      </c>
      <c r="N78" s="909">
        <v>278</v>
      </c>
      <c r="O78" s="909">
        <v>305</v>
      </c>
      <c r="P78" s="909" t="s">
        <v>291</v>
      </c>
      <c r="Q78" s="909">
        <v>252</v>
      </c>
      <c r="R78" s="909">
        <v>289</v>
      </c>
      <c r="S78" s="909">
        <v>220</v>
      </c>
    </row>
    <row r="79" spans="1:19">
      <c r="A79" s="909" t="s">
        <v>1752</v>
      </c>
      <c r="B79" s="909">
        <v>11748</v>
      </c>
      <c r="C79" s="909">
        <v>11438</v>
      </c>
      <c r="D79" s="909">
        <v>10747</v>
      </c>
      <c r="E79" s="909">
        <v>10000</v>
      </c>
      <c r="F79" s="909">
        <v>9175</v>
      </c>
      <c r="G79" s="909">
        <v>11045</v>
      </c>
      <c r="H79" s="909">
        <v>11508</v>
      </c>
      <c r="I79" s="909">
        <v>13953</v>
      </c>
      <c r="J79" s="909">
        <v>13890</v>
      </c>
      <c r="K79" s="909">
        <v>10602</v>
      </c>
      <c r="L79" s="909">
        <v>11720</v>
      </c>
      <c r="M79" s="909">
        <v>11107</v>
      </c>
      <c r="N79" s="909">
        <v>12097</v>
      </c>
      <c r="O79" s="909">
        <v>12014</v>
      </c>
      <c r="P79" s="909">
        <v>13207</v>
      </c>
      <c r="Q79" s="909">
        <v>16131</v>
      </c>
      <c r="R79" s="909">
        <v>16560</v>
      </c>
      <c r="S79" s="909">
        <v>17269</v>
      </c>
    </row>
    <row r="80" spans="1:19">
      <c r="A80" s="909" t="s">
        <v>1751</v>
      </c>
      <c r="B80" s="909" t="s">
        <v>291</v>
      </c>
      <c r="C80" s="909" t="s">
        <v>291</v>
      </c>
      <c r="D80" s="909">
        <v>2589</v>
      </c>
      <c r="E80" s="909">
        <v>3028</v>
      </c>
      <c r="F80" s="909">
        <v>1905</v>
      </c>
      <c r="G80" s="909" t="s">
        <v>291</v>
      </c>
      <c r="H80" s="909">
        <v>2987</v>
      </c>
      <c r="I80" s="909" t="s">
        <v>291</v>
      </c>
      <c r="J80" s="909">
        <v>2638</v>
      </c>
      <c r="K80" s="909">
        <v>2210</v>
      </c>
      <c r="L80" s="909">
        <v>2130</v>
      </c>
      <c r="M80" s="909">
        <v>1663</v>
      </c>
      <c r="N80" s="909">
        <v>1733</v>
      </c>
      <c r="O80" s="909">
        <v>1973</v>
      </c>
      <c r="P80" s="909">
        <v>2370</v>
      </c>
      <c r="Q80" s="909">
        <v>2648</v>
      </c>
      <c r="R80" s="909">
        <v>1850</v>
      </c>
      <c r="S80" s="909">
        <v>2185</v>
      </c>
    </row>
    <row r="81" spans="1:19">
      <c r="A81" s="909" t="s">
        <v>1750</v>
      </c>
      <c r="B81" s="909">
        <v>1895</v>
      </c>
      <c r="C81" s="909">
        <v>2274</v>
      </c>
      <c r="D81" s="909">
        <v>2026</v>
      </c>
      <c r="E81" s="909">
        <v>2491</v>
      </c>
      <c r="F81" s="909">
        <v>1676</v>
      </c>
      <c r="G81" s="909">
        <v>1819</v>
      </c>
      <c r="H81" s="909">
        <v>1870</v>
      </c>
      <c r="I81" s="909">
        <v>3281</v>
      </c>
      <c r="J81" s="909">
        <v>3431</v>
      </c>
      <c r="K81" s="909">
        <v>1018</v>
      </c>
      <c r="L81" s="909">
        <v>740</v>
      </c>
      <c r="M81" s="909">
        <v>1067</v>
      </c>
      <c r="N81" s="909">
        <v>1298</v>
      </c>
      <c r="O81" s="909">
        <v>1310</v>
      </c>
      <c r="P81" s="909">
        <v>1293</v>
      </c>
      <c r="Q81" s="909">
        <v>1293</v>
      </c>
      <c r="R81" s="909">
        <v>1377</v>
      </c>
      <c r="S81" s="909">
        <v>1584</v>
      </c>
    </row>
    <row r="82" spans="1:19">
      <c r="A82" s="909" t="s">
        <v>1749</v>
      </c>
      <c r="B82" s="909">
        <v>843</v>
      </c>
      <c r="C82" s="909">
        <v>1048</v>
      </c>
      <c r="D82" s="909">
        <v>913</v>
      </c>
      <c r="E82" s="909">
        <v>843</v>
      </c>
      <c r="F82" s="909">
        <v>422</v>
      </c>
      <c r="G82" s="909">
        <v>607</v>
      </c>
      <c r="H82" s="909">
        <v>807</v>
      </c>
      <c r="I82" s="909" t="s">
        <v>291</v>
      </c>
      <c r="J82" s="909">
        <v>475</v>
      </c>
      <c r="K82" s="909">
        <v>436</v>
      </c>
      <c r="L82" s="909">
        <v>287</v>
      </c>
      <c r="M82" s="909">
        <v>322</v>
      </c>
      <c r="N82" s="909">
        <v>692</v>
      </c>
      <c r="O82" s="909">
        <v>430</v>
      </c>
      <c r="P82" s="909">
        <v>419</v>
      </c>
      <c r="Q82" s="909">
        <v>154</v>
      </c>
      <c r="R82" s="909">
        <v>68</v>
      </c>
      <c r="S82" s="909">
        <v>-2</v>
      </c>
    </row>
    <row r="83" spans="1:19">
      <c r="A83" s="909" t="s">
        <v>1748</v>
      </c>
      <c r="B83" s="909">
        <v>1101</v>
      </c>
      <c r="C83" s="909" t="s">
        <v>291</v>
      </c>
      <c r="D83" s="909">
        <v>877</v>
      </c>
      <c r="E83" s="909">
        <v>-488</v>
      </c>
      <c r="F83" s="909">
        <v>104</v>
      </c>
      <c r="G83" s="909">
        <v>372</v>
      </c>
      <c r="H83" s="909">
        <v>402</v>
      </c>
      <c r="I83" s="909">
        <v>147</v>
      </c>
      <c r="J83" s="909">
        <v>282</v>
      </c>
      <c r="K83" s="909">
        <v>329</v>
      </c>
      <c r="L83" s="909">
        <v>868</v>
      </c>
      <c r="M83" s="909">
        <v>912</v>
      </c>
      <c r="N83" s="909">
        <v>1087</v>
      </c>
      <c r="O83" s="909">
        <v>1067</v>
      </c>
      <c r="P83" s="909">
        <v>1215</v>
      </c>
      <c r="Q83" s="909">
        <v>1262</v>
      </c>
      <c r="R83" s="909">
        <v>1132</v>
      </c>
      <c r="S83" s="909">
        <v>1161</v>
      </c>
    </row>
    <row r="84" spans="1:19">
      <c r="A84" s="909" t="s">
        <v>1747</v>
      </c>
      <c r="B84" s="909">
        <v>574</v>
      </c>
      <c r="C84" s="909">
        <v>550</v>
      </c>
      <c r="D84" s="909">
        <v>441</v>
      </c>
      <c r="E84" s="909">
        <v>304</v>
      </c>
      <c r="F84" s="909">
        <v>276</v>
      </c>
      <c r="G84" s="909" t="s">
        <v>291</v>
      </c>
      <c r="H84" s="909">
        <v>728</v>
      </c>
      <c r="I84" s="909">
        <v>1158</v>
      </c>
      <c r="J84" s="909">
        <v>1118</v>
      </c>
      <c r="K84" s="909">
        <v>1021</v>
      </c>
      <c r="L84" s="909">
        <v>555</v>
      </c>
      <c r="M84" s="909">
        <v>586</v>
      </c>
      <c r="N84" s="909">
        <v>571</v>
      </c>
      <c r="O84" s="909">
        <v>620</v>
      </c>
      <c r="P84" s="909">
        <v>252</v>
      </c>
      <c r="Q84" s="909">
        <v>64</v>
      </c>
      <c r="R84" s="909">
        <v>22</v>
      </c>
      <c r="S84" s="909">
        <v>14</v>
      </c>
    </row>
    <row r="85" spans="1:19">
      <c r="A85" s="909" t="s">
        <v>1746</v>
      </c>
      <c r="B85" s="909">
        <v>192</v>
      </c>
      <c r="C85" s="909">
        <v>232</v>
      </c>
      <c r="D85" s="909">
        <v>354</v>
      </c>
      <c r="E85" s="909">
        <v>387</v>
      </c>
      <c r="F85" s="909">
        <v>400</v>
      </c>
      <c r="G85" s="909">
        <v>277</v>
      </c>
      <c r="H85" s="909">
        <v>194</v>
      </c>
      <c r="I85" s="909">
        <v>319</v>
      </c>
      <c r="J85" s="909">
        <v>163</v>
      </c>
      <c r="K85" s="909">
        <v>75</v>
      </c>
      <c r="L85" s="909">
        <v>352</v>
      </c>
      <c r="M85" s="909">
        <v>323</v>
      </c>
      <c r="N85" s="909">
        <v>448</v>
      </c>
      <c r="O85" s="909">
        <v>449</v>
      </c>
      <c r="P85" s="909">
        <v>457</v>
      </c>
      <c r="Q85" s="909">
        <v>481</v>
      </c>
      <c r="R85" s="909">
        <v>490</v>
      </c>
      <c r="S85" s="909">
        <v>532</v>
      </c>
    </row>
    <row r="86" spans="1:19">
      <c r="A86" s="909" t="s">
        <v>1745</v>
      </c>
      <c r="B86" s="909" t="s">
        <v>291</v>
      </c>
      <c r="C86" s="909">
        <v>592</v>
      </c>
      <c r="D86" s="909">
        <v>667</v>
      </c>
      <c r="E86" s="909">
        <v>618</v>
      </c>
      <c r="F86" s="909">
        <v>617</v>
      </c>
      <c r="G86" s="909">
        <v>445</v>
      </c>
      <c r="H86" s="909">
        <v>319</v>
      </c>
      <c r="I86" s="909">
        <v>623</v>
      </c>
      <c r="J86" s="909">
        <v>817</v>
      </c>
      <c r="K86" s="909">
        <v>742</v>
      </c>
      <c r="L86" s="909">
        <v>798</v>
      </c>
      <c r="M86" s="909">
        <v>755</v>
      </c>
      <c r="N86" s="909">
        <v>792</v>
      </c>
      <c r="O86" s="909">
        <v>721</v>
      </c>
      <c r="P86" s="909">
        <v>878</v>
      </c>
      <c r="Q86" s="909">
        <v>867</v>
      </c>
      <c r="R86" s="909">
        <v>1286</v>
      </c>
      <c r="S86" s="909">
        <v>1433</v>
      </c>
    </row>
    <row r="87" spans="1:19">
      <c r="A87" s="909" t="s">
        <v>1744</v>
      </c>
      <c r="B87" s="909">
        <v>79</v>
      </c>
      <c r="C87" s="909">
        <v>96</v>
      </c>
      <c r="D87" s="909">
        <v>121</v>
      </c>
      <c r="E87" s="909">
        <v>159</v>
      </c>
      <c r="F87" s="909">
        <v>134</v>
      </c>
      <c r="G87" s="909">
        <v>61</v>
      </c>
      <c r="H87" s="909">
        <v>63</v>
      </c>
      <c r="I87" s="909">
        <v>151</v>
      </c>
      <c r="J87" s="909">
        <v>226</v>
      </c>
      <c r="K87" s="909">
        <v>243</v>
      </c>
      <c r="L87" s="909">
        <v>348</v>
      </c>
      <c r="M87" s="909">
        <v>346</v>
      </c>
      <c r="N87" s="909">
        <v>368</v>
      </c>
      <c r="O87" s="909">
        <v>143</v>
      </c>
      <c r="P87" s="909">
        <v>158</v>
      </c>
      <c r="Q87" s="909">
        <v>171</v>
      </c>
      <c r="R87" s="909">
        <v>204</v>
      </c>
      <c r="S87" s="909">
        <v>226</v>
      </c>
    </row>
    <row r="88" spans="1:19">
      <c r="A88" s="909" t="s">
        <v>1743</v>
      </c>
      <c r="B88" s="909">
        <v>3126</v>
      </c>
      <c r="C88" s="909">
        <v>2888</v>
      </c>
      <c r="D88" s="909">
        <v>2758</v>
      </c>
      <c r="E88" s="909">
        <v>2659</v>
      </c>
      <c r="F88" s="909">
        <v>3641</v>
      </c>
      <c r="G88" s="909">
        <v>3856</v>
      </c>
      <c r="H88" s="909">
        <v>4139</v>
      </c>
      <c r="I88" s="909">
        <v>4571</v>
      </c>
      <c r="J88" s="909">
        <v>4739</v>
      </c>
      <c r="K88" s="909">
        <v>4529</v>
      </c>
      <c r="L88" s="909">
        <v>5644</v>
      </c>
      <c r="M88" s="909">
        <v>5134</v>
      </c>
      <c r="N88" s="909">
        <v>5108</v>
      </c>
      <c r="O88" s="909">
        <v>5299</v>
      </c>
      <c r="P88" s="909">
        <v>6164</v>
      </c>
      <c r="Q88" s="909">
        <v>9191</v>
      </c>
      <c r="R88" s="909">
        <v>10130</v>
      </c>
      <c r="S88" s="909">
        <v>10137</v>
      </c>
    </row>
    <row r="89" spans="1:19">
      <c r="A89" s="909" t="s">
        <v>1742</v>
      </c>
      <c r="B89" s="909">
        <v>21501</v>
      </c>
      <c r="C89" s="909">
        <v>22229</v>
      </c>
      <c r="D89" s="909">
        <v>17655</v>
      </c>
      <c r="E89" s="909">
        <v>18349</v>
      </c>
      <c r="F89" s="909">
        <v>20825</v>
      </c>
      <c r="G89" s="909">
        <v>21613</v>
      </c>
      <c r="H89" s="909">
        <v>26433</v>
      </c>
      <c r="I89" s="909">
        <v>29136</v>
      </c>
      <c r="J89" s="909">
        <v>31257</v>
      </c>
      <c r="K89" s="909">
        <v>36110</v>
      </c>
      <c r="L89" s="909">
        <v>39805</v>
      </c>
      <c r="M89" s="909">
        <v>41285</v>
      </c>
      <c r="N89" s="909">
        <v>46224</v>
      </c>
      <c r="O89" s="909">
        <v>51925</v>
      </c>
      <c r="P89" s="909">
        <v>47871</v>
      </c>
      <c r="Q89" s="909">
        <v>41331</v>
      </c>
      <c r="R89" s="909">
        <v>40848</v>
      </c>
      <c r="S89" s="909">
        <v>46404</v>
      </c>
    </row>
    <row r="90" spans="1:19">
      <c r="A90" s="909" t="s">
        <v>1741</v>
      </c>
      <c r="B90" s="909">
        <v>3667</v>
      </c>
      <c r="C90" s="909">
        <v>3781</v>
      </c>
      <c r="D90" s="909">
        <v>4109</v>
      </c>
      <c r="E90" s="909">
        <v>4458</v>
      </c>
      <c r="F90" s="909">
        <v>4523</v>
      </c>
      <c r="G90" s="909">
        <v>4614</v>
      </c>
      <c r="H90" s="909">
        <v>5351</v>
      </c>
      <c r="I90" s="909">
        <v>5537</v>
      </c>
      <c r="J90" s="909">
        <v>6896</v>
      </c>
      <c r="K90" s="909">
        <v>7485</v>
      </c>
      <c r="L90" s="909">
        <v>8010</v>
      </c>
      <c r="M90" s="909">
        <v>10350</v>
      </c>
      <c r="N90" s="909">
        <v>13258</v>
      </c>
      <c r="O90" s="909">
        <v>14241</v>
      </c>
      <c r="P90" s="909">
        <v>10939</v>
      </c>
      <c r="Q90" s="909">
        <v>7455</v>
      </c>
      <c r="R90" s="909">
        <v>6688</v>
      </c>
      <c r="S90" s="909">
        <v>7126</v>
      </c>
    </row>
    <row r="91" spans="1:19">
      <c r="A91" s="909" t="s">
        <v>1740</v>
      </c>
      <c r="B91" s="909">
        <v>3243</v>
      </c>
      <c r="C91" s="909">
        <v>3453</v>
      </c>
      <c r="D91" s="909">
        <v>2820</v>
      </c>
      <c r="E91" s="909">
        <v>2646</v>
      </c>
      <c r="F91" s="909">
        <v>2825</v>
      </c>
      <c r="G91" s="909">
        <v>2812</v>
      </c>
      <c r="H91" s="909">
        <v>2926</v>
      </c>
      <c r="I91" s="909">
        <v>3914</v>
      </c>
      <c r="J91" s="909">
        <v>4963</v>
      </c>
      <c r="K91" s="909">
        <v>5673</v>
      </c>
      <c r="L91" s="909">
        <v>8985</v>
      </c>
      <c r="M91" s="909">
        <v>9405</v>
      </c>
      <c r="N91" s="909">
        <v>10369</v>
      </c>
      <c r="O91" s="909">
        <v>11647</v>
      </c>
      <c r="P91" s="909">
        <v>10369</v>
      </c>
      <c r="Q91" s="909">
        <v>10057</v>
      </c>
      <c r="R91" s="909">
        <v>9410</v>
      </c>
      <c r="S91" s="909">
        <v>9569</v>
      </c>
    </row>
    <row r="92" spans="1:19">
      <c r="A92" s="909" t="s">
        <v>67</v>
      </c>
      <c r="B92" s="909">
        <v>14591</v>
      </c>
      <c r="C92" s="909">
        <v>14995</v>
      </c>
      <c r="D92" s="909">
        <v>10725</v>
      </c>
      <c r="E92" s="909">
        <v>11245</v>
      </c>
      <c r="F92" s="909">
        <v>13476</v>
      </c>
      <c r="G92" s="909">
        <v>14187</v>
      </c>
      <c r="H92" s="909">
        <v>18157</v>
      </c>
      <c r="I92" s="909">
        <v>19685</v>
      </c>
      <c r="J92" s="909">
        <v>19398</v>
      </c>
      <c r="K92" s="909">
        <v>22952</v>
      </c>
      <c r="L92" s="909">
        <v>22810</v>
      </c>
      <c r="M92" s="909">
        <v>21531</v>
      </c>
      <c r="N92" s="909">
        <v>22598</v>
      </c>
      <c r="O92" s="909">
        <v>26037</v>
      </c>
      <c r="P92" s="909">
        <v>26563</v>
      </c>
      <c r="Q92" s="909">
        <v>23820</v>
      </c>
      <c r="R92" s="909">
        <v>24750</v>
      </c>
      <c r="S92" s="909">
        <v>29709</v>
      </c>
    </row>
    <row r="93" spans="1:19">
      <c r="A93" s="909" t="s">
        <v>1739</v>
      </c>
      <c r="B93" s="909">
        <v>5595</v>
      </c>
      <c r="C93" s="909">
        <v>6314</v>
      </c>
      <c r="D93" s="909">
        <v>2675</v>
      </c>
      <c r="E93" s="909">
        <v>2537</v>
      </c>
      <c r="F93" s="909">
        <v>2663</v>
      </c>
      <c r="G93" s="909">
        <v>2851</v>
      </c>
      <c r="H93" s="909">
        <v>3116</v>
      </c>
      <c r="I93" s="909">
        <v>2966</v>
      </c>
      <c r="J93" s="909">
        <v>1882</v>
      </c>
      <c r="K93" s="909">
        <v>2213</v>
      </c>
      <c r="L93" s="909">
        <v>1540</v>
      </c>
      <c r="M93" s="909">
        <v>932</v>
      </c>
      <c r="N93" s="909">
        <v>898</v>
      </c>
      <c r="O93" s="909">
        <v>1061</v>
      </c>
      <c r="P93" s="909">
        <v>1667</v>
      </c>
      <c r="Q93" s="909">
        <v>1655</v>
      </c>
      <c r="R93" s="909">
        <v>2086</v>
      </c>
      <c r="S93" s="909">
        <v>3048</v>
      </c>
    </row>
    <row r="94" spans="1:19">
      <c r="A94" s="909" t="s">
        <v>1738</v>
      </c>
      <c r="B94" s="909">
        <v>2561</v>
      </c>
      <c r="C94" s="909">
        <v>2278</v>
      </c>
      <c r="D94" s="909">
        <v>2099</v>
      </c>
      <c r="E94" s="909">
        <v>1976</v>
      </c>
      <c r="F94" s="909">
        <v>2625</v>
      </c>
      <c r="G94" s="909">
        <v>3659</v>
      </c>
      <c r="H94" s="909">
        <v>4030</v>
      </c>
      <c r="I94" s="909">
        <v>4528</v>
      </c>
      <c r="J94" s="909">
        <v>6159</v>
      </c>
      <c r="K94" s="909">
        <v>8262</v>
      </c>
      <c r="L94" s="909">
        <v>9469</v>
      </c>
      <c r="M94" s="909">
        <v>9294</v>
      </c>
      <c r="N94" s="909">
        <v>8992</v>
      </c>
      <c r="O94" s="909">
        <v>9935</v>
      </c>
      <c r="P94" s="909">
        <v>9766</v>
      </c>
      <c r="Q94" s="909">
        <v>7523</v>
      </c>
      <c r="R94" s="909">
        <v>7966</v>
      </c>
      <c r="S94" s="909">
        <v>10276</v>
      </c>
    </row>
    <row r="95" spans="1:19">
      <c r="A95" s="909" t="s">
        <v>1737</v>
      </c>
      <c r="B95" s="909">
        <v>866</v>
      </c>
      <c r="C95" s="909">
        <v>788</v>
      </c>
      <c r="D95" s="909">
        <v>857</v>
      </c>
      <c r="E95" s="909">
        <v>903</v>
      </c>
      <c r="F95" s="909">
        <v>831</v>
      </c>
      <c r="G95" s="909">
        <v>1091</v>
      </c>
      <c r="H95" s="909">
        <v>1060</v>
      </c>
      <c r="I95" s="909">
        <v>1098</v>
      </c>
      <c r="J95" s="909">
        <v>1349</v>
      </c>
      <c r="K95" s="909">
        <v>1426</v>
      </c>
      <c r="L95" s="909">
        <v>1348</v>
      </c>
      <c r="M95" s="909">
        <v>1617</v>
      </c>
      <c r="N95" s="909">
        <v>1772</v>
      </c>
      <c r="O95" s="909">
        <v>1911</v>
      </c>
      <c r="P95" s="909">
        <v>2093</v>
      </c>
      <c r="Q95" s="909">
        <v>2030</v>
      </c>
      <c r="R95" s="909">
        <v>1984</v>
      </c>
      <c r="S95" s="909">
        <v>2218</v>
      </c>
    </row>
    <row r="96" spans="1:19">
      <c r="A96" s="909" t="s">
        <v>1736</v>
      </c>
      <c r="B96" s="909">
        <v>1926</v>
      </c>
      <c r="C96" s="909">
        <v>2220</v>
      </c>
      <c r="D96" s="909">
        <v>2546</v>
      </c>
      <c r="E96" s="909">
        <v>2814</v>
      </c>
      <c r="F96" s="909">
        <v>2909</v>
      </c>
      <c r="G96" s="909">
        <v>1860</v>
      </c>
      <c r="H96" s="909">
        <v>3402</v>
      </c>
      <c r="I96" s="909">
        <v>4350</v>
      </c>
      <c r="J96" s="909">
        <v>2753</v>
      </c>
      <c r="K96" s="909">
        <v>2697</v>
      </c>
      <c r="L96" s="909">
        <v>4292</v>
      </c>
      <c r="M96" s="909">
        <v>3148</v>
      </c>
      <c r="N96" s="909">
        <v>3646</v>
      </c>
      <c r="O96" s="909">
        <v>5260</v>
      </c>
      <c r="P96" s="909">
        <v>4767</v>
      </c>
      <c r="Q96" s="909">
        <v>5492</v>
      </c>
      <c r="R96" s="909">
        <v>5664</v>
      </c>
      <c r="S96" s="909">
        <v>6669</v>
      </c>
    </row>
    <row r="97" spans="1:19">
      <c r="A97" s="909" t="s">
        <v>1735</v>
      </c>
      <c r="B97" s="909">
        <v>3643</v>
      </c>
      <c r="C97" s="909">
        <v>3394</v>
      </c>
      <c r="D97" s="909">
        <v>2548</v>
      </c>
      <c r="E97" s="909">
        <v>3014</v>
      </c>
      <c r="F97" s="909">
        <v>4447</v>
      </c>
      <c r="G97" s="909">
        <v>4726</v>
      </c>
      <c r="H97" s="909">
        <v>6547</v>
      </c>
      <c r="I97" s="909">
        <v>6743</v>
      </c>
      <c r="J97" s="909">
        <v>7255</v>
      </c>
      <c r="K97" s="909">
        <v>8354</v>
      </c>
      <c r="L97" s="909">
        <v>6160</v>
      </c>
      <c r="M97" s="909">
        <v>6540</v>
      </c>
      <c r="N97" s="909">
        <v>7289</v>
      </c>
      <c r="O97" s="909">
        <v>7870</v>
      </c>
      <c r="P97" s="909">
        <v>8270</v>
      </c>
      <c r="Q97" s="909">
        <v>7121</v>
      </c>
      <c r="R97" s="909">
        <v>7049</v>
      </c>
      <c r="S97" s="909">
        <v>7498</v>
      </c>
    </row>
    <row r="98" spans="1:19">
      <c r="A98" s="909" t="s">
        <v>1734</v>
      </c>
      <c r="B98" s="909">
        <v>46783</v>
      </c>
      <c r="C98" s="909">
        <v>59909</v>
      </c>
      <c r="D98" s="909">
        <v>58651</v>
      </c>
      <c r="E98" s="909">
        <v>49580</v>
      </c>
      <c r="F98" s="909">
        <v>47171</v>
      </c>
      <c r="G98" s="909">
        <v>53084</v>
      </c>
      <c r="H98" s="909">
        <v>50773</v>
      </c>
      <c r="I98" s="909">
        <v>63113</v>
      </c>
      <c r="J98" s="909">
        <v>69467</v>
      </c>
      <c r="K98" s="909">
        <v>67859</v>
      </c>
      <c r="L98" s="909">
        <v>71811</v>
      </c>
      <c r="M98" s="909">
        <v>72935</v>
      </c>
      <c r="N98" s="909">
        <v>75170</v>
      </c>
      <c r="O98" s="909">
        <v>84125</v>
      </c>
      <c r="P98" s="909">
        <v>88448</v>
      </c>
      <c r="Q98" s="909">
        <v>86758</v>
      </c>
      <c r="R98" s="909">
        <v>90293</v>
      </c>
      <c r="S98" s="909">
        <v>97015</v>
      </c>
    </row>
    <row r="99" spans="1:19">
      <c r="A99" s="909" t="s">
        <v>1733</v>
      </c>
      <c r="B99" s="909">
        <v>11321</v>
      </c>
      <c r="C99" s="909">
        <v>14120</v>
      </c>
      <c r="D99" s="909">
        <v>14219</v>
      </c>
      <c r="E99" s="909">
        <v>7447</v>
      </c>
      <c r="F99" s="909">
        <v>8202</v>
      </c>
      <c r="G99" s="909">
        <v>8319</v>
      </c>
      <c r="H99" s="909">
        <v>6267</v>
      </c>
      <c r="I99" s="909">
        <v>8228</v>
      </c>
      <c r="J99" s="909">
        <v>9686</v>
      </c>
      <c r="K99" s="909">
        <v>9510</v>
      </c>
      <c r="L99" s="909">
        <v>9406</v>
      </c>
      <c r="M99" s="909">
        <v>8937</v>
      </c>
      <c r="N99" s="909">
        <v>6705</v>
      </c>
      <c r="O99" s="909">
        <v>10446</v>
      </c>
      <c r="P99" s="909">
        <v>10312</v>
      </c>
      <c r="Q99" s="909">
        <v>12407</v>
      </c>
      <c r="R99" s="909">
        <v>11190</v>
      </c>
      <c r="S99" s="909">
        <v>15991</v>
      </c>
    </row>
    <row r="100" spans="1:19">
      <c r="A100" s="909" t="s">
        <v>1732</v>
      </c>
      <c r="B100" s="909">
        <v>12963</v>
      </c>
      <c r="C100" s="909">
        <v>16696</v>
      </c>
      <c r="D100" s="909">
        <v>13989</v>
      </c>
      <c r="E100" s="909">
        <v>12738</v>
      </c>
      <c r="F100" s="909">
        <v>12457</v>
      </c>
      <c r="G100" s="909">
        <v>11849</v>
      </c>
      <c r="H100" s="909">
        <v>10550</v>
      </c>
      <c r="I100" s="909">
        <v>16705</v>
      </c>
      <c r="J100" s="909">
        <v>15665</v>
      </c>
      <c r="K100" s="909">
        <v>14803</v>
      </c>
      <c r="L100" s="909">
        <v>15626</v>
      </c>
      <c r="M100" s="909">
        <v>12699</v>
      </c>
      <c r="N100" s="909">
        <v>9030</v>
      </c>
      <c r="O100" s="909">
        <v>8558</v>
      </c>
      <c r="P100" s="909">
        <v>8615</v>
      </c>
      <c r="Q100" s="909">
        <v>5722</v>
      </c>
      <c r="R100" s="909">
        <v>5601</v>
      </c>
      <c r="S100" s="909">
        <v>7002</v>
      </c>
    </row>
    <row r="101" spans="1:19">
      <c r="A101" s="909" t="s">
        <v>1731</v>
      </c>
      <c r="B101" s="909">
        <v>2637</v>
      </c>
      <c r="C101" s="909">
        <v>680</v>
      </c>
      <c r="D101" s="909">
        <v>775</v>
      </c>
      <c r="E101" s="909">
        <v>2058</v>
      </c>
      <c r="F101" s="909">
        <v>2132</v>
      </c>
      <c r="G101" s="909">
        <v>1183</v>
      </c>
      <c r="H101" s="909">
        <v>1338</v>
      </c>
      <c r="I101" s="909">
        <v>1569</v>
      </c>
      <c r="J101" s="909">
        <v>1894</v>
      </c>
      <c r="K101" s="909">
        <v>1723</v>
      </c>
      <c r="L101" s="909">
        <v>3119</v>
      </c>
      <c r="M101" s="909">
        <v>2686</v>
      </c>
      <c r="N101" s="909">
        <v>2672</v>
      </c>
      <c r="O101" s="909">
        <v>3907</v>
      </c>
      <c r="P101" s="909">
        <v>1861</v>
      </c>
      <c r="Q101" s="909" t="s">
        <v>291</v>
      </c>
      <c r="R101" s="909">
        <v>1742</v>
      </c>
      <c r="S101" s="909">
        <v>1707</v>
      </c>
    </row>
    <row r="102" spans="1:19">
      <c r="A102" s="909" t="s">
        <v>1730</v>
      </c>
      <c r="B102" s="909">
        <v>15065</v>
      </c>
      <c r="C102" s="909">
        <v>25231</v>
      </c>
      <c r="D102" s="909">
        <v>26270</v>
      </c>
      <c r="E102" s="909">
        <v>23642</v>
      </c>
      <c r="F102" s="909">
        <v>20155</v>
      </c>
      <c r="G102" s="909">
        <v>25198</v>
      </c>
      <c r="H102" s="909">
        <v>26061</v>
      </c>
      <c r="I102" s="909">
        <v>28948</v>
      </c>
      <c r="J102" s="909">
        <v>34180</v>
      </c>
      <c r="K102" s="909">
        <v>31213</v>
      </c>
      <c r="L102" s="909">
        <v>31252</v>
      </c>
      <c r="M102" s="909">
        <v>35576</v>
      </c>
      <c r="N102" s="909">
        <v>40005</v>
      </c>
      <c r="O102" s="909">
        <v>45896</v>
      </c>
      <c r="P102" s="909">
        <v>47582</v>
      </c>
      <c r="Q102" s="909">
        <v>45471</v>
      </c>
      <c r="R102" s="909">
        <v>49346</v>
      </c>
      <c r="S102" s="909">
        <v>47631</v>
      </c>
    </row>
    <row r="103" spans="1:19">
      <c r="A103" s="909" t="s">
        <v>1729</v>
      </c>
      <c r="B103" s="909">
        <v>3725</v>
      </c>
      <c r="C103" s="909">
        <v>3125</v>
      </c>
      <c r="D103" s="909">
        <v>3777</v>
      </c>
      <c r="E103" s="909">
        <v>4427</v>
      </c>
      <c r="F103" s="909">
        <v>4640</v>
      </c>
      <c r="G103" s="909">
        <v>6485</v>
      </c>
      <c r="H103" s="909">
        <v>6371</v>
      </c>
      <c r="I103" s="909">
        <v>6911</v>
      </c>
      <c r="J103" s="909">
        <v>7117</v>
      </c>
      <c r="K103" s="909">
        <v>8285</v>
      </c>
      <c r="L103" s="909">
        <v>10572</v>
      </c>
      <c r="M103" s="909">
        <v>11529</v>
      </c>
      <c r="N103" s="909">
        <v>15280</v>
      </c>
      <c r="O103" s="909">
        <v>13721</v>
      </c>
      <c r="P103" s="909">
        <v>18510</v>
      </c>
      <c r="Q103" s="909">
        <v>19210</v>
      </c>
      <c r="R103" s="909">
        <v>21187</v>
      </c>
      <c r="S103" s="909">
        <v>23508</v>
      </c>
    </row>
    <row r="104" spans="1:19">
      <c r="A104" s="909" t="s">
        <v>1728</v>
      </c>
      <c r="B104" s="909">
        <v>1072</v>
      </c>
      <c r="C104" s="909">
        <v>57</v>
      </c>
      <c r="D104" s="909">
        <v>-379</v>
      </c>
      <c r="E104" s="909">
        <v>-732</v>
      </c>
      <c r="F104" s="909">
        <v>-415</v>
      </c>
      <c r="G104" s="909">
        <v>50</v>
      </c>
      <c r="H104" s="909">
        <v>187</v>
      </c>
      <c r="I104" s="909">
        <v>751</v>
      </c>
      <c r="J104" s="909">
        <v>924</v>
      </c>
      <c r="K104" s="909">
        <v>2324</v>
      </c>
      <c r="L104" s="909">
        <v>1836</v>
      </c>
      <c r="M104" s="909">
        <v>1509</v>
      </c>
      <c r="N104" s="909">
        <v>1478</v>
      </c>
      <c r="O104" s="909">
        <v>1597</v>
      </c>
      <c r="P104" s="909">
        <v>1568</v>
      </c>
      <c r="Q104" s="909" t="s">
        <v>291</v>
      </c>
      <c r="R104" s="909">
        <v>1227</v>
      </c>
      <c r="S104" s="909">
        <v>1176</v>
      </c>
    </row>
    <row r="105" spans="1:19">
      <c r="A105" s="909" t="s">
        <v>1727</v>
      </c>
      <c r="B105" s="909">
        <v>8212</v>
      </c>
      <c r="C105" s="909">
        <v>10005</v>
      </c>
      <c r="D105" s="909">
        <v>9552</v>
      </c>
      <c r="E105" s="909">
        <v>9763</v>
      </c>
      <c r="F105" s="909">
        <v>10774</v>
      </c>
      <c r="G105" s="909">
        <v>13905</v>
      </c>
      <c r="H105" s="909">
        <v>15449</v>
      </c>
      <c r="I105" s="909">
        <v>16293</v>
      </c>
      <c r="J105" s="909">
        <v>19979</v>
      </c>
      <c r="K105" s="909">
        <v>21819</v>
      </c>
      <c r="L105" s="909">
        <v>18850</v>
      </c>
      <c r="M105" s="909">
        <v>19941</v>
      </c>
      <c r="N105" s="909">
        <v>9404</v>
      </c>
      <c r="O105" s="909">
        <v>11261</v>
      </c>
      <c r="P105" s="909">
        <v>13361</v>
      </c>
      <c r="Q105" s="909">
        <v>12922</v>
      </c>
      <c r="R105" s="909">
        <v>13353</v>
      </c>
      <c r="S105" s="909">
        <v>12893</v>
      </c>
    </row>
    <row r="106" spans="1:19">
      <c r="A106" s="909" t="s">
        <v>1726</v>
      </c>
      <c r="B106" s="909">
        <v>1346</v>
      </c>
      <c r="C106" s="909">
        <v>1738</v>
      </c>
      <c r="D106" s="909">
        <v>1837</v>
      </c>
      <c r="E106" s="909">
        <v>1961</v>
      </c>
      <c r="F106" s="909">
        <v>2112</v>
      </c>
      <c r="G106" s="909">
        <v>2120</v>
      </c>
      <c r="H106" s="909">
        <v>2104</v>
      </c>
      <c r="I106" s="909">
        <v>1295</v>
      </c>
      <c r="J106" s="909">
        <v>1717</v>
      </c>
      <c r="K106" s="909">
        <v>1724</v>
      </c>
      <c r="L106" s="909">
        <v>1197</v>
      </c>
      <c r="M106" s="909">
        <v>1267</v>
      </c>
      <c r="N106" s="909">
        <v>1337</v>
      </c>
      <c r="O106" s="909">
        <v>1430</v>
      </c>
      <c r="P106" s="909">
        <v>1827</v>
      </c>
      <c r="Q106" s="909">
        <v>1226</v>
      </c>
      <c r="R106" s="909">
        <v>1114</v>
      </c>
      <c r="S106" s="909">
        <v>982</v>
      </c>
    </row>
    <row r="107" spans="1:19">
      <c r="A107" s="909" t="s">
        <v>1725</v>
      </c>
      <c r="B107" s="909">
        <v>1728</v>
      </c>
      <c r="C107" s="909">
        <v>1520</v>
      </c>
      <c r="D107" s="909">
        <v>1530</v>
      </c>
      <c r="E107" s="909">
        <v>1399</v>
      </c>
      <c r="F107" s="909">
        <v>1261</v>
      </c>
      <c r="G107" s="909">
        <v>1953</v>
      </c>
      <c r="H107" s="909">
        <v>2185</v>
      </c>
      <c r="I107" s="909">
        <v>1909</v>
      </c>
      <c r="J107" s="909">
        <v>1607</v>
      </c>
      <c r="K107" s="909">
        <v>1557</v>
      </c>
      <c r="L107" s="909">
        <v>1579</v>
      </c>
      <c r="M107" s="909">
        <v>1715</v>
      </c>
      <c r="N107" s="909">
        <v>1368</v>
      </c>
      <c r="O107" s="909">
        <v>1794</v>
      </c>
      <c r="P107" s="909">
        <v>2590</v>
      </c>
      <c r="Q107" s="909">
        <v>3178</v>
      </c>
      <c r="R107" s="909">
        <v>3019</v>
      </c>
      <c r="S107" s="909">
        <v>2210</v>
      </c>
    </row>
    <row r="108" spans="1:19">
      <c r="A108" s="909" t="s">
        <v>1724</v>
      </c>
      <c r="B108" s="909">
        <v>3225</v>
      </c>
      <c r="C108" s="909">
        <v>3368</v>
      </c>
      <c r="D108" s="909">
        <v>3852</v>
      </c>
      <c r="E108" s="909">
        <v>3103</v>
      </c>
      <c r="F108" s="909">
        <v>4087</v>
      </c>
      <c r="G108" s="909">
        <v>5858</v>
      </c>
      <c r="H108" s="909">
        <v>6796</v>
      </c>
      <c r="I108" s="909">
        <v>7861</v>
      </c>
      <c r="J108" s="909">
        <v>11034</v>
      </c>
      <c r="K108" s="909">
        <v>12990</v>
      </c>
      <c r="L108" s="909">
        <v>12580</v>
      </c>
      <c r="M108" s="909">
        <v>13987</v>
      </c>
      <c r="N108" s="909">
        <v>3628</v>
      </c>
      <c r="O108" s="909">
        <v>4522</v>
      </c>
      <c r="P108" s="909">
        <v>4757</v>
      </c>
      <c r="Q108" s="909">
        <v>4487</v>
      </c>
      <c r="R108" s="909">
        <v>4449</v>
      </c>
      <c r="S108" s="909">
        <v>4823</v>
      </c>
    </row>
    <row r="109" spans="1:19">
      <c r="A109" s="909" t="s">
        <v>1723</v>
      </c>
      <c r="B109" s="909">
        <v>1913</v>
      </c>
      <c r="C109" s="909">
        <v>3379</v>
      </c>
      <c r="D109" s="909">
        <v>2333</v>
      </c>
      <c r="E109" s="909">
        <v>3301</v>
      </c>
      <c r="F109" s="909">
        <v>3314</v>
      </c>
      <c r="G109" s="909">
        <v>3974</v>
      </c>
      <c r="H109" s="909">
        <v>4364</v>
      </c>
      <c r="I109" s="909">
        <v>5228</v>
      </c>
      <c r="J109" s="909">
        <v>5622</v>
      </c>
      <c r="K109" s="909">
        <v>5549</v>
      </c>
      <c r="L109" s="909">
        <v>3494</v>
      </c>
      <c r="M109" s="909">
        <v>2971</v>
      </c>
      <c r="N109" s="909">
        <v>3072</v>
      </c>
      <c r="O109" s="909">
        <v>3514</v>
      </c>
      <c r="P109" s="909">
        <v>4186</v>
      </c>
      <c r="Q109" s="909">
        <v>4030</v>
      </c>
      <c r="R109" s="909">
        <v>4771</v>
      </c>
      <c r="S109" s="909">
        <v>4878</v>
      </c>
    </row>
    <row r="110" spans="1:19">
      <c r="A110" s="909" t="s">
        <v>1722</v>
      </c>
      <c r="B110" s="909">
        <v>43322</v>
      </c>
      <c r="C110" s="909">
        <v>49887</v>
      </c>
      <c r="D110" s="909">
        <v>40487</v>
      </c>
      <c r="E110" s="909">
        <v>45320</v>
      </c>
      <c r="F110" s="909">
        <v>47903</v>
      </c>
      <c r="G110" s="909">
        <v>53156</v>
      </c>
      <c r="H110" s="909">
        <v>50739</v>
      </c>
      <c r="I110" s="909">
        <v>50663</v>
      </c>
      <c r="J110" s="909">
        <v>60612</v>
      </c>
      <c r="K110" s="909">
        <v>44541</v>
      </c>
      <c r="L110" s="909">
        <v>51062</v>
      </c>
      <c r="M110" s="909">
        <v>49636</v>
      </c>
      <c r="N110" s="909">
        <v>46091</v>
      </c>
      <c r="O110" s="909">
        <v>43857</v>
      </c>
      <c r="P110" s="909">
        <v>51589</v>
      </c>
      <c r="Q110" s="909">
        <v>55671</v>
      </c>
      <c r="R110" s="909">
        <v>60771</v>
      </c>
      <c r="S110" s="909">
        <v>71362</v>
      </c>
    </row>
    <row r="111" spans="1:19">
      <c r="A111" s="909" t="s">
        <v>1721</v>
      </c>
      <c r="B111" s="909">
        <v>39675</v>
      </c>
      <c r="C111" s="909">
        <v>46043</v>
      </c>
      <c r="D111" s="909">
        <v>36224</v>
      </c>
      <c r="E111" s="909">
        <v>39264</v>
      </c>
      <c r="F111" s="909">
        <v>42168</v>
      </c>
      <c r="G111" s="909">
        <v>46224</v>
      </c>
      <c r="H111" s="909">
        <v>45206</v>
      </c>
      <c r="I111" s="909">
        <v>44310</v>
      </c>
      <c r="J111" s="909">
        <v>47183</v>
      </c>
      <c r="K111" s="909">
        <v>34535</v>
      </c>
      <c r="L111" s="909">
        <v>38026</v>
      </c>
      <c r="M111" s="909">
        <v>35085</v>
      </c>
      <c r="N111" s="909">
        <v>34929</v>
      </c>
      <c r="O111" s="909">
        <v>32728</v>
      </c>
      <c r="P111" s="909">
        <v>39511</v>
      </c>
      <c r="Q111" s="909">
        <v>43502</v>
      </c>
      <c r="R111" s="909">
        <v>50207</v>
      </c>
      <c r="S111" s="909">
        <v>58482</v>
      </c>
    </row>
    <row r="112" spans="1:19">
      <c r="A112" s="909" t="s">
        <v>1720</v>
      </c>
      <c r="B112" s="909">
        <v>25581</v>
      </c>
      <c r="C112" s="909">
        <v>28140</v>
      </c>
      <c r="D112" s="909">
        <v>17785</v>
      </c>
      <c r="E112" s="909">
        <v>18910</v>
      </c>
      <c r="F112" s="909">
        <v>21629</v>
      </c>
      <c r="G112" s="909">
        <v>19830</v>
      </c>
      <c r="H112" s="909">
        <v>17140</v>
      </c>
      <c r="I112" s="909">
        <v>17339</v>
      </c>
      <c r="J112" s="909">
        <v>16894</v>
      </c>
      <c r="K112" s="909">
        <v>10291</v>
      </c>
      <c r="L112" s="909">
        <v>15313</v>
      </c>
      <c r="M112" s="909">
        <v>11562</v>
      </c>
      <c r="N112" s="909">
        <v>10435</v>
      </c>
      <c r="O112" s="909">
        <v>6302</v>
      </c>
      <c r="P112" s="909">
        <v>11486</v>
      </c>
      <c r="Q112" s="909">
        <v>14764</v>
      </c>
      <c r="R112" s="909">
        <v>18718</v>
      </c>
      <c r="S112" s="909">
        <v>23279</v>
      </c>
    </row>
    <row r="113" spans="1:19">
      <c r="A113" s="909" t="s">
        <v>1719</v>
      </c>
      <c r="B113" s="909">
        <v>200</v>
      </c>
      <c r="C113" s="909">
        <v>-141</v>
      </c>
      <c r="D113" s="909">
        <v>260</v>
      </c>
      <c r="E113" s="909">
        <v>274</v>
      </c>
      <c r="F113" s="909">
        <v>-48</v>
      </c>
      <c r="G113" s="909">
        <v>100</v>
      </c>
      <c r="H113" s="909">
        <v>93</v>
      </c>
      <c r="I113" s="909">
        <v>124</v>
      </c>
      <c r="J113" s="909">
        <v>77</v>
      </c>
      <c r="K113" s="909">
        <v>73</v>
      </c>
      <c r="L113" s="909">
        <v>79</v>
      </c>
      <c r="M113" s="909">
        <v>143</v>
      </c>
      <c r="N113" s="909">
        <v>105</v>
      </c>
      <c r="O113" s="909">
        <v>114</v>
      </c>
      <c r="P113" s="909">
        <v>123</v>
      </c>
      <c r="Q113" s="909">
        <v>98</v>
      </c>
      <c r="R113" s="909">
        <v>97</v>
      </c>
      <c r="S113" s="909">
        <v>103</v>
      </c>
    </row>
    <row r="114" spans="1:19">
      <c r="A114" s="909" t="s">
        <v>1718</v>
      </c>
      <c r="B114" s="909">
        <v>13893</v>
      </c>
      <c r="C114" s="909">
        <v>18045</v>
      </c>
      <c r="D114" s="909">
        <v>18179</v>
      </c>
      <c r="E114" s="909">
        <v>20080</v>
      </c>
      <c r="F114" s="909">
        <v>20587</v>
      </c>
      <c r="G114" s="909">
        <v>26295</v>
      </c>
      <c r="H114" s="909">
        <v>27973</v>
      </c>
      <c r="I114" s="909">
        <v>26847</v>
      </c>
      <c r="J114" s="909">
        <v>30213</v>
      </c>
      <c r="K114" s="909">
        <v>24171</v>
      </c>
      <c r="L114" s="909">
        <v>22634</v>
      </c>
      <c r="M114" s="909">
        <v>23379</v>
      </c>
      <c r="N114" s="909">
        <v>24390</v>
      </c>
      <c r="O114" s="909">
        <v>26312</v>
      </c>
      <c r="P114" s="909">
        <v>27902</v>
      </c>
      <c r="Q114" s="909">
        <v>28640</v>
      </c>
      <c r="R114" s="909">
        <v>31393</v>
      </c>
      <c r="S114" s="909">
        <v>35100</v>
      </c>
    </row>
    <row r="115" spans="1:19">
      <c r="A115" s="909" t="s">
        <v>67</v>
      </c>
      <c r="B115" s="909">
        <v>3647</v>
      </c>
      <c r="C115" s="909">
        <v>3844</v>
      </c>
      <c r="D115" s="909">
        <v>4262</v>
      </c>
      <c r="E115" s="909">
        <v>6056</v>
      </c>
      <c r="F115" s="909">
        <v>5734</v>
      </c>
      <c r="G115" s="909">
        <v>6932</v>
      </c>
      <c r="H115" s="909">
        <v>5533</v>
      </c>
      <c r="I115" s="909">
        <v>6353</v>
      </c>
      <c r="J115" s="909">
        <v>13428</v>
      </c>
      <c r="K115" s="909">
        <v>10006</v>
      </c>
      <c r="L115" s="909">
        <v>13036</v>
      </c>
      <c r="M115" s="909">
        <v>14551</v>
      </c>
      <c r="N115" s="909">
        <v>11162</v>
      </c>
      <c r="O115" s="909">
        <v>11129</v>
      </c>
      <c r="P115" s="909">
        <v>12078</v>
      </c>
      <c r="Q115" s="909">
        <v>12170</v>
      </c>
      <c r="R115" s="909">
        <v>10564</v>
      </c>
      <c r="S115" s="909">
        <v>12879</v>
      </c>
    </row>
    <row r="116" spans="1:19">
      <c r="A116" s="909" t="s">
        <v>1717</v>
      </c>
      <c r="B116" s="909">
        <v>2063</v>
      </c>
      <c r="C116" s="909">
        <v>2904</v>
      </c>
      <c r="D116" s="909">
        <v>3400</v>
      </c>
      <c r="E116" s="909">
        <v>5136</v>
      </c>
      <c r="F116" s="909">
        <v>4280</v>
      </c>
      <c r="G116" s="909">
        <v>5203</v>
      </c>
      <c r="H116" s="909">
        <v>4494</v>
      </c>
      <c r="I116" s="909">
        <v>5361</v>
      </c>
      <c r="J116" s="909">
        <v>12240</v>
      </c>
      <c r="K116" s="909">
        <v>9251</v>
      </c>
      <c r="L116" s="909">
        <v>9963</v>
      </c>
      <c r="M116" s="909">
        <v>11324</v>
      </c>
      <c r="N116" s="909">
        <v>7867</v>
      </c>
      <c r="O116" s="909">
        <v>7374</v>
      </c>
      <c r="P116" s="909">
        <v>8647</v>
      </c>
      <c r="Q116" s="909">
        <v>9178</v>
      </c>
      <c r="R116" s="909">
        <v>8030</v>
      </c>
      <c r="S116" s="909">
        <v>9786</v>
      </c>
    </row>
    <row r="117" spans="1:19">
      <c r="A117" s="909" t="s">
        <v>1716</v>
      </c>
      <c r="B117" s="909">
        <v>239</v>
      </c>
      <c r="C117" s="909">
        <v>270</v>
      </c>
      <c r="D117" s="909">
        <v>270</v>
      </c>
      <c r="E117" s="909">
        <v>200</v>
      </c>
      <c r="F117" s="909" t="s">
        <v>291</v>
      </c>
      <c r="G117" s="909" t="s">
        <v>291</v>
      </c>
      <c r="H117" s="909">
        <v>182</v>
      </c>
      <c r="I117" s="909" t="s">
        <v>291</v>
      </c>
      <c r="J117" s="909">
        <v>264</v>
      </c>
      <c r="K117" s="909" t="s">
        <v>291</v>
      </c>
      <c r="L117" s="909">
        <v>672</v>
      </c>
      <c r="M117" s="909">
        <v>669</v>
      </c>
      <c r="N117" s="909">
        <v>823</v>
      </c>
      <c r="O117" s="909">
        <v>999</v>
      </c>
      <c r="P117" s="909">
        <v>1077</v>
      </c>
      <c r="Q117" s="909">
        <v>1109</v>
      </c>
      <c r="R117" s="909">
        <v>1520</v>
      </c>
      <c r="S117" s="909">
        <v>1901</v>
      </c>
    </row>
    <row r="118" spans="1:19">
      <c r="A118" s="909" t="s">
        <v>1715</v>
      </c>
      <c r="B118" s="909">
        <v>-11</v>
      </c>
      <c r="C118" s="909">
        <v>-11</v>
      </c>
      <c r="D118" s="909">
        <v>-12</v>
      </c>
      <c r="E118" s="909" t="s">
        <v>291</v>
      </c>
      <c r="F118" s="909" t="s">
        <v>291</v>
      </c>
      <c r="G118" s="909" t="s">
        <v>291</v>
      </c>
      <c r="H118" s="909">
        <v>-230</v>
      </c>
      <c r="I118" s="909" t="s">
        <v>291</v>
      </c>
      <c r="J118" s="909">
        <v>-184</v>
      </c>
      <c r="K118" s="909" t="s">
        <v>291</v>
      </c>
      <c r="L118" s="909">
        <v>6</v>
      </c>
      <c r="M118" s="909">
        <v>16</v>
      </c>
      <c r="N118" s="909">
        <v>13</v>
      </c>
      <c r="O118" s="909">
        <v>160</v>
      </c>
      <c r="P118" s="909" t="s">
        <v>291</v>
      </c>
      <c r="Q118" s="909" t="s">
        <v>291</v>
      </c>
      <c r="R118" s="909" t="s">
        <v>291</v>
      </c>
      <c r="S118" s="909" t="s">
        <v>291</v>
      </c>
    </row>
    <row r="119" spans="1:19">
      <c r="A119" s="909" t="s">
        <v>1714</v>
      </c>
      <c r="B119" s="909">
        <v>1355</v>
      </c>
      <c r="C119" s="909">
        <v>681</v>
      </c>
      <c r="D119" s="909">
        <v>604</v>
      </c>
      <c r="E119" s="909" t="s">
        <v>291</v>
      </c>
      <c r="F119" s="909">
        <v>527</v>
      </c>
      <c r="G119" s="909">
        <v>1357</v>
      </c>
      <c r="H119" s="909">
        <v>1087</v>
      </c>
      <c r="I119" s="909">
        <v>879</v>
      </c>
      <c r="J119" s="909">
        <v>1109</v>
      </c>
      <c r="K119" s="909">
        <v>967</v>
      </c>
      <c r="L119" s="909">
        <v>2395</v>
      </c>
      <c r="M119" s="909">
        <v>2543</v>
      </c>
      <c r="N119" s="909">
        <v>2458</v>
      </c>
      <c r="O119" s="909">
        <v>2596</v>
      </c>
      <c r="P119" s="909" t="s">
        <v>291</v>
      </c>
      <c r="Q119" s="909" t="s">
        <v>291</v>
      </c>
      <c r="R119" s="909" t="s">
        <v>291</v>
      </c>
      <c r="S119" s="909" t="s">
        <v>291</v>
      </c>
    </row>
    <row r="120" spans="1:19">
      <c r="A120" s="909" t="s">
        <v>1713</v>
      </c>
      <c r="B120" s="909" t="s">
        <v>273</v>
      </c>
      <c r="C120" s="909" t="s">
        <v>273</v>
      </c>
      <c r="D120" s="909">
        <v>79352</v>
      </c>
      <c r="E120" s="909">
        <v>92160</v>
      </c>
      <c r="F120" s="909">
        <v>103929</v>
      </c>
      <c r="G120" s="909">
        <v>119955</v>
      </c>
      <c r="H120" s="909">
        <v>129716</v>
      </c>
      <c r="I120" s="909">
        <v>138013</v>
      </c>
      <c r="J120" s="909">
        <v>144777</v>
      </c>
      <c r="K120" s="909">
        <v>135569</v>
      </c>
      <c r="L120" s="909">
        <v>144579</v>
      </c>
      <c r="M120" s="909">
        <v>156819</v>
      </c>
      <c r="N120" s="909">
        <v>159210</v>
      </c>
      <c r="O120" s="909">
        <v>178067</v>
      </c>
      <c r="P120" s="909">
        <v>194704</v>
      </c>
      <c r="Q120" s="909">
        <v>187585</v>
      </c>
      <c r="R120" s="909">
        <v>184516</v>
      </c>
      <c r="S120" s="909">
        <v>204956</v>
      </c>
    </row>
    <row r="121" spans="1:19">
      <c r="A121" s="909" t="s">
        <v>1712</v>
      </c>
      <c r="B121" s="909" t="s">
        <v>273</v>
      </c>
      <c r="C121" s="909" t="s">
        <v>273</v>
      </c>
      <c r="D121" s="909">
        <v>12958</v>
      </c>
      <c r="E121" s="909">
        <v>20319</v>
      </c>
      <c r="F121" s="909">
        <v>23881</v>
      </c>
      <c r="G121" s="909">
        <v>25821</v>
      </c>
      <c r="H121" s="909">
        <v>34315</v>
      </c>
      <c r="I121" s="909">
        <v>36532</v>
      </c>
      <c r="J121" s="909">
        <v>39078</v>
      </c>
      <c r="K121" s="909">
        <v>35295</v>
      </c>
      <c r="L121" s="909">
        <v>37870</v>
      </c>
      <c r="M121" s="909">
        <v>38841</v>
      </c>
      <c r="N121" s="909">
        <v>39776</v>
      </c>
      <c r="O121" s="909">
        <v>43317</v>
      </c>
      <c r="P121" s="909">
        <v>42425</v>
      </c>
      <c r="Q121" s="909">
        <v>38159</v>
      </c>
      <c r="R121" s="909">
        <v>30355</v>
      </c>
      <c r="S121" s="909">
        <v>44266</v>
      </c>
    </row>
    <row r="122" spans="1:19">
      <c r="A122" s="909" t="s">
        <v>1711</v>
      </c>
      <c r="B122" s="909" t="s">
        <v>273</v>
      </c>
      <c r="C122" s="909" t="s">
        <v>273</v>
      </c>
      <c r="D122" s="909">
        <v>11571</v>
      </c>
      <c r="E122" s="909">
        <v>19518</v>
      </c>
      <c r="F122" s="909">
        <v>22937</v>
      </c>
      <c r="G122" s="909">
        <v>25770</v>
      </c>
      <c r="H122" s="909">
        <v>33530</v>
      </c>
      <c r="I122" s="909">
        <v>35535</v>
      </c>
      <c r="J122" s="909">
        <v>38305</v>
      </c>
      <c r="K122" s="909">
        <v>34288</v>
      </c>
      <c r="L122" s="909">
        <v>37538</v>
      </c>
      <c r="M122" s="909">
        <v>38233</v>
      </c>
      <c r="N122" s="909">
        <v>38959</v>
      </c>
      <c r="O122" s="909">
        <v>42687</v>
      </c>
      <c r="P122" s="909">
        <v>41768</v>
      </c>
      <c r="Q122" s="909">
        <v>37090</v>
      </c>
      <c r="R122" s="909">
        <v>29082</v>
      </c>
      <c r="S122" s="909">
        <v>43393</v>
      </c>
    </row>
    <row r="123" spans="1:19">
      <c r="A123" s="909" t="s">
        <v>1710</v>
      </c>
      <c r="B123" s="909" t="s">
        <v>273</v>
      </c>
      <c r="C123" s="909" t="s">
        <v>273</v>
      </c>
      <c r="D123" s="909">
        <v>1386</v>
      </c>
      <c r="E123" s="909">
        <v>802</v>
      </c>
      <c r="F123" s="909">
        <v>944</v>
      </c>
      <c r="G123" s="909">
        <v>52</v>
      </c>
      <c r="H123" s="909">
        <v>785</v>
      </c>
      <c r="I123" s="909">
        <v>997</v>
      </c>
      <c r="J123" s="909">
        <v>773</v>
      </c>
      <c r="K123" s="909">
        <v>1007</v>
      </c>
      <c r="L123" s="909">
        <v>332</v>
      </c>
      <c r="M123" s="909">
        <v>608</v>
      </c>
      <c r="N123" s="909">
        <v>817</v>
      </c>
      <c r="O123" s="909">
        <v>630</v>
      </c>
      <c r="P123" s="909">
        <v>657</v>
      </c>
      <c r="Q123" s="909">
        <v>1069</v>
      </c>
      <c r="R123" s="909">
        <v>1273</v>
      </c>
      <c r="S123" s="909">
        <v>873</v>
      </c>
    </row>
    <row r="124" spans="1:19">
      <c r="A124" s="909" t="s">
        <v>1709</v>
      </c>
      <c r="B124" s="909" t="s">
        <v>273</v>
      </c>
      <c r="C124" s="909" t="s">
        <v>273</v>
      </c>
      <c r="D124" s="909">
        <v>3747</v>
      </c>
      <c r="E124" s="909">
        <v>3276</v>
      </c>
      <c r="F124" s="909">
        <v>3362</v>
      </c>
      <c r="G124" s="909">
        <v>4044</v>
      </c>
      <c r="H124" s="909">
        <v>5294</v>
      </c>
      <c r="I124" s="909">
        <v>6148</v>
      </c>
      <c r="J124" s="909">
        <v>7104</v>
      </c>
      <c r="K124" s="909">
        <v>7190</v>
      </c>
      <c r="L124" s="909">
        <v>5101</v>
      </c>
      <c r="M124" s="909">
        <v>4709</v>
      </c>
      <c r="N124" s="909">
        <v>5839</v>
      </c>
      <c r="O124" s="909">
        <v>5334</v>
      </c>
      <c r="P124" s="909">
        <v>6554</v>
      </c>
      <c r="Q124" s="909">
        <v>7746</v>
      </c>
      <c r="R124" s="909">
        <v>7945</v>
      </c>
      <c r="S124" s="909">
        <v>8161</v>
      </c>
    </row>
    <row r="125" spans="1:19">
      <c r="A125" s="909" t="s">
        <v>1708</v>
      </c>
      <c r="B125" s="909" t="s">
        <v>273</v>
      </c>
      <c r="C125" s="909" t="s">
        <v>273</v>
      </c>
      <c r="D125" s="909">
        <v>1322</v>
      </c>
      <c r="E125" s="909">
        <v>904</v>
      </c>
      <c r="F125" s="909">
        <v>730</v>
      </c>
      <c r="G125" s="909">
        <v>532</v>
      </c>
      <c r="H125" s="909">
        <v>596</v>
      </c>
      <c r="I125" s="909">
        <v>499</v>
      </c>
      <c r="J125" s="909">
        <v>810</v>
      </c>
      <c r="K125" s="909">
        <v>607</v>
      </c>
      <c r="L125" s="909">
        <v>551</v>
      </c>
      <c r="M125" s="909">
        <v>617</v>
      </c>
      <c r="N125" s="909">
        <v>643</v>
      </c>
      <c r="O125" s="909">
        <v>753</v>
      </c>
      <c r="P125" s="909">
        <v>781</v>
      </c>
      <c r="Q125" s="909">
        <v>1260</v>
      </c>
      <c r="R125" s="909">
        <v>1189</v>
      </c>
      <c r="S125" s="909">
        <v>1070</v>
      </c>
    </row>
    <row r="126" spans="1:19">
      <c r="A126" s="909" t="s">
        <v>1707</v>
      </c>
      <c r="B126" s="909" t="s">
        <v>273</v>
      </c>
      <c r="C126" s="909" t="s">
        <v>273</v>
      </c>
      <c r="D126" s="909">
        <v>665</v>
      </c>
      <c r="E126" s="909">
        <v>869</v>
      </c>
      <c r="F126" s="909">
        <v>750</v>
      </c>
      <c r="G126" s="909">
        <v>810</v>
      </c>
      <c r="H126" s="909">
        <v>772</v>
      </c>
      <c r="I126" s="909">
        <v>1463</v>
      </c>
      <c r="J126" s="909">
        <v>1544</v>
      </c>
      <c r="K126" s="909">
        <v>1599</v>
      </c>
      <c r="L126" s="909">
        <v>1908</v>
      </c>
      <c r="M126" s="909">
        <v>1270</v>
      </c>
      <c r="N126" s="909">
        <v>1531</v>
      </c>
      <c r="O126" s="909">
        <v>1263</v>
      </c>
      <c r="P126" s="909">
        <v>1298</v>
      </c>
      <c r="Q126" s="909">
        <v>1151</v>
      </c>
      <c r="R126" s="909">
        <v>1285</v>
      </c>
      <c r="S126" s="909">
        <v>1385</v>
      </c>
    </row>
    <row r="127" spans="1:19">
      <c r="A127" s="909" t="s">
        <v>1706</v>
      </c>
      <c r="B127" s="909" t="s">
        <v>273</v>
      </c>
      <c r="C127" s="909" t="s">
        <v>273</v>
      </c>
      <c r="D127" s="909">
        <v>1659</v>
      </c>
      <c r="E127" s="909">
        <v>1402</v>
      </c>
      <c r="F127" s="909">
        <v>1716</v>
      </c>
      <c r="G127" s="909">
        <v>2482</v>
      </c>
      <c r="H127" s="909">
        <v>3617</v>
      </c>
      <c r="I127" s="909">
        <v>3893</v>
      </c>
      <c r="J127" s="909">
        <v>4375</v>
      </c>
      <c r="K127" s="909">
        <v>4603</v>
      </c>
      <c r="L127" s="909">
        <v>2456</v>
      </c>
      <c r="M127" s="909">
        <v>2625</v>
      </c>
      <c r="N127" s="909">
        <v>3471</v>
      </c>
      <c r="O127" s="909">
        <v>3111</v>
      </c>
      <c r="P127" s="909">
        <v>4188</v>
      </c>
      <c r="Q127" s="909">
        <v>5115</v>
      </c>
      <c r="R127" s="909">
        <v>5227</v>
      </c>
      <c r="S127" s="909">
        <v>5434</v>
      </c>
    </row>
    <row r="128" spans="1:19">
      <c r="A128" s="909" t="s">
        <v>1705</v>
      </c>
      <c r="B128" s="909" t="s">
        <v>273</v>
      </c>
      <c r="C128" s="909" t="s">
        <v>273</v>
      </c>
      <c r="D128" s="909">
        <v>102</v>
      </c>
      <c r="E128" s="909">
        <v>101</v>
      </c>
      <c r="F128" s="909">
        <v>166</v>
      </c>
      <c r="G128" s="909">
        <v>220</v>
      </c>
      <c r="H128" s="909">
        <v>309</v>
      </c>
      <c r="I128" s="909">
        <v>293</v>
      </c>
      <c r="J128" s="909">
        <v>374</v>
      </c>
      <c r="K128" s="909">
        <v>382</v>
      </c>
      <c r="L128" s="909">
        <v>186</v>
      </c>
      <c r="M128" s="909">
        <v>197</v>
      </c>
      <c r="N128" s="909">
        <v>194</v>
      </c>
      <c r="O128" s="909">
        <v>207</v>
      </c>
      <c r="P128" s="909">
        <v>286</v>
      </c>
      <c r="Q128" s="909">
        <v>220</v>
      </c>
      <c r="R128" s="909">
        <v>244</v>
      </c>
      <c r="S128" s="909">
        <v>273</v>
      </c>
    </row>
    <row r="129" spans="1:19">
      <c r="A129" s="909" t="s">
        <v>1704</v>
      </c>
      <c r="B129" s="909" t="s">
        <v>273</v>
      </c>
      <c r="C129" s="909" t="s">
        <v>273</v>
      </c>
      <c r="D129" s="909">
        <v>3574</v>
      </c>
      <c r="E129" s="909">
        <v>4448</v>
      </c>
      <c r="F129" s="909">
        <v>4900</v>
      </c>
      <c r="G129" s="909">
        <v>6176</v>
      </c>
      <c r="H129" s="909">
        <v>5023</v>
      </c>
      <c r="I129" s="909">
        <v>2686</v>
      </c>
      <c r="J129" s="909">
        <v>2199</v>
      </c>
      <c r="K129" s="909">
        <v>1841</v>
      </c>
      <c r="L129" s="909">
        <v>2237</v>
      </c>
      <c r="M129" s="909">
        <v>1870</v>
      </c>
      <c r="N129" s="909">
        <v>4521</v>
      </c>
      <c r="O129" s="909">
        <v>3409</v>
      </c>
      <c r="P129" s="909">
        <v>3765</v>
      </c>
      <c r="Q129" s="909">
        <v>3690</v>
      </c>
      <c r="R129" s="909">
        <v>3293</v>
      </c>
      <c r="S129" s="909">
        <v>3693</v>
      </c>
    </row>
    <row r="130" spans="1:19">
      <c r="A130" s="909" t="s">
        <v>1703</v>
      </c>
      <c r="B130" s="909" t="s">
        <v>273</v>
      </c>
      <c r="C130" s="909" t="s">
        <v>273</v>
      </c>
      <c r="D130" s="909">
        <v>14002</v>
      </c>
      <c r="E130" s="909">
        <v>13203</v>
      </c>
      <c r="F130" s="909">
        <v>11352</v>
      </c>
      <c r="G130" s="909">
        <v>13188</v>
      </c>
      <c r="H130" s="909">
        <v>11121</v>
      </c>
      <c r="I130" s="909">
        <v>11991</v>
      </c>
      <c r="J130" s="909">
        <v>12047</v>
      </c>
      <c r="K130" s="909">
        <v>9953</v>
      </c>
      <c r="L130" s="909">
        <v>8723</v>
      </c>
      <c r="M130" s="909">
        <v>9780</v>
      </c>
      <c r="N130" s="909">
        <v>8822</v>
      </c>
      <c r="O130" s="909">
        <v>7717</v>
      </c>
      <c r="P130" s="909">
        <v>10319</v>
      </c>
      <c r="Q130" s="909">
        <v>6052</v>
      </c>
      <c r="R130" s="909">
        <v>7200</v>
      </c>
      <c r="S130" s="909">
        <v>8067</v>
      </c>
    </row>
    <row r="131" spans="1:19">
      <c r="A131" s="909" t="s">
        <v>1702</v>
      </c>
      <c r="B131" s="909" t="s">
        <v>273</v>
      </c>
      <c r="C131" s="909" t="s">
        <v>273</v>
      </c>
      <c r="D131" s="909">
        <v>5040</v>
      </c>
      <c r="E131" s="909">
        <v>4385</v>
      </c>
      <c r="F131" s="909">
        <v>4017</v>
      </c>
      <c r="G131" s="909">
        <v>4746</v>
      </c>
      <c r="H131" s="909">
        <v>3555</v>
      </c>
      <c r="I131" s="909">
        <v>3373</v>
      </c>
      <c r="J131" s="909">
        <v>4622</v>
      </c>
      <c r="K131" s="909">
        <v>2889</v>
      </c>
      <c r="L131" s="909">
        <v>3731</v>
      </c>
      <c r="M131" s="909">
        <v>4912</v>
      </c>
      <c r="N131" s="909">
        <v>4918</v>
      </c>
      <c r="O131" s="909">
        <v>5355</v>
      </c>
      <c r="P131" s="909">
        <v>8390</v>
      </c>
      <c r="Q131" s="909">
        <v>4812</v>
      </c>
      <c r="R131" s="909">
        <v>4582</v>
      </c>
      <c r="S131" s="909">
        <v>4590</v>
      </c>
    </row>
    <row r="132" spans="1:19">
      <c r="A132" s="909" t="s">
        <v>1701</v>
      </c>
      <c r="B132" s="909" t="s">
        <v>273</v>
      </c>
      <c r="C132" s="909" t="s">
        <v>273</v>
      </c>
      <c r="D132" s="909">
        <v>8962</v>
      </c>
      <c r="E132" s="909">
        <v>8818</v>
      </c>
      <c r="F132" s="909">
        <v>7335</v>
      </c>
      <c r="G132" s="909">
        <v>8442</v>
      </c>
      <c r="H132" s="909">
        <v>7566</v>
      </c>
      <c r="I132" s="909">
        <v>8618</v>
      </c>
      <c r="J132" s="909">
        <v>7425</v>
      </c>
      <c r="K132" s="909">
        <v>7064</v>
      </c>
      <c r="L132" s="909">
        <v>4992</v>
      </c>
      <c r="M132" s="909">
        <v>4869</v>
      </c>
      <c r="N132" s="909">
        <v>3904</v>
      </c>
      <c r="O132" s="909">
        <v>2362</v>
      </c>
      <c r="P132" s="909">
        <v>1930</v>
      </c>
      <c r="Q132" s="909">
        <v>1241</v>
      </c>
      <c r="R132" s="909">
        <v>2618</v>
      </c>
      <c r="S132" s="909">
        <v>3477</v>
      </c>
    </row>
    <row r="133" spans="1:19">
      <c r="A133" s="909" t="s">
        <v>1700</v>
      </c>
      <c r="B133" s="909" t="s">
        <v>273</v>
      </c>
      <c r="C133" s="909" t="s">
        <v>273</v>
      </c>
      <c r="D133" s="909">
        <v>1842</v>
      </c>
      <c r="E133" s="909">
        <v>1611</v>
      </c>
      <c r="F133" s="909">
        <v>1858</v>
      </c>
      <c r="G133" s="909">
        <v>3921</v>
      </c>
      <c r="H133" s="909">
        <v>4296</v>
      </c>
      <c r="I133" s="909">
        <v>4704</v>
      </c>
      <c r="J133" s="909">
        <v>4575</v>
      </c>
      <c r="K133" s="909">
        <v>3212</v>
      </c>
      <c r="L133" s="909">
        <v>1932</v>
      </c>
      <c r="M133" s="909">
        <v>2235</v>
      </c>
      <c r="N133" s="909">
        <v>1896</v>
      </c>
      <c r="O133" s="909">
        <v>1590</v>
      </c>
      <c r="P133" s="909">
        <v>1547</v>
      </c>
      <c r="Q133" s="909">
        <v>1321</v>
      </c>
      <c r="R133" s="909">
        <v>1430</v>
      </c>
      <c r="S133" s="909">
        <v>1636</v>
      </c>
    </row>
    <row r="134" spans="1:19">
      <c r="A134" s="752" t="s">
        <v>1699</v>
      </c>
      <c r="B134" s="752" t="s">
        <v>273</v>
      </c>
      <c r="C134" s="752" t="s">
        <v>273</v>
      </c>
      <c r="D134" s="752">
        <v>9680</v>
      </c>
      <c r="E134" s="752">
        <v>12068</v>
      </c>
      <c r="F134" s="752">
        <v>13398</v>
      </c>
      <c r="G134" s="752">
        <v>12950</v>
      </c>
      <c r="H134" s="752">
        <v>14665</v>
      </c>
      <c r="I134" s="752">
        <v>16199</v>
      </c>
      <c r="J134" s="752">
        <v>14053</v>
      </c>
      <c r="K134" s="752">
        <v>11270</v>
      </c>
      <c r="L134" s="752">
        <v>18044</v>
      </c>
      <c r="M134" s="752">
        <v>15498</v>
      </c>
      <c r="N134" s="752">
        <v>12786</v>
      </c>
      <c r="O134" s="752">
        <v>24300</v>
      </c>
      <c r="P134" s="752">
        <v>35742</v>
      </c>
      <c r="Q134" s="752" t="s">
        <v>291</v>
      </c>
      <c r="R134" s="752" t="s">
        <v>291</v>
      </c>
      <c r="S134" s="752" t="s">
        <v>291</v>
      </c>
    </row>
    <row r="135" spans="1:19">
      <c r="A135" s="909" t="s">
        <v>1698</v>
      </c>
      <c r="B135" s="909" t="s">
        <v>273</v>
      </c>
      <c r="C135" s="909" t="s">
        <v>273</v>
      </c>
      <c r="D135" s="909">
        <v>4311</v>
      </c>
      <c r="E135" s="909">
        <v>4175</v>
      </c>
      <c r="F135" s="909">
        <v>6559</v>
      </c>
      <c r="G135" s="909">
        <v>7658</v>
      </c>
      <c r="H135" s="909">
        <v>6475</v>
      </c>
      <c r="I135" s="909">
        <v>7756</v>
      </c>
      <c r="J135" s="909">
        <v>6854</v>
      </c>
      <c r="K135" s="909" t="s">
        <v>291</v>
      </c>
      <c r="L135" s="909" t="s">
        <v>291</v>
      </c>
      <c r="M135" s="909">
        <v>6885</v>
      </c>
      <c r="N135" s="909">
        <v>10875</v>
      </c>
      <c r="O135" s="909">
        <v>16044</v>
      </c>
      <c r="P135" s="909" t="s">
        <v>291</v>
      </c>
      <c r="Q135" s="909" t="s">
        <v>291</v>
      </c>
      <c r="R135" s="909" t="s">
        <v>291</v>
      </c>
      <c r="S135" s="909" t="s">
        <v>291</v>
      </c>
    </row>
    <row r="136" spans="1:19">
      <c r="A136" s="909" t="s">
        <v>1697</v>
      </c>
      <c r="B136" s="909" t="s">
        <v>273</v>
      </c>
      <c r="C136" s="909" t="s">
        <v>273</v>
      </c>
      <c r="D136" s="909">
        <v>4306</v>
      </c>
      <c r="E136" s="909">
        <v>8002</v>
      </c>
      <c r="F136" s="909">
        <v>4732</v>
      </c>
      <c r="G136" s="909">
        <v>4227</v>
      </c>
      <c r="H136" s="909">
        <v>6531</v>
      </c>
      <c r="I136" s="909">
        <v>6994</v>
      </c>
      <c r="J136" s="909">
        <v>8247</v>
      </c>
      <c r="K136" s="909">
        <v>5762</v>
      </c>
      <c r="L136" s="909">
        <v>6780</v>
      </c>
      <c r="M136" s="909">
        <v>8609</v>
      </c>
      <c r="N136" s="909">
        <v>1889</v>
      </c>
      <c r="O136" s="909">
        <v>8593</v>
      </c>
      <c r="P136" s="909" t="s">
        <v>291</v>
      </c>
      <c r="Q136" s="909">
        <v>8651</v>
      </c>
      <c r="R136" s="909" t="s">
        <v>291</v>
      </c>
      <c r="S136" s="909" t="s">
        <v>291</v>
      </c>
    </row>
    <row r="137" spans="1:19">
      <c r="A137" s="909" t="s">
        <v>1696</v>
      </c>
      <c r="B137" s="909" t="s">
        <v>273</v>
      </c>
      <c r="C137" s="909" t="s">
        <v>273</v>
      </c>
      <c r="D137" s="909">
        <v>1063</v>
      </c>
      <c r="E137" s="909">
        <v>-108</v>
      </c>
      <c r="F137" s="909">
        <v>2107</v>
      </c>
      <c r="G137" s="909">
        <v>1066</v>
      </c>
      <c r="H137" s="909">
        <v>1659</v>
      </c>
      <c r="I137" s="909">
        <v>1449</v>
      </c>
      <c r="J137" s="909">
        <v>-1047</v>
      </c>
      <c r="K137" s="909" t="s">
        <v>291</v>
      </c>
      <c r="L137" s="909" t="s">
        <v>291</v>
      </c>
      <c r="M137" s="909">
        <v>4</v>
      </c>
      <c r="N137" s="909">
        <v>22</v>
      </c>
      <c r="O137" s="909">
        <v>-338</v>
      </c>
      <c r="P137" s="909">
        <v>4</v>
      </c>
      <c r="Q137" s="909">
        <v>-67</v>
      </c>
      <c r="R137" s="909">
        <v>-201</v>
      </c>
      <c r="S137" s="909">
        <v>-304</v>
      </c>
    </row>
    <row r="138" spans="1:19">
      <c r="A138" s="909" t="s">
        <v>1695</v>
      </c>
      <c r="B138" s="909" t="s">
        <v>273</v>
      </c>
      <c r="C138" s="909" t="s">
        <v>273</v>
      </c>
      <c r="D138" s="909">
        <v>10770</v>
      </c>
      <c r="E138" s="909">
        <v>11149</v>
      </c>
      <c r="F138" s="909">
        <v>12186</v>
      </c>
      <c r="G138" s="909">
        <v>13095</v>
      </c>
      <c r="H138" s="909">
        <v>13842</v>
      </c>
      <c r="I138" s="909">
        <v>15153</v>
      </c>
      <c r="J138" s="909">
        <v>17569</v>
      </c>
      <c r="K138" s="909">
        <v>19147</v>
      </c>
      <c r="L138" s="909">
        <v>19564</v>
      </c>
      <c r="M138" s="909">
        <v>21416</v>
      </c>
      <c r="N138" s="909">
        <v>20692</v>
      </c>
      <c r="O138" s="909">
        <v>21953</v>
      </c>
      <c r="P138" s="909">
        <v>22042</v>
      </c>
      <c r="Q138" s="909">
        <v>20953</v>
      </c>
      <c r="R138" s="909">
        <v>20928</v>
      </c>
      <c r="S138" s="909">
        <v>23514</v>
      </c>
    </row>
    <row r="139" spans="1:19">
      <c r="A139" s="909" t="s">
        <v>1694</v>
      </c>
      <c r="B139" s="909" t="s">
        <v>273</v>
      </c>
      <c r="C139" s="909" t="s">
        <v>273</v>
      </c>
      <c r="D139" s="909">
        <v>4595</v>
      </c>
      <c r="E139" s="909">
        <v>4988</v>
      </c>
      <c r="F139" s="909">
        <v>5230</v>
      </c>
      <c r="G139" s="909">
        <v>6693</v>
      </c>
      <c r="H139" s="909">
        <v>7363</v>
      </c>
      <c r="I139" s="909">
        <v>8815</v>
      </c>
      <c r="J139" s="909">
        <v>10267</v>
      </c>
      <c r="K139" s="909">
        <v>10747</v>
      </c>
      <c r="L139" s="909">
        <v>11268</v>
      </c>
      <c r="M139" s="909">
        <v>11936</v>
      </c>
      <c r="N139" s="909">
        <v>11094</v>
      </c>
      <c r="O139" s="909">
        <v>11786</v>
      </c>
      <c r="P139" s="909">
        <v>12014</v>
      </c>
      <c r="Q139" s="909">
        <v>11046</v>
      </c>
      <c r="R139" s="909">
        <v>11482</v>
      </c>
      <c r="S139" s="909">
        <v>13387</v>
      </c>
    </row>
    <row r="140" spans="1:19">
      <c r="A140" s="909" t="s">
        <v>1693</v>
      </c>
      <c r="B140" s="909" t="s">
        <v>273</v>
      </c>
      <c r="C140" s="909" t="s">
        <v>273</v>
      </c>
      <c r="D140" s="909">
        <v>6175</v>
      </c>
      <c r="E140" s="909">
        <v>6161</v>
      </c>
      <c r="F140" s="909">
        <v>6955</v>
      </c>
      <c r="G140" s="909">
        <v>6401</v>
      </c>
      <c r="H140" s="909">
        <v>6478</v>
      </c>
      <c r="I140" s="909">
        <v>6338</v>
      </c>
      <c r="J140" s="909">
        <v>7302</v>
      </c>
      <c r="K140" s="909">
        <v>8401</v>
      </c>
      <c r="L140" s="909">
        <v>8296</v>
      </c>
      <c r="M140" s="909">
        <v>9480</v>
      </c>
      <c r="N140" s="909">
        <v>9598</v>
      </c>
      <c r="O140" s="909">
        <v>10167</v>
      </c>
      <c r="P140" s="909">
        <v>10029</v>
      </c>
      <c r="Q140" s="909">
        <v>9907</v>
      </c>
      <c r="R140" s="909">
        <v>9446</v>
      </c>
      <c r="S140" s="909">
        <v>10127</v>
      </c>
    </row>
    <row r="141" spans="1:19">
      <c r="A141" s="909" t="s">
        <v>1692</v>
      </c>
      <c r="B141" s="909" t="s">
        <v>273</v>
      </c>
      <c r="C141" s="909" t="s">
        <v>273</v>
      </c>
      <c r="D141" s="909">
        <v>7081</v>
      </c>
      <c r="E141" s="909">
        <v>8321</v>
      </c>
      <c r="F141" s="909">
        <v>9574</v>
      </c>
      <c r="G141" s="909">
        <v>13617</v>
      </c>
      <c r="H141" s="909">
        <v>12718</v>
      </c>
      <c r="I141" s="909">
        <v>15582</v>
      </c>
      <c r="J141" s="909">
        <v>15575</v>
      </c>
      <c r="K141" s="909">
        <v>16076</v>
      </c>
      <c r="L141" s="909">
        <v>15614</v>
      </c>
      <c r="M141" s="909">
        <v>17158</v>
      </c>
      <c r="N141" s="909">
        <v>13025</v>
      </c>
      <c r="O141" s="909">
        <v>11961</v>
      </c>
      <c r="P141" s="909">
        <v>13024</v>
      </c>
      <c r="Q141" s="909">
        <v>12104</v>
      </c>
      <c r="R141" s="909">
        <v>15497</v>
      </c>
      <c r="S141" s="909">
        <v>15995</v>
      </c>
    </row>
    <row r="142" spans="1:19">
      <c r="A142" s="909" t="s">
        <v>1691</v>
      </c>
      <c r="B142" s="909" t="s">
        <v>273</v>
      </c>
      <c r="C142" s="909" t="s">
        <v>273</v>
      </c>
      <c r="D142" s="909">
        <v>282</v>
      </c>
      <c r="E142" s="909">
        <v>551</v>
      </c>
      <c r="F142" s="909">
        <v>574</v>
      </c>
      <c r="G142" s="909">
        <v>801</v>
      </c>
      <c r="H142" s="909">
        <v>817</v>
      </c>
      <c r="I142" s="909">
        <v>3414</v>
      </c>
      <c r="J142" s="909">
        <v>4634</v>
      </c>
      <c r="K142" s="909">
        <v>4710</v>
      </c>
      <c r="L142" s="909">
        <v>4918</v>
      </c>
      <c r="M142" s="909">
        <v>5061</v>
      </c>
      <c r="N142" s="909">
        <v>1104</v>
      </c>
      <c r="O142" s="909">
        <v>1201</v>
      </c>
      <c r="P142" s="909">
        <v>1354</v>
      </c>
      <c r="Q142" s="909">
        <v>1960</v>
      </c>
      <c r="R142" s="909">
        <v>1927</v>
      </c>
      <c r="S142" s="909">
        <v>2344</v>
      </c>
    </row>
    <row r="143" spans="1:19">
      <c r="A143" s="909" t="s">
        <v>1690</v>
      </c>
      <c r="B143" s="909" t="s">
        <v>273</v>
      </c>
      <c r="C143" s="909" t="s">
        <v>273</v>
      </c>
      <c r="D143" s="909">
        <v>4550</v>
      </c>
      <c r="E143" s="909">
        <v>5423</v>
      </c>
      <c r="F143" s="909">
        <v>6456</v>
      </c>
      <c r="G143" s="909">
        <v>9648</v>
      </c>
      <c r="H143" s="909">
        <v>9448</v>
      </c>
      <c r="I143" s="909">
        <v>9121</v>
      </c>
      <c r="J143" s="909">
        <v>6712</v>
      </c>
      <c r="K143" s="909">
        <v>7290</v>
      </c>
      <c r="L143" s="909">
        <v>6610</v>
      </c>
      <c r="M143" s="909">
        <v>8126</v>
      </c>
      <c r="N143" s="909">
        <v>7487</v>
      </c>
      <c r="O143" s="909">
        <v>5911</v>
      </c>
      <c r="P143" s="909">
        <v>7080</v>
      </c>
      <c r="Q143" s="909">
        <v>5778</v>
      </c>
      <c r="R143" s="909">
        <v>8541</v>
      </c>
      <c r="S143" s="909">
        <v>8008</v>
      </c>
    </row>
    <row r="144" spans="1:19">
      <c r="A144" s="909" t="s">
        <v>1689</v>
      </c>
      <c r="B144" s="909" t="s">
        <v>273</v>
      </c>
      <c r="C144" s="909" t="s">
        <v>273</v>
      </c>
      <c r="D144" s="909">
        <v>1496</v>
      </c>
      <c r="E144" s="909">
        <v>1742</v>
      </c>
      <c r="F144" s="909">
        <v>1889</v>
      </c>
      <c r="G144" s="909">
        <v>2476</v>
      </c>
      <c r="H144" s="909">
        <v>1576</v>
      </c>
      <c r="I144" s="909">
        <v>1736</v>
      </c>
      <c r="J144" s="909">
        <v>2421</v>
      </c>
      <c r="K144" s="909">
        <v>2202</v>
      </c>
      <c r="L144" s="909">
        <v>2040</v>
      </c>
      <c r="M144" s="909">
        <v>1821</v>
      </c>
      <c r="N144" s="909">
        <v>2236</v>
      </c>
      <c r="O144" s="909">
        <v>2331</v>
      </c>
      <c r="P144" s="909">
        <v>2640</v>
      </c>
      <c r="Q144" s="909">
        <v>2820</v>
      </c>
      <c r="R144" s="909">
        <v>3285</v>
      </c>
      <c r="S144" s="909">
        <v>3705</v>
      </c>
    </row>
    <row r="145" spans="1:19">
      <c r="A145" s="909" t="s">
        <v>1688</v>
      </c>
      <c r="B145" s="909" t="s">
        <v>273</v>
      </c>
      <c r="C145" s="909" t="s">
        <v>273</v>
      </c>
      <c r="D145" s="909">
        <v>307</v>
      </c>
      <c r="E145" s="909">
        <v>202</v>
      </c>
      <c r="F145" s="909">
        <v>158</v>
      </c>
      <c r="G145" s="909">
        <v>80</v>
      </c>
      <c r="H145" s="909" t="s">
        <v>291</v>
      </c>
      <c r="I145" s="909">
        <v>520</v>
      </c>
      <c r="J145" s="909">
        <v>604</v>
      </c>
      <c r="K145" s="909">
        <v>453</v>
      </c>
      <c r="L145" s="909" t="s">
        <v>291</v>
      </c>
      <c r="M145" s="909">
        <v>496</v>
      </c>
      <c r="N145" s="909">
        <v>442</v>
      </c>
      <c r="O145" s="909" t="s">
        <v>291</v>
      </c>
      <c r="P145" s="909" t="s">
        <v>291</v>
      </c>
      <c r="Q145" s="909" t="s">
        <v>291</v>
      </c>
      <c r="R145" s="909" t="s">
        <v>291</v>
      </c>
      <c r="S145" s="909" t="s">
        <v>291</v>
      </c>
    </row>
    <row r="146" spans="1:19">
      <c r="A146" s="909" t="s">
        <v>1687</v>
      </c>
      <c r="B146" s="909" t="s">
        <v>273</v>
      </c>
      <c r="C146" s="909" t="s">
        <v>273</v>
      </c>
      <c r="D146" s="909">
        <v>446</v>
      </c>
      <c r="E146" s="909">
        <v>404</v>
      </c>
      <c r="F146" s="909">
        <v>497</v>
      </c>
      <c r="G146" s="909">
        <v>612</v>
      </c>
      <c r="H146" s="909" t="s">
        <v>291</v>
      </c>
      <c r="I146" s="909">
        <v>792</v>
      </c>
      <c r="J146" s="909">
        <v>1204</v>
      </c>
      <c r="K146" s="909">
        <v>1421</v>
      </c>
      <c r="L146" s="909" t="s">
        <v>291</v>
      </c>
      <c r="M146" s="909">
        <v>1655</v>
      </c>
      <c r="N146" s="909">
        <v>1755</v>
      </c>
      <c r="O146" s="909" t="s">
        <v>291</v>
      </c>
      <c r="P146" s="909" t="s">
        <v>291</v>
      </c>
      <c r="Q146" s="909" t="s">
        <v>291</v>
      </c>
      <c r="R146" s="909" t="s">
        <v>291</v>
      </c>
      <c r="S146" s="909" t="s">
        <v>291</v>
      </c>
    </row>
    <row r="147" spans="1:19">
      <c r="A147" s="909" t="s">
        <v>1686</v>
      </c>
      <c r="B147" s="909" t="s">
        <v>273</v>
      </c>
      <c r="C147" s="909" t="s">
        <v>273</v>
      </c>
      <c r="D147" s="909">
        <v>1063</v>
      </c>
      <c r="E147" s="909">
        <v>1245</v>
      </c>
      <c r="F147" s="909">
        <v>1174</v>
      </c>
      <c r="G147" s="909">
        <v>1443</v>
      </c>
      <c r="H147" s="909">
        <v>1307</v>
      </c>
      <c r="I147" s="909">
        <v>1003</v>
      </c>
      <c r="J147" s="909">
        <v>1053</v>
      </c>
      <c r="K147" s="909">
        <v>977</v>
      </c>
      <c r="L147" s="909">
        <v>1199</v>
      </c>
      <c r="M147" s="909">
        <v>1265</v>
      </c>
      <c r="N147" s="909">
        <v>1309</v>
      </c>
      <c r="O147" s="909">
        <v>1294</v>
      </c>
      <c r="P147" s="909">
        <v>1205</v>
      </c>
      <c r="Q147" s="909">
        <v>1707</v>
      </c>
      <c r="R147" s="909">
        <v>1782</v>
      </c>
      <c r="S147" s="909">
        <v>1871</v>
      </c>
    </row>
    <row r="148" spans="1:19">
      <c r="A148" s="909" t="s">
        <v>1685</v>
      </c>
      <c r="B148" s="909" t="s">
        <v>273</v>
      </c>
      <c r="C148" s="909" t="s">
        <v>273</v>
      </c>
      <c r="D148" s="909">
        <v>14635</v>
      </c>
      <c r="E148" s="909">
        <v>16519</v>
      </c>
      <c r="F148" s="909">
        <v>22245</v>
      </c>
      <c r="G148" s="909">
        <v>25700</v>
      </c>
      <c r="H148" s="909">
        <v>27135</v>
      </c>
      <c r="I148" s="909">
        <v>28014</v>
      </c>
      <c r="J148" s="909">
        <v>31525</v>
      </c>
      <c r="K148" s="909">
        <v>30607</v>
      </c>
      <c r="L148" s="909">
        <v>34297</v>
      </c>
      <c r="M148" s="909">
        <v>44046</v>
      </c>
      <c r="N148" s="909">
        <v>50544</v>
      </c>
      <c r="O148" s="909">
        <v>57191</v>
      </c>
      <c r="P148" s="909">
        <v>58081</v>
      </c>
      <c r="Q148" s="909" t="s">
        <v>291</v>
      </c>
      <c r="R148" s="909" t="s">
        <v>291</v>
      </c>
      <c r="S148" s="909" t="s">
        <v>291</v>
      </c>
    </row>
    <row r="149" spans="1:19">
      <c r="A149" s="909" t="s">
        <v>1684</v>
      </c>
      <c r="B149" s="909" t="s">
        <v>273</v>
      </c>
      <c r="C149" s="909" t="s">
        <v>273</v>
      </c>
      <c r="D149" s="909">
        <v>10769</v>
      </c>
      <c r="E149" s="909">
        <v>11324</v>
      </c>
      <c r="F149" s="909">
        <v>17249</v>
      </c>
      <c r="G149" s="909">
        <v>20038</v>
      </c>
      <c r="H149" s="909">
        <v>22145</v>
      </c>
      <c r="I149" s="909">
        <v>22668</v>
      </c>
      <c r="J149" s="909">
        <v>25072</v>
      </c>
      <c r="K149" s="909">
        <v>23491</v>
      </c>
      <c r="L149" s="909">
        <v>27692</v>
      </c>
      <c r="M149" s="909">
        <v>36830</v>
      </c>
      <c r="N149" s="909">
        <v>41902</v>
      </c>
      <c r="O149" s="909">
        <v>47197</v>
      </c>
      <c r="P149" s="909">
        <v>49266</v>
      </c>
      <c r="Q149" s="909">
        <v>54222</v>
      </c>
      <c r="R149" s="909">
        <v>54770</v>
      </c>
      <c r="S149" s="909">
        <v>58099</v>
      </c>
    </row>
    <row r="150" spans="1:19">
      <c r="A150" s="909" t="s">
        <v>1683</v>
      </c>
      <c r="B150" s="909" t="s">
        <v>273</v>
      </c>
      <c r="C150" s="909" t="s">
        <v>273</v>
      </c>
      <c r="D150" s="909">
        <v>3866</v>
      </c>
      <c r="E150" s="909">
        <v>5195</v>
      </c>
      <c r="F150" s="909">
        <v>4995</v>
      </c>
      <c r="G150" s="909">
        <v>5662</v>
      </c>
      <c r="H150" s="909">
        <v>4990</v>
      </c>
      <c r="I150" s="909">
        <v>5345</v>
      </c>
      <c r="J150" s="909">
        <v>6453</v>
      </c>
      <c r="K150" s="909">
        <v>7115</v>
      </c>
      <c r="L150" s="909">
        <v>6605</v>
      </c>
      <c r="M150" s="909">
        <v>7216</v>
      </c>
      <c r="N150" s="909">
        <v>8642</v>
      </c>
      <c r="O150" s="909">
        <v>9994</v>
      </c>
      <c r="P150" s="909">
        <v>8815</v>
      </c>
      <c r="Q150" s="909" t="s">
        <v>291</v>
      </c>
      <c r="R150" s="909" t="s">
        <v>291</v>
      </c>
      <c r="S150" s="909" t="s">
        <v>291</v>
      </c>
    </row>
    <row r="151" spans="1:19">
      <c r="A151" s="909" t="s">
        <v>1682</v>
      </c>
      <c r="B151" s="909">
        <v>1028</v>
      </c>
      <c r="C151" s="909">
        <v>1051</v>
      </c>
      <c r="D151" s="909" t="s">
        <v>273</v>
      </c>
      <c r="E151" s="909" t="s">
        <v>273</v>
      </c>
      <c r="F151" s="909" t="s">
        <v>273</v>
      </c>
      <c r="G151" s="909" t="s">
        <v>273</v>
      </c>
      <c r="H151" s="909" t="s">
        <v>273</v>
      </c>
      <c r="I151" s="909" t="s">
        <v>273</v>
      </c>
      <c r="J151" s="909" t="s">
        <v>273</v>
      </c>
      <c r="K151" s="909" t="s">
        <v>273</v>
      </c>
      <c r="L151" s="909" t="s">
        <v>273</v>
      </c>
      <c r="M151" s="909" t="s">
        <v>273</v>
      </c>
      <c r="N151" s="909" t="s">
        <v>273</v>
      </c>
      <c r="O151" s="909" t="s">
        <v>273</v>
      </c>
      <c r="P151" s="909" t="s">
        <v>273</v>
      </c>
      <c r="Q151" s="909" t="s">
        <v>273</v>
      </c>
      <c r="R151" s="909" t="s">
        <v>273</v>
      </c>
      <c r="S151" s="909" t="s">
        <v>273</v>
      </c>
    </row>
    <row r="152" spans="1:19">
      <c r="A152" s="909" t="s">
        <v>1681</v>
      </c>
      <c r="B152" s="909">
        <v>11574</v>
      </c>
      <c r="C152" s="909">
        <v>12341</v>
      </c>
      <c r="D152" s="909" t="s">
        <v>273</v>
      </c>
      <c r="E152" s="909" t="s">
        <v>273</v>
      </c>
      <c r="F152" s="909" t="s">
        <v>273</v>
      </c>
      <c r="G152" s="909" t="s">
        <v>273</v>
      </c>
      <c r="H152" s="909" t="s">
        <v>273</v>
      </c>
      <c r="I152" s="909" t="s">
        <v>273</v>
      </c>
      <c r="J152" s="909" t="s">
        <v>273</v>
      </c>
      <c r="K152" s="909" t="s">
        <v>273</v>
      </c>
      <c r="L152" s="909" t="s">
        <v>273</v>
      </c>
      <c r="M152" s="909" t="s">
        <v>273</v>
      </c>
      <c r="N152" s="909" t="s">
        <v>273</v>
      </c>
      <c r="O152" s="909" t="s">
        <v>273</v>
      </c>
      <c r="P152" s="909" t="s">
        <v>273</v>
      </c>
      <c r="Q152" s="909" t="s">
        <v>273</v>
      </c>
      <c r="R152" s="909" t="s">
        <v>273</v>
      </c>
      <c r="S152" s="909" t="s">
        <v>273</v>
      </c>
    </row>
    <row r="153" spans="1:19">
      <c r="A153" s="909" t="s">
        <v>1680</v>
      </c>
      <c r="B153" s="909">
        <v>8020</v>
      </c>
      <c r="C153" s="909">
        <v>8841</v>
      </c>
      <c r="D153" s="909" t="s">
        <v>273</v>
      </c>
      <c r="E153" s="909" t="s">
        <v>273</v>
      </c>
      <c r="F153" s="909" t="s">
        <v>273</v>
      </c>
      <c r="G153" s="909" t="s">
        <v>273</v>
      </c>
      <c r="H153" s="909" t="s">
        <v>273</v>
      </c>
      <c r="I153" s="909" t="s">
        <v>273</v>
      </c>
      <c r="J153" s="909" t="s">
        <v>273</v>
      </c>
      <c r="K153" s="909" t="s">
        <v>273</v>
      </c>
      <c r="L153" s="909" t="s">
        <v>273</v>
      </c>
      <c r="M153" s="909" t="s">
        <v>273</v>
      </c>
      <c r="N153" s="909" t="s">
        <v>273</v>
      </c>
      <c r="O153" s="909" t="s">
        <v>273</v>
      </c>
      <c r="P153" s="909" t="s">
        <v>273</v>
      </c>
      <c r="Q153" s="909" t="s">
        <v>273</v>
      </c>
      <c r="R153" s="909" t="s">
        <v>273</v>
      </c>
      <c r="S153" s="909" t="s">
        <v>273</v>
      </c>
    </row>
    <row r="154" spans="1:19">
      <c r="A154" s="909" t="s">
        <v>1679</v>
      </c>
      <c r="B154" s="909">
        <v>3554</v>
      </c>
      <c r="C154" s="909">
        <v>3500</v>
      </c>
      <c r="D154" s="909" t="s">
        <v>273</v>
      </c>
      <c r="E154" s="909" t="s">
        <v>273</v>
      </c>
      <c r="F154" s="909" t="s">
        <v>273</v>
      </c>
      <c r="G154" s="909" t="s">
        <v>273</v>
      </c>
      <c r="H154" s="909" t="s">
        <v>273</v>
      </c>
      <c r="I154" s="909" t="s">
        <v>273</v>
      </c>
      <c r="J154" s="909" t="s">
        <v>273</v>
      </c>
      <c r="K154" s="909" t="s">
        <v>273</v>
      </c>
      <c r="L154" s="909" t="s">
        <v>273</v>
      </c>
      <c r="M154" s="909" t="s">
        <v>273</v>
      </c>
      <c r="N154" s="909" t="s">
        <v>273</v>
      </c>
      <c r="O154" s="909" t="s">
        <v>273</v>
      </c>
      <c r="P154" s="909" t="s">
        <v>273</v>
      </c>
      <c r="Q154" s="909" t="s">
        <v>273</v>
      </c>
      <c r="R154" s="909" t="s">
        <v>273</v>
      </c>
      <c r="S154" s="909" t="s">
        <v>273</v>
      </c>
    </row>
    <row r="155" spans="1:19">
      <c r="A155" s="909" t="s">
        <v>1678</v>
      </c>
      <c r="B155" s="909">
        <v>86313</v>
      </c>
      <c r="C155" s="909">
        <v>93936</v>
      </c>
      <c r="D155" s="909">
        <v>112946</v>
      </c>
      <c r="E155" s="909">
        <v>111153</v>
      </c>
      <c r="F155" s="909">
        <v>119891</v>
      </c>
      <c r="G155" s="909">
        <v>122719</v>
      </c>
      <c r="H155" s="909">
        <v>132915</v>
      </c>
      <c r="I155" s="909">
        <v>138211</v>
      </c>
      <c r="J155" s="909">
        <v>150089</v>
      </c>
      <c r="K155" s="909">
        <v>169970</v>
      </c>
      <c r="L155" s="909">
        <v>164117</v>
      </c>
      <c r="M155" s="909">
        <v>168722</v>
      </c>
      <c r="N155" s="909">
        <v>182011</v>
      </c>
      <c r="O155" s="909">
        <v>208539</v>
      </c>
      <c r="P155" s="909">
        <v>228582</v>
      </c>
      <c r="Q155" s="909">
        <v>228727</v>
      </c>
      <c r="R155" s="909">
        <v>227815</v>
      </c>
      <c r="S155" s="909">
        <v>244296</v>
      </c>
    </row>
    <row r="156" spans="1:19">
      <c r="A156" s="909" t="s">
        <v>1677</v>
      </c>
      <c r="B156" s="909">
        <v>27688</v>
      </c>
      <c r="C156" s="909">
        <v>27361</v>
      </c>
      <c r="D156" s="909">
        <v>41138</v>
      </c>
      <c r="E156" s="909">
        <v>37461</v>
      </c>
      <c r="F156" s="909">
        <v>45124</v>
      </c>
      <c r="G156" s="909">
        <v>42971</v>
      </c>
      <c r="H156" s="909">
        <v>48440</v>
      </c>
      <c r="I156" s="909">
        <v>39272</v>
      </c>
      <c r="J156" s="909">
        <v>33079</v>
      </c>
      <c r="K156" s="909">
        <v>39382</v>
      </c>
      <c r="L156" s="909">
        <v>40520</v>
      </c>
      <c r="M156" s="909">
        <v>38557</v>
      </c>
      <c r="N156" s="909">
        <v>36049</v>
      </c>
      <c r="O156" s="909">
        <v>44381</v>
      </c>
      <c r="P156" s="909">
        <v>46742</v>
      </c>
      <c r="Q156" s="909">
        <v>48973</v>
      </c>
      <c r="R156" s="909">
        <v>50902</v>
      </c>
      <c r="S156" s="909">
        <v>53635</v>
      </c>
    </row>
    <row r="157" spans="1:19">
      <c r="A157" s="909" t="s">
        <v>1676</v>
      </c>
      <c r="B157" s="909">
        <v>26669</v>
      </c>
      <c r="C157" s="909">
        <v>30113</v>
      </c>
      <c r="D157" s="909">
        <v>33456</v>
      </c>
      <c r="E157" s="909">
        <v>32316</v>
      </c>
      <c r="F157" s="909">
        <v>34799</v>
      </c>
      <c r="G157" s="909" t="s">
        <v>273</v>
      </c>
      <c r="H157" s="909" t="s">
        <v>273</v>
      </c>
      <c r="I157" s="909" t="s">
        <v>273</v>
      </c>
      <c r="J157" s="909" t="s">
        <v>273</v>
      </c>
      <c r="K157" s="909" t="s">
        <v>273</v>
      </c>
      <c r="L157" s="909" t="s">
        <v>273</v>
      </c>
      <c r="M157" s="909" t="s">
        <v>273</v>
      </c>
      <c r="N157" s="909" t="s">
        <v>273</v>
      </c>
      <c r="O157" s="909" t="s">
        <v>273</v>
      </c>
      <c r="P157" s="909" t="s">
        <v>273</v>
      </c>
      <c r="Q157" s="909" t="s">
        <v>273</v>
      </c>
      <c r="R157" s="909" t="s">
        <v>273</v>
      </c>
      <c r="S157" s="909" t="s">
        <v>273</v>
      </c>
    </row>
    <row r="158" spans="1:19">
      <c r="A158" s="909" t="s">
        <v>1671</v>
      </c>
      <c r="B158" s="909">
        <v>2558</v>
      </c>
      <c r="C158" s="909">
        <v>2177</v>
      </c>
      <c r="D158" s="909">
        <v>2624</v>
      </c>
      <c r="E158" s="909">
        <v>3926</v>
      </c>
      <c r="F158" s="909">
        <v>3275</v>
      </c>
      <c r="G158" s="909" t="s">
        <v>273</v>
      </c>
      <c r="H158" s="909" t="s">
        <v>273</v>
      </c>
      <c r="I158" s="909" t="s">
        <v>273</v>
      </c>
      <c r="J158" s="909" t="s">
        <v>273</v>
      </c>
      <c r="K158" s="909" t="s">
        <v>273</v>
      </c>
      <c r="L158" s="909" t="s">
        <v>273</v>
      </c>
      <c r="M158" s="909" t="s">
        <v>273</v>
      </c>
      <c r="N158" s="909" t="s">
        <v>273</v>
      </c>
      <c r="O158" s="909" t="s">
        <v>273</v>
      </c>
      <c r="P158" s="909" t="s">
        <v>273</v>
      </c>
      <c r="Q158" s="909" t="s">
        <v>273</v>
      </c>
      <c r="R158" s="909" t="s">
        <v>273</v>
      </c>
      <c r="S158" s="909" t="s">
        <v>273</v>
      </c>
    </row>
    <row r="159" spans="1:19">
      <c r="A159" s="909" t="s">
        <v>1670</v>
      </c>
      <c r="B159" s="909">
        <v>191</v>
      </c>
      <c r="C159" s="909">
        <v>185</v>
      </c>
      <c r="D159" s="909">
        <v>138</v>
      </c>
      <c r="E159" s="909">
        <v>85</v>
      </c>
      <c r="F159" s="909">
        <v>120</v>
      </c>
      <c r="G159" s="909" t="s">
        <v>273</v>
      </c>
      <c r="H159" s="909" t="s">
        <v>273</v>
      </c>
      <c r="I159" s="909" t="s">
        <v>273</v>
      </c>
      <c r="J159" s="909" t="s">
        <v>273</v>
      </c>
      <c r="K159" s="909" t="s">
        <v>273</v>
      </c>
      <c r="L159" s="909" t="s">
        <v>273</v>
      </c>
      <c r="M159" s="909" t="s">
        <v>273</v>
      </c>
      <c r="N159" s="909" t="s">
        <v>273</v>
      </c>
      <c r="O159" s="909" t="s">
        <v>273</v>
      </c>
      <c r="P159" s="909" t="s">
        <v>273</v>
      </c>
      <c r="Q159" s="909" t="s">
        <v>273</v>
      </c>
      <c r="R159" s="909" t="s">
        <v>273</v>
      </c>
      <c r="S159" s="909" t="s">
        <v>273</v>
      </c>
    </row>
    <row r="160" spans="1:19">
      <c r="A160" s="909" t="s">
        <v>1669</v>
      </c>
      <c r="B160" s="909">
        <v>98</v>
      </c>
      <c r="C160" s="909">
        <v>81</v>
      </c>
      <c r="D160" s="909">
        <v>60</v>
      </c>
      <c r="E160" s="909">
        <v>153</v>
      </c>
      <c r="F160" s="909">
        <v>55</v>
      </c>
      <c r="G160" s="909" t="s">
        <v>273</v>
      </c>
      <c r="H160" s="909" t="s">
        <v>273</v>
      </c>
      <c r="I160" s="909" t="s">
        <v>273</v>
      </c>
      <c r="J160" s="909" t="s">
        <v>273</v>
      </c>
      <c r="K160" s="909" t="s">
        <v>273</v>
      </c>
      <c r="L160" s="909" t="s">
        <v>273</v>
      </c>
      <c r="M160" s="909" t="s">
        <v>273</v>
      </c>
      <c r="N160" s="909" t="s">
        <v>273</v>
      </c>
      <c r="O160" s="909" t="s">
        <v>273</v>
      </c>
      <c r="P160" s="909" t="s">
        <v>273</v>
      </c>
      <c r="Q160" s="909" t="s">
        <v>273</v>
      </c>
      <c r="R160" s="909" t="s">
        <v>273</v>
      </c>
      <c r="S160" s="909" t="s">
        <v>273</v>
      </c>
    </row>
    <row r="161" spans="1:19">
      <c r="A161" s="909" t="s">
        <v>1668</v>
      </c>
      <c r="B161" s="909">
        <v>877</v>
      </c>
      <c r="C161" s="909">
        <v>1014</v>
      </c>
      <c r="D161" s="909">
        <v>696</v>
      </c>
      <c r="E161" s="909">
        <v>966</v>
      </c>
      <c r="F161" s="909">
        <v>910</v>
      </c>
      <c r="G161" s="909" t="s">
        <v>273</v>
      </c>
      <c r="H161" s="909" t="s">
        <v>273</v>
      </c>
      <c r="I161" s="909" t="s">
        <v>273</v>
      </c>
      <c r="J161" s="909" t="s">
        <v>273</v>
      </c>
      <c r="K161" s="909" t="s">
        <v>273</v>
      </c>
      <c r="L161" s="909" t="s">
        <v>273</v>
      </c>
      <c r="M161" s="909" t="s">
        <v>273</v>
      </c>
      <c r="N161" s="909" t="s">
        <v>273</v>
      </c>
      <c r="O161" s="909" t="s">
        <v>273</v>
      </c>
      <c r="P161" s="909" t="s">
        <v>273</v>
      </c>
      <c r="Q161" s="909" t="s">
        <v>273</v>
      </c>
      <c r="R161" s="909" t="s">
        <v>273</v>
      </c>
      <c r="S161" s="909" t="s">
        <v>273</v>
      </c>
    </row>
    <row r="162" spans="1:19">
      <c r="A162" s="909" t="s">
        <v>1667</v>
      </c>
      <c r="B162" s="909">
        <v>8405</v>
      </c>
      <c r="C162" s="909">
        <v>9576</v>
      </c>
      <c r="D162" s="909">
        <v>11599</v>
      </c>
      <c r="E162" s="909">
        <v>12978</v>
      </c>
      <c r="F162" s="909">
        <v>16301</v>
      </c>
      <c r="G162" s="909" t="s">
        <v>273</v>
      </c>
      <c r="H162" s="909" t="s">
        <v>273</v>
      </c>
      <c r="I162" s="909" t="s">
        <v>273</v>
      </c>
      <c r="J162" s="909" t="s">
        <v>273</v>
      </c>
      <c r="K162" s="909" t="s">
        <v>273</v>
      </c>
      <c r="L162" s="909" t="s">
        <v>273</v>
      </c>
      <c r="M162" s="909" t="s">
        <v>273</v>
      </c>
      <c r="N162" s="909" t="s">
        <v>273</v>
      </c>
      <c r="O162" s="909" t="s">
        <v>273</v>
      </c>
      <c r="P162" s="909" t="s">
        <v>273</v>
      </c>
      <c r="Q162" s="909" t="s">
        <v>273</v>
      </c>
      <c r="R162" s="909" t="s">
        <v>273</v>
      </c>
      <c r="S162" s="909" t="s">
        <v>273</v>
      </c>
    </row>
    <row r="163" spans="1:19">
      <c r="A163" s="909" t="s">
        <v>1666</v>
      </c>
      <c r="B163" s="909">
        <v>1118</v>
      </c>
      <c r="C163" s="909">
        <v>2458</v>
      </c>
      <c r="D163" s="909">
        <v>3228</v>
      </c>
      <c r="E163" s="909">
        <v>1663</v>
      </c>
      <c r="F163" s="909">
        <v>1405</v>
      </c>
      <c r="G163" s="909" t="s">
        <v>273</v>
      </c>
      <c r="H163" s="909" t="s">
        <v>273</v>
      </c>
      <c r="I163" s="909" t="s">
        <v>273</v>
      </c>
      <c r="J163" s="909" t="s">
        <v>273</v>
      </c>
      <c r="K163" s="909" t="s">
        <v>273</v>
      </c>
      <c r="L163" s="909" t="s">
        <v>273</v>
      </c>
      <c r="M163" s="909" t="s">
        <v>273</v>
      </c>
      <c r="N163" s="909" t="s">
        <v>273</v>
      </c>
      <c r="O163" s="909" t="s">
        <v>273</v>
      </c>
      <c r="P163" s="909" t="s">
        <v>273</v>
      </c>
      <c r="Q163" s="909" t="s">
        <v>273</v>
      </c>
      <c r="R163" s="909" t="s">
        <v>273</v>
      </c>
      <c r="S163" s="909" t="s">
        <v>273</v>
      </c>
    </row>
    <row r="164" spans="1:19">
      <c r="A164" s="909" t="s">
        <v>1665</v>
      </c>
      <c r="B164" s="909">
        <v>7693</v>
      </c>
      <c r="C164" s="909">
        <v>7881</v>
      </c>
      <c r="D164" s="909">
        <v>7738</v>
      </c>
      <c r="E164" s="909">
        <v>5953</v>
      </c>
      <c r="F164" s="909">
        <v>5772</v>
      </c>
      <c r="G164" s="909" t="s">
        <v>273</v>
      </c>
      <c r="H164" s="909" t="s">
        <v>273</v>
      </c>
      <c r="I164" s="909" t="s">
        <v>273</v>
      </c>
      <c r="J164" s="909" t="s">
        <v>273</v>
      </c>
      <c r="K164" s="909" t="s">
        <v>273</v>
      </c>
      <c r="L164" s="909" t="s">
        <v>273</v>
      </c>
      <c r="M164" s="909" t="s">
        <v>273</v>
      </c>
      <c r="N164" s="909" t="s">
        <v>273</v>
      </c>
      <c r="O164" s="909" t="s">
        <v>273</v>
      </c>
      <c r="P164" s="909" t="s">
        <v>273</v>
      </c>
      <c r="Q164" s="909" t="s">
        <v>273</v>
      </c>
      <c r="R164" s="909" t="s">
        <v>273</v>
      </c>
      <c r="S164" s="909" t="s">
        <v>273</v>
      </c>
    </row>
    <row r="165" spans="1:19">
      <c r="A165" s="909" t="s">
        <v>1664</v>
      </c>
      <c r="B165" s="909">
        <v>5730</v>
      </c>
      <c r="C165" s="909">
        <v>6742</v>
      </c>
      <c r="D165" s="909">
        <v>7373</v>
      </c>
      <c r="E165" s="909">
        <v>6591</v>
      </c>
      <c r="F165" s="909">
        <v>6961</v>
      </c>
      <c r="G165" s="909" t="s">
        <v>273</v>
      </c>
      <c r="H165" s="909" t="s">
        <v>273</v>
      </c>
      <c r="I165" s="909" t="s">
        <v>273</v>
      </c>
      <c r="J165" s="909" t="s">
        <v>273</v>
      </c>
      <c r="K165" s="909" t="s">
        <v>273</v>
      </c>
      <c r="L165" s="909" t="s">
        <v>273</v>
      </c>
      <c r="M165" s="909" t="s">
        <v>273</v>
      </c>
      <c r="N165" s="909" t="s">
        <v>273</v>
      </c>
      <c r="O165" s="909" t="s">
        <v>273</v>
      </c>
      <c r="P165" s="909" t="s">
        <v>273</v>
      </c>
      <c r="Q165" s="909" t="s">
        <v>273</v>
      </c>
      <c r="R165" s="909" t="s">
        <v>273</v>
      </c>
      <c r="S165" s="909" t="s">
        <v>273</v>
      </c>
    </row>
    <row r="166" spans="1:19" s="752" customFormat="1">
      <c r="A166" s="752" t="s">
        <v>1675</v>
      </c>
      <c r="B166" s="752">
        <v>7246</v>
      </c>
      <c r="C166" s="752">
        <v>8283</v>
      </c>
      <c r="D166" s="752">
        <v>5375</v>
      </c>
      <c r="E166" s="752">
        <v>3226</v>
      </c>
      <c r="F166" s="752">
        <v>3746</v>
      </c>
      <c r="G166" s="752">
        <v>3785</v>
      </c>
      <c r="H166" s="752">
        <v>6180</v>
      </c>
      <c r="I166" s="752">
        <v>5908</v>
      </c>
      <c r="J166" s="752">
        <v>6575</v>
      </c>
      <c r="K166" s="752">
        <v>9855</v>
      </c>
      <c r="L166" s="752">
        <v>3043</v>
      </c>
      <c r="M166" s="752">
        <v>5492</v>
      </c>
      <c r="N166" s="752">
        <v>7297</v>
      </c>
      <c r="O166" s="752">
        <v>5992</v>
      </c>
      <c r="P166" s="752">
        <v>5432</v>
      </c>
      <c r="Q166" s="752">
        <v>5811</v>
      </c>
      <c r="R166" s="752">
        <v>5679</v>
      </c>
      <c r="S166" s="752">
        <v>5354</v>
      </c>
    </row>
    <row r="167" spans="1:19">
      <c r="A167" s="909" t="s">
        <v>1674</v>
      </c>
      <c r="B167" s="909">
        <v>24710</v>
      </c>
      <c r="C167" s="909">
        <v>28179</v>
      </c>
      <c r="D167" s="909">
        <v>32977</v>
      </c>
      <c r="E167" s="909">
        <v>38150</v>
      </c>
      <c r="F167" s="909">
        <v>36223</v>
      </c>
      <c r="G167" s="909" t="s">
        <v>273</v>
      </c>
      <c r="H167" s="909" t="s">
        <v>273</v>
      </c>
      <c r="I167" s="909" t="s">
        <v>273</v>
      </c>
      <c r="J167" s="909" t="s">
        <v>273</v>
      </c>
      <c r="K167" s="909" t="s">
        <v>273</v>
      </c>
      <c r="L167" s="909" t="s">
        <v>273</v>
      </c>
      <c r="M167" s="909" t="s">
        <v>273</v>
      </c>
      <c r="N167" s="909" t="s">
        <v>273</v>
      </c>
      <c r="O167" s="909" t="s">
        <v>273</v>
      </c>
      <c r="P167" s="909" t="s">
        <v>273</v>
      </c>
      <c r="Q167" s="909" t="s">
        <v>273</v>
      </c>
      <c r="R167" s="909" t="s">
        <v>273</v>
      </c>
      <c r="S167" s="909" t="s">
        <v>273</v>
      </c>
    </row>
    <row r="168" spans="1:19">
      <c r="A168" s="909" t="s">
        <v>1663</v>
      </c>
      <c r="B168" s="909">
        <v>928</v>
      </c>
      <c r="C168" s="909">
        <v>1080</v>
      </c>
      <c r="D168" s="909">
        <v>889</v>
      </c>
      <c r="E168" s="909">
        <v>1122</v>
      </c>
      <c r="F168" s="909">
        <v>781</v>
      </c>
      <c r="G168" s="909" t="s">
        <v>273</v>
      </c>
      <c r="H168" s="909" t="s">
        <v>273</v>
      </c>
      <c r="I168" s="909" t="s">
        <v>273</v>
      </c>
      <c r="J168" s="909" t="s">
        <v>273</v>
      </c>
      <c r="K168" s="909" t="s">
        <v>273</v>
      </c>
      <c r="L168" s="909" t="s">
        <v>273</v>
      </c>
      <c r="M168" s="909" t="s">
        <v>273</v>
      </c>
      <c r="N168" s="909" t="s">
        <v>273</v>
      </c>
      <c r="O168" s="909" t="s">
        <v>273</v>
      </c>
      <c r="P168" s="909" t="s">
        <v>273</v>
      </c>
      <c r="Q168" s="909" t="s">
        <v>273</v>
      </c>
      <c r="R168" s="909" t="s">
        <v>273</v>
      </c>
      <c r="S168" s="909" t="s">
        <v>273</v>
      </c>
    </row>
    <row r="169" spans="1:19">
      <c r="A169" s="909" t="s">
        <v>1673</v>
      </c>
      <c r="B169" s="909">
        <v>8727</v>
      </c>
      <c r="C169" s="909">
        <v>9554</v>
      </c>
      <c r="D169" s="909">
        <v>12864</v>
      </c>
      <c r="E169" s="909">
        <v>15127</v>
      </c>
      <c r="F169" s="909">
        <v>15241</v>
      </c>
      <c r="G169" s="909" t="s">
        <v>273</v>
      </c>
      <c r="H169" s="909" t="s">
        <v>273</v>
      </c>
      <c r="I169" s="909" t="s">
        <v>273</v>
      </c>
      <c r="J169" s="909" t="s">
        <v>273</v>
      </c>
      <c r="K169" s="909" t="s">
        <v>273</v>
      </c>
      <c r="L169" s="909" t="s">
        <v>273</v>
      </c>
      <c r="M169" s="909" t="s">
        <v>273</v>
      </c>
      <c r="N169" s="909" t="s">
        <v>273</v>
      </c>
      <c r="O169" s="909" t="s">
        <v>273</v>
      </c>
      <c r="P169" s="909" t="s">
        <v>273</v>
      </c>
      <c r="Q169" s="909" t="s">
        <v>273</v>
      </c>
      <c r="R169" s="909" t="s">
        <v>273</v>
      </c>
      <c r="S169" s="909" t="s">
        <v>273</v>
      </c>
    </row>
    <row r="170" spans="1:19">
      <c r="A170" s="909" t="s">
        <v>1662</v>
      </c>
      <c r="B170" s="909">
        <v>1557</v>
      </c>
      <c r="C170" s="909">
        <v>2573</v>
      </c>
      <c r="D170" s="909">
        <v>3711</v>
      </c>
      <c r="E170" s="909">
        <v>4860</v>
      </c>
      <c r="F170" s="909">
        <v>5247</v>
      </c>
      <c r="G170" s="909" t="s">
        <v>273</v>
      </c>
      <c r="H170" s="909" t="s">
        <v>273</v>
      </c>
      <c r="I170" s="909" t="s">
        <v>273</v>
      </c>
      <c r="J170" s="909" t="s">
        <v>273</v>
      </c>
      <c r="K170" s="909" t="s">
        <v>273</v>
      </c>
      <c r="L170" s="909" t="s">
        <v>273</v>
      </c>
      <c r="M170" s="909" t="s">
        <v>273</v>
      </c>
      <c r="N170" s="909" t="s">
        <v>273</v>
      </c>
      <c r="O170" s="909" t="s">
        <v>273</v>
      </c>
      <c r="P170" s="909" t="s">
        <v>273</v>
      </c>
      <c r="Q170" s="909" t="s">
        <v>273</v>
      </c>
      <c r="R170" s="909" t="s">
        <v>273</v>
      </c>
      <c r="S170" s="909" t="s">
        <v>273</v>
      </c>
    </row>
    <row r="171" spans="1:19">
      <c r="A171" s="909" t="s">
        <v>1661</v>
      </c>
      <c r="B171" s="909">
        <v>3562</v>
      </c>
      <c r="C171" s="909">
        <v>5444</v>
      </c>
      <c r="D171" s="909">
        <v>4937</v>
      </c>
      <c r="E171" s="909">
        <v>5359</v>
      </c>
      <c r="F171" s="909">
        <v>3745</v>
      </c>
      <c r="G171" s="909" t="s">
        <v>273</v>
      </c>
      <c r="H171" s="909" t="s">
        <v>273</v>
      </c>
      <c r="I171" s="909" t="s">
        <v>273</v>
      </c>
      <c r="J171" s="909" t="s">
        <v>273</v>
      </c>
      <c r="K171" s="909" t="s">
        <v>273</v>
      </c>
      <c r="L171" s="909" t="s">
        <v>273</v>
      </c>
      <c r="M171" s="909" t="s">
        <v>273</v>
      </c>
      <c r="N171" s="909" t="s">
        <v>273</v>
      </c>
      <c r="O171" s="909" t="s">
        <v>273</v>
      </c>
      <c r="P171" s="909" t="s">
        <v>273</v>
      </c>
      <c r="Q171" s="909" t="s">
        <v>273</v>
      </c>
      <c r="R171" s="909" t="s">
        <v>273</v>
      </c>
      <c r="S171" s="909" t="s">
        <v>273</v>
      </c>
    </row>
    <row r="172" spans="1:19">
      <c r="A172" s="909" t="s">
        <v>1660</v>
      </c>
      <c r="B172" s="909">
        <v>2666</v>
      </c>
      <c r="C172" s="909">
        <v>2703</v>
      </c>
      <c r="D172" s="909">
        <v>2897</v>
      </c>
      <c r="E172" s="909">
        <v>2696</v>
      </c>
      <c r="F172" s="909">
        <v>2927</v>
      </c>
      <c r="G172" s="909" t="s">
        <v>273</v>
      </c>
      <c r="H172" s="909" t="s">
        <v>273</v>
      </c>
      <c r="I172" s="909" t="s">
        <v>273</v>
      </c>
      <c r="J172" s="909" t="s">
        <v>273</v>
      </c>
      <c r="K172" s="909" t="s">
        <v>273</v>
      </c>
      <c r="L172" s="909" t="s">
        <v>273</v>
      </c>
      <c r="M172" s="909" t="s">
        <v>273</v>
      </c>
      <c r="N172" s="909" t="s">
        <v>273</v>
      </c>
      <c r="O172" s="909" t="s">
        <v>273</v>
      </c>
      <c r="P172" s="909" t="s">
        <v>273</v>
      </c>
      <c r="Q172" s="909" t="s">
        <v>273</v>
      </c>
      <c r="R172" s="909" t="s">
        <v>273</v>
      </c>
      <c r="S172" s="909" t="s">
        <v>273</v>
      </c>
    </row>
    <row r="173" spans="1:19">
      <c r="A173" s="909" t="s">
        <v>1659</v>
      </c>
      <c r="B173" s="909">
        <v>3278</v>
      </c>
      <c r="C173" s="909">
        <v>3416</v>
      </c>
      <c r="D173" s="909">
        <v>3915</v>
      </c>
      <c r="E173" s="909">
        <v>4224</v>
      </c>
      <c r="F173" s="909">
        <v>3043</v>
      </c>
      <c r="G173" s="909" t="s">
        <v>273</v>
      </c>
      <c r="H173" s="909" t="s">
        <v>273</v>
      </c>
      <c r="I173" s="909" t="s">
        <v>273</v>
      </c>
      <c r="J173" s="909" t="s">
        <v>273</v>
      </c>
      <c r="K173" s="909" t="s">
        <v>273</v>
      </c>
      <c r="L173" s="909" t="s">
        <v>273</v>
      </c>
      <c r="M173" s="909" t="s">
        <v>273</v>
      </c>
      <c r="N173" s="909" t="s">
        <v>273</v>
      </c>
      <c r="O173" s="909" t="s">
        <v>273</v>
      </c>
      <c r="P173" s="909" t="s">
        <v>273</v>
      </c>
      <c r="Q173" s="909" t="s">
        <v>273</v>
      </c>
      <c r="R173" s="909" t="s">
        <v>273</v>
      </c>
      <c r="S173" s="909" t="s">
        <v>273</v>
      </c>
    </row>
    <row r="174" spans="1:19">
      <c r="A174" s="909" t="s">
        <v>1658</v>
      </c>
      <c r="B174" s="909">
        <v>163</v>
      </c>
      <c r="C174" s="909">
        <v>84</v>
      </c>
      <c r="D174" s="909">
        <v>110</v>
      </c>
      <c r="E174" s="909">
        <v>62</v>
      </c>
      <c r="F174" s="909">
        <v>131</v>
      </c>
      <c r="G174" s="909" t="s">
        <v>273</v>
      </c>
      <c r="H174" s="909" t="s">
        <v>273</v>
      </c>
      <c r="I174" s="909" t="s">
        <v>273</v>
      </c>
      <c r="J174" s="909" t="s">
        <v>273</v>
      </c>
      <c r="K174" s="909" t="s">
        <v>273</v>
      </c>
      <c r="L174" s="909" t="s">
        <v>273</v>
      </c>
      <c r="M174" s="909" t="s">
        <v>273</v>
      </c>
      <c r="N174" s="909" t="s">
        <v>273</v>
      </c>
      <c r="O174" s="909" t="s">
        <v>273</v>
      </c>
      <c r="P174" s="909" t="s">
        <v>273</v>
      </c>
      <c r="Q174" s="909" t="s">
        <v>273</v>
      </c>
      <c r="R174" s="909" t="s">
        <v>273</v>
      </c>
      <c r="S174" s="909" t="s">
        <v>273</v>
      </c>
    </row>
    <row r="175" spans="1:19">
      <c r="A175" s="909" t="s">
        <v>1657</v>
      </c>
      <c r="B175" s="909">
        <v>3829</v>
      </c>
      <c r="C175" s="909">
        <v>3327</v>
      </c>
      <c r="D175" s="909">
        <v>3655</v>
      </c>
      <c r="E175" s="909">
        <v>4700</v>
      </c>
      <c r="F175" s="909">
        <v>5107</v>
      </c>
      <c r="G175" s="909" t="s">
        <v>273</v>
      </c>
      <c r="H175" s="909" t="s">
        <v>273</v>
      </c>
      <c r="I175" s="909" t="s">
        <v>273</v>
      </c>
      <c r="J175" s="909" t="s">
        <v>273</v>
      </c>
      <c r="K175" s="909" t="s">
        <v>273</v>
      </c>
      <c r="L175" s="909" t="s">
        <v>273</v>
      </c>
      <c r="M175" s="909" t="s">
        <v>273</v>
      </c>
      <c r="N175" s="909" t="s">
        <v>273</v>
      </c>
      <c r="O175" s="909" t="s">
        <v>273</v>
      </c>
      <c r="P175" s="909" t="s">
        <v>273</v>
      </c>
      <c r="Q175" s="909" t="s">
        <v>273</v>
      </c>
      <c r="R175" s="909" t="s">
        <v>273</v>
      </c>
      <c r="S175" s="909" t="s">
        <v>273</v>
      </c>
    </row>
    <row r="176" spans="1:19">
      <c r="A176" s="909" t="s">
        <v>1672</v>
      </c>
      <c r="B176" s="909" t="s">
        <v>273</v>
      </c>
      <c r="C176" s="909" t="s">
        <v>273</v>
      </c>
      <c r="D176" s="909" t="s">
        <v>273</v>
      </c>
      <c r="E176" s="909" t="s">
        <v>273</v>
      </c>
      <c r="F176" s="909" t="s">
        <v>273</v>
      </c>
      <c r="G176" s="909">
        <v>12515</v>
      </c>
      <c r="H176" s="909">
        <v>14929</v>
      </c>
      <c r="I176" s="909">
        <v>17171</v>
      </c>
      <c r="J176" s="909">
        <v>14217</v>
      </c>
      <c r="K176" s="909">
        <v>18240</v>
      </c>
      <c r="L176" s="909">
        <v>15443</v>
      </c>
      <c r="M176" s="909">
        <v>13236</v>
      </c>
      <c r="N176" s="909">
        <v>17820</v>
      </c>
      <c r="O176" s="909">
        <v>20422</v>
      </c>
      <c r="P176" s="909">
        <v>30691</v>
      </c>
      <c r="Q176" s="909">
        <v>30862</v>
      </c>
      <c r="R176" s="909">
        <v>27710</v>
      </c>
      <c r="S176" s="909">
        <v>37722</v>
      </c>
    </row>
    <row r="177" spans="1:19">
      <c r="A177" s="909" t="s">
        <v>236</v>
      </c>
      <c r="B177" s="909" t="s">
        <v>273</v>
      </c>
      <c r="C177" s="909" t="s">
        <v>273</v>
      </c>
      <c r="D177" s="909" t="s">
        <v>273</v>
      </c>
      <c r="E177" s="909" t="s">
        <v>273</v>
      </c>
      <c r="F177" s="909" t="s">
        <v>273</v>
      </c>
      <c r="G177" s="909">
        <v>63448</v>
      </c>
      <c r="H177" s="909">
        <v>63367</v>
      </c>
      <c r="I177" s="909">
        <v>75859</v>
      </c>
      <c r="J177" s="909">
        <v>96218</v>
      </c>
      <c r="K177" s="909">
        <v>102492</v>
      </c>
      <c r="L177" s="909">
        <v>105110</v>
      </c>
      <c r="M177" s="909">
        <v>111437</v>
      </c>
      <c r="N177" s="909">
        <v>120845</v>
      </c>
      <c r="O177" s="909">
        <v>137745</v>
      </c>
      <c r="P177" s="909">
        <v>145717</v>
      </c>
      <c r="Q177" s="909">
        <v>143081</v>
      </c>
      <c r="R177" s="909">
        <v>143525</v>
      </c>
      <c r="S177" s="909">
        <v>147586</v>
      </c>
    </row>
    <row r="178" spans="1:19">
      <c r="A178" s="909" t="s">
        <v>1671</v>
      </c>
      <c r="B178" s="909" t="s">
        <v>273</v>
      </c>
      <c r="C178" s="909" t="s">
        <v>273</v>
      </c>
      <c r="D178" s="909" t="s">
        <v>273</v>
      </c>
      <c r="E178" s="909" t="s">
        <v>273</v>
      </c>
      <c r="F178" s="909" t="s">
        <v>273</v>
      </c>
      <c r="G178" s="909">
        <v>3676</v>
      </c>
      <c r="H178" s="909">
        <v>3322</v>
      </c>
      <c r="I178" s="909">
        <v>4556</v>
      </c>
      <c r="J178" s="909">
        <v>7206</v>
      </c>
      <c r="K178" s="909">
        <v>5175</v>
      </c>
      <c r="L178" s="909">
        <v>7964</v>
      </c>
      <c r="M178" s="909">
        <v>8832</v>
      </c>
      <c r="N178" s="909">
        <v>8122</v>
      </c>
      <c r="O178" s="909">
        <v>10925</v>
      </c>
      <c r="P178" s="909">
        <v>14145</v>
      </c>
      <c r="Q178" s="909">
        <v>14445</v>
      </c>
      <c r="R178" s="909">
        <v>11852</v>
      </c>
      <c r="S178" s="909">
        <v>11022</v>
      </c>
    </row>
    <row r="179" spans="1:19">
      <c r="A179" s="909" t="s">
        <v>1670</v>
      </c>
      <c r="B179" s="909" t="s">
        <v>273</v>
      </c>
      <c r="C179" s="909" t="s">
        <v>273</v>
      </c>
      <c r="D179" s="909" t="s">
        <v>273</v>
      </c>
      <c r="E179" s="909" t="s">
        <v>273</v>
      </c>
      <c r="F179" s="909" t="s">
        <v>273</v>
      </c>
      <c r="G179" s="909">
        <v>174</v>
      </c>
      <c r="H179" s="909">
        <v>188</v>
      </c>
      <c r="I179" s="909">
        <v>260</v>
      </c>
      <c r="J179" s="909">
        <v>392</v>
      </c>
      <c r="K179" s="909">
        <v>454</v>
      </c>
      <c r="L179" s="909">
        <v>450</v>
      </c>
      <c r="M179" s="909">
        <v>513</v>
      </c>
      <c r="N179" s="909">
        <v>580</v>
      </c>
      <c r="O179" s="909">
        <v>376</v>
      </c>
      <c r="P179" s="909">
        <v>331</v>
      </c>
      <c r="Q179" s="909">
        <v>271</v>
      </c>
      <c r="R179" s="909">
        <v>252</v>
      </c>
      <c r="S179" s="909">
        <v>265</v>
      </c>
    </row>
    <row r="180" spans="1:19">
      <c r="A180" s="909" t="s">
        <v>1669</v>
      </c>
      <c r="B180" s="909" t="s">
        <v>273</v>
      </c>
      <c r="C180" s="909" t="s">
        <v>273</v>
      </c>
      <c r="D180" s="909" t="s">
        <v>273</v>
      </c>
      <c r="E180" s="909" t="s">
        <v>273</v>
      </c>
      <c r="F180" s="909" t="s">
        <v>273</v>
      </c>
      <c r="G180" s="909">
        <v>105</v>
      </c>
      <c r="H180" s="909">
        <v>107</v>
      </c>
      <c r="I180" s="909">
        <v>181</v>
      </c>
      <c r="J180" s="909">
        <v>153</v>
      </c>
      <c r="K180" s="909">
        <v>177</v>
      </c>
      <c r="L180" s="909">
        <v>136</v>
      </c>
      <c r="M180" s="909">
        <v>169</v>
      </c>
      <c r="N180" s="909">
        <v>332</v>
      </c>
      <c r="O180" s="909">
        <v>347</v>
      </c>
      <c r="P180" s="909">
        <v>403</v>
      </c>
      <c r="Q180" s="909">
        <v>141</v>
      </c>
      <c r="R180" s="909">
        <v>137</v>
      </c>
      <c r="S180" s="909">
        <v>139</v>
      </c>
    </row>
    <row r="181" spans="1:19">
      <c r="A181" s="909" t="s">
        <v>1668</v>
      </c>
      <c r="B181" s="909" t="s">
        <v>273</v>
      </c>
      <c r="C181" s="909" t="s">
        <v>273</v>
      </c>
      <c r="D181" s="909" t="s">
        <v>273</v>
      </c>
      <c r="E181" s="909" t="s">
        <v>273</v>
      </c>
      <c r="F181" s="909" t="s">
        <v>273</v>
      </c>
      <c r="G181" s="909">
        <v>1072</v>
      </c>
      <c r="H181" s="909">
        <v>1764</v>
      </c>
      <c r="I181" s="909">
        <v>2667</v>
      </c>
      <c r="J181" s="909">
        <v>2533</v>
      </c>
      <c r="K181" s="909">
        <v>3378</v>
      </c>
      <c r="L181" s="909">
        <v>4260</v>
      </c>
      <c r="M181" s="909">
        <v>4026</v>
      </c>
      <c r="N181" s="909">
        <v>3461</v>
      </c>
      <c r="O181" s="909">
        <v>3216</v>
      </c>
      <c r="P181" s="909">
        <v>3115</v>
      </c>
      <c r="Q181" s="909">
        <v>2782</v>
      </c>
      <c r="R181" s="909">
        <v>2481</v>
      </c>
      <c r="S181" s="909">
        <v>2356</v>
      </c>
    </row>
    <row r="182" spans="1:19">
      <c r="A182" s="909" t="s">
        <v>1667</v>
      </c>
      <c r="B182" s="909" t="s">
        <v>273</v>
      </c>
      <c r="C182" s="909" t="s">
        <v>273</v>
      </c>
      <c r="D182" s="909" t="s">
        <v>273</v>
      </c>
      <c r="E182" s="909" t="s">
        <v>273</v>
      </c>
      <c r="F182" s="909" t="s">
        <v>273</v>
      </c>
      <c r="G182" s="909">
        <v>14992</v>
      </c>
      <c r="H182" s="909">
        <v>15970</v>
      </c>
      <c r="I182" s="909">
        <v>19600</v>
      </c>
      <c r="J182" s="909">
        <v>26871</v>
      </c>
      <c r="K182" s="909">
        <v>29402</v>
      </c>
      <c r="L182" s="909">
        <v>26192</v>
      </c>
      <c r="M182" s="909">
        <v>30341</v>
      </c>
      <c r="N182" s="909">
        <v>36064</v>
      </c>
      <c r="O182" s="909">
        <v>47336</v>
      </c>
      <c r="P182" s="909">
        <v>53600</v>
      </c>
      <c r="Q182" s="909">
        <v>60854</v>
      </c>
      <c r="R182" s="909">
        <v>63173</v>
      </c>
      <c r="S182" s="909">
        <v>66109</v>
      </c>
    </row>
    <row r="183" spans="1:19">
      <c r="A183" s="909" t="s">
        <v>1666</v>
      </c>
      <c r="B183" s="909" t="s">
        <v>273</v>
      </c>
      <c r="C183" s="909" t="s">
        <v>273</v>
      </c>
      <c r="D183" s="909" t="s">
        <v>273</v>
      </c>
      <c r="E183" s="909" t="s">
        <v>273</v>
      </c>
      <c r="F183" s="909" t="s">
        <v>273</v>
      </c>
      <c r="G183" s="909">
        <v>1755</v>
      </c>
      <c r="H183" s="909">
        <v>1769</v>
      </c>
      <c r="I183" s="909">
        <v>2718</v>
      </c>
      <c r="J183" s="909">
        <v>4738</v>
      </c>
      <c r="K183" s="909">
        <v>2128</v>
      </c>
      <c r="L183" s="909">
        <v>1381</v>
      </c>
      <c r="M183" s="909">
        <v>1873</v>
      </c>
      <c r="N183" s="909">
        <v>2001</v>
      </c>
      <c r="O183" s="909">
        <v>2165</v>
      </c>
      <c r="P183" s="909">
        <v>1604</v>
      </c>
      <c r="Q183" s="909">
        <v>1454</v>
      </c>
      <c r="R183" s="909">
        <v>1471</v>
      </c>
      <c r="S183" s="909">
        <v>1249</v>
      </c>
    </row>
    <row r="184" spans="1:19">
      <c r="A184" s="909" t="s">
        <v>1665</v>
      </c>
      <c r="B184" s="909" t="s">
        <v>273</v>
      </c>
      <c r="C184" s="909" t="s">
        <v>273</v>
      </c>
      <c r="D184" s="909" t="s">
        <v>273</v>
      </c>
      <c r="E184" s="909" t="s">
        <v>273</v>
      </c>
      <c r="F184" s="909" t="s">
        <v>273</v>
      </c>
      <c r="G184" s="909">
        <v>6218</v>
      </c>
      <c r="H184" s="909">
        <v>5981</v>
      </c>
      <c r="I184" s="909">
        <v>7067</v>
      </c>
      <c r="J184" s="909">
        <v>9779</v>
      </c>
      <c r="K184" s="909">
        <v>9723</v>
      </c>
      <c r="L184" s="909">
        <v>12347</v>
      </c>
      <c r="M184" s="909">
        <v>14218</v>
      </c>
      <c r="N184" s="909">
        <v>16830</v>
      </c>
      <c r="O184" s="909">
        <v>15528</v>
      </c>
      <c r="P184" s="909">
        <v>15772</v>
      </c>
      <c r="Q184" s="909">
        <v>15190</v>
      </c>
      <c r="R184" s="909">
        <v>17595</v>
      </c>
      <c r="S184" s="909">
        <v>20267</v>
      </c>
    </row>
    <row r="185" spans="1:19">
      <c r="A185" s="909" t="s">
        <v>1664</v>
      </c>
      <c r="B185" s="909" t="s">
        <v>273</v>
      </c>
      <c r="C185" s="909" t="s">
        <v>273</v>
      </c>
      <c r="D185" s="909" t="s">
        <v>273</v>
      </c>
      <c r="E185" s="909" t="s">
        <v>273</v>
      </c>
      <c r="F185" s="909" t="s">
        <v>273</v>
      </c>
      <c r="G185" s="909">
        <v>6075</v>
      </c>
      <c r="H185" s="909">
        <v>6665</v>
      </c>
      <c r="I185" s="909">
        <v>4735</v>
      </c>
      <c r="J185" s="909">
        <v>4864</v>
      </c>
      <c r="K185" s="909">
        <v>6142</v>
      </c>
      <c r="L185" s="909">
        <v>5967</v>
      </c>
      <c r="M185" s="909">
        <v>6522</v>
      </c>
      <c r="N185" s="909">
        <v>7010</v>
      </c>
      <c r="O185" s="909">
        <v>7177</v>
      </c>
      <c r="P185" s="909">
        <v>6955</v>
      </c>
      <c r="Q185" s="909">
        <v>6766</v>
      </c>
      <c r="R185" s="909">
        <v>7149</v>
      </c>
      <c r="S185" s="909">
        <v>8056</v>
      </c>
    </row>
    <row r="186" spans="1:19">
      <c r="A186" s="909" t="s">
        <v>1663</v>
      </c>
      <c r="B186" s="909" t="s">
        <v>273</v>
      </c>
      <c r="C186" s="909" t="s">
        <v>273</v>
      </c>
      <c r="D186" s="909" t="s">
        <v>273</v>
      </c>
      <c r="E186" s="909" t="s">
        <v>273</v>
      </c>
      <c r="F186" s="909" t="s">
        <v>273</v>
      </c>
      <c r="G186" s="909">
        <v>660</v>
      </c>
      <c r="H186" s="909">
        <v>650</v>
      </c>
      <c r="I186" s="909">
        <v>549</v>
      </c>
      <c r="J186" s="909">
        <v>613</v>
      </c>
      <c r="K186" s="909">
        <v>640</v>
      </c>
      <c r="L186" s="909">
        <v>891</v>
      </c>
      <c r="M186" s="909">
        <v>835</v>
      </c>
      <c r="N186" s="909">
        <v>938</v>
      </c>
      <c r="O186" s="909">
        <v>1042</v>
      </c>
      <c r="P186" s="909">
        <v>1091</v>
      </c>
      <c r="Q186" s="909">
        <v>1278</v>
      </c>
      <c r="R186" s="909">
        <v>1009</v>
      </c>
      <c r="S186" s="909">
        <v>1079</v>
      </c>
    </row>
    <row r="187" spans="1:19">
      <c r="A187" s="909" t="s">
        <v>1662</v>
      </c>
      <c r="B187" s="909" t="s">
        <v>273</v>
      </c>
      <c r="C187" s="909" t="s">
        <v>273</v>
      </c>
      <c r="D187" s="909" t="s">
        <v>273</v>
      </c>
      <c r="E187" s="909" t="s">
        <v>273</v>
      </c>
      <c r="F187" s="909" t="s">
        <v>273</v>
      </c>
      <c r="G187" s="909">
        <v>6491</v>
      </c>
      <c r="H187" s="909">
        <v>6376</v>
      </c>
      <c r="I187" s="909">
        <v>8734</v>
      </c>
      <c r="J187" s="909">
        <v>9628</v>
      </c>
      <c r="K187" s="909">
        <v>10715</v>
      </c>
      <c r="L187" s="909">
        <v>5471</v>
      </c>
      <c r="M187" s="909">
        <v>5005</v>
      </c>
      <c r="N187" s="909">
        <v>4625</v>
      </c>
      <c r="O187" s="909">
        <v>4637</v>
      </c>
      <c r="P187" s="909">
        <v>5245</v>
      </c>
      <c r="Q187" s="909">
        <v>5389</v>
      </c>
      <c r="R187" s="909">
        <v>5270</v>
      </c>
      <c r="S187" s="909">
        <v>4936</v>
      </c>
    </row>
    <row r="188" spans="1:19">
      <c r="A188" s="909" t="s">
        <v>1661</v>
      </c>
      <c r="B188" s="909" t="s">
        <v>273</v>
      </c>
      <c r="C188" s="909" t="s">
        <v>273</v>
      </c>
      <c r="D188" s="909" t="s">
        <v>273</v>
      </c>
      <c r="E188" s="909" t="s">
        <v>273</v>
      </c>
      <c r="F188" s="909" t="s">
        <v>273</v>
      </c>
      <c r="G188" s="909">
        <v>3202</v>
      </c>
      <c r="H188" s="909">
        <v>2855</v>
      </c>
      <c r="I188" s="909">
        <v>3733</v>
      </c>
      <c r="J188" s="909">
        <v>4359</v>
      </c>
      <c r="K188" s="909">
        <v>8813</v>
      </c>
      <c r="L188" s="909">
        <v>8821</v>
      </c>
      <c r="M188" s="909">
        <v>8305</v>
      </c>
      <c r="N188" s="909">
        <v>9090</v>
      </c>
      <c r="O188" s="909">
        <v>9202</v>
      </c>
      <c r="P188" s="909">
        <v>9552</v>
      </c>
      <c r="Q188" s="909">
        <v>9200</v>
      </c>
      <c r="R188" s="909">
        <v>8812</v>
      </c>
      <c r="S188" s="909">
        <v>9911</v>
      </c>
    </row>
    <row r="189" spans="1:19">
      <c r="A189" s="909" t="s">
        <v>1660</v>
      </c>
      <c r="B189" s="909" t="s">
        <v>273</v>
      </c>
      <c r="C189" s="909" t="s">
        <v>273</v>
      </c>
      <c r="D189" s="909" t="s">
        <v>273</v>
      </c>
      <c r="E189" s="909" t="s">
        <v>273</v>
      </c>
      <c r="F189" s="909" t="s">
        <v>273</v>
      </c>
      <c r="G189" s="909">
        <v>3848</v>
      </c>
      <c r="H189" s="909">
        <v>3590</v>
      </c>
      <c r="I189" s="909">
        <v>3259</v>
      </c>
      <c r="J189" s="909">
        <v>3771</v>
      </c>
      <c r="K189" s="909">
        <v>5040</v>
      </c>
      <c r="L189" s="909">
        <v>5395</v>
      </c>
      <c r="M189" s="909">
        <v>3487</v>
      </c>
      <c r="N189" s="909">
        <v>3706</v>
      </c>
      <c r="O189" s="909">
        <v>6139</v>
      </c>
      <c r="P189" s="909">
        <v>4468</v>
      </c>
      <c r="Q189" s="909">
        <v>3330</v>
      </c>
      <c r="R189" s="909">
        <v>3048</v>
      </c>
      <c r="S189" s="909">
        <v>3337</v>
      </c>
    </row>
    <row r="190" spans="1:19">
      <c r="A190" s="909" t="s">
        <v>1659</v>
      </c>
      <c r="B190" s="909" t="s">
        <v>273</v>
      </c>
      <c r="C190" s="909" t="s">
        <v>273</v>
      </c>
      <c r="D190" s="909" t="s">
        <v>273</v>
      </c>
      <c r="E190" s="909" t="s">
        <v>273</v>
      </c>
      <c r="F190" s="909" t="s">
        <v>273</v>
      </c>
      <c r="G190" s="909">
        <v>5922</v>
      </c>
      <c r="H190" s="909">
        <v>5562</v>
      </c>
      <c r="I190" s="909">
        <v>5754</v>
      </c>
      <c r="J190" s="909">
        <v>5995</v>
      </c>
      <c r="K190" s="909">
        <v>6524</v>
      </c>
      <c r="L190" s="909">
        <v>7662</v>
      </c>
      <c r="M190" s="909">
        <v>9406</v>
      </c>
      <c r="N190" s="909">
        <v>11552</v>
      </c>
      <c r="O190" s="909">
        <v>11543</v>
      </c>
      <c r="P190" s="909">
        <v>11671</v>
      </c>
      <c r="Q190" s="909">
        <v>11238</v>
      </c>
      <c r="R190" s="909">
        <v>11023</v>
      </c>
      <c r="S190" s="909">
        <v>10807</v>
      </c>
    </row>
    <row r="191" spans="1:19">
      <c r="A191" s="909" t="s">
        <v>1658</v>
      </c>
      <c r="B191" s="909" t="s">
        <v>273</v>
      </c>
      <c r="C191" s="909" t="s">
        <v>273</v>
      </c>
      <c r="D191" s="909" t="s">
        <v>273</v>
      </c>
      <c r="E191" s="909" t="s">
        <v>273</v>
      </c>
      <c r="F191" s="909" t="s">
        <v>273</v>
      </c>
      <c r="G191" s="909">
        <v>634</v>
      </c>
      <c r="H191" s="909">
        <v>629</v>
      </c>
      <c r="I191" s="909">
        <v>592</v>
      </c>
      <c r="J191" s="909">
        <v>1860</v>
      </c>
      <c r="K191" s="909">
        <v>2624</v>
      </c>
      <c r="L191" s="909">
        <v>2752</v>
      </c>
      <c r="M191" s="909">
        <v>2755</v>
      </c>
      <c r="N191" s="909">
        <v>2423</v>
      </c>
      <c r="O191" s="909">
        <v>2858</v>
      </c>
      <c r="P191" s="909">
        <v>2652</v>
      </c>
      <c r="Q191" s="909">
        <v>2242</v>
      </c>
      <c r="R191" s="909">
        <v>2343</v>
      </c>
      <c r="S191" s="909">
        <v>2355</v>
      </c>
    </row>
    <row r="192" spans="1:19">
      <c r="A192" s="909" t="s">
        <v>1657</v>
      </c>
      <c r="B192" s="909" t="s">
        <v>273</v>
      </c>
      <c r="C192" s="909" t="s">
        <v>273</v>
      </c>
      <c r="D192" s="909" t="s">
        <v>273</v>
      </c>
      <c r="E192" s="909" t="s">
        <v>273</v>
      </c>
      <c r="F192" s="909" t="s">
        <v>273</v>
      </c>
      <c r="G192" s="909">
        <v>6421</v>
      </c>
      <c r="H192" s="909">
        <v>6170</v>
      </c>
      <c r="I192" s="909">
        <v>10649</v>
      </c>
      <c r="J192" s="909">
        <v>12237</v>
      </c>
      <c r="K192" s="909">
        <v>10648</v>
      </c>
      <c r="L192" s="909">
        <v>14541</v>
      </c>
      <c r="M192" s="909">
        <v>13810</v>
      </c>
      <c r="N192" s="909">
        <v>13036</v>
      </c>
      <c r="O192" s="909">
        <v>13990</v>
      </c>
      <c r="P192" s="909">
        <v>13960</v>
      </c>
      <c r="Q192" s="909">
        <v>7022</v>
      </c>
      <c r="R192" s="909">
        <v>6584</v>
      </c>
      <c r="S192" s="909">
        <v>4497</v>
      </c>
    </row>
    <row r="193" spans="1:19">
      <c r="A193" s="909" t="s">
        <v>1656</v>
      </c>
      <c r="B193" s="909" t="s">
        <v>273</v>
      </c>
      <c r="C193" s="909" t="s">
        <v>273</v>
      </c>
      <c r="D193" s="909" t="s">
        <v>273</v>
      </c>
      <c r="E193" s="909" t="s">
        <v>273</v>
      </c>
      <c r="F193" s="909" t="s">
        <v>273</v>
      </c>
      <c r="G193" s="909">
        <v>2202</v>
      </c>
      <c r="H193" s="909">
        <v>1769</v>
      </c>
      <c r="I193" s="909">
        <v>805</v>
      </c>
      <c r="J193" s="909">
        <v>1222</v>
      </c>
      <c r="K193" s="909">
        <v>910</v>
      </c>
      <c r="L193" s="909">
        <v>879</v>
      </c>
      <c r="M193" s="909">
        <v>1342</v>
      </c>
      <c r="N193" s="909">
        <v>1076</v>
      </c>
      <c r="O193" s="909">
        <v>1264</v>
      </c>
      <c r="P193" s="909">
        <v>1154</v>
      </c>
      <c r="Q193" s="909">
        <v>1480</v>
      </c>
      <c r="R193" s="909">
        <v>1326</v>
      </c>
      <c r="S193" s="909">
        <v>1202</v>
      </c>
    </row>
    <row r="194" spans="1:19">
      <c r="A194" s="909" t="s">
        <v>1655</v>
      </c>
      <c r="B194" s="909">
        <v>50062</v>
      </c>
      <c r="C194" s="909">
        <v>52345</v>
      </c>
      <c r="D194" s="909">
        <v>42996</v>
      </c>
      <c r="E194" s="909">
        <v>41723</v>
      </c>
      <c r="F194" s="909">
        <v>46728</v>
      </c>
      <c r="G194" s="909">
        <v>56698</v>
      </c>
      <c r="H194" s="909">
        <v>102848</v>
      </c>
      <c r="I194" s="909">
        <v>100445</v>
      </c>
      <c r="J194" s="909">
        <v>116923</v>
      </c>
      <c r="K194" s="909">
        <v>130985</v>
      </c>
      <c r="L194" s="909">
        <v>135088</v>
      </c>
      <c r="M194" s="909">
        <v>126063</v>
      </c>
      <c r="N194" s="909">
        <v>133658</v>
      </c>
      <c r="O194" s="909">
        <v>141793</v>
      </c>
      <c r="P194" s="909">
        <v>147853</v>
      </c>
      <c r="Q194" s="909">
        <v>165472</v>
      </c>
      <c r="R194" s="909">
        <v>181688</v>
      </c>
      <c r="S194" s="909">
        <v>195187</v>
      </c>
    </row>
    <row r="195" spans="1:19">
      <c r="A195" s="909" t="s">
        <v>1654</v>
      </c>
      <c r="B195" s="909">
        <v>10619</v>
      </c>
      <c r="C195" s="909">
        <v>13979</v>
      </c>
      <c r="D195" s="909">
        <v>17540</v>
      </c>
      <c r="E195" s="909">
        <v>19627</v>
      </c>
      <c r="F195" s="909">
        <v>23982</v>
      </c>
      <c r="G195" s="909">
        <v>21003</v>
      </c>
      <c r="H195" s="909">
        <v>68594</v>
      </c>
      <c r="I195" s="909">
        <v>55546</v>
      </c>
      <c r="J195" s="909">
        <v>62121</v>
      </c>
      <c r="K195" s="909">
        <v>77867</v>
      </c>
      <c r="L195" s="909">
        <v>60029</v>
      </c>
      <c r="M195" s="909">
        <v>56526</v>
      </c>
      <c r="N195" s="909">
        <v>63399</v>
      </c>
      <c r="O195" s="909">
        <v>68694</v>
      </c>
      <c r="P195" s="909">
        <v>74601</v>
      </c>
      <c r="Q195" s="909">
        <v>83678</v>
      </c>
      <c r="R195" s="909">
        <v>90597</v>
      </c>
      <c r="S195" s="909">
        <v>100354</v>
      </c>
    </row>
    <row r="196" spans="1:19">
      <c r="A196" s="909" t="s">
        <v>1653</v>
      </c>
      <c r="B196" s="909">
        <v>3205</v>
      </c>
      <c r="C196" s="909">
        <v>3559</v>
      </c>
      <c r="D196" s="909">
        <v>4707</v>
      </c>
      <c r="E196" s="909">
        <v>4744</v>
      </c>
      <c r="F196" s="909">
        <v>5257</v>
      </c>
      <c r="G196" s="909">
        <v>6131</v>
      </c>
      <c r="H196" s="909">
        <v>51073</v>
      </c>
      <c r="I196" s="909">
        <v>37234</v>
      </c>
      <c r="J196" s="909">
        <v>41656</v>
      </c>
      <c r="K196" s="909">
        <v>37224</v>
      </c>
      <c r="L196" s="909">
        <v>30703</v>
      </c>
      <c r="M196" s="909">
        <v>19562</v>
      </c>
      <c r="N196" s="909">
        <v>20644</v>
      </c>
      <c r="O196" s="909">
        <v>18274</v>
      </c>
      <c r="P196" s="909">
        <v>12539</v>
      </c>
      <c r="Q196" s="909">
        <v>11584</v>
      </c>
      <c r="R196" s="909">
        <v>11388</v>
      </c>
      <c r="S196" s="909">
        <v>10786</v>
      </c>
    </row>
    <row r="197" spans="1:19">
      <c r="A197" s="909" t="s">
        <v>1652</v>
      </c>
      <c r="B197" s="909">
        <v>7414</v>
      </c>
      <c r="C197" s="909">
        <v>10420</v>
      </c>
      <c r="D197" s="909">
        <v>12833</v>
      </c>
      <c r="E197" s="909">
        <v>14883</v>
      </c>
      <c r="F197" s="909">
        <v>18725</v>
      </c>
      <c r="G197" s="909">
        <v>14872</v>
      </c>
      <c r="H197" s="909">
        <v>17521</v>
      </c>
      <c r="I197" s="909">
        <v>18312</v>
      </c>
      <c r="J197" s="909">
        <v>20465</v>
      </c>
      <c r="K197" s="909">
        <v>40643</v>
      </c>
      <c r="L197" s="909">
        <v>29326</v>
      </c>
      <c r="M197" s="909">
        <v>36964</v>
      </c>
      <c r="N197" s="909">
        <v>42755</v>
      </c>
      <c r="O197" s="909">
        <v>50421</v>
      </c>
      <c r="P197" s="909">
        <v>62062</v>
      </c>
      <c r="Q197" s="909">
        <v>72093</v>
      </c>
      <c r="R197" s="909">
        <v>79209</v>
      </c>
      <c r="S197" s="909">
        <v>89568</v>
      </c>
    </row>
    <row r="198" spans="1:19">
      <c r="A198" s="909" t="s">
        <v>1651</v>
      </c>
      <c r="B198" s="909">
        <v>4260</v>
      </c>
      <c r="C198" s="909">
        <v>4213</v>
      </c>
      <c r="D198" s="909">
        <v>4452</v>
      </c>
      <c r="E198" s="909">
        <v>5286</v>
      </c>
      <c r="F198" s="909">
        <v>5555</v>
      </c>
      <c r="G198" s="909">
        <v>7458</v>
      </c>
      <c r="H198" s="909">
        <v>8390</v>
      </c>
      <c r="I198" s="909">
        <v>11542</v>
      </c>
      <c r="J198" s="909">
        <v>13086</v>
      </c>
      <c r="K198" s="909">
        <v>10818</v>
      </c>
      <c r="L198" s="909">
        <v>14465</v>
      </c>
      <c r="M198" s="909">
        <v>8517</v>
      </c>
      <c r="N198" s="909">
        <v>8496</v>
      </c>
      <c r="O198" s="909">
        <v>8934</v>
      </c>
      <c r="P198" s="909">
        <v>8084</v>
      </c>
      <c r="Q198" s="909">
        <v>9463</v>
      </c>
      <c r="R198" s="909">
        <v>10000</v>
      </c>
      <c r="S198" s="909">
        <v>9425</v>
      </c>
    </row>
    <row r="199" spans="1:19">
      <c r="A199" s="909" t="s">
        <v>1650</v>
      </c>
      <c r="B199" s="909" t="s">
        <v>291</v>
      </c>
      <c r="C199" s="909">
        <v>3142</v>
      </c>
      <c r="D199" s="909">
        <v>3392</v>
      </c>
      <c r="E199" s="909">
        <v>4158</v>
      </c>
      <c r="F199" s="909">
        <v>4562</v>
      </c>
      <c r="G199" s="909">
        <v>6705</v>
      </c>
      <c r="H199" s="909">
        <v>7526</v>
      </c>
      <c r="I199" s="909">
        <v>5142</v>
      </c>
      <c r="J199" s="909">
        <v>6729</v>
      </c>
      <c r="K199" s="909">
        <v>6278</v>
      </c>
      <c r="L199" s="909">
        <v>7758</v>
      </c>
      <c r="M199" s="909">
        <v>7401</v>
      </c>
      <c r="N199" s="909">
        <v>7256</v>
      </c>
      <c r="O199" s="909">
        <v>8186</v>
      </c>
      <c r="P199" s="909">
        <v>7220</v>
      </c>
      <c r="Q199" s="909">
        <v>7837</v>
      </c>
      <c r="R199" s="909">
        <v>8489</v>
      </c>
      <c r="S199" s="909">
        <v>7358</v>
      </c>
    </row>
    <row r="200" spans="1:19">
      <c r="A200" s="909" t="s">
        <v>1649</v>
      </c>
      <c r="B200" s="909" t="s">
        <v>291</v>
      </c>
      <c r="C200" s="909">
        <v>1072</v>
      </c>
      <c r="D200" s="909">
        <v>1060</v>
      </c>
      <c r="E200" s="909">
        <v>1128</v>
      </c>
      <c r="F200" s="909">
        <v>993</v>
      </c>
      <c r="G200" s="909">
        <v>753</v>
      </c>
      <c r="H200" s="909">
        <v>864</v>
      </c>
      <c r="I200" s="909">
        <v>6400</v>
      </c>
      <c r="J200" s="909">
        <v>6357</v>
      </c>
      <c r="K200" s="909">
        <v>4540</v>
      </c>
      <c r="L200" s="909">
        <v>6707</v>
      </c>
      <c r="M200" s="909">
        <v>1116</v>
      </c>
      <c r="N200" s="909">
        <v>1241</v>
      </c>
      <c r="O200" s="909">
        <v>748</v>
      </c>
      <c r="P200" s="909">
        <v>864</v>
      </c>
      <c r="Q200" s="909">
        <v>1626</v>
      </c>
      <c r="R200" s="909">
        <v>1511</v>
      </c>
      <c r="S200" s="909">
        <v>2068</v>
      </c>
    </row>
    <row r="201" spans="1:19">
      <c r="A201" s="909" t="s">
        <v>1648</v>
      </c>
      <c r="B201" s="909">
        <v>29547</v>
      </c>
      <c r="C201" s="909">
        <v>28637</v>
      </c>
      <c r="D201" s="909">
        <v>14470</v>
      </c>
      <c r="E201" s="909">
        <v>9553</v>
      </c>
      <c r="F201" s="909">
        <v>8461</v>
      </c>
      <c r="G201" s="909" t="s">
        <v>273</v>
      </c>
      <c r="H201" s="909" t="s">
        <v>273</v>
      </c>
      <c r="I201" s="909" t="s">
        <v>273</v>
      </c>
      <c r="J201" s="909" t="s">
        <v>273</v>
      </c>
      <c r="K201" s="909" t="s">
        <v>273</v>
      </c>
      <c r="L201" s="909" t="s">
        <v>273</v>
      </c>
      <c r="M201" s="909" t="s">
        <v>273</v>
      </c>
      <c r="N201" s="909" t="s">
        <v>273</v>
      </c>
      <c r="O201" s="909" t="s">
        <v>273</v>
      </c>
      <c r="P201" s="909" t="s">
        <v>273</v>
      </c>
      <c r="Q201" s="909" t="s">
        <v>273</v>
      </c>
      <c r="R201" s="909" t="s">
        <v>273</v>
      </c>
      <c r="S201" s="909" t="s">
        <v>273</v>
      </c>
    </row>
    <row r="202" spans="1:19">
      <c r="A202" s="909" t="s">
        <v>1647</v>
      </c>
      <c r="B202" s="909">
        <v>4048</v>
      </c>
      <c r="C202" s="909">
        <v>1731</v>
      </c>
      <c r="D202" s="909">
        <v>1043</v>
      </c>
      <c r="E202" s="909">
        <v>2377</v>
      </c>
      <c r="F202" s="909">
        <v>1391</v>
      </c>
      <c r="G202" s="909" t="s">
        <v>273</v>
      </c>
      <c r="H202" s="909" t="s">
        <v>273</v>
      </c>
      <c r="I202" s="909" t="s">
        <v>273</v>
      </c>
      <c r="J202" s="909" t="s">
        <v>273</v>
      </c>
      <c r="K202" s="909" t="s">
        <v>273</v>
      </c>
      <c r="L202" s="909" t="s">
        <v>273</v>
      </c>
      <c r="M202" s="909" t="s">
        <v>273</v>
      </c>
      <c r="N202" s="909" t="s">
        <v>273</v>
      </c>
      <c r="O202" s="909" t="s">
        <v>273</v>
      </c>
      <c r="P202" s="909" t="s">
        <v>273</v>
      </c>
      <c r="Q202" s="909" t="s">
        <v>273</v>
      </c>
      <c r="R202" s="909" t="s">
        <v>273</v>
      </c>
      <c r="S202" s="909" t="s">
        <v>273</v>
      </c>
    </row>
    <row r="203" spans="1:19">
      <c r="A203" s="909" t="s">
        <v>1643</v>
      </c>
      <c r="B203" s="909">
        <v>2918</v>
      </c>
      <c r="C203" s="909">
        <v>702</v>
      </c>
      <c r="D203" s="909">
        <v>344</v>
      </c>
      <c r="E203" s="909">
        <v>298</v>
      </c>
      <c r="F203" s="909">
        <v>-300</v>
      </c>
      <c r="G203" s="909" t="s">
        <v>273</v>
      </c>
      <c r="H203" s="909" t="s">
        <v>273</v>
      </c>
      <c r="I203" s="909" t="s">
        <v>273</v>
      </c>
      <c r="J203" s="909" t="s">
        <v>273</v>
      </c>
      <c r="K203" s="909" t="s">
        <v>273</v>
      </c>
      <c r="L203" s="909" t="s">
        <v>273</v>
      </c>
      <c r="M203" s="909" t="s">
        <v>273</v>
      </c>
      <c r="N203" s="909" t="s">
        <v>273</v>
      </c>
      <c r="O203" s="909" t="s">
        <v>273</v>
      </c>
      <c r="P203" s="909" t="s">
        <v>273</v>
      </c>
      <c r="Q203" s="909" t="s">
        <v>273</v>
      </c>
      <c r="R203" s="909" t="s">
        <v>273</v>
      </c>
      <c r="S203" s="909" t="s">
        <v>273</v>
      </c>
    </row>
    <row r="204" spans="1:19">
      <c r="A204" s="909" t="s">
        <v>1646</v>
      </c>
      <c r="B204" s="909">
        <v>1130</v>
      </c>
      <c r="C204" s="909">
        <v>1030</v>
      </c>
      <c r="D204" s="909">
        <v>699</v>
      </c>
      <c r="E204" s="909">
        <v>2079</v>
      </c>
      <c r="F204" s="909">
        <v>1692</v>
      </c>
      <c r="G204" s="909" t="s">
        <v>273</v>
      </c>
      <c r="H204" s="909" t="s">
        <v>273</v>
      </c>
      <c r="I204" s="909" t="s">
        <v>273</v>
      </c>
      <c r="J204" s="909" t="s">
        <v>273</v>
      </c>
      <c r="K204" s="909" t="s">
        <v>273</v>
      </c>
      <c r="L204" s="909" t="s">
        <v>273</v>
      </c>
      <c r="M204" s="909" t="s">
        <v>273</v>
      </c>
      <c r="N204" s="909" t="s">
        <v>273</v>
      </c>
      <c r="O204" s="909" t="s">
        <v>273</v>
      </c>
      <c r="P204" s="909" t="s">
        <v>273</v>
      </c>
      <c r="Q204" s="909" t="s">
        <v>273</v>
      </c>
      <c r="R204" s="909" t="s">
        <v>273</v>
      </c>
      <c r="S204" s="909" t="s">
        <v>273</v>
      </c>
    </row>
    <row r="205" spans="1:19">
      <c r="A205" s="909" t="s">
        <v>1641</v>
      </c>
      <c r="B205" s="909">
        <v>25499</v>
      </c>
      <c r="C205" s="909">
        <v>26906</v>
      </c>
      <c r="D205" s="909">
        <v>13427</v>
      </c>
      <c r="E205" s="909">
        <v>7176</v>
      </c>
      <c r="F205" s="909">
        <v>7070</v>
      </c>
      <c r="G205" s="909" t="s">
        <v>273</v>
      </c>
      <c r="H205" s="909" t="s">
        <v>273</v>
      </c>
      <c r="I205" s="909" t="s">
        <v>273</v>
      </c>
      <c r="J205" s="909" t="s">
        <v>273</v>
      </c>
      <c r="K205" s="909" t="s">
        <v>273</v>
      </c>
      <c r="L205" s="909" t="s">
        <v>273</v>
      </c>
      <c r="M205" s="909" t="s">
        <v>273</v>
      </c>
      <c r="N205" s="909" t="s">
        <v>273</v>
      </c>
      <c r="O205" s="909" t="s">
        <v>273</v>
      </c>
      <c r="P205" s="909" t="s">
        <v>273</v>
      </c>
      <c r="Q205" s="909" t="s">
        <v>273</v>
      </c>
      <c r="R205" s="909" t="s">
        <v>273</v>
      </c>
      <c r="S205" s="909" t="s">
        <v>273</v>
      </c>
    </row>
    <row r="206" spans="1:19">
      <c r="A206" s="909" t="s">
        <v>1645</v>
      </c>
      <c r="B206" s="909" t="s">
        <v>273</v>
      </c>
      <c r="C206" s="909" t="s">
        <v>273</v>
      </c>
      <c r="D206" s="909" t="s">
        <v>273</v>
      </c>
      <c r="E206" s="909" t="s">
        <v>273</v>
      </c>
      <c r="F206" s="909" t="s">
        <v>273</v>
      </c>
      <c r="G206" s="909">
        <v>19013</v>
      </c>
      <c r="H206" s="909">
        <v>16788</v>
      </c>
      <c r="I206" s="909">
        <v>20771</v>
      </c>
      <c r="J206" s="909">
        <v>22124</v>
      </c>
      <c r="K206" s="909">
        <v>18942</v>
      </c>
      <c r="L206" s="909">
        <v>31866</v>
      </c>
      <c r="M206" s="909">
        <v>31263</v>
      </c>
      <c r="N206" s="909">
        <v>35424</v>
      </c>
      <c r="O206" s="909">
        <v>36674</v>
      </c>
      <c r="P206" s="909">
        <v>35474</v>
      </c>
      <c r="Q206" s="909">
        <v>39696</v>
      </c>
      <c r="R206" s="909">
        <v>44909</v>
      </c>
      <c r="S206" s="909">
        <v>40807</v>
      </c>
    </row>
    <row r="207" spans="1:19">
      <c r="A207" s="909" t="s">
        <v>1644</v>
      </c>
      <c r="B207" s="909" t="s">
        <v>273</v>
      </c>
      <c r="C207" s="909" t="s">
        <v>273</v>
      </c>
      <c r="D207" s="909" t="s">
        <v>273</v>
      </c>
      <c r="E207" s="909" t="s">
        <v>273</v>
      </c>
      <c r="F207" s="909" t="s">
        <v>273</v>
      </c>
      <c r="G207" s="909">
        <v>4903</v>
      </c>
      <c r="H207" s="909">
        <v>4511</v>
      </c>
      <c r="I207" s="909">
        <v>5105</v>
      </c>
      <c r="J207" s="909">
        <v>5677</v>
      </c>
      <c r="K207" s="909">
        <v>6467</v>
      </c>
      <c r="L207" s="909">
        <v>7071</v>
      </c>
      <c r="M207" s="909">
        <v>10899</v>
      </c>
      <c r="N207" s="909">
        <v>15383</v>
      </c>
      <c r="O207" s="909">
        <v>17746</v>
      </c>
      <c r="P207" s="909">
        <v>17136</v>
      </c>
      <c r="Q207" s="909">
        <v>18144</v>
      </c>
      <c r="R207" s="909">
        <v>17120</v>
      </c>
      <c r="S207" s="909">
        <v>15922</v>
      </c>
    </row>
    <row r="208" spans="1:19">
      <c r="A208" s="909" t="s">
        <v>1643</v>
      </c>
      <c r="B208" s="909" t="s">
        <v>273</v>
      </c>
      <c r="C208" s="909" t="s">
        <v>273</v>
      </c>
      <c r="D208" s="909" t="s">
        <v>273</v>
      </c>
      <c r="E208" s="909" t="s">
        <v>273</v>
      </c>
      <c r="F208" s="909" t="s">
        <v>273</v>
      </c>
      <c r="G208" s="909">
        <v>2620</v>
      </c>
      <c r="H208" s="909">
        <v>2604</v>
      </c>
      <c r="I208" s="909">
        <v>2445</v>
      </c>
      <c r="J208" s="909">
        <v>2637</v>
      </c>
      <c r="K208" s="909">
        <v>2715</v>
      </c>
      <c r="L208" s="909">
        <v>2462</v>
      </c>
      <c r="M208" s="909">
        <v>2738</v>
      </c>
      <c r="N208" s="909">
        <v>-2329</v>
      </c>
      <c r="O208" s="909">
        <v>-1736</v>
      </c>
      <c r="P208" s="909">
        <v>-1612</v>
      </c>
      <c r="Q208" s="909">
        <v>-947</v>
      </c>
      <c r="R208" s="909">
        <v>-1308</v>
      </c>
      <c r="S208" s="909">
        <v>-1726</v>
      </c>
    </row>
    <row r="209" spans="1:19">
      <c r="A209" s="909" t="s">
        <v>1642</v>
      </c>
      <c r="B209" s="909" t="s">
        <v>273</v>
      </c>
      <c r="C209" s="909" t="s">
        <v>273</v>
      </c>
      <c r="D209" s="909" t="s">
        <v>273</v>
      </c>
      <c r="E209" s="909" t="s">
        <v>273</v>
      </c>
      <c r="F209" s="909" t="s">
        <v>273</v>
      </c>
      <c r="G209" s="909">
        <v>2283</v>
      </c>
      <c r="H209" s="909">
        <v>1908</v>
      </c>
      <c r="I209" s="909">
        <v>2660</v>
      </c>
      <c r="J209" s="909">
        <v>3041</v>
      </c>
      <c r="K209" s="909">
        <v>3752</v>
      </c>
      <c r="L209" s="909">
        <v>4609</v>
      </c>
      <c r="M209" s="909">
        <v>8161</v>
      </c>
      <c r="N209" s="909">
        <v>17712</v>
      </c>
      <c r="O209" s="909">
        <v>19482</v>
      </c>
      <c r="P209" s="909">
        <v>18748</v>
      </c>
      <c r="Q209" s="909">
        <v>19091</v>
      </c>
      <c r="R209" s="909">
        <v>18428</v>
      </c>
      <c r="S209" s="909">
        <v>17648</v>
      </c>
    </row>
    <row r="210" spans="1:19">
      <c r="A210" s="909" t="s">
        <v>1641</v>
      </c>
      <c r="B210" s="909" t="s">
        <v>273</v>
      </c>
      <c r="C210" s="909" t="s">
        <v>273</v>
      </c>
      <c r="D210" s="909" t="s">
        <v>273</v>
      </c>
      <c r="E210" s="909" t="s">
        <v>273</v>
      </c>
      <c r="F210" s="909" t="s">
        <v>273</v>
      </c>
      <c r="G210" s="909">
        <v>14110</v>
      </c>
      <c r="H210" s="909">
        <v>12276</v>
      </c>
      <c r="I210" s="909">
        <v>15666</v>
      </c>
      <c r="J210" s="909">
        <v>16446</v>
      </c>
      <c r="K210" s="909">
        <v>12475</v>
      </c>
      <c r="L210" s="909">
        <v>24795</v>
      </c>
      <c r="M210" s="909">
        <v>20364</v>
      </c>
      <c r="N210" s="909">
        <v>20042</v>
      </c>
      <c r="O210" s="909">
        <v>18928</v>
      </c>
      <c r="P210" s="909">
        <v>18338</v>
      </c>
      <c r="Q210" s="909">
        <v>21553</v>
      </c>
      <c r="R210" s="909">
        <v>27789</v>
      </c>
      <c r="S210" s="909">
        <v>24885</v>
      </c>
    </row>
    <row r="211" spans="1:19">
      <c r="A211" s="909" t="s">
        <v>1640</v>
      </c>
      <c r="B211" s="909" t="s">
        <v>273</v>
      </c>
      <c r="C211" s="909" t="s">
        <v>273</v>
      </c>
      <c r="D211" s="909" t="s">
        <v>273</v>
      </c>
      <c r="E211" s="909" t="s">
        <v>273</v>
      </c>
      <c r="F211" s="909" t="s">
        <v>273</v>
      </c>
      <c r="G211" s="909">
        <v>5709</v>
      </c>
      <c r="H211" s="909">
        <v>3443</v>
      </c>
      <c r="I211" s="909">
        <v>6840</v>
      </c>
      <c r="J211" s="909">
        <v>6410</v>
      </c>
      <c r="K211" s="909">
        <v>4284</v>
      </c>
      <c r="L211" s="909">
        <v>11126</v>
      </c>
      <c r="M211" s="909">
        <v>7133</v>
      </c>
      <c r="N211" s="909">
        <v>7157</v>
      </c>
      <c r="O211" s="909">
        <v>10968</v>
      </c>
      <c r="P211" s="909">
        <v>9589</v>
      </c>
      <c r="Q211" s="909">
        <v>10092</v>
      </c>
      <c r="R211" s="909">
        <v>13719</v>
      </c>
      <c r="S211" s="909">
        <v>13062</v>
      </c>
    </row>
    <row r="212" spans="1:19">
      <c r="A212" s="909" t="s">
        <v>1639</v>
      </c>
      <c r="B212" s="909" t="s">
        <v>273</v>
      </c>
      <c r="C212" s="909" t="s">
        <v>273</v>
      </c>
      <c r="D212" s="909" t="s">
        <v>273</v>
      </c>
      <c r="E212" s="909" t="s">
        <v>273</v>
      </c>
      <c r="F212" s="909" t="s">
        <v>273</v>
      </c>
      <c r="G212" s="909">
        <v>4842</v>
      </c>
      <c r="H212" s="909">
        <v>4553</v>
      </c>
      <c r="I212" s="909">
        <v>4002</v>
      </c>
      <c r="J212" s="909">
        <v>2332</v>
      </c>
      <c r="K212" s="909">
        <v>2403</v>
      </c>
      <c r="L212" s="909">
        <v>3476</v>
      </c>
      <c r="M212" s="909">
        <v>3075</v>
      </c>
      <c r="N212" s="909">
        <v>3976</v>
      </c>
      <c r="O212" s="909">
        <v>5513</v>
      </c>
      <c r="P212" s="909">
        <v>4828</v>
      </c>
      <c r="Q212" s="909">
        <v>4753</v>
      </c>
      <c r="R212" s="909">
        <v>7398</v>
      </c>
      <c r="S212" s="909">
        <v>5175</v>
      </c>
    </row>
    <row r="213" spans="1:19">
      <c r="A213" s="909" t="s">
        <v>1638</v>
      </c>
      <c r="B213" s="909" t="s">
        <v>273</v>
      </c>
      <c r="C213" s="909" t="s">
        <v>273</v>
      </c>
      <c r="D213" s="909" t="s">
        <v>273</v>
      </c>
      <c r="E213" s="909" t="s">
        <v>273</v>
      </c>
      <c r="F213" s="909" t="s">
        <v>273</v>
      </c>
      <c r="G213" s="909">
        <v>341</v>
      </c>
      <c r="H213" s="909">
        <v>388</v>
      </c>
      <c r="I213" s="909">
        <v>203</v>
      </c>
      <c r="J213" s="909">
        <v>699</v>
      </c>
      <c r="K213" s="909">
        <v>271</v>
      </c>
      <c r="L213" s="909" t="s">
        <v>273</v>
      </c>
      <c r="M213" s="909" t="s">
        <v>273</v>
      </c>
      <c r="N213" s="909" t="s">
        <v>273</v>
      </c>
      <c r="O213" s="909" t="s">
        <v>273</v>
      </c>
      <c r="P213" s="909" t="s">
        <v>273</v>
      </c>
      <c r="Q213" s="909" t="s">
        <v>273</v>
      </c>
      <c r="R213" s="909" t="s">
        <v>273</v>
      </c>
      <c r="S213" s="909" t="s">
        <v>273</v>
      </c>
    </row>
    <row r="214" spans="1:19">
      <c r="A214" s="909" t="s">
        <v>1637</v>
      </c>
      <c r="B214" s="909" t="s">
        <v>273</v>
      </c>
      <c r="C214" s="909" t="s">
        <v>273</v>
      </c>
      <c r="D214" s="909" t="s">
        <v>273</v>
      </c>
      <c r="E214" s="909" t="s">
        <v>273</v>
      </c>
      <c r="F214" s="909" t="s">
        <v>273</v>
      </c>
      <c r="G214" s="909">
        <v>1328</v>
      </c>
      <c r="H214" s="909">
        <v>2050</v>
      </c>
      <c r="I214" s="909">
        <v>740</v>
      </c>
      <c r="J214" s="909">
        <v>2570</v>
      </c>
      <c r="K214" s="909">
        <v>2636</v>
      </c>
      <c r="L214" s="909">
        <v>2844</v>
      </c>
      <c r="M214" s="909">
        <v>2979</v>
      </c>
      <c r="N214" s="909" t="s">
        <v>291</v>
      </c>
      <c r="O214" s="909">
        <v>1445</v>
      </c>
      <c r="P214" s="909" t="s">
        <v>291</v>
      </c>
      <c r="Q214" s="909" t="s">
        <v>291</v>
      </c>
      <c r="R214" s="909" t="s">
        <v>291</v>
      </c>
      <c r="S214" s="909" t="s">
        <v>291</v>
      </c>
    </row>
    <row r="215" spans="1:19">
      <c r="A215" s="909" t="s">
        <v>1636</v>
      </c>
      <c r="B215" s="909" t="s">
        <v>273</v>
      </c>
      <c r="C215" s="909" t="s">
        <v>273</v>
      </c>
      <c r="D215" s="909" t="s">
        <v>273</v>
      </c>
      <c r="E215" s="909" t="s">
        <v>273</v>
      </c>
      <c r="F215" s="909" t="s">
        <v>273</v>
      </c>
      <c r="G215" s="909">
        <v>1807</v>
      </c>
      <c r="H215" s="909">
        <v>1637</v>
      </c>
      <c r="I215" s="909">
        <v>3009</v>
      </c>
      <c r="J215" s="909">
        <v>3744</v>
      </c>
      <c r="K215" s="909">
        <v>3235</v>
      </c>
      <c r="L215" s="909" t="s">
        <v>273</v>
      </c>
      <c r="M215" s="909" t="s">
        <v>273</v>
      </c>
      <c r="N215" s="909" t="s">
        <v>273</v>
      </c>
      <c r="O215" s="909" t="s">
        <v>273</v>
      </c>
      <c r="P215" s="909" t="s">
        <v>273</v>
      </c>
      <c r="Q215" s="909" t="s">
        <v>273</v>
      </c>
      <c r="R215" s="909" t="s">
        <v>273</v>
      </c>
      <c r="S215" s="909" t="s">
        <v>273</v>
      </c>
    </row>
    <row r="216" spans="1:19">
      <c r="A216" s="909" t="s">
        <v>1635</v>
      </c>
      <c r="B216" s="909" t="s">
        <v>273</v>
      </c>
      <c r="C216" s="909" t="s">
        <v>273</v>
      </c>
      <c r="D216" s="909" t="s">
        <v>273</v>
      </c>
      <c r="E216" s="909" t="s">
        <v>273</v>
      </c>
      <c r="F216" s="909" t="s">
        <v>273</v>
      </c>
      <c r="G216" s="909">
        <v>83</v>
      </c>
      <c r="H216" s="909">
        <v>205</v>
      </c>
      <c r="I216" s="909">
        <v>872</v>
      </c>
      <c r="J216" s="909">
        <v>692</v>
      </c>
      <c r="K216" s="909">
        <v>-355</v>
      </c>
      <c r="L216" s="909">
        <v>7349</v>
      </c>
      <c r="M216" s="909">
        <v>7176</v>
      </c>
      <c r="N216" s="909" t="s">
        <v>291</v>
      </c>
      <c r="O216" s="909">
        <v>1003</v>
      </c>
      <c r="P216" s="909" t="s">
        <v>291</v>
      </c>
      <c r="Q216" s="909" t="s">
        <v>291</v>
      </c>
      <c r="R216" s="909" t="s">
        <v>291</v>
      </c>
      <c r="S216" s="909" t="s">
        <v>291</v>
      </c>
    </row>
    <row r="217" spans="1:19">
      <c r="A217" s="909" t="s">
        <v>1634</v>
      </c>
      <c r="B217" s="909" t="s">
        <v>273</v>
      </c>
      <c r="C217" s="909" t="s">
        <v>273</v>
      </c>
      <c r="D217" s="909" t="s">
        <v>273</v>
      </c>
      <c r="E217" s="909" t="s">
        <v>273</v>
      </c>
      <c r="F217" s="909" t="s">
        <v>273</v>
      </c>
      <c r="G217" s="909" t="s">
        <v>273</v>
      </c>
      <c r="H217" s="909" t="s">
        <v>273</v>
      </c>
      <c r="I217" s="909" t="s">
        <v>273</v>
      </c>
      <c r="J217" s="909" t="s">
        <v>273</v>
      </c>
      <c r="K217" s="909" t="s">
        <v>273</v>
      </c>
      <c r="L217" s="909">
        <v>7423</v>
      </c>
      <c r="M217" s="909">
        <v>6559</v>
      </c>
      <c r="N217" s="909">
        <v>6540</v>
      </c>
      <c r="O217" s="909">
        <v>5826</v>
      </c>
      <c r="P217" s="909">
        <v>6525</v>
      </c>
      <c r="Q217" s="909">
        <v>5437</v>
      </c>
      <c r="R217" s="909">
        <v>7116</v>
      </c>
      <c r="S217" s="909">
        <v>11166</v>
      </c>
    </row>
    <row r="218" spans="1:19">
      <c r="A218" s="909" t="s">
        <v>1633</v>
      </c>
      <c r="B218" s="909" t="s">
        <v>273</v>
      </c>
      <c r="C218" s="909" t="s">
        <v>273</v>
      </c>
      <c r="D218" s="909" t="s">
        <v>273</v>
      </c>
      <c r="E218" s="909" t="s">
        <v>273</v>
      </c>
      <c r="F218" s="909" t="s">
        <v>273</v>
      </c>
      <c r="G218" s="909" t="s">
        <v>273</v>
      </c>
      <c r="H218" s="909" t="s">
        <v>273</v>
      </c>
      <c r="I218" s="909" t="s">
        <v>273</v>
      </c>
      <c r="J218" s="909" t="s">
        <v>273</v>
      </c>
      <c r="K218" s="909" t="s">
        <v>273</v>
      </c>
      <c r="L218" s="909">
        <v>21305</v>
      </c>
      <c r="M218" s="909">
        <v>23199</v>
      </c>
      <c r="N218" s="909">
        <v>19798</v>
      </c>
      <c r="O218" s="909">
        <v>21665</v>
      </c>
      <c r="P218" s="909">
        <v>23168</v>
      </c>
      <c r="Q218" s="909">
        <v>27199</v>
      </c>
      <c r="R218" s="909">
        <v>29067</v>
      </c>
      <c r="S218" s="909">
        <v>33435</v>
      </c>
    </row>
    <row r="219" spans="1:19">
      <c r="A219" s="909" t="s">
        <v>1632</v>
      </c>
      <c r="B219" s="909" t="s">
        <v>273</v>
      </c>
      <c r="C219" s="909" t="s">
        <v>273</v>
      </c>
      <c r="D219" s="909" t="s">
        <v>273</v>
      </c>
      <c r="E219" s="909" t="s">
        <v>273</v>
      </c>
      <c r="F219" s="909" t="s">
        <v>273</v>
      </c>
      <c r="G219" s="909">
        <v>9224</v>
      </c>
      <c r="H219" s="909">
        <v>9076</v>
      </c>
      <c r="I219" s="909">
        <v>12586</v>
      </c>
      <c r="J219" s="909">
        <v>19592</v>
      </c>
      <c r="K219" s="909">
        <v>23358</v>
      </c>
      <c r="L219" s="909" t="s">
        <v>273</v>
      </c>
      <c r="M219" s="909" t="s">
        <v>273</v>
      </c>
      <c r="N219" s="909" t="s">
        <v>273</v>
      </c>
      <c r="O219" s="909" t="s">
        <v>273</v>
      </c>
      <c r="P219" s="909" t="s">
        <v>273</v>
      </c>
      <c r="Q219" s="909" t="s">
        <v>273</v>
      </c>
      <c r="R219" s="909" t="s">
        <v>273</v>
      </c>
      <c r="S219" s="909" t="s">
        <v>273</v>
      </c>
    </row>
    <row r="220" spans="1:19">
      <c r="A220" s="909" t="s">
        <v>1631</v>
      </c>
      <c r="B220" s="909" t="s">
        <v>273</v>
      </c>
      <c r="C220" s="909" t="s">
        <v>273</v>
      </c>
      <c r="D220" s="909" t="s">
        <v>273</v>
      </c>
      <c r="E220" s="909" t="s">
        <v>273</v>
      </c>
      <c r="F220" s="909" t="s">
        <v>273</v>
      </c>
      <c r="G220" s="909">
        <v>96</v>
      </c>
      <c r="H220" s="909">
        <v>106</v>
      </c>
      <c r="I220" s="909">
        <v>33</v>
      </c>
      <c r="J220" s="909">
        <v>33</v>
      </c>
      <c r="K220" s="909">
        <v>314</v>
      </c>
      <c r="L220" s="909" t="s">
        <v>273</v>
      </c>
      <c r="M220" s="909" t="s">
        <v>273</v>
      </c>
      <c r="N220" s="909" t="s">
        <v>273</v>
      </c>
      <c r="O220" s="909" t="s">
        <v>273</v>
      </c>
      <c r="P220" s="909" t="s">
        <v>273</v>
      </c>
      <c r="Q220" s="909" t="s">
        <v>273</v>
      </c>
      <c r="R220" s="909" t="s">
        <v>273</v>
      </c>
      <c r="S220" s="909" t="s">
        <v>273</v>
      </c>
    </row>
    <row r="221" spans="1:19">
      <c r="A221" s="909" t="s">
        <v>1630</v>
      </c>
      <c r="B221" s="909" t="s">
        <v>273</v>
      </c>
      <c r="C221" s="909" t="s">
        <v>273</v>
      </c>
      <c r="D221" s="909" t="s">
        <v>273</v>
      </c>
      <c r="E221" s="909" t="s">
        <v>273</v>
      </c>
      <c r="F221" s="909" t="s">
        <v>273</v>
      </c>
      <c r="G221" s="909">
        <v>3133</v>
      </c>
      <c r="H221" s="909">
        <v>3385</v>
      </c>
      <c r="I221" s="909">
        <v>5628</v>
      </c>
      <c r="J221" s="909">
        <v>6639</v>
      </c>
      <c r="K221" s="909">
        <v>5972</v>
      </c>
      <c r="L221" s="909" t="s">
        <v>273</v>
      </c>
      <c r="M221" s="909" t="s">
        <v>273</v>
      </c>
      <c r="N221" s="909" t="s">
        <v>273</v>
      </c>
      <c r="O221" s="909" t="s">
        <v>273</v>
      </c>
      <c r="P221" s="909" t="s">
        <v>273</v>
      </c>
      <c r="Q221" s="909" t="s">
        <v>273</v>
      </c>
      <c r="R221" s="909" t="s">
        <v>273</v>
      </c>
      <c r="S221" s="909" t="s">
        <v>273</v>
      </c>
    </row>
    <row r="222" spans="1:19">
      <c r="A222" s="909" t="s">
        <v>1629</v>
      </c>
      <c r="B222" s="909" t="s">
        <v>273</v>
      </c>
      <c r="C222" s="909" t="s">
        <v>273</v>
      </c>
      <c r="D222" s="909" t="s">
        <v>273</v>
      </c>
      <c r="E222" s="909" t="s">
        <v>273</v>
      </c>
      <c r="F222" s="909" t="s">
        <v>273</v>
      </c>
      <c r="G222" s="909">
        <v>3056</v>
      </c>
      <c r="H222" s="909">
        <v>2332</v>
      </c>
      <c r="I222" s="909">
        <v>2717</v>
      </c>
      <c r="J222" s="909">
        <v>3924</v>
      </c>
      <c r="K222" s="909">
        <v>6775</v>
      </c>
      <c r="L222" s="909" t="s">
        <v>273</v>
      </c>
      <c r="M222" s="909" t="s">
        <v>273</v>
      </c>
      <c r="N222" s="909" t="s">
        <v>273</v>
      </c>
      <c r="O222" s="909" t="s">
        <v>273</v>
      </c>
      <c r="P222" s="909" t="s">
        <v>273</v>
      </c>
      <c r="Q222" s="909" t="s">
        <v>273</v>
      </c>
      <c r="R222" s="909" t="s">
        <v>273</v>
      </c>
      <c r="S222" s="909" t="s">
        <v>273</v>
      </c>
    </row>
    <row r="223" spans="1:19">
      <c r="A223" s="909" t="s">
        <v>1628</v>
      </c>
      <c r="B223" s="909" t="s">
        <v>273</v>
      </c>
      <c r="C223" s="909" t="s">
        <v>273</v>
      </c>
      <c r="D223" s="909" t="s">
        <v>273</v>
      </c>
      <c r="E223" s="909" t="s">
        <v>273</v>
      </c>
      <c r="F223" s="909" t="s">
        <v>273</v>
      </c>
      <c r="G223" s="909">
        <v>2938</v>
      </c>
      <c r="H223" s="909">
        <v>3253</v>
      </c>
      <c r="I223" s="909">
        <v>4208</v>
      </c>
      <c r="J223" s="909">
        <v>8995</v>
      </c>
      <c r="K223" s="909">
        <v>10297</v>
      </c>
      <c r="L223" s="909" t="s">
        <v>273</v>
      </c>
      <c r="M223" s="909" t="s">
        <v>273</v>
      </c>
      <c r="N223" s="909" t="s">
        <v>273</v>
      </c>
      <c r="O223" s="909" t="s">
        <v>273</v>
      </c>
      <c r="P223" s="909" t="s">
        <v>273</v>
      </c>
      <c r="Q223" s="909" t="s">
        <v>273</v>
      </c>
      <c r="R223" s="909" t="s">
        <v>273</v>
      </c>
      <c r="S223" s="909" t="s">
        <v>273</v>
      </c>
    </row>
    <row r="224" spans="1:19">
      <c r="A224" s="909" t="s">
        <v>1627</v>
      </c>
      <c r="B224" s="909">
        <v>5636</v>
      </c>
      <c r="C224" s="909">
        <v>5515</v>
      </c>
      <c r="D224" s="909">
        <v>6533</v>
      </c>
      <c r="E224" s="909">
        <v>7257</v>
      </c>
      <c r="F224" s="909">
        <v>8730</v>
      </c>
      <c r="G224" s="909" t="s">
        <v>273</v>
      </c>
      <c r="H224" s="909" t="s">
        <v>273</v>
      </c>
      <c r="I224" s="909" t="s">
        <v>273</v>
      </c>
      <c r="J224" s="909" t="s">
        <v>273</v>
      </c>
      <c r="K224" s="909" t="s">
        <v>273</v>
      </c>
      <c r="L224" s="909" t="s">
        <v>273</v>
      </c>
      <c r="M224" s="909" t="s">
        <v>273</v>
      </c>
      <c r="N224" s="909" t="s">
        <v>273</v>
      </c>
      <c r="O224" s="909" t="s">
        <v>273</v>
      </c>
      <c r="P224" s="909" t="s">
        <v>273</v>
      </c>
      <c r="Q224" s="909" t="s">
        <v>273</v>
      </c>
      <c r="R224" s="909" t="s">
        <v>273</v>
      </c>
      <c r="S224" s="909" t="s">
        <v>273</v>
      </c>
    </row>
    <row r="225" spans="1:19">
      <c r="A225" s="909" t="s">
        <v>1626</v>
      </c>
      <c r="B225" s="909">
        <v>3233</v>
      </c>
      <c r="C225" s="909">
        <v>3201</v>
      </c>
      <c r="D225" s="909">
        <v>4792</v>
      </c>
      <c r="E225" s="909">
        <v>5117</v>
      </c>
      <c r="F225" s="909">
        <v>6100</v>
      </c>
      <c r="G225" s="909" t="s">
        <v>273</v>
      </c>
      <c r="H225" s="909" t="s">
        <v>273</v>
      </c>
      <c r="I225" s="909" t="s">
        <v>273</v>
      </c>
      <c r="J225" s="909" t="s">
        <v>273</v>
      </c>
      <c r="K225" s="909" t="s">
        <v>273</v>
      </c>
      <c r="L225" s="909" t="s">
        <v>273</v>
      </c>
      <c r="M225" s="909" t="s">
        <v>273</v>
      </c>
      <c r="N225" s="909" t="s">
        <v>273</v>
      </c>
      <c r="O225" s="909" t="s">
        <v>273</v>
      </c>
      <c r="P225" s="909" t="s">
        <v>273</v>
      </c>
      <c r="Q225" s="909" t="s">
        <v>273</v>
      </c>
      <c r="R225" s="909" t="s">
        <v>273</v>
      </c>
      <c r="S225" s="909" t="s">
        <v>273</v>
      </c>
    </row>
    <row r="226" spans="1:19">
      <c r="A226" s="909" t="s">
        <v>1625</v>
      </c>
      <c r="B226" s="909">
        <v>2403</v>
      </c>
      <c r="C226" s="909">
        <v>2314</v>
      </c>
      <c r="D226" s="909">
        <v>1741</v>
      </c>
      <c r="E226" s="909">
        <v>2140</v>
      </c>
      <c r="F226" s="909">
        <v>2630</v>
      </c>
      <c r="G226" s="909" t="s">
        <v>273</v>
      </c>
      <c r="H226" s="909" t="s">
        <v>273</v>
      </c>
      <c r="I226" s="909" t="s">
        <v>273</v>
      </c>
      <c r="J226" s="909" t="s">
        <v>273</v>
      </c>
      <c r="K226" s="909" t="s">
        <v>273</v>
      </c>
      <c r="L226" s="909" t="s">
        <v>273</v>
      </c>
      <c r="M226" s="909" t="s">
        <v>273</v>
      </c>
      <c r="N226" s="909" t="s">
        <v>273</v>
      </c>
      <c r="O226" s="909" t="s">
        <v>273</v>
      </c>
      <c r="P226" s="909" t="s">
        <v>273</v>
      </c>
      <c r="Q226" s="909" t="s">
        <v>273</v>
      </c>
      <c r="R226" s="909" t="s">
        <v>273</v>
      </c>
      <c r="S226" s="909" t="s">
        <v>273</v>
      </c>
    </row>
    <row r="227" spans="1:19">
      <c r="A227" s="909" t="s">
        <v>1624</v>
      </c>
      <c r="B227" s="909">
        <v>40879</v>
      </c>
      <c r="C227" s="909">
        <v>40152</v>
      </c>
      <c r="D227" s="909">
        <v>55620</v>
      </c>
      <c r="E227" s="909">
        <v>54679</v>
      </c>
      <c r="F227" s="909">
        <v>58695</v>
      </c>
      <c r="G227" s="909">
        <v>61948</v>
      </c>
      <c r="H227" s="909">
        <v>66707</v>
      </c>
      <c r="I227" s="909">
        <v>81637</v>
      </c>
      <c r="J227" s="909">
        <v>123202</v>
      </c>
      <c r="K227" s="909">
        <v>128301</v>
      </c>
      <c r="L227" s="909">
        <v>124600</v>
      </c>
      <c r="M227" s="909">
        <v>118585</v>
      </c>
      <c r="N227" s="909">
        <v>101240</v>
      </c>
      <c r="O227" s="909">
        <v>112199</v>
      </c>
      <c r="P227" s="909">
        <v>126595</v>
      </c>
      <c r="Q227" s="909">
        <v>135129</v>
      </c>
      <c r="R227" s="909">
        <v>123194</v>
      </c>
      <c r="S227" s="909">
        <v>129319</v>
      </c>
    </row>
    <row r="228" spans="1:19">
      <c r="A228" s="909" t="s">
        <v>1623</v>
      </c>
      <c r="B228" s="909">
        <v>40151</v>
      </c>
      <c r="C228" s="909">
        <v>38300</v>
      </c>
      <c r="D228" s="909">
        <v>54335</v>
      </c>
      <c r="E228" s="909">
        <v>53287</v>
      </c>
      <c r="F228" s="909">
        <v>57112</v>
      </c>
      <c r="G228" s="909">
        <v>57901</v>
      </c>
      <c r="H228" s="909">
        <v>63716</v>
      </c>
      <c r="I228" s="909">
        <v>78770</v>
      </c>
      <c r="J228" s="909">
        <v>108970</v>
      </c>
      <c r="K228" s="909">
        <v>112741</v>
      </c>
      <c r="L228" s="909">
        <v>107355</v>
      </c>
      <c r="M228" s="909">
        <v>100326</v>
      </c>
      <c r="N228" s="909">
        <v>79929</v>
      </c>
      <c r="O228" s="909">
        <v>91917</v>
      </c>
      <c r="P228" s="909" t="s">
        <v>291</v>
      </c>
      <c r="Q228" s="909" t="s">
        <v>291</v>
      </c>
      <c r="R228" s="909">
        <v>112847</v>
      </c>
      <c r="S228" s="909">
        <v>118684</v>
      </c>
    </row>
    <row r="229" spans="1:19">
      <c r="A229" s="909" t="s">
        <v>1622</v>
      </c>
      <c r="B229" s="909">
        <v>728</v>
      </c>
      <c r="C229" s="909">
        <v>1853</v>
      </c>
      <c r="D229" s="909">
        <v>1285</v>
      </c>
      <c r="E229" s="909">
        <v>1393</v>
      </c>
      <c r="F229" s="909">
        <v>1582</v>
      </c>
      <c r="G229" s="909">
        <v>4047</v>
      </c>
      <c r="H229" s="909">
        <v>2990</v>
      </c>
      <c r="I229" s="909">
        <v>2868</v>
      </c>
      <c r="J229" s="909">
        <v>14232</v>
      </c>
      <c r="K229" s="909">
        <v>15560</v>
      </c>
      <c r="L229" s="909">
        <v>17245</v>
      </c>
      <c r="M229" s="909">
        <v>18259</v>
      </c>
      <c r="N229" s="909">
        <v>21311</v>
      </c>
      <c r="O229" s="909">
        <v>20281</v>
      </c>
      <c r="P229" s="909" t="s">
        <v>291</v>
      </c>
      <c r="Q229" s="909" t="s">
        <v>291</v>
      </c>
      <c r="R229" s="909">
        <v>10347</v>
      </c>
      <c r="S229" s="909">
        <v>10635</v>
      </c>
    </row>
    <row r="230" spans="1:19">
      <c r="A230" s="909" t="s">
        <v>1621</v>
      </c>
      <c r="B230" s="909">
        <v>198749</v>
      </c>
      <c r="C230" s="909">
        <v>217086</v>
      </c>
      <c r="D230" s="909">
        <v>240272</v>
      </c>
      <c r="E230" s="909">
        <v>285195</v>
      </c>
      <c r="F230" s="909">
        <v>316847</v>
      </c>
      <c r="G230" s="909">
        <v>435256</v>
      </c>
      <c r="H230" s="909">
        <v>463981</v>
      </c>
      <c r="I230" s="909">
        <v>514462</v>
      </c>
      <c r="J230" s="909">
        <v>649773</v>
      </c>
      <c r="K230" s="909">
        <v>686551</v>
      </c>
      <c r="L230" s="909">
        <v>722537</v>
      </c>
      <c r="M230" s="909">
        <v>734859</v>
      </c>
      <c r="N230" s="909">
        <v>733469</v>
      </c>
      <c r="O230" s="909">
        <v>775772</v>
      </c>
      <c r="P230" s="909">
        <v>629357</v>
      </c>
      <c r="Q230" s="909">
        <v>695696</v>
      </c>
      <c r="R230" s="909">
        <v>657685</v>
      </c>
      <c r="S230" s="909">
        <v>674664</v>
      </c>
    </row>
    <row r="231" spans="1:19">
      <c r="A231" s="909" t="s">
        <v>1620</v>
      </c>
      <c r="B231" s="909">
        <v>145740</v>
      </c>
      <c r="C231" s="909">
        <v>163419</v>
      </c>
      <c r="D231" s="909">
        <v>182242</v>
      </c>
      <c r="E231" s="909">
        <v>208511</v>
      </c>
      <c r="F231" s="909">
        <v>232920</v>
      </c>
      <c r="G231" s="909">
        <v>334505</v>
      </c>
      <c r="H231" s="909">
        <v>352144</v>
      </c>
      <c r="I231" s="909">
        <v>394056</v>
      </c>
      <c r="J231" s="909">
        <v>518359</v>
      </c>
      <c r="K231" s="909">
        <v>564302</v>
      </c>
      <c r="L231" s="909">
        <v>580122</v>
      </c>
      <c r="M231" s="909">
        <v>597853</v>
      </c>
      <c r="N231" s="909">
        <v>596566</v>
      </c>
      <c r="O231" s="909">
        <v>617806</v>
      </c>
      <c r="P231" s="909">
        <v>487641</v>
      </c>
      <c r="Q231" s="909">
        <v>546493</v>
      </c>
      <c r="R231" s="909">
        <v>519463</v>
      </c>
      <c r="S231" s="909">
        <v>532989</v>
      </c>
    </row>
    <row r="232" spans="1:19">
      <c r="A232" s="909" t="s">
        <v>1619</v>
      </c>
      <c r="B232" s="909">
        <v>86220</v>
      </c>
      <c r="C232" s="909">
        <v>103112</v>
      </c>
      <c r="D232" s="909">
        <v>109236</v>
      </c>
      <c r="E232" s="909">
        <v>122163</v>
      </c>
      <c r="F232" s="909">
        <v>144792</v>
      </c>
      <c r="G232" s="909">
        <v>195885</v>
      </c>
      <c r="H232" s="909">
        <v>225396</v>
      </c>
      <c r="I232" s="909">
        <v>256698</v>
      </c>
      <c r="J232" s="909">
        <v>312606</v>
      </c>
      <c r="K232" s="909">
        <v>321104</v>
      </c>
      <c r="L232" s="909">
        <v>330614</v>
      </c>
      <c r="M232" s="909">
        <v>345734</v>
      </c>
      <c r="N232" s="909">
        <v>322170</v>
      </c>
      <c r="O232" s="909">
        <v>364517</v>
      </c>
      <c r="P232" s="909">
        <v>268293</v>
      </c>
      <c r="Q232" s="909">
        <v>305774</v>
      </c>
      <c r="R232" s="909">
        <v>265940</v>
      </c>
      <c r="S232" s="909">
        <v>285798</v>
      </c>
    </row>
    <row r="233" spans="1:19">
      <c r="A233" s="909" t="s">
        <v>1618</v>
      </c>
      <c r="B233" s="909">
        <v>15207</v>
      </c>
      <c r="C233" s="909">
        <v>18555</v>
      </c>
      <c r="D233" s="909">
        <v>21239</v>
      </c>
      <c r="E233" s="909">
        <v>28485</v>
      </c>
      <c r="F233" s="909">
        <v>46739</v>
      </c>
      <c r="G233" s="909">
        <v>58124</v>
      </c>
      <c r="H233" s="909">
        <v>72285</v>
      </c>
      <c r="I233" s="909">
        <v>73508</v>
      </c>
      <c r="J233" s="909">
        <v>88428</v>
      </c>
      <c r="K233" s="909">
        <v>103311</v>
      </c>
      <c r="L233" s="909">
        <v>159992</v>
      </c>
      <c r="M233" s="909">
        <v>182841</v>
      </c>
      <c r="N233" s="909">
        <v>154275</v>
      </c>
      <c r="O233" s="909">
        <v>160206</v>
      </c>
      <c r="P233" s="909">
        <v>87461</v>
      </c>
      <c r="Q233" s="909">
        <v>85096</v>
      </c>
      <c r="R233" s="909">
        <v>62368</v>
      </c>
      <c r="S233" s="909">
        <v>63374</v>
      </c>
    </row>
    <row r="234" spans="1:19">
      <c r="A234" s="909" t="s">
        <v>1617</v>
      </c>
      <c r="B234" s="909">
        <v>71013</v>
      </c>
      <c r="C234" s="909">
        <v>84556</v>
      </c>
      <c r="D234" s="909">
        <v>87997</v>
      </c>
      <c r="E234" s="909">
        <v>93678</v>
      </c>
      <c r="F234" s="909">
        <v>98053</v>
      </c>
      <c r="G234" s="909">
        <v>137760</v>
      </c>
      <c r="H234" s="909">
        <v>153111</v>
      </c>
      <c r="I234" s="909">
        <v>183190</v>
      </c>
      <c r="J234" s="909">
        <v>224178</v>
      </c>
      <c r="K234" s="909">
        <v>217793</v>
      </c>
      <c r="L234" s="909">
        <v>170623</v>
      </c>
      <c r="M234" s="909">
        <v>162893</v>
      </c>
      <c r="N234" s="909">
        <v>167894</v>
      </c>
      <c r="O234" s="909">
        <v>204312</v>
      </c>
      <c r="P234" s="909">
        <v>180832</v>
      </c>
      <c r="Q234" s="909">
        <v>220677</v>
      </c>
      <c r="R234" s="909">
        <v>203572</v>
      </c>
      <c r="S234" s="909">
        <v>222424</v>
      </c>
    </row>
    <row r="235" spans="1:19">
      <c r="A235" s="909" t="s">
        <v>1616</v>
      </c>
      <c r="B235" s="909">
        <v>59520</v>
      </c>
      <c r="C235" s="909">
        <v>60307</v>
      </c>
      <c r="D235" s="909">
        <v>73006</v>
      </c>
      <c r="E235" s="909">
        <v>86348</v>
      </c>
      <c r="F235" s="909">
        <v>88128</v>
      </c>
      <c r="G235" s="909">
        <v>138621</v>
      </c>
      <c r="H235" s="909">
        <v>126748</v>
      </c>
      <c r="I235" s="909">
        <v>137358</v>
      </c>
      <c r="J235" s="909">
        <v>205753</v>
      </c>
      <c r="K235" s="909">
        <v>243198</v>
      </c>
      <c r="L235" s="909">
        <v>249507</v>
      </c>
      <c r="M235" s="909">
        <v>252119</v>
      </c>
      <c r="N235" s="909">
        <v>274396</v>
      </c>
      <c r="O235" s="909">
        <v>253288</v>
      </c>
      <c r="P235" s="909">
        <v>219348</v>
      </c>
      <c r="Q235" s="909">
        <v>240720</v>
      </c>
      <c r="R235" s="909">
        <v>253522</v>
      </c>
      <c r="S235" s="909">
        <v>247191</v>
      </c>
    </row>
    <row r="236" spans="1:19">
      <c r="A236" s="909" t="s">
        <v>1615</v>
      </c>
      <c r="B236" s="909">
        <v>56459</v>
      </c>
      <c r="C236" s="909">
        <v>57819</v>
      </c>
      <c r="D236" s="909">
        <v>68537</v>
      </c>
      <c r="E236" s="909">
        <v>80371</v>
      </c>
      <c r="F236" s="909">
        <v>81754</v>
      </c>
      <c r="G236" s="909">
        <v>130992</v>
      </c>
      <c r="H236" s="909">
        <v>117259</v>
      </c>
      <c r="I236" s="909">
        <v>126022</v>
      </c>
      <c r="J236" s="909">
        <v>189631</v>
      </c>
      <c r="K236" s="909">
        <v>227948</v>
      </c>
      <c r="L236" s="909">
        <v>221646</v>
      </c>
      <c r="M236" s="909">
        <v>223945</v>
      </c>
      <c r="N236" s="909">
        <v>232024</v>
      </c>
      <c r="O236" s="909">
        <v>213847</v>
      </c>
      <c r="P236" s="909">
        <v>169426</v>
      </c>
      <c r="Q236" s="909">
        <v>175235</v>
      </c>
      <c r="R236" s="909">
        <v>187651</v>
      </c>
      <c r="S236" s="909">
        <v>191396</v>
      </c>
    </row>
    <row r="237" spans="1:19">
      <c r="A237" s="909" t="s">
        <v>1614</v>
      </c>
      <c r="B237" s="909" t="s">
        <v>273</v>
      </c>
      <c r="C237" s="909" t="s">
        <v>273</v>
      </c>
      <c r="D237" s="909" t="s">
        <v>273</v>
      </c>
      <c r="E237" s="909" t="s">
        <v>273</v>
      </c>
      <c r="F237" s="909" t="s">
        <v>273</v>
      </c>
      <c r="G237" s="909" t="s">
        <v>273</v>
      </c>
      <c r="H237" s="909" t="s">
        <v>273</v>
      </c>
      <c r="I237" s="909" t="s">
        <v>273</v>
      </c>
      <c r="J237" s="909" t="s">
        <v>273</v>
      </c>
      <c r="K237" s="909" t="s">
        <v>273</v>
      </c>
      <c r="L237" s="909" t="s">
        <v>273</v>
      </c>
      <c r="M237" s="909" t="s">
        <v>273</v>
      </c>
      <c r="N237" s="909" t="s">
        <v>273</v>
      </c>
      <c r="O237" s="909">
        <v>162098</v>
      </c>
      <c r="P237" s="909">
        <v>114165</v>
      </c>
      <c r="Q237" s="909">
        <v>126216</v>
      </c>
      <c r="R237" s="909">
        <v>145866</v>
      </c>
      <c r="S237" s="909">
        <v>124704</v>
      </c>
    </row>
    <row r="238" spans="1:19">
      <c r="A238" s="909" t="s">
        <v>1613</v>
      </c>
      <c r="B238" s="909">
        <v>50065</v>
      </c>
      <c r="C238" s="909">
        <v>51446</v>
      </c>
      <c r="D238" s="909">
        <v>63320</v>
      </c>
      <c r="E238" s="909">
        <v>74818</v>
      </c>
      <c r="F238" s="909">
        <v>75936</v>
      </c>
      <c r="G238" s="909">
        <v>114395</v>
      </c>
      <c r="H238" s="909">
        <v>100992</v>
      </c>
      <c r="I238" s="909">
        <v>109069</v>
      </c>
      <c r="J238" s="909">
        <v>163954</v>
      </c>
      <c r="K238" s="909">
        <v>187657</v>
      </c>
      <c r="L238" s="909">
        <v>197624</v>
      </c>
      <c r="M238" s="909">
        <v>178012</v>
      </c>
      <c r="N238" s="909">
        <v>169021</v>
      </c>
      <c r="O238" s="909" t="s">
        <v>273</v>
      </c>
      <c r="P238" s="909" t="s">
        <v>273</v>
      </c>
      <c r="Q238" s="909" t="s">
        <v>273</v>
      </c>
      <c r="R238" s="909" t="s">
        <v>273</v>
      </c>
      <c r="S238" s="909" t="s">
        <v>273</v>
      </c>
    </row>
    <row r="239" spans="1:19">
      <c r="A239" s="909" t="s">
        <v>1612</v>
      </c>
      <c r="B239" s="909">
        <v>6394</v>
      </c>
      <c r="C239" s="909">
        <v>6373</v>
      </c>
      <c r="D239" s="909">
        <v>5217</v>
      </c>
      <c r="E239" s="909">
        <v>5553</v>
      </c>
      <c r="F239" s="909">
        <v>5817</v>
      </c>
      <c r="G239" s="909">
        <v>16597</v>
      </c>
      <c r="H239" s="909">
        <v>16267</v>
      </c>
      <c r="I239" s="909">
        <v>16952</v>
      </c>
      <c r="J239" s="909">
        <v>25677</v>
      </c>
      <c r="K239" s="909">
        <v>40291</v>
      </c>
      <c r="L239" s="909">
        <v>24022</v>
      </c>
      <c r="M239" s="909">
        <v>45932</v>
      </c>
      <c r="N239" s="909">
        <v>63003</v>
      </c>
      <c r="O239" s="909">
        <v>51749</v>
      </c>
      <c r="P239" s="909">
        <v>55261</v>
      </c>
      <c r="Q239" s="909">
        <v>49018</v>
      </c>
      <c r="R239" s="909">
        <v>41785</v>
      </c>
      <c r="S239" s="909">
        <v>66692</v>
      </c>
    </row>
    <row r="240" spans="1:19">
      <c r="A240" s="909" t="s">
        <v>1611</v>
      </c>
      <c r="B240" s="909">
        <v>3061</v>
      </c>
      <c r="C240" s="909">
        <v>2488</v>
      </c>
      <c r="D240" s="909">
        <v>4469</v>
      </c>
      <c r="E240" s="909">
        <v>5978</v>
      </c>
      <c r="F240" s="909">
        <v>6374</v>
      </c>
      <c r="G240" s="909">
        <v>7628</v>
      </c>
      <c r="H240" s="909">
        <v>9489</v>
      </c>
      <c r="I240" s="909">
        <v>11336</v>
      </c>
      <c r="J240" s="909">
        <v>16122</v>
      </c>
      <c r="K240" s="909">
        <v>15250</v>
      </c>
      <c r="L240" s="909">
        <v>27862</v>
      </c>
      <c r="M240" s="909">
        <v>28175</v>
      </c>
      <c r="N240" s="909">
        <v>42372</v>
      </c>
      <c r="O240" s="909">
        <v>39441</v>
      </c>
      <c r="P240" s="909">
        <v>49921</v>
      </c>
      <c r="Q240" s="909">
        <v>65485</v>
      </c>
      <c r="R240" s="909">
        <v>65871</v>
      </c>
      <c r="S240" s="909">
        <v>55795</v>
      </c>
    </row>
    <row r="241" spans="1:19">
      <c r="A241" s="909" t="s">
        <v>1610</v>
      </c>
      <c r="B241" s="909">
        <v>53009</v>
      </c>
      <c r="C241" s="909">
        <v>53666</v>
      </c>
      <c r="D241" s="909">
        <v>58030</v>
      </c>
      <c r="E241" s="909">
        <v>76684</v>
      </c>
      <c r="F241" s="909">
        <v>83926</v>
      </c>
      <c r="G241" s="909">
        <v>100751</v>
      </c>
      <c r="H241" s="909">
        <v>111837</v>
      </c>
      <c r="I241" s="909">
        <v>120406</v>
      </c>
      <c r="J241" s="909">
        <v>131415</v>
      </c>
      <c r="K241" s="909">
        <v>122250</v>
      </c>
      <c r="L241" s="909">
        <v>142415</v>
      </c>
      <c r="M241" s="909">
        <v>137006</v>
      </c>
      <c r="N241" s="909">
        <v>136903</v>
      </c>
      <c r="O241" s="909">
        <v>157967</v>
      </c>
      <c r="P241" s="909">
        <v>141716</v>
      </c>
      <c r="Q241" s="909">
        <v>149203</v>
      </c>
      <c r="R241" s="909">
        <v>138222</v>
      </c>
      <c r="S241" s="909">
        <v>141675</v>
      </c>
    </row>
    <row r="242" spans="1:19">
      <c r="A242" s="909" t="s">
        <v>1609</v>
      </c>
      <c r="B242" s="909">
        <v>36561</v>
      </c>
      <c r="C242" s="909">
        <v>35802</v>
      </c>
      <c r="D242" s="909">
        <v>38649</v>
      </c>
      <c r="E242" s="909">
        <v>43417</v>
      </c>
      <c r="F242" s="909">
        <v>46455</v>
      </c>
      <c r="G242" s="909">
        <v>51641</v>
      </c>
      <c r="H242" s="909">
        <v>55334</v>
      </c>
      <c r="I242" s="909">
        <v>58918</v>
      </c>
      <c r="J242" s="909">
        <v>64343</v>
      </c>
      <c r="K242" s="909">
        <v>59428</v>
      </c>
      <c r="L242" s="909">
        <v>71407</v>
      </c>
      <c r="M242" s="909">
        <v>59731</v>
      </c>
      <c r="N242" s="909">
        <v>55537</v>
      </c>
      <c r="O242" s="909">
        <v>61533</v>
      </c>
      <c r="P242" s="909">
        <v>59204</v>
      </c>
      <c r="Q242" s="909">
        <v>64865</v>
      </c>
      <c r="R242" s="909">
        <v>63482</v>
      </c>
      <c r="S242" s="909">
        <v>60744</v>
      </c>
    </row>
    <row r="243" spans="1:19">
      <c r="A243" s="909" t="s">
        <v>1608</v>
      </c>
      <c r="B243" s="909">
        <v>12344</v>
      </c>
      <c r="C243" s="909">
        <v>13990</v>
      </c>
      <c r="D243" s="909">
        <v>16776</v>
      </c>
      <c r="E243" s="909">
        <v>23008</v>
      </c>
      <c r="F243" s="909">
        <v>25786</v>
      </c>
      <c r="G243" s="909">
        <v>34734</v>
      </c>
      <c r="H243" s="909">
        <v>41397</v>
      </c>
      <c r="I243" s="909">
        <v>47049</v>
      </c>
      <c r="J243" s="909">
        <v>51339</v>
      </c>
      <c r="K243" s="909">
        <v>44517</v>
      </c>
      <c r="L243" s="909">
        <v>57332</v>
      </c>
      <c r="M243" s="909">
        <v>62583</v>
      </c>
      <c r="N243" s="909">
        <v>61698</v>
      </c>
      <c r="O243" s="909">
        <v>76192</v>
      </c>
      <c r="P243" s="909">
        <v>57328</v>
      </c>
      <c r="Q243" s="909">
        <v>60595</v>
      </c>
      <c r="R243" s="909">
        <v>51446</v>
      </c>
      <c r="S243" s="909">
        <v>56642</v>
      </c>
    </row>
    <row r="244" spans="1:19">
      <c r="A244" s="909" t="s">
        <v>1607</v>
      </c>
      <c r="B244" s="909">
        <v>4104</v>
      </c>
      <c r="C244" s="909">
        <v>3875</v>
      </c>
      <c r="D244" s="909">
        <v>2604</v>
      </c>
      <c r="E244" s="909">
        <v>10258</v>
      </c>
      <c r="F244" s="909">
        <v>11686</v>
      </c>
      <c r="G244" s="909">
        <v>14376</v>
      </c>
      <c r="H244" s="909">
        <v>15105</v>
      </c>
      <c r="I244" s="909">
        <v>14439</v>
      </c>
      <c r="J244" s="909">
        <v>15733</v>
      </c>
      <c r="K244" s="909">
        <v>18305</v>
      </c>
      <c r="L244" s="909">
        <v>13675</v>
      </c>
      <c r="M244" s="909">
        <v>14692</v>
      </c>
      <c r="N244" s="909">
        <v>19669</v>
      </c>
      <c r="O244" s="909">
        <v>20242</v>
      </c>
      <c r="P244" s="909">
        <v>25184</v>
      </c>
      <c r="Q244" s="909">
        <v>23743</v>
      </c>
      <c r="R244" s="909">
        <v>23294</v>
      </c>
      <c r="S244" s="909">
        <v>24289</v>
      </c>
    </row>
    <row r="245" spans="1:19">
      <c r="A245" s="909" t="s">
        <v>1606</v>
      </c>
      <c r="B245" s="909">
        <v>29968</v>
      </c>
      <c r="C245" s="909">
        <v>32868</v>
      </c>
      <c r="D245" s="909">
        <v>34306</v>
      </c>
      <c r="E245" s="909">
        <v>31068</v>
      </c>
      <c r="F245" s="909">
        <v>35832</v>
      </c>
      <c r="G245" s="909">
        <v>53964</v>
      </c>
      <c r="H245" s="909">
        <v>57164</v>
      </c>
      <c r="I245" s="909">
        <v>69213</v>
      </c>
      <c r="J245" s="909">
        <v>81344</v>
      </c>
      <c r="K245" s="909">
        <v>77393</v>
      </c>
      <c r="L245" s="909">
        <v>79548</v>
      </c>
      <c r="M245" s="909">
        <v>81874</v>
      </c>
      <c r="N245" s="909">
        <v>81503</v>
      </c>
      <c r="O245" s="909">
        <v>91488</v>
      </c>
      <c r="P245" s="909">
        <v>95973</v>
      </c>
      <c r="Q245" s="909">
        <v>110902</v>
      </c>
      <c r="R245" s="909">
        <v>111160</v>
      </c>
      <c r="S245" s="909">
        <v>120159</v>
      </c>
    </row>
    <row r="246" spans="1:19">
      <c r="A246" s="909" t="s">
        <v>1605</v>
      </c>
      <c r="B246" s="909">
        <v>2844</v>
      </c>
      <c r="C246" s="909">
        <v>3061</v>
      </c>
      <c r="D246" s="909">
        <v>2585</v>
      </c>
      <c r="E246" s="909">
        <v>2688</v>
      </c>
      <c r="F246" s="909">
        <v>2005</v>
      </c>
      <c r="G246" s="909">
        <v>2222</v>
      </c>
      <c r="H246" s="909">
        <v>1911</v>
      </c>
      <c r="I246" s="909">
        <v>2373</v>
      </c>
      <c r="J246" s="909">
        <v>3847</v>
      </c>
      <c r="K246" s="909">
        <v>3371</v>
      </c>
      <c r="L246" s="909">
        <v>5892</v>
      </c>
      <c r="M246" s="909">
        <v>6322</v>
      </c>
      <c r="N246" s="909">
        <v>6768</v>
      </c>
      <c r="O246" s="909">
        <v>7076</v>
      </c>
      <c r="P246" s="909">
        <v>8379</v>
      </c>
      <c r="Q246" s="909">
        <v>9564</v>
      </c>
      <c r="R246" s="909">
        <v>8939</v>
      </c>
      <c r="S246" s="909">
        <v>10239</v>
      </c>
    </row>
    <row r="247" spans="1:19">
      <c r="A247" s="909" t="s">
        <v>1604</v>
      </c>
      <c r="B247" s="909">
        <v>14809</v>
      </c>
      <c r="C247" s="909">
        <v>14991</v>
      </c>
      <c r="D247" s="909">
        <v>16058</v>
      </c>
      <c r="E247" s="909">
        <v>14002</v>
      </c>
      <c r="F247" s="909">
        <v>19152</v>
      </c>
      <c r="G247" s="909">
        <v>29317</v>
      </c>
      <c r="H247" s="909">
        <v>28479</v>
      </c>
      <c r="I247" s="909">
        <v>36841</v>
      </c>
      <c r="J247" s="909">
        <v>42701</v>
      </c>
      <c r="K247" s="909">
        <v>28632</v>
      </c>
      <c r="L247" s="909">
        <v>33832</v>
      </c>
      <c r="M247" s="909">
        <v>36335</v>
      </c>
      <c r="N247" s="909">
        <v>38205</v>
      </c>
      <c r="O247" s="909">
        <v>38622</v>
      </c>
      <c r="P247" s="909">
        <v>41042</v>
      </c>
      <c r="Q247" s="909">
        <v>43709</v>
      </c>
      <c r="R247" s="909">
        <v>45582</v>
      </c>
      <c r="S247" s="909">
        <v>51091</v>
      </c>
    </row>
    <row r="248" spans="1:19">
      <c r="A248" s="909" t="s">
        <v>1603</v>
      </c>
      <c r="B248" s="909">
        <v>3670</v>
      </c>
      <c r="C248" s="909">
        <v>4302</v>
      </c>
      <c r="D248" s="909">
        <v>4067</v>
      </c>
      <c r="E248" s="909">
        <v>4672</v>
      </c>
      <c r="F248" s="909">
        <v>6205</v>
      </c>
      <c r="G248" s="909">
        <v>8406</v>
      </c>
      <c r="H248" s="909">
        <v>10977</v>
      </c>
      <c r="I248" s="909">
        <v>12381</v>
      </c>
      <c r="J248" s="909">
        <v>12444</v>
      </c>
      <c r="K248" s="909">
        <v>10278</v>
      </c>
      <c r="L248" s="909">
        <v>13725</v>
      </c>
      <c r="M248" s="909">
        <v>7738</v>
      </c>
      <c r="N248" s="909">
        <v>9341</v>
      </c>
      <c r="O248" s="909">
        <v>15073</v>
      </c>
      <c r="P248" s="909">
        <v>15232</v>
      </c>
      <c r="Q248" s="909">
        <v>19157</v>
      </c>
      <c r="R248" s="909">
        <v>19067</v>
      </c>
      <c r="S248" s="909">
        <v>21028</v>
      </c>
    </row>
    <row r="249" spans="1:19">
      <c r="A249" s="909" t="s">
        <v>1602</v>
      </c>
      <c r="B249" s="909">
        <v>5134</v>
      </c>
      <c r="C249" s="909">
        <v>6550</v>
      </c>
      <c r="D249" s="909">
        <v>7770</v>
      </c>
      <c r="E249" s="909">
        <v>5288</v>
      </c>
      <c r="F249" s="909">
        <v>4917</v>
      </c>
      <c r="G249" s="909">
        <v>6637</v>
      </c>
      <c r="H249" s="909">
        <v>8285</v>
      </c>
      <c r="I249" s="909">
        <v>7659</v>
      </c>
      <c r="J249" s="909">
        <v>11989</v>
      </c>
      <c r="K249" s="909">
        <v>22469</v>
      </c>
      <c r="L249" s="909">
        <v>12370</v>
      </c>
      <c r="M249" s="909">
        <v>13202</v>
      </c>
      <c r="N249" s="909">
        <v>11877</v>
      </c>
      <c r="O249" s="909">
        <v>11388</v>
      </c>
      <c r="P249" s="909">
        <v>11560</v>
      </c>
      <c r="Q249" s="909">
        <v>13562</v>
      </c>
      <c r="R249" s="909">
        <v>14135</v>
      </c>
      <c r="S249" s="909">
        <v>14235</v>
      </c>
    </row>
    <row r="250" spans="1:19">
      <c r="A250" s="909" t="s">
        <v>236</v>
      </c>
      <c r="B250" s="909">
        <v>3511</v>
      </c>
      <c r="C250" s="909">
        <v>3964</v>
      </c>
      <c r="D250" s="909">
        <v>3825</v>
      </c>
      <c r="E250" s="909">
        <v>4418</v>
      </c>
      <c r="F250" s="909">
        <v>3553</v>
      </c>
      <c r="G250" s="909">
        <v>7382</v>
      </c>
      <c r="H250" s="909">
        <v>7512</v>
      </c>
      <c r="I250" s="909">
        <v>9959</v>
      </c>
      <c r="J250" s="909">
        <v>10363</v>
      </c>
      <c r="K250" s="909">
        <v>12643</v>
      </c>
      <c r="L250" s="909">
        <v>13729</v>
      </c>
      <c r="M250" s="909">
        <v>18277</v>
      </c>
      <c r="N250" s="909">
        <v>15313</v>
      </c>
      <c r="O250" s="909">
        <v>19329</v>
      </c>
      <c r="P250" s="909">
        <v>19760</v>
      </c>
      <c r="Q250" s="909">
        <v>24909</v>
      </c>
      <c r="R250" s="909">
        <v>23436</v>
      </c>
      <c r="S250" s="909">
        <v>23566</v>
      </c>
    </row>
    <row r="251" spans="1:19">
      <c r="A251" s="909" t="s">
        <v>1601</v>
      </c>
      <c r="B251" s="909">
        <v>370</v>
      </c>
      <c r="C251" s="909">
        <v>559</v>
      </c>
      <c r="D251" s="909">
        <v>738</v>
      </c>
      <c r="E251" s="909">
        <v>918</v>
      </c>
      <c r="F251" s="909">
        <v>1109</v>
      </c>
      <c r="G251" s="909" t="s">
        <v>291</v>
      </c>
      <c r="H251" s="909">
        <v>1309</v>
      </c>
      <c r="I251" s="909">
        <v>2034</v>
      </c>
      <c r="J251" s="909">
        <v>2753</v>
      </c>
      <c r="K251" s="909">
        <v>3103</v>
      </c>
      <c r="L251" s="909">
        <v>3006</v>
      </c>
      <c r="M251" s="909">
        <v>3674</v>
      </c>
      <c r="N251" s="909">
        <v>4976</v>
      </c>
      <c r="O251" s="909">
        <v>4999</v>
      </c>
      <c r="P251" s="909">
        <v>5864</v>
      </c>
      <c r="Q251" s="909">
        <v>6301</v>
      </c>
      <c r="R251" s="909">
        <v>7931</v>
      </c>
      <c r="S251" s="909">
        <v>8889</v>
      </c>
    </row>
    <row r="252" spans="1:19">
      <c r="A252" s="909" t="s">
        <v>1600</v>
      </c>
      <c r="B252" s="909">
        <v>374</v>
      </c>
      <c r="C252" s="909">
        <v>531</v>
      </c>
      <c r="D252" s="909">
        <v>1037</v>
      </c>
      <c r="E252" s="909">
        <v>833</v>
      </c>
      <c r="F252" s="909">
        <v>602</v>
      </c>
      <c r="G252" s="909">
        <v>1013</v>
      </c>
      <c r="H252" s="909">
        <v>1041</v>
      </c>
      <c r="I252" s="909">
        <v>2268</v>
      </c>
      <c r="J252" s="909">
        <v>2649</v>
      </c>
      <c r="K252" s="909">
        <v>3412</v>
      </c>
      <c r="L252" s="909">
        <v>2643</v>
      </c>
      <c r="M252" s="909">
        <v>3536</v>
      </c>
      <c r="N252" s="909">
        <v>2631</v>
      </c>
      <c r="O252" s="909">
        <v>3949</v>
      </c>
      <c r="P252" s="909">
        <v>4636</v>
      </c>
      <c r="Q252" s="909">
        <v>3636</v>
      </c>
      <c r="R252" s="909">
        <v>2459</v>
      </c>
      <c r="S252" s="909">
        <v>3283</v>
      </c>
    </row>
    <row r="253" spans="1:19">
      <c r="A253" s="909" t="s">
        <v>1599</v>
      </c>
      <c r="B253" s="909">
        <v>72</v>
      </c>
      <c r="C253" s="909">
        <v>83</v>
      </c>
      <c r="D253" s="909">
        <v>14</v>
      </c>
      <c r="E253" s="909">
        <v>17</v>
      </c>
      <c r="F253" s="909">
        <v>15</v>
      </c>
      <c r="G253" s="909" t="s">
        <v>291</v>
      </c>
      <c r="H253" s="909">
        <v>109</v>
      </c>
      <c r="I253" s="909">
        <v>34</v>
      </c>
      <c r="J253" s="909">
        <v>123</v>
      </c>
      <c r="K253" s="909">
        <v>138</v>
      </c>
      <c r="L253" s="909">
        <v>209</v>
      </c>
      <c r="M253" s="909">
        <v>265</v>
      </c>
      <c r="N253" s="909">
        <v>269</v>
      </c>
      <c r="O253" s="909">
        <v>288</v>
      </c>
      <c r="P253" s="909">
        <v>180</v>
      </c>
      <c r="Q253" s="909">
        <v>301</v>
      </c>
      <c r="R253" s="909">
        <v>201</v>
      </c>
      <c r="S253" s="909">
        <v>180</v>
      </c>
    </row>
    <row r="254" spans="1:19">
      <c r="A254" s="909" t="s">
        <v>1598</v>
      </c>
      <c r="B254" s="909">
        <v>986</v>
      </c>
      <c r="C254" s="909">
        <v>932</v>
      </c>
      <c r="D254" s="909">
        <v>851</v>
      </c>
      <c r="E254" s="909">
        <v>986</v>
      </c>
      <c r="F254" s="909">
        <v>853</v>
      </c>
      <c r="G254" s="909">
        <v>1000</v>
      </c>
      <c r="H254" s="909">
        <v>967</v>
      </c>
      <c r="I254" s="909">
        <v>1363</v>
      </c>
      <c r="J254" s="909">
        <v>1040</v>
      </c>
      <c r="K254" s="909">
        <v>959</v>
      </c>
      <c r="L254" s="909">
        <v>2437</v>
      </c>
      <c r="M254" s="909">
        <v>2766</v>
      </c>
      <c r="N254" s="909">
        <v>1896</v>
      </c>
      <c r="O254" s="909">
        <v>2318</v>
      </c>
      <c r="P254" s="909">
        <v>3639</v>
      </c>
      <c r="Q254" s="909">
        <v>5641</v>
      </c>
      <c r="R254" s="909">
        <v>6570</v>
      </c>
      <c r="S254" s="909">
        <v>6893</v>
      </c>
    </row>
    <row r="255" spans="1:19">
      <c r="A255" s="909" t="s">
        <v>1597</v>
      </c>
      <c r="B255" s="909">
        <v>1710</v>
      </c>
      <c r="C255" s="909">
        <v>1859</v>
      </c>
      <c r="D255" s="909">
        <v>1185</v>
      </c>
      <c r="E255" s="909">
        <v>1664</v>
      </c>
      <c r="F255" s="909">
        <v>973</v>
      </c>
      <c r="G255" s="909">
        <v>4342</v>
      </c>
      <c r="H255" s="909">
        <v>4086</v>
      </c>
      <c r="I255" s="909">
        <v>4260</v>
      </c>
      <c r="J255" s="909">
        <v>3798</v>
      </c>
      <c r="K255" s="909">
        <v>5031</v>
      </c>
      <c r="L255" s="909">
        <v>5434</v>
      </c>
      <c r="M255" s="909">
        <v>8036</v>
      </c>
      <c r="N255" s="909">
        <v>5541</v>
      </c>
      <c r="O255" s="909">
        <v>7776</v>
      </c>
      <c r="P255" s="909">
        <v>5441</v>
      </c>
      <c r="Q255" s="909">
        <v>9031</v>
      </c>
      <c r="R255" s="909">
        <v>6276</v>
      </c>
      <c r="S255" s="909">
        <v>4320</v>
      </c>
    </row>
    <row r="256" spans="1:19">
      <c r="A256" s="909" t="s">
        <v>1596</v>
      </c>
      <c r="B256" s="909" t="s">
        <v>273</v>
      </c>
      <c r="C256" s="909" t="s">
        <v>273</v>
      </c>
      <c r="D256" s="909">
        <v>449166</v>
      </c>
      <c r="E256" s="909">
        <v>541566</v>
      </c>
      <c r="F256" s="909">
        <v>598964</v>
      </c>
      <c r="G256" s="909">
        <v>760656</v>
      </c>
      <c r="H256" s="909">
        <v>710386</v>
      </c>
      <c r="I256" s="909">
        <v>838566</v>
      </c>
      <c r="J256" s="909">
        <v>1039045</v>
      </c>
      <c r="K256" s="909">
        <v>1198220</v>
      </c>
      <c r="L256" s="909">
        <v>1444844</v>
      </c>
      <c r="M256" s="909">
        <v>1584903</v>
      </c>
      <c r="N256" s="909">
        <v>1808505</v>
      </c>
      <c r="O256" s="909">
        <v>2002880</v>
      </c>
      <c r="P256" s="909">
        <v>2228127</v>
      </c>
      <c r="Q256" s="909">
        <v>2450117</v>
      </c>
      <c r="R256" s="909">
        <v>2622873</v>
      </c>
      <c r="S256" s="909">
        <v>2761524</v>
      </c>
    </row>
    <row r="257" spans="1:19">
      <c r="A257" s="909" t="s">
        <v>1595</v>
      </c>
      <c r="B257" s="909" t="s">
        <v>273</v>
      </c>
      <c r="C257" s="909" t="s">
        <v>273</v>
      </c>
      <c r="D257" s="909">
        <v>446114</v>
      </c>
      <c r="E257" s="909">
        <v>536442</v>
      </c>
      <c r="F257" s="909">
        <v>593415</v>
      </c>
      <c r="G257" s="909">
        <v>758060</v>
      </c>
      <c r="H257" s="909">
        <v>706645</v>
      </c>
      <c r="I257" s="909">
        <v>832788</v>
      </c>
      <c r="J257" s="909">
        <v>1031880</v>
      </c>
      <c r="K257" s="909">
        <v>1189369</v>
      </c>
      <c r="L257" s="909">
        <v>1443498</v>
      </c>
      <c r="M257" s="909">
        <v>1582265</v>
      </c>
      <c r="N257" s="909">
        <v>1806391</v>
      </c>
      <c r="O257" s="909">
        <v>2010897</v>
      </c>
      <c r="P257" s="909">
        <v>2227542</v>
      </c>
      <c r="Q257" s="909">
        <v>2449424</v>
      </c>
      <c r="R257" s="909">
        <v>2617866</v>
      </c>
      <c r="S257" s="909">
        <v>2756022</v>
      </c>
    </row>
    <row r="258" spans="1:19">
      <c r="A258" s="909" t="s">
        <v>1594</v>
      </c>
      <c r="B258" s="909" t="s">
        <v>273</v>
      </c>
      <c r="C258" s="909" t="s">
        <v>273</v>
      </c>
      <c r="D258" s="909">
        <v>3052</v>
      </c>
      <c r="E258" s="909">
        <v>5124</v>
      </c>
      <c r="F258" s="909">
        <v>5549</v>
      </c>
      <c r="G258" s="909">
        <v>2596</v>
      </c>
      <c r="H258" s="909">
        <v>3740</v>
      </c>
      <c r="I258" s="909">
        <v>5778</v>
      </c>
      <c r="J258" s="909">
        <v>7164</v>
      </c>
      <c r="K258" s="909">
        <v>8850</v>
      </c>
      <c r="L258" s="909">
        <v>1347</v>
      </c>
      <c r="M258" s="909">
        <v>2637</v>
      </c>
      <c r="N258" s="909">
        <v>2114</v>
      </c>
      <c r="O258" s="909">
        <v>-8017</v>
      </c>
      <c r="P258" s="909">
        <v>585</v>
      </c>
      <c r="Q258" s="909">
        <v>693</v>
      </c>
      <c r="R258" s="909">
        <v>5007</v>
      </c>
      <c r="S258" s="909">
        <v>5502</v>
      </c>
    </row>
    <row r="259" spans="1:19">
      <c r="A259" s="909" t="s">
        <v>1593</v>
      </c>
      <c r="B259" s="909">
        <v>387709</v>
      </c>
      <c r="C259" s="909">
        <v>441886</v>
      </c>
      <c r="D259" s="909">
        <v>117624</v>
      </c>
      <c r="E259" s="909">
        <v>131599</v>
      </c>
      <c r="F259" s="909">
        <v>136106</v>
      </c>
      <c r="G259" s="909">
        <v>150466</v>
      </c>
      <c r="H259" s="909">
        <v>167640</v>
      </c>
      <c r="I259" s="909">
        <v>172004</v>
      </c>
      <c r="J259" s="909">
        <v>207466</v>
      </c>
      <c r="K259" s="909">
        <v>218845</v>
      </c>
      <c r="L259" s="909">
        <v>227491</v>
      </c>
      <c r="M259" s="909">
        <v>235764</v>
      </c>
      <c r="N259" s="909">
        <v>274178</v>
      </c>
      <c r="O259" s="909">
        <v>285864</v>
      </c>
      <c r="P259" s="909">
        <v>286446</v>
      </c>
      <c r="Q259" s="909">
        <v>292889</v>
      </c>
      <c r="R259" s="909">
        <v>304812</v>
      </c>
      <c r="S259" s="909">
        <v>341754</v>
      </c>
    </row>
    <row r="260" spans="1:19">
      <c r="A260" s="909" t="s">
        <v>1592</v>
      </c>
      <c r="B260" s="909">
        <v>1579</v>
      </c>
      <c r="C260" s="909">
        <v>1752</v>
      </c>
      <c r="D260" s="909">
        <v>1078</v>
      </c>
      <c r="E260" s="909">
        <v>494</v>
      </c>
      <c r="F260" s="909">
        <v>538</v>
      </c>
      <c r="G260" s="909">
        <v>1016</v>
      </c>
      <c r="H260" s="909">
        <v>1337</v>
      </c>
      <c r="I260" s="909">
        <v>1325</v>
      </c>
      <c r="J260" s="909">
        <v>1111</v>
      </c>
      <c r="K260" s="909">
        <v>945</v>
      </c>
      <c r="L260" s="909">
        <v>2007</v>
      </c>
      <c r="M260" s="909">
        <v>2175</v>
      </c>
      <c r="N260" s="909">
        <v>3431</v>
      </c>
      <c r="O260" s="909">
        <v>3762</v>
      </c>
      <c r="P260" s="909">
        <v>3989</v>
      </c>
      <c r="Q260" s="909">
        <v>4136</v>
      </c>
      <c r="R260" s="909">
        <v>4331</v>
      </c>
      <c r="S260" s="909">
        <v>4558</v>
      </c>
    </row>
    <row r="261" spans="1:19">
      <c r="A261" s="909" t="s">
        <v>1591</v>
      </c>
      <c r="B261" s="909">
        <v>930</v>
      </c>
      <c r="C261" s="909">
        <v>869</v>
      </c>
      <c r="D261" s="909">
        <v>501</v>
      </c>
      <c r="E261" s="909">
        <v>184</v>
      </c>
      <c r="F261" s="909">
        <v>218</v>
      </c>
      <c r="G261" s="909">
        <v>488</v>
      </c>
      <c r="H261" s="909">
        <v>778</v>
      </c>
      <c r="I261" s="909">
        <v>726</v>
      </c>
      <c r="J261" s="909">
        <v>247</v>
      </c>
      <c r="K261" s="909">
        <v>208</v>
      </c>
      <c r="L261" s="909">
        <v>670</v>
      </c>
      <c r="M261" s="909">
        <v>674</v>
      </c>
      <c r="N261" s="909">
        <v>2187</v>
      </c>
      <c r="O261" s="909">
        <v>2266</v>
      </c>
      <c r="P261" s="909">
        <v>2230</v>
      </c>
      <c r="Q261" s="909">
        <v>2516</v>
      </c>
      <c r="R261" s="909">
        <v>2710</v>
      </c>
      <c r="S261" s="909">
        <v>2847</v>
      </c>
    </row>
    <row r="262" spans="1:19">
      <c r="A262" s="909" t="s">
        <v>1590</v>
      </c>
      <c r="B262" s="909">
        <v>182</v>
      </c>
      <c r="C262" s="909">
        <v>219</v>
      </c>
      <c r="D262" s="909">
        <v>220</v>
      </c>
      <c r="E262" s="909">
        <v>236</v>
      </c>
      <c r="F262" s="909">
        <v>286</v>
      </c>
      <c r="G262" s="909">
        <v>417</v>
      </c>
      <c r="H262" s="909">
        <v>452</v>
      </c>
      <c r="I262" s="909">
        <v>522</v>
      </c>
      <c r="J262" s="909">
        <v>792</v>
      </c>
      <c r="K262" s="909">
        <v>695</v>
      </c>
      <c r="L262" s="909">
        <v>883</v>
      </c>
      <c r="M262" s="909">
        <v>1023</v>
      </c>
      <c r="N262" s="909">
        <v>907</v>
      </c>
      <c r="O262" s="909">
        <v>1048</v>
      </c>
      <c r="P262" s="909">
        <v>1019</v>
      </c>
      <c r="Q262" s="909">
        <v>1049</v>
      </c>
      <c r="R262" s="909">
        <v>1048</v>
      </c>
      <c r="S262" s="909">
        <v>1207</v>
      </c>
    </row>
    <row r="263" spans="1:19">
      <c r="A263" s="909" t="s">
        <v>1589</v>
      </c>
      <c r="B263" s="909">
        <v>345</v>
      </c>
      <c r="C263" s="909">
        <v>295</v>
      </c>
      <c r="D263" s="909">
        <v>280</v>
      </c>
      <c r="E263" s="909">
        <v>-2</v>
      </c>
      <c r="F263" s="909">
        <v>-31</v>
      </c>
      <c r="G263" s="909">
        <v>60</v>
      </c>
      <c r="H263" s="909">
        <v>61</v>
      </c>
      <c r="I263" s="909">
        <v>40</v>
      </c>
      <c r="J263" s="909">
        <v>40</v>
      </c>
      <c r="K263" s="909">
        <v>4</v>
      </c>
      <c r="L263" s="909" t="s">
        <v>291</v>
      </c>
      <c r="M263" s="909">
        <v>249</v>
      </c>
      <c r="N263" s="909" t="s">
        <v>291</v>
      </c>
      <c r="O263" s="909">
        <v>284</v>
      </c>
      <c r="P263" s="909">
        <v>607</v>
      </c>
      <c r="Q263" s="909">
        <v>457</v>
      </c>
      <c r="R263" s="909">
        <v>440</v>
      </c>
      <c r="S263" s="909">
        <v>413</v>
      </c>
    </row>
    <row r="264" spans="1:19">
      <c r="A264" s="909" t="s">
        <v>1588</v>
      </c>
      <c r="B264" s="909">
        <v>47</v>
      </c>
      <c r="C264" s="909" t="s">
        <v>291</v>
      </c>
      <c r="D264" s="909">
        <v>50</v>
      </c>
      <c r="E264" s="909">
        <v>50</v>
      </c>
      <c r="F264" s="909">
        <v>32</v>
      </c>
      <c r="G264" s="909" t="s">
        <v>291</v>
      </c>
      <c r="H264" s="909">
        <v>21</v>
      </c>
      <c r="I264" s="909">
        <v>20</v>
      </c>
      <c r="J264" s="909">
        <v>20</v>
      </c>
      <c r="K264" s="909">
        <v>20</v>
      </c>
      <c r="L264" s="909">
        <v>0</v>
      </c>
      <c r="M264" s="909">
        <v>0</v>
      </c>
      <c r="N264" s="909">
        <v>0</v>
      </c>
      <c r="O264" s="909">
        <v>0</v>
      </c>
      <c r="P264" s="909">
        <v>0</v>
      </c>
      <c r="Q264" s="909">
        <v>0</v>
      </c>
      <c r="R264" s="909">
        <v>0</v>
      </c>
      <c r="S264" s="909">
        <v>0</v>
      </c>
    </row>
    <row r="265" spans="1:19">
      <c r="A265" s="909" t="s">
        <v>1587</v>
      </c>
      <c r="B265" s="909">
        <v>76</v>
      </c>
      <c r="C265" s="909" t="s">
        <v>291</v>
      </c>
      <c r="D265" s="909">
        <v>26</v>
      </c>
      <c r="E265" s="909">
        <v>26</v>
      </c>
      <c r="F265" s="909">
        <v>33</v>
      </c>
      <c r="G265" s="909" t="s">
        <v>291</v>
      </c>
      <c r="H265" s="909">
        <v>25</v>
      </c>
      <c r="I265" s="909">
        <v>17</v>
      </c>
      <c r="J265" s="909">
        <v>11</v>
      </c>
      <c r="K265" s="909">
        <v>18</v>
      </c>
      <c r="L265" s="909" t="s">
        <v>291</v>
      </c>
      <c r="M265" s="909">
        <v>230</v>
      </c>
      <c r="N265" s="909" t="s">
        <v>291</v>
      </c>
      <c r="O265" s="909">
        <v>164</v>
      </c>
      <c r="P265" s="909">
        <v>132</v>
      </c>
      <c r="Q265" s="909">
        <v>114</v>
      </c>
      <c r="R265" s="909">
        <v>134</v>
      </c>
      <c r="S265" s="909">
        <v>90</v>
      </c>
    </row>
    <row r="266" spans="1:19">
      <c r="A266" s="909" t="s">
        <v>1586</v>
      </c>
      <c r="B266" s="909" t="s">
        <v>273</v>
      </c>
      <c r="C266" s="909" t="s">
        <v>273</v>
      </c>
      <c r="D266" s="909">
        <v>25528</v>
      </c>
      <c r="E266" s="909">
        <v>26401</v>
      </c>
      <c r="F266" s="909">
        <v>18835</v>
      </c>
      <c r="G266" s="909">
        <v>14347</v>
      </c>
      <c r="H266" s="909">
        <v>14552</v>
      </c>
      <c r="I266" s="909">
        <v>13115</v>
      </c>
      <c r="J266" s="909">
        <v>9610</v>
      </c>
      <c r="K266" s="909">
        <v>7375</v>
      </c>
      <c r="L266" s="909">
        <v>5053</v>
      </c>
      <c r="M266" s="909">
        <v>5661</v>
      </c>
      <c r="N266" s="909">
        <v>8640</v>
      </c>
      <c r="O266" s="909">
        <v>10752</v>
      </c>
      <c r="P266" s="909">
        <v>11988</v>
      </c>
      <c r="Q266" s="909">
        <v>12533</v>
      </c>
      <c r="R266" s="909">
        <v>12837</v>
      </c>
      <c r="S266" s="909">
        <v>12092</v>
      </c>
    </row>
    <row r="267" spans="1:19">
      <c r="A267" s="909" t="s">
        <v>1585</v>
      </c>
      <c r="B267" s="909" t="s">
        <v>273</v>
      </c>
      <c r="C267" s="909" t="s">
        <v>273</v>
      </c>
      <c r="D267" s="909">
        <v>23220</v>
      </c>
      <c r="E267" s="909">
        <v>22812</v>
      </c>
      <c r="F267" s="909">
        <v>16019</v>
      </c>
      <c r="G267" s="909">
        <v>12663</v>
      </c>
      <c r="H267" s="909">
        <v>9413</v>
      </c>
      <c r="I267" s="909" t="s">
        <v>291</v>
      </c>
      <c r="J267" s="909">
        <v>9094</v>
      </c>
      <c r="K267" s="909">
        <v>7038</v>
      </c>
      <c r="L267" s="909">
        <v>4555</v>
      </c>
      <c r="M267" s="909">
        <v>5164</v>
      </c>
      <c r="N267" s="909">
        <v>7999</v>
      </c>
      <c r="O267" s="909">
        <v>10158</v>
      </c>
      <c r="P267" s="909">
        <v>11320</v>
      </c>
      <c r="Q267" s="909">
        <v>11446</v>
      </c>
      <c r="R267" s="909">
        <v>11744</v>
      </c>
      <c r="S267" s="909">
        <v>10895</v>
      </c>
    </row>
    <row r="268" spans="1:19">
      <c r="A268" s="909" t="s">
        <v>1584</v>
      </c>
      <c r="B268" s="909" t="s">
        <v>273</v>
      </c>
      <c r="C268" s="909" t="s">
        <v>273</v>
      </c>
      <c r="D268" s="909">
        <v>1737</v>
      </c>
      <c r="E268" s="909">
        <v>3012</v>
      </c>
      <c r="F268" s="909">
        <v>2342</v>
      </c>
      <c r="G268" s="909">
        <v>1452</v>
      </c>
      <c r="H268" s="909">
        <v>4898</v>
      </c>
      <c r="I268" s="909" t="s">
        <v>291</v>
      </c>
      <c r="J268" s="909">
        <v>389</v>
      </c>
      <c r="K268" s="909">
        <v>230</v>
      </c>
      <c r="L268" s="909">
        <v>328</v>
      </c>
      <c r="M268" s="909">
        <v>325</v>
      </c>
      <c r="N268" s="909">
        <v>447</v>
      </c>
      <c r="O268" s="909">
        <v>389</v>
      </c>
      <c r="P268" s="909">
        <v>454</v>
      </c>
      <c r="Q268" s="909" t="s">
        <v>291</v>
      </c>
      <c r="R268" s="909" t="s">
        <v>291</v>
      </c>
      <c r="S268" s="909">
        <v>890</v>
      </c>
    </row>
    <row r="269" spans="1:19">
      <c r="A269" s="909" t="s">
        <v>1583</v>
      </c>
      <c r="B269" s="909" t="s">
        <v>273</v>
      </c>
      <c r="C269" s="909" t="s">
        <v>273</v>
      </c>
      <c r="D269" s="909">
        <v>571</v>
      </c>
      <c r="E269" s="909">
        <v>576</v>
      </c>
      <c r="F269" s="909">
        <v>474</v>
      </c>
      <c r="G269" s="909">
        <v>233</v>
      </c>
      <c r="H269" s="909">
        <v>241</v>
      </c>
      <c r="I269" s="909">
        <v>100</v>
      </c>
      <c r="J269" s="909">
        <v>126</v>
      </c>
      <c r="K269" s="909">
        <v>107</v>
      </c>
      <c r="L269" s="909">
        <v>169</v>
      </c>
      <c r="M269" s="909">
        <v>171</v>
      </c>
      <c r="N269" s="909">
        <v>194</v>
      </c>
      <c r="O269" s="909">
        <v>205</v>
      </c>
      <c r="P269" s="909">
        <v>214</v>
      </c>
      <c r="Q269" s="909" t="s">
        <v>291</v>
      </c>
      <c r="R269" s="909" t="s">
        <v>291</v>
      </c>
      <c r="S269" s="909">
        <v>307</v>
      </c>
    </row>
    <row r="270" spans="1:19">
      <c r="A270" s="909" t="s">
        <v>1582</v>
      </c>
      <c r="B270" s="909">
        <v>1604</v>
      </c>
      <c r="C270" s="909">
        <v>1906</v>
      </c>
      <c r="D270" s="909">
        <v>2407</v>
      </c>
      <c r="E270" s="909">
        <v>2662</v>
      </c>
      <c r="F270" s="909">
        <v>2795</v>
      </c>
      <c r="G270" s="909">
        <v>2577</v>
      </c>
      <c r="H270" s="909">
        <v>2011</v>
      </c>
      <c r="I270" s="909">
        <v>2327</v>
      </c>
      <c r="J270" s="909">
        <v>1625</v>
      </c>
      <c r="K270" s="909">
        <v>2141</v>
      </c>
      <c r="L270" s="909">
        <v>2508</v>
      </c>
      <c r="M270" s="909">
        <v>2561</v>
      </c>
      <c r="N270" s="909">
        <v>1892</v>
      </c>
      <c r="O270" s="909">
        <v>2139</v>
      </c>
      <c r="P270" s="909">
        <v>2422</v>
      </c>
      <c r="Q270" s="909">
        <v>4503</v>
      </c>
      <c r="R270" s="909">
        <v>4427</v>
      </c>
      <c r="S270" s="909">
        <v>5540</v>
      </c>
    </row>
    <row r="271" spans="1:19">
      <c r="A271" s="909" t="s">
        <v>1581</v>
      </c>
      <c r="B271" s="909">
        <v>959</v>
      </c>
      <c r="C271" s="909">
        <v>1273</v>
      </c>
      <c r="D271" s="909">
        <v>1540</v>
      </c>
      <c r="E271" s="909">
        <v>1586</v>
      </c>
      <c r="F271" s="909">
        <v>1773</v>
      </c>
      <c r="G271" s="909" t="s">
        <v>273</v>
      </c>
      <c r="H271" s="909" t="s">
        <v>273</v>
      </c>
      <c r="I271" s="909" t="s">
        <v>273</v>
      </c>
      <c r="J271" s="909" t="s">
        <v>273</v>
      </c>
      <c r="K271" s="909" t="s">
        <v>273</v>
      </c>
      <c r="L271" s="909" t="s">
        <v>273</v>
      </c>
      <c r="M271" s="909" t="s">
        <v>273</v>
      </c>
      <c r="N271" s="909" t="s">
        <v>273</v>
      </c>
      <c r="O271" s="909" t="s">
        <v>273</v>
      </c>
      <c r="P271" s="909" t="s">
        <v>273</v>
      </c>
      <c r="Q271" s="909" t="s">
        <v>273</v>
      </c>
      <c r="R271" s="909" t="s">
        <v>273</v>
      </c>
      <c r="S271" s="909" t="s">
        <v>273</v>
      </c>
    </row>
    <row r="272" spans="1:19">
      <c r="A272" s="909" t="s">
        <v>1580</v>
      </c>
      <c r="B272" s="909" t="s">
        <v>273</v>
      </c>
      <c r="C272" s="909" t="s">
        <v>273</v>
      </c>
      <c r="D272" s="909" t="s">
        <v>273</v>
      </c>
      <c r="E272" s="909" t="s">
        <v>273</v>
      </c>
      <c r="F272" s="909" t="s">
        <v>273</v>
      </c>
      <c r="G272" s="909">
        <v>625</v>
      </c>
      <c r="H272" s="909">
        <v>277</v>
      </c>
      <c r="I272" s="909">
        <v>668</v>
      </c>
      <c r="J272" s="909">
        <v>805</v>
      </c>
      <c r="K272" s="909">
        <v>829</v>
      </c>
      <c r="L272" s="909">
        <v>468</v>
      </c>
      <c r="M272" s="909">
        <v>206</v>
      </c>
      <c r="N272" s="909">
        <v>810</v>
      </c>
      <c r="O272" s="909">
        <v>878</v>
      </c>
      <c r="P272" s="909">
        <v>841</v>
      </c>
      <c r="Q272" s="909">
        <v>1225</v>
      </c>
      <c r="R272" s="909">
        <v>1261</v>
      </c>
      <c r="S272" s="909">
        <v>1297</v>
      </c>
    </row>
    <row r="273" spans="1:19">
      <c r="A273" s="909" t="s">
        <v>1579</v>
      </c>
      <c r="B273" s="909">
        <v>502</v>
      </c>
      <c r="C273" s="909">
        <v>512</v>
      </c>
      <c r="D273" s="909">
        <v>604</v>
      </c>
      <c r="E273" s="909">
        <v>832</v>
      </c>
      <c r="F273" s="909">
        <v>873</v>
      </c>
      <c r="G273" s="909">
        <v>1675</v>
      </c>
      <c r="H273" s="909">
        <v>1603</v>
      </c>
      <c r="I273" s="909">
        <v>1355</v>
      </c>
      <c r="J273" s="909">
        <v>925</v>
      </c>
      <c r="K273" s="909">
        <v>1410</v>
      </c>
      <c r="L273" s="909">
        <v>1964</v>
      </c>
      <c r="M273" s="909">
        <v>2179</v>
      </c>
      <c r="N273" s="909">
        <v>878</v>
      </c>
      <c r="O273" s="909">
        <v>977</v>
      </c>
      <c r="P273" s="909">
        <v>1265</v>
      </c>
      <c r="Q273" s="909">
        <v>2876</v>
      </c>
      <c r="R273" s="909">
        <v>2980</v>
      </c>
      <c r="S273" s="909">
        <v>3953</v>
      </c>
    </row>
    <row r="274" spans="1:19">
      <c r="A274" s="909" t="s">
        <v>1578</v>
      </c>
      <c r="B274" s="909">
        <v>143</v>
      </c>
      <c r="C274" s="909">
        <v>121</v>
      </c>
      <c r="D274" s="909">
        <v>262</v>
      </c>
      <c r="E274" s="909">
        <v>245</v>
      </c>
      <c r="F274" s="909">
        <v>148</v>
      </c>
      <c r="G274" s="909">
        <v>277</v>
      </c>
      <c r="H274" s="909">
        <v>131</v>
      </c>
      <c r="I274" s="909">
        <v>303</v>
      </c>
      <c r="J274" s="909">
        <v>-105</v>
      </c>
      <c r="K274" s="909">
        <v>-97</v>
      </c>
      <c r="L274" s="909">
        <v>76</v>
      </c>
      <c r="M274" s="909">
        <v>176</v>
      </c>
      <c r="N274" s="909">
        <v>203</v>
      </c>
      <c r="O274" s="909">
        <v>285</v>
      </c>
      <c r="P274" s="909">
        <v>316</v>
      </c>
      <c r="Q274" s="909">
        <v>402</v>
      </c>
      <c r="R274" s="909">
        <v>186</v>
      </c>
      <c r="S274" s="909">
        <v>290</v>
      </c>
    </row>
    <row r="275" spans="1:19">
      <c r="A275" s="909" t="s">
        <v>1577</v>
      </c>
      <c r="B275" s="909">
        <v>18975</v>
      </c>
      <c r="C275" s="909">
        <v>23611</v>
      </c>
      <c r="D275" s="909">
        <v>27598</v>
      </c>
      <c r="E275" s="909">
        <v>30350</v>
      </c>
      <c r="F275" s="909">
        <v>36637</v>
      </c>
      <c r="G275" s="909">
        <v>24820</v>
      </c>
      <c r="H275" s="909">
        <v>27419</v>
      </c>
      <c r="I275" s="909">
        <v>21931</v>
      </c>
      <c r="J275" s="909">
        <v>32354</v>
      </c>
      <c r="K275" s="909">
        <v>36991</v>
      </c>
      <c r="L275" s="909">
        <v>42582</v>
      </c>
      <c r="M275" s="909">
        <v>48449</v>
      </c>
      <c r="N275" s="909">
        <v>62967</v>
      </c>
      <c r="O275" s="909">
        <v>67884</v>
      </c>
      <c r="P275" s="909">
        <v>60488</v>
      </c>
      <c r="Q275" s="909">
        <v>60497</v>
      </c>
      <c r="R275" s="909">
        <v>61992</v>
      </c>
      <c r="S275" s="909">
        <v>69954</v>
      </c>
    </row>
    <row r="276" spans="1:19">
      <c r="A276" s="909" t="s">
        <v>1576</v>
      </c>
      <c r="B276" s="909">
        <v>31</v>
      </c>
      <c r="C276" s="909">
        <v>19</v>
      </c>
      <c r="D276" s="909">
        <v>13</v>
      </c>
      <c r="E276" s="909">
        <v>246</v>
      </c>
      <c r="F276" s="909">
        <v>291</v>
      </c>
      <c r="G276" s="909">
        <v>740</v>
      </c>
      <c r="H276" s="909" t="s">
        <v>291</v>
      </c>
      <c r="I276" s="909">
        <v>736</v>
      </c>
      <c r="J276" s="909">
        <v>784</v>
      </c>
      <c r="K276" s="909">
        <v>628</v>
      </c>
      <c r="L276" s="909">
        <v>862</v>
      </c>
      <c r="M276" s="909">
        <v>834</v>
      </c>
      <c r="N276" s="909">
        <v>934</v>
      </c>
      <c r="O276" s="909" t="s">
        <v>291</v>
      </c>
      <c r="P276" s="909">
        <v>1030</v>
      </c>
      <c r="Q276" s="909">
        <v>1129</v>
      </c>
      <c r="R276" s="909">
        <v>1601</v>
      </c>
      <c r="S276" s="909">
        <v>1336</v>
      </c>
    </row>
    <row r="277" spans="1:19">
      <c r="A277" s="909" t="s">
        <v>1575</v>
      </c>
      <c r="B277" s="909">
        <v>72</v>
      </c>
      <c r="C277" s="909">
        <v>54</v>
      </c>
      <c r="D277" s="909">
        <v>64</v>
      </c>
      <c r="E277" s="909">
        <v>55</v>
      </c>
      <c r="F277" s="909">
        <v>13</v>
      </c>
      <c r="G277" s="909">
        <v>92</v>
      </c>
      <c r="H277" s="909">
        <v>78</v>
      </c>
      <c r="I277" s="909">
        <v>52</v>
      </c>
      <c r="J277" s="909">
        <v>-79</v>
      </c>
      <c r="K277" s="909">
        <v>28</v>
      </c>
      <c r="L277" s="909" t="s">
        <v>291</v>
      </c>
      <c r="M277" s="909">
        <v>767</v>
      </c>
      <c r="N277" s="909" t="s">
        <v>291</v>
      </c>
      <c r="O277" s="909" t="s">
        <v>291</v>
      </c>
      <c r="P277" s="909" t="s">
        <v>291</v>
      </c>
      <c r="Q277" s="909" t="s">
        <v>291</v>
      </c>
      <c r="R277" s="909" t="s">
        <v>291</v>
      </c>
      <c r="S277" s="909" t="s">
        <v>291</v>
      </c>
    </row>
    <row r="278" spans="1:19">
      <c r="A278" s="909" t="s">
        <v>1574</v>
      </c>
      <c r="B278" s="909" t="s">
        <v>291</v>
      </c>
      <c r="C278" s="909" t="s">
        <v>291</v>
      </c>
      <c r="D278" s="909">
        <v>135</v>
      </c>
      <c r="E278" s="909" t="s">
        <v>291</v>
      </c>
      <c r="F278" s="909">
        <v>747</v>
      </c>
      <c r="G278" s="909">
        <v>1038</v>
      </c>
      <c r="H278" s="909">
        <v>1988</v>
      </c>
      <c r="I278" s="909">
        <v>1819</v>
      </c>
      <c r="J278" s="909">
        <v>1915</v>
      </c>
      <c r="K278" s="909">
        <v>3593</v>
      </c>
      <c r="L278" s="909">
        <v>4367</v>
      </c>
      <c r="M278" s="909">
        <v>7046</v>
      </c>
      <c r="N278" s="909">
        <v>7938</v>
      </c>
      <c r="O278" s="909">
        <v>5351</v>
      </c>
      <c r="P278" s="909">
        <v>3778</v>
      </c>
      <c r="Q278" s="909">
        <v>3899</v>
      </c>
      <c r="R278" s="909">
        <v>3504</v>
      </c>
      <c r="S278" s="909">
        <v>3684</v>
      </c>
    </row>
    <row r="279" spans="1:19">
      <c r="A279" s="909" t="s">
        <v>1573</v>
      </c>
      <c r="B279" s="909" t="s">
        <v>291</v>
      </c>
      <c r="C279" s="909" t="s">
        <v>291</v>
      </c>
      <c r="D279" s="909" t="s">
        <v>291</v>
      </c>
      <c r="E279" s="909">
        <v>608</v>
      </c>
      <c r="F279" s="909">
        <v>1543</v>
      </c>
      <c r="G279" s="909" t="s">
        <v>291</v>
      </c>
      <c r="H279" s="909" t="s">
        <v>291</v>
      </c>
      <c r="I279" s="909" t="s">
        <v>291</v>
      </c>
      <c r="J279" s="909" t="s">
        <v>291</v>
      </c>
      <c r="K279" s="909" t="s">
        <v>291</v>
      </c>
      <c r="L279" s="909">
        <v>6418</v>
      </c>
      <c r="M279" s="909">
        <v>7053</v>
      </c>
      <c r="N279" s="909">
        <v>8649</v>
      </c>
      <c r="O279" s="909">
        <v>8820</v>
      </c>
      <c r="P279" s="909" t="s">
        <v>291</v>
      </c>
      <c r="Q279" s="909" t="s">
        <v>291</v>
      </c>
      <c r="R279" s="909" t="s">
        <v>291</v>
      </c>
      <c r="S279" s="909" t="s">
        <v>291</v>
      </c>
    </row>
    <row r="280" spans="1:19">
      <c r="A280" s="909" t="s">
        <v>1572</v>
      </c>
      <c r="B280" s="909" t="s">
        <v>291</v>
      </c>
      <c r="C280" s="909">
        <v>1136</v>
      </c>
      <c r="D280" s="909">
        <v>1298</v>
      </c>
      <c r="E280" s="909">
        <v>1447</v>
      </c>
      <c r="F280" s="909">
        <v>1829</v>
      </c>
      <c r="G280" s="909">
        <v>1993</v>
      </c>
      <c r="H280" s="909">
        <v>1277</v>
      </c>
      <c r="I280" s="909">
        <v>1457</v>
      </c>
      <c r="J280" s="909" t="s">
        <v>291</v>
      </c>
      <c r="K280" s="909">
        <v>1865</v>
      </c>
      <c r="L280" s="909">
        <v>2458</v>
      </c>
      <c r="M280" s="909">
        <v>2755</v>
      </c>
      <c r="N280" s="909">
        <v>1589</v>
      </c>
      <c r="O280" s="909">
        <v>1961</v>
      </c>
      <c r="P280" s="909">
        <v>597</v>
      </c>
      <c r="Q280" s="909">
        <v>516</v>
      </c>
      <c r="R280" s="909">
        <v>360</v>
      </c>
      <c r="S280" s="909">
        <v>360</v>
      </c>
    </row>
    <row r="281" spans="1:19">
      <c r="A281" s="909" t="s">
        <v>1571</v>
      </c>
      <c r="B281" s="909">
        <v>261</v>
      </c>
      <c r="C281" s="909">
        <v>266</v>
      </c>
      <c r="D281" s="909">
        <v>257</v>
      </c>
      <c r="E281" s="909">
        <v>763</v>
      </c>
      <c r="F281" s="909">
        <v>394</v>
      </c>
      <c r="G281" s="909" t="s">
        <v>291</v>
      </c>
      <c r="H281" s="909">
        <v>902</v>
      </c>
      <c r="I281" s="909" t="s">
        <v>291</v>
      </c>
      <c r="J281" s="909">
        <v>732</v>
      </c>
      <c r="K281" s="909">
        <v>759</v>
      </c>
      <c r="L281" s="909">
        <v>389</v>
      </c>
      <c r="M281" s="909">
        <v>428</v>
      </c>
      <c r="N281" s="909">
        <v>468</v>
      </c>
      <c r="O281" s="909">
        <v>6938</v>
      </c>
      <c r="P281" s="909">
        <v>1031</v>
      </c>
      <c r="Q281" s="909">
        <v>1127</v>
      </c>
      <c r="R281" s="909">
        <v>1333</v>
      </c>
      <c r="S281" s="909">
        <v>2013</v>
      </c>
    </row>
    <row r="282" spans="1:19">
      <c r="A282" s="909" t="s">
        <v>1570</v>
      </c>
      <c r="B282" s="909" t="s">
        <v>291</v>
      </c>
      <c r="C282" s="909" t="s">
        <v>291</v>
      </c>
      <c r="D282" s="909">
        <v>730</v>
      </c>
      <c r="E282" s="909">
        <v>741</v>
      </c>
      <c r="F282" s="909">
        <v>1059</v>
      </c>
      <c r="G282" s="909">
        <v>609</v>
      </c>
      <c r="H282" s="909">
        <v>641</v>
      </c>
      <c r="I282" s="909">
        <v>554</v>
      </c>
      <c r="J282" s="909">
        <v>224</v>
      </c>
      <c r="K282" s="909">
        <v>351</v>
      </c>
      <c r="L282" s="909" t="s">
        <v>291</v>
      </c>
      <c r="M282" s="909">
        <v>335</v>
      </c>
      <c r="N282" s="909" t="s">
        <v>291</v>
      </c>
      <c r="O282" s="909">
        <v>1508</v>
      </c>
      <c r="P282" s="909">
        <v>1868</v>
      </c>
      <c r="Q282" s="909">
        <v>1739</v>
      </c>
      <c r="R282" s="909">
        <v>1545</v>
      </c>
      <c r="S282" s="909">
        <v>1747</v>
      </c>
    </row>
    <row r="283" spans="1:19">
      <c r="A283" s="909" t="s">
        <v>1569</v>
      </c>
      <c r="B283" s="909">
        <v>1786</v>
      </c>
      <c r="C283" s="909">
        <v>2108</v>
      </c>
      <c r="D283" s="909">
        <v>2164</v>
      </c>
      <c r="E283" s="909">
        <v>1826</v>
      </c>
      <c r="F283" s="909">
        <v>2438</v>
      </c>
      <c r="G283" s="909">
        <v>3295</v>
      </c>
      <c r="H283" s="909">
        <v>3096</v>
      </c>
      <c r="I283" s="909">
        <v>3283</v>
      </c>
      <c r="J283" s="909">
        <v>4347</v>
      </c>
      <c r="K283" s="909">
        <v>4384</v>
      </c>
      <c r="L283" s="909">
        <v>4858</v>
      </c>
      <c r="M283" s="909">
        <v>5023</v>
      </c>
      <c r="N283" s="909">
        <v>6443</v>
      </c>
      <c r="O283" s="909">
        <v>7517</v>
      </c>
      <c r="P283" s="909">
        <v>7262</v>
      </c>
      <c r="Q283" s="909">
        <v>7164</v>
      </c>
      <c r="R283" s="909">
        <v>8185</v>
      </c>
      <c r="S283" s="909">
        <v>8999</v>
      </c>
    </row>
    <row r="284" spans="1:19">
      <c r="A284" s="909" t="s">
        <v>1568</v>
      </c>
      <c r="B284" s="909" t="s">
        <v>291</v>
      </c>
      <c r="C284" s="909">
        <v>404</v>
      </c>
      <c r="D284" s="909">
        <v>497</v>
      </c>
      <c r="E284" s="909">
        <v>453</v>
      </c>
      <c r="F284" s="909">
        <v>327</v>
      </c>
      <c r="G284" s="909">
        <v>144</v>
      </c>
      <c r="H284" s="909">
        <v>-243</v>
      </c>
      <c r="I284" s="909">
        <v>-986</v>
      </c>
      <c r="J284" s="909">
        <v>-167</v>
      </c>
      <c r="K284" s="909" t="s">
        <v>291</v>
      </c>
      <c r="L284" s="909">
        <v>415</v>
      </c>
      <c r="M284" s="909">
        <v>898</v>
      </c>
      <c r="N284" s="909">
        <v>1193</v>
      </c>
      <c r="O284" s="909">
        <v>1409</v>
      </c>
      <c r="P284" s="909">
        <v>1792</v>
      </c>
      <c r="Q284" s="909">
        <v>1399</v>
      </c>
      <c r="R284" s="909">
        <v>1106</v>
      </c>
      <c r="S284" s="909">
        <v>1530</v>
      </c>
    </row>
    <row r="285" spans="1:19">
      <c r="A285" s="909" t="s">
        <v>1567</v>
      </c>
      <c r="B285" s="909">
        <v>5209</v>
      </c>
      <c r="C285" s="909" t="s">
        <v>291</v>
      </c>
      <c r="D285" s="909" t="s">
        <v>291</v>
      </c>
      <c r="E285" s="909">
        <v>20334</v>
      </c>
      <c r="F285" s="909">
        <v>23724</v>
      </c>
      <c r="G285" s="909">
        <v>7618</v>
      </c>
      <c r="H285" s="909">
        <v>7348</v>
      </c>
      <c r="I285" s="909">
        <v>3439</v>
      </c>
      <c r="J285" s="909">
        <v>4157</v>
      </c>
      <c r="K285" s="909">
        <v>4239</v>
      </c>
      <c r="L285" s="909">
        <v>5241</v>
      </c>
      <c r="M285" s="909">
        <v>5426</v>
      </c>
      <c r="N285" s="909">
        <v>11227</v>
      </c>
      <c r="O285" s="909">
        <v>7102</v>
      </c>
      <c r="P285" s="909">
        <v>7286</v>
      </c>
      <c r="Q285" s="909">
        <v>7054</v>
      </c>
      <c r="R285" s="909">
        <v>6687</v>
      </c>
      <c r="S285" s="909">
        <v>6607</v>
      </c>
    </row>
    <row r="286" spans="1:19">
      <c r="A286" s="909" t="s">
        <v>1566</v>
      </c>
      <c r="B286" s="909">
        <v>966</v>
      </c>
      <c r="C286" s="909">
        <v>859</v>
      </c>
      <c r="D286" s="909">
        <v>1240</v>
      </c>
      <c r="E286" s="909">
        <v>1119</v>
      </c>
      <c r="F286" s="909">
        <v>1050</v>
      </c>
      <c r="G286" s="909">
        <v>1787</v>
      </c>
      <c r="H286" s="909">
        <v>1921</v>
      </c>
      <c r="I286" s="909">
        <v>2081</v>
      </c>
      <c r="J286" s="909">
        <v>2074</v>
      </c>
      <c r="K286" s="909">
        <v>984</v>
      </c>
      <c r="L286" s="909">
        <v>443</v>
      </c>
      <c r="M286" s="909">
        <v>409</v>
      </c>
      <c r="N286" s="909">
        <v>4136</v>
      </c>
      <c r="O286" s="909">
        <v>4725</v>
      </c>
      <c r="P286" s="909" t="s">
        <v>291</v>
      </c>
      <c r="Q286" s="909" t="s">
        <v>291</v>
      </c>
      <c r="R286" s="909" t="s">
        <v>291</v>
      </c>
      <c r="S286" s="909">
        <v>2938</v>
      </c>
    </row>
    <row r="287" spans="1:19">
      <c r="A287" s="909" t="s">
        <v>1565</v>
      </c>
      <c r="B287" s="909">
        <v>1452</v>
      </c>
      <c r="C287" s="909">
        <v>1189</v>
      </c>
      <c r="D287" s="909">
        <v>1558</v>
      </c>
      <c r="E287" s="909" t="s">
        <v>291</v>
      </c>
      <c r="F287" s="909">
        <v>3222</v>
      </c>
      <c r="G287" s="909">
        <v>4466</v>
      </c>
      <c r="H287" s="909">
        <v>6805</v>
      </c>
      <c r="I287" s="909">
        <v>6255</v>
      </c>
      <c r="J287" s="909">
        <v>12475</v>
      </c>
      <c r="K287" s="909">
        <v>15588</v>
      </c>
      <c r="L287" s="909">
        <v>16683</v>
      </c>
      <c r="M287" s="909">
        <v>17477</v>
      </c>
      <c r="N287" s="909">
        <v>19085</v>
      </c>
      <c r="O287" s="909">
        <v>21299</v>
      </c>
      <c r="P287" s="909">
        <v>23924</v>
      </c>
      <c r="Q287" s="909">
        <v>24300</v>
      </c>
      <c r="R287" s="909">
        <v>26180</v>
      </c>
      <c r="S287" s="909">
        <v>29082</v>
      </c>
    </row>
    <row r="288" spans="1:19">
      <c r="A288" s="909" t="s">
        <v>1564</v>
      </c>
      <c r="B288" s="909">
        <v>7204</v>
      </c>
      <c r="C288" s="909">
        <v>8034</v>
      </c>
      <c r="D288" s="909">
        <v>7083</v>
      </c>
      <c r="E288" s="909">
        <v>8498</v>
      </c>
      <c r="F288" s="909">
        <v>11687</v>
      </c>
      <c r="G288" s="909">
        <v>13228</v>
      </c>
      <c r="H288" s="909">
        <v>15500</v>
      </c>
      <c r="I288" s="909">
        <v>17216</v>
      </c>
      <c r="J288" s="909">
        <v>21658</v>
      </c>
      <c r="K288" s="909">
        <v>25371</v>
      </c>
      <c r="L288" s="909">
        <v>31948</v>
      </c>
      <c r="M288" s="909">
        <v>35550</v>
      </c>
      <c r="N288" s="909">
        <v>37211</v>
      </c>
      <c r="O288" s="909">
        <v>36722</v>
      </c>
      <c r="P288" s="909">
        <v>36600</v>
      </c>
      <c r="Q288" s="909">
        <v>30615</v>
      </c>
      <c r="R288" s="909">
        <v>31172</v>
      </c>
      <c r="S288" s="909">
        <v>35304</v>
      </c>
    </row>
    <row r="289" spans="1:19">
      <c r="A289" s="909" t="s">
        <v>1563</v>
      </c>
      <c r="B289" s="909">
        <v>347</v>
      </c>
      <c r="C289" s="909">
        <v>394</v>
      </c>
      <c r="D289" s="909">
        <v>527</v>
      </c>
      <c r="E289" s="909">
        <v>995</v>
      </c>
      <c r="F289" s="909">
        <v>1144</v>
      </c>
      <c r="G289" s="909">
        <v>1142</v>
      </c>
      <c r="H289" s="909">
        <v>1084</v>
      </c>
      <c r="I289" s="909">
        <v>756</v>
      </c>
      <c r="J289" s="909">
        <v>1023</v>
      </c>
      <c r="K289" s="909">
        <v>1455</v>
      </c>
      <c r="L289" s="909">
        <v>709</v>
      </c>
      <c r="M289" s="909">
        <v>520</v>
      </c>
      <c r="N289" s="909">
        <v>1224</v>
      </c>
      <c r="O289" s="909">
        <v>1097</v>
      </c>
      <c r="P289" s="909">
        <v>1649</v>
      </c>
      <c r="Q289" s="909">
        <v>2175</v>
      </c>
      <c r="R289" s="909">
        <v>2318</v>
      </c>
      <c r="S289" s="909">
        <v>2820</v>
      </c>
    </row>
    <row r="290" spans="1:19">
      <c r="A290" s="909" t="s">
        <v>1562</v>
      </c>
      <c r="B290" s="909">
        <v>1032</v>
      </c>
      <c r="C290" s="909">
        <v>1103</v>
      </c>
      <c r="D290" s="909">
        <v>1179</v>
      </c>
      <c r="E290" s="909">
        <v>1376</v>
      </c>
      <c r="F290" s="909">
        <v>1747</v>
      </c>
      <c r="G290" s="909">
        <v>1877</v>
      </c>
      <c r="H290" s="909">
        <v>2543</v>
      </c>
      <c r="I290" s="909">
        <v>2723</v>
      </c>
      <c r="J290" s="909">
        <v>2488</v>
      </c>
      <c r="K290" s="909">
        <v>2172</v>
      </c>
      <c r="L290" s="909">
        <v>1957</v>
      </c>
      <c r="M290" s="909">
        <v>2007</v>
      </c>
      <c r="N290" s="909">
        <v>2302</v>
      </c>
      <c r="O290" s="909">
        <v>3792</v>
      </c>
      <c r="P290" s="909">
        <v>4271</v>
      </c>
      <c r="Q290" s="909">
        <v>2565</v>
      </c>
      <c r="R290" s="909">
        <v>3345</v>
      </c>
      <c r="S290" s="909">
        <v>3667</v>
      </c>
    </row>
    <row r="291" spans="1:19">
      <c r="A291" s="909" t="s">
        <v>1561</v>
      </c>
      <c r="B291" s="909">
        <v>2886</v>
      </c>
      <c r="C291" s="909">
        <v>3171</v>
      </c>
      <c r="D291" s="909">
        <v>3806</v>
      </c>
      <c r="E291" s="909">
        <v>3419</v>
      </c>
      <c r="F291" s="909">
        <v>4530</v>
      </c>
      <c r="G291" s="909">
        <v>5039</v>
      </c>
      <c r="H291" s="909">
        <v>5868</v>
      </c>
      <c r="I291" s="909">
        <v>7068</v>
      </c>
      <c r="J291" s="909">
        <v>7520</v>
      </c>
      <c r="K291" s="909">
        <v>8436</v>
      </c>
      <c r="L291" s="909">
        <v>9422</v>
      </c>
      <c r="M291" s="909" t="s">
        <v>291</v>
      </c>
      <c r="N291" s="909">
        <v>10691</v>
      </c>
      <c r="O291" s="909">
        <v>8177</v>
      </c>
      <c r="P291" s="909">
        <v>7453</v>
      </c>
      <c r="Q291" s="909">
        <v>3839</v>
      </c>
      <c r="R291" s="909">
        <v>3865</v>
      </c>
      <c r="S291" s="909">
        <v>5240</v>
      </c>
    </row>
    <row r="292" spans="1:19">
      <c r="A292" s="909" t="s">
        <v>1560</v>
      </c>
      <c r="B292" s="909">
        <v>2395</v>
      </c>
      <c r="C292" s="909">
        <v>2854</v>
      </c>
      <c r="D292" s="909">
        <v>3268</v>
      </c>
      <c r="E292" s="909">
        <v>2661</v>
      </c>
      <c r="F292" s="909">
        <v>2194</v>
      </c>
      <c r="G292" s="909">
        <v>1943</v>
      </c>
      <c r="H292" s="909">
        <v>2649</v>
      </c>
      <c r="I292" s="909">
        <v>2698</v>
      </c>
      <c r="J292" s="909">
        <v>3369</v>
      </c>
      <c r="K292" s="909">
        <v>3828</v>
      </c>
      <c r="L292" s="909" t="s">
        <v>291</v>
      </c>
      <c r="M292" s="909" t="s">
        <v>291</v>
      </c>
      <c r="N292" s="909" t="s">
        <v>291</v>
      </c>
      <c r="O292" s="909">
        <v>1768</v>
      </c>
      <c r="P292" s="909" t="s">
        <v>291</v>
      </c>
      <c r="Q292" s="909" t="s">
        <v>291</v>
      </c>
      <c r="R292" s="909" t="s">
        <v>291</v>
      </c>
      <c r="S292" s="909" t="s">
        <v>291</v>
      </c>
    </row>
    <row r="293" spans="1:19">
      <c r="A293" s="909" t="s">
        <v>1559</v>
      </c>
      <c r="B293" s="909">
        <v>491</v>
      </c>
      <c r="C293" s="909">
        <v>317</v>
      </c>
      <c r="D293" s="909">
        <v>538</v>
      </c>
      <c r="E293" s="909">
        <v>758</v>
      </c>
      <c r="F293" s="909">
        <v>2337</v>
      </c>
      <c r="G293" s="909">
        <v>3096</v>
      </c>
      <c r="H293" s="909">
        <v>3219</v>
      </c>
      <c r="I293" s="909">
        <v>4370</v>
      </c>
      <c r="J293" s="909">
        <v>4150</v>
      </c>
      <c r="K293" s="909">
        <v>4608</v>
      </c>
      <c r="L293" s="909" t="s">
        <v>291</v>
      </c>
      <c r="M293" s="909">
        <v>6263</v>
      </c>
      <c r="N293" s="909" t="s">
        <v>291</v>
      </c>
      <c r="O293" s="909">
        <v>6410</v>
      </c>
      <c r="P293" s="909" t="s">
        <v>291</v>
      </c>
      <c r="Q293" s="909" t="s">
        <v>291</v>
      </c>
      <c r="R293" s="909" t="s">
        <v>291</v>
      </c>
      <c r="S293" s="909" t="s">
        <v>291</v>
      </c>
    </row>
    <row r="294" spans="1:19">
      <c r="A294" s="909" t="s">
        <v>1558</v>
      </c>
      <c r="B294" s="909">
        <v>268</v>
      </c>
      <c r="C294" s="909">
        <v>346</v>
      </c>
      <c r="D294" s="909">
        <v>751</v>
      </c>
      <c r="E294" s="909">
        <v>307</v>
      </c>
      <c r="F294" s="909">
        <v>877</v>
      </c>
      <c r="G294" s="909">
        <v>939</v>
      </c>
      <c r="H294" s="909">
        <v>562</v>
      </c>
      <c r="I294" s="909">
        <v>814</v>
      </c>
      <c r="J294" s="909">
        <v>1210</v>
      </c>
      <c r="K294" s="909">
        <v>1300</v>
      </c>
      <c r="L294" s="909">
        <v>731</v>
      </c>
      <c r="M294" s="909">
        <v>2499</v>
      </c>
      <c r="N294" s="909">
        <v>2458</v>
      </c>
      <c r="O294" s="909">
        <v>754</v>
      </c>
      <c r="P294" s="909">
        <v>824</v>
      </c>
      <c r="Q294" s="909">
        <v>832</v>
      </c>
      <c r="R294" s="909">
        <v>916</v>
      </c>
      <c r="S294" s="909">
        <v>1021</v>
      </c>
    </row>
    <row r="295" spans="1:19">
      <c r="A295" s="909" t="s">
        <v>1557</v>
      </c>
      <c r="B295" s="909" t="s">
        <v>291</v>
      </c>
      <c r="C295" s="909">
        <v>17</v>
      </c>
      <c r="D295" s="909">
        <v>10</v>
      </c>
      <c r="E295" s="909">
        <v>12</v>
      </c>
      <c r="F295" s="909">
        <v>17</v>
      </c>
      <c r="G295" s="909" t="s">
        <v>291</v>
      </c>
      <c r="H295" s="909" t="s">
        <v>291</v>
      </c>
      <c r="I295" s="909" t="s">
        <v>291</v>
      </c>
      <c r="J295" s="909">
        <v>-116</v>
      </c>
      <c r="K295" s="909" t="s">
        <v>291</v>
      </c>
      <c r="L295" s="909">
        <v>19</v>
      </c>
      <c r="M295" s="909">
        <v>516</v>
      </c>
      <c r="N295" s="909">
        <v>1163</v>
      </c>
      <c r="O295" s="909">
        <v>1171</v>
      </c>
      <c r="P295" s="909">
        <v>1177</v>
      </c>
      <c r="Q295" s="909">
        <v>165</v>
      </c>
      <c r="R295" s="909">
        <v>159</v>
      </c>
      <c r="S295" s="909" t="s">
        <v>291</v>
      </c>
    </row>
    <row r="296" spans="1:19">
      <c r="A296" s="909" t="s">
        <v>1556</v>
      </c>
      <c r="B296" s="909">
        <v>1065</v>
      </c>
      <c r="C296" s="909">
        <v>2039</v>
      </c>
      <c r="D296" s="909" t="s">
        <v>291</v>
      </c>
      <c r="E296" s="909">
        <v>995</v>
      </c>
      <c r="F296" s="909">
        <v>1150</v>
      </c>
      <c r="G296" s="909">
        <v>1016</v>
      </c>
      <c r="H296" s="909">
        <v>682</v>
      </c>
      <c r="I296" s="909">
        <v>662</v>
      </c>
      <c r="J296" s="909">
        <v>944</v>
      </c>
      <c r="K296" s="909">
        <v>636</v>
      </c>
      <c r="L296" s="909">
        <v>4200</v>
      </c>
      <c r="M296" s="909" t="s">
        <v>291</v>
      </c>
      <c r="N296" s="909">
        <v>3113</v>
      </c>
      <c r="O296" s="909">
        <v>3472</v>
      </c>
      <c r="P296" s="909">
        <v>2393</v>
      </c>
      <c r="Q296" s="909">
        <v>2837</v>
      </c>
      <c r="R296" s="909">
        <v>2622</v>
      </c>
      <c r="S296" s="909">
        <v>2801</v>
      </c>
    </row>
    <row r="297" spans="1:19">
      <c r="A297" s="909" t="s">
        <v>1555</v>
      </c>
      <c r="B297" s="909">
        <v>1064</v>
      </c>
      <c r="C297" s="909">
        <v>2039</v>
      </c>
      <c r="D297" s="909" t="s">
        <v>291</v>
      </c>
      <c r="E297" s="909">
        <v>995</v>
      </c>
      <c r="F297" s="909">
        <v>1150</v>
      </c>
      <c r="G297" s="909">
        <v>1016</v>
      </c>
      <c r="H297" s="909">
        <v>682</v>
      </c>
      <c r="I297" s="909">
        <v>662</v>
      </c>
      <c r="J297" s="909">
        <v>944</v>
      </c>
      <c r="K297" s="909">
        <v>636</v>
      </c>
      <c r="L297" s="909">
        <v>4200</v>
      </c>
      <c r="M297" s="909" t="s">
        <v>291</v>
      </c>
      <c r="N297" s="909">
        <v>3113</v>
      </c>
      <c r="O297" s="909">
        <v>3468</v>
      </c>
      <c r="P297" s="909">
        <v>2388</v>
      </c>
      <c r="Q297" s="909" t="s">
        <v>291</v>
      </c>
      <c r="R297" s="909" t="s">
        <v>291</v>
      </c>
      <c r="S297" s="909" t="s">
        <v>291</v>
      </c>
    </row>
    <row r="298" spans="1:19">
      <c r="A298" s="909" t="s">
        <v>1554</v>
      </c>
      <c r="B298" s="909">
        <v>1</v>
      </c>
      <c r="C298" s="909" t="s">
        <v>306</v>
      </c>
      <c r="D298" s="909">
        <v>0</v>
      </c>
      <c r="E298" s="909">
        <v>0</v>
      </c>
      <c r="F298" s="909">
        <v>0</v>
      </c>
      <c r="G298" s="909">
        <v>0</v>
      </c>
      <c r="H298" s="909">
        <v>0</v>
      </c>
      <c r="I298" s="909">
        <v>0</v>
      </c>
      <c r="J298" s="909">
        <v>0</v>
      </c>
      <c r="K298" s="909">
        <v>0</v>
      </c>
      <c r="L298" s="909">
        <v>0</v>
      </c>
      <c r="M298" s="909">
        <v>0</v>
      </c>
      <c r="N298" s="909">
        <v>0</v>
      </c>
      <c r="O298" s="909">
        <v>4</v>
      </c>
      <c r="P298" s="909">
        <v>5</v>
      </c>
      <c r="Q298" s="909" t="s">
        <v>291</v>
      </c>
      <c r="R298" s="909" t="s">
        <v>291</v>
      </c>
      <c r="S298" s="909" t="s">
        <v>291</v>
      </c>
    </row>
    <row r="299" spans="1:19">
      <c r="A299" s="909" t="s">
        <v>1553</v>
      </c>
      <c r="B299" s="909">
        <v>-3</v>
      </c>
      <c r="C299" s="909" t="s">
        <v>306</v>
      </c>
      <c r="D299" s="909">
        <v>4</v>
      </c>
      <c r="E299" s="909">
        <v>-3</v>
      </c>
      <c r="F299" s="909">
        <v>-3</v>
      </c>
      <c r="G299" s="909" t="s">
        <v>291</v>
      </c>
      <c r="H299" s="909" t="s">
        <v>291</v>
      </c>
      <c r="I299" s="909" t="s">
        <v>291</v>
      </c>
      <c r="J299" s="909">
        <v>26</v>
      </c>
      <c r="K299" s="909" t="s">
        <v>291</v>
      </c>
      <c r="L299" s="909">
        <v>22</v>
      </c>
      <c r="M299" s="909">
        <v>22</v>
      </c>
      <c r="N299" s="909">
        <v>22</v>
      </c>
      <c r="O299" s="909">
        <v>22</v>
      </c>
      <c r="P299" s="909">
        <v>22</v>
      </c>
      <c r="Q299" s="909">
        <v>22</v>
      </c>
      <c r="R299" s="909">
        <v>22</v>
      </c>
      <c r="S299" s="909" t="s">
        <v>291</v>
      </c>
    </row>
    <row r="300" spans="1:19">
      <c r="A300" s="909" t="s">
        <v>1552</v>
      </c>
      <c r="B300" s="909">
        <v>412</v>
      </c>
      <c r="C300" s="909">
        <v>471</v>
      </c>
      <c r="D300" s="909">
        <v>238</v>
      </c>
      <c r="E300" s="909">
        <v>1209</v>
      </c>
      <c r="F300" s="909">
        <v>1412</v>
      </c>
      <c r="G300" s="909">
        <v>1756</v>
      </c>
      <c r="H300" s="909">
        <v>2364</v>
      </c>
      <c r="I300" s="909">
        <v>2366</v>
      </c>
      <c r="J300" s="909">
        <v>3353</v>
      </c>
      <c r="K300" s="909">
        <v>6802</v>
      </c>
      <c r="L300" s="909">
        <v>8072</v>
      </c>
      <c r="M300" s="909">
        <v>7354</v>
      </c>
      <c r="N300" s="909">
        <v>8001</v>
      </c>
      <c r="O300" s="909">
        <v>8774</v>
      </c>
      <c r="P300" s="909">
        <v>9055</v>
      </c>
      <c r="Q300" s="909">
        <v>7852</v>
      </c>
      <c r="R300" s="909">
        <v>8039</v>
      </c>
      <c r="S300" s="909">
        <v>8743</v>
      </c>
    </row>
    <row r="301" spans="1:19">
      <c r="A301" s="909" t="s">
        <v>1551</v>
      </c>
      <c r="B301" s="909" t="s">
        <v>291</v>
      </c>
      <c r="C301" s="909">
        <v>125</v>
      </c>
      <c r="D301" s="909" t="s">
        <v>291</v>
      </c>
      <c r="E301" s="909">
        <v>-20</v>
      </c>
      <c r="F301" s="909">
        <v>385</v>
      </c>
      <c r="G301" s="909">
        <v>571</v>
      </c>
      <c r="H301" s="909">
        <v>1558</v>
      </c>
      <c r="I301" s="909">
        <v>1964</v>
      </c>
      <c r="J301" s="909">
        <v>4073</v>
      </c>
      <c r="K301" s="909">
        <v>3399</v>
      </c>
      <c r="L301" s="909">
        <v>5014</v>
      </c>
      <c r="M301" s="909">
        <v>5602</v>
      </c>
      <c r="N301" s="909">
        <v>6745</v>
      </c>
      <c r="O301" s="909">
        <v>7660</v>
      </c>
      <c r="P301" s="909">
        <v>7939</v>
      </c>
      <c r="Q301" s="909">
        <v>8166</v>
      </c>
      <c r="R301" s="909">
        <v>8165</v>
      </c>
      <c r="S301" s="909">
        <v>9167</v>
      </c>
    </row>
    <row r="302" spans="1:19">
      <c r="A302" s="909" t="s">
        <v>1550</v>
      </c>
      <c r="B302" s="909">
        <v>439</v>
      </c>
      <c r="C302" s="909">
        <v>368</v>
      </c>
      <c r="D302" s="909" t="s">
        <v>291</v>
      </c>
      <c r="E302" s="909">
        <v>207</v>
      </c>
      <c r="F302" s="909">
        <v>427</v>
      </c>
      <c r="G302" s="909">
        <v>492</v>
      </c>
      <c r="H302" s="909">
        <v>681</v>
      </c>
      <c r="I302" s="909">
        <v>987</v>
      </c>
      <c r="J302" s="909">
        <v>1138</v>
      </c>
      <c r="K302" s="909">
        <v>1113</v>
      </c>
      <c r="L302" s="909">
        <v>1802</v>
      </c>
      <c r="M302" s="909">
        <v>1989</v>
      </c>
      <c r="N302" s="909">
        <v>1491</v>
      </c>
      <c r="O302" s="909">
        <v>1803</v>
      </c>
      <c r="P302" s="909">
        <v>1815</v>
      </c>
      <c r="Q302" s="909">
        <v>2162</v>
      </c>
      <c r="R302" s="909">
        <v>1722</v>
      </c>
      <c r="S302" s="909">
        <v>1636</v>
      </c>
    </row>
    <row r="303" spans="1:19">
      <c r="A303" s="909" t="s">
        <v>1549</v>
      </c>
      <c r="B303" s="909" t="s">
        <v>291</v>
      </c>
      <c r="C303" s="909" t="s">
        <v>291</v>
      </c>
      <c r="D303" s="909" t="s">
        <v>291</v>
      </c>
      <c r="E303" s="909">
        <v>26</v>
      </c>
      <c r="F303" s="909">
        <v>127</v>
      </c>
      <c r="G303" s="909">
        <v>97</v>
      </c>
      <c r="H303" s="909">
        <v>175</v>
      </c>
      <c r="I303" s="909">
        <v>322</v>
      </c>
      <c r="J303" s="909">
        <v>364</v>
      </c>
      <c r="K303" s="909">
        <v>211</v>
      </c>
      <c r="L303" s="909">
        <v>280</v>
      </c>
      <c r="M303" s="909">
        <v>298</v>
      </c>
      <c r="N303" s="909">
        <v>450</v>
      </c>
      <c r="O303" s="909">
        <v>522</v>
      </c>
      <c r="P303" s="909">
        <v>550</v>
      </c>
      <c r="Q303" s="909" t="s">
        <v>291</v>
      </c>
      <c r="R303" s="909">
        <v>275</v>
      </c>
      <c r="S303" s="909">
        <v>201</v>
      </c>
    </row>
    <row r="304" spans="1:19">
      <c r="A304" s="909" t="s">
        <v>1548</v>
      </c>
      <c r="B304" s="909" t="s">
        <v>291</v>
      </c>
      <c r="C304" s="909" t="s">
        <v>291</v>
      </c>
      <c r="D304" s="909">
        <v>122</v>
      </c>
      <c r="E304" s="909">
        <v>181</v>
      </c>
      <c r="F304" s="909">
        <v>301</v>
      </c>
      <c r="G304" s="909">
        <v>396</v>
      </c>
      <c r="H304" s="909">
        <v>506</v>
      </c>
      <c r="I304" s="909">
        <v>665</v>
      </c>
      <c r="J304" s="909">
        <v>774</v>
      </c>
      <c r="K304" s="909">
        <v>902</v>
      </c>
      <c r="L304" s="909">
        <v>1522</v>
      </c>
      <c r="M304" s="909">
        <v>1691</v>
      </c>
      <c r="N304" s="909">
        <v>1041</v>
      </c>
      <c r="O304" s="909">
        <v>1281</v>
      </c>
      <c r="P304" s="909">
        <v>1265</v>
      </c>
      <c r="Q304" s="909" t="s">
        <v>291</v>
      </c>
      <c r="R304" s="909">
        <v>1447</v>
      </c>
      <c r="S304" s="909">
        <v>1435</v>
      </c>
    </row>
    <row r="305" spans="1:19">
      <c r="A305" s="909" t="s">
        <v>1547</v>
      </c>
      <c r="B305" s="909">
        <v>20392</v>
      </c>
      <c r="C305" s="909">
        <v>21244</v>
      </c>
      <c r="D305" s="909">
        <v>23327</v>
      </c>
      <c r="E305" s="909">
        <v>30322</v>
      </c>
      <c r="F305" s="909">
        <v>29812</v>
      </c>
      <c r="G305" s="909">
        <v>50382</v>
      </c>
      <c r="H305" s="909">
        <v>63007</v>
      </c>
      <c r="I305" s="909">
        <v>64766</v>
      </c>
      <c r="J305" s="909">
        <v>90066</v>
      </c>
      <c r="K305" s="909">
        <v>98832</v>
      </c>
      <c r="L305" s="909">
        <v>88663</v>
      </c>
      <c r="M305" s="909">
        <v>86980</v>
      </c>
      <c r="N305" s="909">
        <v>105123</v>
      </c>
      <c r="O305" s="909">
        <v>101997</v>
      </c>
      <c r="P305" s="909">
        <v>112964</v>
      </c>
      <c r="Q305" s="909">
        <v>115064</v>
      </c>
      <c r="R305" s="909">
        <v>119908</v>
      </c>
      <c r="S305" s="909">
        <v>131080</v>
      </c>
    </row>
    <row r="306" spans="1:19">
      <c r="A306" s="909" t="s">
        <v>1546</v>
      </c>
      <c r="B306" s="909">
        <v>4725</v>
      </c>
      <c r="C306" s="909">
        <v>3557</v>
      </c>
      <c r="D306" s="909">
        <v>5041</v>
      </c>
      <c r="E306" s="909">
        <v>7277</v>
      </c>
      <c r="F306" s="909">
        <v>7339</v>
      </c>
      <c r="G306" s="909">
        <v>10358</v>
      </c>
      <c r="H306" s="909">
        <v>8571</v>
      </c>
      <c r="I306" s="909">
        <v>11296</v>
      </c>
      <c r="J306" s="909">
        <v>19010</v>
      </c>
      <c r="K306" s="909">
        <v>21719</v>
      </c>
      <c r="L306" s="909">
        <v>23409</v>
      </c>
      <c r="M306" s="909">
        <v>20592</v>
      </c>
      <c r="N306" s="909">
        <v>24130</v>
      </c>
      <c r="O306" s="909">
        <v>20809</v>
      </c>
      <c r="P306" s="909">
        <v>21383</v>
      </c>
      <c r="Q306" s="909">
        <v>27049</v>
      </c>
      <c r="R306" s="909">
        <v>28650</v>
      </c>
      <c r="S306" s="909">
        <v>29094</v>
      </c>
    </row>
    <row r="307" spans="1:19">
      <c r="A307" s="909" t="s">
        <v>1545</v>
      </c>
      <c r="B307" s="909">
        <v>15668</v>
      </c>
      <c r="C307" s="909">
        <v>17686</v>
      </c>
      <c r="D307" s="909">
        <v>18287</v>
      </c>
      <c r="E307" s="909">
        <v>23046</v>
      </c>
      <c r="F307" s="909">
        <v>22473</v>
      </c>
      <c r="G307" s="909">
        <v>40024</v>
      </c>
      <c r="H307" s="909">
        <v>54435</v>
      </c>
      <c r="I307" s="909">
        <v>53470</v>
      </c>
      <c r="J307" s="909">
        <v>71056</v>
      </c>
      <c r="K307" s="909">
        <v>77114</v>
      </c>
      <c r="L307" s="909">
        <v>65254</v>
      </c>
      <c r="M307" s="909">
        <v>66388</v>
      </c>
      <c r="N307" s="909">
        <v>80993</v>
      </c>
      <c r="O307" s="909">
        <v>81189</v>
      </c>
      <c r="P307" s="909">
        <v>91581</v>
      </c>
      <c r="Q307" s="909">
        <v>88015</v>
      </c>
      <c r="R307" s="909">
        <v>91258</v>
      </c>
      <c r="S307" s="909">
        <v>101985</v>
      </c>
    </row>
    <row r="308" spans="1:19">
      <c r="A308" s="909" t="s">
        <v>1544</v>
      </c>
      <c r="B308" s="909">
        <v>6346</v>
      </c>
      <c r="C308" s="909">
        <v>6435</v>
      </c>
      <c r="D308" s="909">
        <v>6528</v>
      </c>
      <c r="E308" s="909">
        <v>7779</v>
      </c>
      <c r="F308" s="909">
        <v>5003</v>
      </c>
      <c r="G308" s="909">
        <v>5391</v>
      </c>
      <c r="H308" s="909">
        <v>10121</v>
      </c>
      <c r="I308" s="909">
        <v>7048</v>
      </c>
      <c r="J308" s="909">
        <v>7919</v>
      </c>
      <c r="K308" s="909">
        <v>6317</v>
      </c>
      <c r="L308" s="909">
        <v>4284</v>
      </c>
      <c r="M308" s="909">
        <v>3017</v>
      </c>
      <c r="N308" s="909">
        <v>4858</v>
      </c>
      <c r="O308" s="909">
        <v>4237</v>
      </c>
      <c r="P308" s="909">
        <v>4835</v>
      </c>
      <c r="Q308" s="909">
        <v>5371</v>
      </c>
      <c r="R308" s="909">
        <v>5301</v>
      </c>
      <c r="S308" s="909">
        <v>5105</v>
      </c>
    </row>
    <row r="309" spans="1:19">
      <c r="A309" s="909" t="s">
        <v>1543</v>
      </c>
      <c r="B309" s="909">
        <v>8579</v>
      </c>
      <c r="C309" s="909">
        <v>10582</v>
      </c>
      <c r="D309" s="909">
        <v>11149</v>
      </c>
      <c r="E309" s="909">
        <v>14469</v>
      </c>
      <c r="F309" s="909">
        <v>16471</v>
      </c>
      <c r="G309" s="909">
        <v>26201</v>
      </c>
      <c r="H309" s="909">
        <v>32383</v>
      </c>
      <c r="I309" s="909">
        <v>35018</v>
      </c>
      <c r="J309" s="909">
        <v>46177</v>
      </c>
      <c r="K309" s="909">
        <v>52142</v>
      </c>
      <c r="L309" s="909">
        <v>39444</v>
      </c>
      <c r="M309" s="909">
        <v>31657</v>
      </c>
      <c r="N309" s="909">
        <v>35184</v>
      </c>
      <c r="O309" s="909">
        <v>24834</v>
      </c>
      <c r="P309" s="909">
        <v>23674</v>
      </c>
      <c r="Q309" s="909">
        <v>23805</v>
      </c>
      <c r="R309" s="909">
        <v>22411</v>
      </c>
      <c r="S309" s="909">
        <v>21968</v>
      </c>
    </row>
    <row r="310" spans="1:19">
      <c r="A310" s="909" t="s">
        <v>1542</v>
      </c>
      <c r="B310" s="909">
        <v>743</v>
      </c>
      <c r="C310" s="909">
        <v>669</v>
      </c>
      <c r="D310" s="909">
        <v>610</v>
      </c>
      <c r="E310" s="909">
        <v>797</v>
      </c>
      <c r="F310" s="909">
        <v>1000</v>
      </c>
      <c r="G310" s="909">
        <v>8433</v>
      </c>
      <c r="H310" s="909">
        <v>11932</v>
      </c>
      <c r="I310" s="909">
        <v>11404</v>
      </c>
      <c r="J310" s="909">
        <v>16960</v>
      </c>
      <c r="K310" s="909">
        <v>18655</v>
      </c>
      <c r="L310" s="909">
        <v>21525</v>
      </c>
      <c r="M310" s="909">
        <v>31714</v>
      </c>
      <c r="N310" s="909">
        <v>40951</v>
      </c>
      <c r="O310" s="909">
        <v>52117</v>
      </c>
      <c r="P310" s="909">
        <v>63073</v>
      </c>
      <c r="Q310" s="909">
        <v>58839</v>
      </c>
      <c r="R310" s="909">
        <v>63546</v>
      </c>
      <c r="S310" s="909">
        <v>74912</v>
      </c>
    </row>
    <row r="311" spans="1:19">
      <c r="A311" s="909" t="s">
        <v>1541</v>
      </c>
      <c r="B311" s="909">
        <v>305095</v>
      </c>
      <c r="C311" s="909">
        <v>353606</v>
      </c>
      <c r="D311" s="909" t="s">
        <v>273</v>
      </c>
      <c r="E311" s="909" t="s">
        <v>273</v>
      </c>
      <c r="F311" s="909" t="s">
        <v>273</v>
      </c>
      <c r="G311" s="909" t="s">
        <v>273</v>
      </c>
      <c r="H311" s="909" t="s">
        <v>273</v>
      </c>
      <c r="I311" s="909" t="s">
        <v>273</v>
      </c>
      <c r="J311" s="909" t="s">
        <v>273</v>
      </c>
      <c r="K311" s="909" t="s">
        <v>273</v>
      </c>
      <c r="L311" s="909" t="s">
        <v>273</v>
      </c>
      <c r="M311" s="909" t="s">
        <v>273</v>
      </c>
      <c r="N311" s="909" t="s">
        <v>273</v>
      </c>
      <c r="O311" s="909" t="s">
        <v>273</v>
      </c>
      <c r="P311" s="909" t="s">
        <v>273</v>
      </c>
      <c r="Q311" s="909" t="s">
        <v>273</v>
      </c>
      <c r="R311" s="909" t="s">
        <v>273</v>
      </c>
      <c r="S311" s="909" t="s">
        <v>273</v>
      </c>
    </row>
    <row r="312" spans="1:19">
      <c r="A312" s="909" t="s">
        <v>1540</v>
      </c>
      <c r="B312" s="909">
        <v>304357</v>
      </c>
      <c r="C312" s="909">
        <v>351799</v>
      </c>
      <c r="D312" s="909" t="s">
        <v>273</v>
      </c>
      <c r="E312" s="909" t="s">
        <v>273</v>
      </c>
      <c r="F312" s="909" t="s">
        <v>273</v>
      </c>
      <c r="G312" s="909" t="s">
        <v>273</v>
      </c>
      <c r="H312" s="909" t="s">
        <v>273</v>
      </c>
      <c r="I312" s="909" t="s">
        <v>273</v>
      </c>
      <c r="J312" s="909" t="s">
        <v>273</v>
      </c>
      <c r="K312" s="909" t="s">
        <v>273</v>
      </c>
      <c r="L312" s="909" t="s">
        <v>273</v>
      </c>
      <c r="M312" s="909" t="s">
        <v>273</v>
      </c>
      <c r="N312" s="909" t="s">
        <v>273</v>
      </c>
      <c r="O312" s="909" t="s">
        <v>273</v>
      </c>
      <c r="P312" s="909" t="s">
        <v>273</v>
      </c>
      <c r="Q312" s="909" t="s">
        <v>273</v>
      </c>
      <c r="R312" s="909" t="s">
        <v>273</v>
      </c>
      <c r="S312" s="909" t="s">
        <v>273</v>
      </c>
    </row>
    <row r="313" spans="1:19">
      <c r="A313" s="909" t="s">
        <v>1539</v>
      </c>
      <c r="B313" s="909">
        <v>738</v>
      </c>
      <c r="C313" s="909">
        <v>1807</v>
      </c>
      <c r="D313" s="909" t="s">
        <v>273</v>
      </c>
      <c r="E313" s="909" t="s">
        <v>273</v>
      </c>
      <c r="F313" s="909" t="s">
        <v>273</v>
      </c>
      <c r="G313" s="909" t="s">
        <v>273</v>
      </c>
      <c r="H313" s="909" t="s">
        <v>273</v>
      </c>
      <c r="I313" s="909" t="s">
        <v>273</v>
      </c>
      <c r="J313" s="909" t="s">
        <v>273</v>
      </c>
      <c r="K313" s="909" t="s">
        <v>273</v>
      </c>
      <c r="L313" s="909" t="s">
        <v>273</v>
      </c>
      <c r="M313" s="909" t="s">
        <v>273</v>
      </c>
      <c r="N313" s="909" t="s">
        <v>273</v>
      </c>
      <c r="O313" s="909" t="s">
        <v>273</v>
      </c>
      <c r="P313" s="909" t="s">
        <v>273</v>
      </c>
      <c r="Q313" s="909" t="s">
        <v>273</v>
      </c>
      <c r="R313" s="909" t="s">
        <v>273</v>
      </c>
      <c r="S313" s="909" t="s">
        <v>273</v>
      </c>
    </row>
    <row r="314" spans="1:19">
      <c r="A314" s="909" t="s">
        <v>1538</v>
      </c>
      <c r="B314" s="909">
        <v>8644</v>
      </c>
      <c r="C314" s="909">
        <v>6379</v>
      </c>
      <c r="D314" s="909">
        <v>6204</v>
      </c>
      <c r="E314" s="909">
        <v>6703</v>
      </c>
      <c r="F314" s="909">
        <v>7272</v>
      </c>
      <c r="G314" s="909">
        <v>12882</v>
      </c>
      <c r="H314" s="909">
        <v>15509</v>
      </c>
      <c r="I314" s="909">
        <v>15443</v>
      </c>
      <c r="J314" s="909">
        <v>16061</v>
      </c>
      <c r="K314" s="909">
        <v>12521</v>
      </c>
      <c r="L314" s="909">
        <v>17579</v>
      </c>
      <c r="M314" s="909">
        <v>16801</v>
      </c>
      <c r="N314" s="909">
        <v>16984</v>
      </c>
      <c r="O314" s="909">
        <v>19508</v>
      </c>
      <c r="P314" s="909">
        <v>22872</v>
      </c>
      <c r="Q314" s="909">
        <v>23951</v>
      </c>
      <c r="R314" s="909">
        <v>28747</v>
      </c>
      <c r="S314" s="909">
        <v>34111</v>
      </c>
    </row>
    <row r="315" spans="1:19">
      <c r="A315" s="909" t="s">
        <v>1537</v>
      </c>
      <c r="B315" s="909" t="s">
        <v>291</v>
      </c>
      <c r="C315" s="909">
        <v>4566</v>
      </c>
      <c r="D315" s="909">
        <v>5142</v>
      </c>
      <c r="E315" s="909">
        <v>5545</v>
      </c>
      <c r="F315" s="909">
        <v>6099</v>
      </c>
      <c r="G315" s="909" t="s">
        <v>291</v>
      </c>
      <c r="H315" s="909" t="s">
        <v>291</v>
      </c>
      <c r="I315" s="909">
        <v>14049</v>
      </c>
      <c r="J315" s="909">
        <v>14884</v>
      </c>
      <c r="K315" s="909">
        <v>11353</v>
      </c>
      <c r="L315" s="909">
        <v>16189</v>
      </c>
      <c r="M315" s="909">
        <v>15259</v>
      </c>
      <c r="N315" s="909">
        <v>14745</v>
      </c>
      <c r="O315" s="909">
        <v>17678</v>
      </c>
      <c r="P315" s="909">
        <v>21333</v>
      </c>
      <c r="Q315" s="909">
        <v>22419</v>
      </c>
      <c r="R315" s="909">
        <v>26903</v>
      </c>
      <c r="S315" s="909">
        <v>32242</v>
      </c>
    </row>
    <row r="316" spans="1:19">
      <c r="A316" s="909" t="s">
        <v>1536</v>
      </c>
      <c r="B316" s="909">
        <v>493</v>
      </c>
      <c r="C316" s="909">
        <v>459</v>
      </c>
      <c r="D316" s="909">
        <v>900</v>
      </c>
      <c r="E316" s="909">
        <v>904</v>
      </c>
      <c r="F316" s="909">
        <v>634</v>
      </c>
      <c r="G316" s="909">
        <v>881</v>
      </c>
      <c r="H316" s="909">
        <v>1018</v>
      </c>
      <c r="I316" s="909">
        <v>1124</v>
      </c>
      <c r="J316" s="909">
        <v>1547</v>
      </c>
      <c r="K316" s="909">
        <v>2112</v>
      </c>
      <c r="L316" s="909">
        <v>2739</v>
      </c>
      <c r="M316" s="909">
        <v>2200</v>
      </c>
      <c r="N316" s="909">
        <v>2560</v>
      </c>
      <c r="O316" s="909">
        <v>2748</v>
      </c>
      <c r="P316" s="909">
        <v>3110</v>
      </c>
      <c r="Q316" s="909">
        <v>2214</v>
      </c>
      <c r="R316" s="909">
        <v>2568</v>
      </c>
      <c r="S316" s="909">
        <v>2453</v>
      </c>
    </row>
    <row r="317" spans="1:19">
      <c r="A317" s="909" t="s">
        <v>1535</v>
      </c>
      <c r="B317" s="909">
        <v>688</v>
      </c>
      <c r="C317" s="909">
        <v>821</v>
      </c>
      <c r="D317" s="909">
        <v>735</v>
      </c>
      <c r="E317" s="909">
        <v>1523</v>
      </c>
      <c r="F317" s="909">
        <v>2097</v>
      </c>
      <c r="G317" s="909">
        <v>3565</v>
      </c>
      <c r="H317" s="909" t="s">
        <v>291</v>
      </c>
      <c r="I317" s="909">
        <v>1446</v>
      </c>
      <c r="J317" s="909">
        <v>790</v>
      </c>
      <c r="K317" s="909">
        <v>444</v>
      </c>
      <c r="L317" s="909">
        <v>438</v>
      </c>
      <c r="M317" s="909">
        <v>650</v>
      </c>
      <c r="N317" s="909">
        <v>1550</v>
      </c>
      <c r="O317" s="909">
        <v>1736</v>
      </c>
      <c r="P317" s="909">
        <v>1789</v>
      </c>
      <c r="Q317" s="909">
        <v>1290</v>
      </c>
      <c r="R317" s="909">
        <v>1101</v>
      </c>
      <c r="S317" s="909">
        <v>936</v>
      </c>
    </row>
    <row r="318" spans="1:19">
      <c r="A318" s="909" t="s">
        <v>1534</v>
      </c>
      <c r="B318" s="909">
        <v>1710</v>
      </c>
      <c r="C318" s="909">
        <v>1687</v>
      </c>
      <c r="D318" s="909">
        <v>1477</v>
      </c>
      <c r="E318" s="909">
        <v>1366</v>
      </c>
      <c r="F318" s="909">
        <v>1555</v>
      </c>
      <c r="G318" s="909" t="s">
        <v>291</v>
      </c>
      <c r="H318" s="909">
        <v>2659</v>
      </c>
      <c r="I318" s="909">
        <v>3003</v>
      </c>
      <c r="J318" s="909">
        <v>3387</v>
      </c>
      <c r="K318" s="909">
        <v>3424</v>
      </c>
      <c r="L318" s="909">
        <v>2781</v>
      </c>
      <c r="M318" s="909">
        <v>2526</v>
      </c>
      <c r="N318" s="909">
        <v>1861</v>
      </c>
      <c r="O318" s="909">
        <v>3100</v>
      </c>
      <c r="P318" s="909">
        <v>3206</v>
      </c>
      <c r="Q318" s="909">
        <v>3209</v>
      </c>
      <c r="R318" s="909">
        <v>2153</v>
      </c>
      <c r="S318" s="909">
        <v>2381</v>
      </c>
    </row>
    <row r="319" spans="1:19">
      <c r="A319" s="909" t="s">
        <v>1533</v>
      </c>
      <c r="B319" s="909">
        <v>2623</v>
      </c>
      <c r="C319" s="909">
        <v>577</v>
      </c>
      <c r="D319" s="909">
        <v>1330</v>
      </c>
      <c r="E319" s="909">
        <v>995</v>
      </c>
      <c r="F319" s="909">
        <v>884</v>
      </c>
      <c r="G319" s="909">
        <v>626</v>
      </c>
      <c r="H319" s="909">
        <v>958</v>
      </c>
      <c r="I319" s="909">
        <v>1250</v>
      </c>
      <c r="J319" s="909">
        <v>1562</v>
      </c>
      <c r="K319" s="909">
        <v>2008</v>
      </c>
      <c r="L319" s="909">
        <v>3541</v>
      </c>
      <c r="M319" s="909">
        <v>2688</v>
      </c>
      <c r="N319" s="909">
        <v>1904</v>
      </c>
      <c r="O319" s="909">
        <v>2487</v>
      </c>
      <c r="P319" s="909">
        <v>3150</v>
      </c>
      <c r="Q319" s="909">
        <v>5294</v>
      </c>
      <c r="R319" s="909">
        <v>7046</v>
      </c>
      <c r="S319" s="909">
        <v>8755</v>
      </c>
    </row>
    <row r="320" spans="1:19">
      <c r="A320" s="909" t="s">
        <v>1532</v>
      </c>
      <c r="B320" s="909" t="s">
        <v>291</v>
      </c>
      <c r="C320" s="909">
        <v>319</v>
      </c>
      <c r="D320" s="909">
        <v>2</v>
      </c>
      <c r="E320" s="909">
        <v>-3</v>
      </c>
      <c r="F320" s="909">
        <v>23</v>
      </c>
      <c r="G320" s="909">
        <v>632</v>
      </c>
      <c r="H320" s="909">
        <v>3304</v>
      </c>
      <c r="I320" s="909">
        <v>3042</v>
      </c>
      <c r="J320" s="909">
        <v>3153</v>
      </c>
      <c r="K320" s="909">
        <v>3114</v>
      </c>
      <c r="L320" s="909">
        <v>5745</v>
      </c>
      <c r="M320" s="909">
        <v>5585</v>
      </c>
      <c r="N320" s="909">
        <v>4872</v>
      </c>
      <c r="O320" s="909">
        <v>4993</v>
      </c>
      <c r="P320" s="909">
        <v>7106</v>
      </c>
      <c r="Q320" s="909">
        <v>8530</v>
      </c>
      <c r="R320" s="909">
        <v>10159</v>
      </c>
      <c r="S320" s="909">
        <v>12962</v>
      </c>
    </row>
    <row r="321" spans="1:19">
      <c r="A321" s="909" t="s">
        <v>1531</v>
      </c>
      <c r="B321" s="909">
        <v>372</v>
      </c>
      <c r="C321" s="909">
        <v>354</v>
      </c>
      <c r="D321" s="909">
        <v>315</v>
      </c>
      <c r="E321" s="909">
        <v>154</v>
      </c>
      <c r="F321" s="909">
        <v>378</v>
      </c>
      <c r="G321" s="909">
        <v>2713</v>
      </c>
      <c r="H321" s="909">
        <v>3517</v>
      </c>
      <c r="I321" s="909">
        <v>2379</v>
      </c>
      <c r="J321" s="909">
        <v>2772</v>
      </c>
      <c r="K321" s="909">
        <v>359</v>
      </c>
      <c r="L321" s="909">
        <v>-85</v>
      </c>
      <c r="M321" s="909">
        <v>95</v>
      </c>
      <c r="N321" s="909" t="s">
        <v>291</v>
      </c>
      <c r="O321" s="909">
        <v>730</v>
      </c>
      <c r="P321" s="909">
        <v>320</v>
      </c>
      <c r="Q321" s="909">
        <v>558</v>
      </c>
      <c r="R321" s="909">
        <v>454</v>
      </c>
      <c r="S321" s="909">
        <v>546</v>
      </c>
    </row>
    <row r="322" spans="1:19">
      <c r="A322" s="909" t="s">
        <v>1530</v>
      </c>
      <c r="B322" s="909">
        <v>399</v>
      </c>
      <c r="C322" s="909">
        <v>254</v>
      </c>
      <c r="D322" s="909">
        <v>238</v>
      </c>
      <c r="E322" s="909">
        <v>231</v>
      </c>
      <c r="F322" s="909">
        <v>180</v>
      </c>
      <c r="G322" s="909">
        <v>233</v>
      </c>
      <c r="H322" s="909">
        <v>297</v>
      </c>
      <c r="I322" s="909">
        <v>497</v>
      </c>
      <c r="J322" s="909">
        <v>204</v>
      </c>
      <c r="K322" s="909">
        <v>148</v>
      </c>
      <c r="L322" s="909">
        <v>228</v>
      </c>
      <c r="M322" s="909">
        <v>250</v>
      </c>
      <c r="N322" s="909" t="s">
        <v>291</v>
      </c>
      <c r="O322" s="909">
        <v>341</v>
      </c>
      <c r="P322" s="909">
        <v>414</v>
      </c>
      <c r="Q322" s="909" t="s">
        <v>291</v>
      </c>
      <c r="R322" s="909" t="s">
        <v>291</v>
      </c>
      <c r="S322" s="909" t="s">
        <v>291</v>
      </c>
    </row>
    <row r="323" spans="1:19">
      <c r="A323" s="909" t="s">
        <v>1529</v>
      </c>
      <c r="B323" s="909">
        <v>562</v>
      </c>
      <c r="C323" s="909">
        <v>95</v>
      </c>
      <c r="D323" s="909">
        <v>146</v>
      </c>
      <c r="E323" s="909">
        <v>377</v>
      </c>
      <c r="F323" s="909">
        <v>349</v>
      </c>
      <c r="G323" s="909">
        <v>605</v>
      </c>
      <c r="H323" s="909">
        <v>611</v>
      </c>
      <c r="I323" s="909">
        <v>1306</v>
      </c>
      <c r="J323" s="909">
        <v>1468</v>
      </c>
      <c r="K323" s="909">
        <v>-256</v>
      </c>
      <c r="L323" s="909">
        <v>802</v>
      </c>
      <c r="M323" s="909">
        <v>1265</v>
      </c>
      <c r="N323" s="909">
        <v>1604</v>
      </c>
      <c r="O323" s="909">
        <v>1543</v>
      </c>
      <c r="P323" s="909">
        <v>2238</v>
      </c>
      <c r="Q323" s="909" t="s">
        <v>291</v>
      </c>
      <c r="R323" s="909" t="s">
        <v>291</v>
      </c>
      <c r="S323" s="909" t="s">
        <v>291</v>
      </c>
    </row>
    <row r="324" spans="1:19">
      <c r="A324" s="909" t="s">
        <v>1528</v>
      </c>
      <c r="B324" s="909" t="s">
        <v>291</v>
      </c>
      <c r="C324" s="909">
        <v>1813</v>
      </c>
      <c r="D324" s="909">
        <v>1062</v>
      </c>
      <c r="E324" s="909">
        <v>1158</v>
      </c>
      <c r="F324" s="909">
        <v>1173</v>
      </c>
      <c r="G324" s="909" t="s">
        <v>291</v>
      </c>
      <c r="H324" s="909" t="s">
        <v>291</v>
      </c>
      <c r="I324" s="909">
        <v>1393</v>
      </c>
      <c r="J324" s="909">
        <v>1177</v>
      </c>
      <c r="K324" s="909">
        <v>1168</v>
      </c>
      <c r="L324" s="909">
        <v>1389</v>
      </c>
      <c r="M324" s="909">
        <v>1542</v>
      </c>
      <c r="N324" s="909">
        <v>2238</v>
      </c>
      <c r="O324" s="909">
        <v>1831</v>
      </c>
      <c r="P324" s="909">
        <v>1539</v>
      </c>
      <c r="Q324" s="909">
        <v>1532</v>
      </c>
      <c r="R324" s="909">
        <v>1844</v>
      </c>
      <c r="S324" s="909">
        <v>1869</v>
      </c>
    </row>
    <row r="325" spans="1:19">
      <c r="A325" s="909" t="s">
        <v>1527</v>
      </c>
      <c r="B325" s="909">
        <v>329</v>
      </c>
      <c r="C325" s="909">
        <v>360</v>
      </c>
      <c r="D325" s="909">
        <v>425</v>
      </c>
      <c r="E325" s="909">
        <v>995</v>
      </c>
      <c r="F325" s="909">
        <v>1110</v>
      </c>
      <c r="G325" s="909">
        <v>913</v>
      </c>
      <c r="H325" s="909">
        <v>1029</v>
      </c>
      <c r="I325" s="909">
        <v>922</v>
      </c>
      <c r="J325" s="909">
        <v>858</v>
      </c>
      <c r="K325" s="909">
        <v>992</v>
      </c>
      <c r="L325" s="909">
        <v>668</v>
      </c>
      <c r="M325" s="909">
        <v>813</v>
      </c>
      <c r="N325" s="909">
        <v>1273</v>
      </c>
      <c r="O325" s="909">
        <v>1176</v>
      </c>
      <c r="P325" s="909">
        <v>2453</v>
      </c>
      <c r="Q325" s="909">
        <v>5317</v>
      </c>
      <c r="R325" s="909">
        <v>5811</v>
      </c>
      <c r="S325" s="909">
        <v>7269</v>
      </c>
    </row>
    <row r="326" spans="1:19">
      <c r="A326" s="909" t="s">
        <v>1526</v>
      </c>
      <c r="B326" s="909" t="s">
        <v>291</v>
      </c>
      <c r="C326" s="909">
        <v>86</v>
      </c>
      <c r="D326" s="909" t="s">
        <v>291</v>
      </c>
      <c r="E326" s="909">
        <v>2</v>
      </c>
      <c r="F326" s="909">
        <v>-29</v>
      </c>
      <c r="G326" s="909" t="s">
        <v>291</v>
      </c>
      <c r="H326" s="909">
        <v>-109</v>
      </c>
      <c r="I326" s="909">
        <v>-323</v>
      </c>
      <c r="J326" s="909" t="s">
        <v>291</v>
      </c>
      <c r="K326" s="909" t="s">
        <v>291</v>
      </c>
      <c r="L326" s="909">
        <v>166</v>
      </c>
      <c r="M326" s="909">
        <v>243</v>
      </c>
      <c r="N326" s="909" t="s">
        <v>291</v>
      </c>
      <c r="O326" s="909">
        <v>97</v>
      </c>
      <c r="P326" s="909">
        <v>-10</v>
      </c>
      <c r="Q326" s="909">
        <v>1808</v>
      </c>
      <c r="R326" s="909">
        <v>1832</v>
      </c>
      <c r="S326" s="909">
        <v>1995</v>
      </c>
    </row>
    <row r="327" spans="1:19">
      <c r="A327" s="909" t="s">
        <v>1525</v>
      </c>
      <c r="B327" s="909" t="s">
        <v>291</v>
      </c>
      <c r="C327" s="909" t="s">
        <v>291</v>
      </c>
      <c r="D327" s="909" t="s">
        <v>291</v>
      </c>
      <c r="E327" s="909">
        <v>974</v>
      </c>
      <c r="F327" s="909">
        <v>1117</v>
      </c>
      <c r="G327" s="909" t="s">
        <v>291</v>
      </c>
      <c r="H327" s="909">
        <v>1136</v>
      </c>
      <c r="I327" s="909">
        <v>1243</v>
      </c>
      <c r="J327" s="909">
        <v>991</v>
      </c>
      <c r="K327" s="909" t="s">
        <v>291</v>
      </c>
      <c r="L327" s="909">
        <v>412</v>
      </c>
      <c r="M327" s="909">
        <v>498</v>
      </c>
      <c r="N327" s="909">
        <v>697</v>
      </c>
      <c r="O327" s="909" t="s">
        <v>291</v>
      </c>
      <c r="P327" s="909" t="s">
        <v>291</v>
      </c>
      <c r="Q327" s="909">
        <v>3149</v>
      </c>
      <c r="R327" s="909">
        <v>3644</v>
      </c>
      <c r="S327" s="909">
        <v>4970</v>
      </c>
    </row>
    <row r="328" spans="1:19">
      <c r="A328" s="909" t="s">
        <v>1524</v>
      </c>
      <c r="B328" s="909">
        <v>12</v>
      </c>
      <c r="C328" s="909" t="s">
        <v>291</v>
      </c>
      <c r="D328" s="909">
        <v>26</v>
      </c>
      <c r="E328" s="909">
        <v>17</v>
      </c>
      <c r="F328" s="909">
        <v>19</v>
      </c>
      <c r="G328" s="909">
        <v>1</v>
      </c>
      <c r="H328" s="909">
        <v>1</v>
      </c>
      <c r="I328" s="909">
        <v>2</v>
      </c>
      <c r="J328" s="909" t="s">
        <v>291</v>
      </c>
      <c r="K328" s="909">
        <v>294</v>
      </c>
      <c r="L328" s="909">
        <v>82</v>
      </c>
      <c r="M328" s="909">
        <v>65</v>
      </c>
      <c r="N328" s="909">
        <v>242</v>
      </c>
      <c r="O328" s="909">
        <v>214</v>
      </c>
      <c r="P328" s="909">
        <v>153</v>
      </c>
      <c r="Q328" s="909" t="s">
        <v>291</v>
      </c>
      <c r="R328" s="909" t="s">
        <v>291</v>
      </c>
      <c r="S328" s="909" t="s">
        <v>291</v>
      </c>
    </row>
    <row r="329" spans="1:19">
      <c r="A329" s="909" t="s">
        <v>1523</v>
      </c>
      <c r="B329" s="909">
        <v>3</v>
      </c>
      <c r="C329" s="909">
        <v>3</v>
      </c>
      <c r="D329" s="909">
        <v>3</v>
      </c>
      <c r="E329" s="909">
        <v>3</v>
      </c>
      <c r="F329" s="909">
        <v>3</v>
      </c>
      <c r="G329" s="909" t="s">
        <v>306</v>
      </c>
      <c r="H329" s="909" t="s">
        <v>306</v>
      </c>
      <c r="I329" s="909" t="s">
        <v>306</v>
      </c>
      <c r="J329" s="909" t="s">
        <v>306</v>
      </c>
      <c r="K329" s="909">
        <v>2</v>
      </c>
      <c r="L329" s="909">
        <v>7</v>
      </c>
      <c r="M329" s="909">
        <v>7</v>
      </c>
      <c r="N329" s="909" t="s">
        <v>291</v>
      </c>
      <c r="O329" s="909" t="s">
        <v>291</v>
      </c>
      <c r="P329" s="909" t="s">
        <v>291</v>
      </c>
      <c r="Q329" s="909" t="s">
        <v>291</v>
      </c>
      <c r="R329" s="909" t="s">
        <v>291</v>
      </c>
      <c r="S329" s="909" t="s">
        <v>291</v>
      </c>
    </row>
    <row r="330" spans="1:19">
      <c r="A330" s="909" t="s">
        <v>1522</v>
      </c>
      <c r="B330" s="909">
        <v>16373</v>
      </c>
      <c r="C330" s="909">
        <v>17474</v>
      </c>
      <c r="D330" s="909">
        <v>17392</v>
      </c>
      <c r="E330" s="909">
        <v>21085</v>
      </c>
      <c r="F330" s="909">
        <v>22670</v>
      </c>
      <c r="G330" s="909">
        <v>25811</v>
      </c>
      <c r="H330" s="909">
        <v>22580</v>
      </c>
      <c r="I330" s="909">
        <v>27665</v>
      </c>
      <c r="J330" s="909">
        <v>23341</v>
      </c>
      <c r="K330" s="909">
        <v>20408</v>
      </c>
      <c r="L330" s="909">
        <v>24381</v>
      </c>
      <c r="M330" s="909">
        <v>24772</v>
      </c>
      <c r="N330" s="909">
        <v>23155</v>
      </c>
      <c r="O330" s="909">
        <v>27049</v>
      </c>
      <c r="P330" s="909">
        <v>18095</v>
      </c>
      <c r="Q330" s="909">
        <v>18533</v>
      </c>
      <c r="R330" s="909">
        <v>17029</v>
      </c>
      <c r="S330" s="909">
        <v>19777</v>
      </c>
    </row>
    <row r="331" spans="1:19">
      <c r="A331" s="909" t="s">
        <v>1521</v>
      </c>
      <c r="B331" s="909">
        <v>7196</v>
      </c>
      <c r="C331" s="909">
        <v>7958</v>
      </c>
      <c r="D331" s="909">
        <v>7746</v>
      </c>
      <c r="E331" s="909">
        <v>9383</v>
      </c>
      <c r="F331" s="909">
        <v>9906</v>
      </c>
      <c r="G331" s="909">
        <v>10619</v>
      </c>
      <c r="H331" s="909">
        <v>8494</v>
      </c>
      <c r="I331" s="909">
        <v>12447</v>
      </c>
      <c r="J331" s="909">
        <v>9930</v>
      </c>
      <c r="K331" s="909">
        <v>7790</v>
      </c>
      <c r="L331" s="909">
        <v>10684</v>
      </c>
      <c r="M331" s="909">
        <v>11919</v>
      </c>
      <c r="N331" s="909">
        <v>9972</v>
      </c>
      <c r="O331" s="909">
        <v>11701</v>
      </c>
      <c r="P331" s="909">
        <v>9776</v>
      </c>
      <c r="Q331" s="909">
        <v>9739</v>
      </c>
      <c r="R331" s="909">
        <v>10199</v>
      </c>
      <c r="S331" s="909">
        <v>11516</v>
      </c>
    </row>
    <row r="332" spans="1:19">
      <c r="A332" s="909" t="s">
        <v>1520</v>
      </c>
      <c r="B332" s="909">
        <v>9177</v>
      </c>
      <c r="C332" s="909">
        <v>9516</v>
      </c>
      <c r="D332" s="909">
        <v>9646</v>
      </c>
      <c r="E332" s="909">
        <v>11702</v>
      </c>
      <c r="F332" s="909">
        <v>12763</v>
      </c>
      <c r="G332" s="909">
        <v>15193</v>
      </c>
      <c r="H332" s="909">
        <v>14086</v>
      </c>
      <c r="I332" s="909">
        <v>15218</v>
      </c>
      <c r="J332" s="909">
        <v>13411</v>
      </c>
      <c r="K332" s="909">
        <v>12618</v>
      </c>
      <c r="L332" s="909">
        <v>13697</v>
      </c>
      <c r="M332" s="909">
        <v>12854</v>
      </c>
      <c r="N332" s="909">
        <v>13183</v>
      </c>
      <c r="O332" s="909">
        <v>15349</v>
      </c>
      <c r="P332" s="909">
        <v>8319</v>
      </c>
      <c r="Q332" s="909">
        <v>8794</v>
      </c>
      <c r="R332" s="909">
        <v>6830</v>
      </c>
      <c r="S332" s="909">
        <v>8261</v>
      </c>
    </row>
    <row r="333" spans="1:19">
      <c r="A333" s="909" t="s">
        <v>1519</v>
      </c>
      <c r="B333" s="909">
        <v>7514</v>
      </c>
      <c r="C333" s="909">
        <v>7520</v>
      </c>
      <c r="D333" s="909">
        <v>6584</v>
      </c>
      <c r="E333" s="909">
        <v>4087</v>
      </c>
      <c r="F333" s="909">
        <v>4751</v>
      </c>
      <c r="G333" s="909">
        <v>4490</v>
      </c>
      <c r="H333" s="909">
        <v>4697</v>
      </c>
      <c r="I333" s="909">
        <v>7295</v>
      </c>
      <c r="J333" s="909">
        <v>10784</v>
      </c>
      <c r="K333" s="909">
        <v>13269</v>
      </c>
      <c r="L333" s="909">
        <v>12105</v>
      </c>
      <c r="M333" s="909">
        <v>12001</v>
      </c>
      <c r="N333" s="909">
        <v>13503</v>
      </c>
      <c r="O333" s="909">
        <v>14873</v>
      </c>
      <c r="P333" s="909">
        <v>14574</v>
      </c>
      <c r="Q333" s="909">
        <v>17739</v>
      </c>
      <c r="R333" s="909">
        <v>18557</v>
      </c>
      <c r="S333" s="909">
        <v>22070</v>
      </c>
    </row>
    <row r="334" spans="1:19">
      <c r="A334" s="909" t="s">
        <v>1518</v>
      </c>
      <c r="B334" s="909">
        <v>228</v>
      </c>
      <c r="C334" s="909">
        <v>185</v>
      </c>
      <c r="D334" s="909">
        <v>468</v>
      </c>
      <c r="E334" s="909">
        <v>657</v>
      </c>
      <c r="F334" s="909">
        <v>406</v>
      </c>
      <c r="G334" s="909">
        <v>477</v>
      </c>
      <c r="H334" s="909">
        <v>376</v>
      </c>
      <c r="I334" s="909">
        <v>471</v>
      </c>
      <c r="J334" s="909">
        <v>730</v>
      </c>
      <c r="K334" s="909">
        <v>841</v>
      </c>
      <c r="L334" s="909">
        <v>1493</v>
      </c>
      <c r="M334" s="909">
        <v>1974</v>
      </c>
      <c r="N334" s="909">
        <v>1954</v>
      </c>
      <c r="O334" s="909">
        <v>2149</v>
      </c>
      <c r="P334" s="909">
        <v>2066</v>
      </c>
      <c r="Q334" s="909">
        <v>2078</v>
      </c>
      <c r="R334" s="909">
        <v>2158</v>
      </c>
      <c r="S334" s="909">
        <v>2126</v>
      </c>
    </row>
    <row r="335" spans="1:19">
      <c r="A335" s="909" t="s">
        <v>1517</v>
      </c>
      <c r="B335" s="909">
        <v>1412</v>
      </c>
      <c r="C335" s="909">
        <v>1713</v>
      </c>
      <c r="D335" s="909">
        <v>1832</v>
      </c>
      <c r="E335" s="909">
        <v>1712</v>
      </c>
      <c r="F335" s="909">
        <v>2400</v>
      </c>
      <c r="G335" s="909">
        <v>1738</v>
      </c>
      <c r="H335" s="909">
        <v>1832</v>
      </c>
      <c r="I335" s="909">
        <v>3583</v>
      </c>
      <c r="J335" s="909">
        <v>6879</v>
      </c>
      <c r="K335" s="909">
        <v>8554</v>
      </c>
      <c r="L335" s="909">
        <v>5876</v>
      </c>
      <c r="M335" s="909">
        <v>5731</v>
      </c>
      <c r="N335" s="909">
        <v>6547</v>
      </c>
      <c r="O335" s="909">
        <v>7881</v>
      </c>
      <c r="P335" s="909">
        <v>7866</v>
      </c>
      <c r="Q335" s="909">
        <v>8702</v>
      </c>
      <c r="R335" s="909">
        <v>9408</v>
      </c>
      <c r="S335" s="909">
        <v>11794</v>
      </c>
    </row>
    <row r="336" spans="1:19">
      <c r="A336" s="909" t="s">
        <v>1516</v>
      </c>
      <c r="B336" s="909">
        <v>496</v>
      </c>
      <c r="C336" s="909">
        <v>878</v>
      </c>
      <c r="D336" s="909">
        <v>779</v>
      </c>
      <c r="E336" s="909">
        <v>531</v>
      </c>
      <c r="F336" s="909">
        <v>539</v>
      </c>
      <c r="G336" s="909">
        <v>97</v>
      </c>
      <c r="H336" s="909">
        <v>6</v>
      </c>
      <c r="I336" s="909">
        <v>410</v>
      </c>
      <c r="J336" s="909">
        <v>1060</v>
      </c>
      <c r="K336" s="909">
        <v>983</v>
      </c>
      <c r="L336" s="909">
        <v>1848</v>
      </c>
      <c r="M336" s="909">
        <v>1883</v>
      </c>
      <c r="N336" s="909">
        <v>2229</v>
      </c>
      <c r="O336" s="909">
        <v>1635</v>
      </c>
      <c r="P336" s="909">
        <v>1948</v>
      </c>
      <c r="Q336" s="909">
        <v>1697</v>
      </c>
      <c r="R336" s="909">
        <v>1486</v>
      </c>
      <c r="S336" s="909">
        <v>1778</v>
      </c>
    </row>
    <row r="337" spans="1:19">
      <c r="A337" s="909" t="s">
        <v>1515</v>
      </c>
      <c r="B337" s="909">
        <v>0</v>
      </c>
      <c r="C337" s="909">
        <v>0</v>
      </c>
      <c r="D337" s="909">
        <v>0</v>
      </c>
      <c r="E337" s="909">
        <v>0</v>
      </c>
      <c r="F337" s="909">
        <v>0</v>
      </c>
      <c r="G337" s="909">
        <v>0</v>
      </c>
      <c r="H337" s="909">
        <v>0</v>
      </c>
      <c r="I337" s="909">
        <v>0</v>
      </c>
      <c r="J337" s="909">
        <v>0</v>
      </c>
      <c r="K337" s="909">
        <v>0</v>
      </c>
      <c r="L337" s="909">
        <v>0</v>
      </c>
      <c r="M337" s="909">
        <v>0</v>
      </c>
      <c r="N337" s="909">
        <v>0</v>
      </c>
      <c r="O337" s="909">
        <v>0</v>
      </c>
      <c r="P337" s="909">
        <v>0</v>
      </c>
      <c r="Q337" s="909">
        <v>0</v>
      </c>
      <c r="R337" s="909">
        <v>0</v>
      </c>
      <c r="S337" s="909">
        <v>0</v>
      </c>
    </row>
    <row r="338" spans="1:19">
      <c r="A338" s="909" t="s">
        <v>1514</v>
      </c>
      <c r="B338" s="909">
        <v>916</v>
      </c>
      <c r="C338" s="909">
        <v>835</v>
      </c>
      <c r="D338" s="909">
        <v>1053</v>
      </c>
      <c r="E338" s="909">
        <v>1181</v>
      </c>
      <c r="F338" s="909">
        <v>1861</v>
      </c>
      <c r="G338" s="909">
        <v>1641</v>
      </c>
      <c r="H338" s="909">
        <v>1826</v>
      </c>
      <c r="I338" s="909">
        <v>3174</v>
      </c>
      <c r="J338" s="909">
        <v>5819</v>
      </c>
      <c r="K338" s="909">
        <v>7572</v>
      </c>
      <c r="L338" s="909">
        <v>4028</v>
      </c>
      <c r="M338" s="909">
        <v>3848</v>
      </c>
      <c r="N338" s="909">
        <v>4318</v>
      </c>
      <c r="O338" s="909">
        <v>6246</v>
      </c>
      <c r="P338" s="909">
        <v>5917</v>
      </c>
      <c r="Q338" s="909">
        <v>7005</v>
      </c>
      <c r="R338" s="909">
        <v>7923</v>
      </c>
      <c r="S338" s="909">
        <v>10016</v>
      </c>
    </row>
    <row r="339" spans="1:19">
      <c r="A339" s="909" t="s">
        <v>1513</v>
      </c>
      <c r="B339" s="909">
        <v>5874</v>
      </c>
      <c r="C339" s="909">
        <v>5623</v>
      </c>
      <c r="D339" s="909">
        <v>4284</v>
      </c>
      <c r="E339" s="909">
        <v>1719</v>
      </c>
      <c r="F339" s="909">
        <v>1945</v>
      </c>
      <c r="G339" s="909">
        <v>2275</v>
      </c>
      <c r="H339" s="909">
        <v>2490</v>
      </c>
      <c r="I339" s="909">
        <v>3241</v>
      </c>
      <c r="J339" s="909">
        <v>3175</v>
      </c>
      <c r="K339" s="909">
        <v>3874</v>
      </c>
      <c r="L339" s="909">
        <v>4735</v>
      </c>
      <c r="M339" s="909">
        <v>4297</v>
      </c>
      <c r="N339" s="909">
        <v>5003</v>
      </c>
      <c r="O339" s="909">
        <v>4843</v>
      </c>
      <c r="P339" s="909">
        <v>4643</v>
      </c>
      <c r="Q339" s="909">
        <v>6959</v>
      </c>
      <c r="R339" s="909">
        <v>6991</v>
      </c>
      <c r="S339" s="909">
        <v>8150</v>
      </c>
    </row>
    <row r="340" spans="1:19">
      <c r="A340" s="909" t="s">
        <v>1512</v>
      </c>
      <c r="B340" s="909">
        <v>1257</v>
      </c>
      <c r="C340" s="909">
        <v>1269</v>
      </c>
      <c r="D340" s="909">
        <v>1341</v>
      </c>
      <c r="E340" s="909">
        <v>284</v>
      </c>
      <c r="F340" s="909">
        <v>347</v>
      </c>
      <c r="G340" s="909">
        <v>526</v>
      </c>
      <c r="H340" s="909">
        <v>759</v>
      </c>
      <c r="I340" s="909">
        <v>1076</v>
      </c>
      <c r="J340" s="909">
        <v>1190</v>
      </c>
      <c r="K340" s="909">
        <v>1720</v>
      </c>
      <c r="L340" s="909">
        <v>2755</v>
      </c>
      <c r="M340" s="909">
        <v>2377</v>
      </c>
      <c r="N340" s="909">
        <v>3051</v>
      </c>
      <c r="O340" s="909">
        <v>2893</v>
      </c>
      <c r="P340" s="909">
        <v>2855</v>
      </c>
      <c r="Q340" s="909">
        <v>5398</v>
      </c>
      <c r="R340" s="909">
        <v>5553</v>
      </c>
      <c r="S340" s="909">
        <v>6667</v>
      </c>
    </row>
    <row r="341" spans="1:19">
      <c r="A341" s="909" t="s">
        <v>1511</v>
      </c>
      <c r="B341" s="909">
        <v>4617</v>
      </c>
      <c r="C341" s="909">
        <v>4354</v>
      </c>
      <c r="D341" s="909">
        <v>2943</v>
      </c>
      <c r="E341" s="909">
        <v>1435</v>
      </c>
      <c r="F341" s="909">
        <v>1597</v>
      </c>
      <c r="G341" s="909">
        <v>1749</v>
      </c>
      <c r="H341" s="909">
        <v>1730</v>
      </c>
      <c r="I341" s="909">
        <v>2165</v>
      </c>
      <c r="J341" s="909">
        <v>1985</v>
      </c>
      <c r="K341" s="909">
        <v>2154</v>
      </c>
      <c r="L341" s="909">
        <v>1980</v>
      </c>
      <c r="M341" s="909">
        <v>1920</v>
      </c>
      <c r="N341" s="909">
        <v>1952</v>
      </c>
      <c r="O341" s="909">
        <v>1950</v>
      </c>
      <c r="P341" s="909">
        <v>1788</v>
      </c>
      <c r="Q341" s="909">
        <v>1560</v>
      </c>
      <c r="R341" s="909">
        <v>1438</v>
      </c>
      <c r="S341" s="909">
        <v>1483</v>
      </c>
    </row>
    <row r="342" spans="1:19">
      <c r="A342" s="909" t="s">
        <v>1510</v>
      </c>
      <c r="B342" s="909" t="s">
        <v>0</v>
      </c>
      <c r="C342" s="909" t="s">
        <v>0</v>
      </c>
      <c r="D342" s="909" t="s">
        <v>0</v>
      </c>
      <c r="E342" s="909" t="s">
        <v>0</v>
      </c>
      <c r="F342" s="909" t="s">
        <v>0</v>
      </c>
      <c r="G342" s="909" t="s">
        <v>0</v>
      </c>
      <c r="H342" s="909" t="s">
        <v>0</v>
      </c>
      <c r="I342" s="909" t="s">
        <v>0</v>
      </c>
      <c r="J342" s="909" t="s">
        <v>0</v>
      </c>
      <c r="K342" s="909" t="s">
        <v>0</v>
      </c>
      <c r="L342" s="909" t="s">
        <v>0</v>
      </c>
      <c r="M342" s="909" t="s">
        <v>0</v>
      </c>
      <c r="N342" s="909" t="s">
        <v>0</v>
      </c>
      <c r="O342" s="909" t="s">
        <v>0</v>
      </c>
      <c r="P342" s="909" t="s">
        <v>0</v>
      </c>
      <c r="Q342" s="909" t="s">
        <v>0</v>
      </c>
      <c r="R342" s="909" t="s">
        <v>0</v>
      </c>
      <c r="S342" s="909" t="s">
        <v>0</v>
      </c>
    </row>
    <row r="343" spans="1:19">
      <c r="A343" s="909" t="s">
        <v>1509</v>
      </c>
      <c r="B343" s="909" t="s">
        <v>273</v>
      </c>
      <c r="C343" s="909" t="s">
        <v>273</v>
      </c>
      <c r="D343" s="909">
        <v>89142</v>
      </c>
      <c r="E343" s="909">
        <v>89929</v>
      </c>
      <c r="F343" s="909">
        <v>93165</v>
      </c>
      <c r="G343" s="909">
        <v>104307</v>
      </c>
      <c r="H343" s="909">
        <v>114313</v>
      </c>
      <c r="I343" s="909">
        <v>124334</v>
      </c>
      <c r="J343" s="909">
        <v>138197</v>
      </c>
      <c r="K343" s="909">
        <v>149470</v>
      </c>
      <c r="L343" s="909">
        <v>155227</v>
      </c>
      <c r="M343" s="909">
        <v>156358</v>
      </c>
      <c r="N343" s="909">
        <v>169543</v>
      </c>
      <c r="O343" s="909">
        <v>181111</v>
      </c>
      <c r="P343" s="909">
        <v>198773</v>
      </c>
      <c r="Q343" s="909">
        <v>199802</v>
      </c>
      <c r="R343" s="909">
        <v>179417</v>
      </c>
      <c r="S343" s="909">
        <v>175596</v>
      </c>
    </row>
    <row r="344" spans="1:19" ht="13">
      <c r="A344" s="1961" t="s">
        <v>7</v>
      </c>
      <c r="B344" s="1958"/>
      <c r="C344" s="1958"/>
      <c r="D344" s="1958"/>
      <c r="E344" s="1958"/>
      <c r="F344" s="1958"/>
      <c r="G344" s="1958"/>
      <c r="H344" s="1958"/>
      <c r="I344" s="1958"/>
      <c r="J344" s="1958"/>
      <c r="K344" s="1958"/>
      <c r="L344" s="1958"/>
      <c r="M344" s="1958"/>
      <c r="N344" s="1958"/>
      <c r="O344" s="1958"/>
      <c r="P344" s="1958"/>
      <c r="Q344" s="1958"/>
      <c r="R344" s="1958"/>
      <c r="S344" s="1958"/>
    </row>
    <row r="345" spans="1:19">
      <c r="A345" s="1962" t="s">
        <v>272</v>
      </c>
      <c r="B345" s="1958"/>
      <c r="C345" s="1958"/>
      <c r="D345" s="1958"/>
      <c r="E345" s="1958"/>
      <c r="F345" s="1958"/>
      <c r="G345" s="1958"/>
      <c r="H345" s="1958"/>
      <c r="I345" s="1958"/>
      <c r="J345" s="1958"/>
      <c r="K345" s="1958"/>
      <c r="L345" s="1958"/>
      <c r="M345" s="1958"/>
      <c r="N345" s="1958"/>
      <c r="O345" s="1958"/>
      <c r="P345" s="1958"/>
      <c r="Q345" s="1958"/>
      <c r="R345" s="1958"/>
      <c r="S345" s="1958"/>
    </row>
    <row r="346" spans="1:19">
      <c r="A346" s="1962" t="s">
        <v>1031</v>
      </c>
      <c r="B346" s="1958"/>
      <c r="C346" s="1958"/>
      <c r="D346" s="1958"/>
      <c r="E346" s="1958"/>
      <c r="F346" s="1958"/>
      <c r="G346" s="1958"/>
      <c r="H346" s="1958"/>
      <c r="I346" s="1958"/>
      <c r="J346" s="1958"/>
      <c r="K346" s="1958"/>
      <c r="L346" s="1958"/>
      <c r="M346" s="1958"/>
      <c r="N346" s="1958"/>
      <c r="O346" s="1958"/>
      <c r="P346" s="1958"/>
      <c r="Q346" s="1958"/>
      <c r="R346" s="1958"/>
      <c r="S346" s="1958"/>
    </row>
    <row r="347" spans="1:19">
      <c r="A347" s="1962" t="s">
        <v>1032</v>
      </c>
      <c r="B347" s="1958"/>
      <c r="C347" s="1958"/>
      <c r="D347" s="1958"/>
      <c r="E347" s="1958"/>
      <c r="F347" s="1958"/>
      <c r="G347" s="1958"/>
      <c r="H347" s="1958"/>
      <c r="I347" s="1958"/>
      <c r="J347" s="1958"/>
      <c r="K347" s="1958"/>
      <c r="L347" s="1958"/>
      <c r="M347" s="1958"/>
      <c r="N347" s="1958"/>
      <c r="O347" s="1958"/>
      <c r="P347" s="1958"/>
      <c r="Q347" s="1958"/>
      <c r="R347" s="1958"/>
      <c r="S347" s="1958"/>
    </row>
    <row r="348" spans="1:19">
      <c r="A348" s="1962" t="s">
        <v>1033</v>
      </c>
      <c r="B348" s="1958"/>
      <c r="C348" s="1958"/>
      <c r="D348" s="1958"/>
      <c r="E348" s="1958"/>
      <c r="F348" s="1958"/>
      <c r="G348" s="1958"/>
      <c r="H348" s="1958"/>
      <c r="I348" s="1958"/>
      <c r="J348" s="1958"/>
      <c r="K348" s="1958"/>
      <c r="L348" s="1958"/>
      <c r="M348" s="1958"/>
      <c r="N348" s="1958"/>
      <c r="O348" s="1958"/>
      <c r="P348" s="1958"/>
      <c r="Q348" s="1958"/>
      <c r="R348" s="1958"/>
      <c r="S348" s="1958"/>
    </row>
    <row r="349" spans="1:19">
      <c r="A349" s="1962" t="s">
        <v>268</v>
      </c>
      <c r="B349" s="1958"/>
      <c r="C349" s="1958"/>
      <c r="D349" s="1958"/>
      <c r="E349" s="1958"/>
      <c r="F349" s="1958"/>
      <c r="G349" s="1958"/>
      <c r="H349" s="1958"/>
      <c r="I349" s="1958"/>
      <c r="J349" s="1958"/>
      <c r="K349" s="1958"/>
      <c r="L349" s="1958"/>
      <c r="M349" s="1958"/>
      <c r="N349" s="1958"/>
      <c r="O349" s="1958"/>
      <c r="P349" s="1958"/>
      <c r="Q349" s="1958"/>
      <c r="R349" s="1958"/>
      <c r="S349" s="1958"/>
    </row>
    <row r="350" spans="1:19">
      <c r="A350" s="1962" t="s">
        <v>267</v>
      </c>
      <c r="B350" s="1958"/>
      <c r="C350" s="1958"/>
      <c r="D350" s="1958"/>
      <c r="E350" s="1958"/>
      <c r="F350" s="1958"/>
      <c r="G350" s="1958"/>
      <c r="H350" s="1958"/>
      <c r="I350" s="1958"/>
      <c r="J350" s="1958"/>
      <c r="K350" s="1958"/>
      <c r="L350" s="1958"/>
      <c r="M350" s="1958"/>
      <c r="N350" s="1958"/>
      <c r="O350" s="1958"/>
      <c r="P350" s="1958"/>
      <c r="Q350" s="1958"/>
      <c r="R350" s="1958"/>
      <c r="S350" s="1958"/>
    </row>
    <row r="351" spans="1:19">
      <c r="A351" s="1962" t="s">
        <v>265</v>
      </c>
      <c r="B351" s="1958"/>
      <c r="C351" s="1958"/>
      <c r="D351" s="1958"/>
      <c r="E351" s="1958"/>
      <c r="F351" s="1958"/>
      <c r="G351" s="1958"/>
      <c r="H351" s="1958"/>
      <c r="I351" s="1958"/>
      <c r="J351" s="1958"/>
      <c r="K351" s="1958"/>
      <c r="L351" s="1958"/>
      <c r="M351" s="1958"/>
      <c r="N351" s="1958"/>
      <c r="O351" s="1958"/>
      <c r="P351" s="1958"/>
      <c r="Q351" s="1958"/>
      <c r="R351" s="1958"/>
      <c r="S351" s="1958"/>
    </row>
    <row r="352" spans="1:19">
      <c r="A352" s="1962" t="s">
        <v>1508</v>
      </c>
      <c r="B352" s="1958"/>
      <c r="C352" s="1958"/>
      <c r="D352" s="1958"/>
      <c r="E352" s="1958"/>
      <c r="F352" s="1958"/>
      <c r="G352" s="1958"/>
      <c r="H352" s="1958"/>
      <c r="I352" s="1958"/>
      <c r="J352" s="1958"/>
      <c r="K352" s="1958"/>
      <c r="L352" s="1958"/>
      <c r="M352" s="1958"/>
      <c r="N352" s="1958"/>
      <c r="O352" s="1958"/>
      <c r="P352" s="1958"/>
      <c r="Q352" s="1958"/>
      <c r="R352" s="1958"/>
      <c r="S352" s="1958"/>
    </row>
    <row r="353" spans="1:19">
      <c r="A353" s="1962" t="s">
        <v>262</v>
      </c>
      <c r="B353" s="1958"/>
      <c r="C353" s="1958"/>
      <c r="D353" s="1958"/>
      <c r="E353" s="1958"/>
      <c r="F353" s="1958"/>
      <c r="G353" s="1958"/>
      <c r="H353" s="1958"/>
      <c r="I353" s="1958"/>
      <c r="J353" s="1958"/>
      <c r="K353" s="1958"/>
      <c r="L353" s="1958"/>
      <c r="M353" s="1958"/>
      <c r="N353" s="1958"/>
      <c r="O353" s="1958"/>
      <c r="P353" s="1958"/>
      <c r="Q353" s="1958"/>
      <c r="R353" s="1958"/>
      <c r="S353" s="1958"/>
    </row>
    <row r="354" spans="1:19">
      <c r="A354" s="1962" t="s">
        <v>1507</v>
      </c>
      <c r="B354" s="1958"/>
      <c r="C354" s="1958"/>
      <c r="D354" s="1958"/>
      <c r="E354" s="1958"/>
      <c r="F354" s="1958"/>
      <c r="G354" s="1958"/>
      <c r="H354" s="1958"/>
      <c r="I354" s="1958"/>
      <c r="J354" s="1958"/>
      <c r="K354" s="1958"/>
      <c r="L354" s="1958"/>
      <c r="M354" s="1958"/>
      <c r="N354" s="1958"/>
      <c r="O354" s="1958"/>
      <c r="P354" s="1958"/>
      <c r="Q354" s="1958"/>
      <c r="R354" s="1958"/>
      <c r="S354" s="1958"/>
    </row>
    <row r="355" spans="1:19">
      <c r="A355" s="1962" t="s">
        <v>263</v>
      </c>
      <c r="B355" s="1958"/>
      <c r="C355" s="1958"/>
      <c r="D355" s="1958"/>
      <c r="E355" s="1958"/>
      <c r="F355" s="1958"/>
      <c r="G355" s="1958"/>
      <c r="H355" s="1958"/>
      <c r="I355" s="1958"/>
      <c r="J355" s="1958"/>
      <c r="K355" s="1958"/>
      <c r="L355" s="1958"/>
      <c r="M355" s="1958"/>
      <c r="N355" s="1958"/>
      <c r="O355" s="1958"/>
      <c r="P355" s="1958"/>
      <c r="Q355" s="1958"/>
      <c r="R355" s="1958"/>
      <c r="S355" s="1958"/>
    </row>
  </sheetData>
  <mergeCells count="36">
    <mergeCell ref="A1:S1"/>
    <mergeCell ref="A2:S2"/>
    <mergeCell ref="A3:S3"/>
    <mergeCell ref="A4:S4"/>
    <mergeCell ref="A6:A7"/>
    <mergeCell ref="B6:S6"/>
    <mergeCell ref="B7"/>
    <mergeCell ref="C7"/>
    <mergeCell ref="D7"/>
    <mergeCell ref="E7"/>
    <mergeCell ref="P7"/>
    <mergeCell ref="Q7"/>
    <mergeCell ref="F7"/>
    <mergeCell ref="G7"/>
    <mergeCell ref="H7"/>
    <mergeCell ref="I7"/>
    <mergeCell ref="A345:S345"/>
    <mergeCell ref="A346:S346"/>
    <mergeCell ref="A347:S347"/>
    <mergeCell ref="L7"/>
    <mergeCell ref="M7"/>
    <mergeCell ref="N7"/>
    <mergeCell ref="O7"/>
    <mergeCell ref="J7"/>
    <mergeCell ref="K7"/>
    <mergeCell ref="R7"/>
    <mergeCell ref="S7"/>
    <mergeCell ref="A344:S344"/>
    <mergeCell ref="A354:S354"/>
    <mergeCell ref="A355:S355"/>
    <mergeCell ref="A348:S348"/>
    <mergeCell ref="A349:S349"/>
    <mergeCell ref="A350:S350"/>
    <mergeCell ref="A351:S351"/>
    <mergeCell ref="A352:S352"/>
    <mergeCell ref="A353:S353"/>
  </mergeCell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0.249977111117893"/>
  </sheetPr>
  <dimension ref="A1"/>
  <sheetViews>
    <sheetView workbookViewId="0">
      <selection activeCell="X67" sqref="X67"/>
    </sheetView>
  </sheetViews>
  <sheetFormatPr baseColWidth="10" defaultRowHeight="15" x14ac:dyDescent="0"/>
  <cols>
    <col min="1" max="16384" width="10.7109375" style="676"/>
  </cols>
  <sheetData/>
  <pageMargins left="0.75" right="0.75" top="1" bottom="1" header="0.5" footer="0.5"/>
  <extLst>
    <ext xmlns:mx="http://schemas.microsoft.com/office/mac/excel/2008/main" uri="{64002731-A6B0-56B0-2670-7721B7C09600}">
      <mx:PLV Mode="0" OnePage="0" WScale="0"/>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22"/>
  <sheetViews>
    <sheetView zoomScale="125" zoomScaleNormal="125" zoomScalePageLayoutView="125" workbookViewId="0">
      <pane xSplit="1" ySplit="7" topLeftCell="B8"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31.28515625" style="470" customWidth="1"/>
    <col min="2" max="16384" width="7.5703125" style="470"/>
  </cols>
  <sheetData>
    <row r="1" spans="1:38" ht="17">
      <c r="A1" s="1978" t="s">
        <v>1448</v>
      </c>
      <c r="B1" s="1976"/>
      <c r="C1" s="1976"/>
      <c r="D1" s="1976"/>
      <c r="E1" s="1976"/>
      <c r="F1" s="1976"/>
      <c r="G1" s="1976"/>
      <c r="H1" s="1976"/>
      <c r="I1" s="1976"/>
      <c r="J1" s="1976"/>
      <c r="K1" s="1976"/>
      <c r="L1" s="1976"/>
      <c r="M1" s="1976"/>
      <c r="N1" s="1976"/>
      <c r="O1" s="1976"/>
      <c r="P1" s="1976"/>
      <c r="Q1" s="1976"/>
      <c r="R1" s="1976"/>
      <c r="S1" s="1976"/>
      <c r="T1" s="1976"/>
      <c r="U1" s="1976"/>
      <c r="V1" s="1976"/>
      <c r="W1" s="1976"/>
      <c r="X1" s="1976"/>
      <c r="Y1" s="1976"/>
      <c r="Z1" s="1976"/>
      <c r="AA1" s="1976"/>
      <c r="AB1" s="1976"/>
      <c r="AC1" s="1976"/>
      <c r="AD1" s="1976"/>
      <c r="AE1" s="1976"/>
      <c r="AF1" s="1976"/>
      <c r="AG1" s="1976"/>
      <c r="AH1" s="1976"/>
      <c r="AI1" s="1976"/>
      <c r="AJ1" s="1976"/>
      <c r="AK1" s="1976"/>
      <c r="AL1" s="1976"/>
    </row>
    <row r="2" spans="1:38" ht="16">
      <c r="A2" s="1979" t="s">
        <v>1447</v>
      </c>
      <c r="B2" s="1976"/>
      <c r="C2" s="1976"/>
      <c r="D2" s="1976"/>
      <c r="E2" s="1976"/>
      <c r="F2" s="1976"/>
      <c r="G2" s="1976"/>
      <c r="H2" s="1976"/>
      <c r="I2" s="1976"/>
      <c r="J2" s="1976"/>
      <c r="K2" s="1976"/>
      <c r="L2" s="1976"/>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row>
    <row r="3" spans="1:38">
      <c r="A3" s="1976" t="s">
        <v>160</v>
      </c>
      <c r="B3" s="1976"/>
      <c r="C3" s="1976"/>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row>
    <row r="4" spans="1:38">
      <c r="A4" s="1976" t="s">
        <v>513</v>
      </c>
      <c r="B4" s="1976"/>
      <c r="C4" s="1976"/>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c r="AL4" s="1976"/>
    </row>
    <row r="6" spans="1:38">
      <c r="A6" s="1977" t="s">
        <v>0</v>
      </c>
      <c r="B6" s="1977" t="s">
        <v>1012</v>
      </c>
      <c r="C6" s="1977"/>
      <c r="D6" s="1977"/>
      <c r="E6" s="1977"/>
      <c r="F6" s="1977"/>
      <c r="G6" s="1977"/>
      <c r="H6" s="1977"/>
      <c r="I6" s="1977"/>
      <c r="J6" s="1977"/>
      <c r="K6" s="1977"/>
      <c r="L6" s="1977"/>
      <c r="M6" s="1977"/>
      <c r="N6" s="1977"/>
      <c r="O6" s="1977"/>
      <c r="P6" s="1977"/>
      <c r="Q6" s="1977"/>
      <c r="R6" s="1977"/>
      <c r="S6" s="1977"/>
      <c r="T6" s="1977"/>
      <c r="U6" s="1977"/>
      <c r="V6" s="1977"/>
      <c r="W6" s="1977"/>
      <c r="X6" s="1977"/>
      <c r="Y6" s="1977"/>
      <c r="Z6" s="1977"/>
      <c r="AA6" s="1977"/>
      <c r="AB6" s="1977"/>
      <c r="AC6" s="1977"/>
      <c r="AD6" s="1977"/>
      <c r="AE6" s="1977"/>
      <c r="AF6" s="1977"/>
      <c r="AG6" s="1977"/>
      <c r="AH6" s="1977"/>
      <c r="AI6" s="1977"/>
      <c r="AJ6" s="1977"/>
      <c r="AK6" s="1977"/>
      <c r="AL6" s="1977"/>
    </row>
    <row r="7" spans="1:38">
      <c r="A7" s="1977"/>
      <c r="B7" s="1977" t="s">
        <v>107</v>
      </c>
      <c r="C7" s="1977" t="s">
        <v>106</v>
      </c>
      <c r="D7" s="1977" t="s">
        <v>105</v>
      </c>
      <c r="E7" s="1977" t="s">
        <v>104</v>
      </c>
      <c r="F7" s="1977" t="s">
        <v>103</v>
      </c>
      <c r="G7" s="1977" t="s">
        <v>102</v>
      </c>
      <c r="H7" s="1977" t="s">
        <v>101</v>
      </c>
      <c r="I7" s="1977" t="s">
        <v>100</v>
      </c>
      <c r="J7" s="1977" t="s">
        <v>99</v>
      </c>
      <c r="K7" s="1977" t="s">
        <v>98</v>
      </c>
      <c r="L7" s="1977" t="s">
        <v>97</v>
      </c>
      <c r="M7" s="1977" t="s">
        <v>96</v>
      </c>
      <c r="N7" s="1977" t="s">
        <v>95</v>
      </c>
      <c r="O7" s="1977" t="s">
        <v>94</v>
      </c>
      <c r="P7" s="1977" t="s">
        <v>93</v>
      </c>
      <c r="Q7" s="1977" t="s">
        <v>92</v>
      </c>
      <c r="R7" s="1977" t="s">
        <v>91</v>
      </c>
      <c r="S7" s="1977" t="s">
        <v>90</v>
      </c>
      <c r="T7" s="1977" t="s">
        <v>89</v>
      </c>
      <c r="U7" s="1977" t="s">
        <v>88</v>
      </c>
      <c r="V7" s="1977" t="s">
        <v>87</v>
      </c>
      <c r="W7" s="1977" t="s">
        <v>86</v>
      </c>
      <c r="X7" s="1977" t="s">
        <v>85</v>
      </c>
      <c r="Y7" s="1977" t="s">
        <v>84</v>
      </c>
      <c r="Z7" s="1977" t="s">
        <v>83</v>
      </c>
      <c r="AA7" s="1977" t="s">
        <v>82</v>
      </c>
      <c r="AB7" s="1977" t="s">
        <v>81</v>
      </c>
      <c r="AC7" s="1977" t="s">
        <v>80</v>
      </c>
      <c r="AD7" s="1977" t="s">
        <v>79</v>
      </c>
      <c r="AE7" s="1977" t="s">
        <v>78</v>
      </c>
      <c r="AF7" s="1977" t="s">
        <v>77</v>
      </c>
      <c r="AG7" s="1977" t="s">
        <v>76</v>
      </c>
      <c r="AH7" s="1977" t="s">
        <v>75</v>
      </c>
      <c r="AI7" s="1977" t="s">
        <v>74</v>
      </c>
      <c r="AJ7" s="1977" t="s">
        <v>866</v>
      </c>
      <c r="AK7" s="1977" t="s">
        <v>865</v>
      </c>
      <c r="AL7" s="1977" t="s">
        <v>864</v>
      </c>
    </row>
    <row r="8" spans="1:38">
      <c r="A8" s="470" t="s">
        <v>511</v>
      </c>
      <c r="B8" s="470">
        <v>8635</v>
      </c>
      <c r="C8" s="470">
        <v>6898</v>
      </c>
      <c r="D8" s="470">
        <v>3174</v>
      </c>
      <c r="E8" s="470">
        <v>5169</v>
      </c>
      <c r="F8" s="470">
        <v>9437</v>
      </c>
      <c r="G8" s="470">
        <v>7548</v>
      </c>
      <c r="H8" s="470">
        <v>7433</v>
      </c>
      <c r="I8" s="470">
        <v>8659</v>
      </c>
      <c r="J8" s="470">
        <v>12774</v>
      </c>
      <c r="K8" s="470">
        <v>7491</v>
      </c>
      <c r="L8" s="470">
        <v>2936</v>
      </c>
      <c r="M8" s="470">
        <v>-2856</v>
      </c>
      <c r="N8" s="470">
        <v>1401</v>
      </c>
      <c r="O8" s="470">
        <v>7071</v>
      </c>
      <c r="P8" s="470">
        <v>20880</v>
      </c>
      <c r="Q8" s="470">
        <v>30931</v>
      </c>
      <c r="R8" s="470">
        <v>30407</v>
      </c>
      <c r="S8" s="470">
        <v>39945</v>
      </c>
      <c r="T8" s="470">
        <v>32402</v>
      </c>
      <c r="U8" s="470">
        <v>46385</v>
      </c>
      <c r="V8" s="470">
        <v>47921</v>
      </c>
      <c r="W8" s="470">
        <v>3919</v>
      </c>
      <c r="X8" s="470">
        <v>32297</v>
      </c>
      <c r="Y8" s="470">
        <v>60964</v>
      </c>
      <c r="Z8" s="470">
        <v>87890</v>
      </c>
      <c r="AA8" s="470">
        <v>110324</v>
      </c>
      <c r="AB8" s="470">
        <v>144755</v>
      </c>
      <c r="AC8" s="470">
        <v>120960</v>
      </c>
      <c r="AD8" s="470">
        <v>125721</v>
      </c>
      <c r="AE8" s="470">
        <v>97990</v>
      </c>
      <c r="AF8" s="470">
        <v>145088</v>
      </c>
      <c r="AG8" s="470">
        <v>165968</v>
      </c>
      <c r="AH8" s="470">
        <v>160328</v>
      </c>
      <c r="AI8" s="470">
        <v>168235</v>
      </c>
      <c r="AJ8" s="470">
        <v>177294</v>
      </c>
      <c r="AK8" s="470">
        <v>148335</v>
      </c>
      <c r="AL8" s="470">
        <v>159749</v>
      </c>
    </row>
    <row r="9" spans="1:38">
      <c r="A9" s="470" t="s">
        <v>510</v>
      </c>
      <c r="B9" s="470">
        <v>1850</v>
      </c>
      <c r="C9" s="470">
        <v>108</v>
      </c>
      <c r="D9" s="470">
        <v>-780</v>
      </c>
      <c r="E9" s="470">
        <v>-35</v>
      </c>
      <c r="F9" s="470">
        <v>444</v>
      </c>
      <c r="G9" s="470">
        <v>211</v>
      </c>
      <c r="H9" s="470">
        <v>370</v>
      </c>
      <c r="I9" s="470">
        <v>778</v>
      </c>
      <c r="J9" s="470">
        <v>589</v>
      </c>
      <c r="K9" s="470">
        <v>-855</v>
      </c>
      <c r="L9" s="470">
        <v>57</v>
      </c>
      <c r="M9" s="470">
        <v>-1198</v>
      </c>
      <c r="N9" s="470">
        <v>441</v>
      </c>
      <c r="O9" s="470">
        <v>1367</v>
      </c>
      <c r="P9" s="470">
        <v>2871</v>
      </c>
      <c r="Q9" s="470">
        <v>3658</v>
      </c>
      <c r="R9" s="470">
        <v>3190</v>
      </c>
      <c r="S9" s="470">
        <v>2701</v>
      </c>
      <c r="T9" s="470">
        <v>1382</v>
      </c>
      <c r="U9" s="470">
        <v>2215</v>
      </c>
      <c r="V9" s="470">
        <v>849</v>
      </c>
      <c r="W9" s="470">
        <v>-5223</v>
      </c>
      <c r="X9" s="470">
        <v>-1703</v>
      </c>
      <c r="Y9" s="470">
        <v>2306</v>
      </c>
      <c r="Z9" s="470">
        <v>6607</v>
      </c>
      <c r="AA9" s="470">
        <v>6075</v>
      </c>
      <c r="AB9" s="470">
        <v>14555</v>
      </c>
      <c r="AC9" s="470">
        <v>9793</v>
      </c>
      <c r="AD9" s="470">
        <v>8716</v>
      </c>
      <c r="AE9" s="470">
        <v>4755</v>
      </c>
      <c r="AF9" s="470">
        <v>10932</v>
      </c>
      <c r="AG9" s="470">
        <v>12805</v>
      </c>
      <c r="AH9" s="470">
        <v>11932</v>
      </c>
      <c r="AI9" s="470">
        <v>15540</v>
      </c>
      <c r="AJ9" s="470">
        <v>15032</v>
      </c>
      <c r="AK9" s="470">
        <v>15941</v>
      </c>
      <c r="AL9" s="470">
        <v>16417</v>
      </c>
    </row>
    <row r="10" spans="1:38">
      <c r="A10" s="470" t="s">
        <v>1013</v>
      </c>
      <c r="B10" s="470">
        <v>5106</v>
      </c>
      <c r="C10" s="470">
        <v>5063</v>
      </c>
      <c r="D10" s="470">
        <v>2925</v>
      </c>
      <c r="E10" s="470">
        <v>4258</v>
      </c>
      <c r="F10" s="470">
        <v>7258</v>
      </c>
      <c r="G10" s="470">
        <v>5968</v>
      </c>
      <c r="H10" s="470">
        <v>6498</v>
      </c>
      <c r="I10" s="470">
        <v>7720</v>
      </c>
      <c r="J10" s="470">
        <v>10604</v>
      </c>
      <c r="K10" s="470">
        <v>8485</v>
      </c>
      <c r="L10" s="470">
        <v>4400</v>
      </c>
      <c r="M10" s="470">
        <v>2098</v>
      </c>
      <c r="N10" s="470">
        <v>5382</v>
      </c>
      <c r="O10" s="470">
        <v>8361</v>
      </c>
      <c r="P10" s="470">
        <v>16161</v>
      </c>
      <c r="Q10" s="470">
        <v>21745</v>
      </c>
      <c r="R10" s="470">
        <v>23724</v>
      </c>
      <c r="S10" s="470">
        <v>30446</v>
      </c>
      <c r="T10" s="470">
        <v>25495</v>
      </c>
      <c r="U10" s="470">
        <v>36753</v>
      </c>
      <c r="V10" s="470">
        <v>38766</v>
      </c>
      <c r="W10" s="470">
        <v>13964</v>
      </c>
      <c r="X10" s="470">
        <v>26696</v>
      </c>
      <c r="Y10" s="470">
        <v>48711</v>
      </c>
      <c r="Z10" s="470">
        <v>61377</v>
      </c>
      <c r="AA10" s="470">
        <v>80684</v>
      </c>
      <c r="AB10" s="470">
        <v>98286</v>
      </c>
      <c r="AC10" s="470">
        <v>80219</v>
      </c>
      <c r="AD10" s="470">
        <v>105670</v>
      </c>
      <c r="AE10" s="470">
        <v>83184</v>
      </c>
      <c r="AF10" s="470">
        <v>109274</v>
      </c>
      <c r="AG10" s="470">
        <v>123622</v>
      </c>
      <c r="AH10" s="470">
        <v>120117</v>
      </c>
      <c r="AI10" s="470">
        <v>120582</v>
      </c>
      <c r="AJ10" s="470">
        <v>122793</v>
      </c>
      <c r="AK10" s="470">
        <v>99497</v>
      </c>
      <c r="AL10" s="470">
        <v>115033</v>
      </c>
    </row>
    <row r="11" spans="1:38">
      <c r="A11" s="470" t="s">
        <v>509</v>
      </c>
      <c r="B11" s="470" t="s">
        <v>273</v>
      </c>
      <c r="C11" s="470" t="s">
        <v>273</v>
      </c>
      <c r="D11" s="470" t="s">
        <v>273</v>
      </c>
      <c r="E11" s="470" t="s">
        <v>273</v>
      </c>
      <c r="F11" s="470" t="s">
        <v>273</v>
      </c>
      <c r="G11" s="470" t="s">
        <v>273</v>
      </c>
      <c r="H11" s="470" t="s">
        <v>273</v>
      </c>
      <c r="I11" s="470">
        <v>-8</v>
      </c>
      <c r="J11" s="470">
        <v>-41</v>
      </c>
      <c r="K11" s="470">
        <v>-86</v>
      </c>
      <c r="L11" s="470">
        <v>-136</v>
      </c>
      <c r="M11" s="470">
        <v>-152</v>
      </c>
      <c r="N11" s="470">
        <v>-94</v>
      </c>
      <c r="O11" s="470">
        <v>-61</v>
      </c>
      <c r="P11" s="470">
        <v>18</v>
      </c>
      <c r="Q11" s="470">
        <v>106</v>
      </c>
      <c r="R11" s="470">
        <v>120</v>
      </c>
      <c r="S11" s="470">
        <v>133</v>
      </c>
      <c r="T11" s="470">
        <v>429</v>
      </c>
      <c r="U11" s="470">
        <v>312</v>
      </c>
      <c r="V11" s="470">
        <v>-169</v>
      </c>
      <c r="W11" s="470">
        <v>-94</v>
      </c>
      <c r="X11" s="470">
        <v>118</v>
      </c>
      <c r="Y11" s="470">
        <v>113</v>
      </c>
      <c r="Z11" s="470">
        <v>6</v>
      </c>
      <c r="AA11" s="470">
        <v>25</v>
      </c>
      <c r="AB11" s="470">
        <v>-117</v>
      </c>
      <c r="AC11" s="470">
        <v>349</v>
      </c>
      <c r="AD11" s="470">
        <v>406</v>
      </c>
      <c r="AE11" s="470">
        <v>331</v>
      </c>
      <c r="AF11" s="470">
        <v>340</v>
      </c>
      <c r="AG11" s="470">
        <v>310</v>
      </c>
      <c r="AH11" s="470">
        <v>489</v>
      </c>
      <c r="AI11" s="470">
        <v>609</v>
      </c>
      <c r="AJ11" s="470">
        <v>532</v>
      </c>
      <c r="AK11" s="470">
        <v>506</v>
      </c>
      <c r="AL11" s="470">
        <v>602</v>
      </c>
    </row>
    <row r="12" spans="1:38">
      <c r="A12" s="470" t="s">
        <v>508</v>
      </c>
      <c r="B12" s="470">
        <v>134</v>
      </c>
      <c r="C12" s="470">
        <v>309</v>
      </c>
      <c r="D12" s="470">
        <v>206</v>
      </c>
      <c r="E12" s="470">
        <v>250</v>
      </c>
      <c r="F12" s="470">
        <v>239</v>
      </c>
      <c r="G12" s="470">
        <v>222</v>
      </c>
      <c r="H12" s="470">
        <v>60</v>
      </c>
      <c r="I12" s="470">
        <v>384</v>
      </c>
      <c r="J12" s="470">
        <v>302</v>
      </c>
      <c r="K12" s="470">
        <v>317</v>
      </c>
      <c r="L12" s="470">
        <v>165</v>
      </c>
      <c r="M12" s="470">
        <v>-100</v>
      </c>
      <c r="N12" s="470">
        <v>104</v>
      </c>
      <c r="O12" s="470">
        <v>191</v>
      </c>
      <c r="P12" s="470">
        <v>254</v>
      </c>
      <c r="Q12" s="470">
        <v>329</v>
      </c>
      <c r="R12" s="470">
        <v>325</v>
      </c>
      <c r="S12" s="470">
        <v>306</v>
      </c>
      <c r="T12" s="470">
        <v>383</v>
      </c>
      <c r="U12" s="470">
        <v>389</v>
      </c>
      <c r="V12" s="470">
        <v>433</v>
      </c>
      <c r="W12" s="470">
        <v>169</v>
      </c>
      <c r="X12" s="470">
        <v>782</v>
      </c>
      <c r="Y12" s="470">
        <v>578</v>
      </c>
      <c r="Z12" s="470">
        <v>524</v>
      </c>
      <c r="AA12" s="470">
        <v>666</v>
      </c>
      <c r="AB12" s="470">
        <v>1093</v>
      </c>
      <c r="AC12" s="470">
        <v>2202</v>
      </c>
      <c r="AD12" s="470">
        <v>1786</v>
      </c>
      <c r="AE12" s="470">
        <v>1886</v>
      </c>
      <c r="AF12" s="470">
        <v>2842</v>
      </c>
      <c r="AG12" s="470">
        <v>3732</v>
      </c>
      <c r="AH12" s="470">
        <v>4847</v>
      </c>
      <c r="AI12" s="470">
        <v>6237</v>
      </c>
      <c r="AJ12" s="470">
        <v>4748</v>
      </c>
      <c r="AK12" s="470">
        <v>4529</v>
      </c>
      <c r="AL12" s="470">
        <v>4647</v>
      </c>
    </row>
    <row r="13" spans="1:38">
      <c r="A13" s="470" t="s">
        <v>506</v>
      </c>
      <c r="B13" s="470">
        <v>4</v>
      </c>
      <c r="C13" s="470">
        <v>10</v>
      </c>
      <c r="D13" s="470">
        <v>9</v>
      </c>
      <c r="E13" s="470">
        <v>4</v>
      </c>
      <c r="F13" s="470">
        <v>7</v>
      </c>
      <c r="G13" s="470">
        <v>23</v>
      </c>
      <c r="H13" s="470">
        <v>41</v>
      </c>
      <c r="I13" s="470">
        <v>-4</v>
      </c>
      <c r="J13" s="470">
        <v>-7</v>
      </c>
      <c r="K13" s="470">
        <v>-5</v>
      </c>
      <c r="L13" s="470">
        <v>-49</v>
      </c>
      <c r="M13" s="470">
        <v>-53</v>
      </c>
      <c r="N13" s="470">
        <v>-112</v>
      </c>
      <c r="O13" s="470">
        <v>-95</v>
      </c>
      <c r="P13" s="470">
        <v>27</v>
      </c>
      <c r="Q13" s="470">
        <v>177</v>
      </c>
      <c r="R13" s="470">
        <v>77</v>
      </c>
      <c r="S13" s="470">
        <v>185</v>
      </c>
      <c r="T13" s="470">
        <v>191</v>
      </c>
      <c r="U13" s="470">
        <v>-299</v>
      </c>
      <c r="V13" s="470">
        <v>215</v>
      </c>
      <c r="W13" s="470" t="s">
        <v>306</v>
      </c>
      <c r="X13" s="470">
        <v>174</v>
      </c>
      <c r="Y13" s="470">
        <v>363</v>
      </c>
      <c r="Z13" s="470">
        <v>336</v>
      </c>
      <c r="AA13" s="470">
        <v>551</v>
      </c>
      <c r="AB13" s="470">
        <v>567</v>
      </c>
      <c r="AC13" s="470">
        <v>494</v>
      </c>
      <c r="AD13" s="470">
        <v>92</v>
      </c>
      <c r="AE13" s="470">
        <v>-14</v>
      </c>
      <c r="AF13" s="470">
        <v>363</v>
      </c>
      <c r="AG13" s="470">
        <v>660</v>
      </c>
      <c r="AH13" s="470">
        <v>854</v>
      </c>
      <c r="AI13" s="470">
        <v>885</v>
      </c>
      <c r="AJ13" s="470">
        <v>1095</v>
      </c>
      <c r="AK13" s="470">
        <v>1026</v>
      </c>
      <c r="AL13" s="470">
        <v>1174</v>
      </c>
    </row>
    <row r="14" spans="1:38">
      <c r="A14" s="470" t="s">
        <v>505</v>
      </c>
      <c r="B14" s="470" t="s">
        <v>273</v>
      </c>
      <c r="C14" s="470" t="s">
        <v>273</v>
      </c>
      <c r="D14" s="470" t="s">
        <v>273</v>
      </c>
      <c r="E14" s="470" t="s">
        <v>273</v>
      </c>
      <c r="F14" s="470" t="s">
        <v>273</v>
      </c>
      <c r="G14" s="470" t="s">
        <v>273</v>
      </c>
      <c r="H14" s="470" t="s">
        <v>273</v>
      </c>
      <c r="I14" s="470">
        <v>-7</v>
      </c>
      <c r="J14" s="470">
        <v>-11</v>
      </c>
      <c r="K14" s="470">
        <v>-18</v>
      </c>
      <c r="L14" s="470">
        <v>-100</v>
      </c>
      <c r="M14" s="470">
        <v>-84</v>
      </c>
      <c r="N14" s="470">
        <v>24</v>
      </c>
      <c r="O14" s="470">
        <v>-4</v>
      </c>
      <c r="P14" s="470">
        <v>34</v>
      </c>
      <c r="Q14" s="470">
        <v>-46</v>
      </c>
      <c r="R14" s="470">
        <v>114</v>
      </c>
      <c r="S14" s="470">
        <v>263</v>
      </c>
      <c r="T14" s="470">
        <v>211</v>
      </c>
      <c r="U14" s="470">
        <v>327</v>
      </c>
      <c r="V14" s="470">
        <v>155</v>
      </c>
      <c r="W14" s="470">
        <v>-115</v>
      </c>
      <c r="X14" s="470">
        <v>185</v>
      </c>
      <c r="Y14" s="470">
        <v>163</v>
      </c>
      <c r="Z14" s="470">
        <v>306</v>
      </c>
      <c r="AA14" s="470">
        <v>107</v>
      </c>
      <c r="AB14" s="470">
        <v>742</v>
      </c>
      <c r="AC14" s="470">
        <v>289</v>
      </c>
      <c r="AD14" s="470">
        <v>605</v>
      </c>
      <c r="AE14" s="470">
        <v>611</v>
      </c>
      <c r="AF14" s="470">
        <v>495</v>
      </c>
      <c r="AG14" s="470">
        <v>576</v>
      </c>
      <c r="AH14" s="470">
        <v>88</v>
      </c>
      <c r="AI14" s="470">
        <v>500</v>
      </c>
      <c r="AJ14" s="470">
        <v>612</v>
      </c>
      <c r="AK14" s="470">
        <v>398</v>
      </c>
      <c r="AL14" s="470">
        <v>456</v>
      </c>
    </row>
    <row r="15" spans="1:38">
      <c r="A15" s="470" t="s">
        <v>504</v>
      </c>
      <c r="B15" s="470">
        <v>224</v>
      </c>
      <c r="C15" s="470">
        <v>-43</v>
      </c>
      <c r="D15" s="470">
        <v>-410</v>
      </c>
      <c r="E15" s="470">
        <v>-348</v>
      </c>
      <c r="F15" s="470">
        <v>-177</v>
      </c>
      <c r="G15" s="470">
        <v>-151</v>
      </c>
      <c r="H15" s="470">
        <v>17</v>
      </c>
      <c r="I15" s="470">
        <v>137</v>
      </c>
      <c r="J15" s="470">
        <v>345</v>
      </c>
      <c r="K15" s="470">
        <v>209</v>
      </c>
      <c r="L15" s="470">
        <v>-915</v>
      </c>
      <c r="M15" s="470">
        <v>-480</v>
      </c>
      <c r="N15" s="470">
        <v>-340</v>
      </c>
      <c r="O15" s="470">
        <v>-158</v>
      </c>
      <c r="P15" s="470">
        <v>-84</v>
      </c>
      <c r="Q15" s="470">
        <v>1729</v>
      </c>
      <c r="R15" s="470">
        <v>2405</v>
      </c>
      <c r="S15" s="470">
        <v>2856</v>
      </c>
      <c r="T15" s="470">
        <v>1691</v>
      </c>
      <c r="U15" s="470">
        <v>2954</v>
      </c>
      <c r="V15" s="470">
        <v>3633</v>
      </c>
      <c r="W15" s="470">
        <v>4024</v>
      </c>
      <c r="X15" s="470">
        <v>3763</v>
      </c>
      <c r="Y15" s="470">
        <v>6526</v>
      </c>
      <c r="Z15" s="470">
        <v>8401</v>
      </c>
      <c r="AA15" s="470">
        <v>11218</v>
      </c>
      <c r="AB15" s="470">
        <v>14550</v>
      </c>
      <c r="AC15" s="470">
        <v>5640</v>
      </c>
      <c r="AD15" s="470">
        <v>13054</v>
      </c>
      <c r="AE15" s="470">
        <v>14237</v>
      </c>
      <c r="AF15" s="470">
        <v>14237</v>
      </c>
      <c r="AG15" s="470">
        <v>12035</v>
      </c>
      <c r="AH15" s="470">
        <v>14184</v>
      </c>
      <c r="AI15" s="470">
        <v>12729</v>
      </c>
      <c r="AJ15" s="470">
        <v>10774</v>
      </c>
      <c r="AK15" s="470">
        <v>15874</v>
      </c>
      <c r="AL15" s="470">
        <v>11782</v>
      </c>
    </row>
    <row r="16" spans="1:38">
      <c r="A16" s="470" t="s">
        <v>503</v>
      </c>
      <c r="B16" s="470">
        <v>-85</v>
      </c>
      <c r="C16" s="470">
        <v>53</v>
      </c>
      <c r="D16" s="470">
        <v>-437</v>
      </c>
      <c r="E16" s="470">
        <v>155</v>
      </c>
      <c r="F16" s="470">
        <v>731</v>
      </c>
      <c r="G16" s="470">
        <v>369</v>
      </c>
      <c r="H16" s="470">
        <v>181</v>
      </c>
      <c r="I16" s="470">
        <v>-5</v>
      </c>
      <c r="J16" s="470">
        <v>414</v>
      </c>
      <c r="K16" s="470">
        <v>305</v>
      </c>
      <c r="L16" s="470">
        <v>-147</v>
      </c>
      <c r="M16" s="470">
        <v>-788</v>
      </c>
      <c r="N16" s="470">
        <v>-922</v>
      </c>
      <c r="O16" s="470">
        <v>133</v>
      </c>
      <c r="P16" s="470">
        <v>2217</v>
      </c>
      <c r="Q16" s="470">
        <v>1642</v>
      </c>
      <c r="R16" s="470">
        <v>2509</v>
      </c>
      <c r="S16" s="470">
        <v>3293</v>
      </c>
      <c r="T16" s="470">
        <v>4348</v>
      </c>
      <c r="U16" s="470">
        <v>6123</v>
      </c>
      <c r="V16" s="470">
        <v>2140</v>
      </c>
      <c r="W16" s="470">
        <v>-7787</v>
      </c>
      <c r="X16" s="470">
        <v>-3767</v>
      </c>
      <c r="Y16" s="470">
        <v>2183</v>
      </c>
      <c r="Z16" s="470">
        <v>7557</v>
      </c>
      <c r="AA16" s="470">
        <v>6053</v>
      </c>
      <c r="AB16" s="470">
        <v>10324</v>
      </c>
      <c r="AC16" s="470">
        <v>3200</v>
      </c>
      <c r="AD16" s="470">
        <v>15216</v>
      </c>
      <c r="AE16" s="470">
        <v>11129</v>
      </c>
      <c r="AF16" s="470">
        <v>18302</v>
      </c>
      <c r="AG16" s="470">
        <v>17867</v>
      </c>
      <c r="AH16" s="470">
        <v>15780</v>
      </c>
      <c r="AI16" s="470">
        <v>12832</v>
      </c>
      <c r="AJ16" s="470">
        <v>17595</v>
      </c>
      <c r="AK16" s="470">
        <v>12731</v>
      </c>
      <c r="AL16" s="470">
        <v>15312</v>
      </c>
    </row>
    <row r="17" spans="1:38">
      <c r="A17" s="470" t="s">
        <v>502</v>
      </c>
      <c r="B17" s="470">
        <v>4</v>
      </c>
      <c r="C17" s="470">
        <v>4</v>
      </c>
      <c r="D17" s="470">
        <v>1</v>
      </c>
      <c r="E17" s="470">
        <v>3</v>
      </c>
      <c r="F17" s="470">
        <v>3</v>
      </c>
      <c r="G17" s="470">
        <v>8</v>
      </c>
      <c r="H17" s="470" t="s">
        <v>291</v>
      </c>
      <c r="I17" s="470" t="s">
        <v>273</v>
      </c>
      <c r="J17" s="470" t="s">
        <v>273</v>
      </c>
      <c r="K17" s="470" t="s">
        <v>273</v>
      </c>
      <c r="L17" s="470" t="s">
        <v>273</v>
      </c>
      <c r="M17" s="470" t="s">
        <v>273</v>
      </c>
      <c r="N17" s="470" t="s">
        <v>273</v>
      </c>
      <c r="O17" s="470" t="s">
        <v>273</v>
      </c>
      <c r="P17" s="470" t="s">
        <v>273</v>
      </c>
      <c r="Q17" s="470" t="s">
        <v>273</v>
      </c>
      <c r="R17" s="470" t="s">
        <v>273</v>
      </c>
      <c r="S17" s="470" t="s">
        <v>273</v>
      </c>
      <c r="T17" s="470" t="s">
        <v>273</v>
      </c>
      <c r="U17" s="470" t="s">
        <v>273</v>
      </c>
      <c r="V17" s="470" t="s">
        <v>273</v>
      </c>
      <c r="W17" s="470" t="s">
        <v>273</v>
      </c>
      <c r="X17" s="470" t="s">
        <v>273</v>
      </c>
      <c r="Y17" s="470" t="s">
        <v>273</v>
      </c>
      <c r="Z17" s="470" t="s">
        <v>273</v>
      </c>
      <c r="AA17" s="470" t="s">
        <v>273</v>
      </c>
      <c r="AB17" s="470" t="s">
        <v>273</v>
      </c>
      <c r="AC17" s="470" t="s">
        <v>273</v>
      </c>
      <c r="AD17" s="470" t="s">
        <v>273</v>
      </c>
      <c r="AE17" s="470" t="s">
        <v>273</v>
      </c>
      <c r="AF17" s="470" t="s">
        <v>273</v>
      </c>
      <c r="AG17" s="470" t="s">
        <v>273</v>
      </c>
      <c r="AH17" s="470" t="s">
        <v>273</v>
      </c>
      <c r="AI17" s="470" t="s">
        <v>273</v>
      </c>
      <c r="AJ17" s="470" t="s">
        <v>273</v>
      </c>
      <c r="AK17" s="470" t="s">
        <v>273</v>
      </c>
      <c r="AL17" s="470" t="s">
        <v>273</v>
      </c>
    </row>
    <row r="18" spans="1:38">
      <c r="A18" s="470" t="s">
        <v>500</v>
      </c>
      <c r="B18" s="470">
        <v>6</v>
      </c>
      <c r="C18" s="470">
        <v>8</v>
      </c>
      <c r="D18" s="470">
        <v>11</v>
      </c>
      <c r="E18" s="470">
        <v>2</v>
      </c>
      <c r="F18" s="470">
        <v>38</v>
      </c>
      <c r="G18" s="470">
        <v>40</v>
      </c>
      <c r="H18" s="471">
        <f>(G18+I18)/2</f>
        <v>65</v>
      </c>
      <c r="I18" s="470">
        <v>90</v>
      </c>
      <c r="J18" s="470">
        <v>143</v>
      </c>
      <c r="K18" s="470">
        <v>125</v>
      </c>
      <c r="L18" s="470">
        <v>-24</v>
      </c>
      <c r="M18" s="470">
        <v>-149</v>
      </c>
      <c r="N18" s="470">
        <v>85</v>
      </c>
      <c r="O18" s="470">
        <v>93</v>
      </c>
      <c r="P18" s="470">
        <v>168</v>
      </c>
      <c r="Q18" s="470">
        <v>360</v>
      </c>
      <c r="R18" s="470">
        <v>530</v>
      </c>
      <c r="S18" s="470">
        <v>540</v>
      </c>
      <c r="T18" s="470">
        <v>840</v>
      </c>
      <c r="U18" s="470">
        <v>1008</v>
      </c>
      <c r="V18" s="470">
        <v>848</v>
      </c>
      <c r="W18" s="470">
        <v>562</v>
      </c>
      <c r="X18" s="470">
        <v>1039</v>
      </c>
      <c r="Y18" s="470">
        <v>538</v>
      </c>
      <c r="Z18" s="470">
        <v>331</v>
      </c>
      <c r="AA18" s="470">
        <v>1031</v>
      </c>
      <c r="AB18" s="470">
        <v>1930</v>
      </c>
      <c r="AC18" s="470">
        <v>1702</v>
      </c>
      <c r="AD18" s="470">
        <v>915</v>
      </c>
      <c r="AE18" s="470">
        <v>620</v>
      </c>
      <c r="AF18" s="470">
        <v>1015</v>
      </c>
      <c r="AG18" s="470">
        <v>905</v>
      </c>
      <c r="AH18" s="470">
        <v>2217</v>
      </c>
      <c r="AI18" s="470">
        <v>1468</v>
      </c>
      <c r="AJ18" s="470">
        <v>3752</v>
      </c>
      <c r="AK18" s="470">
        <v>4826</v>
      </c>
      <c r="AL18" s="470">
        <v>4711</v>
      </c>
    </row>
    <row r="19" spans="1:38">
      <c r="A19" s="470" t="s">
        <v>499</v>
      </c>
      <c r="B19" s="470">
        <v>24</v>
      </c>
      <c r="C19" s="470">
        <v>-20</v>
      </c>
      <c r="D19" s="470">
        <v>-20</v>
      </c>
      <c r="E19" s="470">
        <v>-25</v>
      </c>
      <c r="F19" s="470">
        <v>51</v>
      </c>
      <c r="G19" s="470">
        <v>-42</v>
      </c>
      <c r="H19" s="470">
        <v>-22</v>
      </c>
      <c r="I19" s="470">
        <v>-84</v>
      </c>
      <c r="J19" s="470">
        <v>15</v>
      </c>
      <c r="K19" s="470">
        <v>-171</v>
      </c>
      <c r="L19" s="470">
        <v>-274</v>
      </c>
      <c r="M19" s="470">
        <v>-276</v>
      </c>
      <c r="N19" s="470">
        <v>-292</v>
      </c>
      <c r="O19" s="470">
        <v>-55</v>
      </c>
      <c r="P19" s="470">
        <v>89</v>
      </c>
      <c r="Q19" s="470">
        <v>153</v>
      </c>
      <c r="R19" s="470">
        <v>266</v>
      </c>
      <c r="S19" s="470">
        <v>282</v>
      </c>
      <c r="T19" s="470">
        <v>218</v>
      </c>
      <c r="U19" s="470">
        <v>446</v>
      </c>
      <c r="V19" s="470">
        <v>133</v>
      </c>
      <c r="W19" s="470">
        <v>-228</v>
      </c>
      <c r="X19" s="470">
        <v>-6</v>
      </c>
      <c r="Y19" s="470">
        <v>421</v>
      </c>
      <c r="Z19" s="470">
        <v>544</v>
      </c>
      <c r="AA19" s="470">
        <v>598</v>
      </c>
      <c r="AB19" s="470">
        <v>697</v>
      </c>
      <c r="AC19" s="470">
        <v>839</v>
      </c>
      <c r="AD19" s="470">
        <v>1634</v>
      </c>
      <c r="AE19" s="470">
        <v>489</v>
      </c>
      <c r="AF19" s="470">
        <v>1177</v>
      </c>
      <c r="AG19" s="470">
        <v>1707</v>
      </c>
      <c r="AH19" s="470">
        <v>1938</v>
      </c>
      <c r="AI19" s="470">
        <v>1678</v>
      </c>
      <c r="AJ19" s="470">
        <v>1815</v>
      </c>
      <c r="AK19" s="470">
        <v>516</v>
      </c>
      <c r="AL19" s="470">
        <v>408</v>
      </c>
    </row>
    <row r="20" spans="1:38">
      <c r="A20" s="470" t="s">
        <v>1446</v>
      </c>
      <c r="B20" s="470" t="s">
        <v>273</v>
      </c>
      <c r="C20" s="470" t="s">
        <v>273</v>
      </c>
      <c r="D20" s="470" t="s">
        <v>273</v>
      </c>
      <c r="E20" s="470" t="s">
        <v>273</v>
      </c>
      <c r="F20" s="470" t="s">
        <v>273</v>
      </c>
      <c r="G20" s="470" t="s">
        <v>273</v>
      </c>
      <c r="H20" s="470" t="s">
        <v>273</v>
      </c>
      <c r="I20" s="470">
        <v>-11</v>
      </c>
      <c r="J20" s="470">
        <v>-22</v>
      </c>
      <c r="K20" s="470">
        <v>-12</v>
      </c>
      <c r="L20" s="470">
        <v>-55</v>
      </c>
      <c r="M20" s="470">
        <v>-48</v>
      </c>
      <c r="N20" s="470">
        <v>-42</v>
      </c>
      <c r="O20" s="470">
        <v>-23</v>
      </c>
      <c r="P20" s="470">
        <v>-14</v>
      </c>
      <c r="Q20" s="470">
        <v>-21</v>
      </c>
      <c r="R20" s="470">
        <v>-12</v>
      </c>
      <c r="S20" s="470" t="s">
        <v>273</v>
      </c>
      <c r="T20" s="470" t="s">
        <v>273</v>
      </c>
      <c r="U20" s="470" t="s">
        <v>273</v>
      </c>
      <c r="V20" s="470" t="s">
        <v>273</v>
      </c>
      <c r="W20" s="470" t="s">
        <v>273</v>
      </c>
      <c r="X20" s="470" t="s">
        <v>273</v>
      </c>
      <c r="Y20" s="470" t="s">
        <v>273</v>
      </c>
      <c r="Z20" s="470" t="s">
        <v>273</v>
      </c>
      <c r="AA20" s="470" t="s">
        <v>273</v>
      </c>
      <c r="AB20" s="470" t="s">
        <v>273</v>
      </c>
      <c r="AC20" s="470" t="s">
        <v>273</v>
      </c>
      <c r="AD20" s="470" t="s">
        <v>273</v>
      </c>
      <c r="AE20" s="470" t="s">
        <v>273</v>
      </c>
      <c r="AF20" s="470" t="s">
        <v>273</v>
      </c>
      <c r="AG20" s="470" t="s">
        <v>273</v>
      </c>
      <c r="AH20" s="470" t="s">
        <v>273</v>
      </c>
      <c r="AI20" s="470" t="s">
        <v>273</v>
      </c>
      <c r="AJ20" s="470" t="s">
        <v>273</v>
      </c>
      <c r="AK20" s="470" t="s">
        <v>273</v>
      </c>
      <c r="AL20" s="470" t="s">
        <v>273</v>
      </c>
    </row>
    <row r="21" spans="1:38">
      <c r="A21" s="470" t="s">
        <v>498</v>
      </c>
      <c r="B21" s="470">
        <v>-25</v>
      </c>
      <c r="C21" s="470">
        <v>-24</v>
      </c>
      <c r="D21" s="470">
        <v>-10</v>
      </c>
      <c r="E21" s="470">
        <v>1</v>
      </c>
      <c r="F21" s="470">
        <v>13</v>
      </c>
      <c r="G21" s="470">
        <v>62</v>
      </c>
      <c r="H21" s="470">
        <v>5</v>
      </c>
      <c r="I21" s="470">
        <v>6</v>
      </c>
      <c r="J21" s="470">
        <v>-1</v>
      </c>
      <c r="K21" s="470">
        <v>-81</v>
      </c>
      <c r="L21" s="470">
        <v>59</v>
      </c>
      <c r="M21" s="470">
        <v>31</v>
      </c>
      <c r="N21" s="470">
        <v>-17</v>
      </c>
      <c r="O21" s="470">
        <v>36</v>
      </c>
      <c r="P21" s="470">
        <v>53</v>
      </c>
      <c r="Q21" s="470">
        <v>285</v>
      </c>
      <c r="R21" s="470">
        <v>266</v>
      </c>
      <c r="S21" s="470">
        <v>451</v>
      </c>
      <c r="T21" s="470">
        <v>1187</v>
      </c>
      <c r="U21" s="470">
        <v>2241</v>
      </c>
      <c r="V21" s="470">
        <v>4711</v>
      </c>
      <c r="W21" s="470">
        <v>2414</v>
      </c>
      <c r="X21" s="470">
        <v>528</v>
      </c>
      <c r="Y21" s="470">
        <v>683</v>
      </c>
      <c r="Z21" s="470">
        <v>1188</v>
      </c>
      <c r="AA21" s="470">
        <v>2462</v>
      </c>
      <c r="AB21" s="470">
        <v>2710</v>
      </c>
      <c r="AC21" s="470">
        <v>4390</v>
      </c>
      <c r="AD21" s="470">
        <v>6810</v>
      </c>
      <c r="AE21" s="470">
        <v>2401</v>
      </c>
      <c r="AF21" s="470">
        <v>3950</v>
      </c>
      <c r="AG21" s="470">
        <v>5941</v>
      </c>
      <c r="AH21" s="470">
        <v>7665</v>
      </c>
      <c r="AI21" s="470">
        <v>7941</v>
      </c>
      <c r="AJ21" s="470">
        <v>7597</v>
      </c>
      <c r="AK21" s="470">
        <v>8750</v>
      </c>
      <c r="AL21" s="470">
        <v>14183</v>
      </c>
    </row>
    <row r="22" spans="1:38">
      <c r="A22" s="470" t="s">
        <v>497</v>
      </c>
      <c r="B22" s="470">
        <v>3201</v>
      </c>
      <c r="C22" s="470">
        <v>3257</v>
      </c>
      <c r="D22" s="470">
        <v>1829</v>
      </c>
      <c r="E22" s="470">
        <v>1775</v>
      </c>
      <c r="F22" s="470">
        <v>2974</v>
      </c>
      <c r="G22" s="470">
        <v>2232</v>
      </c>
      <c r="H22" s="470">
        <v>2180</v>
      </c>
      <c r="I22" s="470">
        <v>1906</v>
      </c>
      <c r="J22" s="470">
        <v>2464</v>
      </c>
      <c r="K22" s="470">
        <v>2027</v>
      </c>
      <c r="L22" s="470">
        <v>179</v>
      </c>
      <c r="M22" s="470">
        <v>914</v>
      </c>
      <c r="N22" s="470">
        <v>1534</v>
      </c>
      <c r="O22" s="470">
        <v>1987</v>
      </c>
      <c r="P22" s="470">
        <v>4116</v>
      </c>
      <c r="Q22" s="470">
        <v>5003</v>
      </c>
      <c r="R22" s="470">
        <v>5271</v>
      </c>
      <c r="S22" s="470">
        <v>6599</v>
      </c>
      <c r="T22" s="470">
        <v>6139</v>
      </c>
      <c r="U22" s="470">
        <v>7299</v>
      </c>
      <c r="V22" s="470">
        <v>8776</v>
      </c>
      <c r="W22" s="470">
        <v>3189</v>
      </c>
      <c r="X22" s="470">
        <v>4337</v>
      </c>
      <c r="Y22" s="470">
        <v>8840</v>
      </c>
      <c r="Z22" s="470">
        <v>12553</v>
      </c>
      <c r="AA22" s="470">
        <v>15743</v>
      </c>
      <c r="AB22" s="470">
        <v>20250</v>
      </c>
      <c r="AC22" s="470">
        <v>21395</v>
      </c>
      <c r="AD22" s="470">
        <v>10581</v>
      </c>
      <c r="AE22" s="470">
        <v>13866</v>
      </c>
      <c r="AF22" s="470">
        <v>19239</v>
      </c>
      <c r="AG22" s="470">
        <v>21669</v>
      </c>
      <c r="AH22" s="470">
        <v>21766</v>
      </c>
      <c r="AI22" s="470">
        <v>24314</v>
      </c>
      <c r="AJ22" s="470">
        <v>20740</v>
      </c>
      <c r="AK22" s="470">
        <v>16450</v>
      </c>
      <c r="AL22" s="470">
        <v>19607</v>
      </c>
    </row>
    <row r="23" spans="1:38">
      <c r="A23" s="470" t="s">
        <v>496</v>
      </c>
      <c r="B23" s="470" t="s">
        <v>273</v>
      </c>
      <c r="C23" s="470" t="s">
        <v>273</v>
      </c>
      <c r="D23" s="470" t="s">
        <v>273</v>
      </c>
      <c r="E23" s="470" t="s">
        <v>273</v>
      </c>
      <c r="F23" s="470" t="s">
        <v>273</v>
      </c>
      <c r="G23" s="470" t="s">
        <v>273</v>
      </c>
      <c r="H23" s="470" t="s">
        <v>273</v>
      </c>
      <c r="I23" s="470">
        <v>-17</v>
      </c>
      <c r="J23" s="470">
        <v>4</v>
      </c>
      <c r="K23" s="470">
        <v>-13</v>
      </c>
      <c r="L23" s="470">
        <v>21</v>
      </c>
      <c r="M23" s="470">
        <v>-41</v>
      </c>
      <c r="N23" s="470">
        <v>-8</v>
      </c>
      <c r="O23" s="470">
        <v>2</v>
      </c>
      <c r="P23" s="470">
        <v>93</v>
      </c>
      <c r="Q23" s="470">
        <v>164</v>
      </c>
      <c r="R23" s="470">
        <v>50</v>
      </c>
      <c r="S23" s="470">
        <v>204</v>
      </c>
      <c r="T23" s="470">
        <v>131</v>
      </c>
      <c r="U23" s="470">
        <v>-279</v>
      </c>
      <c r="V23" s="470">
        <v>58</v>
      </c>
      <c r="W23" s="470">
        <v>50</v>
      </c>
      <c r="X23" s="470">
        <v>77</v>
      </c>
      <c r="Y23" s="470">
        <v>124</v>
      </c>
      <c r="Z23" s="470">
        <v>153</v>
      </c>
      <c r="AA23" s="470">
        <v>181</v>
      </c>
      <c r="AB23" s="470">
        <v>-402</v>
      </c>
      <c r="AC23" s="470">
        <v>-538</v>
      </c>
      <c r="AD23" s="470">
        <v>-414</v>
      </c>
      <c r="AE23" s="470">
        <v>-236</v>
      </c>
      <c r="AF23" s="470">
        <v>-437</v>
      </c>
      <c r="AG23" s="470">
        <v>1382</v>
      </c>
      <c r="AH23" s="470">
        <v>455</v>
      </c>
      <c r="AI23" s="470">
        <v>531</v>
      </c>
      <c r="AJ23" s="470">
        <v>732</v>
      </c>
      <c r="AK23" s="470">
        <v>72</v>
      </c>
      <c r="AL23" s="470">
        <v>-633</v>
      </c>
    </row>
    <row r="24" spans="1:38">
      <c r="A24" s="470" t="s">
        <v>492</v>
      </c>
      <c r="B24" s="470" t="s">
        <v>273</v>
      </c>
      <c r="C24" s="470" t="s">
        <v>273</v>
      </c>
      <c r="D24" s="470" t="s">
        <v>273</v>
      </c>
      <c r="E24" s="470" t="s">
        <v>273</v>
      </c>
      <c r="F24" s="470" t="s">
        <v>273</v>
      </c>
      <c r="G24" s="470" t="s">
        <v>273</v>
      </c>
      <c r="H24" s="470" t="s">
        <v>273</v>
      </c>
      <c r="I24" s="470">
        <v>13</v>
      </c>
      <c r="J24" s="470">
        <v>47</v>
      </c>
      <c r="K24" s="470">
        <v>29</v>
      </c>
      <c r="L24" s="470">
        <v>25</v>
      </c>
      <c r="M24" s="470">
        <v>36</v>
      </c>
      <c r="N24" s="470">
        <v>104</v>
      </c>
      <c r="O24" s="470">
        <v>111</v>
      </c>
      <c r="P24" s="470">
        <v>221</v>
      </c>
      <c r="Q24" s="470">
        <v>250</v>
      </c>
      <c r="R24" s="470">
        <v>199</v>
      </c>
      <c r="S24" s="470">
        <v>152</v>
      </c>
      <c r="T24" s="470">
        <v>77</v>
      </c>
      <c r="U24" s="470">
        <v>143</v>
      </c>
      <c r="V24" s="470">
        <v>184</v>
      </c>
      <c r="W24" s="470">
        <v>-172</v>
      </c>
      <c r="X24" s="470">
        <v>-346</v>
      </c>
      <c r="Y24" s="470">
        <v>27</v>
      </c>
      <c r="Z24" s="470">
        <v>284</v>
      </c>
      <c r="AA24" s="470">
        <v>334</v>
      </c>
      <c r="AB24" s="470">
        <v>579</v>
      </c>
      <c r="AC24" s="470">
        <v>1479</v>
      </c>
      <c r="AD24" s="470">
        <v>746</v>
      </c>
      <c r="AE24" s="470">
        <v>-698</v>
      </c>
      <c r="AF24" s="470">
        <v>1799</v>
      </c>
      <c r="AG24" s="470">
        <v>1442</v>
      </c>
      <c r="AH24" s="470">
        <v>1195</v>
      </c>
      <c r="AI24" s="470">
        <v>2444</v>
      </c>
      <c r="AJ24" s="470">
        <v>1079</v>
      </c>
      <c r="AK24" s="470">
        <v>2109</v>
      </c>
      <c r="AL24" s="470">
        <v>1561</v>
      </c>
    </row>
    <row r="25" spans="1:38">
      <c r="A25" s="470" t="s">
        <v>491</v>
      </c>
      <c r="B25" s="470">
        <v>86</v>
      </c>
      <c r="C25" s="470">
        <v>68</v>
      </c>
      <c r="D25" s="470">
        <v>-14</v>
      </c>
      <c r="E25" s="470">
        <v>4</v>
      </c>
      <c r="F25" s="470">
        <v>153</v>
      </c>
      <c r="G25" s="470">
        <v>188</v>
      </c>
      <c r="H25" s="470">
        <v>142</v>
      </c>
      <c r="I25" s="470">
        <v>178</v>
      </c>
      <c r="J25" s="470">
        <v>255</v>
      </c>
      <c r="K25" s="470">
        <v>201</v>
      </c>
      <c r="L25" s="470">
        <v>-121</v>
      </c>
      <c r="M25" s="470">
        <v>-345</v>
      </c>
      <c r="N25" s="470">
        <v>-59</v>
      </c>
      <c r="O25" s="470">
        <v>-307</v>
      </c>
      <c r="P25" s="470">
        <v>129</v>
      </c>
      <c r="Q25" s="470">
        <v>-217</v>
      </c>
      <c r="R25" s="470">
        <v>291</v>
      </c>
      <c r="S25" s="470">
        <v>987</v>
      </c>
      <c r="T25" s="470">
        <v>1487</v>
      </c>
      <c r="U25" s="470">
        <v>1251</v>
      </c>
      <c r="V25" s="470">
        <v>1333</v>
      </c>
      <c r="W25" s="470">
        <v>811</v>
      </c>
      <c r="X25" s="470">
        <v>1773</v>
      </c>
      <c r="Y25" s="470">
        <v>2486</v>
      </c>
      <c r="Z25" s="470">
        <v>1944</v>
      </c>
      <c r="AA25" s="470">
        <v>1693</v>
      </c>
      <c r="AB25" s="470">
        <v>2728</v>
      </c>
      <c r="AC25" s="470">
        <v>2593</v>
      </c>
      <c r="AD25" s="470">
        <v>3037</v>
      </c>
      <c r="AE25" s="470">
        <v>1376</v>
      </c>
      <c r="AF25" s="470">
        <v>1886</v>
      </c>
      <c r="AG25" s="470">
        <v>3290</v>
      </c>
      <c r="AH25" s="470">
        <v>2541</v>
      </c>
      <c r="AI25" s="470">
        <v>3132</v>
      </c>
      <c r="AJ25" s="470">
        <v>3274</v>
      </c>
      <c r="AK25" s="470">
        <v>2490</v>
      </c>
      <c r="AL25" s="470">
        <v>2584</v>
      </c>
    </row>
    <row r="26" spans="1:38">
      <c r="A26" s="470" t="s">
        <v>490</v>
      </c>
      <c r="B26" s="470">
        <v>234</v>
      </c>
      <c r="C26" s="470">
        <v>289</v>
      </c>
      <c r="D26" s="470">
        <v>203</v>
      </c>
      <c r="E26" s="470">
        <v>339</v>
      </c>
      <c r="F26" s="470">
        <v>634</v>
      </c>
      <c r="G26" s="470">
        <v>351</v>
      </c>
      <c r="H26" s="470">
        <v>744</v>
      </c>
      <c r="I26" s="470">
        <v>922</v>
      </c>
      <c r="J26" s="470">
        <v>1092</v>
      </c>
      <c r="K26" s="470">
        <v>946</v>
      </c>
      <c r="L26" s="470">
        <v>214</v>
      </c>
      <c r="M26" s="470">
        <v>-11</v>
      </c>
      <c r="N26" s="470">
        <v>482</v>
      </c>
      <c r="O26" s="470">
        <v>889</v>
      </c>
      <c r="P26" s="470">
        <v>1599</v>
      </c>
      <c r="Q26" s="470">
        <v>1185</v>
      </c>
      <c r="R26" s="470">
        <v>916</v>
      </c>
      <c r="S26" s="470">
        <v>3374</v>
      </c>
      <c r="T26" s="470">
        <v>854</v>
      </c>
      <c r="U26" s="470">
        <v>2844</v>
      </c>
      <c r="V26" s="470">
        <v>2782</v>
      </c>
      <c r="W26" s="470">
        <v>1299</v>
      </c>
      <c r="X26" s="470">
        <v>5771</v>
      </c>
      <c r="Y26" s="470">
        <v>6928</v>
      </c>
      <c r="Z26" s="470">
        <v>7023</v>
      </c>
      <c r="AA26" s="470">
        <v>4462</v>
      </c>
      <c r="AB26" s="470">
        <v>2862</v>
      </c>
      <c r="AC26" s="470">
        <v>5915</v>
      </c>
      <c r="AD26" s="470">
        <v>22871</v>
      </c>
      <c r="AE26" s="470">
        <v>14090</v>
      </c>
      <c r="AF26" s="470">
        <v>11838</v>
      </c>
      <c r="AG26" s="470">
        <v>16409</v>
      </c>
      <c r="AH26" s="470">
        <v>15668</v>
      </c>
      <c r="AI26" s="470">
        <v>14269</v>
      </c>
      <c r="AJ26" s="470">
        <v>20075</v>
      </c>
      <c r="AK26" s="470">
        <v>18487</v>
      </c>
      <c r="AL26" s="470">
        <v>17752</v>
      </c>
    </row>
    <row r="27" spans="1:38">
      <c r="A27" s="470" t="s">
        <v>488</v>
      </c>
      <c r="B27" s="470">
        <v>1284</v>
      </c>
      <c r="C27" s="470">
        <v>1150</v>
      </c>
      <c r="D27" s="470">
        <v>1633</v>
      </c>
      <c r="E27" s="470">
        <v>2130</v>
      </c>
      <c r="F27" s="470">
        <v>2600</v>
      </c>
      <c r="G27" s="470">
        <v>2661</v>
      </c>
      <c r="H27" s="470">
        <v>3103</v>
      </c>
      <c r="I27" s="470">
        <v>4208</v>
      </c>
      <c r="J27" s="470">
        <v>5591</v>
      </c>
      <c r="K27" s="470">
        <v>4726</v>
      </c>
      <c r="L27" s="470">
        <v>5593</v>
      </c>
      <c r="M27" s="470">
        <v>3703</v>
      </c>
      <c r="N27" s="470">
        <v>4972</v>
      </c>
      <c r="O27" s="470">
        <v>5615</v>
      </c>
      <c r="P27" s="470">
        <v>7229</v>
      </c>
      <c r="Q27" s="470">
        <v>10630</v>
      </c>
      <c r="R27" s="470">
        <v>10374</v>
      </c>
      <c r="S27" s="470">
        <v>10781</v>
      </c>
      <c r="T27" s="470">
        <v>7268</v>
      </c>
      <c r="U27" s="470">
        <v>11899</v>
      </c>
      <c r="V27" s="470">
        <v>13347</v>
      </c>
      <c r="W27" s="470">
        <v>9046</v>
      </c>
      <c r="X27" s="470">
        <v>10152</v>
      </c>
      <c r="Y27" s="470">
        <v>17610</v>
      </c>
      <c r="Z27" s="470">
        <v>18641</v>
      </c>
      <c r="AA27" s="470">
        <v>33274</v>
      </c>
      <c r="AB27" s="470">
        <v>36555</v>
      </c>
      <c r="AC27" s="470">
        <v>26622</v>
      </c>
      <c r="AD27" s="470">
        <v>24013</v>
      </c>
      <c r="AE27" s="470">
        <v>22302</v>
      </c>
      <c r="AF27" s="470">
        <v>29545</v>
      </c>
      <c r="AG27" s="470">
        <v>33950</v>
      </c>
      <c r="AH27" s="470">
        <v>29388</v>
      </c>
      <c r="AI27" s="470">
        <v>30288</v>
      </c>
      <c r="AJ27" s="470">
        <v>27147</v>
      </c>
      <c r="AK27" s="470">
        <v>9348</v>
      </c>
      <c r="AL27" s="470">
        <v>19485</v>
      </c>
    </row>
    <row r="28" spans="1:38">
      <c r="A28" s="470" t="s">
        <v>1445</v>
      </c>
      <c r="B28" s="470">
        <v>14</v>
      </c>
      <c r="C28" s="470">
        <v>22</v>
      </c>
      <c r="D28" s="470">
        <v>21</v>
      </c>
      <c r="E28" s="470">
        <v>10</v>
      </c>
      <c r="F28" s="470">
        <v>47</v>
      </c>
      <c r="G28" s="470">
        <v>71</v>
      </c>
      <c r="H28" s="470">
        <v>84</v>
      </c>
      <c r="I28" s="470" t="s">
        <v>273</v>
      </c>
      <c r="J28" s="470" t="s">
        <v>273</v>
      </c>
      <c r="K28" s="470" t="s">
        <v>273</v>
      </c>
      <c r="L28" s="470" t="s">
        <v>273</v>
      </c>
      <c r="M28" s="470" t="s">
        <v>273</v>
      </c>
      <c r="N28" s="470" t="s">
        <v>273</v>
      </c>
      <c r="O28" s="470" t="s">
        <v>273</v>
      </c>
      <c r="P28" s="470" t="s">
        <v>273</v>
      </c>
      <c r="Q28" s="470" t="s">
        <v>273</v>
      </c>
      <c r="R28" s="470" t="s">
        <v>273</v>
      </c>
      <c r="S28" s="470" t="s">
        <v>273</v>
      </c>
      <c r="T28" s="470" t="s">
        <v>273</v>
      </c>
      <c r="U28" s="470" t="s">
        <v>273</v>
      </c>
      <c r="V28" s="470" t="s">
        <v>273</v>
      </c>
      <c r="W28" s="470" t="s">
        <v>273</v>
      </c>
      <c r="X28" s="470" t="s">
        <v>273</v>
      </c>
      <c r="Y28" s="470" t="s">
        <v>273</v>
      </c>
      <c r="Z28" s="470" t="s">
        <v>273</v>
      </c>
      <c r="AA28" s="470" t="s">
        <v>273</v>
      </c>
      <c r="AB28" s="470" t="s">
        <v>273</v>
      </c>
      <c r="AC28" s="470" t="s">
        <v>273</v>
      </c>
      <c r="AD28" s="470" t="s">
        <v>273</v>
      </c>
      <c r="AE28" s="470" t="s">
        <v>273</v>
      </c>
      <c r="AF28" s="470" t="s">
        <v>273</v>
      </c>
      <c r="AG28" s="470" t="s">
        <v>273</v>
      </c>
      <c r="AH28" s="470" t="s">
        <v>273</v>
      </c>
      <c r="AI28" s="470" t="s">
        <v>273</v>
      </c>
      <c r="AJ28" s="470" t="s">
        <v>273</v>
      </c>
      <c r="AK28" s="470" t="s">
        <v>273</v>
      </c>
      <c r="AL28" s="470" t="s">
        <v>273</v>
      </c>
    </row>
    <row r="29" spans="1:38">
      <c r="A29" s="470" t="s">
        <v>236</v>
      </c>
      <c r="B29" s="470">
        <v>16</v>
      </c>
      <c r="C29" s="470">
        <v>2</v>
      </c>
      <c r="D29" s="470">
        <v>-75</v>
      </c>
      <c r="E29" s="470">
        <v>-32</v>
      </c>
      <c r="F29" s="470">
        <v>-6</v>
      </c>
      <c r="G29" s="470">
        <v>6</v>
      </c>
      <c r="H29" s="470">
        <v>4</v>
      </c>
      <c r="I29" s="470">
        <v>14</v>
      </c>
      <c r="J29" s="470">
        <v>16</v>
      </c>
      <c r="K29" s="470">
        <v>-11</v>
      </c>
      <c r="L29" s="470">
        <v>-36</v>
      </c>
      <c r="M29" s="470">
        <v>-60</v>
      </c>
      <c r="N29" s="470">
        <v>-37</v>
      </c>
      <c r="O29" s="470">
        <v>8</v>
      </c>
      <c r="P29" s="470">
        <v>12</v>
      </c>
      <c r="Q29" s="470">
        <v>15</v>
      </c>
      <c r="R29" s="470">
        <v>21</v>
      </c>
      <c r="S29" s="470">
        <v>40</v>
      </c>
      <c r="T29" s="470">
        <v>42</v>
      </c>
      <c r="U29" s="470">
        <v>95</v>
      </c>
      <c r="V29" s="470">
        <v>187</v>
      </c>
      <c r="W29" s="470">
        <v>796</v>
      </c>
      <c r="X29" s="470">
        <v>2115</v>
      </c>
      <c r="Y29" s="470">
        <v>1129</v>
      </c>
      <c r="Z29" s="470">
        <v>1587</v>
      </c>
      <c r="AA29" s="470">
        <v>2286</v>
      </c>
      <c r="AB29" s="470">
        <v>3217</v>
      </c>
      <c r="AC29" s="470">
        <v>3648</v>
      </c>
      <c r="AD29" s="470">
        <v>4319</v>
      </c>
      <c r="AE29" s="470">
        <v>795</v>
      </c>
      <c r="AF29" s="470">
        <v>2685</v>
      </c>
      <c r="AG29" s="470">
        <v>1747</v>
      </c>
      <c r="AH29" s="470">
        <v>1041</v>
      </c>
      <c r="AI29" s="470">
        <v>723</v>
      </c>
      <c r="AJ29" s="470">
        <v>1224</v>
      </c>
      <c r="AK29" s="470">
        <v>1385</v>
      </c>
      <c r="AL29" s="470">
        <v>1401</v>
      </c>
    </row>
    <row r="30" spans="1:38">
      <c r="A30" s="470" t="s">
        <v>487</v>
      </c>
      <c r="B30" s="470" t="s">
        <v>273</v>
      </c>
      <c r="C30" s="470" t="s">
        <v>273</v>
      </c>
      <c r="D30" s="470" t="s">
        <v>273</v>
      </c>
      <c r="E30" s="470" t="s">
        <v>273</v>
      </c>
      <c r="F30" s="470" t="s">
        <v>273</v>
      </c>
      <c r="G30" s="470" t="s">
        <v>273</v>
      </c>
      <c r="H30" s="470" t="s">
        <v>273</v>
      </c>
      <c r="I30" s="470">
        <v>0</v>
      </c>
      <c r="J30" s="470">
        <v>0</v>
      </c>
      <c r="K30" s="470">
        <v>0</v>
      </c>
      <c r="L30" s="470">
        <v>0</v>
      </c>
      <c r="M30" s="470">
        <v>0</v>
      </c>
      <c r="N30" s="470">
        <v>1</v>
      </c>
      <c r="O30" s="470">
        <v>0</v>
      </c>
      <c r="P30" s="470">
        <v>0</v>
      </c>
      <c r="Q30" s="470">
        <v>0</v>
      </c>
      <c r="R30" s="470">
        <v>0</v>
      </c>
      <c r="S30" s="470">
        <v>0</v>
      </c>
      <c r="T30" s="470">
        <v>0</v>
      </c>
      <c r="U30" s="470">
        <v>0</v>
      </c>
      <c r="V30" s="470">
        <v>0</v>
      </c>
      <c r="W30" s="470">
        <v>0</v>
      </c>
      <c r="X30" s="470">
        <v>0</v>
      </c>
      <c r="Y30" s="470">
        <v>0</v>
      </c>
      <c r="Z30" s="470">
        <v>0</v>
      </c>
      <c r="AA30" s="470">
        <v>0</v>
      </c>
      <c r="AB30" s="470">
        <v>0</v>
      </c>
      <c r="AC30" s="470" t="s">
        <v>273</v>
      </c>
      <c r="AD30" s="470">
        <v>0</v>
      </c>
      <c r="AE30" s="470">
        <v>0</v>
      </c>
      <c r="AF30" s="470">
        <v>0</v>
      </c>
      <c r="AG30" s="470">
        <v>0</v>
      </c>
      <c r="AH30" s="470">
        <v>0</v>
      </c>
      <c r="AI30" s="470">
        <v>0</v>
      </c>
      <c r="AJ30" s="470">
        <v>0</v>
      </c>
      <c r="AK30" s="470">
        <v>0</v>
      </c>
      <c r="AL30" s="470">
        <v>0</v>
      </c>
    </row>
    <row r="31" spans="1:38">
      <c r="A31" s="470" t="s">
        <v>486</v>
      </c>
      <c r="B31" s="470">
        <v>0</v>
      </c>
      <c r="C31" s="470">
        <v>0</v>
      </c>
      <c r="D31" s="470">
        <v>0</v>
      </c>
      <c r="E31" s="470">
        <v>0</v>
      </c>
      <c r="F31" s="470">
        <v>0</v>
      </c>
      <c r="G31" s="470">
        <v>0</v>
      </c>
      <c r="H31" s="470">
        <v>0</v>
      </c>
      <c r="I31" s="470">
        <v>0</v>
      </c>
      <c r="J31" s="470">
        <v>0</v>
      </c>
      <c r="K31" s="470">
        <v>0</v>
      </c>
      <c r="L31" s="470">
        <v>0</v>
      </c>
      <c r="M31" s="470">
        <v>0</v>
      </c>
      <c r="N31" s="470">
        <v>0</v>
      </c>
      <c r="O31" s="470">
        <v>0</v>
      </c>
      <c r="P31" s="470">
        <v>0</v>
      </c>
      <c r="Q31" s="470">
        <v>0</v>
      </c>
      <c r="R31" s="470">
        <v>0</v>
      </c>
      <c r="S31" s="470" t="s">
        <v>273</v>
      </c>
      <c r="T31" s="470" t="s">
        <v>273</v>
      </c>
      <c r="U31" s="470" t="s">
        <v>273</v>
      </c>
      <c r="V31" s="470" t="s">
        <v>273</v>
      </c>
      <c r="W31" s="470" t="s">
        <v>273</v>
      </c>
      <c r="X31" s="470" t="s">
        <v>273</v>
      </c>
      <c r="Y31" s="470" t="s">
        <v>273</v>
      </c>
      <c r="Z31" s="470" t="s">
        <v>273</v>
      </c>
      <c r="AA31" s="470" t="s">
        <v>273</v>
      </c>
      <c r="AB31" s="470" t="s">
        <v>273</v>
      </c>
      <c r="AC31" s="470" t="s">
        <v>273</v>
      </c>
      <c r="AD31" s="470" t="s">
        <v>273</v>
      </c>
      <c r="AE31" s="470" t="s">
        <v>273</v>
      </c>
      <c r="AF31" s="470" t="s">
        <v>273</v>
      </c>
      <c r="AG31" s="470" t="s">
        <v>273</v>
      </c>
      <c r="AH31" s="470" t="s">
        <v>273</v>
      </c>
      <c r="AI31" s="470" t="s">
        <v>273</v>
      </c>
      <c r="AJ31" s="470" t="s">
        <v>273</v>
      </c>
      <c r="AK31" s="470" t="s">
        <v>273</v>
      </c>
      <c r="AL31" s="470" t="s">
        <v>273</v>
      </c>
    </row>
    <row r="32" spans="1:38">
      <c r="A32" s="470" t="s">
        <v>1444</v>
      </c>
      <c r="B32" s="470">
        <v>-3</v>
      </c>
      <c r="C32" s="470" t="s">
        <v>306</v>
      </c>
      <c r="D32" s="470">
        <v>-6</v>
      </c>
      <c r="E32" s="470">
        <v>-1</v>
      </c>
      <c r="F32" s="470">
        <v>-7</v>
      </c>
      <c r="G32" s="470">
        <v>-8</v>
      </c>
      <c r="H32" s="470">
        <v>-9</v>
      </c>
      <c r="I32" s="470" t="s">
        <v>273</v>
      </c>
      <c r="J32" s="470" t="s">
        <v>273</v>
      </c>
      <c r="K32" s="470" t="s">
        <v>273</v>
      </c>
      <c r="L32" s="470" t="s">
        <v>273</v>
      </c>
      <c r="M32" s="470" t="s">
        <v>273</v>
      </c>
      <c r="N32" s="470" t="s">
        <v>273</v>
      </c>
      <c r="O32" s="470" t="s">
        <v>273</v>
      </c>
      <c r="P32" s="470" t="s">
        <v>273</v>
      </c>
      <c r="Q32" s="470" t="s">
        <v>273</v>
      </c>
      <c r="R32" s="470" t="s">
        <v>273</v>
      </c>
      <c r="S32" s="470" t="s">
        <v>273</v>
      </c>
      <c r="T32" s="470" t="s">
        <v>273</v>
      </c>
      <c r="U32" s="470" t="s">
        <v>273</v>
      </c>
      <c r="V32" s="470" t="s">
        <v>273</v>
      </c>
      <c r="W32" s="470" t="s">
        <v>273</v>
      </c>
      <c r="X32" s="470" t="s">
        <v>273</v>
      </c>
      <c r="Y32" s="470" t="s">
        <v>273</v>
      </c>
      <c r="Z32" s="470" t="s">
        <v>273</v>
      </c>
      <c r="AA32" s="470" t="s">
        <v>273</v>
      </c>
      <c r="AB32" s="470" t="s">
        <v>273</v>
      </c>
      <c r="AC32" s="470" t="s">
        <v>273</v>
      </c>
      <c r="AD32" s="470" t="s">
        <v>273</v>
      </c>
      <c r="AE32" s="470" t="s">
        <v>273</v>
      </c>
      <c r="AF32" s="470" t="s">
        <v>273</v>
      </c>
      <c r="AG32" s="470" t="s">
        <v>273</v>
      </c>
      <c r="AH32" s="470" t="s">
        <v>273</v>
      </c>
      <c r="AI32" s="470" t="s">
        <v>273</v>
      </c>
      <c r="AJ32" s="470" t="s">
        <v>273</v>
      </c>
      <c r="AK32" s="470" t="s">
        <v>273</v>
      </c>
      <c r="AL32" s="470" t="s">
        <v>273</v>
      </c>
    </row>
    <row r="33" spans="1:38">
      <c r="A33" s="470" t="s">
        <v>485</v>
      </c>
      <c r="B33" s="470" t="s">
        <v>273</v>
      </c>
      <c r="C33" s="470" t="s">
        <v>273</v>
      </c>
      <c r="D33" s="470" t="s">
        <v>273</v>
      </c>
      <c r="E33" s="470" t="s">
        <v>273</v>
      </c>
      <c r="F33" s="470" t="s">
        <v>273</v>
      </c>
      <c r="G33" s="470" t="s">
        <v>273</v>
      </c>
      <c r="H33" s="470" t="s">
        <v>273</v>
      </c>
      <c r="I33" s="470" t="s">
        <v>273</v>
      </c>
      <c r="J33" s="470" t="s">
        <v>273</v>
      </c>
      <c r="K33" s="470" t="s">
        <v>273</v>
      </c>
      <c r="L33" s="470" t="s">
        <v>273</v>
      </c>
      <c r="M33" s="470" t="s">
        <v>273</v>
      </c>
      <c r="N33" s="470">
        <v>0</v>
      </c>
      <c r="O33" s="470">
        <v>0</v>
      </c>
      <c r="P33" s="470">
        <v>0</v>
      </c>
      <c r="Q33" s="470">
        <v>0</v>
      </c>
      <c r="R33" s="470">
        <v>0</v>
      </c>
      <c r="S33" s="470" t="s">
        <v>306</v>
      </c>
      <c r="T33" s="470" t="s">
        <v>306</v>
      </c>
      <c r="U33" s="470" t="s">
        <v>306</v>
      </c>
      <c r="V33" s="470" t="s">
        <v>306</v>
      </c>
      <c r="W33" s="470" t="s">
        <v>306</v>
      </c>
      <c r="X33" s="470">
        <v>0</v>
      </c>
      <c r="Y33" s="470">
        <v>0</v>
      </c>
      <c r="Z33" s="470" t="s">
        <v>273</v>
      </c>
      <c r="AA33" s="470" t="s">
        <v>273</v>
      </c>
      <c r="AB33" s="470" t="s">
        <v>273</v>
      </c>
      <c r="AC33" s="470" t="s">
        <v>273</v>
      </c>
      <c r="AD33" s="470">
        <v>0</v>
      </c>
      <c r="AE33" s="470">
        <v>0</v>
      </c>
      <c r="AF33" s="470">
        <v>0</v>
      </c>
      <c r="AG33" s="470">
        <v>0</v>
      </c>
      <c r="AH33" s="470" t="s">
        <v>306</v>
      </c>
      <c r="AI33" s="470">
        <v>1</v>
      </c>
      <c r="AJ33" s="470" t="s">
        <v>306</v>
      </c>
      <c r="AK33" s="470" t="s">
        <v>306</v>
      </c>
      <c r="AL33" s="470" t="s">
        <v>306</v>
      </c>
    </row>
    <row r="34" spans="1:38">
      <c r="A34" s="470" t="s">
        <v>484</v>
      </c>
      <c r="B34" s="470" t="s">
        <v>273</v>
      </c>
      <c r="C34" s="470" t="s">
        <v>273</v>
      </c>
      <c r="D34" s="470" t="s">
        <v>273</v>
      </c>
      <c r="E34" s="470" t="s">
        <v>273</v>
      </c>
      <c r="F34" s="470" t="s">
        <v>273</v>
      </c>
      <c r="G34" s="470" t="s">
        <v>273</v>
      </c>
      <c r="H34" s="470" t="s">
        <v>273</v>
      </c>
      <c r="I34" s="470" t="s">
        <v>273</v>
      </c>
      <c r="J34" s="470" t="s">
        <v>273</v>
      </c>
      <c r="K34" s="470" t="s">
        <v>273</v>
      </c>
      <c r="L34" s="470" t="s">
        <v>273</v>
      </c>
      <c r="M34" s="470" t="s">
        <v>273</v>
      </c>
      <c r="N34" s="470">
        <v>0</v>
      </c>
      <c r="O34" s="470">
        <v>0</v>
      </c>
      <c r="P34" s="470">
        <v>0</v>
      </c>
      <c r="Q34" s="470">
        <v>0</v>
      </c>
      <c r="R34" s="470">
        <v>0</v>
      </c>
      <c r="S34" s="470">
        <v>0</v>
      </c>
      <c r="T34" s="470">
        <v>0</v>
      </c>
      <c r="U34" s="470">
        <v>0</v>
      </c>
      <c r="V34" s="470">
        <v>0</v>
      </c>
      <c r="W34" s="470">
        <v>0</v>
      </c>
      <c r="X34" s="470" t="s">
        <v>306</v>
      </c>
      <c r="Y34" s="470" t="s">
        <v>306</v>
      </c>
      <c r="Z34" s="470" t="s">
        <v>306</v>
      </c>
      <c r="AA34" s="470" t="s">
        <v>306</v>
      </c>
      <c r="AB34" s="470" t="s">
        <v>306</v>
      </c>
      <c r="AC34" s="470" t="s">
        <v>306</v>
      </c>
      <c r="AD34" s="470" t="s">
        <v>306</v>
      </c>
      <c r="AE34" s="470" t="s">
        <v>306</v>
      </c>
      <c r="AF34" s="470" t="s">
        <v>306</v>
      </c>
      <c r="AG34" s="470" t="s">
        <v>306</v>
      </c>
      <c r="AH34" s="470" t="s">
        <v>306</v>
      </c>
      <c r="AI34" s="470" t="s">
        <v>306</v>
      </c>
      <c r="AJ34" s="470" t="s">
        <v>306</v>
      </c>
      <c r="AK34" s="470" t="s">
        <v>306</v>
      </c>
      <c r="AL34" s="470" t="s">
        <v>306</v>
      </c>
    </row>
    <row r="35" spans="1:38">
      <c r="A35" s="470" t="s">
        <v>483</v>
      </c>
      <c r="B35" s="470" t="s">
        <v>273</v>
      </c>
      <c r="C35" s="470" t="s">
        <v>273</v>
      </c>
      <c r="D35" s="470" t="s">
        <v>273</v>
      </c>
      <c r="E35" s="470" t="s">
        <v>273</v>
      </c>
      <c r="F35" s="470" t="s">
        <v>273</v>
      </c>
      <c r="G35" s="470" t="s">
        <v>273</v>
      </c>
      <c r="H35" s="470" t="s">
        <v>273</v>
      </c>
      <c r="I35" s="470" t="s">
        <v>273</v>
      </c>
      <c r="J35" s="470" t="s">
        <v>273</v>
      </c>
      <c r="K35" s="470" t="s">
        <v>273</v>
      </c>
      <c r="L35" s="470" t="s">
        <v>273</v>
      </c>
      <c r="M35" s="470" t="s">
        <v>273</v>
      </c>
      <c r="N35" s="470">
        <v>0</v>
      </c>
      <c r="O35" s="470">
        <v>0</v>
      </c>
      <c r="P35" s="470">
        <v>0</v>
      </c>
      <c r="Q35" s="470">
        <v>0</v>
      </c>
      <c r="R35" s="470" t="s">
        <v>306</v>
      </c>
      <c r="S35" s="470" t="s">
        <v>306</v>
      </c>
      <c r="T35" s="470" t="s">
        <v>306</v>
      </c>
      <c r="U35" s="470" t="s">
        <v>306</v>
      </c>
      <c r="V35" s="470" t="s">
        <v>306</v>
      </c>
      <c r="W35" s="470" t="s">
        <v>306</v>
      </c>
      <c r="X35" s="470" t="s">
        <v>306</v>
      </c>
      <c r="Y35" s="470" t="s">
        <v>306</v>
      </c>
      <c r="Z35" s="470" t="s">
        <v>306</v>
      </c>
      <c r="AA35" s="470" t="s">
        <v>306</v>
      </c>
      <c r="AB35" s="470" t="s">
        <v>306</v>
      </c>
      <c r="AC35" s="470" t="s">
        <v>306</v>
      </c>
      <c r="AD35" s="470" t="s">
        <v>306</v>
      </c>
      <c r="AE35" s="470" t="s">
        <v>306</v>
      </c>
      <c r="AF35" s="470" t="s">
        <v>306</v>
      </c>
      <c r="AG35" s="470" t="s">
        <v>306</v>
      </c>
      <c r="AH35" s="470" t="s">
        <v>306</v>
      </c>
      <c r="AI35" s="470" t="s">
        <v>306</v>
      </c>
      <c r="AJ35" s="470" t="s">
        <v>306</v>
      </c>
      <c r="AK35" s="470" t="s">
        <v>306</v>
      </c>
      <c r="AL35" s="470" t="s">
        <v>306</v>
      </c>
    </row>
    <row r="36" spans="1:38">
      <c r="A36" s="470" t="s">
        <v>482</v>
      </c>
      <c r="B36" s="470" t="s">
        <v>273</v>
      </c>
      <c r="C36" s="470" t="s">
        <v>273</v>
      </c>
      <c r="D36" s="470" t="s">
        <v>273</v>
      </c>
      <c r="E36" s="470" t="s">
        <v>273</v>
      </c>
      <c r="F36" s="470" t="s">
        <v>273</v>
      </c>
      <c r="G36" s="470" t="s">
        <v>273</v>
      </c>
      <c r="H36" s="470" t="s">
        <v>273</v>
      </c>
      <c r="I36" s="470" t="s">
        <v>273</v>
      </c>
      <c r="J36" s="470" t="s">
        <v>273</v>
      </c>
      <c r="K36" s="470" t="s">
        <v>273</v>
      </c>
      <c r="L36" s="470" t="s">
        <v>273</v>
      </c>
      <c r="M36" s="470" t="s">
        <v>273</v>
      </c>
      <c r="N36" s="470" t="s">
        <v>306</v>
      </c>
      <c r="O36" s="470">
        <v>1</v>
      </c>
      <c r="P36" s="470">
        <v>0</v>
      </c>
      <c r="Q36" s="470">
        <v>0</v>
      </c>
      <c r="R36" s="470">
        <v>0</v>
      </c>
      <c r="S36" s="470">
        <v>0</v>
      </c>
      <c r="T36" s="470">
        <v>0</v>
      </c>
      <c r="U36" s="470">
        <v>0</v>
      </c>
      <c r="V36" s="470">
        <v>0</v>
      </c>
      <c r="W36" s="470">
        <v>0</v>
      </c>
      <c r="X36" s="470">
        <v>0</v>
      </c>
      <c r="Y36" s="470">
        <v>0</v>
      </c>
      <c r="Z36" s="470">
        <v>0</v>
      </c>
      <c r="AA36" s="470" t="s">
        <v>273</v>
      </c>
      <c r="AB36" s="470">
        <v>0</v>
      </c>
      <c r="AC36" s="470" t="s">
        <v>273</v>
      </c>
      <c r="AD36" s="470" t="s">
        <v>273</v>
      </c>
      <c r="AE36" s="470" t="s">
        <v>273</v>
      </c>
      <c r="AF36" s="470" t="s">
        <v>273</v>
      </c>
      <c r="AG36" s="470" t="s">
        <v>273</v>
      </c>
      <c r="AH36" s="470">
        <v>0</v>
      </c>
      <c r="AI36" s="470">
        <v>0</v>
      </c>
      <c r="AJ36" s="470">
        <v>0</v>
      </c>
      <c r="AK36" s="470">
        <v>0</v>
      </c>
      <c r="AL36" s="470">
        <v>0</v>
      </c>
    </row>
    <row r="37" spans="1:38">
      <c r="A37" s="470" t="s">
        <v>481</v>
      </c>
      <c r="B37" s="470">
        <v>0</v>
      </c>
      <c r="C37" s="470">
        <v>0</v>
      </c>
      <c r="D37" s="470">
        <v>0</v>
      </c>
      <c r="E37" s="470">
        <v>0</v>
      </c>
      <c r="F37" s="470">
        <v>0</v>
      </c>
      <c r="G37" s="470">
        <v>0</v>
      </c>
      <c r="H37" s="470">
        <v>0</v>
      </c>
      <c r="I37" s="470">
        <v>0</v>
      </c>
      <c r="J37" s="470">
        <v>0</v>
      </c>
      <c r="K37" s="470">
        <v>0</v>
      </c>
      <c r="L37" s="470">
        <v>0</v>
      </c>
      <c r="M37" s="470">
        <v>0</v>
      </c>
      <c r="N37" s="470">
        <v>0</v>
      </c>
      <c r="O37" s="470">
        <v>0</v>
      </c>
      <c r="P37" s="470">
        <v>0</v>
      </c>
      <c r="Q37" s="470">
        <v>0</v>
      </c>
      <c r="R37" s="470">
        <v>0</v>
      </c>
      <c r="S37" s="470" t="s">
        <v>306</v>
      </c>
      <c r="T37" s="470" t="s">
        <v>306</v>
      </c>
      <c r="U37" s="470" t="s">
        <v>306</v>
      </c>
      <c r="V37" s="470" t="s">
        <v>306</v>
      </c>
      <c r="W37" s="470" t="s">
        <v>306</v>
      </c>
      <c r="X37" s="470" t="s">
        <v>306</v>
      </c>
      <c r="Y37" s="470" t="s">
        <v>306</v>
      </c>
      <c r="Z37" s="470" t="s">
        <v>306</v>
      </c>
      <c r="AA37" s="470" t="s">
        <v>306</v>
      </c>
      <c r="AB37" s="470" t="s">
        <v>306</v>
      </c>
      <c r="AC37" s="470" t="s">
        <v>306</v>
      </c>
      <c r="AD37" s="470" t="s">
        <v>306</v>
      </c>
      <c r="AE37" s="470" t="s">
        <v>306</v>
      </c>
      <c r="AF37" s="470" t="s">
        <v>306</v>
      </c>
      <c r="AG37" s="470" t="s">
        <v>306</v>
      </c>
      <c r="AH37" s="470" t="s">
        <v>306</v>
      </c>
      <c r="AI37" s="470" t="s">
        <v>306</v>
      </c>
      <c r="AJ37" s="470" t="s">
        <v>306</v>
      </c>
      <c r="AK37" s="470">
        <v>2</v>
      </c>
      <c r="AL37" s="470">
        <v>3</v>
      </c>
    </row>
    <row r="38" spans="1:38">
      <c r="A38" s="470" t="s">
        <v>480</v>
      </c>
      <c r="B38" s="470" t="s">
        <v>273</v>
      </c>
      <c r="C38" s="470" t="s">
        <v>273</v>
      </c>
      <c r="D38" s="470" t="s">
        <v>273</v>
      </c>
      <c r="E38" s="470" t="s">
        <v>273</v>
      </c>
      <c r="F38" s="470" t="s">
        <v>273</v>
      </c>
      <c r="G38" s="470" t="s">
        <v>273</v>
      </c>
      <c r="H38" s="470" t="s">
        <v>273</v>
      </c>
      <c r="I38" s="470" t="s">
        <v>273</v>
      </c>
      <c r="J38" s="470" t="s">
        <v>273</v>
      </c>
      <c r="K38" s="470" t="s">
        <v>273</v>
      </c>
      <c r="L38" s="470" t="s">
        <v>273</v>
      </c>
      <c r="M38" s="470" t="s">
        <v>273</v>
      </c>
      <c r="N38" s="470">
        <v>0</v>
      </c>
      <c r="O38" s="470">
        <v>0</v>
      </c>
      <c r="P38" s="470">
        <v>0</v>
      </c>
      <c r="Q38" s="470">
        <v>0</v>
      </c>
      <c r="R38" s="470">
        <v>0</v>
      </c>
      <c r="S38" s="470" t="s">
        <v>306</v>
      </c>
      <c r="T38" s="470" t="s">
        <v>306</v>
      </c>
      <c r="U38" s="470" t="s">
        <v>306</v>
      </c>
      <c r="V38" s="470" t="s">
        <v>306</v>
      </c>
      <c r="W38" s="470" t="s">
        <v>306</v>
      </c>
      <c r="X38" s="470" t="s">
        <v>306</v>
      </c>
      <c r="Y38" s="470" t="s">
        <v>306</v>
      </c>
      <c r="Z38" s="470" t="s">
        <v>306</v>
      </c>
      <c r="AA38" s="470" t="s">
        <v>306</v>
      </c>
      <c r="AB38" s="470" t="s">
        <v>306</v>
      </c>
      <c r="AC38" s="470">
        <v>1</v>
      </c>
      <c r="AD38" s="470" t="s">
        <v>306</v>
      </c>
      <c r="AE38" s="470" t="s">
        <v>306</v>
      </c>
      <c r="AF38" s="470" t="s">
        <v>306</v>
      </c>
      <c r="AG38" s="470" t="s">
        <v>306</v>
      </c>
      <c r="AH38" s="470">
        <v>1</v>
      </c>
      <c r="AI38" s="470">
        <v>1</v>
      </c>
      <c r="AJ38" s="470" t="s">
        <v>306</v>
      </c>
      <c r="AK38" s="470" t="s">
        <v>306</v>
      </c>
      <c r="AL38" s="470" t="s">
        <v>306</v>
      </c>
    </row>
    <row r="39" spans="1:38">
      <c r="A39" s="470" t="s">
        <v>479</v>
      </c>
      <c r="B39" s="470">
        <v>-1</v>
      </c>
      <c r="C39" s="470">
        <v>0</v>
      </c>
      <c r="D39" s="470">
        <v>0</v>
      </c>
      <c r="E39" s="470">
        <v>0</v>
      </c>
      <c r="F39" s="470">
        <v>0</v>
      </c>
      <c r="G39" s="470">
        <v>0</v>
      </c>
      <c r="H39" s="470">
        <v>0</v>
      </c>
      <c r="I39" s="470" t="s">
        <v>306</v>
      </c>
      <c r="J39" s="470" t="s">
        <v>306</v>
      </c>
      <c r="K39" s="470" t="s">
        <v>306</v>
      </c>
      <c r="L39" s="470" t="s">
        <v>306</v>
      </c>
      <c r="M39" s="470" t="s">
        <v>306</v>
      </c>
      <c r="N39" s="470" t="s">
        <v>306</v>
      </c>
      <c r="O39" s="470" t="s">
        <v>306</v>
      </c>
      <c r="P39" s="470" t="s">
        <v>306</v>
      </c>
      <c r="Q39" s="470" t="s">
        <v>306</v>
      </c>
      <c r="R39" s="470" t="s">
        <v>306</v>
      </c>
      <c r="S39" s="470">
        <v>-4</v>
      </c>
      <c r="T39" s="470">
        <v>-4</v>
      </c>
      <c r="U39" s="470" t="s">
        <v>306</v>
      </c>
      <c r="V39" s="470">
        <v>1</v>
      </c>
      <c r="W39" s="470">
        <v>-2</v>
      </c>
      <c r="X39" s="470">
        <v>-7</v>
      </c>
      <c r="Y39" s="470">
        <v>-8</v>
      </c>
      <c r="Z39" s="470" t="s">
        <v>291</v>
      </c>
      <c r="AA39" s="470" t="s">
        <v>291</v>
      </c>
      <c r="AB39" s="470" t="s">
        <v>291</v>
      </c>
      <c r="AC39" s="470" t="s">
        <v>291</v>
      </c>
      <c r="AD39" s="470" t="s">
        <v>291</v>
      </c>
      <c r="AE39" s="470" t="s">
        <v>291</v>
      </c>
      <c r="AF39" s="470">
        <v>36</v>
      </c>
      <c r="AG39" s="470" t="s">
        <v>291</v>
      </c>
      <c r="AH39" s="470">
        <v>-86</v>
      </c>
      <c r="AI39" s="470">
        <v>-35</v>
      </c>
      <c r="AJ39" s="470">
        <v>43</v>
      </c>
      <c r="AK39" s="470">
        <v>94</v>
      </c>
      <c r="AL39" s="470">
        <v>116</v>
      </c>
    </row>
    <row r="40" spans="1:38">
      <c r="A40" s="470" t="s">
        <v>478</v>
      </c>
      <c r="B40" s="470" t="s">
        <v>273</v>
      </c>
      <c r="C40" s="470" t="s">
        <v>273</v>
      </c>
      <c r="D40" s="470" t="s">
        <v>273</v>
      </c>
      <c r="E40" s="470" t="s">
        <v>273</v>
      </c>
      <c r="F40" s="470" t="s">
        <v>273</v>
      </c>
      <c r="G40" s="470" t="s">
        <v>273</v>
      </c>
      <c r="H40" s="470" t="s">
        <v>273</v>
      </c>
      <c r="I40" s="470" t="s">
        <v>273</v>
      </c>
      <c r="J40" s="470" t="s">
        <v>273</v>
      </c>
      <c r="K40" s="470" t="s">
        <v>273</v>
      </c>
      <c r="L40" s="470" t="s">
        <v>273</v>
      </c>
      <c r="M40" s="470" t="s">
        <v>273</v>
      </c>
      <c r="N40" s="470" t="s">
        <v>273</v>
      </c>
      <c r="O40" s="470">
        <v>0</v>
      </c>
      <c r="P40" s="470">
        <v>0</v>
      </c>
      <c r="Q40" s="470">
        <v>0</v>
      </c>
      <c r="R40" s="470">
        <v>0</v>
      </c>
      <c r="S40" s="470" t="s">
        <v>306</v>
      </c>
      <c r="T40" s="470" t="s">
        <v>306</v>
      </c>
      <c r="U40" s="470" t="s">
        <v>306</v>
      </c>
      <c r="V40" s="470" t="s">
        <v>306</v>
      </c>
      <c r="W40" s="470" t="s">
        <v>306</v>
      </c>
      <c r="X40" s="470" t="s">
        <v>306</v>
      </c>
      <c r="Y40" s="470" t="s">
        <v>306</v>
      </c>
      <c r="Z40" s="470" t="s">
        <v>291</v>
      </c>
      <c r="AA40" s="470" t="s">
        <v>306</v>
      </c>
      <c r="AB40" s="470" t="s">
        <v>306</v>
      </c>
      <c r="AC40" s="470" t="s">
        <v>306</v>
      </c>
      <c r="AD40" s="470" t="s">
        <v>306</v>
      </c>
      <c r="AE40" s="470" t="s">
        <v>306</v>
      </c>
      <c r="AF40" s="470" t="s">
        <v>306</v>
      </c>
      <c r="AG40" s="470" t="s">
        <v>306</v>
      </c>
      <c r="AH40" s="470" t="s">
        <v>306</v>
      </c>
      <c r="AI40" s="470" t="s">
        <v>306</v>
      </c>
      <c r="AJ40" s="470" t="s">
        <v>306</v>
      </c>
      <c r="AK40" s="470" t="s">
        <v>306</v>
      </c>
      <c r="AL40" s="470" t="s">
        <v>306</v>
      </c>
    </row>
    <row r="41" spans="1:38">
      <c r="A41" s="470" t="s">
        <v>477</v>
      </c>
      <c r="B41" s="470">
        <v>0</v>
      </c>
      <c r="C41" s="470">
        <v>0</v>
      </c>
      <c r="D41" s="470">
        <v>0</v>
      </c>
      <c r="E41" s="470">
        <v>0</v>
      </c>
      <c r="F41" s="470">
        <v>0</v>
      </c>
      <c r="G41" s="470">
        <v>0</v>
      </c>
      <c r="H41" s="470">
        <v>0</v>
      </c>
      <c r="I41" s="470">
        <v>0</v>
      </c>
      <c r="J41" s="470">
        <v>0</v>
      </c>
      <c r="K41" s="470">
        <v>0</v>
      </c>
      <c r="L41" s="470">
        <v>0</v>
      </c>
      <c r="M41" s="470">
        <v>0</v>
      </c>
      <c r="N41" s="470">
        <v>0</v>
      </c>
      <c r="O41" s="470" t="s">
        <v>273</v>
      </c>
      <c r="P41" s="470" t="s">
        <v>517</v>
      </c>
      <c r="Q41" s="470" t="s">
        <v>517</v>
      </c>
      <c r="R41" s="470" t="s">
        <v>517</v>
      </c>
      <c r="S41" s="470" t="s">
        <v>273</v>
      </c>
      <c r="T41" s="470" t="s">
        <v>273</v>
      </c>
      <c r="U41" s="470" t="s">
        <v>273</v>
      </c>
      <c r="V41" s="470" t="s">
        <v>273</v>
      </c>
      <c r="W41" s="470" t="s">
        <v>273</v>
      </c>
      <c r="X41" s="470" t="s">
        <v>273</v>
      </c>
      <c r="Y41" s="470" t="s">
        <v>273</v>
      </c>
      <c r="Z41" s="470" t="s">
        <v>273</v>
      </c>
      <c r="AA41" s="470" t="s">
        <v>273</v>
      </c>
      <c r="AB41" s="470" t="s">
        <v>273</v>
      </c>
      <c r="AC41" s="470" t="s">
        <v>273</v>
      </c>
      <c r="AD41" s="470" t="s">
        <v>273</v>
      </c>
      <c r="AE41" s="470" t="s">
        <v>273</v>
      </c>
      <c r="AF41" s="470" t="s">
        <v>273</v>
      </c>
      <c r="AG41" s="470" t="s">
        <v>273</v>
      </c>
      <c r="AH41" s="470" t="s">
        <v>273</v>
      </c>
      <c r="AI41" s="470" t="s">
        <v>273</v>
      </c>
      <c r="AJ41" s="470" t="s">
        <v>273</v>
      </c>
      <c r="AK41" s="470" t="s">
        <v>273</v>
      </c>
      <c r="AL41" s="470" t="s">
        <v>273</v>
      </c>
    </row>
    <row r="42" spans="1:38">
      <c r="A42" s="470" t="s">
        <v>1443</v>
      </c>
      <c r="B42" s="470">
        <v>-11</v>
      </c>
      <c r="C42" s="470">
        <v>-15</v>
      </c>
      <c r="D42" s="470">
        <v>-11</v>
      </c>
      <c r="E42" s="470">
        <v>-12</v>
      </c>
      <c r="F42" s="470">
        <v>-10</v>
      </c>
      <c r="G42" s="470">
        <v>-5</v>
      </c>
      <c r="H42" s="470">
        <v>4</v>
      </c>
      <c r="I42" s="470" t="s">
        <v>273</v>
      </c>
      <c r="J42" s="470" t="s">
        <v>273</v>
      </c>
      <c r="K42" s="470" t="s">
        <v>273</v>
      </c>
      <c r="L42" s="470" t="s">
        <v>273</v>
      </c>
      <c r="M42" s="470" t="s">
        <v>273</v>
      </c>
      <c r="N42" s="470" t="s">
        <v>273</v>
      </c>
      <c r="O42" s="470" t="s">
        <v>273</v>
      </c>
      <c r="P42" s="470" t="s">
        <v>273</v>
      </c>
      <c r="Q42" s="470" t="s">
        <v>273</v>
      </c>
      <c r="R42" s="470" t="s">
        <v>273</v>
      </c>
      <c r="S42" s="470" t="s">
        <v>273</v>
      </c>
      <c r="T42" s="470" t="s">
        <v>273</v>
      </c>
      <c r="U42" s="470" t="s">
        <v>273</v>
      </c>
      <c r="V42" s="470" t="s">
        <v>273</v>
      </c>
      <c r="W42" s="470" t="s">
        <v>273</v>
      </c>
      <c r="X42" s="470" t="s">
        <v>273</v>
      </c>
      <c r="Y42" s="470" t="s">
        <v>273</v>
      </c>
      <c r="Z42" s="470" t="s">
        <v>273</v>
      </c>
      <c r="AA42" s="470" t="s">
        <v>273</v>
      </c>
      <c r="AB42" s="470" t="s">
        <v>273</v>
      </c>
      <c r="AC42" s="470" t="s">
        <v>273</v>
      </c>
      <c r="AD42" s="470" t="s">
        <v>273</v>
      </c>
      <c r="AE42" s="470" t="s">
        <v>273</v>
      </c>
      <c r="AF42" s="470" t="s">
        <v>273</v>
      </c>
      <c r="AG42" s="470" t="s">
        <v>273</v>
      </c>
      <c r="AH42" s="470" t="s">
        <v>273</v>
      </c>
      <c r="AI42" s="470" t="s">
        <v>273</v>
      </c>
      <c r="AJ42" s="470" t="s">
        <v>273</v>
      </c>
      <c r="AK42" s="470" t="s">
        <v>273</v>
      </c>
      <c r="AL42" s="470" t="s">
        <v>273</v>
      </c>
    </row>
    <row r="43" spans="1:38">
      <c r="A43" s="470" t="s">
        <v>476</v>
      </c>
      <c r="B43" s="470" t="s">
        <v>273</v>
      </c>
      <c r="C43" s="470" t="s">
        <v>273</v>
      </c>
      <c r="D43" s="470" t="s">
        <v>273</v>
      </c>
      <c r="E43" s="470" t="s">
        <v>273</v>
      </c>
      <c r="F43" s="470" t="s">
        <v>273</v>
      </c>
      <c r="G43" s="470" t="s">
        <v>273</v>
      </c>
      <c r="H43" s="470" t="s">
        <v>273</v>
      </c>
      <c r="I43" s="470" t="s">
        <v>273</v>
      </c>
      <c r="J43" s="470" t="s">
        <v>273</v>
      </c>
      <c r="K43" s="470" t="s">
        <v>273</v>
      </c>
      <c r="L43" s="470" t="s">
        <v>273</v>
      </c>
      <c r="M43" s="470">
        <v>0</v>
      </c>
      <c r="N43" s="470">
        <v>0</v>
      </c>
      <c r="O43" s="470">
        <v>0</v>
      </c>
      <c r="P43" s="470">
        <v>0</v>
      </c>
      <c r="Q43" s="470">
        <v>0</v>
      </c>
      <c r="R43" s="470">
        <v>0</v>
      </c>
      <c r="S43" s="470">
        <v>0</v>
      </c>
      <c r="T43" s="470">
        <v>0</v>
      </c>
      <c r="U43" s="470">
        <v>0</v>
      </c>
      <c r="V43" s="470">
        <v>0</v>
      </c>
      <c r="W43" s="470">
        <v>0</v>
      </c>
      <c r="X43" s="470">
        <v>0</v>
      </c>
      <c r="Y43" s="470">
        <v>0</v>
      </c>
      <c r="Z43" s="470">
        <v>0</v>
      </c>
      <c r="AA43" s="470">
        <v>0</v>
      </c>
      <c r="AB43" s="470">
        <v>0</v>
      </c>
      <c r="AC43" s="470">
        <v>-2</v>
      </c>
      <c r="AD43" s="470">
        <v>-1</v>
      </c>
      <c r="AE43" s="470">
        <v>-1</v>
      </c>
      <c r="AF43" s="470" t="s">
        <v>306</v>
      </c>
      <c r="AG43" s="470" t="s">
        <v>306</v>
      </c>
      <c r="AH43" s="470">
        <v>-1</v>
      </c>
      <c r="AI43" s="470">
        <v>-1</v>
      </c>
      <c r="AJ43" s="470" t="s">
        <v>291</v>
      </c>
      <c r="AK43" s="470" t="s">
        <v>306</v>
      </c>
      <c r="AL43" s="470" t="s">
        <v>306</v>
      </c>
    </row>
    <row r="44" spans="1:38">
      <c r="A44" s="470" t="s">
        <v>475</v>
      </c>
      <c r="B44" s="470" t="s">
        <v>273</v>
      </c>
      <c r="C44" s="470" t="s">
        <v>273</v>
      </c>
      <c r="D44" s="470" t="s">
        <v>273</v>
      </c>
      <c r="E44" s="470" t="s">
        <v>273</v>
      </c>
      <c r="F44" s="470" t="s">
        <v>273</v>
      </c>
      <c r="G44" s="470" t="s">
        <v>273</v>
      </c>
      <c r="H44" s="470" t="s">
        <v>273</v>
      </c>
      <c r="I44" s="470" t="s">
        <v>273</v>
      </c>
      <c r="J44" s="470" t="s">
        <v>273</v>
      </c>
      <c r="K44" s="470" t="s">
        <v>273</v>
      </c>
      <c r="L44" s="470" t="s">
        <v>273</v>
      </c>
      <c r="M44" s="470" t="s">
        <v>273</v>
      </c>
      <c r="N44" s="470" t="s">
        <v>273</v>
      </c>
      <c r="O44" s="470" t="s">
        <v>273</v>
      </c>
      <c r="P44" s="470" t="s">
        <v>273</v>
      </c>
      <c r="Q44" s="470" t="s">
        <v>273</v>
      </c>
      <c r="R44" s="470" t="s">
        <v>273</v>
      </c>
      <c r="S44" s="470">
        <v>0</v>
      </c>
      <c r="T44" s="470">
        <v>0</v>
      </c>
      <c r="U44" s="470">
        <v>0</v>
      </c>
      <c r="V44" s="470">
        <v>0</v>
      </c>
      <c r="W44" s="470">
        <v>0</v>
      </c>
      <c r="X44" s="470">
        <v>0</v>
      </c>
      <c r="Y44" s="470">
        <v>0</v>
      </c>
      <c r="Z44" s="470">
        <v>0</v>
      </c>
      <c r="AA44" s="470">
        <v>0</v>
      </c>
      <c r="AB44" s="470">
        <v>0</v>
      </c>
      <c r="AC44" s="470">
        <v>0</v>
      </c>
      <c r="AD44" s="470">
        <v>0</v>
      </c>
      <c r="AE44" s="470">
        <v>0</v>
      </c>
      <c r="AF44" s="470">
        <v>0</v>
      </c>
      <c r="AG44" s="470">
        <v>0</v>
      </c>
      <c r="AH44" s="470">
        <v>0</v>
      </c>
      <c r="AI44" s="470">
        <v>0</v>
      </c>
      <c r="AJ44" s="470">
        <v>0</v>
      </c>
      <c r="AK44" s="470">
        <v>0</v>
      </c>
      <c r="AL44" s="470">
        <v>0</v>
      </c>
    </row>
    <row r="45" spans="1:38">
      <c r="A45" s="470" t="s">
        <v>474</v>
      </c>
      <c r="B45" s="470">
        <v>0</v>
      </c>
      <c r="C45" s="470">
        <v>0</v>
      </c>
      <c r="D45" s="470">
        <v>0</v>
      </c>
      <c r="E45" s="470">
        <v>0</v>
      </c>
      <c r="F45" s="470">
        <v>0</v>
      </c>
      <c r="G45" s="470">
        <v>0</v>
      </c>
      <c r="H45" s="470">
        <v>0</v>
      </c>
      <c r="I45" s="470">
        <v>-2</v>
      </c>
      <c r="J45" s="470">
        <v>9</v>
      </c>
      <c r="K45" s="470">
        <v>1</v>
      </c>
      <c r="L45" s="470">
        <v>1</v>
      </c>
      <c r="M45" s="470">
        <v>-1</v>
      </c>
      <c r="N45" s="470">
        <v>3</v>
      </c>
      <c r="O45" s="470" t="s">
        <v>291</v>
      </c>
      <c r="P45" s="470" t="s">
        <v>306</v>
      </c>
      <c r="Q45" s="470" t="s">
        <v>306</v>
      </c>
      <c r="R45" s="470">
        <v>5</v>
      </c>
      <c r="S45" s="470" t="s">
        <v>291</v>
      </c>
      <c r="T45" s="470" t="s">
        <v>291</v>
      </c>
      <c r="U45" s="470" t="s">
        <v>291</v>
      </c>
      <c r="V45" s="470" t="s">
        <v>291</v>
      </c>
      <c r="W45" s="470" t="s">
        <v>291</v>
      </c>
      <c r="X45" s="470" t="s">
        <v>291</v>
      </c>
      <c r="Y45" s="470" t="s">
        <v>291</v>
      </c>
      <c r="Z45" s="470" t="s">
        <v>291</v>
      </c>
      <c r="AA45" s="470" t="s">
        <v>291</v>
      </c>
      <c r="AB45" s="470" t="s">
        <v>291</v>
      </c>
      <c r="AC45" s="470" t="s">
        <v>291</v>
      </c>
      <c r="AD45" s="470">
        <v>-13</v>
      </c>
      <c r="AE45" s="470" t="s">
        <v>291</v>
      </c>
      <c r="AF45" s="470" t="s">
        <v>291</v>
      </c>
      <c r="AG45" s="470" t="s">
        <v>291</v>
      </c>
      <c r="AH45" s="470" t="s">
        <v>291</v>
      </c>
      <c r="AI45" s="470">
        <v>40</v>
      </c>
      <c r="AJ45" s="470">
        <v>-66</v>
      </c>
      <c r="AK45" s="470">
        <v>797</v>
      </c>
      <c r="AL45" s="470">
        <v>401</v>
      </c>
    </row>
    <row r="46" spans="1:38">
      <c r="A46" s="470" t="s">
        <v>1442</v>
      </c>
      <c r="B46" s="470" t="s">
        <v>273</v>
      </c>
      <c r="C46" s="470" t="s">
        <v>273</v>
      </c>
      <c r="D46" s="470" t="s">
        <v>273</v>
      </c>
      <c r="E46" s="470" t="s">
        <v>273</v>
      </c>
      <c r="F46" s="470" t="s">
        <v>273</v>
      </c>
      <c r="G46" s="470" t="s">
        <v>273</v>
      </c>
      <c r="H46" s="470" t="s">
        <v>273</v>
      </c>
      <c r="I46" s="470" t="s">
        <v>291</v>
      </c>
      <c r="J46" s="470">
        <v>8</v>
      </c>
      <c r="K46" s="470">
        <v>-3</v>
      </c>
      <c r="L46" s="470" t="s">
        <v>306</v>
      </c>
      <c r="M46" s="470" t="s">
        <v>291</v>
      </c>
      <c r="N46" s="470">
        <v>-28</v>
      </c>
      <c r="O46" s="470">
        <v>-13</v>
      </c>
      <c r="P46" s="470">
        <v>12</v>
      </c>
      <c r="Q46" s="470">
        <v>22</v>
      </c>
      <c r="R46" s="470">
        <v>19</v>
      </c>
      <c r="S46" s="470">
        <v>21</v>
      </c>
      <c r="T46" s="470">
        <v>20</v>
      </c>
      <c r="U46" s="470">
        <v>37</v>
      </c>
      <c r="V46" s="470">
        <v>35</v>
      </c>
      <c r="W46" s="470" t="s">
        <v>291</v>
      </c>
      <c r="X46" s="470">
        <v>53</v>
      </c>
      <c r="Y46" s="470">
        <v>68</v>
      </c>
      <c r="Z46" s="470">
        <v>153</v>
      </c>
      <c r="AA46" s="470" t="s">
        <v>291</v>
      </c>
      <c r="AB46" s="470" t="s">
        <v>291</v>
      </c>
      <c r="AC46" s="470" t="s">
        <v>291</v>
      </c>
      <c r="AD46" s="470" t="s">
        <v>291</v>
      </c>
      <c r="AE46" s="470" t="s">
        <v>291</v>
      </c>
      <c r="AF46" s="470">
        <v>-136</v>
      </c>
      <c r="AG46" s="470" t="s">
        <v>291</v>
      </c>
      <c r="AH46" s="470">
        <v>-111</v>
      </c>
      <c r="AI46" s="470" t="s">
        <v>291</v>
      </c>
      <c r="AJ46" s="470" t="s">
        <v>291</v>
      </c>
      <c r="AK46" s="470" t="s">
        <v>291</v>
      </c>
      <c r="AL46" s="470" t="s">
        <v>291</v>
      </c>
    </row>
    <row r="47" spans="1:38">
      <c r="A47" s="470" t="s">
        <v>473</v>
      </c>
      <c r="B47" s="470" t="s">
        <v>273</v>
      </c>
      <c r="C47" s="470" t="s">
        <v>273</v>
      </c>
      <c r="D47" s="470" t="s">
        <v>273</v>
      </c>
      <c r="E47" s="470" t="s">
        <v>273</v>
      </c>
      <c r="F47" s="470" t="s">
        <v>273</v>
      </c>
      <c r="G47" s="470" t="s">
        <v>273</v>
      </c>
      <c r="H47" s="470" t="s">
        <v>273</v>
      </c>
      <c r="I47" s="470" t="s">
        <v>273</v>
      </c>
      <c r="J47" s="470" t="s">
        <v>273</v>
      </c>
      <c r="K47" s="470" t="s">
        <v>273</v>
      </c>
      <c r="L47" s="470" t="s">
        <v>273</v>
      </c>
      <c r="M47" s="470" t="s">
        <v>273</v>
      </c>
      <c r="N47" s="470" t="s">
        <v>273</v>
      </c>
      <c r="O47" s="470" t="s">
        <v>273</v>
      </c>
      <c r="P47" s="470" t="s">
        <v>273</v>
      </c>
      <c r="Q47" s="470" t="s">
        <v>273</v>
      </c>
      <c r="R47" s="470" t="s">
        <v>273</v>
      </c>
      <c r="S47" s="470">
        <v>0</v>
      </c>
      <c r="T47" s="470">
        <v>0</v>
      </c>
      <c r="U47" s="470">
        <v>0</v>
      </c>
      <c r="V47" s="470">
        <v>0</v>
      </c>
      <c r="W47" s="470">
        <v>0</v>
      </c>
      <c r="X47" s="470" t="s">
        <v>306</v>
      </c>
      <c r="Y47" s="470" t="s">
        <v>306</v>
      </c>
      <c r="Z47" s="470" t="s">
        <v>306</v>
      </c>
      <c r="AA47" s="470" t="s">
        <v>306</v>
      </c>
      <c r="AB47" s="470" t="s">
        <v>306</v>
      </c>
      <c r="AC47" s="470" t="s">
        <v>306</v>
      </c>
      <c r="AD47" s="470" t="s">
        <v>306</v>
      </c>
      <c r="AE47" s="470" t="s">
        <v>306</v>
      </c>
      <c r="AF47" s="470" t="s">
        <v>306</v>
      </c>
      <c r="AG47" s="470" t="s">
        <v>306</v>
      </c>
      <c r="AH47" s="470" t="s">
        <v>306</v>
      </c>
      <c r="AI47" s="470" t="s">
        <v>306</v>
      </c>
      <c r="AJ47" s="470" t="s">
        <v>306</v>
      </c>
      <c r="AK47" s="470" t="s">
        <v>306</v>
      </c>
      <c r="AL47" s="470" t="s">
        <v>306</v>
      </c>
    </row>
    <row r="48" spans="1:38">
      <c r="A48" s="470" t="s">
        <v>472</v>
      </c>
      <c r="B48" s="470" t="s">
        <v>306</v>
      </c>
      <c r="C48" s="470" t="s">
        <v>306</v>
      </c>
      <c r="D48" s="470" t="s">
        <v>306</v>
      </c>
      <c r="E48" s="470" t="s">
        <v>306</v>
      </c>
      <c r="F48" s="470" t="s">
        <v>306</v>
      </c>
      <c r="G48" s="470">
        <v>1</v>
      </c>
      <c r="H48" s="470" t="s">
        <v>306</v>
      </c>
      <c r="I48" s="470">
        <v>-1</v>
      </c>
      <c r="J48" s="470">
        <v>-1</v>
      </c>
      <c r="K48" s="470">
        <v>-1</v>
      </c>
      <c r="L48" s="470">
        <v>-1</v>
      </c>
      <c r="M48" s="470">
        <v>-2</v>
      </c>
      <c r="N48" s="470">
        <v>-2</v>
      </c>
      <c r="O48" s="470">
        <v>-1</v>
      </c>
      <c r="P48" s="470">
        <v>-1</v>
      </c>
      <c r="Q48" s="470" t="s">
        <v>306</v>
      </c>
      <c r="R48" s="470">
        <v>-5</v>
      </c>
      <c r="S48" s="470">
        <v>1</v>
      </c>
      <c r="T48" s="470">
        <v>5</v>
      </c>
      <c r="U48" s="470">
        <v>12</v>
      </c>
      <c r="V48" s="470" t="s">
        <v>291</v>
      </c>
      <c r="W48" s="470">
        <v>360</v>
      </c>
      <c r="X48" s="470">
        <v>933</v>
      </c>
      <c r="Y48" s="470">
        <v>790</v>
      </c>
      <c r="Z48" s="470">
        <v>783</v>
      </c>
      <c r="AA48" s="470" t="s">
        <v>291</v>
      </c>
      <c r="AB48" s="470">
        <v>1900</v>
      </c>
      <c r="AC48" s="470">
        <v>1914</v>
      </c>
      <c r="AD48" s="470" t="s">
        <v>291</v>
      </c>
      <c r="AE48" s="470">
        <v>1723</v>
      </c>
      <c r="AF48" s="470">
        <v>3237</v>
      </c>
      <c r="AG48" s="470">
        <v>1681</v>
      </c>
      <c r="AH48" s="470">
        <v>908</v>
      </c>
      <c r="AI48" s="470">
        <v>615</v>
      </c>
      <c r="AJ48" s="470" t="s">
        <v>291</v>
      </c>
      <c r="AK48" s="470">
        <v>447</v>
      </c>
      <c r="AL48" s="470" t="s">
        <v>291</v>
      </c>
    </row>
    <row r="49" spans="1:38">
      <c r="A49" s="470" t="s">
        <v>471</v>
      </c>
      <c r="B49" s="470" t="s">
        <v>306</v>
      </c>
      <c r="C49" s="470">
        <v>3</v>
      </c>
      <c r="D49" s="470">
        <v>1</v>
      </c>
      <c r="E49" s="470" t="s">
        <v>306</v>
      </c>
      <c r="F49" s="470" t="s">
        <v>306</v>
      </c>
      <c r="G49" s="470">
        <v>4</v>
      </c>
      <c r="H49" s="470">
        <v>1</v>
      </c>
      <c r="I49" s="470">
        <v>2</v>
      </c>
      <c r="J49" s="470">
        <v>-5</v>
      </c>
      <c r="K49" s="470">
        <v>2</v>
      </c>
      <c r="L49" s="470" t="s">
        <v>306</v>
      </c>
      <c r="M49" s="470" t="s">
        <v>306</v>
      </c>
      <c r="N49" s="470">
        <v>7</v>
      </c>
      <c r="O49" s="470">
        <v>6</v>
      </c>
      <c r="P49" s="470">
        <v>3</v>
      </c>
      <c r="Q49" s="470" t="s">
        <v>306</v>
      </c>
      <c r="R49" s="470">
        <v>2</v>
      </c>
      <c r="S49" s="470" t="s">
        <v>306</v>
      </c>
      <c r="T49" s="470">
        <v>-1</v>
      </c>
      <c r="U49" s="470">
        <v>2</v>
      </c>
      <c r="V49" s="470">
        <v>1</v>
      </c>
      <c r="W49" s="470">
        <v>37</v>
      </c>
      <c r="X49" s="470" t="s">
        <v>291</v>
      </c>
      <c r="Y49" s="470" t="s">
        <v>291</v>
      </c>
      <c r="Z49" s="470">
        <v>128</v>
      </c>
      <c r="AA49" s="470" t="s">
        <v>291</v>
      </c>
      <c r="AB49" s="470">
        <v>451</v>
      </c>
      <c r="AC49" s="470">
        <v>1258</v>
      </c>
      <c r="AD49" s="470">
        <v>527</v>
      </c>
      <c r="AE49" s="470">
        <v>252</v>
      </c>
      <c r="AF49" s="470" t="s">
        <v>291</v>
      </c>
      <c r="AG49" s="470" t="s">
        <v>291</v>
      </c>
      <c r="AH49" s="470">
        <v>154</v>
      </c>
      <c r="AI49" s="470">
        <v>52</v>
      </c>
      <c r="AJ49" s="470" t="s">
        <v>291</v>
      </c>
      <c r="AK49" s="470" t="s">
        <v>291</v>
      </c>
      <c r="AL49" s="470">
        <v>268</v>
      </c>
    </row>
    <row r="50" spans="1:38">
      <c r="A50" s="470" t="s">
        <v>470</v>
      </c>
      <c r="B50" s="470" t="s">
        <v>273</v>
      </c>
      <c r="C50" s="470" t="s">
        <v>273</v>
      </c>
      <c r="D50" s="470" t="s">
        <v>273</v>
      </c>
      <c r="E50" s="470" t="s">
        <v>273</v>
      </c>
      <c r="F50" s="470" t="s">
        <v>273</v>
      </c>
      <c r="G50" s="470" t="s">
        <v>273</v>
      </c>
      <c r="H50" s="470" t="s">
        <v>273</v>
      </c>
      <c r="I50" s="470" t="s">
        <v>273</v>
      </c>
      <c r="J50" s="470" t="s">
        <v>273</v>
      </c>
      <c r="K50" s="470" t="s">
        <v>273</v>
      </c>
      <c r="L50" s="470" t="s">
        <v>273</v>
      </c>
      <c r="M50" s="470" t="s">
        <v>273</v>
      </c>
      <c r="N50" s="470">
        <v>0</v>
      </c>
      <c r="O50" s="470">
        <v>0</v>
      </c>
      <c r="P50" s="470">
        <v>0</v>
      </c>
      <c r="Q50" s="470">
        <v>0</v>
      </c>
      <c r="R50" s="470">
        <v>0</v>
      </c>
      <c r="S50" s="470">
        <v>0</v>
      </c>
      <c r="T50" s="470">
        <v>0</v>
      </c>
      <c r="U50" s="470">
        <v>0</v>
      </c>
      <c r="V50" s="470">
        <v>0</v>
      </c>
      <c r="W50" s="470">
        <v>0</v>
      </c>
      <c r="X50" s="470">
        <v>0</v>
      </c>
      <c r="Y50" s="470">
        <v>0</v>
      </c>
      <c r="Z50" s="470">
        <v>0</v>
      </c>
      <c r="AA50" s="470" t="s">
        <v>306</v>
      </c>
      <c r="AB50" s="470" t="s">
        <v>306</v>
      </c>
      <c r="AC50" s="470" t="s">
        <v>306</v>
      </c>
      <c r="AD50" s="470">
        <v>2</v>
      </c>
      <c r="AE50" s="470">
        <v>0</v>
      </c>
      <c r="AF50" s="470" t="s">
        <v>306</v>
      </c>
      <c r="AG50" s="470">
        <v>0</v>
      </c>
      <c r="AH50" s="470" t="s">
        <v>306</v>
      </c>
      <c r="AI50" s="470" t="s">
        <v>306</v>
      </c>
      <c r="AJ50" s="470" t="s">
        <v>306</v>
      </c>
      <c r="AK50" s="470" t="s">
        <v>306</v>
      </c>
      <c r="AL50" s="470" t="s">
        <v>306</v>
      </c>
    </row>
    <row r="51" spans="1:38">
      <c r="A51" s="470" t="s">
        <v>469</v>
      </c>
      <c r="B51" s="470" t="s">
        <v>273</v>
      </c>
      <c r="C51" s="470" t="s">
        <v>273</v>
      </c>
      <c r="D51" s="470" t="s">
        <v>273</v>
      </c>
      <c r="E51" s="470" t="s">
        <v>273</v>
      </c>
      <c r="F51" s="470" t="s">
        <v>273</v>
      </c>
      <c r="G51" s="470" t="s">
        <v>273</v>
      </c>
      <c r="H51" s="470" t="s">
        <v>273</v>
      </c>
      <c r="I51" s="470" t="s">
        <v>273</v>
      </c>
      <c r="J51" s="470" t="s">
        <v>273</v>
      </c>
      <c r="K51" s="470" t="s">
        <v>273</v>
      </c>
      <c r="L51" s="470" t="s">
        <v>273</v>
      </c>
      <c r="M51" s="470" t="s">
        <v>273</v>
      </c>
      <c r="N51" s="470" t="s">
        <v>273</v>
      </c>
      <c r="O51" s="470" t="s">
        <v>273</v>
      </c>
      <c r="P51" s="470" t="s">
        <v>273</v>
      </c>
      <c r="Q51" s="470" t="s">
        <v>273</v>
      </c>
      <c r="R51" s="470" t="s">
        <v>273</v>
      </c>
      <c r="S51" s="470" t="s">
        <v>273</v>
      </c>
      <c r="T51" s="470" t="s">
        <v>273</v>
      </c>
      <c r="U51" s="470" t="s">
        <v>273</v>
      </c>
      <c r="V51" s="470" t="s">
        <v>273</v>
      </c>
      <c r="W51" s="470" t="s">
        <v>273</v>
      </c>
      <c r="X51" s="470" t="s">
        <v>273</v>
      </c>
      <c r="Y51" s="470" t="s">
        <v>273</v>
      </c>
      <c r="Z51" s="470">
        <v>0</v>
      </c>
      <c r="AA51" s="470">
        <v>0</v>
      </c>
      <c r="AB51" s="470">
        <v>0</v>
      </c>
      <c r="AC51" s="470">
        <v>0</v>
      </c>
      <c r="AD51" s="470">
        <v>0</v>
      </c>
      <c r="AE51" s="470">
        <v>0</v>
      </c>
      <c r="AF51" s="470">
        <v>0</v>
      </c>
      <c r="AG51" s="470">
        <v>0</v>
      </c>
      <c r="AH51" s="470">
        <v>0</v>
      </c>
      <c r="AI51" s="470">
        <v>0</v>
      </c>
      <c r="AJ51" s="470">
        <v>0</v>
      </c>
      <c r="AK51" s="470">
        <v>0</v>
      </c>
      <c r="AL51" s="470">
        <v>0</v>
      </c>
    </row>
    <row r="52" spans="1:38">
      <c r="A52" s="470" t="s">
        <v>468</v>
      </c>
      <c r="B52" s="470" t="s">
        <v>273</v>
      </c>
      <c r="C52" s="470" t="s">
        <v>273</v>
      </c>
      <c r="D52" s="470" t="s">
        <v>273</v>
      </c>
      <c r="E52" s="470" t="s">
        <v>273</v>
      </c>
      <c r="F52" s="470" t="s">
        <v>273</v>
      </c>
      <c r="G52" s="470" t="s">
        <v>273</v>
      </c>
      <c r="H52" s="470" t="s">
        <v>273</v>
      </c>
      <c r="I52" s="470" t="s">
        <v>273</v>
      </c>
      <c r="J52" s="470" t="s">
        <v>273</v>
      </c>
      <c r="K52" s="470" t="s">
        <v>273</v>
      </c>
      <c r="L52" s="470" t="s">
        <v>273</v>
      </c>
      <c r="M52" s="470">
        <v>0</v>
      </c>
      <c r="N52" s="470">
        <v>0</v>
      </c>
      <c r="O52" s="470">
        <v>0</v>
      </c>
      <c r="P52" s="470">
        <v>0</v>
      </c>
      <c r="Q52" s="470">
        <v>0</v>
      </c>
      <c r="R52" s="470">
        <v>0</v>
      </c>
      <c r="S52" s="470">
        <v>0</v>
      </c>
      <c r="T52" s="470">
        <v>0</v>
      </c>
      <c r="U52" s="470">
        <v>0</v>
      </c>
      <c r="V52" s="470">
        <v>0</v>
      </c>
      <c r="W52" s="470">
        <v>0</v>
      </c>
      <c r="X52" s="470">
        <v>0</v>
      </c>
      <c r="Y52" s="470">
        <v>0</v>
      </c>
      <c r="Z52" s="470">
        <v>0</v>
      </c>
      <c r="AA52" s="470">
        <v>8</v>
      </c>
      <c r="AB52" s="470">
        <v>0</v>
      </c>
      <c r="AC52" s="470" t="s">
        <v>306</v>
      </c>
      <c r="AD52" s="470" t="s">
        <v>306</v>
      </c>
      <c r="AE52" s="470" t="s">
        <v>306</v>
      </c>
      <c r="AF52" s="470" t="s">
        <v>306</v>
      </c>
      <c r="AG52" s="470">
        <v>0</v>
      </c>
      <c r="AH52" s="470">
        <v>0</v>
      </c>
      <c r="AI52" s="470">
        <v>0</v>
      </c>
      <c r="AJ52" s="470">
        <v>0</v>
      </c>
      <c r="AK52" s="470">
        <v>0</v>
      </c>
      <c r="AL52" s="470">
        <v>0</v>
      </c>
    </row>
    <row r="53" spans="1:38">
      <c r="A53" s="470" t="s">
        <v>467</v>
      </c>
      <c r="B53" s="470">
        <v>3</v>
      </c>
      <c r="C53" s="470">
        <v>-12</v>
      </c>
      <c r="D53" s="470">
        <v>-46</v>
      </c>
      <c r="E53" s="470">
        <v>-21</v>
      </c>
      <c r="F53" s="470">
        <v>-7</v>
      </c>
      <c r="G53" s="470">
        <v>-7</v>
      </c>
      <c r="H53" s="470">
        <v>2</v>
      </c>
      <c r="I53" s="470" t="s">
        <v>273</v>
      </c>
      <c r="J53" s="470" t="s">
        <v>273</v>
      </c>
      <c r="K53" s="470" t="s">
        <v>273</v>
      </c>
      <c r="L53" s="470" t="s">
        <v>273</v>
      </c>
      <c r="M53" s="470" t="s">
        <v>273</v>
      </c>
      <c r="N53" s="470" t="s">
        <v>273</v>
      </c>
      <c r="O53" s="470" t="s">
        <v>273</v>
      </c>
      <c r="P53" s="470" t="s">
        <v>273</v>
      </c>
      <c r="Q53" s="470" t="s">
        <v>273</v>
      </c>
      <c r="R53" s="470" t="s">
        <v>273</v>
      </c>
      <c r="S53" s="470">
        <v>-4</v>
      </c>
      <c r="T53" s="470">
        <v>9</v>
      </c>
      <c r="U53" s="470">
        <v>-22</v>
      </c>
      <c r="V53" s="470">
        <v>-14</v>
      </c>
      <c r="W53" s="470">
        <v>-9</v>
      </c>
      <c r="X53" s="470">
        <v>9</v>
      </c>
      <c r="Y53" s="470">
        <v>-4</v>
      </c>
      <c r="Z53" s="470">
        <v>21</v>
      </c>
      <c r="AA53" s="470" t="s">
        <v>306</v>
      </c>
      <c r="AB53" s="470">
        <v>13</v>
      </c>
      <c r="AC53" s="470">
        <v>-6</v>
      </c>
      <c r="AD53" s="470">
        <v>2</v>
      </c>
      <c r="AE53" s="470">
        <v>13</v>
      </c>
      <c r="AF53" s="470">
        <v>16</v>
      </c>
      <c r="AG53" s="470">
        <v>20</v>
      </c>
      <c r="AH53" s="470">
        <v>14</v>
      </c>
      <c r="AI53" s="470">
        <v>40</v>
      </c>
      <c r="AJ53" s="470">
        <v>53</v>
      </c>
      <c r="AK53" s="470">
        <v>51</v>
      </c>
      <c r="AL53" s="470">
        <v>-30</v>
      </c>
    </row>
    <row r="54" spans="1:38">
      <c r="A54" s="470" t="s">
        <v>466</v>
      </c>
      <c r="B54" s="470" t="s">
        <v>273</v>
      </c>
      <c r="C54" s="470" t="s">
        <v>273</v>
      </c>
      <c r="D54" s="470" t="s">
        <v>273</v>
      </c>
      <c r="E54" s="470" t="s">
        <v>273</v>
      </c>
      <c r="F54" s="470" t="s">
        <v>273</v>
      </c>
      <c r="G54" s="470" t="s">
        <v>273</v>
      </c>
      <c r="H54" s="470" t="s">
        <v>273</v>
      </c>
      <c r="I54" s="470" t="s">
        <v>273</v>
      </c>
      <c r="J54" s="470" t="s">
        <v>273</v>
      </c>
      <c r="K54" s="470" t="s">
        <v>273</v>
      </c>
      <c r="L54" s="470" t="s">
        <v>273</v>
      </c>
      <c r="M54" s="470" t="s">
        <v>273</v>
      </c>
      <c r="N54" s="470" t="s">
        <v>273</v>
      </c>
      <c r="O54" s="470" t="s">
        <v>273</v>
      </c>
      <c r="P54" s="470" t="s">
        <v>273</v>
      </c>
      <c r="Q54" s="470" t="s">
        <v>273</v>
      </c>
      <c r="R54" s="470" t="s">
        <v>273</v>
      </c>
      <c r="S54" s="470">
        <v>0</v>
      </c>
      <c r="T54" s="470">
        <v>0</v>
      </c>
      <c r="U54" s="470">
        <v>0</v>
      </c>
      <c r="V54" s="470">
        <v>0</v>
      </c>
      <c r="W54" s="470">
        <v>0</v>
      </c>
      <c r="X54" s="470" t="s">
        <v>306</v>
      </c>
      <c r="Y54" s="470" t="s">
        <v>306</v>
      </c>
      <c r="Z54" s="470" t="s">
        <v>306</v>
      </c>
      <c r="AA54" s="470">
        <v>0</v>
      </c>
      <c r="AB54" s="470" t="s">
        <v>306</v>
      </c>
      <c r="AC54" s="470" t="s">
        <v>306</v>
      </c>
      <c r="AD54" s="470" t="s">
        <v>306</v>
      </c>
      <c r="AE54" s="470" t="s">
        <v>306</v>
      </c>
      <c r="AF54" s="470" t="s">
        <v>306</v>
      </c>
      <c r="AG54" s="470" t="s">
        <v>306</v>
      </c>
      <c r="AH54" s="470" t="s">
        <v>306</v>
      </c>
      <c r="AI54" s="470" t="s">
        <v>306</v>
      </c>
      <c r="AJ54" s="470" t="s">
        <v>306</v>
      </c>
      <c r="AK54" s="470" t="s">
        <v>306</v>
      </c>
      <c r="AL54" s="470" t="s">
        <v>306</v>
      </c>
    </row>
    <row r="55" spans="1:38">
      <c r="A55" s="470" t="s">
        <v>465</v>
      </c>
      <c r="B55" s="470" t="s">
        <v>273</v>
      </c>
      <c r="C55" s="470" t="s">
        <v>273</v>
      </c>
      <c r="D55" s="470" t="s">
        <v>273</v>
      </c>
      <c r="E55" s="470" t="s">
        <v>273</v>
      </c>
      <c r="F55" s="470" t="s">
        <v>273</v>
      </c>
      <c r="G55" s="470" t="s">
        <v>273</v>
      </c>
      <c r="H55" s="470" t="s">
        <v>273</v>
      </c>
      <c r="I55" s="470" t="s">
        <v>273</v>
      </c>
      <c r="J55" s="470" t="s">
        <v>273</v>
      </c>
      <c r="K55" s="470" t="s">
        <v>273</v>
      </c>
      <c r="L55" s="470" t="s">
        <v>273</v>
      </c>
      <c r="M55" s="470" t="s">
        <v>273</v>
      </c>
      <c r="N55" s="470" t="s">
        <v>273</v>
      </c>
      <c r="O55" s="470" t="s">
        <v>273</v>
      </c>
      <c r="P55" s="470" t="s">
        <v>273</v>
      </c>
      <c r="Q55" s="470" t="s">
        <v>273</v>
      </c>
      <c r="R55" s="470" t="s">
        <v>273</v>
      </c>
      <c r="S55" s="470" t="s">
        <v>273</v>
      </c>
      <c r="T55" s="470" t="s">
        <v>273</v>
      </c>
      <c r="U55" s="470" t="s">
        <v>273</v>
      </c>
      <c r="V55" s="470" t="s">
        <v>273</v>
      </c>
      <c r="W55" s="470" t="s">
        <v>273</v>
      </c>
      <c r="X55" s="470" t="s">
        <v>273</v>
      </c>
      <c r="Y55" s="470" t="s">
        <v>273</v>
      </c>
      <c r="Z55" s="470" t="s">
        <v>273</v>
      </c>
      <c r="AA55" s="470" t="s">
        <v>273</v>
      </c>
      <c r="AB55" s="470">
        <v>0</v>
      </c>
      <c r="AC55" s="470">
        <v>0</v>
      </c>
      <c r="AD55" s="470">
        <v>0</v>
      </c>
      <c r="AE55" s="470">
        <v>0</v>
      </c>
      <c r="AF55" s="470">
        <v>0</v>
      </c>
      <c r="AG55" s="470">
        <v>0</v>
      </c>
      <c r="AH55" s="470">
        <v>0</v>
      </c>
      <c r="AI55" s="470">
        <v>0</v>
      </c>
      <c r="AJ55" s="470">
        <v>0</v>
      </c>
      <c r="AK55" s="470">
        <v>0</v>
      </c>
      <c r="AL55" s="470">
        <v>0</v>
      </c>
    </row>
    <row r="56" spans="1:38">
      <c r="A56" s="470" t="s">
        <v>464</v>
      </c>
      <c r="B56" s="470">
        <v>0</v>
      </c>
      <c r="C56" s="470">
        <v>0</v>
      </c>
      <c r="D56" s="470">
        <v>0</v>
      </c>
      <c r="E56" s="470">
        <v>0</v>
      </c>
      <c r="F56" s="470">
        <v>0</v>
      </c>
      <c r="G56" s="470">
        <v>0</v>
      </c>
      <c r="H56" s="470">
        <v>0</v>
      </c>
      <c r="I56" s="470">
        <v>0</v>
      </c>
      <c r="J56" s="470">
        <v>0</v>
      </c>
      <c r="K56" s="470">
        <v>0</v>
      </c>
      <c r="L56" s="470">
        <v>0</v>
      </c>
      <c r="M56" s="470">
        <v>0</v>
      </c>
      <c r="N56" s="470" t="s">
        <v>306</v>
      </c>
      <c r="O56" s="470" t="s">
        <v>291</v>
      </c>
      <c r="P56" s="470">
        <v>-1</v>
      </c>
      <c r="Q56" s="470">
        <v>-2</v>
      </c>
      <c r="R56" s="470">
        <v>4</v>
      </c>
      <c r="S56" s="470" t="s">
        <v>291</v>
      </c>
      <c r="T56" s="470" t="s">
        <v>291</v>
      </c>
      <c r="U56" s="470">
        <v>9</v>
      </c>
      <c r="V56" s="470" t="s">
        <v>306</v>
      </c>
      <c r="W56" s="470" t="s">
        <v>306</v>
      </c>
      <c r="X56" s="470" t="s">
        <v>291</v>
      </c>
      <c r="Y56" s="470">
        <v>-6</v>
      </c>
      <c r="Z56" s="470">
        <v>-3</v>
      </c>
      <c r="AA56" s="470" t="s">
        <v>306</v>
      </c>
      <c r="AB56" s="470" t="s">
        <v>306</v>
      </c>
      <c r="AC56" s="470" t="s">
        <v>306</v>
      </c>
      <c r="AD56" s="470" t="s">
        <v>306</v>
      </c>
      <c r="AE56" s="470" t="s">
        <v>306</v>
      </c>
      <c r="AF56" s="470">
        <v>-1</v>
      </c>
      <c r="AG56" s="470">
        <v>-1</v>
      </c>
      <c r="AH56" s="470" t="s">
        <v>291</v>
      </c>
      <c r="AI56" s="470" t="s">
        <v>291</v>
      </c>
      <c r="AJ56" s="470">
        <v>22</v>
      </c>
      <c r="AK56" s="470" t="s">
        <v>291</v>
      </c>
      <c r="AL56" s="470" t="s">
        <v>291</v>
      </c>
    </row>
    <row r="57" spans="1:38">
      <c r="A57" s="470" t="s">
        <v>1441</v>
      </c>
      <c r="B57" s="470">
        <v>-8</v>
      </c>
      <c r="C57" s="470">
        <v>-6</v>
      </c>
      <c r="D57" s="470">
        <v>-28</v>
      </c>
      <c r="E57" s="470">
        <v>-5</v>
      </c>
      <c r="F57" s="470">
        <v>8</v>
      </c>
      <c r="G57" s="470">
        <v>-14</v>
      </c>
      <c r="H57" s="470">
        <v>-25</v>
      </c>
      <c r="I57" s="470" t="s">
        <v>273</v>
      </c>
      <c r="J57" s="470" t="s">
        <v>273</v>
      </c>
      <c r="K57" s="470" t="s">
        <v>273</v>
      </c>
      <c r="L57" s="470" t="s">
        <v>273</v>
      </c>
      <c r="M57" s="470" t="s">
        <v>273</v>
      </c>
      <c r="N57" s="470" t="s">
        <v>273</v>
      </c>
      <c r="O57" s="470" t="s">
        <v>273</v>
      </c>
      <c r="P57" s="470" t="s">
        <v>273</v>
      </c>
      <c r="Q57" s="470" t="s">
        <v>273</v>
      </c>
      <c r="R57" s="470" t="s">
        <v>273</v>
      </c>
      <c r="S57" s="470" t="s">
        <v>273</v>
      </c>
      <c r="T57" s="470" t="s">
        <v>273</v>
      </c>
      <c r="U57" s="470" t="s">
        <v>273</v>
      </c>
      <c r="V57" s="470" t="s">
        <v>273</v>
      </c>
      <c r="W57" s="470" t="s">
        <v>273</v>
      </c>
      <c r="X57" s="470" t="s">
        <v>273</v>
      </c>
      <c r="Y57" s="470" t="s">
        <v>273</v>
      </c>
      <c r="Z57" s="470" t="s">
        <v>273</v>
      </c>
      <c r="AA57" s="470" t="s">
        <v>273</v>
      </c>
      <c r="AB57" s="470" t="s">
        <v>273</v>
      </c>
      <c r="AC57" s="470" t="s">
        <v>273</v>
      </c>
      <c r="AD57" s="470" t="s">
        <v>273</v>
      </c>
      <c r="AE57" s="470" t="s">
        <v>273</v>
      </c>
      <c r="AF57" s="470" t="s">
        <v>273</v>
      </c>
      <c r="AG57" s="470" t="s">
        <v>273</v>
      </c>
      <c r="AH57" s="470" t="s">
        <v>273</v>
      </c>
      <c r="AI57" s="470" t="s">
        <v>273</v>
      </c>
      <c r="AJ57" s="470" t="s">
        <v>273</v>
      </c>
      <c r="AK57" s="470" t="s">
        <v>273</v>
      </c>
      <c r="AL57" s="470" t="s">
        <v>273</v>
      </c>
    </row>
    <row r="58" spans="1:38">
      <c r="A58" s="470" t="s">
        <v>462</v>
      </c>
      <c r="B58" s="470" t="s">
        <v>273</v>
      </c>
      <c r="C58" s="470" t="s">
        <v>273</v>
      </c>
      <c r="D58" s="470" t="s">
        <v>273</v>
      </c>
      <c r="E58" s="470" t="s">
        <v>273</v>
      </c>
      <c r="F58" s="470" t="s">
        <v>273</v>
      </c>
      <c r="G58" s="470" t="s">
        <v>273</v>
      </c>
      <c r="H58" s="470" t="s">
        <v>273</v>
      </c>
      <c r="I58" s="470" t="s">
        <v>273</v>
      </c>
      <c r="J58" s="470" t="s">
        <v>273</v>
      </c>
      <c r="K58" s="470" t="s">
        <v>273</v>
      </c>
      <c r="L58" s="470" t="s">
        <v>273</v>
      </c>
      <c r="M58" s="470" t="s">
        <v>273</v>
      </c>
      <c r="N58" s="470" t="s">
        <v>273</v>
      </c>
      <c r="O58" s="470" t="s">
        <v>273</v>
      </c>
      <c r="P58" s="470" t="s">
        <v>273</v>
      </c>
      <c r="Q58" s="470" t="s">
        <v>273</v>
      </c>
      <c r="R58" s="470" t="s">
        <v>273</v>
      </c>
      <c r="S58" s="470" t="s">
        <v>273</v>
      </c>
      <c r="T58" s="470" t="s">
        <v>273</v>
      </c>
      <c r="U58" s="470" t="s">
        <v>273</v>
      </c>
      <c r="V58" s="470" t="s">
        <v>273</v>
      </c>
      <c r="W58" s="470" t="s">
        <v>273</v>
      </c>
      <c r="X58" s="470" t="s">
        <v>273</v>
      </c>
      <c r="Y58" s="470" t="s">
        <v>273</v>
      </c>
      <c r="Z58" s="470" t="s">
        <v>273</v>
      </c>
      <c r="AA58" s="470">
        <v>0</v>
      </c>
      <c r="AB58" s="470" t="s">
        <v>1440</v>
      </c>
      <c r="AC58" s="470" t="s">
        <v>306</v>
      </c>
      <c r="AD58" s="470">
        <v>1</v>
      </c>
      <c r="AE58" s="470" t="s">
        <v>306</v>
      </c>
      <c r="AF58" s="470" t="s">
        <v>306</v>
      </c>
      <c r="AG58" s="470" t="s">
        <v>306</v>
      </c>
      <c r="AH58" s="470" t="s">
        <v>306</v>
      </c>
      <c r="AI58" s="470" t="s">
        <v>306</v>
      </c>
      <c r="AJ58" s="470">
        <v>0</v>
      </c>
      <c r="AK58" s="470">
        <v>0</v>
      </c>
      <c r="AL58" s="470">
        <v>0</v>
      </c>
    </row>
    <row r="59" spans="1:38">
      <c r="A59" s="470" t="s">
        <v>461</v>
      </c>
      <c r="B59" s="470" t="s">
        <v>273</v>
      </c>
      <c r="C59" s="470" t="s">
        <v>273</v>
      </c>
      <c r="D59" s="470" t="s">
        <v>273</v>
      </c>
      <c r="E59" s="470" t="s">
        <v>273</v>
      </c>
      <c r="F59" s="470" t="s">
        <v>273</v>
      </c>
      <c r="G59" s="470" t="s">
        <v>273</v>
      </c>
      <c r="H59" s="470" t="s">
        <v>273</v>
      </c>
      <c r="I59" s="470" t="s">
        <v>273</v>
      </c>
      <c r="J59" s="470" t="s">
        <v>273</v>
      </c>
      <c r="K59" s="470" t="s">
        <v>273</v>
      </c>
      <c r="L59" s="470" t="s">
        <v>273</v>
      </c>
      <c r="M59" s="470" t="s">
        <v>273</v>
      </c>
      <c r="N59" s="470">
        <v>0</v>
      </c>
      <c r="O59" s="470">
        <v>0</v>
      </c>
      <c r="P59" s="470">
        <v>0</v>
      </c>
      <c r="Q59" s="470">
        <v>0</v>
      </c>
      <c r="R59" s="470">
        <v>0</v>
      </c>
      <c r="S59" s="470" t="s">
        <v>306</v>
      </c>
      <c r="T59" s="470" t="s">
        <v>306</v>
      </c>
      <c r="U59" s="470" t="s">
        <v>306</v>
      </c>
      <c r="V59" s="470" t="s">
        <v>306</v>
      </c>
      <c r="W59" s="470" t="s">
        <v>306</v>
      </c>
      <c r="X59" s="470">
        <v>0</v>
      </c>
      <c r="Y59" s="470">
        <v>0</v>
      </c>
      <c r="Z59" s="470" t="s">
        <v>273</v>
      </c>
      <c r="AA59" s="470" t="s">
        <v>273</v>
      </c>
      <c r="AB59" s="470" t="s">
        <v>273</v>
      </c>
      <c r="AC59" s="470" t="s">
        <v>273</v>
      </c>
      <c r="AD59" s="470" t="s">
        <v>273</v>
      </c>
      <c r="AE59" s="470" t="s">
        <v>273</v>
      </c>
      <c r="AF59" s="470" t="s">
        <v>273</v>
      </c>
      <c r="AG59" s="470" t="s">
        <v>273</v>
      </c>
      <c r="AH59" s="470" t="s">
        <v>273</v>
      </c>
      <c r="AI59" s="470" t="s">
        <v>273</v>
      </c>
      <c r="AJ59" s="470" t="s">
        <v>273</v>
      </c>
      <c r="AK59" s="470" t="s">
        <v>273</v>
      </c>
      <c r="AL59" s="470" t="s">
        <v>273</v>
      </c>
    </row>
    <row r="60" spans="1:38">
      <c r="A60" s="470" t="s">
        <v>460</v>
      </c>
      <c r="B60" s="470">
        <v>3</v>
      </c>
      <c r="C60" s="470" t="s">
        <v>306</v>
      </c>
      <c r="D60" s="470">
        <v>-5</v>
      </c>
      <c r="E60" s="470">
        <v>-2</v>
      </c>
      <c r="F60" s="470" t="s">
        <v>306</v>
      </c>
      <c r="G60" s="470" t="s">
        <v>306</v>
      </c>
      <c r="H60" s="470" t="s">
        <v>306</v>
      </c>
      <c r="I60" s="470">
        <v>2</v>
      </c>
      <c r="J60" s="470">
        <v>1</v>
      </c>
      <c r="K60" s="470">
        <v>1</v>
      </c>
      <c r="L60" s="470">
        <v>1</v>
      </c>
      <c r="M60" s="470" t="s">
        <v>306</v>
      </c>
      <c r="N60" s="470">
        <v>1</v>
      </c>
      <c r="O60" s="470">
        <v>4</v>
      </c>
      <c r="P60" s="470">
        <v>4</v>
      </c>
      <c r="Q60" s="470">
        <v>2</v>
      </c>
      <c r="R60" s="470">
        <v>3</v>
      </c>
      <c r="S60" s="470">
        <v>3</v>
      </c>
      <c r="T60" s="470">
        <v>2</v>
      </c>
      <c r="U60" s="470">
        <v>-3</v>
      </c>
      <c r="V60" s="470">
        <v>-4</v>
      </c>
      <c r="W60" s="470" t="s">
        <v>291</v>
      </c>
      <c r="X60" s="470" t="s">
        <v>291</v>
      </c>
      <c r="Y60" s="470" t="s">
        <v>306</v>
      </c>
      <c r="Z60" s="470" t="s">
        <v>306</v>
      </c>
      <c r="AA60" s="470" t="s">
        <v>306</v>
      </c>
      <c r="AB60" s="470">
        <v>-11</v>
      </c>
      <c r="AC60" s="470" t="s">
        <v>291</v>
      </c>
      <c r="AD60" s="470" t="s">
        <v>291</v>
      </c>
      <c r="AE60" s="470">
        <v>4</v>
      </c>
      <c r="AF60" s="470" t="s">
        <v>291</v>
      </c>
      <c r="AG60" s="470">
        <v>30</v>
      </c>
      <c r="AH60" s="470" t="s">
        <v>291</v>
      </c>
      <c r="AI60" s="470">
        <v>58</v>
      </c>
      <c r="AJ60" s="470" t="s">
        <v>291</v>
      </c>
      <c r="AK60" s="470">
        <v>22</v>
      </c>
      <c r="AL60" s="470" t="s">
        <v>291</v>
      </c>
    </row>
    <row r="61" spans="1:38">
      <c r="A61" s="470" t="s">
        <v>1439</v>
      </c>
      <c r="B61" s="470">
        <v>1</v>
      </c>
      <c r="C61" s="470">
        <v>2</v>
      </c>
      <c r="D61" s="470">
        <v>2</v>
      </c>
      <c r="E61" s="470">
        <v>1</v>
      </c>
      <c r="F61" s="470">
        <v>2</v>
      </c>
      <c r="G61" s="470">
        <v>2</v>
      </c>
      <c r="H61" s="470">
        <v>1</v>
      </c>
      <c r="I61" s="470" t="s">
        <v>291</v>
      </c>
      <c r="J61" s="470">
        <v>3</v>
      </c>
      <c r="K61" s="470">
        <v>-10</v>
      </c>
      <c r="L61" s="470">
        <v>-34</v>
      </c>
      <c r="M61" s="470" t="s">
        <v>291</v>
      </c>
      <c r="N61" s="470">
        <v>-7</v>
      </c>
      <c r="O61" s="470">
        <v>-3</v>
      </c>
      <c r="P61" s="470">
        <v>-3</v>
      </c>
      <c r="Q61" s="470">
        <v>1</v>
      </c>
      <c r="R61" s="470">
        <v>-9</v>
      </c>
      <c r="S61" s="470">
        <v>9</v>
      </c>
      <c r="T61" s="470">
        <v>-18</v>
      </c>
      <c r="U61" s="470">
        <v>-9</v>
      </c>
      <c r="V61" s="470">
        <v>-21</v>
      </c>
      <c r="W61" s="470" t="s">
        <v>291</v>
      </c>
      <c r="X61" s="470">
        <v>-14</v>
      </c>
      <c r="Y61" s="470">
        <v>-16</v>
      </c>
      <c r="Z61" s="470">
        <v>-6</v>
      </c>
      <c r="AA61" s="470" t="s">
        <v>291</v>
      </c>
      <c r="AB61" s="470" t="s">
        <v>291</v>
      </c>
      <c r="AC61" s="470">
        <v>-1</v>
      </c>
      <c r="AD61" s="470">
        <v>-98</v>
      </c>
      <c r="AE61" s="470">
        <v>-4</v>
      </c>
      <c r="AF61" s="470">
        <v>-2</v>
      </c>
      <c r="AG61" s="470">
        <v>7</v>
      </c>
      <c r="AH61" s="470">
        <v>22</v>
      </c>
      <c r="AI61" s="470">
        <v>27</v>
      </c>
      <c r="AJ61" s="470">
        <v>13</v>
      </c>
      <c r="AK61" s="470">
        <v>10</v>
      </c>
      <c r="AL61" s="470">
        <v>-1</v>
      </c>
    </row>
    <row r="62" spans="1:38">
      <c r="A62" s="470" t="s">
        <v>1438</v>
      </c>
      <c r="B62" s="470">
        <v>32</v>
      </c>
      <c r="C62" s="470">
        <v>29</v>
      </c>
      <c r="D62" s="470">
        <v>19</v>
      </c>
      <c r="E62" s="470">
        <v>7</v>
      </c>
      <c r="F62" s="470">
        <v>6</v>
      </c>
      <c r="G62" s="470">
        <v>33</v>
      </c>
      <c r="H62" s="470">
        <v>31</v>
      </c>
      <c r="I62" s="470" t="s">
        <v>273</v>
      </c>
      <c r="J62" s="470" t="s">
        <v>273</v>
      </c>
      <c r="K62" s="470" t="s">
        <v>273</v>
      </c>
      <c r="L62" s="470" t="s">
        <v>273</v>
      </c>
      <c r="M62" s="470" t="s">
        <v>273</v>
      </c>
      <c r="N62" s="470" t="s">
        <v>273</v>
      </c>
      <c r="O62" s="470" t="s">
        <v>273</v>
      </c>
      <c r="P62" s="470" t="s">
        <v>273</v>
      </c>
      <c r="Q62" s="470" t="s">
        <v>273</v>
      </c>
      <c r="R62" s="470" t="s">
        <v>273</v>
      </c>
      <c r="S62" s="470" t="s">
        <v>273</v>
      </c>
      <c r="T62" s="470" t="s">
        <v>273</v>
      </c>
      <c r="U62" s="470" t="s">
        <v>273</v>
      </c>
      <c r="V62" s="470" t="s">
        <v>273</v>
      </c>
      <c r="W62" s="470" t="s">
        <v>273</v>
      </c>
      <c r="X62" s="470" t="s">
        <v>273</v>
      </c>
      <c r="Y62" s="470" t="s">
        <v>273</v>
      </c>
      <c r="Z62" s="470" t="s">
        <v>273</v>
      </c>
      <c r="AA62" s="470" t="s">
        <v>273</v>
      </c>
      <c r="AB62" s="470" t="s">
        <v>273</v>
      </c>
      <c r="AC62" s="470" t="s">
        <v>273</v>
      </c>
      <c r="AD62" s="470" t="s">
        <v>273</v>
      </c>
      <c r="AE62" s="470" t="s">
        <v>273</v>
      </c>
      <c r="AF62" s="470" t="s">
        <v>273</v>
      </c>
      <c r="AG62" s="470" t="s">
        <v>273</v>
      </c>
      <c r="AH62" s="470" t="s">
        <v>273</v>
      </c>
      <c r="AI62" s="470" t="s">
        <v>273</v>
      </c>
      <c r="AJ62" s="470" t="s">
        <v>273</v>
      </c>
      <c r="AK62" s="470" t="s">
        <v>273</v>
      </c>
      <c r="AL62" s="470" t="s">
        <v>273</v>
      </c>
    </row>
    <row r="63" spans="1:38">
      <c r="A63" s="470" t="s">
        <v>459</v>
      </c>
      <c r="B63" s="470" t="s">
        <v>273</v>
      </c>
      <c r="C63" s="470" t="s">
        <v>273</v>
      </c>
      <c r="D63" s="470" t="s">
        <v>273</v>
      </c>
      <c r="E63" s="470" t="s">
        <v>273</v>
      </c>
      <c r="F63" s="470" t="s">
        <v>273</v>
      </c>
      <c r="G63" s="470" t="s">
        <v>273</v>
      </c>
      <c r="H63" s="470" t="s">
        <v>273</v>
      </c>
      <c r="I63" s="470">
        <v>0</v>
      </c>
      <c r="J63" s="470">
        <v>0</v>
      </c>
      <c r="K63" s="470">
        <v>0</v>
      </c>
      <c r="L63" s="470">
        <v>0</v>
      </c>
      <c r="M63" s="470">
        <v>0</v>
      </c>
      <c r="N63" s="470">
        <v>0</v>
      </c>
      <c r="O63" s="470">
        <v>0</v>
      </c>
      <c r="P63" s="470">
        <v>0</v>
      </c>
      <c r="Q63" s="470">
        <v>0</v>
      </c>
      <c r="R63" s="470">
        <v>0</v>
      </c>
      <c r="S63" s="470" t="s">
        <v>306</v>
      </c>
      <c r="T63" s="470" t="s">
        <v>306</v>
      </c>
      <c r="U63" s="470" t="s">
        <v>306</v>
      </c>
      <c r="V63" s="470" t="s">
        <v>306</v>
      </c>
      <c r="W63" s="470">
        <v>-3</v>
      </c>
      <c r="X63" s="470">
        <v>-2</v>
      </c>
      <c r="Y63" s="470">
        <v>-2</v>
      </c>
      <c r="Z63" s="470" t="s">
        <v>306</v>
      </c>
      <c r="AA63" s="470">
        <v>0</v>
      </c>
      <c r="AB63" s="470" t="s">
        <v>306</v>
      </c>
      <c r="AC63" s="470" t="s">
        <v>306</v>
      </c>
      <c r="AD63" s="470" t="s">
        <v>306</v>
      </c>
      <c r="AE63" s="470">
        <v>-7</v>
      </c>
      <c r="AF63" s="470" t="s">
        <v>291</v>
      </c>
      <c r="AG63" s="470">
        <v>-7</v>
      </c>
      <c r="AH63" s="470" t="s">
        <v>291</v>
      </c>
      <c r="AI63" s="470" t="s">
        <v>306</v>
      </c>
      <c r="AJ63" s="470" t="s">
        <v>306</v>
      </c>
      <c r="AK63" s="470" t="s">
        <v>306</v>
      </c>
      <c r="AL63" s="470" t="s">
        <v>306</v>
      </c>
    </row>
    <row r="64" spans="1:38">
      <c r="A64" s="470" t="s">
        <v>458</v>
      </c>
      <c r="B64" s="470" t="s">
        <v>273</v>
      </c>
      <c r="C64" s="470" t="s">
        <v>273</v>
      </c>
      <c r="D64" s="470" t="s">
        <v>273</v>
      </c>
      <c r="E64" s="470" t="s">
        <v>273</v>
      </c>
      <c r="F64" s="470" t="s">
        <v>273</v>
      </c>
      <c r="G64" s="470" t="s">
        <v>273</v>
      </c>
      <c r="H64" s="470" t="s">
        <v>273</v>
      </c>
      <c r="I64" s="470" t="s">
        <v>273</v>
      </c>
      <c r="J64" s="470" t="s">
        <v>273</v>
      </c>
      <c r="K64" s="470" t="s">
        <v>273</v>
      </c>
      <c r="L64" s="470" t="s">
        <v>273</v>
      </c>
      <c r="M64" s="470" t="s">
        <v>273</v>
      </c>
      <c r="N64" s="470" t="s">
        <v>306</v>
      </c>
      <c r="O64" s="470" t="s">
        <v>306</v>
      </c>
      <c r="P64" s="470">
        <v>2</v>
      </c>
      <c r="Q64" s="470">
        <v>3</v>
      </c>
      <c r="R64" s="470">
        <v>10</v>
      </c>
      <c r="S64" s="470">
        <v>3</v>
      </c>
      <c r="T64" s="470">
        <v>3</v>
      </c>
      <c r="U64" s="470">
        <v>3</v>
      </c>
      <c r="V64" s="470">
        <v>10</v>
      </c>
      <c r="W64" s="470">
        <v>6</v>
      </c>
      <c r="X64" s="470">
        <v>4</v>
      </c>
      <c r="Y64" s="470">
        <v>-6</v>
      </c>
      <c r="Z64" s="470">
        <v>44</v>
      </c>
      <c r="AA64" s="470" t="s">
        <v>291</v>
      </c>
      <c r="AB64" s="470" t="s">
        <v>291</v>
      </c>
      <c r="AC64" s="470">
        <v>-3</v>
      </c>
      <c r="AD64" s="470">
        <v>415</v>
      </c>
      <c r="AE64" s="470">
        <v>-1193</v>
      </c>
      <c r="AF64" s="470">
        <v>-535</v>
      </c>
      <c r="AG64" s="470">
        <v>-174</v>
      </c>
      <c r="AH64" s="470">
        <v>-45</v>
      </c>
      <c r="AI64" s="470">
        <v>-15</v>
      </c>
      <c r="AJ64" s="470">
        <v>-60</v>
      </c>
      <c r="AK64" s="470">
        <v>-284</v>
      </c>
      <c r="AL64" s="470">
        <v>-30</v>
      </c>
    </row>
    <row r="65" spans="1:38">
      <c r="A65" s="470" t="s">
        <v>457</v>
      </c>
      <c r="B65" s="470" t="s">
        <v>273</v>
      </c>
      <c r="C65" s="470" t="s">
        <v>273</v>
      </c>
      <c r="D65" s="470" t="s">
        <v>273</v>
      </c>
      <c r="E65" s="470" t="s">
        <v>273</v>
      </c>
      <c r="F65" s="470" t="s">
        <v>273</v>
      </c>
      <c r="G65" s="470" t="s">
        <v>273</v>
      </c>
      <c r="H65" s="470" t="s">
        <v>273</v>
      </c>
      <c r="I65" s="470" t="s">
        <v>273</v>
      </c>
      <c r="J65" s="470" t="s">
        <v>273</v>
      </c>
      <c r="K65" s="470" t="s">
        <v>273</v>
      </c>
      <c r="L65" s="470" t="s">
        <v>273</v>
      </c>
      <c r="M65" s="470" t="s">
        <v>273</v>
      </c>
      <c r="N65" s="470">
        <v>-9</v>
      </c>
      <c r="O65" s="470">
        <v>-7</v>
      </c>
      <c r="P65" s="470">
        <v>-5</v>
      </c>
      <c r="Q65" s="470">
        <v>-6</v>
      </c>
      <c r="R65" s="470">
        <v>-8</v>
      </c>
      <c r="S65" s="470" t="s">
        <v>306</v>
      </c>
      <c r="T65" s="470" t="s">
        <v>306</v>
      </c>
      <c r="U65" s="470" t="s">
        <v>291</v>
      </c>
      <c r="V65" s="470" t="s">
        <v>306</v>
      </c>
      <c r="W65" s="470" t="s">
        <v>306</v>
      </c>
      <c r="X65" s="470" t="s">
        <v>306</v>
      </c>
      <c r="Y65" s="470" t="s">
        <v>306</v>
      </c>
      <c r="Z65" s="470" t="s">
        <v>306</v>
      </c>
      <c r="AA65" s="470" t="s">
        <v>306</v>
      </c>
      <c r="AB65" s="470" t="s">
        <v>306</v>
      </c>
      <c r="AC65" s="470">
        <v>0</v>
      </c>
      <c r="AD65" s="470">
        <v>0</v>
      </c>
      <c r="AE65" s="470">
        <v>0</v>
      </c>
      <c r="AF65" s="470">
        <v>0</v>
      </c>
      <c r="AG65" s="470">
        <v>0</v>
      </c>
      <c r="AH65" s="470">
        <v>0</v>
      </c>
      <c r="AI65" s="470">
        <v>0</v>
      </c>
      <c r="AJ65" s="470">
        <v>0</v>
      </c>
      <c r="AK65" s="470">
        <v>0</v>
      </c>
      <c r="AL65" s="470">
        <v>0</v>
      </c>
    </row>
    <row r="66" spans="1:38">
      <c r="A66" s="470" t="s">
        <v>456</v>
      </c>
      <c r="B66" s="470" t="s">
        <v>273</v>
      </c>
      <c r="C66" s="470" t="s">
        <v>273</v>
      </c>
      <c r="D66" s="470" t="s">
        <v>273</v>
      </c>
      <c r="E66" s="470" t="s">
        <v>273</v>
      </c>
      <c r="F66" s="470" t="s">
        <v>273</v>
      </c>
      <c r="G66" s="470" t="s">
        <v>273</v>
      </c>
      <c r="H66" s="470" t="s">
        <v>273</v>
      </c>
      <c r="I66" s="470" t="s">
        <v>273</v>
      </c>
      <c r="J66" s="470" t="s">
        <v>273</v>
      </c>
      <c r="K66" s="470" t="s">
        <v>273</v>
      </c>
      <c r="L66" s="470" t="s">
        <v>273</v>
      </c>
      <c r="M66" s="470" t="s">
        <v>273</v>
      </c>
      <c r="N66" s="470" t="s">
        <v>273</v>
      </c>
      <c r="O66" s="470" t="s">
        <v>306</v>
      </c>
      <c r="P66" s="470" t="s">
        <v>306</v>
      </c>
      <c r="Q66" s="470" t="s">
        <v>306</v>
      </c>
      <c r="R66" s="470" t="s">
        <v>306</v>
      </c>
      <c r="S66" s="470">
        <v>0</v>
      </c>
      <c r="T66" s="470">
        <v>0</v>
      </c>
      <c r="U66" s="470">
        <v>0</v>
      </c>
      <c r="V66" s="470">
        <v>0</v>
      </c>
      <c r="W66" s="470">
        <v>0</v>
      </c>
      <c r="X66" s="470">
        <v>-1</v>
      </c>
      <c r="Y66" s="470">
        <v>-1</v>
      </c>
      <c r="Z66" s="470" t="s">
        <v>306</v>
      </c>
      <c r="AA66" s="470" t="s">
        <v>306</v>
      </c>
      <c r="AB66" s="470" t="s">
        <v>306</v>
      </c>
      <c r="AC66" s="470">
        <v>-1</v>
      </c>
      <c r="AD66" s="470">
        <v>-1</v>
      </c>
      <c r="AE66" s="470" t="s">
        <v>306</v>
      </c>
      <c r="AF66" s="470" t="s">
        <v>306</v>
      </c>
      <c r="AG66" s="470" t="s">
        <v>306</v>
      </c>
      <c r="AH66" s="470">
        <v>-1</v>
      </c>
      <c r="AI66" s="470" t="s">
        <v>306</v>
      </c>
      <c r="AJ66" s="470" t="s">
        <v>291</v>
      </c>
      <c r="AK66" s="470" t="s">
        <v>306</v>
      </c>
      <c r="AL66" s="470" t="s">
        <v>306</v>
      </c>
    </row>
    <row r="67" spans="1:38">
      <c r="A67" s="470" t="s">
        <v>455</v>
      </c>
      <c r="B67" s="470" t="s">
        <v>273</v>
      </c>
      <c r="C67" s="470" t="s">
        <v>273</v>
      </c>
      <c r="D67" s="470" t="s">
        <v>273</v>
      </c>
      <c r="E67" s="470" t="s">
        <v>273</v>
      </c>
      <c r="F67" s="470" t="s">
        <v>273</v>
      </c>
      <c r="G67" s="470" t="s">
        <v>273</v>
      </c>
      <c r="H67" s="470" t="s">
        <v>273</v>
      </c>
      <c r="I67" s="470" t="s">
        <v>273</v>
      </c>
      <c r="J67" s="470" t="s">
        <v>273</v>
      </c>
      <c r="K67" s="470" t="s">
        <v>273</v>
      </c>
      <c r="L67" s="470" t="s">
        <v>273</v>
      </c>
      <c r="M67" s="470" t="s">
        <v>273</v>
      </c>
      <c r="N67" s="470">
        <v>-1</v>
      </c>
      <c r="O67" s="470">
        <v>-2</v>
      </c>
      <c r="P67" s="470">
        <v>-2</v>
      </c>
      <c r="Q67" s="470">
        <v>-3</v>
      </c>
      <c r="R67" s="470">
        <v>-1</v>
      </c>
      <c r="S67" s="470">
        <v>-2</v>
      </c>
      <c r="T67" s="470">
        <v>-5</v>
      </c>
      <c r="U67" s="470" t="s">
        <v>306</v>
      </c>
      <c r="V67" s="470" t="s">
        <v>306</v>
      </c>
      <c r="W67" s="470">
        <v>-1</v>
      </c>
      <c r="X67" s="470">
        <v>-2</v>
      </c>
      <c r="Y67" s="470">
        <v>-3</v>
      </c>
      <c r="Z67" s="470">
        <v>0</v>
      </c>
      <c r="AA67" s="470">
        <v>0</v>
      </c>
      <c r="AB67" s="470" t="s">
        <v>291</v>
      </c>
      <c r="AC67" s="470" t="s">
        <v>291</v>
      </c>
      <c r="AD67" s="470">
        <v>-5</v>
      </c>
      <c r="AE67" s="470">
        <v>-2</v>
      </c>
      <c r="AF67" s="470">
        <v>-1</v>
      </c>
      <c r="AG67" s="470">
        <v>-1</v>
      </c>
      <c r="AH67" s="470" t="s">
        <v>291</v>
      </c>
      <c r="AI67" s="470">
        <v>-5</v>
      </c>
      <c r="AJ67" s="470">
        <v>-2</v>
      </c>
      <c r="AK67" s="470">
        <v>-1</v>
      </c>
      <c r="AL67" s="470" t="s">
        <v>306</v>
      </c>
    </row>
    <row r="68" spans="1:38">
      <c r="A68" s="470" t="s">
        <v>454</v>
      </c>
      <c r="B68" s="470" t="s">
        <v>273</v>
      </c>
      <c r="C68" s="470" t="s">
        <v>273</v>
      </c>
      <c r="D68" s="470" t="s">
        <v>273</v>
      </c>
      <c r="E68" s="470" t="s">
        <v>273</v>
      </c>
      <c r="F68" s="470" t="s">
        <v>273</v>
      </c>
      <c r="G68" s="470" t="s">
        <v>273</v>
      </c>
      <c r="H68" s="470" t="s">
        <v>273</v>
      </c>
      <c r="I68" s="470" t="s">
        <v>273</v>
      </c>
      <c r="J68" s="470" t="s">
        <v>273</v>
      </c>
      <c r="K68" s="470" t="s">
        <v>273</v>
      </c>
      <c r="L68" s="470" t="s">
        <v>273</v>
      </c>
      <c r="M68" s="470" t="s">
        <v>273</v>
      </c>
      <c r="N68" s="470" t="s">
        <v>273</v>
      </c>
      <c r="O68" s="470" t="s">
        <v>273</v>
      </c>
      <c r="P68" s="470" t="s">
        <v>273</v>
      </c>
      <c r="Q68" s="470" t="s">
        <v>273</v>
      </c>
      <c r="R68" s="470" t="s">
        <v>273</v>
      </c>
      <c r="S68" s="470" t="s">
        <v>273</v>
      </c>
      <c r="T68" s="470" t="s">
        <v>273</v>
      </c>
      <c r="U68" s="470" t="s">
        <v>273</v>
      </c>
      <c r="V68" s="470" t="s">
        <v>273</v>
      </c>
      <c r="W68" s="470" t="s">
        <v>273</v>
      </c>
      <c r="X68" s="470" t="s">
        <v>273</v>
      </c>
      <c r="Y68" s="470" t="s">
        <v>273</v>
      </c>
      <c r="Z68" s="470" t="s">
        <v>273</v>
      </c>
      <c r="AA68" s="470" t="s">
        <v>273</v>
      </c>
      <c r="AB68" s="470" t="s">
        <v>273</v>
      </c>
      <c r="AC68" s="470" t="s">
        <v>273</v>
      </c>
      <c r="AD68" s="470" t="s">
        <v>273</v>
      </c>
      <c r="AE68" s="470" t="s">
        <v>273</v>
      </c>
      <c r="AF68" s="470" t="s">
        <v>273</v>
      </c>
      <c r="AG68" s="470" t="s">
        <v>273</v>
      </c>
      <c r="AH68" s="470" t="s">
        <v>273</v>
      </c>
      <c r="AI68" s="470" t="s">
        <v>273</v>
      </c>
      <c r="AJ68" s="470">
        <v>0</v>
      </c>
      <c r="AK68" s="470">
        <v>0</v>
      </c>
      <c r="AL68" s="470">
        <v>0</v>
      </c>
    </row>
    <row r="69" spans="1:38">
      <c r="A69" s="470" t="s">
        <v>1437</v>
      </c>
      <c r="B69" s="470" t="s">
        <v>306</v>
      </c>
      <c r="C69" s="470" t="s">
        <v>306</v>
      </c>
      <c r="D69" s="470" t="s">
        <v>306</v>
      </c>
      <c r="E69" s="470" t="s">
        <v>306</v>
      </c>
      <c r="F69" s="470">
        <v>1</v>
      </c>
      <c r="G69" s="470" t="s">
        <v>306</v>
      </c>
      <c r="H69" s="470" t="s">
        <v>306</v>
      </c>
      <c r="I69" s="470">
        <v>-1</v>
      </c>
      <c r="J69" s="470">
        <v>-1</v>
      </c>
      <c r="K69" s="470">
        <v>-2</v>
      </c>
      <c r="L69" s="470">
        <v>-5</v>
      </c>
      <c r="M69" s="470">
        <v>-3</v>
      </c>
      <c r="N69" s="470">
        <v>-3</v>
      </c>
      <c r="O69" s="470">
        <v>3</v>
      </c>
      <c r="P69" s="470">
        <v>3</v>
      </c>
      <c r="Q69" s="470">
        <v>-1</v>
      </c>
      <c r="R69" s="470" t="s">
        <v>306</v>
      </c>
      <c r="S69" s="470">
        <v>3</v>
      </c>
      <c r="T69" s="470">
        <v>15</v>
      </c>
      <c r="U69" s="470" t="s">
        <v>291</v>
      </c>
      <c r="V69" s="470">
        <v>42</v>
      </c>
      <c r="W69" s="470">
        <v>26</v>
      </c>
      <c r="X69" s="470">
        <v>8</v>
      </c>
      <c r="Y69" s="470">
        <v>12</v>
      </c>
      <c r="Z69" s="470" t="s">
        <v>291</v>
      </c>
      <c r="AA69" s="470" t="s">
        <v>291</v>
      </c>
      <c r="AB69" s="470" t="s">
        <v>291</v>
      </c>
      <c r="AC69" s="470" t="s">
        <v>291</v>
      </c>
      <c r="AD69" s="470">
        <v>10</v>
      </c>
      <c r="AE69" s="470" t="s">
        <v>291</v>
      </c>
      <c r="AF69" s="470">
        <v>-9</v>
      </c>
      <c r="AG69" s="470">
        <v>-5</v>
      </c>
      <c r="AH69" s="470" t="s">
        <v>291</v>
      </c>
      <c r="AI69" s="470">
        <v>9</v>
      </c>
      <c r="AJ69" s="470" t="s">
        <v>291</v>
      </c>
      <c r="AK69" s="470" t="s">
        <v>291</v>
      </c>
      <c r="AL69" s="470">
        <v>-1</v>
      </c>
    </row>
    <row r="70" spans="1:38">
      <c r="A70" s="470" t="s">
        <v>453</v>
      </c>
      <c r="B70" s="470" t="s">
        <v>273</v>
      </c>
      <c r="C70" s="470" t="s">
        <v>273</v>
      </c>
      <c r="D70" s="470" t="s">
        <v>273</v>
      </c>
      <c r="E70" s="470" t="s">
        <v>273</v>
      </c>
      <c r="F70" s="470" t="s">
        <v>273</v>
      </c>
      <c r="G70" s="470" t="s">
        <v>273</v>
      </c>
      <c r="H70" s="470" t="s">
        <v>273</v>
      </c>
      <c r="I70" s="470" t="s">
        <v>273</v>
      </c>
      <c r="J70" s="470" t="s">
        <v>273</v>
      </c>
      <c r="K70" s="470" t="s">
        <v>273</v>
      </c>
      <c r="L70" s="470" t="s">
        <v>273</v>
      </c>
      <c r="M70" s="470" t="s">
        <v>273</v>
      </c>
      <c r="N70" s="470" t="s">
        <v>273</v>
      </c>
      <c r="O70" s="470" t="s">
        <v>273</v>
      </c>
      <c r="P70" s="470" t="s">
        <v>273</v>
      </c>
      <c r="Q70" s="470" t="s">
        <v>273</v>
      </c>
      <c r="R70" s="470" t="s">
        <v>273</v>
      </c>
      <c r="S70" s="470">
        <v>0</v>
      </c>
      <c r="T70" s="470">
        <v>0</v>
      </c>
      <c r="U70" s="470">
        <v>0</v>
      </c>
      <c r="V70" s="470">
        <v>0</v>
      </c>
      <c r="W70" s="470">
        <v>0</v>
      </c>
      <c r="X70" s="470">
        <v>0</v>
      </c>
      <c r="Y70" s="470">
        <v>0</v>
      </c>
      <c r="Z70" s="470">
        <v>0</v>
      </c>
      <c r="AA70" s="470">
        <v>0</v>
      </c>
      <c r="AB70" s="470">
        <v>0</v>
      </c>
      <c r="AC70" s="470">
        <v>0</v>
      </c>
      <c r="AD70" s="470">
        <v>0</v>
      </c>
      <c r="AE70" s="470">
        <v>0</v>
      </c>
      <c r="AF70" s="470">
        <v>0</v>
      </c>
      <c r="AG70" s="470">
        <v>0</v>
      </c>
      <c r="AH70" s="470">
        <v>0</v>
      </c>
      <c r="AI70" s="470">
        <v>0</v>
      </c>
      <c r="AJ70" s="470">
        <v>0</v>
      </c>
      <c r="AK70" s="470" t="s">
        <v>306</v>
      </c>
      <c r="AL70" s="470">
        <v>0</v>
      </c>
    </row>
    <row r="71" spans="1:38">
      <c r="A71" s="470" t="s">
        <v>452</v>
      </c>
      <c r="B71" s="470" t="s">
        <v>273</v>
      </c>
      <c r="C71" s="470" t="s">
        <v>273</v>
      </c>
      <c r="D71" s="470" t="s">
        <v>273</v>
      </c>
      <c r="E71" s="470" t="s">
        <v>273</v>
      </c>
      <c r="F71" s="470" t="s">
        <v>273</v>
      </c>
      <c r="G71" s="470" t="s">
        <v>273</v>
      </c>
      <c r="H71" s="470" t="s">
        <v>273</v>
      </c>
      <c r="I71" s="470" t="s">
        <v>273</v>
      </c>
      <c r="J71" s="470" t="s">
        <v>273</v>
      </c>
      <c r="K71" s="470" t="s">
        <v>273</v>
      </c>
      <c r="L71" s="470" t="s">
        <v>273</v>
      </c>
      <c r="M71" s="470" t="s">
        <v>273</v>
      </c>
      <c r="N71" s="470" t="s">
        <v>306</v>
      </c>
      <c r="O71" s="470" t="s">
        <v>306</v>
      </c>
      <c r="P71" s="470" t="s">
        <v>306</v>
      </c>
      <c r="Q71" s="470" t="s">
        <v>306</v>
      </c>
      <c r="R71" s="470" t="s">
        <v>306</v>
      </c>
      <c r="S71" s="470" t="s">
        <v>306</v>
      </c>
      <c r="T71" s="470" t="s">
        <v>306</v>
      </c>
      <c r="U71" s="470" t="s">
        <v>306</v>
      </c>
      <c r="V71" s="470" t="s">
        <v>306</v>
      </c>
      <c r="W71" s="470" t="s">
        <v>306</v>
      </c>
      <c r="X71" s="470" t="s">
        <v>306</v>
      </c>
      <c r="Y71" s="470" t="s">
        <v>306</v>
      </c>
      <c r="Z71" s="470" t="s">
        <v>306</v>
      </c>
      <c r="AA71" s="470" t="s">
        <v>306</v>
      </c>
      <c r="AB71" s="470" t="s">
        <v>306</v>
      </c>
      <c r="AC71" s="470" t="s">
        <v>306</v>
      </c>
      <c r="AD71" s="470" t="s">
        <v>306</v>
      </c>
      <c r="AE71" s="470">
        <v>0</v>
      </c>
      <c r="AF71" s="470">
        <v>-2</v>
      </c>
      <c r="AG71" s="470">
        <v>-2</v>
      </c>
      <c r="AH71" s="470" t="s">
        <v>306</v>
      </c>
      <c r="AI71" s="470" t="s">
        <v>306</v>
      </c>
      <c r="AJ71" s="470" t="s">
        <v>306</v>
      </c>
      <c r="AK71" s="470" t="s">
        <v>306</v>
      </c>
      <c r="AL71" s="470" t="s">
        <v>306</v>
      </c>
    </row>
    <row r="72" spans="1:38">
      <c r="A72" s="470" t="s">
        <v>451</v>
      </c>
      <c r="B72" s="470" t="s">
        <v>306</v>
      </c>
      <c r="C72" s="470">
        <v>1</v>
      </c>
      <c r="D72" s="470">
        <v>1</v>
      </c>
      <c r="E72" s="470" t="s">
        <v>306</v>
      </c>
      <c r="F72" s="470">
        <v>-1</v>
      </c>
      <c r="G72" s="470">
        <v>-1</v>
      </c>
      <c r="H72" s="470">
        <v>-1</v>
      </c>
      <c r="I72" s="470" t="s">
        <v>306</v>
      </c>
      <c r="J72" s="470">
        <v>1</v>
      </c>
      <c r="K72" s="470">
        <v>1</v>
      </c>
      <c r="L72" s="470">
        <v>1</v>
      </c>
      <c r="M72" s="470">
        <v>1</v>
      </c>
      <c r="N72" s="470" t="s">
        <v>273</v>
      </c>
      <c r="O72" s="470" t="s">
        <v>273</v>
      </c>
      <c r="P72" s="470" t="s">
        <v>517</v>
      </c>
      <c r="Q72" s="470" t="s">
        <v>517</v>
      </c>
      <c r="R72" s="470" t="s">
        <v>517</v>
      </c>
      <c r="S72" s="470" t="s">
        <v>273</v>
      </c>
      <c r="T72" s="470" t="s">
        <v>273</v>
      </c>
      <c r="U72" s="470" t="s">
        <v>273</v>
      </c>
      <c r="V72" s="470" t="s">
        <v>273</v>
      </c>
      <c r="W72" s="470" t="s">
        <v>273</v>
      </c>
      <c r="X72" s="470" t="s">
        <v>273</v>
      </c>
      <c r="Y72" s="470" t="s">
        <v>273</v>
      </c>
      <c r="Z72" s="470" t="s">
        <v>273</v>
      </c>
      <c r="AA72" s="470" t="s">
        <v>273</v>
      </c>
      <c r="AB72" s="470" t="s">
        <v>273</v>
      </c>
      <c r="AC72" s="470" t="s">
        <v>273</v>
      </c>
      <c r="AD72" s="470" t="s">
        <v>273</v>
      </c>
      <c r="AE72" s="470" t="s">
        <v>273</v>
      </c>
      <c r="AF72" s="470" t="s">
        <v>273</v>
      </c>
      <c r="AG72" s="470" t="s">
        <v>273</v>
      </c>
      <c r="AH72" s="470" t="s">
        <v>273</v>
      </c>
      <c r="AI72" s="470" t="s">
        <v>273</v>
      </c>
      <c r="AJ72" s="470" t="s">
        <v>273</v>
      </c>
      <c r="AK72" s="470" t="s">
        <v>273</v>
      </c>
      <c r="AL72" s="470" t="s">
        <v>273</v>
      </c>
    </row>
    <row r="73" spans="1:38">
      <c r="A73" s="470" t="s">
        <v>450</v>
      </c>
      <c r="B73" s="470" t="s">
        <v>273</v>
      </c>
      <c r="C73" s="470" t="s">
        <v>273</v>
      </c>
      <c r="D73" s="470" t="s">
        <v>273</v>
      </c>
      <c r="E73" s="470" t="s">
        <v>273</v>
      </c>
      <c r="F73" s="470" t="s">
        <v>273</v>
      </c>
      <c r="G73" s="470" t="s">
        <v>273</v>
      </c>
      <c r="H73" s="470" t="s">
        <v>273</v>
      </c>
      <c r="I73" s="470" t="s">
        <v>273</v>
      </c>
      <c r="J73" s="470" t="s">
        <v>273</v>
      </c>
      <c r="K73" s="470" t="s">
        <v>273</v>
      </c>
      <c r="L73" s="470" t="s">
        <v>273</v>
      </c>
      <c r="M73" s="470" t="s">
        <v>273</v>
      </c>
      <c r="N73" s="470">
        <v>0</v>
      </c>
      <c r="O73" s="470">
        <v>0</v>
      </c>
      <c r="P73" s="470">
        <v>0</v>
      </c>
      <c r="Q73" s="470">
        <v>0</v>
      </c>
      <c r="R73" s="470">
        <v>0</v>
      </c>
      <c r="S73" s="470">
        <v>0</v>
      </c>
      <c r="T73" s="470">
        <v>0</v>
      </c>
      <c r="U73" s="470">
        <v>0</v>
      </c>
      <c r="V73" s="470">
        <v>0</v>
      </c>
      <c r="W73" s="470">
        <v>0</v>
      </c>
      <c r="X73" s="470">
        <v>0</v>
      </c>
      <c r="Y73" s="470">
        <v>0</v>
      </c>
      <c r="Z73" s="470" t="s">
        <v>273</v>
      </c>
      <c r="AA73" s="470">
        <v>0</v>
      </c>
      <c r="AB73" s="470">
        <v>0</v>
      </c>
      <c r="AC73" s="470">
        <v>0</v>
      </c>
      <c r="AD73" s="470">
        <v>0</v>
      </c>
      <c r="AE73" s="470">
        <v>0</v>
      </c>
      <c r="AF73" s="470">
        <v>0</v>
      </c>
      <c r="AG73" s="470">
        <v>0</v>
      </c>
      <c r="AH73" s="470" t="s">
        <v>306</v>
      </c>
      <c r="AI73" s="470" t="s">
        <v>306</v>
      </c>
      <c r="AJ73" s="470" t="s">
        <v>306</v>
      </c>
      <c r="AK73" s="470" t="s">
        <v>306</v>
      </c>
      <c r="AL73" s="470" t="s">
        <v>306</v>
      </c>
    </row>
    <row r="74" spans="1:38">
      <c r="A74" s="470" t="s">
        <v>449</v>
      </c>
      <c r="B74" s="470" t="s">
        <v>306</v>
      </c>
      <c r="C74" s="470" t="s">
        <v>306</v>
      </c>
      <c r="D74" s="470">
        <v>-3</v>
      </c>
      <c r="E74" s="470">
        <v>1</v>
      </c>
      <c r="F74" s="470">
        <v>1</v>
      </c>
      <c r="G74" s="470" t="s">
        <v>306</v>
      </c>
      <c r="H74" s="470" t="s">
        <v>306</v>
      </c>
      <c r="I74" s="470">
        <v>2</v>
      </c>
      <c r="J74" s="470">
        <v>2</v>
      </c>
      <c r="K74" s="470" t="s">
        <v>306</v>
      </c>
      <c r="L74" s="470">
        <v>2</v>
      </c>
      <c r="M74" s="470">
        <v>-1</v>
      </c>
      <c r="N74" s="470" t="s">
        <v>273</v>
      </c>
      <c r="O74" s="470" t="s">
        <v>273</v>
      </c>
      <c r="P74" s="470" t="s">
        <v>517</v>
      </c>
      <c r="Q74" s="470" t="s">
        <v>517</v>
      </c>
      <c r="R74" s="470" t="s">
        <v>517</v>
      </c>
      <c r="S74" s="470" t="s">
        <v>273</v>
      </c>
      <c r="T74" s="470" t="s">
        <v>273</v>
      </c>
      <c r="U74" s="470" t="s">
        <v>273</v>
      </c>
      <c r="V74" s="470" t="s">
        <v>273</v>
      </c>
      <c r="W74" s="470" t="s">
        <v>273</v>
      </c>
      <c r="X74" s="470" t="s">
        <v>273</v>
      </c>
      <c r="Y74" s="470" t="s">
        <v>273</v>
      </c>
      <c r="Z74" s="470" t="s">
        <v>273</v>
      </c>
      <c r="AA74" s="470" t="s">
        <v>273</v>
      </c>
      <c r="AB74" s="470" t="s">
        <v>273</v>
      </c>
      <c r="AC74" s="470" t="s">
        <v>273</v>
      </c>
      <c r="AD74" s="470" t="s">
        <v>273</v>
      </c>
      <c r="AE74" s="470" t="s">
        <v>273</v>
      </c>
      <c r="AF74" s="470" t="s">
        <v>273</v>
      </c>
      <c r="AG74" s="470" t="s">
        <v>273</v>
      </c>
      <c r="AH74" s="470" t="s">
        <v>273</v>
      </c>
      <c r="AI74" s="470" t="s">
        <v>273</v>
      </c>
      <c r="AJ74" s="470" t="s">
        <v>273</v>
      </c>
      <c r="AK74" s="470" t="s">
        <v>273</v>
      </c>
      <c r="AL74" s="470" t="s">
        <v>273</v>
      </c>
    </row>
    <row r="75" spans="1:38">
      <c r="A75" s="470" t="s">
        <v>1436</v>
      </c>
      <c r="B75" s="470">
        <v>679</v>
      </c>
      <c r="C75" s="470">
        <v>740</v>
      </c>
      <c r="D75" s="470">
        <v>379</v>
      </c>
      <c r="E75" s="470">
        <v>1004</v>
      </c>
      <c r="F75" s="470">
        <v>1868</v>
      </c>
      <c r="G75" s="470">
        <v>1535</v>
      </c>
      <c r="H75" s="470">
        <v>773</v>
      </c>
      <c r="I75" s="470" t="s">
        <v>273</v>
      </c>
      <c r="J75" s="470" t="s">
        <v>273</v>
      </c>
      <c r="K75" s="470" t="s">
        <v>273</v>
      </c>
      <c r="L75" s="470" t="s">
        <v>273</v>
      </c>
      <c r="M75" s="470" t="s">
        <v>273</v>
      </c>
      <c r="N75" s="470" t="s">
        <v>273</v>
      </c>
      <c r="O75" s="470" t="s">
        <v>273</v>
      </c>
      <c r="P75" s="470" t="s">
        <v>273</v>
      </c>
      <c r="Q75" s="470" t="s">
        <v>273</v>
      </c>
      <c r="R75" s="470" t="s">
        <v>273</v>
      </c>
      <c r="S75" s="470" t="s">
        <v>273</v>
      </c>
      <c r="T75" s="470" t="s">
        <v>273</v>
      </c>
      <c r="U75" s="470" t="s">
        <v>273</v>
      </c>
      <c r="V75" s="470" t="s">
        <v>273</v>
      </c>
      <c r="W75" s="470" t="s">
        <v>273</v>
      </c>
      <c r="X75" s="470" t="s">
        <v>273</v>
      </c>
      <c r="Y75" s="470" t="s">
        <v>273</v>
      </c>
      <c r="Z75" s="470" t="s">
        <v>273</v>
      </c>
      <c r="AA75" s="470" t="s">
        <v>273</v>
      </c>
      <c r="AB75" s="470" t="s">
        <v>273</v>
      </c>
      <c r="AC75" s="470" t="s">
        <v>273</v>
      </c>
      <c r="AD75" s="470" t="s">
        <v>273</v>
      </c>
      <c r="AE75" s="470" t="s">
        <v>273</v>
      </c>
      <c r="AF75" s="470" t="s">
        <v>273</v>
      </c>
      <c r="AG75" s="470" t="s">
        <v>273</v>
      </c>
      <c r="AH75" s="470" t="s">
        <v>273</v>
      </c>
      <c r="AI75" s="470" t="s">
        <v>273</v>
      </c>
      <c r="AJ75" s="470" t="s">
        <v>273</v>
      </c>
      <c r="AK75" s="470" t="s">
        <v>273</v>
      </c>
      <c r="AL75" s="470" t="s">
        <v>273</v>
      </c>
    </row>
    <row r="76" spans="1:38">
      <c r="A76" s="470" t="s">
        <v>1435</v>
      </c>
      <c r="B76" s="470">
        <v>46</v>
      </c>
      <c r="C76" s="470">
        <v>38</v>
      </c>
      <c r="D76" s="470">
        <v>-25</v>
      </c>
      <c r="E76" s="470">
        <v>37</v>
      </c>
      <c r="F76" s="470">
        <v>-84</v>
      </c>
      <c r="G76" s="470">
        <v>-33</v>
      </c>
      <c r="H76" s="470">
        <v>27</v>
      </c>
      <c r="I76" s="470" t="s">
        <v>273</v>
      </c>
      <c r="J76" s="470" t="s">
        <v>273</v>
      </c>
      <c r="K76" s="470" t="s">
        <v>273</v>
      </c>
      <c r="L76" s="470" t="s">
        <v>273</v>
      </c>
      <c r="M76" s="470" t="s">
        <v>273</v>
      </c>
      <c r="N76" s="470" t="s">
        <v>273</v>
      </c>
      <c r="O76" s="470" t="s">
        <v>273</v>
      </c>
      <c r="P76" s="470" t="s">
        <v>273</v>
      </c>
      <c r="Q76" s="470" t="s">
        <v>273</v>
      </c>
      <c r="R76" s="470" t="s">
        <v>273</v>
      </c>
      <c r="S76" s="470" t="s">
        <v>273</v>
      </c>
      <c r="T76" s="470" t="s">
        <v>273</v>
      </c>
      <c r="U76" s="470" t="s">
        <v>273</v>
      </c>
      <c r="V76" s="470" t="s">
        <v>273</v>
      </c>
      <c r="W76" s="470" t="s">
        <v>273</v>
      </c>
      <c r="X76" s="470" t="s">
        <v>273</v>
      </c>
      <c r="Y76" s="470" t="s">
        <v>273</v>
      </c>
      <c r="Z76" s="470" t="s">
        <v>273</v>
      </c>
      <c r="AA76" s="470" t="s">
        <v>273</v>
      </c>
      <c r="AB76" s="470" t="s">
        <v>273</v>
      </c>
      <c r="AC76" s="470" t="s">
        <v>273</v>
      </c>
      <c r="AD76" s="470" t="s">
        <v>273</v>
      </c>
      <c r="AE76" s="470" t="s">
        <v>273</v>
      </c>
      <c r="AF76" s="470" t="s">
        <v>273</v>
      </c>
      <c r="AG76" s="470" t="s">
        <v>273</v>
      </c>
      <c r="AH76" s="470" t="s">
        <v>273</v>
      </c>
      <c r="AI76" s="470" t="s">
        <v>273</v>
      </c>
      <c r="AJ76" s="470" t="s">
        <v>273</v>
      </c>
      <c r="AK76" s="470" t="s">
        <v>273</v>
      </c>
      <c r="AL76" s="470" t="s">
        <v>273</v>
      </c>
    </row>
    <row r="77" spans="1:38">
      <c r="A77" s="470" t="s">
        <v>322</v>
      </c>
      <c r="B77" s="470">
        <v>41</v>
      </c>
      <c r="C77" s="470">
        <v>27</v>
      </c>
      <c r="D77" s="470">
        <v>-21</v>
      </c>
      <c r="E77" s="470">
        <v>43</v>
      </c>
      <c r="F77" s="470">
        <v>-78</v>
      </c>
      <c r="G77" s="470">
        <v>-32</v>
      </c>
      <c r="H77" s="470">
        <v>39</v>
      </c>
      <c r="I77" s="470" t="s">
        <v>273</v>
      </c>
      <c r="J77" s="470" t="s">
        <v>273</v>
      </c>
      <c r="K77" s="470" t="s">
        <v>273</v>
      </c>
      <c r="L77" s="470" t="s">
        <v>273</v>
      </c>
      <c r="M77" s="470" t="s">
        <v>273</v>
      </c>
      <c r="N77" s="470" t="s">
        <v>273</v>
      </c>
      <c r="O77" s="470" t="s">
        <v>273</v>
      </c>
      <c r="P77" s="470" t="s">
        <v>273</v>
      </c>
      <c r="Q77" s="470" t="s">
        <v>273</v>
      </c>
      <c r="R77" s="470" t="s">
        <v>273</v>
      </c>
      <c r="S77" s="470" t="s">
        <v>273</v>
      </c>
      <c r="T77" s="470" t="s">
        <v>273</v>
      </c>
      <c r="U77" s="470" t="s">
        <v>273</v>
      </c>
      <c r="V77" s="470" t="s">
        <v>273</v>
      </c>
      <c r="W77" s="470" t="s">
        <v>273</v>
      </c>
      <c r="X77" s="470" t="s">
        <v>273</v>
      </c>
      <c r="Y77" s="470" t="s">
        <v>273</v>
      </c>
      <c r="Z77" s="470" t="s">
        <v>273</v>
      </c>
      <c r="AA77" s="470" t="s">
        <v>273</v>
      </c>
      <c r="AB77" s="470" t="s">
        <v>273</v>
      </c>
      <c r="AC77" s="470" t="s">
        <v>273</v>
      </c>
      <c r="AD77" s="470" t="s">
        <v>273</v>
      </c>
      <c r="AE77" s="470" t="s">
        <v>273</v>
      </c>
      <c r="AF77" s="470" t="s">
        <v>273</v>
      </c>
      <c r="AG77" s="470" t="s">
        <v>273</v>
      </c>
      <c r="AH77" s="470" t="s">
        <v>273</v>
      </c>
      <c r="AI77" s="470" t="s">
        <v>273</v>
      </c>
      <c r="AJ77" s="470" t="s">
        <v>273</v>
      </c>
      <c r="AK77" s="470" t="s">
        <v>273</v>
      </c>
      <c r="AL77" s="470" t="s">
        <v>273</v>
      </c>
    </row>
    <row r="78" spans="1:38">
      <c r="A78" s="470" t="s">
        <v>314</v>
      </c>
      <c r="B78" s="470">
        <v>5</v>
      </c>
      <c r="C78" s="470">
        <v>11</v>
      </c>
      <c r="D78" s="470">
        <v>2</v>
      </c>
      <c r="E78" s="470">
        <v>-2</v>
      </c>
      <c r="F78" s="470">
        <v>-6</v>
      </c>
      <c r="G78" s="470">
        <v>-3</v>
      </c>
      <c r="H78" s="470">
        <v>-13</v>
      </c>
      <c r="I78" s="470" t="s">
        <v>273</v>
      </c>
      <c r="J78" s="470" t="s">
        <v>273</v>
      </c>
      <c r="K78" s="470" t="s">
        <v>273</v>
      </c>
      <c r="L78" s="470" t="s">
        <v>273</v>
      </c>
      <c r="M78" s="470" t="s">
        <v>273</v>
      </c>
      <c r="N78" s="470" t="s">
        <v>273</v>
      </c>
      <c r="O78" s="470" t="s">
        <v>273</v>
      </c>
      <c r="P78" s="470" t="s">
        <v>273</v>
      </c>
      <c r="Q78" s="470" t="s">
        <v>273</v>
      </c>
      <c r="R78" s="470" t="s">
        <v>273</v>
      </c>
      <c r="S78" s="470" t="s">
        <v>273</v>
      </c>
      <c r="T78" s="470" t="s">
        <v>273</v>
      </c>
      <c r="U78" s="470" t="s">
        <v>273</v>
      </c>
      <c r="V78" s="470" t="s">
        <v>273</v>
      </c>
      <c r="W78" s="470" t="s">
        <v>273</v>
      </c>
      <c r="X78" s="470" t="s">
        <v>273</v>
      </c>
      <c r="Y78" s="470" t="s">
        <v>273</v>
      </c>
      <c r="Z78" s="470" t="s">
        <v>273</v>
      </c>
      <c r="AA78" s="470" t="s">
        <v>273</v>
      </c>
      <c r="AB78" s="470" t="s">
        <v>273</v>
      </c>
      <c r="AC78" s="470" t="s">
        <v>273</v>
      </c>
      <c r="AD78" s="470" t="s">
        <v>273</v>
      </c>
      <c r="AE78" s="470" t="s">
        <v>273</v>
      </c>
      <c r="AF78" s="470" t="s">
        <v>273</v>
      </c>
      <c r="AG78" s="470" t="s">
        <v>273</v>
      </c>
      <c r="AH78" s="470" t="s">
        <v>273</v>
      </c>
      <c r="AI78" s="470" t="s">
        <v>273</v>
      </c>
      <c r="AJ78" s="470" t="s">
        <v>273</v>
      </c>
      <c r="AK78" s="470" t="s">
        <v>273</v>
      </c>
      <c r="AL78" s="470" t="s">
        <v>273</v>
      </c>
    </row>
    <row r="79" spans="1:38">
      <c r="A79" s="470" t="s">
        <v>391</v>
      </c>
      <c r="B79" s="470" t="s">
        <v>306</v>
      </c>
      <c r="C79" s="470">
        <v>1</v>
      </c>
      <c r="D79" s="470">
        <v>-6</v>
      </c>
      <c r="E79" s="470">
        <v>-4</v>
      </c>
      <c r="F79" s="470" t="s">
        <v>306</v>
      </c>
      <c r="G79" s="470">
        <v>3</v>
      </c>
      <c r="H79" s="470">
        <v>1</v>
      </c>
      <c r="I79" s="470" t="s">
        <v>273</v>
      </c>
      <c r="J79" s="470" t="s">
        <v>273</v>
      </c>
      <c r="K79" s="470" t="s">
        <v>273</v>
      </c>
      <c r="L79" s="470" t="s">
        <v>273</v>
      </c>
      <c r="M79" s="470" t="s">
        <v>273</v>
      </c>
      <c r="N79" s="470" t="s">
        <v>273</v>
      </c>
      <c r="O79" s="470" t="s">
        <v>273</v>
      </c>
      <c r="P79" s="470" t="s">
        <v>273</v>
      </c>
      <c r="Q79" s="470" t="s">
        <v>273</v>
      </c>
      <c r="R79" s="470" t="s">
        <v>273</v>
      </c>
      <c r="S79" s="470" t="s">
        <v>273</v>
      </c>
      <c r="T79" s="470" t="s">
        <v>273</v>
      </c>
      <c r="U79" s="470" t="s">
        <v>273</v>
      </c>
      <c r="V79" s="470" t="s">
        <v>273</v>
      </c>
      <c r="W79" s="470" t="s">
        <v>273</v>
      </c>
      <c r="X79" s="470" t="s">
        <v>273</v>
      </c>
      <c r="Y79" s="470" t="s">
        <v>273</v>
      </c>
      <c r="Z79" s="470" t="s">
        <v>273</v>
      </c>
      <c r="AA79" s="470" t="s">
        <v>273</v>
      </c>
      <c r="AB79" s="470" t="s">
        <v>273</v>
      </c>
      <c r="AC79" s="470" t="s">
        <v>273</v>
      </c>
      <c r="AD79" s="470" t="s">
        <v>273</v>
      </c>
      <c r="AE79" s="470" t="s">
        <v>273</v>
      </c>
      <c r="AF79" s="470" t="s">
        <v>273</v>
      </c>
      <c r="AG79" s="470" t="s">
        <v>273</v>
      </c>
      <c r="AH79" s="470" t="s">
        <v>273</v>
      </c>
      <c r="AI79" s="470" t="s">
        <v>273</v>
      </c>
      <c r="AJ79" s="470" t="s">
        <v>273</v>
      </c>
      <c r="AK79" s="470" t="s">
        <v>273</v>
      </c>
      <c r="AL79" s="470" t="s">
        <v>273</v>
      </c>
    </row>
    <row r="80" spans="1:38">
      <c r="A80" s="470" t="s">
        <v>448</v>
      </c>
      <c r="B80" s="470">
        <v>888</v>
      </c>
      <c r="C80" s="470">
        <v>802</v>
      </c>
      <c r="D80" s="470">
        <v>456</v>
      </c>
      <c r="E80" s="470">
        <v>-55</v>
      </c>
      <c r="F80" s="470">
        <v>-20</v>
      </c>
      <c r="G80" s="470">
        <v>-169</v>
      </c>
      <c r="H80" s="470">
        <v>-98</v>
      </c>
      <c r="I80" s="470">
        <v>-163</v>
      </c>
      <c r="J80" s="470">
        <v>449</v>
      </c>
      <c r="K80" s="470">
        <v>-284</v>
      </c>
      <c r="L80" s="470">
        <v>18</v>
      </c>
      <c r="M80" s="470">
        <v>-327</v>
      </c>
      <c r="N80" s="470">
        <v>-144</v>
      </c>
      <c r="O80" s="470">
        <v>464</v>
      </c>
      <c r="P80" s="470">
        <v>1204</v>
      </c>
      <c r="Q80" s="470">
        <v>1206</v>
      </c>
      <c r="R80" s="470">
        <v>1383</v>
      </c>
      <c r="S80" s="470">
        <v>1748</v>
      </c>
      <c r="T80" s="470">
        <v>1286</v>
      </c>
      <c r="U80" s="470">
        <v>2397</v>
      </c>
      <c r="V80" s="470">
        <v>2382</v>
      </c>
      <c r="W80" s="470">
        <v>-3748</v>
      </c>
      <c r="X80" s="470">
        <v>-623</v>
      </c>
      <c r="Y80" s="470">
        <v>1305</v>
      </c>
      <c r="Z80" s="470">
        <v>2988</v>
      </c>
      <c r="AA80" s="470">
        <v>4359</v>
      </c>
      <c r="AB80" s="470">
        <v>7113</v>
      </c>
      <c r="AC80" s="470">
        <v>8058</v>
      </c>
      <c r="AD80" s="470">
        <v>6314</v>
      </c>
      <c r="AE80" s="470">
        <v>2622</v>
      </c>
      <c r="AF80" s="470">
        <v>2341</v>
      </c>
      <c r="AG80" s="470">
        <v>5189</v>
      </c>
      <c r="AH80" s="470">
        <v>5712</v>
      </c>
      <c r="AI80" s="470">
        <v>7645</v>
      </c>
      <c r="AJ80" s="470">
        <v>8835</v>
      </c>
      <c r="AK80" s="470">
        <v>8610</v>
      </c>
      <c r="AL80" s="470">
        <v>7906</v>
      </c>
    </row>
    <row r="81" spans="1:38">
      <c r="A81" s="470" t="s">
        <v>1434</v>
      </c>
      <c r="B81" s="470">
        <v>188</v>
      </c>
      <c r="C81" s="470">
        <v>190</v>
      </c>
      <c r="D81" s="470">
        <v>255</v>
      </c>
      <c r="E81" s="470">
        <v>74</v>
      </c>
      <c r="F81" s="470">
        <v>-43</v>
      </c>
      <c r="G81" s="470">
        <v>78</v>
      </c>
      <c r="H81" s="470">
        <v>247</v>
      </c>
      <c r="I81" s="470">
        <v>169</v>
      </c>
      <c r="J81" s="470">
        <v>509</v>
      </c>
      <c r="K81" s="470">
        <v>28</v>
      </c>
      <c r="L81" s="470">
        <v>390</v>
      </c>
      <c r="M81" s="470">
        <v>428</v>
      </c>
      <c r="N81" s="470">
        <v>538</v>
      </c>
      <c r="O81" s="470">
        <v>484</v>
      </c>
      <c r="P81" s="470">
        <v>362</v>
      </c>
      <c r="Q81" s="470">
        <v>585</v>
      </c>
      <c r="R81" s="470">
        <v>670</v>
      </c>
      <c r="S81" s="470">
        <v>991</v>
      </c>
      <c r="T81" s="470">
        <v>1218</v>
      </c>
      <c r="U81" s="470">
        <v>1009</v>
      </c>
      <c r="V81" s="470">
        <v>689</v>
      </c>
      <c r="W81" s="470">
        <v>-36</v>
      </c>
      <c r="X81" s="470">
        <v>611</v>
      </c>
      <c r="Y81" s="470">
        <v>2092</v>
      </c>
      <c r="Z81" s="470">
        <v>2245</v>
      </c>
      <c r="AA81" s="470">
        <v>2421</v>
      </c>
      <c r="AB81" s="470">
        <v>3622</v>
      </c>
      <c r="AC81" s="470">
        <v>3314</v>
      </c>
      <c r="AD81" s="470">
        <v>2506</v>
      </c>
      <c r="AE81" s="470">
        <v>674</v>
      </c>
      <c r="AF81" s="470">
        <v>1253</v>
      </c>
      <c r="AG81" s="470">
        <v>3957</v>
      </c>
      <c r="AH81" s="470">
        <v>3179</v>
      </c>
      <c r="AI81" s="470">
        <v>3427</v>
      </c>
      <c r="AJ81" s="470">
        <v>3066</v>
      </c>
      <c r="AK81" s="470">
        <v>2623</v>
      </c>
      <c r="AL81" s="470">
        <v>1763</v>
      </c>
    </row>
    <row r="82" spans="1:38">
      <c r="A82" s="470" t="s">
        <v>445</v>
      </c>
      <c r="B82" s="470" t="s">
        <v>273</v>
      </c>
      <c r="C82" s="470" t="s">
        <v>273</v>
      </c>
      <c r="D82" s="470" t="s">
        <v>273</v>
      </c>
      <c r="E82" s="470" t="s">
        <v>273</v>
      </c>
      <c r="F82" s="470" t="s">
        <v>273</v>
      </c>
      <c r="G82" s="470" t="s">
        <v>273</v>
      </c>
      <c r="H82" s="470" t="s">
        <v>273</v>
      </c>
      <c r="I82" s="470">
        <v>25</v>
      </c>
      <c r="J82" s="470">
        <v>44</v>
      </c>
      <c r="K82" s="470">
        <v>63</v>
      </c>
      <c r="L82" s="470">
        <v>32</v>
      </c>
      <c r="M82" s="470">
        <v>50</v>
      </c>
      <c r="N82" s="470">
        <v>35</v>
      </c>
      <c r="O82" s="470">
        <v>46</v>
      </c>
      <c r="P82" s="470">
        <v>88</v>
      </c>
      <c r="Q82" s="470">
        <v>91</v>
      </c>
      <c r="R82" s="470">
        <v>45</v>
      </c>
      <c r="S82" s="470">
        <v>43</v>
      </c>
      <c r="T82" s="470">
        <v>81</v>
      </c>
      <c r="U82" s="470">
        <v>30</v>
      </c>
      <c r="V82" s="470">
        <v>92</v>
      </c>
      <c r="W82" s="470" t="s">
        <v>291</v>
      </c>
      <c r="X82" s="470">
        <v>87</v>
      </c>
      <c r="Y82" s="470">
        <v>26</v>
      </c>
      <c r="Z82" s="470">
        <v>39</v>
      </c>
      <c r="AA82" s="470">
        <v>24</v>
      </c>
      <c r="AB82" s="470">
        <v>16</v>
      </c>
      <c r="AC82" s="470" t="s">
        <v>291</v>
      </c>
      <c r="AD82" s="470" t="s">
        <v>291</v>
      </c>
      <c r="AE82" s="470">
        <v>-49</v>
      </c>
      <c r="AF82" s="470">
        <v>18</v>
      </c>
      <c r="AG82" s="470">
        <v>6</v>
      </c>
      <c r="AH82" s="470">
        <v>172</v>
      </c>
      <c r="AI82" s="470">
        <v>281</v>
      </c>
      <c r="AJ82" s="470">
        <v>175</v>
      </c>
      <c r="AK82" s="470">
        <v>58</v>
      </c>
      <c r="AL82" s="470">
        <v>16</v>
      </c>
    </row>
    <row r="83" spans="1:38">
      <c r="A83" s="470" t="s">
        <v>429</v>
      </c>
      <c r="B83" s="470" t="s">
        <v>273</v>
      </c>
      <c r="C83" s="470" t="s">
        <v>273</v>
      </c>
      <c r="D83" s="470" t="s">
        <v>273</v>
      </c>
      <c r="E83" s="470" t="s">
        <v>273</v>
      </c>
      <c r="F83" s="470" t="s">
        <v>273</v>
      </c>
      <c r="G83" s="470" t="s">
        <v>273</v>
      </c>
      <c r="H83" s="470" t="s">
        <v>273</v>
      </c>
      <c r="I83" s="470">
        <v>-15</v>
      </c>
      <c r="J83" s="470">
        <v>35</v>
      </c>
      <c r="K83" s="470">
        <v>-149</v>
      </c>
      <c r="L83" s="470">
        <v>15</v>
      </c>
      <c r="M83" s="470">
        <v>39</v>
      </c>
      <c r="N83" s="470">
        <v>51</v>
      </c>
      <c r="O83" s="470">
        <v>53</v>
      </c>
      <c r="P83" s="470">
        <v>-34</v>
      </c>
      <c r="Q83" s="470">
        <v>23</v>
      </c>
      <c r="R83" s="470">
        <v>1</v>
      </c>
      <c r="S83" s="470">
        <v>205</v>
      </c>
      <c r="T83" s="470">
        <v>216</v>
      </c>
      <c r="U83" s="470">
        <v>175</v>
      </c>
      <c r="V83" s="470">
        <v>-142</v>
      </c>
      <c r="W83" s="470">
        <v>-823</v>
      </c>
      <c r="X83" s="470">
        <v>21</v>
      </c>
      <c r="Y83" s="470">
        <v>616</v>
      </c>
      <c r="Z83" s="470">
        <v>17</v>
      </c>
      <c r="AA83" s="470" t="s">
        <v>291</v>
      </c>
      <c r="AB83" s="470">
        <v>923</v>
      </c>
      <c r="AC83" s="470">
        <v>1248</v>
      </c>
      <c r="AD83" s="470">
        <v>1498</v>
      </c>
      <c r="AE83" s="470">
        <v>1152</v>
      </c>
      <c r="AF83" s="470">
        <v>1479</v>
      </c>
      <c r="AG83" s="470">
        <v>3415</v>
      </c>
      <c r="AH83" s="470">
        <v>2152</v>
      </c>
      <c r="AI83" s="470">
        <v>2319</v>
      </c>
      <c r="AJ83" s="470">
        <v>1858</v>
      </c>
      <c r="AK83" s="470">
        <v>1358</v>
      </c>
      <c r="AL83" s="470">
        <v>1225</v>
      </c>
    </row>
    <row r="84" spans="1:38">
      <c r="A84" s="470" t="s">
        <v>428</v>
      </c>
      <c r="B84" s="470">
        <v>58</v>
      </c>
      <c r="C84" s="470">
        <v>47</v>
      </c>
      <c r="D84" s="470">
        <v>-7</v>
      </c>
      <c r="E84" s="470">
        <v>11</v>
      </c>
      <c r="F84" s="470">
        <v>-131</v>
      </c>
      <c r="G84" s="470">
        <v>-17</v>
      </c>
      <c r="H84" s="470">
        <v>132</v>
      </c>
      <c r="I84" s="470">
        <v>102</v>
      </c>
      <c r="J84" s="470">
        <v>279</v>
      </c>
      <c r="K84" s="470">
        <v>26</v>
      </c>
      <c r="L84" s="470">
        <v>178</v>
      </c>
      <c r="M84" s="470">
        <v>304</v>
      </c>
      <c r="N84" s="470">
        <v>373</v>
      </c>
      <c r="O84" s="470">
        <v>319</v>
      </c>
      <c r="P84" s="470">
        <v>265</v>
      </c>
      <c r="Q84" s="470">
        <v>529</v>
      </c>
      <c r="R84" s="470">
        <v>572</v>
      </c>
      <c r="S84" s="470">
        <v>734</v>
      </c>
      <c r="T84" s="470">
        <v>864</v>
      </c>
      <c r="U84" s="470">
        <v>752</v>
      </c>
      <c r="V84" s="470">
        <v>647</v>
      </c>
      <c r="W84" s="470">
        <v>499</v>
      </c>
      <c r="X84" s="470">
        <v>630</v>
      </c>
      <c r="Y84" s="470">
        <v>1081</v>
      </c>
      <c r="Z84" s="470" t="s">
        <v>291</v>
      </c>
      <c r="AA84" s="470">
        <v>1173</v>
      </c>
      <c r="AB84" s="470">
        <v>1851</v>
      </c>
      <c r="AC84" s="470">
        <v>1163</v>
      </c>
      <c r="AD84" s="470">
        <v>411</v>
      </c>
      <c r="AE84" s="470">
        <v>189</v>
      </c>
      <c r="AF84" s="470">
        <v>154</v>
      </c>
      <c r="AG84" s="470">
        <v>93</v>
      </c>
      <c r="AH84" s="470">
        <v>132</v>
      </c>
      <c r="AI84" s="470">
        <v>104</v>
      </c>
      <c r="AJ84" s="470">
        <v>148</v>
      </c>
      <c r="AK84" s="470">
        <v>301</v>
      </c>
      <c r="AL84" s="470">
        <v>260</v>
      </c>
    </row>
    <row r="85" spans="1:38">
      <c r="A85" s="470" t="s">
        <v>440</v>
      </c>
      <c r="B85" s="470" t="s">
        <v>273</v>
      </c>
      <c r="C85" s="470" t="s">
        <v>273</v>
      </c>
      <c r="D85" s="470" t="s">
        <v>273</v>
      </c>
      <c r="E85" s="470" t="s">
        <v>273</v>
      </c>
      <c r="F85" s="470" t="s">
        <v>273</v>
      </c>
      <c r="G85" s="470" t="s">
        <v>273</v>
      </c>
      <c r="H85" s="470" t="s">
        <v>273</v>
      </c>
      <c r="I85" s="470">
        <v>54</v>
      </c>
      <c r="J85" s="470">
        <v>121</v>
      </c>
      <c r="K85" s="470">
        <v>79</v>
      </c>
      <c r="L85" s="470">
        <v>121</v>
      </c>
      <c r="M85" s="470">
        <v>10</v>
      </c>
      <c r="N85" s="470">
        <v>53</v>
      </c>
      <c r="O85" s="470">
        <v>42</v>
      </c>
      <c r="P85" s="470">
        <v>-27</v>
      </c>
      <c r="Q85" s="470">
        <v>-51</v>
      </c>
      <c r="R85" s="470">
        <v>-3</v>
      </c>
      <c r="S85" s="470">
        <v>-42</v>
      </c>
      <c r="T85" s="470">
        <v>-47</v>
      </c>
      <c r="U85" s="470">
        <v>-24</v>
      </c>
      <c r="V85" s="470">
        <v>22</v>
      </c>
      <c r="W85" s="470" t="s">
        <v>291</v>
      </c>
      <c r="X85" s="470">
        <v>-89</v>
      </c>
      <c r="Y85" s="470">
        <v>425</v>
      </c>
      <c r="Z85" s="470" t="s">
        <v>291</v>
      </c>
      <c r="AA85" s="470" t="s">
        <v>291</v>
      </c>
      <c r="AB85" s="470">
        <v>818</v>
      </c>
      <c r="AC85" s="470" t="s">
        <v>291</v>
      </c>
      <c r="AD85" s="470" t="s">
        <v>291</v>
      </c>
      <c r="AE85" s="470">
        <v>-479</v>
      </c>
      <c r="AF85" s="470">
        <v>-296</v>
      </c>
      <c r="AG85" s="470" t="s">
        <v>291</v>
      </c>
      <c r="AH85" s="470" t="s">
        <v>291</v>
      </c>
      <c r="AI85" s="470" t="s">
        <v>291</v>
      </c>
      <c r="AJ85" s="470" t="s">
        <v>291</v>
      </c>
      <c r="AK85" s="470" t="s">
        <v>291</v>
      </c>
      <c r="AL85" s="470">
        <v>196</v>
      </c>
    </row>
    <row r="86" spans="1:38">
      <c r="A86" s="470" t="s">
        <v>67</v>
      </c>
      <c r="B86" s="470">
        <v>130</v>
      </c>
      <c r="C86" s="470">
        <v>143</v>
      </c>
      <c r="D86" s="470">
        <v>263</v>
      </c>
      <c r="E86" s="470">
        <v>64</v>
      </c>
      <c r="F86" s="470">
        <v>88</v>
      </c>
      <c r="G86" s="470">
        <v>94</v>
      </c>
      <c r="H86" s="470">
        <v>115</v>
      </c>
      <c r="I86" s="470">
        <v>3</v>
      </c>
      <c r="J86" s="470">
        <v>30</v>
      </c>
      <c r="K86" s="470">
        <v>11</v>
      </c>
      <c r="L86" s="470">
        <v>45</v>
      </c>
      <c r="M86" s="470">
        <v>25</v>
      </c>
      <c r="N86" s="470">
        <v>25</v>
      </c>
      <c r="O86" s="470">
        <v>24</v>
      </c>
      <c r="P86" s="470">
        <v>70</v>
      </c>
      <c r="Q86" s="470">
        <v>-6</v>
      </c>
      <c r="R86" s="470">
        <v>54</v>
      </c>
      <c r="S86" s="470">
        <v>50</v>
      </c>
      <c r="T86" s="470">
        <v>103</v>
      </c>
      <c r="U86" s="470">
        <v>75</v>
      </c>
      <c r="V86" s="470">
        <v>70</v>
      </c>
      <c r="W86" s="470">
        <v>74</v>
      </c>
      <c r="X86" s="470">
        <v>-38</v>
      </c>
      <c r="Y86" s="470">
        <v>-55</v>
      </c>
      <c r="Z86" s="470">
        <v>-52</v>
      </c>
      <c r="AA86" s="470">
        <v>-29</v>
      </c>
      <c r="AB86" s="470">
        <v>13</v>
      </c>
      <c r="AC86" s="470">
        <v>-85</v>
      </c>
      <c r="AD86" s="470">
        <v>-166</v>
      </c>
      <c r="AE86" s="470">
        <v>-139</v>
      </c>
      <c r="AF86" s="470">
        <v>-103</v>
      </c>
      <c r="AG86" s="470" t="s">
        <v>291</v>
      </c>
      <c r="AH86" s="470" t="s">
        <v>291</v>
      </c>
      <c r="AI86" s="470" t="s">
        <v>291</v>
      </c>
      <c r="AJ86" s="470" t="s">
        <v>291</v>
      </c>
      <c r="AK86" s="470" t="s">
        <v>291</v>
      </c>
      <c r="AL86" s="470">
        <v>66</v>
      </c>
    </row>
    <row r="87" spans="1:38">
      <c r="A87" s="470" t="s">
        <v>1433</v>
      </c>
      <c r="B87" s="470">
        <v>31</v>
      </c>
      <c r="C87" s="470">
        <v>35</v>
      </c>
      <c r="D87" s="470">
        <v>91</v>
      </c>
      <c r="E87" s="470">
        <v>28</v>
      </c>
      <c r="F87" s="470">
        <v>36</v>
      </c>
      <c r="G87" s="470">
        <v>34</v>
      </c>
      <c r="H87" s="470">
        <v>25</v>
      </c>
      <c r="I87" s="470">
        <v>11</v>
      </c>
      <c r="J87" s="470">
        <v>26</v>
      </c>
      <c r="K87" s="470">
        <v>6</v>
      </c>
      <c r="L87" s="470" t="s">
        <v>291</v>
      </c>
      <c r="M87" s="470">
        <v>30</v>
      </c>
      <c r="N87" s="470" t="s">
        <v>291</v>
      </c>
      <c r="O87" s="470">
        <v>21</v>
      </c>
      <c r="P87" s="470" t="s">
        <v>291</v>
      </c>
      <c r="Q87" s="470" t="s">
        <v>291</v>
      </c>
      <c r="R87" s="470">
        <v>42</v>
      </c>
      <c r="S87" s="470">
        <v>45</v>
      </c>
      <c r="T87" s="470">
        <v>66</v>
      </c>
      <c r="U87" s="470">
        <v>30</v>
      </c>
      <c r="V87" s="470" t="s">
        <v>291</v>
      </c>
      <c r="W87" s="470">
        <v>32</v>
      </c>
      <c r="X87" s="470">
        <v>-32</v>
      </c>
      <c r="Y87" s="470" t="s">
        <v>291</v>
      </c>
      <c r="Z87" s="470" t="s">
        <v>291</v>
      </c>
      <c r="AA87" s="470" t="s">
        <v>291</v>
      </c>
      <c r="AB87" s="470">
        <v>2</v>
      </c>
      <c r="AC87" s="470" t="s">
        <v>291</v>
      </c>
      <c r="AD87" s="470">
        <v>-43</v>
      </c>
      <c r="AE87" s="470" t="s">
        <v>291</v>
      </c>
      <c r="AF87" s="470" t="s">
        <v>291</v>
      </c>
      <c r="AG87" s="470" t="s">
        <v>291</v>
      </c>
      <c r="AH87" s="470">
        <v>-121</v>
      </c>
      <c r="AI87" s="470">
        <v>-20</v>
      </c>
      <c r="AJ87" s="470" t="s">
        <v>291</v>
      </c>
      <c r="AK87" s="470">
        <v>-88</v>
      </c>
      <c r="AL87" s="470">
        <v>-71</v>
      </c>
    </row>
    <row r="88" spans="1:38">
      <c r="A88" s="470" t="s">
        <v>427</v>
      </c>
      <c r="B88" s="470">
        <v>0</v>
      </c>
      <c r="C88" s="470">
        <v>0</v>
      </c>
      <c r="D88" s="470">
        <v>0</v>
      </c>
      <c r="E88" s="470">
        <v>0</v>
      </c>
      <c r="F88" s="470">
        <v>0</v>
      </c>
      <c r="G88" s="470">
        <v>0</v>
      </c>
      <c r="H88" s="470">
        <v>0</v>
      </c>
      <c r="I88" s="470">
        <v>0</v>
      </c>
      <c r="J88" s="470">
        <v>0</v>
      </c>
      <c r="K88" s="470">
        <v>0</v>
      </c>
      <c r="L88" s="470">
        <v>0</v>
      </c>
      <c r="M88" s="470">
        <v>0</v>
      </c>
      <c r="N88" s="470">
        <v>0</v>
      </c>
      <c r="O88" s="470">
        <v>0</v>
      </c>
      <c r="P88" s="470">
        <v>0</v>
      </c>
      <c r="Q88" s="470">
        <v>0</v>
      </c>
      <c r="R88" s="470">
        <v>0</v>
      </c>
      <c r="S88" s="470">
        <v>0</v>
      </c>
      <c r="T88" s="470">
        <v>0</v>
      </c>
      <c r="U88" s="470">
        <v>0</v>
      </c>
      <c r="V88" s="470">
        <v>0</v>
      </c>
      <c r="W88" s="470">
        <v>0</v>
      </c>
      <c r="X88" s="470">
        <v>0</v>
      </c>
      <c r="Y88" s="470">
        <v>0</v>
      </c>
      <c r="Z88" s="470">
        <v>0</v>
      </c>
      <c r="AA88" s="470">
        <v>0</v>
      </c>
      <c r="AB88" s="470">
        <v>0</v>
      </c>
      <c r="AC88" s="470">
        <v>-1</v>
      </c>
      <c r="AD88" s="470">
        <v>-1</v>
      </c>
      <c r="AE88" s="470">
        <v>-1</v>
      </c>
      <c r="AF88" s="470" t="s">
        <v>306</v>
      </c>
      <c r="AG88" s="470" t="s">
        <v>306</v>
      </c>
      <c r="AH88" s="470">
        <v>-2</v>
      </c>
      <c r="AI88" s="470">
        <v>-1</v>
      </c>
      <c r="AJ88" s="470">
        <v>-1</v>
      </c>
      <c r="AK88" s="470" t="s">
        <v>306</v>
      </c>
      <c r="AL88" s="470" t="s">
        <v>291</v>
      </c>
    </row>
    <row r="89" spans="1:38">
      <c r="A89" s="470" t="s">
        <v>439</v>
      </c>
      <c r="B89" s="470">
        <v>0</v>
      </c>
      <c r="C89" s="470">
        <v>0</v>
      </c>
      <c r="D89" s="470">
        <v>0</v>
      </c>
      <c r="E89" s="470">
        <v>0</v>
      </c>
      <c r="F89" s="470">
        <v>0</v>
      </c>
      <c r="G89" s="470">
        <v>0</v>
      </c>
      <c r="H89" s="470">
        <v>0</v>
      </c>
      <c r="I89" s="470">
        <v>0</v>
      </c>
      <c r="J89" s="470">
        <v>0</v>
      </c>
      <c r="K89" s="470">
        <v>0</v>
      </c>
      <c r="L89" s="470">
        <v>0</v>
      </c>
      <c r="M89" s="470" t="s">
        <v>306</v>
      </c>
      <c r="N89" s="470" t="s">
        <v>306</v>
      </c>
      <c r="O89" s="470" t="s">
        <v>306</v>
      </c>
      <c r="P89" s="470" t="s">
        <v>306</v>
      </c>
      <c r="Q89" s="470">
        <v>1</v>
      </c>
      <c r="R89" s="470">
        <v>1</v>
      </c>
      <c r="S89" s="470">
        <v>2</v>
      </c>
      <c r="T89" s="470">
        <v>2</v>
      </c>
      <c r="U89" s="470">
        <v>3</v>
      </c>
      <c r="V89" s="470">
        <v>6</v>
      </c>
      <c r="W89" s="470" t="s">
        <v>306</v>
      </c>
      <c r="X89" s="470">
        <v>0</v>
      </c>
      <c r="Y89" s="470">
        <v>0</v>
      </c>
      <c r="Z89" s="470">
        <v>0</v>
      </c>
      <c r="AA89" s="470">
        <v>0</v>
      </c>
      <c r="AB89" s="470">
        <v>0</v>
      </c>
      <c r="AC89" s="470">
        <v>0</v>
      </c>
      <c r="AD89" s="470">
        <v>0</v>
      </c>
      <c r="AE89" s="470">
        <v>0</v>
      </c>
      <c r="AF89" s="470">
        <v>0</v>
      </c>
      <c r="AG89" s="470">
        <v>0</v>
      </c>
      <c r="AH89" s="470" t="s">
        <v>306</v>
      </c>
      <c r="AI89" s="470" t="s">
        <v>306</v>
      </c>
      <c r="AJ89" s="470" t="s">
        <v>306</v>
      </c>
      <c r="AK89" s="470" t="s">
        <v>306</v>
      </c>
      <c r="AL89" s="470" t="s">
        <v>291</v>
      </c>
    </row>
    <row r="90" spans="1:38">
      <c r="A90" s="470" t="s">
        <v>1432</v>
      </c>
      <c r="B90" s="470">
        <v>71</v>
      </c>
      <c r="C90" s="470">
        <v>75</v>
      </c>
      <c r="D90" s="470">
        <v>177</v>
      </c>
      <c r="E90" s="470">
        <v>16</v>
      </c>
      <c r="F90" s="470">
        <v>29</v>
      </c>
      <c r="G90" s="470">
        <v>19</v>
      </c>
      <c r="H90" s="470">
        <v>12</v>
      </c>
      <c r="I90" s="470" t="s">
        <v>273</v>
      </c>
      <c r="J90" s="470" t="s">
        <v>273</v>
      </c>
      <c r="K90" s="470" t="s">
        <v>273</v>
      </c>
      <c r="L90" s="470" t="s">
        <v>273</v>
      </c>
      <c r="M90" s="470" t="s">
        <v>273</v>
      </c>
      <c r="N90" s="470" t="s">
        <v>273</v>
      </c>
      <c r="O90" s="470" t="s">
        <v>273</v>
      </c>
      <c r="P90" s="470" t="s">
        <v>273</v>
      </c>
      <c r="Q90" s="470" t="s">
        <v>273</v>
      </c>
      <c r="R90" s="470" t="s">
        <v>273</v>
      </c>
      <c r="S90" s="470" t="s">
        <v>273</v>
      </c>
      <c r="T90" s="470" t="s">
        <v>273</v>
      </c>
      <c r="U90" s="470" t="s">
        <v>273</v>
      </c>
      <c r="V90" s="470" t="s">
        <v>273</v>
      </c>
      <c r="W90" s="470" t="s">
        <v>273</v>
      </c>
      <c r="X90" s="470" t="s">
        <v>273</v>
      </c>
      <c r="Y90" s="470" t="s">
        <v>273</v>
      </c>
      <c r="Z90" s="470" t="s">
        <v>273</v>
      </c>
      <c r="AA90" s="470" t="s">
        <v>273</v>
      </c>
      <c r="AB90" s="470" t="s">
        <v>273</v>
      </c>
      <c r="AC90" s="470" t="s">
        <v>273</v>
      </c>
      <c r="AD90" s="470" t="s">
        <v>273</v>
      </c>
      <c r="AE90" s="470" t="s">
        <v>273</v>
      </c>
      <c r="AF90" s="470" t="s">
        <v>273</v>
      </c>
      <c r="AG90" s="470" t="s">
        <v>273</v>
      </c>
      <c r="AH90" s="470" t="s">
        <v>273</v>
      </c>
      <c r="AI90" s="470" t="s">
        <v>273</v>
      </c>
      <c r="AJ90" s="470" t="s">
        <v>273</v>
      </c>
      <c r="AK90" s="470" t="s">
        <v>273</v>
      </c>
      <c r="AL90" s="470" t="s">
        <v>273</v>
      </c>
    </row>
    <row r="91" spans="1:38">
      <c r="A91" s="470" t="s">
        <v>1431</v>
      </c>
      <c r="B91" s="470" t="s">
        <v>306</v>
      </c>
      <c r="C91" s="470" t="s">
        <v>306</v>
      </c>
      <c r="D91" s="470">
        <v>-1</v>
      </c>
      <c r="E91" s="470">
        <v>-1</v>
      </c>
      <c r="F91" s="470" t="s">
        <v>306</v>
      </c>
      <c r="G91" s="470" t="s">
        <v>306</v>
      </c>
      <c r="H91" s="470">
        <v>2</v>
      </c>
      <c r="I91" s="470">
        <v>2</v>
      </c>
      <c r="J91" s="470">
        <v>3</v>
      </c>
      <c r="K91" s="470">
        <v>4</v>
      </c>
      <c r="L91" s="470" t="s">
        <v>306</v>
      </c>
      <c r="M91" s="470">
        <v>3</v>
      </c>
      <c r="N91" s="470">
        <v>2</v>
      </c>
      <c r="O91" s="470">
        <v>1</v>
      </c>
      <c r="P91" s="470">
        <v>3</v>
      </c>
      <c r="Q91" s="470">
        <v>3</v>
      </c>
      <c r="R91" s="470">
        <v>5</v>
      </c>
      <c r="S91" s="470">
        <v>1</v>
      </c>
      <c r="T91" s="470">
        <v>28</v>
      </c>
      <c r="U91" s="470">
        <v>21</v>
      </c>
      <c r="V91" s="470">
        <v>16</v>
      </c>
      <c r="W91" s="470">
        <v>24</v>
      </c>
      <c r="X91" s="470" t="s">
        <v>306</v>
      </c>
      <c r="Y91" s="470" t="s">
        <v>291</v>
      </c>
      <c r="Z91" s="470">
        <v>1</v>
      </c>
      <c r="AA91" s="470">
        <v>3</v>
      </c>
      <c r="AB91" s="470">
        <v>-4</v>
      </c>
      <c r="AC91" s="470">
        <v>1</v>
      </c>
      <c r="AD91" s="470">
        <v>-3</v>
      </c>
      <c r="AE91" s="470">
        <v>-7</v>
      </c>
      <c r="AF91" s="470">
        <v>16</v>
      </c>
      <c r="AG91" s="470">
        <v>39</v>
      </c>
      <c r="AH91" s="470">
        <v>37</v>
      </c>
      <c r="AI91" s="470">
        <v>65</v>
      </c>
      <c r="AJ91" s="470">
        <v>69</v>
      </c>
      <c r="AK91" s="470">
        <v>69</v>
      </c>
      <c r="AL91" s="470">
        <v>85</v>
      </c>
    </row>
    <row r="92" spans="1:38">
      <c r="A92" s="470" t="s">
        <v>1430</v>
      </c>
      <c r="B92" s="470">
        <v>3</v>
      </c>
      <c r="C92" s="470">
        <v>7</v>
      </c>
      <c r="D92" s="470" t="s">
        <v>306</v>
      </c>
      <c r="E92" s="470">
        <v>4</v>
      </c>
      <c r="F92" s="470">
        <v>6</v>
      </c>
      <c r="G92" s="470">
        <v>2</v>
      </c>
      <c r="H92" s="470">
        <v>12</v>
      </c>
      <c r="I92" s="470">
        <v>-9</v>
      </c>
      <c r="J92" s="470">
        <v>1</v>
      </c>
      <c r="K92" s="470">
        <v>-2</v>
      </c>
      <c r="L92" s="470">
        <v>-2</v>
      </c>
      <c r="M92" s="470">
        <v>-7</v>
      </c>
      <c r="N92" s="470">
        <v>-10</v>
      </c>
      <c r="O92" s="470">
        <v>1</v>
      </c>
      <c r="P92" s="470">
        <v>5</v>
      </c>
      <c r="Q92" s="470">
        <v>7</v>
      </c>
      <c r="R92" s="470">
        <v>-1</v>
      </c>
      <c r="S92" s="470">
        <v>10</v>
      </c>
      <c r="T92" s="470">
        <v>6</v>
      </c>
      <c r="U92" s="470">
        <v>6</v>
      </c>
      <c r="V92" s="470">
        <v>6</v>
      </c>
      <c r="W92" s="470">
        <v>3</v>
      </c>
      <c r="X92" s="470">
        <v>-8</v>
      </c>
      <c r="Y92" s="470">
        <v>-5</v>
      </c>
      <c r="Z92" s="470" t="s">
        <v>291</v>
      </c>
      <c r="AA92" s="470">
        <v>2</v>
      </c>
      <c r="AB92" s="470">
        <v>3</v>
      </c>
      <c r="AC92" s="470">
        <v>6</v>
      </c>
      <c r="AD92" s="470">
        <v>-133</v>
      </c>
      <c r="AE92" s="470">
        <v>1</v>
      </c>
      <c r="AF92" s="470">
        <v>-18</v>
      </c>
      <c r="AG92" s="470">
        <v>-5</v>
      </c>
      <c r="AH92" s="470">
        <v>-54</v>
      </c>
      <c r="AI92" s="470">
        <v>-81</v>
      </c>
      <c r="AJ92" s="470">
        <v>74</v>
      </c>
      <c r="AK92" s="470">
        <v>19</v>
      </c>
      <c r="AL92" s="470">
        <v>21</v>
      </c>
    </row>
    <row r="93" spans="1:38">
      <c r="A93" s="470" t="s">
        <v>1429</v>
      </c>
      <c r="B93" s="470" t="s">
        <v>306</v>
      </c>
      <c r="C93" s="470" t="s">
        <v>306</v>
      </c>
      <c r="D93" s="470" t="s">
        <v>306</v>
      </c>
      <c r="E93" s="470" t="s">
        <v>306</v>
      </c>
      <c r="F93" s="470" t="s">
        <v>306</v>
      </c>
      <c r="G93" s="470" t="s">
        <v>306</v>
      </c>
      <c r="H93" s="470" t="s">
        <v>306</v>
      </c>
      <c r="I93" s="470" t="s">
        <v>306</v>
      </c>
      <c r="J93" s="470" t="s">
        <v>306</v>
      </c>
      <c r="K93" s="470" t="s">
        <v>306</v>
      </c>
      <c r="L93" s="470" t="s">
        <v>306</v>
      </c>
      <c r="M93" s="470" t="s">
        <v>306</v>
      </c>
      <c r="N93" s="470" t="s">
        <v>306</v>
      </c>
      <c r="O93" s="470">
        <v>1</v>
      </c>
      <c r="P93" s="470">
        <v>1</v>
      </c>
      <c r="Q93" s="470">
        <v>1</v>
      </c>
      <c r="R93" s="470">
        <v>1</v>
      </c>
      <c r="S93" s="470">
        <v>1</v>
      </c>
      <c r="T93" s="470">
        <v>0</v>
      </c>
      <c r="U93" s="470" t="s">
        <v>306</v>
      </c>
      <c r="V93" s="470" t="s">
        <v>306</v>
      </c>
      <c r="W93" s="470" t="s">
        <v>306</v>
      </c>
      <c r="X93" s="470" t="s">
        <v>306</v>
      </c>
      <c r="Y93" s="470">
        <v>-1</v>
      </c>
      <c r="Z93" s="470" t="s">
        <v>306</v>
      </c>
      <c r="AA93" s="470" t="s">
        <v>306</v>
      </c>
      <c r="AB93" s="470">
        <v>-1</v>
      </c>
      <c r="AC93" s="470">
        <v>-6</v>
      </c>
      <c r="AD93" s="470">
        <v>-2</v>
      </c>
      <c r="AE93" s="470" t="s">
        <v>306</v>
      </c>
      <c r="AF93" s="470">
        <v>1</v>
      </c>
      <c r="AG93" s="470" t="s">
        <v>291</v>
      </c>
      <c r="AH93" s="470">
        <v>2</v>
      </c>
      <c r="AI93" s="470">
        <v>1</v>
      </c>
      <c r="AJ93" s="470">
        <v>2</v>
      </c>
      <c r="AK93" s="470">
        <v>1</v>
      </c>
      <c r="AL93" s="470">
        <v>-2</v>
      </c>
    </row>
    <row r="94" spans="1:38">
      <c r="A94" s="470" t="s">
        <v>1428</v>
      </c>
      <c r="B94" s="470">
        <v>1</v>
      </c>
      <c r="C94" s="470">
        <v>3</v>
      </c>
      <c r="D94" s="470">
        <v>4</v>
      </c>
      <c r="E94" s="470">
        <v>5</v>
      </c>
      <c r="F94" s="470">
        <v>5</v>
      </c>
      <c r="G94" s="470">
        <v>4</v>
      </c>
      <c r="H94" s="470">
        <v>4</v>
      </c>
      <c r="I94" s="470">
        <v>-1</v>
      </c>
      <c r="J94" s="470">
        <v>-1</v>
      </c>
      <c r="K94" s="470" t="s">
        <v>306</v>
      </c>
      <c r="L94" s="470">
        <v>-1</v>
      </c>
      <c r="M94" s="470" t="s">
        <v>306</v>
      </c>
      <c r="N94" s="470">
        <v>-1</v>
      </c>
      <c r="O94" s="470">
        <v>-1</v>
      </c>
      <c r="P94" s="470" t="s">
        <v>306</v>
      </c>
      <c r="Q94" s="470">
        <v>2</v>
      </c>
      <c r="R94" s="470">
        <v>2</v>
      </c>
      <c r="S94" s="470">
        <v>3</v>
      </c>
      <c r="T94" s="470">
        <v>4</v>
      </c>
      <c r="U94" s="470">
        <v>-2</v>
      </c>
      <c r="V94" s="470">
        <v>2</v>
      </c>
      <c r="W94" s="470">
        <v>1</v>
      </c>
      <c r="X94" s="470">
        <v>1</v>
      </c>
      <c r="Y94" s="470">
        <v>2</v>
      </c>
      <c r="Z94" s="470">
        <v>5</v>
      </c>
      <c r="AA94" s="470" t="s">
        <v>291</v>
      </c>
      <c r="AB94" s="470">
        <v>5</v>
      </c>
      <c r="AC94" s="470">
        <v>1</v>
      </c>
      <c r="AD94" s="470">
        <v>3</v>
      </c>
      <c r="AE94" s="470" t="s">
        <v>291</v>
      </c>
      <c r="AF94" s="470">
        <v>-1</v>
      </c>
      <c r="AG94" s="470">
        <v>-10</v>
      </c>
      <c r="AH94" s="470">
        <v>-10</v>
      </c>
      <c r="AI94" s="470">
        <v>1</v>
      </c>
      <c r="AJ94" s="470">
        <v>1</v>
      </c>
      <c r="AK94" s="470">
        <v>1</v>
      </c>
      <c r="AL94" s="470">
        <v>1</v>
      </c>
    </row>
    <row r="95" spans="1:38">
      <c r="A95" s="470" t="s">
        <v>426</v>
      </c>
      <c r="B95" s="470">
        <v>1</v>
      </c>
      <c r="C95" s="470">
        <v>1</v>
      </c>
      <c r="D95" s="470">
        <v>1</v>
      </c>
      <c r="E95" s="470">
        <v>2</v>
      </c>
      <c r="F95" s="470">
        <v>2</v>
      </c>
      <c r="G95" s="470" t="s">
        <v>291</v>
      </c>
      <c r="H95" s="470">
        <v>2</v>
      </c>
      <c r="I95" s="470" t="s">
        <v>306</v>
      </c>
      <c r="J95" s="470" t="s">
        <v>306</v>
      </c>
      <c r="K95" s="470" t="s">
        <v>306</v>
      </c>
      <c r="L95" s="470" t="s">
        <v>306</v>
      </c>
      <c r="M95" s="470" t="s">
        <v>306</v>
      </c>
      <c r="N95" s="470" t="s">
        <v>306</v>
      </c>
      <c r="O95" s="470" t="s">
        <v>306</v>
      </c>
      <c r="P95" s="470" t="s">
        <v>306</v>
      </c>
      <c r="Q95" s="470" t="s">
        <v>306</v>
      </c>
      <c r="R95" s="470" t="s">
        <v>306</v>
      </c>
      <c r="S95" s="470" t="s">
        <v>306</v>
      </c>
      <c r="T95" s="470" t="s">
        <v>306</v>
      </c>
      <c r="U95" s="470" t="s">
        <v>306</v>
      </c>
      <c r="V95" s="470" t="s">
        <v>306</v>
      </c>
      <c r="W95" s="470" t="s">
        <v>306</v>
      </c>
      <c r="X95" s="470">
        <v>1</v>
      </c>
      <c r="Y95" s="470">
        <v>1</v>
      </c>
      <c r="Z95" s="470" t="s">
        <v>306</v>
      </c>
      <c r="AA95" s="470" t="s">
        <v>306</v>
      </c>
      <c r="AB95" s="470" t="s">
        <v>306</v>
      </c>
      <c r="AC95" s="470" t="s">
        <v>306</v>
      </c>
      <c r="AD95" s="470" t="s">
        <v>306</v>
      </c>
      <c r="AE95" s="470" t="s">
        <v>306</v>
      </c>
      <c r="AF95" s="470" t="s">
        <v>306</v>
      </c>
      <c r="AG95" s="470" t="s">
        <v>306</v>
      </c>
      <c r="AH95" s="470">
        <v>-6</v>
      </c>
      <c r="AI95" s="470" t="s">
        <v>306</v>
      </c>
      <c r="AJ95" s="470" t="s">
        <v>306</v>
      </c>
      <c r="AK95" s="470" t="s">
        <v>306</v>
      </c>
      <c r="AL95" s="470" t="s">
        <v>306</v>
      </c>
    </row>
    <row r="96" spans="1:38">
      <c r="A96" s="470" t="s">
        <v>438</v>
      </c>
      <c r="B96" s="470" t="s">
        <v>273</v>
      </c>
      <c r="C96" s="470" t="s">
        <v>273</v>
      </c>
      <c r="D96" s="470" t="s">
        <v>273</v>
      </c>
      <c r="E96" s="470" t="s">
        <v>273</v>
      </c>
      <c r="F96" s="470" t="s">
        <v>273</v>
      </c>
      <c r="G96" s="470" t="s">
        <v>273</v>
      </c>
      <c r="H96" s="470" t="s">
        <v>273</v>
      </c>
      <c r="I96" s="470">
        <v>0</v>
      </c>
      <c r="J96" s="470">
        <v>0</v>
      </c>
      <c r="K96" s="470">
        <v>0</v>
      </c>
      <c r="L96" s="470">
        <v>0</v>
      </c>
      <c r="M96" s="470">
        <v>0</v>
      </c>
      <c r="N96" s="470">
        <v>0</v>
      </c>
      <c r="O96" s="470">
        <v>0</v>
      </c>
      <c r="P96" s="470">
        <v>0</v>
      </c>
      <c r="Q96" s="470">
        <v>0</v>
      </c>
      <c r="R96" s="470">
        <v>0</v>
      </c>
      <c r="S96" s="470">
        <v>0</v>
      </c>
      <c r="T96" s="470">
        <v>0</v>
      </c>
      <c r="U96" s="470">
        <v>0</v>
      </c>
      <c r="V96" s="470">
        <v>0</v>
      </c>
      <c r="W96" s="470">
        <v>0</v>
      </c>
      <c r="X96" s="470">
        <v>0</v>
      </c>
      <c r="Y96" s="470">
        <v>0</v>
      </c>
      <c r="Z96" s="470" t="s">
        <v>273</v>
      </c>
      <c r="AA96" s="470" t="s">
        <v>273</v>
      </c>
      <c r="AB96" s="470" t="s">
        <v>273</v>
      </c>
      <c r="AC96" s="470" t="s">
        <v>273</v>
      </c>
      <c r="AD96" s="470">
        <v>0</v>
      </c>
      <c r="AE96" s="470">
        <v>0</v>
      </c>
      <c r="AF96" s="470">
        <v>0</v>
      </c>
      <c r="AG96" s="470">
        <v>0</v>
      </c>
      <c r="AH96" s="470">
        <v>0</v>
      </c>
      <c r="AI96" s="470">
        <v>0</v>
      </c>
      <c r="AJ96" s="470">
        <v>0</v>
      </c>
      <c r="AK96" s="470">
        <v>0</v>
      </c>
      <c r="AL96" s="470">
        <v>0</v>
      </c>
    </row>
    <row r="97" spans="1:38">
      <c r="A97" s="470" t="s">
        <v>425</v>
      </c>
      <c r="B97" s="470" t="s">
        <v>306</v>
      </c>
      <c r="C97" s="470" t="s">
        <v>306</v>
      </c>
      <c r="D97" s="470" t="s">
        <v>306</v>
      </c>
      <c r="E97" s="470">
        <v>1</v>
      </c>
      <c r="F97" s="470">
        <v>1</v>
      </c>
      <c r="G97" s="470" t="s">
        <v>306</v>
      </c>
      <c r="H97" s="470" t="s">
        <v>306</v>
      </c>
      <c r="I97" s="470" t="s">
        <v>306</v>
      </c>
      <c r="J97" s="470" t="s">
        <v>306</v>
      </c>
      <c r="K97" s="470" t="s">
        <v>306</v>
      </c>
      <c r="L97" s="470">
        <v>-1</v>
      </c>
      <c r="M97" s="470">
        <v>-1</v>
      </c>
      <c r="N97" s="470" t="s">
        <v>306</v>
      </c>
      <c r="O97" s="470" t="s">
        <v>306</v>
      </c>
      <c r="P97" s="470" t="s">
        <v>306</v>
      </c>
      <c r="Q97" s="470" t="s">
        <v>306</v>
      </c>
      <c r="R97" s="470" t="s">
        <v>306</v>
      </c>
      <c r="S97" s="470" t="s">
        <v>306</v>
      </c>
      <c r="T97" s="470" t="s">
        <v>306</v>
      </c>
      <c r="U97" s="470" t="s">
        <v>306</v>
      </c>
      <c r="V97" s="470">
        <v>2</v>
      </c>
      <c r="W97" s="470">
        <v>2</v>
      </c>
      <c r="X97" s="470">
        <v>3</v>
      </c>
      <c r="Y97" s="470">
        <v>1</v>
      </c>
      <c r="Z97" s="470" t="s">
        <v>306</v>
      </c>
      <c r="AA97" s="470" t="s">
        <v>306</v>
      </c>
      <c r="AB97" s="470" t="s">
        <v>306</v>
      </c>
      <c r="AC97" s="470" t="s">
        <v>291</v>
      </c>
      <c r="AD97" s="470">
        <v>2</v>
      </c>
      <c r="AE97" s="470">
        <v>1</v>
      </c>
      <c r="AF97" s="470">
        <v>1</v>
      </c>
      <c r="AG97" s="470" t="s">
        <v>306</v>
      </c>
      <c r="AH97" s="470">
        <v>1</v>
      </c>
      <c r="AI97" s="470">
        <v>1</v>
      </c>
      <c r="AJ97" s="470" t="s">
        <v>306</v>
      </c>
      <c r="AK97" s="470" t="s">
        <v>306</v>
      </c>
      <c r="AL97" s="470" t="s">
        <v>291</v>
      </c>
    </row>
    <row r="98" spans="1:38">
      <c r="A98" s="470" t="s">
        <v>437</v>
      </c>
      <c r="B98" s="470" t="s">
        <v>273</v>
      </c>
      <c r="C98" s="470" t="s">
        <v>273</v>
      </c>
      <c r="D98" s="470" t="s">
        <v>273</v>
      </c>
      <c r="E98" s="470" t="s">
        <v>273</v>
      </c>
      <c r="F98" s="470" t="s">
        <v>273</v>
      </c>
      <c r="G98" s="470" t="s">
        <v>273</v>
      </c>
      <c r="H98" s="470" t="s">
        <v>273</v>
      </c>
      <c r="I98" s="470">
        <v>0</v>
      </c>
      <c r="J98" s="470">
        <v>0</v>
      </c>
      <c r="K98" s="470">
        <v>0</v>
      </c>
      <c r="L98" s="470">
        <v>0</v>
      </c>
      <c r="M98" s="470">
        <v>0</v>
      </c>
      <c r="N98" s="470">
        <v>0</v>
      </c>
      <c r="O98" s="470">
        <v>0</v>
      </c>
      <c r="P98" s="470">
        <v>0</v>
      </c>
      <c r="Q98" s="470">
        <v>0</v>
      </c>
      <c r="R98" s="470">
        <v>0</v>
      </c>
      <c r="S98" s="470">
        <v>0</v>
      </c>
      <c r="T98" s="470">
        <v>0</v>
      </c>
      <c r="U98" s="470">
        <v>0</v>
      </c>
      <c r="V98" s="470">
        <v>0</v>
      </c>
      <c r="W98" s="470">
        <v>0</v>
      </c>
      <c r="X98" s="470">
        <v>0</v>
      </c>
      <c r="Y98" s="470">
        <v>0</v>
      </c>
      <c r="Z98" s="470">
        <v>0</v>
      </c>
      <c r="AA98" s="470">
        <v>0</v>
      </c>
      <c r="AB98" s="470">
        <v>0</v>
      </c>
      <c r="AC98" s="470" t="s">
        <v>273</v>
      </c>
      <c r="AD98" s="470">
        <v>0</v>
      </c>
      <c r="AE98" s="470">
        <v>0</v>
      </c>
      <c r="AF98" s="470">
        <v>0</v>
      </c>
      <c r="AG98" s="470">
        <v>0</v>
      </c>
      <c r="AH98" s="470">
        <v>0</v>
      </c>
      <c r="AI98" s="470">
        <v>0</v>
      </c>
      <c r="AJ98" s="470">
        <v>0</v>
      </c>
      <c r="AK98" s="470">
        <v>0</v>
      </c>
      <c r="AL98" s="470">
        <v>0</v>
      </c>
    </row>
    <row r="99" spans="1:38">
      <c r="A99" s="470" t="s">
        <v>1427</v>
      </c>
      <c r="B99" s="470" t="s">
        <v>306</v>
      </c>
      <c r="C99" s="470" t="s">
        <v>306</v>
      </c>
      <c r="D99" s="470" t="s">
        <v>306</v>
      </c>
      <c r="E99" s="470" t="s">
        <v>306</v>
      </c>
      <c r="F99" s="470" t="s">
        <v>306</v>
      </c>
      <c r="G99" s="470" t="s">
        <v>306</v>
      </c>
      <c r="H99" s="470" t="s">
        <v>306</v>
      </c>
      <c r="I99" s="470" t="s">
        <v>306</v>
      </c>
      <c r="J99" s="470" t="s">
        <v>306</v>
      </c>
      <c r="K99" s="470">
        <v>-1</v>
      </c>
      <c r="L99" s="470">
        <v>-1</v>
      </c>
      <c r="M99" s="470">
        <v>-1</v>
      </c>
      <c r="N99" s="470">
        <v>-1</v>
      </c>
      <c r="O99" s="470">
        <v>-1</v>
      </c>
      <c r="P99" s="470">
        <v>-1</v>
      </c>
      <c r="Q99" s="470">
        <v>-1</v>
      </c>
      <c r="R99" s="470">
        <v>-2</v>
      </c>
      <c r="S99" s="470">
        <v>-1</v>
      </c>
      <c r="T99" s="470" t="s">
        <v>306</v>
      </c>
      <c r="U99" s="470" t="s">
        <v>306</v>
      </c>
      <c r="V99" s="470" t="s">
        <v>306</v>
      </c>
      <c r="W99" s="470" t="s">
        <v>306</v>
      </c>
      <c r="X99" s="470">
        <v>0</v>
      </c>
      <c r="Y99" s="470">
        <v>0</v>
      </c>
      <c r="Z99" s="470" t="s">
        <v>306</v>
      </c>
      <c r="AA99" s="470" t="s">
        <v>306</v>
      </c>
      <c r="AB99" s="470" t="s">
        <v>306</v>
      </c>
      <c r="AC99" s="470">
        <v>-1</v>
      </c>
      <c r="AD99" s="470" t="s">
        <v>306</v>
      </c>
      <c r="AE99" s="470" t="s">
        <v>306</v>
      </c>
      <c r="AF99" s="470" t="s">
        <v>306</v>
      </c>
      <c r="AG99" s="470" t="s">
        <v>306</v>
      </c>
      <c r="AH99" s="470" t="s">
        <v>306</v>
      </c>
      <c r="AI99" s="470" t="s">
        <v>306</v>
      </c>
      <c r="AJ99" s="470" t="s">
        <v>306</v>
      </c>
      <c r="AK99" s="470" t="s">
        <v>306</v>
      </c>
      <c r="AL99" s="470" t="s">
        <v>291</v>
      </c>
    </row>
    <row r="100" spans="1:38">
      <c r="A100" s="470" t="s">
        <v>1426</v>
      </c>
      <c r="B100" s="470">
        <v>6</v>
      </c>
      <c r="C100" s="470">
        <v>3</v>
      </c>
      <c r="D100" s="470">
        <v>-19</v>
      </c>
      <c r="E100" s="470">
        <v>-13</v>
      </c>
      <c r="F100" s="470">
        <v>-13</v>
      </c>
      <c r="G100" s="470">
        <v>-2</v>
      </c>
      <c r="H100" s="470">
        <v>-15</v>
      </c>
      <c r="I100" s="470" t="s">
        <v>273</v>
      </c>
      <c r="J100" s="470" t="s">
        <v>273</v>
      </c>
      <c r="K100" s="470" t="s">
        <v>273</v>
      </c>
      <c r="L100" s="470" t="s">
        <v>273</v>
      </c>
      <c r="M100" s="470" t="s">
        <v>273</v>
      </c>
      <c r="N100" s="470" t="s">
        <v>273</v>
      </c>
      <c r="O100" s="470" t="s">
        <v>273</v>
      </c>
      <c r="P100" s="470" t="s">
        <v>273</v>
      </c>
      <c r="Q100" s="470" t="s">
        <v>273</v>
      </c>
      <c r="R100" s="470" t="s">
        <v>273</v>
      </c>
      <c r="S100" s="470" t="s">
        <v>273</v>
      </c>
      <c r="T100" s="470" t="s">
        <v>273</v>
      </c>
      <c r="U100" s="470" t="s">
        <v>273</v>
      </c>
      <c r="V100" s="470" t="s">
        <v>273</v>
      </c>
      <c r="W100" s="470" t="s">
        <v>273</v>
      </c>
      <c r="X100" s="470" t="s">
        <v>273</v>
      </c>
      <c r="Y100" s="470" t="s">
        <v>273</v>
      </c>
      <c r="Z100" s="470" t="s">
        <v>273</v>
      </c>
      <c r="AA100" s="470" t="s">
        <v>273</v>
      </c>
      <c r="AB100" s="470" t="s">
        <v>273</v>
      </c>
      <c r="AC100" s="470" t="s">
        <v>273</v>
      </c>
      <c r="AD100" s="470" t="s">
        <v>273</v>
      </c>
      <c r="AE100" s="470" t="s">
        <v>273</v>
      </c>
      <c r="AF100" s="470" t="s">
        <v>273</v>
      </c>
      <c r="AG100" s="470" t="s">
        <v>273</v>
      </c>
      <c r="AH100" s="470" t="s">
        <v>273</v>
      </c>
      <c r="AI100" s="470" t="s">
        <v>273</v>
      </c>
      <c r="AJ100" s="470" t="s">
        <v>273</v>
      </c>
      <c r="AK100" s="470" t="s">
        <v>273</v>
      </c>
      <c r="AL100" s="470" t="s">
        <v>273</v>
      </c>
    </row>
    <row r="101" spans="1:38">
      <c r="A101" s="470" t="s">
        <v>424</v>
      </c>
      <c r="B101" s="470">
        <v>0</v>
      </c>
      <c r="C101" s="470">
        <v>0</v>
      </c>
      <c r="D101" s="470">
        <v>0</v>
      </c>
      <c r="E101" s="470" t="s">
        <v>306</v>
      </c>
      <c r="F101" s="470" t="s">
        <v>306</v>
      </c>
      <c r="G101" s="470" t="s">
        <v>306</v>
      </c>
      <c r="H101" s="470" t="s">
        <v>306</v>
      </c>
      <c r="I101" s="470" t="s">
        <v>306</v>
      </c>
      <c r="J101" s="470" t="s">
        <v>306</v>
      </c>
      <c r="K101" s="470" t="s">
        <v>306</v>
      </c>
      <c r="L101" s="470" t="s">
        <v>306</v>
      </c>
      <c r="M101" s="470" t="s">
        <v>306</v>
      </c>
      <c r="N101" s="470" t="s">
        <v>306</v>
      </c>
      <c r="O101" s="470" t="s">
        <v>306</v>
      </c>
      <c r="P101" s="470" t="s">
        <v>306</v>
      </c>
      <c r="Q101" s="470" t="s">
        <v>306</v>
      </c>
      <c r="R101" s="470" t="s">
        <v>306</v>
      </c>
      <c r="S101" s="470" t="s">
        <v>306</v>
      </c>
      <c r="T101" s="470" t="s">
        <v>306</v>
      </c>
      <c r="U101" s="470" t="s">
        <v>306</v>
      </c>
      <c r="V101" s="470" t="s">
        <v>306</v>
      </c>
      <c r="W101" s="470" t="s">
        <v>306</v>
      </c>
      <c r="X101" s="470">
        <v>0</v>
      </c>
      <c r="Y101" s="470">
        <v>0</v>
      </c>
      <c r="Z101" s="470" t="s">
        <v>306</v>
      </c>
      <c r="AA101" s="470">
        <v>0</v>
      </c>
      <c r="AB101" s="470">
        <v>0</v>
      </c>
      <c r="AC101" s="470" t="s">
        <v>306</v>
      </c>
      <c r="AD101" s="470" t="s">
        <v>306</v>
      </c>
      <c r="AE101" s="470" t="s">
        <v>306</v>
      </c>
      <c r="AF101" s="470">
        <v>0</v>
      </c>
      <c r="AG101" s="470">
        <v>0</v>
      </c>
      <c r="AH101" s="470" t="s">
        <v>306</v>
      </c>
      <c r="AI101" s="470" t="s">
        <v>306</v>
      </c>
      <c r="AJ101" s="470" t="s">
        <v>306</v>
      </c>
      <c r="AK101" s="470" t="s">
        <v>306</v>
      </c>
      <c r="AL101" s="470" t="s">
        <v>291</v>
      </c>
    </row>
    <row r="102" spans="1:38">
      <c r="A102" s="470" t="s">
        <v>436</v>
      </c>
      <c r="B102" s="470" t="s">
        <v>306</v>
      </c>
      <c r="C102" s="470">
        <v>-1</v>
      </c>
      <c r="D102" s="470">
        <v>-1</v>
      </c>
      <c r="E102" s="470">
        <v>-1</v>
      </c>
      <c r="F102" s="470">
        <v>-3</v>
      </c>
      <c r="G102" s="470">
        <v>-5</v>
      </c>
      <c r="H102" s="470" t="s">
        <v>306</v>
      </c>
      <c r="I102" s="470">
        <v>0</v>
      </c>
      <c r="J102" s="470">
        <v>0</v>
      </c>
      <c r="K102" s="470">
        <v>0</v>
      </c>
      <c r="L102" s="470">
        <v>0</v>
      </c>
      <c r="M102" s="470">
        <v>0</v>
      </c>
      <c r="N102" s="470">
        <v>0</v>
      </c>
      <c r="O102" s="470">
        <v>0</v>
      </c>
      <c r="P102" s="470">
        <v>0</v>
      </c>
      <c r="Q102" s="470">
        <v>0</v>
      </c>
      <c r="R102" s="470">
        <v>0</v>
      </c>
      <c r="S102" s="470">
        <v>0</v>
      </c>
      <c r="T102" s="470">
        <v>0</v>
      </c>
      <c r="U102" s="470">
        <v>0</v>
      </c>
      <c r="V102" s="470">
        <v>0</v>
      </c>
      <c r="W102" s="470">
        <v>0</v>
      </c>
      <c r="X102" s="470" t="s">
        <v>306</v>
      </c>
      <c r="Y102" s="470" t="s">
        <v>306</v>
      </c>
      <c r="Z102" s="470" t="s">
        <v>306</v>
      </c>
      <c r="AA102" s="470" t="s">
        <v>291</v>
      </c>
      <c r="AB102" s="470" t="s">
        <v>306</v>
      </c>
      <c r="AC102" s="470">
        <v>0</v>
      </c>
      <c r="AD102" s="470">
        <v>0</v>
      </c>
      <c r="AE102" s="470">
        <v>0</v>
      </c>
      <c r="AF102" s="470">
        <v>0</v>
      </c>
      <c r="AG102" s="470">
        <v>0</v>
      </c>
      <c r="AH102" s="470">
        <v>0</v>
      </c>
      <c r="AI102" s="470">
        <v>0</v>
      </c>
      <c r="AJ102" s="470">
        <v>0</v>
      </c>
      <c r="AK102" s="470">
        <v>0</v>
      </c>
      <c r="AL102" s="470">
        <v>0</v>
      </c>
    </row>
    <row r="103" spans="1:38">
      <c r="A103" s="470" t="s">
        <v>1425</v>
      </c>
      <c r="B103" s="470">
        <v>0</v>
      </c>
      <c r="C103" s="470" t="s">
        <v>306</v>
      </c>
      <c r="D103" s="470" t="s">
        <v>306</v>
      </c>
      <c r="E103" s="470" t="s">
        <v>306</v>
      </c>
      <c r="F103" s="470">
        <v>1</v>
      </c>
      <c r="G103" s="470" t="s">
        <v>306</v>
      </c>
      <c r="H103" s="470">
        <v>1</v>
      </c>
      <c r="I103" s="470">
        <v>1</v>
      </c>
      <c r="J103" s="470">
        <v>1</v>
      </c>
      <c r="K103" s="470">
        <v>3</v>
      </c>
      <c r="L103" s="470" t="s">
        <v>291</v>
      </c>
      <c r="M103" s="470">
        <v>2</v>
      </c>
      <c r="N103" s="470" t="s">
        <v>291</v>
      </c>
      <c r="O103" s="470">
        <v>2</v>
      </c>
      <c r="P103" s="470" t="s">
        <v>291</v>
      </c>
      <c r="Q103" s="470" t="s">
        <v>291</v>
      </c>
      <c r="R103" s="470">
        <v>4</v>
      </c>
      <c r="S103" s="470">
        <v>4</v>
      </c>
      <c r="T103" s="470">
        <v>5</v>
      </c>
      <c r="U103" s="470">
        <v>12</v>
      </c>
      <c r="V103" s="470" t="s">
        <v>291</v>
      </c>
      <c r="W103" s="470">
        <v>13</v>
      </c>
      <c r="X103" s="470">
        <v>-2</v>
      </c>
      <c r="Y103" s="470" t="s">
        <v>306</v>
      </c>
      <c r="Z103" s="470">
        <v>2</v>
      </c>
      <c r="AA103" s="470" t="s">
        <v>306</v>
      </c>
      <c r="AB103" s="470" t="s">
        <v>306</v>
      </c>
      <c r="AC103" s="470">
        <v>5</v>
      </c>
      <c r="AD103" s="470">
        <v>-3</v>
      </c>
      <c r="AE103" s="470">
        <v>-3</v>
      </c>
      <c r="AF103" s="470" t="s">
        <v>291</v>
      </c>
      <c r="AG103" s="470" t="s">
        <v>291</v>
      </c>
      <c r="AH103" s="470" t="s">
        <v>291</v>
      </c>
      <c r="AI103" s="470" t="s">
        <v>291</v>
      </c>
      <c r="AJ103" s="470" t="s">
        <v>291</v>
      </c>
      <c r="AK103" s="470" t="s">
        <v>291</v>
      </c>
      <c r="AL103" s="470" t="s">
        <v>291</v>
      </c>
    </row>
    <row r="104" spans="1:38">
      <c r="A104" s="470" t="s">
        <v>435</v>
      </c>
      <c r="B104" s="470">
        <v>0</v>
      </c>
      <c r="C104" s="470">
        <v>0</v>
      </c>
      <c r="D104" s="470">
        <v>0</v>
      </c>
      <c r="E104" s="470">
        <v>0</v>
      </c>
      <c r="F104" s="470">
        <v>0</v>
      </c>
      <c r="G104" s="470">
        <v>0</v>
      </c>
      <c r="H104" s="470">
        <v>0</v>
      </c>
      <c r="I104" s="470">
        <v>0</v>
      </c>
      <c r="J104" s="470">
        <v>0</v>
      </c>
      <c r="K104" s="470">
        <v>0</v>
      </c>
      <c r="L104" s="470">
        <v>0</v>
      </c>
      <c r="M104" s="470">
        <v>0</v>
      </c>
      <c r="N104" s="470" t="s">
        <v>306</v>
      </c>
      <c r="O104" s="470" t="s">
        <v>306</v>
      </c>
      <c r="P104" s="470" t="s">
        <v>306</v>
      </c>
      <c r="Q104" s="470" t="s">
        <v>306</v>
      </c>
      <c r="R104" s="470" t="s">
        <v>306</v>
      </c>
      <c r="S104" s="470">
        <v>0</v>
      </c>
      <c r="T104" s="470">
        <v>0</v>
      </c>
      <c r="U104" s="470">
        <v>0</v>
      </c>
      <c r="V104" s="470">
        <v>0</v>
      </c>
      <c r="W104" s="470">
        <v>0</v>
      </c>
      <c r="X104" s="470">
        <v>0</v>
      </c>
      <c r="Y104" s="470">
        <v>0</v>
      </c>
      <c r="Z104" s="470" t="s">
        <v>273</v>
      </c>
      <c r="AA104" s="470" t="s">
        <v>273</v>
      </c>
      <c r="AB104" s="470">
        <v>0</v>
      </c>
      <c r="AC104" s="470">
        <v>1</v>
      </c>
      <c r="AD104" s="470">
        <v>1</v>
      </c>
      <c r="AE104" s="470" t="s">
        <v>306</v>
      </c>
      <c r="AF104" s="470" t="s">
        <v>306</v>
      </c>
      <c r="AG104" s="470" t="s">
        <v>306</v>
      </c>
      <c r="AH104" s="470">
        <v>0</v>
      </c>
      <c r="AI104" s="470">
        <v>0</v>
      </c>
      <c r="AJ104" s="470">
        <v>0</v>
      </c>
      <c r="AK104" s="470">
        <v>0</v>
      </c>
      <c r="AL104" s="470">
        <v>0</v>
      </c>
    </row>
    <row r="105" spans="1:38">
      <c r="A105" s="470" t="s">
        <v>434</v>
      </c>
      <c r="B105" s="470" t="s">
        <v>306</v>
      </c>
      <c r="C105" s="470" t="s">
        <v>306</v>
      </c>
      <c r="D105" s="470" t="s">
        <v>306</v>
      </c>
      <c r="E105" s="470">
        <v>-1</v>
      </c>
      <c r="F105" s="470">
        <v>3</v>
      </c>
      <c r="G105" s="470" t="s">
        <v>291</v>
      </c>
      <c r="H105" s="470">
        <v>-1</v>
      </c>
      <c r="I105" s="470" t="s">
        <v>306</v>
      </c>
      <c r="J105" s="470">
        <v>1</v>
      </c>
      <c r="K105" s="470">
        <v>1</v>
      </c>
      <c r="L105" s="470">
        <v>1</v>
      </c>
      <c r="M105" s="470">
        <v>1</v>
      </c>
      <c r="N105" s="470">
        <v>-1</v>
      </c>
      <c r="O105" s="470" t="s">
        <v>306</v>
      </c>
      <c r="P105" s="470">
        <v>4</v>
      </c>
      <c r="Q105" s="470">
        <v>2</v>
      </c>
      <c r="R105" s="470">
        <v>3</v>
      </c>
      <c r="S105" s="470">
        <v>-16</v>
      </c>
      <c r="T105" s="470">
        <v>-8</v>
      </c>
      <c r="U105" s="470">
        <v>4</v>
      </c>
      <c r="V105" s="470">
        <v>-2</v>
      </c>
      <c r="W105" s="470">
        <v>-1</v>
      </c>
      <c r="X105" s="470">
        <v>-1</v>
      </c>
      <c r="Y105" s="470">
        <v>5</v>
      </c>
      <c r="Z105" s="470">
        <v>-3</v>
      </c>
      <c r="AA105" s="470">
        <v>-2</v>
      </c>
      <c r="AB105" s="470">
        <v>8</v>
      </c>
      <c r="AC105" s="470" t="s">
        <v>291</v>
      </c>
      <c r="AD105" s="470">
        <v>14</v>
      </c>
      <c r="AE105" s="470">
        <v>5</v>
      </c>
      <c r="AF105" s="470">
        <v>14</v>
      </c>
      <c r="AG105" s="470">
        <v>11</v>
      </c>
      <c r="AH105" s="470">
        <v>21</v>
      </c>
      <c r="AI105" s="470">
        <v>17</v>
      </c>
      <c r="AJ105" s="470">
        <v>46</v>
      </c>
      <c r="AK105" s="470">
        <v>67</v>
      </c>
      <c r="AL105" s="470">
        <v>28</v>
      </c>
    </row>
    <row r="106" spans="1:38">
      <c r="A106" s="470" t="s">
        <v>1424</v>
      </c>
      <c r="B106" s="470">
        <v>17</v>
      </c>
      <c r="C106" s="470">
        <v>20</v>
      </c>
      <c r="D106" s="470">
        <v>10</v>
      </c>
      <c r="E106" s="470">
        <v>22</v>
      </c>
      <c r="F106" s="470">
        <v>22</v>
      </c>
      <c r="G106" s="470">
        <v>30</v>
      </c>
      <c r="H106" s="470">
        <v>74</v>
      </c>
      <c r="I106" s="470" t="s">
        <v>273</v>
      </c>
      <c r="J106" s="470" t="s">
        <v>273</v>
      </c>
      <c r="K106" s="470" t="s">
        <v>273</v>
      </c>
      <c r="L106" s="470" t="s">
        <v>273</v>
      </c>
      <c r="M106" s="470" t="s">
        <v>273</v>
      </c>
      <c r="N106" s="470" t="s">
        <v>273</v>
      </c>
      <c r="O106" s="470" t="s">
        <v>273</v>
      </c>
      <c r="P106" s="470" t="s">
        <v>273</v>
      </c>
      <c r="Q106" s="470" t="s">
        <v>273</v>
      </c>
      <c r="R106" s="470" t="s">
        <v>273</v>
      </c>
      <c r="S106" s="470" t="s">
        <v>273</v>
      </c>
      <c r="T106" s="470" t="s">
        <v>273</v>
      </c>
      <c r="U106" s="470" t="s">
        <v>273</v>
      </c>
      <c r="V106" s="470" t="s">
        <v>273</v>
      </c>
      <c r="W106" s="470" t="s">
        <v>273</v>
      </c>
      <c r="X106" s="470" t="s">
        <v>273</v>
      </c>
      <c r="Y106" s="470" t="s">
        <v>273</v>
      </c>
      <c r="Z106" s="470" t="s">
        <v>273</v>
      </c>
      <c r="AA106" s="470" t="s">
        <v>273</v>
      </c>
      <c r="AB106" s="470" t="s">
        <v>273</v>
      </c>
      <c r="AC106" s="470" t="s">
        <v>273</v>
      </c>
      <c r="AD106" s="470" t="s">
        <v>273</v>
      </c>
      <c r="AE106" s="470" t="s">
        <v>273</v>
      </c>
      <c r="AF106" s="470" t="s">
        <v>273</v>
      </c>
      <c r="AG106" s="470" t="s">
        <v>273</v>
      </c>
      <c r="AH106" s="470" t="s">
        <v>273</v>
      </c>
      <c r="AI106" s="470" t="s">
        <v>273</v>
      </c>
      <c r="AJ106" s="470" t="s">
        <v>273</v>
      </c>
      <c r="AK106" s="470" t="s">
        <v>273</v>
      </c>
      <c r="AL106" s="470" t="s">
        <v>273</v>
      </c>
    </row>
    <row r="107" spans="1:38">
      <c r="A107" s="470" t="s">
        <v>423</v>
      </c>
      <c r="B107" s="470">
        <v>700</v>
      </c>
      <c r="C107" s="470">
        <v>612</v>
      </c>
      <c r="D107" s="470">
        <v>201</v>
      </c>
      <c r="E107" s="470">
        <v>-129</v>
      </c>
      <c r="F107" s="470">
        <v>22</v>
      </c>
      <c r="G107" s="470">
        <v>-247</v>
      </c>
      <c r="H107" s="470">
        <v>-345</v>
      </c>
      <c r="I107" s="470">
        <v>-332</v>
      </c>
      <c r="J107" s="470">
        <v>-61</v>
      </c>
      <c r="K107" s="470">
        <v>-312</v>
      </c>
      <c r="L107" s="470">
        <v>-372</v>
      </c>
      <c r="M107" s="470">
        <v>-755</v>
      </c>
      <c r="N107" s="470">
        <v>-681</v>
      </c>
      <c r="O107" s="470">
        <v>-20</v>
      </c>
      <c r="P107" s="470">
        <v>842</v>
      </c>
      <c r="Q107" s="470">
        <v>620</v>
      </c>
      <c r="R107" s="470">
        <v>713</v>
      </c>
      <c r="S107" s="470">
        <v>757</v>
      </c>
      <c r="T107" s="470">
        <v>69</v>
      </c>
      <c r="U107" s="470">
        <v>1387</v>
      </c>
      <c r="V107" s="470">
        <v>1693</v>
      </c>
      <c r="W107" s="470">
        <v>-3713</v>
      </c>
      <c r="X107" s="470">
        <v>-1233</v>
      </c>
      <c r="Y107" s="470">
        <v>-788</v>
      </c>
      <c r="Z107" s="470">
        <v>742</v>
      </c>
      <c r="AA107" s="470">
        <v>1938</v>
      </c>
      <c r="AB107" s="470">
        <v>3492</v>
      </c>
      <c r="AC107" s="470">
        <v>4744</v>
      </c>
      <c r="AD107" s="470">
        <v>3808</v>
      </c>
      <c r="AE107" s="470">
        <v>1948</v>
      </c>
      <c r="AF107" s="470">
        <v>1088</v>
      </c>
      <c r="AG107" s="470">
        <v>1232</v>
      </c>
      <c r="AH107" s="470">
        <v>2533</v>
      </c>
      <c r="AI107" s="470">
        <v>4218</v>
      </c>
      <c r="AJ107" s="470">
        <v>5769</v>
      </c>
      <c r="AK107" s="470">
        <v>5987</v>
      </c>
      <c r="AL107" s="470">
        <v>6143</v>
      </c>
    </row>
    <row r="108" spans="1:38">
      <c r="A108" s="470" t="s">
        <v>422</v>
      </c>
      <c r="B108" s="470" t="s">
        <v>273</v>
      </c>
      <c r="C108" s="470" t="s">
        <v>273</v>
      </c>
      <c r="D108" s="470" t="s">
        <v>273</v>
      </c>
      <c r="E108" s="470" t="s">
        <v>273</v>
      </c>
      <c r="F108" s="470" t="s">
        <v>273</v>
      </c>
      <c r="G108" s="470" t="s">
        <v>273</v>
      </c>
      <c r="H108" s="470" t="s">
        <v>273</v>
      </c>
      <c r="I108" s="470">
        <v>8</v>
      </c>
      <c r="J108" s="470" t="s">
        <v>291</v>
      </c>
      <c r="K108" s="470">
        <v>24</v>
      </c>
      <c r="L108" s="470">
        <v>97</v>
      </c>
      <c r="M108" s="470">
        <v>-77</v>
      </c>
      <c r="N108" s="470">
        <v>-14</v>
      </c>
      <c r="O108" s="470">
        <v>17</v>
      </c>
      <c r="P108" s="470">
        <v>55</v>
      </c>
      <c r="Q108" s="470">
        <v>65</v>
      </c>
      <c r="R108" s="470">
        <v>101</v>
      </c>
      <c r="S108" s="470">
        <v>85</v>
      </c>
      <c r="T108" s="470">
        <v>-48</v>
      </c>
      <c r="U108" s="470">
        <v>-131</v>
      </c>
      <c r="V108" s="470">
        <v>7</v>
      </c>
      <c r="W108" s="470">
        <v>-56</v>
      </c>
      <c r="X108" s="470">
        <v>-65</v>
      </c>
      <c r="Y108" s="470">
        <v>21</v>
      </c>
      <c r="Z108" s="470">
        <v>79</v>
      </c>
      <c r="AA108" s="470">
        <v>41</v>
      </c>
      <c r="AB108" s="470">
        <v>31</v>
      </c>
      <c r="AC108" s="470">
        <v>-24</v>
      </c>
      <c r="AD108" s="470">
        <v>-9</v>
      </c>
      <c r="AE108" s="470">
        <v>-76</v>
      </c>
      <c r="AF108" s="470">
        <v>106</v>
      </c>
      <c r="AG108" s="470">
        <v>-99</v>
      </c>
      <c r="AH108" s="470">
        <v>-40</v>
      </c>
      <c r="AI108" s="470">
        <v>1</v>
      </c>
      <c r="AJ108" s="470">
        <v>86</v>
      </c>
      <c r="AK108" s="470">
        <v>49</v>
      </c>
      <c r="AL108" s="470">
        <v>-39</v>
      </c>
    </row>
    <row r="109" spans="1:38">
      <c r="A109" s="470" t="s">
        <v>420</v>
      </c>
      <c r="B109" s="470">
        <v>-47</v>
      </c>
      <c r="C109" s="470">
        <v>-55</v>
      </c>
      <c r="D109" s="470">
        <v>-48</v>
      </c>
      <c r="E109" s="470">
        <v>-210</v>
      </c>
      <c r="F109" s="470">
        <v>-113</v>
      </c>
      <c r="G109" s="470">
        <v>-152</v>
      </c>
      <c r="H109" s="470">
        <v>186</v>
      </c>
      <c r="I109" s="470">
        <v>45</v>
      </c>
      <c r="J109" s="470">
        <v>69</v>
      </c>
      <c r="K109" s="470">
        <v>-146</v>
      </c>
      <c r="L109" s="470">
        <v>-26</v>
      </c>
      <c r="M109" s="470">
        <v>-91</v>
      </c>
      <c r="N109" s="470">
        <v>-194</v>
      </c>
      <c r="O109" s="470">
        <v>-254</v>
      </c>
      <c r="P109" s="470">
        <v>166</v>
      </c>
      <c r="Q109" s="470">
        <v>-45</v>
      </c>
      <c r="R109" s="470">
        <v>-53</v>
      </c>
      <c r="S109" s="470">
        <v>227</v>
      </c>
      <c r="T109" s="470">
        <v>194</v>
      </c>
      <c r="U109" s="470">
        <v>41</v>
      </c>
      <c r="V109" s="470">
        <v>-204</v>
      </c>
      <c r="W109" s="470">
        <v>-4868</v>
      </c>
      <c r="X109" s="470">
        <v>-2251</v>
      </c>
      <c r="Y109" s="470">
        <v>-1205</v>
      </c>
      <c r="Z109" s="470">
        <v>-373</v>
      </c>
      <c r="AA109" s="470">
        <v>-41</v>
      </c>
      <c r="AB109" s="470">
        <v>670</v>
      </c>
      <c r="AC109" s="470">
        <v>450</v>
      </c>
      <c r="AD109" s="470">
        <v>2231</v>
      </c>
      <c r="AE109" s="470">
        <v>1503</v>
      </c>
      <c r="AF109" s="470">
        <v>541</v>
      </c>
      <c r="AG109" s="470">
        <v>-200</v>
      </c>
      <c r="AH109" s="470">
        <v>806</v>
      </c>
      <c r="AI109" s="470">
        <v>1776</v>
      </c>
      <c r="AJ109" s="470">
        <v>1965</v>
      </c>
      <c r="AK109" s="470">
        <v>2716</v>
      </c>
      <c r="AL109" s="470">
        <v>1308</v>
      </c>
    </row>
    <row r="110" spans="1:38">
      <c r="A110" s="470" t="s">
        <v>1423</v>
      </c>
      <c r="B110" s="470" t="s">
        <v>273</v>
      </c>
      <c r="C110" s="470" t="s">
        <v>273</v>
      </c>
      <c r="D110" s="470" t="s">
        <v>273</v>
      </c>
      <c r="E110" s="470" t="s">
        <v>273</v>
      </c>
      <c r="F110" s="470" t="s">
        <v>273</v>
      </c>
      <c r="G110" s="470" t="s">
        <v>273</v>
      </c>
      <c r="H110" s="470" t="s">
        <v>273</v>
      </c>
      <c r="I110" s="470" t="s">
        <v>273</v>
      </c>
      <c r="J110" s="470" t="s">
        <v>273</v>
      </c>
      <c r="K110" s="470" t="s">
        <v>273</v>
      </c>
      <c r="L110" s="470" t="s">
        <v>273</v>
      </c>
      <c r="M110" s="470" t="s">
        <v>273</v>
      </c>
      <c r="N110" s="470" t="s">
        <v>273</v>
      </c>
      <c r="O110" s="470" t="s">
        <v>273</v>
      </c>
      <c r="P110" s="470" t="s">
        <v>273</v>
      </c>
      <c r="Q110" s="470" t="s">
        <v>273</v>
      </c>
      <c r="R110" s="470" t="s">
        <v>273</v>
      </c>
      <c r="S110" s="470" t="s">
        <v>273</v>
      </c>
      <c r="T110" s="470" t="s">
        <v>273</v>
      </c>
      <c r="U110" s="470" t="s">
        <v>273</v>
      </c>
      <c r="V110" s="470" t="s">
        <v>273</v>
      </c>
      <c r="W110" s="470" t="s">
        <v>273</v>
      </c>
      <c r="X110" s="470" t="s">
        <v>273</v>
      </c>
      <c r="Y110" s="470" t="s">
        <v>273</v>
      </c>
      <c r="Z110" s="470" t="s">
        <v>273</v>
      </c>
      <c r="AA110" s="470" t="s">
        <v>273</v>
      </c>
      <c r="AB110" s="470" t="s">
        <v>273</v>
      </c>
      <c r="AC110" s="470" t="s">
        <v>273</v>
      </c>
      <c r="AD110" s="470" t="s">
        <v>1422</v>
      </c>
      <c r="AE110" s="470" t="s">
        <v>1422</v>
      </c>
      <c r="AF110" s="470" t="s">
        <v>1422</v>
      </c>
      <c r="AG110" s="470">
        <v>100</v>
      </c>
      <c r="AH110" s="470">
        <v>169</v>
      </c>
      <c r="AI110" s="470">
        <v>156</v>
      </c>
      <c r="AJ110" s="470">
        <v>-207</v>
      </c>
      <c r="AK110" s="470">
        <v>-22</v>
      </c>
      <c r="AL110" s="470">
        <v>-71</v>
      </c>
    </row>
    <row r="111" spans="1:38">
      <c r="A111" s="470" t="s">
        <v>1421</v>
      </c>
      <c r="B111" s="470">
        <v>646</v>
      </c>
      <c r="C111" s="470">
        <v>579</v>
      </c>
      <c r="D111" s="470">
        <v>255</v>
      </c>
      <c r="E111" s="470">
        <v>267</v>
      </c>
      <c r="F111" s="470">
        <v>168</v>
      </c>
      <c r="G111" s="470">
        <v>-40</v>
      </c>
      <c r="H111" s="470">
        <v>-438</v>
      </c>
      <c r="I111" s="470">
        <v>-206</v>
      </c>
      <c r="J111" s="470">
        <v>117</v>
      </c>
      <c r="K111" s="470">
        <v>-143</v>
      </c>
      <c r="L111" s="470">
        <v>-110</v>
      </c>
      <c r="M111" s="470">
        <v>-133</v>
      </c>
      <c r="N111" s="470">
        <v>-177</v>
      </c>
      <c r="O111" s="470">
        <v>342</v>
      </c>
      <c r="P111" s="470">
        <v>440</v>
      </c>
      <c r="Q111" s="470">
        <v>539</v>
      </c>
      <c r="R111" s="470">
        <v>540</v>
      </c>
      <c r="S111" s="470">
        <v>396</v>
      </c>
      <c r="T111" s="470">
        <v>-57</v>
      </c>
      <c r="U111" s="470">
        <v>-107</v>
      </c>
      <c r="V111" s="470">
        <v>247</v>
      </c>
      <c r="W111" s="470">
        <v>253</v>
      </c>
      <c r="X111" s="470">
        <v>-225</v>
      </c>
      <c r="Y111" s="470">
        <v>-309</v>
      </c>
      <c r="Z111" s="470">
        <v>416</v>
      </c>
      <c r="AA111" s="470">
        <v>659</v>
      </c>
      <c r="AB111" s="470">
        <v>1155</v>
      </c>
      <c r="AC111" s="470">
        <v>1193</v>
      </c>
      <c r="AD111" s="470">
        <v>943</v>
      </c>
      <c r="AE111" s="470">
        <v>-4</v>
      </c>
      <c r="AF111" s="470">
        <v>132</v>
      </c>
      <c r="AG111" s="471">
        <f t="shared" ref="AG111:AL111" si="0">AG126</f>
        <v>1</v>
      </c>
      <c r="AH111" s="471">
        <f t="shared" si="0"/>
        <v>2</v>
      </c>
      <c r="AI111" s="471">
        <f t="shared" si="0"/>
        <v>1</v>
      </c>
      <c r="AJ111" s="471">
        <f t="shared" si="0"/>
        <v>1</v>
      </c>
      <c r="AK111" s="471">
        <f t="shared" si="0"/>
        <v>1</v>
      </c>
      <c r="AL111" s="471">
        <f t="shared" si="0"/>
        <v>1</v>
      </c>
    </row>
    <row r="112" spans="1:38">
      <c r="A112" s="470" t="s">
        <v>1420</v>
      </c>
      <c r="B112" s="470">
        <v>52</v>
      </c>
      <c r="C112" s="470">
        <v>37</v>
      </c>
      <c r="D112" s="470" t="s">
        <v>306</v>
      </c>
      <c r="E112" s="470">
        <v>-109</v>
      </c>
      <c r="F112" s="470">
        <v>-37</v>
      </c>
      <c r="G112" s="470">
        <v>-53</v>
      </c>
      <c r="H112" s="470">
        <v>-126</v>
      </c>
      <c r="I112" s="470">
        <v>-178</v>
      </c>
      <c r="J112" s="470">
        <v>-299</v>
      </c>
      <c r="K112" s="470">
        <v>-129</v>
      </c>
      <c r="L112" s="470">
        <v>-381</v>
      </c>
      <c r="M112" s="470">
        <v>-457</v>
      </c>
      <c r="N112" s="470">
        <v>-341</v>
      </c>
      <c r="O112" s="470">
        <v>-184</v>
      </c>
      <c r="P112" s="470">
        <v>175</v>
      </c>
      <c r="Q112" s="470">
        <v>157</v>
      </c>
      <c r="R112" s="470">
        <v>139</v>
      </c>
      <c r="S112" s="470">
        <v>50</v>
      </c>
      <c r="T112" s="470">
        <v>-77</v>
      </c>
      <c r="U112" s="470">
        <v>1527</v>
      </c>
      <c r="V112" s="470">
        <v>1627</v>
      </c>
      <c r="W112" s="470">
        <v>1166</v>
      </c>
      <c r="X112" s="470">
        <v>404</v>
      </c>
      <c r="Y112" s="470">
        <v>1027</v>
      </c>
      <c r="Z112" s="470">
        <v>197</v>
      </c>
      <c r="AA112" s="470">
        <v>958</v>
      </c>
      <c r="AB112" s="470">
        <v>1826</v>
      </c>
      <c r="AC112" s="470">
        <v>3095</v>
      </c>
      <c r="AD112" s="470">
        <v>1020</v>
      </c>
      <c r="AE112" s="470">
        <v>506</v>
      </c>
      <c r="AF112" s="470">
        <v>299</v>
      </c>
      <c r="AG112" s="470">
        <v>1408</v>
      </c>
      <c r="AH112" s="470">
        <v>1585</v>
      </c>
      <c r="AI112" s="470">
        <v>2323</v>
      </c>
      <c r="AJ112" s="470">
        <v>3939</v>
      </c>
      <c r="AK112" s="470">
        <v>3161</v>
      </c>
      <c r="AL112" s="470">
        <v>4848</v>
      </c>
    </row>
    <row r="113" spans="1:38">
      <c r="A113" s="470" t="s">
        <v>67</v>
      </c>
      <c r="B113" s="470">
        <v>49</v>
      </c>
      <c r="C113" s="470">
        <v>51</v>
      </c>
      <c r="D113" s="470">
        <v>-6</v>
      </c>
      <c r="E113" s="470">
        <v>-76</v>
      </c>
      <c r="F113" s="470">
        <v>5</v>
      </c>
      <c r="G113" s="470">
        <v>-2</v>
      </c>
      <c r="H113" s="470">
        <v>32</v>
      </c>
      <c r="I113" s="470">
        <v>-1</v>
      </c>
      <c r="J113" s="470" t="s">
        <v>291</v>
      </c>
      <c r="K113" s="470">
        <v>81</v>
      </c>
      <c r="L113" s="470">
        <v>47</v>
      </c>
      <c r="M113" s="470">
        <v>4</v>
      </c>
      <c r="N113" s="470">
        <v>45</v>
      </c>
      <c r="O113" s="470">
        <v>60</v>
      </c>
      <c r="P113" s="470">
        <v>6</v>
      </c>
      <c r="Q113" s="470">
        <v>-97</v>
      </c>
      <c r="R113" s="470">
        <v>-15</v>
      </c>
      <c r="S113" s="470">
        <v>-1</v>
      </c>
      <c r="T113" s="470">
        <v>56</v>
      </c>
      <c r="U113" s="470">
        <v>58</v>
      </c>
      <c r="V113" s="470">
        <v>16</v>
      </c>
      <c r="W113" s="470">
        <v>-208</v>
      </c>
      <c r="X113" s="470">
        <v>903</v>
      </c>
      <c r="Y113" s="470">
        <v>-322</v>
      </c>
      <c r="Z113" s="470">
        <v>422</v>
      </c>
      <c r="AA113" s="470">
        <v>322</v>
      </c>
      <c r="AB113" s="470">
        <v>-190</v>
      </c>
      <c r="AC113" s="470">
        <v>30</v>
      </c>
      <c r="AD113" s="470">
        <v>-377</v>
      </c>
      <c r="AE113" s="470">
        <v>19</v>
      </c>
      <c r="AF113" s="470">
        <v>9</v>
      </c>
      <c r="AG113" s="470">
        <v>23</v>
      </c>
      <c r="AH113" s="470">
        <v>13</v>
      </c>
      <c r="AI113" s="470">
        <v>-38</v>
      </c>
      <c r="AJ113" s="470">
        <v>-15</v>
      </c>
      <c r="AK113" s="470">
        <v>84</v>
      </c>
      <c r="AL113" s="470">
        <v>96</v>
      </c>
    </row>
    <row r="114" spans="1:38">
      <c r="A114" s="470" t="s">
        <v>414</v>
      </c>
      <c r="B114" s="470" t="s">
        <v>273</v>
      </c>
      <c r="C114" s="470" t="s">
        <v>273</v>
      </c>
      <c r="D114" s="470" t="s">
        <v>273</v>
      </c>
      <c r="E114" s="470" t="s">
        <v>273</v>
      </c>
      <c r="F114" s="470" t="s">
        <v>273</v>
      </c>
      <c r="G114" s="470" t="s">
        <v>273</v>
      </c>
      <c r="H114" s="470" t="s">
        <v>273</v>
      </c>
      <c r="I114" s="470">
        <v>0</v>
      </c>
      <c r="J114" s="470">
        <v>0</v>
      </c>
      <c r="K114" s="470">
        <v>0</v>
      </c>
      <c r="L114" s="470">
        <v>0</v>
      </c>
      <c r="M114" s="470">
        <v>0</v>
      </c>
      <c r="N114" s="470">
        <v>0</v>
      </c>
      <c r="O114" s="470">
        <v>0</v>
      </c>
      <c r="P114" s="470">
        <v>0</v>
      </c>
      <c r="Q114" s="470">
        <v>0</v>
      </c>
      <c r="R114" s="470">
        <v>0</v>
      </c>
      <c r="S114" s="470" t="s">
        <v>306</v>
      </c>
      <c r="T114" s="470" t="s">
        <v>306</v>
      </c>
      <c r="U114" s="470">
        <v>0</v>
      </c>
      <c r="V114" s="470" t="s">
        <v>306</v>
      </c>
      <c r="W114" s="470" t="s">
        <v>306</v>
      </c>
      <c r="X114" s="470">
        <v>0</v>
      </c>
      <c r="Y114" s="470">
        <v>0</v>
      </c>
      <c r="Z114" s="470" t="s">
        <v>273</v>
      </c>
      <c r="AA114" s="470" t="s">
        <v>273</v>
      </c>
      <c r="AB114" s="470" t="s">
        <v>273</v>
      </c>
      <c r="AC114" s="470">
        <v>0</v>
      </c>
      <c r="AD114" s="470">
        <v>0</v>
      </c>
      <c r="AE114" s="470" t="s">
        <v>306</v>
      </c>
      <c r="AF114" s="470" t="s">
        <v>306</v>
      </c>
      <c r="AG114" s="470" t="s">
        <v>306</v>
      </c>
      <c r="AH114" s="470">
        <v>6</v>
      </c>
      <c r="AI114" s="470">
        <v>4</v>
      </c>
      <c r="AJ114" s="470">
        <v>3</v>
      </c>
      <c r="AK114" s="470">
        <v>2</v>
      </c>
      <c r="AL114" s="470">
        <v>1</v>
      </c>
    </row>
    <row r="115" spans="1:38">
      <c r="A115" s="470" t="s">
        <v>413</v>
      </c>
      <c r="B115" s="470" t="s">
        <v>273</v>
      </c>
      <c r="C115" s="470" t="s">
        <v>273</v>
      </c>
      <c r="D115" s="470" t="s">
        <v>273</v>
      </c>
      <c r="E115" s="470" t="s">
        <v>273</v>
      </c>
      <c r="F115" s="470" t="s">
        <v>273</v>
      </c>
      <c r="G115" s="470" t="s">
        <v>273</v>
      </c>
      <c r="H115" s="470" t="s">
        <v>273</v>
      </c>
      <c r="I115" s="470">
        <v>0</v>
      </c>
      <c r="J115" s="470">
        <v>0</v>
      </c>
      <c r="K115" s="470">
        <v>0</v>
      </c>
      <c r="L115" s="470">
        <v>0</v>
      </c>
      <c r="M115" s="470">
        <v>0</v>
      </c>
      <c r="N115" s="470">
        <v>-2</v>
      </c>
      <c r="O115" s="470">
        <v>-1</v>
      </c>
      <c r="P115" s="470">
        <v>-1</v>
      </c>
      <c r="Q115" s="470">
        <v>-2</v>
      </c>
      <c r="R115" s="470">
        <v>-1</v>
      </c>
      <c r="S115" s="470">
        <v>-3</v>
      </c>
      <c r="T115" s="470">
        <v>-1</v>
      </c>
      <c r="U115" s="470">
        <v>-1</v>
      </c>
      <c r="V115" s="470" t="s">
        <v>306</v>
      </c>
      <c r="W115" s="470" t="s">
        <v>306</v>
      </c>
      <c r="X115" s="470" t="s">
        <v>306</v>
      </c>
      <c r="Y115" s="470" t="s">
        <v>306</v>
      </c>
      <c r="Z115" s="470" t="s">
        <v>306</v>
      </c>
      <c r="AA115" s="470" t="s">
        <v>306</v>
      </c>
      <c r="AB115" s="470" t="s">
        <v>306</v>
      </c>
      <c r="AC115" s="470" t="s">
        <v>306</v>
      </c>
      <c r="AD115" s="470" t="s">
        <v>306</v>
      </c>
      <c r="AE115" s="470" t="s">
        <v>306</v>
      </c>
      <c r="AF115" s="470" t="s">
        <v>306</v>
      </c>
      <c r="AG115" s="470" t="s">
        <v>306</v>
      </c>
      <c r="AH115" s="470" t="s">
        <v>306</v>
      </c>
      <c r="AI115" s="470" t="s">
        <v>306</v>
      </c>
      <c r="AJ115" s="470" t="s">
        <v>306</v>
      </c>
      <c r="AK115" s="470" t="s">
        <v>306</v>
      </c>
      <c r="AL115" s="470" t="s">
        <v>306</v>
      </c>
    </row>
    <row r="116" spans="1:38">
      <c r="A116" s="470" t="s">
        <v>412</v>
      </c>
      <c r="B116" s="470" t="s">
        <v>273</v>
      </c>
      <c r="C116" s="470" t="s">
        <v>273</v>
      </c>
      <c r="D116" s="470" t="s">
        <v>273</v>
      </c>
      <c r="E116" s="470" t="s">
        <v>273</v>
      </c>
      <c r="F116" s="470" t="s">
        <v>273</v>
      </c>
      <c r="G116" s="470" t="s">
        <v>273</v>
      </c>
      <c r="H116" s="470" t="s">
        <v>273</v>
      </c>
      <c r="I116" s="470">
        <v>0</v>
      </c>
      <c r="J116" s="470">
        <v>0</v>
      </c>
      <c r="K116" s="470">
        <v>0</v>
      </c>
      <c r="L116" s="470">
        <v>0</v>
      </c>
      <c r="M116" s="470">
        <v>4</v>
      </c>
      <c r="N116" s="470" t="s">
        <v>291</v>
      </c>
      <c r="O116" s="470" t="s">
        <v>291</v>
      </c>
      <c r="P116" s="470">
        <v>1</v>
      </c>
      <c r="Q116" s="470">
        <v>1</v>
      </c>
      <c r="R116" s="470">
        <v>1</v>
      </c>
      <c r="S116" s="470" t="s">
        <v>306</v>
      </c>
      <c r="T116" s="470" t="s">
        <v>306</v>
      </c>
      <c r="U116" s="470" t="s">
        <v>306</v>
      </c>
      <c r="V116" s="470" t="s">
        <v>306</v>
      </c>
      <c r="W116" s="470" t="s">
        <v>306</v>
      </c>
      <c r="X116" s="470" t="s">
        <v>306</v>
      </c>
      <c r="Y116" s="470" t="s">
        <v>306</v>
      </c>
      <c r="Z116" s="470" t="s">
        <v>306</v>
      </c>
      <c r="AA116" s="470" t="s">
        <v>306</v>
      </c>
      <c r="AB116" s="470" t="s">
        <v>306</v>
      </c>
      <c r="AC116" s="470" t="s">
        <v>306</v>
      </c>
      <c r="AD116" s="470" t="s">
        <v>306</v>
      </c>
      <c r="AE116" s="470" t="s">
        <v>306</v>
      </c>
      <c r="AF116" s="470" t="s">
        <v>306</v>
      </c>
      <c r="AG116" s="470" t="s">
        <v>306</v>
      </c>
      <c r="AH116" s="470" t="s">
        <v>306</v>
      </c>
      <c r="AI116" s="470" t="s">
        <v>306</v>
      </c>
      <c r="AJ116" s="470" t="s">
        <v>306</v>
      </c>
      <c r="AK116" s="470" t="s">
        <v>306</v>
      </c>
      <c r="AL116" s="470" t="s">
        <v>306</v>
      </c>
    </row>
    <row r="117" spans="1:38">
      <c r="A117" s="470" t="s">
        <v>411</v>
      </c>
      <c r="B117" s="470">
        <v>48</v>
      </c>
      <c r="C117" s="470">
        <v>49</v>
      </c>
      <c r="D117" s="470">
        <v>-9</v>
      </c>
      <c r="E117" s="470">
        <v>-78</v>
      </c>
      <c r="F117" s="470">
        <v>3</v>
      </c>
      <c r="G117" s="470">
        <v>-2</v>
      </c>
      <c r="H117" s="470">
        <v>29</v>
      </c>
      <c r="I117" s="470" t="s">
        <v>273</v>
      </c>
      <c r="J117" s="470" t="s">
        <v>273</v>
      </c>
      <c r="K117" s="470" t="s">
        <v>273</v>
      </c>
      <c r="L117" s="470" t="s">
        <v>273</v>
      </c>
      <c r="M117" s="470" t="s">
        <v>273</v>
      </c>
      <c r="N117" s="470" t="s">
        <v>273</v>
      </c>
      <c r="O117" s="470" t="s">
        <v>273</v>
      </c>
      <c r="P117" s="470" t="s">
        <v>273</v>
      </c>
      <c r="Q117" s="470" t="s">
        <v>273</v>
      </c>
      <c r="R117" s="470" t="s">
        <v>273</v>
      </c>
      <c r="S117" s="470" t="s">
        <v>273</v>
      </c>
      <c r="T117" s="470" t="s">
        <v>273</v>
      </c>
      <c r="U117" s="470" t="s">
        <v>273</v>
      </c>
      <c r="V117" s="470" t="s">
        <v>273</v>
      </c>
      <c r="W117" s="470" t="s">
        <v>273</v>
      </c>
      <c r="X117" s="470" t="s">
        <v>273</v>
      </c>
      <c r="Y117" s="470" t="s">
        <v>273</v>
      </c>
      <c r="Z117" s="470" t="s">
        <v>273</v>
      </c>
      <c r="AA117" s="470" t="s">
        <v>273</v>
      </c>
      <c r="AB117" s="470" t="s">
        <v>273</v>
      </c>
      <c r="AC117" s="470" t="s">
        <v>273</v>
      </c>
      <c r="AD117" s="470" t="s">
        <v>273</v>
      </c>
      <c r="AE117" s="470" t="s">
        <v>273</v>
      </c>
      <c r="AF117" s="470" t="s">
        <v>273</v>
      </c>
      <c r="AG117" s="470" t="s">
        <v>273</v>
      </c>
      <c r="AH117" s="470" t="s">
        <v>273</v>
      </c>
      <c r="AI117" s="470" t="s">
        <v>273</v>
      </c>
      <c r="AJ117" s="470" t="s">
        <v>273</v>
      </c>
      <c r="AK117" s="470" t="s">
        <v>273</v>
      </c>
      <c r="AL117" s="470" t="s">
        <v>273</v>
      </c>
    </row>
    <row r="118" spans="1:38">
      <c r="A118" s="470" t="s">
        <v>1419</v>
      </c>
      <c r="B118" s="470">
        <v>2</v>
      </c>
      <c r="C118" s="470">
        <v>3</v>
      </c>
      <c r="D118" s="470">
        <v>2</v>
      </c>
      <c r="E118" s="470">
        <v>1</v>
      </c>
      <c r="F118" s="470">
        <v>2</v>
      </c>
      <c r="G118" s="470">
        <v>2</v>
      </c>
      <c r="H118" s="470">
        <v>3</v>
      </c>
      <c r="I118" s="470">
        <v>-3</v>
      </c>
      <c r="J118" s="470">
        <v>-10</v>
      </c>
      <c r="K118" s="470" t="s">
        <v>291</v>
      </c>
      <c r="L118" s="470" t="s">
        <v>291</v>
      </c>
      <c r="M118" s="470" t="s">
        <v>291</v>
      </c>
      <c r="N118" s="470">
        <v>28</v>
      </c>
      <c r="O118" s="470">
        <v>34</v>
      </c>
      <c r="P118" s="470">
        <v>1</v>
      </c>
      <c r="Q118" s="470">
        <v>-96</v>
      </c>
      <c r="R118" s="470">
        <v>-14</v>
      </c>
      <c r="S118" s="470">
        <v>1</v>
      </c>
      <c r="T118" s="470">
        <v>61</v>
      </c>
      <c r="U118" s="470">
        <v>56</v>
      </c>
      <c r="V118" s="470">
        <v>13</v>
      </c>
      <c r="W118" s="470">
        <v>-213</v>
      </c>
      <c r="X118" s="470">
        <v>897</v>
      </c>
      <c r="Y118" s="470">
        <v>-330</v>
      </c>
      <c r="Z118" s="470">
        <v>419</v>
      </c>
      <c r="AA118" s="470">
        <v>358</v>
      </c>
      <c r="AB118" s="470" t="s">
        <v>291</v>
      </c>
      <c r="AC118" s="470">
        <v>57</v>
      </c>
      <c r="AD118" s="470">
        <v>-387</v>
      </c>
      <c r="AE118" s="470">
        <v>22</v>
      </c>
      <c r="AF118" s="470">
        <v>19</v>
      </c>
      <c r="AG118" s="470">
        <v>19</v>
      </c>
      <c r="AH118" s="470">
        <v>8</v>
      </c>
      <c r="AI118" s="470">
        <v>-34</v>
      </c>
      <c r="AJ118" s="470">
        <v>-16</v>
      </c>
      <c r="AK118" s="470">
        <v>85</v>
      </c>
      <c r="AL118" s="470">
        <v>112</v>
      </c>
    </row>
    <row r="119" spans="1:38">
      <c r="A119" s="470" t="s">
        <v>410</v>
      </c>
      <c r="B119" s="470" t="s">
        <v>273</v>
      </c>
      <c r="C119" s="470" t="s">
        <v>273</v>
      </c>
      <c r="D119" s="470" t="s">
        <v>273</v>
      </c>
      <c r="E119" s="470" t="s">
        <v>273</v>
      </c>
      <c r="F119" s="470" t="s">
        <v>273</v>
      </c>
      <c r="G119" s="470" t="s">
        <v>273</v>
      </c>
      <c r="H119" s="470" t="s">
        <v>273</v>
      </c>
      <c r="I119" s="470">
        <v>0</v>
      </c>
      <c r="J119" s="470">
        <v>0</v>
      </c>
      <c r="K119" s="470">
        <v>0</v>
      </c>
      <c r="L119" s="470">
        <v>0</v>
      </c>
      <c r="M119" s="470">
        <v>0</v>
      </c>
      <c r="N119" s="470">
        <v>0</v>
      </c>
      <c r="O119" s="470">
        <v>0</v>
      </c>
      <c r="P119" s="470">
        <v>0</v>
      </c>
      <c r="Q119" s="470">
        <v>0</v>
      </c>
      <c r="R119" s="470">
        <v>0</v>
      </c>
      <c r="S119" s="470">
        <v>0</v>
      </c>
      <c r="T119" s="470">
        <v>0</v>
      </c>
      <c r="U119" s="470">
        <v>0</v>
      </c>
      <c r="V119" s="470">
        <v>0</v>
      </c>
      <c r="W119" s="470">
        <v>0</v>
      </c>
      <c r="X119" s="470" t="s">
        <v>291</v>
      </c>
      <c r="Y119" s="470" t="s">
        <v>291</v>
      </c>
      <c r="Z119" s="470">
        <v>4</v>
      </c>
      <c r="AA119" s="470">
        <v>2</v>
      </c>
      <c r="AB119" s="470">
        <v>2</v>
      </c>
      <c r="AC119" s="470">
        <v>7</v>
      </c>
      <c r="AD119" s="470">
        <v>6</v>
      </c>
      <c r="AE119" s="470">
        <v>4</v>
      </c>
      <c r="AF119" s="470" t="s">
        <v>291</v>
      </c>
      <c r="AG119" s="470">
        <v>2</v>
      </c>
      <c r="AH119" s="470" t="s">
        <v>306</v>
      </c>
      <c r="AI119" s="470" t="s">
        <v>306</v>
      </c>
      <c r="AJ119" s="470" t="s">
        <v>306</v>
      </c>
      <c r="AK119" s="470" t="s">
        <v>306</v>
      </c>
      <c r="AL119" s="470" t="s">
        <v>306</v>
      </c>
    </row>
    <row r="120" spans="1:38">
      <c r="A120" s="470" t="s">
        <v>408</v>
      </c>
      <c r="B120" s="470" t="s">
        <v>273</v>
      </c>
      <c r="C120" s="470" t="s">
        <v>273</v>
      </c>
      <c r="D120" s="470" t="s">
        <v>273</v>
      </c>
      <c r="E120" s="470" t="s">
        <v>273</v>
      </c>
      <c r="F120" s="470" t="s">
        <v>273</v>
      </c>
      <c r="G120" s="470" t="s">
        <v>273</v>
      </c>
      <c r="H120" s="470" t="s">
        <v>273</v>
      </c>
      <c r="I120" s="470">
        <v>0</v>
      </c>
      <c r="J120" s="470">
        <v>0</v>
      </c>
      <c r="K120" s="470">
        <v>0</v>
      </c>
      <c r="L120" s="470">
        <v>0</v>
      </c>
      <c r="M120" s="470">
        <v>0</v>
      </c>
      <c r="N120" s="470">
        <v>-4</v>
      </c>
      <c r="O120" s="470">
        <v>0</v>
      </c>
      <c r="P120" s="470">
        <v>0</v>
      </c>
      <c r="Q120" s="470">
        <v>0</v>
      </c>
      <c r="R120" s="470">
        <v>0</v>
      </c>
      <c r="S120" s="470">
        <v>0</v>
      </c>
      <c r="T120" s="470">
        <v>0</v>
      </c>
      <c r="U120" s="470">
        <v>0</v>
      </c>
      <c r="V120" s="470">
        <v>0</v>
      </c>
      <c r="W120" s="470">
        <v>0</v>
      </c>
      <c r="X120" s="470">
        <v>0</v>
      </c>
      <c r="Y120" s="470">
        <v>0</v>
      </c>
      <c r="Z120" s="470" t="s">
        <v>273</v>
      </c>
      <c r="AA120" s="470" t="s">
        <v>273</v>
      </c>
      <c r="AB120" s="470" t="s">
        <v>273</v>
      </c>
      <c r="AC120" s="470" t="s">
        <v>273</v>
      </c>
      <c r="AD120" s="470">
        <v>0</v>
      </c>
      <c r="AE120" s="470">
        <v>0</v>
      </c>
      <c r="AF120" s="470">
        <v>0</v>
      </c>
      <c r="AG120" s="470">
        <v>0</v>
      </c>
      <c r="AH120" s="470">
        <v>0</v>
      </c>
      <c r="AI120" s="470">
        <v>0</v>
      </c>
      <c r="AJ120" s="470">
        <v>0</v>
      </c>
      <c r="AK120" s="470">
        <v>0</v>
      </c>
      <c r="AL120" s="470">
        <v>0</v>
      </c>
    </row>
    <row r="121" spans="1:38">
      <c r="A121" s="470" t="s">
        <v>1418</v>
      </c>
      <c r="B121" s="470">
        <v>0</v>
      </c>
      <c r="C121" s="470">
        <v>0</v>
      </c>
      <c r="D121" s="470">
        <v>0</v>
      </c>
      <c r="E121" s="470" t="s">
        <v>306</v>
      </c>
      <c r="F121" s="470" t="s">
        <v>306</v>
      </c>
      <c r="G121" s="470">
        <v>-2</v>
      </c>
      <c r="H121" s="470">
        <v>0</v>
      </c>
      <c r="I121" s="470" t="s">
        <v>306</v>
      </c>
      <c r="J121" s="470">
        <v>0</v>
      </c>
      <c r="K121" s="470">
        <v>0</v>
      </c>
      <c r="L121" s="470">
        <v>0</v>
      </c>
      <c r="M121" s="470">
        <v>0</v>
      </c>
      <c r="N121" s="470" t="s">
        <v>291</v>
      </c>
      <c r="O121" s="470" t="s">
        <v>291</v>
      </c>
      <c r="P121" s="470" t="s">
        <v>306</v>
      </c>
      <c r="Q121" s="470" t="s">
        <v>306</v>
      </c>
      <c r="R121" s="470" t="s">
        <v>306</v>
      </c>
      <c r="S121" s="470">
        <v>1</v>
      </c>
      <c r="T121" s="470">
        <v>-3</v>
      </c>
      <c r="U121" s="470">
        <v>2</v>
      </c>
      <c r="V121" s="470">
        <v>1</v>
      </c>
      <c r="W121" s="470">
        <v>2</v>
      </c>
      <c r="X121" s="470" t="s">
        <v>291</v>
      </c>
      <c r="Y121" s="470" t="s">
        <v>291</v>
      </c>
      <c r="Z121" s="470">
        <v>-2</v>
      </c>
      <c r="AA121" s="470" t="s">
        <v>291</v>
      </c>
      <c r="AB121" s="470" t="s">
        <v>291</v>
      </c>
      <c r="AC121" s="470" t="s">
        <v>291</v>
      </c>
      <c r="AD121" s="470" t="s">
        <v>291</v>
      </c>
      <c r="AE121" s="470" t="s">
        <v>291</v>
      </c>
      <c r="AF121" s="470" t="s">
        <v>291</v>
      </c>
      <c r="AG121" s="470">
        <v>1</v>
      </c>
      <c r="AH121" s="470">
        <v>4</v>
      </c>
      <c r="AI121" s="470">
        <v>-3</v>
      </c>
      <c r="AJ121" s="470" t="s">
        <v>306</v>
      </c>
      <c r="AK121" s="470" t="s">
        <v>306</v>
      </c>
      <c r="AL121" s="470" t="s">
        <v>306</v>
      </c>
    </row>
    <row r="122" spans="1:38">
      <c r="A122" s="470" t="s">
        <v>407</v>
      </c>
      <c r="B122" s="470">
        <v>0</v>
      </c>
      <c r="C122" s="470">
        <v>0</v>
      </c>
      <c r="D122" s="470">
        <v>0</v>
      </c>
      <c r="E122" s="470">
        <v>0</v>
      </c>
      <c r="F122" s="470">
        <v>0</v>
      </c>
      <c r="G122" s="470">
        <v>0</v>
      </c>
      <c r="H122" s="470">
        <v>0</v>
      </c>
      <c r="I122" s="470" t="s">
        <v>306</v>
      </c>
      <c r="J122" s="470" t="s">
        <v>306</v>
      </c>
      <c r="K122" s="470" t="s">
        <v>306</v>
      </c>
      <c r="L122" s="470" t="s">
        <v>306</v>
      </c>
      <c r="M122" s="470" t="s">
        <v>306</v>
      </c>
      <c r="N122" s="470" t="s">
        <v>306</v>
      </c>
      <c r="O122" s="470">
        <v>1</v>
      </c>
      <c r="P122" s="470">
        <v>1</v>
      </c>
      <c r="Q122" s="470">
        <v>1</v>
      </c>
      <c r="R122" s="470">
        <v>1</v>
      </c>
      <c r="S122" s="470">
        <v>0</v>
      </c>
      <c r="T122" s="470">
        <v>0</v>
      </c>
      <c r="U122" s="470">
        <v>0</v>
      </c>
      <c r="V122" s="470">
        <v>0</v>
      </c>
      <c r="W122" s="470">
        <v>0</v>
      </c>
      <c r="X122" s="470">
        <v>0</v>
      </c>
      <c r="Y122" s="470">
        <v>0</v>
      </c>
      <c r="Z122" s="470">
        <v>0</v>
      </c>
      <c r="AA122" s="470">
        <v>0</v>
      </c>
      <c r="AB122" s="470">
        <v>0</v>
      </c>
      <c r="AC122" s="470" t="s">
        <v>306</v>
      </c>
      <c r="AD122" s="470" t="s">
        <v>306</v>
      </c>
      <c r="AE122" s="470" t="s">
        <v>306</v>
      </c>
      <c r="AF122" s="470" t="s">
        <v>306</v>
      </c>
      <c r="AG122" s="470" t="s">
        <v>306</v>
      </c>
      <c r="AH122" s="470" t="s">
        <v>306</v>
      </c>
      <c r="AI122" s="470" t="s">
        <v>306</v>
      </c>
      <c r="AJ122" s="470" t="s">
        <v>306</v>
      </c>
      <c r="AK122" s="470" t="s">
        <v>306</v>
      </c>
      <c r="AL122" s="470" t="s">
        <v>306</v>
      </c>
    </row>
    <row r="123" spans="1:38">
      <c r="A123" s="470" t="s">
        <v>406</v>
      </c>
      <c r="B123" s="470" t="s">
        <v>273</v>
      </c>
      <c r="C123" s="470" t="s">
        <v>273</v>
      </c>
      <c r="D123" s="470" t="s">
        <v>273</v>
      </c>
      <c r="E123" s="470" t="s">
        <v>273</v>
      </c>
      <c r="F123" s="470" t="s">
        <v>273</v>
      </c>
      <c r="G123" s="470" t="s">
        <v>273</v>
      </c>
      <c r="H123" s="470" t="s">
        <v>273</v>
      </c>
      <c r="I123" s="470" t="s">
        <v>306</v>
      </c>
      <c r="J123" s="470" t="s">
        <v>306</v>
      </c>
      <c r="K123" s="470" t="s">
        <v>306</v>
      </c>
      <c r="L123" s="470" t="s">
        <v>306</v>
      </c>
      <c r="M123" s="470" t="s">
        <v>306</v>
      </c>
      <c r="N123" s="470" t="s">
        <v>306</v>
      </c>
      <c r="O123" s="470" t="s">
        <v>306</v>
      </c>
      <c r="P123" s="470" t="s">
        <v>306</v>
      </c>
      <c r="Q123" s="470" t="s">
        <v>306</v>
      </c>
      <c r="R123" s="470" t="s">
        <v>306</v>
      </c>
      <c r="S123" s="470" t="s">
        <v>306</v>
      </c>
      <c r="T123" s="470" t="s">
        <v>306</v>
      </c>
      <c r="U123" s="470" t="s">
        <v>306</v>
      </c>
      <c r="V123" s="470" t="s">
        <v>306</v>
      </c>
      <c r="W123" s="470" t="s">
        <v>306</v>
      </c>
      <c r="X123" s="470" t="s">
        <v>306</v>
      </c>
      <c r="Y123" s="470" t="s">
        <v>306</v>
      </c>
      <c r="Z123" s="470" t="s">
        <v>306</v>
      </c>
      <c r="AA123" s="470" t="s">
        <v>306</v>
      </c>
      <c r="AB123" s="470" t="s">
        <v>306</v>
      </c>
      <c r="AC123" s="470" t="s">
        <v>306</v>
      </c>
      <c r="AD123" s="470" t="s">
        <v>306</v>
      </c>
      <c r="AE123" s="470" t="s">
        <v>306</v>
      </c>
      <c r="AF123" s="470" t="s">
        <v>306</v>
      </c>
      <c r="AG123" s="470" t="s">
        <v>306</v>
      </c>
      <c r="AH123" s="470" t="s">
        <v>306</v>
      </c>
      <c r="AI123" s="470" t="s">
        <v>306</v>
      </c>
      <c r="AJ123" s="470" t="s">
        <v>306</v>
      </c>
      <c r="AK123" s="470" t="s">
        <v>306</v>
      </c>
      <c r="AL123" s="470" t="s">
        <v>306</v>
      </c>
    </row>
    <row r="124" spans="1:38">
      <c r="A124" s="470" t="s">
        <v>405</v>
      </c>
      <c r="B124" s="470">
        <v>0</v>
      </c>
      <c r="C124" s="470">
        <v>0</v>
      </c>
      <c r="D124" s="470">
        <v>0</v>
      </c>
      <c r="E124" s="470">
        <v>0</v>
      </c>
      <c r="F124" s="470">
        <v>0</v>
      </c>
      <c r="G124" s="470">
        <v>0</v>
      </c>
      <c r="H124" s="470">
        <v>0</v>
      </c>
      <c r="I124" s="470">
        <v>0</v>
      </c>
      <c r="J124" s="470">
        <v>0</v>
      </c>
      <c r="K124" s="470">
        <v>0</v>
      </c>
      <c r="L124" s="470">
        <v>0</v>
      </c>
      <c r="M124" s="470">
        <v>0</v>
      </c>
      <c r="N124" s="470" t="s">
        <v>306</v>
      </c>
      <c r="O124" s="470" t="s">
        <v>306</v>
      </c>
      <c r="P124" s="470" t="s">
        <v>306</v>
      </c>
      <c r="Q124" s="470" t="s">
        <v>306</v>
      </c>
      <c r="R124" s="470" t="s">
        <v>306</v>
      </c>
      <c r="S124" s="470">
        <v>0</v>
      </c>
      <c r="T124" s="470">
        <v>0</v>
      </c>
      <c r="U124" s="470">
        <v>0</v>
      </c>
      <c r="V124" s="470">
        <v>0</v>
      </c>
      <c r="W124" s="470">
        <v>0</v>
      </c>
      <c r="X124" s="470" t="s">
        <v>306</v>
      </c>
      <c r="Y124" s="470" t="s">
        <v>306</v>
      </c>
      <c r="Z124" s="470" t="s">
        <v>306</v>
      </c>
      <c r="AA124" s="470" t="s">
        <v>306</v>
      </c>
      <c r="AB124" s="470" t="s">
        <v>306</v>
      </c>
      <c r="AC124" s="470">
        <v>0</v>
      </c>
      <c r="AD124" s="470">
        <v>0</v>
      </c>
      <c r="AE124" s="470">
        <v>0</v>
      </c>
      <c r="AF124" s="470">
        <v>0</v>
      </c>
      <c r="AG124" s="470">
        <v>0</v>
      </c>
      <c r="AH124" s="470">
        <v>0</v>
      </c>
      <c r="AI124" s="470">
        <v>0</v>
      </c>
      <c r="AJ124" s="470">
        <v>0</v>
      </c>
      <c r="AK124" s="470">
        <v>0</v>
      </c>
      <c r="AL124" s="470">
        <v>0</v>
      </c>
    </row>
    <row r="125" spans="1:38">
      <c r="A125" s="470" t="s">
        <v>404</v>
      </c>
      <c r="B125" s="470" t="s">
        <v>306</v>
      </c>
      <c r="C125" s="470" t="s">
        <v>306</v>
      </c>
      <c r="D125" s="470" t="s">
        <v>306</v>
      </c>
      <c r="E125" s="470" t="s">
        <v>306</v>
      </c>
      <c r="F125" s="470" t="s">
        <v>306</v>
      </c>
      <c r="G125" s="470" t="s">
        <v>306</v>
      </c>
      <c r="H125" s="470" t="s">
        <v>306</v>
      </c>
      <c r="I125" s="470">
        <v>2</v>
      </c>
      <c r="J125" s="470" t="s">
        <v>291</v>
      </c>
      <c r="K125" s="470" t="s">
        <v>291</v>
      </c>
      <c r="L125" s="470" t="s">
        <v>291</v>
      </c>
      <c r="M125" s="470" t="s">
        <v>291</v>
      </c>
      <c r="N125" s="470" t="s">
        <v>306</v>
      </c>
      <c r="O125" s="470">
        <v>3</v>
      </c>
      <c r="P125" s="470">
        <v>4</v>
      </c>
      <c r="Q125" s="470" t="s">
        <v>306</v>
      </c>
      <c r="R125" s="470" t="s">
        <v>306</v>
      </c>
      <c r="S125" s="470" t="s">
        <v>306</v>
      </c>
      <c r="T125" s="470" t="s">
        <v>306</v>
      </c>
      <c r="U125" s="470" t="s">
        <v>306</v>
      </c>
      <c r="V125" s="470" t="s">
        <v>306</v>
      </c>
      <c r="W125" s="470" t="s">
        <v>306</v>
      </c>
      <c r="X125" s="470" t="s">
        <v>306</v>
      </c>
      <c r="Y125" s="470" t="s">
        <v>306</v>
      </c>
      <c r="Z125" s="470">
        <v>0</v>
      </c>
      <c r="AA125" s="470">
        <v>0</v>
      </c>
      <c r="AB125" s="470">
        <v>0</v>
      </c>
      <c r="AC125" s="470" t="s">
        <v>306</v>
      </c>
      <c r="AD125" s="470" t="s">
        <v>306</v>
      </c>
      <c r="AE125" s="470" t="s">
        <v>306</v>
      </c>
      <c r="AF125" s="470" t="s">
        <v>306</v>
      </c>
      <c r="AG125" s="470" t="s">
        <v>306</v>
      </c>
      <c r="AH125" s="470" t="s">
        <v>306</v>
      </c>
      <c r="AI125" s="470" t="s">
        <v>306</v>
      </c>
      <c r="AJ125" s="470" t="s">
        <v>306</v>
      </c>
      <c r="AK125" s="470" t="s">
        <v>306</v>
      </c>
      <c r="AL125" s="470" t="s">
        <v>306</v>
      </c>
    </row>
    <row r="126" spans="1:38">
      <c r="A126" s="470" t="s">
        <v>1417</v>
      </c>
      <c r="B126" s="470" t="s">
        <v>273</v>
      </c>
      <c r="C126" s="470" t="s">
        <v>273</v>
      </c>
      <c r="D126" s="470" t="s">
        <v>273</v>
      </c>
      <c r="E126" s="470" t="s">
        <v>273</v>
      </c>
      <c r="F126" s="470" t="s">
        <v>273</v>
      </c>
      <c r="G126" s="470" t="s">
        <v>273</v>
      </c>
      <c r="H126" s="470" t="s">
        <v>273</v>
      </c>
      <c r="I126" s="470" t="s">
        <v>273</v>
      </c>
      <c r="J126" s="470" t="s">
        <v>273</v>
      </c>
      <c r="K126" s="470" t="s">
        <v>273</v>
      </c>
      <c r="L126" s="470" t="s">
        <v>273</v>
      </c>
      <c r="M126" s="470" t="s">
        <v>273</v>
      </c>
      <c r="N126" s="470" t="s">
        <v>273</v>
      </c>
      <c r="O126" s="470" t="s">
        <v>273</v>
      </c>
      <c r="P126" s="470" t="s">
        <v>273</v>
      </c>
      <c r="Q126" s="470" t="s">
        <v>273</v>
      </c>
      <c r="R126" s="470" t="s">
        <v>273</v>
      </c>
      <c r="S126" s="470" t="s">
        <v>273</v>
      </c>
      <c r="T126" s="470" t="s">
        <v>273</v>
      </c>
      <c r="U126" s="470" t="s">
        <v>273</v>
      </c>
      <c r="V126" s="470" t="s">
        <v>273</v>
      </c>
      <c r="W126" s="470" t="s">
        <v>273</v>
      </c>
      <c r="X126" s="470" t="s">
        <v>273</v>
      </c>
      <c r="Y126" s="470" t="s">
        <v>273</v>
      </c>
      <c r="Z126" s="470" t="s">
        <v>273</v>
      </c>
      <c r="AA126" s="470" t="s">
        <v>273</v>
      </c>
      <c r="AB126" s="470" t="s">
        <v>273</v>
      </c>
      <c r="AC126" s="470" t="s">
        <v>273</v>
      </c>
      <c r="AD126" s="470">
        <v>0</v>
      </c>
      <c r="AE126" s="470">
        <v>0</v>
      </c>
      <c r="AF126" s="470">
        <v>0</v>
      </c>
      <c r="AG126" s="470">
        <v>1</v>
      </c>
      <c r="AH126" s="470">
        <v>2</v>
      </c>
      <c r="AI126" s="470">
        <v>1</v>
      </c>
      <c r="AJ126" s="470">
        <v>1</v>
      </c>
      <c r="AK126" s="470">
        <v>1</v>
      </c>
      <c r="AL126" s="470">
        <v>1</v>
      </c>
    </row>
    <row r="127" spans="1:38">
      <c r="A127" s="470" t="s">
        <v>399</v>
      </c>
      <c r="B127" s="470">
        <v>-1</v>
      </c>
      <c r="C127" s="470">
        <v>0</v>
      </c>
      <c r="D127" s="470">
        <v>0</v>
      </c>
      <c r="E127" s="470">
        <v>0</v>
      </c>
      <c r="F127" s="470">
        <v>0</v>
      </c>
      <c r="G127" s="470">
        <v>0</v>
      </c>
      <c r="H127" s="470">
        <v>0</v>
      </c>
      <c r="I127" s="470">
        <v>0</v>
      </c>
      <c r="J127" s="470">
        <v>0</v>
      </c>
      <c r="K127" s="470">
        <v>0</v>
      </c>
      <c r="L127" s="470">
        <v>0</v>
      </c>
      <c r="M127" s="470">
        <v>0</v>
      </c>
      <c r="N127" s="470">
        <v>-1</v>
      </c>
      <c r="O127" s="470">
        <v>-1</v>
      </c>
      <c r="P127" s="470">
        <v>-1</v>
      </c>
      <c r="Q127" s="470">
        <v>-2</v>
      </c>
      <c r="R127" s="470">
        <v>-2</v>
      </c>
      <c r="S127" s="470" t="s">
        <v>273</v>
      </c>
      <c r="T127" s="470" t="s">
        <v>273</v>
      </c>
      <c r="U127" s="470" t="s">
        <v>273</v>
      </c>
      <c r="V127" s="470" t="s">
        <v>273</v>
      </c>
      <c r="W127" s="470" t="s">
        <v>273</v>
      </c>
      <c r="X127" s="470" t="s">
        <v>273</v>
      </c>
      <c r="Y127" s="470" t="s">
        <v>273</v>
      </c>
      <c r="Z127" s="470" t="s">
        <v>273</v>
      </c>
      <c r="AA127" s="470" t="s">
        <v>273</v>
      </c>
      <c r="AB127" s="470">
        <v>0</v>
      </c>
      <c r="AC127" s="470" t="s">
        <v>306</v>
      </c>
      <c r="AD127" s="470" t="s">
        <v>306</v>
      </c>
      <c r="AE127" s="470" t="s">
        <v>306</v>
      </c>
      <c r="AF127" s="470" t="s">
        <v>306</v>
      </c>
      <c r="AG127" s="470" t="s">
        <v>306</v>
      </c>
      <c r="AH127" s="470" t="s">
        <v>306</v>
      </c>
      <c r="AI127" s="470" t="s">
        <v>306</v>
      </c>
      <c r="AJ127" s="470" t="s">
        <v>306</v>
      </c>
      <c r="AK127" s="470" t="s">
        <v>306</v>
      </c>
      <c r="AL127" s="470" t="s">
        <v>306</v>
      </c>
    </row>
    <row r="128" spans="1:38">
      <c r="A128" s="470" t="s">
        <v>398</v>
      </c>
      <c r="B128" s="470" t="s">
        <v>273</v>
      </c>
      <c r="C128" s="470" t="s">
        <v>273</v>
      </c>
      <c r="D128" s="470" t="s">
        <v>273</v>
      </c>
      <c r="E128" s="470" t="s">
        <v>273</v>
      </c>
      <c r="F128" s="470" t="s">
        <v>273</v>
      </c>
      <c r="G128" s="470" t="s">
        <v>273</v>
      </c>
      <c r="H128" s="470" t="s">
        <v>273</v>
      </c>
      <c r="I128" s="470">
        <v>0</v>
      </c>
      <c r="J128" s="470">
        <v>0</v>
      </c>
      <c r="K128" s="470">
        <v>0</v>
      </c>
      <c r="L128" s="470">
        <v>0</v>
      </c>
      <c r="M128" s="470">
        <v>0</v>
      </c>
      <c r="N128" s="470">
        <v>0</v>
      </c>
      <c r="O128" s="470">
        <v>0</v>
      </c>
      <c r="P128" s="470">
        <v>0</v>
      </c>
      <c r="Q128" s="470">
        <v>0</v>
      </c>
      <c r="R128" s="470">
        <v>0</v>
      </c>
      <c r="S128" s="470">
        <v>0</v>
      </c>
      <c r="T128" s="470">
        <v>0</v>
      </c>
      <c r="U128" s="470">
        <v>0</v>
      </c>
      <c r="V128" s="470">
        <v>0</v>
      </c>
      <c r="W128" s="470">
        <v>0</v>
      </c>
      <c r="X128" s="470">
        <v>0</v>
      </c>
      <c r="Y128" s="470">
        <v>0</v>
      </c>
      <c r="Z128" s="470">
        <v>0</v>
      </c>
      <c r="AA128" s="470">
        <v>0</v>
      </c>
      <c r="AB128" s="470">
        <v>0</v>
      </c>
      <c r="AC128" s="470">
        <v>0</v>
      </c>
      <c r="AD128" s="470">
        <v>0</v>
      </c>
      <c r="AE128" s="470">
        <v>0</v>
      </c>
      <c r="AF128" s="470">
        <v>0</v>
      </c>
      <c r="AG128" s="470">
        <v>0</v>
      </c>
      <c r="AH128" s="470">
        <v>0</v>
      </c>
      <c r="AI128" s="470">
        <v>0</v>
      </c>
      <c r="AJ128" s="470">
        <v>0</v>
      </c>
      <c r="AK128" s="470">
        <v>0</v>
      </c>
      <c r="AL128" s="470">
        <v>0</v>
      </c>
    </row>
    <row r="129" spans="1:38">
      <c r="A129" s="470" t="s">
        <v>397</v>
      </c>
      <c r="B129" s="470" t="s">
        <v>273</v>
      </c>
      <c r="C129" s="470" t="s">
        <v>273</v>
      </c>
      <c r="D129" s="470" t="s">
        <v>273</v>
      </c>
      <c r="E129" s="470" t="s">
        <v>273</v>
      </c>
      <c r="F129" s="470" t="s">
        <v>273</v>
      </c>
      <c r="G129" s="470" t="s">
        <v>273</v>
      </c>
      <c r="H129" s="470" t="s">
        <v>273</v>
      </c>
      <c r="I129" s="470">
        <v>0</v>
      </c>
      <c r="J129" s="470">
        <v>0</v>
      </c>
      <c r="K129" s="470">
        <v>0</v>
      </c>
      <c r="L129" s="470">
        <v>0</v>
      </c>
      <c r="M129" s="470">
        <v>0</v>
      </c>
      <c r="N129" s="470">
        <v>0</v>
      </c>
      <c r="O129" s="470">
        <v>0</v>
      </c>
      <c r="P129" s="470">
        <v>0</v>
      </c>
      <c r="Q129" s="470">
        <v>0</v>
      </c>
      <c r="R129" s="470">
        <v>0</v>
      </c>
      <c r="S129" s="470">
        <v>-1</v>
      </c>
      <c r="T129" s="470">
        <v>-1</v>
      </c>
      <c r="U129" s="470" t="s">
        <v>306</v>
      </c>
      <c r="V129" s="470" t="s">
        <v>306</v>
      </c>
      <c r="W129" s="470" t="s">
        <v>306</v>
      </c>
      <c r="X129" s="470">
        <v>0</v>
      </c>
      <c r="Y129" s="470" t="s">
        <v>306</v>
      </c>
      <c r="Z129" s="470" t="s">
        <v>306</v>
      </c>
      <c r="AA129" s="470" t="s">
        <v>306</v>
      </c>
      <c r="AB129" s="470" t="s">
        <v>306</v>
      </c>
      <c r="AC129" s="470">
        <v>0</v>
      </c>
      <c r="AD129" s="470">
        <v>0</v>
      </c>
      <c r="AE129" s="470">
        <v>0</v>
      </c>
      <c r="AF129" s="470">
        <v>0</v>
      </c>
      <c r="AG129" s="470">
        <v>0</v>
      </c>
      <c r="AH129" s="470">
        <v>0</v>
      </c>
      <c r="AI129" s="470">
        <v>0</v>
      </c>
      <c r="AJ129" s="470">
        <v>0</v>
      </c>
      <c r="AK129" s="470">
        <v>0</v>
      </c>
      <c r="AL129" s="470">
        <v>0</v>
      </c>
    </row>
    <row r="130" spans="1:38">
      <c r="A130" s="470" t="s">
        <v>396</v>
      </c>
      <c r="B130" s="470">
        <v>0</v>
      </c>
      <c r="C130" s="470">
        <v>0</v>
      </c>
      <c r="D130" s="470">
        <v>0</v>
      </c>
      <c r="E130" s="470">
        <v>0</v>
      </c>
      <c r="F130" s="470">
        <v>0</v>
      </c>
      <c r="G130" s="470">
        <v>0</v>
      </c>
      <c r="H130" s="470">
        <v>0</v>
      </c>
      <c r="I130" s="470" t="s">
        <v>306</v>
      </c>
      <c r="J130" s="470" t="s">
        <v>306</v>
      </c>
      <c r="K130" s="470" t="s">
        <v>306</v>
      </c>
      <c r="L130" s="470" t="s">
        <v>306</v>
      </c>
      <c r="M130" s="470" t="s">
        <v>306</v>
      </c>
      <c r="N130" s="470" t="s">
        <v>306</v>
      </c>
      <c r="O130" s="470" t="s">
        <v>306</v>
      </c>
      <c r="P130" s="470" t="s">
        <v>306</v>
      </c>
      <c r="Q130" s="470" t="s">
        <v>306</v>
      </c>
      <c r="R130" s="470">
        <v>0</v>
      </c>
      <c r="S130" s="470" t="s">
        <v>306</v>
      </c>
      <c r="T130" s="470" t="s">
        <v>306</v>
      </c>
      <c r="U130" s="470">
        <v>1</v>
      </c>
      <c r="V130" s="470">
        <v>2</v>
      </c>
      <c r="W130" s="470">
        <v>4</v>
      </c>
      <c r="X130" s="470">
        <v>4</v>
      </c>
      <c r="Y130" s="470">
        <v>2</v>
      </c>
      <c r="Z130" s="470">
        <v>2</v>
      </c>
      <c r="AA130" s="470" t="s">
        <v>291</v>
      </c>
      <c r="AB130" s="470">
        <v>1</v>
      </c>
      <c r="AC130" s="470" t="s">
        <v>306</v>
      </c>
      <c r="AD130" s="470" t="s">
        <v>306</v>
      </c>
      <c r="AE130" s="470" t="s">
        <v>306</v>
      </c>
      <c r="AF130" s="470" t="s">
        <v>306</v>
      </c>
      <c r="AG130" s="470" t="s">
        <v>306</v>
      </c>
      <c r="AH130" s="470" t="s">
        <v>306</v>
      </c>
      <c r="AI130" s="470" t="s">
        <v>306</v>
      </c>
      <c r="AJ130" s="470" t="s">
        <v>306</v>
      </c>
      <c r="AK130" s="470" t="s">
        <v>306</v>
      </c>
      <c r="AL130" s="470" t="s">
        <v>306</v>
      </c>
    </row>
    <row r="131" spans="1:38">
      <c r="A131" s="470" t="s">
        <v>858</v>
      </c>
      <c r="B131" s="470" t="s">
        <v>273</v>
      </c>
      <c r="C131" s="470" t="s">
        <v>273</v>
      </c>
      <c r="D131" s="470" t="s">
        <v>273</v>
      </c>
      <c r="E131" s="470" t="s">
        <v>273</v>
      </c>
      <c r="F131" s="470" t="s">
        <v>273</v>
      </c>
      <c r="G131" s="470" t="s">
        <v>273</v>
      </c>
      <c r="H131" s="470" t="s">
        <v>273</v>
      </c>
      <c r="I131" s="470">
        <v>0</v>
      </c>
      <c r="J131" s="470">
        <v>0</v>
      </c>
      <c r="K131" s="470">
        <v>0</v>
      </c>
      <c r="L131" s="470">
        <v>0</v>
      </c>
      <c r="M131" s="470">
        <v>0</v>
      </c>
      <c r="N131" s="470">
        <v>0</v>
      </c>
      <c r="O131" s="470">
        <v>0</v>
      </c>
      <c r="P131" s="470">
        <v>0</v>
      </c>
      <c r="Q131" s="470">
        <v>0</v>
      </c>
      <c r="R131" s="470">
        <v>0</v>
      </c>
      <c r="S131" s="470">
        <v>0</v>
      </c>
      <c r="T131" s="470">
        <v>0</v>
      </c>
      <c r="U131" s="470">
        <v>0</v>
      </c>
      <c r="V131" s="470">
        <v>0</v>
      </c>
      <c r="W131" s="470">
        <v>0</v>
      </c>
      <c r="X131" s="470">
        <v>0</v>
      </c>
      <c r="Y131" s="470">
        <v>0</v>
      </c>
      <c r="Z131" s="470">
        <v>0</v>
      </c>
      <c r="AA131" s="470">
        <v>0</v>
      </c>
      <c r="AB131" s="470">
        <v>0</v>
      </c>
      <c r="AC131" s="470" t="s">
        <v>291</v>
      </c>
      <c r="AD131" s="470" t="s">
        <v>291</v>
      </c>
      <c r="AE131" s="470" t="s">
        <v>291</v>
      </c>
      <c r="AF131" s="470" t="s">
        <v>306</v>
      </c>
      <c r="AG131" s="470" t="s">
        <v>306</v>
      </c>
      <c r="AH131" s="470">
        <v>-6</v>
      </c>
      <c r="AI131" s="470">
        <v>-5</v>
      </c>
      <c r="AJ131" s="470">
        <v>-3</v>
      </c>
      <c r="AK131" s="470">
        <v>-5</v>
      </c>
      <c r="AL131" s="470">
        <v>-19</v>
      </c>
    </row>
    <row r="132" spans="1:38">
      <c r="A132" s="470" t="s">
        <v>394</v>
      </c>
      <c r="B132" s="470" t="s">
        <v>273</v>
      </c>
      <c r="C132" s="470" t="s">
        <v>273</v>
      </c>
      <c r="D132" s="470" t="s">
        <v>273</v>
      </c>
      <c r="E132" s="470" t="s">
        <v>273</v>
      </c>
      <c r="F132" s="470" t="s">
        <v>273</v>
      </c>
      <c r="G132" s="470" t="s">
        <v>273</v>
      </c>
      <c r="H132" s="470" t="s">
        <v>273</v>
      </c>
      <c r="I132" s="470">
        <v>27</v>
      </c>
      <c r="J132" s="470">
        <v>39</v>
      </c>
      <c r="K132" s="470">
        <v>-34</v>
      </c>
      <c r="L132" s="470">
        <v>-41</v>
      </c>
      <c r="M132" s="470">
        <v>-96</v>
      </c>
      <c r="N132" s="470">
        <v>-61</v>
      </c>
      <c r="O132" s="470">
        <v>-27</v>
      </c>
      <c r="P132" s="470">
        <v>-19</v>
      </c>
      <c r="Q132" s="470">
        <v>31</v>
      </c>
      <c r="R132" s="470">
        <v>-136</v>
      </c>
      <c r="S132" s="470">
        <v>-349</v>
      </c>
      <c r="T132" s="470">
        <v>-93</v>
      </c>
      <c r="U132" s="470">
        <v>-66</v>
      </c>
      <c r="V132" s="470">
        <v>31</v>
      </c>
      <c r="W132" s="470">
        <v>-221</v>
      </c>
      <c r="X132" s="470">
        <v>2</v>
      </c>
      <c r="Y132" s="470">
        <v>-8</v>
      </c>
      <c r="Z132" s="470">
        <v>177</v>
      </c>
      <c r="AA132" s="470">
        <v>204</v>
      </c>
      <c r="AB132" s="470">
        <v>207</v>
      </c>
      <c r="AC132" s="470">
        <v>214</v>
      </c>
      <c r="AD132" s="470">
        <v>63</v>
      </c>
      <c r="AE132" s="470">
        <v>91</v>
      </c>
      <c r="AF132" s="470">
        <v>117</v>
      </c>
      <c r="AG132" s="470">
        <v>466</v>
      </c>
      <c r="AH132" s="470">
        <v>39</v>
      </c>
      <c r="AI132" s="470">
        <v>-100</v>
      </c>
      <c r="AJ132" s="470">
        <v>488</v>
      </c>
      <c r="AK132" s="470">
        <v>189</v>
      </c>
      <c r="AL132" s="470">
        <v>177</v>
      </c>
    </row>
    <row r="133" spans="1:38">
      <c r="A133" s="470" t="s">
        <v>391</v>
      </c>
      <c r="B133" s="470" t="s">
        <v>273</v>
      </c>
      <c r="C133" s="470" t="s">
        <v>273</v>
      </c>
      <c r="D133" s="470" t="s">
        <v>273</v>
      </c>
      <c r="E133" s="470" t="s">
        <v>273</v>
      </c>
      <c r="F133" s="470" t="s">
        <v>273</v>
      </c>
      <c r="G133" s="470" t="s">
        <v>273</v>
      </c>
      <c r="H133" s="470" t="s">
        <v>273</v>
      </c>
      <c r="I133" s="470">
        <v>-2</v>
      </c>
      <c r="J133" s="470">
        <v>1</v>
      </c>
      <c r="K133" s="470">
        <v>-3</v>
      </c>
      <c r="L133" s="470">
        <v>-3</v>
      </c>
      <c r="M133" s="470">
        <v>-3</v>
      </c>
      <c r="N133" s="470" t="s">
        <v>306</v>
      </c>
      <c r="O133" s="470" t="s">
        <v>306</v>
      </c>
      <c r="P133" s="470" t="s">
        <v>306</v>
      </c>
      <c r="Q133" s="470" t="s">
        <v>306</v>
      </c>
      <c r="R133" s="470">
        <v>-1</v>
      </c>
      <c r="S133" s="470">
        <v>-3</v>
      </c>
      <c r="T133" s="470">
        <v>-8</v>
      </c>
      <c r="U133" s="470">
        <v>-33</v>
      </c>
      <c r="V133" s="470">
        <v>-1</v>
      </c>
      <c r="W133" s="470">
        <v>-54</v>
      </c>
      <c r="X133" s="470">
        <v>-54</v>
      </c>
      <c r="Y133" s="470">
        <v>-7</v>
      </c>
      <c r="Z133" s="470">
        <v>14</v>
      </c>
      <c r="AA133" s="470">
        <v>-2</v>
      </c>
      <c r="AB133" s="470">
        <v>14</v>
      </c>
      <c r="AC133" s="470">
        <v>40</v>
      </c>
      <c r="AD133" s="470">
        <v>25</v>
      </c>
      <c r="AE133" s="470">
        <v>44</v>
      </c>
      <c r="AF133" s="470" t="s">
        <v>291</v>
      </c>
      <c r="AG133" s="470" t="s">
        <v>291</v>
      </c>
      <c r="AH133" s="470">
        <v>65</v>
      </c>
      <c r="AI133" s="470">
        <v>-122</v>
      </c>
      <c r="AJ133" s="470">
        <v>414</v>
      </c>
      <c r="AK133" s="470" t="s">
        <v>291</v>
      </c>
      <c r="AL133" s="470">
        <v>177</v>
      </c>
    </row>
    <row r="134" spans="1:38">
      <c r="A134" s="470" t="s">
        <v>236</v>
      </c>
      <c r="B134" s="470" t="s">
        <v>273</v>
      </c>
      <c r="C134" s="470" t="s">
        <v>273</v>
      </c>
      <c r="D134" s="470" t="s">
        <v>273</v>
      </c>
      <c r="E134" s="470" t="s">
        <v>273</v>
      </c>
      <c r="F134" s="470" t="s">
        <v>273</v>
      </c>
      <c r="G134" s="470" t="s">
        <v>273</v>
      </c>
      <c r="H134" s="470" t="s">
        <v>273</v>
      </c>
      <c r="I134" s="470">
        <v>29</v>
      </c>
      <c r="J134" s="470">
        <v>38</v>
      </c>
      <c r="K134" s="470">
        <v>-31</v>
      </c>
      <c r="L134" s="470">
        <v>-38</v>
      </c>
      <c r="M134" s="470">
        <v>-93</v>
      </c>
      <c r="N134" s="470">
        <v>-61</v>
      </c>
      <c r="O134" s="470">
        <v>-27</v>
      </c>
      <c r="P134" s="470">
        <v>-19</v>
      </c>
      <c r="Q134" s="470">
        <v>32</v>
      </c>
      <c r="R134" s="470">
        <v>-134</v>
      </c>
      <c r="S134" s="470">
        <v>-346</v>
      </c>
      <c r="T134" s="470">
        <v>-84</v>
      </c>
      <c r="U134" s="470">
        <v>-33</v>
      </c>
      <c r="V134" s="470">
        <v>32</v>
      </c>
      <c r="W134" s="470">
        <v>-167</v>
      </c>
      <c r="X134" s="470">
        <v>56</v>
      </c>
      <c r="Y134" s="470">
        <v>-1</v>
      </c>
      <c r="Z134" s="470">
        <v>163</v>
      </c>
      <c r="AA134" s="470">
        <v>206</v>
      </c>
      <c r="AB134" s="470">
        <v>194</v>
      </c>
      <c r="AC134" s="470">
        <v>174</v>
      </c>
      <c r="AD134" s="470">
        <v>38</v>
      </c>
      <c r="AE134" s="470">
        <v>46</v>
      </c>
      <c r="AF134" s="470" t="s">
        <v>291</v>
      </c>
      <c r="AG134" s="470" t="s">
        <v>291</v>
      </c>
      <c r="AH134" s="470">
        <v>-26</v>
      </c>
      <c r="AI134" s="470">
        <v>22</v>
      </c>
      <c r="AJ134" s="470">
        <v>74</v>
      </c>
      <c r="AK134" s="470" t="s">
        <v>291</v>
      </c>
      <c r="AL134" s="470" t="s">
        <v>306</v>
      </c>
    </row>
    <row r="135" spans="1:38">
      <c r="A135" s="470" t="s">
        <v>390</v>
      </c>
      <c r="B135" s="470" t="s">
        <v>273</v>
      </c>
      <c r="C135" s="470" t="s">
        <v>273</v>
      </c>
      <c r="D135" s="470" t="s">
        <v>273</v>
      </c>
      <c r="E135" s="470" t="s">
        <v>273</v>
      </c>
      <c r="F135" s="470" t="s">
        <v>273</v>
      </c>
      <c r="G135" s="470" t="s">
        <v>273</v>
      </c>
      <c r="H135" s="470" t="s">
        <v>273</v>
      </c>
      <c r="I135" s="470">
        <v>0</v>
      </c>
      <c r="J135" s="470">
        <v>0</v>
      </c>
      <c r="K135" s="470">
        <v>0</v>
      </c>
      <c r="L135" s="470">
        <v>0</v>
      </c>
      <c r="M135" s="470">
        <v>0</v>
      </c>
      <c r="N135" s="470">
        <v>0</v>
      </c>
      <c r="O135" s="470">
        <v>0</v>
      </c>
      <c r="P135" s="470">
        <v>0</v>
      </c>
      <c r="Q135" s="470">
        <v>0</v>
      </c>
      <c r="R135" s="470">
        <v>0</v>
      </c>
      <c r="S135" s="470" t="s">
        <v>306</v>
      </c>
      <c r="T135" s="470" t="s">
        <v>291</v>
      </c>
      <c r="U135" s="470">
        <v>0</v>
      </c>
      <c r="V135" s="470">
        <v>0</v>
      </c>
      <c r="W135" s="470">
        <v>0</v>
      </c>
      <c r="X135" s="470">
        <v>0</v>
      </c>
      <c r="Y135" s="470">
        <v>0</v>
      </c>
      <c r="Z135" s="470">
        <v>0</v>
      </c>
      <c r="AA135" s="470">
        <v>0</v>
      </c>
      <c r="AB135" s="470">
        <v>0</v>
      </c>
      <c r="AC135" s="470">
        <v>0</v>
      </c>
      <c r="AD135" s="470">
        <v>0</v>
      </c>
      <c r="AE135" s="470">
        <v>0</v>
      </c>
      <c r="AF135" s="470">
        <v>0</v>
      </c>
      <c r="AG135" s="470">
        <v>0</v>
      </c>
      <c r="AH135" s="470" t="s">
        <v>306</v>
      </c>
      <c r="AI135" s="470" t="s">
        <v>306</v>
      </c>
      <c r="AJ135" s="470" t="s">
        <v>306</v>
      </c>
      <c r="AK135" s="470" t="s">
        <v>306</v>
      </c>
      <c r="AL135" s="470" t="s">
        <v>306</v>
      </c>
    </row>
    <row r="136" spans="1:38">
      <c r="A136" s="470" t="s">
        <v>389</v>
      </c>
      <c r="B136" s="470" t="s">
        <v>273</v>
      </c>
      <c r="C136" s="470" t="s">
        <v>273</v>
      </c>
      <c r="D136" s="470" t="s">
        <v>273</v>
      </c>
      <c r="E136" s="470" t="s">
        <v>273</v>
      </c>
      <c r="F136" s="470" t="s">
        <v>273</v>
      </c>
      <c r="G136" s="470" t="s">
        <v>273</v>
      </c>
      <c r="H136" s="470" t="s">
        <v>273</v>
      </c>
      <c r="I136" s="470">
        <v>0</v>
      </c>
      <c r="J136" s="470">
        <v>0</v>
      </c>
      <c r="K136" s="470">
        <v>0</v>
      </c>
      <c r="L136" s="470">
        <v>0</v>
      </c>
      <c r="M136" s="470">
        <v>0</v>
      </c>
      <c r="N136" s="470">
        <v>0</v>
      </c>
      <c r="O136" s="470">
        <v>0</v>
      </c>
      <c r="P136" s="470">
        <v>0</v>
      </c>
      <c r="Q136" s="470">
        <v>0</v>
      </c>
      <c r="R136" s="470">
        <v>0</v>
      </c>
      <c r="S136" s="470" t="s">
        <v>306</v>
      </c>
      <c r="T136" s="470" t="s">
        <v>306</v>
      </c>
      <c r="U136" s="470">
        <v>0</v>
      </c>
      <c r="V136" s="470">
        <v>0</v>
      </c>
      <c r="W136" s="470">
        <v>0</v>
      </c>
      <c r="X136" s="470" t="s">
        <v>306</v>
      </c>
      <c r="Y136" s="470" t="s">
        <v>306</v>
      </c>
      <c r="Z136" s="470" t="s">
        <v>306</v>
      </c>
      <c r="AA136" s="470">
        <v>-1</v>
      </c>
      <c r="AB136" s="470">
        <v>-1</v>
      </c>
      <c r="AC136" s="470">
        <v>6</v>
      </c>
      <c r="AD136" s="470">
        <v>8</v>
      </c>
      <c r="AE136" s="470">
        <v>6</v>
      </c>
      <c r="AF136" s="470">
        <v>9</v>
      </c>
      <c r="AG136" s="470">
        <v>9</v>
      </c>
      <c r="AH136" s="470" t="s">
        <v>291</v>
      </c>
      <c r="AI136" s="470" t="s">
        <v>291</v>
      </c>
      <c r="AJ136" s="470" t="s">
        <v>291</v>
      </c>
      <c r="AK136" s="470" t="s">
        <v>291</v>
      </c>
      <c r="AL136" s="470">
        <v>6</v>
      </c>
    </row>
    <row r="137" spans="1:38">
      <c r="A137" s="470" t="s">
        <v>388</v>
      </c>
      <c r="B137" s="470" t="s">
        <v>273</v>
      </c>
      <c r="C137" s="470" t="s">
        <v>273</v>
      </c>
      <c r="D137" s="470" t="s">
        <v>273</v>
      </c>
      <c r="E137" s="470" t="s">
        <v>273</v>
      </c>
      <c r="F137" s="470" t="s">
        <v>273</v>
      </c>
      <c r="G137" s="470" t="s">
        <v>273</v>
      </c>
      <c r="H137" s="470" t="s">
        <v>273</v>
      </c>
      <c r="I137" s="470" t="s">
        <v>273</v>
      </c>
      <c r="J137" s="470" t="s">
        <v>273</v>
      </c>
      <c r="K137" s="470" t="s">
        <v>273</v>
      </c>
      <c r="L137" s="470" t="s">
        <v>273</v>
      </c>
      <c r="M137" s="470" t="s">
        <v>273</v>
      </c>
      <c r="N137" s="470" t="s">
        <v>273</v>
      </c>
      <c r="O137" s="470" t="s">
        <v>273</v>
      </c>
      <c r="P137" s="470" t="s">
        <v>273</v>
      </c>
      <c r="Q137" s="470" t="s">
        <v>273</v>
      </c>
      <c r="R137" s="470" t="s">
        <v>273</v>
      </c>
      <c r="S137" s="470">
        <v>0</v>
      </c>
      <c r="T137" s="470">
        <v>0</v>
      </c>
      <c r="U137" s="470">
        <v>0</v>
      </c>
      <c r="V137" s="470">
        <v>0</v>
      </c>
      <c r="W137" s="470">
        <v>0</v>
      </c>
      <c r="X137" s="470">
        <v>0</v>
      </c>
      <c r="Y137" s="470">
        <v>0</v>
      </c>
      <c r="Z137" s="470">
        <v>0</v>
      </c>
      <c r="AA137" s="470">
        <v>0</v>
      </c>
      <c r="AB137" s="470">
        <v>0</v>
      </c>
      <c r="AC137" s="470">
        <v>0</v>
      </c>
      <c r="AD137" s="470">
        <v>0</v>
      </c>
      <c r="AE137" s="470">
        <v>0</v>
      </c>
      <c r="AF137" s="470">
        <v>0</v>
      </c>
      <c r="AG137" s="470">
        <v>0</v>
      </c>
      <c r="AH137" s="470">
        <v>0</v>
      </c>
      <c r="AI137" s="470">
        <v>0</v>
      </c>
      <c r="AJ137" s="470">
        <v>0</v>
      </c>
      <c r="AK137" s="470">
        <v>0</v>
      </c>
      <c r="AL137" s="470">
        <v>0</v>
      </c>
    </row>
    <row r="138" spans="1:38">
      <c r="A138" s="470" t="s">
        <v>387</v>
      </c>
      <c r="B138" s="470" t="s">
        <v>273</v>
      </c>
      <c r="C138" s="470" t="s">
        <v>273</v>
      </c>
      <c r="D138" s="470" t="s">
        <v>273</v>
      </c>
      <c r="E138" s="470" t="s">
        <v>273</v>
      </c>
      <c r="F138" s="470" t="s">
        <v>273</v>
      </c>
      <c r="G138" s="470" t="s">
        <v>273</v>
      </c>
      <c r="H138" s="470" t="s">
        <v>273</v>
      </c>
      <c r="I138" s="470">
        <v>0</v>
      </c>
      <c r="J138" s="470">
        <v>0</v>
      </c>
      <c r="K138" s="470">
        <v>0</v>
      </c>
      <c r="L138" s="470">
        <v>0</v>
      </c>
      <c r="M138" s="470">
        <v>0</v>
      </c>
      <c r="N138" s="470">
        <v>0</v>
      </c>
      <c r="O138" s="470">
        <v>0</v>
      </c>
      <c r="P138" s="470">
        <v>0</v>
      </c>
      <c r="Q138" s="470">
        <v>0</v>
      </c>
      <c r="R138" s="470">
        <v>0</v>
      </c>
      <c r="S138" s="470" t="s">
        <v>273</v>
      </c>
      <c r="T138" s="470" t="s">
        <v>273</v>
      </c>
      <c r="U138" s="470" t="s">
        <v>273</v>
      </c>
      <c r="V138" s="470" t="s">
        <v>273</v>
      </c>
      <c r="W138" s="470" t="s">
        <v>273</v>
      </c>
      <c r="X138" s="470" t="s">
        <v>273</v>
      </c>
      <c r="Y138" s="470" t="s">
        <v>273</v>
      </c>
      <c r="Z138" s="470" t="s">
        <v>273</v>
      </c>
      <c r="AA138" s="470" t="s">
        <v>273</v>
      </c>
      <c r="AB138" s="470" t="s">
        <v>273</v>
      </c>
      <c r="AC138" s="470">
        <v>0</v>
      </c>
      <c r="AD138" s="470">
        <v>0</v>
      </c>
      <c r="AE138" s="470">
        <v>0</v>
      </c>
      <c r="AF138" s="470">
        <v>0</v>
      </c>
      <c r="AG138" s="470">
        <v>0</v>
      </c>
      <c r="AH138" s="470">
        <v>0</v>
      </c>
      <c r="AI138" s="470">
        <v>0</v>
      </c>
      <c r="AJ138" s="470">
        <v>0</v>
      </c>
      <c r="AK138" s="470">
        <v>0</v>
      </c>
      <c r="AL138" s="470">
        <v>0</v>
      </c>
    </row>
    <row r="139" spans="1:38">
      <c r="A139" s="470" t="s">
        <v>386</v>
      </c>
      <c r="B139" s="470" t="s">
        <v>273</v>
      </c>
      <c r="C139" s="470" t="s">
        <v>273</v>
      </c>
      <c r="D139" s="470" t="s">
        <v>273</v>
      </c>
      <c r="E139" s="470" t="s">
        <v>273</v>
      </c>
      <c r="F139" s="470" t="s">
        <v>273</v>
      </c>
      <c r="G139" s="470" t="s">
        <v>273</v>
      </c>
      <c r="H139" s="470" t="s">
        <v>273</v>
      </c>
      <c r="I139" s="470" t="s">
        <v>273</v>
      </c>
      <c r="J139" s="470" t="s">
        <v>273</v>
      </c>
      <c r="K139" s="470" t="s">
        <v>273</v>
      </c>
      <c r="L139" s="470" t="s">
        <v>273</v>
      </c>
      <c r="M139" s="470" t="s">
        <v>273</v>
      </c>
      <c r="N139" s="470" t="s">
        <v>273</v>
      </c>
      <c r="O139" s="470" t="s">
        <v>273</v>
      </c>
      <c r="P139" s="470" t="s">
        <v>273</v>
      </c>
      <c r="Q139" s="470" t="s">
        <v>273</v>
      </c>
      <c r="R139" s="470" t="s">
        <v>273</v>
      </c>
      <c r="S139" s="470" t="s">
        <v>273</v>
      </c>
      <c r="T139" s="470" t="s">
        <v>273</v>
      </c>
      <c r="U139" s="470" t="s">
        <v>273</v>
      </c>
      <c r="V139" s="470" t="s">
        <v>273</v>
      </c>
      <c r="W139" s="470" t="s">
        <v>273</v>
      </c>
      <c r="X139" s="470" t="s">
        <v>273</v>
      </c>
      <c r="Y139" s="470" t="s">
        <v>273</v>
      </c>
      <c r="Z139" s="470" t="s">
        <v>273</v>
      </c>
      <c r="AA139" s="470" t="s">
        <v>273</v>
      </c>
      <c r="AB139" s="470" t="s">
        <v>273</v>
      </c>
      <c r="AC139" s="470">
        <v>0</v>
      </c>
      <c r="AD139" s="470">
        <v>0</v>
      </c>
      <c r="AE139" s="470">
        <v>0</v>
      </c>
      <c r="AF139" s="470">
        <v>0</v>
      </c>
      <c r="AG139" s="470">
        <v>0</v>
      </c>
      <c r="AH139" s="470">
        <v>0</v>
      </c>
      <c r="AI139" s="470">
        <v>0</v>
      </c>
      <c r="AJ139" s="470">
        <v>0</v>
      </c>
      <c r="AK139" s="470">
        <v>0</v>
      </c>
      <c r="AL139" s="470">
        <v>0</v>
      </c>
    </row>
    <row r="140" spans="1:38">
      <c r="A140" s="470" t="s">
        <v>384</v>
      </c>
      <c r="B140" s="470" t="s">
        <v>273</v>
      </c>
      <c r="C140" s="470" t="s">
        <v>273</v>
      </c>
      <c r="D140" s="470" t="s">
        <v>273</v>
      </c>
      <c r="E140" s="470" t="s">
        <v>273</v>
      </c>
      <c r="F140" s="470" t="s">
        <v>273</v>
      </c>
      <c r="G140" s="470" t="s">
        <v>273</v>
      </c>
      <c r="H140" s="470" t="s">
        <v>273</v>
      </c>
      <c r="I140" s="470">
        <v>0</v>
      </c>
      <c r="J140" s="470">
        <v>0</v>
      </c>
      <c r="K140" s="470">
        <v>0</v>
      </c>
      <c r="L140" s="470">
        <v>0</v>
      </c>
      <c r="M140" s="470">
        <v>0</v>
      </c>
      <c r="N140" s="470">
        <v>0</v>
      </c>
      <c r="O140" s="470">
        <v>0</v>
      </c>
      <c r="P140" s="470">
        <v>0</v>
      </c>
      <c r="Q140" s="470">
        <v>0</v>
      </c>
      <c r="R140" s="470">
        <v>0</v>
      </c>
      <c r="S140" s="470">
        <v>0</v>
      </c>
      <c r="T140" s="470">
        <v>0</v>
      </c>
      <c r="U140" s="470">
        <v>0</v>
      </c>
      <c r="V140" s="470">
        <v>0</v>
      </c>
      <c r="W140" s="470">
        <v>0</v>
      </c>
      <c r="X140" s="470">
        <v>0</v>
      </c>
      <c r="Y140" s="470">
        <v>0</v>
      </c>
      <c r="Z140" s="470">
        <v>0</v>
      </c>
      <c r="AA140" s="470">
        <v>0</v>
      </c>
      <c r="AB140" s="470">
        <v>0</v>
      </c>
      <c r="AC140" s="470">
        <v>0</v>
      </c>
      <c r="AD140" s="470">
        <v>0</v>
      </c>
      <c r="AE140" s="470">
        <v>0</v>
      </c>
      <c r="AF140" s="470">
        <v>0</v>
      </c>
      <c r="AG140" s="470">
        <v>0</v>
      </c>
      <c r="AH140" s="470" t="s">
        <v>306</v>
      </c>
      <c r="AI140" s="470" t="s">
        <v>306</v>
      </c>
      <c r="AJ140" s="470" t="s">
        <v>306</v>
      </c>
      <c r="AK140" s="470" t="s">
        <v>306</v>
      </c>
      <c r="AL140" s="470" t="s">
        <v>306</v>
      </c>
    </row>
    <row r="141" spans="1:38">
      <c r="A141" s="470" t="s">
        <v>383</v>
      </c>
      <c r="B141" s="470" t="s">
        <v>273</v>
      </c>
      <c r="C141" s="470" t="s">
        <v>273</v>
      </c>
      <c r="D141" s="470" t="s">
        <v>273</v>
      </c>
      <c r="E141" s="470" t="s">
        <v>273</v>
      </c>
      <c r="F141" s="470" t="s">
        <v>273</v>
      </c>
      <c r="G141" s="470" t="s">
        <v>273</v>
      </c>
      <c r="H141" s="470" t="s">
        <v>273</v>
      </c>
      <c r="I141" s="470" t="s">
        <v>273</v>
      </c>
      <c r="J141" s="470" t="s">
        <v>273</v>
      </c>
      <c r="K141" s="470" t="s">
        <v>273</v>
      </c>
      <c r="L141" s="470" t="s">
        <v>273</v>
      </c>
      <c r="M141" s="470" t="s">
        <v>273</v>
      </c>
      <c r="N141" s="470" t="s">
        <v>273</v>
      </c>
      <c r="O141" s="470" t="s">
        <v>273</v>
      </c>
      <c r="P141" s="470" t="s">
        <v>273</v>
      </c>
      <c r="Q141" s="470" t="s">
        <v>273</v>
      </c>
      <c r="R141" s="470" t="s">
        <v>273</v>
      </c>
      <c r="S141" s="470" t="s">
        <v>273</v>
      </c>
      <c r="T141" s="470" t="s">
        <v>273</v>
      </c>
      <c r="U141" s="470" t="s">
        <v>273</v>
      </c>
      <c r="V141" s="470" t="s">
        <v>273</v>
      </c>
      <c r="W141" s="470" t="s">
        <v>273</v>
      </c>
      <c r="X141" s="470" t="s">
        <v>273</v>
      </c>
      <c r="Y141" s="470" t="s">
        <v>273</v>
      </c>
      <c r="Z141" s="470" t="s">
        <v>273</v>
      </c>
      <c r="AA141" s="470" t="s">
        <v>273</v>
      </c>
      <c r="AB141" s="470" t="s">
        <v>273</v>
      </c>
      <c r="AC141" s="470" t="s">
        <v>273</v>
      </c>
      <c r="AD141" s="470" t="s">
        <v>273</v>
      </c>
      <c r="AE141" s="470" t="s">
        <v>273</v>
      </c>
      <c r="AF141" s="470" t="s">
        <v>273</v>
      </c>
      <c r="AG141" s="470" t="s">
        <v>273</v>
      </c>
      <c r="AH141" s="470">
        <v>0</v>
      </c>
      <c r="AI141" s="470">
        <v>0</v>
      </c>
      <c r="AJ141" s="470">
        <v>0</v>
      </c>
      <c r="AK141" s="470">
        <v>0</v>
      </c>
      <c r="AL141" s="470">
        <v>0</v>
      </c>
    </row>
    <row r="142" spans="1:38">
      <c r="A142" s="470" t="s">
        <v>382</v>
      </c>
      <c r="B142" s="470" t="s">
        <v>273</v>
      </c>
      <c r="C142" s="470" t="s">
        <v>273</v>
      </c>
      <c r="D142" s="470" t="s">
        <v>273</v>
      </c>
      <c r="E142" s="470" t="s">
        <v>273</v>
      </c>
      <c r="F142" s="470" t="s">
        <v>273</v>
      </c>
      <c r="G142" s="470" t="s">
        <v>273</v>
      </c>
      <c r="H142" s="470" t="s">
        <v>273</v>
      </c>
      <c r="I142" s="470" t="s">
        <v>273</v>
      </c>
      <c r="J142" s="470" t="s">
        <v>273</v>
      </c>
      <c r="K142" s="470" t="s">
        <v>273</v>
      </c>
      <c r="L142" s="470" t="s">
        <v>273</v>
      </c>
      <c r="M142" s="470" t="s">
        <v>273</v>
      </c>
      <c r="N142" s="470" t="s">
        <v>273</v>
      </c>
      <c r="O142" s="470" t="s">
        <v>273</v>
      </c>
      <c r="P142" s="470" t="s">
        <v>273</v>
      </c>
      <c r="Q142" s="470" t="s">
        <v>273</v>
      </c>
      <c r="R142" s="470" t="s">
        <v>273</v>
      </c>
      <c r="S142" s="470" t="s">
        <v>273</v>
      </c>
      <c r="T142" s="470" t="s">
        <v>273</v>
      </c>
      <c r="U142" s="470" t="s">
        <v>273</v>
      </c>
      <c r="V142" s="470" t="s">
        <v>273</v>
      </c>
      <c r="W142" s="470" t="s">
        <v>273</v>
      </c>
      <c r="X142" s="470" t="s">
        <v>273</v>
      </c>
      <c r="Y142" s="470" t="s">
        <v>273</v>
      </c>
      <c r="Z142" s="470" t="s">
        <v>273</v>
      </c>
      <c r="AA142" s="470" t="s">
        <v>273</v>
      </c>
      <c r="AB142" s="470" t="s">
        <v>273</v>
      </c>
      <c r="AC142" s="470">
        <v>0</v>
      </c>
      <c r="AD142" s="470">
        <v>0</v>
      </c>
      <c r="AE142" s="470">
        <v>0</v>
      </c>
      <c r="AF142" s="470">
        <v>0</v>
      </c>
      <c r="AG142" s="470">
        <v>0</v>
      </c>
      <c r="AH142" s="470">
        <v>0</v>
      </c>
      <c r="AI142" s="470">
        <v>0</v>
      </c>
      <c r="AJ142" s="470">
        <v>0</v>
      </c>
      <c r="AK142" s="470">
        <v>0</v>
      </c>
      <c r="AL142" s="470">
        <v>0</v>
      </c>
    </row>
    <row r="143" spans="1:38">
      <c r="A143" s="470" t="s">
        <v>1416</v>
      </c>
      <c r="B143" s="470" t="s">
        <v>273</v>
      </c>
      <c r="C143" s="470" t="s">
        <v>273</v>
      </c>
      <c r="D143" s="470" t="s">
        <v>273</v>
      </c>
      <c r="E143" s="470" t="s">
        <v>273</v>
      </c>
      <c r="F143" s="470" t="s">
        <v>273</v>
      </c>
      <c r="G143" s="470" t="s">
        <v>273</v>
      </c>
      <c r="H143" s="470" t="s">
        <v>273</v>
      </c>
      <c r="I143" s="470">
        <v>0</v>
      </c>
      <c r="J143" s="470">
        <v>0</v>
      </c>
      <c r="K143" s="470">
        <v>0</v>
      </c>
      <c r="L143" s="470">
        <v>0</v>
      </c>
      <c r="M143" s="470">
        <v>0</v>
      </c>
      <c r="N143" s="470">
        <v>0</v>
      </c>
      <c r="O143" s="470">
        <v>0</v>
      </c>
      <c r="P143" s="470">
        <v>0</v>
      </c>
      <c r="Q143" s="470">
        <v>0</v>
      </c>
      <c r="R143" s="470">
        <v>0</v>
      </c>
      <c r="S143" s="470" t="s">
        <v>273</v>
      </c>
      <c r="T143" s="470" t="s">
        <v>273</v>
      </c>
      <c r="U143" s="470" t="s">
        <v>273</v>
      </c>
      <c r="V143" s="470" t="s">
        <v>273</v>
      </c>
      <c r="W143" s="470" t="s">
        <v>273</v>
      </c>
      <c r="X143" s="470" t="s">
        <v>273</v>
      </c>
      <c r="Y143" s="470" t="s">
        <v>273</v>
      </c>
      <c r="Z143" s="470" t="s">
        <v>273</v>
      </c>
      <c r="AA143" s="470" t="s">
        <v>273</v>
      </c>
      <c r="AB143" s="470" t="s">
        <v>273</v>
      </c>
      <c r="AC143" s="470" t="s">
        <v>273</v>
      </c>
      <c r="AD143" s="470" t="s">
        <v>273</v>
      </c>
      <c r="AE143" s="470" t="s">
        <v>273</v>
      </c>
      <c r="AF143" s="470" t="s">
        <v>273</v>
      </c>
      <c r="AG143" s="470" t="s">
        <v>273</v>
      </c>
      <c r="AH143" s="470" t="s">
        <v>273</v>
      </c>
      <c r="AI143" s="470" t="s">
        <v>273</v>
      </c>
      <c r="AJ143" s="470" t="s">
        <v>273</v>
      </c>
      <c r="AK143" s="470" t="s">
        <v>273</v>
      </c>
      <c r="AL143" s="470" t="s">
        <v>273</v>
      </c>
    </row>
    <row r="144" spans="1:38">
      <c r="A144" s="470" t="s">
        <v>380</v>
      </c>
      <c r="B144" s="470" t="s">
        <v>273</v>
      </c>
      <c r="C144" s="470" t="s">
        <v>273</v>
      </c>
      <c r="D144" s="470" t="s">
        <v>273</v>
      </c>
      <c r="E144" s="470" t="s">
        <v>273</v>
      </c>
      <c r="F144" s="470" t="s">
        <v>273</v>
      </c>
      <c r="G144" s="470" t="s">
        <v>273</v>
      </c>
      <c r="H144" s="470" t="s">
        <v>273</v>
      </c>
      <c r="I144" s="470">
        <v>0</v>
      </c>
      <c r="J144" s="470">
        <v>0</v>
      </c>
      <c r="K144" s="470">
        <v>0</v>
      </c>
      <c r="L144" s="470">
        <v>0</v>
      </c>
      <c r="M144" s="470">
        <v>0</v>
      </c>
      <c r="N144" s="470">
        <v>0</v>
      </c>
      <c r="O144" s="470">
        <v>0</v>
      </c>
      <c r="P144" s="470">
        <v>0</v>
      </c>
      <c r="Q144" s="470">
        <v>0</v>
      </c>
      <c r="R144" s="470">
        <v>0</v>
      </c>
      <c r="S144" s="470">
        <v>0</v>
      </c>
      <c r="T144" s="470">
        <v>0</v>
      </c>
      <c r="U144" s="470">
        <v>0</v>
      </c>
      <c r="V144" s="470">
        <v>0</v>
      </c>
      <c r="W144" s="470">
        <v>0</v>
      </c>
      <c r="X144" s="470">
        <v>0</v>
      </c>
      <c r="Y144" s="470">
        <v>0</v>
      </c>
      <c r="Z144" s="470">
        <v>0</v>
      </c>
      <c r="AA144" s="470">
        <v>0</v>
      </c>
      <c r="AB144" s="470">
        <v>0</v>
      </c>
      <c r="AC144" s="470">
        <v>0</v>
      </c>
      <c r="AD144" s="470">
        <v>0</v>
      </c>
      <c r="AE144" s="470">
        <v>0</v>
      </c>
      <c r="AF144" s="470">
        <v>0</v>
      </c>
      <c r="AG144" s="470">
        <v>0</v>
      </c>
      <c r="AH144" s="470" t="s">
        <v>306</v>
      </c>
      <c r="AI144" s="470" t="s">
        <v>306</v>
      </c>
      <c r="AJ144" s="470" t="s">
        <v>306</v>
      </c>
      <c r="AK144" s="470" t="s">
        <v>306</v>
      </c>
      <c r="AL144" s="470" t="s">
        <v>306</v>
      </c>
    </row>
    <row r="145" spans="1:38">
      <c r="A145" s="470" t="s">
        <v>379</v>
      </c>
      <c r="B145" s="470" t="s">
        <v>273</v>
      </c>
      <c r="C145" s="470" t="s">
        <v>273</v>
      </c>
      <c r="D145" s="470" t="s">
        <v>273</v>
      </c>
      <c r="E145" s="470" t="s">
        <v>273</v>
      </c>
      <c r="F145" s="470" t="s">
        <v>273</v>
      </c>
      <c r="G145" s="470" t="s">
        <v>273</v>
      </c>
      <c r="H145" s="470" t="s">
        <v>273</v>
      </c>
      <c r="I145" s="470" t="s">
        <v>306</v>
      </c>
      <c r="J145" s="470">
        <v>1</v>
      </c>
      <c r="K145" s="470" t="s">
        <v>306</v>
      </c>
      <c r="L145" s="470" t="s">
        <v>306</v>
      </c>
      <c r="M145" s="470">
        <v>0</v>
      </c>
      <c r="N145" s="470">
        <v>0</v>
      </c>
      <c r="O145" s="470">
        <v>0</v>
      </c>
      <c r="P145" s="470">
        <v>0</v>
      </c>
      <c r="Q145" s="470">
        <v>0</v>
      </c>
      <c r="R145" s="470">
        <v>0</v>
      </c>
      <c r="S145" s="470" t="s">
        <v>306</v>
      </c>
      <c r="T145" s="470">
        <v>0</v>
      </c>
      <c r="U145" s="470" t="s">
        <v>306</v>
      </c>
      <c r="V145" s="470" t="s">
        <v>306</v>
      </c>
      <c r="W145" s="470" t="s">
        <v>306</v>
      </c>
      <c r="X145" s="470">
        <v>0</v>
      </c>
      <c r="Y145" s="470">
        <v>0</v>
      </c>
      <c r="Z145" s="470" t="s">
        <v>273</v>
      </c>
      <c r="AA145" s="470" t="s">
        <v>273</v>
      </c>
      <c r="AB145" s="470" t="s">
        <v>273</v>
      </c>
      <c r="AC145" s="470" t="s">
        <v>273</v>
      </c>
      <c r="AD145" s="470">
        <v>0</v>
      </c>
      <c r="AE145" s="470">
        <v>0</v>
      </c>
      <c r="AF145" s="470">
        <v>0</v>
      </c>
      <c r="AG145" s="470">
        <v>0</v>
      </c>
      <c r="AH145" s="470">
        <v>0</v>
      </c>
      <c r="AI145" s="470">
        <v>0</v>
      </c>
      <c r="AJ145" s="470">
        <v>0</v>
      </c>
      <c r="AK145" s="470">
        <v>0</v>
      </c>
      <c r="AL145" s="470">
        <v>0</v>
      </c>
    </row>
    <row r="146" spans="1:38">
      <c r="A146" s="470" t="s">
        <v>378</v>
      </c>
      <c r="B146" s="470" t="s">
        <v>273</v>
      </c>
      <c r="C146" s="470" t="s">
        <v>273</v>
      </c>
      <c r="D146" s="470" t="s">
        <v>273</v>
      </c>
      <c r="E146" s="470" t="s">
        <v>273</v>
      </c>
      <c r="F146" s="470" t="s">
        <v>273</v>
      </c>
      <c r="G146" s="470" t="s">
        <v>273</v>
      </c>
      <c r="H146" s="470" t="s">
        <v>273</v>
      </c>
      <c r="I146" s="470" t="s">
        <v>306</v>
      </c>
      <c r="J146" s="470" t="s">
        <v>306</v>
      </c>
      <c r="K146" s="470" t="s">
        <v>306</v>
      </c>
      <c r="L146" s="470" t="s">
        <v>306</v>
      </c>
      <c r="M146" s="470">
        <v>0</v>
      </c>
      <c r="N146" s="470">
        <v>0</v>
      </c>
      <c r="O146" s="470">
        <v>0</v>
      </c>
      <c r="P146" s="470">
        <v>0</v>
      </c>
      <c r="Q146" s="470">
        <v>0</v>
      </c>
      <c r="R146" s="470">
        <v>0</v>
      </c>
      <c r="S146" s="470">
        <v>0</v>
      </c>
      <c r="T146" s="470">
        <v>0</v>
      </c>
      <c r="U146" s="470">
        <v>0</v>
      </c>
      <c r="V146" s="470">
        <v>0</v>
      </c>
      <c r="W146" s="470">
        <v>0</v>
      </c>
      <c r="X146" s="470">
        <v>0</v>
      </c>
      <c r="Y146" s="470">
        <v>0</v>
      </c>
      <c r="Z146" s="470">
        <v>0</v>
      </c>
      <c r="AA146" s="470">
        <v>0</v>
      </c>
      <c r="AB146" s="470">
        <v>0</v>
      </c>
      <c r="AC146" s="470">
        <v>0</v>
      </c>
      <c r="AD146" s="470">
        <v>0</v>
      </c>
      <c r="AE146" s="470">
        <v>0</v>
      </c>
      <c r="AF146" s="470">
        <v>0</v>
      </c>
      <c r="AG146" s="470">
        <v>0</v>
      </c>
      <c r="AH146" s="470" t="s">
        <v>306</v>
      </c>
      <c r="AI146" s="470" t="s">
        <v>306</v>
      </c>
      <c r="AJ146" s="470" t="s">
        <v>306</v>
      </c>
      <c r="AK146" s="470" t="s">
        <v>306</v>
      </c>
      <c r="AL146" s="470" t="s">
        <v>306</v>
      </c>
    </row>
    <row r="147" spans="1:38">
      <c r="A147" s="470" t="s">
        <v>1415</v>
      </c>
      <c r="B147" s="470" t="s">
        <v>273</v>
      </c>
      <c r="C147" s="470" t="s">
        <v>273</v>
      </c>
      <c r="D147" s="470" t="s">
        <v>273</v>
      </c>
      <c r="E147" s="470" t="s">
        <v>273</v>
      </c>
      <c r="F147" s="470" t="s">
        <v>273</v>
      </c>
      <c r="G147" s="470" t="s">
        <v>273</v>
      </c>
      <c r="H147" s="470" t="s">
        <v>273</v>
      </c>
      <c r="I147" s="470" t="s">
        <v>306</v>
      </c>
      <c r="J147" s="470">
        <v>-3</v>
      </c>
      <c r="K147" s="470">
        <v>-4</v>
      </c>
      <c r="L147" s="470">
        <v>-1</v>
      </c>
      <c r="M147" s="470">
        <v>-1</v>
      </c>
      <c r="N147" s="470">
        <v>-8</v>
      </c>
      <c r="O147" s="470">
        <v>4</v>
      </c>
      <c r="P147" s="470">
        <v>-1</v>
      </c>
      <c r="Q147" s="470">
        <v>-6</v>
      </c>
      <c r="R147" s="470">
        <v>-8</v>
      </c>
      <c r="S147" s="470">
        <v>-2</v>
      </c>
      <c r="T147" s="470">
        <v>-8</v>
      </c>
      <c r="U147" s="470">
        <v>-6</v>
      </c>
      <c r="V147" s="470">
        <v>4</v>
      </c>
      <c r="W147" s="470">
        <v>11</v>
      </c>
      <c r="X147" s="470" t="s">
        <v>291</v>
      </c>
      <c r="Y147" s="470">
        <v>4</v>
      </c>
      <c r="Z147" s="470">
        <v>10</v>
      </c>
      <c r="AA147" s="470">
        <v>9</v>
      </c>
      <c r="AB147" s="470">
        <v>20</v>
      </c>
      <c r="AC147" s="470">
        <v>2</v>
      </c>
      <c r="AD147" s="470" t="s">
        <v>291</v>
      </c>
      <c r="AE147" s="470">
        <v>-7</v>
      </c>
      <c r="AF147" s="470">
        <v>2</v>
      </c>
      <c r="AG147" s="470">
        <v>-1</v>
      </c>
      <c r="AH147" s="470">
        <v>2</v>
      </c>
      <c r="AI147" s="470">
        <v>2</v>
      </c>
      <c r="AJ147" s="470">
        <v>2</v>
      </c>
      <c r="AK147" s="470">
        <v>3</v>
      </c>
      <c r="AL147" s="470" t="s">
        <v>291</v>
      </c>
    </row>
    <row r="148" spans="1:38">
      <c r="A148" s="470" t="s">
        <v>376</v>
      </c>
      <c r="B148" s="470" t="s">
        <v>273</v>
      </c>
      <c r="C148" s="470" t="s">
        <v>273</v>
      </c>
      <c r="D148" s="470" t="s">
        <v>273</v>
      </c>
      <c r="E148" s="470" t="s">
        <v>273</v>
      </c>
      <c r="F148" s="470" t="s">
        <v>273</v>
      </c>
      <c r="G148" s="470" t="s">
        <v>273</v>
      </c>
      <c r="H148" s="470" t="s">
        <v>273</v>
      </c>
      <c r="I148" s="470">
        <v>0</v>
      </c>
      <c r="J148" s="470">
        <v>0</v>
      </c>
      <c r="K148" s="470">
        <v>0</v>
      </c>
      <c r="L148" s="470">
        <v>0</v>
      </c>
      <c r="M148" s="470">
        <v>0</v>
      </c>
      <c r="N148" s="470">
        <v>0</v>
      </c>
      <c r="O148" s="470">
        <v>0</v>
      </c>
      <c r="P148" s="470">
        <v>0</v>
      </c>
      <c r="Q148" s="470">
        <v>0</v>
      </c>
      <c r="R148" s="470">
        <v>0</v>
      </c>
      <c r="S148" s="470" t="s">
        <v>306</v>
      </c>
      <c r="T148" s="470" t="s">
        <v>306</v>
      </c>
      <c r="U148" s="470">
        <v>0</v>
      </c>
      <c r="V148" s="470">
        <v>0</v>
      </c>
      <c r="W148" s="470">
        <v>0</v>
      </c>
      <c r="X148" s="470">
        <v>0</v>
      </c>
      <c r="Y148" s="470">
        <v>0</v>
      </c>
      <c r="Z148" s="470">
        <v>0</v>
      </c>
      <c r="AA148" s="470">
        <v>0</v>
      </c>
      <c r="AB148" s="470">
        <v>0</v>
      </c>
      <c r="AC148" s="470">
        <v>0</v>
      </c>
      <c r="AD148" s="470">
        <v>0</v>
      </c>
      <c r="AE148" s="470">
        <v>0</v>
      </c>
      <c r="AF148" s="470">
        <v>0</v>
      </c>
      <c r="AG148" s="470">
        <v>0</v>
      </c>
      <c r="AH148" s="470" t="s">
        <v>306</v>
      </c>
      <c r="AI148" s="470" t="s">
        <v>306</v>
      </c>
      <c r="AJ148" s="470" t="s">
        <v>306</v>
      </c>
      <c r="AK148" s="470" t="s">
        <v>306</v>
      </c>
      <c r="AL148" s="470" t="s">
        <v>306</v>
      </c>
    </row>
    <row r="149" spans="1:38">
      <c r="A149" s="470" t="s">
        <v>374</v>
      </c>
      <c r="B149" s="470" t="s">
        <v>273</v>
      </c>
      <c r="C149" s="470" t="s">
        <v>273</v>
      </c>
      <c r="D149" s="470" t="s">
        <v>273</v>
      </c>
      <c r="E149" s="470" t="s">
        <v>273</v>
      </c>
      <c r="F149" s="470" t="s">
        <v>273</v>
      </c>
      <c r="G149" s="470" t="s">
        <v>273</v>
      </c>
      <c r="H149" s="470" t="s">
        <v>273</v>
      </c>
      <c r="I149" s="470">
        <v>0</v>
      </c>
      <c r="J149" s="470">
        <v>0</v>
      </c>
      <c r="K149" s="470">
        <v>0</v>
      </c>
      <c r="L149" s="470">
        <v>0</v>
      </c>
      <c r="M149" s="470">
        <v>0</v>
      </c>
      <c r="N149" s="470">
        <v>0</v>
      </c>
      <c r="O149" s="470">
        <v>0</v>
      </c>
      <c r="P149" s="470">
        <v>0</v>
      </c>
      <c r="Q149" s="470">
        <v>0</v>
      </c>
      <c r="R149" s="470">
        <v>0</v>
      </c>
      <c r="S149" s="470" t="s">
        <v>273</v>
      </c>
      <c r="T149" s="470" t="s">
        <v>273</v>
      </c>
      <c r="U149" s="470" t="s">
        <v>273</v>
      </c>
      <c r="V149" s="470" t="s">
        <v>273</v>
      </c>
      <c r="W149" s="470" t="s">
        <v>273</v>
      </c>
      <c r="X149" s="470" t="s">
        <v>273</v>
      </c>
      <c r="Y149" s="470" t="s">
        <v>273</v>
      </c>
      <c r="Z149" s="470" t="s">
        <v>273</v>
      </c>
      <c r="AA149" s="470" t="s">
        <v>273</v>
      </c>
      <c r="AB149" s="470" t="s">
        <v>273</v>
      </c>
      <c r="AC149" s="470">
        <v>0</v>
      </c>
      <c r="AD149" s="470">
        <v>0</v>
      </c>
      <c r="AE149" s="470">
        <v>0</v>
      </c>
      <c r="AF149" s="470">
        <v>0</v>
      </c>
      <c r="AG149" s="470">
        <v>0</v>
      </c>
      <c r="AH149" s="470">
        <v>0</v>
      </c>
      <c r="AI149" s="470">
        <v>0</v>
      </c>
      <c r="AJ149" s="470">
        <v>0</v>
      </c>
      <c r="AK149" s="470">
        <v>0</v>
      </c>
      <c r="AL149" s="470">
        <v>0</v>
      </c>
    </row>
    <row r="150" spans="1:38">
      <c r="A150" s="470" t="s">
        <v>373</v>
      </c>
      <c r="B150" s="470" t="s">
        <v>273</v>
      </c>
      <c r="C150" s="470" t="s">
        <v>273</v>
      </c>
      <c r="D150" s="470" t="s">
        <v>273</v>
      </c>
      <c r="E150" s="470" t="s">
        <v>273</v>
      </c>
      <c r="F150" s="470" t="s">
        <v>273</v>
      </c>
      <c r="G150" s="470" t="s">
        <v>273</v>
      </c>
      <c r="H150" s="470" t="s">
        <v>273</v>
      </c>
      <c r="I150" s="470">
        <v>0</v>
      </c>
      <c r="J150" s="470">
        <v>0</v>
      </c>
      <c r="K150" s="470">
        <v>0</v>
      </c>
      <c r="L150" s="470">
        <v>0</v>
      </c>
      <c r="M150" s="470">
        <v>0</v>
      </c>
      <c r="N150" s="470">
        <v>0</v>
      </c>
      <c r="O150" s="470">
        <v>0</v>
      </c>
      <c r="P150" s="470">
        <v>0</v>
      </c>
      <c r="Q150" s="470">
        <v>0</v>
      </c>
      <c r="R150" s="470">
        <v>0</v>
      </c>
      <c r="S150" s="470">
        <v>0</v>
      </c>
      <c r="T150" s="470">
        <v>0</v>
      </c>
      <c r="U150" s="470">
        <v>0</v>
      </c>
      <c r="V150" s="470" t="s">
        <v>306</v>
      </c>
      <c r="W150" s="470" t="s">
        <v>306</v>
      </c>
      <c r="X150" s="470">
        <v>0</v>
      </c>
      <c r="Y150" s="470">
        <v>0</v>
      </c>
      <c r="Z150" s="470">
        <v>0</v>
      </c>
      <c r="AA150" s="470">
        <v>0</v>
      </c>
      <c r="AB150" s="470">
        <v>0</v>
      </c>
      <c r="AC150" s="470">
        <v>0</v>
      </c>
      <c r="AD150" s="470">
        <v>0</v>
      </c>
      <c r="AE150" s="470">
        <v>0</v>
      </c>
      <c r="AF150" s="470">
        <v>0</v>
      </c>
      <c r="AG150" s="470">
        <v>0</v>
      </c>
      <c r="AH150" s="470" t="s">
        <v>306</v>
      </c>
      <c r="AI150" s="470" t="s">
        <v>306</v>
      </c>
      <c r="AJ150" s="470" t="s">
        <v>306</v>
      </c>
      <c r="AK150" s="470" t="s">
        <v>306</v>
      </c>
      <c r="AL150" s="470" t="s">
        <v>306</v>
      </c>
    </row>
    <row r="151" spans="1:38">
      <c r="A151" s="470" t="s">
        <v>371</v>
      </c>
      <c r="B151" s="470" t="s">
        <v>273</v>
      </c>
      <c r="C151" s="470" t="s">
        <v>273</v>
      </c>
      <c r="D151" s="470" t="s">
        <v>273</v>
      </c>
      <c r="E151" s="470" t="s">
        <v>273</v>
      </c>
      <c r="F151" s="470" t="s">
        <v>273</v>
      </c>
      <c r="G151" s="470" t="s">
        <v>273</v>
      </c>
      <c r="H151" s="470" t="s">
        <v>273</v>
      </c>
      <c r="I151" s="470">
        <v>0</v>
      </c>
      <c r="J151" s="470">
        <v>0</v>
      </c>
      <c r="K151" s="470">
        <v>0</v>
      </c>
      <c r="L151" s="470">
        <v>0</v>
      </c>
      <c r="M151" s="470">
        <v>0</v>
      </c>
      <c r="N151" s="470">
        <v>0</v>
      </c>
      <c r="O151" s="470">
        <v>0</v>
      </c>
      <c r="P151" s="470">
        <v>0</v>
      </c>
      <c r="Q151" s="470">
        <v>0</v>
      </c>
      <c r="R151" s="470">
        <v>0</v>
      </c>
      <c r="S151" s="470">
        <v>0</v>
      </c>
      <c r="T151" s="470">
        <v>0</v>
      </c>
      <c r="U151" s="470">
        <v>0</v>
      </c>
      <c r="V151" s="470">
        <v>0</v>
      </c>
      <c r="W151" s="470">
        <v>0</v>
      </c>
      <c r="X151" s="470">
        <v>0</v>
      </c>
      <c r="Y151" s="470">
        <v>0</v>
      </c>
      <c r="Z151" s="470">
        <v>0</v>
      </c>
      <c r="AA151" s="470">
        <v>0</v>
      </c>
      <c r="AB151" s="470">
        <v>0</v>
      </c>
      <c r="AC151" s="470">
        <v>0</v>
      </c>
      <c r="AD151" s="470">
        <v>0</v>
      </c>
      <c r="AE151" s="470">
        <v>0</v>
      </c>
      <c r="AF151" s="470">
        <v>0</v>
      </c>
      <c r="AG151" s="470">
        <v>0</v>
      </c>
      <c r="AH151" s="470" t="s">
        <v>306</v>
      </c>
      <c r="AI151" s="470" t="s">
        <v>306</v>
      </c>
      <c r="AJ151" s="470" t="s">
        <v>306</v>
      </c>
      <c r="AK151" s="470">
        <v>-2</v>
      </c>
      <c r="AL151" s="470">
        <v>-3</v>
      </c>
    </row>
    <row r="152" spans="1:38">
      <c r="A152" s="470" t="s">
        <v>370</v>
      </c>
      <c r="B152" s="470" t="s">
        <v>273</v>
      </c>
      <c r="C152" s="470" t="s">
        <v>273</v>
      </c>
      <c r="D152" s="470" t="s">
        <v>273</v>
      </c>
      <c r="E152" s="470" t="s">
        <v>273</v>
      </c>
      <c r="F152" s="470" t="s">
        <v>273</v>
      </c>
      <c r="G152" s="470" t="s">
        <v>273</v>
      </c>
      <c r="H152" s="470" t="s">
        <v>273</v>
      </c>
      <c r="I152" s="470">
        <v>0</v>
      </c>
      <c r="J152" s="470">
        <v>0</v>
      </c>
      <c r="K152" s="470">
        <v>0</v>
      </c>
      <c r="L152" s="470">
        <v>0</v>
      </c>
      <c r="M152" s="470">
        <v>0</v>
      </c>
      <c r="N152" s="470">
        <v>0</v>
      </c>
      <c r="O152" s="470">
        <v>0</v>
      </c>
      <c r="P152" s="470">
        <v>0</v>
      </c>
      <c r="Q152" s="470">
        <v>0</v>
      </c>
      <c r="R152" s="470">
        <v>0</v>
      </c>
      <c r="S152" s="470" t="s">
        <v>291</v>
      </c>
      <c r="T152" s="470" t="s">
        <v>291</v>
      </c>
      <c r="U152" s="470" t="s">
        <v>306</v>
      </c>
      <c r="V152" s="470">
        <v>0</v>
      </c>
      <c r="W152" s="470">
        <v>0</v>
      </c>
      <c r="X152" s="470">
        <v>0</v>
      </c>
      <c r="Y152" s="470">
        <v>0</v>
      </c>
      <c r="Z152" s="470">
        <v>0</v>
      </c>
      <c r="AA152" s="470">
        <v>25</v>
      </c>
      <c r="AB152" s="470" t="s">
        <v>291</v>
      </c>
      <c r="AC152" s="470">
        <v>3</v>
      </c>
      <c r="AD152" s="470">
        <v>0</v>
      </c>
      <c r="AE152" s="470">
        <v>0</v>
      </c>
      <c r="AF152" s="470">
        <v>0</v>
      </c>
      <c r="AG152" s="470">
        <v>0</v>
      </c>
      <c r="AH152" s="470">
        <v>5</v>
      </c>
      <c r="AI152" s="470" t="s">
        <v>291</v>
      </c>
      <c r="AJ152" s="470" t="s">
        <v>291</v>
      </c>
      <c r="AK152" s="470" t="s">
        <v>291</v>
      </c>
      <c r="AL152" s="470" t="s">
        <v>291</v>
      </c>
    </row>
    <row r="153" spans="1:38">
      <c r="A153" s="470" t="s">
        <v>1025</v>
      </c>
      <c r="B153" s="470" t="s">
        <v>273</v>
      </c>
      <c r="C153" s="470" t="s">
        <v>273</v>
      </c>
      <c r="D153" s="470" t="s">
        <v>273</v>
      </c>
      <c r="E153" s="470" t="s">
        <v>273</v>
      </c>
      <c r="F153" s="470" t="s">
        <v>273</v>
      </c>
      <c r="G153" s="470" t="s">
        <v>273</v>
      </c>
      <c r="H153" s="470" t="s">
        <v>273</v>
      </c>
      <c r="I153" s="470">
        <v>0</v>
      </c>
      <c r="J153" s="470">
        <v>0</v>
      </c>
      <c r="K153" s="470">
        <v>0</v>
      </c>
      <c r="L153" s="470">
        <v>0</v>
      </c>
      <c r="M153" s="470">
        <v>0</v>
      </c>
      <c r="N153" s="470">
        <v>0</v>
      </c>
      <c r="O153" s="470">
        <v>0</v>
      </c>
      <c r="P153" s="470">
        <v>0</v>
      </c>
      <c r="Q153" s="470">
        <v>0</v>
      </c>
      <c r="R153" s="470">
        <v>0</v>
      </c>
      <c r="S153" s="470" t="s">
        <v>273</v>
      </c>
      <c r="T153" s="470" t="s">
        <v>273</v>
      </c>
      <c r="U153" s="470" t="s">
        <v>273</v>
      </c>
      <c r="V153" s="470" t="s">
        <v>273</v>
      </c>
      <c r="W153" s="470" t="s">
        <v>273</v>
      </c>
      <c r="X153" s="470" t="s">
        <v>273</v>
      </c>
      <c r="Y153" s="470" t="s">
        <v>273</v>
      </c>
      <c r="Z153" s="470" t="s">
        <v>273</v>
      </c>
      <c r="AA153" s="470" t="s">
        <v>273</v>
      </c>
      <c r="AB153" s="470" t="s">
        <v>273</v>
      </c>
      <c r="AC153" s="470" t="s">
        <v>273</v>
      </c>
      <c r="AD153" s="470" t="s">
        <v>273</v>
      </c>
      <c r="AE153" s="470" t="s">
        <v>273</v>
      </c>
      <c r="AF153" s="470" t="s">
        <v>273</v>
      </c>
      <c r="AG153" s="470" t="s">
        <v>273</v>
      </c>
      <c r="AH153" s="470" t="s">
        <v>273</v>
      </c>
      <c r="AI153" s="470" t="s">
        <v>273</v>
      </c>
      <c r="AJ153" s="470" t="s">
        <v>273</v>
      </c>
      <c r="AK153" s="470" t="s">
        <v>273</v>
      </c>
      <c r="AL153" s="470" t="s">
        <v>273</v>
      </c>
    </row>
    <row r="154" spans="1:38">
      <c r="A154" s="470" t="s">
        <v>369</v>
      </c>
      <c r="B154" s="470" t="s">
        <v>273</v>
      </c>
      <c r="C154" s="470" t="s">
        <v>273</v>
      </c>
      <c r="D154" s="470" t="s">
        <v>273</v>
      </c>
      <c r="E154" s="470" t="s">
        <v>273</v>
      </c>
      <c r="F154" s="470" t="s">
        <v>273</v>
      </c>
      <c r="G154" s="470" t="s">
        <v>273</v>
      </c>
      <c r="H154" s="470" t="s">
        <v>273</v>
      </c>
      <c r="I154" s="470">
        <v>0</v>
      </c>
      <c r="J154" s="470">
        <v>0</v>
      </c>
      <c r="K154" s="470">
        <v>0</v>
      </c>
      <c r="L154" s="470">
        <v>0</v>
      </c>
      <c r="M154" s="470">
        <v>0</v>
      </c>
      <c r="N154" s="470" t="s">
        <v>306</v>
      </c>
      <c r="O154" s="470">
        <v>0</v>
      </c>
      <c r="P154" s="470">
        <v>0</v>
      </c>
      <c r="Q154" s="470">
        <v>0</v>
      </c>
      <c r="R154" s="470">
        <v>0</v>
      </c>
      <c r="S154" s="470" t="s">
        <v>306</v>
      </c>
      <c r="T154" s="470" t="s">
        <v>306</v>
      </c>
      <c r="U154" s="470" t="s">
        <v>306</v>
      </c>
      <c r="V154" s="470">
        <v>0</v>
      </c>
      <c r="W154" s="470" t="s">
        <v>306</v>
      </c>
      <c r="X154" s="470">
        <v>0</v>
      </c>
      <c r="Y154" s="470">
        <v>0</v>
      </c>
      <c r="Z154" s="470">
        <v>0</v>
      </c>
      <c r="AA154" s="470">
        <v>0</v>
      </c>
      <c r="AB154" s="470">
        <v>0</v>
      </c>
      <c r="AC154" s="470">
        <v>0</v>
      </c>
      <c r="AD154" s="470">
        <v>0</v>
      </c>
      <c r="AE154" s="470">
        <v>0</v>
      </c>
      <c r="AF154" s="470">
        <v>0</v>
      </c>
      <c r="AG154" s="470">
        <v>0</v>
      </c>
      <c r="AH154" s="470">
        <v>0</v>
      </c>
      <c r="AI154" s="470">
        <v>0</v>
      </c>
      <c r="AJ154" s="470">
        <v>0</v>
      </c>
      <c r="AK154" s="470">
        <v>0</v>
      </c>
      <c r="AL154" s="470">
        <v>0</v>
      </c>
    </row>
    <row r="155" spans="1:38">
      <c r="A155" s="470" t="s">
        <v>368</v>
      </c>
      <c r="B155" s="470" t="s">
        <v>273</v>
      </c>
      <c r="C155" s="470" t="s">
        <v>273</v>
      </c>
      <c r="D155" s="470" t="s">
        <v>273</v>
      </c>
      <c r="E155" s="470" t="s">
        <v>273</v>
      </c>
      <c r="F155" s="470" t="s">
        <v>273</v>
      </c>
      <c r="G155" s="470" t="s">
        <v>273</v>
      </c>
      <c r="H155" s="470" t="s">
        <v>273</v>
      </c>
      <c r="I155" s="470" t="s">
        <v>273</v>
      </c>
      <c r="J155" s="470" t="s">
        <v>273</v>
      </c>
      <c r="K155" s="470" t="s">
        <v>273</v>
      </c>
      <c r="L155" s="470" t="s">
        <v>273</v>
      </c>
      <c r="M155" s="470" t="s">
        <v>273</v>
      </c>
      <c r="N155" s="470" t="s">
        <v>273</v>
      </c>
      <c r="O155" s="470" t="s">
        <v>273</v>
      </c>
      <c r="P155" s="470" t="s">
        <v>273</v>
      </c>
      <c r="Q155" s="470" t="s">
        <v>273</v>
      </c>
      <c r="R155" s="470" t="s">
        <v>273</v>
      </c>
      <c r="S155" s="470" t="s">
        <v>273</v>
      </c>
      <c r="T155" s="470" t="s">
        <v>273</v>
      </c>
      <c r="U155" s="470" t="s">
        <v>273</v>
      </c>
      <c r="V155" s="470" t="s">
        <v>273</v>
      </c>
      <c r="W155" s="470" t="s">
        <v>273</v>
      </c>
      <c r="X155" s="470" t="s">
        <v>273</v>
      </c>
      <c r="Y155" s="470" t="s">
        <v>273</v>
      </c>
      <c r="Z155" s="470" t="s">
        <v>273</v>
      </c>
      <c r="AA155" s="470" t="s">
        <v>273</v>
      </c>
      <c r="AB155" s="470" t="s">
        <v>273</v>
      </c>
      <c r="AC155" s="470" t="s">
        <v>273</v>
      </c>
      <c r="AD155" s="470" t="s">
        <v>273</v>
      </c>
      <c r="AE155" s="470" t="s">
        <v>273</v>
      </c>
      <c r="AF155" s="470" t="s">
        <v>273</v>
      </c>
      <c r="AG155" s="470">
        <v>0</v>
      </c>
      <c r="AH155" s="470">
        <v>0</v>
      </c>
      <c r="AI155" s="470">
        <v>0</v>
      </c>
      <c r="AJ155" s="470">
        <v>0</v>
      </c>
      <c r="AK155" s="470">
        <v>0</v>
      </c>
      <c r="AL155" s="470">
        <v>0</v>
      </c>
    </row>
    <row r="156" spans="1:38">
      <c r="A156" s="470" t="s">
        <v>367</v>
      </c>
      <c r="B156" s="470" t="s">
        <v>273</v>
      </c>
      <c r="C156" s="470" t="s">
        <v>273</v>
      </c>
      <c r="D156" s="470" t="s">
        <v>273</v>
      </c>
      <c r="E156" s="470" t="s">
        <v>273</v>
      </c>
      <c r="F156" s="470" t="s">
        <v>273</v>
      </c>
      <c r="G156" s="470" t="s">
        <v>273</v>
      </c>
      <c r="H156" s="470" t="s">
        <v>273</v>
      </c>
      <c r="I156" s="470">
        <v>31</v>
      </c>
      <c r="J156" s="470">
        <v>41</v>
      </c>
      <c r="K156" s="470">
        <v>-29</v>
      </c>
      <c r="L156" s="470">
        <v>-28</v>
      </c>
      <c r="M156" s="470">
        <v>-87</v>
      </c>
      <c r="N156" s="470">
        <v>-36</v>
      </c>
      <c r="O156" s="470">
        <v>-19</v>
      </c>
      <c r="P156" s="470">
        <v>-14</v>
      </c>
      <c r="Q156" s="470">
        <v>41</v>
      </c>
      <c r="R156" s="470">
        <v>-128</v>
      </c>
      <c r="S156" s="470">
        <v>-341</v>
      </c>
      <c r="T156" s="470">
        <v>-78</v>
      </c>
      <c r="U156" s="470">
        <v>-29</v>
      </c>
      <c r="V156" s="470">
        <v>26</v>
      </c>
      <c r="W156" s="470">
        <v>-175</v>
      </c>
      <c r="X156" s="470">
        <v>39</v>
      </c>
      <c r="Y156" s="470">
        <v>-11</v>
      </c>
      <c r="Z156" s="470">
        <v>166</v>
      </c>
      <c r="AA156" s="470">
        <v>163</v>
      </c>
      <c r="AB156" s="470">
        <v>132</v>
      </c>
      <c r="AC156" s="470">
        <v>170</v>
      </c>
      <c r="AD156" s="470">
        <v>64</v>
      </c>
      <c r="AE156" s="470">
        <v>56</v>
      </c>
      <c r="AF156" s="470">
        <v>72</v>
      </c>
      <c r="AG156" s="470">
        <v>12</v>
      </c>
      <c r="AH156" s="470">
        <v>30</v>
      </c>
      <c r="AI156" s="470">
        <v>17</v>
      </c>
      <c r="AJ156" s="470">
        <v>11</v>
      </c>
      <c r="AK156" s="470">
        <v>10</v>
      </c>
      <c r="AL156" s="470">
        <v>7</v>
      </c>
    </row>
    <row r="157" spans="1:38">
      <c r="A157" s="470" t="s">
        <v>366</v>
      </c>
      <c r="B157" s="470" t="s">
        <v>273</v>
      </c>
      <c r="C157" s="470" t="s">
        <v>273</v>
      </c>
      <c r="D157" s="470" t="s">
        <v>273</v>
      </c>
      <c r="E157" s="470" t="s">
        <v>273</v>
      </c>
      <c r="F157" s="470" t="s">
        <v>273</v>
      </c>
      <c r="G157" s="470" t="s">
        <v>273</v>
      </c>
      <c r="H157" s="470" t="s">
        <v>273</v>
      </c>
      <c r="I157" s="470" t="s">
        <v>273</v>
      </c>
      <c r="J157" s="470" t="s">
        <v>273</v>
      </c>
      <c r="K157" s="470" t="s">
        <v>273</v>
      </c>
      <c r="L157" s="470" t="s">
        <v>273</v>
      </c>
      <c r="M157" s="470" t="s">
        <v>273</v>
      </c>
      <c r="N157" s="470" t="s">
        <v>273</v>
      </c>
      <c r="O157" s="470" t="s">
        <v>273</v>
      </c>
      <c r="P157" s="470" t="s">
        <v>273</v>
      </c>
      <c r="Q157" s="470" t="s">
        <v>273</v>
      </c>
      <c r="R157" s="470" t="s">
        <v>273</v>
      </c>
      <c r="S157" s="470" t="s">
        <v>273</v>
      </c>
      <c r="T157" s="470" t="s">
        <v>273</v>
      </c>
      <c r="U157" s="470" t="s">
        <v>273</v>
      </c>
      <c r="V157" s="470" t="s">
        <v>273</v>
      </c>
      <c r="W157" s="470" t="s">
        <v>273</v>
      </c>
      <c r="X157" s="470" t="s">
        <v>273</v>
      </c>
      <c r="Y157" s="470" t="s">
        <v>273</v>
      </c>
      <c r="Z157" s="470">
        <v>0</v>
      </c>
      <c r="AA157" s="470">
        <v>0</v>
      </c>
      <c r="AB157" s="470">
        <v>0</v>
      </c>
      <c r="AC157" s="470">
        <v>0</v>
      </c>
      <c r="AD157" s="470">
        <v>0</v>
      </c>
      <c r="AE157" s="470">
        <v>0</v>
      </c>
      <c r="AF157" s="470">
        <v>0</v>
      </c>
      <c r="AG157" s="470">
        <v>0</v>
      </c>
      <c r="AH157" s="470">
        <v>0</v>
      </c>
      <c r="AI157" s="470">
        <v>0</v>
      </c>
      <c r="AJ157" s="470">
        <v>0</v>
      </c>
      <c r="AK157" s="470" t="s">
        <v>306</v>
      </c>
      <c r="AL157" s="470">
        <v>0</v>
      </c>
    </row>
    <row r="158" spans="1:38">
      <c r="A158" s="470" t="s">
        <v>365</v>
      </c>
      <c r="B158" s="470" t="s">
        <v>273</v>
      </c>
      <c r="C158" s="470" t="s">
        <v>273</v>
      </c>
      <c r="D158" s="470" t="s">
        <v>273</v>
      </c>
      <c r="E158" s="470" t="s">
        <v>273</v>
      </c>
      <c r="F158" s="470" t="s">
        <v>273</v>
      </c>
      <c r="G158" s="470" t="s">
        <v>273</v>
      </c>
      <c r="H158" s="470" t="s">
        <v>273</v>
      </c>
      <c r="I158" s="470">
        <v>0</v>
      </c>
      <c r="J158" s="470">
        <v>0</v>
      </c>
      <c r="K158" s="470">
        <v>0</v>
      </c>
      <c r="L158" s="470">
        <v>0</v>
      </c>
      <c r="M158" s="470">
        <v>0</v>
      </c>
      <c r="N158" s="470">
        <v>0</v>
      </c>
      <c r="O158" s="470">
        <v>0</v>
      </c>
      <c r="P158" s="470">
        <v>0</v>
      </c>
      <c r="Q158" s="470">
        <v>0</v>
      </c>
      <c r="R158" s="470">
        <v>0</v>
      </c>
      <c r="S158" s="470" t="s">
        <v>306</v>
      </c>
      <c r="T158" s="470" t="s">
        <v>306</v>
      </c>
      <c r="U158" s="470" t="s">
        <v>306</v>
      </c>
      <c r="V158" s="470" t="s">
        <v>306</v>
      </c>
      <c r="W158" s="470" t="s">
        <v>306</v>
      </c>
      <c r="X158" s="470">
        <v>0</v>
      </c>
      <c r="Y158" s="470">
        <v>0</v>
      </c>
      <c r="Z158" s="470" t="s">
        <v>273</v>
      </c>
      <c r="AA158" s="470" t="s">
        <v>273</v>
      </c>
      <c r="AB158" s="470" t="s">
        <v>273</v>
      </c>
      <c r="AC158" s="470" t="s">
        <v>273</v>
      </c>
      <c r="AD158" s="470">
        <v>0</v>
      </c>
      <c r="AE158" s="470">
        <v>0</v>
      </c>
      <c r="AF158" s="470">
        <v>0</v>
      </c>
      <c r="AG158" s="470">
        <v>0</v>
      </c>
      <c r="AH158" s="470">
        <v>0</v>
      </c>
      <c r="AI158" s="470">
        <v>0</v>
      </c>
      <c r="AJ158" s="470">
        <v>0</v>
      </c>
      <c r="AK158" s="470">
        <v>0</v>
      </c>
      <c r="AL158" s="470">
        <v>0</v>
      </c>
    </row>
    <row r="159" spans="1:38">
      <c r="A159" s="470" t="s">
        <v>364</v>
      </c>
      <c r="B159" s="470" t="s">
        <v>273</v>
      </c>
      <c r="C159" s="470" t="s">
        <v>273</v>
      </c>
      <c r="D159" s="470" t="s">
        <v>273</v>
      </c>
      <c r="E159" s="470" t="s">
        <v>273</v>
      </c>
      <c r="F159" s="470" t="s">
        <v>273</v>
      </c>
      <c r="G159" s="470" t="s">
        <v>273</v>
      </c>
      <c r="H159" s="470" t="s">
        <v>273</v>
      </c>
      <c r="I159" s="470">
        <v>0</v>
      </c>
      <c r="J159" s="470">
        <v>0</v>
      </c>
      <c r="K159" s="470">
        <v>0</v>
      </c>
      <c r="L159" s="470">
        <v>0</v>
      </c>
      <c r="M159" s="470">
        <v>0</v>
      </c>
      <c r="N159" s="470">
        <v>0</v>
      </c>
      <c r="O159" s="470">
        <v>0</v>
      </c>
      <c r="P159" s="470">
        <v>0</v>
      </c>
      <c r="Q159" s="470">
        <v>0</v>
      </c>
      <c r="R159" s="470">
        <v>0</v>
      </c>
      <c r="S159" s="470" t="s">
        <v>273</v>
      </c>
      <c r="T159" s="470" t="s">
        <v>273</v>
      </c>
      <c r="U159" s="470" t="s">
        <v>273</v>
      </c>
      <c r="V159" s="470" t="s">
        <v>273</v>
      </c>
      <c r="W159" s="470" t="s">
        <v>273</v>
      </c>
      <c r="X159" s="470" t="s">
        <v>273</v>
      </c>
      <c r="Y159" s="470" t="s">
        <v>273</v>
      </c>
      <c r="Z159" s="470" t="s">
        <v>273</v>
      </c>
      <c r="AA159" s="470" t="s">
        <v>273</v>
      </c>
      <c r="AB159" s="470" t="s">
        <v>273</v>
      </c>
      <c r="AC159" s="470">
        <v>0</v>
      </c>
      <c r="AD159" s="470">
        <v>0</v>
      </c>
      <c r="AE159" s="470">
        <v>0</v>
      </c>
      <c r="AF159" s="470">
        <v>0</v>
      </c>
      <c r="AG159" s="470">
        <v>0</v>
      </c>
      <c r="AH159" s="470" t="s">
        <v>306</v>
      </c>
      <c r="AI159" s="470" t="s">
        <v>306</v>
      </c>
      <c r="AJ159" s="470" t="s">
        <v>306</v>
      </c>
      <c r="AK159" s="470" t="s">
        <v>306</v>
      </c>
      <c r="AL159" s="470" t="s">
        <v>306</v>
      </c>
    </row>
    <row r="160" spans="1:38">
      <c r="A160" s="470" t="s">
        <v>363</v>
      </c>
      <c r="B160" s="470" t="s">
        <v>273</v>
      </c>
      <c r="C160" s="470" t="s">
        <v>273</v>
      </c>
      <c r="D160" s="470" t="s">
        <v>273</v>
      </c>
      <c r="E160" s="470" t="s">
        <v>273</v>
      </c>
      <c r="F160" s="470" t="s">
        <v>273</v>
      </c>
      <c r="G160" s="470" t="s">
        <v>273</v>
      </c>
      <c r="H160" s="470" t="s">
        <v>273</v>
      </c>
      <c r="I160" s="470" t="s">
        <v>273</v>
      </c>
      <c r="J160" s="470" t="s">
        <v>273</v>
      </c>
      <c r="K160" s="470" t="s">
        <v>273</v>
      </c>
      <c r="L160" s="470" t="s">
        <v>273</v>
      </c>
      <c r="M160" s="470" t="s">
        <v>273</v>
      </c>
      <c r="N160" s="470" t="s">
        <v>273</v>
      </c>
      <c r="O160" s="470" t="s">
        <v>273</v>
      </c>
      <c r="P160" s="470" t="s">
        <v>273</v>
      </c>
      <c r="Q160" s="470" t="s">
        <v>273</v>
      </c>
      <c r="R160" s="470" t="s">
        <v>273</v>
      </c>
      <c r="S160" s="470" t="s">
        <v>273</v>
      </c>
      <c r="T160" s="470" t="s">
        <v>273</v>
      </c>
      <c r="U160" s="470" t="s">
        <v>273</v>
      </c>
      <c r="V160" s="470" t="s">
        <v>273</v>
      </c>
      <c r="W160" s="470" t="s">
        <v>273</v>
      </c>
      <c r="X160" s="470" t="s">
        <v>273</v>
      </c>
      <c r="Y160" s="470" t="s">
        <v>273</v>
      </c>
      <c r="Z160" s="470" t="s">
        <v>273</v>
      </c>
      <c r="AA160" s="470" t="s">
        <v>273</v>
      </c>
      <c r="AB160" s="470">
        <v>0</v>
      </c>
      <c r="AC160" s="470">
        <v>0</v>
      </c>
      <c r="AD160" s="470">
        <v>0</v>
      </c>
      <c r="AE160" s="470">
        <v>0</v>
      </c>
      <c r="AF160" s="470">
        <v>0</v>
      </c>
      <c r="AG160" s="470">
        <v>0</v>
      </c>
      <c r="AH160" s="470">
        <v>0</v>
      </c>
      <c r="AI160" s="470">
        <v>0</v>
      </c>
      <c r="AJ160" s="470">
        <v>0</v>
      </c>
      <c r="AK160" s="470">
        <v>0</v>
      </c>
      <c r="AL160" s="470">
        <v>0</v>
      </c>
    </row>
    <row r="161" spans="1:38">
      <c r="A161" s="470" t="s">
        <v>362</v>
      </c>
      <c r="B161" s="470" t="s">
        <v>273</v>
      </c>
      <c r="C161" s="470" t="s">
        <v>273</v>
      </c>
      <c r="D161" s="470" t="s">
        <v>273</v>
      </c>
      <c r="E161" s="470" t="s">
        <v>273</v>
      </c>
      <c r="F161" s="470" t="s">
        <v>273</v>
      </c>
      <c r="G161" s="470" t="s">
        <v>273</v>
      </c>
      <c r="H161" s="470" t="s">
        <v>273</v>
      </c>
      <c r="I161" s="470" t="s">
        <v>273</v>
      </c>
      <c r="J161" s="470" t="s">
        <v>273</v>
      </c>
      <c r="K161" s="470" t="s">
        <v>273</v>
      </c>
      <c r="L161" s="470" t="s">
        <v>273</v>
      </c>
      <c r="M161" s="470" t="s">
        <v>273</v>
      </c>
      <c r="N161" s="470" t="s">
        <v>273</v>
      </c>
      <c r="O161" s="470" t="s">
        <v>273</v>
      </c>
      <c r="P161" s="470" t="s">
        <v>273</v>
      </c>
      <c r="Q161" s="470" t="s">
        <v>273</v>
      </c>
      <c r="R161" s="470" t="s">
        <v>273</v>
      </c>
      <c r="S161" s="470">
        <v>0</v>
      </c>
      <c r="T161" s="470">
        <v>0</v>
      </c>
      <c r="U161" s="470">
        <v>0</v>
      </c>
      <c r="V161" s="470">
        <v>0</v>
      </c>
      <c r="W161" s="470">
        <v>0</v>
      </c>
      <c r="X161" s="470">
        <v>0</v>
      </c>
      <c r="Y161" s="470">
        <v>0</v>
      </c>
      <c r="Z161" s="470">
        <v>0</v>
      </c>
      <c r="AA161" s="470">
        <v>0</v>
      </c>
      <c r="AB161" s="470">
        <v>0</v>
      </c>
      <c r="AC161" s="470">
        <v>0</v>
      </c>
      <c r="AD161" s="470">
        <v>0</v>
      </c>
      <c r="AE161" s="470">
        <v>0</v>
      </c>
      <c r="AF161" s="470">
        <v>0</v>
      </c>
      <c r="AG161" s="470">
        <v>0</v>
      </c>
      <c r="AH161" s="470">
        <v>0</v>
      </c>
      <c r="AI161" s="470">
        <v>0</v>
      </c>
      <c r="AJ161" s="470">
        <v>0</v>
      </c>
      <c r="AK161" s="470">
        <v>0</v>
      </c>
      <c r="AL161" s="470">
        <v>0</v>
      </c>
    </row>
    <row r="162" spans="1:38">
      <c r="A162" s="470" t="s">
        <v>361</v>
      </c>
      <c r="B162" s="470" t="s">
        <v>273</v>
      </c>
      <c r="C162" s="470" t="s">
        <v>273</v>
      </c>
      <c r="D162" s="470" t="s">
        <v>273</v>
      </c>
      <c r="E162" s="470" t="s">
        <v>273</v>
      </c>
      <c r="F162" s="470" t="s">
        <v>273</v>
      </c>
      <c r="G162" s="470" t="s">
        <v>273</v>
      </c>
      <c r="H162" s="470" t="s">
        <v>273</v>
      </c>
      <c r="I162" s="470">
        <v>0</v>
      </c>
      <c r="J162" s="470">
        <v>0</v>
      </c>
      <c r="K162" s="470">
        <v>0</v>
      </c>
      <c r="L162" s="470">
        <v>0</v>
      </c>
      <c r="M162" s="470">
        <v>0</v>
      </c>
      <c r="N162" s="470">
        <v>0</v>
      </c>
      <c r="O162" s="470">
        <v>0</v>
      </c>
      <c r="P162" s="470">
        <v>0</v>
      </c>
      <c r="Q162" s="470">
        <v>0</v>
      </c>
      <c r="R162" s="470">
        <v>0</v>
      </c>
      <c r="S162" s="470">
        <v>0</v>
      </c>
      <c r="T162" s="470">
        <v>0</v>
      </c>
      <c r="U162" s="470">
        <v>0</v>
      </c>
      <c r="V162" s="470">
        <v>-7</v>
      </c>
      <c r="W162" s="470">
        <v>-13</v>
      </c>
      <c r="X162" s="470">
        <v>2</v>
      </c>
      <c r="Y162" s="470">
        <v>-1</v>
      </c>
      <c r="Z162" s="470" t="s">
        <v>291</v>
      </c>
      <c r="AA162" s="470" t="s">
        <v>306</v>
      </c>
      <c r="AB162" s="470" t="s">
        <v>306</v>
      </c>
      <c r="AC162" s="470">
        <v>-8</v>
      </c>
      <c r="AD162" s="470">
        <v>-3</v>
      </c>
      <c r="AE162" s="470">
        <v>-7</v>
      </c>
      <c r="AF162" s="470" t="s">
        <v>291</v>
      </c>
      <c r="AG162" s="470" t="s">
        <v>291</v>
      </c>
      <c r="AH162" s="470">
        <v>-74</v>
      </c>
      <c r="AI162" s="470">
        <v>-46</v>
      </c>
      <c r="AJ162" s="470">
        <v>4</v>
      </c>
      <c r="AK162" s="470" t="s">
        <v>291</v>
      </c>
      <c r="AL162" s="470">
        <v>-58</v>
      </c>
    </row>
    <row r="163" spans="1:38">
      <c r="A163" s="470" t="s">
        <v>360</v>
      </c>
      <c r="B163" s="470" t="s">
        <v>273</v>
      </c>
      <c r="C163" s="470" t="s">
        <v>273</v>
      </c>
      <c r="D163" s="470" t="s">
        <v>273</v>
      </c>
      <c r="E163" s="470" t="s">
        <v>273</v>
      </c>
      <c r="F163" s="470" t="s">
        <v>273</v>
      </c>
      <c r="G163" s="470" t="s">
        <v>273</v>
      </c>
      <c r="H163" s="470" t="s">
        <v>273</v>
      </c>
      <c r="I163" s="470">
        <v>-2</v>
      </c>
      <c r="J163" s="470">
        <v>-3</v>
      </c>
      <c r="K163" s="470">
        <v>-2</v>
      </c>
      <c r="L163" s="470">
        <v>-6</v>
      </c>
      <c r="M163" s="470">
        <v>-5</v>
      </c>
      <c r="N163" s="470">
        <v>-5</v>
      </c>
      <c r="O163" s="470">
        <v>-4</v>
      </c>
      <c r="P163" s="470">
        <v>-4</v>
      </c>
      <c r="Q163" s="470">
        <v>-5</v>
      </c>
      <c r="R163" s="470">
        <v>-4</v>
      </c>
      <c r="S163" s="470">
        <v>-5</v>
      </c>
      <c r="T163" s="470">
        <v>-3</v>
      </c>
      <c r="U163" s="470" t="s">
        <v>306</v>
      </c>
      <c r="V163" s="470">
        <v>2</v>
      </c>
      <c r="W163" s="470">
        <v>3</v>
      </c>
      <c r="X163" s="470" t="s">
        <v>291</v>
      </c>
      <c r="Y163" s="470">
        <v>3</v>
      </c>
      <c r="Z163" s="470" t="s">
        <v>291</v>
      </c>
      <c r="AA163" s="470">
        <v>5</v>
      </c>
      <c r="AB163" s="470">
        <v>5</v>
      </c>
      <c r="AC163" s="470" t="s">
        <v>306</v>
      </c>
      <c r="AD163" s="470" t="s">
        <v>306</v>
      </c>
      <c r="AE163" s="470" t="s">
        <v>306</v>
      </c>
      <c r="AF163" s="470" t="s">
        <v>306</v>
      </c>
      <c r="AG163" s="470" t="s">
        <v>306</v>
      </c>
      <c r="AH163" s="470" t="s">
        <v>306</v>
      </c>
      <c r="AI163" s="470" t="s">
        <v>306</v>
      </c>
      <c r="AJ163" s="470" t="s">
        <v>306</v>
      </c>
      <c r="AK163" s="470" t="s">
        <v>306</v>
      </c>
      <c r="AL163" s="470" t="s">
        <v>306</v>
      </c>
    </row>
    <row r="164" spans="1:38">
      <c r="A164" s="470" t="s">
        <v>359</v>
      </c>
      <c r="B164" s="470" t="s">
        <v>273</v>
      </c>
      <c r="C164" s="470" t="s">
        <v>273</v>
      </c>
      <c r="D164" s="470" t="s">
        <v>273</v>
      </c>
      <c r="E164" s="470" t="s">
        <v>273</v>
      </c>
      <c r="F164" s="470" t="s">
        <v>273</v>
      </c>
      <c r="G164" s="470" t="s">
        <v>273</v>
      </c>
      <c r="H164" s="470" t="s">
        <v>273</v>
      </c>
      <c r="I164" s="470" t="s">
        <v>273</v>
      </c>
      <c r="J164" s="470" t="s">
        <v>273</v>
      </c>
      <c r="K164" s="470" t="s">
        <v>273</v>
      </c>
      <c r="L164" s="470" t="s">
        <v>273</v>
      </c>
      <c r="M164" s="470" t="s">
        <v>273</v>
      </c>
      <c r="N164" s="470" t="s">
        <v>273</v>
      </c>
      <c r="O164" s="470" t="s">
        <v>273</v>
      </c>
      <c r="P164" s="470" t="s">
        <v>273</v>
      </c>
      <c r="Q164" s="470" t="s">
        <v>273</v>
      </c>
      <c r="R164" s="470" t="s">
        <v>273</v>
      </c>
      <c r="S164" s="470" t="s">
        <v>273</v>
      </c>
      <c r="T164" s="470" t="s">
        <v>273</v>
      </c>
      <c r="U164" s="470" t="s">
        <v>273</v>
      </c>
      <c r="V164" s="470" t="s">
        <v>273</v>
      </c>
      <c r="W164" s="470" t="s">
        <v>273</v>
      </c>
      <c r="X164" s="470" t="s">
        <v>273</v>
      </c>
      <c r="Y164" s="470" t="s">
        <v>273</v>
      </c>
      <c r="Z164" s="470" t="s">
        <v>273</v>
      </c>
      <c r="AA164" s="470">
        <v>0</v>
      </c>
      <c r="AB164" s="470">
        <v>0</v>
      </c>
      <c r="AC164" s="470">
        <v>0</v>
      </c>
      <c r="AD164" s="470">
        <v>0</v>
      </c>
      <c r="AE164" s="470">
        <v>0</v>
      </c>
      <c r="AF164" s="470">
        <v>0</v>
      </c>
      <c r="AG164" s="470">
        <v>0</v>
      </c>
      <c r="AH164" s="470">
        <v>0</v>
      </c>
      <c r="AI164" s="470">
        <v>0</v>
      </c>
      <c r="AJ164" s="470">
        <v>0</v>
      </c>
      <c r="AK164" s="470">
        <v>0</v>
      </c>
      <c r="AL164" s="470">
        <v>0</v>
      </c>
    </row>
    <row r="165" spans="1:38">
      <c r="A165" s="470" t="s">
        <v>358</v>
      </c>
      <c r="B165" s="470" t="s">
        <v>273</v>
      </c>
      <c r="C165" s="470" t="s">
        <v>273</v>
      </c>
      <c r="D165" s="470" t="s">
        <v>273</v>
      </c>
      <c r="E165" s="470" t="s">
        <v>273</v>
      </c>
      <c r="F165" s="470" t="s">
        <v>273</v>
      </c>
      <c r="G165" s="470" t="s">
        <v>273</v>
      </c>
      <c r="H165" s="470" t="s">
        <v>273</v>
      </c>
      <c r="I165" s="470">
        <v>0</v>
      </c>
      <c r="J165" s="470">
        <v>0</v>
      </c>
      <c r="K165" s="470">
        <v>0</v>
      </c>
      <c r="L165" s="470">
        <v>0</v>
      </c>
      <c r="M165" s="470">
        <v>0</v>
      </c>
      <c r="N165" s="470">
        <v>0</v>
      </c>
      <c r="O165" s="470">
        <v>0</v>
      </c>
      <c r="P165" s="470">
        <v>0</v>
      </c>
      <c r="Q165" s="470">
        <v>0</v>
      </c>
      <c r="R165" s="470">
        <v>0</v>
      </c>
      <c r="S165" s="470">
        <v>0</v>
      </c>
      <c r="T165" s="470">
        <v>0</v>
      </c>
      <c r="U165" s="470">
        <v>0</v>
      </c>
      <c r="V165" s="470">
        <v>0</v>
      </c>
      <c r="W165" s="470">
        <v>0</v>
      </c>
      <c r="X165" s="470">
        <v>0</v>
      </c>
      <c r="Y165" s="470">
        <v>0</v>
      </c>
      <c r="Z165" s="470" t="s">
        <v>273</v>
      </c>
      <c r="AA165" s="470" t="s">
        <v>273</v>
      </c>
      <c r="AB165" s="470" t="s">
        <v>273</v>
      </c>
      <c r="AC165" s="470" t="s">
        <v>273</v>
      </c>
      <c r="AD165" s="470" t="s">
        <v>273</v>
      </c>
      <c r="AE165" s="470" t="s">
        <v>273</v>
      </c>
      <c r="AF165" s="470" t="s">
        <v>273</v>
      </c>
      <c r="AG165" s="470">
        <v>0</v>
      </c>
      <c r="AH165" s="470">
        <v>0</v>
      </c>
      <c r="AI165" s="470">
        <v>0</v>
      </c>
      <c r="AJ165" s="470">
        <v>0</v>
      </c>
      <c r="AK165" s="470">
        <v>0</v>
      </c>
      <c r="AL165" s="470">
        <v>0</v>
      </c>
    </row>
    <row r="166" spans="1:38">
      <c r="A166" s="470" t="s">
        <v>357</v>
      </c>
      <c r="B166" s="470" t="s">
        <v>273</v>
      </c>
      <c r="C166" s="470" t="s">
        <v>273</v>
      </c>
      <c r="D166" s="470" t="s">
        <v>273</v>
      </c>
      <c r="E166" s="470" t="s">
        <v>273</v>
      </c>
      <c r="F166" s="470" t="s">
        <v>273</v>
      </c>
      <c r="G166" s="470" t="s">
        <v>273</v>
      </c>
      <c r="H166" s="470" t="s">
        <v>273</v>
      </c>
      <c r="I166" s="470" t="s">
        <v>273</v>
      </c>
      <c r="J166" s="470" t="s">
        <v>273</v>
      </c>
      <c r="K166" s="470" t="s">
        <v>273</v>
      </c>
      <c r="L166" s="470" t="s">
        <v>273</v>
      </c>
      <c r="M166" s="470" t="s">
        <v>273</v>
      </c>
      <c r="N166" s="470" t="s">
        <v>273</v>
      </c>
      <c r="O166" s="470" t="s">
        <v>273</v>
      </c>
      <c r="P166" s="470" t="s">
        <v>273</v>
      </c>
      <c r="Q166" s="470" t="s">
        <v>273</v>
      </c>
      <c r="R166" s="470" t="s">
        <v>273</v>
      </c>
      <c r="S166" s="470" t="s">
        <v>273</v>
      </c>
      <c r="T166" s="470" t="s">
        <v>273</v>
      </c>
      <c r="U166" s="470" t="s">
        <v>273</v>
      </c>
      <c r="V166" s="470" t="s">
        <v>273</v>
      </c>
      <c r="W166" s="470" t="s">
        <v>273</v>
      </c>
      <c r="X166" s="470" t="s">
        <v>273</v>
      </c>
      <c r="Y166" s="470" t="s">
        <v>273</v>
      </c>
      <c r="Z166" s="470" t="s">
        <v>273</v>
      </c>
      <c r="AA166" s="470">
        <v>0</v>
      </c>
      <c r="AB166" s="470">
        <v>0</v>
      </c>
      <c r="AC166" s="470">
        <v>0</v>
      </c>
      <c r="AD166" s="470">
        <v>0</v>
      </c>
      <c r="AE166" s="470">
        <v>0</v>
      </c>
      <c r="AF166" s="470">
        <v>0</v>
      </c>
      <c r="AG166" s="470">
        <v>0</v>
      </c>
      <c r="AH166" s="470" t="s">
        <v>306</v>
      </c>
      <c r="AI166" s="470" t="s">
        <v>306</v>
      </c>
      <c r="AJ166" s="470" t="s">
        <v>306</v>
      </c>
      <c r="AK166" s="470" t="s">
        <v>306</v>
      </c>
      <c r="AL166" s="470" t="s">
        <v>306</v>
      </c>
    </row>
    <row r="167" spans="1:38">
      <c r="A167" s="470" t="s">
        <v>1414</v>
      </c>
      <c r="B167" s="470" t="s">
        <v>273</v>
      </c>
      <c r="C167" s="470" t="s">
        <v>273</v>
      </c>
      <c r="D167" s="470" t="s">
        <v>273</v>
      </c>
      <c r="E167" s="470" t="s">
        <v>273</v>
      </c>
      <c r="F167" s="470" t="s">
        <v>273</v>
      </c>
      <c r="G167" s="470" t="s">
        <v>273</v>
      </c>
      <c r="H167" s="470" t="s">
        <v>273</v>
      </c>
      <c r="I167" s="470" t="s">
        <v>306</v>
      </c>
      <c r="J167" s="470">
        <v>2</v>
      </c>
      <c r="K167" s="470">
        <v>3</v>
      </c>
      <c r="L167" s="470">
        <v>-3</v>
      </c>
      <c r="M167" s="470">
        <v>1</v>
      </c>
      <c r="N167" s="470" t="s">
        <v>291</v>
      </c>
      <c r="O167" s="470" t="s">
        <v>291</v>
      </c>
      <c r="P167" s="470">
        <v>1</v>
      </c>
      <c r="Q167" s="470">
        <v>2</v>
      </c>
      <c r="R167" s="470" t="s">
        <v>291</v>
      </c>
      <c r="S167" s="470" t="s">
        <v>291</v>
      </c>
      <c r="T167" s="470" t="s">
        <v>291</v>
      </c>
      <c r="U167" s="470">
        <v>5</v>
      </c>
      <c r="V167" s="470">
        <v>7</v>
      </c>
      <c r="W167" s="470">
        <v>7</v>
      </c>
      <c r="X167" s="470">
        <v>3</v>
      </c>
      <c r="Y167" s="470">
        <v>3</v>
      </c>
      <c r="Z167" s="470" t="s">
        <v>306</v>
      </c>
      <c r="AA167" s="470">
        <v>4</v>
      </c>
      <c r="AB167" s="470" t="s">
        <v>291</v>
      </c>
      <c r="AC167" s="470">
        <v>1</v>
      </c>
      <c r="AD167" s="470" t="s">
        <v>291</v>
      </c>
      <c r="AE167" s="470">
        <v>-3</v>
      </c>
      <c r="AF167" s="470">
        <v>-4</v>
      </c>
      <c r="AG167" s="470" t="s">
        <v>291</v>
      </c>
      <c r="AH167" s="470" t="s">
        <v>291</v>
      </c>
      <c r="AI167" s="470">
        <v>-3</v>
      </c>
      <c r="AJ167" s="470" t="s">
        <v>291</v>
      </c>
      <c r="AK167" s="470" t="s">
        <v>291</v>
      </c>
      <c r="AL167" s="470" t="s">
        <v>291</v>
      </c>
    </row>
    <row r="168" spans="1:38">
      <c r="A168" s="470" t="s">
        <v>354</v>
      </c>
      <c r="B168" s="470" t="s">
        <v>273</v>
      </c>
      <c r="C168" s="470" t="s">
        <v>273</v>
      </c>
      <c r="D168" s="470" t="s">
        <v>273</v>
      </c>
      <c r="E168" s="470" t="s">
        <v>273</v>
      </c>
      <c r="F168" s="470" t="s">
        <v>273</v>
      </c>
      <c r="G168" s="470" t="s">
        <v>273</v>
      </c>
      <c r="H168" s="470" t="s">
        <v>273</v>
      </c>
      <c r="I168" s="470">
        <v>0</v>
      </c>
      <c r="J168" s="470">
        <v>0</v>
      </c>
      <c r="K168" s="470">
        <v>0</v>
      </c>
      <c r="L168" s="470">
        <v>0</v>
      </c>
      <c r="M168" s="470">
        <v>0</v>
      </c>
      <c r="N168" s="470">
        <v>0</v>
      </c>
      <c r="O168" s="470">
        <v>0</v>
      </c>
      <c r="P168" s="470">
        <v>0</v>
      </c>
      <c r="Q168" s="470">
        <v>0</v>
      </c>
      <c r="R168" s="470">
        <v>0</v>
      </c>
      <c r="S168" s="470" t="s">
        <v>306</v>
      </c>
      <c r="T168" s="470" t="s">
        <v>306</v>
      </c>
      <c r="U168" s="470" t="s">
        <v>306</v>
      </c>
      <c r="V168" s="470" t="s">
        <v>306</v>
      </c>
      <c r="W168" s="470" t="s">
        <v>306</v>
      </c>
      <c r="X168" s="470">
        <v>0</v>
      </c>
      <c r="Y168" s="470">
        <v>0</v>
      </c>
      <c r="Z168" s="470" t="s">
        <v>273</v>
      </c>
      <c r="AA168" s="470" t="s">
        <v>273</v>
      </c>
      <c r="AB168" s="470" t="s">
        <v>273</v>
      </c>
      <c r="AC168" s="470">
        <v>0</v>
      </c>
      <c r="AD168" s="470">
        <v>0</v>
      </c>
      <c r="AE168" s="470">
        <v>0</v>
      </c>
      <c r="AF168" s="470">
        <v>0</v>
      </c>
      <c r="AG168" s="470">
        <v>0</v>
      </c>
      <c r="AH168" s="470">
        <v>0</v>
      </c>
      <c r="AI168" s="470">
        <v>0</v>
      </c>
      <c r="AJ168" s="470">
        <v>0</v>
      </c>
      <c r="AK168" s="470">
        <v>0</v>
      </c>
      <c r="AL168" s="470">
        <v>0</v>
      </c>
    </row>
    <row r="169" spans="1:38">
      <c r="A169" s="470" t="s">
        <v>353</v>
      </c>
      <c r="B169" s="470" t="s">
        <v>273</v>
      </c>
      <c r="C169" s="470" t="s">
        <v>273</v>
      </c>
      <c r="D169" s="470" t="s">
        <v>273</v>
      </c>
      <c r="E169" s="470" t="s">
        <v>273</v>
      </c>
      <c r="F169" s="470" t="s">
        <v>273</v>
      </c>
      <c r="G169" s="470" t="s">
        <v>273</v>
      </c>
      <c r="H169" s="470" t="s">
        <v>273</v>
      </c>
      <c r="I169" s="470" t="s">
        <v>273</v>
      </c>
      <c r="J169" s="470" t="s">
        <v>273</v>
      </c>
      <c r="K169" s="470" t="s">
        <v>273</v>
      </c>
      <c r="L169" s="470" t="s">
        <v>273</v>
      </c>
      <c r="M169" s="470" t="s">
        <v>273</v>
      </c>
      <c r="N169" s="470" t="s">
        <v>273</v>
      </c>
      <c r="O169" s="470" t="s">
        <v>273</v>
      </c>
      <c r="P169" s="470" t="s">
        <v>273</v>
      </c>
      <c r="Q169" s="470" t="s">
        <v>273</v>
      </c>
      <c r="R169" s="470" t="s">
        <v>273</v>
      </c>
      <c r="S169" s="470" t="s">
        <v>273</v>
      </c>
      <c r="T169" s="470" t="s">
        <v>273</v>
      </c>
      <c r="U169" s="470" t="s">
        <v>273</v>
      </c>
      <c r="V169" s="470" t="s">
        <v>273</v>
      </c>
      <c r="W169" s="470" t="s">
        <v>273</v>
      </c>
      <c r="X169" s="470" t="s">
        <v>273</v>
      </c>
      <c r="Y169" s="470" t="s">
        <v>273</v>
      </c>
      <c r="Z169" s="470" t="s">
        <v>273</v>
      </c>
      <c r="AA169" s="470" t="s">
        <v>273</v>
      </c>
      <c r="AB169" s="470">
        <v>0</v>
      </c>
      <c r="AC169" s="470" t="s">
        <v>306</v>
      </c>
      <c r="AD169" s="470" t="s">
        <v>306</v>
      </c>
      <c r="AE169" s="470" t="s">
        <v>306</v>
      </c>
      <c r="AF169" s="470" t="s">
        <v>306</v>
      </c>
      <c r="AG169" s="470" t="s">
        <v>306</v>
      </c>
      <c r="AH169" s="470" t="s">
        <v>306</v>
      </c>
      <c r="AI169" s="470" t="s">
        <v>306</v>
      </c>
      <c r="AJ169" s="470" t="s">
        <v>306</v>
      </c>
      <c r="AK169" s="470" t="s">
        <v>306</v>
      </c>
      <c r="AL169" s="470" t="s">
        <v>306</v>
      </c>
    </row>
    <row r="170" spans="1:38">
      <c r="A170" s="470" t="s">
        <v>352</v>
      </c>
      <c r="B170" s="470" t="s">
        <v>273</v>
      </c>
      <c r="C170" s="470" t="s">
        <v>273</v>
      </c>
      <c r="D170" s="470" t="s">
        <v>273</v>
      </c>
      <c r="E170" s="470" t="s">
        <v>273</v>
      </c>
      <c r="F170" s="470" t="s">
        <v>273</v>
      </c>
      <c r="G170" s="470" t="s">
        <v>273</v>
      </c>
      <c r="H170" s="470" t="s">
        <v>273</v>
      </c>
      <c r="I170" s="470" t="s">
        <v>273</v>
      </c>
      <c r="J170" s="470" t="s">
        <v>273</v>
      </c>
      <c r="K170" s="470" t="s">
        <v>273</v>
      </c>
      <c r="L170" s="470" t="s">
        <v>273</v>
      </c>
      <c r="M170" s="470" t="s">
        <v>273</v>
      </c>
      <c r="N170" s="470" t="s">
        <v>273</v>
      </c>
      <c r="O170" s="470" t="s">
        <v>273</v>
      </c>
      <c r="P170" s="470" t="s">
        <v>273</v>
      </c>
      <c r="Q170" s="470" t="s">
        <v>273</v>
      </c>
      <c r="R170" s="470" t="s">
        <v>273</v>
      </c>
      <c r="S170" s="470" t="s">
        <v>273</v>
      </c>
      <c r="T170" s="470" t="s">
        <v>273</v>
      </c>
      <c r="U170" s="470" t="s">
        <v>273</v>
      </c>
      <c r="V170" s="470" t="s">
        <v>273</v>
      </c>
      <c r="W170" s="470" t="s">
        <v>273</v>
      </c>
      <c r="X170" s="470" t="s">
        <v>273</v>
      </c>
      <c r="Y170" s="470" t="s">
        <v>273</v>
      </c>
      <c r="Z170" s="470" t="s">
        <v>273</v>
      </c>
      <c r="AA170" s="470" t="s">
        <v>273</v>
      </c>
      <c r="AB170" s="470" t="s">
        <v>273</v>
      </c>
      <c r="AC170" s="470" t="s">
        <v>273</v>
      </c>
      <c r="AD170" s="470">
        <v>0</v>
      </c>
      <c r="AE170" s="470">
        <v>0</v>
      </c>
      <c r="AF170" s="470">
        <v>0</v>
      </c>
      <c r="AG170" s="470">
        <v>0</v>
      </c>
      <c r="AH170" s="470">
        <v>0</v>
      </c>
      <c r="AI170" s="470">
        <v>0</v>
      </c>
      <c r="AJ170" s="470">
        <v>0</v>
      </c>
      <c r="AK170" s="470">
        <v>0</v>
      </c>
      <c r="AL170" s="470">
        <v>0</v>
      </c>
    </row>
    <row r="171" spans="1:38">
      <c r="A171" s="470" t="s">
        <v>351</v>
      </c>
      <c r="B171" s="470" t="s">
        <v>273</v>
      </c>
      <c r="C171" s="470" t="s">
        <v>273</v>
      </c>
      <c r="D171" s="470" t="s">
        <v>273</v>
      </c>
      <c r="E171" s="470" t="s">
        <v>273</v>
      </c>
      <c r="F171" s="470" t="s">
        <v>273</v>
      </c>
      <c r="G171" s="470" t="s">
        <v>273</v>
      </c>
      <c r="H171" s="470" t="s">
        <v>273</v>
      </c>
      <c r="I171" s="470" t="s">
        <v>273</v>
      </c>
      <c r="J171" s="470" t="s">
        <v>273</v>
      </c>
      <c r="K171" s="470" t="s">
        <v>273</v>
      </c>
      <c r="L171" s="470" t="s">
        <v>273</v>
      </c>
      <c r="M171" s="470" t="s">
        <v>273</v>
      </c>
      <c r="N171" s="470" t="s">
        <v>273</v>
      </c>
      <c r="O171" s="470" t="s">
        <v>273</v>
      </c>
      <c r="P171" s="470" t="s">
        <v>273</v>
      </c>
      <c r="Q171" s="470" t="s">
        <v>273</v>
      </c>
      <c r="R171" s="470" t="s">
        <v>273</v>
      </c>
      <c r="S171" s="470" t="s">
        <v>273</v>
      </c>
      <c r="T171" s="470" t="s">
        <v>273</v>
      </c>
      <c r="U171" s="470" t="s">
        <v>273</v>
      </c>
      <c r="V171" s="470" t="s">
        <v>273</v>
      </c>
      <c r="W171" s="470" t="s">
        <v>273</v>
      </c>
      <c r="X171" s="470" t="s">
        <v>273</v>
      </c>
      <c r="Y171" s="470" t="s">
        <v>273</v>
      </c>
      <c r="Z171" s="470" t="s">
        <v>273</v>
      </c>
      <c r="AA171" s="470" t="s">
        <v>273</v>
      </c>
      <c r="AB171" s="470" t="s">
        <v>273</v>
      </c>
      <c r="AC171" s="470" t="s">
        <v>273</v>
      </c>
      <c r="AD171" s="470" t="s">
        <v>273</v>
      </c>
      <c r="AE171" s="470" t="s">
        <v>273</v>
      </c>
      <c r="AF171" s="470" t="s">
        <v>273</v>
      </c>
      <c r="AG171" s="470" t="s">
        <v>273</v>
      </c>
      <c r="AH171" s="470" t="s">
        <v>306</v>
      </c>
      <c r="AI171" s="470" t="s">
        <v>306</v>
      </c>
      <c r="AJ171" s="470" t="s">
        <v>306</v>
      </c>
      <c r="AK171" s="470" t="s">
        <v>306</v>
      </c>
      <c r="AL171" s="470" t="s">
        <v>306</v>
      </c>
    </row>
    <row r="172" spans="1:38">
      <c r="A172" s="470" t="s">
        <v>1026</v>
      </c>
      <c r="B172" s="470" t="s">
        <v>273</v>
      </c>
      <c r="C172" s="470" t="s">
        <v>273</v>
      </c>
      <c r="D172" s="470" t="s">
        <v>273</v>
      </c>
      <c r="E172" s="470" t="s">
        <v>273</v>
      </c>
      <c r="F172" s="470" t="s">
        <v>273</v>
      </c>
      <c r="G172" s="470" t="s">
        <v>273</v>
      </c>
      <c r="H172" s="470" t="s">
        <v>273</v>
      </c>
      <c r="I172" s="470" t="s">
        <v>273</v>
      </c>
      <c r="J172" s="470" t="s">
        <v>273</v>
      </c>
      <c r="K172" s="470" t="s">
        <v>273</v>
      </c>
      <c r="L172" s="470" t="s">
        <v>273</v>
      </c>
      <c r="M172" s="470" t="s">
        <v>273</v>
      </c>
      <c r="N172" s="470" t="s">
        <v>273</v>
      </c>
      <c r="O172" s="470" t="s">
        <v>273</v>
      </c>
      <c r="P172" s="470" t="s">
        <v>273</v>
      </c>
      <c r="Q172" s="470" t="s">
        <v>273</v>
      </c>
      <c r="R172" s="470" t="s">
        <v>273</v>
      </c>
      <c r="S172" s="470" t="s">
        <v>273</v>
      </c>
      <c r="T172" s="470" t="s">
        <v>273</v>
      </c>
      <c r="U172" s="470" t="s">
        <v>273</v>
      </c>
      <c r="V172" s="470" t="s">
        <v>273</v>
      </c>
      <c r="W172" s="470" t="s">
        <v>273</v>
      </c>
      <c r="X172" s="470" t="s">
        <v>273</v>
      </c>
      <c r="Y172" s="470" t="s">
        <v>273</v>
      </c>
      <c r="Z172" s="470" t="s">
        <v>273</v>
      </c>
      <c r="AA172" s="470" t="s">
        <v>273</v>
      </c>
      <c r="AB172" s="470" t="s">
        <v>273</v>
      </c>
      <c r="AC172" s="470" t="s">
        <v>273</v>
      </c>
      <c r="AD172" s="470" t="s">
        <v>273</v>
      </c>
      <c r="AE172" s="470" t="s">
        <v>273</v>
      </c>
      <c r="AF172" s="470" t="s">
        <v>273</v>
      </c>
      <c r="AG172" s="470" t="s">
        <v>273</v>
      </c>
      <c r="AH172" s="470">
        <v>0</v>
      </c>
      <c r="AI172" s="470">
        <v>0</v>
      </c>
      <c r="AJ172" s="470">
        <v>0</v>
      </c>
      <c r="AK172" s="470">
        <v>0</v>
      </c>
      <c r="AL172" s="470">
        <v>0</v>
      </c>
    </row>
    <row r="173" spans="1:38">
      <c r="A173" s="470" t="s">
        <v>350</v>
      </c>
      <c r="B173" s="470" t="s">
        <v>273</v>
      </c>
      <c r="C173" s="470" t="s">
        <v>273</v>
      </c>
      <c r="D173" s="470" t="s">
        <v>273</v>
      </c>
      <c r="E173" s="470" t="s">
        <v>273</v>
      </c>
      <c r="F173" s="470" t="s">
        <v>273</v>
      </c>
      <c r="G173" s="470" t="s">
        <v>273</v>
      </c>
      <c r="H173" s="470" t="s">
        <v>273</v>
      </c>
      <c r="I173" s="470">
        <v>0</v>
      </c>
      <c r="J173" s="470">
        <v>0</v>
      </c>
      <c r="K173" s="470">
        <v>0</v>
      </c>
      <c r="L173" s="470" t="s">
        <v>306</v>
      </c>
      <c r="M173" s="470">
        <v>0</v>
      </c>
      <c r="N173" s="470">
        <v>0</v>
      </c>
      <c r="O173" s="470">
        <v>0</v>
      </c>
      <c r="P173" s="470">
        <v>0</v>
      </c>
      <c r="Q173" s="470">
        <v>0</v>
      </c>
      <c r="R173" s="470">
        <v>0</v>
      </c>
      <c r="S173" s="470" t="s">
        <v>273</v>
      </c>
      <c r="T173" s="470" t="s">
        <v>273</v>
      </c>
      <c r="U173" s="470" t="s">
        <v>273</v>
      </c>
      <c r="V173" s="470" t="s">
        <v>273</v>
      </c>
      <c r="W173" s="470" t="s">
        <v>273</v>
      </c>
      <c r="X173" s="470" t="s">
        <v>273</v>
      </c>
      <c r="Y173" s="470" t="s">
        <v>273</v>
      </c>
      <c r="Z173" s="470" t="s">
        <v>273</v>
      </c>
      <c r="AA173" s="470" t="s">
        <v>273</v>
      </c>
      <c r="AB173" s="470" t="s">
        <v>273</v>
      </c>
      <c r="AC173" s="470" t="s">
        <v>273</v>
      </c>
      <c r="AD173" s="470" t="s">
        <v>273</v>
      </c>
      <c r="AE173" s="470" t="s">
        <v>273</v>
      </c>
      <c r="AF173" s="470" t="s">
        <v>273</v>
      </c>
      <c r="AG173" s="470" t="s">
        <v>273</v>
      </c>
      <c r="AH173" s="470" t="s">
        <v>306</v>
      </c>
      <c r="AI173" s="470" t="s">
        <v>306</v>
      </c>
      <c r="AJ173" s="470" t="s">
        <v>306</v>
      </c>
      <c r="AK173" s="470" t="s">
        <v>306</v>
      </c>
      <c r="AL173" s="470" t="s">
        <v>306</v>
      </c>
    </row>
    <row r="174" spans="1:38">
      <c r="A174" s="470" t="s">
        <v>349</v>
      </c>
      <c r="B174" s="470" t="s">
        <v>273</v>
      </c>
      <c r="C174" s="470" t="s">
        <v>273</v>
      </c>
      <c r="D174" s="470" t="s">
        <v>273</v>
      </c>
      <c r="E174" s="470" t="s">
        <v>273</v>
      </c>
      <c r="F174" s="470" t="s">
        <v>273</v>
      </c>
      <c r="G174" s="470" t="s">
        <v>273</v>
      </c>
      <c r="H174" s="470" t="s">
        <v>273</v>
      </c>
      <c r="I174" s="470" t="s">
        <v>306</v>
      </c>
      <c r="J174" s="470" t="s">
        <v>306</v>
      </c>
      <c r="K174" s="470" t="s">
        <v>306</v>
      </c>
      <c r="L174" s="470" t="s">
        <v>306</v>
      </c>
      <c r="M174" s="470" t="s">
        <v>306</v>
      </c>
      <c r="N174" s="470">
        <v>0</v>
      </c>
      <c r="O174" s="470">
        <v>0</v>
      </c>
      <c r="P174" s="470">
        <v>0</v>
      </c>
      <c r="Q174" s="470">
        <v>0</v>
      </c>
      <c r="R174" s="470">
        <v>0</v>
      </c>
      <c r="S174" s="470">
        <v>0</v>
      </c>
      <c r="T174" s="470">
        <v>0</v>
      </c>
      <c r="U174" s="470">
        <v>0</v>
      </c>
      <c r="V174" s="470">
        <v>0</v>
      </c>
      <c r="W174" s="470">
        <v>0</v>
      </c>
      <c r="X174" s="470">
        <v>0</v>
      </c>
      <c r="Y174" s="470">
        <v>0</v>
      </c>
      <c r="Z174" s="470">
        <v>0</v>
      </c>
      <c r="AA174" s="470">
        <v>0</v>
      </c>
      <c r="AB174" s="470">
        <v>0</v>
      </c>
      <c r="AC174" s="470" t="s">
        <v>273</v>
      </c>
      <c r="AD174" s="470">
        <v>0</v>
      </c>
      <c r="AE174" s="470">
        <v>0</v>
      </c>
      <c r="AF174" s="470">
        <v>0</v>
      </c>
      <c r="AG174" s="470">
        <v>0</v>
      </c>
      <c r="AH174" s="470">
        <v>0</v>
      </c>
      <c r="AI174" s="470">
        <v>0</v>
      </c>
      <c r="AJ174" s="470">
        <v>0</v>
      </c>
      <c r="AK174" s="470">
        <v>0</v>
      </c>
      <c r="AL174" s="470">
        <v>0</v>
      </c>
    </row>
    <row r="175" spans="1:38">
      <c r="A175" s="470" t="s">
        <v>348</v>
      </c>
      <c r="B175" s="470" t="s">
        <v>273</v>
      </c>
      <c r="C175" s="470" t="s">
        <v>273</v>
      </c>
      <c r="D175" s="470" t="s">
        <v>273</v>
      </c>
      <c r="E175" s="470" t="s">
        <v>273</v>
      </c>
      <c r="F175" s="470" t="s">
        <v>273</v>
      </c>
      <c r="G175" s="470" t="s">
        <v>273</v>
      </c>
      <c r="H175" s="470" t="s">
        <v>273</v>
      </c>
      <c r="I175" s="470">
        <v>0</v>
      </c>
      <c r="J175" s="470">
        <v>0</v>
      </c>
      <c r="K175" s="470">
        <v>0</v>
      </c>
      <c r="L175" s="470">
        <v>0</v>
      </c>
      <c r="M175" s="470">
        <v>0</v>
      </c>
      <c r="N175" s="470">
        <v>0</v>
      </c>
      <c r="O175" s="470">
        <v>0</v>
      </c>
      <c r="P175" s="470">
        <v>0</v>
      </c>
      <c r="Q175" s="470">
        <v>0</v>
      </c>
      <c r="R175" s="470">
        <v>0</v>
      </c>
      <c r="S175" s="470">
        <v>0</v>
      </c>
      <c r="T175" s="470">
        <v>0</v>
      </c>
      <c r="U175" s="470">
        <v>0</v>
      </c>
      <c r="V175" s="470">
        <v>0</v>
      </c>
      <c r="W175" s="470">
        <v>0</v>
      </c>
      <c r="X175" s="470">
        <v>0</v>
      </c>
      <c r="Y175" s="470">
        <v>0</v>
      </c>
      <c r="Z175" s="470">
        <v>0</v>
      </c>
      <c r="AA175" s="470">
        <v>0</v>
      </c>
      <c r="AB175" s="470">
        <v>0</v>
      </c>
      <c r="AC175" s="470">
        <v>0</v>
      </c>
      <c r="AD175" s="470">
        <v>0</v>
      </c>
      <c r="AE175" s="470">
        <v>0</v>
      </c>
      <c r="AF175" s="470">
        <v>0</v>
      </c>
      <c r="AG175" s="470">
        <v>0</v>
      </c>
      <c r="AH175" s="470">
        <v>0</v>
      </c>
      <c r="AI175" s="470">
        <v>0</v>
      </c>
      <c r="AJ175" s="470">
        <v>0</v>
      </c>
      <c r="AK175" s="470">
        <v>0</v>
      </c>
      <c r="AL175" s="470">
        <v>0</v>
      </c>
    </row>
    <row r="176" spans="1:38">
      <c r="A176" s="470" t="s">
        <v>346</v>
      </c>
      <c r="B176" s="470" t="s">
        <v>273</v>
      </c>
      <c r="C176" s="470" t="s">
        <v>273</v>
      </c>
      <c r="D176" s="470" t="s">
        <v>273</v>
      </c>
      <c r="E176" s="470" t="s">
        <v>273</v>
      </c>
      <c r="F176" s="470" t="s">
        <v>273</v>
      </c>
      <c r="G176" s="470" t="s">
        <v>273</v>
      </c>
      <c r="H176" s="470" t="s">
        <v>273</v>
      </c>
      <c r="I176" s="470">
        <v>0</v>
      </c>
      <c r="J176" s="470">
        <v>0</v>
      </c>
      <c r="K176" s="470">
        <v>0</v>
      </c>
      <c r="L176" s="470">
        <v>0</v>
      </c>
      <c r="M176" s="470">
        <v>0</v>
      </c>
      <c r="N176" s="470">
        <v>0</v>
      </c>
      <c r="O176" s="470">
        <v>0</v>
      </c>
      <c r="P176" s="470">
        <v>0</v>
      </c>
      <c r="Q176" s="470">
        <v>0</v>
      </c>
      <c r="R176" s="470">
        <v>0</v>
      </c>
      <c r="S176" s="470" t="s">
        <v>306</v>
      </c>
      <c r="T176" s="470" t="s">
        <v>306</v>
      </c>
      <c r="U176" s="470">
        <v>0</v>
      </c>
      <c r="V176" s="470">
        <v>0</v>
      </c>
      <c r="W176" s="470">
        <v>0</v>
      </c>
      <c r="X176" s="470">
        <v>0</v>
      </c>
      <c r="Y176" s="470">
        <v>0</v>
      </c>
      <c r="Z176" s="470">
        <v>0</v>
      </c>
      <c r="AA176" s="470">
        <v>0</v>
      </c>
      <c r="AB176" s="470">
        <v>0</v>
      </c>
      <c r="AC176" s="470">
        <v>0</v>
      </c>
      <c r="AD176" s="470">
        <v>0</v>
      </c>
      <c r="AE176" s="470">
        <v>0</v>
      </c>
      <c r="AF176" s="470">
        <v>0</v>
      </c>
      <c r="AG176" s="470">
        <v>0</v>
      </c>
      <c r="AH176" s="470">
        <v>0</v>
      </c>
      <c r="AI176" s="470">
        <v>0</v>
      </c>
      <c r="AJ176" s="470">
        <v>0</v>
      </c>
      <c r="AK176" s="470" t="s">
        <v>306</v>
      </c>
      <c r="AL176" s="470">
        <v>0</v>
      </c>
    </row>
    <row r="177" spans="1:38">
      <c r="A177" s="470" t="s">
        <v>345</v>
      </c>
      <c r="B177" s="470" t="s">
        <v>273</v>
      </c>
      <c r="C177" s="470" t="s">
        <v>273</v>
      </c>
      <c r="D177" s="470" t="s">
        <v>273</v>
      </c>
      <c r="E177" s="470" t="s">
        <v>273</v>
      </c>
      <c r="F177" s="470" t="s">
        <v>273</v>
      </c>
      <c r="G177" s="470" t="s">
        <v>273</v>
      </c>
      <c r="H177" s="470" t="s">
        <v>273</v>
      </c>
      <c r="I177" s="470" t="s">
        <v>306</v>
      </c>
      <c r="J177" s="470" t="s">
        <v>306</v>
      </c>
      <c r="K177" s="470" t="s">
        <v>306</v>
      </c>
      <c r="L177" s="470" t="s">
        <v>306</v>
      </c>
      <c r="M177" s="470" t="s">
        <v>306</v>
      </c>
      <c r="N177" s="470" t="s">
        <v>291</v>
      </c>
      <c r="O177" s="470" t="s">
        <v>291</v>
      </c>
      <c r="P177" s="470" t="s">
        <v>306</v>
      </c>
      <c r="Q177" s="470" t="s">
        <v>306</v>
      </c>
      <c r="R177" s="470" t="s">
        <v>291</v>
      </c>
      <c r="S177" s="470" t="s">
        <v>306</v>
      </c>
      <c r="T177" s="470" t="s">
        <v>306</v>
      </c>
      <c r="U177" s="470" t="s">
        <v>306</v>
      </c>
      <c r="V177" s="470" t="s">
        <v>306</v>
      </c>
      <c r="W177" s="470" t="s">
        <v>306</v>
      </c>
      <c r="X177" s="470" t="s">
        <v>306</v>
      </c>
      <c r="Y177" s="470" t="s">
        <v>306</v>
      </c>
      <c r="Z177" s="470" t="s">
        <v>306</v>
      </c>
      <c r="AA177" s="470" t="s">
        <v>306</v>
      </c>
      <c r="AB177" s="470" t="s">
        <v>306</v>
      </c>
      <c r="AC177" s="470">
        <v>0</v>
      </c>
      <c r="AD177" s="470">
        <v>0</v>
      </c>
      <c r="AE177" s="470">
        <v>0</v>
      </c>
      <c r="AF177" s="470">
        <v>0</v>
      </c>
      <c r="AG177" s="470">
        <v>0</v>
      </c>
      <c r="AH177" s="470">
        <v>0</v>
      </c>
      <c r="AI177" s="470">
        <v>0</v>
      </c>
      <c r="AJ177" s="470">
        <v>0</v>
      </c>
      <c r="AK177" s="470">
        <v>0</v>
      </c>
      <c r="AL177" s="470">
        <v>0</v>
      </c>
    </row>
    <row r="178" spans="1:38">
      <c r="A178" s="470" t="s">
        <v>344</v>
      </c>
      <c r="B178" s="470" t="s">
        <v>273</v>
      </c>
      <c r="C178" s="470" t="s">
        <v>273</v>
      </c>
      <c r="D178" s="470" t="s">
        <v>273</v>
      </c>
      <c r="E178" s="470" t="s">
        <v>273</v>
      </c>
      <c r="F178" s="470" t="s">
        <v>273</v>
      </c>
      <c r="G178" s="470" t="s">
        <v>273</v>
      </c>
      <c r="H178" s="470" t="s">
        <v>273</v>
      </c>
      <c r="I178" s="470" t="s">
        <v>306</v>
      </c>
      <c r="J178" s="470" t="s">
        <v>306</v>
      </c>
      <c r="K178" s="470" t="s">
        <v>306</v>
      </c>
      <c r="L178" s="470" t="s">
        <v>306</v>
      </c>
      <c r="M178" s="470" t="s">
        <v>306</v>
      </c>
      <c r="N178" s="470">
        <v>0</v>
      </c>
      <c r="O178" s="470">
        <v>0</v>
      </c>
      <c r="P178" s="470">
        <v>0</v>
      </c>
      <c r="Q178" s="470">
        <v>0</v>
      </c>
      <c r="R178" s="470">
        <v>0</v>
      </c>
      <c r="S178" s="470">
        <v>0</v>
      </c>
      <c r="T178" s="470">
        <v>0</v>
      </c>
      <c r="U178" s="470">
        <v>0</v>
      </c>
      <c r="V178" s="470">
        <v>0</v>
      </c>
      <c r="W178" s="470">
        <v>0</v>
      </c>
      <c r="X178" s="470">
        <v>0</v>
      </c>
      <c r="Y178" s="470">
        <v>0</v>
      </c>
      <c r="Z178" s="470" t="s">
        <v>273</v>
      </c>
      <c r="AA178" s="470" t="s">
        <v>273</v>
      </c>
      <c r="AB178" s="470" t="s">
        <v>273</v>
      </c>
      <c r="AC178" s="470" t="s">
        <v>273</v>
      </c>
      <c r="AD178" s="470">
        <v>0</v>
      </c>
      <c r="AE178" s="470">
        <v>0</v>
      </c>
      <c r="AF178" s="470">
        <v>0</v>
      </c>
      <c r="AG178" s="470">
        <v>0</v>
      </c>
      <c r="AH178" s="470">
        <v>0</v>
      </c>
      <c r="AI178" s="470" t="s">
        <v>306</v>
      </c>
      <c r="AJ178" s="470">
        <v>0</v>
      </c>
      <c r="AK178" s="470">
        <v>0</v>
      </c>
      <c r="AL178" s="470">
        <v>0</v>
      </c>
    </row>
    <row r="179" spans="1:38">
      <c r="A179" s="470" t="s">
        <v>342</v>
      </c>
      <c r="B179" s="470" t="s">
        <v>273</v>
      </c>
      <c r="C179" s="470" t="s">
        <v>273</v>
      </c>
      <c r="D179" s="470" t="s">
        <v>273</v>
      </c>
      <c r="E179" s="470" t="s">
        <v>273</v>
      </c>
      <c r="F179" s="470" t="s">
        <v>273</v>
      </c>
      <c r="G179" s="470" t="s">
        <v>273</v>
      </c>
      <c r="H179" s="470" t="s">
        <v>273</v>
      </c>
      <c r="I179" s="470">
        <v>0</v>
      </c>
      <c r="J179" s="470">
        <v>0</v>
      </c>
      <c r="K179" s="470">
        <v>0</v>
      </c>
      <c r="L179" s="470">
        <v>0</v>
      </c>
      <c r="M179" s="470">
        <v>0</v>
      </c>
      <c r="N179" s="470">
        <v>0</v>
      </c>
      <c r="O179" s="470">
        <v>0</v>
      </c>
      <c r="P179" s="470">
        <v>0</v>
      </c>
      <c r="Q179" s="470">
        <v>0</v>
      </c>
      <c r="R179" s="470">
        <v>0</v>
      </c>
      <c r="S179" s="470">
        <v>0</v>
      </c>
      <c r="T179" s="470">
        <v>0</v>
      </c>
      <c r="U179" s="470">
        <v>0</v>
      </c>
      <c r="V179" s="470">
        <v>0</v>
      </c>
      <c r="W179" s="470">
        <v>0</v>
      </c>
      <c r="X179" s="470">
        <v>0</v>
      </c>
      <c r="Y179" s="470">
        <v>0</v>
      </c>
      <c r="Z179" s="470">
        <v>0</v>
      </c>
      <c r="AA179" s="470">
        <v>0</v>
      </c>
      <c r="AB179" s="470">
        <v>0</v>
      </c>
      <c r="AC179" s="470">
        <v>0</v>
      </c>
      <c r="AD179" s="470">
        <v>0</v>
      </c>
      <c r="AE179" s="470">
        <v>0</v>
      </c>
      <c r="AF179" s="470">
        <v>0</v>
      </c>
      <c r="AG179" s="470">
        <v>0</v>
      </c>
      <c r="AH179" s="470">
        <v>0</v>
      </c>
      <c r="AI179" s="470">
        <v>0</v>
      </c>
      <c r="AJ179" s="470">
        <v>0</v>
      </c>
      <c r="AK179" s="470">
        <v>0</v>
      </c>
      <c r="AL179" s="470">
        <v>0</v>
      </c>
    </row>
    <row r="180" spans="1:38">
      <c r="A180" s="470" t="s">
        <v>341</v>
      </c>
      <c r="B180" s="470" t="s">
        <v>273</v>
      </c>
      <c r="C180" s="470" t="s">
        <v>273</v>
      </c>
      <c r="D180" s="470" t="s">
        <v>273</v>
      </c>
      <c r="E180" s="470" t="s">
        <v>273</v>
      </c>
      <c r="F180" s="470" t="s">
        <v>273</v>
      </c>
      <c r="G180" s="470" t="s">
        <v>273</v>
      </c>
      <c r="H180" s="470" t="s">
        <v>273</v>
      </c>
      <c r="I180" s="470">
        <v>0</v>
      </c>
      <c r="J180" s="470">
        <v>0</v>
      </c>
      <c r="K180" s="470">
        <v>0</v>
      </c>
      <c r="L180" s="470">
        <v>0</v>
      </c>
      <c r="M180" s="470">
        <v>0</v>
      </c>
      <c r="N180" s="470">
        <v>0</v>
      </c>
      <c r="O180" s="470">
        <v>0</v>
      </c>
      <c r="P180" s="470">
        <v>0</v>
      </c>
      <c r="Q180" s="470">
        <v>0</v>
      </c>
      <c r="R180" s="470">
        <v>0</v>
      </c>
      <c r="S180" s="470">
        <v>0</v>
      </c>
      <c r="T180" s="470">
        <v>0</v>
      </c>
      <c r="U180" s="470">
        <v>-2</v>
      </c>
      <c r="V180" s="470">
        <v>0</v>
      </c>
      <c r="W180" s="470">
        <v>0</v>
      </c>
      <c r="X180" s="470">
        <v>0</v>
      </c>
      <c r="Y180" s="470">
        <v>0</v>
      </c>
      <c r="Z180" s="470" t="s">
        <v>273</v>
      </c>
      <c r="AA180" s="470" t="s">
        <v>273</v>
      </c>
      <c r="AB180" s="470" t="s">
        <v>273</v>
      </c>
      <c r="AC180" s="470" t="s">
        <v>273</v>
      </c>
      <c r="AD180" s="470">
        <v>0</v>
      </c>
      <c r="AE180" s="470">
        <v>0</v>
      </c>
      <c r="AF180" s="470">
        <v>0</v>
      </c>
      <c r="AG180" s="470">
        <v>0</v>
      </c>
      <c r="AH180" s="470">
        <v>0</v>
      </c>
      <c r="AI180" s="470">
        <v>0</v>
      </c>
      <c r="AJ180" s="470">
        <v>0</v>
      </c>
      <c r="AK180" s="470">
        <v>0</v>
      </c>
      <c r="AL180" s="470">
        <v>0</v>
      </c>
    </row>
    <row r="181" spans="1:38">
      <c r="A181" s="470" t="s">
        <v>340</v>
      </c>
      <c r="B181" s="470">
        <v>53</v>
      </c>
      <c r="C181" s="470">
        <v>61</v>
      </c>
      <c r="D181" s="470">
        <v>168</v>
      </c>
      <c r="E181" s="470">
        <v>-53</v>
      </c>
      <c r="F181" s="470">
        <v>-18</v>
      </c>
      <c r="G181" s="470">
        <v>55</v>
      </c>
      <c r="H181" s="470">
        <v>-171</v>
      </c>
      <c r="I181" s="470">
        <v>-133</v>
      </c>
      <c r="J181" s="470">
        <v>-310</v>
      </c>
      <c r="K181" s="470">
        <v>19</v>
      </c>
      <c r="L181" s="470">
        <v>-18</v>
      </c>
      <c r="M181" s="470">
        <v>-21</v>
      </c>
      <c r="N181" s="470">
        <v>-296</v>
      </c>
      <c r="O181" s="470">
        <v>-212</v>
      </c>
      <c r="P181" s="470">
        <v>57</v>
      </c>
      <c r="Q181" s="470">
        <v>140</v>
      </c>
      <c r="R181" s="470">
        <v>118</v>
      </c>
      <c r="S181" s="470">
        <v>578</v>
      </c>
      <c r="T181" s="470">
        <v>274</v>
      </c>
      <c r="U181" s="470">
        <v>156</v>
      </c>
      <c r="V181" s="470">
        <v>241</v>
      </c>
      <c r="W181" s="470">
        <v>200</v>
      </c>
      <c r="X181" s="470">
        <v>-215</v>
      </c>
      <c r="Y181" s="470">
        <v>154</v>
      </c>
      <c r="Z181" s="470">
        <v>488</v>
      </c>
      <c r="AA181" s="470">
        <v>592</v>
      </c>
      <c r="AB181" s="470">
        <v>1243</v>
      </c>
      <c r="AC181" s="470">
        <v>392</v>
      </c>
      <c r="AD181" s="470">
        <v>-584</v>
      </c>
      <c r="AE181" s="470">
        <v>-173</v>
      </c>
      <c r="AF181" s="470">
        <v>-40</v>
      </c>
      <c r="AG181" s="470">
        <v>80</v>
      </c>
      <c r="AH181" s="470">
        <v>269</v>
      </c>
      <c r="AI181" s="470">
        <v>-406</v>
      </c>
      <c r="AJ181" s="470">
        <v>346</v>
      </c>
      <c r="AK181" s="470">
        <v>516</v>
      </c>
      <c r="AL181" s="470">
        <v>1133</v>
      </c>
    </row>
    <row r="182" spans="1:38">
      <c r="A182" s="470" t="s">
        <v>339</v>
      </c>
      <c r="B182" s="470">
        <v>31</v>
      </c>
      <c r="C182" s="470">
        <v>37</v>
      </c>
      <c r="D182" s="470">
        <v>24</v>
      </c>
      <c r="E182" s="470">
        <v>7</v>
      </c>
      <c r="F182" s="470">
        <v>47</v>
      </c>
      <c r="G182" s="470">
        <v>12</v>
      </c>
      <c r="H182" s="470">
        <v>3</v>
      </c>
      <c r="I182" s="470">
        <v>12</v>
      </c>
      <c r="J182" s="470">
        <v>38</v>
      </c>
      <c r="K182" s="470">
        <v>37</v>
      </c>
      <c r="L182" s="470">
        <v>-2</v>
      </c>
      <c r="M182" s="470">
        <v>-60</v>
      </c>
      <c r="N182" s="470">
        <v>-95</v>
      </c>
      <c r="O182" s="470">
        <v>-293</v>
      </c>
      <c r="P182" s="470">
        <v>-12</v>
      </c>
      <c r="Q182" s="470">
        <v>90</v>
      </c>
      <c r="R182" s="470">
        <v>-2</v>
      </c>
      <c r="S182" s="470">
        <v>115</v>
      </c>
      <c r="T182" s="470">
        <v>128</v>
      </c>
      <c r="U182" s="470">
        <v>91</v>
      </c>
      <c r="V182" s="470" t="s">
        <v>291</v>
      </c>
      <c r="W182" s="470">
        <v>-80</v>
      </c>
      <c r="X182" s="470">
        <v>-57</v>
      </c>
      <c r="Y182" s="470">
        <v>-13</v>
      </c>
      <c r="Z182" s="470">
        <v>26</v>
      </c>
      <c r="AA182" s="470">
        <v>161</v>
      </c>
      <c r="AB182" s="470">
        <v>338</v>
      </c>
      <c r="AC182" s="470">
        <v>-63</v>
      </c>
      <c r="AD182" s="470">
        <v>-1027</v>
      </c>
      <c r="AE182" s="470">
        <v>-21</v>
      </c>
      <c r="AF182" s="470">
        <v>23</v>
      </c>
      <c r="AG182" s="470">
        <v>-61</v>
      </c>
      <c r="AH182" s="470">
        <v>227</v>
      </c>
      <c r="AI182" s="470">
        <v>86</v>
      </c>
      <c r="AJ182" s="470">
        <v>302</v>
      </c>
      <c r="AK182" s="470">
        <v>-90</v>
      </c>
      <c r="AL182" s="470">
        <v>312</v>
      </c>
    </row>
    <row r="183" spans="1:38">
      <c r="A183" s="470" t="s">
        <v>1413</v>
      </c>
      <c r="B183" s="470" t="s">
        <v>273</v>
      </c>
      <c r="C183" s="470" t="s">
        <v>273</v>
      </c>
      <c r="D183" s="470" t="s">
        <v>273</v>
      </c>
      <c r="E183" s="470" t="s">
        <v>273</v>
      </c>
      <c r="F183" s="470" t="s">
        <v>273</v>
      </c>
      <c r="G183" s="470" t="s">
        <v>273</v>
      </c>
      <c r="H183" s="470" t="s">
        <v>273</v>
      </c>
      <c r="I183" s="470">
        <v>-89</v>
      </c>
      <c r="J183" s="470">
        <v>-248</v>
      </c>
      <c r="K183" s="470">
        <v>-42</v>
      </c>
      <c r="L183" s="470">
        <v>46</v>
      </c>
      <c r="M183" s="470">
        <v>32</v>
      </c>
      <c r="N183" s="470">
        <v>-92</v>
      </c>
      <c r="O183" s="470">
        <v>40</v>
      </c>
      <c r="P183" s="470">
        <v>68</v>
      </c>
      <c r="Q183" s="470">
        <v>106</v>
      </c>
      <c r="R183" s="470">
        <v>116</v>
      </c>
      <c r="S183" s="470">
        <v>346</v>
      </c>
      <c r="T183" s="470">
        <v>168</v>
      </c>
      <c r="U183" s="470" t="s">
        <v>291</v>
      </c>
      <c r="V183" s="470" t="s">
        <v>291</v>
      </c>
      <c r="W183" s="470" t="s">
        <v>291</v>
      </c>
      <c r="X183" s="470">
        <v>52</v>
      </c>
      <c r="Y183" s="470" t="s">
        <v>291</v>
      </c>
      <c r="Z183" s="470" t="s">
        <v>291</v>
      </c>
      <c r="AA183" s="470">
        <v>107</v>
      </c>
      <c r="AB183" s="470" t="s">
        <v>291</v>
      </c>
      <c r="AC183" s="470" t="s">
        <v>291</v>
      </c>
      <c r="AD183" s="470">
        <v>17</v>
      </c>
      <c r="AE183" s="470">
        <v>6</v>
      </c>
      <c r="AF183" s="470">
        <v>8</v>
      </c>
      <c r="AG183" s="470">
        <v>38</v>
      </c>
      <c r="AH183" s="470">
        <v>7</v>
      </c>
      <c r="AI183" s="470" t="s">
        <v>291</v>
      </c>
      <c r="AJ183" s="470">
        <v>25</v>
      </c>
      <c r="AK183" s="470">
        <v>66</v>
      </c>
      <c r="AL183" s="470">
        <v>29</v>
      </c>
    </row>
    <row r="184" spans="1:38">
      <c r="A184" s="470" t="s">
        <v>1412</v>
      </c>
      <c r="B184" s="470" t="s">
        <v>273</v>
      </c>
      <c r="C184" s="470" t="s">
        <v>273</v>
      </c>
      <c r="D184" s="470" t="s">
        <v>273</v>
      </c>
      <c r="E184" s="470" t="s">
        <v>273</v>
      </c>
      <c r="F184" s="470" t="s">
        <v>273</v>
      </c>
      <c r="G184" s="470" t="s">
        <v>273</v>
      </c>
      <c r="H184" s="470" t="s">
        <v>273</v>
      </c>
      <c r="I184" s="470">
        <v>-1</v>
      </c>
      <c r="J184" s="470">
        <v>-2</v>
      </c>
      <c r="K184" s="470">
        <v>-4</v>
      </c>
      <c r="L184" s="470">
        <v>-7</v>
      </c>
      <c r="M184" s="470">
        <v>-6</v>
      </c>
      <c r="N184" s="470">
        <v>-3</v>
      </c>
      <c r="O184" s="470">
        <v>-2</v>
      </c>
      <c r="P184" s="470">
        <v>-2</v>
      </c>
      <c r="Q184" s="470">
        <v>-2</v>
      </c>
      <c r="R184" s="470">
        <v>-2</v>
      </c>
      <c r="S184" s="470" t="s">
        <v>306</v>
      </c>
      <c r="T184" s="470" t="s">
        <v>306</v>
      </c>
      <c r="U184" s="470" t="s">
        <v>306</v>
      </c>
      <c r="V184" s="470" t="s">
        <v>306</v>
      </c>
      <c r="W184" s="470" t="s">
        <v>306</v>
      </c>
      <c r="X184" s="470" t="s">
        <v>306</v>
      </c>
      <c r="Y184" s="470" t="s">
        <v>306</v>
      </c>
      <c r="Z184" s="470" t="s">
        <v>306</v>
      </c>
      <c r="AA184" s="470" t="s">
        <v>291</v>
      </c>
      <c r="AB184" s="470" t="s">
        <v>306</v>
      </c>
      <c r="AC184" s="470">
        <v>-3</v>
      </c>
      <c r="AD184" s="470">
        <v>-4</v>
      </c>
      <c r="AE184" s="470" t="s">
        <v>291</v>
      </c>
      <c r="AF184" s="470">
        <v>-1</v>
      </c>
      <c r="AG184" s="470">
        <v>-3</v>
      </c>
      <c r="AH184" s="470" t="s">
        <v>306</v>
      </c>
      <c r="AI184" s="470" t="s">
        <v>306</v>
      </c>
      <c r="AJ184" s="470" t="s">
        <v>306</v>
      </c>
      <c r="AK184" s="470">
        <v>1</v>
      </c>
      <c r="AL184" s="470">
        <v>1</v>
      </c>
    </row>
    <row r="185" spans="1:38">
      <c r="A185" s="470" t="s">
        <v>338</v>
      </c>
      <c r="B185" s="470" t="s">
        <v>273</v>
      </c>
      <c r="C185" s="470" t="s">
        <v>273</v>
      </c>
      <c r="D185" s="470" t="s">
        <v>273</v>
      </c>
      <c r="E185" s="470" t="s">
        <v>273</v>
      </c>
      <c r="F185" s="470" t="s">
        <v>273</v>
      </c>
      <c r="G185" s="470" t="s">
        <v>273</v>
      </c>
      <c r="H185" s="470" t="s">
        <v>273</v>
      </c>
      <c r="I185" s="470">
        <v>-24</v>
      </c>
      <c r="J185" s="470">
        <v>-28</v>
      </c>
      <c r="K185" s="470">
        <v>38</v>
      </c>
      <c r="L185" s="470">
        <v>-14</v>
      </c>
      <c r="M185" s="470">
        <v>67</v>
      </c>
      <c r="N185" s="470" t="s">
        <v>291</v>
      </c>
      <c r="O185" s="470">
        <v>61</v>
      </c>
      <c r="P185" s="470">
        <v>19</v>
      </c>
      <c r="Q185" s="470">
        <v>-39</v>
      </c>
      <c r="R185" s="470" t="s">
        <v>291</v>
      </c>
      <c r="S185" s="470" t="s">
        <v>291</v>
      </c>
      <c r="T185" s="470">
        <v>-33</v>
      </c>
      <c r="U185" s="470" t="s">
        <v>291</v>
      </c>
      <c r="V185" s="470" t="s">
        <v>291</v>
      </c>
      <c r="W185" s="470" t="s">
        <v>291</v>
      </c>
      <c r="X185" s="470" t="s">
        <v>291</v>
      </c>
      <c r="Y185" s="470" t="s">
        <v>291</v>
      </c>
      <c r="Z185" s="470" t="s">
        <v>291</v>
      </c>
      <c r="AA185" s="470" t="s">
        <v>291</v>
      </c>
      <c r="AB185" s="470" t="s">
        <v>291</v>
      </c>
      <c r="AC185" s="470" t="s">
        <v>291</v>
      </c>
      <c r="AD185" s="470" t="s">
        <v>291</v>
      </c>
      <c r="AE185" s="470">
        <v>-136</v>
      </c>
      <c r="AF185" s="470" t="s">
        <v>291</v>
      </c>
      <c r="AG185" s="470" t="s">
        <v>291</v>
      </c>
      <c r="AH185" s="470">
        <v>88</v>
      </c>
      <c r="AI185" s="470">
        <v>90</v>
      </c>
      <c r="AJ185" s="470" t="s">
        <v>291</v>
      </c>
      <c r="AK185" s="470" t="s">
        <v>291</v>
      </c>
      <c r="AL185" s="470" t="s">
        <v>291</v>
      </c>
    </row>
    <row r="186" spans="1:38">
      <c r="A186" s="470" t="s">
        <v>337</v>
      </c>
      <c r="B186" s="470" t="s">
        <v>273</v>
      </c>
      <c r="C186" s="470" t="s">
        <v>273</v>
      </c>
      <c r="D186" s="470" t="s">
        <v>273</v>
      </c>
      <c r="E186" s="470" t="s">
        <v>273</v>
      </c>
      <c r="F186" s="470" t="s">
        <v>273</v>
      </c>
      <c r="G186" s="470" t="s">
        <v>273</v>
      </c>
      <c r="H186" s="470" t="s">
        <v>273</v>
      </c>
      <c r="I186" s="470" t="s">
        <v>291</v>
      </c>
      <c r="J186" s="470">
        <v>-18</v>
      </c>
      <c r="K186" s="470">
        <v>-22</v>
      </c>
      <c r="L186" s="470">
        <v>-26</v>
      </c>
      <c r="M186" s="470">
        <v>-26</v>
      </c>
      <c r="N186" s="470">
        <v>-20</v>
      </c>
      <c r="O186" s="470">
        <v>-13</v>
      </c>
      <c r="P186" s="470">
        <v>-6</v>
      </c>
      <c r="Q186" s="470">
        <v>-8</v>
      </c>
      <c r="R186" s="470" t="s">
        <v>291</v>
      </c>
      <c r="S186" s="470">
        <v>-8</v>
      </c>
      <c r="T186" s="470">
        <v>-10</v>
      </c>
      <c r="U186" s="470">
        <v>-5</v>
      </c>
      <c r="V186" s="470">
        <v>2</v>
      </c>
      <c r="W186" s="470">
        <v>3</v>
      </c>
      <c r="X186" s="470">
        <v>10</v>
      </c>
      <c r="Y186" s="470">
        <v>3</v>
      </c>
      <c r="Z186" s="470">
        <v>1</v>
      </c>
      <c r="AA186" s="470" t="s">
        <v>291</v>
      </c>
      <c r="AB186" s="470">
        <v>-60</v>
      </c>
      <c r="AC186" s="470">
        <v>-135</v>
      </c>
      <c r="AD186" s="470">
        <v>171</v>
      </c>
      <c r="AE186" s="470">
        <v>138</v>
      </c>
      <c r="AF186" s="470">
        <v>58</v>
      </c>
      <c r="AG186" s="470">
        <v>3</v>
      </c>
      <c r="AH186" s="470">
        <v>32</v>
      </c>
      <c r="AI186" s="470">
        <v>117</v>
      </c>
      <c r="AJ186" s="470">
        <v>166</v>
      </c>
      <c r="AK186" s="470">
        <v>197</v>
      </c>
      <c r="AL186" s="470">
        <v>236</v>
      </c>
    </row>
    <row r="187" spans="1:38">
      <c r="A187" s="470" t="s">
        <v>236</v>
      </c>
      <c r="B187" s="470">
        <v>22</v>
      </c>
      <c r="C187" s="470">
        <v>24</v>
      </c>
      <c r="D187" s="470">
        <v>144</v>
      </c>
      <c r="E187" s="470">
        <v>-60</v>
      </c>
      <c r="F187" s="470">
        <v>-65</v>
      </c>
      <c r="G187" s="470">
        <v>43</v>
      </c>
      <c r="H187" s="470">
        <v>-174</v>
      </c>
      <c r="I187" s="470" t="s">
        <v>291</v>
      </c>
      <c r="J187" s="470">
        <v>-52</v>
      </c>
      <c r="K187" s="470">
        <v>11</v>
      </c>
      <c r="L187" s="470">
        <v>-14</v>
      </c>
      <c r="M187" s="470">
        <v>-28</v>
      </c>
      <c r="N187" s="470" t="s">
        <v>291</v>
      </c>
      <c r="O187" s="470">
        <v>-4</v>
      </c>
      <c r="P187" s="470">
        <v>-10</v>
      </c>
      <c r="Q187" s="470">
        <v>-8</v>
      </c>
      <c r="R187" s="470">
        <v>4</v>
      </c>
      <c r="S187" s="470" t="s">
        <v>291</v>
      </c>
      <c r="T187" s="470">
        <v>21</v>
      </c>
      <c r="U187" s="470">
        <v>34</v>
      </c>
      <c r="V187" s="470">
        <v>8</v>
      </c>
      <c r="W187" s="470" t="s">
        <v>291</v>
      </c>
      <c r="X187" s="470" t="s">
        <v>291</v>
      </c>
      <c r="Y187" s="470">
        <v>17</v>
      </c>
      <c r="Z187" s="470">
        <v>24</v>
      </c>
      <c r="AA187" s="470" t="s">
        <v>291</v>
      </c>
      <c r="AB187" s="470">
        <v>-76</v>
      </c>
      <c r="AC187" s="470">
        <v>-77</v>
      </c>
      <c r="AD187" s="470" t="s">
        <v>291</v>
      </c>
      <c r="AE187" s="470" t="s">
        <v>291</v>
      </c>
      <c r="AF187" s="470" t="s">
        <v>291</v>
      </c>
      <c r="AG187" s="470" t="s">
        <v>291</v>
      </c>
      <c r="AH187" s="470">
        <v>-85</v>
      </c>
      <c r="AI187" s="470" t="s">
        <v>291</v>
      </c>
      <c r="AJ187" s="470" t="s">
        <v>291</v>
      </c>
      <c r="AK187" s="470" t="s">
        <v>291</v>
      </c>
      <c r="AL187" s="470" t="s">
        <v>291</v>
      </c>
    </row>
    <row r="188" spans="1:38">
      <c r="A188" s="470" t="s">
        <v>336</v>
      </c>
      <c r="B188" s="470">
        <v>-1</v>
      </c>
      <c r="C188" s="470">
        <v>-1</v>
      </c>
      <c r="D188" s="470">
        <v>-4</v>
      </c>
      <c r="E188" s="470">
        <v>-1</v>
      </c>
      <c r="F188" s="470">
        <v>-2</v>
      </c>
      <c r="G188" s="470">
        <v>-2</v>
      </c>
      <c r="H188" s="470">
        <v>-3</v>
      </c>
      <c r="I188" s="470">
        <v>-3</v>
      </c>
      <c r="J188" s="470">
        <v>-1</v>
      </c>
      <c r="K188" s="470">
        <v>3</v>
      </c>
      <c r="L188" s="470">
        <v>-9</v>
      </c>
      <c r="M188" s="470">
        <v>-5</v>
      </c>
      <c r="N188" s="470" t="s">
        <v>291</v>
      </c>
      <c r="O188" s="470">
        <v>-5</v>
      </c>
      <c r="P188" s="470">
        <v>-6</v>
      </c>
      <c r="Q188" s="470">
        <v>-16</v>
      </c>
      <c r="R188" s="470">
        <v>-2</v>
      </c>
      <c r="S188" s="470">
        <v>4</v>
      </c>
      <c r="T188" s="470">
        <v>13</v>
      </c>
      <c r="U188" s="470" t="s">
        <v>291</v>
      </c>
      <c r="V188" s="470">
        <v>3</v>
      </c>
      <c r="W188" s="470">
        <v>1</v>
      </c>
      <c r="X188" s="470" t="s">
        <v>291</v>
      </c>
      <c r="Y188" s="470">
        <v>2</v>
      </c>
      <c r="Z188" s="470" t="s">
        <v>291</v>
      </c>
      <c r="AA188" s="470">
        <v>-39</v>
      </c>
      <c r="AB188" s="470">
        <v>-72</v>
      </c>
      <c r="AC188" s="470">
        <v>-55</v>
      </c>
      <c r="AD188" s="470">
        <v>-40</v>
      </c>
      <c r="AE188" s="470">
        <v>-28</v>
      </c>
      <c r="AF188" s="470" t="s">
        <v>291</v>
      </c>
      <c r="AG188" s="470">
        <v>-20</v>
      </c>
      <c r="AH188" s="470">
        <v>-51</v>
      </c>
      <c r="AI188" s="470">
        <v>-33</v>
      </c>
      <c r="AJ188" s="470">
        <v>4</v>
      </c>
      <c r="AK188" s="470">
        <v>18</v>
      </c>
      <c r="AL188" s="470">
        <v>19</v>
      </c>
    </row>
    <row r="189" spans="1:38">
      <c r="A189" s="470" t="s">
        <v>335</v>
      </c>
      <c r="B189" s="470" t="s">
        <v>306</v>
      </c>
      <c r="C189" s="470">
        <v>4</v>
      </c>
      <c r="D189" s="470" t="s">
        <v>306</v>
      </c>
      <c r="E189" s="470">
        <v>1</v>
      </c>
      <c r="F189" s="470" t="s">
        <v>306</v>
      </c>
      <c r="G189" s="470">
        <v>-1</v>
      </c>
      <c r="H189" s="470">
        <v>-2</v>
      </c>
      <c r="I189" s="470" t="s">
        <v>291</v>
      </c>
      <c r="J189" s="470" t="s">
        <v>306</v>
      </c>
      <c r="K189" s="470" t="s">
        <v>306</v>
      </c>
      <c r="L189" s="470" t="s">
        <v>306</v>
      </c>
      <c r="M189" s="470">
        <v>1</v>
      </c>
      <c r="N189" s="470">
        <v>-2</v>
      </c>
      <c r="O189" s="470">
        <v>1</v>
      </c>
      <c r="P189" s="470" t="s">
        <v>306</v>
      </c>
      <c r="Q189" s="470">
        <v>1</v>
      </c>
      <c r="R189" s="470" t="s">
        <v>306</v>
      </c>
      <c r="S189" s="470" t="s">
        <v>306</v>
      </c>
      <c r="T189" s="470" t="s">
        <v>306</v>
      </c>
      <c r="U189" s="470" t="s">
        <v>306</v>
      </c>
      <c r="V189" s="470" t="s">
        <v>306</v>
      </c>
      <c r="W189" s="470" t="s">
        <v>306</v>
      </c>
      <c r="X189" s="470" t="s">
        <v>306</v>
      </c>
      <c r="Y189" s="470" t="s">
        <v>306</v>
      </c>
      <c r="Z189" s="470" t="s">
        <v>306</v>
      </c>
      <c r="AA189" s="470" t="s">
        <v>306</v>
      </c>
      <c r="AB189" s="470" t="s">
        <v>306</v>
      </c>
      <c r="AC189" s="470" t="s">
        <v>306</v>
      </c>
      <c r="AD189" s="470" t="s">
        <v>306</v>
      </c>
      <c r="AE189" s="470" t="s">
        <v>306</v>
      </c>
      <c r="AF189" s="470" t="s">
        <v>306</v>
      </c>
      <c r="AG189" s="470" t="s">
        <v>306</v>
      </c>
      <c r="AH189" s="470">
        <v>0</v>
      </c>
      <c r="AI189" s="470" t="s">
        <v>306</v>
      </c>
      <c r="AJ189" s="470" t="s">
        <v>306</v>
      </c>
      <c r="AK189" s="470" t="s">
        <v>306</v>
      </c>
      <c r="AL189" s="470" t="s">
        <v>306</v>
      </c>
    </row>
    <row r="190" spans="1:38">
      <c r="A190" s="470" t="s">
        <v>334</v>
      </c>
      <c r="B190" s="470" t="s">
        <v>306</v>
      </c>
      <c r="C190" s="470" t="s">
        <v>306</v>
      </c>
      <c r="D190" s="470" t="s">
        <v>306</v>
      </c>
      <c r="E190" s="470" t="s">
        <v>306</v>
      </c>
      <c r="F190" s="470" t="s">
        <v>306</v>
      </c>
      <c r="G190" s="470" t="s">
        <v>306</v>
      </c>
      <c r="H190" s="470" t="s">
        <v>306</v>
      </c>
      <c r="I190" s="470">
        <v>0</v>
      </c>
      <c r="J190" s="470">
        <v>0</v>
      </c>
      <c r="K190" s="470">
        <v>0</v>
      </c>
      <c r="L190" s="470">
        <v>0</v>
      </c>
      <c r="M190" s="470">
        <v>0</v>
      </c>
      <c r="N190" s="470">
        <v>0</v>
      </c>
      <c r="O190" s="470">
        <v>0</v>
      </c>
      <c r="P190" s="470">
        <v>0</v>
      </c>
      <c r="Q190" s="470">
        <v>0</v>
      </c>
      <c r="R190" s="470">
        <v>0</v>
      </c>
      <c r="S190" s="470">
        <v>0</v>
      </c>
      <c r="T190" s="470">
        <v>0</v>
      </c>
      <c r="U190" s="470">
        <v>0</v>
      </c>
      <c r="V190" s="470">
        <v>0</v>
      </c>
      <c r="W190" s="470">
        <v>0</v>
      </c>
      <c r="X190" s="470">
        <v>0</v>
      </c>
      <c r="Y190" s="470">
        <v>0</v>
      </c>
      <c r="Z190" s="470">
        <v>0</v>
      </c>
      <c r="AA190" s="470">
        <v>0</v>
      </c>
      <c r="AB190" s="470">
        <v>0</v>
      </c>
      <c r="AC190" s="470">
        <v>0</v>
      </c>
      <c r="AD190" s="470">
        <v>0</v>
      </c>
      <c r="AE190" s="470">
        <v>0</v>
      </c>
      <c r="AF190" s="470">
        <v>0</v>
      </c>
      <c r="AG190" s="470">
        <v>0</v>
      </c>
      <c r="AH190" s="470">
        <v>0</v>
      </c>
      <c r="AI190" s="470">
        <v>0</v>
      </c>
      <c r="AJ190" s="470">
        <v>0</v>
      </c>
      <c r="AK190" s="470">
        <v>0</v>
      </c>
      <c r="AL190" s="470">
        <v>0</v>
      </c>
    </row>
    <row r="191" spans="1:38">
      <c r="A191" s="470" t="s">
        <v>333</v>
      </c>
      <c r="B191" s="470">
        <v>0</v>
      </c>
      <c r="C191" s="470">
        <v>0</v>
      </c>
      <c r="D191" s="470">
        <v>0</v>
      </c>
      <c r="E191" s="470">
        <v>0</v>
      </c>
      <c r="F191" s="470">
        <v>0</v>
      </c>
      <c r="G191" s="470">
        <v>0</v>
      </c>
      <c r="H191" s="470">
        <v>0</v>
      </c>
      <c r="I191" s="470">
        <v>0</v>
      </c>
      <c r="J191" s="470">
        <v>0</v>
      </c>
      <c r="K191" s="470">
        <v>0</v>
      </c>
      <c r="L191" s="470">
        <v>0</v>
      </c>
      <c r="M191" s="470">
        <v>0</v>
      </c>
      <c r="N191" s="470" t="s">
        <v>273</v>
      </c>
      <c r="O191" s="470" t="s">
        <v>273</v>
      </c>
      <c r="P191" s="470" t="s">
        <v>517</v>
      </c>
      <c r="Q191" s="470" t="s">
        <v>517</v>
      </c>
      <c r="R191" s="470" t="s">
        <v>517</v>
      </c>
      <c r="S191" s="470" t="s">
        <v>273</v>
      </c>
      <c r="T191" s="470" t="s">
        <v>273</v>
      </c>
      <c r="U191" s="470" t="s">
        <v>273</v>
      </c>
      <c r="V191" s="470" t="s">
        <v>273</v>
      </c>
      <c r="W191" s="470" t="s">
        <v>273</v>
      </c>
      <c r="X191" s="470" t="s">
        <v>273</v>
      </c>
      <c r="Y191" s="470" t="s">
        <v>273</v>
      </c>
      <c r="Z191" s="470" t="s">
        <v>273</v>
      </c>
      <c r="AA191" s="470" t="s">
        <v>273</v>
      </c>
      <c r="AB191" s="470" t="s">
        <v>273</v>
      </c>
      <c r="AC191" s="470" t="s">
        <v>273</v>
      </c>
      <c r="AD191" s="470" t="s">
        <v>273</v>
      </c>
      <c r="AE191" s="470" t="s">
        <v>273</v>
      </c>
      <c r="AF191" s="470" t="s">
        <v>273</v>
      </c>
      <c r="AG191" s="470" t="s">
        <v>273</v>
      </c>
      <c r="AH191" s="470" t="s">
        <v>273</v>
      </c>
      <c r="AI191" s="470" t="s">
        <v>273</v>
      </c>
      <c r="AJ191" s="470" t="s">
        <v>273</v>
      </c>
      <c r="AK191" s="470" t="s">
        <v>273</v>
      </c>
      <c r="AL191" s="470" t="s">
        <v>273</v>
      </c>
    </row>
    <row r="192" spans="1:38">
      <c r="A192" s="470" t="s">
        <v>332</v>
      </c>
      <c r="B192" s="470">
        <v>0</v>
      </c>
      <c r="C192" s="470">
        <v>0</v>
      </c>
      <c r="D192" s="470">
        <v>0</v>
      </c>
      <c r="E192" s="470">
        <v>-4</v>
      </c>
      <c r="F192" s="470">
        <v>-6</v>
      </c>
      <c r="G192" s="470">
        <v>2</v>
      </c>
      <c r="H192" s="470">
        <v>3</v>
      </c>
      <c r="I192" s="470" t="s">
        <v>291</v>
      </c>
      <c r="J192" s="470" t="s">
        <v>291</v>
      </c>
      <c r="K192" s="470">
        <v>7</v>
      </c>
      <c r="L192" s="470">
        <v>-5</v>
      </c>
      <c r="M192" s="470">
        <v>-23</v>
      </c>
      <c r="N192" s="470">
        <v>-3</v>
      </c>
      <c r="O192" s="470">
        <v>2</v>
      </c>
      <c r="P192" s="470">
        <v>-5</v>
      </c>
      <c r="Q192" s="470">
        <v>6</v>
      </c>
      <c r="R192" s="470">
        <v>4</v>
      </c>
      <c r="S192" s="470" t="s">
        <v>291</v>
      </c>
      <c r="T192" s="470">
        <v>6</v>
      </c>
      <c r="U192" s="470">
        <v>4</v>
      </c>
      <c r="V192" s="470">
        <v>3</v>
      </c>
      <c r="W192" s="470" t="s">
        <v>291</v>
      </c>
      <c r="X192" s="470" t="s">
        <v>291</v>
      </c>
      <c r="Y192" s="470" t="s">
        <v>291</v>
      </c>
      <c r="Z192" s="470" t="s">
        <v>291</v>
      </c>
      <c r="AA192" s="470" t="s">
        <v>291</v>
      </c>
      <c r="AB192" s="470">
        <v>-8</v>
      </c>
      <c r="AC192" s="470">
        <v>-4</v>
      </c>
      <c r="AD192" s="470">
        <v>-3</v>
      </c>
      <c r="AE192" s="470">
        <v>-2</v>
      </c>
      <c r="AF192" s="470">
        <v>-5</v>
      </c>
      <c r="AG192" s="470" t="s">
        <v>291</v>
      </c>
      <c r="AH192" s="470" t="s">
        <v>291</v>
      </c>
      <c r="AI192" s="470">
        <v>-5</v>
      </c>
      <c r="AJ192" s="470">
        <v>-4</v>
      </c>
      <c r="AK192" s="470">
        <v>-4</v>
      </c>
      <c r="AL192" s="470">
        <v>-4</v>
      </c>
    </row>
    <row r="193" spans="1:38">
      <c r="A193" s="470" t="s">
        <v>331</v>
      </c>
      <c r="B193" s="470">
        <v>19</v>
      </c>
      <c r="C193" s="470">
        <v>15</v>
      </c>
      <c r="D193" s="470">
        <v>143</v>
      </c>
      <c r="E193" s="470">
        <v>-50</v>
      </c>
      <c r="F193" s="470">
        <v>-59</v>
      </c>
      <c r="G193" s="470">
        <v>49</v>
      </c>
      <c r="H193" s="470">
        <v>-172</v>
      </c>
      <c r="I193" s="470" t="s">
        <v>273</v>
      </c>
      <c r="J193" s="470" t="s">
        <v>273</v>
      </c>
      <c r="K193" s="470" t="s">
        <v>273</v>
      </c>
      <c r="L193" s="470" t="s">
        <v>273</v>
      </c>
      <c r="M193" s="470" t="s">
        <v>273</v>
      </c>
      <c r="N193" s="470" t="s">
        <v>273</v>
      </c>
      <c r="O193" s="470" t="s">
        <v>273</v>
      </c>
      <c r="P193" s="470" t="s">
        <v>273</v>
      </c>
      <c r="Q193" s="470" t="s">
        <v>273</v>
      </c>
      <c r="R193" s="470" t="s">
        <v>273</v>
      </c>
      <c r="S193" s="470" t="s">
        <v>273</v>
      </c>
      <c r="T193" s="470" t="s">
        <v>273</v>
      </c>
      <c r="U193" s="470" t="s">
        <v>273</v>
      </c>
      <c r="V193" s="470" t="s">
        <v>273</v>
      </c>
      <c r="W193" s="470" t="s">
        <v>273</v>
      </c>
      <c r="X193" s="470" t="s">
        <v>273</v>
      </c>
      <c r="Y193" s="470" t="s">
        <v>273</v>
      </c>
      <c r="Z193" s="470" t="s">
        <v>273</v>
      </c>
      <c r="AA193" s="470" t="s">
        <v>273</v>
      </c>
      <c r="AB193" s="470" t="s">
        <v>273</v>
      </c>
      <c r="AC193" s="470" t="s">
        <v>273</v>
      </c>
      <c r="AD193" s="470" t="s">
        <v>273</v>
      </c>
      <c r="AE193" s="470" t="s">
        <v>273</v>
      </c>
      <c r="AF193" s="470" t="s">
        <v>273</v>
      </c>
      <c r="AG193" s="470" t="s">
        <v>273</v>
      </c>
      <c r="AH193" s="470" t="s">
        <v>273</v>
      </c>
      <c r="AI193" s="470" t="s">
        <v>273</v>
      </c>
      <c r="AJ193" s="470" t="s">
        <v>273</v>
      </c>
      <c r="AK193" s="470" t="s">
        <v>273</v>
      </c>
      <c r="AL193" s="470" t="s">
        <v>273</v>
      </c>
    </row>
    <row r="194" spans="1:38">
      <c r="A194" s="470" t="s">
        <v>330</v>
      </c>
      <c r="B194" s="470" t="s">
        <v>306</v>
      </c>
      <c r="C194" s="470" t="s">
        <v>306</v>
      </c>
      <c r="D194" s="470" t="s">
        <v>306</v>
      </c>
      <c r="E194" s="470">
        <v>-8</v>
      </c>
      <c r="F194" s="470">
        <v>7</v>
      </c>
      <c r="G194" s="470">
        <v>5</v>
      </c>
      <c r="H194" s="470">
        <v>8</v>
      </c>
      <c r="I194" s="470" t="s">
        <v>273</v>
      </c>
      <c r="J194" s="470" t="s">
        <v>273</v>
      </c>
      <c r="K194" s="470" t="s">
        <v>273</v>
      </c>
      <c r="L194" s="470" t="s">
        <v>273</v>
      </c>
      <c r="M194" s="470" t="s">
        <v>273</v>
      </c>
      <c r="N194" s="470" t="s">
        <v>273</v>
      </c>
      <c r="O194" s="470" t="s">
        <v>273</v>
      </c>
      <c r="P194" s="470" t="s">
        <v>273</v>
      </c>
      <c r="Q194" s="470" t="s">
        <v>273</v>
      </c>
      <c r="R194" s="470" t="s">
        <v>273</v>
      </c>
      <c r="S194" s="470" t="s">
        <v>273</v>
      </c>
      <c r="T194" s="470" t="s">
        <v>273</v>
      </c>
      <c r="U194" s="470" t="s">
        <v>273</v>
      </c>
      <c r="V194" s="470" t="s">
        <v>273</v>
      </c>
      <c r="W194" s="470" t="s">
        <v>273</v>
      </c>
      <c r="X194" s="470" t="s">
        <v>273</v>
      </c>
      <c r="Y194" s="470" t="s">
        <v>273</v>
      </c>
      <c r="Z194" s="470" t="s">
        <v>273</v>
      </c>
      <c r="AA194" s="470" t="s">
        <v>273</v>
      </c>
      <c r="AB194" s="470" t="s">
        <v>273</v>
      </c>
      <c r="AC194" s="470" t="s">
        <v>273</v>
      </c>
      <c r="AD194" s="470" t="s">
        <v>273</v>
      </c>
      <c r="AE194" s="470" t="s">
        <v>273</v>
      </c>
      <c r="AF194" s="470" t="s">
        <v>273</v>
      </c>
      <c r="AG194" s="470" t="s">
        <v>273</v>
      </c>
      <c r="AH194" s="470" t="s">
        <v>273</v>
      </c>
      <c r="AI194" s="470" t="s">
        <v>273</v>
      </c>
      <c r="AJ194" s="470" t="s">
        <v>273</v>
      </c>
      <c r="AK194" s="470" t="s">
        <v>273</v>
      </c>
      <c r="AL194" s="470" t="s">
        <v>273</v>
      </c>
    </row>
    <row r="195" spans="1:38">
      <c r="A195" s="470" t="s">
        <v>329</v>
      </c>
      <c r="B195" s="470">
        <v>0</v>
      </c>
      <c r="C195" s="470">
        <v>0</v>
      </c>
      <c r="D195" s="470">
        <v>0</v>
      </c>
      <c r="E195" s="470">
        <v>0</v>
      </c>
      <c r="F195" s="470">
        <v>0</v>
      </c>
      <c r="G195" s="470">
        <v>0</v>
      </c>
      <c r="H195" s="470">
        <v>0</v>
      </c>
      <c r="I195" s="470" t="s">
        <v>291</v>
      </c>
      <c r="J195" s="470" t="s">
        <v>291</v>
      </c>
      <c r="K195" s="470">
        <v>-1</v>
      </c>
      <c r="L195" s="470">
        <v>-1</v>
      </c>
      <c r="M195" s="470">
        <v>-1</v>
      </c>
      <c r="N195" s="470">
        <v>-3</v>
      </c>
      <c r="O195" s="470">
        <v>-2</v>
      </c>
      <c r="P195" s="470">
        <v>1</v>
      </c>
      <c r="Q195" s="470">
        <v>1</v>
      </c>
      <c r="R195" s="470">
        <v>1</v>
      </c>
      <c r="S195" s="470" t="s">
        <v>306</v>
      </c>
      <c r="T195" s="470" t="s">
        <v>306</v>
      </c>
      <c r="U195" s="470">
        <v>-1</v>
      </c>
      <c r="V195" s="470" t="s">
        <v>306</v>
      </c>
      <c r="W195" s="470" t="s">
        <v>306</v>
      </c>
      <c r="X195" s="470" t="s">
        <v>306</v>
      </c>
      <c r="Y195" s="470" t="s">
        <v>306</v>
      </c>
      <c r="Z195" s="470" t="s">
        <v>306</v>
      </c>
      <c r="AA195" s="470" t="s">
        <v>306</v>
      </c>
      <c r="AB195" s="470" t="s">
        <v>306</v>
      </c>
      <c r="AC195" s="470" t="s">
        <v>306</v>
      </c>
      <c r="AD195" s="470" t="s">
        <v>306</v>
      </c>
      <c r="AE195" s="470" t="s">
        <v>306</v>
      </c>
      <c r="AF195" s="470" t="s">
        <v>306</v>
      </c>
      <c r="AG195" s="470" t="s">
        <v>306</v>
      </c>
      <c r="AH195" s="470" t="s">
        <v>306</v>
      </c>
      <c r="AI195" s="470" t="s">
        <v>306</v>
      </c>
      <c r="AJ195" s="470" t="s">
        <v>306</v>
      </c>
      <c r="AK195" s="470" t="s">
        <v>306</v>
      </c>
      <c r="AL195" s="470" t="s">
        <v>306</v>
      </c>
    </row>
    <row r="196" spans="1:38">
      <c r="A196" s="470" t="s">
        <v>328</v>
      </c>
      <c r="B196" s="470">
        <v>0</v>
      </c>
      <c r="C196" s="470">
        <v>0</v>
      </c>
      <c r="D196" s="470">
        <v>0</v>
      </c>
      <c r="E196" s="470" t="s">
        <v>306</v>
      </c>
      <c r="F196" s="470">
        <v>1</v>
      </c>
      <c r="G196" s="470" t="s">
        <v>306</v>
      </c>
      <c r="H196" s="470" t="s">
        <v>306</v>
      </c>
      <c r="I196" s="470" t="s">
        <v>306</v>
      </c>
      <c r="J196" s="470">
        <v>1</v>
      </c>
      <c r="K196" s="470">
        <v>1</v>
      </c>
      <c r="L196" s="470">
        <v>1</v>
      </c>
      <c r="M196" s="470">
        <v>1</v>
      </c>
      <c r="N196" s="470" t="s">
        <v>306</v>
      </c>
      <c r="O196" s="470" t="s">
        <v>306</v>
      </c>
      <c r="P196" s="470" t="s">
        <v>306</v>
      </c>
      <c r="Q196" s="470" t="s">
        <v>306</v>
      </c>
      <c r="R196" s="470" t="s">
        <v>306</v>
      </c>
      <c r="S196" s="470" t="s">
        <v>306</v>
      </c>
      <c r="T196" s="470">
        <v>2</v>
      </c>
      <c r="U196" s="470">
        <v>2</v>
      </c>
      <c r="V196" s="470">
        <v>3</v>
      </c>
      <c r="W196" s="470">
        <v>1</v>
      </c>
      <c r="X196" s="470" t="s">
        <v>291</v>
      </c>
      <c r="Y196" s="470" t="s">
        <v>291</v>
      </c>
      <c r="Z196" s="470">
        <v>2</v>
      </c>
      <c r="AA196" s="470">
        <v>4</v>
      </c>
      <c r="AB196" s="470">
        <v>3</v>
      </c>
      <c r="AC196" s="470">
        <v>-18</v>
      </c>
      <c r="AD196" s="470" t="s">
        <v>291</v>
      </c>
      <c r="AE196" s="470" t="s">
        <v>291</v>
      </c>
      <c r="AF196" s="470" t="s">
        <v>291</v>
      </c>
      <c r="AG196" s="470" t="s">
        <v>291</v>
      </c>
      <c r="AH196" s="470" t="s">
        <v>291</v>
      </c>
      <c r="AI196" s="470" t="s">
        <v>291</v>
      </c>
      <c r="AJ196" s="470" t="s">
        <v>291</v>
      </c>
      <c r="AK196" s="470" t="s">
        <v>291</v>
      </c>
      <c r="AL196" s="470" t="s">
        <v>291</v>
      </c>
    </row>
    <row r="197" spans="1:38">
      <c r="A197" s="470" t="s">
        <v>1411</v>
      </c>
      <c r="B197" s="470">
        <v>6</v>
      </c>
      <c r="C197" s="470">
        <v>11</v>
      </c>
      <c r="D197" s="470">
        <v>10</v>
      </c>
      <c r="E197" s="470">
        <v>7</v>
      </c>
      <c r="F197" s="470">
        <v>-1</v>
      </c>
      <c r="G197" s="470">
        <v>-6</v>
      </c>
      <c r="H197" s="470">
        <v>7</v>
      </c>
      <c r="I197" s="470" t="s">
        <v>273</v>
      </c>
      <c r="J197" s="470" t="s">
        <v>273</v>
      </c>
      <c r="K197" s="470" t="s">
        <v>273</v>
      </c>
      <c r="L197" s="470" t="s">
        <v>273</v>
      </c>
      <c r="M197" s="470" t="s">
        <v>273</v>
      </c>
      <c r="N197" s="470" t="s">
        <v>273</v>
      </c>
      <c r="O197" s="470" t="s">
        <v>273</v>
      </c>
      <c r="P197" s="470" t="s">
        <v>273</v>
      </c>
      <c r="Q197" s="470" t="s">
        <v>273</v>
      </c>
      <c r="R197" s="470" t="s">
        <v>273</v>
      </c>
      <c r="S197" s="470" t="s">
        <v>273</v>
      </c>
      <c r="T197" s="470" t="s">
        <v>273</v>
      </c>
      <c r="U197" s="470" t="s">
        <v>273</v>
      </c>
      <c r="V197" s="470" t="s">
        <v>273</v>
      </c>
      <c r="W197" s="470" t="s">
        <v>273</v>
      </c>
      <c r="X197" s="470" t="s">
        <v>273</v>
      </c>
      <c r="Y197" s="470" t="s">
        <v>273</v>
      </c>
      <c r="Z197" s="470" t="s">
        <v>273</v>
      </c>
      <c r="AA197" s="470" t="s">
        <v>273</v>
      </c>
      <c r="AB197" s="470" t="s">
        <v>273</v>
      </c>
      <c r="AC197" s="470" t="s">
        <v>273</v>
      </c>
      <c r="AD197" s="470" t="s">
        <v>273</v>
      </c>
      <c r="AE197" s="470" t="s">
        <v>273</v>
      </c>
      <c r="AF197" s="470" t="s">
        <v>273</v>
      </c>
      <c r="AG197" s="470" t="s">
        <v>273</v>
      </c>
      <c r="AH197" s="470" t="s">
        <v>273</v>
      </c>
      <c r="AI197" s="470" t="s">
        <v>273</v>
      </c>
      <c r="AJ197" s="470" t="s">
        <v>273</v>
      </c>
      <c r="AK197" s="470" t="s">
        <v>273</v>
      </c>
      <c r="AL197" s="470" t="s">
        <v>273</v>
      </c>
    </row>
    <row r="198" spans="1:38">
      <c r="A198" s="470" t="s">
        <v>327</v>
      </c>
      <c r="B198" s="470" t="s">
        <v>273</v>
      </c>
      <c r="C198" s="470" t="s">
        <v>273</v>
      </c>
      <c r="D198" s="470" t="s">
        <v>273</v>
      </c>
      <c r="E198" s="470" t="s">
        <v>273</v>
      </c>
      <c r="F198" s="470" t="s">
        <v>273</v>
      </c>
      <c r="G198" s="470" t="s">
        <v>273</v>
      </c>
      <c r="H198" s="470" t="s">
        <v>273</v>
      </c>
      <c r="I198" s="470">
        <v>0</v>
      </c>
      <c r="J198" s="470">
        <v>0</v>
      </c>
      <c r="K198" s="470">
        <v>0</v>
      </c>
      <c r="L198" s="470">
        <v>0</v>
      </c>
      <c r="M198" s="470">
        <v>0</v>
      </c>
      <c r="N198" s="470" t="s">
        <v>306</v>
      </c>
      <c r="O198" s="470">
        <v>1</v>
      </c>
      <c r="P198" s="470" t="s">
        <v>306</v>
      </c>
      <c r="Q198" s="470" t="s">
        <v>306</v>
      </c>
      <c r="R198" s="470" t="s">
        <v>306</v>
      </c>
      <c r="S198" s="470" t="s">
        <v>306</v>
      </c>
      <c r="T198" s="470" t="s">
        <v>306</v>
      </c>
      <c r="U198" s="470" t="s">
        <v>291</v>
      </c>
      <c r="V198" s="470" t="s">
        <v>306</v>
      </c>
      <c r="W198" s="470" t="s">
        <v>306</v>
      </c>
      <c r="X198" s="470">
        <v>0</v>
      </c>
      <c r="Y198" s="470">
        <v>0</v>
      </c>
      <c r="Z198" s="470">
        <v>0</v>
      </c>
      <c r="AA198" s="470" t="s">
        <v>273</v>
      </c>
      <c r="AB198" s="470">
        <v>0</v>
      </c>
      <c r="AC198" s="470">
        <v>0</v>
      </c>
      <c r="AD198" s="470">
        <v>0</v>
      </c>
      <c r="AE198" s="470">
        <v>0</v>
      </c>
      <c r="AF198" s="470">
        <v>0</v>
      </c>
      <c r="AG198" s="470">
        <v>0</v>
      </c>
      <c r="AH198" s="470">
        <v>0</v>
      </c>
      <c r="AI198" s="470">
        <v>0</v>
      </c>
      <c r="AJ198" s="470">
        <v>0</v>
      </c>
      <c r="AK198" s="470">
        <v>0</v>
      </c>
      <c r="AL198" s="470">
        <v>0</v>
      </c>
    </row>
    <row r="199" spans="1:38">
      <c r="A199" s="470" t="s">
        <v>1410</v>
      </c>
      <c r="B199" s="470">
        <v>-2</v>
      </c>
      <c r="C199" s="470">
        <v>-4</v>
      </c>
      <c r="D199" s="470">
        <v>-4</v>
      </c>
      <c r="E199" s="470">
        <v>-3</v>
      </c>
      <c r="F199" s="470">
        <v>-6</v>
      </c>
      <c r="G199" s="470">
        <v>-3</v>
      </c>
      <c r="H199" s="470">
        <v>-16</v>
      </c>
      <c r="I199" s="470" t="s">
        <v>273</v>
      </c>
      <c r="J199" s="470" t="s">
        <v>273</v>
      </c>
      <c r="K199" s="470" t="s">
        <v>273</v>
      </c>
      <c r="L199" s="470" t="s">
        <v>273</v>
      </c>
      <c r="M199" s="470" t="s">
        <v>273</v>
      </c>
      <c r="N199" s="470" t="s">
        <v>273</v>
      </c>
      <c r="O199" s="470" t="s">
        <v>273</v>
      </c>
      <c r="P199" s="470" t="s">
        <v>273</v>
      </c>
      <c r="Q199" s="470" t="s">
        <v>273</v>
      </c>
      <c r="R199" s="470" t="s">
        <v>273</v>
      </c>
      <c r="S199" s="470" t="s">
        <v>273</v>
      </c>
      <c r="T199" s="470" t="s">
        <v>273</v>
      </c>
      <c r="U199" s="470" t="s">
        <v>273</v>
      </c>
      <c r="V199" s="470" t="s">
        <v>273</v>
      </c>
      <c r="W199" s="470" t="s">
        <v>273</v>
      </c>
      <c r="X199" s="470" t="s">
        <v>273</v>
      </c>
      <c r="Y199" s="470" t="s">
        <v>273</v>
      </c>
      <c r="Z199" s="470" t="s">
        <v>273</v>
      </c>
      <c r="AA199" s="470" t="s">
        <v>273</v>
      </c>
      <c r="AB199" s="470" t="s">
        <v>273</v>
      </c>
      <c r="AC199" s="470" t="s">
        <v>273</v>
      </c>
      <c r="AD199" s="470" t="s">
        <v>273</v>
      </c>
      <c r="AE199" s="470" t="s">
        <v>273</v>
      </c>
      <c r="AF199" s="470" t="s">
        <v>273</v>
      </c>
      <c r="AG199" s="470" t="s">
        <v>273</v>
      </c>
      <c r="AH199" s="470" t="s">
        <v>273</v>
      </c>
      <c r="AI199" s="470" t="s">
        <v>273</v>
      </c>
      <c r="AJ199" s="470" t="s">
        <v>273</v>
      </c>
      <c r="AK199" s="470" t="s">
        <v>273</v>
      </c>
      <c r="AL199" s="470" t="s">
        <v>273</v>
      </c>
    </row>
    <row r="200" spans="1:38">
      <c r="A200" s="470" t="s">
        <v>324</v>
      </c>
      <c r="B200" s="470" t="s">
        <v>273</v>
      </c>
      <c r="C200" s="470" t="s">
        <v>273</v>
      </c>
      <c r="D200" s="470" t="s">
        <v>273</v>
      </c>
      <c r="E200" s="470" t="s">
        <v>273</v>
      </c>
      <c r="F200" s="470" t="s">
        <v>273</v>
      </c>
      <c r="G200" s="470" t="s">
        <v>273</v>
      </c>
      <c r="H200" s="470" t="s">
        <v>273</v>
      </c>
      <c r="I200" s="470">
        <v>0</v>
      </c>
      <c r="J200" s="470">
        <v>0</v>
      </c>
      <c r="K200" s="470">
        <v>0</v>
      </c>
      <c r="L200" s="470">
        <v>0</v>
      </c>
      <c r="M200" s="470">
        <v>0</v>
      </c>
      <c r="N200" s="470">
        <v>0</v>
      </c>
      <c r="O200" s="470">
        <v>0</v>
      </c>
      <c r="P200" s="470">
        <v>0</v>
      </c>
      <c r="Q200" s="470">
        <v>0</v>
      </c>
      <c r="R200" s="470">
        <v>0</v>
      </c>
      <c r="S200" s="470">
        <v>0</v>
      </c>
      <c r="T200" s="470">
        <v>0</v>
      </c>
      <c r="U200" s="470">
        <v>0</v>
      </c>
      <c r="V200" s="470">
        <v>0</v>
      </c>
      <c r="W200" s="470">
        <v>0</v>
      </c>
      <c r="X200" s="470" t="s">
        <v>306</v>
      </c>
      <c r="Y200" s="470" t="s">
        <v>306</v>
      </c>
      <c r="Z200" s="470" t="s">
        <v>306</v>
      </c>
      <c r="AA200" s="470" t="s">
        <v>306</v>
      </c>
      <c r="AB200" s="470" t="s">
        <v>306</v>
      </c>
      <c r="AC200" s="470">
        <v>0</v>
      </c>
      <c r="AD200" s="470">
        <v>0</v>
      </c>
      <c r="AE200" s="470">
        <v>0</v>
      </c>
      <c r="AF200" s="470">
        <v>0</v>
      </c>
      <c r="AG200" s="470">
        <v>0</v>
      </c>
      <c r="AH200" s="470" t="s">
        <v>306</v>
      </c>
      <c r="AI200" s="470" t="s">
        <v>306</v>
      </c>
      <c r="AJ200" s="470" t="s">
        <v>306</v>
      </c>
      <c r="AK200" s="470" t="s">
        <v>306</v>
      </c>
      <c r="AL200" s="470" t="s">
        <v>306</v>
      </c>
    </row>
    <row r="201" spans="1:38">
      <c r="A201" s="470" t="s">
        <v>323</v>
      </c>
      <c r="B201" s="470" t="s">
        <v>273</v>
      </c>
      <c r="C201" s="470" t="s">
        <v>273</v>
      </c>
      <c r="D201" s="470" t="s">
        <v>273</v>
      </c>
      <c r="E201" s="470" t="s">
        <v>273</v>
      </c>
      <c r="F201" s="470" t="s">
        <v>273</v>
      </c>
      <c r="G201" s="470" t="s">
        <v>273</v>
      </c>
      <c r="H201" s="470" t="s">
        <v>273</v>
      </c>
      <c r="I201" s="470">
        <v>430</v>
      </c>
      <c r="J201" s="470">
        <v>1404</v>
      </c>
      <c r="K201" s="470">
        <v>160</v>
      </c>
      <c r="L201" s="470">
        <v>-1481</v>
      </c>
      <c r="M201" s="470">
        <v>-3314</v>
      </c>
      <c r="N201" s="470">
        <v>-3921</v>
      </c>
      <c r="O201" s="470">
        <v>-2881</v>
      </c>
      <c r="P201" s="470">
        <v>606</v>
      </c>
      <c r="Q201" s="470">
        <v>4152</v>
      </c>
      <c r="R201" s="470">
        <v>2129</v>
      </c>
      <c r="S201" s="470">
        <v>4821</v>
      </c>
      <c r="T201" s="470">
        <v>4057</v>
      </c>
      <c r="U201" s="470">
        <v>4931</v>
      </c>
      <c r="V201" s="470">
        <v>5651</v>
      </c>
      <c r="W201" s="470">
        <v>-1053</v>
      </c>
      <c r="X201" s="470">
        <v>8141</v>
      </c>
      <c r="Y201" s="470">
        <v>8496</v>
      </c>
      <c r="Z201" s="470">
        <v>16253</v>
      </c>
      <c r="AA201" s="470">
        <v>18410</v>
      </c>
      <c r="AB201" s="470">
        <v>23350</v>
      </c>
      <c r="AC201" s="470">
        <v>22284</v>
      </c>
      <c r="AD201" s="470">
        <v>5542</v>
      </c>
      <c r="AE201" s="470">
        <v>7512</v>
      </c>
      <c r="AF201" s="470">
        <v>22463</v>
      </c>
      <c r="AG201" s="470">
        <v>23807</v>
      </c>
      <c r="AH201" s="470">
        <v>22260</v>
      </c>
      <c r="AI201" s="470">
        <v>24974</v>
      </c>
      <c r="AJ201" s="470">
        <v>29800</v>
      </c>
      <c r="AK201" s="470">
        <v>23582</v>
      </c>
      <c r="AL201" s="470">
        <v>19083</v>
      </c>
    </row>
    <row r="202" spans="1:38">
      <c r="A202" s="470" t="s">
        <v>322</v>
      </c>
      <c r="B202" s="470" t="s">
        <v>273</v>
      </c>
      <c r="C202" s="470" t="s">
        <v>273</v>
      </c>
      <c r="D202" s="470" t="s">
        <v>273</v>
      </c>
      <c r="E202" s="470" t="s">
        <v>273</v>
      </c>
      <c r="F202" s="470" t="s">
        <v>273</v>
      </c>
      <c r="G202" s="470" t="s">
        <v>273</v>
      </c>
      <c r="H202" s="470" t="s">
        <v>273</v>
      </c>
      <c r="I202" s="470">
        <v>-81</v>
      </c>
      <c r="J202" s="470">
        <v>75</v>
      </c>
      <c r="K202" s="470">
        <v>-254</v>
      </c>
      <c r="L202" s="470">
        <v>-328</v>
      </c>
      <c r="M202" s="470">
        <v>-543</v>
      </c>
      <c r="N202" s="470">
        <v>-826</v>
      </c>
      <c r="O202" s="470">
        <v>-547</v>
      </c>
      <c r="P202" s="470">
        <v>-215</v>
      </c>
      <c r="Q202" s="470">
        <v>435</v>
      </c>
      <c r="R202" s="470">
        <v>492</v>
      </c>
      <c r="S202" s="470">
        <v>33</v>
      </c>
      <c r="T202" s="470">
        <v>302</v>
      </c>
      <c r="U202" s="470">
        <v>643</v>
      </c>
      <c r="V202" s="470">
        <v>356</v>
      </c>
      <c r="W202" s="470">
        <v>-416</v>
      </c>
      <c r="X202" s="470">
        <v>489</v>
      </c>
      <c r="Y202" s="470">
        <v>1178</v>
      </c>
      <c r="Z202" s="470">
        <v>2446</v>
      </c>
      <c r="AA202" s="470">
        <v>3919</v>
      </c>
      <c r="AB202" s="470">
        <v>5773</v>
      </c>
      <c r="AC202" s="470">
        <v>5045</v>
      </c>
      <c r="AD202" s="470">
        <v>2859</v>
      </c>
      <c r="AE202" s="470">
        <v>1916</v>
      </c>
      <c r="AF202" s="470">
        <v>4994</v>
      </c>
      <c r="AG202" s="470">
        <v>4424</v>
      </c>
      <c r="AH202" s="470">
        <v>1305</v>
      </c>
      <c r="AI202" s="470">
        <v>2120</v>
      </c>
      <c r="AJ202" s="470">
        <v>3040</v>
      </c>
      <c r="AK202" s="470">
        <v>914</v>
      </c>
      <c r="AL202" s="470">
        <v>5</v>
      </c>
    </row>
    <row r="203" spans="1:38">
      <c r="A203" s="470" t="s">
        <v>321</v>
      </c>
      <c r="B203" s="470" t="s">
        <v>273</v>
      </c>
      <c r="C203" s="470" t="s">
        <v>273</v>
      </c>
      <c r="D203" s="470" t="s">
        <v>273</v>
      </c>
      <c r="E203" s="470" t="s">
        <v>273</v>
      </c>
      <c r="F203" s="470" t="s">
        <v>273</v>
      </c>
      <c r="G203" s="470" t="s">
        <v>273</v>
      </c>
      <c r="H203" s="470" t="s">
        <v>273</v>
      </c>
      <c r="I203" s="470" t="s">
        <v>273</v>
      </c>
      <c r="J203" s="470" t="s">
        <v>273</v>
      </c>
      <c r="K203" s="470" t="s">
        <v>273</v>
      </c>
      <c r="L203" s="470" t="s">
        <v>273</v>
      </c>
      <c r="M203" s="470" t="s">
        <v>273</v>
      </c>
      <c r="N203" s="470" t="s">
        <v>273</v>
      </c>
      <c r="O203" s="470" t="s">
        <v>273</v>
      </c>
      <c r="P203" s="470" t="s">
        <v>273</v>
      </c>
      <c r="Q203" s="470" t="s">
        <v>273</v>
      </c>
      <c r="R203" s="470" t="s">
        <v>273</v>
      </c>
      <c r="S203" s="470">
        <v>17</v>
      </c>
      <c r="T203" s="470">
        <v>59</v>
      </c>
      <c r="U203" s="470">
        <v>41</v>
      </c>
      <c r="V203" s="470">
        <v>-22</v>
      </c>
      <c r="W203" s="470">
        <v>-12</v>
      </c>
      <c r="X203" s="470">
        <v>15</v>
      </c>
      <c r="Y203" s="470">
        <v>-20</v>
      </c>
      <c r="Z203" s="470">
        <v>66</v>
      </c>
      <c r="AA203" s="470">
        <v>11</v>
      </c>
      <c r="AB203" s="470">
        <v>-50</v>
      </c>
      <c r="AC203" s="470">
        <v>102</v>
      </c>
      <c r="AD203" s="470">
        <v>149</v>
      </c>
      <c r="AE203" s="470">
        <v>97</v>
      </c>
      <c r="AF203" s="470">
        <v>36</v>
      </c>
      <c r="AG203" s="470">
        <v>188</v>
      </c>
      <c r="AH203" s="470">
        <v>375</v>
      </c>
      <c r="AI203" s="470">
        <v>627</v>
      </c>
      <c r="AJ203" s="470">
        <v>1416</v>
      </c>
      <c r="AK203" s="470">
        <v>691</v>
      </c>
      <c r="AL203" s="470">
        <v>27</v>
      </c>
    </row>
    <row r="204" spans="1:38">
      <c r="A204" s="470" t="s">
        <v>320</v>
      </c>
      <c r="B204" s="470" t="s">
        <v>273</v>
      </c>
      <c r="C204" s="470" t="s">
        <v>273</v>
      </c>
      <c r="D204" s="470" t="s">
        <v>273</v>
      </c>
      <c r="E204" s="470" t="s">
        <v>273</v>
      </c>
      <c r="F204" s="470" t="s">
        <v>273</v>
      </c>
      <c r="G204" s="470" t="s">
        <v>273</v>
      </c>
      <c r="H204" s="470" t="s">
        <v>273</v>
      </c>
      <c r="I204" s="470">
        <v>-50</v>
      </c>
      <c r="J204" s="470">
        <v>-39</v>
      </c>
      <c r="K204" s="470">
        <v>-15</v>
      </c>
      <c r="L204" s="470">
        <v>-16</v>
      </c>
      <c r="M204" s="470">
        <v>-48</v>
      </c>
      <c r="N204" s="470">
        <v>-40</v>
      </c>
      <c r="O204" s="470">
        <v>44</v>
      </c>
      <c r="P204" s="470">
        <v>51</v>
      </c>
      <c r="Q204" s="470">
        <v>20</v>
      </c>
      <c r="R204" s="470">
        <v>82</v>
      </c>
      <c r="S204" s="470">
        <v>84</v>
      </c>
      <c r="T204" s="470">
        <v>64</v>
      </c>
      <c r="U204" s="470">
        <v>125</v>
      </c>
      <c r="V204" s="470">
        <v>12</v>
      </c>
      <c r="W204" s="470">
        <v>21</v>
      </c>
      <c r="X204" s="470">
        <v>69</v>
      </c>
      <c r="Y204" s="470">
        <v>78</v>
      </c>
      <c r="Z204" s="470">
        <v>24</v>
      </c>
      <c r="AA204" s="470">
        <v>219</v>
      </c>
      <c r="AB204" s="470">
        <v>-49</v>
      </c>
      <c r="AC204" s="470">
        <v>291</v>
      </c>
      <c r="AD204" s="470" t="s">
        <v>291</v>
      </c>
      <c r="AE204" s="470">
        <v>250</v>
      </c>
      <c r="AF204" s="470">
        <v>220</v>
      </c>
      <c r="AG204" s="470">
        <v>165</v>
      </c>
      <c r="AH204" s="470">
        <v>315</v>
      </c>
      <c r="AI204" s="470">
        <v>536</v>
      </c>
      <c r="AJ204" s="470">
        <v>262</v>
      </c>
      <c r="AK204" s="470">
        <v>-286</v>
      </c>
      <c r="AL204" s="470">
        <v>-109</v>
      </c>
    </row>
    <row r="205" spans="1:38">
      <c r="A205" s="470" t="s">
        <v>319</v>
      </c>
      <c r="B205" s="470" t="s">
        <v>273</v>
      </c>
      <c r="C205" s="470" t="s">
        <v>273</v>
      </c>
      <c r="D205" s="470" t="s">
        <v>273</v>
      </c>
      <c r="E205" s="470" t="s">
        <v>273</v>
      </c>
      <c r="F205" s="470" t="s">
        <v>273</v>
      </c>
      <c r="G205" s="470" t="s">
        <v>273</v>
      </c>
      <c r="H205" s="470" t="s">
        <v>273</v>
      </c>
      <c r="I205" s="470" t="s">
        <v>273</v>
      </c>
      <c r="J205" s="470" t="s">
        <v>273</v>
      </c>
      <c r="K205" s="470" t="s">
        <v>273</v>
      </c>
      <c r="L205" s="470" t="s">
        <v>273</v>
      </c>
      <c r="M205" s="470" t="s">
        <v>273</v>
      </c>
      <c r="N205" s="470" t="s">
        <v>273</v>
      </c>
      <c r="O205" s="470" t="s">
        <v>273</v>
      </c>
      <c r="P205" s="470" t="s">
        <v>273</v>
      </c>
      <c r="Q205" s="470" t="s">
        <v>273</v>
      </c>
      <c r="R205" s="470" t="s">
        <v>273</v>
      </c>
      <c r="S205" s="470">
        <v>16</v>
      </c>
      <c r="T205" s="470">
        <v>19</v>
      </c>
      <c r="U205" s="470">
        <v>17</v>
      </c>
      <c r="V205" s="470">
        <v>19</v>
      </c>
      <c r="W205" s="470">
        <v>6</v>
      </c>
      <c r="X205" s="470">
        <v>-2</v>
      </c>
      <c r="Y205" s="470">
        <v>9</v>
      </c>
      <c r="Z205" s="470">
        <v>109</v>
      </c>
      <c r="AA205" s="470" t="s">
        <v>291</v>
      </c>
      <c r="AB205" s="470">
        <v>237</v>
      </c>
      <c r="AC205" s="470">
        <v>141</v>
      </c>
      <c r="AD205" s="470">
        <v>223</v>
      </c>
      <c r="AE205" s="470">
        <v>203</v>
      </c>
      <c r="AF205" s="470">
        <v>391</v>
      </c>
      <c r="AG205" s="470">
        <v>455</v>
      </c>
      <c r="AH205" s="470">
        <v>488</v>
      </c>
      <c r="AI205" s="470">
        <v>323</v>
      </c>
      <c r="AJ205" s="470">
        <v>657</v>
      </c>
      <c r="AK205" s="470">
        <v>477</v>
      </c>
      <c r="AL205" s="470">
        <v>120</v>
      </c>
    </row>
    <row r="206" spans="1:38">
      <c r="A206" s="470" t="s">
        <v>317</v>
      </c>
      <c r="B206" s="470" t="s">
        <v>273</v>
      </c>
      <c r="C206" s="470" t="s">
        <v>273</v>
      </c>
      <c r="D206" s="470" t="s">
        <v>273</v>
      </c>
      <c r="E206" s="470" t="s">
        <v>273</v>
      </c>
      <c r="F206" s="470" t="s">
        <v>273</v>
      </c>
      <c r="G206" s="470" t="s">
        <v>273</v>
      </c>
      <c r="H206" s="470" t="s">
        <v>273</v>
      </c>
      <c r="I206" s="470">
        <v>612</v>
      </c>
      <c r="J206" s="470">
        <v>1355</v>
      </c>
      <c r="K206" s="470">
        <v>670</v>
      </c>
      <c r="L206" s="470">
        <v>-996</v>
      </c>
      <c r="M206" s="470">
        <v>-2474</v>
      </c>
      <c r="N206" s="470">
        <v>-2586</v>
      </c>
      <c r="O206" s="470">
        <v>-2105</v>
      </c>
      <c r="P206" s="470">
        <v>773</v>
      </c>
      <c r="Q206" s="470">
        <v>3611</v>
      </c>
      <c r="R206" s="470">
        <v>2939</v>
      </c>
      <c r="S206" s="470">
        <v>5603</v>
      </c>
      <c r="T206" s="470">
        <v>4300</v>
      </c>
      <c r="U206" s="470">
        <v>4006</v>
      </c>
      <c r="V206" s="470">
        <v>5182</v>
      </c>
      <c r="W206" s="470">
        <v>-244</v>
      </c>
      <c r="X206" s="470">
        <v>7562</v>
      </c>
      <c r="Y206" s="470">
        <v>7346</v>
      </c>
      <c r="Z206" s="470">
        <v>12774</v>
      </c>
      <c r="AA206" s="470">
        <v>12715</v>
      </c>
      <c r="AB206" s="470">
        <v>16190</v>
      </c>
      <c r="AC206" s="470">
        <v>15434</v>
      </c>
      <c r="AD206" s="470">
        <v>6020</v>
      </c>
      <c r="AE206" s="470">
        <v>4272</v>
      </c>
      <c r="AF206" s="470">
        <v>14570</v>
      </c>
      <c r="AG206" s="470">
        <v>14732</v>
      </c>
      <c r="AH206" s="470">
        <v>15995</v>
      </c>
      <c r="AI206" s="470">
        <v>17010</v>
      </c>
      <c r="AJ206" s="470">
        <v>20126</v>
      </c>
      <c r="AK206" s="470">
        <v>18380</v>
      </c>
      <c r="AL206" s="470">
        <v>16781</v>
      </c>
    </row>
    <row r="207" spans="1:38">
      <c r="A207" s="470" t="s">
        <v>316</v>
      </c>
      <c r="B207" s="470" t="s">
        <v>273</v>
      </c>
      <c r="C207" s="470" t="s">
        <v>273</v>
      </c>
      <c r="D207" s="470" t="s">
        <v>273</v>
      </c>
      <c r="E207" s="470" t="s">
        <v>273</v>
      </c>
      <c r="F207" s="470" t="s">
        <v>273</v>
      </c>
      <c r="G207" s="470" t="s">
        <v>273</v>
      </c>
      <c r="H207" s="470" t="s">
        <v>273</v>
      </c>
      <c r="I207" s="470">
        <v>-49</v>
      </c>
      <c r="J207" s="470">
        <v>-2</v>
      </c>
      <c r="K207" s="470">
        <v>-149</v>
      </c>
      <c r="L207" s="470">
        <v>-115</v>
      </c>
      <c r="M207" s="470">
        <v>-194</v>
      </c>
      <c r="N207" s="470">
        <v>-234</v>
      </c>
      <c r="O207" s="470">
        <v>-184</v>
      </c>
      <c r="P207" s="470">
        <v>-119</v>
      </c>
      <c r="Q207" s="470">
        <v>-221</v>
      </c>
      <c r="R207" s="470">
        <v>-1537</v>
      </c>
      <c r="S207" s="470">
        <v>-1123</v>
      </c>
      <c r="T207" s="470">
        <v>-661</v>
      </c>
      <c r="U207" s="470">
        <v>175</v>
      </c>
      <c r="V207" s="470">
        <v>232</v>
      </c>
      <c r="W207" s="470">
        <v>-90</v>
      </c>
      <c r="X207" s="470">
        <v>253</v>
      </c>
      <c r="Y207" s="470">
        <v>-72</v>
      </c>
      <c r="Z207" s="470">
        <v>467</v>
      </c>
      <c r="AA207" s="470" t="s">
        <v>291</v>
      </c>
      <c r="AB207" s="470">
        <v>556</v>
      </c>
      <c r="AC207" s="470">
        <v>568</v>
      </c>
      <c r="AD207" s="470">
        <v>-628</v>
      </c>
      <c r="AE207" s="470">
        <v>208</v>
      </c>
      <c r="AF207" s="470">
        <v>1165</v>
      </c>
      <c r="AG207" s="470">
        <v>1899</v>
      </c>
      <c r="AH207" s="470">
        <v>2614</v>
      </c>
      <c r="AI207" s="470">
        <v>2829</v>
      </c>
      <c r="AJ207" s="470">
        <v>2734</v>
      </c>
      <c r="AK207" s="470">
        <v>1993</v>
      </c>
      <c r="AL207" s="470">
        <v>1639</v>
      </c>
    </row>
    <row r="208" spans="1:38">
      <c r="A208" s="470" t="s">
        <v>315</v>
      </c>
      <c r="B208" s="470" t="s">
        <v>273</v>
      </c>
      <c r="C208" s="470" t="s">
        <v>273</v>
      </c>
      <c r="D208" s="470" t="s">
        <v>273</v>
      </c>
      <c r="E208" s="470" t="s">
        <v>273</v>
      </c>
      <c r="F208" s="470" t="s">
        <v>273</v>
      </c>
      <c r="G208" s="470" t="s">
        <v>273</v>
      </c>
      <c r="H208" s="470" t="s">
        <v>273</v>
      </c>
      <c r="I208" s="470">
        <v>-2</v>
      </c>
      <c r="J208" s="470">
        <v>-2</v>
      </c>
      <c r="K208" s="470" t="s">
        <v>291</v>
      </c>
      <c r="L208" s="470">
        <v>-6</v>
      </c>
      <c r="M208" s="470">
        <v>-4</v>
      </c>
      <c r="N208" s="470">
        <v>-10</v>
      </c>
      <c r="O208" s="470">
        <v>-6</v>
      </c>
      <c r="P208" s="470">
        <v>9</v>
      </c>
      <c r="Q208" s="470">
        <v>-5</v>
      </c>
      <c r="R208" s="470">
        <v>-14</v>
      </c>
      <c r="S208" s="470">
        <v>17</v>
      </c>
      <c r="T208" s="470">
        <v>-2</v>
      </c>
      <c r="U208" s="470">
        <v>-21</v>
      </c>
      <c r="V208" s="470">
        <v>1</v>
      </c>
      <c r="W208" s="470">
        <v>-39</v>
      </c>
      <c r="X208" s="470">
        <v>-19</v>
      </c>
      <c r="Y208" s="470" t="s">
        <v>291</v>
      </c>
      <c r="Z208" s="470">
        <v>-21</v>
      </c>
      <c r="AA208" s="470">
        <v>16</v>
      </c>
      <c r="AB208" s="470">
        <v>25</v>
      </c>
      <c r="AC208" s="470">
        <v>29</v>
      </c>
      <c r="AD208" s="470">
        <v>16</v>
      </c>
      <c r="AE208" s="470">
        <v>-26</v>
      </c>
      <c r="AF208" s="470">
        <v>-5</v>
      </c>
      <c r="AG208" s="470">
        <v>20</v>
      </c>
      <c r="AH208" s="470">
        <v>-30</v>
      </c>
      <c r="AI208" s="470">
        <v>11</v>
      </c>
      <c r="AJ208" s="470">
        <v>4</v>
      </c>
      <c r="AK208" s="470" t="s">
        <v>306</v>
      </c>
      <c r="AL208" s="470">
        <v>4</v>
      </c>
    </row>
    <row r="209" spans="1:38">
      <c r="A209" s="470" t="s">
        <v>314</v>
      </c>
      <c r="B209" s="470" t="s">
        <v>273</v>
      </c>
      <c r="C209" s="470" t="s">
        <v>273</v>
      </c>
      <c r="D209" s="470" t="s">
        <v>273</v>
      </c>
      <c r="E209" s="470" t="s">
        <v>273</v>
      </c>
      <c r="F209" s="470" t="s">
        <v>273</v>
      </c>
      <c r="G209" s="470" t="s">
        <v>273</v>
      </c>
      <c r="H209" s="470" t="s">
        <v>273</v>
      </c>
      <c r="I209" s="470">
        <v>-18</v>
      </c>
      <c r="J209" s="470">
        <v>-8</v>
      </c>
      <c r="K209" s="470">
        <v>-66</v>
      </c>
      <c r="L209" s="470">
        <v>-15</v>
      </c>
      <c r="M209" s="470">
        <v>-18</v>
      </c>
      <c r="N209" s="470">
        <v>-53</v>
      </c>
      <c r="O209" s="470">
        <v>-21</v>
      </c>
      <c r="P209" s="470" t="s">
        <v>306</v>
      </c>
      <c r="Q209" s="470">
        <v>1</v>
      </c>
      <c r="R209" s="470">
        <v>4</v>
      </c>
      <c r="S209" s="470">
        <v>34</v>
      </c>
      <c r="T209" s="470">
        <v>21</v>
      </c>
      <c r="U209" s="470">
        <v>21</v>
      </c>
      <c r="V209" s="470">
        <v>4</v>
      </c>
      <c r="W209" s="470">
        <v>13</v>
      </c>
      <c r="X209" s="470">
        <v>-1</v>
      </c>
      <c r="Y209" s="470" t="s">
        <v>291</v>
      </c>
      <c r="Z209" s="470">
        <v>65</v>
      </c>
      <c r="AA209" s="470" t="s">
        <v>291</v>
      </c>
      <c r="AB209" s="470">
        <v>-22</v>
      </c>
      <c r="AC209" s="470">
        <v>-8</v>
      </c>
      <c r="AD209" s="470">
        <v>123</v>
      </c>
      <c r="AE209" s="470">
        <v>99</v>
      </c>
      <c r="AF209" s="470">
        <v>91</v>
      </c>
      <c r="AG209" s="470">
        <v>32</v>
      </c>
      <c r="AH209" s="470">
        <v>-21</v>
      </c>
      <c r="AI209" s="470">
        <v>14</v>
      </c>
      <c r="AJ209" s="470">
        <v>21</v>
      </c>
      <c r="AK209" s="470">
        <v>-64</v>
      </c>
      <c r="AL209" s="470">
        <v>-145</v>
      </c>
    </row>
    <row r="210" spans="1:38">
      <c r="A210" s="470" t="s">
        <v>313</v>
      </c>
      <c r="B210" s="470" t="s">
        <v>273</v>
      </c>
      <c r="C210" s="470" t="s">
        <v>273</v>
      </c>
      <c r="D210" s="470" t="s">
        <v>273</v>
      </c>
      <c r="E210" s="470" t="s">
        <v>273</v>
      </c>
      <c r="F210" s="470" t="s">
        <v>273</v>
      </c>
      <c r="G210" s="470" t="s">
        <v>273</v>
      </c>
      <c r="H210" s="470" t="s">
        <v>273</v>
      </c>
      <c r="I210" s="470">
        <v>-2</v>
      </c>
      <c r="J210" s="470">
        <v>1</v>
      </c>
      <c r="K210" s="470">
        <v>-1</v>
      </c>
      <c r="L210" s="470">
        <v>-5</v>
      </c>
      <c r="M210" s="470">
        <v>-9</v>
      </c>
      <c r="N210" s="470">
        <v>-7</v>
      </c>
      <c r="O210" s="470">
        <v>-3</v>
      </c>
      <c r="P210" s="470">
        <v>-6</v>
      </c>
      <c r="Q210" s="470">
        <v>-1</v>
      </c>
      <c r="R210" s="470" t="s">
        <v>306</v>
      </c>
      <c r="S210" s="470" t="s">
        <v>273</v>
      </c>
      <c r="T210" s="470" t="s">
        <v>273</v>
      </c>
      <c r="U210" s="470" t="s">
        <v>273</v>
      </c>
      <c r="V210" s="470" t="s">
        <v>273</v>
      </c>
      <c r="W210" s="470" t="s">
        <v>273</v>
      </c>
      <c r="X210" s="470" t="s">
        <v>273</v>
      </c>
      <c r="Y210" s="470" t="s">
        <v>273</v>
      </c>
      <c r="Z210" s="470" t="s">
        <v>273</v>
      </c>
      <c r="AA210" s="470" t="s">
        <v>273</v>
      </c>
      <c r="AB210" s="470" t="s">
        <v>273</v>
      </c>
      <c r="AC210" s="470" t="s">
        <v>273</v>
      </c>
      <c r="AD210" s="470" t="s">
        <v>273</v>
      </c>
      <c r="AE210" s="470" t="s">
        <v>273</v>
      </c>
      <c r="AF210" s="470" t="s">
        <v>273</v>
      </c>
      <c r="AG210" s="470" t="s">
        <v>273</v>
      </c>
      <c r="AH210" s="470" t="s">
        <v>273</v>
      </c>
      <c r="AI210" s="470" t="s">
        <v>273</v>
      </c>
      <c r="AJ210" s="470" t="s">
        <v>273</v>
      </c>
      <c r="AK210" s="470" t="s">
        <v>273</v>
      </c>
      <c r="AL210" s="470" t="s">
        <v>273</v>
      </c>
    </row>
    <row r="211" spans="1:38">
      <c r="A211" s="470" t="s">
        <v>312</v>
      </c>
      <c r="I211" s="470">
        <v>3</v>
      </c>
      <c r="J211" s="470">
        <v>9</v>
      </c>
      <c r="K211" s="470">
        <v>25</v>
      </c>
      <c r="L211" s="470">
        <v>18</v>
      </c>
      <c r="M211" s="470">
        <v>-4</v>
      </c>
      <c r="N211" s="470">
        <v>-50</v>
      </c>
      <c r="O211" s="471">
        <v>0</v>
      </c>
      <c r="P211" s="470">
        <v>6</v>
      </c>
      <c r="Q211" s="470">
        <v>-8</v>
      </c>
      <c r="R211" s="470">
        <v>-52</v>
      </c>
      <c r="S211" s="470">
        <v>50</v>
      </c>
      <c r="T211" s="470">
        <v>-24</v>
      </c>
      <c r="U211" s="470">
        <v>101</v>
      </c>
      <c r="V211" s="470">
        <v>-123</v>
      </c>
      <c r="W211" s="470">
        <v>-164</v>
      </c>
      <c r="X211" s="470">
        <v>-267</v>
      </c>
      <c r="Y211" s="470">
        <v>-184</v>
      </c>
      <c r="Z211" s="470">
        <v>41</v>
      </c>
      <c r="AA211" s="470">
        <v>170</v>
      </c>
      <c r="AB211" s="470">
        <v>357</v>
      </c>
      <c r="AC211" s="470">
        <v>374</v>
      </c>
      <c r="AD211" s="471">
        <f>(AC211+AE211)/2</f>
        <v>552</v>
      </c>
      <c r="AE211" s="470">
        <v>730</v>
      </c>
      <c r="AF211" s="470">
        <v>438</v>
      </c>
      <c r="AG211" s="470">
        <v>1431</v>
      </c>
      <c r="AH211" s="470">
        <v>538</v>
      </c>
      <c r="AI211" s="470">
        <v>751</v>
      </c>
      <c r="AJ211" s="470">
        <v>845</v>
      </c>
      <c r="AK211" s="470">
        <v>866</v>
      </c>
      <c r="AL211" s="470">
        <v>282</v>
      </c>
    </row>
    <row r="212" spans="1:38">
      <c r="A212" s="470" t="s">
        <v>311</v>
      </c>
      <c r="B212" s="470" t="s">
        <v>273</v>
      </c>
      <c r="C212" s="470" t="s">
        <v>273</v>
      </c>
      <c r="D212" s="470" t="s">
        <v>273</v>
      </c>
      <c r="E212" s="470" t="s">
        <v>273</v>
      </c>
      <c r="F212" s="470" t="s">
        <v>273</v>
      </c>
      <c r="G212" s="470" t="s">
        <v>273</v>
      </c>
      <c r="H212" s="470" t="s">
        <v>273</v>
      </c>
      <c r="I212" s="470">
        <v>43</v>
      </c>
      <c r="J212" s="470">
        <v>33</v>
      </c>
      <c r="K212" s="470">
        <v>11</v>
      </c>
      <c r="L212" s="470">
        <v>-3</v>
      </c>
      <c r="M212" s="470">
        <v>-12</v>
      </c>
      <c r="N212" s="470">
        <v>-20</v>
      </c>
      <c r="O212" s="470" t="s">
        <v>306</v>
      </c>
      <c r="P212" s="470">
        <v>73</v>
      </c>
      <c r="Q212" s="470">
        <v>238</v>
      </c>
      <c r="R212" s="470">
        <v>137</v>
      </c>
      <c r="S212" s="470">
        <v>71</v>
      </c>
      <c r="T212" s="470">
        <v>-39</v>
      </c>
      <c r="U212" s="470">
        <v>-168</v>
      </c>
      <c r="V212" s="470">
        <v>-13</v>
      </c>
      <c r="W212" s="470">
        <v>-139</v>
      </c>
      <c r="X212" s="470">
        <v>39</v>
      </c>
      <c r="Y212" s="470">
        <v>129</v>
      </c>
      <c r="Z212" s="470">
        <v>249</v>
      </c>
      <c r="AA212" s="470">
        <v>351</v>
      </c>
      <c r="AB212" s="470">
        <v>290</v>
      </c>
      <c r="AC212" s="470">
        <v>276</v>
      </c>
      <c r="AD212" s="470">
        <v>-96</v>
      </c>
      <c r="AE212" s="470">
        <v>-274</v>
      </c>
      <c r="AF212" s="470">
        <v>398</v>
      </c>
      <c r="AG212" s="470">
        <v>415</v>
      </c>
      <c r="AH212" s="470">
        <v>654</v>
      </c>
      <c r="AI212" s="470">
        <v>692</v>
      </c>
      <c r="AJ212" s="470">
        <v>618</v>
      </c>
      <c r="AK212" s="470">
        <v>554</v>
      </c>
      <c r="AL212" s="470">
        <v>378</v>
      </c>
    </row>
    <row r="213" spans="1:38">
      <c r="A213" s="470" t="s">
        <v>236</v>
      </c>
      <c r="B213" s="470" t="s">
        <v>273</v>
      </c>
      <c r="C213" s="470" t="s">
        <v>273</v>
      </c>
      <c r="D213" s="470" t="s">
        <v>273</v>
      </c>
      <c r="E213" s="470" t="s">
        <v>273</v>
      </c>
      <c r="F213" s="470" t="s">
        <v>273</v>
      </c>
      <c r="G213" s="470" t="s">
        <v>273</v>
      </c>
      <c r="H213" s="470" t="s">
        <v>273</v>
      </c>
      <c r="I213" s="470">
        <v>-26</v>
      </c>
      <c r="J213" s="470">
        <v>-18</v>
      </c>
      <c r="K213" s="470" t="s">
        <v>291</v>
      </c>
      <c r="L213" s="470">
        <v>-15</v>
      </c>
      <c r="M213" s="470">
        <v>-7</v>
      </c>
      <c r="N213" s="470">
        <v>-96</v>
      </c>
      <c r="O213" s="470">
        <v>-60</v>
      </c>
      <c r="P213" s="470">
        <v>35</v>
      </c>
      <c r="Q213" s="470">
        <v>82</v>
      </c>
      <c r="R213" s="470">
        <v>77</v>
      </c>
      <c r="S213" s="470">
        <v>19</v>
      </c>
      <c r="T213" s="470">
        <v>18</v>
      </c>
      <c r="U213" s="470">
        <v>-9</v>
      </c>
      <c r="V213" s="470">
        <v>1</v>
      </c>
      <c r="W213" s="470">
        <v>11</v>
      </c>
      <c r="X213" s="470">
        <v>2</v>
      </c>
      <c r="Y213" s="470">
        <v>7</v>
      </c>
      <c r="Z213" s="470">
        <v>33</v>
      </c>
      <c r="AA213" s="470">
        <v>58</v>
      </c>
      <c r="AB213" s="470">
        <v>45</v>
      </c>
      <c r="AC213" s="470">
        <v>31</v>
      </c>
      <c r="AD213" s="470">
        <v>14</v>
      </c>
      <c r="AE213" s="470">
        <v>37</v>
      </c>
      <c r="AF213" s="470">
        <v>164</v>
      </c>
      <c r="AG213" s="470">
        <v>46</v>
      </c>
      <c r="AH213" s="470">
        <v>27</v>
      </c>
      <c r="AI213" s="470">
        <v>61</v>
      </c>
      <c r="AJ213" s="470">
        <v>78</v>
      </c>
      <c r="AK213" s="470">
        <v>58</v>
      </c>
      <c r="AL213" s="470">
        <v>102</v>
      </c>
    </row>
    <row r="214" spans="1:38">
      <c r="A214" s="470" t="s">
        <v>309</v>
      </c>
      <c r="B214" s="470" t="s">
        <v>273</v>
      </c>
      <c r="C214" s="470" t="s">
        <v>273</v>
      </c>
      <c r="D214" s="470" t="s">
        <v>273</v>
      </c>
      <c r="E214" s="470" t="s">
        <v>273</v>
      </c>
      <c r="F214" s="470" t="s">
        <v>273</v>
      </c>
      <c r="G214" s="470" t="s">
        <v>273</v>
      </c>
      <c r="H214" s="470" t="s">
        <v>273</v>
      </c>
      <c r="I214" s="470" t="s">
        <v>306</v>
      </c>
      <c r="J214" s="470">
        <v>1</v>
      </c>
      <c r="K214" s="470" t="s">
        <v>291</v>
      </c>
      <c r="L214" s="470" t="s">
        <v>306</v>
      </c>
      <c r="M214" s="470" t="s">
        <v>306</v>
      </c>
      <c r="N214" s="470" t="s">
        <v>306</v>
      </c>
      <c r="O214" s="470" t="s">
        <v>306</v>
      </c>
      <c r="P214" s="470" t="s">
        <v>306</v>
      </c>
      <c r="Q214" s="470" t="s">
        <v>306</v>
      </c>
      <c r="R214" s="470" t="s">
        <v>306</v>
      </c>
      <c r="S214" s="470" t="s">
        <v>306</v>
      </c>
      <c r="T214" s="470" t="s">
        <v>306</v>
      </c>
      <c r="U214" s="470" t="s">
        <v>306</v>
      </c>
      <c r="V214" s="470" t="s">
        <v>306</v>
      </c>
      <c r="W214" s="470" t="s">
        <v>306</v>
      </c>
      <c r="X214" s="470" t="s">
        <v>306</v>
      </c>
      <c r="Y214" s="470" t="s">
        <v>306</v>
      </c>
      <c r="Z214" s="470" t="s">
        <v>306</v>
      </c>
      <c r="AA214" s="470" t="s">
        <v>306</v>
      </c>
      <c r="AB214" s="470" t="s">
        <v>306</v>
      </c>
      <c r="AC214" s="470">
        <v>0</v>
      </c>
      <c r="AD214" s="470">
        <v>0</v>
      </c>
      <c r="AE214" s="470">
        <v>0</v>
      </c>
      <c r="AF214" s="470">
        <v>0</v>
      </c>
      <c r="AG214" s="470">
        <v>0</v>
      </c>
      <c r="AH214" s="470">
        <v>0</v>
      </c>
      <c r="AI214" s="470">
        <v>0</v>
      </c>
      <c r="AJ214" s="470">
        <v>0</v>
      </c>
      <c r="AK214" s="470">
        <v>0</v>
      </c>
      <c r="AL214" s="470">
        <v>0</v>
      </c>
    </row>
    <row r="215" spans="1:38">
      <c r="A215" s="470" t="s">
        <v>308</v>
      </c>
      <c r="B215" s="470" t="s">
        <v>273</v>
      </c>
      <c r="C215" s="470" t="s">
        <v>273</v>
      </c>
      <c r="D215" s="470" t="s">
        <v>273</v>
      </c>
      <c r="E215" s="470" t="s">
        <v>273</v>
      </c>
      <c r="F215" s="470" t="s">
        <v>273</v>
      </c>
      <c r="G215" s="470" t="s">
        <v>273</v>
      </c>
      <c r="H215" s="470" t="s">
        <v>273</v>
      </c>
      <c r="I215" s="470">
        <v>0</v>
      </c>
      <c r="J215" s="470">
        <v>0</v>
      </c>
      <c r="K215" s="470">
        <v>0</v>
      </c>
      <c r="L215" s="470">
        <v>0</v>
      </c>
      <c r="M215" s="470">
        <v>0</v>
      </c>
      <c r="N215" s="470">
        <v>0</v>
      </c>
      <c r="O215" s="470">
        <v>0</v>
      </c>
      <c r="P215" s="470">
        <v>0</v>
      </c>
      <c r="Q215" s="470">
        <v>0</v>
      </c>
      <c r="R215" s="470">
        <v>0</v>
      </c>
      <c r="S215" s="470" t="s">
        <v>306</v>
      </c>
      <c r="T215" s="470" t="s">
        <v>306</v>
      </c>
      <c r="U215" s="470" t="s">
        <v>306</v>
      </c>
      <c r="V215" s="470" t="s">
        <v>306</v>
      </c>
      <c r="W215" s="470" t="s">
        <v>306</v>
      </c>
      <c r="X215" s="470">
        <v>0</v>
      </c>
      <c r="Y215" s="470">
        <v>0</v>
      </c>
      <c r="Z215" s="470">
        <v>0</v>
      </c>
      <c r="AA215" s="470">
        <v>0</v>
      </c>
      <c r="AB215" s="470" t="s">
        <v>306</v>
      </c>
      <c r="AC215" s="470" t="s">
        <v>306</v>
      </c>
      <c r="AD215" s="470" t="s">
        <v>306</v>
      </c>
      <c r="AE215" s="470" t="s">
        <v>306</v>
      </c>
      <c r="AF215" s="470" t="s">
        <v>306</v>
      </c>
      <c r="AG215" s="470" t="s">
        <v>306</v>
      </c>
      <c r="AH215" s="470" t="s">
        <v>306</v>
      </c>
      <c r="AI215" s="470" t="s">
        <v>306</v>
      </c>
      <c r="AJ215" s="470" t="s">
        <v>306</v>
      </c>
      <c r="AK215" s="470" t="s">
        <v>306</v>
      </c>
      <c r="AL215" s="470" t="s">
        <v>306</v>
      </c>
    </row>
    <row r="216" spans="1:38">
      <c r="A216" s="470" t="s">
        <v>307</v>
      </c>
      <c r="B216" s="470" t="s">
        <v>273</v>
      </c>
      <c r="C216" s="470" t="s">
        <v>273</v>
      </c>
      <c r="D216" s="470" t="s">
        <v>273</v>
      </c>
      <c r="E216" s="470" t="s">
        <v>273</v>
      </c>
      <c r="F216" s="470" t="s">
        <v>273</v>
      </c>
      <c r="G216" s="470" t="s">
        <v>273</v>
      </c>
      <c r="H216" s="470" t="s">
        <v>273</v>
      </c>
      <c r="I216" s="470">
        <v>0</v>
      </c>
      <c r="J216" s="470">
        <v>0</v>
      </c>
      <c r="K216" s="470">
        <v>0</v>
      </c>
      <c r="L216" s="470" t="s">
        <v>306</v>
      </c>
      <c r="M216" s="470">
        <v>0</v>
      </c>
      <c r="N216" s="470">
        <v>0</v>
      </c>
      <c r="O216" s="470">
        <v>0</v>
      </c>
      <c r="P216" s="470">
        <v>0</v>
      </c>
      <c r="Q216" s="470">
        <v>0</v>
      </c>
      <c r="R216" s="470">
        <v>0</v>
      </c>
      <c r="S216" s="470">
        <v>0</v>
      </c>
      <c r="T216" s="470">
        <v>0</v>
      </c>
      <c r="U216" s="470">
        <v>0</v>
      </c>
      <c r="V216" s="470">
        <v>0</v>
      </c>
      <c r="W216" s="470">
        <v>0</v>
      </c>
      <c r="X216" s="470">
        <v>0</v>
      </c>
      <c r="Y216" s="470">
        <v>0</v>
      </c>
      <c r="Z216" s="470">
        <v>0</v>
      </c>
      <c r="AA216" s="470" t="s">
        <v>273</v>
      </c>
      <c r="AB216" s="470">
        <v>0</v>
      </c>
      <c r="AC216" s="470" t="s">
        <v>273</v>
      </c>
      <c r="AD216" s="470" t="s">
        <v>273</v>
      </c>
      <c r="AE216" s="470" t="s">
        <v>273</v>
      </c>
      <c r="AF216" s="470" t="s">
        <v>273</v>
      </c>
      <c r="AG216" s="470" t="s">
        <v>273</v>
      </c>
      <c r="AH216" s="470" t="s">
        <v>273</v>
      </c>
      <c r="AI216" s="470" t="s">
        <v>273</v>
      </c>
      <c r="AJ216" s="470" t="s">
        <v>273</v>
      </c>
      <c r="AK216" s="470" t="s">
        <v>273</v>
      </c>
      <c r="AL216" s="470" t="s">
        <v>273</v>
      </c>
    </row>
    <row r="217" spans="1:38">
      <c r="A217" s="470" t="s">
        <v>305</v>
      </c>
      <c r="B217" s="470" t="s">
        <v>273</v>
      </c>
      <c r="C217" s="470" t="s">
        <v>273</v>
      </c>
      <c r="D217" s="470" t="s">
        <v>273</v>
      </c>
      <c r="E217" s="470" t="s">
        <v>273</v>
      </c>
      <c r="F217" s="470" t="s">
        <v>273</v>
      </c>
      <c r="G217" s="470" t="s">
        <v>273</v>
      </c>
      <c r="H217" s="470" t="s">
        <v>273</v>
      </c>
      <c r="I217" s="470">
        <v>0</v>
      </c>
      <c r="J217" s="470">
        <v>0</v>
      </c>
      <c r="K217" s="470">
        <v>0</v>
      </c>
      <c r="L217" s="470">
        <v>0</v>
      </c>
      <c r="M217" s="470">
        <v>0</v>
      </c>
      <c r="N217" s="470">
        <v>0</v>
      </c>
      <c r="O217" s="470">
        <v>0</v>
      </c>
      <c r="P217" s="470">
        <v>0</v>
      </c>
      <c r="Q217" s="470">
        <v>0</v>
      </c>
      <c r="R217" s="470">
        <v>0</v>
      </c>
      <c r="S217" s="470">
        <v>0</v>
      </c>
      <c r="T217" s="470">
        <v>-1</v>
      </c>
      <c r="U217" s="470" t="s">
        <v>306</v>
      </c>
      <c r="V217" s="470">
        <v>-1</v>
      </c>
      <c r="W217" s="470">
        <v>-2</v>
      </c>
      <c r="X217" s="470">
        <v>-1</v>
      </c>
      <c r="Y217" s="470" t="s">
        <v>306</v>
      </c>
      <c r="Z217" s="470" t="s">
        <v>306</v>
      </c>
      <c r="AA217" s="470" t="s">
        <v>306</v>
      </c>
      <c r="AB217" s="470" t="s">
        <v>306</v>
      </c>
      <c r="AC217" s="470">
        <v>0</v>
      </c>
      <c r="AD217" s="470">
        <v>0</v>
      </c>
      <c r="AE217" s="470">
        <v>0</v>
      </c>
      <c r="AF217" s="470">
        <v>0</v>
      </c>
      <c r="AG217" s="470">
        <v>0</v>
      </c>
      <c r="AH217" s="470">
        <v>0</v>
      </c>
      <c r="AI217" s="470">
        <v>0</v>
      </c>
      <c r="AJ217" s="470">
        <v>0</v>
      </c>
      <c r="AK217" s="470">
        <v>0</v>
      </c>
      <c r="AL217" s="470">
        <v>0</v>
      </c>
    </row>
    <row r="218" spans="1:38">
      <c r="A218" s="470" t="s">
        <v>304</v>
      </c>
      <c r="B218" s="470" t="s">
        <v>273</v>
      </c>
      <c r="C218" s="470" t="s">
        <v>273</v>
      </c>
      <c r="D218" s="470" t="s">
        <v>273</v>
      </c>
      <c r="E218" s="470" t="s">
        <v>273</v>
      </c>
      <c r="F218" s="470" t="s">
        <v>273</v>
      </c>
      <c r="G218" s="470" t="s">
        <v>273</v>
      </c>
      <c r="H218" s="470" t="s">
        <v>273</v>
      </c>
      <c r="I218" s="470">
        <v>0</v>
      </c>
      <c r="J218" s="470">
        <v>0</v>
      </c>
      <c r="K218" s="470">
        <v>0</v>
      </c>
      <c r="L218" s="470">
        <v>0</v>
      </c>
      <c r="M218" s="470">
        <v>0</v>
      </c>
      <c r="N218" s="470">
        <v>0</v>
      </c>
      <c r="O218" s="470">
        <v>0</v>
      </c>
      <c r="P218" s="470">
        <v>0</v>
      </c>
      <c r="Q218" s="470">
        <v>0</v>
      </c>
      <c r="R218" s="470">
        <v>0</v>
      </c>
      <c r="S218" s="470">
        <v>0</v>
      </c>
      <c r="T218" s="470">
        <v>0</v>
      </c>
      <c r="U218" s="470">
        <v>0</v>
      </c>
      <c r="V218" s="470">
        <v>0</v>
      </c>
      <c r="W218" s="470">
        <v>0</v>
      </c>
      <c r="X218" s="470">
        <v>0</v>
      </c>
      <c r="Y218" s="470">
        <v>0</v>
      </c>
      <c r="Z218" s="470">
        <v>0</v>
      </c>
      <c r="AA218" s="470">
        <v>0</v>
      </c>
      <c r="AB218" s="470">
        <v>0</v>
      </c>
      <c r="AC218" s="470">
        <v>0</v>
      </c>
      <c r="AD218" s="470">
        <v>0</v>
      </c>
      <c r="AE218" s="470">
        <v>0</v>
      </c>
      <c r="AF218" s="470">
        <v>0</v>
      </c>
      <c r="AG218" s="470">
        <v>0</v>
      </c>
      <c r="AH218" s="470">
        <v>-4</v>
      </c>
      <c r="AI218" s="470" t="s">
        <v>291</v>
      </c>
      <c r="AJ218" s="470">
        <v>-1</v>
      </c>
      <c r="AK218" s="470" t="s">
        <v>306</v>
      </c>
      <c r="AL218" s="470" t="s">
        <v>306</v>
      </c>
    </row>
    <row r="219" spans="1:38">
      <c r="A219" s="470" t="s">
        <v>303</v>
      </c>
      <c r="B219" s="470" t="s">
        <v>273</v>
      </c>
      <c r="C219" s="470" t="s">
        <v>273</v>
      </c>
      <c r="D219" s="470" t="s">
        <v>273</v>
      </c>
      <c r="E219" s="470" t="s">
        <v>273</v>
      </c>
      <c r="F219" s="470" t="s">
        <v>273</v>
      </c>
      <c r="G219" s="470" t="s">
        <v>273</v>
      </c>
      <c r="H219" s="470" t="s">
        <v>273</v>
      </c>
      <c r="I219" s="470" t="s">
        <v>306</v>
      </c>
      <c r="J219" s="470" t="s">
        <v>306</v>
      </c>
      <c r="K219" s="470">
        <v>-1</v>
      </c>
      <c r="L219" s="470">
        <v>-1</v>
      </c>
      <c r="M219" s="470">
        <v>-1</v>
      </c>
      <c r="N219" s="470">
        <v>0</v>
      </c>
      <c r="O219" s="470">
        <v>0</v>
      </c>
      <c r="P219" s="470">
        <v>0</v>
      </c>
      <c r="Q219" s="470">
        <v>0</v>
      </c>
      <c r="R219" s="470">
        <v>0</v>
      </c>
      <c r="S219" s="470" t="s">
        <v>306</v>
      </c>
      <c r="T219" s="470">
        <v>0</v>
      </c>
      <c r="U219" s="470">
        <v>0</v>
      </c>
      <c r="V219" s="470">
        <v>0</v>
      </c>
      <c r="W219" s="470">
        <v>0</v>
      </c>
      <c r="X219" s="470">
        <v>0</v>
      </c>
      <c r="Y219" s="470" t="s">
        <v>273</v>
      </c>
      <c r="Z219" s="470" t="s">
        <v>273</v>
      </c>
      <c r="AA219" s="470" t="s">
        <v>273</v>
      </c>
      <c r="AB219" s="470" t="s">
        <v>273</v>
      </c>
      <c r="AC219" s="470">
        <v>0</v>
      </c>
      <c r="AD219" s="470">
        <v>0</v>
      </c>
      <c r="AE219" s="470">
        <v>0</v>
      </c>
      <c r="AF219" s="470">
        <v>0</v>
      </c>
      <c r="AG219" s="470">
        <v>0</v>
      </c>
      <c r="AH219" s="470" t="s">
        <v>306</v>
      </c>
      <c r="AI219" s="470" t="s">
        <v>306</v>
      </c>
      <c r="AJ219" s="470" t="s">
        <v>306</v>
      </c>
      <c r="AK219" s="470" t="s">
        <v>306</v>
      </c>
      <c r="AL219" s="470" t="s">
        <v>306</v>
      </c>
    </row>
    <row r="220" spans="1:38">
      <c r="A220" s="470" t="s">
        <v>302</v>
      </c>
      <c r="B220" s="470" t="s">
        <v>273</v>
      </c>
      <c r="C220" s="470" t="s">
        <v>273</v>
      </c>
      <c r="D220" s="470" t="s">
        <v>273</v>
      </c>
      <c r="E220" s="470" t="s">
        <v>273</v>
      </c>
      <c r="F220" s="470" t="s">
        <v>273</v>
      </c>
      <c r="G220" s="470" t="s">
        <v>273</v>
      </c>
      <c r="H220" s="470" t="s">
        <v>273</v>
      </c>
      <c r="I220" s="470" t="s">
        <v>273</v>
      </c>
      <c r="J220" s="470" t="s">
        <v>273</v>
      </c>
      <c r="K220" s="470" t="s">
        <v>273</v>
      </c>
      <c r="L220" s="470" t="s">
        <v>273</v>
      </c>
      <c r="M220" s="470" t="s">
        <v>273</v>
      </c>
      <c r="N220" s="470" t="s">
        <v>273</v>
      </c>
      <c r="O220" s="470" t="s">
        <v>273</v>
      </c>
      <c r="P220" s="470" t="s">
        <v>273</v>
      </c>
      <c r="Q220" s="470" t="s">
        <v>273</v>
      </c>
      <c r="R220" s="470" t="s">
        <v>273</v>
      </c>
      <c r="S220" s="470" t="s">
        <v>273</v>
      </c>
      <c r="T220" s="470" t="s">
        <v>273</v>
      </c>
      <c r="U220" s="470" t="s">
        <v>273</v>
      </c>
      <c r="V220" s="470" t="s">
        <v>273</v>
      </c>
      <c r="W220" s="470" t="s">
        <v>273</v>
      </c>
      <c r="X220" s="470" t="s">
        <v>273</v>
      </c>
      <c r="Y220" s="470" t="s">
        <v>273</v>
      </c>
      <c r="Z220" s="470" t="s">
        <v>273</v>
      </c>
      <c r="AA220" s="470" t="s">
        <v>273</v>
      </c>
      <c r="AB220" s="470" t="s">
        <v>273</v>
      </c>
      <c r="AC220" s="470">
        <v>0</v>
      </c>
      <c r="AD220" s="470" t="s">
        <v>273</v>
      </c>
      <c r="AE220" s="470" t="s">
        <v>273</v>
      </c>
      <c r="AF220" s="470" t="s">
        <v>273</v>
      </c>
      <c r="AG220" s="470" t="s">
        <v>273</v>
      </c>
      <c r="AH220" s="470" t="s">
        <v>273</v>
      </c>
      <c r="AI220" s="470" t="s">
        <v>273</v>
      </c>
      <c r="AJ220" s="470" t="s">
        <v>273</v>
      </c>
      <c r="AK220" s="470" t="s">
        <v>273</v>
      </c>
      <c r="AL220" s="470" t="s">
        <v>273</v>
      </c>
    </row>
    <row r="221" spans="1:38">
      <c r="A221" s="470" t="s">
        <v>1409</v>
      </c>
      <c r="B221" s="470" t="s">
        <v>273</v>
      </c>
      <c r="C221" s="470" t="s">
        <v>273</v>
      </c>
      <c r="D221" s="470" t="s">
        <v>273</v>
      </c>
      <c r="E221" s="470" t="s">
        <v>273</v>
      </c>
      <c r="F221" s="470" t="s">
        <v>273</v>
      </c>
      <c r="G221" s="470" t="s">
        <v>273</v>
      </c>
      <c r="H221" s="470" t="s">
        <v>273</v>
      </c>
      <c r="I221" s="470">
        <v>-24</v>
      </c>
      <c r="J221" s="470">
        <v>-35</v>
      </c>
      <c r="K221" s="470">
        <v>-60</v>
      </c>
      <c r="L221" s="470">
        <v>-20</v>
      </c>
      <c r="M221" s="470">
        <v>2</v>
      </c>
      <c r="N221" s="470">
        <v>-2</v>
      </c>
      <c r="O221" s="470">
        <v>19</v>
      </c>
      <c r="P221" s="470">
        <v>61</v>
      </c>
      <c r="Q221" s="470">
        <v>59</v>
      </c>
      <c r="R221" s="470">
        <v>69</v>
      </c>
      <c r="S221" s="470" t="s">
        <v>273</v>
      </c>
      <c r="T221" s="470" t="s">
        <v>273</v>
      </c>
      <c r="U221" s="470" t="s">
        <v>273</v>
      </c>
      <c r="V221" s="470" t="s">
        <v>273</v>
      </c>
      <c r="W221" s="470" t="s">
        <v>273</v>
      </c>
      <c r="X221" s="470" t="s">
        <v>273</v>
      </c>
      <c r="Y221" s="470" t="s">
        <v>273</v>
      </c>
      <c r="Z221" s="470" t="s">
        <v>273</v>
      </c>
      <c r="AA221" s="470" t="s">
        <v>273</v>
      </c>
      <c r="AB221" s="470" t="s">
        <v>273</v>
      </c>
      <c r="AC221" s="470" t="s">
        <v>273</v>
      </c>
      <c r="AD221" s="470" t="s">
        <v>273</v>
      </c>
      <c r="AE221" s="470" t="s">
        <v>273</v>
      </c>
      <c r="AF221" s="470" t="s">
        <v>273</v>
      </c>
      <c r="AG221" s="470" t="s">
        <v>273</v>
      </c>
      <c r="AH221" s="470" t="s">
        <v>273</v>
      </c>
      <c r="AI221" s="470" t="s">
        <v>273</v>
      </c>
      <c r="AJ221" s="470" t="s">
        <v>273</v>
      </c>
      <c r="AK221" s="470" t="s">
        <v>273</v>
      </c>
      <c r="AL221" s="470" t="s">
        <v>273</v>
      </c>
    </row>
    <row r="222" spans="1:38">
      <c r="A222" s="470" t="s">
        <v>300</v>
      </c>
      <c r="B222" s="470" t="s">
        <v>273</v>
      </c>
      <c r="C222" s="470" t="s">
        <v>273</v>
      </c>
      <c r="D222" s="470" t="s">
        <v>273</v>
      </c>
      <c r="E222" s="470" t="s">
        <v>273</v>
      </c>
      <c r="F222" s="470" t="s">
        <v>273</v>
      </c>
      <c r="G222" s="470" t="s">
        <v>273</v>
      </c>
      <c r="H222" s="470" t="s">
        <v>273</v>
      </c>
      <c r="I222" s="470" t="s">
        <v>273</v>
      </c>
      <c r="J222" s="470" t="s">
        <v>273</v>
      </c>
      <c r="K222" s="470" t="s">
        <v>273</v>
      </c>
      <c r="L222" s="470" t="s">
        <v>273</v>
      </c>
      <c r="M222" s="470" t="s">
        <v>273</v>
      </c>
      <c r="N222" s="470" t="s">
        <v>273</v>
      </c>
      <c r="O222" s="470" t="s">
        <v>273</v>
      </c>
      <c r="P222" s="470" t="s">
        <v>273</v>
      </c>
      <c r="Q222" s="470" t="s">
        <v>273</v>
      </c>
      <c r="R222" s="470" t="s">
        <v>273</v>
      </c>
      <c r="S222" s="470">
        <v>0</v>
      </c>
      <c r="T222" s="470">
        <v>0</v>
      </c>
      <c r="U222" s="470">
        <v>0</v>
      </c>
      <c r="V222" s="470">
        <v>0</v>
      </c>
      <c r="W222" s="470">
        <v>0</v>
      </c>
      <c r="X222" s="470">
        <v>0</v>
      </c>
      <c r="Y222" s="470">
        <v>0</v>
      </c>
      <c r="Z222" s="470">
        <v>0</v>
      </c>
      <c r="AA222" s="470">
        <v>0</v>
      </c>
      <c r="AB222" s="470">
        <v>0</v>
      </c>
      <c r="AC222" s="470" t="s">
        <v>273</v>
      </c>
      <c r="AD222" s="470" t="s">
        <v>273</v>
      </c>
      <c r="AE222" s="470" t="s">
        <v>273</v>
      </c>
      <c r="AF222" s="470" t="s">
        <v>273</v>
      </c>
      <c r="AG222" s="470" t="s">
        <v>273</v>
      </c>
      <c r="AH222" s="470" t="s">
        <v>273</v>
      </c>
      <c r="AI222" s="470" t="s">
        <v>273</v>
      </c>
      <c r="AJ222" s="470" t="s">
        <v>273</v>
      </c>
      <c r="AK222" s="470" t="s">
        <v>273</v>
      </c>
      <c r="AL222" s="470" t="s">
        <v>273</v>
      </c>
    </row>
    <row r="223" spans="1:38">
      <c r="A223" s="470" t="s">
        <v>299</v>
      </c>
      <c r="B223" s="470" t="s">
        <v>273</v>
      </c>
      <c r="C223" s="470" t="s">
        <v>273</v>
      </c>
      <c r="D223" s="470" t="s">
        <v>273</v>
      </c>
      <c r="E223" s="470" t="s">
        <v>273</v>
      </c>
      <c r="F223" s="470" t="s">
        <v>273</v>
      </c>
      <c r="G223" s="470" t="s">
        <v>273</v>
      </c>
      <c r="H223" s="470" t="s">
        <v>273</v>
      </c>
      <c r="I223" s="470">
        <v>0</v>
      </c>
      <c r="J223" s="470">
        <v>0</v>
      </c>
      <c r="K223" s="470">
        <v>0</v>
      </c>
      <c r="L223" s="470">
        <v>0</v>
      </c>
      <c r="M223" s="470">
        <v>0</v>
      </c>
      <c r="N223" s="470">
        <v>0</v>
      </c>
      <c r="O223" s="470">
        <v>0</v>
      </c>
      <c r="P223" s="470">
        <v>0</v>
      </c>
      <c r="Q223" s="470">
        <v>0</v>
      </c>
      <c r="R223" s="470">
        <v>0</v>
      </c>
      <c r="S223" s="470">
        <v>0</v>
      </c>
      <c r="T223" s="470">
        <v>0</v>
      </c>
      <c r="U223" s="470">
        <v>0</v>
      </c>
      <c r="V223" s="470">
        <v>0</v>
      </c>
      <c r="W223" s="470">
        <v>0</v>
      </c>
      <c r="X223" s="470">
        <v>0</v>
      </c>
      <c r="Y223" s="470">
        <v>0</v>
      </c>
      <c r="Z223" s="470">
        <v>0</v>
      </c>
      <c r="AA223" s="470">
        <v>0</v>
      </c>
      <c r="AB223" s="470">
        <v>0</v>
      </c>
      <c r="AC223" s="470" t="s">
        <v>306</v>
      </c>
      <c r="AD223" s="470" t="s">
        <v>273</v>
      </c>
      <c r="AE223" s="470" t="s">
        <v>273</v>
      </c>
      <c r="AF223" s="470" t="s">
        <v>273</v>
      </c>
      <c r="AG223" s="470" t="s">
        <v>273</v>
      </c>
      <c r="AH223" s="470" t="s">
        <v>273</v>
      </c>
      <c r="AI223" s="470" t="s">
        <v>273</v>
      </c>
      <c r="AJ223" s="470" t="s">
        <v>273</v>
      </c>
      <c r="AK223" s="470" t="s">
        <v>273</v>
      </c>
      <c r="AL223" s="470" t="s">
        <v>273</v>
      </c>
    </row>
    <row r="224" spans="1:38">
      <c r="A224" s="470" t="s">
        <v>298</v>
      </c>
      <c r="B224" s="470" t="s">
        <v>273</v>
      </c>
      <c r="C224" s="470" t="s">
        <v>273</v>
      </c>
      <c r="D224" s="470" t="s">
        <v>273</v>
      </c>
      <c r="E224" s="470" t="s">
        <v>273</v>
      </c>
      <c r="F224" s="470" t="s">
        <v>273</v>
      </c>
      <c r="G224" s="470" t="s">
        <v>273</v>
      </c>
      <c r="H224" s="470" t="s">
        <v>273</v>
      </c>
      <c r="I224" s="470">
        <v>0</v>
      </c>
      <c r="J224" s="470">
        <v>0</v>
      </c>
      <c r="K224" s="470">
        <v>0</v>
      </c>
      <c r="L224" s="470">
        <v>0</v>
      </c>
      <c r="M224" s="470">
        <v>0</v>
      </c>
      <c r="N224" s="470">
        <v>0</v>
      </c>
      <c r="O224" s="470">
        <v>0</v>
      </c>
      <c r="P224" s="470">
        <v>0</v>
      </c>
      <c r="Q224" s="470">
        <v>0</v>
      </c>
      <c r="R224" s="470">
        <v>0</v>
      </c>
      <c r="S224" s="470" t="s">
        <v>306</v>
      </c>
      <c r="T224" s="470" t="s">
        <v>306</v>
      </c>
      <c r="U224" s="470" t="s">
        <v>306</v>
      </c>
      <c r="V224" s="470" t="s">
        <v>306</v>
      </c>
      <c r="W224" s="470" t="s">
        <v>306</v>
      </c>
      <c r="X224" s="470">
        <v>0</v>
      </c>
      <c r="Y224" s="470">
        <v>0</v>
      </c>
      <c r="Z224" s="470">
        <v>0</v>
      </c>
      <c r="AA224" s="470" t="s">
        <v>273</v>
      </c>
      <c r="AB224" s="470">
        <v>0</v>
      </c>
      <c r="AC224" s="470" t="s">
        <v>273</v>
      </c>
      <c r="AD224" s="470" t="s">
        <v>306</v>
      </c>
      <c r="AE224" s="470" t="s">
        <v>306</v>
      </c>
      <c r="AF224" s="470" t="s">
        <v>306</v>
      </c>
      <c r="AG224" s="470" t="s">
        <v>306</v>
      </c>
      <c r="AH224" s="470">
        <v>0</v>
      </c>
      <c r="AI224" s="470">
        <v>0</v>
      </c>
      <c r="AJ224" s="470">
        <v>0</v>
      </c>
      <c r="AK224" s="470">
        <v>0</v>
      </c>
      <c r="AL224" s="470">
        <v>0</v>
      </c>
    </row>
    <row r="225" spans="1:38">
      <c r="A225" s="470" t="s">
        <v>1408</v>
      </c>
      <c r="B225" s="470" t="s">
        <v>273</v>
      </c>
      <c r="C225" s="470" t="s">
        <v>273</v>
      </c>
      <c r="D225" s="470" t="s">
        <v>273</v>
      </c>
      <c r="E225" s="470" t="s">
        <v>273</v>
      </c>
      <c r="F225" s="470" t="s">
        <v>273</v>
      </c>
      <c r="G225" s="470" t="s">
        <v>273</v>
      </c>
      <c r="H225" s="470" t="s">
        <v>273</v>
      </c>
      <c r="I225" s="470">
        <v>1</v>
      </c>
      <c r="J225" s="470">
        <v>2</v>
      </c>
      <c r="K225" s="470" t="s">
        <v>306</v>
      </c>
      <c r="L225" s="470">
        <v>-7</v>
      </c>
      <c r="M225" s="470">
        <v>-13</v>
      </c>
      <c r="N225" s="470">
        <v>-49</v>
      </c>
      <c r="O225" s="470">
        <v>-13</v>
      </c>
      <c r="P225" s="470">
        <v>-1</v>
      </c>
      <c r="Q225" s="470">
        <v>6</v>
      </c>
      <c r="R225" s="470">
        <v>13</v>
      </c>
      <c r="S225" s="470" t="s">
        <v>273</v>
      </c>
      <c r="T225" s="470" t="s">
        <v>273</v>
      </c>
      <c r="U225" s="470" t="s">
        <v>273</v>
      </c>
      <c r="V225" s="470" t="s">
        <v>273</v>
      </c>
      <c r="W225" s="470" t="s">
        <v>273</v>
      </c>
      <c r="X225" s="470" t="s">
        <v>273</v>
      </c>
      <c r="Y225" s="470" t="s">
        <v>273</v>
      </c>
      <c r="Z225" s="470" t="s">
        <v>273</v>
      </c>
      <c r="AA225" s="470" t="s">
        <v>273</v>
      </c>
      <c r="AB225" s="470" t="s">
        <v>273</v>
      </c>
      <c r="AC225" s="470" t="s">
        <v>273</v>
      </c>
      <c r="AD225" s="470" t="s">
        <v>273</v>
      </c>
      <c r="AE225" s="470" t="s">
        <v>273</v>
      </c>
      <c r="AF225" s="470" t="s">
        <v>273</v>
      </c>
      <c r="AG225" s="470" t="s">
        <v>273</v>
      </c>
      <c r="AH225" s="470" t="s">
        <v>273</v>
      </c>
      <c r="AI225" s="470" t="s">
        <v>273</v>
      </c>
      <c r="AJ225" s="470" t="s">
        <v>273</v>
      </c>
      <c r="AK225" s="470" t="s">
        <v>273</v>
      </c>
      <c r="AL225" s="470" t="s">
        <v>273</v>
      </c>
    </row>
    <row r="226" spans="1:38">
      <c r="A226" s="470" t="s">
        <v>1407</v>
      </c>
      <c r="B226" s="470" t="s">
        <v>273</v>
      </c>
      <c r="C226" s="470" t="s">
        <v>273</v>
      </c>
      <c r="D226" s="470" t="s">
        <v>273</v>
      </c>
      <c r="E226" s="470" t="s">
        <v>273</v>
      </c>
      <c r="F226" s="470" t="s">
        <v>273</v>
      </c>
      <c r="G226" s="470" t="s">
        <v>273</v>
      </c>
      <c r="H226" s="470" t="s">
        <v>273</v>
      </c>
      <c r="I226" s="470">
        <v>-2</v>
      </c>
      <c r="J226" s="470">
        <v>8</v>
      </c>
      <c r="K226" s="470">
        <v>-7</v>
      </c>
      <c r="L226" s="470">
        <v>1</v>
      </c>
      <c r="M226" s="470">
        <v>6</v>
      </c>
      <c r="N226" s="470">
        <v>-25</v>
      </c>
      <c r="O226" s="470">
        <v>-40</v>
      </c>
      <c r="P226" s="470">
        <v>-7</v>
      </c>
      <c r="Q226" s="470">
        <v>23</v>
      </c>
      <c r="R226" s="470">
        <v>14</v>
      </c>
      <c r="S226" s="470">
        <v>31</v>
      </c>
      <c r="T226" s="470">
        <v>26</v>
      </c>
      <c r="U226" s="470">
        <v>8</v>
      </c>
      <c r="V226" s="470">
        <v>-12</v>
      </c>
      <c r="W226" s="470">
        <v>3</v>
      </c>
      <c r="X226" s="470">
        <v>7</v>
      </c>
      <c r="Y226" s="470" t="s">
        <v>306</v>
      </c>
      <c r="Z226" s="470">
        <v>3</v>
      </c>
      <c r="AA226" s="470" t="s">
        <v>291</v>
      </c>
      <c r="AB226" s="470" t="s">
        <v>291</v>
      </c>
      <c r="AC226" s="470">
        <v>7</v>
      </c>
      <c r="AD226" s="470">
        <v>8</v>
      </c>
      <c r="AE226" s="470">
        <v>8</v>
      </c>
      <c r="AF226" s="470">
        <v>28</v>
      </c>
      <c r="AG226" s="470">
        <v>10</v>
      </c>
      <c r="AH226" s="470">
        <v>14</v>
      </c>
      <c r="AI226" s="470">
        <v>18</v>
      </c>
      <c r="AJ226" s="470">
        <v>25</v>
      </c>
      <c r="AK226" s="470">
        <v>20</v>
      </c>
      <c r="AL226" s="470">
        <v>28</v>
      </c>
    </row>
    <row r="227" spans="1:38">
      <c r="A227" s="470" t="s">
        <v>297</v>
      </c>
      <c r="B227" s="470" t="s">
        <v>273</v>
      </c>
      <c r="C227" s="470" t="s">
        <v>273</v>
      </c>
      <c r="D227" s="470" t="s">
        <v>273</v>
      </c>
      <c r="E227" s="470" t="s">
        <v>273</v>
      </c>
      <c r="F227" s="470" t="s">
        <v>273</v>
      </c>
      <c r="G227" s="470" t="s">
        <v>273</v>
      </c>
      <c r="H227" s="470" t="s">
        <v>273</v>
      </c>
      <c r="I227" s="470">
        <v>0</v>
      </c>
      <c r="J227" s="470">
        <v>0</v>
      </c>
      <c r="K227" s="470">
        <v>0</v>
      </c>
      <c r="L227" s="470">
        <v>0</v>
      </c>
      <c r="M227" s="470">
        <v>0</v>
      </c>
      <c r="N227" s="470" t="s">
        <v>306</v>
      </c>
      <c r="O227" s="470" t="s">
        <v>306</v>
      </c>
      <c r="P227" s="470" t="s">
        <v>306</v>
      </c>
      <c r="Q227" s="470" t="s">
        <v>306</v>
      </c>
      <c r="R227" s="470" t="s">
        <v>306</v>
      </c>
      <c r="S227" s="470" t="s">
        <v>306</v>
      </c>
      <c r="T227" s="470" t="s">
        <v>306</v>
      </c>
      <c r="U227" s="470" t="s">
        <v>306</v>
      </c>
      <c r="V227" s="470" t="s">
        <v>306</v>
      </c>
      <c r="W227" s="470" t="s">
        <v>306</v>
      </c>
      <c r="X227" s="470" t="s">
        <v>306</v>
      </c>
      <c r="Y227" s="470" t="s">
        <v>306</v>
      </c>
      <c r="Z227" s="470" t="s">
        <v>306</v>
      </c>
      <c r="AA227" s="470" t="s">
        <v>306</v>
      </c>
      <c r="AB227" s="470" t="s">
        <v>306</v>
      </c>
      <c r="AC227" s="470">
        <v>0</v>
      </c>
      <c r="AD227" s="470">
        <v>0</v>
      </c>
      <c r="AE227" s="470">
        <v>0</v>
      </c>
      <c r="AF227" s="470">
        <v>0</v>
      </c>
      <c r="AG227" s="470">
        <v>0</v>
      </c>
      <c r="AH227" s="470">
        <v>0</v>
      </c>
      <c r="AI227" s="470">
        <v>0</v>
      </c>
      <c r="AJ227" s="470">
        <v>0</v>
      </c>
      <c r="AK227" s="470">
        <v>0</v>
      </c>
      <c r="AL227" s="470">
        <v>0</v>
      </c>
    </row>
    <row r="228" spans="1:38">
      <c r="A228" s="470" t="s">
        <v>296</v>
      </c>
      <c r="B228" s="470" t="s">
        <v>273</v>
      </c>
      <c r="C228" s="470" t="s">
        <v>273</v>
      </c>
      <c r="D228" s="470" t="s">
        <v>273</v>
      </c>
      <c r="E228" s="470" t="s">
        <v>273</v>
      </c>
      <c r="F228" s="470" t="s">
        <v>273</v>
      </c>
      <c r="G228" s="470" t="s">
        <v>273</v>
      </c>
      <c r="H228" s="470" t="s">
        <v>273</v>
      </c>
      <c r="I228" s="470" t="s">
        <v>306</v>
      </c>
      <c r="J228" s="470" t="s">
        <v>306</v>
      </c>
      <c r="K228" s="470">
        <v>0</v>
      </c>
      <c r="L228" s="470">
        <v>0</v>
      </c>
      <c r="M228" s="470">
        <v>0</v>
      </c>
      <c r="N228" s="470" t="s">
        <v>306</v>
      </c>
      <c r="O228" s="470" t="s">
        <v>306</v>
      </c>
      <c r="P228" s="470" t="s">
        <v>306</v>
      </c>
      <c r="Q228" s="470" t="s">
        <v>306</v>
      </c>
      <c r="R228" s="470" t="s">
        <v>306</v>
      </c>
      <c r="S228" s="470" t="s">
        <v>306</v>
      </c>
      <c r="T228" s="470" t="s">
        <v>306</v>
      </c>
      <c r="U228" s="470" t="s">
        <v>306</v>
      </c>
      <c r="V228" s="470" t="s">
        <v>306</v>
      </c>
      <c r="W228" s="470" t="s">
        <v>306</v>
      </c>
      <c r="X228" s="470" t="s">
        <v>306</v>
      </c>
      <c r="Y228" s="470" t="s">
        <v>306</v>
      </c>
      <c r="Z228" s="470" t="s">
        <v>306</v>
      </c>
      <c r="AA228" s="470" t="s">
        <v>306</v>
      </c>
      <c r="AB228" s="470" t="s">
        <v>306</v>
      </c>
      <c r="AC228" s="470">
        <v>0</v>
      </c>
      <c r="AD228" s="470">
        <v>0</v>
      </c>
      <c r="AE228" s="470">
        <v>0</v>
      </c>
      <c r="AF228" s="470">
        <v>0</v>
      </c>
      <c r="AG228" s="470">
        <v>0</v>
      </c>
      <c r="AH228" s="470" t="s">
        <v>306</v>
      </c>
      <c r="AI228" s="470" t="s">
        <v>306</v>
      </c>
      <c r="AJ228" s="470" t="s">
        <v>306</v>
      </c>
      <c r="AK228" s="470" t="s">
        <v>306</v>
      </c>
      <c r="AL228" s="470" t="s">
        <v>306</v>
      </c>
    </row>
    <row r="229" spans="1:38">
      <c r="A229" s="470" t="s">
        <v>295</v>
      </c>
      <c r="B229" s="470" t="s">
        <v>273</v>
      </c>
      <c r="C229" s="470" t="s">
        <v>273</v>
      </c>
      <c r="D229" s="470" t="s">
        <v>273</v>
      </c>
      <c r="E229" s="470" t="s">
        <v>273</v>
      </c>
      <c r="F229" s="470" t="s">
        <v>273</v>
      </c>
      <c r="G229" s="470" t="s">
        <v>273</v>
      </c>
      <c r="H229" s="470" t="s">
        <v>273</v>
      </c>
      <c r="I229" s="470" t="s">
        <v>273</v>
      </c>
      <c r="J229" s="470" t="s">
        <v>273</v>
      </c>
      <c r="K229" s="470" t="s">
        <v>273</v>
      </c>
      <c r="L229" s="470" t="s">
        <v>273</v>
      </c>
      <c r="M229" s="470" t="s">
        <v>273</v>
      </c>
      <c r="N229" s="470" t="s">
        <v>273</v>
      </c>
      <c r="O229" s="470" t="s">
        <v>273</v>
      </c>
      <c r="P229" s="470" t="s">
        <v>273</v>
      </c>
      <c r="Q229" s="470" t="s">
        <v>273</v>
      </c>
      <c r="R229" s="470" t="s">
        <v>273</v>
      </c>
      <c r="S229" s="470" t="s">
        <v>273</v>
      </c>
      <c r="T229" s="470" t="s">
        <v>273</v>
      </c>
      <c r="U229" s="470" t="s">
        <v>273</v>
      </c>
      <c r="V229" s="470" t="s">
        <v>273</v>
      </c>
      <c r="W229" s="470" t="s">
        <v>273</v>
      </c>
      <c r="X229" s="470" t="s">
        <v>273</v>
      </c>
      <c r="Y229" s="470" t="s">
        <v>273</v>
      </c>
      <c r="Z229" s="470" t="s">
        <v>273</v>
      </c>
      <c r="AA229" s="470" t="s">
        <v>273</v>
      </c>
      <c r="AB229" s="470">
        <v>0</v>
      </c>
      <c r="AC229" s="470">
        <v>0</v>
      </c>
      <c r="AD229" s="470" t="s">
        <v>273</v>
      </c>
      <c r="AE229" s="470" t="s">
        <v>273</v>
      </c>
      <c r="AF229" s="470" t="s">
        <v>273</v>
      </c>
      <c r="AG229" s="470" t="s">
        <v>273</v>
      </c>
      <c r="AH229" s="470" t="s">
        <v>273</v>
      </c>
      <c r="AI229" s="470" t="s">
        <v>273</v>
      </c>
      <c r="AJ229" s="470" t="s">
        <v>273</v>
      </c>
      <c r="AK229" s="470" t="s">
        <v>273</v>
      </c>
      <c r="AL229" s="470" t="s">
        <v>273</v>
      </c>
    </row>
    <row r="230" spans="1:38">
      <c r="A230" s="470" t="s">
        <v>294</v>
      </c>
      <c r="B230" s="470" t="s">
        <v>273</v>
      </c>
      <c r="C230" s="470" t="s">
        <v>273</v>
      </c>
      <c r="D230" s="470" t="s">
        <v>273</v>
      </c>
      <c r="E230" s="470" t="s">
        <v>273</v>
      </c>
      <c r="F230" s="470" t="s">
        <v>273</v>
      </c>
      <c r="G230" s="470" t="s">
        <v>273</v>
      </c>
      <c r="H230" s="470" t="s">
        <v>273</v>
      </c>
      <c r="I230" s="470">
        <v>0</v>
      </c>
      <c r="J230" s="470">
        <v>0</v>
      </c>
      <c r="K230" s="470">
        <v>0</v>
      </c>
      <c r="L230" s="470">
        <v>0</v>
      </c>
      <c r="M230" s="470">
        <v>0</v>
      </c>
      <c r="N230" s="470">
        <v>0</v>
      </c>
      <c r="O230" s="470">
        <v>0</v>
      </c>
      <c r="P230" s="470">
        <v>0</v>
      </c>
      <c r="Q230" s="470">
        <v>0</v>
      </c>
      <c r="R230" s="470">
        <v>0</v>
      </c>
      <c r="S230" s="470">
        <v>0</v>
      </c>
      <c r="T230" s="470">
        <v>0</v>
      </c>
      <c r="U230" s="470">
        <v>0</v>
      </c>
      <c r="V230" s="470">
        <v>0</v>
      </c>
      <c r="W230" s="470">
        <v>0</v>
      </c>
      <c r="X230" s="470">
        <v>7</v>
      </c>
      <c r="Y230" s="470" t="s">
        <v>291</v>
      </c>
      <c r="Z230" s="470" t="s">
        <v>291</v>
      </c>
      <c r="AA230" s="470" t="s">
        <v>291</v>
      </c>
      <c r="AB230" s="470" t="s">
        <v>291</v>
      </c>
      <c r="AC230" s="470" t="s">
        <v>306</v>
      </c>
      <c r="AD230" s="470" t="s">
        <v>306</v>
      </c>
      <c r="AE230" s="470" t="s">
        <v>291</v>
      </c>
      <c r="AF230" s="470">
        <v>1</v>
      </c>
      <c r="AG230" s="470">
        <v>3</v>
      </c>
      <c r="AH230" s="470" t="s">
        <v>291</v>
      </c>
      <c r="AI230" s="470">
        <v>9</v>
      </c>
      <c r="AJ230" s="470">
        <v>6</v>
      </c>
      <c r="AK230" s="470">
        <v>9</v>
      </c>
      <c r="AL230" s="470" t="s">
        <v>291</v>
      </c>
    </row>
    <row r="231" spans="1:38">
      <c r="A231" s="470" t="s">
        <v>293</v>
      </c>
      <c r="B231" s="470" t="s">
        <v>273</v>
      </c>
      <c r="C231" s="470" t="s">
        <v>273</v>
      </c>
      <c r="D231" s="470" t="s">
        <v>273</v>
      </c>
      <c r="E231" s="470" t="s">
        <v>273</v>
      </c>
      <c r="F231" s="470" t="s">
        <v>273</v>
      </c>
      <c r="G231" s="470" t="s">
        <v>273</v>
      </c>
      <c r="H231" s="470" t="s">
        <v>273</v>
      </c>
      <c r="I231" s="470" t="s">
        <v>273</v>
      </c>
      <c r="J231" s="470" t="s">
        <v>273</v>
      </c>
      <c r="K231" s="470" t="s">
        <v>273</v>
      </c>
      <c r="L231" s="470" t="s">
        <v>273</v>
      </c>
      <c r="M231" s="470" t="s">
        <v>273</v>
      </c>
      <c r="N231" s="470" t="s">
        <v>273</v>
      </c>
      <c r="O231" s="470" t="s">
        <v>273</v>
      </c>
      <c r="P231" s="470" t="s">
        <v>273</v>
      </c>
      <c r="Q231" s="470" t="s">
        <v>273</v>
      </c>
      <c r="R231" s="470" t="s">
        <v>273</v>
      </c>
      <c r="S231" s="470" t="s">
        <v>273</v>
      </c>
      <c r="T231" s="470" t="s">
        <v>273</v>
      </c>
      <c r="U231" s="470" t="s">
        <v>273</v>
      </c>
      <c r="V231" s="470" t="s">
        <v>273</v>
      </c>
      <c r="W231" s="470" t="s">
        <v>273</v>
      </c>
      <c r="X231" s="470" t="s">
        <v>273</v>
      </c>
      <c r="Y231" s="470" t="s">
        <v>273</v>
      </c>
      <c r="Z231" s="470" t="s">
        <v>273</v>
      </c>
      <c r="AA231" s="470" t="s">
        <v>273</v>
      </c>
      <c r="AB231" s="470" t="s">
        <v>273</v>
      </c>
      <c r="AC231" s="470" t="s">
        <v>273</v>
      </c>
      <c r="AD231" s="470" t="s">
        <v>273</v>
      </c>
      <c r="AE231" s="470" t="s">
        <v>273</v>
      </c>
      <c r="AF231" s="470" t="s">
        <v>273</v>
      </c>
      <c r="AG231" s="470" t="s">
        <v>273</v>
      </c>
      <c r="AH231" s="470">
        <v>0</v>
      </c>
      <c r="AI231" s="470">
        <v>0</v>
      </c>
      <c r="AJ231" s="470">
        <v>0</v>
      </c>
      <c r="AK231" s="470">
        <v>0</v>
      </c>
      <c r="AL231" s="470">
        <v>0</v>
      </c>
    </row>
    <row r="232" spans="1:38">
      <c r="A232" s="470" t="s">
        <v>292</v>
      </c>
      <c r="B232" s="470" t="s">
        <v>273</v>
      </c>
      <c r="C232" s="470" t="s">
        <v>273</v>
      </c>
      <c r="D232" s="470" t="s">
        <v>273</v>
      </c>
      <c r="E232" s="470" t="s">
        <v>273</v>
      </c>
      <c r="F232" s="470" t="s">
        <v>273</v>
      </c>
      <c r="G232" s="470" t="s">
        <v>273</v>
      </c>
      <c r="H232" s="470" t="s">
        <v>273</v>
      </c>
      <c r="I232" s="470">
        <v>0</v>
      </c>
      <c r="J232" s="470">
        <v>0</v>
      </c>
      <c r="K232" s="470">
        <v>0</v>
      </c>
      <c r="L232" s="470">
        <v>0</v>
      </c>
      <c r="M232" s="470">
        <v>0</v>
      </c>
      <c r="N232" s="470">
        <v>0</v>
      </c>
      <c r="O232" s="470">
        <v>0</v>
      </c>
      <c r="P232" s="470">
        <v>0</v>
      </c>
      <c r="Q232" s="470">
        <v>0</v>
      </c>
      <c r="R232" s="470">
        <v>0</v>
      </c>
      <c r="S232" s="470">
        <v>0</v>
      </c>
      <c r="T232" s="470">
        <v>0</v>
      </c>
      <c r="U232" s="470">
        <v>0</v>
      </c>
      <c r="V232" s="470">
        <v>0</v>
      </c>
      <c r="W232" s="470">
        <v>0</v>
      </c>
      <c r="X232" s="470">
        <v>0</v>
      </c>
      <c r="Y232" s="470">
        <v>0</v>
      </c>
      <c r="Z232" s="470">
        <v>0</v>
      </c>
      <c r="AA232" s="470">
        <v>0</v>
      </c>
      <c r="AB232" s="470">
        <v>0</v>
      </c>
      <c r="AC232" s="470">
        <v>0</v>
      </c>
      <c r="AD232" s="470">
        <v>0</v>
      </c>
      <c r="AE232" s="470">
        <v>0</v>
      </c>
      <c r="AF232" s="470">
        <v>0</v>
      </c>
      <c r="AG232" s="470">
        <v>0</v>
      </c>
      <c r="AH232" s="470">
        <v>0</v>
      </c>
      <c r="AI232" s="470">
        <v>0</v>
      </c>
      <c r="AJ232" s="470">
        <v>0</v>
      </c>
      <c r="AK232" s="470">
        <v>0</v>
      </c>
      <c r="AL232" s="470">
        <v>0</v>
      </c>
    </row>
    <row r="233" spans="1:38">
      <c r="A233" s="470" t="s">
        <v>290</v>
      </c>
      <c r="B233" s="470" t="s">
        <v>273</v>
      </c>
      <c r="C233" s="470" t="s">
        <v>273</v>
      </c>
      <c r="D233" s="470" t="s">
        <v>273</v>
      </c>
      <c r="E233" s="470" t="s">
        <v>273</v>
      </c>
      <c r="F233" s="470" t="s">
        <v>273</v>
      </c>
      <c r="G233" s="470" t="s">
        <v>273</v>
      </c>
      <c r="H233" s="470" t="s">
        <v>273</v>
      </c>
      <c r="I233" s="470">
        <v>-2</v>
      </c>
      <c r="J233" s="470">
        <v>4</v>
      </c>
      <c r="K233" s="470">
        <v>1</v>
      </c>
      <c r="L233" s="470">
        <v>4</v>
      </c>
      <c r="M233" s="470">
        <v>3</v>
      </c>
      <c r="N233" s="470">
        <v>0</v>
      </c>
      <c r="O233" s="470">
        <v>0</v>
      </c>
      <c r="P233" s="470">
        <v>0</v>
      </c>
      <c r="Q233" s="470">
        <v>0</v>
      </c>
      <c r="R233" s="470">
        <v>0</v>
      </c>
      <c r="S233" s="470" t="s">
        <v>273</v>
      </c>
      <c r="T233" s="470" t="s">
        <v>273</v>
      </c>
      <c r="U233" s="470" t="s">
        <v>273</v>
      </c>
      <c r="V233" s="470" t="s">
        <v>273</v>
      </c>
      <c r="W233" s="470" t="s">
        <v>273</v>
      </c>
      <c r="X233" s="470" t="s">
        <v>273</v>
      </c>
      <c r="Y233" s="470" t="s">
        <v>273</v>
      </c>
      <c r="Z233" s="470" t="s">
        <v>273</v>
      </c>
      <c r="AA233" s="470" t="s">
        <v>273</v>
      </c>
      <c r="AB233" s="470" t="s">
        <v>273</v>
      </c>
      <c r="AC233" s="470" t="s">
        <v>273</v>
      </c>
      <c r="AD233" s="470" t="s">
        <v>273</v>
      </c>
      <c r="AE233" s="470" t="s">
        <v>273</v>
      </c>
      <c r="AF233" s="470" t="s">
        <v>273</v>
      </c>
      <c r="AG233" s="470" t="s">
        <v>273</v>
      </c>
      <c r="AH233" s="470" t="s">
        <v>273</v>
      </c>
      <c r="AI233" s="470" t="s">
        <v>273</v>
      </c>
      <c r="AJ233" s="470" t="s">
        <v>273</v>
      </c>
      <c r="AK233" s="470" t="s">
        <v>273</v>
      </c>
      <c r="AL233" s="470" t="s">
        <v>273</v>
      </c>
    </row>
    <row r="234" spans="1:38">
      <c r="A234" s="470" t="s">
        <v>1030</v>
      </c>
      <c r="B234" s="470" t="s">
        <v>273</v>
      </c>
      <c r="C234" s="470" t="s">
        <v>273</v>
      </c>
      <c r="D234" s="470" t="s">
        <v>273</v>
      </c>
      <c r="E234" s="470" t="s">
        <v>273</v>
      </c>
      <c r="F234" s="470" t="s">
        <v>273</v>
      </c>
      <c r="G234" s="470" t="s">
        <v>273</v>
      </c>
      <c r="H234" s="470" t="s">
        <v>273</v>
      </c>
      <c r="I234" s="470" t="s">
        <v>273</v>
      </c>
      <c r="J234" s="470" t="s">
        <v>273</v>
      </c>
      <c r="K234" s="470" t="s">
        <v>273</v>
      </c>
      <c r="L234" s="470" t="s">
        <v>273</v>
      </c>
      <c r="M234" s="470" t="s">
        <v>273</v>
      </c>
      <c r="N234" s="470" t="s">
        <v>273</v>
      </c>
      <c r="O234" s="470" t="s">
        <v>273</v>
      </c>
      <c r="P234" s="470" t="s">
        <v>273</v>
      </c>
      <c r="Q234" s="470" t="s">
        <v>273</v>
      </c>
      <c r="R234" s="470" t="s">
        <v>273</v>
      </c>
      <c r="S234" s="470">
        <v>0</v>
      </c>
      <c r="T234" s="470">
        <v>0</v>
      </c>
      <c r="U234" s="470">
        <v>0</v>
      </c>
      <c r="V234" s="470">
        <v>0</v>
      </c>
      <c r="W234" s="470">
        <v>0</v>
      </c>
      <c r="X234" s="470">
        <v>0</v>
      </c>
      <c r="Y234" s="470">
        <v>0</v>
      </c>
      <c r="Z234" s="470">
        <v>0</v>
      </c>
      <c r="AA234" s="470" t="s">
        <v>273</v>
      </c>
      <c r="AB234" s="470">
        <v>0</v>
      </c>
      <c r="AC234" s="470">
        <v>0</v>
      </c>
      <c r="AD234" s="470">
        <v>0</v>
      </c>
      <c r="AE234" s="470">
        <v>0</v>
      </c>
      <c r="AF234" s="470">
        <v>0</v>
      </c>
      <c r="AG234" s="470">
        <v>0</v>
      </c>
      <c r="AH234" s="470">
        <v>0</v>
      </c>
      <c r="AI234" s="470">
        <v>0</v>
      </c>
      <c r="AJ234" s="470">
        <v>0</v>
      </c>
      <c r="AK234" s="470">
        <v>0</v>
      </c>
      <c r="AL234" s="470">
        <v>0</v>
      </c>
    </row>
    <row r="235" spans="1:38">
      <c r="A235" s="470" t="s">
        <v>288</v>
      </c>
      <c r="B235" s="470" t="s">
        <v>273</v>
      </c>
      <c r="C235" s="470" t="s">
        <v>273</v>
      </c>
      <c r="D235" s="470" t="s">
        <v>273</v>
      </c>
      <c r="E235" s="470" t="s">
        <v>273</v>
      </c>
      <c r="F235" s="470" t="s">
        <v>273</v>
      </c>
      <c r="G235" s="470" t="s">
        <v>273</v>
      </c>
      <c r="H235" s="470" t="s">
        <v>273</v>
      </c>
      <c r="I235" s="470">
        <v>3</v>
      </c>
      <c r="J235" s="470">
        <v>3</v>
      </c>
      <c r="K235" s="470">
        <v>8</v>
      </c>
      <c r="L235" s="470">
        <v>8</v>
      </c>
      <c r="M235" s="470">
        <v>-10</v>
      </c>
      <c r="N235" s="470">
        <v>1</v>
      </c>
      <c r="O235" s="470">
        <v>-5</v>
      </c>
      <c r="P235" s="470">
        <v>3</v>
      </c>
      <c r="Q235" s="470">
        <v>9</v>
      </c>
      <c r="R235" s="470">
        <v>6</v>
      </c>
      <c r="S235" s="470">
        <v>7</v>
      </c>
      <c r="T235" s="470">
        <v>6</v>
      </c>
      <c r="U235" s="470">
        <v>6</v>
      </c>
      <c r="V235" s="470">
        <v>7</v>
      </c>
      <c r="W235" s="470">
        <v>10</v>
      </c>
      <c r="X235" s="470">
        <v>6</v>
      </c>
      <c r="Y235" s="470">
        <v>5</v>
      </c>
      <c r="Z235" s="470">
        <v>4</v>
      </c>
      <c r="AA235" s="470">
        <v>7</v>
      </c>
      <c r="AB235" s="470">
        <v>9</v>
      </c>
      <c r="AC235" s="470">
        <v>10</v>
      </c>
      <c r="AD235" s="470">
        <v>6</v>
      </c>
      <c r="AE235" s="470">
        <v>5</v>
      </c>
      <c r="AF235" s="470">
        <v>5</v>
      </c>
      <c r="AG235" s="470">
        <v>3</v>
      </c>
      <c r="AH235" s="470">
        <v>9</v>
      </c>
      <c r="AI235" s="470">
        <v>8</v>
      </c>
      <c r="AJ235" s="470">
        <v>10</v>
      </c>
      <c r="AK235" s="470">
        <v>6</v>
      </c>
      <c r="AL235" s="470">
        <v>-14</v>
      </c>
    </row>
    <row r="236" spans="1:38">
      <c r="A236" s="470" t="s">
        <v>287</v>
      </c>
      <c r="B236" s="470" t="s">
        <v>273</v>
      </c>
      <c r="C236" s="470" t="s">
        <v>273</v>
      </c>
      <c r="D236" s="470" t="s">
        <v>273</v>
      </c>
      <c r="E236" s="470" t="s">
        <v>273</v>
      </c>
      <c r="F236" s="470" t="s">
        <v>273</v>
      </c>
      <c r="G236" s="470" t="s">
        <v>273</v>
      </c>
      <c r="H236" s="470" t="s">
        <v>273</v>
      </c>
      <c r="I236" s="470">
        <v>0</v>
      </c>
      <c r="J236" s="470">
        <v>0</v>
      </c>
      <c r="K236" s="470">
        <v>0</v>
      </c>
      <c r="L236" s="470">
        <v>0</v>
      </c>
      <c r="M236" s="470">
        <v>0</v>
      </c>
      <c r="N236" s="470">
        <v>0</v>
      </c>
      <c r="O236" s="470">
        <v>0</v>
      </c>
      <c r="P236" s="470">
        <v>0</v>
      </c>
      <c r="Q236" s="470">
        <v>0</v>
      </c>
      <c r="R236" s="470">
        <v>0</v>
      </c>
      <c r="S236" s="470">
        <v>0</v>
      </c>
      <c r="T236" s="470">
        <v>0</v>
      </c>
      <c r="U236" s="470">
        <v>0</v>
      </c>
      <c r="V236" s="470">
        <v>0</v>
      </c>
      <c r="W236" s="470">
        <v>0</v>
      </c>
      <c r="X236" s="470">
        <v>0</v>
      </c>
      <c r="Y236" s="470">
        <v>0</v>
      </c>
      <c r="Z236" s="470" t="s">
        <v>273</v>
      </c>
      <c r="AA236" s="470" t="s">
        <v>273</v>
      </c>
      <c r="AB236" s="470" t="s">
        <v>273</v>
      </c>
      <c r="AC236" s="470" t="s">
        <v>273</v>
      </c>
      <c r="AD236" s="470" t="s">
        <v>273</v>
      </c>
      <c r="AE236" s="470" t="s">
        <v>273</v>
      </c>
      <c r="AF236" s="470" t="s">
        <v>273</v>
      </c>
      <c r="AG236" s="470">
        <v>0</v>
      </c>
      <c r="AH236" s="470">
        <v>0</v>
      </c>
      <c r="AI236" s="470">
        <v>0</v>
      </c>
      <c r="AJ236" s="470" t="s">
        <v>273</v>
      </c>
      <c r="AK236" s="470" t="s">
        <v>273</v>
      </c>
      <c r="AL236" s="470" t="s">
        <v>273</v>
      </c>
    </row>
    <row r="237" spans="1:38">
      <c r="A237" s="470" t="s">
        <v>286</v>
      </c>
      <c r="B237" s="470" t="s">
        <v>273</v>
      </c>
      <c r="C237" s="470" t="s">
        <v>273</v>
      </c>
      <c r="D237" s="470" t="s">
        <v>273</v>
      </c>
      <c r="E237" s="470" t="s">
        <v>273</v>
      </c>
      <c r="F237" s="470" t="s">
        <v>273</v>
      </c>
      <c r="G237" s="470" t="s">
        <v>273</v>
      </c>
      <c r="H237" s="470" t="s">
        <v>273</v>
      </c>
      <c r="I237" s="470">
        <v>0</v>
      </c>
      <c r="J237" s="470">
        <v>0</v>
      </c>
      <c r="K237" s="470">
        <v>0</v>
      </c>
      <c r="L237" s="470">
        <v>0</v>
      </c>
      <c r="M237" s="470">
        <v>0</v>
      </c>
      <c r="N237" s="470">
        <v>0</v>
      </c>
      <c r="O237" s="470">
        <v>0</v>
      </c>
      <c r="P237" s="470">
        <v>0</v>
      </c>
      <c r="Q237" s="470">
        <v>0</v>
      </c>
      <c r="R237" s="470">
        <v>0</v>
      </c>
      <c r="S237" s="470" t="s">
        <v>306</v>
      </c>
      <c r="T237" s="470" t="s">
        <v>306</v>
      </c>
      <c r="U237" s="470" t="s">
        <v>306</v>
      </c>
      <c r="V237" s="470" t="s">
        <v>306</v>
      </c>
      <c r="W237" s="470" t="s">
        <v>306</v>
      </c>
      <c r="X237" s="470" t="s">
        <v>306</v>
      </c>
      <c r="Y237" s="470" t="s">
        <v>306</v>
      </c>
      <c r="Z237" s="470" t="s">
        <v>306</v>
      </c>
      <c r="AA237" s="470" t="s">
        <v>306</v>
      </c>
      <c r="AB237" s="470" t="s">
        <v>306</v>
      </c>
      <c r="AC237" s="470" t="s">
        <v>306</v>
      </c>
      <c r="AD237" s="470" t="s">
        <v>306</v>
      </c>
      <c r="AE237" s="470" t="s">
        <v>306</v>
      </c>
      <c r="AF237" s="470" t="s">
        <v>306</v>
      </c>
      <c r="AG237" s="470" t="s">
        <v>306</v>
      </c>
      <c r="AH237" s="470" t="s">
        <v>306</v>
      </c>
      <c r="AI237" s="470" t="s">
        <v>306</v>
      </c>
      <c r="AJ237" s="470" t="s">
        <v>306</v>
      </c>
      <c r="AK237" s="470" t="s">
        <v>306</v>
      </c>
      <c r="AL237" s="470" t="s">
        <v>306</v>
      </c>
    </row>
    <row r="238" spans="1:38">
      <c r="A238" s="470" t="s">
        <v>1406</v>
      </c>
      <c r="B238" s="470" t="s">
        <v>273</v>
      </c>
      <c r="C238" s="470" t="s">
        <v>273</v>
      </c>
      <c r="D238" s="470" t="s">
        <v>273</v>
      </c>
      <c r="E238" s="470" t="s">
        <v>273</v>
      </c>
      <c r="F238" s="470" t="s">
        <v>273</v>
      </c>
      <c r="G238" s="470" t="s">
        <v>273</v>
      </c>
      <c r="H238" s="470" t="s">
        <v>273</v>
      </c>
      <c r="I238" s="470" t="s">
        <v>273</v>
      </c>
      <c r="J238" s="470" t="s">
        <v>273</v>
      </c>
      <c r="K238" s="470" t="s">
        <v>273</v>
      </c>
      <c r="L238" s="470" t="s">
        <v>273</v>
      </c>
      <c r="M238" s="470" t="s">
        <v>273</v>
      </c>
      <c r="N238" s="470" t="s">
        <v>273</v>
      </c>
      <c r="O238" s="470" t="s">
        <v>273</v>
      </c>
      <c r="P238" s="470" t="s">
        <v>273</v>
      </c>
      <c r="Q238" s="470" t="s">
        <v>273</v>
      </c>
      <c r="R238" s="470" t="s">
        <v>273</v>
      </c>
      <c r="S238" s="470">
        <v>6</v>
      </c>
      <c r="T238" s="470">
        <v>4</v>
      </c>
      <c r="U238" s="470">
        <v>5</v>
      </c>
      <c r="V238" s="470">
        <v>6</v>
      </c>
      <c r="W238" s="470">
        <v>3</v>
      </c>
      <c r="X238" s="470">
        <v>4</v>
      </c>
      <c r="Y238" s="470">
        <v>4</v>
      </c>
      <c r="Z238" s="470" t="s">
        <v>291</v>
      </c>
      <c r="AA238" s="470">
        <v>5</v>
      </c>
      <c r="AB238" s="470">
        <v>4</v>
      </c>
      <c r="AC238" s="470">
        <v>8</v>
      </c>
      <c r="AD238" s="470">
        <v>5</v>
      </c>
      <c r="AE238" s="470" t="s">
        <v>306</v>
      </c>
      <c r="AF238" s="470">
        <v>-2</v>
      </c>
      <c r="AG238" s="470">
        <v>-3</v>
      </c>
      <c r="AH238" s="470">
        <v>3</v>
      </c>
      <c r="AI238" s="470">
        <v>4</v>
      </c>
      <c r="AJ238" s="470" t="s">
        <v>291</v>
      </c>
      <c r="AK238" s="470" t="s">
        <v>291</v>
      </c>
      <c r="AL238" s="470">
        <v>2</v>
      </c>
    </row>
    <row r="239" spans="1:38">
      <c r="A239" s="470" t="s">
        <v>285</v>
      </c>
      <c r="B239" s="470" t="s">
        <v>273</v>
      </c>
      <c r="C239" s="470" t="s">
        <v>273</v>
      </c>
      <c r="D239" s="470" t="s">
        <v>273</v>
      </c>
      <c r="E239" s="470" t="s">
        <v>273</v>
      </c>
      <c r="F239" s="470" t="s">
        <v>273</v>
      </c>
      <c r="G239" s="470" t="s">
        <v>273</v>
      </c>
      <c r="H239" s="470" t="s">
        <v>273</v>
      </c>
      <c r="I239" s="470">
        <v>0</v>
      </c>
      <c r="J239" s="470">
        <v>0</v>
      </c>
      <c r="K239" s="470">
        <v>0</v>
      </c>
      <c r="L239" s="470">
        <v>0</v>
      </c>
      <c r="M239" s="470">
        <v>0</v>
      </c>
      <c r="N239" s="470">
        <v>0</v>
      </c>
      <c r="O239" s="470">
        <v>0</v>
      </c>
      <c r="P239" s="470">
        <v>0</v>
      </c>
      <c r="Q239" s="470">
        <v>0</v>
      </c>
      <c r="R239" s="470">
        <v>0</v>
      </c>
      <c r="S239" s="470">
        <v>0</v>
      </c>
      <c r="T239" s="470">
        <v>0</v>
      </c>
      <c r="U239" s="470">
        <v>0</v>
      </c>
      <c r="V239" s="470">
        <v>0</v>
      </c>
      <c r="W239" s="470">
        <v>0</v>
      </c>
      <c r="X239" s="470">
        <v>0</v>
      </c>
      <c r="Y239" s="470">
        <v>0</v>
      </c>
      <c r="Z239" s="470" t="s">
        <v>273</v>
      </c>
      <c r="AA239" s="470" t="s">
        <v>273</v>
      </c>
      <c r="AB239" s="470">
        <v>0</v>
      </c>
      <c r="AC239" s="470" t="s">
        <v>306</v>
      </c>
      <c r="AD239" s="470" t="s">
        <v>306</v>
      </c>
      <c r="AE239" s="470" t="s">
        <v>291</v>
      </c>
      <c r="AF239" s="470" t="s">
        <v>291</v>
      </c>
      <c r="AG239" s="470" t="s">
        <v>291</v>
      </c>
      <c r="AH239" s="470" t="s">
        <v>291</v>
      </c>
      <c r="AI239" s="470" t="s">
        <v>291</v>
      </c>
      <c r="AJ239" s="470" t="s">
        <v>291</v>
      </c>
      <c r="AK239" s="470" t="s">
        <v>291</v>
      </c>
      <c r="AL239" s="470" t="s">
        <v>291</v>
      </c>
    </row>
    <row r="240" spans="1:38">
      <c r="A240" s="470" t="s">
        <v>284</v>
      </c>
      <c r="B240" s="470" t="s">
        <v>273</v>
      </c>
      <c r="C240" s="470" t="s">
        <v>273</v>
      </c>
      <c r="D240" s="470" t="s">
        <v>273</v>
      </c>
      <c r="E240" s="470" t="s">
        <v>273</v>
      </c>
      <c r="F240" s="470" t="s">
        <v>273</v>
      </c>
      <c r="G240" s="470" t="s">
        <v>273</v>
      </c>
      <c r="H240" s="470" t="s">
        <v>273</v>
      </c>
      <c r="I240" s="470" t="s">
        <v>273</v>
      </c>
      <c r="J240" s="470" t="s">
        <v>273</v>
      </c>
      <c r="K240" s="470" t="s">
        <v>273</v>
      </c>
      <c r="L240" s="470" t="s">
        <v>273</v>
      </c>
      <c r="M240" s="470" t="s">
        <v>273</v>
      </c>
      <c r="N240" s="470" t="s">
        <v>273</v>
      </c>
      <c r="O240" s="470" t="s">
        <v>273</v>
      </c>
      <c r="P240" s="470" t="s">
        <v>273</v>
      </c>
      <c r="Q240" s="470" t="s">
        <v>273</v>
      </c>
      <c r="R240" s="470" t="s">
        <v>273</v>
      </c>
      <c r="S240" s="470" t="s">
        <v>273</v>
      </c>
      <c r="T240" s="470" t="s">
        <v>273</v>
      </c>
      <c r="U240" s="470" t="s">
        <v>273</v>
      </c>
      <c r="V240" s="470" t="s">
        <v>273</v>
      </c>
      <c r="W240" s="470" t="s">
        <v>273</v>
      </c>
      <c r="X240" s="470" t="s">
        <v>273</v>
      </c>
      <c r="Y240" s="470" t="s">
        <v>273</v>
      </c>
      <c r="Z240" s="470" t="s">
        <v>273</v>
      </c>
      <c r="AA240" s="470" t="s">
        <v>273</v>
      </c>
      <c r="AB240" s="470">
        <v>0</v>
      </c>
      <c r="AC240" s="470">
        <v>0</v>
      </c>
      <c r="AD240" s="470">
        <v>0</v>
      </c>
      <c r="AE240" s="470">
        <v>0</v>
      </c>
      <c r="AF240" s="470">
        <v>0</v>
      </c>
      <c r="AG240" s="470">
        <v>0</v>
      </c>
      <c r="AH240" s="470">
        <v>0</v>
      </c>
      <c r="AI240" s="470">
        <v>0</v>
      </c>
      <c r="AJ240" s="470" t="s">
        <v>273</v>
      </c>
      <c r="AK240" s="470" t="s">
        <v>273</v>
      </c>
      <c r="AL240" s="470" t="s">
        <v>273</v>
      </c>
    </row>
    <row r="241" spans="1:38">
      <c r="A241" s="470" t="s">
        <v>283</v>
      </c>
      <c r="B241" s="470" t="s">
        <v>273</v>
      </c>
      <c r="C241" s="470" t="s">
        <v>273</v>
      </c>
      <c r="D241" s="470" t="s">
        <v>273</v>
      </c>
      <c r="E241" s="470" t="s">
        <v>273</v>
      </c>
      <c r="F241" s="470" t="s">
        <v>273</v>
      </c>
      <c r="G241" s="470" t="s">
        <v>273</v>
      </c>
      <c r="H241" s="470" t="s">
        <v>273</v>
      </c>
      <c r="I241" s="470">
        <v>0</v>
      </c>
      <c r="J241" s="470">
        <v>0</v>
      </c>
      <c r="K241" s="470">
        <v>0</v>
      </c>
      <c r="L241" s="470">
        <v>0</v>
      </c>
      <c r="M241" s="470">
        <v>0</v>
      </c>
      <c r="N241" s="470" t="s">
        <v>306</v>
      </c>
      <c r="O241" s="470">
        <v>0</v>
      </c>
      <c r="P241" s="470">
        <v>0</v>
      </c>
      <c r="Q241" s="470">
        <v>0</v>
      </c>
      <c r="R241" s="470">
        <v>0</v>
      </c>
      <c r="S241" s="470" t="s">
        <v>306</v>
      </c>
      <c r="T241" s="470" t="s">
        <v>306</v>
      </c>
      <c r="U241" s="470" t="s">
        <v>306</v>
      </c>
      <c r="V241" s="470" t="s">
        <v>306</v>
      </c>
      <c r="W241" s="470" t="s">
        <v>306</v>
      </c>
      <c r="X241" s="470" t="s">
        <v>306</v>
      </c>
      <c r="Y241" s="470" t="s">
        <v>306</v>
      </c>
      <c r="Z241" s="470" t="s">
        <v>306</v>
      </c>
      <c r="AA241" s="470" t="s">
        <v>306</v>
      </c>
      <c r="AB241" s="470" t="s">
        <v>306</v>
      </c>
      <c r="AC241" s="470" t="s">
        <v>306</v>
      </c>
      <c r="AD241" s="470" t="s">
        <v>306</v>
      </c>
      <c r="AE241" s="470" t="s">
        <v>306</v>
      </c>
      <c r="AF241" s="470" t="s">
        <v>306</v>
      </c>
      <c r="AG241" s="470" t="s">
        <v>306</v>
      </c>
      <c r="AH241" s="470" t="s">
        <v>306</v>
      </c>
      <c r="AI241" s="470" t="s">
        <v>306</v>
      </c>
      <c r="AJ241" s="470" t="s">
        <v>306</v>
      </c>
      <c r="AK241" s="470" t="s">
        <v>306</v>
      </c>
      <c r="AL241" s="470" t="s">
        <v>306</v>
      </c>
    </row>
    <row r="242" spans="1:38">
      <c r="A242" s="470" t="s">
        <v>1405</v>
      </c>
      <c r="B242" s="470" t="s">
        <v>273</v>
      </c>
      <c r="C242" s="470" t="s">
        <v>273</v>
      </c>
      <c r="D242" s="470" t="s">
        <v>273</v>
      </c>
      <c r="E242" s="470" t="s">
        <v>273</v>
      </c>
      <c r="F242" s="470" t="s">
        <v>273</v>
      </c>
      <c r="G242" s="470" t="s">
        <v>273</v>
      </c>
      <c r="H242" s="470" t="s">
        <v>273</v>
      </c>
      <c r="I242" s="470">
        <v>-2</v>
      </c>
      <c r="J242" s="470">
        <v>1</v>
      </c>
      <c r="K242" s="470">
        <v>3</v>
      </c>
      <c r="L242" s="470">
        <v>1</v>
      </c>
      <c r="M242" s="470">
        <v>6</v>
      </c>
      <c r="N242" s="470">
        <v>-17</v>
      </c>
      <c r="O242" s="470">
        <v>-18</v>
      </c>
      <c r="P242" s="470">
        <v>-19</v>
      </c>
      <c r="Q242" s="470">
        <v>-12</v>
      </c>
      <c r="R242" s="470">
        <v>-24</v>
      </c>
      <c r="S242" s="470">
        <v>-25</v>
      </c>
      <c r="T242" s="470">
        <v>-18</v>
      </c>
      <c r="U242" s="470">
        <v>-26</v>
      </c>
      <c r="V242" s="470">
        <v>1</v>
      </c>
      <c r="W242" s="470">
        <v>-3</v>
      </c>
      <c r="X242" s="470">
        <v>-20</v>
      </c>
      <c r="Y242" s="470" t="s">
        <v>291</v>
      </c>
      <c r="Z242" s="470">
        <v>-2</v>
      </c>
      <c r="AA242" s="470">
        <v>9</v>
      </c>
      <c r="AB242" s="470">
        <v>5</v>
      </c>
      <c r="AC242" s="470">
        <v>8</v>
      </c>
      <c r="AD242" s="470">
        <v>-5</v>
      </c>
      <c r="AE242" s="470">
        <v>5</v>
      </c>
      <c r="AF242" s="470" t="s">
        <v>291</v>
      </c>
      <c r="AG242" s="470" t="s">
        <v>291</v>
      </c>
      <c r="AH242" s="470">
        <v>-4</v>
      </c>
      <c r="AI242" s="470">
        <v>8</v>
      </c>
      <c r="AJ242" s="470">
        <v>19</v>
      </c>
      <c r="AK242" s="470">
        <v>18</v>
      </c>
      <c r="AL242" s="470">
        <v>32</v>
      </c>
    </row>
    <row r="243" spans="1:38">
      <c r="A243" s="470" t="s">
        <v>282</v>
      </c>
      <c r="B243" s="470" t="s">
        <v>273</v>
      </c>
      <c r="C243" s="470" t="s">
        <v>273</v>
      </c>
      <c r="D243" s="470" t="s">
        <v>273</v>
      </c>
      <c r="E243" s="470" t="s">
        <v>273</v>
      </c>
      <c r="F243" s="470" t="s">
        <v>273</v>
      </c>
      <c r="G243" s="470" t="s">
        <v>273</v>
      </c>
      <c r="H243" s="470" t="s">
        <v>273</v>
      </c>
      <c r="I243" s="470" t="s">
        <v>273</v>
      </c>
      <c r="J243" s="470" t="s">
        <v>273</v>
      </c>
      <c r="K243" s="470" t="s">
        <v>273</v>
      </c>
      <c r="L243" s="470" t="s">
        <v>273</v>
      </c>
      <c r="M243" s="470" t="s">
        <v>273</v>
      </c>
      <c r="N243" s="470" t="s">
        <v>273</v>
      </c>
      <c r="O243" s="470" t="s">
        <v>273</v>
      </c>
      <c r="P243" s="470" t="s">
        <v>273</v>
      </c>
      <c r="Q243" s="470" t="s">
        <v>273</v>
      </c>
      <c r="R243" s="470" t="s">
        <v>273</v>
      </c>
      <c r="S243" s="470" t="s">
        <v>273</v>
      </c>
      <c r="T243" s="470" t="s">
        <v>273</v>
      </c>
      <c r="U243" s="470" t="s">
        <v>273</v>
      </c>
      <c r="V243" s="470" t="s">
        <v>273</v>
      </c>
      <c r="W243" s="470" t="s">
        <v>273</v>
      </c>
      <c r="X243" s="470" t="s">
        <v>273</v>
      </c>
      <c r="Y243" s="470" t="s">
        <v>273</v>
      </c>
      <c r="Z243" s="470" t="s">
        <v>273</v>
      </c>
      <c r="AA243" s="470" t="s">
        <v>273</v>
      </c>
      <c r="AB243" s="470" t="s">
        <v>273</v>
      </c>
      <c r="AC243" s="470" t="s">
        <v>273</v>
      </c>
      <c r="AD243" s="470">
        <v>0</v>
      </c>
      <c r="AE243" s="470">
        <v>0</v>
      </c>
      <c r="AF243" s="470">
        <v>0</v>
      </c>
      <c r="AG243" s="470">
        <v>0</v>
      </c>
      <c r="AH243" s="470">
        <v>0</v>
      </c>
      <c r="AI243" s="470">
        <v>0</v>
      </c>
      <c r="AJ243" s="470">
        <v>0</v>
      </c>
      <c r="AK243" s="470">
        <v>0</v>
      </c>
      <c r="AL243" s="470">
        <v>0</v>
      </c>
    </row>
    <row r="244" spans="1:38">
      <c r="A244" s="470" t="s">
        <v>281</v>
      </c>
      <c r="B244" s="470" t="s">
        <v>273</v>
      </c>
      <c r="C244" s="470" t="s">
        <v>273</v>
      </c>
      <c r="D244" s="470" t="s">
        <v>273</v>
      </c>
      <c r="E244" s="470" t="s">
        <v>273</v>
      </c>
      <c r="F244" s="470" t="s">
        <v>273</v>
      </c>
      <c r="G244" s="470" t="s">
        <v>273</v>
      </c>
      <c r="H244" s="470" t="s">
        <v>273</v>
      </c>
      <c r="I244" s="470">
        <v>0</v>
      </c>
      <c r="J244" s="470">
        <v>0</v>
      </c>
      <c r="K244" s="470">
        <v>0</v>
      </c>
      <c r="L244" s="470">
        <v>0</v>
      </c>
      <c r="M244" s="470">
        <v>0</v>
      </c>
      <c r="N244" s="470">
        <v>0</v>
      </c>
      <c r="O244" s="470">
        <v>0</v>
      </c>
      <c r="P244" s="470">
        <v>0</v>
      </c>
      <c r="Q244" s="470">
        <v>0</v>
      </c>
      <c r="R244" s="470">
        <v>0</v>
      </c>
      <c r="S244" s="470" t="s">
        <v>273</v>
      </c>
      <c r="T244" s="470" t="s">
        <v>273</v>
      </c>
      <c r="U244" s="470" t="s">
        <v>273</v>
      </c>
      <c r="V244" s="470" t="s">
        <v>273</v>
      </c>
      <c r="W244" s="470" t="s">
        <v>273</v>
      </c>
      <c r="X244" s="470" t="s">
        <v>273</v>
      </c>
      <c r="Y244" s="470" t="s">
        <v>273</v>
      </c>
      <c r="Z244" s="470" t="s">
        <v>273</v>
      </c>
      <c r="AA244" s="470" t="s">
        <v>273</v>
      </c>
      <c r="AB244" s="470" t="s">
        <v>273</v>
      </c>
      <c r="AC244" s="470" t="s">
        <v>273</v>
      </c>
      <c r="AD244" s="470" t="s">
        <v>273</v>
      </c>
      <c r="AE244" s="470" t="s">
        <v>273</v>
      </c>
      <c r="AF244" s="470" t="s">
        <v>273</v>
      </c>
      <c r="AG244" s="470" t="s">
        <v>273</v>
      </c>
      <c r="AH244" s="470" t="s">
        <v>273</v>
      </c>
      <c r="AI244" s="470" t="s">
        <v>273</v>
      </c>
      <c r="AJ244" s="470" t="s">
        <v>273</v>
      </c>
      <c r="AK244" s="470" t="s">
        <v>273</v>
      </c>
      <c r="AL244" s="470" t="s">
        <v>273</v>
      </c>
    </row>
    <row r="245" spans="1:38">
      <c r="A245" s="470" t="s">
        <v>280</v>
      </c>
      <c r="B245" s="470" t="s">
        <v>273</v>
      </c>
      <c r="C245" s="470" t="s">
        <v>273</v>
      </c>
      <c r="D245" s="470" t="s">
        <v>273</v>
      </c>
      <c r="E245" s="470" t="s">
        <v>273</v>
      </c>
      <c r="F245" s="470" t="s">
        <v>273</v>
      </c>
      <c r="G245" s="470" t="s">
        <v>273</v>
      </c>
      <c r="H245" s="470" t="s">
        <v>273</v>
      </c>
      <c r="I245" s="470">
        <v>0</v>
      </c>
      <c r="J245" s="470">
        <v>0</v>
      </c>
      <c r="K245" s="470">
        <v>0</v>
      </c>
      <c r="L245" s="470">
        <v>0</v>
      </c>
      <c r="M245" s="470">
        <v>0</v>
      </c>
      <c r="N245" s="470">
        <v>0</v>
      </c>
      <c r="O245" s="470">
        <v>0</v>
      </c>
      <c r="P245" s="470">
        <v>0</v>
      </c>
      <c r="Q245" s="470">
        <v>0</v>
      </c>
      <c r="R245" s="470">
        <v>0</v>
      </c>
      <c r="S245" s="470">
        <v>0</v>
      </c>
      <c r="T245" s="470">
        <v>0</v>
      </c>
      <c r="U245" s="470">
        <v>0</v>
      </c>
      <c r="V245" s="470">
        <v>0</v>
      </c>
      <c r="W245" s="470">
        <v>0</v>
      </c>
      <c r="X245" s="470">
        <v>0</v>
      </c>
      <c r="Y245" s="470">
        <v>0</v>
      </c>
      <c r="Z245" s="470" t="s">
        <v>273</v>
      </c>
      <c r="AA245" s="470" t="s">
        <v>273</v>
      </c>
      <c r="AB245" s="470" t="s">
        <v>273</v>
      </c>
      <c r="AC245" s="470">
        <v>0</v>
      </c>
      <c r="AD245" s="470">
        <v>0</v>
      </c>
      <c r="AE245" s="470">
        <v>0</v>
      </c>
      <c r="AF245" s="470">
        <v>0</v>
      </c>
      <c r="AG245" s="470">
        <v>0</v>
      </c>
      <c r="AH245" s="470">
        <v>0</v>
      </c>
      <c r="AI245" s="470">
        <v>0</v>
      </c>
      <c r="AJ245" s="470">
        <v>0</v>
      </c>
      <c r="AK245" s="470">
        <v>0</v>
      </c>
      <c r="AL245" s="470">
        <v>0</v>
      </c>
    </row>
    <row r="246" spans="1:38">
      <c r="A246" s="470" t="s">
        <v>279</v>
      </c>
      <c r="B246" s="470" t="s">
        <v>273</v>
      </c>
      <c r="C246" s="470" t="s">
        <v>273</v>
      </c>
      <c r="D246" s="470" t="s">
        <v>273</v>
      </c>
      <c r="E246" s="470" t="s">
        <v>273</v>
      </c>
      <c r="F246" s="470" t="s">
        <v>273</v>
      </c>
      <c r="G246" s="470" t="s">
        <v>273</v>
      </c>
      <c r="H246" s="470" t="s">
        <v>273</v>
      </c>
      <c r="I246" s="470">
        <v>0</v>
      </c>
      <c r="J246" s="470">
        <v>0</v>
      </c>
      <c r="K246" s="470">
        <v>0</v>
      </c>
      <c r="L246" s="470">
        <v>0</v>
      </c>
      <c r="M246" s="470">
        <v>0</v>
      </c>
      <c r="N246" s="470">
        <v>0</v>
      </c>
      <c r="O246" s="470">
        <v>0</v>
      </c>
      <c r="P246" s="470">
        <v>0</v>
      </c>
      <c r="Q246" s="470">
        <v>0</v>
      </c>
      <c r="R246" s="470">
        <v>0</v>
      </c>
      <c r="S246" s="470">
        <v>0</v>
      </c>
      <c r="T246" s="470">
        <v>0</v>
      </c>
      <c r="U246" s="470">
        <v>0</v>
      </c>
      <c r="V246" s="470">
        <v>0</v>
      </c>
      <c r="W246" s="470">
        <v>0</v>
      </c>
      <c r="X246" s="470">
        <v>0</v>
      </c>
      <c r="Y246" s="470">
        <v>0</v>
      </c>
      <c r="Z246" s="470">
        <v>0</v>
      </c>
      <c r="AA246" s="470">
        <v>0</v>
      </c>
      <c r="AB246" s="470">
        <v>0</v>
      </c>
      <c r="AC246" s="470" t="s">
        <v>273</v>
      </c>
      <c r="AD246" s="470" t="s">
        <v>273</v>
      </c>
      <c r="AE246" s="470" t="s">
        <v>273</v>
      </c>
      <c r="AF246" s="470" t="s">
        <v>273</v>
      </c>
      <c r="AG246" s="470" t="s">
        <v>273</v>
      </c>
      <c r="AH246" s="470" t="s">
        <v>273</v>
      </c>
      <c r="AI246" s="470" t="s">
        <v>273</v>
      </c>
      <c r="AJ246" s="470">
        <v>0</v>
      </c>
      <c r="AK246" s="470">
        <v>0</v>
      </c>
      <c r="AL246" s="470">
        <v>0</v>
      </c>
    </row>
    <row r="247" spans="1:38">
      <c r="A247" s="470" t="s">
        <v>278</v>
      </c>
      <c r="B247" s="470" t="s">
        <v>273</v>
      </c>
      <c r="C247" s="470" t="s">
        <v>273</v>
      </c>
      <c r="D247" s="470" t="s">
        <v>273</v>
      </c>
      <c r="E247" s="470" t="s">
        <v>273</v>
      </c>
      <c r="F247" s="470" t="s">
        <v>273</v>
      </c>
      <c r="G247" s="470" t="s">
        <v>273</v>
      </c>
      <c r="H247" s="470" t="s">
        <v>273</v>
      </c>
      <c r="I247" s="470">
        <v>0</v>
      </c>
      <c r="J247" s="470">
        <v>0</v>
      </c>
      <c r="K247" s="470">
        <v>0</v>
      </c>
      <c r="L247" s="470">
        <v>0</v>
      </c>
      <c r="M247" s="470">
        <v>0</v>
      </c>
      <c r="N247" s="470">
        <v>-4</v>
      </c>
      <c r="O247" s="470">
        <v>-3</v>
      </c>
      <c r="P247" s="470">
        <v>-2</v>
      </c>
      <c r="Q247" s="470">
        <v>-2</v>
      </c>
      <c r="R247" s="470">
        <v>-2</v>
      </c>
      <c r="S247" s="470">
        <v>0</v>
      </c>
      <c r="T247" s="470">
        <v>0</v>
      </c>
      <c r="U247" s="470">
        <v>0</v>
      </c>
      <c r="V247" s="470">
        <v>0</v>
      </c>
      <c r="W247" s="470">
        <v>0</v>
      </c>
      <c r="X247" s="470">
        <v>-2</v>
      </c>
      <c r="Y247" s="470">
        <v>-1</v>
      </c>
      <c r="Z247" s="470" t="s">
        <v>306</v>
      </c>
      <c r="AA247" s="470" t="s">
        <v>306</v>
      </c>
      <c r="AB247" s="470" t="s">
        <v>306</v>
      </c>
      <c r="AC247" s="470">
        <v>-2</v>
      </c>
      <c r="AD247" s="470">
        <v>-1</v>
      </c>
      <c r="AE247" s="470" t="s">
        <v>306</v>
      </c>
      <c r="AF247" s="470" t="s">
        <v>306</v>
      </c>
      <c r="AG247" s="470" t="s">
        <v>306</v>
      </c>
      <c r="AH247" s="470">
        <v>-7</v>
      </c>
      <c r="AI247" s="470" t="s">
        <v>306</v>
      </c>
      <c r="AJ247" s="470">
        <v>-1</v>
      </c>
      <c r="AK247" s="470">
        <v>3</v>
      </c>
      <c r="AL247" s="470">
        <v>4</v>
      </c>
    </row>
    <row r="248" spans="1:38">
      <c r="A248" s="470" t="s">
        <v>277</v>
      </c>
      <c r="B248" s="470" t="s">
        <v>273</v>
      </c>
      <c r="C248" s="470" t="s">
        <v>273</v>
      </c>
      <c r="D248" s="470" t="s">
        <v>273</v>
      </c>
      <c r="E248" s="470" t="s">
        <v>273</v>
      </c>
      <c r="F248" s="470" t="s">
        <v>273</v>
      </c>
      <c r="G248" s="470" t="s">
        <v>273</v>
      </c>
      <c r="H248" s="470" t="s">
        <v>273</v>
      </c>
      <c r="I248" s="470">
        <v>0</v>
      </c>
      <c r="J248" s="470" t="s">
        <v>306</v>
      </c>
      <c r="K248" s="470" t="s">
        <v>306</v>
      </c>
      <c r="L248" s="470" t="s">
        <v>306</v>
      </c>
      <c r="M248" s="470" t="s">
        <v>306</v>
      </c>
      <c r="N248" s="470" t="s">
        <v>306</v>
      </c>
      <c r="O248" s="470" t="s">
        <v>306</v>
      </c>
      <c r="P248" s="470">
        <v>-1</v>
      </c>
      <c r="Q248" s="470" t="s">
        <v>306</v>
      </c>
      <c r="R248" s="470" t="s">
        <v>306</v>
      </c>
      <c r="S248" s="470" t="s">
        <v>306</v>
      </c>
      <c r="T248" s="470" t="s">
        <v>306</v>
      </c>
      <c r="U248" s="470">
        <v>-2</v>
      </c>
      <c r="V248" s="470" t="s">
        <v>306</v>
      </c>
      <c r="W248" s="470" t="s">
        <v>306</v>
      </c>
      <c r="X248" s="470" t="s">
        <v>306</v>
      </c>
      <c r="Y248" s="470" t="s">
        <v>306</v>
      </c>
      <c r="Z248" s="470" t="s">
        <v>306</v>
      </c>
      <c r="AA248" s="470" t="s">
        <v>306</v>
      </c>
      <c r="AB248" s="470" t="s">
        <v>306</v>
      </c>
      <c r="AC248" s="470" t="s">
        <v>306</v>
      </c>
      <c r="AD248" s="470" t="s">
        <v>306</v>
      </c>
      <c r="AE248" s="470" t="s">
        <v>306</v>
      </c>
      <c r="AF248" s="470" t="s">
        <v>306</v>
      </c>
      <c r="AG248" s="470" t="s">
        <v>306</v>
      </c>
      <c r="AH248" s="470" t="s">
        <v>306</v>
      </c>
      <c r="AI248" s="470" t="s">
        <v>306</v>
      </c>
      <c r="AJ248" s="470" t="s">
        <v>306</v>
      </c>
      <c r="AK248" s="470" t="s">
        <v>306</v>
      </c>
      <c r="AL248" s="470" t="s">
        <v>306</v>
      </c>
    </row>
    <row r="249" spans="1:38">
      <c r="A249" s="470" t="s">
        <v>276</v>
      </c>
      <c r="B249" s="470" t="s">
        <v>273</v>
      </c>
      <c r="C249" s="470" t="s">
        <v>273</v>
      </c>
      <c r="D249" s="470" t="s">
        <v>273</v>
      </c>
      <c r="E249" s="470" t="s">
        <v>273</v>
      </c>
      <c r="F249" s="470" t="s">
        <v>273</v>
      </c>
      <c r="G249" s="470" t="s">
        <v>273</v>
      </c>
      <c r="H249" s="470" t="s">
        <v>273</v>
      </c>
      <c r="I249" s="470">
        <v>0</v>
      </c>
      <c r="J249" s="470">
        <v>0</v>
      </c>
      <c r="K249" s="470">
        <v>0</v>
      </c>
      <c r="L249" s="470">
        <v>0</v>
      </c>
      <c r="M249" s="470">
        <v>0</v>
      </c>
      <c r="N249" s="470">
        <v>0</v>
      </c>
      <c r="O249" s="470">
        <v>0</v>
      </c>
      <c r="P249" s="470">
        <v>0</v>
      </c>
      <c r="Q249" s="470">
        <v>0</v>
      </c>
      <c r="R249" s="470">
        <v>0</v>
      </c>
      <c r="S249" s="470">
        <v>0</v>
      </c>
      <c r="T249" s="470">
        <v>0</v>
      </c>
      <c r="U249" s="470" t="s">
        <v>306</v>
      </c>
      <c r="V249" s="470" t="s">
        <v>306</v>
      </c>
      <c r="W249" s="470" t="s">
        <v>306</v>
      </c>
      <c r="X249" s="470" t="s">
        <v>306</v>
      </c>
      <c r="Y249" s="470" t="s">
        <v>306</v>
      </c>
      <c r="Z249" s="470" t="s">
        <v>306</v>
      </c>
      <c r="AA249" s="470" t="s">
        <v>306</v>
      </c>
      <c r="AB249" s="470" t="s">
        <v>306</v>
      </c>
      <c r="AC249" s="470" t="s">
        <v>306</v>
      </c>
      <c r="AD249" s="470" t="s">
        <v>306</v>
      </c>
      <c r="AE249" s="470" t="s">
        <v>306</v>
      </c>
      <c r="AF249" s="470" t="s">
        <v>306</v>
      </c>
      <c r="AG249" s="470" t="s">
        <v>306</v>
      </c>
      <c r="AH249" s="470" t="s">
        <v>306</v>
      </c>
      <c r="AI249" s="470" t="s">
        <v>306</v>
      </c>
      <c r="AJ249" s="470" t="s">
        <v>306</v>
      </c>
      <c r="AK249" s="470" t="s">
        <v>306</v>
      </c>
      <c r="AL249" s="470" t="s">
        <v>306</v>
      </c>
    </row>
    <row r="250" spans="1:38">
      <c r="A250" s="470" t="s">
        <v>1404</v>
      </c>
      <c r="B250" s="470">
        <v>12</v>
      </c>
      <c r="C250" s="470">
        <v>86</v>
      </c>
      <c r="D250" s="470">
        <v>51</v>
      </c>
      <c r="E250" s="470">
        <v>12</v>
      </c>
      <c r="F250" s="470">
        <v>-10</v>
      </c>
      <c r="G250" s="470">
        <v>-19</v>
      </c>
      <c r="H250" s="470">
        <v>35</v>
      </c>
      <c r="I250" s="470" t="s">
        <v>273</v>
      </c>
      <c r="J250" s="470" t="s">
        <v>273</v>
      </c>
      <c r="K250" s="470" t="s">
        <v>273</v>
      </c>
      <c r="L250" s="470" t="s">
        <v>273</v>
      </c>
      <c r="M250" s="470" t="s">
        <v>273</v>
      </c>
      <c r="N250" s="470" t="s">
        <v>273</v>
      </c>
      <c r="O250" s="470" t="s">
        <v>273</v>
      </c>
      <c r="P250" s="470" t="s">
        <v>273</v>
      </c>
      <c r="Q250" s="470" t="s">
        <v>273</v>
      </c>
      <c r="R250" s="470" t="s">
        <v>273</v>
      </c>
      <c r="S250" s="470" t="s">
        <v>273</v>
      </c>
      <c r="T250" s="470" t="s">
        <v>273</v>
      </c>
      <c r="U250" s="470" t="s">
        <v>273</v>
      </c>
      <c r="V250" s="470" t="s">
        <v>273</v>
      </c>
      <c r="W250" s="470" t="s">
        <v>273</v>
      </c>
      <c r="X250" s="470" t="s">
        <v>273</v>
      </c>
      <c r="Y250" s="470" t="s">
        <v>273</v>
      </c>
      <c r="Z250" s="470" t="s">
        <v>273</v>
      </c>
      <c r="AA250" s="470" t="s">
        <v>273</v>
      </c>
      <c r="AB250" s="470" t="s">
        <v>273</v>
      </c>
      <c r="AC250" s="470" t="s">
        <v>273</v>
      </c>
      <c r="AD250" s="470" t="s">
        <v>273</v>
      </c>
      <c r="AE250" s="470" t="s">
        <v>273</v>
      </c>
      <c r="AF250" s="470" t="s">
        <v>273</v>
      </c>
      <c r="AG250" s="470" t="s">
        <v>273</v>
      </c>
      <c r="AH250" s="470" t="s">
        <v>273</v>
      </c>
      <c r="AI250" s="470" t="s">
        <v>273</v>
      </c>
      <c r="AJ250" s="470" t="s">
        <v>273</v>
      </c>
      <c r="AK250" s="470" t="s">
        <v>273</v>
      </c>
      <c r="AL250" s="470" t="s">
        <v>273</v>
      </c>
    </row>
    <row r="251" spans="1:38">
      <c r="A251" s="470" t="s">
        <v>1403</v>
      </c>
      <c r="B251" s="470">
        <v>0</v>
      </c>
      <c r="C251" s="470">
        <v>2</v>
      </c>
      <c r="D251" s="470">
        <v>1</v>
      </c>
      <c r="E251" s="470">
        <v>1</v>
      </c>
      <c r="F251" s="470">
        <v>0</v>
      </c>
      <c r="G251" s="470" t="s">
        <v>306</v>
      </c>
      <c r="H251" s="470">
        <v>0</v>
      </c>
      <c r="I251" s="470" t="s">
        <v>273</v>
      </c>
      <c r="J251" s="470" t="s">
        <v>273</v>
      </c>
      <c r="K251" s="470" t="s">
        <v>273</v>
      </c>
      <c r="L251" s="470" t="s">
        <v>273</v>
      </c>
      <c r="M251" s="470" t="s">
        <v>273</v>
      </c>
      <c r="N251" s="470" t="s">
        <v>273</v>
      </c>
      <c r="O251" s="470" t="s">
        <v>273</v>
      </c>
      <c r="P251" s="470" t="s">
        <v>273</v>
      </c>
      <c r="Q251" s="470" t="s">
        <v>273</v>
      </c>
      <c r="R251" s="470" t="s">
        <v>273</v>
      </c>
      <c r="S251" s="470" t="s">
        <v>273</v>
      </c>
      <c r="T251" s="470" t="s">
        <v>273</v>
      </c>
      <c r="U251" s="470" t="s">
        <v>273</v>
      </c>
      <c r="V251" s="470" t="s">
        <v>273</v>
      </c>
      <c r="W251" s="470" t="s">
        <v>273</v>
      </c>
      <c r="X251" s="470" t="s">
        <v>273</v>
      </c>
      <c r="Y251" s="470" t="s">
        <v>273</v>
      </c>
      <c r="Z251" s="470" t="s">
        <v>273</v>
      </c>
      <c r="AA251" s="470" t="s">
        <v>273</v>
      </c>
      <c r="AB251" s="470" t="s">
        <v>273</v>
      </c>
      <c r="AC251" s="470" t="s">
        <v>273</v>
      </c>
      <c r="AD251" s="470" t="s">
        <v>273</v>
      </c>
      <c r="AE251" s="470" t="s">
        <v>273</v>
      </c>
      <c r="AF251" s="470" t="s">
        <v>273</v>
      </c>
      <c r="AG251" s="470" t="s">
        <v>273</v>
      </c>
      <c r="AH251" s="470" t="s">
        <v>273</v>
      </c>
      <c r="AI251" s="470" t="s">
        <v>273</v>
      </c>
      <c r="AJ251" s="470" t="s">
        <v>273</v>
      </c>
      <c r="AK251" s="470" t="s">
        <v>273</v>
      </c>
      <c r="AL251" s="470" t="s">
        <v>273</v>
      </c>
    </row>
    <row r="252" spans="1:38">
      <c r="A252" s="470" t="s">
        <v>1402</v>
      </c>
      <c r="B252" s="470">
        <v>-1</v>
      </c>
      <c r="C252" s="470" t="s">
        <v>306</v>
      </c>
      <c r="D252" s="470">
        <v>0</v>
      </c>
      <c r="E252" s="470">
        <v>0</v>
      </c>
      <c r="F252" s="470">
        <v>0</v>
      </c>
      <c r="G252" s="470" t="s">
        <v>306</v>
      </c>
      <c r="H252" s="470">
        <v>-2</v>
      </c>
      <c r="I252" s="470" t="s">
        <v>273</v>
      </c>
      <c r="J252" s="470" t="s">
        <v>273</v>
      </c>
      <c r="K252" s="470" t="s">
        <v>273</v>
      </c>
      <c r="L252" s="470" t="s">
        <v>273</v>
      </c>
      <c r="M252" s="470" t="s">
        <v>273</v>
      </c>
      <c r="N252" s="470" t="s">
        <v>273</v>
      </c>
      <c r="O252" s="470" t="s">
        <v>273</v>
      </c>
      <c r="P252" s="470" t="s">
        <v>273</v>
      </c>
      <c r="Q252" s="470" t="s">
        <v>273</v>
      </c>
      <c r="R252" s="470" t="s">
        <v>273</v>
      </c>
      <c r="S252" s="470" t="s">
        <v>273</v>
      </c>
      <c r="T252" s="470" t="s">
        <v>273</v>
      </c>
      <c r="U252" s="470" t="s">
        <v>273</v>
      </c>
      <c r="V252" s="470" t="s">
        <v>273</v>
      </c>
      <c r="W252" s="470" t="s">
        <v>273</v>
      </c>
      <c r="X252" s="470" t="s">
        <v>273</v>
      </c>
      <c r="Y252" s="470" t="s">
        <v>273</v>
      </c>
      <c r="Z252" s="470" t="s">
        <v>273</v>
      </c>
      <c r="AA252" s="470" t="s">
        <v>273</v>
      </c>
      <c r="AB252" s="470" t="s">
        <v>273</v>
      </c>
      <c r="AC252" s="470" t="s">
        <v>273</v>
      </c>
      <c r="AD252" s="470" t="s">
        <v>273</v>
      </c>
      <c r="AE252" s="470" t="s">
        <v>273</v>
      </c>
      <c r="AF252" s="470" t="s">
        <v>273</v>
      </c>
      <c r="AG252" s="470" t="s">
        <v>273</v>
      </c>
      <c r="AH252" s="470" t="s">
        <v>273</v>
      </c>
      <c r="AI252" s="470" t="s">
        <v>273</v>
      </c>
      <c r="AJ252" s="470" t="s">
        <v>273</v>
      </c>
      <c r="AK252" s="470" t="s">
        <v>273</v>
      </c>
      <c r="AL252" s="470" t="s">
        <v>273</v>
      </c>
    </row>
    <row r="253" spans="1:38">
      <c r="A253" s="470" t="s">
        <v>1401</v>
      </c>
      <c r="B253" s="470">
        <v>0</v>
      </c>
      <c r="C253" s="470">
        <v>0</v>
      </c>
      <c r="D253" s="470">
        <v>0</v>
      </c>
      <c r="E253" s="470">
        <v>0</v>
      </c>
      <c r="F253" s="470">
        <v>0</v>
      </c>
      <c r="G253" s="470">
        <v>0</v>
      </c>
      <c r="H253" s="470">
        <v>0</v>
      </c>
      <c r="I253" s="470" t="s">
        <v>273</v>
      </c>
      <c r="J253" s="470" t="s">
        <v>273</v>
      </c>
      <c r="K253" s="470" t="s">
        <v>273</v>
      </c>
      <c r="L253" s="470" t="s">
        <v>273</v>
      </c>
      <c r="M253" s="470" t="s">
        <v>273</v>
      </c>
      <c r="N253" s="470" t="s">
        <v>273</v>
      </c>
      <c r="O253" s="470" t="s">
        <v>273</v>
      </c>
      <c r="P253" s="470" t="s">
        <v>273</v>
      </c>
      <c r="Q253" s="470" t="s">
        <v>273</v>
      </c>
      <c r="R253" s="470" t="s">
        <v>273</v>
      </c>
      <c r="S253" s="470" t="s">
        <v>273</v>
      </c>
      <c r="T253" s="470" t="s">
        <v>273</v>
      </c>
      <c r="U253" s="470" t="s">
        <v>273</v>
      </c>
      <c r="V253" s="470" t="s">
        <v>273</v>
      </c>
      <c r="W253" s="470" t="s">
        <v>273</v>
      </c>
      <c r="X253" s="470" t="s">
        <v>273</v>
      </c>
      <c r="Y253" s="470" t="s">
        <v>273</v>
      </c>
      <c r="Z253" s="470" t="s">
        <v>273</v>
      </c>
      <c r="AA253" s="470" t="s">
        <v>273</v>
      </c>
      <c r="AB253" s="470" t="s">
        <v>273</v>
      </c>
      <c r="AC253" s="470" t="s">
        <v>273</v>
      </c>
      <c r="AD253" s="470" t="s">
        <v>273</v>
      </c>
      <c r="AE253" s="470" t="s">
        <v>273</v>
      </c>
      <c r="AF253" s="470" t="s">
        <v>273</v>
      </c>
      <c r="AG253" s="470" t="s">
        <v>273</v>
      </c>
      <c r="AH253" s="470" t="s">
        <v>273</v>
      </c>
      <c r="AI253" s="470" t="s">
        <v>273</v>
      </c>
      <c r="AJ253" s="470" t="s">
        <v>273</v>
      </c>
      <c r="AK253" s="470" t="s">
        <v>273</v>
      </c>
      <c r="AL253" s="470" t="s">
        <v>273</v>
      </c>
    </row>
    <row r="254" spans="1:38">
      <c r="A254" s="470" t="s">
        <v>1400</v>
      </c>
      <c r="B254" s="470">
        <v>0</v>
      </c>
      <c r="C254" s="470">
        <v>0</v>
      </c>
      <c r="D254" s="470">
        <v>0</v>
      </c>
      <c r="E254" s="470">
        <v>0</v>
      </c>
      <c r="F254" s="470">
        <v>0</v>
      </c>
      <c r="G254" s="470">
        <v>0</v>
      </c>
      <c r="H254" s="470">
        <v>0</v>
      </c>
      <c r="I254" s="470" t="s">
        <v>273</v>
      </c>
      <c r="J254" s="470" t="s">
        <v>273</v>
      </c>
      <c r="K254" s="470" t="s">
        <v>273</v>
      </c>
      <c r="L254" s="470" t="s">
        <v>273</v>
      </c>
      <c r="M254" s="470" t="s">
        <v>273</v>
      </c>
      <c r="N254" s="470" t="s">
        <v>273</v>
      </c>
      <c r="O254" s="470" t="s">
        <v>273</v>
      </c>
      <c r="P254" s="470" t="s">
        <v>273</v>
      </c>
      <c r="Q254" s="470" t="s">
        <v>273</v>
      </c>
      <c r="R254" s="470" t="s">
        <v>273</v>
      </c>
      <c r="S254" s="470" t="s">
        <v>273</v>
      </c>
      <c r="T254" s="470" t="s">
        <v>273</v>
      </c>
      <c r="U254" s="470" t="s">
        <v>273</v>
      </c>
      <c r="V254" s="470" t="s">
        <v>273</v>
      </c>
      <c r="W254" s="470" t="s">
        <v>273</v>
      </c>
      <c r="X254" s="470" t="s">
        <v>273</v>
      </c>
      <c r="Y254" s="470" t="s">
        <v>273</v>
      </c>
      <c r="Z254" s="470" t="s">
        <v>273</v>
      </c>
      <c r="AA254" s="470" t="s">
        <v>273</v>
      </c>
      <c r="AB254" s="470" t="s">
        <v>273</v>
      </c>
      <c r="AC254" s="470" t="s">
        <v>273</v>
      </c>
      <c r="AD254" s="470" t="s">
        <v>273</v>
      </c>
      <c r="AE254" s="470" t="s">
        <v>273</v>
      </c>
      <c r="AF254" s="470" t="s">
        <v>273</v>
      </c>
      <c r="AG254" s="470" t="s">
        <v>273</v>
      </c>
      <c r="AH254" s="470" t="s">
        <v>273</v>
      </c>
      <c r="AI254" s="470" t="s">
        <v>273</v>
      </c>
      <c r="AJ254" s="470" t="s">
        <v>273</v>
      </c>
      <c r="AK254" s="470" t="s">
        <v>273</v>
      </c>
      <c r="AL254" s="470" t="s">
        <v>273</v>
      </c>
    </row>
    <row r="255" spans="1:38">
      <c r="A255" s="470" t="s">
        <v>1399</v>
      </c>
      <c r="B255" s="470">
        <v>0</v>
      </c>
      <c r="C255" s="470">
        <v>0</v>
      </c>
      <c r="D255" s="470">
        <v>0</v>
      </c>
      <c r="E255" s="470">
        <v>0</v>
      </c>
      <c r="F255" s="470">
        <v>0</v>
      </c>
      <c r="G255" s="470">
        <v>0</v>
      </c>
      <c r="H255" s="470">
        <v>0</v>
      </c>
      <c r="I255" s="470" t="s">
        <v>273</v>
      </c>
      <c r="J255" s="470" t="s">
        <v>273</v>
      </c>
      <c r="K255" s="470" t="s">
        <v>273</v>
      </c>
      <c r="L255" s="470" t="s">
        <v>273</v>
      </c>
      <c r="M255" s="470" t="s">
        <v>273</v>
      </c>
      <c r="N255" s="470" t="s">
        <v>273</v>
      </c>
      <c r="O255" s="470" t="s">
        <v>273</v>
      </c>
      <c r="P255" s="470" t="s">
        <v>273</v>
      </c>
      <c r="Q255" s="470" t="s">
        <v>273</v>
      </c>
      <c r="R255" s="470" t="s">
        <v>273</v>
      </c>
      <c r="S255" s="470" t="s">
        <v>273</v>
      </c>
      <c r="T255" s="470" t="s">
        <v>273</v>
      </c>
      <c r="U255" s="470" t="s">
        <v>273</v>
      </c>
      <c r="V255" s="470" t="s">
        <v>273</v>
      </c>
      <c r="W255" s="470" t="s">
        <v>273</v>
      </c>
      <c r="X255" s="470" t="s">
        <v>273</v>
      </c>
      <c r="Y255" s="470" t="s">
        <v>273</v>
      </c>
      <c r="Z255" s="470" t="s">
        <v>273</v>
      </c>
      <c r="AA255" s="470" t="s">
        <v>273</v>
      </c>
      <c r="AB255" s="470" t="s">
        <v>273</v>
      </c>
      <c r="AC255" s="470" t="s">
        <v>273</v>
      </c>
      <c r="AD255" s="470" t="s">
        <v>273</v>
      </c>
      <c r="AE255" s="470" t="s">
        <v>273</v>
      </c>
      <c r="AF255" s="470" t="s">
        <v>273</v>
      </c>
      <c r="AG255" s="470" t="s">
        <v>273</v>
      </c>
      <c r="AH255" s="470" t="s">
        <v>273</v>
      </c>
      <c r="AI255" s="470" t="s">
        <v>273</v>
      </c>
      <c r="AJ255" s="470" t="s">
        <v>273</v>
      </c>
      <c r="AK255" s="470" t="s">
        <v>273</v>
      </c>
      <c r="AL255" s="470" t="s">
        <v>273</v>
      </c>
    </row>
    <row r="256" spans="1:38">
      <c r="A256" s="470" t="s">
        <v>321</v>
      </c>
      <c r="B256" s="470" t="s">
        <v>306</v>
      </c>
      <c r="C256" s="470" t="s">
        <v>306</v>
      </c>
      <c r="D256" s="470" t="s">
        <v>306</v>
      </c>
      <c r="E256" s="470">
        <v>1</v>
      </c>
      <c r="F256" s="470">
        <v>1</v>
      </c>
      <c r="G256" s="470">
        <v>1</v>
      </c>
      <c r="H256" s="470">
        <v>1</v>
      </c>
      <c r="I256" s="470" t="s">
        <v>273</v>
      </c>
      <c r="J256" s="470" t="s">
        <v>273</v>
      </c>
      <c r="K256" s="470" t="s">
        <v>273</v>
      </c>
      <c r="L256" s="470" t="s">
        <v>273</v>
      </c>
      <c r="M256" s="470" t="s">
        <v>273</v>
      </c>
      <c r="N256" s="470" t="s">
        <v>273</v>
      </c>
      <c r="O256" s="470" t="s">
        <v>273</v>
      </c>
      <c r="P256" s="470" t="s">
        <v>273</v>
      </c>
      <c r="Q256" s="470" t="s">
        <v>273</v>
      </c>
      <c r="R256" s="470" t="s">
        <v>273</v>
      </c>
      <c r="S256" s="470" t="s">
        <v>273</v>
      </c>
      <c r="T256" s="470" t="s">
        <v>273</v>
      </c>
      <c r="U256" s="470" t="s">
        <v>273</v>
      </c>
      <c r="V256" s="470" t="s">
        <v>273</v>
      </c>
      <c r="W256" s="470" t="s">
        <v>273</v>
      </c>
      <c r="X256" s="470" t="s">
        <v>273</v>
      </c>
      <c r="Y256" s="470" t="s">
        <v>273</v>
      </c>
      <c r="Z256" s="470" t="s">
        <v>273</v>
      </c>
      <c r="AA256" s="470" t="s">
        <v>273</v>
      </c>
      <c r="AB256" s="470" t="s">
        <v>273</v>
      </c>
      <c r="AC256" s="470" t="s">
        <v>273</v>
      </c>
      <c r="AD256" s="470" t="s">
        <v>273</v>
      </c>
      <c r="AE256" s="470" t="s">
        <v>273</v>
      </c>
      <c r="AF256" s="470" t="s">
        <v>273</v>
      </c>
      <c r="AG256" s="470" t="s">
        <v>273</v>
      </c>
      <c r="AH256" s="470" t="s">
        <v>273</v>
      </c>
      <c r="AI256" s="470" t="s">
        <v>273</v>
      </c>
      <c r="AJ256" s="470" t="s">
        <v>273</v>
      </c>
      <c r="AK256" s="470" t="s">
        <v>273</v>
      </c>
      <c r="AL256" s="470" t="s">
        <v>273</v>
      </c>
    </row>
    <row r="257" spans="1:38">
      <c r="A257" s="470" t="s">
        <v>1398</v>
      </c>
      <c r="B257" s="470">
        <v>0</v>
      </c>
      <c r="C257" s="470">
        <v>0</v>
      </c>
      <c r="D257" s="470">
        <v>0</v>
      </c>
      <c r="E257" s="470">
        <v>0</v>
      </c>
      <c r="F257" s="470">
        <v>0</v>
      </c>
      <c r="G257" s="470">
        <v>0</v>
      </c>
      <c r="H257" s="470">
        <v>0</v>
      </c>
      <c r="I257" s="470" t="s">
        <v>273</v>
      </c>
      <c r="J257" s="470" t="s">
        <v>273</v>
      </c>
      <c r="K257" s="470" t="s">
        <v>273</v>
      </c>
      <c r="L257" s="470" t="s">
        <v>273</v>
      </c>
      <c r="M257" s="470" t="s">
        <v>273</v>
      </c>
      <c r="N257" s="470" t="s">
        <v>273</v>
      </c>
      <c r="O257" s="470" t="s">
        <v>273</v>
      </c>
      <c r="P257" s="470" t="s">
        <v>273</v>
      </c>
      <c r="Q257" s="470" t="s">
        <v>273</v>
      </c>
      <c r="R257" s="470" t="s">
        <v>273</v>
      </c>
      <c r="S257" s="470" t="s">
        <v>273</v>
      </c>
      <c r="T257" s="470" t="s">
        <v>273</v>
      </c>
      <c r="U257" s="470" t="s">
        <v>273</v>
      </c>
      <c r="V257" s="470" t="s">
        <v>273</v>
      </c>
      <c r="W257" s="470" t="s">
        <v>273</v>
      </c>
      <c r="X257" s="470" t="s">
        <v>273</v>
      </c>
      <c r="Y257" s="470" t="s">
        <v>273</v>
      </c>
      <c r="Z257" s="470" t="s">
        <v>273</v>
      </c>
      <c r="AA257" s="470" t="s">
        <v>273</v>
      </c>
      <c r="AB257" s="470" t="s">
        <v>273</v>
      </c>
      <c r="AC257" s="470" t="s">
        <v>273</v>
      </c>
      <c r="AD257" s="470" t="s">
        <v>273</v>
      </c>
      <c r="AE257" s="470" t="s">
        <v>273</v>
      </c>
      <c r="AF257" s="470" t="s">
        <v>273</v>
      </c>
      <c r="AG257" s="470" t="s">
        <v>273</v>
      </c>
      <c r="AH257" s="470" t="s">
        <v>273</v>
      </c>
      <c r="AI257" s="470" t="s">
        <v>273</v>
      </c>
      <c r="AJ257" s="470" t="s">
        <v>273</v>
      </c>
      <c r="AK257" s="470" t="s">
        <v>273</v>
      </c>
      <c r="AL257" s="470" t="s">
        <v>273</v>
      </c>
    </row>
    <row r="258" spans="1:38">
      <c r="A258" s="470" t="s">
        <v>393</v>
      </c>
      <c r="B258" s="470" t="s">
        <v>306</v>
      </c>
      <c r="C258" s="470" t="s">
        <v>306</v>
      </c>
      <c r="D258" s="470" t="s">
        <v>306</v>
      </c>
      <c r="E258" s="470" t="s">
        <v>306</v>
      </c>
      <c r="F258" s="470" t="s">
        <v>306</v>
      </c>
      <c r="G258" s="470" t="s">
        <v>306</v>
      </c>
      <c r="H258" s="470" t="s">
        <v>306</v>
      </c>
      <c r="I258" s="470" t="s">
        <v>273</v>
      </c>
      <c r="J258" s="470" t="s">
        <v>273</v>
      </c>
      <c r="K258" s="470" t="s">
        <v>273</v>
      </c>
      <c r="L258" s="470" t="s">
        <v>273</v>
      </c>
      <c r="M258" s="470" t="s">
        <v>273</v>
      </c>
      <c r="N258" s="470" t="s">
        <v>273</v>
      </c>
      <c r="O258" s="470" t="s">
        <v>273</v>
      </c>
      <c r="P258" s="470" t="s">
        <v>273</v>
      </c>
      <c r="Q258" s="470" t="s">
        <v>273</v>
      </c>
      <c r="R258" s="470" t="s">
        <v>273</v>
      </c>
      <c r="S258" s="470" t="s">
        <v>273</v>
      </c>
      <c r="T258" s="470" t="s">
        <v>273</v>
      </c>
      <c r="U258" s="470" t="s">
        <v>273</v>
      </c>
      <c r="V258" s="470" t="s">
        <v>273</v>
      </c>
      <c r="W258" s="470" t="s">
        <v>273</v>
      </c>
      <c r="X258" s="470" t="s">
        <v>273</v>
      </c>
      <c r="Y258" s="470" t="s">
        <v>273</v>
      </c>
      <c r="Z258" s="470" t="s">
        <v>273</v>
      </c>
      <c r="AA258" s="470" t="s">
        <v>273</v>
      </c>
      <c r="AB258" s="470" t="s">
        <v>273</v>
      </c>
      <c r="AC258" s="470" t="s">
        <v>273</v>
      </c>
      <c r="AD258" s="470" t="s">
        <v>273</v>
      </c>
      <c r="AE258" s="470" t="s">
        <v>273</v>
      </c>
      <c r="AF258" s="470" t="s">
        <v>273</v>
      </c>
      <c r="AG258" s="470" t="s">
        <v>273</v>
      </c>
      <c r="AH258" s="470" t="s">
        <v>273</v>
      </c>
      <c r="AI258" s="470" t="s">
        <v>273</v>
      </c>
      <c r="AJ258" s="470" t="s">
        <v>273</v>
      </c>
      <c r="AK258" s="470" t="s">
        <v>273</v>
      </c>
      <c r="AL258" s="470" t="s">
        <v>273</v>
      </c>
    </row>
    <row r="259" spans="1:38">
      <c r="A259" s="470" t="s">
        <v>1397</v>
      </c>
      <c r="B259" s="470">
        <v>0</v>
      </c>
      <c r="C259" s="470">
        <v>0</v>
      </c>
      <c r="D259" s="470">
        <v>0</v>
      </c>
      <c r="E259" s="470">
        <v>0</v>
      </c>
      <c r="F259" s="470">
        <v>0</v>
      </c>
      <c r="G259" s="470">
        <v>0</v>
      </c>
      <c r="H259" s="470">
        <v>0</v>
      </c>
      <c r="I259" s="470" t="s">
        <v>273</v>
      </c>
      <c r="J259" s="470" t="s">
        <v>273</v>
      </c>
      <c r="K259" s="470" t="s">
        <v>273</v>
      </c>
      <c r="L259" s="470" t="s">
        <v>273</v>
      </c>
      <c r="M259" s="470" t="s">
        <v>273</v>
      </c>
      <c r="N259" s="470" t="s">
        <v>273</v>
      </c>
      <c r="O259" s="470" t="s">
        <v>273</v>
      </c>
      <c r="P259" s="470" t="s">
        <v>273</v>
      </c>
      <c r="Q259" s="470" t="s">
        <v>273</v>
      </c>
      <c r="R259" s="470" t="s">
        <v>273</v>
      </c>
      <c r="S259" s="470" t="s">
        <v>273</v>
      </c>
      <c r="T259" s="470" t="s">
        <v>273</v>
      </c>
      <c r="U259" s="470" t="s">
        <v>273</v>
      </c>
      <c r="V259" s="470" t="s">
        <v>273</v>
      </c>
      <c r="W259" s="470" t="s">
        <v>273</v>
      </c>
      <c r="X259" s="470" t="s">
        <v>273</v>
      </c>
      <c r="Y259" s="470" t="s">
        <v>273</v>
      </c>
      <c r="Z259" s="470" t="s">
        <v>273</v>
      </c>
      <c r="AA259" s="470" t="s">
        <v>273</v>
      </c>
      <c r="AB259" s="470" t="s">
        <v>273</v>
      </c>
      <c r="AC259" s="470" t="s">
        <v>273</v>
      </c>
      <c r="AD259" s="470" t="s">
        <v>273</v>
      </c>
      <c r="AE259" s="470" t="s">
        <v>273</v>
      </c>
      <c r="AF259" s="470" t="s">
        <v>273</v>
      </c>
      <c r="AG259" s="470" t="s">
        <v>273</v>
      </c>
      <c r="AH259" s="470" t="s">
        <v>273</v>
      </c>
      <c r="AI259" s="470" t="s">
        <v>273</v>
      </c>
      <c r="AJ259" s="470" t="s">
        <v>273</v>
      </c>
      <c r="AK259" s="470" t="s">
        <v>273</v>
      </c>
      <c r="AL259" s="470" t="s">
        <v>273</v>
      </c>
    </row>
    <row r="260" spans="1:38">
      <c r="A260" s="470" t="s">
        <v>1396</v>
      </c>
      <c r="B260" s="470">
        <v>0</v>
      </c>
      <c r="C260" s="470">
        <v>0</v>
      </c>
      <c r="D260" s="470">
        <v>0</v>
      </c>
      <c r="E260" s="470">
        <v>0</v>
      </c>
      <c r="F260" s="470">
        <v>0</v>
      </c>
      <c r="G260" s="470">
        <v>0</v>
      </c>
      <c r="H260" s="470">
        <v>0</v>
      </c>
      <c r="I260" s="470" t="s">
        <v>273</v>
      </c>
      <c r="J260" s="470" t="s">
        <v>273</v>
      </c>
      <c r="K260" s="470" t="s">
        <v>273</v>
      </c>
      <c r="L260" s="470" t="s">
        <v>273</v>
      </c>
      <c r="M260" s="470" t="s">
        <v>273</v>
      </c>
      <c r="N260" s="470" t="s">
        <v>273</v>
      </c>
      <c r="O260" s="470" t="s">
        <v>273</v>
      </c>
      <c r="P260" s="470" t="s">
        <v>273</v>
      </c>
      <c r="Q260" s="470" t="s">
        <v>273</v>
      </c>
      <c r="R260" s="470" t="s">
        <v>273</v>
      </c>
      <c r="S260" s="470" t="s">
        <v>273</v>
      </c>
      <c r="T260" s="470" t="s">
        <v>273</v>
      </c>
      <c r="U260" s="470" t="s">
        <v>273</v>
      </c>
      <c r="V260" s="470" t="s">
        <v>273</v>
      </c>
      <c r="W260" s="470" t="s">
        <v>273</v>
      </c>
      <c r="X260" s="470" t="s">
        <v>273</v>
      </c>
      <c r="Y260" s="470" t="s">
        <v>273</v>
      </c>
      <c r="Z260" s="470" t="s">
        <v>273</v>
      </c>
      <c r="AA260" s="470" t="s">
        <v>273</v>
      </c>
      <c r="AB260" s="470" t="s">
        <v>273</v>
      </c>
      <c r="AC260" s="470" t="s">
        <v>273</v>
      </c>
      <c r="AD260" s="470" t="s">
        <v>273</v>
      </c>
      <c r="AE260" s="470" t="s">
        <v>273</v>
      </c>
      <c r="AF260" s="470" t="s">
        <v>273</v>
      </c>
      <c r="AG260" s="470" t="s">
        <v>273</v>
      </c>
      <c r="AH260" s="470" t="s">
        <v>273</v>
      </c>
      <c r="AI260" s="470" t="s">
        <v>273</v>
      </c>
      <c r="AJ260" s="470" t="s">
        <v>273</v>
      </c>
      <c r="AK260" s="470" t="s">
        <v>273</v>
      </c>
      <c r="AL260" s="470" t="s">
        <v>273</v>
      </c>
    </row>
    <row r="261" spans="1:38">
      <c r="A261" s="470" t="s">
        <v>1395</v>
      </c>
      <c r="B261" s="470">
        <v>0</v>
      </c>
      <c r="C261" s="470">
        <v>0</v>
      </c>
      <c r="D261" s="470">
        <v>0</v>
      </c>
      <c r="E261" s="470">
        <v>0</v>
      </c>
      <c r="F261" s="470">
        <v>0</v>
      </c>
      <c r="G261" s="470">
        <v>0</v>
      </c>
      <c r="H261" s="470">
        <v>0</v>
      </c>
      <c r="I261" s="470" t="s">
        <v>273</v>
      </c>
      <c r="J261" s="470" t="s">
        <v>273</v>
      </c>
      <c r="K261" s="470" t="s">
        <v>273</v>
      </c>
      <c r="L261" s="470" t="s">
        <v>273</v>
      </c>
      <c r="M261" s="470" t="s">
        <v>273</v>
      </c>
      <c r="N261" s="470" t="s">
        <v>273</v>
      </c>
      <c r="O261" s="470" t="s">
        <v>273</v>
      </c>
      <c r="P261" s="470" t="s">
        <v>273</v>
      </c>
      <c r="Q261" s="470" t="s">
        <v>273</v>
      </c>
      <c r="R261" s="470" t="s">
        <v>273</v>
      </c>
      <c r="S261" s="470" t="s">
        <v>273</v>
      </c>
      <c r="T261" s="470" t="s">
        <v>273</v>
      </c>
      <c r="U261" s="470" t="s">
        <v>273</v>
      </c>
      <c r="V261" s="470" t="s">
        <v>273</v>
      </c>
      <c r="W261" s="470" t="s">
        <v>273</v>
      </c>
      <c r="X261" s="470" t="s">
        <v>273</v>
      </c>
      <c r="Y261" s="470" t="s">
        <v>273</v>
      </c>
      <c r="Z261" s="470" t="s">
        <v>273</v>
      </c>
      <c r="AA261" s="470" t="s">
        <v>273</v>
      </c>
      <c r="AB261" s="470" t="s">
        <v>273</v>
      </c>
      <c r="AC261" s="470" t="s">
        <v>273</v>
      </c>
      <c r="AD261" s="470" t="s">
        <v>273</v>
      </c>
      <c r="AE261" s="470" t="s">
        <v>273</v>
      </c>
      <c r="AF261" s="470" t="s">
        <v>273</v>
      </c>
      <c r="AG261" s="470" t="s">
        <v>273</v>
      </c>
      <c r="AH261" s="470" t="s">
        <v>273</v>
      </c>
      <c r="AI261" s="470" t="s">
        <v>273</v>
      </c>
      <c r="AJ261" s="470" t="s">
        <v>273</v>
      </c>
      <c r="AK261" s="470" t="s">
        <v>273</v>
      </c>
      <c r="AL261" s="470" t="s">
        <v>273</v>
      </c>
    </row>
    <row r="262" spans="1:38">
      <c r="A262" s="470" t="s">
        <v>1394</v>
      </c>
      <c r="B262" s="470">
        <v>0</v>
      </c>
      <c r="C262" s="470">
        <v>0</v>
      </c>
      <c r="D262" s="470">
        <v>0</v>
      </c>
      <c r="E262" s="470">
        <v>0</v>
      </c>
      <c r="F262" s="470">
        <v>0</v>
      </c>
      <c r="G262" s="470">
        <v>0</v>
      </c>
      <c r="H262" s="470">
        <v>0</v>
      </c>
      <c r="I262" s="470" t="s">
        <v>273</v>
      </c>
      <c r="J262" s="470" t="s">
        <v>273</v>
      </c>
      <c r="K262" s="470" t="s">
        <v>273</v>
      </c>
      <c r="L262" s="470" t="s">
        <v>273</v>
      </c>
      <c r="M262" s="470" t="s">
        <v>273</v>
      </c>
      <c r="N262" s="470" t="s">
        <v>273</v>
      </c>
      <c r="O262" s="470" t="s">
        <v>273</v>
      </c>
      <c r="P262" s="470" t="s">
        <v>273</v>
      </c>
      <c r="Q262" s="470" t="s">
        <v>273</v>
      </c>
      <c r="R262" s="470" t="s">
        <v>273</v>
      </c>
      <c r="S262" s="470" t="s">
        <v>273</v>
      </c>
      <c r="T262" s="470" t="s">
        <v>273</v>
      </c>
      <c r="U262" s="470" t="s">
        <v>273</v>
      </c>
      <c r="V262" s="470" t="s">
        <v>273</v>
      </c>
      <c r="W262" s="470" t="s">
        <v>273</v>
      </c>
      <c r="X262" s="470" t="s">
        <v>273</v>
      </c>
      <c r="Y262" s="470" t="s">
        <v>273</v>
      </c>
      <c r="Z262" s="470" t="s">
        <v>273</v>
      </c>
      <c r="AA262" s="470" t="s">
        <v>273</v>
      </c>
      <c r="AB262" s="470" t="s">
        <v>273</v>
      </c>
      <c r="AC262" s="470" t="s">
        <v>273</v>
      </c>
      <c r="AD262" s="470" t="s">
        <v>273</v>
      </c>
      <c r="AE262" s="470" t="s">
        <v>273</v>
      </c>
      <c r="AF262" s="470" t="s">
        <v>273</v>
      </c>
      <c r="AG262" s="470" t="s">
        <v>273</v>
      </c>
      <c r="AH262" s="470" t="s">
        <v>273</v>
      </c>
      <c r="AI262" s="470" t="s">
        <v>273</v>
      </c>
      <c r="AJ262" s="470" t="s">
        <v>273</v>
      </c>
      <c r="AK262" s="470" t="s">
        <v>273</v>
      </c>
      <c r="AL262" s="470" t="s">
        <v>273</v>
      </c>
    </row>
    <row r="263" spans="1:38">
      <c r="A263" s="470" t="s">
        <v>1393</v>
      </c>
      <c r="B263" s="470">
        <v>0</v>
      </c>
      <c r="C263" s="470">
        <v>0</v>
      </c>
      <c r="D263" s="470">
        <v>0</v>
      </c>
      <c r="E263" s="470">
        <v>0</v>
      </c>
      <c r="F263" s="470">
        <v>0</v>
      </c>
      <c r="G263" s="470">
        <v>0</v>
      </c>
      <c r="H263" s="470">
        <v>0</v>
      </c>
      <c r="I263" s="470" t="s">
        <v>273</v>
      </c>
      <c r="J263" s="470" t="s">
        <v>273</v>
      </c>
      <c r="K263" s="470" t="s">
        <v>273</v>
      </c>
      <c r="L263" s="470" t="s">
        <v>273</v>
      </c>
      <c r="M263" s="470" t="s">
        <v>273</v>
      </c>
      <c r="N263" s="470" t="s">
        <v>273</v>
      </c>
      <c r="O263" s="470" t="s">
        <v>273</v>
      </c>
      <c r="P263" s="470" t="s">
        <v>273</v>
      </c>
      <c r="Q263" s="470" t="s">
        <v>273</v>
      </c>
      <c r="R263" s="470" t="s">
        <v>273</v>
      </c>
      <c r="S263" s="470" t="s">
        <v>273</v>
      </c>
      <c r="T263" s="470" t="s">
        <v>273</v>
      </c>
      <c r="U263" s="470" t="s">
        <v>273</v>
      </c>
      <c r="V263" s="470" t="s">
        <v>273</v>
      </c>
      <c r="W263" s="470" t="s">
        <v>273</v>
      </c>
      <c r="X263" s="470" t="s">
        <v>273</v>
      </c>
      <c r="Y263" s="470" t="s">
        <v>273</v>
      </c>
      <c r="Z263" s="470" t="s">
        <v>273</v>
      </c>
      <c r="AA263" s="470" t="s">
        <v>273</v>
      </c>
      <c r="AB263" s="470" t="s">
        <v>273</v>
      </c>
      <c r="AC263" s="470" t="s">
        <v>273</v>
      </c>
      <c r="AD263" s="470" t="s">
        <v>273</v>
      </c>
      <c r="AE263" s="470" t="s">
        <v>273</v>
      </c>
      <c r="AF263" s="470" t="s">
        <v>273</v>
      </c>
      <c r="AG263" s="470" t="s">
        <v>273</v>
      </c>
      <c r="AH263" s="470" t="s">
        <v>273</v>
      </c>
      <c r="AI263" s="470" t="s">
        <v>273</v>
      </c>
      <c r="AJ263" s="470" t="s">
        <v>273</v>
      </c>
      <c r="AK263" s="470" t="s">
        <v>273</v>
      </c>
      <c r="AL263" s="470" t="s">
        <v>273</v>
      </c>
    </row>
    <row r="264" spans="1:38">
      <c r="A264" s="470" t="s">
        <v>1392</v>
      </c>
      <c r="B264" s="470">
        <v>0</v>
      </c>
      <c r="C264" s="470">
        <v>0</v>
      </c>
      <c r="D264" s="470">
        <v>0</v>
      </c>
      <c r="E264" s="470">
        <v>0</v>
      </c>
      <c r="F264" s="470">
        <v>0</v>
      </c>
      <c r="G264" s="470">
        <v>0</v>
      </c>
      <c r="H264" s="470">
        <v>0</v>
      </c>
      <c r="I264" s="470" t="s">
        <v>273</v>
      </c>
      <c r="J264" s="470" t="s">
        <v>273</v>
      </c>
      <c r="K264" s="470" t="s">
        <v>273</v>
      </c>
      <c r="L264" s="470" t="s">
        <v>273</v>
      </c>
      <c r="M264" s="470" t="s">
        <v>273</v>
      </c>
      <c r="N264" s="470" t="s">
        <v>273</v>
      </c>
      <c r="O264" s="470" t="s">
        <v>273</v>
      </c>
      <c r="P264" s="470" t="s">
        <v>273</v>
      </c>
      <c r="Q264" s="470" t="s">
        <v>273</v>
      </c>
      <c r="R264" s="470" t="s">
        <v>273</v>
      </c>
      <c r="S264" s="470" t="s">
        <v>273</v>
      </c>
      <c r="T264" s="470" t="s">
        <v>273</v>
      </c>
      <c r="U264" s="470" t="s">
        <v>273</v>
      </c>
      <c r="V264" s="470" t="s">
        <v>273</v>
      </c>
      <c r="W264" s="470" t="s">
        <v>273</v>
      </c>
      <c r="X264" s="470" t="s">
        <v>273</v>
      </c>
      <c r="Y264" s="470" t="s">
        <v>273</v>
      </c>
      <c r="Z264" s="470" t="s">
        <v>273</v>
      </c>
      <c r="AA264" s="470" t="s">
        <v>273</v>
      </c>
      <c r="AB264" s="470" t="s">
        <v>273</v>
      </c>
      <c r="AC264" s="470" t="s">
        <v>273</v>
      </c>
      <c r="AD264" s="470" t="s">
        <v>273</v>
      </c>
      <c r="AE264" s="470" t="s">
        <v>273</v>
      </c>
      <c r="AF264" s="470" t="s">
        <v>273</v>
      </c>
      <c r="AG264" s="470" t="s">
        <v>273</v>
      </c>
      <c r="AH264" s="470" t="s">
        <v>273</v>
      </c>
      <c r="AI264" s="470" t="s">
        <v>273</v>
      </c>
      <c r="AJ264" s="470" t="s">
        <v>273</v>
      </c>
      <c r="AK264" s="470" t="s">
        <v>273</v>
      </c>
      <c r="AL264" s="470" t="s">
        <v>273</v>
      </c>
    </row>
    <row r="265" spans="1:38">
      <c r="A265" s="470" t="s">
        <v>320</v>
      </c>
      <c r="B265" s="470">
        <v>20</v>
      </c>
      <c r="C265" s="470">
        <v>93</v>
      </c>
      <c r="D265" s="470">
        <v>57</v>
      </c>
      <c r="E265" s="470">
        <v>20</v>
      </c>
      <c r="F265" s="470">
        <v>48</v>
      </c>
      <c r="G265" s="470">
        <v>33</v>
      </c>
      <c r="H265" s="470">
        <v>82</v>
      </c>
      <c r="I265" s="470" t="s">
        <v>273</v>
      </c>
      <c r="J265" s="470" t="s">
        <v>273</v>
      </c>
      <c r="K265" s="470" t="s">
        <v>273</v>
      </c>
      <c r="L265" s="470" t="s">
        <v>273</v>
      </c>
      <c r="M265" s="470" t="s">
        <v>273</v>
      </c>
      <c r="N265" s="470" t="s">
        <v>273</v>
      </c>
      <c r="O265" s="470" t="s">
        <v>273</v>
      </c>
      <c r="P265" s="470" t="s">
        <v>273</v>
      </c>
      <c r="Q265" s="470" t="s">
        <v>273</v>
      </c>
      <c r="R265" s="470" t="s">
        <v>273</v>
      </c>
      <c r="S265" s="470" t="s">
        <v>273</v>
      </c>
      <c r="T265" s="470" t="s">
        <v>273</v>
      </c>
      <c r="U265" s="470" t="s">
        <v>273</v>
      </c>
      <c r="V265" s="470" t="s">
        <v>273</v>
      </c>
      <c r="W265" s="470" t="s">
        <v>273</v>
      </c>
      <c r="X265" s="470" t="s">
        <v>273</v>
      </c>
      <c r="Y265" s="470" t="s">
        <v>273</v>
      </c>
      <c r="Z265" s="470" t="s">
        <v>273</v>
      </c>
      <c r="AA265" s="470" t="s">
        <v>273</v>
      </c>
      <c r="AB265" s="470" t="s">
        <v>273</v>
      </c>
      <c r="AC265" s="470" t="s">
        <v>273</v>
      </c>
      <c r="AD265" s="470" t="s">
        <v>273</v>
      </c>
      <c r="AE265" s="470" t="s">
        <v>273</v>
      </c>
      <c r="AF265" s="470" t="s">
        <v>273</v>
      </c>
      <c r="AG265" s="470" t="s">
        <v>273</v>
      </c>
      <c r="AH265" s="470" t="s">
        <v>273</v>
      </c>
      <c r="AI265" s="470" t="s">
        <v>273</v>
      </c>
      <c r="AJ265" s="470" t="s">
        <v>273</v>
      </c>
      <c r="AK265" s="470" t="s">
        <v>273</v>
      </c>
      <c r="AL265" s="470" t="s">
        <v>273</v>
      </c>
    </row>
    <row r="266" spans="1:38">
      <c r="A266" s="470" t="s">
        <v>319</v>
      </c>
      <c r="B266" s="470">
        <v>1</v>
      </c>
      <c r="C266" s="470">
        <v>2</v>
      </c>
      <c r="D266" s="470" t="s">
        <v>306</v>
      </c>
      <c r="E266" s="470">
        <v>5</v>
      </c>
      <c r="F266" s="470">
        <v>4</v>
      </c>
      <c r="G266" s="470" t="s">
        <v>306</v>
      </c>
      <c r="H266" s="470">
        <v>-3</v>
      </c>
      <c r="I266" s="470" t="s">
        <v>273</v>
      </c>
      <c r="J266" s="470" t="s">
        <v>273</v>
      </c>
      <c r="K266" s="470" t="s">
        <v>273</v>
      </c>
      <c r="L266" s="470" t="s">
        <v>273</v>
      </c>
      <c r="M266" s="470" t="s">
        <v>273</v>
      </c>
      <c r="N266" s="470" t="s">
        <v>273</v>
      </c>
      <c r="O266" s="470" t="s">
        <v>273</v>
      </c>
      <c r="P266" s="470" t="s">
        <v>273</v>
      </c>
      <c r="Q266" s="470" t="s">
        <v>273</v>
      </c>
      <c r="R266" s="470" t="s">
        <v>273</v>
      </c>
      <c r="S266" s="470" t="s">
        <v>273</v>
      </c>
      <c r="T266" s="470" t="s">
        <v>273</v>
      </c>
      <c r="U266" s="470" t="s">
        <v>273</v>
      </c>
      <c r="V266" s="470" t="s">
        <v>273</v>
      </c>
      <c r="W266" s="470" t="s">
        <v>273</v>
      </c>
      <c r="X266" s="470" t="s">
        <v>273</v>
      </c>
      <c r="Y266" s="470" t="s">
        <v>273</v>
      </c>
      <c r="Z266" s="470" t="s">
        <v>273</v>
      </c>
      <c r="AA266" s="470" t="s">
        <v>273</v>
      </c>
      <c r="AB266" s="470" t="s">
        <v>273</v>
      </c>
      <c r="AC266" s="470" t="s">
        <v>273</v>
      </c>
      <c r="AD266" s="470" t="s">
        <v>273</v>
      </c>
      <c r="AE266" s="470" t="s">
        <v>273</v>
      </c>
      <c r="AF266" s="470" t="s">
        <v>273</v>
      </c>
      <c r="AG266" s="470" t="s">
        <v>273</v>
      </c>
      <c r="AH266" s="470" t="s">
        <v>273</v>
      </c>
      <c r="AI266" s="470" t="s">
        <v>273</v>
      </c>
      <c r="AJ266" s="470" t="s">
        <v>273</v>
      </c>
      <c r="AK266" s="470" t="s">
        <v>273</v>
      </c>
      <c r="AL266" s="470" t="s">
        <v>273</v>
      </c>
    </row>
    <row r="267" spans="1:38">
      <c r="A267" s="470" t="s">
        <v>318</v>
      </c>
      <c r="B267" s="470" t="s">
        <v>306</v>
      </c>
      <c r="C267" s="470" t="s">
        <v>306</v>
      </c>
      <c r="D267" s="470" t="s">
        <v>306</v>
      </c>
      <c r="E267" s="470">
        <v>0</v>
      </c>
      <c r="F267" s="470">
        <v>0</v>
      </c>
      <c r="G267" s="470">
        <v>-1</v>
      </c>
      <c r="H267" s="470">
        <v>-7</v>
      </c>
      <c r="I267" s="470" t="s">
        <v>273</v>
      </c>
      <c r="J267" s="470" t="s">
        <v>273</v>
      </c>
      <c r="K267" s="470" t="s">
        <v>273</v>
      </c>
      <c r="L267" s="470" t="s">
        <v>273</v>
      </c>
      <c r="M267" s="470" t="s">
        <v>273</v>
      </c>
      <c r="N267" s="470" t="s">
        <v>273</v>
      </c>
      <c r="O267" s="470" t="s">
        <v>273</v>
      </c>
      <c r="P267" s="470" t="s">
        <v>273</v>
      </c>
      <c r="Q267" s="470" t="s">
        <v>273</v>
      </c>
      <c r="R267" s="470" t="s">
        <v>273</v>
      </c>
      <c r="S267" s="470" t="s">
        <v>273</v>
      </c>
      <c r="T267" s="470" t="s">
        <v>273</v>
      </c>
      <c r="U267" s="470" t="s">
        <v>273</v>
      </c>
      <c r="V267" s="470" t="s">
        <v>273</v>
      </c>
      <c r="W267" s="470" t="s">
        <v>273</v>
      </c>
      <c r="X267" s="470" t="s">
        <v>273</v>
      </c>
      <c r="Y267" s="470" t="s">
        <v>273</v>
      </c>
      <c r="Z267" s="470" t="s">
        <v>273</v>
      </c>
      <c r="AA267" s="470" t="s">
        <v>273</v>
      </c>
      <c r="AB267" s="470" t="s">
        <v>273</v>
      </c>
      <c r="AC267" s="470" t="s">
        <v>273</v>
      </c>
      <c r="AD267" s="470" t="s">
        <v>273</v>
      </c>
      <c r="AE267" s="470" t="s">
        <v>273</v>
      </c>
      <c r="AF267" s="470" t="s">
        <v>273</v>
      </c>
      <c r="AG267" s="470" t="s">
        <v>273</v>
      </c>
      <c r="AH267" s="470" t="s">
        <v>273</v>
      </c>
      <c r="AI267" s="470" t="s">
        <v>273</v>
      </c>
      <c r="AJ267" s="470" t="s">
        <v>273</v>
      </c>
      <c r="AK267" s="470" t="s">
        <v>273</v>
      </c>
      <c r="AL267" s="470" t="s">
        <v>273</v>
      </c>
    </row>
    <row r="268" spans="1:38">
      <c r="A268" s="470" t="s">
        <v>1391</v>
      </c>
      <c r="B268" s="470" t="s">
        <v>306</v>
      </c>
      <c r="C268" s="470" t="s">
        <v>306</v>
      </c>
      <c r="D268" s="470" t="s">
        <v>306</v>
      </c>
      <c r="E268" s="470" t="s">
        <v>306</v>
      </c>
      <c r="F268" s="470" t="s">
        <v>306</v>
      </c>
      <c r="G268" s="470" t="s">
        <v>306</v>
      </c>
      <c r="H268" s="470" t="s">
        <v>306</v>
      </c>
      <c r="I268" s="470" t="s">
        <v>273</v>
      </c>
      <c r="J268" s="470" t="s">
        <v>273</v>
      </c>
      <c r="K268" s="470" t="s">
        <v>273</v>
      </c>
      <c r="L268" s="470" t="s">
        <v>273</v>
      </c>
      <c r="M268" s="470" t="s">
        <v>273</v>
      </c>
      <c r="N268" s="470" t="s">
        <v>273</v>
      </c>
      <c r="O268" s="470" t="s">
        <v>273</v>
      </c>
      <c r="P268" s="470" t="s">
        <v>273</v>
      </c>
      <c r="Q268" s="470" t="s">
        <v>273</v>
      </c>
      <c r="R268" s="470" t="s">
        <v>273</v>
      </c>
      <c r="S268" s="470" t="s">
        <v>273</v>
      </c>
      <c r="T268" s="470" t="s">
        <v>273</v>
      </c>
      <c r="U268" s="470" t="s">
        <v>273</v>
      </c>
      <c r="V268" s="470" t="s">
        <v>273</v>
      </c>
      <c r="W268" s="470" t="s">
        <v>273</v>
      </c>
      <c r="X268" s="470" t="s">
        <v>273</v>
      </c>
      <c r="Y268" s="470" t="s">
        <v>273</v>
      </c>
      <c r="Z268" s="470" t="s">
        <v>273</v>
      </c>
      <c r="AA268" s="470" t="s">
        <v>273</v>
      </c>
      <c r="AB268" s="470" t="s">
        <v>273</v>
      </c>
      <c r="AC268" s="470" t="s">
        <v>273</v>
      </c>
      <c r="AD268" s="470" t="s">
        <v>273</v>
      </c>
      <c r="AE268" s="470" t="s">
        <v>273</v>
      </c>
      <c r="AF268" s="470" t="s">
        <v>273</v>
      </c>
      <c r="AG268" s="470" t="s">
        <v>273</v>
      </c>
      <c r="AH268" s="470" t="s">
        <v>273</v>
      </c>
      <c r="AI268" s="470" t="s">
        <v>273</v>
      </c>
      <c r="AJ268" s="470" t="s">
        <v>273</v>
      </c>
      <c r="AK268" s="470" t="s">
        <v>273</v>
      </c>
      <c r="AL268" s="470" t="s">
        <v>273</v>
      </c>
    </row>
    <row r="269" spans="1:38">
      <c r="A269" s="470" t="s">
        <v>1390</v>
      </c>
      <c r="B269" s="470">
        <v>0</v>
      </c>
      <c r="C269" s="470">
        <v>0</v>
      </c>
      <c r="D269" s="470">
        <v>0</v>
      </c>
      <c r="E269" s="470">
        <v>0</v>
      </c>
      <c r="F269" s="470">
        <v>0</v>
      </c>
      <c r="G269" s="470">
        <v>0</v>
      </c>
      <c r="H269" s="470">
        <v>0</v>
      </c>
      <c r="I269" s="470" t="s">
        <v>273</v>
      </c>
      <c r="J269" s="470" t="s">
        <v>273</v>
      </c>
      <c r="K269" s="470" t="s">
        <v>273</v>
      </c>
      <c r="L269" s="470" t="s">
        <v>273</v>
      </c>
      <c r="M269" s="470" t="s">
        <v>273</v>
      </c>
      <c r="N269" s="470" t="s">
        <v>273</v>
      </c>
      <c r="O269" s="470" t="s">
        <v>273</v>
      </c>
      <c r="P269" s="470" t="s">
        <v>273</v>
      </c>
      <c r="Q269" s="470" t="s">
        <v>273</v>
      </c>
      <c r="R269" s="470" t="s">
        <v>273</v>
      </c>
      <c r="S269" s="470" t="s">
        <v>273</v>
      </c>
      <c r="T269" s="470" t="s">
        <v>273</v>
      </c>
      <c r="U269" s="470" t="s">
        <v>273</v>
      </c>
      <c r="V269" s="470" t="s">
        <v>273</v>
      </c>
      <c r="W269" s="470" t="s">
        <v>273</v>
      </c>
      <c r="X269" s="470" t="s">
        <v>273</v>
      </c>
      <c r="Y269" s="470" t="s">
        <v>273</v>
      </c>
      <c r="Z269" s="470" t="s">
        <v>273</v>
      </c>
      <c r="AA269" s="470" t="s">
        <v>273</v>
      </c>
      <c r="AB269" s="470" t="s">
        <v>273</v>
      </c>
      <c r="AC269" s="470" t="s">
        <v>273</v>
      </c>
      <c r="AD269" s="470" t="s">
        <v>273</v>
      </c>
      <c r="AE269" s="470" t="s">
        <v>273</v>
      </c>
      <c r="AF269" s="470" t="s">
        <v>273</v>
      </c>
      <c r="AG269" s="470" t="s">
        <v>273</v>
      </c>
      <c r="AH269" s="470" t="s">
        <v>273</v>
      </c>
      <c r="AI269" s="470" t="s">
        <v>273</v>
      </c>
      <c r="AJ269" s="470" t="s">
        <v>273</v>
      </c>
      <c r="AK269" s="470" t="s">
        <v>273</v>
      </c>
      <c r="AL269" s="470" t="s">
        <v>273</v>
      </c>
    </row>
    <row r="270" spans="1:38">
      <c r="A270" s="470" t="s">
        <v>1389</v>
      </c>
      <c r="B270" s="470">
        <v>0</v>
      </c>
      <c r="C270" s="470">
        <v>0</v>
      </c>
      <c r="D270" s="470" t="s">
        <v>306</v>
      </c>
      <c r="E270" s="470" t="s">
        <v>306</v>
      </c>
      <c r="F270" s="470" t="s">
        <v>306</v>
      </c>
      <c r="G270" s="470" t="s">
        <v>306</v>
      </c>
      <c r="H270" s="470" t="s">
        <v>306</v>
      </c>
      <c r="I270" s="470" t="s">
        <v>273</v>
      </c>
      <c r="J270" s="470" t="s">
        <v>273</v>
      </c>
      <c r="K270" s="470" t="s">
        <v>273</v>
      </c>
      <c r="L270" s="470" t="s">
        <v>273</v>
      </c>
      <c r="M270" s="470" t="s">
        <v>273</v>
      </c>
      <c r="N270" s="470" t="s">
        <v>273</v>
      </c>
      <c r="O270" s="470" t="s">
        <v>273</v>
      </c>
      <c r="P270" s="470" t="s">
        <v>273</v>
      </c>
      <c r="Q270" s="470" t="s">
        <v>273</v>
      </c>
      <c r="R270" s="470" t="s">
        <v>273</v>
      </c>
      <c r="S270" s="470" t="s">
        <v>273</v>
      </c>
      <c r="T270" s="470" t="s">
        <v>273</v>
      </c>
      <c r="U270" s="470" t="s">
        <v>273</v>
      </c>
      <c r="V270" s="470" t="s">
        <v>273</v>
      </c>
      <c r="W270" s="470" t="s">
        <v>273</v>
      </c>
      <c r="X270" s="470" t="s">
        <v>273</v>
      </c>
      <c r="Y270" s="470" t="s">
        <v>273</v>
      </c>
      <c r="Z270" s="470" t="s">
        <v>273</v>
      </c>
      <c r="AA270" s="470" t="s">
        <v>273</v>
      </c>
      <c r="AB270" s="470" t="s">
        <v>273</v>
      </c>
      <c r="AC270" s="470" t="s">
        <v>273</v>
      </c>
      <c r="AD270" s="470" t="s">
        <v>273</v>
      </c>
      <c r="AE270" s="470" t="s">
        <v>273</v>
      </c>
      <c r="AF270" s="470" t="s">
        <v>273</v>
      </c>
      <c r="AG270" s="470" t="s">
        <v>273</v>
      </c>
      <c r="AH270" s="470" t="s">
        <v>273</v>
      </c>
      <c r="AI270" s="470" t="s">
        <v>273</v>
      </c>
      <c r="AJ270" s="470" t="s">
        <v>273</v>
      </c>
      <c r="AK270" s="470" t="s">
        <v>273</v>
      </c>
      <c r="AL270" s="470" t="s">
        <v>273</v>
      </c>
    </row>
    <row r="271" spans="1:38">
      <c r="A271" s="470" t="s">
        <v>316</v>
      </c>
      <c r="B271" s="470">
        <v>-14</v>
      </c>
      <c r="C271" s="470">
        <v>-31</v>
      </c>
      <c r="D271" s="470">
        <v>-40</v>
      </c>
      <c r="E271" s="470">
        <v>-32</v>
      </c>
      <c r="F271" s="470">
        <v>-35</v>
      </c>
      <c r="G271" s="470">
        <v>-53</v>
      </c>
      <c r="H271" s="470">
        <v>-16</v>
      </c>
      <c r="I271" s="470" t="s">
        <v>273</v>
      </c>
      <c r="J271" s="470" t="s">
        <v>273</v>
      </c>
      <c r="K271" s="470" t="s">
        <v>273</v>
      </c>
      <c r="L271" s="470" t="s">
        <v>273</v>
      </c>
      <c r="M271" s="470" t="s">
        <v>273</v>
      </c>
      <c r="N271" s="470" t="s">
        <v>273</v>
      </c>
      <c r="O271" s="470" t="s">
        <v>273</v>
      </c>
      <c r="P271" s="470" t="s">
        <v>273</v>
      </c>
      <c r="Q271" s="470" t="s">
        <v>273</v>
      </c>
      <c r="R271" s="470" t="s">
        <v>273</v>
      </c>
      <c r="S271" s="470" t="s">
        <v>273</v>
      </c>
      <c r="T271" s="470" t="s">
        <v>273</v>
      </c>
      <c r="U271" s="470" t="s">
        <v>273</v>
      </c>
      <c r="V271" s="470" t="s">
        <v>273</v>
      </c>
      <c r="W271" s="470" t="s">
        <v>273</v>
      </c>
      <c r="X271" s="470" t="s">
        <v>273</v>
      </c>
      <c r="Y271" s="470" t="s">
        <v>273</v>
      </c>
      <c r="Z271" s="470" t="s">
        <v>273</v>
      </c>
      <c r="AA271" s="470" t="s">
        <v>273</v>
      </c>
      <c r="AB271" s="470" t="s">
        <v>273</v>
      </c>
      <c r="AC271" s="470" t="s">
        <v>273</v>
      </c>
      <c r="AD271" s="470" t="s">
        <v>273</v>
      </c>
      <c r="AE271" s="470" t="s">
        <v>273</v>
      </c>
      <c r="AF271" s="470" t="s">
        <v>273</v>
      </c>
      <c r="AG271" s="470" t="s">
        <v>273</v>
      </c>
      <c r="AH271" s="470" t="s">
        <v>273</v>
      </c>
      <c r="AI271" s="470" t="s">
        <v>273</v>
      </c>
      <c r="AJ271" s="470" t="s">
        <v>273</v>
      </c>
      <c r="AK271" s="470" t="s">
        <v>273</v>
      </c>
      <c r="AL271" s="470" t="s">
        <v>273</v>
      </c>
    </row>
    <row r="272" spans="1:38">
      <c r="A272" s="470" t="s">
        <v>1388</v>
      </c>
      <c r="B272" s="470" t="s">
        <v>306</v>
      </c>
      <c r="C272" s="470" t="s">
        <v>306</v>
      </c>
      <c r="D272" s="470" t="s">
        <v>306</v>
      </c>
      <c r="E272" s="470">
        <v>-1</v>
      </c>
      <c r="F272" s="470">
        <v>-1</v>
      </c>
      <c r="G272" s="470">
        <v>-1</v>
      </c>
      <c r="H272" s="470">
        <v>-1</v>
      </c>
      <c r="I272" s="470" t="s">
        <v>273</v>
      </c>
      <c r="J272" s="470" t="s">
        <v>273</v>
      </c>
      <c r="K272" s="470" t="s">
        <v>273</v>
      </c>
      <c r="L272" s="470" t="s">
        <v>273</v>
      </c>
      <c r="M272" s="470" t="s">
        <v>273</v>
      </c>
      <c r="N272" s="470" t="s">
        <v>273</v>
      </c>
      <c r="O272" s="470" t="s">
        <v>273</v>
      </c>
      <c r="P272" s="470" t="s">
        <v>273</v>
      </c>
      <c r="Q272" s="470" t="s">
        <v>273</v>
      </c>
      <c r="R272" s="470" t="s">
        <v>273</v>
      </c>
      <c r="S272" s="470" t="s">
        <v>273</v>
      </c>
      <c r="T272" s="470" t="s">
        <v>273</v>
      </c>
      <c r="U272" s="470" t="s">
        <v>273</v>
      </c>
      <c r="V272" s="470" t="s">
        <v>273</v>
      </c>
      <c r="W272" s="470" t="s">
        <v>273</v>
      </c>
      <c r="X272" s="470" t="s">
        <v>273</v>
      </c>
      <c r="Y272" s="470" t="s">
        <v>273</v>
      </c>
      <c r="Z272" s="470" t="s">
        <v>273</v>
      </c>
      <c r="AA272" s="470" t="s">
        <v>273</v>
      </c>
      <c r="AB272" s="470" t="s">
        <v>273</v>
      </c>
      <c r="AC272" s="470" t="s">
        <v>273</v>
      </c>
      <c r="AD272" s="470" t="s">
        <v>273</v>
      </c>
      <c r="AE272" s="470" t="s">
        <v>273</v>
      </c>
      <c r="AF272" s="470" t="s">
        <v>273</v>
      </c>
      <c r="AG272" s="470" t="s">
        <v>273</v>
      </c>
      <c r="AH272" s="470" t="s">
        <v>273</v>
      </c>
      <c r="AI272" s="470" t="s">
        <v>273</v>
      </c>
      <c r="AJ272" s="470" t="s">
        <v>273</v>
      </c>
      <c r="AK272" s="470" t="s">
        <v>273</v>
      </c>
      <c r="AL272" s="470" t="s">
        <v>273</v>
      </c>
    </row>
    <row r="273" spans="1:38">
      <c r="A273" s="470" t="s">
        <v>1387</v>
      </c>
      <c r="B273" s="470">
        <v>-7</v>
      </c>
      <c r="C273" s="470">
        <v>-5</v>
      </c>
      <c r="D273" s="470">
        <v>-5</v>
      </c>
      <c r="E273" s="470">
        <v>-18</v>
      </c>
      <c r="F273" s="470">
        <v>-64</v>
      </c>
      <c r="G273" s="470">
        <v>-8</v>
      </c>
      <c r="H273" s="470">
        <v>-35</v>
      </c>
      <c r="I273" s="470" t="s">
        <v>273</v>
      </c>
      <c r="J273" s="470" t="s">
        <v>273</v>
      </c>
      <c r="K273" s="470" t="s">
        <v>273</v>
      </c>
      <c r="L273" s="470" t="s">
        <v>273</v>
      </c>
      <c r="M273" s="470" t="s">
        <v>273</v>
      </c>
      <c r="N273" s="470" t="s">
        <v>273</v>
      </c>
      <c r="O273" s="470" t="s">
        <v>273</v>
      </c>
      <c r="P273" s="470" t="s">
        <v>273</v>
      </c>
      <c r="Q273" s="470" t="s">
        <v>273</v>
      </c>
      <c r="R273" s="470" t="s">
        <v>273</v>
      </c>
      <c r="S273" s="470" t="s">
        <v>273</v>
      </c>
      <c r="T273" s="470" t="s">
        <v>273</v>
      </c>
      <c r="U273" s="470" t="s">
        <v>273</v>
      </c>
      <c r="V273" s="470" t="s">
        <v>273</v>
      </c>
      <c r="W273" s="470" t="s">
        <v>273</v>
      </c>
      <c r="X273" s="470" t="s">
        <v>273</v>
      </c>
      <c r="Y273" s="470" t="s">
        <v>273</v>
      </c>
      <c r="Z273" s="470" t="s">
        <v>273</v>
      </c>
      <c r="AA273" s="470" t="s">
        <v>273</v>
      </c>
      <c r="AB273" s="470" t="s">
        <v>273</v>
      </c>
      <c r="AC273" s="470" t="s">
        <v>273</v>
      </c>
      <c r="AD273" s="470" t="s">
        <v>273</v>
      </c>
      <c r="AE273" s="470" t="s">
        <v>273</v>
      </c>
      <c r="AF273" s="470" t="s">
        <v>273</v>
      </c>
      <c r="AG273" s="470" t="s">
        <v>273</v>
      </c>
      <c r="AH273" s="470" t="s">
        <v>273</v>
      </c>
      <c r="AI273" s="470" t="s">
        <v>273</v>
      </c>
      <c r="AJ273" s="470" t="s">
        <v>273</v>
      </c>
      <c r="AK273" s="470" t="s">
        <v>273</v>
      </c>
      <c r="AL273" s="470" t="s">
        <v>273</v>
      </c>
    </row>
    <row r="274" spans="1:38">
      <c r="A274" s="470" t="s">
        <v>1386</v>
      </c>
      <c r="B274" s="470" t="s">
        <v>306</v>
      </c>
      <c r="C274" s="470" t="s">
        <v>306</v>
      </c>
      <c r="D274" s="470" t="s">
        <v>306</v>
      </c>
      <c r="E274" s="470" t="s">
        <v>306</v>
      </c>
      <c r="F274" s="470" t="s">
        <v>306</v>
      </c>
      <c r="G274" s="470" t="s">
        <v>306</v>
      </c>
      <c r="H274" s="470" t="s">
        <v>306</v>
      </c>
      <c r="I274" s="470" t="s">
        <v>273</v>
      </c>
      <c r="J274" s="470" t="s">
        <v>273</v>
      </c>
      <c r="K274" s="470" t="s">
        <v>273</v>
      </c>
      <c r="L274" s="470" t="s">
        <v>273</v>
      </c>
      <c r="M274" s="470" t="s">
        <v>273</v>
      </c>
      <c r="N274" s="470" t="s">
        <v>273</v>
      </c>
      <c r="O274" s="470" t="s">
        <v>273</v>
      </c>
      <c r="P274" s="470" t="s">
        <v>273</v>
      </c>
      <c r="Q274" s="470" t="s">
        <v>273</v>
      </c>
      <c r="R274" s="470" t="s">
        <v>273</v>
      </c>
      <c r="S274" s="470" t="s">
        <v>273</v>
      </c>
      <c r="T274" s="470" t="s">
        <v>273</v>
      </c>
      <c r="U274" s="470" t="s">
        <v>273</v>
      </c>
      <c r="V274" s="470" t="s">
        <v>273</v>
      </c>
      <c r="W274" s="470" t="s">
        <v>273</v>
      </c>
      <c r="X274" s="470" t="s">
        <v>273</v>
      </c>
      <c r="Y274" s="470" t="s">
        <v>273</v>
      </c>
      <c r="Z274" s="470" t="s">
        <v>273</v>
      </c>
      <c r="AA274" s="470" t="s">
        <v>273</v>
      </c>
      <c r="AB274" s="470" t="s">
        <v>273</v>
      </c>
      <c r="AC274" s="470" t="s">
        <v>273</v>
      </c>
      <c r="AD274" s="470" t="s">
        <v>273</v>
      </c>
      <c r="AE274" s="470" t="s">
        <v>273</v>
      </c>
      <c r="AF274" s="470" t="s">
        <v>273</v>
      </c>
      <c r="AG274" s="470" t="s">
        <v>273</v>
      </c>
      <c r="AH274" s="470" t="s">
        <v>273</v>
      </c>
      <c r="AI274" s="470" t="s">
        <v>273</v>
      </c>
      <c r="AJ274" s="470" t="s">
        <v>273</v>
      </c>
      <c r="AK274" s="470" t="s">
        <v>273</v>
      </c>
      <c r="AL274" s="470" t="s">
        <v>273</v>
      </c>
    </row>
    <row r="275" spans="1:38">
      <c r="A275" s="470" t="s">
        <v>1385</v>
      </c>
      <c r="B275" s="470">
        <v>0</v>
      </c>
      <c r="C275" s="470">
        <v>0</v>
      </c>
      <c r="D275" s="470">
        <v>0</v>
      </c>
      <c r="E275" s="470">
        <v>0</v>
      </c>
      <c r="F275" s="470">
        <v>0</v>
      </c>
      <c r="G275" s="470">
        <v>0</v>
      </c>
      <c r="H275" s="470">
        <v>0</v>
      </c>
      <c r="I275" s="470" t="s">
        <v>273</v>
      </c>
      <c r="J275" s="470" t="s">
        <v>273</v>
      </c>
      <c r="K275" s="470" t="s">
        <v>273</v>
      </c>
      <c r="L275" s="470" t="s">
        <v>273</v>
      </c>
      <c r="M275" s="470" t="s">
        <v>273</v>
      </c>
      <c r="N275" s="470" t="s">
        <v>273</v>
      </c>
      <c r="O275" s="470" t="s">
        <v>273</v>
      </c>
      <c r="P275" s="470" t="s">
        <v>273</v>
      </c>
      <c r="Q275" s="470" t="s">
        <v>273</v>
      </c>
      <c r="R275" s="470" t="s">
        <v>273</v>
      </c>
      <c r="S275" s="470" t="s">
        <v>273</v>
      </c>
      <c r="T275" s="470" t="s">
        <v>273</v>
      </c>
      <c r="U275" s="470" t="s">
        <v>273</v>
      </c>
      <c r="V275" s="470" t="s">
        <v>273</v>
      </c>
      <c r="W275" s="470" t="s">
        <v>273</v>
      </c>
      <c r="X275" s="470" t="s">
        <v>273</v>
      </c>
      <c r="Y275" s="470" t="s">
        <v>273</v>
      </c>
      <c r="Z275" s="470" t="s">
        <v>273</v>
      </c>
      <c r="AA275" s="470" t="s">
        <v>273</v>
      </c>
      <c r="AB275" s="470" t="s">
        <v>273</v>
      </c>
      <c r="AC275" s="470" t="s">
        <v>273</v>
      </c>
      <c r="AD275" s="470" t="s">
        <v>273</v>
      </c>
      <c r="AE275" s="470" t="s">
        <v>273</v>
      </c>
      <c r="AF275" s="470" t="s">
        <v>273</v>
      </c>
      <c r="AG275" s="470" t="s">
        <v>273</v>
      </c>
      <c r="AH275" s="470" t="s">
        <v>273</v>
      </c>
      <c r="AI275" s="470" t="s">
        <v>273</v>
      </c>
      <c r="AJ275" s="470" t="s">
        <v>273</v>
      </c>
      <c r="AK275" s="470" t="s">
        <v>273</v>
      </c>
      <c r="AL275" s="470" t="s">
        <v>273</v>
      </c>
    </row>
    <row r="276" spans="1:38">
      <c r="A276" s="470" t="s">
        <v>1384</v>
      </c>
      <c r="B276" s="470">
        <v>0</v>
      </c>
      <c r="C276" s="470">
        <v>0</v>
      </c>
      <c r="D276" s="470">
        <v>0</v>
      </c>
      <c r="E276" s="470">
        <v>0</v>
      </c>
      <c r="F276" s="470">
        <v>0</v>
      </c>
      <c r="G276" s="470">
        <v>0</v>
      </c>
      <c r="H276" s="470">
        <v>0</v>
      </c>
      <c r="I276" s="470" t="s">
        <v>273</v>
      </c>
      <c r="J276" s="470" t="s">
        <v>273</v>
      </c>
      <c r="K276" s="470" t="s">
        <v>273</v>
      </c>
      <c r="L276" s="470" t="s">
        <v>273</v>
      </c>
      <c r="M276" s="470" t="s">
        <v>273</v>
      </c>
      <c r="N276" s="470" t="s">
        <v>273</v>
      </c>
      <c r="O276" s="470" t="s">
        <v>273</v>
      </c>
      <c r="P276" s="470" t="s">
        <v>273</v>
      </c>
      <c r="Q276" s="470" t="s">
        <v>273</v>
      </c>
      <c r="R276" s="470" t="s">
        <v>273</v>
      </c>
      <c r="S276" s="470" t="s">
        <v>273</v>
      </c>
      <c r="T276" s="470" t="s">
        <v>273</v>
      </c>
      <c r="U276" s="470" t="s">
        <v>273</v>
      </c>
      <c r="V276" s="470" t="s">
        <v>273</v>
      </c>
      <c r="W276" s="470" t="s">
        <v>273</v>
      </c>
      <c r="X276" s="470" t="s">
        <v>273</v>
      </c>
      <c r="Y276" s="470" t="s">
        <v>273</v>
      </c>
      <c r="Z276" s="470" t="s">
        <v>273</v>
      </c>
      <c r="AA276" s="470" t="s">
        <v>273</v>
      </c>
      <c r="AB276" s="470" t="s">
        <v>273</v>
      </c>
      <c r="AC276" s="470" t="s">
        <v>273</v>
      </c>
      <c r="AD276" s="470" t="s">
        <v>273</v>
      </c>
      <c r="AE276" s="470" t="s">
        <v>273</v>
      </c>
      <c r="AF276" s="470" t="s">
        <v>273</v>
      </c>
      <c r="AG276" s="470" t="s">
        <v>273</v>
      </c>
      <c r="AH276" s="470" t="s">
        <v>273</v>
      </c>
      <c r="AI276" s="470" t="s">
        <v>273</v>
      </c>
      <c r="AJ276" s="470" t="s">
        <v>273</v>
      </c>
      <c r="AK276" s="470" t="s">
        <v>273</v>
      </c>
      <c r="AL276" s="470" t="s">
        <v>273</v>
      </c>
    </row>
    <row r="277" spans="1:38">
      <c r="A277" s="470" t="s">
        <v>315</v>
      </c>
      <c r="B277" s="470" t="s">
        <v>306</v>
      </c>
      <c r="C277" s="470">
        <v>1</v>
      </c>
      <c r="D277" s="470" t="s">
        <v>306</v>
      </c>
      <c r="E277" s="470" t="s">
        <v>306</v>
      </c>
      <c r="F277" s="470" t="s">
        <v>306</v>
      </c>
      <c r="G277" s="470">
        <v>-3</v>
      </c>
      <c r="H277" s="470">
        <v>-4</v>
      </c>
      <c r="I277" s="470" t="s">
        <v>273</v>
      </c>
      <c r="J277" s="470" t="s">
        <v>273</v>
      </c>
      <c r="K277" s="470" t="s">
        <v>273</v>
      </c>
      <c r="L277" s="470" t="s">
        <v>273</v>
      </c>
      <c r="M277" s="470" t="s">
        <v>273</v>
      </c>
      <c r="N277" s="470" t="s">
        <v>273</v>
      </c>
      <c r="O277" s="470" t="s">
        <v>273</v>
      </c>
      <c r="P277" s="470" t="s">
        <v>273</v>
      </c>
      <c r="Q277" s="470" t="s">
        <v>273</v>
      </c>
      <c r="R277" s="470" t="s">
        <v>273</v>
      </c>
      <c r="S277" s="470" t="s">
        <v>273</v>
      </c>
      <c r="T277" s="470" t="s">
        <v>273</v>
      </c>
      <c r="U277" s="470" t="s">
        <v>273</v>
      </c>
      <c r="V277" s="470" t="s">
        <v>273</v>
      </c>
      <c r="W277" s="470" t="s">
        <v>273</v>
      </c>
      <c r="X277" s="470" t="s">
        <v>273</v>
      </c>
      <c r="Y277" s="470" t="s">
        <v>273</v>
      </c>
      <c r="Z277" s="470" t="s">
        <v>273</v>
      </c>
      <c r="AA277" s="470" t="s">
        <v>273</v>
      </c>
      <c r="AB277" s="470" t="s">
        <v>273</v>
      </c>
      <c r="AC277" s="470" t="s">
        <v>273</v>
      </c>
      <c r="AD277" s="470" t="s">
        <v>273</v>
      </c>
      <c r="AE277" s="470" t="s">
        <v>273</v>
      </c>
      <c r="AF277" s="470" t="s">
        <v>273</v>
      </c>
      <c r="AG277" s="470" t="s">
        <v>273</v>
      </c>
      <c r="AH277" s="470" t="s">
        <v>273</v>
      </c>
      <c r="AI277" s="470" t="s">
        <v>273</v>
      </c>
      <c r="AJ277" s="470" t="s">
        <v>273</v>
      </c>
      <c r="AK277" s="470" t="s">
        <v>273</v>
      </c>
      <c r="AL277" s="470" t="s">
        <v>273</v>
      </c>
    </row>
    <row r="278" spans="1:38">
      <c r="A278" s="470" t="s">
        <v>1383</v>
      </c>
      <c r="B278" s="470">
        <v>0</v>
      </c>
      <c r="C278" s="470">
        <v>0</v>
      </c>
      <c r="D278" s="470">
        <v>0</v>
      </c>
      <c r="E278" s="470">
        <v>0</v>
      </c>
      <c r="F278" s="470">
        <v>0</v>
      </c>
      <c r="G278" s="470">
        <v>0</v>
      </c>
      <c r="H278" s="470">
        <v>0</v>
      </c>
      <c r="I278" s="470" t="s">
        <v>273</v>
      </c>
      <c r="J278" s="470" t="s">
        <v>273</v>
      </c>
      <c r="K278" s="470" t="s">
        <v>273</v>
      </c>
      <c r="L278" s="470" t="s">
        <v>273</v>
      </c>
      <c r="M278" s="470" t="s">
        <v>273</v>
      </c>
      <c r="N278" s="470" t="s">
        <v>273</v>
      </c>
      <c r="O278" s="470" t="s">
        <v>273</v>
      </c>
      <c r="P278" s="470" t="s">
        <v>273</v>
      </c>
      <c r="Q278" s="470" t="s">
        <v>273</v>
      </c>
      <c r="R278" s="470" t="s">
        <v>273</v>
      </c>
      <c r="S278" s="470" t="s">
        <v>273</v>
      </c>
      <c r="T278" s="470" t="s">
        <v>273</v>
      </c>
      <c r="U278" s="470" t="s">
        <v>273</v>
      </c>
      <c r="V278" s="470" t="s">
        <v>273</v>
      </c>
      <c r="W278" s="470" t="s">
        <v>273</v>
      </c>
      <c r="X278" s="470" t="s">
        <v>273</v>
      </c>
      <c r="Y278" s="470" t="s">
        <v>273</v>
      </c>
      <c r="Z278" s="470" t="s">
        <v>273</v>
      </c>
      <c r="AA278" s="470" t="s">
        <v>273</v>
      </c>
      <c r="AB278" s="470" t="s">
        <v>273</v>
      </c>
      <c r="AC278" s="470" t="s">
        <v>273</v>
      </c>
      <c r="AD278" s="470" t="s">
        <v>273</v>
      </c>
      <c r="AE278" s="470" t="s">
        <v>273</v>
      </c>
      <c r="AF278" s="470" t="s">
        <v>273</v>
      </c>
      <c r="AG278" s="470" t="s">
        <v>273</v>
      </c>
      <c r="AH278" s="470" t="s">
        <v>273</v>
      </c>
      <c r="AI278" s="470" t="s">
        <v>273</v>
      </c>
      <c r="AJ278" s="470" t="s">
        <v>273</v>
      </c>
      <c r="AK278" s="470" t="s">
        <v>273</v>
      </c>
      <c r="AL278" s="470" t="s">
        <v>273</v>
      </c>
    </row>
    <row r="279" spans="1:38">
      <c r="A279" s="470" t="s">
        <v>1382</v>
      </c>
      <c r="B279" s="470" t="s">
        <v>306</v>
      </c>
      <c r="C279" s="470" t="s">
        <v>306</v>
      </c>
      <c r="D279" s="470" t="s">
        <v>306</v>
      </c>
      <c r="E279" s="470" t="s">
        <v>306</v>
      </c>
      <c r="F279" s="470" t="s">
        <v>306</v>
      </c>
      <c r="G279" s="470" t="s">
        <v>306</v>
      </c>
      <c r="H279" s="470" t="s">
        <v>306</v>
      </c>
      <c r="I279" s="470" t="s">
        <v>273</v>
      </c>
      <c r="J279" s="470" t="s">
        <v>273</v>
      </c>
      <c r="K279" s="470" t="s">
        <v>273</v>
      </c>
      <c r="L279" s="470" t="s">
        <v>273</v>
      </c>
      <c r="M279" s="470" t="s">
        <v>273</v>
      </c>
      <c r="N279" s="470" t="s">
        <v>273</v>
      </c>
      <c r="O279" s="470" t="s">
        <v>273</v>
      </c>
      <c r="P279" s="470" t="s">
        <v>273</v>
      </c>
      <c r="Q279" s="470" t="s">
        <v>273</v>
      </c>
      <c r="R279" s="470" t="s">
        <v>273</v>
      </c>
      <c r="S279" s="470" t="s">
        <v>273</v>
      </c>
      <c r="T279" s="470" t="s">
        <v>273</v>
      </c>
      <c r="U279" s="470" t="s">
        <v>273</v>
      </c>
      <c r="V279" s="470" t="s">
        <v>273</v>
      </c>
      <c r="W279" s="470" t="s">
        <v>273</v>
      </c>
      <c r="X279" s="470" t="s">
        <v>273</v>
      </c>
      <c r="Y279" s="470" t="s">
        <v>273</v>
      </c>
      <c r="Z279" s="470" t="s">
        <v>273</v>
      </c>
      <c r="AA279" s="470" t="s">
        <v>273</v>
      </c>
      <c r="AB279" s="470" t="s">
        <v>273</v>
      </c>
      <c r="AC279" s="470" t="s">
        <v>273</v>
      </c>
      <c r="AD279" s="470" t="s">
        <v>273</v>
      </c>
      <c r="AE279" s="470" t="s">
        <v>273</v>
      </c>
      <c r="AF279" s="470" t="s">
        <v>273</v>
      </c>
      <c r="AG279" s="470" t="s">
        <v>273</v>
      </c>
      <c r="AH279" s="470" t="s">
        <v>273</v>
      </c>
      <c r="AI279" s="470" t="s">
        <v>273</v>
      </c>
      <c r="AJ279" s="470" t="s">
        <v>273</v>
      </c>
      <c r="AK279" s="470" t="s">
        <v>273</v>
      </c>
      <c r="AL279" s="470" t="s">
        <v>273</v>
      </c>
    </row>
    <row r="280" spans="1:38">
      <c r="A280" s="470" t="s">
        <v>1381</v>
      </c>
      <c r="B280" s="470" t="s">
        <v>306</v>
      </c>
      <c r="C280" s="470" t="s">
        <v>306</v>
      </c>
      <c r="D280" s="470" t="s">
        <v>306</v>
      </c>
      <c r="E280" s="470" t="s">
        <v>306</v>
      </c>
      <c r="F280" s="470" t="s">
        <v>306</v>
      </c>
      <c r="G280" s="470" t="s">
        <v>306</v>
      </c>
      <c r="H280" s="470" t="s">
        <v>306</v>
      </c>
      <c r="I280" s="470" t="s">
        <v>273</v>
      </c>
      <c r="J280" s="470" t="s">
        <v>273</v>
      </c>
      <c r="K280" s="470" t="s">
        <v>273</v>
      </c>
      <c r="L280" s="470" t="s">
        <v>273</v>
      </c>
      <c r="M280" s="470" t="s">
        <v>273</v>
      </c>
      <c r="N280" s="470" t="s">
        <v>273</v>
      </c>
      <c r="O280" s="470" t="s">
        <v>273</v>
      </c>
      <c r="P280" s="470" t="s">
        <v>273</v>
      </c>
      <c r="Q280" s="470" t="s">
        <v>273</v>
      </c>
      <c r="R280" s="470" t="s">
        <v>273</v>
      </c>
      <c r="S280" s="470" t="s">
        <v>273</v>
      </c>
      <c r="T280" s="470" t="s">
        <v>273</v>
      </c>
      <c r="U280" s="470" t="s">
        <v>273</v>
      </c>
      <c r="V280" s="470" t="s">
        <v>273</v>
      </c>
      <c r="W280" s="470" t="s">
        <v>273</v>
      </c>
      <c r="X280" s="470" t="s">
        <v>273</v>
      </c>
      <c r="Y280" s="470" t="s">
        <v>273</v>
      </c>
      <c r="Z280" s="470" t="s">
        <v>273</v>
      </c>
      <c r="AA280" s="470" t="s">
        <v>273</v>
      </c>
      <c r="AB280" s="470" t="s">
        <v>273</v>
      </c>
      <c r="AC280" s="470" t="s">
        <v>273</v>
      </c>
      <c r="AD280" s="470" t="s">
        <v>273</v>
      </c>
      <c r="AE280" s="470" t="s">
        <v>273</v>
      </c>
      <c r="AF280" s="470" t="s">
        <v>273</v>
      </c>
      <c r="AG280" s="470" t="s">
        <v>273</v>
      </c>
      <c r="AH280" s="470" t="s">
        <v>273</v>
      </c>
      <c r="AI280" s="470" t="s">
        <v>273</v>
      </c>
      <c r="AJ280" s="470" t="s">
        <v>273</v>
      </c>
      <c r="AK280" s="470" t="s">
        <v>273</v>
      </c>
      <c r="AL280" s="470" t="s">
        <v>273</v>
      </c>
    </row>
    <row r="281" spans="1:38">
      <c r="A281" s="470" t="s">
        <v>1380</v>
      </c>
      <c r="B281" s="470">
        <v>0</v>
      </c>
      <c r="C281" s="470" t="s">
        <v>306</v>
      </c>
      <c r="D281" s="470">
        <v>2</v>
      </c>
      <c r="E281" s="470">
        <v>2</v>
      </c>
      <c r="F281" s="470">
        <v>1</v>
      </c>
      <c r="G281" s="470">
        <v>1</v>
      </c>
      <c r="H281" s="470" t="s">
        <v>306</v>
      </c>
      <c r="I281" s="470" t="s">
        <v>273</v>
      </c>
      <c r="J281" s="470" t="s">
        <v>273</v>
      </c>
      <c r="K281" s="470" t="s">
        <v>273</v>
      </c>
      <c r="L281" s="470" t="s">
        <v>273</v>
      </c>
      <c r="M281" s="470" t="s">
        <v>273</v>
      </c>
      <c r="N281" s="470" t="s">
        <v>273</v>
      </c>
      <c r="O281" s="470" t="s">
        <v>273</v>
      </c>
      <c r="P281" s="470" t="s">
        <v>273</v>
      </c>
      <c r="Q281" s="470" t="s">
        <v>273</v>
      </c>
      <c r="R281" s="470" t="s">
        <v>273</v>
      </c>
      <c r="S281" s="470" t="s">
        <v>273</v>
      </c>
      <c r="T281" s="470" t="s">
        <v>273</v>
      </c>
      <c r="U281" s="470" t="s">
        <v>273</v>
      </c>
      <c r="V281" s="470" t="s">
        <v>273</v>
      </c>
      <c r="W281" s="470" t="s">
        <v>273</v>
      </c>
      <c r="X281" s="470" t="s">
        <v>273</v>
      </c>
      <c r="Y281" s="470" t="s">
        <v>273</v>
      </c>
      <c r="Z281" s="470" t="s">
        <v>273</v>
      </c>
      <c r="AA281" s="470" t="s">
        <v>273</v>
      </c>
      <c r="AB281" s="470" t="s">
        <v>273</v>
      </c>
      <c r="AC281" s="470" t="s">
        <v>273</v>
      </c>
      <c r="AD281" s="470" t="s">
        <v>273</v>
      </c>
      <c r="AE281" s="470" t="s">
        <v>273</v>
      </c>
      <c r="AF281" s="470" t="s">
        <v>273</v>
      </c>
      <c r="AG281" s="470" t="s">
        <v>273</v>
      </c>
      <c r="AH281" s="470" t="s">
        <v>273</v>
      </c>
      <c r="AI281" s="470" t="s">
        <v>273</v>
      </c>
      <c r="AJ281" s="470" t="s">
        <v>273</v>
      </c>
      <c r="AK281" s="470" t="s">
        <v>273</v>
      </c>
      <c r="AL281" s="470" t="s">
        <v>273</v>
      </c>
    </row>
    <row r="282" spans="1:38">
      <c r="A282" s="470" t="s">
        <v>392</v>
      </c>
      <c r="B282" s="470">
        <v>-1</v>
      </c>
      <c r="C282" s="470">
        <v>0</v>
      </c>
      <c r="D282" s="470" t="s">
        <v>306</v>
      </c>
      <c r="E282" s="470">
        <v>0</v>
      </c>
      <c r="F282" s="470">
        <v>0</v>
      </c>
      <c r="G282" s="470">
        <v>0</v>
      </c>
      <c r="H282" s="470">
        <v>0</v>
      </c>
      <c r="I282" s="470" t="s">
        <v>273</v>
      </c>
      <c r="J282" s="470" t="s">
        <v>273</v>
      </c>
      <c r="K282" s="470" t="s">
        <v>273</v>
      </c>
      <c r="L282" s="470" t="s">
        <v>273</v>
      </c>
      <c r="M282" s="470" t="s">
        <v>273</v>
      </c>
      <c r="N282" s="470" t="s">
        <v>273</v>
      </c>
      <c r="O282" s="470" t="s">
        <v>273</v>
      </c>
      <c r="P282" s="470" t="s">
        <v>273</v>
      </c>
      <c r="Q282" s="470" t="s">
        <v>273</v>
      </c>
      <c r="R282" s="470" t="s">
        <v>273</v>
      </c>
      <c r="S282" s="470" t="s">
        <v>273</v>
      </c>
      <c r="T282" s="470" t="s">
        <v>273</v>
      </c>
      <c r="U282" s="470" t="s">
        <v>273</v>
      </c>
      <c r="V282" s="470" t="s">
        <v>273</v>
      </c>
      <c r="W282" s="470" t="s">
        <v>273</v>
      </c>
      <c r="X282" s="470" t="s">
        <v>273</v>
      </c>
      <c r="Y282" s="470" t="s">
        <v>273</v>
      </c>
      <c r="Z282" s="470" t="s">
        <v>273</v>
      </c>
      <c r="AA282" s="470" t="s">
        <v>273</v>
      </c>
      <c r="AB282" s="470" t="s">
        <v>273</v>
      </c>
      <c r="AC282" s="470" t="s">
        <v>273</v>
      </c>
      <c r="AD282" s="470" t="s">
        <v>273</v>
      </c>
      <c r="AE282" s="470" t="s">
        <v>273</v>
      </c>
      <c r="AF282" s="470" t="s">
        <v>273</v>
      </c>
      <c r="AG282" s="470" t="s">
        <v>273</v>
      </c>
      <c r="AH282" s="470" t="s">
        <v>273</v>
      </c>
      <c r="AI282" s="470" t="s">
        <v>273</v>
      </c>
      <c r="AJ282" s="470" t="s">
        <v>273</v>
      </c>
      <c r="AK282" s="470" t="s">
        <v>273</v>
      </c>
      <c r="AL282" s="470" t="s">
        <v>273</v>
      </c>
    </row>
    <row r="283" spans="1:38">
      <c r="A283" s="470" t="s">
        <v>1379</v>
      </c>
      <c r="B283" s="470">
        <v>7</v>
      </c>
      <c r="C283" s="470">
        <v>15</v>
      </c>
      <c r="D283" s="470">
        <v>12</v>
      </c>
      <c r="E283" s="470">
        <v>5</v>
      </c>
      <c r="F283" s="470">
        <v>10</v>
      </c>
      <c r="G283" s="470">
        <v>5</v>
      </c>
      <c r="H283" s="470">
        <v>3</v>
      </c>
      <c r="I283" s="470" t="s">
        <v>273</v>
      </c>
      <c r="J283" s="470" t="s">
        <v>273</v>
      </c>
      <c r="K283" s="470" t="s">
        <v>273</v>
      </c>
      <c r="L283" s="470" t="s">
        <v>273</v>
      </c>
      <c r="M283" s="470" t="s">
        <v>273</v>
      </c>
      <c r="N283" s="470" t="s">
        <v>273</v>
      </c>
      <c r="O283" s="470" t="s">
        <v>273</v>
      </c>
      <c r="P283" s="470" t="s">
        <v>273</v>
      </c>
      <c r="Q283" s="470" t="s">
        <v>273</v>
      </c>
      <c r="R283" s="470" t="s">
        <v>273</v>
      </c>
      <c r="S283" s="470" t="s">
        <v>273</v>
      </c>
      <c r="T283" s="470" t="s">
        <v>273</v>
      </c>
      <c r="U283" s="470" t="s">
        <v>273</v>
      </c>
      <c r="V283" s="470" t="s">
        <v>273</v>
      </c>
      <c r="W283" s="470" t="s">
        <v>273</v>
      </c>
      <c r="X283" s="470" t="s">
        <v>273</v>
      </c>
      <c r="Y283" s="470" t="s">
        <v>273</v>
      </c>
      <c r="Z283" s="470" t="s">
        <v>273</v>
      </c>
      <c r="AA283" s="470" t="s">
        <v>273</v>
      </c>
      <c r="AB283" s="470" t="s">
        <v>273</v>
      </c>
      <c r="AC283" s="470" t="s">
        <v>273</v>
      </c>
      <c r="AD283" s="470" t="s">
        <v>273</v>
      </c>
      <c r="AE283" s="470" t="s">
        <v>273</v>
      </c>
      <c r="AF283" s="470" t="s">
        <v>273</v>
      </c>
      <c r="AG283" s="470" t="s">
        <v>273</v>
      </c>
      <c r="AH283" s="470" t="s">
        <v>273</v>
      </c>
      <c r="AI283" s="470" t="s">
        <v>273</v>
      </c>
      <c r="AJ283" s="470" t="s">
        <v>273</v>
      </c>
      <c r="AK283" s="470" t="s">
        <v>273</v>
      </c>
      <c r="AL283" s="470" t="s">
        <v>273</v>
      </c>
    </row>
    <row r="284" spans="1:38">
      <c r="A284" s="470" t="s">
        <v>313</v>
      </c>
      <c r="B284" s="470">
        <v>-8</v>
      </c>
      <c r="C284" s="470">
        <v>-5</v>
      </c>
      <c r="D284" s="470">
        <v>13</v>
      </c>
      <c r="E284" s="470">
        <v>12</v>
      </c>
      <c r="F284" s="470">
        <v>13</v>
      </c>
      <c r="G284" s="470">
        <v>2</v>
      </c>
      <c r="H284" s="470">
        <v>3</v>
      </c>
      <c r="I284" s="470" t="s">
        <v>273</v>
      </c>
      <c r="J284" s="470" t="s">
        <v>273</v>
      </c>
      <c r="K284" s="470" t="s">
        <v>273</v>
      </c>
      <c r="L284" s="470" t="s">
        <v>273</v>
      </c>
      <c r="M284" s="470" t="s">
        <v>273</v>
      </c>
      <c r="N284" s="470" t="s">
        <v>273</v>
      </c>
      <c r="O284" s="470" t="s">
        <v>273</v>
      </c>
      <c r="P284" s="470" t="s">
        <v>273</v>
      </c>
      <c r="Q284" s="470" t="s">
        <v>273</v>
      </c>
      <c r="R284" s="470" t="s">
        <v>273</v>
      </c>
      <c r="S284" s="470" t="s">
        <v>273</v>
      </c>
      <c r="T284" s="470" t="s">
        <v>273</v>
      </c>
      <c r="U284" s="470" t="s">
        <v>273</v>
      </c>
      <c r="V284" s="470" t="s">
        <v>273</v>
      </c>
      <c r="W284" s="470" t="s">
        <v>273</v>
      </c>
      <c r="X284" s="470" t="s">
        <v>273</v>
      </c>
      <c r="Y284" s="470" t="s">
        <v>273</v>
      </c>
      <c r="Z284" s="470" t="s">
        <v>273</v>
      </c>
      <c r="AA284" s="470" t="s">
        <v>273</v>
      </c>
      <c r="AB284" s="470" t="s">
        <v>273</v>
      </c>
      <c r="AC284" s="470" t="s">
        <v>273</v>
      </c>
      <c r="AD284" s="470" t="s">
        <v>273</v>
      </c>
      <c r="AE284" s="470" t="s">
        <v>273</v>
      </c>
      <c r="AF284" s="470" t="s">
        <v>273</v>
      </c>
      <c r="AG284" s="470" t="s">
        <v>273</v>
      </c>
      <c r="AH284" s="470" t="s">
        <v>273</v>
      </c>
      <c r="AI284" s="470" t="s">
        <v>273</v>
      </c>
      <c r="AJ284" s="470" t="s">
        <v>273</v>
      </c>
      <c r="AK284" s="470" t="s">
        <v>273</v>
      </c>
      <c r="AL284" s="470" t="s">
        <v>273</v>
      </c>
    </row>
    <row r="285" spans="1:38">
      <c r="A285" s="470" t="s">
        <v>1378</v>
      </c>
      <c r="B285" s="470">
        <v>0</v>
      </c>
      <c r="C285" s="470">
        <v>0</v>
      </c>
      <c r="D285" s="470">
        <v>0</v>
      </c>
      <c r="E285" s="470">
        <v>0</v>
      </c>
      <c r="F285" s="470">
        <v>0</v>
      </c>
      <c r="G285" s="470">
        <v>0</v>
      </c>
      <c r="H285" s="470">
        <v>0</v>
      </c>
      <c r="I285" s="470" t="s">
        <v>273</v>
      </c>
      <c r="J285" s="470" t="s">
        <v>273</v>
      </c>
      <c r="K285" s="470" t="s">
        <v>273</v>
      </c>
      <c r="L285" s="470" t="s">
        <v>273</v>
      </c>
      <c r="M285" s="470" t="s">
        <v>273</v>
      </c>
      <c r="N285" s="470" t="s">
        <v>273</v>
      </c>
      <c r="O285" s="470" t="s">
        <v>273</v>
      </c>
      <c r="P285" s="470" t="s">
        <v>273</v>
      </c>
      <c r="Q285" s="470" t="s">
        <v>273</v>
      </c>
      <c r="R285" s="470" t="s">
        <v>273</v>
      </c>
      <c r="S285" s="470" t="s">
        <v>273</v>
      </c>
      <c r="T285" s="470" t="s">
        <v>273</v>
      </c>
      <c r="U285" s="470" t="s">
        <v>273</v>
      </c>
      <c r="V285" s="470" t="s">
        <v>273</v>
      </c>
      <c r="W285" s="470" t="s">
        <v>273</v>
      </c>
      <c r="X285" s="470" t="s">
        <v>273</v>
      </c>
      <c r="Y285" s="470" t="s">
        <v>273</v>
      </c>
      <c r="Z285" s="470" t="s">
        <v>273</v>
      </c>
      <c r="AA285" s="470" t="s">
        <v>273</v>
      </c>
      <c r="AB285" s="470" t="s">
        <v>273</v>
      </c>
      <c r="AC285" s="470" t="s">
        <v>273</v>
      </c>
      <c r="AD285" s="470" t="s">
        <v>273</v>
      </c>
      <c r="AE285" s="470" t="s">
        <v>273</v>
      </c>
      <c r="AF285" s="470" t="s">
        <v>273</v>
      </c>
      <c r="AG285" s="470" t="s">
        <v>273</v>
      </c>
      <c r="AH285" s="470" t="s">
        <v>273</v>
      </c>
      <c r="AI285" s="470" t="s">
        <v>273</v>
      </c>
      <c r="AJ285" s="470" t="s">
        <v>273</v>
      </c>
      <c r="AK285" s="470" t="s">
        <v>273</v>
      </c>
      <c r="AL285" s="470" t="s">
        <v>273</v>
      </c>
    </row>
    <row r="286" spans="1:38">
      <c r="A286" s="470" t="s">
        <v>312</v>
      </c>
      <c r="B286" s="470">
        <v>1</v>
      </c>
      <c r="C286" s="470">
        <v>2</v>
      </c>
      <c r="D286" s="470">
        <v>1</v>
      </c>
      <c r="E286" s="470">
        <v>6</v>
      </c>
      <c r="F286" s="470">
        <v>6</v>
      </c>
      <c r="G286" s="470">
        <v>6</v>
      </c>
      <c r="H286" s="470">
        <v>4</v>
      </c>
      <c r="I286" s="470" t="s">
        <v>273</v>
      </c>
      <c r="J286" s="470" t="s">
        <v>273</v>
      </c>
      <c r="K286" s="470" t="s">
        <v>273</v>
      </c>
      <c r="L286" s="470" t="s">
        <v>273</v>
      </c>
      <c r="M286" s="470" t="s">
        <v>273</v>
      </c>
      <c r="N286" s="470" t="s">
        <v>273</v>
      </c>
      <c r="O286" s="470" t="s">
        <v>273</v>
      </c>
      <c r="P286" s="470" t="s">
        <v>273</v>
      </c>
      <c r="Q286" s="470" t="s">
        <v>273</v>
      </c>
      <c r="R286" s="470" t="s">
        <v>273</v>
      </c>
      <c r="S286" s="470" t="s">
        <v>273</v>
      </c>
      <c r="T286" s="470" t="s">
        <v>273</v>
      </c>
      <c r="U286" s="470" t="s">
        <v>273</v>
      </c>
      <c r="V286" s="470" t="s">
        <v>273</v>
      </c>
      <c r="W286" s="470" t="s">
        <v>273</v>
      </c>
      <c r="X286" s="470" t="s">
        <v>273</v>
      </c>
      <c r="Y286" s="470" t="s">
        <v>273</v>
      </c>
      <c r="Z286" s="470" t="s">
        <v>273</v>
      </c>
      <c r="AA286" s="470" t="s">
        <v>273</v>
      </c>
      <c r="AB286" s="470" t="s">
        <v>273</v>
      </c>
      <c r="AC286" s="470" t="s">
        <v>273</v>
      </c>
      <c r="AD286" s="470" t="s">
        <v>273</v>
      </c>
      <c r="AE286" s="470" t="s">
        <v>273</v>
      </c>
      <c r="AF286" s="470" t="s">
        <v>273</v>
      </c>
      <c r="AG286" s="470" t="s">
        <v>273</v>
      </c>
      <c r="AH286" s="470" t="s">
        <v>273</v>
      </c>
      <c r="AI286" s="470" t="s">
        <v>273</v>
      </c>
      <c r="AJ286" s="470" t="s">
        <v>273</v>
      </c>
      <c r="AK286" s="470" t="s">
        <v>273</v>
      </c>
      <c r="AL286" s="470" t="s">
        <v>273</v>
      </c>
    </row>
    <row r="287" spans="1:38">
      <c r="A287" s="470" t="s">
        <v>1377</v>
      </c>
      <c r="B287" s="470">
        <v>0</v>
      </c>
      <c r="C287" s="470">
        <v>0</v>
      </c>
      <c r="D287" s="470">
        <v>0</v>
      </c>
      <c r="E287" s="470">
        <v>0</v>
      </c>
      <c r="F287" s="470">
        <v>0</v>
      </c>
      <c r="G287" s="470">
        <v>0</v>
      </c>
      <c r="H287" s="470">
        <v>0</v>
      </c>
      <c r="I287" s="470" t="s">
        <v>273</v>
      </c>
      <c r="J287" s="470" t="s">
        <v>273</v>
      </c>
      <c r="K287" s="470" t="s">
        <v>273</v>
      </c>
      <c r="L287" s="470" t="s">
        <v>273</v>
      </c>
      <c r="M287" s="470" t="s">
        <v>273</v>
      </c>
      <c r="N287" s="470" t="s">
        <v>273</v>
      </c>
      <c r="O287" s="470" t="s">
        <v>273</v>
      </c>
      <c r="P287" s="470" t="s">
        <v>273</v>
      </c>
      <c r="Q287" s="470" t="s">
        <v>273</v>
      </c>
      <c r="R287" s="470" t="s">
        <v>273</v>
      </c>
      <c r="S287" s="470" t="s">
        <v>273</v>
      </c>
      <c r="T287" s="470" t="s">
        <v>273</v>
      </c>
      <c r="U287" s="470" t="s">
        <v>273</v>
      </c>
      <c r="V287" s="470" t="s">
        <v>273</v>
      </c>
      <c r="W287" s="470" t="s">
        <v>273</v>
      </c>
      <c r="X287" s="470" t="s">
        <v>273</v>
      </c>
      <c r="Y287" s="470" t="s">
        <v>273</v>
      </c>
      <c r="Z287" s="470" t="s">
        <v>273</v>
      </c>
      <c r="AA287" s="470" t="s">
        <v>273</v>
      </c>
      <c r="AB287" s="470" t="s">
        <v>273</v>
      </c>
      <c r="AC287" s="470" t="s">
        <v>273</v>
      </c>
      <c r="AD287" s="470" t="s">
        <v>273</v>
      </c>
      <c r="AE287" s="470" t="s">
        <v>273</v>
      </c>
      <c r="AF287" s="470" t="s">
        <v>273</v>
      </c>
      <c r="AG287" s="470" t="s">
        <v>273</v>
      </c>
      <c r="AH287" s="470" t="s">
        <v>273</v>
      </c>
      <c r="AI287" s="470" t="s">
        <v>273</v>
      </c>
      <c r="AJ287" s="470" t="s">
        <v>273</v>
      </c>
      <c r="AK287" s="470" t="s">
        <v>273</v>
      </c>
      <c r="AL287" s="470" t="s">
        <v>273</v>
      </c>
    </row>
    <row r="288" spans="1:38">
      <c r="A288" s="470" t="s">
        <v>311</v>
      </c>
      <c r="B288" s="470">
        <v>11</v>
      </c>
      <c r="C288" s="470">
        <v>13</v>
      </c>
      <c r="D288" s="470">
        <v>10</v>
      </c>
      <c r="E288" s="470">
        <v>12</v>
      </c>
      <c r="F288" s="470">
        <v>6</v>
      </c>
      <c r="G288" s="470">
        <v>-1</v>
      </c>
      <c r="H288" s="470">
        <v>13</v>
      </c>
      <c r="I288" s="470" t="s">
        <v>273</v>
      </c>
      <c r="J288" s="470" t="s">
        <v>273</v>
      </c>
      <c r="K288" s="470" t="s">
        <v>273</v>
      </c>
      <c r="L288" s="470" t="s">
        <v>273</v>
      </c>
      <c r="M288" s="470" t="s">
        <v>273</v>
      </c>
      <c r="N288" s="470" t="s">
        <v>273</v>
      </c>
      <c r="O288" s="470" t="s">
        <v>273</v>
      </c>
      <c r="P288" s="470" t="s">
        <v>273</v>
      </c>
      <c r="Q288" s="470" t="s">
        <v>273</v>
      </c>
      <c r="R288" s="470" t="s">
        <v>273</v>
      </c>
      <c r="S288" s="470" t="s">
        <v>273</v>
      </c>
      <c r="T288" s="470" t="s">
        <v>273</v>
      </c>
      <c r="U288" s="470" t="s">
        <v>273</v>
      </c>
      <c r="V288" s="470" t="s">
        <v>273</v>
      </c>
      <c r="W288" s="470" t="s">
        <v>273</v>
      </c>
      <c r="X288" s="470" t="s">
        <v>273</v>
      </c>
      <c r="Y288" s="470" t="s">
        <v>273</v>
      </c>
      <c r="Z288" s="470" t="s">
        <v>273</v>
      </c>
      <c r="AA288" s="470" t="s">
        <v>273</v>
      </c>
      <c r="AB288" s="470" t="s">
        <v>273</v>
      </c>
      <c r="AC288" s="470" t="s">
        <v>273</v>
      </c>
      <c r="AD288" s="470" t="s">
        <v>273</v>
      </c>
      <c r="AE288" s="470" t="s">
        <v>273</v>
      </c>
      <c r="AF288" s="470" t="s">
        <v>273</v>
      </c>
      <c r="AG288" s="470" t="s">
        <v>273</v>
      </c>
      <c r="AH288" s="470" t="s">
        <v>273</v>
      </c>
      <c r="AI288" s="470" t="s">
        <v>273</v>
      </c>
      <c r="AJ288" s="470" t="s">
        <v>273</v>
      </c>
      <c r="AK288" s="470" t="s">
        <v>273</v>
      </c>
      <c r="AL288" s="470" t="s">
        <v>273</v>
      </c>
    </row>
    <row r="289" spans="1:38">
      <c r="A289" s="470" t="s">
        <v>1376</v>
      </c>
      <c r="B289" s="470" t="s">
        <v>306</v>
      </c>
      <c r="C289" s="470" t="s">
        <v>306</v>
      </c>
      <c r="D289" s="470" t="s">
        <v>306</v>
      </c>
      <c r="E289" s="470" t="s">
        <v>306</v>
      </c>
      <c r="F289" s="470" t="s">
        <v>306</v>
      </c>
      <c r="G289" s="470" t="s">
        <v>306</v>
      </c>
      <c r="H289" s="470" t="s">
        <v>306</v>
      </c>
      <c r="I289" s="470" t="s">
        <v>273</v>
      </c>
      <c r="J289" s="470" t="s">
        <v>273</v>
      </c>
      <c r="K289" s="470" t="s">
        <v>273</v>
      </c>
      <c r="L289" s="470" t="s">
        <v>273</v>
      </c>
      <c r="M289" s="470" t="s">
        <v>273</v>
      </c>
      <c r="N289" s="470" t="s">
        <v>273</v>
      </c>
      <c r="O289" s="470" t="s">
        <v>273</v>
      </c>
      <c r="P289" s="470" t="s">
        <v>273</v>
      </c>
      <c r="Q289" s="470" t="s">
        <v>273</v>
      </c>
      <c r="R289" s="470" t="s">
        <v>273</v>
      </c>
      <c r="S289" s="470" t="s">
        <v>273</v>
      </c>
      <c r="T289" s="470" t="s">
        <v>273</v>
      </c>
      <c r="U289" s="470" t="s">
        <v>273</v>
      </c>
      <c r="V289" s="470" t="s">
        <v>273</v>
      </c>
      <c r="W289" s="470" t="s">
        <v>273</v>
      </c>
      <c r="X289" s="470" t="s">
        <v>273</v>
      </c>
      <c r="Y289" s="470" t="s">
        <v>273</v>
      </c>
      <c r="Z289" s="470" t="s">
        <v>273</v>
      </c>
      <c r="AA289" s="470" t="s">
        <v>273</v>
      </c>
      <c r="AB289" s="470" t="s">
        <v>273</v>
      </c>
      <c r="AC289" s="470" t="s">
        <v>273</v>
      </c>
      <c r="AD289" s="470" t="s">
        <v>273</v>
      </c>
      <c r="AE289" s="470" t="s">
        <v>273</v>
      </c>
      <c r="AF289" s="470" t="s">
        <v>273</v>
      </c>
      <c r="AG289" s="470" t="s">
        <v>273</v>
      </c>
      <c r="AH289" s="470" t="s">
        <v>273</v>
      </c>
      <c r="AI289" s="470" t="s">
        <v>273</v>
      </c>
      <c r="AJ289" s="470" t="s">
        <v>273</v>
      </c>
      <c r="AK289" s="470" t="s">
        <v>273</v>
      </c>
      <c r="AL289" s="470" t="s">
        <v>273</v>
      </c>
    </row>
    <row r="290" spans="1:38">
      <c r="A290" s="470" t="s">
        <v>310</v>
      </c>
      <c r="B290" s="470">
        <v>3</v>
      </c>
      <c r="C290" s="470">
        <v>1</v>
      </c>
      <c r="D290" s="470" t="s">
        <v>306</v>
      </c>
      <c r="E290" s="470">
        <v>-1</v>
      </c>
      <c r="F290" s="470">
        <v>1</v>
      </c>
      <c r="G290" s="470">
        <v>1</v>
      </c>
      <c r="H290" s="470">
        <v>-3</v>
      </c>
      <c r="I290" s="470" t="s">
        <v>273</v>
      </c>
      <c r="J290" s="470" t="s">
        <v>273</v>
      </c>
      <c r="K290" s="470" t="s">
        <v>273</v>
      </c>
      <c r="L290" s="470" t="s">
        <v>273</v>
      </c>
      <c r="M290" s="470" t="s">
        <v>273</v>
      </c>
      <c r="N290" s="470" t="s">
        <v>273</v>
      </c>
      <c r="O290" s="470" t="s">
        <v>273</v>
      </c>
      <c r="P290" s="470" t="s">
        <v>273</v>
      </c>
      <c r="Q290" s="470" t="s">
        <v>273</v>
      </c>
      <c r="R290" s="470" t="s">
        <v>273</v>
      </c>
      <c r="S290" s="470" t="s">
        <v>273</v>
      </c>
      <c r="T290" s="470" t="s">
        <v>273</v>
      </c>
      <c r="U290" s="470" t="s">
        <v>273</v>
      </c>
      <c r="V290" s="470" t="s">
        <v>273</v>
      </c>
      <c r="W290" s="470" t="s">
        <v>273</v>
      </c>
      <c r="X290" s="470" t="s">
        <v>273</v>
      </c>
      <c r="Y290" s="470" t="s">
        <v>273</v>
      </c>
      <c r="Z290" s="470" t="s">
        <v>273</v>
      </c>
      <c r="AA290" s="470" t="s">
        <v>273</v>
      </c>
      <c r="AB290" s="470" t="s">
        <v>273</v>
      </c>
      <c r="AC290" s="470" t="s">
        <v>273</v>
      </c>
      <c r="AD290" s="470" t="s">
        <v>273</v>
      </c>
      <c r="AE290" s="470" t="s">
        <v>273</v>
      </c>
      <c r="AF290" s="470" t="s">
        <v>273</v>
      </c>
      <c r="AG290" s="470" t="s">
        <v>273</v>
      </c>
      <c r="AH290" s="470" t="s">
        <v>273</v>
      </c>
      <c r="AI290" s="470" t="s">
        <v>273</v>
      </c>
      <c r="AJ290" s="470" t="s">
        <v>273</v>
      </c>
      <c r="AK290" s="470" t="s">
        <v>273</v>
      </c>
      <c r="AL290" s="470" t="s">
        <v>273</v>
      </c>
    </row>
    <row r="291" spans="1:38">
      <c r="A291" s="470" t="s">
        <v>1375</v>
      </c>
      <c r="B291" s="470">
        <v>0</v>
      </c>
      <c r="C291" s="470">
        <v>0</v>
      </c>
      <c r="D291" s="470">
        <v>0</v>
      </c>
      <c r="E291" s="470">
        <v>0</v>
      </c>
      <c r="F291" s="470">
        <v>0</v>
      </c>
      <c r="G291" s="470">
        <v>0</v>
      </c>
      <c r="H291" s="470">
        <v>0</v>
      </c>
      <c r="I291" s="470" t="s">
        <v>273</v>
      </c>
      <c r="J291" s="470" t="s">
        <v>273</v>
      </c>
      <c r="K291" s="470" t="s">
        <v>273</v>
      </c>
      <c r="L291" s="470" t="s">
        <v>273</v>
      </c>
      <c r="M291" s="470" t="s">
        <v>273</v>
      </c>
      <c r="N291" s="470" t="s">
        <v>273</v>
      </c>
      <c r="O291" s="470" t="s">
        <v>273</v>
      </c>
      <c r="P291" s="470" t="s">
        <v>273</v>
      </c>
      <c r="Q291" s="470" t="s">
        <v>273</v>
      </c>
      <c r="R291" s="470" t="s">
        <v>273</v>
      </c>
      <c r="S291" s="470" t="s">
        <v>273</v>
      </c>
      <c r="T291" s="470" t="s">
        <v>273</v>
      </c>
      <c r="U291" s="470" t="s">
        <v>273</v>
      </c>
      <c r="V291" s="470" t="s">
        <v>273</v>
      </c>
      <c r="W291" s="470" t="s">
        <v>273</v>
      </c>
      <c r="X291" s="470" t="s">
        <v>273</v>
      </c>
      <c r="Y291" s="470" t="s">
        <v>273</v>
      </c>
      <c r="Z291" s="470" t="s">
        <v>273</v>
      </c>
      <c r="AA291" s="470" t="s">
        <v>273</v>
      </c>
      <c r="AB291" s="470" t="s">
        <v>273</v>
      </c>
      <c r="AC291" s="470" t="s">
        <v>273</v>
      </c>
      <c r="AD291" s="470" t="s">
        <v>273</v>
      </c>
      <c r="AE291" s="470" t="s">
        <v>273</v>
      </c>
      <c r="AF291" s="470" t="s">
        <v>273</v>
      </c>
      <c r="AG291" s="470" t="s">
        <v>273</v>
      </c>
      <c r="AH291" s="470" t="s">
        <v>273</v>
      </c>
      <c r="AI291" s="470" t="s">
        <v>273</v>
      </c>
      <c r="AJ291" s="470" t="s">
        <v>273</v>
      </c>
      <c r="AK291" s="470" t="s">
        <v>273</v>
      </c>
      <c r="AL291" s="470" t="s">
        <v>273</v>
      </c>
    </row>
    <row r="292" spans="1:38">
      <c r="A292" s="470" t="s">
        <v>1374</v>
      </c>
      <c r="B292" s="470" t="s">
        <v>306</v>
      </c>
      <c r="C292" s="470" t="s">
        <v>306</v>
      </c>
      <c r="D292" s="470" t="s">
        <v>306</v>
      </c>
      <c r="E292" s="470" t="s">
        <v>306</v>
      </c>
      <c r="F292" s="470" t="s">
        <v>306</v>
      </c>
      <c r="G292" s="470">
        <v>-1</v>
      </c>
      <c r="H292" s="470" t="s">
        <v>306</v>
      </c>
      <c r="I292" s="470" t="s">
        <v>273</v>
      </c>
      <c r="J292" s="470" t="s">
        <v>273</v>
      </c>
      <c r="K292" s="470" t="s">
        <v>273</v>
      </c>
      <c r="L292" s="470" t="s">
        <v>273</v>
      </c>
      <c r="M292" s="470" t="s">
        <v>273</v>
      </c>
      <c r="N292" s="470" t="s">
        <v>273</v>
      </c>
      <c r="O292" s="470" t="s">
        <v>273</v>
      </c>
      <c r="P292" s="470" t="s">
        <v>273</v>
      </c>
      <c r="Q292" s="470" t="s">
        <v>273</v>
      </c>
      <c r="R292" s="470" t="s">
        <v>273</v>
      </c>
      <c r="S292" s="470" t="s">
        <v>273</v>
      </c>
      <c r="T292" s="470" t="s">
        <v>273</v>
      </c>
      <c r="U292" s="470" t="s">
        <v>273</v>
      </c>
      <c r="V292" s="470" t="s">
        <v>273</v>
      </c>
      <c r="W292" s="470" t="s">
        <v>273</v>
      </c>
      <c r="X292" s="470" t="s">
        <v>273</v>
      </c>
      <c r="Y292" s="470" t="s">
        <v>273</v>
      </c>
      <c r="Z292" s="470" t="s">
        <v>273</v>
      </c>
      <c r="AA292" s="470" t="s">
        <v>273</v>
      </c>
      <c r="AB292" s="470" t="s">
        <v>273</v>
      </c>
      <c r="AC292" s="470" t="s">
        <v>273</v>
      </c>
      <c r="AD292" s="470" t="s">
        <v>273</v>
      </c>
      <c r="AE292" s="470" t="s">
        <v>273</v>
      </c>
      <c r="AF292" s="470" t="s">
        <v>273</v>
      </c>
      <c r="AG292" s="470" t="s">
        <v>273</v>
      </c>
      <c r="AH292" s="470" t="s">
        <v>273</v>
      </c>
      <c r="AI292" s="470" t="s">
        <v>273</v>
      </c>
      <c r="AJ292" s="470" t="s">
        <v>273</v>
      </c>
      <c r="AK292" s="470" t="s">
        <v>273</v>
      </c>
      <c r="AL292" s="470" t="s">
        <v>273</v>
      </c>
    </row>
    <row r="293" spans="1:38">
      <c r="A293" s="470" t="s">
        <v>1373</v>
      </c>
      <c r="B293" s="470">
        <v>0</v>
      </c>
      <c r="C293" s="470">
        <v>0</v>
      </c>
      <c r="D293" s="470">
        <v>0</v>
      </c>
      <c r="E293" s="470">
        <v>0</v>
      </c>
      <c r="F293" s="470">
        <v>0</v>
      </c>
      <c r="G293" s="470">
        <v>0</v>
      </c>
      <c r="H293" s="470">
        <v>0</v>
      </c>
      <c r="I293" s="470" t="s">
        <v>273</v>
      </c>
      <c r="J293" s="470" t="s">
        <v>273</v>
      </c>
      <c r="K293" s="470" t="s">
        <v>273</v>
      </c>
      <c r="L293" s="470" t="s">
        <v>273</v>
      </c>
      <c r="M293" s="470" t="s">
        <v>273</v>
      </c>
      <c r="N293" s="470" t="s">
        <v>273</v>
      </c>
      <c r="O293" s="470" t="s">
        <v>273</v>
      </c>
      <c r="P293" s="470" t="s">
        <v>273</v>
      </c>
      <c r="Q293" s="470" t="s">
        <v>273</v>
      </c>
      <c r="R293" s="470" t="s">
        <v>273</v>
      </c>
      <c r="S293" s="470" t="s">
        <v>273</v>
      </c>
      <c r="T293" s="470" t="s">
        <v>273</v>
      </c>
      <c r="U293" s="470" t="s">
        <v>273</v>
      </c>
      <c r="V293" s="470" t="s">
        <v>273</v>
      </c>
      <c r="W293" s="470" t="s">
        <v>273</v>
      </c>
      <c r="X293" s="470" t="s">
        <v>273</v>
      </c>
      <c r="Y293" s="470" t="s">
        <v>273</v>
      </c>
      <c r="Z293" s="470" t="s">
        <v>273</v>
      </c>
      <c r="AA293" s="470" t="s">
        <v>273</v>
      </c>
      <c r="AB293" s="470" t="s">
        <v>273</v>
      </c>
      <c r="AC293" s="470" t="s">
        <v>273</v>
      </c>
      <c r="AD293" s="470" t="s">
        <v>273</v>
      </c>
      <c r="AE293" s="470" t="s">
        <v>273</v>
      </c>
      <c r="AF293" s="470" t="s">
        <v>273</v>
      </c>
      <c r="AG293" s="470" t="s">
        <v>273</v>
      </c>
      <c r="AH293" s="470" t="s">
        <v>273</v>
      </c>
      <c r="AI293" s="470" t="s">
        <v>273</v>
      </c>
      <c r="AJ293" s="470" t="s">
        <v>273</v>
      </c>
      <c r="AK293" s="470" t="s">
        <v>273</v>
      </c>
      <c r="AL293" s="470" t="s">
        <v>273</v>
      </c>
    </row>
    <row r="294" spans="1:38">
      <c r="A294" s="470" t="s">
        <v>1372</v>
      </c>
      <c r="B294" s="470">
        <v>0</v>
      </c>
      <c r="C294" s="470">
        <v>0</v>
      </c>
      <c r="D294" s="470">
        <v>0</v>
      </c>
      <c r="E294" s="470">
        <v>0</v>
      </c>
      <c r="F294" s="470">
        <v>0</v>
      </c>
      <c r="G294" s="470">
        <v>0</v>
      </c>
      <c r="H294" s="470">
        <v>0</v>
      </c>
      <c r="I294" s="470" t="s">
        <v>273</v>
      </c>
      <c r="J294" s="470" t="s">
        <v>273</v>
      </c>
      <c r="K294" s="470" t="s">
        <v>273</v>
      </c>
      <c r="L294" s="470" t="s">
        <v>273</v>
      </c>
      <c r="M294" s="470" t="s">
        <v>273</v>
      </c>
      <c r="N294" s="470" t="s">
        <v>273</v>
      </c>
      <c r="O294" s="470" t="s">
        <v>273</v>
      </c>
      <c r="P294" s="470" t="s">
        <v>273</v>
      </c>
      <c r="Q294" s="470" t="s">
        <v>273</v>
      </c>
      <c r="R294" s="470" t="s">
        <v>273</v>
      </c>
      <c r="S294" s="470" t="s">
        <v>273</v>
      </c>
      <c r="T294" s="470" t="s">
        <v>273</v>
      </c>
      <c r="U294" s="470" t="s">
        <v>273</v>
      </c>
      <c r="V294" s="470" t="s">
        <v>273</v>
      </c>
      <c r="W294" s="470" t="s">
        <v>273</v>
      </c>
      <c r="X294" s="470" t="s">
        <v>273</v>
      </c>
      <c r="Y294" s="470" t="s">
        <v>273</v>
      </c>
      <c r="Z294" s="470" t="s">
        <v>273</v>
      </c>
      <c r="AA294" s="470" t="s">
        <v>273</v>
      </c>
      <c r="AB294" s="470" t="s">
        <v>273</v>
      </c>
      <c r="AC294" s="470" t="s">
        <v>273</v>
      </c>
      <c r="AD294" s="470" t="s">
        <v>273</v>
      </c>
      <c r="AE294" s="470" t="s">
        <v>273</v>
      </c>
      <c r="AF294" s="470" t="s">
        <v>273</v>
      </c>
      <c r="AG294" s="470" t="s">
        <v>273</v>
      </c>
      <c r="AH294" s="470" t="s">
        <v>273</v>
      </c>
      <c r="AI294" s="470" t="s">
        <v>273</v>
      </c>
      <c r="AJ294" s="470" t="s">
        <v>273</v>
      </c>
      <c r="AK294" s="470" t="s">
        <v>273</v>
      </c>
      <c r="AL294" s="470" t="s">
        <v>273</v>
      </c>
    </row>
    <row r="295" spans="1:38">
      <c r="A295" s="470" t="s">
        <v>1371</v>
      </c>
      <c r="B295" s="470" t="s">
        <v>306</v>
      </c>
      <c r="C295" s="470" t="s">
        <v>306</v>
      </c>
      <c r="D295" s="470" t="s">
        <v>306</v>
      </c>
      <c r="E295" s="470" t="s">
        <v>306</v>
      </c>
      <c r="F295" s="470" t="s">
        <v>306</v>
      </c>
      <c r="G295" s="470" t="s">
        <v>306</v>
      </c>
      <c r="H295" s="470" t="s">
        <v>306</v>
      </c>
      <c r="I295" s="470" t="s">
        <v>273</v>
      </c>
      <c r="J295" s="470" t="s">
        <v>273</v>
      </c>
      <c r="K295" s="470" t="s">
        <v>273</v>
      </c>
      <c r="L295" s="470" t="s">
        <v>273</v>
      </c>
      <c r="M295" s="470" t="s">
        <v>273</v>
      </c>
      <c r="N295" s="470" t="s">
        <v>273</v>
      </c>
      <c r="O295" s="470" t="s">
        <v>273</v>
      </c>
      <c r="P295" s="470" t="s">
        <v>273</v>
      </c>
      <c r="Q295" s="470" t="s">
        <v>273</v>
      </c>
      <c r="R295" s="470" t="s">
        <v>273</v>
      </c>
      <c r="S295" s="470" t="s">
        <v>273</v>
      </c>
      <c r="T295" s="470" t="s">
        <v>273</v>
      </c>
      <c r="U295" s="470" t="s">
        <v>273</v>
      </c>
      <c r="V295" s="470" t="s">
        <v>273</v>
      </c>
      <c r="W295" s="470" t="s">
        <v>273</v>
      </c>
      <c r="X295" s="470" t="s">
        <v>273</v>
      </c>
      <c r="Y295" s="470" t="s">
        <v>273</v>
      </c>
      <c r="Z295" s="470" t="s">
        <v>273</v>
      </c>
      <c r="AA295" s="470" t="s">
        <v>273</v>
      </c>
      <c r="AB295" s="470" t="s">
        <v>273</v>
      </c>
      <c r="AC295" s="470" t="s">
        <v>273</v>
      </c>
      <c r="AD295" s="470" t="s">
        <v>273</v>
      </c>
      <c r="AE295" s="470" t="s">
        <v>273</v>
      </c>
      <c r="AF295" s="470" t="s">
        <v>273</v>
      </c>
      <c r="AG295" s="470" t="s">
        <v>273</v>
      </c>
      <c r="AH295" s="470" t="s">
        <v>273</v>
      </c>
      <c r="AI295" s="470" t="s">
        <v>273</v>
      </c>
      <c r="AJ295" s="470" t="s">
        <v>273</v>
      </c>
      <c r="AK295" s="470" t="s">
        <v>273</v>
      </c>
      <c r="AL295" s="470" t="s">
        <v>273</v>
      </c>
    </row>
    <row r="296" spans="1:38">
      <c r="A296" s="470" t="s">
        <v>1370</v>
      </c>
      <c r="B296" s="470" t="s">
        <v>306</v>
      </c>
      <c r="C296" s="470" t="s">
        <v>306</v>
      </c>
      <c r="D296" s="470" t="s">
        <v>306</v>
      </c>
      <c r="E296" s="470" t="s">
        <v>306</v>
      </c>
      <c r="F296" s="470" t="s">
        <v>306</v>
      </c>
      <c r="G296" s="470" t="s">
        <v>306</v>
      </c>
      <c r="H296" s="470" t="s">
        <v>306</v>
      </c>
      <c r="I296" s="470" t="s">
        <v>273</v>
      </c>
      <c r="J296" s="470" t="s">
        <v>273</v>
      </c>
      <c r="K296" s="470" t="s">
        <v>273</v>
      </c>
      <c r="L296" s="470" t="s">
        <v>273</v>
      </c>
      <c r="M296" s="470" t="s">
        <v>273</v>
      </c>
      <c r="N296" s="470" t="s">
        <v>273</v>
      </c>
      <c r="O296" s="470" t="s">
        <v>273</v>
      </c>
      <c r="P296" s="470" t="s">
        <v>273</v>
      </c>
      <c r="Q296" s="470" t="s">
        <v>273</v>
      </c>
      <c r="R296" s="470" t="s">
        <v>273</v>
      </c>
      <c r="S296" s="470" t="s">
        <v>273</v>
      </c>
      <c r="T296" s="470" t="s">
        <v>273</v>
      </c>
      <c r="U296" s="470" t="s">
        <v>273</v>
      </c>
      <c r="V296" s="470" t="s">
        <v>273</v>
      </c>
      <c r="W296" s="470" t="s">
        <v>273</v>
      </c>
      <c r="X296" s="470" t="s">
        <v>273</v>
      </c>
      <c r="Y296" s="470" t="s">
        <v>273</v>
      </c>
      <c r="Z296" s="470" t="s">
        <v>273</v>
      </c>
      <c r="AA296" s="470" t="s">
        <v>273</v>
      </c>
      <c r="AB296" s="470" t="s">
        <v>273</v>
      </c>
      <c r="AC296" s="470" t="s">
        <v>273</v>
      </c>
      <c r="AD296" s="470" t="s">
        <v>273</v>
      </c>
      <c r="AE296" s="470" t="s">
        <v>273</v>
      </c>
      <c r="AF296" s="470" t="s">
        <v>273</v>
      </c>
      <c r="AG296" s="470" t="s">
        <v>273</v>
      </c>
      <c r="AH296" s="470" t="s">
        <v>273</v>
      </c>
      <c r="AI296" s="470" t="s">
        <v>273</v>
      </c>
      <c r="AJ296" s="470" t="s">
        <v>273</v>
      </c>
      <c r="AK296" s="470" t="s">
        <v>273</v>
      </c>
      <c r="AL296" s="470" t="s">
        <v>273</v>
      </c>
    </row>
    <row r="297" spans="1:38">
      <c r="A297" s="470" t="s">
        <v>1369</v>
      </c>
      <c r="B297" s="470">
        <v>0</v>
      </c>
      <c r="C297" s="470">
        <v>0</v>
      </c>
      <c r="D297" s="470">
        <v>0</v>
      </c>
      <c r="E297" s="470">
        <v>0</v>
      </c>
      <c r="F297" s="470">
        <v>0</v>
      </c>
      <c r="G297" s="470">
        <v>0</v>
      </c>
      <c r="H297" s="470">
        <v>0</v>
      </c>
      <c r="I297" s="470" t="s">
        <v>273</v>
      </c>
      <c r="J297" s="470" t="s">
        <v>273</v>
      </c>
      <c r="K297" s="470" t="s">
        <v>273</v>
      </c>
      <c r="L297" s="470" t="s">
        <v>273</v>
      </c>
      <c r="M297" s="470" t="s">
        <v>273</v>
      </c>
      <c r="N297" s="470" t="s">
        <v>273</v>
      </c>
      <c r="O297" s="470" t="s">
        <v>273</v>
      </c>
      <c r="P297" s="470" t="s">
        <v>273</v>
      </c>
      <c r="Q297" s="470" t="s">
        <v>273</v>
      </c>
      <c r="R297" s="470" t="s">
        <v>273</v>
      </c>
      <c r="S297" s="470" t="s">
        <v>273</v>
      </c>
      <c r="T297" s="470" t="s">
        <v>273</v>
      </c>
      <c r="U297" s="470" t="s">
        <v>273</v>
      </c>
      <c r="V297" s="470" t="s">
        <v>273</v>
      </c>
      <c r="W297" s="470" t="s">
        <v>273</v>
      </c>
      <c r="X297" s="470" t="s">
        <v>273</v>
      </c>
      <c r="Y297" s="470" t="s">
        <v>273</v>
      </c>
      <c r="Z297" s="470" t="s">
        <v>273</v>
      </c>
      <c r="AA297" s="470" t="s">
        <v>273</v>
      </c>
      <c r="AB297" s="470" t="s">
        <v>273</v>
      </c>
      <c r="AC297" s="470" t="s">
        <v>273</v>
      </c>
      <c r="AD297" s="470" t="s">
        <v>273</v>
      </c>
      <c r="AE297" s="470" t="s">
        <v>273</v>
      </c>
      <c r="AF297" s="470" t="s">
        <v>273</v>
      </c>
      <c r="AG297" s="470" t="s">
        <v>273</v>
      </c>
      <c r="AH297" s="470" t="s">
        <v>273</v>
      </c>
      <c r="AI297" s="470" t="s">
        <v>273</v>
      </c>
      <c r="AJ297" s="470" t="s">
        <v>273</v>
      </c>
      <c r="AK297" s="470" t="s">
        <v>273</v>
      </c>
      <c r="AL297" s="470" t="s">
        <v>273</v>
      </c>
    </row>
    <row r="298" spans="1:38">
      <c r="A298" s="470" t="s">
        <v>1368</v>
      </c>
      <c r="B298" s="470">
        <v>0</v>
      </c>
      <c r="C298" s="470">
        <v>0</v>
      </c>
      <c r="D298" s="470">
        <v>0</v>
      </c>
      <c r="E298" s="470">
        <v>0</v>
      </c>
      <c r="F298" s="470">
        <v>0</v>
      </c>
      <c r="G298" s="470">
        <v>0</v>
      </c>
      <c r="H298" s="470">
        <v>0</v>
      </c>
      <c r="I298" s="470" t="s">
        <v>273</v>
      </c>
      <c r="J298" s="470" t="s">
        <v>273</v>
      </c>
      <c r="K298" s="470" t="s">
        <v>273</v>
      </c>
      <c r="L298" s="470" t="s">
        <v>273</v>
      </c>
      <c r="M298" s="470" t="s">
        <v>273</v>
      </c>
      <c r="N298" s="470" t="s">
        <v>273</v>
      </c>
      <c r="O298" s="470" t="s">
        <v>273</v>
      </c>
      <c r="P298" s="470" t="s">
        <v>273</v>
      </c>
      <c r="Q298" s="470" t="s">
        <v>273</v>
      </c>
      <c r="R298" s="470" t="s">
        <v>273</v>
      </c>
      <c r="S298" s="470" t="s">
        <v>273</v>
      </c>
      <c r="T298" s="470" t="s">
        <v>273</v>
      </c>
      <c r="U298" s="470" t="s">
        <v>273</v>
      </c>
      <c r="V298" s="470" t="s">
        <v>273</v>
      </c>
      <c r="W298" s="470" t="s">
        <v>273</v>
      </c>
      <c r="X298" s="470" t="s">
        <v>273</v>
      </c>
      <c r="Y298" s="470" t="s">
        <v>273</v>
      </c>
      <c r="Z298" s="470" t="s">
        <v>273</v>
      </c>
      <c r="AA298" s="470" t="s">
        <v>273</v>
      </c>
      <c r="AB298" s="470" t="s">
        <v>273</v>
      </c>
      <c r="AC298" s="470" t="s">
        <v>273</v>
      </c>
      <c r="AD298" s="470" t="s">
        <v>273</v>
      </c>
      <c r="AE298" s="470" t="s">
        <v>273</v>
      </c>
      <c r="AF298" s="470" t="s">
        <v>273</v>
      </c>
      <c r="AG298" s="470" t="s">
        <v>273</v>
      </c>
      <c r="AH298" s="470" t="s">
        <v>273</v>
      </c>
      <c r="AI298" s="470" t="s">
        <v>273</v>
      </c>
      <c r="AJ298" s="470" t="s">
        <v>273</v>
      </c>
      <c r="AK298" s="470" t="s">
        <v>273</v>
      </c>
      <c r="AL298" s="470" t="s">
        <v>273</v>
      </c>
    </row>
    <row r="299" spans="1:38">
      <c r="A299" s="470" t="s">
        <v>31</v>
      </c>
      <c r="B299" s="470" t="s">
        <v>0</v>
      </c>
      <c r="C299" s="470" t="s">
        <v>0</v>
      </c>
      <c r="D299" s="470" t="s">
        <v>0</v>
      </c>
      <c r="E299" s="470" t="s">
        <v>0</v>
      </c>
      <c r="F299" s="470" t="s">
        <v>0</v>
      </c>
      <c r="G299" s="470" t="s">
        <v>0</v>
      </c>
      <c r="H299" s="470" t="s">
        <v>0</v>
      </c>
      <c r="I299" s="470" t="s">
        <v>0</v>
      </c>
      <c r="J299" s="470" t="s">
        <v>0</v>
      </c>
      <c r="K299" s="470" t="s">
        <v>0</v>
      </c>
      <c r="L299" s="470" t="s">
        <v>0</v>
      </c>
      <c r="M299" s="470" t="s">
        <v>0</v>
      </c>
      <c r="N299" s="470" t="s">
        <v>0</v>
      </c>
      <c r="O299" s="470" t="s">
        <v>0</v>
      </c>
      <c r="P299" s="470" t="s">
        <v>0</v>
      </c>
      <c r="Q299" s="470" t="s">
        <v>0</v>
      </c>
      <c r="R299" s="470" t="s">
        <v>0</v>
      </c>
      <c r="S299" s="470" t="s">
        <v>0</v>
      </c>
      <c r="T299" s="470" t="s">
        <v>0</v>
      </c>
      <c r="U299" s="470" t="s">
        <v>0</v>
      </c>
      <c r="V299" s="470" t="s">
        <v>0</v>
      </c>
      <c r="W299" s="470" t="s">
        <v>0</v>
      </c>
      <c r="X299" s="470" t="s">
        <v>0</v>
      </c>
      <c r="Y299" s="470" t="s">
        <v>0</v>
      </c>
      <c r="Z299" s="470" t="s">
        <v>0</v>
      </c>
      <c r="AA299" s="470" t="s">
        <v>0</v>
      </c>
      <c r="AB299" s="470" t="s">
        <v>0</v>
      </c>
      <c r="AC299" s="470" t="s">
        <v>0</v>
      </c>
      <c r="AD299" s="470" t="s">
        <v>0</v>
      </c>
      <c r="AE299" s="470" t="s">
        <v>0</v>
      </c>
      <c r="AF299" s="470" t="s">
        <v>0</v>
      </c>
      <c r="AG299" s="470" t="s">
        <v>0</v>
      </c>
      <c r="AH299" s="470" t="s">
        <v>0</v>
      </c>
      <c r="AI299" s="470" t="s">
        <v>0</v>
      </c>
      <c r="AJ299" s="470" t="s">
        <v>0</v>
      </c>
      <c r="AK299" s="470" t="s">
        <v>0</v>
      </c>
      <c r="AL299" s="470" t="s">
        <v>0</v>
      </c>
    </row>
    <row r="300" spans="1:38">
      <c r="A300" s="470" t="s">
        <v>1367</v>
      </c>
      <c r="B300" s="470">
        <v>4771</v>
      </c>
      <c r="C300" s="470">
        <v>4704</v>
      </c>
      <c r="D300" s="470">
        <v>2812</v>
      </c>
      <c r="E300" s="470">
        <v>3947</v>
      </c>
      <c r="F300" s="470">
        <v>6478</v>
      </c>
      <c r="G300" s="470">
        <v>5423</v>
      </c>
      <c r="H300" s="470">
        <v>5607</v>
      </c>
      <c r="I300" s="470" t="s">
        <v>273</v>
      </c>
      <c r="J300" s="470" t="s">
        <v>273</v>
      </c>
      <c r="K300" s="470" t="s">
        <v>273</v>
      </c>
      <c r="L300" s="470" t="s">
        <v>273</v>
      </c>
      <c r="M300" s="470" t="s">
        <v>273</v>
      </c>
      <c r="N300" s="470" t="s">
        <v>273</v>
      </c>
      <c r="O300" s="470" t="s">
        <v>273</v>
      </c>
      <c r="P300" s="470" t="s">
        <v>273</v>
      </c>
      <c r="Q300" s="470" t="s">
        <v>273</v>
      </c>
      <c r="R300" s="470" t="s">
        <v>273</v>
      </c>
      <c r="S300" s="470" t="s">
        <v>273</v>
      </c>
      <c r="T300" s="470" t="s">
        <v>273</v>
      </c>
      <c r="U300" s="470" t="s">
        <v>273</v>
      </c>
      <c r="V300" s="470" t="s">
        <v>273</v>
      </c>
      <c r="W300" s="470" t="s">
        <v>273</v>
      </c>
      <c r="X300" s="470" t="s">
        <v>273</v>
      </c>
      <c r="Y300" s="470" t="s">
        <v>273</v>
      </c>
      <c r="Z300" s="470" t="s">
        <v>273</v>
      </c>
      <c r="AA300" s="470" t="s">
        <v>273</v>
      </c>
      <c r="AB300" s="470" t="s">
        <v>273</v>
      </c>
      <c r="AC300" s="470" t="s">
        <v>273</v>
      </c>
      <c r="AD300" s="470" t="s">
        <v>273</v>
      </c>
      <c r="AE300" s="470" t="s">
        <v>273</v>
      </c>
      <c r="AF300" s="470" t="s">
        <v>273</v>
      </c>
      <c r="AG300" s="470" t="s">
        <v>273</v>
      </c>
      <c r="AH300" s="470" t="s">
        <v>273</v>
      </c>
      <c r="AI300" s="470" t="s">
        <v>273</v>
      </c>
      <c r="AJ300" s="470" t="s">
        <v>273</v>
      </c>
      <c r="AK300" s="470" t="s">
        <v>273</v>
      </c>
      <c r="AL300" s="470" t="s">
        <v>273</v>
      </c>
    </row>
    <row r="301" spans="1:38">
      <c r="A301" s="470" t="s">
        <v>1366</v>
      </c>
      <c r="B301" s="470" t="s">
        <v>579</v>
      </c>
      <c r="C301" s="470" t="s">
        <v>579</v>
      </c>
      <c r="D301" s="470" t="s">
        <v>579</v>
      </c>
      <c r="E301" s="470" t="s">
        <v>579</v>
      </c>
      <c r="F301" s="470" t="s">
        <v>579</v>
      </c>
      <c r="G301" s="470" t="s">
        <v>579</v>
      </c>
      <c r="H301" s="470">
        <v>5639</v>
      </c>
      <c r="I301" s="470" t="s">
        <v>273</v>
      </c>
      <c r="J301" s="470" t="s">
        <v>273</v>
      </c>
      <c r="K301" s="470" t="s">
        <v>273</v>
      </c>
      <c r="L301" s="470" t="s">
        <v>273</v>
      </c>
      <c r="M301" s="470" t="s">
        <v>273</v>
      </c>
      <c r="N301" s="470" t="s">
        <v>273</v>
      </c>
      <c r="O301" s="470" t="s">
        <v>273</v>
      </c>
      <c r="P301" s="470" t="s">
        <v>273</v>
      </c>
      <c r="Q301" s="470" t="s">
        <v>273</v>
      </c>
      <c r="R301" s="470" t="s">
        <v>273</v>
      </c>
      <c r="S301" s="470" t="s">
        <v>273</v>
      </c>
      <c r="T301" s="470" t="s">
        <v>273</v>
      </c>
      <c r="U301" s="470" t="s">
        <v>273</v>
      </c>
      <c r="V301" s="470" t="s">
        <v>273</v>
      </c>
      <c r="W301" s="470" t="s">
        <v>273</v>
      </c>
      <c r="X301" s="470" t="s">
        <v>273</v>
      </c>
      <c r="Y301" s="470" t="s">
        <v>273</v>
      </c>
      <c r="Z301" s="470" t="s">
        <v>273</v>
      </c>
      <c r="AA301" s="470" t="s">
        <v>273</v>
      </c>
      <c r="AB301" s="470" t="s">
        <v>273</v>
      </c>
      <c r="AC301" s="470" t="s">
        <v>273</v>
      </c>
      <c r="AD301" s="470" t="s">
        <v>273</v>
      </c>
      <c r="AE301" s="470" t="s">
        <v>273</v>
      </c>
      <c r="AF301" s="470" t="s">
        <v>273</v>
      </c>
      <c r="AG301" s="470" t="s">
        <v>273</v>
      </c>
      <c r="AH301" s="470" t="s">
        <v>273</v>
      </c>
      <c r="AI301" s="470" t="s">
        <v>273</v>
      </c>
      <c r="AJ301" s="470" t="s">
        <v>273</v>
      </c>
      <c r="AK301" s="470" t="s">
        <v>273</v>
      </c>
      <c r="AL301" s="470" t="s">
        <v>273</v>
      </c>
    </row>
    <row r="302" spans="1:38">
      <c r="A302" s="470" t="s">
        <v>522</v>
      </c>
      <c r="B302" s="470">
        <v>40</v>
      </c>
      <c r="C302" s="470">
        <v>48</v>
      </c>
      <c r="D302" s="470">
        <v>162</v>
      </c>
      <c r="E302" s="470">
        <v>-18</v>
      </c>
      <c r="F302" s="470">
        <v>-38</v>
      </c>
      <c r="G302" s="470">
        <v>72</v>
      </c>
      <c r="H302" s="470">
        <v>-114</v>
      </c>
      <c r="I302" s="470" t="s">
        <v>273</v>
      </c>
      <c r="J302" s="470" t="s">
        <v>273</v>
      </c>
      <c r="K302" s="470" t="s">
        <v>273</v>
      </c>
      <c r="L302" s="470" t="s">
        <v>273</v>
      </c>
      <c r="M302" s="470" t="s">
        <v>273</v>
      </c>
      <c r="N302" s="470" t="s">
        <v>273</v>
      </c>
      <c r="O302" s="470" t="s">
        <v>273</v>
      </c>
      <c r="P302" s="470" t="s">
        <v>273</v>
      </c>
      <c r="Q302" s="470" t="s">
        <v>273</v>
      </c>
      <c r="R302" s="470" t="s">
        <v>273</v>
      </c>
      <c r="S302" s="470" t="s">
        <v>273</v>
      </c>
      <c r="T302" s="470" t="s">
        <v>273</v>
      </c>
      <c r="U302" s="470" t="s">
        <v>273</v>
      </c>
      <c r="V302" s="470" t="s">
        <v>273</v>
      </c>
      <c r="W302" s="470" t="s">
        <v>273</v>
      </c>
      <c r="X302" s="470" t="s">
        <v>273</v>
      </c>
      <c r="Y302" s="470" t="s">
        <v>273</v>
      </c>
      <c r="Z302" s="470" t="s">
        <v>273</v>
      </c>
      <c r="AA302" s="470" t="s">
        <v>273</v>
      </c>
      <c r="AB302" s="470" t="s">
        <v>273</v>
      </c>
      <c r="AC302" s="470" t="s">
        <v>273</v>
      </c>
      <c r="AD302" s="470" t="s">
        <v>273</v>
      </c>
      <c r="AE302" s="470" t="s">
        <v>273</v>
      </c>
      <c r="AF302" s="470" t="s">
        <v>273</v>
      </c>
      <c r="AG302" s="470" t="s">
        <v>273</v>
      </c>
      <c r="AH302" s="470" t="s">
        <v>273</v>
      </c>
      <c r="AI302" s="470" t="s">
        <v>273</v>
      </c>
      <c r="AJ302" s="470" t="s">
        <v>273</v>
      </c>
      <c r="AK302" s="470" t="s">
        <v>273</v>
      </c>
      <c r="AL302" s="470" t="s">
        <v>273</v>
      </c>
    </row>
    <row r="303" spans="1:38" ht="13">
      <c r="A303" s="1944" t="s">
        <v>7</v>
      </c>
      <c r="B303" s="1976"/>
      <c r="C303" s="1976"/>
      <c r="D303" s="1976"/>
      <c r="E303" s="1976"/>
      <c r="F303" s="1976"/>
      <c r="G303" s="1976"/>
      <c r="H303" s="1976"/>
      <c r="I303" s="1976"/>
      <c r="J303" s="1976"/>
      <c r="K303" s="1976"/>
      <c r="L303" s="1976"/>
      <c r="M303" s="1976"/>
      <c r="N303" s="1976"/>
      <c r="O303" s="1976"/>
      <c r="P303" s="1976"/>
      <c r="Q303" s="1976"/>
      <c r="R303" s="1976"/>
      <c r="S303" s="1976"/>
      <c r="T303" s="1976"/>
      <c r="U303" s="1976"/>
      <c r="V303" s="1976"/>
      <c r="W303" s="1976"/>
      <c r="X303" s="1976"/>
      <c r="Y303" s="1976"/>
      <c r="Z303" s="1976"/>
      <c r="AA303" s="1976"/>
      <c r="AB303" s="1976"/>
      <c r="AC303" s="1976"/>
      <c r="AD303" s="1976"/>
      <c r="AE303" s="1976"/>
      <c r="AF303" s="1976"/>
      <c r="AG303" s="1976"/>
      <c r="AH303" s="1976"/>
      <c r="AI303" s="1976"/>
      <c r="AJ303" s="1976"/>
      <c r="AK303" s="1976"/>
      <c r="AL303" s="1976"/>
    </row>
    <row r="304" spans="1:38">
      <c r="A304" s="1943" t="s">
        <v>272</v>
      </c>
      <c r="B304" s="1976"/>
      <c r="C304" s="1976"/>
      <c r="D304" s="1976"/>
      <c r="E304" s="1976"/>
      <c r="F304" s="1976"/>
      <c r="G304" s="1976"/>
      <c r="H304" s="1976"/>
      <c r="I304" s="1976"/>
      <c r="J304" s="1976"/>
      <c r="K304" s="1976"/>
      <c r="L304" s="1976"/>
      <c r="M304" s="1976"/>
      <c r="N304" s="1976"/>
      <c r="O304" s="1976"/>
      <c r="P304" s="1976"/>
      <c r="Q304" s="1976"/>
      <c r="R304" s="1976"/>
      <c r="S304" s="1976"/>
      <c r="T304" s="1976"/>
      <c r="U304" s="1976"/>
      <c r="V304" s="1976"/>
      <c r="W304" s="1976"/>
      <c r="X304" s="1976"/>
      <c r="Y304" s="1976"/>
      <c r="Z304" s="1976"/>
      <c r="AA304" s="1976"/>
      <c r="AB304" s="1976"/>
      <c r="AC304" s="1976"/>
      <c r="AD304" s="1976"/>
      <c r="AE304" s="1976"/>
      <c r="AF304" s="1976"/>
      <c r="AG304" s="1976"/>
      <c r="AH304" s="1976"/>
      <c r="AI304" s="1976"/>
      <c r="AJ304" s="1976"/>
      <c r="AK304" s="1976"/>
      <c r="AL304" s="1976"/>
    </row>
    <row r="305" spans="1:38">
      <c r="A305" s="1943" t="s">
        <v>1031</v>
      </c>
      <c r="B305" s="1976"/>
      <c r="C305" s="1976"/>
      <c r="D305" s="1976"/>
      <c r="E305" s="1976"/>
      <c r="F305" s="1976"/>
      <c r="G305" s="1976"/>
      <c r="H305" s="1976"/>
      <c r="I305" s="1976"/>
      <c r="J305" s="1976"/>
      <c r="K305" s="1976"/>
      <c r="L305" s="1976"/>
      <c r="M305" s="1976"/>
      <c r="N305" s="1976"/>
      <c r="O305" s="1976"/>
      <c r="P305" s="1976"/>
      <c r="Q305" s="1976"/>
      <c r="R305" s="1976"/>
      <c r="S305" s="1976"/>
      <c r="T305" s="1976"/>
      <c r="U305" s="1976"/>
      <c r="V305" s="1976"/>
      <c r="W305" s="1976"/>
      <c r="X305" s="1976"/>
      <c r="Y305" s="1976"/>
      <c r="Z305" s="1976"/>
      <c r="AA305" s="1976"/>
      <c r="AB305" s="1976"/>
      <c r="AC305" s="1976"/>
      <c r="AD305" s="1976"/>
      <c r="AE305" s="1976"/>
      <c r="AF305" s="1976"/>
      <c r="AG305" s="1976"/>
      <c r="AH305" s="1976"/>
      <c r="AI305" s="1976"/>
      <c r="AJ305" s="1976"/>
      <c r="AK305" s="1976"/>
      <c r="AL305" s="1976"/>
    </row>
    <row r="306" spans="1:38">
      <c r="A306" s="1943" t="s">
        <v>1032</v>
      </c>
      <c r="B306" s="1976"/>
      <c r="C306" s="1976"/>
      <c r="D306" s="1976"/>
      <c r="E306" s="1976"/>
      <c r="F306" s="1976"/>
      <c r="G306" s="1976"/>
      <c r="H306" s="1976"/>
      <c r="I306" s="1976"/>
      <c r="J306" s="1976"/>
      <c r="K306" s="1976"/>
      <c r="L306" s="1976"/>
      <c r="M306" s="1976"/>
      <c r="N306" s="1976"/>
      <c r="O306" s="1976"/>
      <c r="P306" s="1976"/>
      <c r="Q306" s="1976"/>
      <c r="R306" s="1976"/>
      <c r="S306" s="1976"/>
      <c r="T306" s="1976"/>
      <c r="U306" s="1976"/>
      <c r="V306" s="1976"/>
      <c r="W306" s="1976"/>
      <c r="X306" s="1976"/>
      <c r="Y306" s="1976"/>
      <c r="Z306" s="1976"/>
      <c r="AA306" s="1976"/>
      <c r="AB306" s="1976"/>
      <c r="AC306" s="1976"/>
      <c r="AD306" s="1976"/>
      <c r="AE306" s="1976"/>
      <c r="AF306" s="1976"/>
      <c r="AG306" s="1976"/>
      <c r="AH306" s="1976"/>
      <c r="AI306" s="1976"/>
      <c r="AJ306" s="1976"/>
      <c r="AK306" s="1976"/>
      <c r="AL306" s="1976"/>
    </row>
    <row r="307" spans="1:38">
      <c r="A307" s="1943" t="s">
        <v>1033</v>
      </c>
      <c r="B307" s="1976"/>
      <c r="C307" s="1976"/>
      <c r="D307" s="1976"/>
      <c r="E307" s="1976"/>
      <c r="F307" s="1976"/>
      <c r="G307" s="1976"/>
      <c r="H307" s="1976"/>
      <c r="I307" s="1976"/>
      <c r="J307" s="1976"/>
      <c r="K307" s="1976"/>
      <c r="L307" s="1976"/>
      <c r="M307" s="1976"/>
      <c r="N307" s="1976"/>
      <c r="O307" s="1976"/>
      <c r="P307" s="1976"/>
      <c r="Q307" s="1976"/>
      <c r="R307" s="1976"/>
      <c r="S307" s="1976"/>
      <c r="T307" s="1976"/>
      <c r="U307" s="1976"/>
      <c r="V307" s="1976"/>
      <c r="W307" s="1976"/>
      <c r="X307" s="1976"/>
      <c r="Y307" s="1976"/>
      <c r="Z307" s="1976"/>
      <c r="AA307" s="1976"/>
      <c r="AB307" s="1976"/>
      <c r="AC307" s="1976"/>
      <c r="AD307" s="1976"/>
      <c r="AE307" s="1976"/>
      <c r="AF307" s="1976"/>
      <c r="AG307" s="1976"/>
      <c r="AH307" s="1976"/>
      <c r="AI307" s="1976"/>
      <c r="AJ307" s="1976"/>
      <c r="AK307" s="1976"/>
      <c r="AL307" s="1976"/>
    </row>
    <row r="308" spans="1:38">
      <c r="A308" s="1943" t="s">
        <v>268</v>
      </c>
      <c r="B308" s="1976"/>
      <c r="C308" s="1976"/>
      <c r="D308" s="1976"/>
      <c r="E308" s="1976"/>
      <c r="F308" s="1976"/>
      <c r="G308" s="1976"/>
      <c r="H308" s="1976"/>
      <c r="I308" s="1976"/>
      <c r="J308" s="1976"/>
      <c r="K308" s="1976"/>
      <c r="L308" s="1976"/>
      <c r="M308" s="1976"/>
      <c r="N308" s="1976"/>
      <c r="O308" s="1976"/>
      <c r="P308" s="1976"/>
      <c r="Q308" s="1976"/>
      <c r="R308" s="1976"/>
      <c r="S308" s="1976"/>
      <c r="T308" s="1976"/>
      <c r="U308" s="1976"/>
      <c r="V308" s="1976"/>
      <c r="W308" s="1976"/>
      <c r="X308" s="1976"/>
      <c r="Y308" s="1976"/>
      <c r="Z308" s="1976"/>
      <c r="AA308" s="1976"/>
      <c r="AB308" s="1976"/>
      <c r="AC308" s="1976"/>
      <c r="AD308" s="1976"/>
      <c r="AE308" s="1976"/>
      <c r="AF308" s="1976"/>
      <c r="AG308" s="1976"/>
      <c r="AH308" s="1976"/>
      <c r="AI308" s="1976"/>
      <c r="AJ308" s="1976"/>
      <c r="AK308" s="1976"/>
      <c r="AL308" s="1976"/>
    </row>
    <row r="309" spans="1:38">
      <c r="A309" s="1943" t="s">
        <v>267</v>
      </c>
      <c r="B309" s="1976"/>
      <c r="C309" s="1976"/>
      <c r="D309" s="1976"/>
      <c r="E309" s="1976"/>
      <c r="F309" s="1976"/>
      <c r="G309" s="1976"/>
      <c r="H309" s="1976"/>
      <c r="I309" s="1976"/>
      <c r="J309" s="1976"/>
      <c r="K309" s="1976"/>
      <c r="L309" s="1976"/>
      <c r="M309" s="1976"/>
      <c r="N309" s="1976"/>
      <c r="O309" s="1976"/>
      <c r="P309" s="1976"/>
      <c r="Q309" s="1976"/>
      <c r="R309" s="1976"/>
      <c r="S309" s="1976"/>
      <c r="T309" s="1976"/>
      <c r="U309" s="1976"/>
      <c r="V309" s="1976"/>
      <c r="W309" s="1976"/>
      <c r="X309" s="1976"/>
      <c r="Y309" s="1976"/>
      <c r="Z309" s="1976"/>
      <c r="AA309" s="1976"/>
      <c r="AB309" s="1976"/>
      <c r="AC309" s="1976"/>
      <c r="AD309" s="1976"/>
      <c r="AE309" s="1976"/>
      <c r="AF309" s="1976"/>
      <c r="AG309" s="1976"/>
      <c r="AH309" s="1976"/>
      <c r="AI309" s="1976"/>
      <c r="AJ309" s="1976"/>
      <c r="AK309" s="1976"/>
      <c r="AL309" s="1976"/>
    </row>
    <row r="310" spans="1:38">
      <c r="A310" s="1943" t="s">
        <v>1365</v>
      </c>
      <c r="B310" s="1976"/>
      <c r="C310" s="1976"/>
      <c r="D310" s="1976"/>
      <c r="E310" s="1976"/>
      <c r="F310" s="1976"/>
      <c r="G310" s="1976"/>
      <c r="H310" s="1976"/>
      <c r="I310" s="1976"/>
      <c r="J310" s="1976"/>
      <c r="K310" s="1976"/>
      <c r="L310" s="1976"/>
      <c r="M310" s="1976"/>
      <c r="N310" s="1976"/>
      <c r="O310" s="1976"/>
      <c r="P310" s="1976"/>
      <c r="Q310" s="1976"/>
      <c r="R310" s="1976"/>
      <c r="S310" s="1976"/>
      <c r="T310" s="1976"/>
      <c r="U310" s="1976"/>
      <c r="V310" s="1976"/>
      <c r="W310" s="1976"/>
      <c r="X310" s="1976"/>
      <c r="Y310" s="1976"/>
      <c r="Z310" s="1976"/>
      <c r="AA310" s="1976"/>
      <c r="AB310" s="1976"/>
      <c r="AC310" s="1976"/>
      <c r="AD310" s="1976"/>
      <c r="AE310" s="1976"/>
      <c r="AF310" s="1976"/>
      <c r="AG310" s="1976"/>
      <c r="AH310" s="1976"/>
      <c r="AI310" s="1976"/>
      <c r="AJ310" s="1976"/>
      <c r="AK310" s="1976"/>
      <c r="AL310" s="1976"/>
    </row>
    <row r="311" spans="1:38">
      <c r="A311" s="1943" t="s">
        <v>1364</v>
      </c>
      <c r="B311" s="1976"/>
      <c r="C311" s="1976"/>
      <c r="D311" s="1976"/>
      <c r="E311" s="1976"/>
      <c r="F311" s="1976"/>
      <c r="G311" s="1976"/>
      <c r="H311" s="1976"/>
      <c r="I311" s="1976"/>
      <c r="J311" s="1976"/>
      <c r="K311" s="1976"/>
      <c r="L311" s="1976"/>
      <c r="M311" s="1976"/>
      <c r="N311" s="1976"/>
      <c r="O311" s="1976"/>
      <c r="P311" s="1976"/>
      <c r="Q311" s="1976"/>
      <c r="R311" s="1976"/>
      <c r="S311" s="1976"/>
      <c r="T311" s="1976"/>
      <c r="U311" s="1976"/>
      <c r="V311" s="1976"/>
      <c r="W311" s="1976"/>
      <c r="X311" s="1976"/>
      <c r="Y311" s="1976"/>
      <c r="Z311" s="1976"/>
      <c r="AA311" s="1976"/>
      <c r="AB311" s="1976"/>
      <c r="AC311" s="1976"/>
      <c r="AD311" s="1976"/>
      <c r="AE311" s="1976"/>
      <c r="AF311" s="1976"/>
      <c r="AG311" s="1976"/>
      <c r="AH311" s="1976"/>
      <c r="AI311" s="1976"/>
      <c r="AJ311" s="1976"/>
      <c r="AK311" s="1976"/>
      <c r="AL311" s="1976"/>
    </row>
    <row r="312" spans="1:38">
      <c r="A312" s="1943" t="s">
        <v>520</v>
      </c>
      <c r="B312" s="1976"/>
      <c r="C312" s="1976"/>
      <c r="D312" s="1976"/>
      <c r="E312" s="1976"/>
      <c r="F312" s="1976"/>
      <c r="G312" s="1976"/>
      <c r="H312" s="1976"/>
      <c r="I312" s="1976"/>
      <c r="J312" s="1976"/>
      <c r="K312" s="1976"/>
      <c r="L312" s="1976"/>
      <c r="M312" s="1976"/>
      <c r="N312" s="1976"/>
      <c r="O312" s="1976"/>
      <c r="P312" s="1976"/>
      <c r="Q312" s="1976"/>
      <c r="R312" s="1976"/>
      <c r="S312" s="1976"/>
      <c r="T312" s="1976"/>
      <c r="U312" s="1976"/>
      <c r="V312" s="1976"/>
      <c r="W312" s="1976"/>
      <c r="X312" s="1976"/>
      <c r="Y312" s="1976"/>
      <c r="Z312" s="1976"/>
      <c r="AA312" s="1976"/>
      <c r="AB312" s="1976"/>
      <c r="AC312" s="1976"/>
      <c r="AD312" s="1976"/>
      <c r="AE312" s="1976"/>
      <c r="AF312" s="1976"/>
      <c r="AG312" s="1976"/>
      <c r="AH312" s="1976"/>
      <c r="AI312" s="1976"/>
      <c r="AJ312" s="1976"/>
      <c r="AK312" s="1976"/>
      <c r="AL312" s="1976"/>
    </row>
    <row r="313" spans="1:38">
      <c r="A313" s="1943" t="s">
        <v>1363</v>
      </c>
      <c r="B313" s="1976"/>
      <c r="C313" s="1976"/>
      <c r="D313" s="1976"/>
      <c r="E313" s="1976"/>
      <c r="F313" s="1976"/>
      <c r="G313" s="1976"/>
      <c r="H313" s="1976"/>
      <c r="I313" s="1976"/>
      <c r="J313" s="1976"/>
      <c r="K313" s="1976"/>
      <c r="L313" s="1976"/>
      <c r="M313" s="1976"/>
      <c r="N313" s="1976"/>
      <c r="O313" s="1976"/>
      <c r="P313" s="1976"/>
      <c r="Q313" s="1976"/>
      <c r="R313" s="1976"/>
      <c r="S313" s="1976"/>
      <c r="T313" s="1976"/>
      <c r="U313" s="1976"/>
      <c r="V313" s="1976"/>
      <c r="W313" s="1976"/>
      <c r="X313" s="1976"/>
      <c r="Y313" s="1976"/>
      <c r="Z313" s="1976"/>
      <c r="AA313" s="1976"/>
      <c r="AB313" s="1976"/>
      <c r="AC313" s="1976"/>
      <c r="AD313" s="1976"/>
      <c r="AE313" s="1976"/>
      <c r="AF313" s="1976"/>
      <c r="AG313" s="1976"/>
      <c r="AH313" s="1976"/>
      <c r="AI313" s="1976"/>
      <c r="AJ313" s="1976"/>
      <c r="AK313" s="1976"/>
      <c r="AL313" s="1976"/>
    </row>
    <row r="314" spans="1:38">
      <c r="A314" s="1943" t="s">
        <v>264</v>
      </c>
      <c r="B314" s="1976"/>
      <c r="C314" s="1976"/>
      <c r="D314" s="1976"/>
      <c r="E314" s="1976"/>
      <c r="F314" s="1976"/>
      <c r="G314" s="1976"/>
      <c r="H314" s="1976"/>
      <c r="I314" s="1976"/>
      <c r="J314" s="1976"/>
      <c r="K314" s="1976"/>
      <c r="L314" s="1976"/>
      <c r="M314" s="1976"/>
      <c r="N314" s="1976"/>
      <c r="O314" s="1976"/>
      <c r="P314" s="1976"/>
      <c r="Q314" s="1976"/>
      <c r="R314" s="1976"/>
      <c r="S314" s="1976"/>
      <c r="T314" s="1976"/>
      <c r="U314" s="1976"/>
      <c r="V314" s="1976"/>
      <c r="W314" s="1976"/>
      <c r="X314" s="1976"/>
      <c r="Y314" s="1976"/>
      <c r="Z314" s="1976"/>
      <c r="AA314" s="1976"/>
      <c r="AB314" s="1976"/>
      <c r="AC314" s="1976"/>
      <c r="AD314" s="1976"/>
      <c r="AE314" s="1976"/>
      <c r="AF314" s="1976"/>
      <c r="AG314" s="1976"/>
      <c r="AH314" s="1976"/>
      <c r="AI314" s="1976"/>
      <c r="AJ314" s="1976"/>
      <c r="AK314" s="1976"/>
      <c r="AL314" s="1976"/>
    </row>
    <row r="315" spans="1:38">
      <c r="A315" s="1943" t="s">
        <v>262</v>
      </c>
      <c r="B315" s="1976"/>
      <c r="C315" s="1976"/>
      <c r="D315" s="1976"/>
      <c r="E315" s="1976"/>
      <c r="F315" s="1976"/>
      <c r="G315" s="1976"/>
      <c r="H315" s="1976"/>
      <c r="I315" s="1976"/>
      <c r="J315" s="1976"/>
      <c r="K315" s="1976"/>
      <c r="L315" s="1976"/>
      <c r="M315" s="1976"/>
      <c r="N315" s="1976"/>
      <c r="O315" s="1976"/>
      <c r="P315" s="1976"/>
      <c r="Q315" s="1976"/>
      <c r="R315" s="1976"/>
      <c r="S315" s="1976"/>
      <c r="T315" s="1976"/>
      <c r="U315" s="1976"/>
      <c r="V315" s="1976"/>
      <c r="W315" s="1976"/>
      <c r="X315" s="1976"/>
      <c r="Y315" s="1976"/>
      <c r="Z315" s="1976"/>
      <c r="AA315" s="1976"/>
      <c r="AB315" s="1976"/>
      <c r="AC315" s="1976"/>
      <c r="AD315" s="1976"/>
      <c r="AE315" s="1976"/>
      <c r="AF315" s="1976"/>
      <c r="AG315" s="1976"/>
      <c r="AH315" s="1976"/>
      <c r="AI315" s="1976"/>
      <c r="AJ315" s="1976"/>
      <c r="AK315" s="1976"/>
      <c r="AL315" s="1976"/>
    </row>
    <row r="316" spans="1:38">
      <c r="A316" s="1943" t="s">
        <v>1362</v>
      </c>
      <c r="B316" s="1976"/>
      <c r="C316" s="1976"/>
      <c r="D316" s="1976"/>
      <c r="E316" s="1976"/>
      <c r="F316" s="1976"/>
      <c r="G316" s="1976"/>
      <c r="H316" s="1976"/>
      <c r="I316" s="1976"/>
      <c r="J316" s="1976"/>
      <c r="K316" s="1976"/>
      <c r="L316" s="1976"/>
      <c r="M316" s="1976"/>
      <c r="N316" s="1976"/>
      <c r="O316" s="1976"/>
      <c r="P316" s="1976"/>
      <c r="Q316" s="1976"/>
      <c r="R316" s="1976"/>
      <c r="S316" s="1976"/>
      <c r="T316" s="1976"/>
      <c r="U316" s="1976"/>
      <c r="V316" s="1976"/>
      <c r="W316" s="1976"/>
      <c r="X316" s="1976"/>
      <c r="Y316" s="1976"/>
      <c r="Z316" s="1976"/>
      <c r="AA316" s="1976"/>
      <c r="AB316" s="1976"/>
      <c r="AC316" s="1976"/>
      <c r="AD316" s="1976"/>
      <c r="AE316" s="1976"/>
      <c r="AF316" s="1976"/>
      <c r="AG316" s="1976"/>
      <c r="AH316" s="1976"/>
      <c r="AI316" s="1976"/>
      <c r="AJ316" s="1976"/>
      <c r="AK316" s="1976"/>
      <c r="AL316" s="1976"/>
    </row>
    <row r="317" spans="1:38">
      <c r="A317" s="1943" t="s">
        <v>1361</v>
      </c>
      <c r="B317" s="1976"/>
      <c r="C317" s="1976"/>
      <c r="D317" s="1976"/>
      <c r="E317" s="1976"/>
      <c r="F317" s="1976"/>
      <c r="G317" s="1976"/>
      <c r="H317" s="1976"/>
      <c r="I317" s="1976"/>
      <c r="J317" s="1976"/>
      <c r="K317" s="1976"/>
      <c r="L317" s="1976"/>
      <c r="M317" s="1976"/>
      <c r="N317" s="1976"/>
      <c r="O317" s="1976"/>
      <c r="P317" s="1976"/>
      <c r="Q317" s="1976"/>
      <c r="R317" s="1976"/>
      <c r="S317" s="1976"/>
      <c r="T317" s="1976"/>
      <c r="U317" s="1976"/>
      <c r="V317" s="1976"/>
      <c r="W317" s="1976"/>
      <c r="X317" s="1976"/>
      <c r="Y317" s="1976"/>
      <c r="Z317" s="1976"/>
      <c r="AA317" s="1976"/>
      <c r="AB317" s="1976"/>
      <c r="AC317" s="1976"/>
      <c r="AD317" s="1976"/>
      <c r="AE317" s="1976"/>
      <c r="AF317" s="1976"/>
      <c r="AG317" s="1976"/>
      <c r="AH317" s="1976"/>
      <c r="AI317" s="1976"/>
      <c r="AJ317" s="1976"/>
      <c r="AK317" s="1976"/>
      <c r="AL317" s="1976"/>
    </row>
    <row r="318" spans="1:38">
      <c r="A318" s="1943" t="s">
        <v>1360</v>
      </c>
      <c r="B318" s="1976"/>
      <c r="C318" s="1976"/>
      <c r="D318" s="1976"/>
      <c r="E318" s="1976"/>
      <c r="F318" s="1976"/>
      <c r="G318" s="1976"/>
      <c r="H318" s="1976"/>
      <c r="I318" s="1976"/>
      <c r="J318" s="1976"/>
      <c r="K318" s="1976"/>
      <c r="L318" s="1976"/>
      <c r="M318" s="1976"/>
      <c r="N318" s="1976"/>
      <c r="O318" s="1976"/>
      <c r="P318" s="1976"/>
      <c r="Q318" s="1976"/>
      <c r="R318" s="1976"/>
      <c r="S318" s="1976"/>
      <c r="T318" s="1976"/>
      <c r="U318" s="1976"/>
      <c r="V318" s="1976"/>
      <c r="W318" s="1976"/>
      <c r="X318" s="1976"/>
      <c r="Y318" s="1976"/>
      <c r="Z318" s="1976"/>
      <c r="AA318" s="1976"/>
      <c r="AB318" s="1976"/>
      <c r="AC318" s="1976"/>
      <c r="AD318" s="1976"/>
      <c r="AE318" s="1976"/>
      <c r="AF318" s="1976"/>
      <c r="AG318" s="1976"/>
      <c r="AH318" s="1976"/>
      <c r="AI318" s="1976"/>
      <c r="AJ318" s="1976"/>
      <c r="AK318" s="1976"/>
      <c r="AL318" s="1976"/>
    </row>
    <row r="319" spans="1:38">
      <c r="A319" s="1943" t="s">
        <v>1359</v>
      </c>
      <c r="B319" s="1976"/>
      <c r="C319" s="1976"/>
      <c r="D319" s="1976"/>
      <c r="E319" s="1976"/>
      <c r="F319" s="1976"/>
      <c r="G319" s="1976"/>
      <c r="H319" s="1976"/>
      <c r="I319" s="1976"/>
      <c r="J319" s="1976"/>
      <c r="K319" s="1976"/>
      <c r="L319" s="1976"/>
      <c r="M319" s="1976"/>
      <c r="N319" s="1976"/>
      <c r="O319" s="1976"/>
      <c r="P319" s="1976"/>
      <c r="Q319" s="1976"/>
      <c r="R319" s="1976"/>
      <c r="S319" s="1976"/>
      <c r="T319" s="1976"/>
      <c r="U319" s="1976"/>
      <c r="V319" s="1976"/>
      <c r="W319" s="1976"/>
      <c r="X319" s="1976"/>
      <c r="Y319" s="1976"/>
      <c r="Z319" s="1976"/>
      <c r="AA319" s="1976"/>
      <c r="AB319" s="1976"/>
      <c r="AC319" s="1976"/>
      <c r="AD319" s="1976"/>
      <c r="AE319" s="1976"/>
      <c r="AF319" s="1976"/>
      <c r="AG319" s="1976"/>
      <c r="AH319" s="1976"/>
      <c r="AI319" s="1976"/>
      <c r="AJ319" s="1976"/>
      <c r="AK319" s="1976"/>
      <c r="AL319" s="1976"/>
    </row>
    <row r="320" spans="1:38">
      <c r="A320" s="1943" t="s">
        <v>1358</v>
      </c>
      <c r="B320" s="1976"/>
      <c r="C320" s="1976"/>
      <c r="D320" s="1976"/>
      <c r="E320" s="1976"/>
      <c r="F320" s="1976"/>
      <c r="G320" s="1976"/>
      <c r="H320" s="1976"/>
      <c r="I320" s="1976"/>
      <c r="J320" s="1976"/>
      <c r="K320" s="1976"/>
      <c r="L320" s="1976"/>
      <c r="M320" s="1976"/>
      <c r="N320" s="1976"/>
      <c r="O320" s="1976"/>
      <c r="P320" s="1976"/>
      <c r="Q320" s="1976"/>
      <c r="R320" s="1976"/>
      <c r="S320" s="1976"/>
      <c r="T320" s="1976"/>
      <c r="U320" s="1976"/>
      <c r="V320" s="1976"/>
      <c r="W320" s="1976"/>
      <c r="X320" s="1976"/>
      <c r="Y320" s="1976"/>
      <c r="Z320" s="1976"/>
      <c r="AA320" s="1976"/>
      <c r="AB320" s="1976"/>
      <c r="AC320" s="1976"/>
      <c r="AD320" s="1976"/>
      <c r="AE320" s="1976"/>
      <c r="AF320" s="1976"/>
      <c r="AG320" s="1976"/>
      <c r="AH320" s="1976"/>
      <c r="AI320" s="1976"/>
      <c r="AJ320" s="1976"/>
      <c r="AK320" s="1976"/>
      <c r="AL320" s="1976"/>
    </row>
    <row r="321" spans="1:38">
      <c r="A321" s="1943" t="s">
        <v>1357</v>
      </c>
      <c r="B321" s="1976"/>
      <c r="C321" s="1976"/>
      <c r="D321" s="1976"/>
      <c r="E321" s="1976"/>
      <c r="F321" s="1976"/>
      <c r="G321" s="1976"/>
      <c r="H321" s="1976"/>
      <c r="I321" s="1976"/>
      <c r="J321" s="1976"/>
      <c r="K321" s="1976"/>
      <c r="L321" s="1976"/>
      <c r="M321" s="1976"/>
      <c r="N321" s="1976"/>
      <c r="O321" s="1976"/>
      <c r="P321" s="1976"/>
      <c r="Q321" s="1976"/>
      <c r="R321" s="1976"/>
      <c r="S321" s="1976"/>
      <c r="T321" s="1976"/>
      <c r="U321" s="1976"/>
      <c r="V321" s="1976"/>
      <c r="W321" s="1976"/>
      <c r="X321" s="1976"/>
      <c r="Y321" s="1976"/>
      <c r="Z321" s="1976"/>
      <c r="AA321" s="1976"/>
      <c r="AB321" s="1976"/>
      <c r="AC321" s="1976"/>
      <c r="AD321" s="1976"/>
      <c r="AE321" s="1976"/>
      <c r="AF321" s="1976"/>
      <c r="AG321" s="1976"/>
      <c r="AH321" s="1976"/>
      <c r="AI321" s="1976"/>
      <c r="AJ321" s="1976"/>
      <c r="AK321" s="1976"/>
      <c r="AL321" s="1976"/>
    </row>
    <row r="322" spans="1:38">
      <c r="A322" s="1943" t="s">
        <v>263</v>
      </c>
      <c r="B322" s="1976"/>
      <c r="C322" s="1976"/>
      <c r="D322" s="1976"/>
      <c r="E322" s="1976"/>
      <c r="F322" s="1976"/>
      <c r="G322" s="1976"/>
      <c r="H322" s="1976"/>
      <c r="I322" s="1976"/>
      <c r="J322" s="1976"/>
      <c r="K322" s="1976"/>
      <c r="L322" s="1976"/>
      <c r="M322" s="1976"/>
      <c r="N322" s="1976"/>
      <c r="O322" s="1976"/>
      <c r="P322" s="1976"/>
      <c r="Q322" s="1976"/>
      <c r="R322" s="1976"/>
      <c r="S322" s="1976"/>
      <c r="T322" s="1976"/>
      <c r="U322" s="1976"/>
      <c r="V322" s="1976"/>
      <c r="W322" s="1976"/>
      <c r="X322" s="1976"/>
      <c r="Y322" s="1976"/>
      <c r="Z322" s="1976"/>
      <c r="AA322" s="1976"/>
      <c r="AB322" s="1976"/>
      <c r="AC322" s="1976"/>
      <c r="AD322" s="1976"/>
      <c r="AE322" s="1976"/>
      <c r="AF322" s="1976"/>
      <c r="AG322" s="1976"/>
      <c r="AH322" s="1976"/>
      <c r="AI322" s="1976"/>
      <c r="AJ322" s="1976"/>
      <c r="AK322" s="1976"/>
      <c r="AL322" s="1976"/>
    </row>
  </sheetData>
  <mergeCells count="63">
    <mergeCell ref="A1:AL1"/>
    <mergeCell ref="A2:AL2"/>
    <mergeCell ref="A3:AL3"/>
    <mergeCell ref="A4:AL4"/>
    <mergeCell ref="A6:A7"/>
    <mergeCell ref="B6:AL6"/>
    <mergeCell ref="B7"/>
    <mergeCell ref="C7"/>
    <mergeCell ref="D7"/>
    <mergeCell ref="E7"/>
    <mergeCell ref="F7"/>
    <mergeCell ref="G7"/>
    <mergeCell ref="H7"/>
    <mergeCell ref="I7"/>
    <mergeCell ref="J7"/>
    <mergeCell ref="K7"/>
    <mergeCell ref="L7"/>
    <mergeCell ref="M7"/>
    <mergeCell ref="N7"/>
    <mergeCell ref="O7"/>
    <mergeCell ref="P7"/>
    <mergeCell ref="Z7"/>
    <mergeCell ref="AA7"/>
    <mergeCell ref="AB7"/>
    <mergeCell ref="AC7"/>
    <mergeCell ref="Q7"/>
    <mergeCell ref="R7"/>
    <mergeCell ref="S7"/>
    <mergeCell ref="T7"/>
    <mergeCell ref="U7"/>
    <mergeCell ref="A305:AL305"/>
    <mergeCell ref="AD7"/>
    <mergeCell ref="AE7"/>
    <mergeCell ref="AF7"/>
    <mergeCell ref="AG7"/>
    <mergeCell ref="AJ7"/>
    <mergeCell ref="AK7"/>
    <mergeCell ref="AL7"/>
    <mergeCell ref="A303:AL303"/>
    <mergeCell ref="A304:AL304"/>
    <mergeCell ref="V7"/>
    <mergeCell ref="W7"/>
    <mergeCell ref="AH7"/>
    <mergeCell ref="AI7"/>
    <mergeCell ref="X7"/>
    <mergeCell ref="Y7"/>
    <mergeCell ref="A317:AL317"/>
    <mergeCell ref="A306:AL306"/>
    <mergeCell ref="A307:AL307"/>
    <mergeCell ref="A308:AL308"/>
    <mergeCell ref="A309:AL309"/>
    <mergeCell ref="A310:AL310"/>
    <mergeCell ref="A311:AL311"/>
    <mergeCell ref="A312:AL312"/>
    <mergeCell ref="A313:AL313"/>
    <mergeCell ref="A314:AL314"/>
    <mergeCell ref="A315:AL315"/>
    <mergeCell ref="A316:AL316"/>
    <mergeCell ref="A318:AL318"/>
    <mergeCell ref="A319:AL319"/>
    <mergeCell ref="A320:AL320"/>
    <mergeCell ref="A321:AL321"/>
    <mergeCell ref="A322:AL322"/>
  </mergeCell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65"/>
  <sheetViews>
    <sheetView workbookViewId="0">
      <pane xSplit="1" ySplit="9" topLeftCell="B10" activePane="bottomRight" state="frozen"/>
      <selection activeCell="X67" sqref="X67"/>
      <selection pane="topRight" activeCell="X67" sqref="X67"/>
      <selection pane="bottomLeft" activeCell="X67" sqref="X67"/>
      <selection pane="bottomRight" activeCell="X67" sqref="X67"/>
    </sheetView>
  </sheetViews>
  <sheetFormatPr baseColWidth="10" defaultColWidth="9.28515625" defaultRowHeight="15" x14ac:dyDescent="0"/>
  <cols>
    <col min="1" max="1" width="16.28515625" style="805" customWidth="1"/>
    <col min="2" max="14" width="9.7109375" style="805" customWidth="1"/>
    <col min="16" max="16" width="9.28515625" style="805"/>
    <col min="17" max="17" width="11.140625" style="805" bestFit="1" customWidth="1"/>
    <col min="18" max="16384" width="9.28515625" style="805"/>
  </cols>
  <sheetData>
    <row r="1" spans="1:17">
      <c r="B1" s="829"/>
      <c r="G1" s="829"/>
    </row>
    <row r="2" spans="1:17" ht="16" thickBot="1"/>
    <row r="3" spans="1:17" ht="32" customHeight="1" thickTop="1">
      <c r="A3" s="1734" t="s">
        <v>3227</v>
      </c>
      <c r="B3" s="1735"/>
      <c r="C3" s="1735"/>
      <c r="D3" s="1735"/>
      <c r="E3" s="1735"/>
      <c r="F3" s="1735"/>
      <c r="G3" s="1735"/>
      <c r="H3" s="1735"/>
      <c r="I3" s="1735"/>
      <c r="J3" s="1735"/>
      <c r="K3" s="1735"/>
      <c r="L3" s="1736"/>
      <c r="M3" s="807"/>
      <c r="N3" s="807"/>
    </row>
    <row r="4" spans="1:17" ht="12" customHeight="1">
      <c r="A4" s="806"/>
      <c r="B4" s="807"/>
      <c r="C4" s="807"/>
      <c r="D4" s="807"/>
      <c r="E4" s="807"/>
      <c r="F4" s="807"/>
      <c r="G4" s="807"/>
      <c r="H4" s="807"/>
      <c r="I4" s="807"/>
      <c r="J4" s="807"/>
      <c r="K4" s="807"/>
      <c r="L4" s="808"/>
      <c r="M4" s="807"/>
      <c r="N4" s="807"/>
    </row>
    <row r="5" spans="1:17" ht="16" thickBot="1">
      <c r="A5" s="809"/>
      <c r="B5" s="839" t="s">
        <v>2411</v>
      </c>
      <c r="C5" s="839" t="s">
        <v>2412</v>
      </c>
      <c r="D5" s="839" t="s">
        <v>2413</v>
      </c>
      <c r="E5" s="839" t="s">
        <v>2414</v>
      </c>
      <c r="F5" s="839" t="s">
        <v>2415</v>
      </c>
      <c r="G5" s="839" t="s">
        <v>2416</v>
      </c>
      <c r="H5" s="839" t="s">
        <v>2417</v>
      </c>
      <c r="I5" s="839" t="s">
        <v>2429</v>
      </c>
      <c r="J5" s="839" t="s">
        <v>2430</v>
      </c>
      <c r="K5" s="839" t="s">
        <v>2431</v>
      </c>
      <c r="L5" s="840" t="s">
        <v>2432</v>
      </c>
      <c r="M5" s="839"/>
      <c r="N5" s="839"/>
    </row>
    <row r="6" spans="1:17" ht="21" customHeight="1">
      <c r="A6" s="809"/>
      <c r="B6" s="1737" t="s">
        <v>2418</v>
      </c>
      <c r="C6" s="1738"/>
      <c r="D6" s="1738"/>
      <c r="E6" s="1738"/>
      <c r="F6" s="1738"/>
      <c r="G6" s="1738"/>
      <c r="H6" s="1738"/>
      <c r="I6" s="1738"/>
      <c r="J6" s="1738"/>
      <c r="K6" s="1751" t="s">
        <v>1830</v>
      </c>
      <c r="L6" s="1739" t="s">
        <v>2544</v>
      </c>
      <c r="M6" s="1186"/>
      <c r="N6" s="1186"/>
    </row>
    <row r="7" spans="1:17" ht="21" customHeight="1">
      <c r="A7" s="809"/>
      <c r="B7" s="1748" t="s">
        <v>2421</v>
      </c>
      <c r="C7" s="1749"/>
      <c r="D7" s="1749"/>
      <c r="E7" s="1748" t="s">
        <v>2422</v>
      </c>
      <c r="F7" s="1749"/>
      <c r="G7" s="1749"/>
      <c r="H7" s="1749"/>
      <c r="I7" s="1749"/>
      <c r="J7" s="1749"/>
      <c r="K7" s="1752"/>
      <c r="L7" s="1740"/>
      <c r="M7" s="1187"/>
      <c r="N7" s="1187"/>
    </row>
    <row r="8" spans="1:17" ht="85" customHeight="1">
      <c r="A8" s="809"/>
      <c r="B8" s="1762" t="s">
        <v>2543</v>
      </c>
      <c r="C8" s="933" t="s">
        <v>1855</v>
      </c>
      <c r="D8" s="911" t="s">
        <v>2244</v>
      </c>
      <c r="E8" s="1741" t="s">
        <v>2540</v>
      </c>
      <c r="F8" s="812" t="s">
        <v>2198</v>
      </c>
      <c r="G8" s="812" t="s">
        <v>2541</v>
      </c>
      <c r="H8" s="1814" t="s">
        <v>2542</v>
      </c>
      <c r="I8" s="812" t="s">
        <v>2198</v>
      </c>
      <c r="J8" s="812" t="s">
        <v>2541</v>
      </c>
      <c r="K8" s="1752"/>
      <c r="L8" s="1740"/>
      <c r="M8" s="1187"/>
      <c r="N8" s="1187"/>
      <c r="P8" s="1327" t="s">
        <v>2983</v>
      </c>
      <c r="Q8" s="1216" t="s">
        <v>2600</v>
      </c>
    </row>
    <row r="9" spans="1:17" ht="33" customHeight="1">
      <c r="A9" s="809"/>
      <c r="B9" s="1741"/>
      <c r="C9" s="1015"/>
      <c r="D9" s="1086"/>
      <c r="E9" s="1741"/>
      <c r="F9" s="812"/>
      <c r="G9" s="812"/>
      <c r="H9" s="1786"/>
      <c r="I9" s="812"/>
      <c r="J9" s="812"/>
      <c r="K9" s="1752"/>
      <c r="L9" s="1740"/>
      <c r="M9" s="1187"/>
      <c r="N9" s="1187"/>
      <c r="Q9" s="813"/>
    </row>
    <row r="10" spans="1:17" ht="14" customHeight="1">
      <c r="A10" s="921">
        <v>1966</v>
      </c>
      <c r="B10" s="1087">
        <f>T.A17!E10</f>
        <v>47.685781148754018</v>
      </c>
      <c r="C10" s="1061">
        <f>T.A17!F10</f>
        <v>13.893000000000001</v>
      </c>
      <c r="D10" s="1061">
        <f>T.A5b!B10-C10</f>
        <v>33.792781148754017</v>
      </c>
      <c r="E10" s="922"/>
      <c r="F10" s="1088"/>
      <c r="G10" s="930"/>
      <c r="H10" s="1077"/>
      <c r="I10" s="930"/>
      <c r="J10" s="930"/>
      <c r="K10" s="1332">
        <f t="shared" ref="K10:K24" si="0">(C10/P10)/(B10/L10)</f>
        <v>0.26406856880844937</v>
      </c>
      <c r="L10" s="1333">
        <f t="shared" ref="L10:L19" si="1">(L$21+L$26)/2</f>
        <v>1.1285633961638688</v>
      </c>
      <c r="M10" s="1213"/>
      <c r="N10" s="1213"/>
      <c r="P10" s="184">
        <f t="shared" ref="P10:P19" si="2">(P$21+P$26)/2</f>
        <v>1.2451348335944776</v>
      </c>
      <c r="Q10" s="1095">
        <f t="shared" ref="Q10:Q15" si="3">C10/B10</f>
        <v>0.29134470832429704</v>
      </c>
    </row>
    <row r="11" spans="1:17" ht="14" customHeight="1">
      <c r="A11" s="826">
        <v>1967</v>
      </c>
      <c r="B11" s="1082">
        <f>T.A17!E11</f>
        <v>51.996993685338424</v>
      </c>
      <c r="C11" s="832">
        <f>T.A17!F11</f>
        <v>15.166</v>
      </c>
      <c r="D11" s="832">
        <f>T.A5b!B11-C11</f>
        <v>36.830993685338427</v>
      </c>
      <c r="E11" s="814"/>
      <c r="F11" s="1089"/>
      <c r="G11" s="834"/>
      <c r="H11" s="1078"/>
      <c r="I11" s="834"/>
      <c r="J11" s="834"/>
      <c r="K11" s="1210">
        <f t="shared" si="0"/>
        <v>0.26436404855440943</v>
      </c>
      <c r="L11" s="1329">
        <f t="shared" si="1"/>
        <v>1.1285633961638688</v>
      </c>
      <c r="M11" s="1213"/>
      <c r="N11" s="1213"/>
      <c r="P11" s="184">
        <f t="shared" si="2"/>
        <v>1.2451348335944776</v>
      </c>
      <c r="Q11" s="1095">
        <f t="shared" si="3"/>
        <v>0.29167070872938472</v>
      </c>
    </row>
    <row r="12" spans="1:17" ht="14" customHeight="1">
      <c r="A12" s="826">
        <v>1968</v>
      </c>
      <c r="B12" s="1082">
        <f>T.A17!E12</f>
        <v>56.783511016692515</v>
      </c>
      <c r="C12" s="832">
        <f>T.A17!F12</f>
        <v>16.574000000000002</v>
      </c>
      <c r="D12" s="832">
        <f>T.A5b!B12-C12</f>
        <v>40.209511016692517</v>
      </c>
      <c r="E12" s="814"/>
      <c r="F12" s="1089"/>
      <c r="G12" s="834"/>
      <c r="H12" s="1078"/>
      <c r="I12" s="834"/>
      <c r="J12" s="834"/>
      <c r="K12" s="1210">
        <f t="shared" si="0"/>
        <v>0.26455420543112468</v>
      </c>
      <c r="L12" s="1329">
        <f t="shared" si="1"/>
        <v>1.1285633961638688</v>
      </c>
      <c r="M12" s="1213"/>
      <c r="N12" s="1213"/>
      <c r="P12" s="184">
        <f t="shared" si="2"/>
        <v>1.2451348335944776</v>
      </c>
      <c r="Q12" s="1095">
        <f t="shared" si="3"/>
        <v>0.29188050726781906</v>
      </c>
    </row>
    <row r="13" spans="1:17" ht="14" customHeight="1">
      <c r="A13" s="856">
        <v>1969</v>
      </c>
      <c r="B13" s="1083">
        <f>T.A17!E13</f>
        <v>62.315487066333169</v>
      </c>
      <c r="C13" s="876">
        <f>T.A17!F13</f>
        <v>17.611999999999998</v>
      </c>
      <c r="D13" s="876">
        <f>T.A5b!B13-C13</f>
        <v>44.703487066333167</v>
      </c>
      <c r="E13" s="857"/>
      <c r="F13" s="1090"/>
      <c r="G13" s="860"/>
      <c r="H13" s="1079"/>
      <c r="I13" s="860"/>
      <c r="J13" s="860"/>
      <c r="K13" s="1211">
        <f t="shared" si="0"/>
        <v>0.25616645611329947</v>
      </c>
      <c r="L13" s="1330">
        <f t="shared" si="1"/>
        <v>1.1285633961638688</v>
      </c>
      <c r="M13" s="1213"/>
      <c r="N13" s="1213"/>
      <c r="P13" s="184">
        <f t="shared" si="2"/>
        <v>1.2451348335944776</v>
      </c>
      <c r="Q13" s="1095">
        <f t="shared" si="3"/>
        <v>0.28262637153509679</v>
      </c>
    </row>
    <row r="14" spans="1:17" ht="14" customHeight="1">
      <c r="A14" s="863">
        <v>1970</v>
      </c>
      <c r="B14" s="1082">
        <f>T.A17!E14</f>
        <v>68.918270343209798</v>
      </c>
      <c r="C14" s="832">
        <f>T.A17!F14</f>
        <v>19.754000000000001</v>
      </c>
      <c r="D14" s="832">
        <f>T.A5b!B14-C14</f>
        <v>49.164270343209793</v>
      </c>
      <c r="E14" s="864"/>
      <c r="F14" s="1091"/>
      <c r="G14" s="866"/>
      <c r="H14" s="1080"/>
      <c r="I14" s="866"/>
      <c r="J14" s="866"/>
      <c r="K14" s="1326">
        <f t="shared" si="0"/>
        <v>0.25979468231594327</v>
      </c>
      <c r="L14" s="1331">
        <f t="shared" si="1"/>
        <v>1.1285633961638688</v>
      </c>
      <c r="M14" s="1213"/>
      <c r="N14" s="1213"/>
      <c r="P14" s="184">
        <f t="shared" si="2"/>
        <v>1.2451348335944776</v>
      </c>
      <c r="Q14" s="1095">
        <f t="shared" si="3"/>
        <v>0.28662936405144812</v>
      </c>
    </row>
    <row r="15" spans="1:17" ht="14" customHeight="1">
      <c r="A15" s="826">
        <v>1971</v>
      </c>
      <c r="B15" s="1082">
        <f>T.A17!E15</f>
        <v>75.533883827069545</v>
      </c>
      <c r="C15" s="832">
        <f>T.A17!F15</f>
        <v>21.794</v>
      </c>
      <c r="D15" s="832">
        <f>T.A5b!B15-C15</f>
        <v>53.739883827069548</v>
      </c>
      <c r="E15" s="814"/>
      <c r="F15" s="1089"/>
      <c r="G15" s="834"/>
      <c r="H15" s="1078"/>
      <c r="I15" s="834"/>
      <c r="J15" s="834"/>
      <c r="K15" s="1210">
        <f t="shared" si="0"/>
        <v>0.26151987971971635</v>
      </c>
      <c r="L15" s="1334">
        <f t="shared" si="1"/>
        <v>1.1285633961638688</v>
      </c>
      <c r="M15" s="1214"/>
      <c r="N15" s="1214"/>
      <c r="P15" s="184">
        <f t="shared" si="2"/>
        <v>1.2451348335944776</v>
      </c>
      <c r="Q15" s="1095">
        <f t="shared" si="3"/>
        <v>0.2885327603423134</v>
      </c>
    </row>
    <row r="16" spans="1:17" ht="14" customHeight="1">
      <c r="A16" s="826">
        <v>1972</v>
      </c>
      <c r="B16" s="1082">
        <f>T.A17!E16</f>
        <v>81.149103146575612</v>
      </c>
      <c r="C16" s="832">
        <f>T.A17!F16</f>
        <v>23.385000000000002</v>
      </c>
      <c r="D16" s="832">
        <f>T.A5b!B16-C16</f>
        <v>57.764103146575607</v>
      </c>
      <c r="E16" s="814"/>
      <c r="F16" s="1089"/>
      <c r="G16" s="834"/>
      <c r="H16" s="1078"/>
      <c r="I16" s="834"/>
      <c r="J16" s="834"/>
      <c r="K16" s="1210">
        <f t="shared" si="0"/>
        <v>0.26119401848323692</v>
      </c>
      <c r="L16" s="1334">
        <f t="shared" si="1"/>
        <v>1.1285633961638688</v>
      </c>
      <c r="M16" s="1214"/>
      <c r="N16" s="1214"/>
      <c r="P16" s="184">
        <f t="shared" si="2"/>
        <v>1.2451348335944776</v>
      </c>
      <c r="Q16" s="1095">
        <f t="shared" ref="Q16:Q23" si="4">C16/B16</f>
        <v>0.28817324028536501</v>
      </c>
    </row>
    <row r="17" spans="1:17" ht="14" customHeight="1">
      <c r="A17" s="826">
        <v>1973</v>
      </c>
      <c r="B17" s="1082">
        <f>T.A17!E17</f>
        <v>92.532916244463266</v>
      </c>
      <c r="C17" s="832">
        <f>T.A17!F17</f>
        <v>24.951000000000001</v>
      </c>
      <c r="D17" s="832">
        <f>T.A5b!B17-C17</f>
        <v>67.581916244463258</v>
      </c>
      <c r="E17" s="814"/>
      <c r="F17" s="1089"/>
      <c r="G17" s="834"/>
      <c r="H17" s="1078"/>
      <c r="I17" s="834"/>
      <c r="J17" s="834"/>
      <c r="K17" s="1210">
        <f t="shared" si="0"/>
        <v>0.24440004635539891</v>
      </c>
      <c r="L17" s="1334">
        <f t="shared" si="1"/>
        <v>1.1285633961638688</v>
      </c>
      <c r="M17" s="1214"/>
      <c r="N17" s="1214"/>
      <c r="P17" s="184">
        <f t="shared" si="2"/>
        <v>1.2451348335944776</v>
      </c>
      <c r="Q17" s="1095">
        <f t="shared" si="4"/>
        <v>0.26964458716595296</v>
      </c>
    </row>
    <row r="18" spans="1:17" ht="14" customHeight="1">
      <c r="A18" s="826">
        <v>1974</v>
      </c>
      <c r="B18" s="1082">
        <f>T.A17!E18</f>
        <v>100.6683729864185</v>
      </c>
      <c r="C18" s="832">
        <f>T.A17!F18</f>
        <v>21.417999999999999</v>
      </c>
      <c r="D18" s="832">
        <f>T.A5b!B18-C18</f>
        <v>79.250372986418512</v>
      </c>
      <c r="E18" s="814"/>
      <c r="F18" s="1089"/>
      <c r="G18" s="834"/>
      <c r="H18" s="1078"/>
      <c r="I18" s="834"/>
      <c r="J18" s="834"/>
      <c r="K18" s="1210">
        <f t="shared" si="0"/>
        <v>0.19283925363442142</v>
      </c>
      <c r="L18" s="1334">
        <f t="shared" si="1"/>
        <v>1.1285633961638688</v>
      </c>
      <c r="M18" s="1214"/>
      <c r="N18" s="1214"/>
      <c r="P18" s="184">
        <f t="shared" si="2"/>
        <v>1.2451348335944776</v>
      </c>
      <c r="Q18" s="1095">
        <f t="shared" si="4"/>
        <v>0.21275798311441441</v>
      </c>
    </row>
    <row r="19" spans="1:17" ht="14" customHeight="1">
      <c r="A19" s="826">
        <v>1975</v>
      </c>
      <c r="B19" s="1084">
        <f>T.A17!E19</f>
        <v>113.64973951673339</v>
      </c>
      <c r="C19" s="882">
        <f>T.A17!F19</f>
        <v>25.972000000000001</v>
      </c>
      <c r="D19" s="882">
        <f>T.A5b!B19-C19</f>
        <v>87.677739516733396</v>
      </c>
      <c r="E19" s="814"/>
      <c r="F19" s="1089"/>
      <c r="G19" s="834"/>
      <c r="H19" s="1078"/>
      <c r="I19" s="834"/>
      <c r="J19" s="834"/>
      <c r="K19" s="1210">
        <f t="shared" si="0"/>
        <v>0.20713167957911163</v>
      </c>
      <c r="L19" s="1334">
        <f t="shared" si="1"/>
        <v>1.1285633961638688</v>
      </c>
      <c r="M19" s="1214"/>
      <c r="N19" s="1214"/>
      <c r="P19" s="184">
        <f t="shared" si="2"/>
        <v>1.2451348335944776</v>
      </c>
      <c r="Q19" s="1095">
        <f t="shared" si="4"/>
        <v>0.22852670063688069</v>
      </c>
    </row>
    <row r="20" spans="1:17" ht="14" customHeight="1">
      <c r="A20" s="826">
        <v>1976</v>
      </c>
      <c r="B20" s="1084">
        <f>T.A17!E20</f>
        <v>121.34979054043714</v>
      </c>
      <c r="C20" s="882">
        <f>T.A17!F20</f>
        <v>28.774999999999999</v>
      </c>
      <c r="D20" s="882">
        <f>T.A5b!B20-C20</f>
        <v>92.574790540437135</v>
      </c>
      <c r="E20" s="814"/>
      <c r="F20" s="1089"/>
      <c r="G20" s="834"/>
      <c r="H20" s="1078"/>
      <c r="I20" s="834"/>
      <c r="J20" s="834"/>
      <c r="K20" s="1210">
        <f t="shared" si="0"/>
        <v>0.21492447695423209</v>
      </c>
      <c r="L20" s="1329">
        <f t="shared" ref="L20:L24" si="5">(L$21+L$26)/2</f>
        <v>1.1285633961638688</v>
      </c>
      <c r="M20" s="1214"/>
      <c r="N20" s="1214"/>
      <c r="P20" s="184">
        <f t="shared" ref="P20:P24" si="6">(P$21+P$26)/2</f>
        <v>1.2451348335944776</v>
      </c>
      <c r="Q20" s="1095">
        <f t="shared" si="4"/>
        <v>0.23712443072088671</v>
      </c>
    </row>
    <row r="21" spans="1:17" ht="14" customHeight="1">
      <c r="A21" s="826">
        <v>1977</v>
      </c>
      <c r="B21" s="1082">
        <f>T.A17!E21</f>
        <v>133.285</v>
      </c>
      <c r="C21" s="832">
        <f>T.A17!F21</f>
        <v>28.03</v>
      </c>
      <c r="D21" s="832">
        <f>T.A5b!B21-C21</f>
        <v>105.255</v>
      </c>
      <c r="E21" s="814">
        <f t="shared" ref="E21:E58" si="7">F21-G21</f>
        <v>116.80900000000001</v>
      </c>
      <c r="F21" s="1089">
        <f>'Assets(MOFA)'!JI22/1000</f>
        <v>137.40100000000001</v>
      </c>
      <c r="G21" s="834">
        <f>'Assets(MOFA)'!JT22/1000</f>
        <v>20.591999999999999</v>
      </c>
      <c r="H21" s="1078">
        <f t="shared" ref="H21:H59" si="8">I21-J21</f>
        <v>22.254999999999999</v>
      </c>
      <c r="I21" s="834">
        <f>'Assets(MOFA)'!JS22/1000</f>
        <v>24.367999999999999</v>
      </c>
      <c r="J21" s="834">
        <f>'Assets(MOFA)'!KD22/1000</f>
        <v>2.113</v>
      </c>
      <c r="K21" s="1210">
        <f t="shared" si="0"/>
        <v>0.19052470271982466</v>
      </c>
      <c r="L21" s="838">
        <f t="shared" ref="L21:L58" si="9">B21/E21</f>
        <v>1.1410507751971166</v>
      </c>
      <c r="M21" s="1214"/>
      <c r="N21" s="1214"/>
      <c r="P21" s="855">
        <f t="shared" ref="P21:P32" si="10">C21/H21</f>
        <v>1.2594922489328242</v>
      </c>
      <c r="Q21" s="1095">
        <f t="shared" si="4"/>
        <v>0.21030123419739657</v>
      </c>
    </row>
    <row r="22" spans="1:17" ht="14" customHeight="1">
      <c r="A22" s="826">
        <v>1978</v>
      </c>
      <c r="B22" s="1082">
        <f>T.A17!E22</f>
        <v>150.02199999999999</v>
      </c>
      <c r="C22" s="832">
        <f>T.A17!F22</f>
        <v>30.532</v>
      </c>
      <c r="D22" s="832">
        <f>T.A5b!B22-C22</f>
        <v>119.49</v>
      </c>
      <c r="E22" s="814"/>
      <c r="F22" s="1089"/>
      <c r="G22" s="834"/>
      <c r="H22" s="1078"/>
      <c r="I22" s="834"/>
      <c r="J22" s="834"/>
      <c r="K22" s="1210">
        <f t="shared" si="0"/>
        <v>0.18446326018278628</v>
      </c>
      <c r="L22" s="1329">
        <f t="shared" si="5"/>
        <v>1.1285633961638688</v>
      </c>
      <c r="M22" s="1213"/>
      <c r="N22" s="1213"/>
      <c r="P22" s="184">
        <f t="shared" si="6"/>
        <v>1.2451348335944776</v>
      </c>
      <c r="Q22" s="1095">
        <f t="shared" si="4"/>
        <v>0.20351681753342843</v>
      </c>
    </row>
    <row r="23" spans="1:17" ht="14" customHeight="1">
      <c r="A23" s="856">
        <v>1979</v>
      </c>
      <c r="B23" s="1083">
        <f>T.A17!E23</f>
        <v>175.15299999999999</v>
      </c>
      <c r="C23" s="876">
        <f>T.A17!F23</f>
        <v>39.128</v>
      </c>
      <c r="D23" s="876">
        <f>T.A5b!B23-C23</f>
        <v>136.02499999999998</v>
      </c>
      <c r="E23" s="857"/>
      <c r="F23" s="1090"/>
      <c r="G23" s="860"/>
      <c r="H23" s="1079"/>
      <c r="I23" s="860"/>
      <c r="J23" s="860"/>
      <c r="K23" s="1211">
        <f t="shared" si="0"/>
        <v>0.20247884126096002</v>
      </c>
      <c r="L23" s="1330">
        <f t="shared" si="5"/>
        <v>1.1285633961638688</v>
      </c>
      <c r="M23" s="1213"/>
      <c r="N23" s="1213"/>
      <c r="P23" s="184">
        <f t="shared" si="6"/>
        <v>1.2451348335944776</v>
      </c>
      <c r="Q23" s="1095">
        <f t="shared" si="4"/>
        <v>0.22339326189103242</v>
      </c>
    </row>
    <row r="24" spans="1:17" ht="14" customHeight="1">
      <c r="A24" s="863">
        <v>1980</v>
      </c>
      <c r="B24" s="1085">
        <f>T.A17!E24</f>
        <v>202.67</v>
      </c>
      <c r="C24" s="879">
        <f>T.A17!F24</f>
        <v>47.591000000000001</v>
      </c>
      <c r="D24" s="879">
        <f>T.A5b!B24-C24</f>
        <v>155.07899999999998</v>
      </c>
      <c r="E24" s="864"/>
      <c r="F24" s="1091"/>
      <c r="G24" s="866"/>
      <c r="H24" s="1080"/>
      <c r="I24" s="866"/>
      <c r="J24" s="866"/>
      <c r="K24" s="1326">
        <f t="shared" si="0"/>
        <v>0.21283592742931021</v>
      </c>
      <c r="L24" s="1331">
        <f t="shared" si="5"/>
        <v>1.1285633961638688</v>
      </c>
      <c r="M24" s="1213"/>
      <c r="N24" s="1213"/>
      <c r="P24" s="184">
        <f t="shared" si="6"/>
        <v>1.2451348335944776</v>
      </c>
      <c r="Q24" s="1095">
        <f t="shared" ref="Q24:Q59" si="11">C24/B24</f>
        <v>0.23482015098435882</v>
      </c>
    </row>
    <row r="25" spans="1:17" ht="14" customHeight="1">
      <c r="A25" s="826">
        <v>1981</v>
      </c>
      <c r="B25" s="1082">
        <f>T.A17!E25</f>
        <v>215.643</v>
      </c>
      <c r="C25" s="832">
        <f>T.A17!F25</f>
        <v>53.244</v>
      </c>
      <c r="D25" s="832">
        <f>T.A5b!B25-C25</f>
        <v>162.399</v>
      </c>
      <c r="E25" s="814"/>
      <c r="F25" s="1089"/>
      <c r="G25" s="834"/>
      <c r="H25" s="1078"/>
      <c r="I25" s="834"/>
      <c r="J25" s="834"/>
      <c r="K25" s="1210">
        <f>(C25/P25)/(B25/L25)</f>
        <v>0.22379216974813984</v>
      </c>
      <c r="L25" s="1329">
        <f>(L$21+L$26)/2</f>
        <v>1.1285633961638688</v>
      </c>
      <c r="M25" s="1213"/>
      <c r="N25" s="1213"/>
      <c r="P25" s="184">
        <f>(P$21+P$26)/2</f>
        <v>1.2451348335944776</v>
      </c>
      <c r="Q25" s="1095">
        <f t="shared" si="11"/>
        <v>0.24690808419471069</v>
      </c>
    </row>
    <row r="26" spans="1:17" ht="14" customHeight="1">
      <c r="A26" s="826">
        <v>1982</v>
      </c>
      <c r="B26" s="1082">
        <f>T.A17!E26</f>
        <v>208.483</v>
      </c>
      <c r="C26" s="832">
        <f>T.A17!F26</f>
        <v>57.817</v>
      </c>
      <c r="D26" s="832">
        <f>T.A5b!B26-C26</f>
        <v>150.666</v>
      </c>
      <c r="E26" s="814">
        <f t="shared" si="7"/>
        <v>186.8</v>
      </c>
      <c r="F26" s="1089">
        <f>'Assets(MOFA)'!JI27/1000</f>
        <v>226.18100000000001</v>
      </c>
      <c r="G26" s="834">
        <f>'Assets(MOFA)'!JT27/1000</f>
        <v>39.381</v>
      </c>
      <c r="H26" s="1081">
        <f t="shared" si="8"/>
        <v>46.975999999999999</v>
      </c>
      <c r="I26" s="834">
        <f>'Assets(MOFA)'!JS27/1000</f>
        <v>51.838000000000001</v>
      </c>
      <c r="J26" s="834">
        <f>'Assets(MOFA)'!KD27/1000</f>
        <v>4.8620000000000001</v>
      </c>
      <c r="K26" s="1210">
        <f t="shared" ref="K26:K59" si="12">(C26/P26)/(B26/L26)</f>
        <v>0.25147751605995716</v>
      </c>
      <c r="L26" s="837">
        <f t="shared" si="9"/>
        <v>1.116076017130621</v>
      </c>
      <c r="M26" s="1213"/>
      <c r="N26" s="1213"/>
      <c r="P26" s="855">
        <f t="shared" si="10"/>
        <v>1.2307774182561309</v>
      </c>
      <c r="Q26" s="1095">
        <f t="shared" si="11"/>
        <v>0.27732237160823664</v>
      </c>
    </row>
    <row r="27" spans="1:17" ht="14" customHeight="1">
      <c r="A27" s="826">
        <v>1983</v>
      </c>
      <c r="B27" s="1082">
        <f>T.A17!E27</f>
        <v>223.607</v>
      </c>
      <c r="C27" s="832">
        <f>T.A17!F27</f>
        <v>58.524000000000001</v>
      </c>
      <c r="D27" s="832">
        <f>T.A5b!B27-C27</f>
        <v>165.083</v>
      </c>
      <c r="E27" s="814">
        <f t="shared" si="7"/>
        <v>184.38171428571428</v>
      </c>
      <c r="F27" s="1089">
        <f>'Assets(MOFA)'!JI28/1000</f>
        <v>233.083</v>
      </c>
      <c r="G27" s="834">
        <f>'Assets(MOFA)'!JT28/1000</f>
        <v>48.70128571428571</v>
      </c>
      <c r="H27" s="1081">
        <f t="shared" si="8"/>
        <v>47.579571428571427</v>
      </c>
      <c r="I27" s="834">
        <f>'Assets(MOFA)'!JS28/1000</f>
        <v>52.728999999999999</v>
      </c>
      <c r="J27" s="834">
        <f>'Assets(MOFA)'!KD28/1000</f>
        <v>5.1494285714285715</v>
      </c>
      <c r="K27" s="1210">
        <f t="shared" si="12"/>
        <v>0.25804929525084613</v>
      </c>
      <c r="L27" s="837">
        <f t="shared" si="9"/>
        <v>1.212739565125764</v>
      </c>
      <c r="M27" s="1213"/>
      <c r="N27" s="1213"/>
      <c r="P27" s="855">
        <f t="shared" si="10"/>
        <v>1.2300236896387104</v>
      </c>
      <c r="Q27" s="1095">
        <f t="shared" si="11"/>
        <v>0.26172704790100487</v>
      </c>
    </row>
    <row r="28" spans="1:17" ht="14" customHeight="1">
      <c r="A28" s="826">
        <v>1984</v>
      </c>
      <c r="B28" s="1082">
        <f>T.A17!E28</f>
        <v>236.506</v>
      </c>
      <c r="C28" s="832">
        <f>T.A17!F28</f>
        <v>59.11</v>
      </c>
      <c r="D28" s="832">
        <f>T.A5b!B28-C28</f>
        <v>177.39600000000002</v>
      </c>
      <c r="E28" s="814">
        <f t="shared" si="7"/>
        <v>185.9924285714286</v>
      </c>
      <c r="F28" s="1089">
        <f>'Assets(MOFA)'!JI29/1000</f>
        <v>244.01400000000001</v>
      </c>
      <c r="G28" s="834">
        <f>'Assets(MOFA)'!JT29/1000</f>
        <v>58.02157142857142</v>
      </c>
      <c r="H28" s="1081">
        <f t="shared" si="8"/>
        <v>47.735142857142854</v>
      </c>
      <c r="I28" s="834">
        <f>'Assets(MOFA)'!JS29/1000</f>
        <v>53.171999999999997</v>
      </c>
      <c r="J28" s="834">
        <f>'Assets(MOFA)'!KD29/1000</f>
        <v>5.4368571428571428</v>
      </c>
      <c r="K28" s="1210">
        <f t="shared" si="12"/>
        <v>0.25665100038634436</v>
      </c>
      <c r="L28" s="837">
        <f t="shared" si="9"/>
        <v>1.2715893964961704</v>
      </c>
      <c r="M28" s="1213"/>
      <c r="N28" s="1213"/>
      <c r="P28" s="855">
        <f t="shared" si="10"/>
        <v>1.2382910464288066</v>
      </c>
      <c r="Q28" s="1095">
        <f t="shared" si="11"/>
        <v>0.24993023432809316</v>
      </c>
    </row>
    <row r="29" spans="1:17" ht="14" customHeight="1">
      <c r="A29" s="826">
        <v>1985</v>
      </c>
      <c r="B29" s="1082">
        <f>T.A17!E29</f>
        <v>255.91399999999999</v>
      </c>
      <c r="C29" s="832">
        <f>T.A17!F29</f>
        <v>58.723999999999997</v>
      </c>
      <c r="D29" s="832">
        <f>T.A5b!B29-C29</f>
        <v>197.19</v>
      </c>
      <c r="E29" s="814">
        <f t="shared" si="7"/>
        <v>196.97814285714287</v>
      </c>
      <c r="F29" s="1089">
        <f>'Assets(MOFA)'!JI30/1000</f>
        <v>264.32</v>
      </c>
      <c r="G29" s="834">
        <f>'Assets(MOFA)'!JT30/1000</f>
        <v>67.341857142857137</v>
      </c>
      <c r="H29" s="1081">
        <f t="shared" si="8"/>
        <v>47.521714285714289</v>
      </c>
      <c r="I29" s="834">
        <f>'Assets(MOFA)'!JS30/1000</f>
        <v>53.246000000000002</v>
      </c>
      <c r="J29" s="834">
        <f>'Assets(MOFA)'!KD30/1000</f>
        <v>5.7242857142857151</v>
      </c>
      <c r="K29" s="1210">
        <f t="shared" si="12"/>
        <v>0.24125374316367224</v>
      </c>
      <c r="L29" s="837">
        <f t="shared" si="9"/>
        <v>1.2991999837545425</v>
      </c>
      <c r="M29" s="1213"/>
      <c r="N29" s="1213"/>
      <c r="P29" s="855">
        <f t="shared" si="10"/>
        <v>1.2357298317761503</v>
      </c>
      <c r="Q29" s="1095">
        <f t="shared" si="11"/>
        <v>0.22946771180943598</v>
      </c>
    </row>
    <row r="30" spans="1:17" ht="14" customHeight="1">
      <c r="A30" s="826">
        <v>1986</v>
      </c>
      <c r="B30" s="1082">
        <f>T.A17!E30</f>
        <v>278.911</v>
      </c>
      <c r="C30" s="832">
        <f>T.A17!F30</f>
        <v>59.625</v>
      </c>
      <c r="D30" s="832">
        <f>T.A5b!B30-C30</f>
        <v>219.286</v>
      </c>
      <c r="E30" s="814">
        <f t="shared" si="7"/>
        <v>216.26585714285716</v>
      </c>
      <c r="F30" s="1089">
        <f>'Assets(MOFA)'!JI31/1000</f>
        <v>292.928</v>
      </c>
      <c r="G30" s="834">
        <f>'Assets(MOFA)'!JT31/1000</f>
        <v>76.66214285714284</v>
      </c>
      <c r="H30" s="1081">
        <f t="shared" si="8"/>
        <v>47.920285714285718</v>
      </c>
      <c r="I30" s="834">
        <f>'Assets(MOFA)'!JS31/1000</f>
        <v>53.932000000000002</v>
      </c>
      <c r="J30" s="834">
        <f>'Assets(MOFA)'!KD31/1000</f>
        <v>6.0117142857142865</v>
      </c>
      <c r="K30" s="1210">
        <f t="shared" si="12"/>
        <v>0.22158044893157297</v>
      </c>
      <c r="L30" s="837">
        <f t="shared" si="9"/>
        <v>1.2896672812100978</v>
      </c>
      <c r="M30" s="1213"/>
      <c r="N30" s="1213"/>
      <c r="P30" s="855">
        <f t="shared" si="10"/>
        <v>1.244253850143989</v>
      </c>
      <c r="Q30" s="1095">
        <f t="shared" si="11"/>
        <v>0.21377787179422827</v>
      </c>
    </row>
    <row r="31" spans="1:17" ht="14" customHeight="1">
      <c r="A31" s="826">
        <v>1987</v>
      </c>
      <c r="B31" s="1082">
        <f>T.A17!E31</f>
        <v>327.85700000000003</v>
      </c>
      <c r="C31" s="832">
        <f>T.A17!F31</f>
        <v>60.807000000000002</v>
      </c>
      <c r="D31" s="832">
        <f>T.A5b!B31-C31</f>
        <v>267.05</v>
      </c>
      <c r="E31" s="814">
        <f t="shared" si="7"/>
        <v>267.39957142857145</v>
      </c>
      <c r="F31" s="1089">
        <f>'Assets(MOFA)'!JI32/1000</f>
        <v>353.38200000000001</v>
      </c>
      <c r="G31" s="834">
        <f>'Assets(MOFA)'!JT32/1000</f>
        <v>85.982428571428557</v>
      </c>
      <c r="H31" s="1081">
        <f t="shared" si="8"/>
        <v>53.05085714285714</v>
      </c>
      <c r="I31" s="834">
        <f>'Assets(MOFA)'!JS32/1000</f>
        <v>59.35</v>
      </c>
      <c r="J31" s="834">
        <f>'Assets(MOFA)'!KD32/1000</f>
        <v>6.2991428571428578</v>
      </c>
      <c r="K31" s="1210">
        <f t="shared" si="12"/>
        <v>0.19839544565997272</v>
      </c>
      <c r="L31" s="837">
        <f t="shared" si="9"/>
        <v>1.2260939621123446</v>
      </c>
      <c r="M31" s="1213"/>
      <c r="N31" s="1213"/>
      <c r="P31" s="855">
        <f t="shared" si="10"/>
        <v>1.1462020271653077</v>
      </c>
      <c r="Q31" s="1095">
        <f t="shared" si="11"/>
        <v>0.18546805467017632</v>
      </c>
    </row>
    <row r="32" spans="1:17" ht="14" customHeight="1">
      <c r="A32" s="826">
        <v>1988</v>
      </c>
      <c r="B32" s="1082">
        <f>T.A17!E32</f>
        <v>337.61399999999998</v>
      </c>
      <c r="C32" s="832">
        <f>T.A17!F32</f>
        <v>58.444000000000003</v>
      </c>
      <c r="D32" s="832">
        <f>T.A5b!B32-C32</f>
        <v>279.16999999999996</v>
      </c>
      <c r="E32" s="814">
        <f t="shared" si="7"/>
        <v>273.07528571428571</v>
      </c>
      <c r="F32" s="1089">
        <f>'Assets(MOFA)'!JI33/1000</f>
        <v>368.37799999999999</v>
      </c>
      <c r="G32" s="834">
        <f>'Assets(MOFA)'!JT33/1000</f>
        <v>95.302714285714259</v>
      </c>
      <c r="H32" s="1081">
        <f t="shared" si="8"/>
        <v>50.899428571428565</v>
      </c>
      <c r="I32" s="834">
        <f>'Assets(MOFA)'!JS33/1000</f>
        <v>57.485999999999997</v>
      </c>
      <c r="J32" s="834">
        <f>'Assets(MOFA)'!KD33/1000</f>
        <v>6.5865714285714292</v>
      </c>
      <c r="K32" s="1210">
        <f t="shared" si="12"/>
        <v>0.18639339125212459</v>
      </c>
      <c r="L32" s="837">
        <f t="shared" si="9"/>
        <v>1.236340370813491</v>
      </c>
      <c r="M32" s="1213"/>
      <c r="N32" s="1213"/>
      <c r="P32" s="855">
        <f t="shared" si="10"/>
        <v>1.1482250712890407</v>
      </c>
      <c r="Q32" s="1095">
        <f t="shared" si="11"/>
        <v>0.17310893505601074</v>
      </c>
    </row>
    <row r="33" spans="1:17" ht="14" customHeight="1">
      <c r="A33" s="856">
        <v>1989</v>
      </c>
      <c r="B33" s="1083">
        <f>T.A17!E33</f>
        <v>353.62799999999999</v>
      </c>
      <c r="C33" s="876">
        <f>T.A17!F33</f>
        <v>48.325000000000003</v>
      </c>
      <c r="D33" s="876">
        <f>T.A5b!B33-C33</f>
        <v>305.303</v>
      </c>
      <c r="E33" s="857">
        <f t="shared" si="7"/>
        <v>302.45100000000002</v>
      </c>
      <c r="F33" s="1090">
        <f>'Assets(MOFA)'!JI34/1000</f>
        <v>407.07400000000001</v>
      </c>
      <c r="G33" s="860">
        <f>'Assets(MOFA)'!JT34/1000</f>
        <v>104.623</v>
      </c>
      <c r="H33" s="1357">
        <f t="shared" si="8"/>
        <v>42.73</v>
      </c>
      <c r="I33" s="860">
        <f>'Assets(MOFA)'!JS34/1000</f>
        <v>49.603999999999999</v>
      </c>
      <c r="J33" s="860">
        <f>'Assets(MOFA)'!KD34/1000</f>
        <v>6.8739999999999997</v>
      </c>
      <c r="K33" s="1210">
        <f t="shared" si="12"/>
        <v>0.14127908322339816</v>
      </c>
      <c r="L33" s="862">
        <f t="shared" si="9"/>
        <v>1.1692075741194441</v>
      </c>
      <c r="M33" s="1213"/>
      <c r="N33" s="1213"/>
      <c r="P33" s="855">
        <f>C33/H33</f>
        <v>1.1309384507371871</v>
      </c>
      <c r="Q33" s="1095">
        <f t="shared" si="11"/>
        <v>0.13665490289230492</v>
      </c>
    </row>
    <row r="34" spans="1:17" ht="14" customHeight="1">
      <c r="A34" s="863">
        <v>1990</v>
      </c>
      <c r="B34" s="1082">
        <f>T.A17!E34</f>
        <v>402.89499999999998</v>
      </c>
      <c r="C34" s="832">
        <f>T.A17!F34</f>
        <v>50.857400000000005</v>
      </c>
      <c r="D34" s="832">
        <f>T.A5b!B34-C34</f>
        <v>352.0376</v>
      </c>
      <c r="E34" s="864">
        <f t="shared" si="7"/>
        <v>341.24199999999996</v>
      </c>
      <c r="F34" s="1091">
        <f>'Assets(MOFA)'!JI35/1000</f>
        <v>465.24599999999998</v>
      </c>
      <c r="G34" s="866">
        <f>'Assets(MOFA)'!JT35/1000</f>
        <v>124.004</v>
      </c>
      <c r="H34" s="1358">
        <f t="shared" si="8"/>
        <v>47.627000000000002</v>
      </c>
      <c r="I34" s="866">
        <f>'Assets(MOFA)'!JS35/1000</f>
        <v>55.53</v>
      </c>
      <c r="J34" s="866">
        <f>'Assets(MOFA)'!KD35/1000</f>
        <v>7.9029999999999996</v>
      </c>
      <c r="K34" s="1326">
        <f t="shared" si="12"/>
        <v>0.13956957232697034</v>
      </c>
      <c r="L34" s="868">
        <f t="shared" si="9"/>
        <v>1.1806723674108113</v>
      </c>
      <c r="M34" s="1213"/>
      <c r="N34" s="1213"/>
      <c r="P34" s="855">
        <f t="shared" ref="P34:P59" si="13">C34/H34</f>
        <v>1.0678270728788293</v>
      </c>
      <c r="Q34" s="1095">
        <f t="shared" si="11"/>
        <v>0.126229911019</v>
      </c>
    </row>
    <row r="35" spans="1:17" ht="14" customHeight="1">
      <c r="A35" s="826">
        <v>1991</v>
      </c>
      <c r="B35" s="1082">
        <f>T.A17!E35</f>
        <v>443.76299999999998</v>
      </c>
      <c r="C35" s="832">
        <f>T.A17!F35</f>
        <v>53.389800000000008</v>
      </c>
      <c r="D35" s="832">
        <f>T.A5b!B35-C35</f>
        <v>390.3732</v>
      </c>
      <c r="E35" s="814">
        <f t="shared" si="7"/>
        <v>363.65100000000001</v>
      </c>
      <c r="F35" s="1089">
        <f>'Assets(MOFA)'!JI36/1000</f>
        <v>507.036</v>
      </c>
      <c r="G35" s="834">
        <f>'Assets(MOFA)'!JT36/1000</f>
        <v>143.38499999999999</v>
      </c>
      <c r="H35" s="1081">
        <f t="shared" si="8"/>
        <v>54.608999999999995</v>
      </c>
      <c r="I35" s="834">
        <f>'Assets(MOFA)'!JS36/1000</f>
        <v>63.540999999999997</v>
      </c>
      <c r="J35" s="834">
        <f>'Assets(MOFA)'!KD36/1000</f>
        <v>8.9320000000000004</v>
      </c>
      <c r="K35" s="1210">
        <f t="shared" si="12"/>
        <v>0.15016870570959517</v>
      </c>
      <c r="L35" s="837">
        <f t="shared" si="9"/>
        <v>1.2202991329598982</v>
      </c>
      <c r="M35" s="1213"/>
      <c r="N35" s="1213"/>
      <c r="P35" s="855">
        <f t="shared" si="13"/>
        <v>0.97767400977860819</v>
      </c>
      <c r="Q35" s="1095">
        <f t="shared" si="11"/>
        <v>0.12031151763441299</v>
      </c>
    </row>
    <row r="36" spans="1:17" ht="14" customHeight="1">
      <c r="A36" s="826">
        <v>1992</v>
      </c>
      <c r="B36" s="1082">
        <f>T.A17!E36</f>
        <v>465.64499999999998</v>
      </c>
      <c r="C36" s="832">
        <f>T.A17!F36</f>
        <v>55.922200000000011</v>
      </c>
      <c r="D36" s="832">
        <f>T.A5b!B36-C36</f>
        <v>409.72279999999995</v>
      </c>
      <c r="E36" s="814">
        <f t="shared" si="7"/>
        <v>377.13400000000001</v>
      </c>
      <c r="F36" s="1089">
        <f>'Assets(MOFA)'!JI37/1000</f>
        <v>539.9</v>
      </c>
      <c r="G36" s="834">
        <f>'Assets(MOFA)'!JT37/1000</f>
        <v>162.76599999999999</v>
      </c>
      <c r="H36" s="1081">
        <f t="shared" si="8"/>
        <v>54.406999999999996</v>
      </c>
      <c r="I36" s="834">
        <f>'Assets(MOFA)'!JS37/1000</f>
        <v>64.367999999999995</v>
      </c>
      <c r="J36" s="834">
        <f>'Assets(MOFA)'!KD37/1000</f>
        <v>9.9610000000000003</v>
      </c>
      <c r="K36" s="1210">
        <f t="shared" si="12"/>
        <v>0.14426437287542357</v>
      </c>
      <c r="L36" s="837">
        <f t="shared" si="9"/>
        <v>1.2346937693233704</v>
      </c>
      <c r="M36" s="1213"/>
      <c r="N36" s="1213"/>
      <c r="P36" s="855">
        <f t="shared" si="13"/>
        <v>1.0278493576194243</v>
      </c>
      <c r="Q36" s="1095">
        <f t="shared" si="11"/>
        <v>0.12009621063256345</v>
      </c>
    </row>
    <row r="37" spans="1:17" ht="14" customHeight="1">
      <c r="A37" s="826">
        <v>1993</v>
      </c>
      <c r="B37" s="1084">
        <f>T.A17!E37</f>
        <v>505.28399999999999</v>
      </c>
      <c r="C37" s="882">
        <f>T.A17!F37</f>
        <v>58.454600000000013</v>
      </c>
      <c r="D37" s="882">
        <f>T.A5b!B37-C37</f>
        <v>446.82939999999996</v>
      </c>
      <c r="E37" s="814">
        <f t="shared" si="7"/>
        <v>407.35600000000005</v>
      </c>
      <c r="F37" s="1089">
        <f>'Assets(MOFA)'!JI38/1000</f>
        <v>589.50300000000004</v>
      </c>
      <c r="G37" s="834">
        <f>'Assets(MOFA)'!JT38/1000</f>
        <v>182.14699999999999</v>
      </c>
      <c r="H37" s="1081">
        <f t="shared" si="8"/>
        <v>54.091000000000001</v>
      </c>
      <c r="I37" s="834">
        <f>'Assets(MOFA)'!JS38/1000</f>
        <v>65.081000000000003</v>
      </c>
      <c r="J37" s="834">
        <f>'Assets(MOFA)'!KD38/1000</f>
        <v>10.99</v>
      </c>
      <c r="K37" s="1210">
        <f t="shared" si="12"/>
        <v>0.13278557330688634</v>
      </c>
      <c r="L37" s="837">
        <f t="shared" si="9"/>
        <v>1.2403990612633664</v>
      </c>
      <c r="M37" s="1213"/>
      <c r="N37" s="1213"/>
      <c r="P37" s="855">
        <f t="shared" si="13"/>
        <v>1.0806714610563681</v>
      </c>
      <c r="Q37" s="1095">
        <f t="shared" si="11"/>
        <v>0.11568662376010326</v>
      </c>
    </row>
    <row r="38" spans="1:17" ht="14" customHeight="1">
      <c r="A38" s="826">
        <v>1994</v>
      </c>
      <c r="B38" s="1082">
        <f>T.A17!E38</f>
        <v>552.35900000000004</v>
      </c>
      <c r="C38" s="832">
        <f>T.A17!F38</f>
        <v>60.987000000000016</v>
      </c>
      <c r="D38" s="832">
        <f>T.A5b!B38-C38</f>
        <v>491.37200000000001</v>
      </c>
      <c r="E38" s="814">
        <f t="shared" si="7"/>
        <v>481.15499999999997</v>
      </c>
      <c r="F38" s="1089">
        <f>'Assets(MOFA)'!JI39/1000</f>
        <v>682.68299999999999</v>
      </c>
      <c r="G38" s="834">
        <f>'Assets(MOFA)'!JT39/1000</f>
        <v>201.52799999999999</v>
      </c>
      <c r="H38" s="1081">
        <f t="shared" si="8"/>
        <v>53.196000000000005</v>
      </c>
      <c r="I38" s="834">
        <f>'Assets(MOFA)'!JS39/1000</f>
        <v>65.215000000000003</v>
      </c>
      <c r="J38" s="834">
        <f>'Assets(MOFA)'!KD39/1000</f>
        <v>12.019</v>
      </c>
      <c r="K38" s="1210">
        <f t="shared" si="12"/>
        <v>0.11055896748449046</v>
      </c>
      <c r="L38" s="838">
        <f t="shared" ref="L38" si="14">B38/E38</f>
        <v>1.1479855763735181</v>
      </c>
      <c r="M38" s="1214"/>
      <c r="N38" s="1214"/>
      <c r="P38" s="855">
        <f t="shared" si="13"/>
        <v>1.1464583803293482</v>
      </c>
      <c r="Q38" s="1095">
        <f t="shared" si="11"/>
        <v>0.11041188792071825</v>
      </c>
    </row>
    <row r="39" spans="1:17">
      <c r="A39" s="826">
        <v>1995</v>
      </c>
      <c r="B39" s="1082">
        <f>T.A17!E39</f>
        <v>640.86599999999999</v>
      </c>
      <c r="C39" s="832">
        <f>T.A17!F39</f>
        <v>63.519400000000019</v>
      </c>
      <c r="D39" s="832">
        <f>T.A5b!B39-C39</f>
        <v>577.34659999999997</v>
      </c>
      <c r="E39" s="814">
        <f t="shared" si="7"/>
        <v>553.73500000000001</v>
      </c>
      <c r="F39" s="1089">
        <f>'Assets(MOFA)'!JI40/1000</f>
        <v>795.78899999999999</v>
      </c>
      <c r="G39" s="834">
        <f>'Assets(MOFA)'!JT40/1000</f>
        <v>242.054</v>
      </c>
      <c r="H39" s="1081">
        <f t="shared" si="8"/>
        <v>56.821999999999996</v>
      </c>
      <c r="I39" s="834">
        <f>'Assets(MOFA)'!JS40/1000</f>
        <v>69.305999999999997</v>
      </c>
      <c r="J39" s="834">
        <f>'Assets(MOFA)'!KD40/1000</f>
        <v>12.484</v>
      </c>
      <c r="K39" s="1210">
        <f t="shared" si="12"/>
        <v>0.10261587221324278</v>
      </c>
      <c r="L39" s="838">
        <f t="shared" si="9"/>
        <v>1.157351440671079</v>
      </c>
      <c r="M39" s="1214"/>
      <c r="N39" s="1214"/>
      <c r="P39" s="855">
        <f t="shared" si="13"/>
        <v>1.1178663193833378</v>
      </c>
      <c r="Q39" s="1095">
        <f t="shared" si="11"/>
        <v>9.9114947586546986E-2</v>
      </c>
    </row>
    <row r="40" spans="1:17">
      <c r="A40" s="826">
        <v>1996</v>
      </c>
      <c r="B40" s="1082">
        <f>T.A17!E40</f>
        <v>727.38400000000001</v>
      </c>
      <c r="C40" s="832">
        <f>T.A17!F40</f>
        <v>66.051800000000014</v>
      </c>
      <c r="D40" s="832">
        <f>T.A5b!B40-C40</f>
        <v>661.33220000000006</v>
      </c>
      <c r="E40" s="814">
        <f t="shared" si="7"/>
        <v>632.81200000000001</v>
      </c>
      <c r="F40" s="1089">
        <f>'Assets(MOFA)'!JI41/1000</f>
        <v>920.14300000000003</v>
      </c>
      <c r="G40" s="834">
        <f>'Assets(MOFA)'!JT41/1000</f>
        <v>287.33100000000002</v>
      </c>
      <c r="H40" s="1081">
        <f t="shared" si="8"/>
        <v>61.767999999999994</v>
      </c>
      <c r="I40" s="834">
        <f>'Assets(MOFA)'!JS41/1000</f>
        <v>75.334999999999994</v>
      </c>
      <c r="J40" s="834">
        <f>'Assets(MOFA)'!KD41/1000</f>
        <v>13.567</v>
      </c>
      <c r="K40" s="1210">
        <f t="shared" si="12"/>
        <v>9.7608768481002223E-2</v>
      </c>
      <c r="L40" s="838">
        <f t="shared" si="9"/>
        <v>1.1494472291928723</v>
      </c>
      <c r="M40" s="1214"/>
      <c r="N40" s="1214"/>
      <c r="P40" s="855">
        <f t="shared" si="13"/>
        <v>1.0693530630747317</v>
      </c>
      <c r="Q40" s="1095">
        <f t="shared" si="11"/>
        <v>9.0807331478283834E-2</v>
      </c>
    </row>
    <row r="41" spans="1:17">
      <c r="A41" s="826">
        <v>1997</v>
      </c>
      <c r="B41" s="1082">
        <f>T.A17!E41</f>
        <v>797.51400000000001</v>
      </c>
      <c r="C41" s="832">
        <f>T.A17!F41</f>
        <v>68.58420000000001</v>
      </c>
      <c r="D41" s="832">
        <f>T.A5b!B41-C41</f>
        <v>728.9298</v>
      </c>
      <c r="E41" s="814">
        <f t="shared" si="7"/>
        <v>699.21499999999992</v>
      </c>
      <c r="F41" s="1089">
        <f>'Assets(MOFA)'!JI42/1000</f>
        <v>1025.3599999999999</v>
      </c>
      <c r="G41" s="834">
        <f>'Assets(MOFA)'!JT42/1000</f>
        <v>326.14499999999998</v>
      </c>
      <c r="H41" s="1081">
        <f t="shared" si="8"/>
        <v>67.664999999999992</v>
      </c>
      <c r="I41" s="834">
        <f>'Assets(MOFA)'!JS42/1000</f>
        <v>82.784999999999997</v>
      </c>
      <c r="J41" s="834">
        <f>'Assets(MOFA)'!KD42/1000</f>
        <v>15.12</v>
      </c>
      <c r="K41" s="1210">
        <f t="shared" si="12"/>
        <v>9.6772809507805188E-2</v>
      </c>
      <c r="L41" s="838">
        <f t="shared" si="9"/>
        <v>1.1405847986670767</v>
      </c>
      <c r="M41" s="1214"/>
      <c r="N41" s="1214"/>
      <c r="P41" s="855">
        <f t="shared" si="13"/>
        <v>1.0135845710485483</v>
      </c>
      <c r="Q41" s="1095">
        <f t="shared" si="11"/>
        <v>8.5997487191447439E-2</v>
      </c>
    </row>
    <row r="42" spans="1:17">
      <c r="A42" s="826">
        <v>1998</v>
      </c>
      <c r="B42" s="1082">
        <f>T.A17!E42</f>
        <v>900.90899999999999</v>
      </c>
      <c r="C42" s="832">
        <f>T.A17!F42</f>
        <v>71.116600000000005</v>
      </c>
      <c r="D42" s="832">
        <f>T.A5b!B42-C42</f>
        <v>829.79240000000004</v>
      </c>
      <c r="E42" s="814">
        <f t="shared" si="7"/>
        <v>775.18399999999997</v>
      </c>
      <c r="F42" s="1089">
        <f>'Assets(MOFA)'!JI43/1000</f>
        <v>1192.6479999999999</v>
      </c>
      <c r="G42" s="834">
        <f>'Assets(MOFA)'!JT43/1000</f>
        <v>417.464</v>
      </c>
      <c r="H42" s="1081">
        <f t="shared" si="8"/>
        <v>74.942000000000007</v>
      </c>
      <c r="I42" s="834">
        <f>'Assets(MOFA)'!JS43/1000</f>
        <v>89.927000000000007</v>
      </c>
      <c r="J42" s="834">
        <f>'Assets(MOFA)'!KD43/1000</f>
        <v>14.984999999999999</v>
      </c>
      <c r="K42" s="1210">
        <f t="shared" si="12"/>
        <v>9.6676401989721175E-2</v>
      </c>
      <c r="L42" s="838">
        <f t="shared" si="9"/>
        <v>1.1621873000474727</v>
      </c>
      <c r="M42" s="1214"/>
      <c r="N42" s="1214"/>
      <c r="P42" s="855">
        <f t="shared" si="13"/>
        <v>0.94895519201515832</v>
      </c>
      <c r="Q42" s="1095">
        <f t="shared" si="11"/>
        <v>7.8938716340940102E-2</v>
      </c>
    </row>
    <row r="43" spans="1:17">
      <c r="A43" s="856">
        <v>1999</v>
      </c>
      <c r="B43" s="1083">
        <f>T.A17!E43</f>
        <v>1055.1179999999999</v>
      </c>
      <c r="C43" s="876">
        <f>T.A17!F43</f>
        <v>73.649000000000001</v>
      </c>
      <c r="D43" s="876">
        <f>T.A5b!B43-C43</f>
        <v>981.46899999999994</v>
      </c>
      <c r="E43" s="857">
        <f t="shared" si="7"/>
        <v>916.40400000000011</v>
      </c>
      <c r="F43" s="1090">
        <f>'Assets(MOFA)'!JI44/1000</f>
        <v>1447.4570000000001</v>
      </c>
      <c r="G43" s="860">
        <f>'Assets(MOFA)'!JT44/1000</f>
        <v>531.053</v>
      </c>
      <c r="H43" s="1357">
        <f t="shared" si="8"/>
        <v>67.98599999999999</v>
      </c>
      <c r="I43" s="860">
        <f>'Assets(MOFA)'!JS44/1000</f>
        <v>79.811999999999998</v>
      </c>
      <c r="J43" s="860">
        <f>'Assets(MOFA)'!KD44/1000</f>
        <v>11.826000000000001</v>
      </c>
      <c r="K43" s="1210">
        <f t="shared" si="12"/>
        <v>7.4187803632459012E-2</v>
      </c>
      <c r="L43" s="838">
        <f t="shared" ref="L43" si="15">B43/E43</f>
        <v>1.1513677373734725</v>
      </c>
      <c r="M43" s="1214"/>
      <c r="N43" s="1214"/>
      <c r="P43" s="855">
        <f t="shared" si="13"/>
        <v>1.0832965610566883</v>
      </c>
      <c r="Q43" s="1095">
        <f t="shared" si="11"/>
        <v>6.9801671471816429E-2</v>
      </c>
    </row>
    <row r="44" spans="1:17">
      <c r="A44" s="863">
        <v>2000</v>
      </c>
      <c r="B44" s="1082">
        <f>T.A17!E44</f>
        <v>1167.836</v>
      </c>
      <c r="C44" s="832">
        <f>T.A17!F44</f>
        <v>73.459000000000003</v>
      </c>
      <c r="D44" s="832">
        <f>T.A5b!B44-C44</f>
        <v>1094.377</v>
      </c>
      <c r="E44" s="864">
        <f t="shared" si="7"/>
        <v>1039.5160000000001</v>
      </c>
      <c r="F44" s="1091">
        <f>'Assets(MOFA)'!JI45/1000</f>
        <v>1813.33</v>
      </c>
      <c r="G44" s="866">
        <f>'Assets(MOFA)'!JT45/1000</f>
        <v>773.81399999999996</v>
      </c>
      <c r="H44" s="1358">
        <f t="shared" si="8"/>
        <v>73.438000000000002</v>
      </c>
      <c r="I44" s="866">
        <f>'Assets(MOFA)'!JS45/1000</f>
        <v>89.808000000000007</v>
      </c>
      <c r="J44" s="866">
        <f>'Assets(MOFA)'!KD45/1000</f>
        <v>16.37</v>
      </c>
      <c r="K44" s="1210">
        <f t="shared" si="12"/>
        <v>7.0646339257885396E-2</v>
      </c>
      <c r="L44" s="1212">
        <f t="shared" si="9"/>
        <v>1.1234420634218232</v>
      </c>
      <c r="M44" s="1214"/>
      <c r="N44" s="1214"/>
      <c r="P44" s="855">
        <f t="shared" si="13"/>
        <v>1.0002859554998775</v>
      </c>
      <c r="Q44" s="1095">
        <f t="shared" si="11"/>
        <v>6.2901811555732143E-2</v>
      </c>
    </row>
    <row r="45" spans="1:17">
      <c r="A45" s="826">
        <v>2001</v>
      </c>
      <c r="B45" s="1084">
        <f>T.A17!E45</f>
        <v>1304.329</v>
      </c>
      <c r="C45" s="882">
        <f>T.A17!F45</f>
        <v>74.403999999999996</v>
      </c>
      <c r="D45" s="882">
        <f>T.A5b!B45-C45</f>
        <v>1229.925</v>
      </c>
      <c r="E45" s="814">
        <f t="shared" si="7"/>
        <v>1089.3269999999998</v>
      </c>
      <c r="F45" s="1089">
        <f>'Assets(MOFA)'!JI46/1000</f>
        <v>2065.8629999999998</v>
      </c>
      <c r="G45" s="834">
        <f>'Assets(MOFA)'!JT46/1000</f>
        <v>976.53599999999994</v>
      </c>
      <c r="H45" s="1081">
        <f t="shared" si="8"/>
        <v>87.786000000000001</v>
      </c>
      <c r="I45" s="834">
        <f>'Assets(MOFA)'!JS46/1000</f>
        <v>110.196</v>
      </c>
      <c r="J45" s="834">
        <f>'Assets(MOFA)'!KD46/1000</f>
        <v>22.41</v>
      </c>
      <c r="K45" s="1210">
        <f t="shared" si="12"/>
        <v>8.0587371836005187E-2</v>
      </c>
      <c r="L45" s="838">
        <f t="shared" si="9"/>
        <v>1.1973714045461099</v>
      </c>
      <c r="M45" s="1214"/>
      <c r="N45" s="1214"/>
      <c r="P45" s="855">
        <f t="shared" si="13"/>
        <v>0.84756111452851246</v>
      </c>
      <c r="Q45" s="1095">
        <f t="shared" si="11"/>
        <v>5.7043890000145668E-2</v>
      </c>
    </row>
    <row r="46" spans="1:17">
      <c r="A46" s="826">
        <v>2002</v>
      </c>
      <c r="B46" s="1082">
        <f>T.A17!E46</f>
        <v>1434.07</v>
      </c>
      <c r="C46" s="832">
        <f>T.A17!F46</f>
        <v>74.787999999999997</v>
      </c>
      <c r="D46" s="832">
        <f>T.A5b!B46-C46</f>
        <v>1359.2819999999999</v>
      </c>
      <c r="E46" s="814">
        <f t="shared" si="7"/>
        <v>1245.816</v>
      </c>
      <c r="F46" s="1089">
        <f>'Assets(MOFA)'!JI47/1000</f>
        <v>2491.8510000000001</v>
      </c>
      <c r="G46" s="834">
        <f>'Assets(MOFA)'!JT47/1000</f>
        <v>1246.0350000000001</v>
      </c>
      <c r="H46" s="1081">
        <f t="shared" si="8"/>
        <v>97.611000000000004</v>
      </c>
      <c r="I46" s="834">
        <f>'Assets(MOFA)'!JS47/1000</f>
        <v>121.473</v>
      </c>
      <c r="J46" s="834">
        <f>'Assets(MOFA)'!KD47/1000</f>
        <v>23.861999999999998</v>
      </c>
      <c r="K46" s="1210">
        <f t="shared" si="12"/>
        <v>7.8351056656841778E-2</v>
      </c>
      <c r="L46" s="838">
        <f t="shared" si="9"/>
        <v>1.1511089920180828</v>
      </c>
      <c r="M46" s="1214"/>
      <c r="N46" s="1214"/>
      <c r="P46" s="855">
        <f t="shared" si="13"/>
        <v>0.76618413908268523</v>
      </c>
      <c r="Q46" s="1095">
        <f t="shared" si="11"/>
        <v>5.2150871296380234E-2</v>
      </c>
    </row>
    <row r="47" spans="1:17">
      <c r="A47" s="826">
        <v>2003</v>
      </c>
      <c r="B47" s="1082">
        <f>T.A17!E47</f>
        <v>1588.921</v>
      </c>
      <c r="C47" s="832">
        <f>T.A17!F47</f>
        <v>76.646000000000001</v>
      </c>
      <c r="D47" s="832">
        <f>T.A5b!B47-C47</f>
        <v>1512.2750000000001</v>
      </c>
      <c r="E47" s="814">
        <f t="shared" si="7"/>
        <v>1447.9189999999999</v>
      </c>
      <c r="F47" s="1089">
        <f>'Assets(MOFA)'!JI48/1000</f>
        <v>3030.299</v>
      </c>
      <c r="G47" s="834">
        <f>'Assets(MOFA)'!JT48/1000</f>
        <v>1582.38</v>
      </c>
      <c r="H47" s="1081">
        <f t="shared" si="8"/>
        <v>108.54600000000002</v>
      </c>
      <c r="I47" s="834">
        <f>'Assets(MOFA)'!JS48/1000</f>
        <v>141.43700000000001</v>
      </c>
      <c r="J47" s="834">
        <f>'Assets(MOFA)'!KD48/1000</f>
        <v>32.890999999999998</v>
      </c>
      <c r="K47" s="1210">
        <f t="shared" si="12"/>
        <v>7.4966900772764231E-2</v>
      </c>
      <c r="L47" s="838">
        <f t="shared" si="9"/>
        <v>1.0973825193260121</v>
      </c>
      <c r="M47" s="1214"/>
      <c r="N47" s="1214"/>
      <c r="P47" s="855">
        <f t="shared" si="13"/>
        <v>0.7061153796547085</v>
      </c>
      <c r="Q47" s="1095">
        <f t="shared" si="11"/>
        <v>4.8237766383602457E-2</v>
      </c>
    </row>
    <row r="48" spans="1:17">
      <c r="A48" s="826">
        <v>2004</v>
      </c>
      <c r="B48" s="1082">
        <f>T.A17!E48</f>
        <v>1968.5940000000001</v>
      </c>
      <c r="C48" s="832">
        <f>T.A17!F48</f>
        <v>88.262</v>
      </c>
      <c r="D48" s="832">
        <f>T.A5b!B48-C48</f>
        <v>1880.3320000000001</v>
      </c>
      <c r="E48" s="814">
        <f t="shared" si="7"/>
        <v>1588.3980000000001</v>
      </c>
      <c r="F48" s="1089">
        <f>'Assets(MOFA)'!JI49/1000</f>
        <v>3669.377</v>
      </c>
      <c r="G48" s="834">
        <f>'Assets(MOFA)'!JT49/1000</f>
        <v>2080.9789999999998</v>
      </c>
      <c r="H48" s="1081">
        <f t="shared" si="8"/>
        <v>136.62700000000001</v>
      </c>
      <c r="I48" s="834">
        <f>'Assets(MOFA)'!JS49/1000</f>
        <v>170.13</v>
      </c>
      <c r="J48" s="834">
        <f>'Assets(MOFA)'!KD49/1000</f>
        <v>33.503</v>
      </c>
      <c r="K48" s="1210">
        <f t="shared" si="12"/>
        <v>8.6015595587503893E-2</v>
      </c>
      <c r="L48" s="838">
        <f t="shared" si="9"/>
        <v>1.2393581457544016</v>
      </c>
      <c r="M48" s="1214"/>
      <c r="N48" s="1214"/>
      <c r="P48" s="855">
        <f t="shared" si="13"/>
        <v>0.64600701179122721</v>
      </c>
      <c r="Q48" s="1095">
        <f t="shared" si="11"/>
        <v>4.483504470703456E-2</v>
      </c>
    </row>
    <row r="49" spans="1:17">
      <c r="A49" s="826">
        <v>2005</v>
      </c>
      <c r="B49" s="1082">
        <f>T.A17!E49</f>
        <v>2052.962</v>
      </c>
      <c r="C49" s="832">
        <f>T.A17!F49</f>
        <v>97.152000000000001</v>
      </c>
      <c r="D49" s="832">
        <f>T.A5b!B49-C49</f>
        <v>1955.81</v>
      </c>
      <c r="E49" s="814">
        <f t="shared" si="7"/>
        <v>1773.6319999999996</v>
      </c>
      <c r="F49" s="1089">
        <f>'Assets(MOFA)'!JI50/1000</f>
        <v>4194.8289999999997</v>
      </c>
      <c r="G49" s="834">
        <f>'Assets(MOFA)'!JT50/1000</f>
        <v>2421.1970000000001</v>
      </c>
      <c r="H49" s="1081">
        <f t="shared" si="8"/>
        <v>160.34799999999998</v>
      </c>
      <c r="I49" s="834">
        <f>'Assets(MOFA)'!JS50/1000</f>
        <v>192.24799999999999</v>
      </c>
      <c r="J49" s="834">
        <f>'Assets(MOFA)'!KD50/1000</f>
        <v>31.9</v>
      </c>
      <c r="K49" s="1210">
        <f t="shared" si="12"/>
        <v>9.0406578140223015E-2</v>
      </c>
      <c r="L49" s="837">
        <f t="shared" si="9"/>
        <v>1.1574903925955331</v>
      </c>
      <c r="M49" s="1213"/>
      <c r="N49" s="1213"/>
      <c r="P49" s="855">
        <f t="shared" si="13"/>
        <v>0.60588220620151179</v>
      </c>
      <c r="Q49" s="1095">
        <f t="shared" si="11"/>
        <v>4.7322843774020171E-2</v>
      </c>
    </row>
    <row r="50" spans="1:17">
      <c r="A50" s="826">
        <v>2006</v>
      </c>
      <c r="B50" s="1082">
        <f>T.A17!E50</f>
        <v>2301.2260000000001</v>
      </c>
      <c r="C50" s="832">
        <f>T.A17!F50</f>
        <v>105.291</v>
      </c>
      <c r="D50" s="832">
        <f>T.A5b!B50-C50</f>
        <v>2195.9349999999999</v>
      </c>
      <c r="E50" s="814">
        <f t="shared" si="7"/>
        <v>1991.0759999999996</v>
      </c>
      <c r="F50" s="1089">
        <f>'Assets(MOFA)'!JI51/1000</f>
        <v>4830.3649999999998</v>
      </c>
      <c r="G50" s="834">
        <f>'Assets(MOFA)'!JT51/1000</f>
        <v>2839.2890000000002</v>
      </c>
      <c r="H50" s="1081">
        <f t="shared" si="8"/>
        <v>172.214</v>
      </c>
      <c r="I50" s="834">
        <f>'Assets(MOFA)'!JS51/1000</f>
        <v>239.10499999999999</v>
      </c>
      <c r="J50" s="834">
        <f>'Assets(MOFA)'!KD51/1000</f>
        <v>66.891000000000005</v>
      </c>
      <c r="K50" s="1210">
        <f t="shared" si="12"/>
        <v>8.6492931460175324E-2</v>
      </c>
      <c r="L50" s="837">
        <f t="shared" si="9"/>
        <v>1.1557700459450069</v>
      </c>
      <c r="M50" s="1213"/>
      <c r="N50" s="1213"/>
      <c r="P50" s="855">
        <f t="shared" si="13"/>
        <v>0.61139628601623563</v>
      </c>
      <c r="Q50" s="1095">
        <f t="shared" si="11"/>
        <v>4.5754306617429144E-2</v>
      </c>
    </row>
    <row r="51" spans="1:17">
      <c r="A51" s="826">
        <v>2007</v>
      </c>
      <c r="B51" s="1082">
        <f>T.A17!E51</f>
        <v>2809.9569999999999</v>
      </c>
      <c r="C51" s="832">
        <f>T.A17!F51</f>
        <v>114.702</v>
      </c>
      <c r="D51" s="832">
        <f>T.A5b!B51-C51</f>
        <v>2695.2550000000001</v>
      </c>
      <c r="E51" s="814">
        <f t="shared" si="7"/>
        <v>2435.8790000000004</v>
      </c>
      <c r="F51" s="1089">
        <f>'Assets(MOFA)'!JI52/1000</f>
        <v>5762.2780000000002</v>
      </c>
      <c r="G51" s="834">
        <f>'Assets(MOFA)'!JT52/1000</f>
        <v>3326.3989999999999</v>
      </c>
      <c r="H51" s="1081">
        <f t="shared" si="8"/>
        <v>211.84199999999998</v>
      </c>
      <c r="I51" s="834">
        <f>'Assets(MOFA)'!JS52/1000</f>
        <v>278.08699999999999</v>
      </c>
      <c r="J51" s="834">
        <f>'Assets(MOFA)'!KD52/1000</f>
        <v>66.245000000000005</v>
      </c>
      <c r="K51" s="1210">
        <f t="shared" si="12"/>
        <v>8.6967373995177913E-2</v>
      </c>
      <c r="L51" s="837">
        <f t="shared" si="9"/>
        <v>1.1535700254405081</v>
      </c>
      <c r="M51" s="1213"/>
      <c r="N51" s="1213"/>
      <c r="P51" s="855">
        <f t="shared" si="13"/>
        <v>0.54145070382643667</v>
      </c>
      <c r="Q51" s="1095">
        <f t="shared" si="11"/>
        <v>4.0819841727115398E-2</v>
      </c>
    </row>
    <row r="52" spans="1:17">
      <c r="A52" s="826">
        <v>2008</v>
      </c>
      <c r="B52" s="1082">
        <f>T.A17!E52</f>
        <v>3058.2220000000002</v>
      </c>
      <c r="C52" s="832">
        <f>T.A17!F52</f>
        <v>121.988</v>
      </c>
      <c r="D52" s="832">
        <f>T.A5b!B52-C52</f>
        <v>2936.2340000000004</v>
      </c>
      <c r="E52" s="814">
        <f t="shared" si="7"/>
        <v>2422.491</v>
      </c>
      <c r="F52" s="1089">
        <f>'Assets(MOFA)'!JI53/1000</f>
        <v>5962.7889999999998</v>
      </c>
      <c r="G52" s="834">
        <f>'Assets(MOFA)'!JT53/1000</f>
        <v>3540.2979999999998</v>
      </c>
      <c r="H52" s="1081">
        <f t="shared" si="8"/>
        <v>218.28899999999999</v>
      </c>
      <c r="I52" s="834">
        <f>'Assets(MOFA)'!JS53/1000</f>
        <v>291.20999999999998</v>
      </c>
      <c r="J52" s="834">
        <f>'Assets(MOFA)'!KD53/1000</f>
        <v>72.921000000000006</v>
      </c>
      <c r="K52" s="1210">
        <f t="shared" si="12"/>
        <v>9.0109313099615229E-2</v>
      </c>
      <c r="L52" s="837">
        <f t="shared" si="9"/>
        <v>1.2624286323457963</v>
      </c>
      <c r="M52" s="1213"/>
      <c r="N52" s="1213"/>
      <c r="P52" s="855">
        <f t="shared" si="13"/>
        <v>0.55883713792266221</v>
      </c>
      <c r="Q52" s="1095">
        <f t="shared" si="11"/>
        <v>3.9888536541820702E-2</v>
      </c>
    </row>
    <row r="53" spans="1:17">
      <c r="A53" s="856">
        <v>2009</v>
      </c>
      <c r="B53" s="1083">
        <f>T.A17!E53</f>
        <v>3340.0770000000002</v>
      </c>
      <c r="C53" s="876">
        <f>T.A17!F53</f>
        <v>116.301</v>
      </c>
      <c r="D53" s="876">
        <f>T.A5b!B53-C53</f>
        <v>3223.7760000000003</v>
      </c>
      <c r="E53" s="857">
        <f t="shared" si="7"/>
        <v>3206.5330000000004</v>
      </c>
      <c r="F53" s="1090">
        <f>'Assets(MOFA)'!JI54/1000</f>
        <v>7728.625</v>
      </c>
      <c r="G53" s="860">
        <f>'Assets(MOFA)'!JT54/1000</f>
        <v>4522.0919999999996</v>
      </c>
      <c r="H53" s="1357">
        <f t="shared" si="8"/>
        <v>203.62915344079624</v>
      </c>
      <c r="I53" s="860">
        <f>'Assets(MOFA)'!JS54/1000</f>
        <v>285.46300000000002</v>
      </c>
      <c r="J53" s="860">
        <f>'Assets(MOFA)'!KD54/1000</f>
        <v>81.833846559203764</v>
      </c>
      <c r="K53" s="1211">
        <f t="shared" si="12"/>
        <v>6.3504462121798291E-2</v>
      </c>
      <c r="L53" s="862">
        <f t="shared" si="9"/>
        <v>1.0416474740787012</v>
      </c>
      <c r="M53" s="1213"/>
      <c r="N53" s="1213"/>
      <c r="P53" s="855">
        <f t="shared" si="13"/>
        <v>0.57114120465964469</v>
      </c>
      <c r="Q53" s="1095">
        <f t="shared" si="11"/>
        <v>3.4819855949428706E-2</v>
      </c>
    </row>
    <row r="54" spans="1:17">
      <c r="A54" s="826">
        <v>2010</v>
      </c>
      <c r="B54" s="1082">
        <f>T.A17!E54</f>
        <v>3553.174</v>
      </c>
      <c r="C54" s="832">
        <f>T.A17!F54</f>
        <v>117.34</v>
      </c>
      <c r="D54" s="832">
        <f>T.A5b!B54-C54</f>
        <v>3435.8339999999998</v>
      </c>
      <c r="E54" s="814">
        <f t="shared" si="7"/>
        <v>3427.3310000000001</v>
      </c>
      <c r="F54" s="1089">
        <f>'Assets(MOFA)'!JI55/1000</f>
        <v>8238.01</v>
      </c>
      <c r="G54" s="834">
        <f>'Assets(MOFA)'!JT55/1000</f>
        <v>4810.6790000000001</v>
      </c>
      <c r="H54" s="1081">
        <f t="shared" si="8"/>
        <v>229.76330688159246</v>
      </c>
      <c r="I54" s="834">
        <f>'Assets(MOFA)'!JS55/1000</f>
        <v>320.51</v>
      </c>
      <c r="J54" s="834">
        <f>'Assets(MOFA)'!KD55/1000</f>
        <v>90.746693118407535</v>
      </c>
      <c r="K54" s="1210">
        <f t="shared" si="12"/>
        <v>6.7038551829861931E-2</v>
      </c>
      <c r="L54" s="837">
        <f t="shared" si="9"/>
        <v>1.0367174924161104</v>
      </c>
      <c r="M54" s="1213"/>
      <c r="N54" s="1213"/>
      <c r="P54" s="855">
        <f t="shared" si="13"/>
        <v>0.51069947413522676</v>
      </c>
      <c r="Q54" s="1095">
        <f t="shared" si="11"/>
        <v>3.3023994884573624E-2</v>
      </c>
    </row>
    <row r="55" spans="1:17">
      <c r="A55" s="826">
        <v>2011</v>
      </c>
      <c r="B55" s="1082">
        <f>T.A17!E55</f>
        <v>3855.7510000000002</v>
      </c>
      <c r="C55" s="832">
        <f>T.A17!F55</f>
        <v>123.51600000000001</v>
      </c>
      <c r="D55" s="832">
        <f>T.A5b!B55-C55</f>
        <v>3732.2350000000001</v>
      </c>
      <c r="E55" s="814">
        <f t="shared" si="7"/>
        <v>3720.5660000000007</v>
      </c>
      <c r="F55" s="1089">
        <f>'Assets(MOFA)'!JI56/1000</f>
        <v>9096.1090000000004</v>
      </c>
      <c r="G55" s="834">
        <f>'Assets(MOFA)'!JT56/1000</f>
        <v>5375.5429999999997</v>
      </c>
      <c r="H55" s="1081">
        <f t="shared" si="8"/>
        <v>250.0114603223887</v>
      </c>
      <c r="I55" s="834">
        <f>'Assets(MOFA)'!JS56/1000</f>
        <v>349.67099999999999</v>
      </c>
      <c r="J55" s="834">
        <f>'Assets(MOFA)'!KD56/1000</f>
        <v>99.659539677611306</v>
      </c>
      <c r="K55" s="1210">
        <f t="shared" si="12"/>
        <v>6.7197157723418596E-2</v>
      </c>
      <c r="L55" s="837">
        <f t="shared" si="9"/>
        <v>1.0363345254458594</v>
      </c>
      <c r="M55" s="1213"/>
      <c r="N55" s="1213"/>
      <c r="P55" s="855">
        <f t="shared" si="13"/>
        <v>0.49404135250730769</v>
      </c>
      <c r="Q55" s="1095">
        <f t="shared" si="11"/>
        <v>3.2034226276541199E-2</v>
      </c>
    </row>
    <row r="56" spans="1:17">
      <c r="A56" s="826">
        <v>2012</v>
      </c>
      <c r="B56" s="1082">
        <f>T.A17!E56</f>
        <v>4171.0360000000001</v>
      </c>
      <c r="C56" s="832">
        <f>T.A17!F56</f>
        <v>135.07300000000001</v>
      </c>
      <c r="D56" s="832">
        <f>T.A5b!B56-C56</f>
        <v>4035.9630000000002</v>
      </c>
      <c r="E56" s="814">
        <f t="shared" si="7"/>
        <v>4074.6310000000003</v>
      </c>
      <c r="F56" s="1089">
        <f>'Assets(MOFA)'!JI57/1000</f>
        <v>10020.894</v>
      </c>
      <c r="G56" s="834">
        <f>'Assets(MOFA)'!JT57/1000</f>
        <v>5946.2629999999999</v>
      </c>
      <c r="H56" s="1081">
        <f t="shared" si="8"/>
        <v>296.95361376318493</v>
      </c>
      <c r="I56" s="834">
        <f>'Assets(MOFA)'!JS57/1000</f>
        <v>405.52600000000001</v>
      </c>
      <c r="J56" s="834">
        <f>'Assets(MOFA)'!KD57/1000</f>
        <v>108.57238623681508</v>
      </c>
      <c r="K56" s="1210">
        <f t="shared" si="12"/>
        <v>7.287865177562948E-2</v>
      </c>
      <c r="L56" s="837">
        <f t="shared" si="9"/>
        <v>1.0236598111583601</v>
      </c>
      <c r="M56" s="1213"/>
      <c r="N56" s="1213"/>
      <c r="P56" s="855">
        <f t="shared" si="13"/>
        <v>0.45486228737299778</v>
      </c>
      <c r="Q56" s="1095">
        <f t="shared" si="11"/>
        <v>3.238356130227598E-2</v>
      </c>
    </row>
    <row r="57" spans="1:17">
      <c r="A57" s="826">
        <v>2013</v>
      </c>
      <c r="B57" s="1082">
        <f>T.A17!E57</f>
        <v>4379.7690000000002</v>
      </c>
      <c r="C57" s="832">
        <f>T.A17!F57</f>
        <v>154.88499999999999</v>
      </c>
      <c r="D57" s="832">
        <f>T.A5b!B57-C57</f>
        <v>4224.884</v>
      </c>
      <c r="E57" s="814">
        <f t="shared" si="7"/>
        <v>4076.9390000000003</v>
      </c>
      <c r="F57" s="1089">
        <f>'Assets(MOFA)'!JI58/1000</f>
        <v>10799.09</v>
      </c>
      <c r="G57" s="834">
        <f>'Assets(MOFA)'!JT58/1000</f>
        <v>6722.1509999999998</v>
      </c>
      <c r="H57" s="1081">
        <f t="shared" si="8"/>
        <v>372.04976720398122</v>
      </c>
      <c r="I57" s="834">
        <f>'Assets(MOFA)'!JS58/1000</f>
        <v>489.53500000000003</v>
      </c>
      <c r="J57" s="834">
        <f>'Assets(MOFA)'!KD58/1000</f>
        <v>117.48523279601883</v>
      </c>
      <c r="K57" s="1210">
        <f t="shared" si="12"/>
        <v>9.1257133649530003E-2</v>
      </c>
      <c r="L57" s="837">
        <f t="shared" si="9"/>
        <v>1.0742787664961384</v>
      </c>
      <c r="M57" s="1213"/>
      <c r="N57" s="1213"/>
      <c r="P57" s="855">
        <f t="shared" si="13"/>
        <v>0.41630183285421124</v>
      </c>
      <c r="Q57" s="1095">
        <f t="shared" si="11"/>
        <v>3.5363737219931003E-2</v>
      </c>
    </row>
    <row r="58" spans="1:17">
      <c r="A58" s="826">
        <v>2014</v>
      </c>
      <c r="B58" s="1082">
        <f>T.A17!E58</f>
        <v>4673.4110000000001</v>
      </c>
      <c r="C58" s="832">
        <f>T.A17!F58</f>
        <v>163.65600000000001</v>
      </c>
      <c r="D58" s="832">
        <f>T.A5b!B58-C58</f>
        <v>4509.7550000000001</v>
      </c>
      <c r="E58" s="814">
        <f t="shared" si="7"/>
        <v>4803.3969999999999</v>
      </c>
      <c r="F58" s="1089">
        <f>'Assets(MOFA)'!JI59/1000</f>
        <v>12339.821</v>
      </c>
      <c r="G58" s="834">
        <f>'Assets(MOFA)'!JT59/1000</f>
        <v>7536.424</v>
      </c>
      <c r="H58" s="1081">
        <f t="shared" si="8"/>
        <v>381.49892064477734</v>
      </c>
      <c r="I58" s="834">
        <f>'Assets(MOFA)'!JS59/1000</f>
        <v>507.89699999999999</v>
      </c>
      <c r="J58" s="834">
        <f>'Assets(MOFA)'!KD59/1000</f>
        <v>126.39807935522263</v>
      </c>
      <c r="K58" s="1210">
        <f t="shared" si="12"/>
        <v>7.9422733670520537E-2</v>
      </c>
      <c r="L58" s="837">
        <f t="shared" si="9"/>
        <v>0.97293873481621451</v>
      </c>
      <c r="M58" s="1213"/>
      <c r="N58" s="1213"/>
      <c r="P58" s="855">
        <f t="shared" si="13"/>
        <v>0.42898155445211333</v>
      </c>
      <c r="Q58" s="1095">
        <f t="shared" si="11"/>
        <v>3.5018533572159609E-2</v>
      </c>
    </row>
    <row r="59" spans="1:17">
      <c r="A59" s="826">
        <v>2015</v>
      </c>
      <c r="B59" s="1082">
        <f>T.A17!E59</f>
        <v>4828.9120000000003</v>
      </c>
      <c r="C59" s="832">
        <f>T.A17!F59</f>
        <v>144.26</v>
      </c>
      <c r="D59" s="832">
        <f>T.A5b!B59-C59</f>
        <v>4684.652</v>
      </c>
      <c r="E59" s="814">
        <f>F59-G59</f>
        <v>4914.84</v>
      </c>
      <c r="F59" s="1089">
        <f>'Assets(MOFA)'!JI60/1000</f>
        <v>12695.732</v>
      </c>
      <c r="G59" s="834">
        <f>'Assets(MOFA)'!JT60/1000</f>
        <v>7780.8919999999998</v>
      </c>
      <c r="H59" s="1081" t="e">
        <f t="shared" si="8"/>
        <v>#VALUE!</v>
      </c>
      <c r="I59" s="834">
        <f>'Assets(MOFA)'!JS60/1000</f>
        <v>488.08699999999999</v>
      </c>
      <c r="J59" s="834" t="e">
        <f>'Assets(MOFA)'!KD60/1000</f>
        <v>#VALUE!</v>
      </c>
      <c r="K59" s="1210" t="e">
        <f t="shared" si="12"/>
        <v>#VALUE!</v>
      </c>
      <c r="L59" s="837">
        <f>B59/E59</f>
        <v>0.98251662312506616</v>
      </c>
      <c r="M59" s="1213"/>
      <c r="N59" s="1359"/>
      <c r="P59" s="855" t="e">
        <f t="shared" si="13"/>
        <v>#VALUE!</v>
      </c>
      <c r="Q59" s="1095">
        <f t="shared" si="11"/>
        <v>2.9874224255898633E-2</v>
      </c>
    </row>
    <row r="60" spans="1:17">
      <c r="A60" s="826">
        <v>2016</v>
      </c>
      <c r="B60" s="1082">
        <f>T.A17!E60</f>
        <v>5143.1400000000003</v>
      </c>
      <c r="C60" s="832">
        <f>T.A17!F60</f>
        <v>143.018</v>
      </c>
      <c r="D60" s="832">
        <f>T.A5b!B60-C60</f>
        <v>5000.1220000000003</v>
      </c>
      <c r="E60" s="814"/>
      <c r="F60" s="827"/>
      <c r="G60" s="827"/>
      <c r="H60" s="1081"/>
      <c r="I60" s="827"/>
      <c r="J60" s="827"/>
      <c r="K60" s="996"/>
      <c r="L60" s="897"/>
      <c r="M60" s="1215"/>
      <c r="N60" s="1215"/>
    </row>
    <row r="61" spans="1:17" ht="16" thickBot="1">
      <c r="A61" s="819"/>
      <c r="B61" s="820"/>
      <c r="C61" s="821"/>
      <c r="D61" s="833"/>
      <c r="E61" s="820"/>
      <c r="F61" s="821"/>
      <c r="G61" s="821"/>
      <c r="H61" s="954"/>
      <c r="I61" s="821"/>
      <c r="J61" s="821"/>
      <c r="K61" s="835"/>
      <c r="L61" s="823"/>
      <c r="M61" s="1112"/>
      <c r="N61" s="1112"/>
    </row>
    <row r="62" spans="1:17" ht="16" thickTop="1">
      <c r="D62" s="824"/>
      <c r="Q62" s="829"/>
    </row>
    <row r="63" spans="1:17" s="825" customFormat="1">
      <c r="A63" s="805"/>
      <c r="B63" s="805"/>
      <c r="C63" s="805"/>
      <c r="D63" s="805"/>
      <c r="E63" s="805"/>
      <c r="F63" s="805"/>
      <c r="G63" s="805"/>
      <c r="H63" s="805"/>
      <c r="I63" s="805"/>
      <c r="J63" s="805"/>
      <c r="K63" s="805"/>
      <c r="L63" s="805"/>
      <c r="M63" s="805"/>
      <c r="N63" s="805"/>
      <c r="Q63" s="805"/>
    </row>
    <row r="65" spans="1:17" s="825" customFormat="1">
      <c r="A65" s="805"/>
      <c r="B65" s="805"/>
      <c r="C65" s="805"/>
      <c r="D65" s="805"/>
      <c r="E65" s="805"/>
      <c r="F65" s="805"/>
      <c r="G65" s="805"/>
      <c r="H65" s="805"/>
      <c r="I65" s="805"/>
      <c r="J65" s="805"/>
      <c r="K65" s="805"/>
      <c r="L65" s="805"/>
      <c r="M65" s="805"/>
      <c r="N65" s="805"/>
      <c r="Q65" s="805"/>
    </row>
  </sheetData>
  <mergeCells count="9">
    <mergeCell ref="H8:H9"/>
    <mergeCell ref="A3:L3"/>
    <mergeCell ref="B6:J6"/>
    <mergeCell ref="K6:K9"/>
    <mergeCell ref="L6:L9"/>
    <mergeCell ref="B7:D7"/>
    <mergeCell ref="E7:J7"/>
    <mergeCell ref="B8:B9"/>
    <mergeCell ref="E8:E9"/>
  </mergeCells>
  <pageMargins left="0.75" right="0.75" top="1" bottom="1" header="0.5" footer="0.5"/>
  <pageSetup scale="74" orientation="portrait" horizontalDpi="4294967292" verticalDpi="4294967292"/>
  <extLst>
    <ext xmlns:mx="http://schemas.microsoft.com/office/mac/excel/2008/main" uri="{64002731-A6B0-56B0-2670-7721B7C09600}">
      <mx:PLV Mode="0" OnePage="0" WScale="0"/>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86"/>
  <sheetViews>
    <sheetView workbookViewId="0">
      <pane xSplit="1" ySplit="7" topLeftCell="B54"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38" style="470" customWidth="1"/>
    <col min="2" max="16384" width="7.5703125" style="470"/>
  </cols>
  <sheetData>
    <row r="1" spans="1:38" ht="17">
      <c r="A1" s="1978" t="s">
        <v>1460</v>
      </c>
      <c r="B1" s="1976"/>
      <c r="C1" s="1976"/>
      <c r="D1" s="1976"/>
      <c r="E1" s="1976"/>
      <c r="F1" s="1976"/>
      <c r="G1" s="1976"/>
      <c r="H1" s="1976"/>
      <c r="I1" s="1976"/>
      <c r="J1" s="1976"/>
      <c r="K1" s="1976"/>
      <c r="L1" s="1976"/>
      <c r="M1" s="1976"/>
      <c r="N1" s="1976"/>
      <c r="O1" s="1976"/>
      <c r="P1" s="1976"/>
      <c r="Q1" s="1976"/>
      <c r="R1" s="1976"/>
      <c r="S1" s="1976"/>
      <c r="T1" s="1976"/>
      <c r="U1" s="1976"/>
      <c r="V1" s="1976"/>
      <c r="W1" s="1976"/>
      <c r="X1" s="1976"/>
      <c r="Y1" s="1976"/>
      <c r="Z1" s="1976"/>
      <c r="AA1" s="1976"/>
      <c r="AB1" s="1976"/>
      <c r="AC1" s="1976"/>
      <c r="AD1" s="1976"/>
      <c r="AE1" s="1976"/>
      <c r="AF1" s="1976"/>
      <c r="AG1" s="1976"/>
      <c r="AH1" s="1976"/>
      <c r="AI1" s="1976"/>
      <c r="AJ1" s="1976"/>
      <c r="AK1" s="1976"/>
      <c r="AL1" s="1976"/>
    </row>
    <row r="2" spans="1:38" ht="16">
      <c r="A2" s="1979" t="s">
        <v>1459</v>
      </c>
      <c r="B2" s="1976"/>
      <c r="C2" s="1976"/>
      <c r="D2" s="1976"/>
      <c r="E2" s="1976"/>
      <c r="F2" s="1976"/>
      <c r="G2" s="1976"/>
      <c r="H2" s="1976"/>
      <c r="I2" s="1976"/>
      <c r="J2" s="1976"/>
      <c r="K2" s="1976"/>
      <c r="L2" s="1976"/>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row>
    <row r="3" spans="1:38">
      <c r="A3" s="1976" t="s">
        <v>160</v>
      </c>
      <c r="B3" s="1976"/>
      <c r="C3" s="1976"/>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row>
    <row r="4" spans="1:38">
      <c r="A4" s="1976" t="s">
        <v>701</v>
      </c>
      <c r="B4" s="1976"/>
      <c r="C4" s="1976"/>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c r="AL4" s="1976"/>
    </row>
    <row r="6" spans="1:38">
      <c r="A6" s="1977" t="s">
        <v>0</v>
      </c>
      <c r="B6" s="1977" t="s">
        <v>1458</v>
      </c>
      <c r="C6" s="1977"/>
      <c r="D6" s="1977"/>
      <c r="E6" s="1977"/>
      <c r="F6" s="1977"/>
      <c r="G6" s="1977"/>
      <c r="H6" s="1977"/>
      <c r="I6" s="1977"/>
      <c r="J6" s="1977"/>
      <c r="K6" s="1977"/>
      <c r="L6" s="1977"/>
      <c r="M6" s="1977"/>
      <c r="N6" s="1977"/>
      <c r="O6" s="1977"/>
      <c r="P6" s="1977"/>
      <c r="Q6" s="1977"/>
      <c r="R6" s="1977"/>
      <c r="S6" s="1977"/>
      <c r="T6" s="1977"/>
      <c r="U6" s="1977"/>
      <c r="V6" s="1977"/>
      <c r="W6" s="1977"/>
      <c r="X6" s="1977"/>
      <c r="Y6" s="1977"/>
      <c r="Z6" s="1977"/>
      <c r="AA6" s="1977"/>
      <c r="AB6" s="1977"/>
      <c r="AC6" s="1977"/>
      <c r="AD6" s="1977"/>
      <c r="AE6" s="1977"/>
      <c r="AF6" s="1977"/>
      <c r="AG6" s="1977"/>
      <c r="AH6" s="1977"/>
      <c r="AI6" s="1977"/>
      <c r="AJ6" s="1977"/>
      <c r="AK6" s="1977"/>
      <c r="AL6" s="1977"/>
    </row>
    <row r="7" spans="1:38">
      <c r="A7" s="1977"/>
      <c r="B7" s="1977" t="s">
        <v>107</v>
      </c>
      <c r="C7" s="1977" t="s">
        <v>106</v>
      </c>
      <c r="D7" s="1977" t="s">
        <v>105</v>
      </c>
      <c r="E7" s="1977" t="s">
        <v>104</v>
      </c>
      <c r="F7" s="1977" t="s">
        <v>103</v>
      </c>
      <c r="G7" s="1977" t="s">
        <v>102</v>
      </c>
      <c r="H7" s="1977" t="s">
        <v>101</v>
      </c>
      <c r="I7" s="1977" t="s">
        <v>100</v>
      </c>
      <c r="J7" s="1977" t="s">
        <v>99</v>
      </c>
      <c r="K7" s="1977" t="s">
        <v>98</v>
      </c>
      <c r="L7" s="1977" t="s">
        <v>97</v>
      </c>
      <c r="M7" s="1977" t="s">
        <v>96</v>
      </c>
      <c r="N7" s="1977" t="s">
        <v>95</v>
      </c>
      <c r="O7" s="1977" t="s">
        <v>94</v>
      </c>
      <c r="P7" s="1977" t="s">
        <v>93</v>
      </c>
      <c r="Q7" s="1977" t="s">
        <v>92</v>
      </c>
      <c r="R7" s="1977" t="s">
        <v>91</v>
      </c>
      <c r="S7" s="1977" t="s">
        <v>90</v>
      </c>
      <c r="T7" s="1977" t="s">
        <v>89</v>
      </c>
      <c r="U7" s="1977" t="s">
        <v>88</v>
      </c>
      <c r="V7" s="1977" t="s">
        <v>87</v>
      </c>
      <c r="W7" s="1977" t="s">
        <v>86</v>
      </c>
      <c r="X7" s="1977" t="s">
        <v>85</v>
      </c>
      <c r="Y7" s="1977" t="s">
        <v>84</v>
      </c>
      <c r="Z7" s="1977" t="s">
        <v>83</v>
      </c>
      <c r="AA7" s="1977" t="s">
        <v>82</v>
      </c>
      <c r="AB7" s="1977" t="s">
        <v>81</v>
      </c>
      <c r="AC7" s="1977" t="s">
        <v>80</v>
      </c>
      <c r="AD7" s="1977" t="s">
        <v>79</v>
      </c>
      <c r="AE7" s="1977" t="s">
        <v>78</v>
      </c>
      <c r="AF7" s="1977" t="s">
        <v>77</v>
      </c>
      <c r="AG7" s="1977" t="s">
        <v>76</v>
      </c>
      <c r="AH7" s="1977" t="s">
        <v>75</v>
      </c>
      <c r="AI7" s="1977" t="s">
        <v>74</v>
      </c>
      <c r="AJ7" s="1977" t="s">
        <v>866</v>
      </c>
      <c r="AK7" s="1977" t="s">
        <v>865</v>
      </c>
      <c r="AL7" s="1977" t="s">
        <v>864</v>
      </c>
    </row>
    <row r="8" spans="1:38">
      <c r="A8" s="470" t="s">
        <v>511</v>
      </c>
      <c r="B8" s="470">
        <v>2713</v>
      </c>
      <c r="C8" s="470">
        <v>7455</v>
      </c>
      <c r="D8" s="470">
        <v>6448</v>
      </c>
      <c r="E8" s="470">
        <v>3159</v>
      </c>
      <c r="F8" s="470">
        <v>7418</v>
      </c>
      <c r="G8" s="470">
        <v>5186</v>
      </c>
      <c r="H8" s="470">
        <v>11298</v>
      </c>
      <c r="I8" s="470">
        <v>24683</v>
      </c>
      <c r="J8" s="470">
        <v>11562</v>
      </c>
      <c r="K8" s="470">
        <v>24624</v>
      </c>
      <c r="L8" s="470">
        <v>6339</v>
      </c>
      <c r="M8" s="470">
        <v>-4328</v>
      </c>
      <c r="N8" s="470">
        <v>-202</v>
      </c>
      <c r="O8" s="470">
        <v>28750</v>
      </c>
      <c r="P8" s="470">
        <v>4027</v>
      </c>
      <c r="Q8" s="470">
        <v>1461</v>
      </c>
      <c r="R8" s="470">
        <v>14262</v>
      </c>
      <c r="S8" s="470">
        <v>31136</v>
      </c>
      <c r="T8" s="470">
        <v>29112</v>
      </c>
      <c r="U8" s="470">
        <v>63754</v>
      </c>
      <c r="V8" s="470">
        <v>61895</v>
      </c>
      <c r="W8" s="470">
        <v>59969</v>
      </c>
      <c r="X8" s="470">
        <v>-22555</v>
      </c>
      <c r="Y8" s="470">
        <v>-43957</v>
      </c>
      <c r="Z8" s="470">
        <v>3532</v>
      </c>
      <c r="AA8" s="470">
        <v>180</v>
      </c>
      <c r="AB8" s="470">
        <v>59008</v>
      </c>
      <c r="AC8" s="470">
        <v>30748</v>
      </c>
      <c r="AD8" s="470">
        <v>15231</v>
      </c>
      <c r="AE8" s="470">
        <v>1977</v>
      </c>
      <c r="AF8" s="470">
        <v>2703</v>
      </c>
      <c r="AG8" s="470">
        <v>51017</v>
      </c>
      <c r="AH8" s="470">
        <v>49</v>
      </c>
      <c r="AI8" s="470">
        <v>5504</v>
      </c>
      <c r="AJ8" s="470">
        <v>65913</v>
      </c>
      <c r="AK8" s="470">
        <v>86524</v>
      </c>
      <c r="AL8" s="470">
        <v>116561</v>
      </c>
    </row>
    <row r="9" spans="1:38">
      <c r="A9" s="470" t="s">
        <v>510</v>
      </c>
      <c r="B9" s="470">
        <v>511</v>
      </c>
      <c r="C9" s="470">
        <v>187</v>
      </c>
      <c r="D9" s="470">
        <v>-18</v>
      </c>
      <c r="E9" s="470">
        <v>18</v>
      </c>
      <c r="F9" s="470">
        <v>603</v>
      </c>
      <c r="G9" s="470">
        <v>-49</v>
      </c>
      <c r="H9" s="470">
        <v>1419</v>
      </c>
      <c r="I9" s="470">
        <v>1266</v>
      </c>
      <c r="J9" s="470">
        <v>717</v>
      </c>
      <c r="K9" s="470">
        <v>1342</v>
      </c>
      <c r="L9" s="470">
        <v>-560</v>
      </c>
      <c r="M9" s="470">
        <v>-682</v>
      </c>
      <c r="N9" s="470">
        <v>-313</v>
      </c>
      <c r="O9" s="470">
        <v>356</v>
      </c>
      <c r="P9" s="470">
        <v>-68</v>
      </c>
      <c r="Q9" s="470">
        <v>-1418</v>
      </c>
      <c r="R9" s="470">
        <v>993</v>
      </c>
      <c r="S9" s="470">
        <v>734</v>
      </c>
      <c r="T9" s="470">
        <v>315</v>
      </c>
      <c r="U9" s="470">
        <v>2276</v>
      </c>
      <c r="V9" s="470">
        <v>-4390</v>
      </c>
      <c r="W9" s="470">
        <v>819</v>
      </c>
      <c r="X9" s="470">
        <v>-1583</v>
      </c>
      <c r="Y9" s="470">
        <v>900</v>
      </c>
      <c r="Z9" s="470">
        <v>4177</v>
      </c>
      <c r="AA9" s="470">
        <v>591</v>
      </c>
      <c r="AB9" s="470">
        <v>-7098</v>
      </c>
      <c r="AC9" s="470">
        <v>6175</v>
      </c>
      <c r="AD9" s="470">
        <v>-3606</v>
      </c>
      <c r="AE9" s="470">
        <v>7664</v>
      </c>
      <c r="AF9" s="470">
        <v>-10787</v>
      </c>
      <c r="AG9" s="470">
        <v>3136</v>
      </c>
      <c r="AH9" s="470">
        <v>3501</v>
      </c>
      <c r="AI9" s="470">
        <v>609</v>
      </c>
      <c r="AJ9" s="470">
        <v>6520</v>
      </c>
      <c r="AK9" s="470">
        <v>-632</v>
      </c>
      <c r="AL9" s="470">
        <v>1316</v>
      </c>
    </row>
    <row r="10" spans="1:38">
      <c r="A10" s="470" t="s">
        <v>2</v>
      </c>
      <c r="B10" s="470">
        <v>1060</v>
      </c>
      <c r="C10" s="470">
        <v>4323</v>
      </c>
      <c r="D10" s="470">
        <v>4441</v>
      </c>
      <c r="E10" s="470">
        <v>3021</v>
      </c>
      <c r="F10" s="470">
        <v>5918</v>
      </c>
      <c r="G10" s="470">
        <v>4678</v>
      </c>
      <c r="H10" s="470">
        <v>5551</v>
      </c>
      <c r="I10" s="470">
        <v>24199</v>
      </c>
      <c r="J10" s="470">
        <v>5728</v>
      </c>
      <c r="K10" s="470">
        <v>13925</v>
      </c>
      <c r="L10" s="470">
        <v>-2285</v>
      </c>
      <c r="M10" s="470">
        <v>1034</v>
      </c>
      <c r="N10" s="470">
        <v>-4316</v>
      </c>
      <c r="O10" s="470">
        <v>25690</v>
      </c>
      <c r="P10" s="470">
        <v>3803</v>
      </c>
      <c r="Q10" s="470">
        <v>4524</v>
      </c>
      <c r="R10" s="470">
        <v>13278</v>
      </c>
      <c r="S10" s="470">
        <v>26738</v>
      </c>
      <c r="T10" s="470">
        <v>35500</v>
      </c>
      <c r="U10" s="470">
        <v>54988</v>
      </c>
      <c r="V10" s="470">
        <v>62948</v>
      </c>
      <c r="W10" s="470">
        <v>64018</v>
      </c>
      <c r="X10" s="470">
        <v>-22050</v>
      </c>
      <c r="Y10" s="470">
        <v>-42059</v>
      </c>
      <c r="Z10" s="470">
        <v>755</v>
      </c>
      <c r="AA10" s="470">
        <v>5882</v>
      </c>
      <c r="AB10" s="470">
        <v>54099</v>
      </c>
      <c r="AC10" s="470">
        <v>27839</v>
      </c>
      <c r="AD10" s="470">
        <v>13071</v>
      </c>
      <c r="AE10" s="470">
        <v>-1755</v>
      </c>
      <c r="AF10" s="470">
        <v>4280</v>
      </c>
      <c r="AG10" s="470">
        <v>31311</v>
      </c>
      <c r="AH10" s="470">
        <v>11898</v>
      </c>
      <c r="AI10" s="470">
        <v>-6177</v>
      </c>
      <c r="AJ10" s="470">
        <v>40192</v>
      </c>
      <c r="AK10" s="470">
        <v>84443</v>
      </c>
      <c r="AL10" s="470">
        <v>110392</v>
      </c>
    </row>
    <row r="11" spans="1:38">
      <c r="A11" s="470" t="s">
        <v>509</v>
      </c>
      <c r="B11" s="470" t="s">
        <v>273</v>
      </c>
      <c r="C11" s="470" t="s">
        <v>273</v>
      </c>
      <c r="D11" s="470" t="s">
        <v>273</v>
      </c>
      <c r="E11" s="470" t="s">
        <v>273</v>
      </c>
      <c r="F11" s="470" t="s">
        <v>273</v>
      </c>
      <c r="G11" s="470" t="s">
        <v>273</v>
      </c>
      <c r="H11" s="470" t="s">
        <v>273</v>
      </c>
      <c r="I11" s="470">
        <v>45</v>
      </c>
      <c r="J11" s="470">
        <v>6</v>
      </c>
      <c r="K11" s="470">
        <v>-1</v>
      </c>
      <c r="L11" s="470">
        <v>231</v>
      </c>
      <c r="M11" s="470">
        <v>-6</v>
      </c>
      <c r="N11" s="470">
        <v>11</v>
      </c>
      <c r="O11" s="470">
        <v>76</v>
      </c>
      <c r="P11" s="470">
        <v>56</v>
      </c>
      <c r="Q11" s="470">
        <v>168</v>
      </c>
      <c r="R11" s="470">
        <v>99</v>
      </c>
      <c r="S11" s="470">
        <v>30</v>
      </c>
      <c r="T11" s="470">
        <v>29</v>
      </c>
      <c r="U11" s="470" t="s">
        <v>291</v>
      </c>
      <c r="V11" s="470">
        <v>-10</v>
      </c>
      <c r="W11" s="470">
        <v>-88</v>
      </c>
      <c r="X11" s="470">
        <v>970</v>
      </c>
      <c r="Y11" s="470">
        <v>63</v>
      </c>
      <c r="Z11" s="470" t="s">
        <v>291</v>
      </c>
      <c r="AA11" s="470">
        <v>-960</v>
      </c>
      <c r="AB11" s="470" t="s">
        <v>291</v>
      </c>
      <c r="AC11" s="470">
        <v>355</v>
      </c>
      <c r="AD11" s="470">
        <v>-319</v>
      </c>
      <c r="AE11" s="470">
        <v>-273</v>
      </c>
      <c r="AF11" s="470">
        <v>-87</v>
      </c>
      <c r="AG11" s="470" t="s">
        <v>291</v>
      </c>
      <c r="AH11" s="470">
        <v>78</v>
      </c>
      <c r="AI11" s="470">
        <v>165</v>
      </c>
      <c r="AJ11" s="470">
        <v>53</v>
      </c>
      <c r="AK11" s="470">
        <v>-316</v>
      </c>
      <c r="AL11" s="470">
        <v>3037</v>
      </c>
    </row>
    <row r="12" spans="1:38">
      <c r="A12" s="470" t="s">
        <v>508</v>
      </c>
      <c r="B12" s="470">
        <v>-16</v>
      </c>
      <c r="C12" s="470">
        <v>62</v>
      </c>
      <c r="D12" s="470">
        <v>-12</v>
      </c>
      <c r="E12" s="470">
        <v>57</v>
      </c>
      <c r="F12" s="470">
        <v>59</v>
      </c>
      <c r="G12" s="470">
        <v>-354</v>
      </c>
      <c r="H12" s="470">
        <v>460</v>
      </c>
      <c r="I12" s="470">
        <v>75</v>
      </c>
      <c r="J12" s="470">
        <v>116</v>
      </c>
      <c r="K12" s="470">
        <v>33</v>
      </c>
      <c r="L12" s="470" t="s">
        <v>291</v>
      </c>
      <c r="M12" s="470">
        <v>-581</v>
      </c>
      <c r="N12" s="470">
        <v>557</v>
      </c>
      <c r="O12" s="470">
        <v>207</v>
      </c>
      <c r="P12" s="470">
        <v>43</v>
      </c>
      <c r="Q12" s="470">
        <v>334</v>
      </c>
      <c r="R12" s="470">
        <v>33</v>
      </c>
      <c r="S12" s="470">
        <v>1360</v>
      </c>
      <c r="T12" s="470">
        <v>725</v>
      </c>
      <c r="U12" s="470">
        <v>208</v>
      </c>
      <c r="V12" s="470">
        <v>2239</v>
      </c>
      <c r="W12" s="470">
        <v>232</v>
      </c>
      <c r="X12" s="470">
        <v>-3373</v>
      </c>
      <c r="Y12" s="470">
        <v>1088</v>
      </c>
      <c r="Z12" s="470">
        <v>10</v>
      </c>
      <c r="AA12" s="470">
        <v>-2189</v>
      </c>
      <c r="AB12" s="470">
        <v>223</v>
      </c>
      <c r="AC12" s="470">
        <v>10327</v>
      </c>
      <c r="AD12" s="470">
        <v>-4488</v>
      </c>
      <c r="AE12" s="470">
        <v>11761</v>
      </c>
      <c r="AF12" s="470">
        <v>4940</v>
      </c>
      <c r="AG12" s="470">
        <v>8492</v>
      </c>
      <c r="AH12" s="470">
        <v>8763</v>
      </c>
      <c r="AI12" s="470">
        <v>-12265</v>
      </c>
      <c r="AJ12" s="470">
        <v>-2523</v>
      </c>
      <c r="AK12" s="470">
        <v>-10691</v>
      </c>
      <c r="AL12" s="470">
        <v>1806</v>
      </c>
    </row>
    <row r="13" spans="1:38">
      <c r="A13" s="470" t="s">
        <v>506</v>
      </c>
      <c r="B13" s="470" t="s">
        <v>273</v>
      </c>
      <c r="C13" s="470" t="s">
        <v>273</v>
      </c>
      <c r="D13" s="470" t="s">
        <v>273</v>
      </c>
      <c r="E13" s="470" t="s">
        <v>273</v>
      </c>
      <c r="F13" s="470" t="s">
        <v>273</v>
      </c>
      <c r="G13" s="470" t="s">
        <v>273</v>
      </c>
      <c r="H13" s="470" t="s">
        <v>273</v>
      </c>
      <c r="I13" s="470">
        <v>7</v>
      </c>
      <c r="J13" s="470">
        <v>59</v>
      </c>
      <c r="K13" s="470" t="s">
        <v>291</v>
      </c>
      <c r="L13" s="470">
        <v>-6</v>
      </c>
      <c r="M13" s="470">
        <v>-632</v>
      </c>
      <c r="N13" s="470">
        <v>227</v>
      </c>
      <c r="O13" s="470">
        <v>592</v>
      </c>
      <c r="P13" s="470">
        <v>281</v>
      </c>
      <c r="Q13" s="470">
        <v>417</v>
      </c>
      <c r="R13" s="470" t="s">
        <v>291</v>
      </c>
      <c r="S13" s="470">
        <v>14</v>
      </c>
      <c r="T13" s="470">
        <v>233</v>
      </c>
      <c r="U13" s="470">
        <v>1657</v>
      </c>
      <c r="V13" s="470">
        <v>-3289</v>
      </c>
      <c r="W13" s="470">
        <v>-610</v>
      </c>
      <c r="X13" s="470">
        <v>2221</v>
      </c>
      <c r="Y13" s="470">
        <v>56</v>
      </c>
      <c r="Z13" s="470">
        <v>91</v>
      </c>
      <c r="AA13" s="470">
        <v>30</v>
      </c>
      <c r="AB13" s="470">
        <v>-433</v>
      </c>
      <c r="AC13" s="470">
        <v>-1442</v>
      </c>
      <c r="AD13" s="470">
        <v>291</v>
      </c>
      <c r="AE13" s="470">
        <v>640</v>
      </c>
      <c r="AF13" s="470">
        <v>267</v>
      </c>
      <c r="AG13" s="470">
        <v>344</v>
      </c>
      <c r="AH13" s="470">
        <v>-734</v>
      </c>
      <c r="AI13" s="470">
        <v>1239</v>
      </c>
      <c r="AJ13" s="470">
        <v>1551</v>
      </c>
      <c r="AK13" s="470">
        <v>237</v>
      </c>
      <c r="AL13" s="470">
        <v>843</v>
      </c>
    </row>
    <row r="14" spans="1:38">
      <c r="A14" s="470" t="s">
        <v>1445</v>
      </c>
      <c r="B14" s="470">
        <v>3</v>
      </c>
      <c r="C14" s="470">
        <v>44</v>
      </c>
      <c r="D14" s="470">
        <v>4</v>
      </c>
      <c r="E14" s="470">
        <v>-41</v>
      </c>
      <c r="F14" s="470">
        <v>62</v>
      </c>
      <c r="G14" s="470">
        <v>45</v>
      </c>
      <c r="H14" s="470" t="s">
        <v>273</v>
      </c>
      <c r="I14" s="470" t="s">
        <v>273</v>
      </c>
      <c r="J14" s="470" t="s">
        <v>273</v>
      </c>
      <c r="K14" s="470" t="s">
        <v>273</v>
      </c>
      <c r="L14" s="470" t="s">
        <v>273</v>
      </c>
      <c r="M14" s="470" t="s">
        <v>273</v>
      </c>
      <c r="N14" s="470" t="s">
        <v>273</v>
      </c>
      <c r="O14" s="470" t="s">
        <v>273</v>
      </c>
      <c r="P14" s="470" t="s">
        <v>273</v>
      </c>
      <c r="Q14" s="470" t="s">
        <v>273</v>
      </c>
      <c r="R14" s="470" t="s">
        <v>273</v>
      </c>
      <c r="S14" s="470" t="s">
        <v>273</v>
      </c>
      <c r="T14" s="470" t="s">
        <v>273</v>
      </c>
      <c r="U14" s="470" t="s">
        <v>273</v>
      </c>
      <c r="V14" s="470" t="s">
        <v>273</v>
      </c>
      <c r="W14" s="470" t="s">
        <v>273</v>
      </c>
      <c r="X14" s="470" t="s">
        <v>273</v>
      </c>
      <c r="Y14" s="470" t="s">
        <v>273</v>
      </c>
      <c r="Z14" s="470" t="s">
        <v>273</v>
      </c>
      <c r="AA14" s="470" t="s">
        <v>273</v>
      </c>
      <c r="AB14" s="470" t="s">
        <v>273</v>
      </c>
      <c r="AC14" s="470" t="s">
        <v>273</v>
      </c>
      <c r="AD14" s="470" t="s">
        <v>273</v>
      </c>
      <c r="AE14" s="470" t="s">
        <v>273</v>
      </c>
      <c r="AF14" s="470" t="s">
        <v>273</v>
      </c>
      <c r="AG14" s="470" t="s">
        <v>273</v>
      </c>
      <c r="AH14" s="470" t="s">
        <v>273</v>
      </c>
      <c r="AI14" s="470" t="s">
        <v>273</v>
      </c>
      <c r="AJ14" s="470" t="s">
        <v>273</v>
      </c>
      <c r="AK14" s="470" t="s">
        <v>273</v>
      </c>
      <c r="AL14" s="470" t="s">
        <v>273</v>
      </c>
    </row>
    <row r="15" spans="1:38">
      <c r="A15" s="470" t="s">
        <v>505</v>
      </c>
      <c r="B15" s="470" t="s">
        <v>273</v>
      </c>
      <c r="C15" s="470" t="s">
        <v>273</v>
      </c>
      <c r="D15" s="470" t="s">
        <v>273</v>
      </c>
      <c r="E15" s="470" t="s">
        <v>273</v>
      </c>
      <c r="F15" s="470" t="s">
        <v>273</v>
      </c>
      <c r="G15" s="470" t="s">
        <v>273</v>
      </c>
      <c r="H15" s="470" t="s">
        <v>273</v>
      </c>
      <c r="I15" s="470">
        <v>46</v>
      </c>
      <c r="J15" s="470" t="s">
        <v>291</v>
      </c>
      <c r="K15" s="470">
        <v>657</v>
      </c>
      <c r="L15" s="470">
        <v>414</v>
      </c>
      <c r="M15" s="470">
        <v>-172</v>
      </c>
      <c r="N15" s="470">
        <v>253</v>
      </c>
      <c r="O15" s="470">
        <v>-51</v>
      </c>
      <c r="P15" s="470">
        <v>197</v>
      </c>
      <c r="Q15" s="470">
        <v>550</v>
      </c>
      <c r="R15" s="470">
        <v>89</v>
      </c>
      <c r="S15" s="471">
        <v>0</v>
      </c>
      <c r="T15" s="470">
        <v>-118</v>
      </c>
      <c r="U15" s="470" t="s">
        <v>291</v>
      </c>
      <c r="V15" s="470">
        <v>1463</v>
      </c>
      <c r="W15" s="470">
        <v>-1169</v>
      </c>
      <c r="X15" s="470">
        <v>-796</v>
      </c>
      <c r="Y15" s="470" t="s">
        <v>291</v>
      </c>
      <c r="Z15" s="470" t="s">
        <v>291</v>
      </c>
      <c r="AA15" s="470">
        <v>359</v>
      </c>
      <c r="AB15" s="470" t="s">
        <v>291</v>
      </c>
      <c r="AC15" s="470">
        <v>-581</v>
      </c>
      <c r="AD15" s="471">
        <f>(AC15+AE15)/2</f>
        <v>-352</v>
      </c>
      <c r="AE15" s="470">
        <v>-123</v>
      </c>
      <c r="AF15" s="470">
        <v>-167</v>
      </c>
      <c r="AG15" s="470" t="s">
        <v>291</v>
      </c>
      <c r="AH15" s="470">
        <v>48</v>
      </c>
      <c r="AI15" s="470">
        <v>532</v>
      </c>
      <c r="AJ15" s="470">
        <v>-844</v>
      </c>
      <c r="AK15" s="470">
        <v>195</v>
      </c>
      <c r="AL15" s="470">
        <v>-245</v>
      </c>
    </row>
    <row r="16" spans="1:38">
      <c r="A16" s="470" t="s">
        <v>504</v>
      </c>
      <c r="B16" s="470">
        <v>73</v>
      </c>
      <c r="C16" s="470">
        <v>787</v>
      </c>
      <c r="D16" s="470">
        <v>-134</v>
      </c>
      <c r="E16" s="470">
        <v>-90</v>
      </c>
      <c r="F16" s="470">
        <v>411</v>
      </c>
      <c r="G16" s="470">
        <v>-327</v>
      </c>
      <c r="H16" s="470">
        <v>-555</v>
      </c>
      <c r="I16" s="470">
        <v>1133</v>
      </c>
      <c r="J16" s="470">
        <v>1020</v>
      </c>
      <c r="K16" s="470">
        <v>-1706</v>
      </c>
      <c r="L16" s="470">
        <v>656</v>
      </c>
      <c r="M16" s="470">
        <v>2693</v>
      </c>
      <c r="N16" s="470">
        <v>-1726</v>
      </c>
      <c r="O16" s="470">
        <v>6251</v>
      </c>
      <c r="P16" s="470">
        <v>3535</v>
      </c>
      <c r="Q16" s="470">
        <v>199</v>
      </c>
      <c r="R16" s="470">
        <v>677</v>
      </c>
      <c r="S16" s="470">
        <v>2737</v>
      </c>
      <c r="T16" s="470">
        <v>1854</v>
      </c>
      <c r="U16" s="470">
        <v>12695</v>
      </c>
      <c r="V16" s="470">
        <v>5012</v>
      </c>
      <c r="W16" s="470">
        <v>-3781</v>
      </c>
      <c r="X16" s="470">
        <v>-3298</v>
      </c>
      <c r="Y16" s="470">
        <v>-5580</v>
      </c>
      <c r="Z16" s="470">
        <v>-273</v>
      </c>
      <c r="AA16" s="470">
        <v>-4393</v>
      </c>
      <c r="AB16" s="470">
        <v>5545</v>
      </c>
      <c r="AC16" s="470">
        <v>-7730</v>
      </c>
      <c r="AD16" s="470">
        <v>-4758</v>
      </c>
      <c r="AE16" s="470">
        <v>7542</v>
      </c>
      <c r="AF16" s="470">
        <v>3794</v>
      </c>
      <c r="AG16" s="470">
        <v>-5845</v>
      </c>
      <c r="AH16" s="470">
        <v>7542</v>
      </c>
      <c r="AI16" s="470">
        <v>-6873</v>
      </c>
      <c r="AJ16" s="470">
        <v>388</v>
      </c>
      <c r="AK16" s="470">
        <v>1689</v>
      </c>
      <c r="AL16" s="470">
        <v>10131</v>
      </c>
    </row>
    <row r="17" spans="1:38">
      <c r="A17" s="470" t="s">
        <v>503</v>
      </c>
      <c r="B17" s="470">
        <v>-637</v>
      </c>
      <c r="C17" s="470">
        <v>629</v>
      </c>
      <c r="D17" s="470">
        <v>161</v>
      </c>
      <c r="E17" s="470">
        <v>93</v>
      </c>
      <c r="F17" s="470">
        <v>-8</v>
      </c>
      <c r="G17" s="470">
        <v>796</v>
      </c>
      <c r="H17" s="470">
        <v>-595</v>
      </c>
      <c r="I17" s="470">
        <v>2042</v>
      </c>
      <c r="J17" s="470">
        <v>-270</v>
      </c>
      <c r="K17" s="470">
        <v>1077</v>
      </c>
      <c r="L17" s="470">
        <v>-3229</v>
      </c>
      <c r="M17" s="470">
        <v>-270</v>
      </c>
      <c r="N17" s="470">
        <v>576</v>
      </c>
      <c r="O17" s="470">
        <v>5287</v>
      </c>
      <c r="P17" s="470">
        <v>2662</v>
      </c>
      <c r="Q17" s="470">
        <v>-1974</v>
      </c>
      <c r="R17" s="470">
        <v>3877</v>
      </c>
      <c r="S17" s="470">
        <v>3241</v>
      </c>
      <c r="T17" s="470">
        <v>4041</v>
      </c>
      <c r="U17" s="470">
        <v>-793</v>
      </c>
      <c r="V17" s="470">
        <v>3717</v>
      </c>
      <c r="W17" s="470">
        <v>12371</v>
      </c>
      <c r="X17" s="470">
        <v>2284</v>
      </c>
      <c r="Y17" s="470">
        <v>-4060</v>
      </c>
      <c r="Z17" s="470">
        <v>-7659</v>
      </c>
      <c r="AA17" s="470">
        <v>2921</v>
      </c>
      <c r="AB17" s="470">
        <v>16010</v>
      </c>
      <c r="AC17" s="470">
        <v>-23031</v>
      </c>
      <c r="AD17" s="470">
        <v>15410</v>
      </c>
      <c r="AE17" s="470">
        <v>1250</v>
      </c>
      <c r="AF17" s="470">
        <v>-1294</v>
      </c>
      <c r="AG17" s="470">
        <v>-1049</v>
      </c>
      <c r="AH17" s="470">
        <v>-9211</v>
      </c>
      <c r="AI17" s="470">
        <v>-1693</v>
      </c>
      <c r="AJ17" s="470">
        <v>209</v>
      </c>
      <c r="AK17" s="470">
        <v>8440</v>
      </c>
      <c r="AL17" s="470">
        <v>-2077</v>
      </c>
    </row>
    <row r="18" spans="1:38">
      <c r="A18" s="470" t="s">
        <v>500</v>
      </c>
      <c r="B18" s="471">
        <v>0</v>
      </c>
      <c r="C18" s="471">
        <v>0</v>
      </c>
      <c r="D18" s="471">
        <v>0</v>
      </c>
      <c r="E18" s="471">
        <v>0</v>
      </c>
      <c r="F18" s="471">
        <v>0</v>
      </c>
      <c r="G18" s="471">
        <v>0</v>
      </c>
      <c r="H18" s="471">
        <v>0</v>
      </c>
      <c r="I18" s="470">
        <v>6</v>
      </c>
      <c r="J18" s="470">
        <v>17</v>
      </c>
      <c r="K18" s="471">
        <v>0</v>
      </c>
      <c r="L18" s="470">
        <v>-190</v>
      </c>
      <c r="M18" s="470">
        <v>15</v>
      </c>
      <c r="N18" s="470">
        <v>163</v>
      </c>
      <c r="O18" s="470">
        <v>2668</v>
      </c>
      <c r="P18" s="470">
        <v>1075</v>
      </c>
      <c r="Q18" s="470">
        <v>1305</v>
      </c>
      <c r="R18" s="470">
        <v>1360</v>
      </c>
      <c r="S18" s="471">
        <f>(R18+T18)/2</f>
        <v>1195.5</v>
      </c>
      <c r="T18" s="470">
        <v>1031</v>
      </c>
      <c r="U18" s="470">
        <v>-316</v>
      </c>
      <c r="V18" s="470">
        <v>2926</v>
      </c>
      <c r="W18" s="470">
        <v>1915</v>
      </c>
      <c r="X18" s="470">
        <v>-2328</v>
      </c>
      <c r="Y18" s="470">
        <v>-4667</v>
      </c>
      <c r="Z18" s="471">
        <f>(Y18+AA18)/2</f>
        <v>-3636.5</v>
      </c>
      <c r="AA18" s="470">
        <v>-2606</v>
      </c>
      <c r="AB18" s="470">
        <v>2878</v>
      </c>
      <c r="AC18" s="470">
        <v>2645</v>
      </c>
      <c r="AD18" s="471">
        <f>AD10-AD11-AD12-AD13-AD15-AD16-AD17-AD19-AD21-AD22-AD23-AD24-AD25-AD26-AD27-AD29</f>
        <v>-69</v>
      </c>
      <c r="AE18" s="470">
        <v>-4875</v>
      </c>
      <c r="AF18" s="470">
        <v>6727</v>
      </c>
      <c r="AG18" s="470">
        <v>-1974</v>
      </c>
      <c r="AH18" s="470">
        <v>-2511</v>
      </c>
      <c r="AI18" s="470">
        <v>-6930</v>
      </c>
      <c r="AJ18" s="470">
        <v>-6397</v>
      </c>
      <c r="AK18" s="470">
        <v>-233</v>
      </c>
      <c r="AL18" s="470">
        <v>3682</v>
      </c>
    </row>
    <row r="19" spans="1:38">
      <c r="A19" s="470" t="s">
        <v>499</v>
      </c>
      <c r="B19" s="470">
        <v>72</v>
      </c>
      <c r="C19" s="470">
        <v>-168</v>
      </c>
      <c r="D19" s="470">
        <v>186</v>
      </c>
      <c r="E19" s="470">
        <v>-85</v>
      </c>
      <c r="F19" s="470">
        <v>310</v>
      </c>
      <c r="G19" s="470">
        <v>54</v>
      </c>
      <c r="H19" s="470">
        <v>-324</v>
      </c>
      <c r="I19" s="470">
        <v>-35</v>
      </c>
      <c r="J19" s="470">
        <v>-937</v>
      </c>
      <c r="K19" s="470">
        <v>451</v>
      </c>
      <c r="L19" s="470">
        <v>169</v>
      </c>
      <c r="M19" s="470">
        <v>-687</v>
      </c>
      <c r="N19" s="470">
        <v>82</v>
      </c>
      <c r="O19" s="470">
        <v>560</v>
      </c>
      <c r="P19" s="470">
        <v>24</v>
      </c>
      <c r="Q19" s="470">
        <v>228</v>
      </c>
      <c r="R19" s="470">
        <v>87</v>
      </c>
      <c r="S19" s="470">
        <v>-397</v>
      </c>
      <c r="T19" s="470">
        <v>-56</v>
      </c>
      <c r="U19" s="470">
        <v>-1</v>
      </c>
      <c r="V19" s="470">
        <v>627</v>
      </c>
      <c r="W19" s="470">
        <v>-320</v>
      </c>
      <c r="X19" s="470">
        <v>373</v>
      </c>
      <c r="Y19" s="470">
        <v>-1225</v>
      </c>
      <c r="Z19" s="470">
        <v>203</v>
      </c>
      <c r="AA19" s="470">
        <v>362</v>
      </c>
      <c r="AB19" s="470" t="s">
        <v>291</v>
      </c>
      <c r="AC19" s="470">
        <v>3776</v>
      </c>
      <c r="AD19" s="470">
        <v>1546</v>
      </c>
      <c r="AE19" s="470">
        <v>-5660</v>
      </c>
      <c r="AF19" s="470">
        <v>-61</v>
      </c>
      <c r="AG19" s="470">
        <v>-365</v>
      </c>
      <c r="AH19" s="470">
        <v>801</v>
      </c>
      <c r="AI19" s="470">
        <v>233</v>
      </c>
      <c r="AJ19" s="470">
        <v>2342</v>
      </c>
      <c r="AK19" s="470">
        <v>126</v>
      </c>
      <c r="AL19" s="470">
        <v>638</v>
      </c>
    </row>
    <row r="20" spans="1:38">
      <c r="A20" s="470" t="s">
        <v>1446</v>
      </c>
      <c r="B20" s="470" t="s">
        <v>273</v>
      </c>
      <c r="C20" s="470" t="s">
        <v>273</v>
      </c>
      <c r="D20" s="470" t="s">
        <v>273</v>
      </c>
      <c r="E20" s="470" t="s">
        <v>273</v>
      </c>
      <c r="F20" s="470" t="s">
        <v>273</v>
      </c>
      <c r="G20" s="470" t="s">
        <v>273</v>
      </c>
      <c r="H20" s="470" t="s">
        <v>273</v>
      </c>
      <c r="I20" s="470">
        <v>15</v>
      </c>
      <c r="J20" s="470" t="s">
        <v>306</v>
      </c>
      <c r="K20" s="470">
        <v>-2</v>
      </c>
      <c r="L20" s="470">
        <v>45</v>
      </c>
      <c r="M20" s="471">
        <v>0</v>
      </c>
      <c r="N20" s="470" t="s">
        <v>291</v>
      </c>
      <c r="O20" s="470">
        <v>-3</v>
      </c>
      <c r="P20" s="470" t="s">
        <v>291</v>
      </c>
      <c r="Q20" s="470" t="s">
        <v>291</v>
      </c>
      <c r="R20" s="470">
        <v>10</v>
      </c>
      <c r="S20" s="470">
        <v>-9</v>
      </c>
      <c r="T20" s="470">
        <v>-18</v>
      </c>
      <c r="U20" s="470">
        <v>24</v>
      </c>
      <c r="V20" s="470" t="s">
        <v>291</v>
      </c>
      <c r="W20" s="470">
        <v>4</v>
      </c>
      <c r="X20" s="470" t="s">
        <v>273</v>
      </c>
      <c r="Y20" s="470" t="s">
        <v>273</v>
      </c>
      <c r="Z20" s="470" t="s">
        <v>273</v>
      </c>
      <c r="AB20" s="470" t="s">
        <v>273</v>
      </c>
      <c r="AC20" s="470" t="s">
        <v>273</v>
      </c>
      <c r="AD20" s="470" t="s">
        <v>273</v>
      </c>
      <c r="AE20" s="470" t="s">
        <v>273</v>
      </c>
      <c r="AF20" s="470" t="s">
        <v>273</v>
      </c>
      <c r="AG20" s="470" t="s">
        <v>273</v>
      </c>
      <c r="AH20" s="470" t="s">
        <v>273</v>
      </c>
      <c r="AI20" s="470" t="s">
        <v>273</v>
      </c>
      <c r="AJ20" s="470" t="s">
        <v>273</v>
      </c>
      <c r="AK20" s="470" t="s">
        <v>273</v>
      </c>
      <c r="AL20" s="470" t="s">
        <v>273</v>
      </c>
    </row>
    <row r="21" spans="1:38">
      <c r="A21" s="470" t="s">
        <v>498</v>
      </c>
      <c r="B21" s="470">
        <v>-13</v>
      </c>
      <c r="C21" s="470">
        <v>21</v>
      </c>
      <c r="D21" s="470">
        <v>58</v>
      </c>
      <c r="E21" s="470">
        <v>-20</v>
      </c>
      <c r="F21" s="470">
        <v>62</v>
      </c>
      <c r="G21" s="470">
        <v>-12</v>
      </c>
      <c r="H21" s="470">
        <v>-40</v>
      </c>
      <c r="I21" s="470">
        <v>-99</v>
      </c>
      <c r="J21" s="470">
        <v>-544</v>
      </c>
      <c r="K21" s="470">
        <v>460</v>
      </c>
      <c r="L21" s="470">
        <v>1407</v>
      </c>
      <c r="M21" s="471">
        <f>M10-M11-M12-M13-M15-M16-M17-M18-M19-M22-M23-M24-M25-M26-M27-M29-M20</f>
        <v>-1379</v>
      </c>
      <c r="N21" s="470">
        <v>-38</v>
      </c>
      <c r="O21" s="470">
        <v>43</v>
      </c>
      <c r="P21" s="470">
        <v>1477</v>
      </c>
      <c r="Q21" s="470">
        <v>3369</v>
      </c>
      <c r="R21" s="470">
        <v>-3817</v>
      </c>
      <c r="S21" s="471">
        <f>S10-S11-S12-S13-S15-S16-S17-S18-S19-S22-S23-S24-S25-S26-S27-S29-S20</f>
        <v>4827.5</v>
      </c>
      <c r="T21" s="470">
        <v>13689</v>
      </c>
      <c r="U21" s="470">
        <v>16131</v>
      </c>
      <c r="V21" s="470">
        <v>22496</v>
      </c>
      <c r="W21" s="471">
        <f>W10-W11-W12-W13-W15-W16-W17-W18-W19-W22-W23-W24-W25-W26-W27-W29-W20</f>
        <v>-14097</v>
      </c>
      <c r="X21" s="470">
        <v>-4522</v>
      </c>
      <c r="Y21" s="470">
        <v>12395</v>
      </c>
      <c r="Z21" s="470">
        <v>-182</v>
      </c>
      <c r="AA21" s="471">
        <f>AA10-AA11-AA12-AA13-AA15-AA16-AA17-AA18-AA19-AA22-AA23-AA24-AA25-AA26-AA27-AA29-AA20</f>
        <v>3689</v>
      </c>
      <c r="AB21" s="470">
        <v>12218</v>
      </c>
      <c r="AC21" s="470">
        <v>4320</v>
      </c>
      <c r="AD21" s="470">
        <v>1030</v>
      </c>
      <c r="AE21" s="470">
        <v>1607</v>
      </c>
      <c r="AF21" s="470">
        <v>8725</v>
      </c>
      <c r="AG21" s="470">
        <v>7953</v>
      </c>
      <c r="AH21" s="470">
        <v>5195</v>
      </c>
      <c r="AI21" s="470">
        <v>21130</v>
      </c>
      <c r="AJ21" s="470">
        <v>-4748</v>
      </c>
      <c r="AK21" s="470">
        <v>60643</v>
      </c>
      <c r="AL21" s="470">
        <v>34551</v>
      </c>
    </row>
    <row r="22" spans="1:38">
      <c r="A22" s="470" t="s">
        <v>497</v>
      </c>
      <c r="B22" s="470">
        <v>923</v>
      </c>
      <c r="C22" s="470">
        <v>1939</v>
      </c>
      <c r="D22" s="470">
        <v>1739</v>
      </c>
      <c r="E22" s="470">
        <v>1359</v>
      </c>
      <c r="F22" s="470">
        <v>670</v>
      </c>
      <c r="G22" s="470">
        <v>926</v>
      </c>
      <c r="H22" s="470">
        <v>682</v>
      </c>
      <c r="I22" s="470">
        <v>5080</v>
      </c>
      <c r="J22" s="470">
        <v>2806</v>
      </c>
      <c r="K22" s="470">
        <v>4357</v>
      </c>
      <c r="L22" s="470">
        <v>4907</v>
      </c>
      <c r="M22" s="470">
        <v>2596</v>
      </c>
      <c r="N22" s="470">
        <v>-304</v>
      </c>
      <c r="O22" s="470">
        <v>3470</v>
      </c>
      <c r="P22" s="470">
        <v>-4832</v>
      </c>
      <c r="Q22" s="470">
        <v>-5289</v>
      </c>
      <c r="R22" s="470">
        <v>8363</v>
      </c>
      <c r="S22" s="470">
        <v>971</v>
      </c>
      <c r="T22" s="470">
        <v>863</v>
      </c>
      <c r="U22" s="470">
        <v>16737</v>
      </c>
      <c r="V22" s="470">
        <v>10763</v>
      </c>
      <c r="W22" s="470">
        <v>17380</v>
      </c>
      <c r="X22" s="470">
        <v>-8286</v>
      </c>
      <c r="Y22" s="470">
        <v>-11740</v>
      </c>
      <c r="Z22" s="470">
        <v>-3902</v>
      </c>
      <c r="AA22" s="470">
        <v>-1807</v>
      </c>
      <c r="AB22" s="470">
        <v>6280</v>
      </c>
      <c r="AC22" s="470">
        <v>24184</v>
      </c>
      <c r="AD22" s="470">
        <v>10095</v>
      </c>
      <c r="AE22" s="470">
        <v>-7827</v>
      </c>
      <c r="AF22" s="470">
        <v>-12504</v>
      </c>
      <c r="AG22" s="470">
        <v>-9573</v>
      </c>
      <c r="AH22" s="470">
        <v>7087</v>
      </c>
      <c r="AI22" s="470">
        <v>-3670</v>
      </c>
      <c r="AJ22" s="470">
        <v>18822</v>
      </c>
      <c r="AK22" s="470">
        <v>15589</v>
      </c>
      <c r="AL22" s="470">
        <v>806</v>
      </c>
    </row>
    <row r="23" spans="1:38">
      <c r="A23" s="470" t="s">
        <v>496</v>
      </c>
      <c r="B23" s="470" t="s">
        <v>273</v>
      </c>
      <c r="C23" s="470" t="s">
        <v>273</v>
      </c>
      <c r="D23" s="470" t="s">
        <v>273</v>
      </c>
      <c r="E23" s="470" t="s">
        <v>273</v>
      </c>
      <c r="F23" s="470" t="s">
        <v>273</v>
      </c>
      <c r="G23" s="470" t="s">
        <v>273</v>
      </c>
      <c r="H23" s="470" t="s">
        <v>273</v>
      </c>
      <c r="I23" s="470">
        <v>-90</v>
      </c>
      <c r="J23" s="470">
        <v>-148</v>
      </c>
      <c r="K23" s="470">
        <v>357</v>
      </c>
      <c r="L23" s="470" t="s">
        <v>291</v>
      </c>
      <c r="M23" s="470">
        <v>-35</v>
      </c>
      <c r="N23" s="470" t="s">
        <v>291</v>
      </c>
      <c r="O23" s="470">
        <v>-69</v>
      </c>
      <c r="P23" s="470" t="s">
        <v>291</v>
      </c>
      <c r="Q23" s="470">
        <v>131</v>
      </c>
      <c r="R23" s="470">
        <v>266</v>
      </c>
      <c r="S23" s="470">
        <v>387</v>
      </c>
      <c r="T23" s="470">
        <v>357</v>
      </c>
      <c r="U23" s="470">
        <v>-15</v>
      </c>
      <c r="V23" s="470">
        <v>-805</v>
      </c>
      <c r="W23" s="470">
        <v>-173</v>
      </c>
      <c r="X23" s="470">
        <v>442</v>
      </c>
      <c r="Y23" s="470">
        <v>-324</v>
      </c>
      <c r="Z23" s="470">
        <v>-894</v>
      </c>
      <c r="AA23" s="471">
        <v>0</v>
      </c>
      <c r="AB23" s="470">
        <v>1062</v>
      </c>
      <c r="AC23" s="470">
        <v>-2552</v>
      </c>
      <c r="AD23" s="470">
        <v>-407</v>
      </c>
      <c r="AE23" s="470">
        <v>1078</v>
      </c>
      <c r="AF23" s="470">
        <v>387</v>
      </c>
      <c r="AG23" s="470">
        <v>283</v>
      </c>
      <c r="AH23" s="470">
        <v>-274</v>
      </c>
      <c r="AI23" s="470">
        <v>-258</v>
      </c>
      <c r="AJ23" s="470" t="s">
        <v>291</v>
      </c>
      <c r="AK23" s="470">
        <v>359</v>
      </c>
      <c r="AL23" s="470">
        <v>-11</v>
      </c>
    </row>
    <row r="24" spans="1:38">
      <c r="A24" s="470" t="s">
        <v>492</v>
      </c>
      <c r="B24" s="470" t="s">
        <v>273</v>
      </c>
      <c r="C24" s="470" t="s">
        <v>273</v>
      </c>
      <c r="D24" s="470" t="s">
        <v>273</v>
      </c>
      <c r="E24" s="470" t="s">
        <v>273</v>
      </c>
      <c r="F24" s="470" t="s">
        <v>273</v>
      </c>
      <c r="G24" s="470" t="s">
        <v>273</v>
      </c>
      <c r="H24" s="470" t="s">
        <v>273</v>
      </c>
      <c r="I24" s="470">
        <v>46</v>
      </c>
      <c r="J24" s="470">
        <v>7</v>
      </c>
      <c r="K24" s="470">
        <v>-35</v>
      </c>
      <c r="L24" s="470">
        <v>14</v>
      </c>
      <c r="M24" s="470">
        <v>-6</v>
      </c>
      <c r="N24" s="470">
        <v>-441</v>
      </c>
      <c r="O24" s="470">
        <v>-160</v>
      </c>
      <c r="P24" s="470">
        <v>67</v>
      </c>
      <c r="Q24" s="470">
        <v>29</v>
      </c>
      <c r="R24" s="470">
        <v>-14</v>
      </c>
      <c r="S24" s="470">
        <v>56</v>
      </c>
      <c r="T24" s="470">
        <v>144</v>
      </c>
      <c r="U24" s="470">
        <v>-175</v>
      </c>
      <c r="V24" s="470" t="s">
        <v>291</v>
      </c>
      <c r="W24" s="470">
        <v>86</v>
      </c>
      <c r="X24" s="470">
        <v>-53</v>
      </c>
      <c r="Y24" s="470">
        <v>4</v>
      </c>
      <c r="Z24" s="470" t="s">
        <v>291</v>
      </c>
      <c r="AA24" s="470">
        <v>-242</v>
      </c>
      <c r="AB24" s="470">
        <v>-38</v>
      </c>
      <c r="AC24" s="470">
        <v>839</v>
      </c>
      <c r="AD24" s="470">
        <v>-568</v>
      </c>
      <c r="AE24" s="470">
        <v>295</v>
      </c>
      <c r="AF24" s="470">
        <v>294</v>
      </c>
      <c r="AG24" s="470">
        <v>-340</v>
      </c>
      <c r="AH24" s="470">
        <v>-390</v>
      </c>
      <c r="AI24" s="470">
        <v>-1395</v>
      </c>
      <c r="AJ24" s="470">
        <v>-154</v>
      </c>
      <c r="AK24" s="470">
        <v>2112</v>
      </c>
      <c r="AL24" s="470">
        <v>-308</v>
      </c>
    </row>
    <row r="25" spans="1:38">
      <c r="A25" s="470" t="s">
        <v>491</v>
      </c>
      <c r="B25" s="470">
        <v>65</v>
      </c>
      <c r="C25" s="470">
        <v>-127</v>
      </c>
      <c r="D25" s="470">
        <v>-92</v>
      </c>
      <c r="E25" s="470">
        <v>251</v>
      </c>
      <c r="F25" s="470">
        <v>-214</v>
      </c>
      <c r="G25" s="470">
        <v>-72</v>
      </c>
      <c r="H25" s="470">
        <v>236</v>
      </c>
      <c r="I25" s="470">
        <v>243</v>
      </c>
      <c r="J25" s="470">
        <v>-525</v>
      </c>
      <c r="K25" s="470">
        <v>-113</v>
      </c>
      <c r="L25" s="470">
        <v>-25</v>
      </c>
      <c r="M25" s="470">
        <v>87</v>
      </c>
      <c r="N25" s="470">
        <v>1735</v>
      </c>
      <c r="O25" s="470">
        <v>237</v>
      </c>
      <c r="P25" s="470">
        <v>128</v>
      </c>
      <c r="Q25" s="470" t="s">
        <v>291</v>
      </c>
      <c r="R25" s="470">
        <v>282</v>
      </c>
      <c r="S25" s="470">
        <v>1433</v>
      </c>
      <c r="T25" s="470">
        <v>3178</v>
      </c>
      <c r="U25" s="470">
        <v>3631</v>
      </c>
      <c r="V25" s="470">
        <v>2190</v>
      </c>
      <c r="W25" s="470">
        <v>-544</v>
      </c>
      <c r="X25" s="470">
        <v>-1812</v>
      </c>
      <c r="Y25" s="470">
        <v>-1265</v>
      </c>
      <c r="Z25" s="470">
        <v>1215</v>
      </c>
      <c r="AA25" s="470">
        <v>-2021</v>
      </c>
      <c r="AB25" s="470">
        <v>-1443</v>
      </c>
      <c r="AC25" s="470">
        <v>9010</v>
      </c>
      <c r="AD25" s="470">
        <v>-8037</v>
      </c>
      <c r="AE25" s="470">
        <v>-118</v>
      </c>
      <c r="AF25" s="470">
        <v>1541</v>
      </c>
      <c r="AG25" s="470">
        <v>-1040</v>
      </c>
      <c r="AH25" s="470">
        <v>529</v>
      </c>
      <c r="AI25" s="470">
        <v>-232</v>
      </c>
      <c r="AJ25" s="470">
        <v>1229</v>
      </c>
      <c r="AK25" s="470">
        <v>1762</v>
      </c>
      <c r="AL25" s="470">
        <v>-126</v>
      </c>
    </row>
    <row r="26" spans="1:38">
      <c r="A26" s="470" t="s">
        <v>490</v>
      </c>
      <c r="B26" s="470">
        <v>305</v>
      </c>
      <c r="C26" s="470">
        <v>153</v>
      </c>
      <c r="D26" s="470">
        <v>249</v>
      </c>
      <c r="E26" s="470">
        <v>375</v>
      </c>
      <c r="F26" s="470">
        <v>406</v>
      </c>
      <c r="G26" s="470">
        <v>1859</v>
      </c>
      <c r="H26" s="470">
        <v>624</v>
      </c>
      <c r="I26" s="470">
        <v>1158</v>
      </c>
      <c r="J26" s="470">
        <v>-626</v>
      </c>
      <c r="K26" s="470">
        <v>1585</v>
      </c>
      <c r="L26" s="470">
        <v>-2009</v>
      </c>
      <c r="M26" s="470">
        <v>176</v>
      </c>
      <c r="N26" s="470">
        <v>996</v>
      </c>
      <c r="O26" s="470">
        <v>922</v>
      </c>
      <c r="P26" s="470">
        <v>41</v>
      </c>
      <c r="Q26" s="470">
        <v>-2139</v>
      </c>
      <c r="R26" s="470">
        <v>1362</v>
      </c>
      <c r="S26" s="470">
        <v>6167</v>
      </c>
      <c r="T26" s="470">
        <v>5083</v>
      </c>
      <c r="U26" s="470">
        <v>1917</v>
      </c>
      <c r="V26" s="470">
        <v>2988</v>
      </c>
      <c r="W26" s="470">
        <v>61668</v>
      </c>
      <c r="X26" s="470">
        <v>-11180</v>
      </c>
      <c r="Y26" s="470">
        <v>-8506</v>
      </c>
      <c r="Z26" s="470">
        <v>1036</v>
      </c>
      <c r="AA26" s="470">
        <v>6243</v>
      </c>
      <c r="AB26" s="470">
        <v>-4896</v>
      </c>
      <c r="AC26" s="470">
        <v>-8183</v>
      </c>
      <c r="AD26" s="470">
        <v>12312</v>
      </c>
      <c r="AE26" s="470">
        <v>-1497</v>
      </c>
      <c r="AF26" s="470">
        <v>26413</v>
      </c>
      <c r="AG26" s="470">
        <v>11466</v>
      </c>
      <c r="AH26" s="470">
        <v>-3549</v>
      </c>
      <c r="AI26" s="470">
        <v>2565</v>
      </c>
      <c r="AJ26" s="470">
        <v>20778</v>
      </c>
      <c r="AK26" s="470">
        <v>-10440</v>
      </c>
      <c r="AL26" s="470">
        <v>40503</v>
      </c>
    </row>
    <row r="27" spans="1:38">
      <c r="A27" s="470" t="s">
        <v>488</v>
      </c>
      <c r="B27" s="470">
        <v>213</v>
      </c>
      <c r="C27" s="470">
        <v>912</v>
      </c>
      <c r="D27" s="470">
        <v>2285</v>
      </c>
      <c r="E27" s="470">
        <v>1116</v>
      </c>
      <c r="F27" s="470">
        <v>4170</v>
      </c>
      <c r="G27" s="470">
        <v>1750</v>
      </c>
      <c r="H27" s="470">
        <v>5185</v>
      </c>
      <c r="I27" s="470">
        <v>14501</v>
      </c>
      <c r="J27" s="470">
        <v>4666</v>
      </c>
      <c r="K27" s="470">
        <v>6305</v>
      </c>
      <c r="L27" s="470">
        <v>-4905</v>
      </c>
      <c r="M27" s="470">
        <v>-899</v>
      </c>
      <c r="N27" s="470">
        <v>-6793</v>
      </c>
      <c r="O27" s="470">
        <v>5723</v>
      </c>
      <c r="P27" s="470">
        <v>-1107</v>
      </c>
      <c r="Q27" s="470">
        <v>7019</v>
      </c>
      <c r="R27" s="470">
        <v>707</v>
      </c>
      <c r="S27" s="470">
        <v>4764</v>
      </c>
      <c r="T27" s="470">
        <v>4504</v>
      </c>
      <c r="U27" s="470">
        <v>1455</v>
      </c>
      <c r="V27" s="470">
        <v>8909</v>
      </c>
      <c r="W27" s="470">
        <v>-8856</v>
      </c>
      <c r="X27" s="470">
        <v>7374</v>
      </c>
      <c r="Y27" s="470">
        <v>-12133</v>
      </c>
      <c r="Z27" s="470">
        <v>6199</v>
      </c>
      <c r="AA27" s="470">
        <v>4557</v>
      </c>
      <c r="AB27" s="470">
        <v>7271</v>
      </c>
      <c r="AC27" s="470">
        <v>2347</v>
      </c>
      <c r="AD27" s="470">
        <v>-1543</v>
      </c>
      <c r="AE27" s="470">
        <v>1650</v>
      </c>
      <c r="AF27" s="470">
        <v>-5849</v>
      </c>
      <c r="AG27" s="470">
        <v>23952</v>
      </c>
      <c r="AH27" s="470">
        <v>-2146</v>
      </c>
      <c r="AI27" s="470">
        <v>-1005</v>
      </c>
      <c r="AJ27" s="470">
        <v>5095</v>
      </c>
      <c r="AK27" s="470">
        <v>20354</v>
      </c>
      <c r="AL27" s="470">
        <v>15478</v>
      </c>
    </row>
    <row r="28" spans="1:38">
      <c r="A28" s="470" t="s">
        <v>1457</v>
      </c>
      <c r="B28" s="470" t="s">
        <v>273</v>
      </c>
      <c r="C28" s="470" t="s">
        <v>273</v>
      </c>
      <c r="D28" s="470" t="s">
        <v>273</v>
      </c>
      <c r="E28" s="470" t="s">
        <v>273</v>
      </c>
      <c r="F28" s="470" t="s">
        <v>273</v>
      </c>
      <c r="G28" s="470" t="s">
        <v>273</v>
      </c>
      <c r="H28" s="470">
        <v>35</v>
      </c>
      <c r="I28" s="470" t="s">
        <v>273</v>
      </c>
      <c r="J28" s="470" t="s">
        <v>273</v>
      </c>
      <c r="K28" s="470" t="s">
        <v>273</v>
      </c>
      <c r="L28" s="470" t="s">
        <v>273</v>
      </c>
      <c r="M28" s="470" t="s">
        <v>273</v>
      </c>
      <c r="N28" s="470" t="s">
        <v>273</v>
      </c>
      <c r="O28" s="470" t="s">
        <v>273</v>
      </c>
      <c r="P28" s="470" t="s">
        <v>273</v>
      </c>
      <c r="Q28" s="470" t="s">
        <v>273</v>
      </c>
      <c r="R28" s="470" t="s">
        <v>273</v>
      </c>
      <c r="S28" s="470" t="s">
        <v>273</v>
      </c>
      <c r="T28" s="470" t="s">
        <v>273</v>
      </c>
      <c r="U28" s="470" t="s">
        <v>273</v>
      </c>
      <c r="V28" s="470" t="s">
        <v>273</v>
      </c>
      <c r="W28" s="470" t="s">
        <v>273</v>
      </c>
      <c r="X28" s="470" t="s">
        <v>273</v>
      </c>
      <c r="Y28" s="470" t="s">
        <v>273</v>
      </c>
      <c r="Z28" s="470" t="s">
        <v>273</v>
      </c>
      <c r="AA28" s="470" t="s">
        <v>273</v>
      </c>
      <c r="AB28" s="470" t="s">
        <v>273</v>
      </c>
      <c r="AC28" s="470" t="s">
        <v>273</v>
      </c>
      <c r="AD28" s="470" t="s">
        <v>273</v>
      </c>
      <c r="AE28" s="470" t="s">
        <v>273</v>
      </c>
      <c r="AF28" s="470" t="s">
        <v>273</v>
      </c>
      <c r="AG28" s="470" t="s">
        <v>273</v>
      </c>
      <c r="AH28" s="470" t="s">
        <v>273</v>
      </c>
      <c r="AI28" s="470" t="s">
        <v>273</v>
      </c>
      <c r="AJ28" s="470" t="s">
        <v>273</v>
      </c>
      <c r="AK28" s="470" t="s">
        <v>273</v>
      </c>
      <c r="AL28" s="470" t="s">
        <v>273</v>
      </c>
    </row>
    <row r="29" spans="1:38">
      <c r="A29" s="470" t="s">
        <v>236</v>
      </c>
      <c r="B29" s="470">
        <v>72</v>
      </c>
      <c r="C29" s="470">
        <v>71</v>
      </c>
      <c r="D29" s="470">
        <v>-2</v>
      </c>
      <c r="E29" s="470">
        <v>6</v>
      </c>
      <c r="F29" s="470">
        <v>-9</v>
      </c>
      <c r="G29" s="470">
        <v>13</v>
      </c>
      <c r="H29" s="470">
        <v>-157</v>
      </c>
      <c r="I29" s="470">
        <v>27</v>
      </c>
      <c r="J29" s="470" t="s">
        <v>291</v>
      </c>
      <c r="K29" s="470">
        <v>-70</v>
      </c>
      <c r="L29" s="470">
        <v>17</v>
      </c>
      <c r="M29" s="470">
        <v>134</v>
      </c>
      <c r="N29" s="470">
        <v>48</v>
      </c>
      <c r="O29" s="470">
        <v>-61</v>
      </c>
      <c r="P29" s="470">
        <v>19</v>
      </c>
      <c r="Q29" s="470" t="s">
        <v>291</v>
      </c>
      <c r="R29" s="470" t="s">
        <v>291</v>
      </c>
      <c r="S29" s="470">
        <v>-39</v>
      </c>
      <c r="T29" s="470">
        <v>-39</v>
      </c>
      <c r="U29" s="470" t="s">
        <v>291</v>
      </c>
      <c r="V29" s="470">
        <v>3137</v>
      </c>
      <c r="W29" s="471">
        <v>0</v>
      </c>
      <c r="X29" s="470">
        <v>-69</v>
      </c>
      <c r="Y29" s="470" t="s">
        <v>291</v>
      </c>
      <c r="Z29" s="470">
        <v>6509</v>
      </c>
      <c r="AA29" s="470">
        <v>1939</v>
      </c>
      <c r="AB29" s="470">
        <v>8534</v>
      </c>
      <c r="AC29" s="470">
        <v>13554</v>
      </c>
      <c r="AD29" s="470">
        <v>-7072</v>
      </c>
      <c r="AE29" s="470">
        <v>-7206</v>
      </c>
      <c r="AF29" s="470">
        <v>-28847</v>
      </c>
      <c r="AG29" s="470" t="s">
        <v>291</v>
      </c>
      <c r="AH29" s="470">
        <v>670</v>
      </c>
      <c r="AI29" s="470">
        <v>2279</v>
      </c>
      <c r="AJ29" s="470" t="s">
        <v>291</v>
      </c>
      <c r="AK29" s="470">
        <v>-5382</v>
      </c>
      <c r="AL29" s="470">
        <v>1684</v>
      </c>
    </row>
    <row r="30" spans="1:38">
      <c r="A30" s="470" t="s">
        <v>1436</v>
      </c>
      <c r="B30" s="470">
        <v>-129</v>
      </c>
      <c r="C30" s="470">
        <v>1305</v>
      </c>
      <c r="D30" s="470">
        <v>787</v>
      </c>
      <c r="E30" s="470">
        <v>159</v>
      </c>
      <c r="F30" s="470">
        <v>1272</v>
      </c>
      <c r="G30" s="470">
        <v>1312</v>
      </c>
      <c r="H30" s="470">
        <v>3321</v>
      </c>
      <c r="I30" s="470" t="s">
        <v>273</v>
      </c>
      <c r="J30" s="470" t="s">
        <v>273</v>
      </c>
      <c r="K30" s="470" t="s">
        <v>273</v>
      </c>
      <c r="L30" s="470" t="s">
        <v>273</v>
      </c>
      <c r="M30" s="470" t="s">
        <v>273</v>
      </c>
      <c r="N30" s="470" t="s">
        <v>273</v>
      </c>
      <c r="O30" s="470" t="s">
        <v>273</v>
      </c>
      <c r="P30" s="470" t="s">
        <v>273</v>
      </c>
      <c r="Q30" s="470" t="s">
        <v>273</v>
      </c>
      <c r="R30" s="470" t="s">
        <v>273</v>
      </c>
      <c r="S30" s="470" t="s">
        <v>273</v>
      </c>
      <c r="T30" s="470" t="s">
        <v>273</v>
      </c>
      <c r="U30" s="470" t="s">
        <v>273</v>
      </c>
      <c r="V30" s="470" t="s">
        <v>273</v>
      </c>
      <c r="W30" s="470" t="s">
        <v>273</v>
      </c>
      <c r="X30" s="470" t="s">
        <v>273</v>
      </c>
      <c r="Y30" s="470" t="s">
        <v>273</v>
      </c>
      <c r="Z30" s="470" t="s">
        <v>273</v>
      </c>
      <c r="AA30" s="470" t="s">
        <v>273</v>
      </c>
      <c r="AB30" s="470" t="s">
        <v>273</v>
      </c>
      <c r="AC30" s="470" t="s">
        <v>273</v>
      </c>
      <c r="AD30" s="470" t="s">
        <v>273</v>
      </c>
      <c r="AE30" s="470" t="s">
        <v>273</v>
      </c>
      <c r="AF30" s="470" t="s">
        <v>273</v>
      </c>
      <c r="AG30" s="470" t="s">
        <v>273</v>
      </c>
      <c r="AH30" s="470" t="s">
        <v>273</v>
      </c>
      <c r="AI30" s="470" t="s">
        <v>273</v>
      </c>
      <c r="AJ30" s="470" t="s">
        <v>273</v>
      </c>
      <c r="AK30" s="470" t="s">
        <v>273</v>
      </c>
      <c r="AL30" s="470" t="s">
        <v>273</v>
      </c>
    </row>
    <row r="31" spans="1:38">
      <c r="A31" s="470" t="s">
        <v>1435</v>
      </c>
      <c r="B31" s="470">
        <v>29</v>
      </c>
      <c r="C31" s="470">
        <v>-2</v>
      </c>
      <c r="D31" s="470">
        <v>57</v>
      </c>
      <c r="E31" s="470">
        <v>77</v>
      </c>
      <c r="F31" s="470">
        <v>-342</v>
      </c>
      <c r="G31" s="470">
        <v>129</v>
      </c>
      <c r="H31" s="470">
        <v>1392</v>
      </c>
      <c r="I31" s="470" t="s">
        <v>273</v>
      </c>
      <c r="J31" s="470" t="s">
        <v>273</v>
      </c>
      <c r="K31" s="470" t="s">
        <v>273</v>
      </c>
      <c r="L31" s="470" t="s">
        <v>273</v>
      </c>
      <c r="M31" s="470" t="s">
        <v>273</v>
      </c>
      <c r="N31" s="470" t="s">
        <v>273</v>
      </c>
      <c r="O31" s="470" t="s">
        <v>273</v>
      </c>
      <c r="P31" s="470" t="s">
        <v>273</v>
      </c>
      <c r="Q31" s="470" t="s">
        <v>273</v>
      </c>
      <c r="R31" s="470" t="s">
        <v>273</v>
      </c>
      <c r="S31" s="470" t="s">
        <v>273</v>
      </c>
      <c r="T31" s="470" t="s">
        <v>273</v>
      </c>
      <c r="U31" s="470" t="s">
        <v>273</v>
      </c>
      <c r="V31" s="470" t="s">
        <v>273</v>
      </c>
      <c r="W31" s="470" t="s">
        <v>273</v>
      </c>
      <c r="X31" s="470" t="s">
        <v>273</v>
      </c>
      <c r="Y31" s="470" t="s">
        <v>273</v>
      </c>
      <c r="Z31" s="470" t="s">
        <v>273</v>
      </c>
      <c r="AA31" s="470" t="s">
        <v>273</v>
      </c>
      <c r="AB31" s="470" t="s">
        <v>273</v>
      </c>
      <c r="AC31" s="470" t="s">
        <v>273</v>
      </c>
      <c r="AD31" s="470" t="s">
        <v>273</v>
      </c>
      <c r="AE31" s="470" t="s">
        <v>273</v>
      </c>
      <c r="AF31" s="470" t="s">
        <v>273</v>
      </c>
      <c r="AG31" s="470" t="s">
        <v>273</v>
      </c>
      <c r="AH31" s="470" t="s">
        <v>273</v>
      </c>
      <c r="AI31" s="470" t="s">
        <v>273</v>
      </c>
      <c r="AJ31" s="470" t="s">
        <v>273</v>
      </c>
      <c r="AK31" s="470" t="s">
        <v>273</v>
      </c>
      <c r="AL31" s="470" t="s">
        <v>273</v>
      </c>
    </row>
    <row r="32" spans="1:38">
      <c r="A32" s="470" t="s">
        <v>448</v>
      </c>
      <c r="B32" s="470">
        <v>928</v>
      </c>
      <c r="C32" s="470">
        <v>488</v>
      </c>
      <c r="D32" s="470">
        <v>937</v>
      </c>
      <c r="E32" s="470">
        <v>-209</v>
      </c>
      <c r="F32" s="470">
        <v>-337</v>
      </c>
      <c r="G32" s="470">
        <v>249</v>
      </c>
      <c r="H32" s="470">
        <v>-347</v>
      </c>
      <c r="I32" s="470">
        <v>-4168</v>
      </c>
      <c r="J32" s="470">
        <v>-122</v>
      </c>
      <c r="K32" s="470">
        <v>4269</v>
      </c>
      <c r="L32" s="470">
        <v>3330</v>
      </c>
      <c r="M32" s="470">
        <v>-4543</v>
      </c>
      <c r="N32" s="470">
        <v>2266</v>
      </c>
      <c r="O32" s="470">
        <v>1531</v>
      </c>
      <c r="P32" s="470">
        <v>399</v>
      </c>
      <c r="Q32" s="470">
        <v>-45</v>
      </c>
      <c r="R32" s="470">
        <v>-2981</v>
      </c>
      <c r="S32" s="470">
        <v>1941</v>
      </c>
      <c r="T32" s="470">
        <v>-3860</v>
      </c>
      <c r="U32" s="470">
        <v>1632</v>
      </c>
      <c r="V32" s="470">
        <v>-487</v>
      </c>
      <c r="W32" s="470">
        <v>2554</v>
      </c>
      <c r="X32" s="470">
        <v>2622</v>
      </c>
      <c r="Y32" s="470">
        <v>-174</v>
      </c>
      <c r="Z32" s="470">
        <v>-6689</v>
      </c>
      <c r="AA32" s="470">
        <v>-8545</v>
      </c>
      <c r="AB32" s="470">
        <v>4396</v>
      </c>
      <c r="AC32" s="470">
        <v>-11254</v>
      </c>
      <c r="AD32" s="470">
        <v>202</v>
      </c>
      <c r="AE32" s="470">
        <v>-2479</v>
      </c>
      <c r="AF32" s="470">
        <v>5059</v>
      </c>
      <c r="AG32" s="470">
        <v>2121</v>
      </c>
      <c r="AH32" s="470">
        <v>-677</v>
      </c>
      <c r="AI32" s="470">
        <v>3863</v>
      </c>
      <c r="AJ32" s="470">
        <v>2347</v>
      </c>
      <c r="AK32" s="470">
        <v>-644</v>
      </c>
      <c r="AL32" s="470">
        <v>4390</v>
      </c>
    </row>
    <row r="33" spans="1:38">
      <c r="A33" s="470" t="s">
        <v>1434</v>
      </c>
      <c r="B33" s="470">
        <v>121</v>
      </c>
      <c r="C33" s="470">
        <v>-20</v>
      </c>
      <c r="D33" s="470">
        <v>287</v>
      </c>
      <c r="E33" s="470">
        <v>-181</v>
      </c>
      <c r="F33" s="470">
        <v>79</v>
      </c>
      <c r="G33" s="470">
        <v>126</v>
      </c>
      <c r="H33" s="470">
        <v>51</v>
      </c>
      <c r="I33" s="470">
        <v>63</v>
      </c>
      <c r="J33" s="470">
        <v>-35</v>
      </c>
      <c r="K33" s="470">
        <v>546</v>
      </c>
      <c r="L33" s="470">
        <v>-91</v>
      </c>
      <c r="M33" s="470">
        <v>385</v>
      </c>
      <c r="N33" s="470">
        <v>182</v>
      </c>
      <c r="O33" s="470">
        <v>-2216</v>
      </c>
      <c r="P33" s="470">
        <v>-235</v>
      </c>
      <c r="Q33" s="470">
        <v>-543</v>
      </c>
      <c r="R33" s="470">
        <v>-39</v>
      </c>
      <c r="S33" s="470">
        <v>-41</v>
      </c>
      <c r="T33" s="470">
        <v>289</v>
      </c>
      <c r="U33" s="470">
        <v>260</v>
      </c>
      <c r="V33" s="470">
        <v>-212</v>
      </c>
      <c r="W33" s="470">
        <v>-2668</v>
      </c>
      <c r="X33" s="470">
        <v>2764</v>
      </c>
      <c r="Y33" s="470">
        <v>962</v>
      </c>
      <c r="Z33" s="470">
        <v>156</v>
      </c>
      <c r="AA33" s="470">
        <v>1282</v>
      </c>
      <c r="AB33" s="470">
        <v>154</v>
      </c>
      <c r="AC33" s="470">
        <v>-1448</v>
      </c>
      <c r="AD33" s="470">
        <v>-1107</v>
      </c>
      <c r="AE33" s="470">
        <v>-1614</v>
      </c>
      <c r="AF33" s="470">
        <v>2554</v>
      </c>
      <c r="AG33" s="470">
        <v>3416</v>
      </c>
      <c r="AH33" s="470">
        <v>-1814</v>
      </c>
      <c r="AI33" s="470">
        <v>-35</v>
      </c>
      <c r="AJ33" s="470">
        <v>-231</v>
      </c>
      <c r="AK33" s="470">
        <v>-2057</v>
      </c>
      <c r="AL33" s="470">
        <v>-1010</v>
      </c>
    </row>
    <row r="34" spans="1:38">
      <c r="A34" s="470" t="s">
        <v>445</v>
      </c>
      <c r="B34" s="470" t="s">
        <v>273</v>
      </c>
      <c r="C34" s="470" t="s">
        <v>273</v>
      </c>
      <c r="D34" s="470" t="s">
        <v>273</v>
      </c>
      <c r="E34" s="470" t="s">
        <v>273</v>
      </c>
      <c r="F34" s="470" t="s">
        <v>273</v>
      </c>
      <c r="G34" s="470" t="s">
        <v>273</v>
      </c>
      <c r="H34" s="470" t="s">
        <v>273</v>
      </c>
      <c r="I34" s="470">
        <v>-6</v>
      </c>
      <c r="J34" s="470">
        <v>-48</v>
      </c>
      <c r="K34" s="470">
        <v>64</v>
      </c>
      <c r="L34" s="470">
        <v>-85</v>
      </c>
      <c r="M34" s="470">
        <v>-21</v>
      </c>
      <c r="N34" s="470">
        <v>-44</v>
      </c>
      <c r="O34" s="470">
        <v>52</v>
      </c>
      <c r="P34" s="470">
        <v>-132</v>
      </c>
      <c r="Q34" s="470">
        <v>8</v>
      </c>
      <c r="R34" s="470" t="s">
        <v>291</v>
      </c>
      <c r="S34" s="470">
        <v>72</v>
      </c>
      <c r="T34" s="470">
        <v>31</v>
      </c>
      <c r="U34" s="470">
        <v>62</v>
      </c>
      <c r="V34" s="470" t="s">
        <v>291</v>
      </c>
      <c r="W34" s="470">
        <v>-382</v>
      </c>
      <c r="X34" s="470">
        <v>309</v>
      </c>
      <c r="Y34" s="470" t="s">
        <v>291</v>
      </c>
      <c r="Z34" s="470" t="s">
        <v>291</v>
      </c>
      <c r="AA34" s="470" t="s">
        <v>291</v>
      </c>
      <c r="AB34" s="470">
        <v>-483</v>
      </c>
      <c r="AC34" s="470">
        <v>-156</v>
      </c>
      <c r="AD34" s="470">
        <v>-1303</v>
      </c>
      <c r="AE34" s="470">
        <v>-1725</v>
      </c>
      <c r="AF34" s="470">
        <v>2176</v>
      </c>
      <c r="AG34" s="470">
        <v>3691</v>
      </c>
      <c r="AH34" s="470">
        <v>-1220</v>
      </c>
      <c r="AI34" s="470">
        <v>-361</v>
      </c>
      <c r="AJ34" s="470">
        <v>-672</v>
      </c>
      <c r="AK34" s="470">
        <v>-821</v>
      </c>
      <c r="AL34" s="470">
        <v>-2638</v>
      </c>
    </row>
    <row r="35" spans="1:38">
      <c r="A35" s="470" t="s">
        <v>429</v>
      </c>
      <c r="B35" s="470" t="s">
        <v>273</v>
      </c>
      <c r="C35" s="470" t="s">
        <v>273</v>
      </c>
      <c r="D35" s="470" t="s">
        <v>273</v>
      </c>
      <c r="E35" s="470" t="s">
        <v>273</v>
      </c>
      <c r="F35" s="470" t="s">
        <v>273</v>
      </c>
      <c r="G35" s="470" t="s">
        <v>273</v>
      </c>
      <c r="H35" s="470" t="s">
        <v>273</v>
      </c>
      <c r="I35" s="470">
        <v>23</v>
      </c>
      <c r="J35" s="470">
        <v>5</v>
      </c>
      <c r="K35" s="470">
        <v>21</v>
      </c>
      <c r="L35" s="470" t="s">
        <v>291</v>
      </c>
      <c r="M35" s="470">
        <v>11</v>
      </c>
      <c r="N35" s="470">
        <v>266</v>
      </c>
      <c r="O35" s="470">
        <v>-376</v>
      </c>
      <c r="P35" s="470">
        <v>392</v>
      </c>
      <c r="Q35" s="470">
        <v>-364</v>
      </c>
      <c r="R35" s="470">
        <v>-282</v>
      </c>
      <c r="S35" s="470">
        <v>175</v>
      </c>
      <c r="T35" s="470">
        <v>182</v>
      </c>
      <c r="U35" s="470">
        <v>-31</v>
      </c>
      <c r="V35" s="470">
        <v>1494</v>
      </c>
      <c r="W35" s="470">
        <v>-1549</v>
      </c>
      <c r="X35" s="470">
        <v>902</v>
      </c>
      <c r="Y35" s="470">
        <v>-500</v>
      </c>
      <c r="Z35" s="470">
        <v>-1601</v>
      </c>
      <c r="AA35" s="470">
        <v>920</v>
      </c>
      <c r="AB35" s="470">
        <v>1264</v>
      </c>
      <c r="AC35" s="470">
        <v>-22</v>
      </c>
      <c r="AD35" s="470">
        <v>512</v>
      </c>
      <c r="AE35" s="470">
        <v>-517</v>
      </c>
      <c r="AF35" s="470">
        <v>-481</v>
      </c>
      <c r="AG35" s="470">
        <v>-564</v>
      </c>
      <c r="AH35" s="470">
        <v>224</v>
      </c>
      <c r="AI35" s="470">
        <v>543</v>
      </c>
      <c r="AJ35" s="470">
        <v>-24</v>
      </c>
      <c r="AK35" s="470">
        <v>-510</v>
      </c>
      <c r="AL35" s="470">
        <v>1019</v>
      </c>
    </row>
    <row r="36" spans="1:38">
      <c r="A36" s="470" t="s">
        <v>428</v>
      </c>
      <c r="B36" s="470">
        <v>75</v>
      </c>
      <c r="C36" s="470">
        <v>-13</v>
      </c>
      <c r="D36" s="470">
        <v>291</v>
      </c>
      <c r="E36" s="470">
        <v>-149</v>
      </c>
      <c r="F36" s="470">
        <v>-27</v>
      </c>
      <c r="G36" s="470">
        <v>144</v>
      </c>
      <c r="H36" s="470">
        <v>-115</v>
      </c>
      <c r="I36" s="470">
        <v>95</v>
      </c>
      <c r="J36" s="470">
        <v>-18</v>
      </c>
      <c r="K36" s="470">
        <v>9</v>
      </c>
      <c r="L36" s="470">
        <v>441</v>
      </c>
      <c r="M36" s="470">
        <v>455</v>
      </c>
      <c r="N36" s="470">
        <v>139</v>
      </c>
      <c r="O36" s="470">
        <v>-989</v>
      </c>
      <c r="P36" s="470">
        <v>-478</v>
      </c>
      <c r="Q36" s="470">
        <v>-105</v>
      </c>
      <c r="R36" s="470">
        <v>200</v>
      </c>
      <c r="S36" s="470">
        <v>-168</v>
      </c>
      <c r="T36" s="470">
        <v>91</v>
      </c>
      <c r="U36" s="470">
        <v>78</v>
      </c>
      <c r="V36" s="470" t="s">
        <v>291</v>
      </c>
      <c r="W36" s="470">
        <v>-176</v>
      </c>
      <c r="X36" s="470">
        <v>1247</v>
      </c>
      <c r="Y36" s="470" t="s">
        <v>291</v>
      </c>
      <c r="Z36" s="470" t="s">
        <v>291</v>
      </c>
      <c r="AA36" s="470">
        <v>-143</v>
      </c>
      <c r="AB36" s="470" t="s">
        <v>291</v>
      </c>
      <c r="AC36" s="470" t="s">
        <v>291</v>
      </c>
      <c r="AD36" s="470">
        <v>-90</v>
      </c>
      <c r="AE36" s="470">
        <v>21</v>
      </c>
      <c r="AF36" s="470">
        <v>-21</v>
      </c>
      <c r="AG36" s="470">
        <v>37</v>
      </c>
      <c r="AH36" s="470">
        <v>-88</v>
      </c>
      <c r="AI36" s="470">
        <v>246</v>
      </c>
      <c r="AJ36" s="470">
        <v>106</v>
      </c>
      <c r="AK36" s="470">
        <v>-14</v>
      </c>
      <c r="AL36" s="470">
        <v>84</v>
      </c>
    </row>
    <row r="37" spans="1:38">
      <c r="A37" s="470" t="s">
        <v>440</v>
      </c>
      <c r="B37" s="470" t="s">
        <v>273</v>
      </c>
      <c r="C37" s="470" t="s">
        <v>273</v>
      </c>
      <c r="D37" s="470" t="s">
        <v>273</v>
      </c>
      <c r="E37" s="470" t="s">
        <v>273</v>
      </c>
      <c r="F37" s="470" t="s">
        <v>273</v>
      </c>
      <c r="G37" s="470" t="s">
        <v>273</v>
      </c>
      <c r="H37" s="470" t="s">
        <v>273</v>
      </c>
      <c r="I37" s="470" t="s">
        <v>291</v>
      </c>
      <c r="J37" s="470" t="s">
        <v>291</v>
      </c>
      <c r="K37" s="470" t="s">
        <v>291</v>
      </c>
      <c r="L37" s="470" t="s">
        <v>291</v>
      </c>
      <c r="M37" s="470">
        <v>-1</v>
      </c>
      <c r="N37" s="470">
        <v>-156</v>
      </c>
      <c r="O37" s="470" t="s">
        <v>291</v>
      </c>
      <c r="P37" s="470" t="s">
        <v>291</v>
      </c>
      <c r="Q37" s="470" t="s">
        <v>291</v>
      </c>
      <c r="R37" s="470">
        <v>98</v>
      </c>
      <c r="S37" s="470" t="s">
        <v>291</v>
      </c>
      <c r="T37" s="470" t="s">
        <v>291</v>
      </c>
      <c r="U37" s="470">
        <v>352</v>
      </c>
      <c r="V37" s="470">
        <v>576</v>
      </c>
      <c r="W37" s="470" t="s">
        <v>291</v>
      </c>
      <c r="X37" s="470">
        <v>231</v>
      </c>
      <c r="Y37" s="470">
        <v>42</v>
      </c>
      <c r="Z37" s="470" t="s">
        <v>291</v>
      </c>
      <c r="AA37" s="470" t="s">
        <v>291</v>
      </c>
      <c r="AB37" s="470">
        <v>-324</v>
      </c>
      <c r="AC37" s="470" t="s">
        <v>291</v>
      </c>
      <c r="AD37" s="470" t="s">
        <v>291</v>
      </c>
      <c r="AE37" s="470">
        <v>746</v>
      </c>
      <c r="AF37" s="470">
        <v>521</v>
      </c>
      <c r="AG37" s="470" t="s">
        <v>291</v>
      </c>
      <c r="AH37" s="470" t="s">
        <v>291</v>
      </c>
      <c r="AI37" s="470">
        <v>-448</v>
      </c>
      <c r="AJ37" s="470">
        <v>335</v>
      </c>
      <c r="AK37" s="470">
        <v>-527</v>
      </c>
      <c r="AL37" s="470">
        <v>329</v>
      </c>
    </row>
    <row r="38" spans="1:38">
      <c r="A38" s="470" t="s">
        <v>67</v>
      </c>
      <c r="B38" s="470">
        <v>45</v>
      </c>
      <c r="C38" s="470">
        <v>-7</v>
      </c>
      <c r="D38" s="470">
        <v>-3</v>
      </c>
      <c r="E38" s="470">
        <v>-33</v>
      </c>
      <c r="F38" s="470">
        <v>106</v>
      </c>
      <c r="G38" s="470">
        <v>-19</v>
      </c>
      <c r="H38" s="470">
        <v>166</v>
      </c>
      <c r="I38" s="470" t="s">
        <v>291</v>
      </c>
      <c r="J38" s="470" t="s">
        <v>291</v>
      </c>
      <c r="K38" s="470" t="s">
        <v>291</v>
      </c>
      <c r="L38" s="470">
        <v>-29</v>
      </c>
      <c r="M38" s="470">
        <v>-59</v>
      </c>
      <c r="N38" s="470">
        <v>-23</v>
      </c>
      <c r="O38" s="470" t="s">
        <v>291</v>
      </c>
      <c r="P38" s="470" t="s">
        <v>291</v>
      </c>
      <c r="Q38" s="470" t="s">
        <v>291</v>
      </c>
      <c r="R38" s="470" t="s">
        <v>291</v>
      </c>
      <c r="S38" s="470" t="s">
        <v>291</v>
      </c>
      <c r="T38" s="470" t="s">
        <v>291</v>
      </c>
      <c r="U38" s="470">
        <v>-200</v>
      </c>
      <c r="V38" s="470">
        <v>-10</v>
      </c>
      <c r="W38" s="470" t="s">
        <v>291</v>
      </c>
      <c r="X38" s="470">
        <v>75</v>
      </c>
      <c r="Y38" s="470" t="s">
        <v>291</v>
      </c>
      <c r="Z38" s="470">
        <v>858</v>
      </c>
      <c r="AA38" s="470">
        <v>-229</v>
      </c>
      <c r="AB38" s="470" t="s">
        <v>291</v>
      </c>
      <c r="AC38" s="470">
        <v>-90</v>
      </c>
      <c r="AD38" s="470" t="s">
        <v>291</v>
      </c>
      <c r="AE38" s="470">
        <v>-140</v>
      </c>
      <c r="AF38" s="470">
        <v>359</v>
      </c>
      <c r="AG38" s="470" t="s">
        <v>291</v>
      </c>
      <c r="AH38" s="470" t="s">
        <v>291</v>
      </c>
      <c r="AI38" s="470">
        <v>-16</v>
      </c>
      <c r="AJ38" s="470">
        <v>25</v>
      </c>
      <c r="AK38" s="470">
        <v>-184</v>
      </c>
      <c r="AL38" s="470">
        <v>195</v>
      </c>
    </row>
    <row r="39" spans="1:38">
      <c r="A39" s="470" t="s">
        <v>423</v>
      </c>
      <c r="B39" s="470">
        <v>808</v>
      </c>
      <c r="C39" s="470">
        <v>508</v>
      </c>
      <c r="D39" s="470">
        <v>650</v>
      </c>
      <c r="E39" s="470">
        <v>-27</v>
      </c>
      <c r="F39" s="470">
        <v>-416</v>
      </c>
      <c r="G39" s="470">
        <v>123</v>
      </c>
      <c r="H39" s="470">
        <v>-399</v>
      </c>
      <c r="I39" s="470">
        <v>-4232</v>
      </c>
      <c r="J39" s="470">
        <v>-87</v>
      </c>
      <c r="K39" s="470">
        <v>3723</v>
      </c>
      <c r="L39" s="470">
        <v>3421</v>
      </c>
      <c r="M39" s="470">
        <v>-4928</v>
      </c>
      <c r="N39" s="470">
        <v>2084</v>
      </c>
      <c r="O39" s="470">
        <v>3747</v>
      </c>
      <c r="P39" s="470">
        <v>634</v>
      </c>
      <c r="Q39" s="470">
        <v>498</v>
      </c>
      <c r="R39" s="470">
        <v>-2942</v>
      </c>
      <c r="S39" s="470">
        <v>1982</v>
      </c>
      <c r="T39" s="470">
        <v>-4149</v>
      </c>
      <c r="U39" s="470">
        <v>1372</v>
      </c>
      <c r="V39" s="470">
        <v>-276</v>
      </c>
      <c r="W39" s="470">
        <v>5222</v>
      </c>
      <c r="X39" s="470">
        <v>-142</v>
      </c>
      <c r="Y39" s="470">
        <v>-1136</v>
      </c>
      <c r="Z39" s="470">
        <v>-6845</v>
      </c>
      <c r="AA39" s="470">
        <v>-9826</v>
      </c>
      <c r="AB39" s="470">
        <v>4242</v>
      </c>
      <c r="AC39" s="470">
        <v>-9806</v>
      </c>
      <c r="AD39" s="470">
        <v>1309</v>
      </c>
      <c r="AE39" s="470">
        <v>-865</v>
      </c>
      <c r="AF39" s="470">
        <v>2505</v>
      </c>
      <c r="AG39" s="470">
        <v>-1295</v>
      </c>
      <c r="AH39" s="470">
        <v>1137</v>
      </c>
      <c r="AI39" s="470">
        <v>3898</v>
      </c>
      <c r="AJ39" s="470">
        <v>2578</v>
      </c>
      <c r="AK39" s="470">
        <v>1413</v>
      </c>
      <c r="AL39" s="470">
        <v>5400</v>
      </c>
    </row>
    <row r="40" spans="1:38">
      <c r="A40" s="470" t="s">
        <v>422</v>
      </c>
      <c r="B40" s="470" t="s">
        <v>273</v>
      </c>
      <c r="C40" s="470" t="s">
        <v>273</v>
      </c>
      <c r="D40" s="470" t="s">
        <v>273</v>
      </c>
      <c r="E40" s="470" t="s">
        <v>273</v>
      </c>
      <c r="F40" s="470" t="s">
        <v>273</v>
      </c>
      <c r="G40" s="470" t="s">
        <v>273</v>
      </c>
      <c r="H40" s="470" t="s">
        <v>273</v>
      </c>
      <c r="I40" s="470">
        <v>-11</v>
      </c>
      <c r="J40" s="470">
        <v>-88</v>
      </c>
      <c r="K40" s="470" t="s">
        <v>291</v>
      </c>
      <c r="L40" s="470">
        <v>1575</v>
      </c>
      <c r="M40" s="470">
        <v>-2546</v>
      </c>
      <c r="N40" s="470">
        <v>1109</v>
      </c>
      <c r="O40" s="470">
        <v>617</v>
      </c>
      <c r="P40" s="470" t="s">
        <v>291</v>
      </c>
      <c r="Q40" s="470">
        <v>62</v>
      </c>
      <c r="R40" s="470">
        <v>315</v>
      </c>
      <c r="S40" s="470">
        <v>-131</v>
      </c>
      <c r="T40" s="470" t="s">
        <v>291</v>
      </c>
      <c r="U40" s="470" t="s">
        <v>291</v>
      </c>
      <c r="V40" s="470">
        <v>-14</v>
      </c>
      <c r="W40" s="470" t="s">
        <v>291</v>
      </c>
      <c r="X40" s="470">
        <v>-115</v>
      </c>
      <c r="Y40" s="470" t="s">
        <v>291</v>
      </c>
      <c r="Z40" s="470">
        <v>-22</v>
      </c>
      <c r="AA40" s="470" t="s">
        <v>291</v>
      </c>
      <c r="AB40" s="470">
        <v>182</v>
      </c>
      <c r="AC40" s="470" t="s">
        <v>291</v>
      </c>
      <c r="AD40" s="470" t="s">
        <v>291</v>
      </c>
      <c r="AE40" s="470" t="s">
        <v>291</v>
      </c>
      <c r="AF40" s="470" t="s">
        <v>291</v>
      </c>
      <c r="AG40" s="470">
        <v>-18</v>
      </c>
      <c r="AH40" s="470" t="s">
        <v>291</v>
      </c>
      <c r="AI40" s="470" t="s">
        <v>291</v>
      </c>
      <c r="AJ40" s="470" t="s">
        <v>291</v>
      </c>
      <c r="AK40" s="470" t="s">
        <v>291</v>
      </c>
      <c r="AL40" s="470">
        <v>-8</v>
      </c>
    </row>
    <row r="41" spans="1:38">
      <c r="A41" s="470" t="s">
        <v>420</v>
      </c>
      <c r="B41" s="470">
        <v>240</v>
      </c>
      <c r="C41" s="470">
        <v>8</v>
      </c>
      <c r="D41" s="470">
        <v>306</v>
      </c>
      <c r="E41" s="470">
        <v>-133</v>
      </c>
      <c r="F41" s="470">
        <v>-170</v>
      </c>
      <c r="G41" s="470">
        <v>-38</v>
      </c>
      <c r="H41" s="470" t="s">
        <v>291</v>
      </c>
      <c r="I41" s="470">
        <v>-236</v>
      </c>
      <c r="J41" s="470">
        <v>-194</v>
      </c>
      <c r="K41" s="470" t="s">
        <v>291</v>
      </c>
      <c r="L41" s="470" t="s">
        <v>291</v>
      </c>
      <c r="M41" s="470">
        <v>415</v>
      </c>
      <c r="N41" s="470">
        <v>-246</v>
      </c>
      <c r="O41" s="470">
        <v>-180</v>
      </c>
      <c r="P41" s="470">
        <v>181</v>
      </c>
      <c r="Q41" s="470">
        <v>51</v>
      </c>
      <c r="R41" s="470">
        <v>-232</v>
      </c>
      <c r="S41" s="470">
        <v>1041</v>
      </c>
      <c r="T41" s="470">
        <v>-573</v>
      </c>
      <c r="U41" s="470" t="s">
        <v>291</v>
      </c>
      <c r="V41" s="470">
        <v>1085</v>
      </c>
      <c r="W41" s="470">
        <v>-3349</v>
      </c>
      <c r="X41" s="470" t="s">
        <v>291</v>
      </c>
      <c r="Y41" s="470">
        <v>-2642</v>
      </c>
      <c r="Z41" s="470">
        <v>-495</v>
      </c>
      <c r="AA41" s="470">
        <v>-6682</v>
      </c>
      <c r="AB41" s="470">
        <v>6741</v>
      </c>
      <c r="AC41" s="470">
        <v>-6259</v>
      </c>
      <c r="AD41" s="470">
        <v>4048</v>
      </c>
      <c r="AE41" s="470">
        <v>-484</v>
      </c>
      <c r="AF41" s="470">
        <v>1288</v>
      </c>
      <c r="AG41" s="470">
        <v>-2932</v>
      </c>
      <c r="AH41" s="470">
        <v>-5969</v>
      </c>
      <c r="AI41" s="470">
        <v>529</v>
      </c>
      <c r="AJ41" s="470">
        <v>-753</v>
      </c>
      <c r="AK41" s="470">
        <v>-2568</v>
      </c>
      <c r="AL41" s="470">
        <v>7955</v>
      </c>
    </row>
    <row r="42" spans="1:38">
      <c r="A42" s="470" t="s">
        <v>1456</v>
      </c>
      <c r="B42" s="470" t="s">
        <v>273</v>
      </c>
      <c r="C42" s="470" t="s">
        <v>273</v>
      </c>
      <c r="D42" s="470" t="s">
        <v>273</v>
      </c>
      <c r="E42" s="470" t="s">
        <v>273</v>
      </c>
      <c r="F42" s="470" t="s">
        <v>273</v>
      </c>
      <c r="G42" s="470" t="s">
        <v>273</v>
      </c>
      <c r="H42" s="470" t="s">
        <v>273</v>
      </c>
      <c r="I42" s="470" t="s">
        <v>273</v>
      </c>
      <c r="J42" s="470" t="s">
        <v>273</v>
      </c>
      <c r="K42" s="470" t="s">
        <v>273</v>
      </c>
      <c r="L42" s="470" t="s">
        <v>273</v>
      </c>
      <c r="M42" s="470" t="s">
        <v>273</v>
      </c>
      <c r="N42" s="470" t="s">
        <v>273</v>
      </c>
      <c r="O42" s="470" t="s">
        <v>273</v>
      </c>
      <c r="P42" s="470" t="s">
        <v>273</v>
      </c>
      <c r="Q42" s="470" t="s">
        <v>273</v>
      </c>
      <c r="R42" s="470" t="s">
        <v>273</v>
      </c>
      <c r="S42" s="470" t="s">
        <v>273</v>
      </c>
      <c r="T42" s="470" t="s">
        <v>273</v>
      </c>
      <c r="U42" s="470" t="s">
        <v>273</v>
      </c>
      <c r="V42" s="470" t="s">
        <v>273</v>
      </c>
      <c r="W42" s="470" t="s">
        <v>273</v>
      </c>
      <c r="X42" s="470" t="s">
        <v>273</v>
      </c>
      <c r="Y42" s="470" t="s">
        <v>273</v>
      </c>
      <c r="Z42" s="470" t="s">
        <v>273</v>
      </c>
      <c r="AA42" s="470" t="s">
        <v>273</v>
      </c>
      <c r="AB42" s="470" t="s">
        <v>273</v>
      </c>
      <c r="AC42" s="470" t="s">
        <v>273</v>
      </c>
      <c r="AD42" s="470" t="s">
        <v>273</v>
      </c>
      <c r="AE42" s="470" t="s">
        <v>273</v>
      </c>
      <c r="AF42" s="470" t="s">
        <v>273</v>
      </c>
      <c r="AG42" s="470">
        <v>128</v>
      </c>
      <c r="AH42" s="470">
        <v>-61</v>
      </c>
      <c r="AI42" s="470" t="s">
        <v>291</v>
      </c>
      <c r="AJ42" s="470">
        <v>60</v>
      </c>
      <c r="AK42" s="470">
        <v>62</v>
      </c>
      <c r="AL42" s="470">
        <v>56</v>
      </c>
    </row>
    <row r="43" spans="1:38">
      <c r="A43" s="470" t="s">
        <v>417</v>
      </c>
      <c r="B43" s="470">
        <v>423</v>
      </c>
      <c r="C43" s="470">
        <v>495</v>
      </c>
      <c r="D43" s="470">
        <v>410</v>
      </c>
      <c r="E43" s="470">
        <v>-68</v>
      </c>
      <c r="F43" s="470">
        <v>154</v>
      </c>
      <c r="G43" s="470">
        <v>191</v>
      </c>
      <c r="H43" s="470">
        <v>-172</v>
      </c>
      <c r="I43" s="470">
        <v>223</v>
      </c>
      <c r="J43" s="470">
        <v>220</v>
      </c>
      <c r="K43" s="470">
        <v>131</v>
      </c>
      <c r="L43" s="470">
        <v>4676</v>
      </c>
      <c r="M43" s="470">
        <v>-3324</v>
      </c>
      <c r="N43" s="470">
        <v>1407</v>
      </c>
      <c r="O43" s="470">
        <v>-797</v>
      </c>
      <c r="P43" s="470">
        <v>967</v>
      </c>
      <c r="Q43" s="470">
        <v>-1463</v>
      </c>
      <c r="R43" s="470">
        <v>-995</v>
      </c>
      <c r="S43" s="470">
        <v>-2846</v>
      </c>
      <c r="T43" s="470">
        <v>-921</v>
      </c>
      <c r="U43" s="470">
        <v>414</v>
      </c>
      <c r="V43" s="470" t="s">
        <v>291</v>
      </c>
      <c r="W43" s="470">
        <v>225</v>
      </c>
      <c r="X43" s="470">
        <v>152</v>
      </c>
      <c r="Y43" s="470">
        <v>-9</v>
      </c>
      <c r="Z43" s="470">
        <v>-364</v>
      </c>
      <c r="AA43" s="470" t="s">
        <v>291</v>
      </c>
      <c r="AB43" s="470">
        <v>-1916</v>
      </c>
      <c r="AC43" s="470">
        <v>1149</v>
      </c>
      <c r="AD43" s="470">
        <v>-11</v>
      </c>
      <c r="AE43" s="470" t="s">
        <v>291</v>
      </c>
      <c r="AF43" s="470" t="s">
        <v>291</v>
      </c>
      <c r="AG43" s="470" t="s">
        <v>273</v>
      </c>
      <c r="AH43" s="470" t="s">
        <v>273</v>
      </c>
      <c r="AI43" s="470" t="s">
        <v>273</v>
      </c>
      <c r="AJ43" s="470" t="s">
        <v>273</v>
      </c>
      <c r="AK43" s="470" t="s">
        <v>273</v>
      </c>
      <c r="AL43" s="470" t="s">
        <v>273</v>
      </c>
    </row>
    <row r="44" spans="1:38">
      <c r="A44" s="470" t="s">
        <v>1042</v>
      </c>
      <c r="B44" s="470">
        <v>52</v>
      </c>
      <c r="C44" s="470">
        <v>82</v>
      </c>
      <c r="D44" s="470">
        <v>10</v>
      </c>
      <c r="E44" s="470">
        <v>136</v>
      </c>
      <c r="F44" s="470">
        <v>-410</v>
      </c>
      <c r="G44" s="470">
        <v>-49</v>
      </c>
      <c r="H44" s="470">
        <v>-592</v>
      </c>
      <c r="I44" s="470">
        <v>-4363</v>
      </c>
      <c r="J44" s="470">
        <v>-515</v>
      </c>
      <c r="K44" s="470">
        <v>3437</v>
      </c>
      <c r="L44" s="470">
        <v>-2809</v>
      </c>
      <c r="M44" s="470">
        <v>976</v>
      </c>
      <c r="N44" s="470">
        <v>-386</v>
      </c>
      <c r="O44" s="470">
        <v>4288</v>
      </c>
      <c r="P44" s="470">
        <v>-42</v>
      </c>
      <c r="Q44" s="470">
        <v>1621</v>
      </c>
      <c r="R44" s="470">
        <v>-1805</v>
      </c>
      <c r="S44" s="470">
        <v>3603</v>
      </c>
      <c r="T44" s="470">
        <v>-2574</v>
      </c>
      <c r="U44" s="470">
        <v>311</v>
      </c>
      <c r="V44" s="470">
        <v>-1609</v>
      </c>
      <c r="W44" s="470">
        <v>5168</v>
      </c>
      <c r="X44" s="470">
        <v>1300</v>
      </c>
      <c r="Y44" s="470">
        <v>2319</v>
      </c>
      <c r="Z44" s="470">
        <v>-5914</v>
      </c>
      <c r="AA44" s="470">
        <v>-2578</v>
      </c>
      <c r="AB44" s="470">
        <v>-318</v>
      </c>
      <c r="AC44" s="470">
        <v>-1815</v>
      </c>
      <c r="AD44" s="470">
        <v>-1521</v>
      </c>
      <c r="AE44" s="470">
        <v>-3514</v>
      </c>
      <c r="AF44" s="470">
        <v>1878</v>
      </c>
      <c r="AG44" s="470">
        <v>1162</v>
      </c>
      <c r="AH44" s="470">
        <v>7392</v>
      </c>
      <c r="AI44" s="470">
        <v>4221</v>
      </c>
      <c r="AJ44" s="470">
        <v>3124</v>
      </c>
      <c r="AK44" s="470">
        <v>3876</v>
      </c>
      <c r="AL44" s="470">
        <v>-2567</v>
      </c>
    </row>
    <row r="45" spans="1:38">
      <c r="A45" s="470" t="s">
        <v>67</v>
      </c>
      <c r="B45" s="470">
        <v>93</v>
      </c>
      <c r="C45" s="470">
        <v>-76</v>
      </c>
      <c r="D45" s="470">
        <v>-76</v>
      </c>
      <c r="E45" s="470">
        <v>37</v>
      </c>
      <c r="F45" s="470">
        <v>10</v>
      </c>
      <c r="G45" s="470">
        <v>20</v>
      </c>
      <c r="H45" s="470" t="s">
        <v>291</v>
      </c>
      <c r="I45" s="470">
        <v>156</v>
      </c>
      <c r="J45" s="470">
        <v>490</v>
      </c>
      <c r="K45" s="470">
        <v>203</v>
      </c>
      <c r="L45" s="470" t="s">
        <v>291</v>
      </c>
      <c r="M45" s="470">
        <v>-449</v>
      </c>
      <c r="N45" s="470">
        <v>200</v>
      </c>
      <c r="O45" s="470">
        <v>-180</v>
      </c>
      <c r="P45" s="470" t="s">
        <v>291</v>
      </c>
      <c r="Q45" s="470">
        <v>226</v>
      </c>
      <c r="R45" s="470">
        <v>-226</v>
      </c>
      <c r="S45" s="470">
        <v>315</v>
      </c>
      <c r="T45" s="470" t="s">
        <v>291</v>
      </c>
      <c r="U45" s="470">
        <v>323</v>
      </c>
      <c r="V45" s="470" t="s">
        <v>291</v>
      </c>
      <c r="W45" s="470" t="s">
        <v>291</v>
      </c>
      <c r="X45" s="470" t="s">
        <v>291</v>
      </c>
      <c r="Y45" s="470" t="s">
        <v>291</v>
      </c>
      <c r="Z45" s="470">
        <v>-50</v>
      </c>
      <c r="AA45" s="470" t="s">
        <v>291</v>
      </c>
      <c r="AB45" s="470">
        <v>-448</v>
      </c>
      <c r="AC45" s="470" t="s">
        <v>291</v>
      </c>
      <c r="AD45" s="470" t="s">
        <v>291</v>
      </c>
      <c r="AE45" s="470">
        <v>2717</v>
      </c>
      <c r="AF45" s="470">
        <v>-737</v>
      </c>
      <c r="AG45" s="470">
        <v>366</v>
      </c>
      <c r="AH45" s="470" t="s">
        <v>291</v>
      </c>
      <c r="AI45" s="470">
        <v>-846</v>
      </c>
      <c r="AJ45" s="470" t="s">
        <v>291</v>
      </c>
      <c r="AK45" s="470" t="s">
        <v>291</v>
      </c>
      <c r="AL45" s="470">
        <v>-35</v>
      </c>
    </row>
    <row r="46" spans="1:38">
      <c r="A46" s="470" t="s">
        <v>394</v>
      </c>
      <c r="B46" s="470" t="s">
        <v>273</v>
      </c>
      <c r="C46" s="470" t="s">
        <v>273</v>
      </c>
      <c r="D46" s="470" t="s">
        <v>273</v>
      </c>
      <c r="E46" s="470" t="s">
        <v>273</v>
      </c>
      <c r="F46" s="470" t="s">
        <v>273</v>
      </c>
      <c r="G46" s="470" t="s">
        <v>273</v>
      </c>
      <c r="H46" s="470" t="s">
        <v>273</v>
      </c>
      <c r="I46" s="470">
        <v>-2</v>
      </c>
      <c r="J46" s="470">
        <v>-78</v>
      </c>
      <c r="K46" s="470">
        <v>69</v>
      </c>
      <c r="L46" s="470">
        <v>-44</v>
      </c>
      <c r="M46" s="470">
        <v>-159</v>
      </c>
      <c r="N46" s="470">
        <v>-13</v>
      </c>
      <c r="O46" s="470">
        <v>13</v>
      </c>
      <c r="P46" s="470">
        <v>-11</v>
      </c>
      <c r="Q46" s="470">
        <v>-141</v>
      </c>
      <c r="R46" s="470" t="s">
        <v>291</v>
      </c>
      <c r="S46" s="470" t="s">
        <v>291</v>
      </c>
      <c r="T46" s="470">
        <v>-693</v>
      </c>
      <c r="U46" s="470">
        <v>317</v>
      </c>
      <c r="V46" s="470">
        <v>-142</v>
      </c>
      <c r="W46" s="470">
        <v>108</v>
      </c>
      <c r="X46" s="470">
        <v>10</v>
      </c>
      <c r="Y46" s="470" t="s">
        <v>291</v>
      </c>
      <c r="Z46" s="470">
        <v>-691</v>
      </c>
      <c r="AA46" s="470" t="s">
        <v>291</v>
      </c>
      <c r="AB46" s="470">
        <v>22</v>
      </c>
      <c r="AC46" s="470" t="s">
        <v>291</v>
      </c>
      <c r="AD46" s="470">
        <v>714</v>
      </c>
      <c r="AE46" s="470">
        <v>-452</v>
      </c>
      <c r="AF46" s="470">
        <v>159</v>
      </c>
      <c r="AG46" s="470" t="s">
        <v>291</v>
      </c>
      <c r="AH46" s="470">
        <v>29</v>
      </c>
      <c r="AI46" s="470">
        <v>-234</v>
      </c>
      <c r="AJ46" s="470">
        <v>-169</v>
      </c>
      <c r="AK46" s="470">
        <v>-59</v>
      </c>
      <c r="AL46" s="470">
        <v>-83</v>
      </c>
    </row>
    <row r="47" spans="1:38">
      <c r="A47" s="470" t="s">
        <v>391</v>
      </c>
      <c r="B47" s="470" t="s">
        <v>273</v>
      </c>
      <c r="C47" s="470" t="s">
        <v>273</v>
      </c>
      <c r="D47" s="470" t="s">
        <v>273</v>
      </c>
      <c r="E47" s="470" t="s">
        <v>273</v>
      </c>
      <c r="F47" s="470" t="s">
        <v>273</v>
      </c>
      <c r="G47" s="470" t="s">
        <v>273</v>
      </c>
      <c r="H47" s="470" t="s">
        <v>273</v>
      </c>
      <c r="I47" s="470" t="s">
        <v>291</v>
      </c>
      <c r="J47" s="470" t="s">
        <v>291</v>
      </c>
      <c r="K47" s="470">
        <v>-9</v>
      </c>
      <c r="L47" s="470" t="s">
        <v>291</v>
      </c>
      <c r="M47" s="470">
        <v>-84</v>
      </c>
      <c r="N47" s="470">
        <v>1</v>
      </c>
      <c r="O47" s="470">
        <v>15</v>
      </c>
      <c r="P47" s="470">
        <v>-9</v>
      </c>
      <c r="Q47" s="470">
        <v>1</v>
      </c>
      <c r="R47" s="470">
        <v>-27</v>
      </c>
      <c r="S47" s="470">
        <v>-15</v>
      </c>
      <c r="T47" s="470" t="s">
        <v>291</v>
      </c>
      <c r="U47" s="470">
        <v>-17</v>
      </c>
      <c r="V47" s="470" t="s">
        <v>291</v>
      </c>
      <c r="W47" s="470">
        <v>86</v>
      </c>
      <c r="X47" s="470" t="s">
        <v>291</v>
      </c>
      <c r="Y47" s="470">
        <v>-21</v>
      </c>
      <c r="Z47" s="470">
        <v>-59</v>
      </c>
      <c r="AA47" s="470">
        <v>12</v>
      </c>
      <c r="AB47" s="470" t="s">
        <v>291</v>
      </c>
      <c r="AC47" s="470">
        <v>-362</v>
      </c>
      <c r="AD47" s="470" t="s">
        <v>291</v>
      </c>
      <c r="AE47" s="470">
        <v>42</v>
      </c>
      <c r="AF47" s="470" t="s">
        <v>291</v>
      </c>
      <c r="AG47" s="470" t="s">
        <v>291</v>
      </c>
      <c r="AH47" s="470">
        <v>-18</v>
      </c>
      <c r="AI47" s="470">
        <v>-159</v>
      </c>
      <c r="AJ47" s="470">
        <v>-381</v>
      </c>
      <c r="AK47" s="470">
        <v>-133</v>
      </c>
      <c r="AL47" s="470">
        <v>28</v>
      </c>
    </row>
    <row r="48" spans="1:38">
      <c r="A48" s="470" t="s">
        <v>236</v>
      </c>
      <c r="B48" s="470" t="s">
        <v>273</v>
      </c>
      <c r="C48" s="470" t="s">
        <v>273</v>
      </c>
      <c r="D48" s="470" t="s">
        <v>273</v>
      </c>
      <c r="E48" s="470" t="s">
        <v>273</v>
      </c>
      <c r="F48" s="470" t="s">
        <v>273</v>
      </c>
      <c r="G48" s="470" t="s">
        <v>273</v>
      </c>
      <c r="H48" s="470" t="s">
        <v>273</v>
      </c>
      <c r="I48" s="470" t="s">
        <v>291</v>
      </c>
      <c r="J48" s="470" t="s">
        <v>291</v>
      </c>
      <c r="K48" s="470">
        <v>78</v>
      </c>
      <c r="L48" s="470" t="s">
        <v>291</v>
      </c>
      <c r="M48" s="470">
        <v>-76</v>
      </c>
      <c r="N48" s="470">
        <v>-14</v>
      </c>
      <c r="O48" s="470">
        <v>-1</v>
      </c>
      <c r="P48" s="470">
        <v>-2</v>
      </c>
      <c r="Q48" s="470">
        <v>-143</v>
      </c>
      <c r="R48" s="470" t="s">
        <v>291</v>
      </c>
      <c r="S48" s="470" t="s">
        <v>291</v>
      </c>
      <c r="T48" s="470" t="s">
        <v>291</v>
      </c>
      <c r="U48" s="470">
        <v>334</v>
      </c>
      <c r="V48" s="470" t="s">
        <v>291</v>
      </c>
      <c r="W48" s="470">
        <v>22</v>
      </c>
      <c r="X48" s="470" t="s">
        <v>291</v>
      </c>
      <c r="Y48" s="470" t="s">
        <v>291</v>
      </c>
      <c r="Z48" s="470">
        <v>-632</v>
      </c>
      <c r="AA48" s="470" t="s">
        <v>291</v>
      </c>
      <c r="AB48" s="470" t="s">
        <v>291</v>
      </c>
      <c r="AC48" s="470" t="s">
        <v>291</v>
      </c>
      <c r="AD48" s="470" t="s">
        <v>291</v>
      </c>
      <c r="AE48" s="470">
        <v>-494</v>
      </c>
      <c r="AF48" s="470" t="s">
        <v>291</v>
      </c>
      <c r="AG48" s="470" t="s">
        <v>291</v>
      </c>
      <c r="AH48" s="470">
        <v>47</v>
      </c>
      <c r="AI48" s="470">
        <v>-75</v>
      </c>
      <c r="AJ48" s="470">
        <v>212</v>
      </c>
      <c r="AK48" s="470">
        <v>74</v>
      </c>
      <c r="AL48" s="470">
        <v>-111</v>
      </c>
    </row>
    <row r="49" spans="1:38">
      <c r="A49" s="470" t="s">
        <v>340</v>
      </c>
      <c r="B49" s="470">
        <v>117</v>
      </c>
      <c r="C49" s="470">
        <v>1145</v>
      </c>
      <c r="D49" s="470">
        <v>202</v>
      </c>
      <c r="E49" s="470">
        <v>-79</v>
      </c>
      <c r="F49" s="470">
        <v>46</v>
      </c>
      <c r="G49" s="470">
        <v>-1282</v>
      </c>
      <c r="H49" s="470">
        <v>-2</v>
      </c>
      <c r="I49" s="470">
        <v>-82</v>
      </c>
      <c r="J49" s="470">
        <v>999</v>
      </c>
      <c r="K49" s="470">
        <v>665</v>
      </c>
      <c r="L49" s="470">
        <v>-701</v>
      </c>
      <c r="M49" s="470">
        <v>392</v>
      </c>
      <c r="N49" s="470">
        <v>325</v>
      </c>
      <c r="O49" s="470">
        <v>274</v>
      </c>
      <c r="P49" s="470">
        <v>-206</v>
      </c>
      <c r="Q49" s="470">
        <v>-782</v>
      </c>
      <c r="R49" s="470" t="s">
        <v>291</v>
      </c>
      <c r="S49" s="470" t="s">
        <v>291</v>
      </c>
      <c r="T49" s="470">
        <v>-616</v>
      </c>
      <c r="U49" s="470">
        <v>193</v>
      </c>
      <c r="V49" s="470">
        <v>1411</v>
      </c>
      <c r="W49" s="470">
        <v>-898</v>
      </c>
      <c r="X49" s="470">
        <v>1247</v>
      </c>
      <c r="Y49" s="470" t="s">
        <v>291</v>
      </c>
      <c r="Z49" s="470">
        <v>-186</v>
      </c>
      <c r="AA49" s="470" t="s">
        <v>291</v>
      </c>
      <c r="AB49" s="470" t="s">
        <v>291</v>
      </c>
      <c r="AC49" s="470" t="s">
        <v>291</v>
      </c>
      <c r="AD49" s="470">
        <v>2935</v>
      </c>
      <c r="AE49" s="470">
        <v>414</v>
      </c>
      <c r="AF49" s="470">
        <v>-1771</v>
      </c>
      <c r="AG49" s="470" t="s">
        <v>291</v>
      </c>
      <c r="AH49" s="470">
        <v>698</v>
      </c>
      <c r="AI49" s="470">
        <v>-273</v>
      </c>
      <c r="AJ49" s="470">
        <v>-1895</v>
      </c>
      <c r="AK49" s="470">
        <v>1929</v>
      </c>
      <c r="AL49" s="470">
        <v>-1368</v>
      </c>
    </row>
    <row r="50" spans="1:38">
      <c r="A50" s="470" t="s">
        <v>339</v>
      </c>
      <c r="B50" s="470">
        <v>-25</v>
      </c>
      <c r="C50" s="470">
        <v>-65</v>
      </c>
      <c r="D50" s="470">
        <v>56</v>
      </c>
      <c r="E50" s="470">
        <v>-9</v>
      </c>
      <c r="F50" s="470">
        <v>11</v>
      </c>
      <c r="G50" s="470" t="s">
        <v>291</v>
      </c>
      <c r="H50" s="470">
        <v>9</v>
      </c>
      <c r="I50" s="470">
        <v>-38</v>
      </c>
      <c r="J50" s="470">
        <v>-94</v>
      </c>
      <c r="K50" s="470">
        <v>-25</v>
      </c>
      <c r="L50" s="470">
        <v>-42</v>
      </c>
      <c r="M50" s="470">
        <v>506</v>
      </c>
      <c r="N50" s="470">
        <v>-104</v>
      </c>
      <c r="O50" s="470">
        <v>332</v>
      </c>
      <c r="P50" s="470">
        <v>64</v>
      </c>
      <c r="Q50" s="470">
        <v>-211</v>
      </c>
      <c r="R50" s="470">
        <v>-9</v>
      </c>
      <c r="S50" s="470">
        <v>151</v>
      </c>
      <c r="T50" s="470">
        <v>32</v>
      </c>
      <c r="U50" s="470">
        <v>190</v>
      </c>
      <c r="V50" s="470" t="s">
        <v>291</v>
      </c>
      <c r="W50" s="470" t="s">
        <v>291</v>
      </c>
      <c r="X50" s="470" t="s">
        <v>291</v>
      </c>
      <c r="Y50" s="470" t="s">
        <v>291</v>
      </c>
      <c r="Z50" s="470">
        <v>150</v>
      </c>
      <c r="AA50" s="470" t="s">
        <v>291</v>
      </c>
      <c r="AB50" s="470">
        <v>-345</v>
      </c>
      <c r="AC50" s="470" t="s">
        <v>291</v>
      </c>
      <c r="AD50" s="470">
        <v>1697</v>
      </c>
      <c r="AE50" s="470">
        <v>384</v>
      </c>
      <c r="AF50" s="470">
        <v>251</v>
      </c>
      <c r="AG50" s="470" t="s">
        <v>291</v>
      </c>
      <c r="AH50" s="470">
        <v>591</v>
      </c>
      <c r="AI50" s="470">
        <v>95</v>
      </c>
      <c r="AJ50" s="470">
        <v>-1288</v>
      </c>
      <c r="AK50" s="470">
        <v>1804</v>
      </c>
      <c r="AL50" s="470">
        <v>-1263</v>
      </c>
    </row>
    <row r="51" spans="1:38">
      <c r="A51" s="470" t="s">
        <v>1413</v>
      </c>
      <c r="B51" s="470" t="s">
        <v>273</v>
      </c>
      <c r="C51" s="470" t="s">
        <v>273</v>
      </c>
      <c r="D51" s="470" t="s">
        <v>273</v>
      </c>
      <c r="E51" s="470" t="s">
        <v>273</v>
      </c>
      <c r="F51" s="470" t="s">
        <v>273</v>
      </c>
      <c r="G51" s="470" t="s">
        <v>273</v>
      </c>
      <c r="H51" s="470" t="s">
        <v>273</v>
      </c>
      <c r="I51" s="470">
        <v>-46</v>
      </c>
      <c r="J51" s="470">
        <v>41</v>
      </c>
      <c r="K51" s="470">
        <v>28</v>
      </c>
      <c r="L51" s="470">
        <v>-44</v>
      </c>
      <c r="M51" s="470">
        <v>125</v>
      </c>
      <c r="N51" s="470">
        <v>267</v>
      </c>
      <c r="O51" s="470">
        <v>40</v>
      </c>
      <c r="P51" s="470">
        <v>-226</v>
      </c>
      <c r="Q51" s="470">
        <v>-236</v>
      </c>
      <c r="R51" s="470" t="s">
        <v>291</v>
      </c>
      <c r="S51" s="470" t="s">
        <v>306</v>
      </c>
      <c r="T51" s="470">
        <v>-2</v>
      </c>
      <c r="U51" s="470">
        <v>-1</v>
      </c>
      <c r="V51" s="470" t="s">
        <v>291</v>
      </c>
      <c r="W51" s="470">
        <v>2</v>
      </c>
      <c r="X51" s="470" t="s">
        <v>306</v>
      </c>
      <c r="Y51" s="470">
        <v>1</v>
      </c>
      <c r="Z51" s="470">
        <v>-7</v>
      </c>
      <c r="AA51" s="470">
        <v>-12</v>
      </c>
      <c r="AB51" s="470" t="s">
        <v>291</v>
      </c>
      <c r="AC51" s="470" t="s">
        <v>291</v>
      </c>
      <c r="AD51" s="470" t="s">
        <v>291</v>
      </c>
      <c r="AE51" s="470">
        <v>-4</v>
      </c>
      <c r="AF51" s="470">
        <v>-6</v>
      </c>
      <c r="AG51" s="470" t="s">
        <v>291</v>
      </c>
      <c r="AH51" s="470" t="s">
        <v>291</v>
      </c>
      <c r="AI51" s="470">
        <v>-48</v>
      </c>
      <c r="AJ51" s="470" t="s">
        <v>291</v>
      </c>
      <c r="AK51" s="470">
        <v>-7</v>
      </c>
      <c r="AL51" s="470">
        <v>1</v>
      </c>
    </row>
    <row r="52" spans="1:38">
      <c r="A52" s="470" t="s">
        <v>1412</v>
      </c>
      <c r="B52" s="470" t="s">
        <v>273</v>
      </c>
      <c r="C52" s="470" t="s">
        <v>273</v>
      </c>
      <c r="D52" s="470" t="s">
        <v>273</v>
      </c>
      <c r="E52" s="470" t="s">
        <v>273</v>
      </c>
      <c r="F52" s="470" t="s">
        <v>273</v>
      </c>
      <c r="G52" s="470" t="s">
        <v>273</v>
      </c>
      <c r="H52" s="470" t="s">
        <v>273</v>
      </c>
      <c r="I52" s="470" t="s">
        <v>306</v>
      </c>
      <c r="J52" s="470">
        <v>-1</v>
      </c>
      <c r="K52" s="470">
        <v>1</v>
      </c>
      <c r="L52" s="470">
        <v>0</v>
      </c>
      <c r="M52" s="470">
        <v>0</v>
      </c>
      <c r="N52" s="470">
        <v>0</v>
      </c>
      <c r="O52" s="470">
        <v>0</v>
      </c>
      <c r="P52" s="470">
        <v>0</v>
      </c>
      <c r="Q52" s="470">
        <v>0</v>
      </c>
      <c r="R52" s="470">
        <v>0</v>
      </c>
      <c r="S52" s="470" t="s">
        <v>306</v>
      </c>
      <c r="T52" s="470">
        <v>-2</v>
      </c>
      <c r="U52" s="470" t="s">
        <v>306</v>
      </c>
      <c r="V52" s="470">
        <v>2</v>
      </c>
      <c r="W52" s="470">
        <v>0</v>
      </c>
      <c r="X52" s="470" t="s">
        <v>306</v>
      </c>
      <c r="Y52" s="470">
        <v>0</v>
      </c>
      <c r="Z52" s="470">
        <v>0</v>
      </c>
      <c r="AA52" s="470" t="s">
        <v>291</v>
      </c>
      <c r="AB52" s="470">
        <v>-1</v>
      </c>
      <c r="AC52" s="470" t="s">
        <v>291</v>
      </c>
      <c r="AD52" s="470">
        <v>1</v>
      </c>
      <c r="AE52" s="470">
        <v>-1</v>
      </c>
      <c r="AF52" s="470" t="s">
        <v>291</v>
      </c>
      <c r="AG52" s="470" t="s">
        <v>291</v>
      </c>
      <c r="AH52" s="470">
        <v>2</v>
      </c>
      <c r="AI52" s="470" t="s">
        <v>291</v>
      </c>
      <c r="AJ52" s="470" t="s">
        <v>291</v>
      </c>
      <c r="AK52" s="470">
        <v>4</v>
      </c>
      <c r="AL52" s="470" t="s">
        <v>291</v>
      </c>
    </row>
    <row r="53" spans="1:38">
      <c r="A53" s="470" t="s">
        <v>338</v>
      </c>
      <c r="B53" s="470" t="s">
        <v>273</v>
      </c>
      <c r="C53" s="470" t="s">
        <v>273</v>
      </c>
      <c r="D53" s="470" t="s">
        <v>273</v>
      </c>
      <c r="E53" s="470" t="s">
        <v>273</v>
      </c>
      <c r="F53" s="470" t="s">
        <v>273</v>
      </c>
      <c r="G53" s="470" t="s">
        <v>273</v>
      </c>
      <c r="H53" s="470" t="s">
        <v>273</v>
      </c>
      <c r="I53" s="470">
        <v>-9</v>
      </c>
      <c r="J53" s="470" t="s">
        <v>291</v>
      </c>
      <c r="K53" s="470">
        <v>625</v>
      </c>
      <c r="L53" s="470">
        <v>-608</v>
      </c>
      <c r="M53" s="470">
        <v>-256</v>
      </c>
      <c r="N53" s="470" t="s">
        <v>291</v>
      </c>
      <c r="O53" s="470" t="s">
        <v>291</v>
      </c>
      <c r="P53" s="470">
        <v>19</v>
      </c>
      <c r="Q53" s="470" t="s">
        <v>291</v>
      </c>
      <c r="R53" s="470">
        <v>138</v>
      </c>
      <c r="S53" s="470" t="s">
        <v>291</v>
      </c>
      <c r="T53" s="470" t="s">
        <v>291</v>
      </c>
      <c r="U53" s="470">
        <v>29</v>
      </c>
      <c r="V53" s="470" t="s">
        <v>291</v>
      </c>
      <c r="W53" s="470" t="s">
        <v>291</v>
      </c>
      <c r="X53" s="470" t="s">
        <v>291</v>
      </c>
      <c r="Y53" s="470" t="s">
        <v>291</v>
      </c>
      <c r="Z53" s="470" t="s">
        <v>291</v>
      </c>
      <c r="AA53" s="470" t="s">
        <v>291</v>
      </c>
      <c r="AB53" s="470" t="s">
        <v>291</v>
      </c>
      <c r="AC53" s="470" t="s">
        <v>291</v>
      </c>
      <c r="AD53" s="470" t="s">
        <v>291</v>
      </c>
      <c r="AE53" s="470">
        <v>51</v>
      </c>
      <c r="AF53" s="470" t="s">
        <v>291</v>
      </c>
      <c r="AG53" s="470" t="s">
        <v>291</v>
      </c>
      <c r="AH53" s="470" t="s">
        <v>291</v>
      </c>
      <c r="AI53" s="470" t="s">
        <v>291</v>
      </c>
      <c r="AJ53" s="470" t="s">
        <v>291</v>
      </c>
      <c r="AK53" s="470" t="s">
        <v>291</v>
      </c>
      <c r="AL53" s="470" t="s">
        <v>291</v>
      </c>
    </row>
    <row r="54" spans="1:38">
      <c r="A54" s="470" t="s">
        <v>337</v>
      </c>
      <c r="B54" s="470" t="s">
        <v>273</v>
      </c>
      <c r="C54" s="470" t="s">
        <v>273</v>
      </c>
      <c r="D54" s="470" t="s">
        <v>273</v>
      </c>
      <c r="E54" s="470" t="s">
        <v>273</v>
      </c>
      <c r="F54" s="470" t="s">
        <v>273</v>
      </c>
      <c r="G54" s="470" t="s">
        <v>273</v>
      </c>
      <c r="H54" s="470" t="s">
        <v>273</v>
      </c>
      <c r="I54" s="470" t="s">
        <v>291</v>
      </c>
      <c r="J54" s="470" t="s">
        <v>291</v>
      </c>
      <c r="K54" s="470">
        <v>23</v>
      </c>
      <c r="L54" s="470">
        <v>13</v>
      </c>
      <c r="M54" s="470">
        <v>24</v>
      </c>
      <c r="N54" s="470">
        <v>19</v>
      </c>
      <c r="O54" s="470">
        <v>25</v>
      </c>
      <c r="P54" s="470">
        <v>-35</v>
      </c>
      <c r="Q54" s="470">
        <v>9</v>
      </c>
      <c r="R54" s="470" t="s">
        <v>291</v>
      </c>
      <c r="S54" s="470">
        <v>-2</v>
      </c>
      <c r="T54" s="470" t="s">
        <v>291</v>
      </c>
      <c r="U54" s="470">
        <v>-23</v>
      </c>
      <c r="V54" s="470">
        <v>49</v>
      </c>
      <c r="W54" s="470">
        <v>-21</v>
      </c>
      <c r="X54" s="470">
        <v>10</v>
      </c>
      <c r="Y54" s="470">
        <v>1</v>
      </c>
      <c r="Z54" s="470" t="s">
        <v>291</v>
      </c>
      <c r="AA54" s="470">
        <v>-21</v>
      </c>
      <c r="AB54" s="470" t="s">
        <v>291</v>
      </c>
      <c r="AC54" s="470" t="s">
        <v>291</v>
      </c>
      <c r="AD54" s="470">
        <v>1994</v>
      </c>
      <c r="AE54" s="470" t="s">
        <v>291</v>
      </c>
      <c r="AF54" s="470" t="s">
        <v>291</v>
      </c>
      <c r="AG54" s="470">
        <v>663</v>
      </c>
      <c r="AH54" s="470">
        <v>-101</v>
      </c>
      <c r="AI54" s="470">
        <v>-574</v>
      </c>
      <c r="AJ54" s="470">
        <v>608</v>
      </c>
      <c r="AK54" s="470">
        <v>142</v>
      </c>
      <c r="AL54" s="470">
        <v>-308</v>
      </c>
    </row>
    <row r="55" spans="1:38">
      <c r="A55" s="470" t="s">
        <v>236</v>
      </c>
      <c r="B55" s="470">
        <v>143</v>
      </c>
      <c r="C55" s="470">
        <v>1211</v>
      </c>
      <c r="D55" s="470">
        <v>146</v>
      </c>
      <c r="E55" s="470">
        <v>-70</v>
      </c>
      <c r="F55" s="470">
        <v>35</v>
      </c>
      <c r="G55" s="470" t="s">
        <v>291</v>
      </c>
      <c r="H55" s="470">
        <v>-11</v>
      </c>
      <c r="I55" s="470" t="s">
        <v>291</v>
      </c>
      <c r="J55" s="470">
        <v>10</v>
      </c>
      <c r="K55" s="470">
        <v>12</v>
      </c>
      <c r="L55" s="470">
        <v>-20</v>
      </c>
      <c r="M55" s="470">
        <v>-7</v>
      </c>
      <c r="N55" s="470" t="s">
        <v>291</v>
      </c>
      <c r="O55" s="470" t="s">
        <v>291</v>
      </c>
      <c r="P55" s="470">
        <v>-28</v>
      </c>
      <c r="Q55" s="470" t="s">
        <v>291</v>
      </c>
      <c r="R55" s="470">
        <v>-13</v>
      </c>
      <c r="S55" s="470">
        <v>-7</v>
      </c>
      <c r="T55" s="470" t="s">
        <v>291</v>
      </c>
      <c r="U55" s="470">
        <v>-2</v>
      </c>
      <c r="V55" s="470" t="s">
        <v>291</v>
      </c>
      <c r="W55" s="470">
        <v>26</v>
      </c>
      <c r="X55" s="470">
        <v>53</v>
      </c>
      <c r="Y55" s="470">
        <v>-31</v>
      </c>
      <c r="Z55" s="470" t="s">
        <v>291</v>
      </c>
      <c r="AA55" s="470" t="s">
        <v>291</v>
      </c>
      <c r="AB55" s="470" t="s">
        <v>291</v>
      </c>
      <c r="AC55" s="470" t="s">
        <v>291</v>
      </c>
      <c r="AD55" s="470">
        <v>-57</v>
      </c>
      <c r="AE55" s="470" t="s">
        <v>291</v>
      </c>
      <c r="AF55" s="470">
        <v>12</v>
      </c>
      <c r="AG55" s="470" t="s">
        <v>291</v>
      </c>
      <c r="AH55" s="470" t="s">
        <v>291</v>
      </c>
      <c r="AI55" s="470">
        <v>-261</v>
      </c>
      <c r="AJ55" s="470">
        <v>38</v>
      </c>
      <c r="AK55" s="470" t="s">
        <v>291</v>
      </c>
      <c r="AL55" s="470" t="s">
        <v>291</v>
      </c>
    </row>
    <row r="56" spans="1:38">
      <c r="A56" s="470" t="s">
        <v>323</v>
      </c>
      <c r="B56" s="470" t="s">
        <v>273</v>
      </c>
      <c r="C56" s="470" t="s">
        <v>273</v>
      </c>
      <c r="D56" s="470" t="s">
        <v>273</v>
      </c>
      <c r="E56" s="470" t="s">
        <v>273</v>
      </c>
      <c r="F56" s="470" t="s">
        <v>273</v>
      </c>
      <c r="G56" s="470" t="s">
        <v>273</v>
      </c>
      <c r="H56" s="470" t="s">
        <v>273</v>
      </c>
      <c r="I56" s="470">
        <v>3470</v>
      </c>
      <c r="J56" s="470">
        <v>4317</v>
      </c>
      <c r="K56" s="470">
        <v>4354</v>
      </c>
      <c r="L56" s="470">
        <v>6600</v>
      </c>
      <c r="M56" s="470">
        <v>-369</v>
      </c>
      <c r="N56" s="470">
        <v>1849</v>
      </c>
      <c r="O56" s="470">
        <v>885</v>
      </c>
      <c r="P56" s="470">
        <v>111</v>
      </c>
      <c r="Q56" s="470">
        <v>-677</v>
      </c>
      <c r="R56" s="470">
        <v>2999</v>
      </c>
      <c r="S56" s="470">
        <v>855</v>
      </c>
      <c r="T56" s="470">
        <v>-1534</v>
      </c>
      <c r="U56" s="470">
        <v>4348</v>
      </c>
      <c r="V56" s="470">
        <v>2555</v>
      </c>
      <c r="W56" s="470">
        <v>-6632</v>
      </c>
      <c r="X56" s="470">
        <v>-2802</v>
      </c>
      <c r="Y56" s="470">
        <v>-2870</v>
      </c>
      <c r="Z56" s="470">
        <v>6166</v>
      </c>
      <c r="AA56" s="470">
        <v>1394</v>
      </c>
      <c r="AB56" s="470" t="s">
        <v>291</v>
      </c>
      <c r="AC56" s="470">
        <v>4758</v>
      </c>
      <c r="AD56" s="470">
        <v>1915</v>
      </c>
      <c r="AE56" s="470">
        <v>-1415</v>
      </c>
      <c r="AF56" s="470">
        <v>5763</v>
      </c>
      <c r="AG56" s="470">
        <v>15540</v>
      </c>
      <c r="AH56" s="470">
        <v>-15401</v>
      </c>
      <c r="AI56" s="470">
        <v>7715</v>
      </c>
      <c r="AJ56" s="470">
        <v>18918</v>
      </c>
      <c r="AK56" s="470">
        <v>1488</v>
      </c>
      <c r="AL56" s="470">
        <v>1913</v>
      </c>
    </row>
    <row r="57" spans="1:38">
      <c r="A57" s="470" t="s">
        <v>322</v>
      </c>
      <c r="B57" s="470" t="s">
        <v>273</v>
      </c>
      <c r="C57" s="470" t="s">
        <v>273</v>
      </c>
      <c r="D57" s="470" t="s">
        <v>273</v>
      </c>
      <c r="E57" s="470" t="s">
        <v>273</v>
      </c>
      <c r="F57" s="470" t="s">
        <v>273</v>
      </c>
      <c r="G57" s="470" t="s">
        <v>273</v>
      </c>
      <c r="H57" s="470" t="s">
        <v>273</v>
      </c>
      <c r="I57" s="470">
        <v>-230</v>
      </c>
      <c r="J57" s="470">
        <v>225</v>
      </c>
      <c r="K57" s="470">
        <v>-670</v>
      </c>
      <c r="L57" s="470">
        <v>505</v>
      </c>
      <c r="M57" s="470">
        <v>-777</v>
      </c>
      <c r="N57" s="470">
        <v>301</v>
      </c>
      <c r="O57" s="470">
        <v>-193</v>
      </c>
      <c r="P57" s="470">
        <v>295</v>
      </c>
      <c r="Q57" s="470">
        <v>-95</v>
      </c>
      <c r="R57" s="470">
        <v>-66</v>
      </c>
      <c r="S57" s="470">
        <v>-613</v>
      </c>
      <c r="T57" s="470">
        <v>722</v>
      </c>
      <c r="U57" s="470">
        <v>547</v>
      </c>
      <c r="V57" s="470">
        <v>800</v>
      </c>
      <c r="W57" s="470">
        <v>-1078</v>
      </c>
      <c r="X57" s="470">
        <v>567</v>
      </c>
      <c r="Y57" s="470">
        <v>-728</v>
      </c>
      <c r="Z57" s="470">
        <v>293</v>
      </c>
      <c r="AA57" s="470">
        <v>68</v>
      </c>
      <c r="AB57" s="470">
        <v>209</v>
      </c>
      <c r="AC57" s="470">
        <v>844</v>
      </c>
      <c r="AD57" s="470">
        <v>544</v>
      </c>
      <c r="AE57" s="470">
        <v>-2744</v>
      </c>
      <c r="AF57" s="470">
        <v>1626</v>
      </c>
      <c r="AG57" s="470">
        <v>10107</v>
      </c>
      <c r="AH57" s="470">
        <v>-13074</v>
      </c>
      <c r="AI57" s="470">
        <v>410</v>
      </c>
      <c r="AJ57" s="470">
        <v>1278</v>
      </c>
      <c r="AK57" s="470">
        <v>-1383</v>
      </c>
      <c r="AL57" s="470">
        <v>-1023</v>
      </c>
    </row>
    <row r="58" spans="1:38">
      <c r="A58" s="470" t="s">
        <v>321</v>
      </c>
      <c r="B58" s="470" t="s">
        <v>273</v>
      </c>
      <c r="C58" s="470" t="s">
        <v>273</v>
      </c>
      <c r="D58" s="470" t="s">
        <v>273</v>
      </c>
      <c r="E58" s="470" t="s">
        <v>273</v>
      </c>
      <c r="F58" s="470" t="s">
        <v>273</v>
      </c>
      <c r="G58" s="470" t="s">
        <v>273</v>
      </c>
      <c r="H58" s="470" t="s">
        <v>273</v>
      </c>
      <c r="I58" s="470" t="s">
        <v>273</v>
      </c>
      <c r="J58" s="470" t="s">
        <v>273</v>
      </c>
      <c r="K58" s="470" t="s">
        <v>273</v>
      </c>
      <c r="L58" s="470" t="s">
        <v>273</v>
      </c>
      <c r="M58" s="470" t="s">
        <v>273</v>
      </c>
      <c r="N58" s="470" t="s">
        <v>273</v>
      </c>
      <c r="O58" s="470" t="s">
        <v>273</v>
      </c>
      <c r="P58" s="470" t="s">
        <v>273</v>
      </c>
      <c r="Q58" s="470" t="s">
        <v>273</v>
      </c>
      <c r="R58" s="470" t="s">
        <v>273</v>
      </c>
      <c r="S58" s="470" t="s">
        <v>273</v>
      </c>
      <c r="T58" s="470" t="s">
        <v>273</v>
      </c>
      <c r="U58" s="470" t="s">
        <v>273</v>
      </c>
      <c r="V58" s="470" t="s">
        <v>273</v>
      </c>
      <c r="W58" s="470" t="s">
        <v>273</v>
      </c>
      <c r="X58" s="470">
        <v>-105</v>
      </c>
      <c r="Y58" s="470" t="s">
        <v>291</v>
      </c>
      <c r="Z58" s="470">
        <v>17</v>
      </c>
      <c r="AA58" s="470">
        <v>122</v>
      </c>
      <c r="AB58" s="470">
        <v>419</v>
      </c>
      <c r="AC58" s="470">
        <v>-52</v>
      </c>
      <c r="AD58" s="470" t="s">
        <v>291</v>
      </c>
      <c r="AE58" s="470">
        <v>-61</v>
      </c>
      <c r="AF58" s="470">
        <v>-727</v>
      </c>
      <c r="AG58" s="470">
        <v>31</v>
      </c>
      <c r="AH58" s="470">
        <v>163</v>
      </c>
      <c r="AI58" s="470">
        <v>2132</v>
      </c>
      <c r="AJ58" s="470">
        <v>601</v>
      </c>
      <c r="AK58" s="470">
        <v>4320</v>
      </c>
      <c r="AL58" s="470">
        <v>-449</v>
      </c>
    </row>
    <row r="59" spans="1:38">
      <c r="A59" s="470" t="s">
        <v>320</v>
      </c>
      <c r="B59" s="470" t="s">
        <v>273</v>
      </c>
      <c r="C59" s="470" t="s">
        <v>273</v>
      </c>
      <c r="D59" s="470" t="s">
        <v>273</v>
      </c>
      <c r="E59" s="470" t="s">
        <v>273</v>
      </c>
      <c r="F59" s="470" t="s">
        <v>273</v>
      </c>
      <c r="G59" s="470" t="s">
        <v>273</v>
      </c>
      <c r="H59" s="470" t="s">
        <v>273</v>
      </c>
      <c r="I59" s="470">
        <v>96</v>
      </c>
      <c r="J59" s="470">
        <v>34</v>
      </c>
      <c r="K59" s="470">
        <v>-62</v>
      </c>
      <c r="L59" s="470">
        <v>299</v>
      </c>
      <c r="M59" s="470">
        <v>35</v>
      </c>
      <c r="N59" s="470">
        <v>119</v>
      </c>
      <c r="O59" s="470">
        <v>56</v>
      </c>
      <c r="P59" s="470">
        <v>305</v>
      </c>
      <c r="Q59" s="470">
        <v>-165</v>
      </c>
      <c r="R59" s="470">
        <v>54</v>
      </c>
      <c r="S59" s="470">
        <v>-24</v>
      </c>
      <c r="T59" s="470" t="s">
        <v>291</v>
      </c>
      <c r="U59" s="470" t="s">
        <v>291</v>
      </c>
      <c r="V59" s="470">
        <v>493</v>
      </c>
      <c r="W59" s="470">
        <v>-177</v>
      </c>
      <c r="X59" s="470">
        <v>626</v>
      </c>
      <c r="Y59" s="470">
        <v>-127</v>
      </c>
      <c r="Z59" s="470">
        <v>-156</v>
      </c>
      <c r="AA59" s="470">
        <v>97</v>
      </c>
      <c r="AB59" s="470">
        <v>75</v>
      </c>
      <c r="AC59" s="470" t="s">
        <v>291</v>
      </c>
      <c r="AD59" s="470">
        <v>98</v>
      </c>
      <c r="AE59" s="470">
        <v>-314</v>
      </c>
      <c r="AF59" s="470" t="s">
        <v>291</v>
      </c>
      <c r="AG59" s="470" t="s">
        <v>291</v>
      </c>
      <c r="AH59" s="470">
        <v>-219</v>
      </c>
      <c r="AI59" s="470">
        <v>-460</v>
      </c>
      <c r="AJ59" s="470">
        <v>951</v>
      </c>
      <c r="AK59" s="470">
        <v>432</v>
      </c>
      <c r="AL59" s="470">
        <v>459</v>
      </c>
    </row>
    <row r="60" spans="1:38">
      <c r="A60" s="470" t="s">
        <v>319</v>
      </c>
      <c r="B60" s="470" t="s">
        <v>273</v>
      </c>
      <c r="C60" s="470" t="s">
        <v>273</v>
      </c>
      <c r="D60" s="470" t="s">
        <v>273</v>
      </c>
      <c r="E60" s="470" t="s">
        <v>273</v>
      </c>
      <c r="F60" s="470" t="s">
        <v>273</v>
      </c>
      <c r="G60" s="470" t="s">
        <v>273</v>
      </c>
      <c r="H60" s="470" t="s">
        <v>273</v>
      </c>
      <c r="I60" s="470" t="s">
        <v>273</v>
      </c>
      <c r="J60" s="470" t="s">
        <v>273</v>
      </c>
      <c r="K60" s="470" t="s">
        <v>273</v>
      </c>
      <c r="L60" s="470" t="s">
        <v>273</v>
      </c>
      <c r="M60" s="470" t="s">
        <v>273</v>
      </c>
      <c r="N60" s="470" t="s">
        <v>273</v>
      </c>
      <c r="O60" s="470" t="s">
        <v>273</v>
      </c>
      <c r="P60" s="470" t="s">
        <v>273</v>
      </c>
      <c r="Q60" s="470" t="s">
        <v>273</v>
      </c>
      <c r="R60" s="470" t="s">
        <v>273</v>
      </c>
      <c r="S60" s="470" t="s">
        <v>273</v>
      </c>
      <c r="T60" s="470" t="s">
        <v>273</v>
      </c>
      <c r="U60" s="470" t="s">
        <v>273</v>
      </c>
      <c r="V60" s="470" t="s">
        <v>273</v>
      </c>
      <c r="W60" s="470" t="s">
        <v>273</v>
      </c>
      <c r="X60" s="470">
        <v>-34</v>
      </c>
      <c r="Y60" s="470" t="s">
        <v>291</v>
      </c>
      <c r="Z60" s="470">
        <v>40</v>
      </c>
      <c r="AA60" s="470" t="s">
        <v>291</v>
      </c>
      <c r="AB60" s="470">
        <v>117</v>
      </c>
      <c r="AC60" s="470">
        <v>-133</v>
      </c>
      <c r="AD60" s="470">
        <v>-92</v>
      </c>
      <c r="AE60" s="470">
        <v>169</v>
      </c>
      <c r="AF60" s="470" t="s">
        <v>291</v>
      </c>
      <c r="AG60" s="470" t="s">
        <v>291</v>
      </c>
      <c r="AH60" s="470">
        <v>193</v>
      </c>
      <c r="AI60" s="470">
        <v>-318</v>
      </c>
      <c r="AJ60" s="470">
        <v>710</v>
      </c>
      <c r="AK60" s="470">
        <v>-405</v>
      </c>
      <c r="AL60" s="470">
        <v>-13</v>
      </c>
    </row>
    <row r="61" spans="1:38">
      <c r="A61" s="470" t="s">
        <v>317</v>
      </c>
      <c r="B61" s="470" t="s">
        <v>273</v>
      </c>
      <c r="C61" s="470" t="s">
        <v>273</v>
      </c>
      <c r="D61" s="470" t="s">
        <v>273</v>
      </c>
      <c r="E61" s="470" t="s">
        <v>273</v>
      </c>
      <c r="F61" s="470" t="s">
        <v>273</v>
      </c>
      <c r="G61" s="470" t="s">
        <v>273</v>
      </c>
      <c r="H61" s="470" t="s">
        <v>273</v>
      </c>
      <c r="I61" s="470">
        <v>3531</v>
      </c>
      <c r="J61" s="470">
        <v>3761</v>
      </c>
      <c r="K61" s="470">
        <v>5420</v>
      </c>
      <c r="L61" s="470">
        <v>6024</v>
      </c>
      <c r="M61" s="470">
        <v>-300</v>
      </c>
      <c r="N61" s="470">
        <v>1148</v>
      </c>
      <c r="O61" s="470">
        <v>1623</v>
      </c>
      <c r="P61" s="470">
        <v>-444</v>
      </c>
      <c r="Q61" s="470">
        <v>-1193</v>
      </c>
      <c r="R61" s="470">
        <v>3649</v>
      </c>
      <c r="S61" s="470">
        <v>-434</v>
      </c>
      <c r="T61" s="470">
        <v>-1895</v>
      </c>
      <c r="U61" s="470">
        <v>4104</v>
      </c>
      <c r="V61" s="470">
        <v>108</v>
      </c>
      <c r="W61" s="470">
        <v>-4388</v>
      </c>
      <c r="X61" s="470">
        <v>-3341</v>
      </c>
      <c r="Y61" s="470">
        <v>-1741</v>
      </c>
      <c r="Z61" s="470">
        <v>4987</v>
      </c>
      <c r="AA61" s="470">
        <v>-114</v>
      </c>
      <c r="AB61" s="470">
        <v>5200</v>
      </c>
      <c r="AC61" s="470">
        <v>2270</v>
      </c>
      <c r="AD61" s="470">
        <v>820</v>
      </c>
      <c r="AE61" s="470">
        <v>2838</v>
      </c>
      <c r="AF61" s="470">
        <v>2778</v>
      </c>
      <c r="AG61" s="470">
        <v>1513</v>
      </c>
      <c r="AH61" s="470">
        <v>-3457</v>
      </c>
      <c r="AI61" s="470">
        <v>1629</v>
      </c>
      <c r="AJ61" s="470">
        <v>4875</v>
      </c>
      <c r="AK61" s="470">
        <v>-1932</v>
      </c>
      <c r="AL61" s="470">
        <v>2376</v>
      </c>
    </row>
    <row r="62" spans="1:38">
      <c r="A62" s="470" t="s">
        <v>316</v>
      </c>
      <c r="B62" s="470" t="s">
        <v>273</v>
      </c>
      <c r="C62" s="470" t="s">
        <v>273</v>
      </c>
      <c r="D62" s="470" t="s">
        <v>273</v>
      </c>
      <c r="E62" s="470" t="s">
        <v>273</v>
      </c>
      <c r="F62" s="470" t="s">
        <v>273</v>
      </c>
      <c r="G62" s="470" t="s">
        <v>273</v>
      </c>
      <c r="H62" s="470" t="s">
        <v>273</v>
      </c>
      <c r="I62" s="470">
        <v>-152</v>
      </c>
      <c r="J62" s="470">
        <v>255</v>
      </c>
      <c r="K62" s="470">
        <v>-793</v>
      </c>
      <c r="L62" s="470">
        <v>-689</v>
      </c>
      <c r="M62" s="470">
        <v>956</v>
      </c>
      <c r="N62" s="470">
        <v>267</v>
      </c>
      <c r="O62" s="470">
        <v>-264</v>
      </c>
      <c r="P62" s="470">
        <v>-104</v>
      </c>
      <c r="Q62" s="470">
        <v>467</v>
      </c>
      <c r="R62" s="470">
        <v>96</v>
      </c>
      <c r="S62" s="470">
        <v>609</v>
      </c>
      <c r="T62" s="470">
        <v>626</v>
      </c>
      <c r="U62" s="470">
        <v>566</v>
      </c>
      <c r="V62" s="470">
        <v>-129</v>
      </c>
      <c r="W62" s="470" t="s">
        <v>291</v>
      </c>
      <c r="X62" s="470">
        <v>-580</v>
      </c>
      <c r="Y62" s="470">
        <v>31</v>
      </c>
      <c r="Z62" s="470" t="s">
        <v>291</v>
      </c>
      <c r="AA62" s="470">
        <v>332</v>
      </c>
      <c r="AB62" s="470">
        <v>2381</v>
      </c>
      <c r="AC62" s="470">
        <v>1037</v>
      </c>
      <c r="AD62" s="470">
        <v>-513</v>
      </c>
      <c r="AE62" s="470">
        <v>-595</v>
      </c>
      <c r="AF62" s="470">
        <v>1007</v>
      </c>
      <c r="AG62" s="470">
        <v>820</v>
      </c>
      <c r="AH62" s="470">
        <v>2103</v>
      </c>
      <c r="AI62" s="470">
        <v>3340</v>
      </c>
      <c r="AJ62" s="470">
        <v>3496</v>
      </c>
      <c r="AK62" s="470">
        <v>-1711</v>
      </c>
      <c r="AL62" s="470">
        <v>-1479</v>
      </c>
    </row>
    <row r="63" spans="1:38">
      <c r="A63" s="470" t="s">
        <v>315</v>
      </c>
      <c r="B63" s="470" t="s">
        <v>273</v>
      </c>
      <c r="C63" s="470" t="s">
        <v>273</v>
      </c>
      <c r="D63" s="470" t="s">
        <v>273</v>
      </c>
      <c r="E63" s="470" t="s">
        <v>273</v>
      </c>
      <c r="F63" s="470" t="s">
        <v>273</v>
      </c>
      <c r="G63" s="470" t="s">
        <v>273</v>
      </c>
      <c r="H63" s="470" t="s">
        <v>273</v>
      </c>
      <c r="I63" s="470">
        <v>-25</v>
      </c>
      <c r="J63" s="470">
        <v>40</v>
      </c>
      <c r="K63" s="470" t="s">
        <v>291</v>
      </c>
      <c r="L63" s="470">
        <v>-13</v>
      </c>
      <c r="M63" s="470" t="s">
        <v>291</v>
      </c>
      <c r="N63" s="470" t="s">
        <v>291</v>
      </c>
      <c r="O63" s="470">
        <v>50</v>
      </c>
      <c r="P63" s="470" t="s">
        <v>291</v>
      </c>
      <c r="Q63" s="470" t="s">
        <v>291</v>
      </c>
      <c r="R63" s="470">
        <v>43</v>
      </c>
      <c r="S63" s="470">
        <v>56</v>
      </c>
      <c r="T63" s="470" t="s">
        <v>291</v>
      </c>
      <c r="U63" s="470">
        <v>-48</v>
      </c>
      <c r="V63" s="470" t="s">
        <v>291</v>
      </c>
      <c r="W63" s="470" t="s">
        <v>291</v>
      </c>
      <c r="X63" s="470">
        <v>-14</v>
      </c>
      <c r="Y63" s="470">
        <v>-11</v>
      </c>
      <c r="Z63" s="470">
        <v>42</v>
      </c>
      <c r="AA63" s="470">
        <v>78</v>
      </c>
      <c r="AB63" s="470">
        <v>5</v>
      </c>
      <c r="AC63" s="470">
        <v>12</v>
      </c>
      <c r="AD63" s="470">
        <v>6</v>
      </c>
      <c r="AE63" s="470">
        <v>-12</v>
      </c>
      <c r="AF63" s="470">
        <v>-109</v>
      </c>
      <c r="AG63" s="470">
        <v>448</v>
      </c>
      <c r="AH63" s="470">
        <v>-280</v>
      </c>
      <c r="AI63" s="470">
        <v>-41</v>
      </c>
      <c r="AJ63" s="470">
        <v>229</v>
      </c>
      <c r="AK63" s="470">
        <v>117</v>
      </c>
      <c r="AL63" s="470">
        <v>-158</v>
      </c>
    </row>
    <row r="64" spans="1:38">
      <c r="A64" s="470" t="s">
        <v>314</v>
      </c>
      <c r="B64" s="470" t="s">
        <v>273</v>
      </c>
      <c r="C64" s="470" t="s">
        <v>273</v>
      </c>
      <c r="D64" s="470" t="s">
        <v>273</v>
      </c>
      <c r="E64" s="470" t="s">
        <v>273</v>
      </c>
      <c r="F64" s="470" t="s">
        <v>273</v>
      </c>
      <c r="G64" s="470" t="s">
        <v>273</v>
      </c>
      <c r="H64" s="470" t="s">
        <v>273</v>
      </c>
      <c r="I64" s="470">
        <v>38</v>
      </c>
      <c r="J64" s="470">
        <v>-71</v>
      </c>
      <c r="K64" s="470">
        <v>-5</v>
      </c>
      <c r="L64" s="470">
        <v>48</v>
      </c>
      <c r="M64" s="470">
        <v>-50</v>
      </c>
      <c r="N64" s="470">
        <v>53</v>
      </c>
      <c r="O64" s="470" t="s">
        <v>291</v>
      </c>
      <c r="P64" s="470" t="s">
        <v>291</v>
      </c>
      <c r="Q64" s="470" t="s">
        <v>291</v>
      </c>
      <c r="R64" s="470">
        <v>-8</v>
      </c>
      <c r="S64" s="470">
        <v>-27</v>
      </c>
      <c r="T64" s="470">
        <v>65</v>
      </c>
      <c r="U64" s="470">
        <v>-48</v>
      </c>
      <c r="V64" s="470" t="s">
        <v>291</v>
      </c>
      <c r="W64" s="470">
        <v>60</v>
      </c>
      <c r="X64" s="470">
        <v>115</v>
      </c>
      <c r="Y64" s="470">
        <v>65</v>
      </c>
      <c r="Z64" s="470">
        <v>156</v>
      </c>
      <c r="AA64" s="470" t="s">
        <v>291</v>
      </c>
      <c r="AB64" s="470">
        <v>-102</v>
      </c>
      <c r="AC64" s="470" t="s">
        <v>291</v>
      </c>
      <c r="AD64" s="470" t="s">
        <v>291</v>
      </c>
      <c r="AE64" s="470">
        <v>-246</v>
      </c>
      <c r="AF64" s="470">
        <v>-10</v>
      </c>
      <c r="AG64" s="470" t="s">
        <v>291</v>
      </c>
      <c r="AH64" s="470">
        <v>-457</v>
      </c>
      <c r="AI64" s="470">
        <v>-57</v>
      </c>
      <c r="AJ64" s="470" t="s">
        <v>291</v>
      </c>
      <c r="AK64" s="470">
        <v>-253</v>
      </c>
      <c r="AL64" s="470">
        <v>-15</v>
      </c>
    </row>
    <row r="65" spans="1:38">
      <c r="A65" s="470" t="s">
        <v>313</v>
      </c>
      <c r="B65" s="470" t="s">
        <v>273</v>
      </c>
      <c r="C65" s="470" t="s">
        <v>273</v>
      </c>
      <c r="D65" s="470" t="s">
        <v>273</v>
      </c>
      <c r="E65" s="470" t="s">
        <v>273</v>
      </c>
      <c r="F65" s="470" t="s">
        <v>273</v>
      </c>
      <c r="G65" s="470" t="s">
        <v>273</v>
      </c>
      <c r="H65" s="470" t="s">
        <v>273</v>
      </c>
      <c r="I65" s="470">
        <v>2</v>
      </c>
      <c r="J65" s="470">
        <v>4</v>
      </c>
      <c r="K65" s="470">
        <v>8</v>
      </c>
      <c r="L65" s="470">
        <v>3</v>
      </c>
      <c r="M65" s="470">
        <v>-15</v>
      </c>
      <c r="N65" s="470" t="s">
        <v>291</v>
      </c>
      <c r="O65" s="470" t="s">
        <v>291</v>
      </c>
      <c r="P65" s="470" t="s">
        <v>291</v>
      </c>
      <c r="Q65" s="470">
        <v>-2</v>
      </c>
      <c r="R65" s="470">
        <v>12</v>
      </c>
      <c r="S65" s="470">
        <v>2</v>
      </c>
      <c r="T65" s="470">
        <v>8</v>
      </c>
      <c r="U65" s="470">
        <v>12</v>
      </c>
      <c r="V65" s="470" t="s">
        <v>291</v>
      </c>
      <c r="W65" s="470">
        <v>-19</v>
      </c>
      <c r="X65" s="470" t="s">
        <v>273</v>
      </c>
      <c r="Y65" s="470" t="s">
        <v>273</v>
      </c>
      <c r="Z65" s="470" t="s">
        <v>273</v>
      </c>
      <c r="AA65" s="470" t="s">
        <v>273</v>
      </c>
      <c r="AB65" s="470" t="s">
        <v>273</v>
      </c>
      <c r="AC65" s="470" t="s">
        <v>273</v>
      </c>
      <c r="AD65" s="470" t="s">
        <v>273</v>
      </c>
      <c r="AE65" s="470" t="s">
        <v>273</v>
      </c>
      <c r="AF65" s="470" t="s">
        <v>273</v>
      </c>
      <c r="AG65" s="470" t="s">
        <v>273</v>
      </c>
      <c r="AH65" s="470" t="s">
        <v>273</v>
      </c>
      <c r="AI65" s="470" t="s">
        <v>273</v>
      </c>
      <c r="AJ65" s="470" t="s">
        <v>273</v>
      </c>
      <c r="AK65" s="470" t="s">
        <v>273</v>
      </c>
      <c r="AL65" s="470" t="s">
        <v>273</v>
      </c>
    </row>
    <row r="66" spans="1:38">
      <c r="A66" s="470" t="s">
        <v>312</v>
      </c>
      <c r="B66" s="471">
        <v>0</v>
      </c>
      <c r="C66" s="471">
        <v>0</v>
      </c>
      <c r="D66" s="471">
        <v>0</v>
      </c>
      <c r="E66" s="471">
        <v>0</v>
      </c>
      <c r="F66" s="471">
        <v>0</v>
      </c>
      <c r="G66" s="471">
        <v>0</v>
      </c>
      <c r="H66" s="471">
        <v>0</v>
      </c>
      <c r="I66" s="470">
        <v>149</v>
      </c>
      <c r="J66" s="470">
        <v>93</v>
      </c>
      <c r="K66" s="470">
        <v>380</v>
      </c>
      <c r="L66" s="470">
        <v>325</v>
      </c>
      <c r="M66" s="471">
        <v>0</v>
      </c>
      <c r="N66" s="470">
        <v>-294</v>
      </c>
      <c r="O66" s="470">
        <v>-436</v>
      </c>
      <c r="P66" s="470">
        <v>124</v>
      </c>
      <c r="Q66" s="470">
        <v>188</v>
      </c>
      <c r="R66" s="470">
        <v>-498</v>
      </c>
      <c r="S66" s="470">
        <v>990</v>
      </c>
      <c r="T66" s="471">
        <v>0</v>
      </c>
      <c r="U66" s="470">
        <v>-574</v>
      </c>
      <c r="V66" s="471">
        <f>(U66+W66)/2</f>
        <v>-827.5</v>
      </c>
      <c r="W66" s="470">
        <v>-1081</v>
      </c>
      <c r="X66" s="470">
        <v>-229</v>
      </c>
      <c r="Y66" s="471">
        <v>0</v>
      </c>
      <c r="Z66" s="470">
        <v>215</v>
      </c>
      <c r="AA66" s="471">
        <v>0</v>
      </c>
      <c r="AB66" s="471">
        <v>0</v>
      </c>
      <c r="AC66" s="471">
        <v>0</v>
      </c>
      <c r="AD66" s="471">
        <v>0</v>
      </c>
      <c r="AE66" s="470">
        <v>-90</v>
      </c>
      <c r="AF66" s="470">
        <v>809</v>
      </c>
      <c r="AG66" s="470">
        <v>1120</v>
      </c>
      <c r="AH66" s="470">
        <v>-340</v>
      </c>
      <c r="AI66" s="470">
        <v>-270</v>
      </c>
      <c r="AJ66" s="470">
        <v>3221</v>
      </c>
      <c r="AK66" s="470">
        <v>1124</v>
      </c>
      <c r="AL66" s="470">
        <v>1546</v>
      </c>
    </row>
    <row r="67" spans="1:38">
      <c r="A67" s="470" t="s">
        <v>311</v>
      </c>
      <c r="B67" s="470" t="s">
        <v>273</v>
      </c>
      <c r="C67" s="470" t="s">
        <v>273</v>
      </c>
      <c r="D67" s="470" t="s">
        <v>273</v>
      </c>
      <c r="E67" s="470" t="s">
        <v>273</v>
      </c>
      <c r="F67" s="470" t="s">
        <v>273</v>
      </c>
      <c r="G67" s="470" t="s">
        <v>273</v>
      </c>
      <c r="H67" s="470" t="s">
        <v>273</v>
      </c>
      <c r="I67" s="470">
        <v>19</v>
      </c>
      <c r="J67" s="470">
        <v>72</v>
      </c>
      <c r="K67" s="470">
        <v>-35</v>
      </c>
      <c r="L67" s="470">
        <v>17</v>
      </c>
      <c r="M67" s="470">
        <v>119</v>
      </c>
      <c r="N67" s="470">
        <v>86</v>
      </c>
      <c r="O67" s="470">
        <v>48</v>
      </c>
      <c r="P67" s="470">
        <v>-26</v>
      </c>
      <c r="Q67" s="470">
        <v>172</v>
      </c>
      <c r="R67" s="470">
        <v>-94</v>
      </c>
      <c r="S67" s="470">
        <v>170</v>
      </c>
      <c r="T67" s="470">
        <v>326</v>
      </c>
      <c r="U67" s="470">
        <v>-75</v>
      </c>
      <c r="V67" s="470">
        <v>33</v>
      </c>
      <c r="W67" s="470">
        <v>-347</v>
      </c>
      <c r="X67" s="470">
        <v>174</v>
      </c>
      <c r="Y67" s="470">
        <v>-8</v>
      </c>
      <c r="Z67" s="470" t="s">
        <v>291</v>
      </c>
      <c r="AA67" s="470">
        <v>210</v>
      </c>
      <c r="AB67" s="470" t="s">
        <v>291</v>
      </c>
      <c r="AC67" s="470">
        <v>59</v>
      </c>
      <c r="AD67" s="470">
        <v>665</v>
      </c>
      <c r="AE67" s="470">
        <v>-508</v>
      </c>
      <c r="AF67" s="470">
        <v>-110</v>
      </c>
      <c r="AG67" s="470">
        <v>31</v>
      </c>
      <c r="AH67" s="470">
        <v>-233</v>
      </c>
      <c r="AI67" s="470">
        <v>434</v>
      </c>
      <c r="AJ67" s="470">
        <v>842</v>
      </c>
      <c r="AK67" s="470">
        <v>257</v>
      </c>
      <c r="AL67" s="470">
        <v>31</v>
      </c>
    </row>
    <row r="68" spans="1:38">
      <c r="A68" s="470" t="s">
        <v>236</v>
      </c>
      <c r="B68" s="470" t="s">
        <v>273</v>
      </c>
      <c r="C68" s="470" t="s">
        <v>273</v>
      </c>
      <c r="D68" s="470" t="s">
        <v>273</v>
      </c>
      <c r="E68" s="470" t="s">
        <v>273</v>
      </c>
      <c r="F68" s="470" t="s">
        <v>273</v>
      </c>
      <c r="G68" s="470" t="s">
        <v>273</v>
      </c>
      <c r="H68" s="470" t="s">
        <v>273</v>
      </c>
      <c r="I68" s="470">
        <v>43</v>
      </c>
      <c r="J68" s="470">
        <v>-95</v>
      </c>
      <c r="K68" s="470" t="s">
        <v>291</v>
      </c>
      <c r="L68" s="470">
        <v>81</v>
      </c>
      <c r="M68" s="470">
        <v>-22</v>
      </c>
      <c r="N68" s="470">
        <v>124</v>
      </c>
      <c r="O68" s="470">
        <v>14</v>
      </c>
      <c r="P68" s="470">
        <v>-26</v>
      </c>
      <c r="Q68" s="470">
        <v>1</v>
      </c>
      <c r="R68" s="470">
        <v>-191</v>
      </c>
      <c r="S68" s="470">
        <v>126</v>
      </c>
      <c r="T68" s="470">
        <v>-98</v>
      </c>
      <c r="U68" s="470" t="s">
        <v>291</v>
      </c>
      <c r="V68" s="470">
        <v>-71</v>
      </c>
      <c r="W68" s="470">
        <v>379</v>
      </c>
      <c r="X68" s="470">
        <v>20</v>
      </c>
      <c r="Y68" s="470">
        <v>90</v>
      </c>
      <c r="Z68" s="470">
        <v>-75</v>
      </c>
      <c r="AA68" s="470">
        <v>39</v>
      </c>
      <c r="AB68" s="470">
        <v>160</v>
      </c>
      <c r="AC68" s="470">
        <v>123</v>
      </c>
      <c r="AD68" s="470">
        <v>-12</v>
      </c>
      <c r="AE68" s="470">
        <v>148</v>
      </c>
      <c r="AF68" s="470">
        <v>-172</v>
      </c>
      <c r="AG68" s="470">
        <v>222</v>
      </c>
      <c r="AH68" s="470">
        <v>199</v>
      </c>
      <c r="AI68" s="470">
        <v>918</v>
      </c>
      <c r="AJ68" s="470" t="s">
        <v>291</v>
      </c>
      <c r="AK68" s="470">
        <v>923</v>
      </c>
      <c r="AL68" s="470">
        <v>639</v>
      </c>
    </row>
    <row r="69" spans="1:38">
      <c r="A69" s="470" t="s">
        <v>1404</v>
      </c>
      <c r="B69" s="470">
        <v>197</v>
      </c>
      <c r="C69" s="470">
        <v>8</v>
      </c>
      <c r="D69" s="470">
        <v>42</v>
      </c>
      <c r="E69" s="470">
        <v>172</v>
      </c>
      <c r="F69" s="470">
        <v>258</v>
      </c>
      <c r="G69" s="470">
        <v>149</v>
      </c>
      <c r="H69" s="470">
        <v>-34</v>
      </c>
      <c r="I69" s="470" t="s">
        <v>273</v>
      </c>
      <c r="J69" s="470" t="s">
        <v>273</v>
      </c>
      <c r="K69" s="470" t="s">
        <v>273</v>
      </c>
      <c r="L69" s="470" t="s">
        <v>273</v>
      </c>
      <c r="M69" s="470" t="s">
        <v>273</v>
      </c>
      <c r="N69" s="470" t="s">
        <v>273</v>
      </c>
      <c r="O69" s="470" t="s">
        <v>273</v>
      </c>
      <c r="P69" s="470" t="s">
        <v>273</v>
      </c>
      <c r="Q69" s="470" t="s">
        <v>273</v>
      </c>
      <c r="R69" s="470" t="s">
        <v>273</v>
      </c>
      <c r="S69" s="470" t="s">
        <v>273</v>
      </c>
      <c r="T69" s="470" t="s">
        <v>273</v>
      </c>
      <c r="U69" s="470" t="s">
        <v>273</v>
      </c>
      <c r="V69" s="470" t="s">
        <v>273</v>
      </c>
      <c r="W69" s="470" t="s">
        <v>273</v>
      </c>
      <c r="X69" s="470" t="s">
        <v>273</v>
      </c>
      <c r="Y69" s="470" t="s">
        <v>273</v>
      </c>
      <c r="Z69" s="470" t="s">
        <v>273</v>
      </c>
      <c r="AA69" s="470" t="s">
        <v>273</v>
      </c>
      <c r="AB69" s="470" t="s">
        <v>273</v>
      </c>
      <c r="AC69" s="470" t="s">
        <v>273</v>
      </c>
      <c r="AD69" s="470" t="s">
        <v>273</v>
      </c>
      <c r="AE69" s="470" t="s">
        <v>273</v>
      </c>
      <c r="AF69" s="470" t="s">
        <v>273</v>
      </c>
      <c r="AG69" s="470" t="s">
        <v>273</v>
      </c>
      <c r="AH69" s="470" t="s">
        <v>273</v>
      </c>
      <c r="AI69" s="470" t="s">
        <v>273</v>
      </c>
      <c r="AJ69" s="470" t="s">
        <v>273</v>
      </c>
      <c r="AK69" s="470" t="s">
        <v>273</v>
      </c>
      <c r="AL69" s="470" t="s">
        <v>273</v>
      </c>
    </row>
    <row r="70" spans="1:38">
      <c r="A70" s="470" t="s">
        <v>31</v>
      </c>
      <c r="B70" s="470" t="s">
        <v>0</v>
      </c>
      <c r="C70" s="470" t="s">
        <v>0</v>
      </c>
      <c r="D70" s="470" t="s">
        <v>0</v>
      </c>
      <c r="E70" s="470" t="s">
        <v>0</v>
      </c>
      <c r="F70" s="470" t="s">
        <v>0</v>
      </c>
      <c r="G70" s="470" t="s">
        <v>0</v>
      </c>
      <c r="H70" s="470" t="s">
        <v>0</v>
      </c>
      <c r="I70" s="470" t="s">
        <v>0</v>
      </c>
      <c r="J70" s="470" t="s">
        <v>0</v>
      </c>
      <c r="K70" s="470" t="s">
        <v>0</v>
      </c>
      <c r="L70" s="470" t="s">
        <v>0</v>
      </c>
      <c r="M70" s="470" t="s">
        <v>0</v>
      </c>
      <c r="N70" s="470" t="s">
        <v>0</v>
      </c>
      <c r="O70" s="470" t="s">
        <v>0</v>
      </c>
      <c r="P70" s="470" t="s">
        <v>0</v>
      </c>
      <c r="Q70" s="470" t="s">
        <v>0</v>
      </c>
      <c r="R70" s="470" t="s">
        <v>0</v>
      </c>
      <c r="S70" s="470" t="s">
        <v>0</v>
      </c>
      <c r="T70" s="470" t="s">
        <v>0</v>
      </c>
      <c r="U70" s="470" t="s">
        <v>0</v>
      </c>
      <c r="V70" s="470" t="s">
        <v>0</v>
      </c>
      <c r="W70" s="470" t="s">
        <v>0</v>
      </c>
      <c r="X70" s="470" t="s">
        <v>0</v>
      </c>
      <c r="Y70" s="470" t="s">
        <v>0</v>
      </c>
      <c r="Z70" s="470" t="s">
        <v>0</v>
      </c>
      <c r="AA70" s="470" t="s">
        <v>0</v>
      </c>
      <c r="AB70" s="470" t="s">
        <v>0</v>
      </c>
      <c r="AC70" s="470" t="s">
        <v>0</v>
      </c>
      <c r="AD70" s="470" t="s">
        <v>0</v>
      </c>
      <c r="AE70" s="470" t="s">
        <v>0</v>
      </c>
      <c r="AF70" s="470" t="s">
        <v>0</v>
      </c>
      <c r="AG70" s="470" t="s">
        <v>0</v>
      </c>
      <c r="AH70" s="470" t="s">
        <v>0</v>
      </c>
      <c r="AI70" s="470" t="s">
        <v>0</v>
      </c>
      <c r="AJ70" s="470" t="s">
        <v>0</v>
      </c>
      <c r="AK70" s="470" t="s">
        <v>0</v>
      </c>
      <c r="AL70" s="470" t="s">
        <v>0</v>
      </c>
    </row>
    <row r="71" spans="1:38">
      <c r="A71" s="470" t="s">
        <v>1043</v>
      </c>
      <c r="B71" s="470" t="s">
        <v>273</v>
      </c>
      <c r="C71" s="470" t="s">
        <v>273</v>
      </c>
      <c r="D71" s="470" t="s">
        <v>273</v>
      </c>
      <c r="E71" s="470" t="s">
        <v>273</v>
      </c>
      <c r="F71" s="470" t="s">
        <v>273</v>
      </c>
      <c r="G71" s="470" t="s">
        <v>273</v>
      </c>
      <c r="H71" s="470" t="s">
        <v>273</v>
      </c>
      <c r="I71" s="470">
        <v>22756</v>
      </c>
      <c r="J71" s="470">
        <v>6937</v>
      </c>
      <c r="K71" s="470">
        <v>11510</v>
      </c>
      <c r="L71" s="470">
        <v>-1160</v>
      </c>
      <c r="M71" s="470">
        <v>872</v>
      </c>
      <c r="N71" s="470">
        <v>-7683</v>
      </c>
      <c r="O71" s="470">
        <v>24648</v>
      </c>
      <c r="P71" s="470">
        <v>3227</v>
      </c>
      <c r="Q71" s="470">
        <v>6494</v>
      </c>
      <c r="R71" s="470">
        <v>11437</v>
      </c>
      <c r="S71" s="470">
        <v>20222</v>
      </c>
      <c r="T71" s="470">
        <v>30135</v>
      </c>
      <c r="U71" s="470">
        <v>52126</v>
      </c>
      <c r="V71" s="470">
        <v>57602</v>
      </c>
      <c r="W71" s="470">
        <v>-16091</v>
      </c>
      <c r="X71" s="470">
        <v>-11236</v>
      </c>
      <c r="Y71" s="470">
        <v>-27873</v>
      </c>
      <c r="Z71" s="470">
        <v>-2562</v>
      </c>
      <c r="AA71" s="470">
        <v>-2353</v>
      </c>
      <c r="AB71" s="470">
        <v>56907</v>
      </c>
      <c r="AC71" s="470">
        <v>36621</v>
      </c>
      <c r="AD71" s="470">
        <v>1245</v>
      </c>
      <c r="AE71" s="470">
        <v>4050</v>
      </c>
      <c r="AF71" s="470">
        <v>-22801</v>
      </c>
      <c r="AG71" s="470">
        <v>17717</v>
      </c>
      <c r="AH71" s="470">
        <v>16436</v>
      </c>
      <c r="AI71" s="470">
        <v>-10834</v>
      </c>
      <c r="AJ71" s="470">
        <v>18845</v>
      </c>
      <c r="AK71" s="470">
        <v>95315</v>
      </c>
      <c r="AL71" s="470">
        <v>67985</v>
      </c>
    </row>
    <row r="72" spans="1:38">
      <c r="A72" s="470" t="s">
        <v>1044</v>
      </c>
      <c r="B72" s="470">
        <v>171</v>
      </c>
      <c r="C72" s="470">
        <v>1206</v>
      </c>
      <c r="D72" s="470">
        <v>97</v>
      </c>
      <c r="E72" s="470">
        <v>-98</v>
      </c>
      <c r="F72" s="470">
        <v>24</v>
      </c>
      <c r="G72" s="470" t="s">
        <v>291</v>
      </c>
      <c r="H72" s="470">
        <v>180</v>
      </c>
      <c r="I72" s="470">
        <v>-140</v>
      </c>
      <c r="J72" s="470">
        <v>1156</v>
      </c>
      <c r="K72" s="470">
        <v>1101</v>
      </c>
      <c r="L72" s="470">
        <v>-1055</v>
      </c>
      <c r="M72" s="470">
        <v>-77</v>
      </c>
      <c r="N72" s="470">
        <v>299</v>
      </c>
      <c r="O72" s="470">
        <v>-936</v>
      </c>
      <c r="P72" s="470">
        <v>-180</v>
      </c>
      <c r="Q72" s="470">
        <v>-544</v>
      </c>
      <c r="R72" s="470">
        <v>229</v>
      </c>
      <c r="S72" s="470">
        <v>-114</v>
      </c>
      <c r="T72" s="470">
        <v>-710</v>
      </c>
      <c r="U72" s="470">
        <v>333</v>
      </c>
      <c r="V72" s="470">
        <v>2015</v>
      </c>
      <c r="W72" s="470">
        <v>-421</v>
      </c>
      <c r="X72" s="470">
        <v>739</v>
      </c>
      <c r="Y72" s="470" t="s">
        <v>291</v>
      </c>
      <c r="Z72" s="470">
        <v>-698</v>
      </c>
      <c r="AA72" s="470">
        <v>996</v>
      </c>
      <c r="AB72" s="470" t="s">
        <v>291</v>
      </c>
      <c r="AC72" s="470">
        <v>1053</v>
      </c>
      <c r="AD72" s="470">
        <v>1123</v>
      </c>
      <c r="AE72" s="470">
        <v>680</v>
      </c>
      <c r="AF72" s="470">
        <v>-1559</v>
      </c>
      <c r="AG72" s="470">
        <v>1898</v>
      </c>
      <c r="AH72" s="470">
        <v>-130</v>
      </c>
      <c r="AI72" s="470">
        <v>-743</v>
      </c>
      <c r="AJ72" s="470">
        <v>-324</v>
      </c>
      <c r="AK72" s="470">
        <v>-240</v>
      </c>
      <c r="AL72" s="470">
        <v>306</v>
      </c>
    </row>
    <row r="73" spans="1:38" ht="13">
      <c r="A73" s="1944" t="s">
        <v>7</v>
      </c>
      <c r="B73" s="1976"/>
      <c r="C73" s="1976"/>
      <c r="D73" s="1976"/>
      <c r="E73" s="1976"/>
      <c r="F73" s="1976"/>
      <c r="G73" s="1976"/>
      <c r="H73" s="1976"/>
      <c r="I73" s="1976"/>
      <c r="J73" s="1976"/>
      <c r="K73" s="1976"/>
      <c r="L73" s="1976"/>
      <c r="M73" s="1976"/>
      <c r="N73" s="1976"/>
      <c r="O73" s="1976"/>
      <c r="P73" s="1976"/>
      <c r="Q73" s="1976"/>
      <c r="R73" s="1976"/>
      <c r="S73" s="1976"/>
      <c r="T73" s="1976"/>
      <c r="U73" s="1976"/>
      <c r="V73" s="1976"/>
      <c r="W73" s="1976"/>
      <c r="X73" s="1976"/>
      <c r="Y73" s="1976"/>
      <c r="Z73" s="1976"/>
      <c r="AA73" s="1976"/>
      <c r="AB73" s="1976"/>
      <c r="AC73" s="1976"/>
      <c r="AD73" s="1976"/>
      <c r="AE73" s="1976"/>
      <c r="AF73" s="1976"/>
      <c r="AG73" s="1976"/>
      <c r="AH73" s="1976"/>
      <c r="AI73" s="1976"/>
      <c r="AJ73" s="1976"/>
      <c r="AK73" s="1976"/>
      <c r="AL73" s="1976"/>
    </row>
    <row r="74" spans="1:38">
      <c r="A74" s="1943" t="s">
        <v>272</v>
      </c>
      <c r="B74" s="1976"/>
      <c r="C74" s="1976"/>
      <c r="D74" s="1976"/>
      <c r="E74" s="1976"/>
      <c r="F74" s="1976"/>
      <c r="G74" s="1976"/>
      <c r="H74" s="1976"/>
      <c r="I74" s="1976"/>
      <c r="J74" s="1976"/>
      <c r="K74" s="1976"/>
      <c r="L74" s="1976"/>
      <c r="M74" s="1976"/>
      <c r="N74" s="1976"/>
      <c r="O74" s="1976"/>
      <c r="P74" s="1976"/>
      <c r="Q74" s="1976"/>
      <c r="R74" s="1976"/>
      <c r="S74" s="1976"/>
      <c r="T74" s="1976"/>
      <c r="U74" s="1976"/>
      <c r="V74" s="1976"/>
      <c r="W74" s="1976"/>
      <c r="X74" s="1976"/>
      <c r="Y74" s="1976"/>
      <c r="Z74" s="1976"/>
      <c r="AA74" s="1976"/>
      <c r="AB74" s="1976"/>
      <c r="AC74" s="1976"/>
      <c r="AD74" s="1976"/>
      <c r="AE74" s="1976"/>
      <c r="AF74" s="1976"/>
      <c r="AG74" s="1976"/>
      <c r="AH74" s="1976"/>
      <c r="AI74" s="1976"/>
      <c r="AJ74" s="1976"/>
      <c r="AK74" s="1976"/>
      <c r="AL74" s="1976"/>
    </row>
    <row r="75" spans="1:38">
      <c r="A75" s="1943" t="s">
        <v>1031</v>
      </c>
      <c r="B75" s="1976"/>
      <c r="C75" s="1976"/>
      <c r="D75" s="1976"/>
      <c r="E75" s="1976"/>
      <c r="F75" s="1976"/>
      <c r="G75" s="1976"/>
      <c r="H75" s="1976"/>
      <c r="I75" s="1976"/>
      <c r="J75" s="1976"/>
      <c r="K75" s="1976"/>
      <c r="L75" s="1976"/>
      <c r="M75" s="1976"/>
      <c r="N75" s="1976"/>
      <c r="O75" s="1976"/>
      <c r="P75" s="1976"/>
      <c r="Q75" s="1976"/>
      <c r="R75" s="1976"/>
      <c r="S75" s="1976"/>
      <c r="T75" s="1976"/>
      <c r="U75" s="1976"/>
      <c r="V75" s="1976"/>
      <c r="W75" s="1976"/>
      <c r="X75" s="1976"/>
      <c r="Y75" s="1976"/>
      <c r="Z75" s="1976"/>
      <c r="AA75" s="1976"/>
      <c r="AB75" s="1976"/>
      <c r="AC75" s="1976"/>
      <c r="AD75" s="1976"/>
      <c r="AE75" s="1976"/>
      <c r="AF75" s="1976"/>
      <c r="AG75" s="1976"/>
      <c r="AH75" s="1976"/>
      <c r="AI75" s="1976"/>
      <c r="AJ75" s="1976"/>
      <c r="AK75" s="1976"/>
      <c r="AL75" s="1976"/>
    </row>
    <row r="76" spans="1:38">
      <c r="A76" s="1943" t="s">
        <v>1032</v>
      </c>
      <c r="B76" s="1976"/>
      <c r="C76" s="1976"/>
      <c r="D76" s="1976"/>
      <c r="E76" s="1976"/>
      <c r="F76" s="1976"/>
      <c r="G76" s="1976"/>
      <c r="H76" s="1976"/>
      <c r="I76" s="1976"/>
      <c r="J76" s="1976"/>
      <c r="K76" s="1976"/>
      <c r="L76" s="1976"/>
      <c r="M76" s="1976"/>
      <c r="N76" s="1976"/>
      <c r="O76" s="1976"/>
      <c r="P76" s="1976"/>
      <c r="Q76" s="1976"/>
      <c r="R76" s="1976"/>
      <c r="S76" s="1976"/>
      <c r="T76" s="1976"/>
      <c r="U76" s="1976"/>
      <c r="V76" s="1976"/>
      <c r="W76" s="1976"/>
      <c r="X76" s="1976"/>
      <c r="Y76" s="1976"/>
      <c r="Z76" s="1976"/>
      <c r="AA76" s="1976"/>
      <c r="AB76" s="1976"/>
      <c r="AC76" s="1976"/>
      <c r="AD76" s="1976"/>
      <c r="AE76" s="1976"/>
      <c r="AF76" s="1976"/>
      <c r="AG76" s="1976"/>
      <c r="AH76" s="1976"/>
      <c r="AI76" s="1976"/>
      <c r="AJ76" s="1976"/>
      <c r="AK76" s="1976"/>
      <c r="AL76" s="1976"/>
    </row>
    <row r="77" spans="1:38">
      <c r="A77" s="1943" t="s">
        <v>1033</v>
      </c>
      <c r="B77" s="1976"/>
      <c r="C77" s="1976"/>
      <c r="D77" s="1976"/>
      <c r="E77" s="1976"/>
      <c r="F77" s="1976"/>
      <c r="G77" s="1976"/>
      <c r="H77" s="1976"/>
      <c r="I77" s="1976"/>
      <c r="J77" s="1976"/>
      <c r="K77" s="1976"/>
      <c r="L77" s="1976"/>
      <c r="M77" s="1976"/>
      <c r="N77" s="1976"/>
      <c r="O77" s="1976"/>
      <c r="P77" s="1976"/>
      <c r="Q77" s="1976"/>
      <c r="R77" s="1976"/>
      <c r="S77" s="1976"/>
      <c r="T77" s="1976"/>
      <c r="U77" s="1976"/>
      <c r="V77" s="1976"/>
      <c r="W77" s="1976"/>
      <c r="X77" s="1976"/>
      <c r="Y77" s="1976"/>
      <c r="Z77" s="1976"/>
      <c r="AA77" s="1976"/>
      <c r="AB77" s="1976"/>
      <c r="AC77" s="1976"/>
      <c r="AD77" s="1976"/>
      <c r="AE77" s="1976"/>
      <c r="AF77" s="1976"/>
      <c r="AG77" s="1976"/>
      <c r="AH77" s="1976"/>
      <c r="AI77" s="1976"/>
      <c r="AJ77" s="1976"/>
      <c r="AK77" s="1976"/>
      <c r="AL77" s="1976"/>
    </row>
    <row r="78" spans="1:38">
      <c r="A78" s="1943" t="s">
        <v>268</v>
      </c>
      <c r="B78" s="1976"/>
      <c r="C78" s="1976"/>
      <c r="D78" s="1976"/>
      <c r="E78" s="1976"/>
      <c r="F78" s="1976"/>
      <c r="G78" s="1976"/>
      <c r="H78" s="1976"/>
      <c r="I78" s="1976"/>
      <c r="J78" s="1976"/>
      <c r="K78" s="1976"/>
      <c r="L78" s="1976"/>
      <c r="M78" s="1976"/>
      <c r="N78" s="1976"/>
      <c r="O78" s="1976"/>
      <c r="P78" s="1976"/>
      <c r="Q78" s="1976"/>
      <c r="R78" s="1976"/>
      <c r="S78" s="1976"/>
      <c r="T78" s="1976"/>
      <c r="U78" s="1976"/>
      <c r="V78" s="1976"/>
      <c r="W78" s="1976"/>
      <c r="X78" s="1976"/>
      <c r="Y78" s="1976"/>
      <c r="Z78" s="1976"/>
      <c r="AA78" s="1976"/>
      <c r="AB78" s="1976"/>
      <c r="AC78" s="1976"/>
      <c r="AD78" s="1976"/>
      <c r="AE78" s="1976"/>
      <c r="AF78" s="1976"/>
      <c r="AG78" s="1976"/>
      <c r="AH78" s="1976"/>
      <c r="AI78" s="1976"/>
      <c r="AJ78" s="1976"/>
      <c r="AK78" s="1976"/>
      <c r="AL78" s="1976"/>
    </row>
    <row r="79" spans="1:38">
      <c r="A79" s="1943" t="s">
        <v>267</v>
      </c>
      <c r="B79" s="1976"/>
      <c r="C79" s="1976"/>
      <c r="D79" s="1976"/>
      <c r="E79" s="1976"/>
      <c r="F79" s="1976"/>
      <c r="G79" s="1976"/>
      <c r="H79" s="1976"/>
      <c r="I79" s="1976"/>
      <c r="J79" s="1976"/>
      <c r="K79" s="1976"/>
      <c r="L79" s="1976"/>
      <c r="M79" s="1976"/>
      <c r="N79" s="1976"/>
      <c r="O79" s="1976"/>
      <c r="P79" s="1976"/>
      <c r="Q79" s="1976"/>
      <c r="R79" s="1976"/>
      <c r="S79" s="1976"/>
      <c r="T79" s="1976"/>
      <c r="U79" s="1976"/>
      <c r="V79" s="1976"/>
      <c r="W79" s="1976"/>
      <c r="X79" s="1976"/>
      <c r="Y79" s="1976"/>
      <c r="Z79" s="1976"/>
      <c r="AA79" s="1976"/>
      <c r="AB79" s="1976"/>
      <c r="AC79" s="1976"/>
      <c r="AD79" s="1976"/>
      <c r="AE79" s="1976"/>
      <c r="AF79" s="1976"/>
      <c r="AG79" s="1976"/>
      <c r="AH79" s="1976"/>
      <c r="AI79" s="1976"/>
      <c r="AJ79" s="1976"/>
      <c r="AK79" s="1976"/>
      <c r="AL79" s="1976"/>
    </row>
    <row r="80" spans="1:38">
      <c r="A80" s="1943" t="s">
        <v>1363</v>
      </c>
      <c r="B80" s="1976"/>
      <c r="C80" s="1976"/>
      <c r="D80" s="1976"/>
      <c r="E80" s="1976"/>
      <c r="F80" s="1976"/>
      <c r="G80" s="1976"/>
      <c r="H80" s="1976"/>
      <c r="I80" s="1976"/>
      <c r="J80" s="1976"/>
      <c r="K80" s="1976"/>
      <c r="L80" s="1976"/>
      <c r="M80" s="1976"/>
      <c r="N80" s="1976"/>
      <c r="O80" s="1976"/>
      <c r="P80" s="1976"/>
      <c r="Q80" s="1976"/>
      <c r="R80" s="1976"/>
      <c r="S80" s="1976"/>
      <c r="T80" s="1976"/>
      <c r="U80" s="1976"/>
      <c r="V80" s="1976"/>
      <c r="W80" s="1976"/>
      <c r="X80" s="1976"/>
      <c r="Y80" s="1976"/>
      <c r="Z80" s="1976"/>
      <c r="AA80" s="1976"/>
      <c r="AB80" s="1976"/>
      <c r="AC80" s="1976"/>
      <c r="AD80" s="1976"/>
      <c r="AE80" s="1976"/>
      <c r="AF80" s="1976"/>
      <c r="AG80" s="1976"/>
      <c r="AH80" s="1976"/>
      <c r="AI80" s="1976"/>
      <c r="AJ80" s="1976"/>
      <c r="AK80" s="1976"/>
      <c r="AL80" s="1976"/>
    </row>
    <row r="81" spans="1:38">
      <c r="A81" s="1943" t="s">
        <v>264</v>
      </c>
      <c r="B81" s="1976"/>
      <c r="C81" s="1976"/>
      <c r="D81" s="1976"/>
      <c r="E81" s="1976"/>
      <c r="F81" s="1976"/>
      <c r="G81" s="1976"/>
      <c r="H81" s="1976"/>
      <c r="I81" s="1976"/>
      <c r="J81" s="1976"/>
      <c r="K81" s="1976"/>
      <c r="L81" s="1976"/>
      <c r="M81" s="1976"/>
      <c r="N81" s="1976"/>
      <c r="O81" s="1976"/>
      <c r="P81" s="1976"/>
      <c r="Q81" s="1976"/>
      <c r="R81" s="1976"/>
      <c r="S81" s="1976"/>
      <c r="T81" s="1976"/>
      <c r="U81" s="1976"/>
      <c r="V81" s="1976"/>
      <c r="W81" s="1976"/>
      <c r="X81" s="1976"/>
      <c r="Y81" s="1976"/>
      <c r="Z81" s="1976"/>
      <c r="AA81" s="1976"/>
      <c r="AB81" s="1976"/>
      <c r="AC81" s="1976"/>
      <c r="AD81" s="1976"/>
      <c r="AE81" s="1976"/>
      <c r="AF81" s="1976"/>
      <c r="AG81" s="1976"/>
      <c r="AH81" s="1976"/>
      <c r="AI81" s="1976"/>
      <c r="AJ81" s="1976"/>
      <c r="AK81" s="1976"/>
      <c r="AL81" s="1976"/>
    </row>
    <row r="82" spans="1:38">
      <c r="A82" s="1943" t="s">
        <v>262</v>
      </c>
      <c r="B82" s="1976"/>
      <c r="C82" s="1976"/>
      <c r="D82" s="1976"/>
      <c r="E82" s="1976"/>
      <c r="F82" s="1976"/>
      <c r="G82" s="1976"/>
      <c r="H82" s="1976"/>
      <c r="I82" s="1976"/>
      <c r="J82" s="1976"/>
      <c r="K82" s="1976"/>
      <c r="L82" s="1976"/>
      <c r="M82" s="1976"/>
      <c r="N82" s="1976"/>
      <c r="O82" s="1976"/>
      <c r="P82" s="1976"/>
      <c r="Q82" s="1976"/>
      <c r="R82" s="1976"/>
      <c r="S82" s="1976"/>
      <c r="T82" s="1976"/>
      <c r="U82" s="1976"/>
      <c r="V82" s="1976"/>
      <c r="W82" s="1976"/>
      <c r="X82" s="1976"/>
      <c r="Y82" s="1976"/>
      <c r="Z82" s="1976"/>
      <c r="AA82" s="1976"/>
      <c r="AB82" s="1976"/>
      <c r="AC82" s="1976"/>
      <c r="AD82" s="1976"/>
      <c r="AE82" s="1976"/>
      <c r="AF82" s="1976"/>
      <c r="AG82" s="1976"/>
      <c r="AH82" s="1976"/>
      <c r="AI82" s="1976"/>
      <c r="AJ82" s="1976"/>
      <c r="AK82" s="1976"/>
      <c r="AL82" s="1976"/>
    </row>
    <row r="83" spans="1:38">
      <c r="A83" s="1943" t="s">
        <v>1045</v>
      </c>
      <c r="B83" s="1976"/>
      <c r="C83" s="1976"/>
      <c r="D83" s="1976"/>
      <c r="E83" s="1976"/>
      <c r="F83" s="1976"/>
      <c r="G83" s="1976"/>
      <c r="H83" s="1976"/>
      <c r="I83" s="1976"/>
      <c r="J83" s="1976"/>
      <c r="K83" s="1976"/>
      <c r="L83" s="1976"/>
      <c r="M83" s="1976"/>
      <c r="N83" s="1976"/>
      <c r="O83" s="1976"/>
      <c r="P83" s="1976"/>
      <c r="Q83" s="1976"/>
      <c r="R83" s="1976"/>
      <c r="S83" s="1976"/>
      <c r="T83" s="1976"/>
      <c r="U83" s="1976"/>
      <c r="V83" s="1976"/>
      <c r="W83" s="1976"/>
      <c r="X83" s="1976"/>
      <c r="Y83" s="1976"/>
      <c r="Z83" s="1976"/>
      <c r="AA83" s="1976"/>
      <c r="AB83" s="1976"/>
      <c r="AC83" s="1976"/>
      <c r="AD83" s="1976"/>
      <c r="AE83" s="1976"/>
      <c r="AF83" s="1976"/>
      <c r="AG83" s="1976"/>
      <c r="AH83" s="1976"/>
      <c r="AI83" s="1976"/>
      <c r="AJ83" s="1976"/>
      <c r="AK83" s="1976"/>
      <c r="AL83" s="1976"/>
    </row>
    <row r="84" spans="1:38">
      <c r="A84" s="1943" t="s">
        <v>1046</v>
      </c>
      <c r="B84" s="1976"/>
      <c r="C84" s="1976"/>
      <c r="D84" s="1976"/>
      <c r="E84" s="1976"/>
      <c r="F84" s="1976"/>
      <c r="G84" s="1976"/>
      <c r="H84" s="1976"/>
      <c r="I84" s="1976"/>
      <c r="J84" s="1976"/>
      <c r="K84" s="1976"/>
      <c r="L84" s="1976"/>
      <c r="M84" s="1976"/>
      <c r="N84" s="1976"/>
      <c r="O84" s="1976"/>
      <c r="P84" s="1976"/>
      <c r="Q84" s="1976"/>
      <c r="R84" s="1976"/>
      <c r="S84" s="1976"/>
      <c r="T84" s="1976"/>
      <c r="U84" s="1976"/>
      <c r="V84" s="1976"/>
      <c r="W84" s="1976"/>
      <c r="X84" s="1976"/>
      <c r="Y84" s="1976"/>
      <c r="Z84" s="1976"/>
      <c r="AA84" s="1976"/>
      <c r="AB84" s="1976"/>
      <c r="AC84" s="1976"/>
      <c r="AD84" s="1976"/>
      <c r="AE84" s="1976"/>
      <c r="AF84" s="1976"/>
      <c r="AG84" s="1976"/>
      <c r="AH84" s="1976"/>
      <c r="AI84" s="1976"/>
      <c r="AJ84" s="1976"/>
      <c r="AK84" s="1976"/>
      <c r="AL84" s="1976"/>
    </row>
    <row r="85" spans="1:38">
      <c r="A85" s="1943" t="s">
        <v>1047</v>
      </c>
      <c r="B85" s="1976"/>
      <c r="C85" s="1976"/>
      <c r="D85" s="1976"/>
      <c r="E85" s="1976"/>
      <c r="F85" s="1976"/>
      <c r="G85" s="1976"/>
      <c r="H85" s="1976"/>
      <c r="I85" s="1976"/>
      <c r="J85" s="1976"/>
      <c r="K85" s="1976"/>
      <c r="L85" s="1976"/>
      <c r="M85" s="1976"/>
      <c r="N85" s="1976"/>
      <c r="O85" s="1976"/>
      <c r="P85" s="1976"/>
      <c r="Q85" s="1976"/>
      <c r="R85" s="1976"/>
      <c r="S85" s="1976"/>
      <c r="T85" s="1976"/>
      <c r="U85" s="1976"/>
      <c r="V85" s="1976"/>
      <c r="W85" s="1976"/>
      <c r="X85" s="1976"/>
      <c r="Y85" s="1976"/>
      <c r="Z85" s="1976"/>
      <c r="AA85" s="1976"/>
      <c r="AB85" s="1976"/>
      <c r="AC85" s="1976"/>
      <c r="AD85" s="1976"/>
      <c r="AE85" s="1976"/>
      <c r="AF85" s="1976"/>
      <c r="AG85" s="1976"/>
      <c r="AH85" s="1976"/>
      <c r="AI85" s="1976"/>
      <c r="AJ85" s="1976"/>
      <c r="AK85" s="1976"/>
      <c r="AL85" s="1976"/>
    </row>
    <row r="86" spans="1:38">
      <c r="A86" s="1943" t="s">
        <v>263</v>
      </c>
      <c r="B86" s="1976"/>
      <c r="C86" s="1976"/>
      <c r="D86" s="1976"/>
      <c r="E86" s="1976"/>
      <c r="F86" s="1976"/>
      <c r="G86" s="1976"/>
      <c r="H86" s="1976"/>
      <c r="I86" s="1976"/>
      <c r="J86" s="1976"/>
      <c r="K86" s="1976"/>
      <c r="L86" s="1976"/>
      <c r="M86" s="1976"/>
      <c r="N86" s="1976"/>
      <c r="O86" s="1976"/>
      <c r="P86" s="1976"/>
      <c r="Q86" s="1976"/>
      <c r="R86" s="1976"/>
      <c r="S86" s="1976"/>
      <c r="T86" s="1976"/>
      <c r="U86" s="1976"/>
      <c r="V86" s="1976"/>
      <c r="W86" s="1976"/>
      <c r="X86" s="1976"/>
      <c r="Y86" s="1976"/>
      <c r="Z86" s="1976"/>
      <c r="AA86" s="1976"/>
      <c r="AB86" s="1976"/>
      <c r="AC86" s="1976"/>
      <c r="AD86" s="1976"/>
      <c r="AE86" s="1976"/>
      <c r="AF86" s="1976"/>
      <c r="AG86" s="1976"/>
      <c r="AH86" s="1976"/>
      <c r="AI86" s="1976"/>
      <c r="AJ86" s="1976"/>
      <c r="AK86" s="1976"/>
      <c r="AL86" s="1976"/>
    </row>
  </sheetData>
  <mergeCells count="57">
    <mergeCell ref="A1:AL1"/>
    <mergeCell ref="A2:AL2"/>
    <mergeCell ref="A3:AL3"/>
    <mergeCell ref="A4:AL4"/>
    <mergeCell ref="A6:A7"/>
    <mergeCell ref="B6:AL6"/>
    <mergeCell ref="B7"/>
    <mergeCell ref="C7"/>
    <mergeCell ref="D7"/>
    <mergeCell ref="E7"/>
    <mergeCell ref="F7"/>
    <mergeCell ref="G7"/>
    <mergeCell ref="H7"/>
    <mergeCell ref="I7"/>
    <mergeCell ref="J7"/>
    <mergeCell ref="K7"/>
    <mergeCell ref="L7"/>
    <mergeCell ref="M7"/>
    <mergeCell ref="N7"/>
    <mergeCell ref="O7"/>
    <mergeCell ref="P7"/>
    <mergeCell ref="Q7"/>
    <mergeCell ref="R7"/>
    <mergeCell ref="S7"/>
    <mergeCell ref="T7"/>
    <mergeCell ref="U7"/>
    <mergeCell ref="W7"/>
    <mergeCell ref="AG7"/>
    <mergeCell ref="AH7"/>
    <mergeCell ref="AI7"/>
    <mergeCell ref="X7"/>
    <mergeCell ref="Y7"/>
    <mergeCell ref="Z7"/>
    <mergeCell ref="AA7"/>
    <mergeCell ref="AB7"/>
    <mergeCell ref="AC7"/>
    <mergeCell ref="A81:AL81"/>
    <mergeCell ref="AJ7"/>
    <mergeCell ref="AK7"/>
    <mergeCell ref="AL7"/>
    <mergeCell ref="A73:AL73"/>
    <mergeCell ref="A74:AL74"/>
    <mergeCell ref="A75:AL75"/>
    <mergeCell ref="AD7"/>
    <mergeCell ref="AE7"/>
    <mergeCell ref="AF7"/>
    <mergeCell ref="A76:AL76"/>
    <mergeCell ref="A77:AL77"/>
    <mergeCell ref="A78:AL78"/>
    <mergeCell ref="A79:AL79"/>
    <mergeCell ref="A80:AL80"/>
    <mergeCell ref="V7"/>
    <mergeCell ref="A82:AL82"/>
    <mergeCell ref="A83:AL83"/>
    <mergeCell ref="A84:AL84"/>
    <mergeCell ref="A85:AL85"/>
    <mergeCell ref="A86:AL86"/>
  </mergeCell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22"/>
  <sheetViews>
    <sheetView workbookViewId="0">
      <pane xSplit="1" ySplit="7" topLeftCell="B8" activePane="bottomRight" state="frozen"/>
      <selection activeCell="X67" sqref="X67"/>
      <selection pane="topRight" activeCell="X67" sqref="X67"/>
      <selection pane="bottomLeft" activeCell="X67" sqref="X67"/>
      <selection pane="bottomRight" activeCell="X67" sqref="X67"/>
    </sheetView>
  </sheetViews>
  <sheetFormatPr baseColWidth="10" defaultColWidth="7.5703125" defaultRowHeight="12" x14ac:dyDescent="0"/>
  <cols>
    <col min="1" max="1" width="32" style="470" customWidth="1"/>
    <col min="2" max="16384" width="7.5703125" style="470"/>
  </cols>
  <sheetData>
    <row r="1" spans="1:38" ht="17">
      <c r="A1" s="1978" t="s">
        <v>1485</v>
      </c>
      <c r="B1" s="1976"/>
      <c r="C1" s="1976"/>
      <c r="D1" s="1976"/>
      <c r="E1" s="1976"/>
      <c r="F1" s="1976"/>
      <c r="G1" s="1976"/>
      <c r="H1" s="1976"/>
      <c r="I1" s="1976"/>
      <c r="J1" s="1976"/>
      <c r="K1" s="1976"/>
      <c r="L1" s="1976"/>
      <c r="M1" s="1976"/>
      <c r="N1" s="1976"/>
      <c r="O1" s="1976"/>
      <c r="P1" s="1976"/>
      <c r="Q1" s="1976"/>
      <c r="R1" s="1976"/>
      <c r="S1" s="1976"/>
      <c r="T1" s="1976"/>
      <c r="U1" s="1976"/>
      <c r="V1" s="1976"/>
      <c r="W1" s="1976"/>
      <c r="X1" s="1976"/>
      <c r="Y1" s="1976"/>
      <c r="Z1" s="1976"/>
      <c r="AA1" s="1976"/>
      <c r="AB1" s="1976"/>
      <c r="AC1" s="1976"/>
      <c r="AD1" s="1976"/>
      <c r="AE1" s="1976"/>
      <c r="AF1" s="1976"/>
      <c r="AG1" s="1976"/>
      <c r="AH1" s="1976"/>
      <c r="AI1" s="1976"/>
      <c r="AJ1" s="1976"/>
      <c r="AK1" s="1976"/>
      <c r="AL1" s="1976"/>
    </row>
    <row r="2" spans="1:38" ht="16">
      <c r="A2" s="1979" t="s">
        <v>1484</v>
      </c>
      <c r="B2" s="1976"/>
      <c r="C2" s="1976"/>
      <c r="D2" s="1976"/>
      <c r="E2" s="1976"/>
      <c r="F2" s="1976"/>
      <c r="G2" s="1976"/>
      <c r="H2" s="1976"/>
      <c r="I2" s="1976"/>
      <c r="J2" s="1976"/>
      <c r="K2" s="1976"/>
      <c r="L2" s="1976"/>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row>
    <row r="3" spans="1:38">
      <c r="A3" s="1976" t="s">
        <v>160</v>
      </c>
      <c r="B3" s="1976"/>
      <c r="C3" s="1976"/>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row>
    <row r="4" spans="1:38">
      <c r="A4" s="1976" t="s">
        <v>513</v>
      </c>
      <c r="B4" s="1976"/>
      <c r="C4" s="1976"/>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c r="AL4" s="1976"/>
    </row>
    <row r="6" spans="1:38">
      <c r="A6" s="1977" t="s">
        <v>0</v>
      </c>
      <c r="B6" s="1977" t="s">
        <v>1483</v>
      </c>
      <c r="C6" s="1977"/>
      <c r="D6" s="1977"/>
      <c r="E6" s="1977"/>
      <c r="F6" s="1977"/>
      <c r="G6" s="1977"/>
      <c r="H6" s="1977"/>
      <c r="I6" s="1977"/>
      <c r="J6" s="1977"/>
      <c r="K6" s="1977"/>
      <c r="L6" s="1977"/>
      <c r="M6" s="1977"/>
      <c r="N6" s="1977"/>
      <c r="O6" s="1977"/>
      <c r="P6" s="1977"/>
      <c r="Q6" s="1977"/>
      <c r="R6" s="1977"/>
      <c r="S6" s="1977"/>
      <c r="T6" s="1977"/>
      <c r="U6" s="1977"/>
      <c r="V6" s="1977"/>
      <c r="W6" s="1977"/>
      <c r="X6" s="1977"/>
      <c r="Y6" s="1977"/>
      <c r="Z6" s="1977"/>
      <c r="AA6" s="1977"/>
      <c r="AB6" s="1977"/>
      <c r="AC6" s="1977"/>
      <c r="AD6" s="1977"/>
      <c r="AE6" s="1977"/>
      <c r="AF6" s="1977"/>
      <c r="AG6" s="1977"/>
      <c r="AH6" s="1977"/>
      <c r="AI6" s="1977"/>
      <c r="AJ6" s="1977"/>
      <c r="AK6" s="1977"/>
      <c r="AL6" s="1977"/>
    </row>
    <row r="7" spans="1:38">
      <c r="A7" s="1977"/>
      <c r="B7" s="1977" t="s">
        <v>107</v>
      </c>
      <c r="C7" s="1977" t="s">
        <v>106</v>
      </c>
      <c r="D7" s="1977" t="s">
        <v>105</v>
      </c>
      <c r="E7" s="1977" t="s">
        <v>104</v>
      </c>
      <c r="F7" s="1977" t="s">
        <v>103</v>
      </c>
      <c r="G7" s="1977" t="s">
        <v>102</v>
      </c>
      <c r="H7" s="1977" t="s">
        <v>101</v>
      </c>
      <c r="I7" s="1977" t="s">
        <v>100</v>
      </c>
      <c r="J7" s="1977" t="s">
        <v>99</v>
      </c>
      <c r="K7" s="1977" t="s">
        <v>98</v>
      </c>
      <c r="L7" s="1977" t="s">
        <v>97</v>
      </c>
      <c r="M7" s="1977" t="s">
        <v>96</v>
      </c>
      <c r="N7" s="1977" t="s">
        <v>95</v>
      </c>
      <c r="O7" s="1977" t="s">
        <v>94</v>
      </c>
      <c r="P7" s="1977" t="s">
        <v>93</v>
      </c>
      <c r="Q7" s="1977" t="s">
        <v>92</v>
      </c>
      <c r="R7" s="1977" t="s">
        <v>91</v>
      </c>
      <c r="S7" s="1977" t="s">
        <v>90</v>
      </c>
      <c r="T7" s="1977" t="s">
        <v>89</v>
      </c>
      <c r="U7" s="1977" t="s">
        <v>88</v>
      </c>
      <c r="V7" s="1977" t="s">
        <v>87</v>
      </c>
      <c r="W7" s="1977" t="s">
        <v>86</v>
      </c>
      <c r="X7" s="1977" t="s">
        <v>85</v>
      </c>
      <c r="Y7" s="1977" t="s">
        <v>84</v>
      </c>
      <c r="Z7" s="1977" t="s">
        <v>83</v>
      </c>
      <c r="AA7" s="1977" t="s">
        <v>82</v>
      </c>
      <c r="AB7" s="1977" t="s">
        <v>81</v>
      </c>
      <c r="AC7" s="1977" t="s">
        <v>80</v>
      </c>
      <c r="AD7" s="1977" t="s">
        <v>79</v>
      </c>
      <c r="AE7" s="1977" t="s">
        <v>78</v>
      </c>
      <c r="AF7" s="1977" t="s">
        <v>77</v>
      </c>
      <c r="AG7" s="1977" t="s">
        <v>76</v>
      </c>
      <c r="AH7" s="1977" t="s">
        <v>75</v>
      </c>
      <c r="AI7" s="1977" t="s">
        <v>74</v>
      </c>
      <c r="AJ7" s="1977" t="s">
        <v>866</v>
      </c>
      <c r="AK7" s="1977" t="s">
        <v>865</v>
      </c>
      <c r="AL7" s="1977" t="s">
        <v>864</v>
      </c>
    </row>
    <row r="8" spans="1:38">
      <c r="A8" s="470" t="s">
        <v>511</v>
      </c>
      <c r="B8" s="470">
        <v>83046</v>
      </c>
      <c r="C8" s="470">
        <v>108714</v>
      </c>
      <c r="D8" s="470">
        <v>124677</v>
      </c>
      <c r="E8" s="470">
        <v>137061</v>
      </c>
      <c r="F8" s="470">
        <v>164583</v>
      </c>
      <c r="G8" s="470">
        <v>184615</v>
      </c>
      <c r="H8" s="470">
        <v>220414</v>
      </c>
      <c r="I8" s="470">
        <v>263394</v>
      </c>
      <c r="J8" s="470">
        <v>314754</v>
      </c>
      <c r="K8" s="470">
        <v>368924</v>
      </c>
      <c r="L8" s="470">
        <v>394911</v>
      </c>
      <c r="M8" s="470">
        <v>419108</v>
      </c>
      <c r="N8" s="470">
        <v>423131</v>
      </c>
      <c r="O8" s="470">
        <v>467412</v>
      </c>
      <c r="P8" s="470">
        <v>480667</v>
      </c>
      <c r="Q8" s="470">
        <v>535553</v>
      </c>
      <c r="R8" s="470">
        <v>598021</v>
      </c>
      <c r="S8" s="470">
        <v>681842</v>
      </c>
      <c r="T8" s="470">
        <v>778418</v>
      </c>
      <c r="U8" s="470">
        <v>955726</v>
      </c>
      <c r="V8" s="470">
        <v>1256867</v>
      </c>
      <c r="W8" s="470">
        <v>1343987</v>
      </c>
      <c r="X8" s="470">
        <v>1327170</v>
      </c>
      <c r="Y8" s="470">
        <v>1395159</v>
      </c>
      <c r="Z8" s="470">
        <v>1520316</v>
      </c>
      <c r="AA8" s="470">
        <v>1634121</v>
      </c>
      <c r="AB8" s="470">
        <v>1840463</v>
      </c>
      <c r="AC8" s="470">
        <v>1993156</v>
      </c>
      <c r="AD8" s="470">
        <v>2046662</v>
      </c>
      <c r="AE8" s="470">
        <v>2069438</v>
      </c>
      <c r="AF8" s="470">
        <v>2280044</v>
      </c>
      <c r="AG8" s="470">
        <v>2433848</v>
      </c>
      <c r="AH8" s="470">
        <v>2584708</v>
      </c>
      <c r="AI8" s="470">
        <v>2727825</v>
      </c>
      <c r="AJ8" s="470">
        <v>2945795</v>
      </c>
      <c r="AK8" s="470">
        <v>3303586</v>
      </c>
      <c r="AL8" s="470">
        <v>3725418</v>
      </c>
    </row>
    <row r="9" spans="1:38">
      <c r="A9" s="470" t="s">
        <v>510</v>
      </c>
      <c r="B9" s="470">
        <v>12162</v>
      </c>
      <c r="C9" s="470">
        <v>12116</v>
      </c>
      <c r="D9" s="470">
        <v>11708</v>
      </c>
      <c r="E9" s="470">
        <v>11434</v>
      </c>
      <c r="F9" s="470">
        <v>15286</v>
      </c>
      <c r="G9" s="470">
        <v>17131</v>
      </c>
      <c r="H9" s="470">
        <v>20318</v>
      </c>
      <c r="I9" s="470">
        <v>24684</v>
      </c>
      <c r="J9" s="470">
        <v>26566</v>
      </c>
      <c r="K9" s="470">
        <v>30370</v>
      </c>
      <c r="L9" s="470">
        <v>29544</v>
      </c>
      <c r="M9" s="470">
        <v>36834</v>
      </c>
      <c r="N9" s="470">
        <v>37515</v>
      </c>
      <c r="O9" s="470">
        <v>40373</v>
      </c>
      <c r="P9" s="470">
        <v>41219</v>
      </c>
      <c r="Q9" s="470">
        <v>45618</v>
      </c>
      <c r="R9" s="470">
        <v>54836</v>
      </c>
      <c r="S9" s="470">
        <v>65175</v>
      </c>
      <c r="T9" s="470">
        <v>72696</v>
      </c>
      <c r="U9" s="470">
        <v>90559</v>
      </c>
      <c r="V9" s="470">
        <v>114309</v>
      </c>
      <c r="W9" s="470">
        <v>92420</v>
      </c>
      <c r="X9" s="470">
        <v>92529</v>
      </c>
      <c r="Y9" s="470">
        <v>95707</v>
      </c>
      <c r="Z9" s="470">
        <v>125276</v>
      </c>
      <c r="AA9" s="470">
        <v>165667</v>
      </c>
      <c r="AB9" s="470">
        <v>165281</v>
      </c>
      <c r="AC9" s="470">
        <v>201924</v>
      </c>
      <c r="AD9" s="470">
        <v>168746</v>
      </c>
      <c r="AE9" s="470">
        <v>188943</v>
      </c>
      <c r="AF9" s="470">
        <v>192463</v>
      </c>
      <c r="AG9" s="470">
        <v>205225</v>
      </c>
      <c r="AH9" s="470">
        <v>214314</v>
      </c>
      <c r="AI9" s="470">
        <v>222989</v>
      </c>
      <c r="AJ9" s="470">
        <v>273896</v>
      </c>
      <c r="AK9" s="470">
        <v>322118</v>
      </c>
      <c r="AL9" s="470">
        <v>371468</v>
      </c>
    </row>
    <row r="10" spans="1:38">
      <c r="A10" s="470" t="s">
        <v>1013</v>
      </c>
      <c r="B10" s="470">
        <v>54688</v>
      </c>
      <c r="C10" s="470">
        <v>72377</v>
      </c>
      <c r="D10" s="470">
        <v>83193</v>
      </c>
      <c r="E10" s="470">
        <v>92936</v>
      </c>
      <c r="F10" s="470">
        <v>108211</v>
      </c>
      <c r="G10" s="470">
        <v>121413</v>
      </c>
      <c r="H10" s="470">
        <v>144181</v>
      </c>
      <c r="I10" s="470">
        <v>181006</v>
      </c>
      <c r="J10" s="470">
        <v>208942</v>
      </c>
      <c r="K10" s="470">
        <v>239190</v>
      </c>
      <c r="L10" s="470">
        <v>247320</v>
      </c>
      <c r="M10" s="470">
        <v>256053</v>
      </c>
      <c r="N10" s="470">
        <v>249904</v>
      </c>
      <c r="O10" s="470">
        <v>285004</v>
      </c>
      <c r="P10" s="470">
        <v>294035</v>
      </c>
      <c r="Q10" s="470">
        <v>332374</v>
      </c>
      <c r="R10" s="470">
        <v>370843</v>
      </c>
      <c r="S10" s="470">
        <v>428721</v>
      </c>
      <c r="T10" s="470">
        <v>518576</v>
      </c>
      <c r="U10" s="470">
        <v>639923</v>
      </c>
      <c r="V10" s="470">
        <v>887014</v>
      </c>
      <c r="W10" s="470">
        <v>999069</v>
      </c>
      <c r="X10" s="470">
        <v>958330</v>
      </c>
      <c r="Y10" s="470">
        <v>1001237</v>
      </c>
      <c r="Z10" s="470">
        <v>1078782</v>
      </c>
      <c r="AA10" s="470">
        <v>1154048</v>
      </c>
      <c r="AB10" s="470">
        <v>1326738</v>
      </c>
      <c r="AC10" s="470">
        <v>1421325</v>
      </c>
      <c r="AD10" s="470">
        <v>1477896</v>
      </c>
      <c r="AE10" s="470">
        <v>1504727</v>
      </c>
      <c r="AF10" s="470">
        <v>1659774</v>
      </c>
      <c r="AG10" s="470">
        <v>1732316</v>
      </c>
      <c r="AH10" s="470">
        <v>1836716</v>
      </c>
      <c r="AI10" s="470">
        <v>1901471</v>
      </c>
      <c r="AJ10" s="470">
        <v>2004199</v>
      </c>
      <c r="AK10" s="470">
        <v>2276695</v>
      </c>
      <c r="AL10" s="470">
        <v>2605559</v>
      </c>
    </row>
    <row r="11" spans="1:38">
      <c r="A11" s="470" t="s">
        <v>509</v>
      </c>
      <c r="B11" s="470" t="s">
        <v>273</v>
      </c>
      <c r="C11" s="470" t="s">
        <v>273</v>
      </c>
      <c r="D11" s="470" t="s">
        <v>273</v>
      </c>
      <c r="E11" s="470" t="s">
        <v>273</v>
      </c>
      <c r="F11" s="470" t="s">
        <v>273</v>
      </c>
      <c r="G11" s="470" t="s">
        <v>273</v>
      </c>
      <c r="H11" s="470" t="s">
        <v>273</v>
      </c>
      <c r="I11" s="470">
        <v>245</v>
      </c>
      <c r="J11" s="470">
        <v>392</v>
      </c>
      <c r="K11" s="470">
        <v>386</v>
      </c>
      <c r="L11" s="470">
        <v>625</v>
      </c>
      <c r="M11" s="470">
        <v>573</v>
      </c>
      <c r="N11" s="470">
        <v>583</v>
      </c>
      <c r="O11" s="470">
        <v>638</v>
      </c>
      <c r="P11" s="470">
        <v>769</v>
      </c>
      <c r="Q11" s="470">
        <v>1553</v>
      </c>
      <c r="R11" s="470">
        <v>1784</v>
      </c>
      <c r="S11" s="470">
        <v>2363</v>
      </c>
      <c r="T11" s="470">
        <v>2618</v>
      </c>
      <c r="U11" s="470">
        <v>3216</v>
      </c>
      <c r="V11" s="470">
        <v>3007</v>
      </c>
      <c r="W11" s="470">
        <v>2743</v>
      </c>
      <c r="X11" s="470">
        <v>3596</v>
      </c>
      <c r="Y11" s="470">
        <v>3606</v>
      </c>
      <c r="Z11" s="470">
        <v>3572</v>
      </c>
      <c r="AA11" s="470">
        <v>2425</v>
      </c>
      <c r="AB11" s="470">
        <v>2305</v>
      </c>
      <c r="AC11" s="470">
        <v>4410</v>
      </c>
      <c r="AD11" s="470">
        <v>4251</v>
      </c>
      <c r="AE11" s="470">
        <v>4622</v>
      </c>
      <c r="AF11" s="470">
        <v>4532</v>
      </c>
      <c r="AG11" s="470">
        <v>4861</v>
      </c>
      <c r="AH11" s="470">
        <v>5286</v>
      </c>
      <c r="AI11" s="470">
        <v>5976</v>
      </c>
      <c r="AJ11" s="470">
        <v>6962</v>
      </c>
      <c r="AK11" s="470">
        <v>7088</v>
      </c>
      <c r="AL11" s="470">
        <v>10611</v>
      </c>
    </row>
    <row r="12" spans="1:38">
      <c r="A12" s="470" t="s">
        <v>508</v>
      </c>
      <c r="B12" s="470">
        <v>1554</v>
      </c>
      <c r="C12" s="470">
        <v>1891</v>
      </c>
      <c r="D12" s="470">
        <v>1904</v>
      </c>
      <c r="E12" s="470">
        <v>2261</v>
      </c>
      <c r="F12" s="470">
        <v>2548</v>
      </c>
      <c r="G12" s="470">
        <v>2291</v>
      </c>
      <c r="H12" s="470">
        <v>2487</v>
      </c>
      <c r="I12" s="470">
        <v>3371</v>
      </c>
      <c r="J12" s="470">
        <v>3471</v>
      </c>
      <c r="K12" s="470">
        <v>3799</v>
      </c>
      <c r="L12" s="470">
        <v>3900</v>
      </c>
      <c r="M12" s="470">
        <v>3228</v>
      </c>
      <c r="N12" s="470">
        <v>4165</v>
      </c>
      <c r="O12" s="470">
        <v>3870</v>
      </c>
      <c r="P12" s="470">
        <v>4331</v>
      </c>
      <c r="Q12" s="470">
        <v>4397</v>
      </c>
      <c r="R12" s="470">
        <v>4658</v>
      </c>
      <c r="S12" s="470">
        <v>6199</v>
      </c>
      <c r="T12" s="470">
        <v>9929</v>
      </c>
      <c r="U12" s="470">
        <v>11011</v>
      </c>
      <c r="V12" s="470">
        <v>14787</v>
      </c>
      <c r="W12" s="470">
        <v>15623</v>
      </c>
      <c r="X12" s="470">
        <v>9777</v>
      </c>
      <c r="Y12" s="470">
        <v>11239</v>
      </c>
      <c r="Z12" s="470">
        <v>12581</v>
      </c>
      <c r="AA12" s="470">
        <v>10024</v>
      </c>
      <c r="AB12" s="470">
        <v>11691</v>
      </c>
      <c r="AC12" s="470">
        <v>23471</v>
      </c>
      <c r="AD12" s="470">
        <v>23379</v>
      </c>
      <c r="AE12" s="470">
        <v>36292</v>
      </c>
      <c r="AF12" s="470">
        <v>69565</v>
      </c>
      <c r="AG12" s="470">
        <v>78767</v>
      </c>
      <c r="AH12" s="470">
        <v>102705</v>
      </c>
      <c r="AI12" s="470">
        <v>91413</v>
      </c>
      <c r="AJ12" s="470">
        <v>97038</v>
      </c>
      <c r="AK12" s="470">
        <v>89231</v>
      </c>
      <c r="AL12" s="470">
        <v>79854</v>
      </c>
    </row>
    <row r="13" spans="1:38">
      <c r="A13" s="470" t="s">
        <v>506</v>
      </c>
      <c r="B13" s="470">
        <v>174</v>
      </c>
      <c r="C13" s="470">
        <v>225</v>
      </c>
      <c r="D13" s="470">
        <v>274</v>
      </c>
      <c r="E13" s="470">
        <v>308</v>
      </c>
      <c r="F13" s="470">
        <v>404</v>
      </c>
      <c r="G13" s="470">
        <v>577</v>
      </c>
      <c r="H13" s="470">
        <v>552</v>
      </c>
      <c r="I13" s="470">
        <v>498</v>
      </c>
      <c r="J13" s="470">
        <v>588</v>
      </c>
      <c r="K13" s="470">
        <v>656</v>
      </c>
      <c r="L13" s="470">
        <v>819</v>
      </c>
      <c r="M13" s="470">
        <v>448</v>
      </c>
      <c r="N13" s="470">
        <v>571</v>
      </c>
      <c r="O13" s="470">
        <v>1110</v>
      </c>
      <c r="P13" s="470">
        <v>2429</v>
      </c>
      <c r="Q13" s="470">
        <v>3444</v>
      </c>
      <c r="R13" s="470">
        <v>2626</v>
      </c>
      <c r="S13" s="470">
        <v>2858</v>
      </c>
      <c r="T13" s="470">
        <v>3294</v>
      </c>
      <c r="U13" s="470">
        <v>5215</v>
      </c>
      <c r="V13" s="470">
        <v>4025</v>
      </c>
      <c r="W13" s="470">
        <v>1857</v>
      </c>
      <c r="X13" s="470">
        <v>4215</v>
      </c>
      <c r="Y13" s="470">
        <v>4531</v>
      </c>
      <c r="Z13" s="470">
        <v>5064</v>
      </c>
      <c r="AA13" s="470">
        <v>6117</v>
      </c>
      <c r="AB13" s="470">
        <v>6726</v>
      </c>
      <c r="AC13" s="470">
        <v>5761</v>
      </c>
      <c r="AD13" s="470">
        <v>5537</v>
      </c>
      <c r="AE13" s="470">
        <v>6806</v>
      </c>
      <c r="AF13" s="470">
        <v>7772</v>
      </c>
      <c r="AG13" s="470">
        <v>7470</v>
      </c>
      <c r="AH13" s="470">
        <v>7732</v>
      </c>
      <c r="AI13" s="470">
        <v>9913</v>
      </c>
      <c r="AJ13" s="470">
        <v>13322</v>
      </c>
      <c r="AK13" s="470">
        <v>14432</v>
      </c>
      <c r="AL13" s="470">
        <v>18233</v>
      </c>
    </row>
    <row r="14" spans="1:38">
      <c r="A14" s="470" t="s">
        <v>505</v>
      </c>
      <c r="B14" s="470" t="s">
        <v>273</v>
      </c>
      <c r="C14" s="470" t="s">
        <v>273</v>
      </c>
      <c r="D14" s="470" t="s">
        <v>273</v>
      </c>
      <c r="E14" s="470" t="s">
        <v>273</v>
      </c>
      <c r="F14" s="470" t="s">
        <v>273</v>
      </c>
      <c r="G14" s="470" t="s">
        <v>273</v>
      </c>
      <c r="H14" s="470" t="s">
        <v>273</v>
      </c>
      <c r="I14" s="470">
        <v>295</v>
      </c>
      <c r="J14" s="470">
        <v>452</v>
      </c>
      <c r="K14" s="470">
        <v>1297</v>
      </c>
      <c r="L14" s="470">
        <v>1504</v>
      </c>
      <c r="M14" s="470">
        <v>1416</v>
      </c>
      <c r="N14" s="470">
        <v>1767</v>
      </c>
      <c r="O14" s="470">
        <v>1617</v>
      </c>
      <c r="P14" s="470">
        <v>2016</v>
      </c>
      <c r="Q14" s="470">
        <v>2710</v>
      </c>
      <c r="R14" s="470">
        <v>2950</v>
      </c>
      <c r="S14" s="470">
        <v>3892</v>
      </c>
      <c r="T14" s="470">
        <v>3949</v>
      </c>
      <c r="U14" s="470">
        <v>4816</v>
      </c>
      <c r="V14" s="470">
        <v>8875</v>
      </c>
      <c r="W14" s="470">
        <v>7620</v>
      </c>
      <c r="X14" s="470">
        <v>6133</v>
      </c>
      <c r="Y14" s="470">
        <v>5300</v>
      </c>
      <c r="Z14" s="470">
        <v>5639</v>
      </c>
      <c r="AA14" s="470">
        <v>5938</v>
      </c>
      <c r="AB14" s="470">
        <v>7129</v>
      </c>
      <c r="AC14" s="470">
        <v>5308</v>
      </c>
      <c r="AD14" s="470">
        <v>7613</v>
      </c>
      <c r="AE14" s="470">
        <v>5415</v>
      </c>
      <c r="AF14" s="470">
        <v>4943</v>
      </c>
      <c r="AG14" s="470">
        <v>5213</v>
      </c>
      <c r="AH14" s="470">
        <v>6087</v>
      </c>
      <c r="AI14" s="470">
        <v>6852</v>
      </c>
      <c r="AJ14" s="470">
        <v>4284</v>
      </c>
      <c r="AK14" s="470">
        <v>6482</v>
      </c>
      <c r="AL14" s="470">
        <v>5874</v>
      </c>
    </row>
    <row r="15" spans="1:38">
      <c r="A15" s="470" t="s">
        <v>504</v>
      </c>
      <c r="B15" s="470">
        <v>3731</v>
      </c>
      <c r="C15" s="470">
        <v>5876</v>
      </c>
      <c r="D15" s="470">
        <v>5708</v>
      </c>
      <c r="E15" s="470">
        <v>5726</v>
      </c>
      <c r="F15" s="470">
        <v>6591</v>
      </c>
      <c r="G15" s="470">
        <v>6670</v>
      </c>
      <c r="H15" s="470">
        <v>7709</v>
      </c>
      <c r="I15" s="470">
        <v>10137</v>
      </c>
      <c r="J15" s="470">
        <v>13233</v>
      </c>
      <c r="K15" s="470">
        <v>15365</v>
      </c>
      <c r="L15" s="470">
        <v>18650</v>
      </c>
      <c r="M15" s="470">
        <v>25078</v>
      </c>
      <c r="N15" s="470">
        <v>23918</v>
      </c>
      <c r="O15" s="470">
        <v>30304</v>
      </c>
      <c r="P15" s="470">
        <v>32950</v>
      </c>
      <c r="Q15" s="470">
        <v>36167</v>
      </c>
      <c r="R15" s="470">
        <v>43253</v>
      </c>
      <c r="S15" s="470">
        <v>50141</v>
      </c>
      <c r="T15" s="470">
        <v>59925</v>
      </c>
      <c r="U15" s="470">
        <v>89945</v>
      </c>
      <c r="V15" s="470">
        <v>125740</v>
      </c>
      <c r="W15" s="470">
        <v>154984</v>
      </c>
      <c r="X15" s="470">
        <v>133914</v>
      </c>
      <c r="Y15" s="470">
        <v>136434</v>
      </c>
      <c r="Z15" s="470">
        <v>137927</v>
      </c>
      <c r="AA15" s="470">
        <v>114260</v>
      </c>
      <c r="AB15" s="470">
        <v>147799</v>
      </c>
      <c r="AC15" s="470">
        <v>141487</v>
      </c>
      <c r="AD15" s="470">
        <v>141922</v>
      </c>
      <c r="AE15" s="470">
        <v>158924</v>
      </c>
      <c r="AF15" s="470">
        <v>189763</v>
      </c>
      <c r="AG15" s="470">
        <v>197785</v>
      </c>
      <c r="AH15" s="470">
        <v>214712</v>
      </c>
      <c r="AI15" s="470">
        <v>197338</v>
      </c>
      <c r="AJ15" s="470">
        <v>202682</v>
      </c>
      <c r="AK15" s="470">
        <v>232431</v>
      </c>
      <c r="AL15" s="470">
        <v>252864</v>
      </c>
    </row>
    <row r="16" spans="1:38">
      <c r="A16" s="470" t="s">
        <v>503</v>
      </c>
      <c r="B16" s="470">
        <v>7596</v>
      </c>
      <c r="C16" s="470">
        <v>9459</v>
      </c>
      <c r="D16" s="470">
        <v>9850</v>
      </c>
      <c r="E16" s="470">
        <v>10845</v>
      </c>
      <c r="F16" s="470">
        <v>12330</v>
      </c>
      <c r="G16" s="470">
        <v>14816</v>
      </c>
      <c r="H16" s="470">
        <v>17250</v>
      </c>
      <c r="I16" s="470">
        <v>21905</v>
      </c>
      <c r="J16" s="470">
        <v>25250</v>
      </c>
      <c r="K16" s="470">
        <v>28386</v>
      </c>
      <c r="L16" s="470">
        <v>28232</v>
      </c>
      <c r="M16" s="470">
        <v>29335</v>
      </c>
      <c r="N16" s="470">
        <v>29419</v>
      </c>
      <c r="O16" s="470">
        <v>34987</v>
      </c>
      <c r="P16" s="470">
        <v>39630</v>
      </c>
      <c r="Q16" s="470">
        <v>46017</v>
      </c>
      <c r="R16" s="470">
        <v>61096</v>
      </c>
      <c r="S16" s="470">
        <v>68838</v>
      </c>
      <c r="T16" s="470">
        <v>93289</v>
      </c>
      <c r="U16" s="470">
        <v>112126</v>
      </c>
      <c r="V16" s="470">
        <v>122412</v>
      </c>
      <c r="W16" s="470">
        <v>162314</v>
      </c>
      <c r="X16" s="470">
        <v>138301</v>
      </c>
      <c r="Y16" s="470">
        <v>160691</v>
      </c>
      <c r="Z16" s="470">
        <v>164921</v>
      </c>
      <c r="AA16" s="470">
        <v>177176</v>
      </c>
      <c r="AB16" s="470">
        <v>205969</v>
      </c>
      <c r="AC16" s="470">
        <v>187815</v>
      </c>
      <c r="AD16" s="470">
        <v>173843</v>
      </c>
      <c r="AE16" s="470">
        <v>183966</v>
      </c>
      <c r="AF16" s="470">
        <v>203077</v>
      </c>
      <c r="AG16" s="470">
        <v>213601</v>
      </c>
      <c r="AH16" s="470">
        <v>197438</v>
      </c>
      <c r="AI16" s="470">
        <v>213256</v>
      </c>
      <c r="AJ16" s="470">
        <v>251009</v>
      </c>
      <c r="AK16" s="470">
        <v>279735</v>
      </c>
      <c r="AL16" s="470">
        <v>291697</v>
      </c>
    </row>
    <row r="17" spans="1:38">
      <c r="A17" s="470" t="s">
        <v>502</v>
      </c>
      <c r="B17" s="470">
        <v>39</v>
      </c>
      <c r="C17" s="470">
        <v>44</v>
      </c>
      <c r="D17" s="470">
        <v>50</v>
      </c>
      <c r="E17" s="470">
        <v>57</v>
      </c>
      <c r="F17" s="470">
        <v>90</v>
      </c>
      <c r="G17" s="470" t="s">
        <v>291</v>
      </c>
      <c r="H17" s="470">
        <v>256</v>
      </c>
      <c r="I17" s="470" t="s">
        <v>273</v>
      </c>
      <c r="J17" s="470" t="s">
        <v>273</v>
      </c>
      <c r="K17" s="470" t="s">
        <v>273</v>
      </c>
      <c r="L17" s="470" t="s">
        <v>273</v>
      </c>
      <c r="M17" s="470" t="s">
        <v>273</v>
      </c>
      <c r="N17" s="470" t="s">
        <v>273</v>
      </c>
      <c r="O17" s="470" t="s">
        <v>273</v>
      </c>
      <c r="P17" s="470" t="s">
        <v>273</v>
      </c>
      <c r="Q17" s="470" t="s">
        <v>273</v>
      </c>
      <c r="R17" s="470" t="s">
        <v>273</v>
      </c>
      <c r="S17" s="470" t="s">
        <v>273</v>
      </c>
      <c r="T17" s="470" t="s">
        <v>273</v>
      </c>
      <c r="U17" s="470" t="s">
        <v>273</v>
      </c>
      <c r="V17" s="470" t="s">
        <v>273</v>
      </c>
      <c r="W17" s="470" t="s">
        <v>273</v>
      </c>
      <c r="X17" s="470" t="s">
        <v>273</v>
      </c>
      <c r="Y17" s="470" t="s">
        <v>273</v>
      </c>
      <c r="Z17" s="470" t="s">
        <v>273</v>
      </c>
      <c r="AA17" s="470" t="s">
        <v>273</v>
      </c>
      <c r="AB17" s="470" t="s">
        <v>273</v>
      </c>
      <c r="AC17" s="470" t="s">
        <v>273</v>
      </c>
      <c r="AD17" s="470" t="s">
        <v>273</v>
      </c>
      <c r="AE17" s="470" t="s">
        <v>273</v>
      </c>
      <c r="AF17" s="470" t="s">
        <v>273</v>
      </c>
      <c r="AG17" s="470" t="s">
        <v>273</v>
      </c>
      <c r="AH17" s="470" t="s">
        <v>273</v>
      </c>
      <c r="AI17" s="470" t="s">
        <v>273</v>
      </c>
      <c r="AJ17" s="470" t="s">
        <v>273</v>
      </c>
      <c r="AK17" s="470" t="s">
        <v>273</v>
      </c>
      <c r="AL17" s="470" t="s">
        <v>273</v>
      </c>
    </row>
    <row r="18" spans="1:38">
      <c r="A18" s="470" t="s">
        <v>500</v>
      </c>
      <c r="B18" s="470">
        <v>98</v>
      </c>
      <c r="C18" s="470">
        <v>130</v>
      </c>
      <c r="D18" s="470">
        <v>132</v>
      </c>
      <c r="E18" s="470">
        <v>219</v>
      </c>
      <c r="F18" s="470">
        <v>285</v>
      </c>
      <c r="G18" s="506">
        <f>(F18+H18)/2</f>
        <v>322.5</v>
      </c>
      <c r="H18" s="470">
        <v>360</v>
      </c>
      <c r="I18" s="470">
        <v>544</v>
      </c>
      <c r="J18" s="470">
        <v>725</v>
      </c>
      <c r="K18" s="470">
        <v>1416</v>
      </c>
      <c r="L18" s="470">
        <v>1340</v>
      </c>
      <c r="M18" s="470">
        <v>1863</v>
      </c>
      <c r="N18" s="470">
        <v>1818</v>
      </c>
      <c r="O18" s="470">
        <v>4771</v>
      </c>
      <c r="P18" s="470">
        <v>2974</v>
      </c>
      <c r="Q18" s="470">
        <v>4749</v>
      </c>
      <c r="R18" s="470">
        <v>6437</v>
      </c>
      <c r="S18" s="470">
        <v>10394</v>
      </c>
      <c r="T18" s="470">
        <v>12198</v>
      </c>
      <c r="U18" s="470">
        <v>14958</v>
      </c>
      <c r="V18" s="470">
        <v>25523</v>
      </c>
      <c r="W18" s="470">
        <v>25632</v>
      </c>
      <c r="X18" s="470">
        <v>27302</v>
      </c>
      <c r="Y18" s="470">
        <v>23346</v>
      </c>
      <c r="Z18" s="470">
        <v>16446</v>
      </c>
      <c r="AA18" s="470">
        <v>17465</v>
      </c>
      <c r="AB18" s="470">
        <v>25517</v>
      </c>
      <c r="AC18" s="470">
        <v>26089</v>
      </c>
      <c r="AD18" s="470">
        <v>21270</v>
      </c>
      <c r="AE18" s="470">
        <v>21044</v>
      </c>
      <c r="AF18" s="470">
        <v>24097</v>
      </c>
      <c r="AG18" s="470">
        <v>22448</v>
      </c>
      <c r="AH18" s="470">
        <v>17801</v>
      </c>
      <c r="AI18" s="470">
        <v>18981</v>
      </c>
      <c r="AJ18" s="470">
        <v>26431</v>
      </c>
      <c r="AK18" s="470">
        <v>35814</v>
      </c>
      <c r="AL18" s="470">
        <v>85460</v>
      </c>
    </row>
    <row r="19" spans="1:38">
      <c r="A19" s="470" t="s">
        <v>499</v>
      </c>
      <c r="B19" s="470">
        <v>408</v>
      </c>
      <c r="C19" s="470">
        <v>829</v>
      </c>
      <c r="D19" s="470">
        <v>1120</v>
      </c>
      <c r="E19" s="470">
        <v>1238</v>
      </c>
      <c r="F19" s="470">
        <v>1438</v>
      </c>
      <c r="G19" s="470">
        <v>1237</v>
      </c>
      <c r="H19" s="470">
        <v>1323</v>
      </c>
      <c r="I19" s="470">
        <v>1310</v>
      </c>
      <c r="J19" s="470">
        <v>752</v>
      </c>
      <c r="K19" s="470">
        <v>1436</v>
      </c>
      <c r="L19" s="470">
        <v>1524</v>
      </c>
      <c r="M19" s="470">
        <v>3227</v>
      </c>
      <c r="N19" s="470">
        <v>1821</v>
      </c>
      <c r="O19" s="470">
        <v>2299</v>
      </c>
      <c r="P19" s="470">
        <v>2904</v>
      </c>
      <c r="Q19" s="470">
        <v>3062</v>
      </c>
      <c r="R19" s="470">
        <v>3158</v>
      </c>
      <c r="S19" s="470">
        <v>2872</v>
      </c>
      <c r="T19" s="470">
        <v>3910</v>
      </c>
      <c r="U19" s="470">
        <v>4444</v>
      </c>
      <c r="V19" s="470">
        <v>6576</v>
      </c>
      <c r="W19" s="470">
        <v>6826</v>
      </c>
      <c r="X19" s="470">
        <v>6830</v>
      </c>
      <c r="Y19" s="470">
        <v>6944</v>
      </c>
      <c r="Z19" s="470">
        <v>6889</v>
      </c>
      <c r="AA19" s="470">
        <v>7725</v>
      </c>
      <c r="AB19" s="470">
        <v>9299</v>
      </c>
      <c r="AC19" s="470">
        <v>13762</v>
      </c>
      <c r="AD19" s="470">
        <v>19466</v>
      </c>
      <c r="AE19" s="470">
        <v>18567</v>
      </c>
      <c r="AF19" s="470">
        <v>20142</v>
      </c>
      <c r="AG19" s="470">
        <v>21133</v>
      </c>
      <c r="AH19" s="470">
        <v>22151</v>
      </c>
      <c r="AI19" s="470">
        <v>24899</v>
      </c>
      <c r="AJ19" s="470">
        <v>23508</v>
      </c>
      <c r="AK19" s="470">
        <v>27690</v>
      </c>
      <c r="AL19" s="470">
        <v>30010</v>
      </c>
    </row>
    <row r="20" spans="1:38">
      <c r="A20" s="470" t="s">
        <v>1446</v>
      </c>
      <c r="B20" s="470" t="s">
        <v>273</v>
      </c>
      <c r="C20" s="470" t="s">
        <v>273</v>
      </c>
      <c r="D20" s="470" t="s">
        <v>273</v>
      </c>
      <c r="E20" s="470" t="s">
        <v>273</v>
      </c>
      <c r="F20" s="470" t="s">
        <v>273</v>
      </c>
      <c r="G20" s="470" t="s">
        <v>273</v>
      </c>
      <c r="H20" s="470" t="s">
        <v>273</v>
      </c>
      <c r="I20" s="470">
        <v>190</v>
      </c>
      <c r="J20" s="470">
        <v>181</v>
      </c>
      <c r="K20" s="470">
        <v>177</v>
      </c>
      <c r="L20" s="470">
        <v>167</v>
      </c>
      <c r="M20" s="470">
        <v>100</v>
      </c>
      <c r="N20" s="470">
        <v>181</v>
      </c>
      <c r="O20" s="470">
        <v>153</v>
      </c>
      <c r="P20" s="470">
        <v>164</v>
      </c>
      <c r="Q20" s="470">
        <v>176</v>
      </c>
      <c r="R20" s="470">
        <v>164</v>
      </c>
      <c r="S20" s="470" t="s">
        <v>273</v>
      </c>
      <c r="T20" s="470" t="s">
        <v>273</v>
      </c>
      <c r="U20" s="470" t="s">
        <v>273</v>
      </c>
      <c r="V20" s="470" t="s">
        <v>273</v>
      </c>
      <c r="W20" s="470" t="s">
        <v>273</v>
      </c>
      <c r="X20" s="470" t="s">
        <v>273</v>
      </c>
      <c r="Y20" s="470" t="s">
        <v>273</v>
      </c>
      <c r="Z20" s="470" t="s">
        <v>273</v>
      </c>
      <c r="AA20" s="470" t="s">
        <v>273</v>
      </c>
      <c r="AB20" s="470" t="s">
        <v>273</v>
      </c>
      <c r="AC20" s="470" t="s">
        <v>273</v>
      </c>
      <c r="AD20" s="470" t="s">
        <v>273</v>
      </c>
      <c r="AE20" s="470" t="s">
        <v>273</v>
      </c>
      <c r="AF20" s="470" t="s">
        <v>273</v>
      </c>
      <c r="AG20" s="470" t="s">
        <v>273</v>
      </c>
      <c r="AH20" s="470" t="s">
        <v>273</v>
      </c>
      <c r="AI20" s="470" t="s">
        <v>273</v>
      </c>
      <c r="AJ20" s="470" t="s">
        <v>273</v>
      </c>
      <c r="AK20" s="470" t="s">
        <v>273</v>
      </c>
      <c r="AL20" s="470" t="s">
        <v>273</v>
      </c>
    </row>
    <row r="21" spans="1:38">
      <c r="A21" s="470" t="s">
        <v>498</v>
      </c>
      <c r="B21" s="470">
        <v>261</v>
      </c>
      <c r="C21" s="470">
        <v>282</v>
      </c>
      <c r="D21" s="470">
        <v>336</v>
      </c>
      <c r="E21" s="470">
        <v>297</v>
      </c>
      <c r="F21" s="470">
        <v>753</v>
      </c>
      <c r="G21" s="470">
        <v>345</v>
      </c>
      <c r="H21" s="470">
        <v>263</v>
      </c>
      <c r="I21" s="470">
        <v>590</v>
      </c>
      <c r="J21" s="470">
        <v>-131</v>
      </c>
      <c r="K21" s="470">
        <v>407</v>
      </c>
      <c r="L21" s="470">
        <v>2195</v>
      </c>
      <c r="M21" s="470">
        <v>734</v>
      </c>
      <c r="N21" s="470">
        <v>677</v>
      </c>
      <c r="O21" s="470">
        <v>1183</v>
      </c>
      <c r="P21" s="470">
        <v>2301</v>
      </c>
      <c r="Q21" s="470">
        <v>5756</v>
      </c>
      <c r="R21" s="470">
        <v>3643</v>
      </c>
      <c r="S21" s="470">
        <v>11687</v>
      </c>
      <c r="T21" s="470">
        <v>26804</v>
      </c>
      <c r="U21" s="470">
        <v>35644</v>
      </c>
      <c r="V21" s="470">
        <v>58930</v>
      </c>
      <c r="W21" s="470">
        <v>95299</v>
      </c>
      <c r="X21" s="470">
        <v>97416</v>
      </c>
      <c r="Y21" s="470">
        <v>109212</v>
      </c>
      <c r="Z21" s="470">
        <v>116479</v>
      </c>
      <c r="AA21" s="470">
        <v>79680</v>
      </c>
      <c r="AB21" s="470">
        <v>89157</v>
      </c>
      <c r="AC21" s="470">
        <v>123389</v>
      </c>
      <c r="AD21" s="470">
        <v>130020</v>
      </c>
      <c r="AE21" s="470">
        <v>138667</v>
      </c>
      <c r="AF21" s="470">
        <v>170309</v>
      </c>
      <c r="AG21" s="470">
        <v>172195</v>
      </c>
      <c r="AH21" s="470">
        <v>202339</v>
      </c>
      <c r="AI21" s="470">
        <v>223339</v>
      </c>
      <c r="AJ21" s="470">
        <v>232288</v>
      </c>
      <c r="AK21" s="470">
        <v>347864</v>
      </c>
      <c r="AL21" s="470">
        <v>417386</v>
      </c>
    </row>
    <row r="22" spans="1:38">
      <c r="A22" s="470" t="s">
        <v>497</v>
      </c>
      <c r="B22" s="470">
        <v>19140</v>
      </c>
      <c r="C22" s="470">
        <v>26824</v>
      </c>
      <c r="D22" s="470">
        <v>26191</v>
      </c>
      <c r="E22" s="470">
        <v>29182</v>
      </c>
      <c r="F22" s="470">
        <v>33728</v>
      </c>
      <c r="G22" s="470">
        <v>37056</v>
      </c>
      <c r="H22" s="470">
        <v>40717</v>
      </c>
      <c r="I22" s="470">
        <v>46636</v>
      </c>
      <c r="J22" s="470">
        <v>48128</v>
      </c>
      <c r="K22" s="470">
        <v>56734</v>
      </c>
      <c r="L22" s="470">
        <v>64671</v>
      </c>
      <c r="M22" s="470">
        <v>63113</v>
      </c>
      <c r="N22" s="470">
        <v>69107</v>
      </c>
      <c r="O22" s="470">
        <v>72893</v>
      </c>
      <c r="P22" s="470">
        <v>66600</v>
      </c>
      <c r="Q22" s="470">
        <v>65116</v>
      </c>
      <c r="R22" s="470">
        <v>75349</v>
      </c>
      <c r="S22" s="470">
        <v>84915</v>
      </c>
      <c r="T22" s="470">
        <v>92298</v>
      </c>
      <c r="U22" s="470">
        <v>125010</v>
      </c>
      <c r="V22" s="470">
        <v>138894</v>
      </c>
      <c r="W22" s="470">
        <v>145554</v>
      </c>
      <c r="X22" s="470">
        <v>145596</v>
      </c>
      <c r="Y22" s="470">
        <v>146601</v>
      </c>
      <c r="Z22" s="470">
        <v>159601</v>
      </c>
      <c r="AA22" s="470">
        <v>156602</v>
      </c>
      <c r="AB22" s="470">
        <v>182014</v>
      </c>
      <c r="AC22" s="470">
        <v>184613</v>
      </c>
      <c r="AD22" s="470">
        <v>179938</v>
      </c>
      <c r="AE22" s="470">
        <v>206622</v>
      </c>
      <c r="AF22" s="470">
        <v>234408</v>
      </c>
      <c r="AG22" s="470">
        <v>222465</v>
      </c>
      <c r="AH22" s="470">
        <v>244147</v>
      </c>
      <c r="AI22" s="470">
        <v>237734</v>
      </c>
      <c r="AJ22" s="470">
        <v>258177</v>
      </c>
      <c r="AK22" s="470">
        <v>299780</v>
      </c>
      <c r="AL22" s="470">
        <v>355242</v>
      </c>
    </row>
    <row r="23" spans="1:38">
      <c r="A23" s="470" t="s">
        <v>496</v>
      </c>
      <c r="B23" s="470" t="s">
        <v>273</v>
      </c>
      <c r="C23" s="470" t="s">
        <v>273</v>
      </c>
      <c r="D23" s="470" t="s">
        <v>273</v>
      </c>
      <c r="E23" s="470" t="s">
        <v>273</v>
      </c>
      <c r="F23" s="470" t="s">
        <v>273</v>
      </c>
      <c r="G23" s="470" t="s">
        <v>273</v>
      </c>
      <c r="H23" s="470" t="s">
        <v>273</v>
      </c>
      <c r="I23" s="470">
        <v>352</v>
      </c>
      <c r="J23" s="470">
        <v>220</v>
      </c>
      <c r="K23" s="470">
        <v>576</v>
      </c>
      <c r="L23" s="470">
        <v>773</v>
      </c>
      <c r="M23" s="470">
        <v>721</v>
      </c>
      <c r="N23" s="470">
        <v>911</v>
      </c>
      <c r="O23" s="470">
        <v>1217</v>
      </c>
      <c r="P23" s="470">
        <v>1616</v>
      </c>
      <c r="Q23" s="470">
        <v>2172</v>
      </c>
      <c r="R23" s="470">
        <v>2286</v>
      </c>
      <c r="S23" s="470">
        <v>3122</v>
      </c>
      <c r="T23" s="470">
        <v>3787</v>
      </c>
      <c r="U23" s="470">
        <v>2854</v>
      </c>
      <c r="V23" s="470">
        <v>2665</v>
      </c>
      <c r="W23" s="470">
        <v>2574</v>
      </c>
      <c r="X23" s="470">
        <v>3810</v>
      </c>
      <c r="Y23" s="470">
        <v>4203</v>
      </c>
      <c r="Z23" s="470">
        <v>2862</v>
      </c>
      <c r="AA23" s="470">
        <v>9810</v>
      </c>
      <c r="AB23" s="470">
        <v>10442</v>
      </c>
      <c r="AC23" s="470">
        <v>7317</v>
      </c>
      <c r="AD23" s="470">
        <v>11511</v>
      </c>
      <c r="AE23" s="470">
        <v>9866</v>
      </c>
      <c r="AF23" s="470">
        <v>10478</v>
      </c>
      <c r="AG23" s="470">
        <v>16530</v>
      </c>
      <c r="AH23" s="470">
        <v>18769</v>
      </c>
      <c r="AI23" s="470">
        <v>18470</v>
      </c>
      <c r="AJ23" s="470">
        <v>19539</v>
      </c>
      <c r="AK23" s="470">
        <v>20706</v>
      </c>
      <c r="AL23" s="470">
        <v>25548</v>
      </c>
    </row>
    <row r="24" spans="1:38">
      <c r="A24" s="470" t="s">
        <v>492</v>
      </c>
      <c r="B24" s="470" t="s">
        <v>273</v>
      </c>
      <c r="C24" s="470" t="s">
        <v>273</v>
      </c>
      <c r="D24" s="470" t="s">
        <v>273</v>
      </c>
      <c r="E24" s="470" t="s">
        <v>273</v>
      </c>
      <c r="F24" s="470" t="s">
        <v>273</v>
      </c>
      <c r="G24" s="470" t="s">
        <v>273</v>
      </c>
      <c r="H24" s="470" t="s">
        <v>273</v>
      </c>
      <c r="I24" s="470">
        <v>442</v>
      </c>
      <c r="J24" s="470">
        <v>511</v>
      </c>
      <c r="K24" s="470">
        <v>601</v>
      </c>
      <c r="L24" s="470">
        <v>792</v>
      </c>
      <c r="M24" s="470">
        <v>1811</v>
      </c>
      <c r="N24" s="470">
        <v>1145</v>
      </c>
      <c r="O24" s="470">
        <v>1245</v>
      </c>
      <c r="P24" s="470">
        <v>2430</v>
      </c>
      <c r="Q24" s="470">
        <v>3237</v>
      </c>
      <c r="R24" s="470">
        <v>2007</v>
      </c>
      <c r="S24" s="470">
        <v>2304</v>
      </c>
      <c r="T24" s="470">
        <v>2420</v>
      </c>
      <c r="U24" s="470">
        <v>2749</v>
      </c>
      <c r="V24" s="470">
        <v>5068</v>
      </c>
      <c r="W24" s="470">
        <v>4659</v>
      </c>
      <c r="X24" s="470">
        <v>4612</v>
      </c>
      <c r="Y24" s="470">
        <v>5670</v>
      </c>
      <c r="Z24" s="470">
        <v>5818</v>
      </c>
      <c r="AA24" s="470">
        <v>7472</v>
      </c>
      <c r="AB24" s="470">
        <v>13969</v>
      </c>
      <c r="AC24" s="470">
        <v>25908</v>
      </c>
      <c r="AD24" s="470">
        <v>30037</v>
      </c>
      <c r="AE24" s="470">
        <v>38984</v>
      </c>
      <c r="AF24" s="470">
        <v>43095</v>
      </c>
      <c r="AG24" s="470">
        <v>45740</v>
      </c>
      <c r="AH24" s="470">
        <v>48417</v>
      </c>
      <c r="AI24" s="470">
        <v>50722</v>
      </c>
      <c r="AJ24" s="470">
        <v>63956</v>
      </c>
      <c r="AK24" s="470">
        <v>66985</v>
      </c>
      <c r="AL24" s="470">
        <v>68169</v>
      </c>
    </row>
    <row r="25" spans="1:38">
      <c r="A25" s="470" t="s">
        <v>491</v>
      </c>
      <c r="B25" s="470">
        <v>1670</v>
      </c>
      <c r="C25" s="470">
        <v>1693</v>
      </c>
      <c r="D25" s="470">
        <v>1739</v>
      </c>
      <c r="E25" s="470">
        <v>2124</v>
      </c>
      <c r="F25" s="470">
        <v>2258</v>
      </c>
      <c r="G25" s="470">
        <v>2357</v>
      </c>
      <c r="H25" s="470">
        <v>3963</v>
      </c>
      <c r="I25" s="470">
        <v>4910</v>
      </c>
      <c r="J25" s="470">
        <v>4713</v>
      </c>
      <c r="K25" s="470">
        <v>5435</v>
      </c>
      <c r="L25" s="470">
        <v>5484</v>
      </c>
      <c r="M25" s="470">
        <v>5404</v>
      </c>
      <c r="N25" s="470">
        <v>7130</v>
      </c>
      <c r="O25" s="470">
        <v>7881</v>
      </c>
      <c r="P25" s="470">
        <v>8803</v>
      </c>
      <c r="Q25" s="470">
        <v>9584</v>
      </c>
      <c r="R25" s="470">
        <v>8826</v>
      </c>
      <c r="S25" s="470">
        <v>10796</v>
      </c>
      <c r="T25" s="470">
        <v>17318</v>
      </c>
      <c r="U25" s="470">
        <v>18954</v>
      </c>
      <c r="V25" s="470">
        <v>21991</v>
      </c>
      <c r="W25" s="470">
        <v>20804</v>
      </c>
      <c r="X25" s="470">
        <v>20504</v>
      </c>
      <c r="Y25" s="470">
        <v>20156</v>
      </c>
      <c r="Z25" s="470">
        <v>22292</v>
      </c>
      <c r="AA25" s="470">
        <v>22269</v>
      </c>
      <c r="AB25" s="470">
        <v>20098</v>
      </c>
      <c r="AC25" s="470">
        <v>45811</v>
      </c>
      <c r="AD25" s="470">
        <v>32578</v>
      </c>
      <c r="AE25" s="470">
        <v>28941</v>
      </c>
      <c r="AF25" s="470">
        <v>38780</v>
      </c>
      <c r="AG25" s="470">
        <v>41591</v>
      </c>
      <c r="AH25" s="470">
        <v>39216</v>
      </c>
      <c r="AI25" s="470">
        <v>40848</v>
      </c>
      <c r="AJ25" s="470">
        <v>40142</v>
      </c>
      <c r="AK25" s="470">
        <v>43416</v>
      </c>
      <c r="AL25" s="470">
        <v>46933</v>
      </c>
    </row>
    <row r="26" spans="1:38">
      <c r="A26" s="470" t="s">
        <v>490</v>
      </c>
      <c r="B26" s="470">
        <v>5070</v>
      </c>
      <c r="C26" s="470">
        <v>5474</v>
      </c>
      <c r="D26" s="470">
        <v>6378</v>
      </c>
      <c r="E26" s="470">
        <v>7464</v>
      </c>
      <c r="F26" s="470">
        <v>8146</v>
      </c>
      <c r="G26" s="470">
        <v>10568</v>
      </c>
      <c r="H26" s="470">
        <v>12058</v>
      </c>
      <c r="I26" s="470">
        <v>13772</v>
      </c>
      <c r="J26" s="470">
        <v>14372</v>
      </c>
      <c r="K26" s="470">
        <v>18746</v>
      </c>
      <c r="L26" s="470">
        <v>17674</v>
      </c>
      <c r="M26" s="470">
        <v>18482</v>
      </c>
      <c r="N26" s="470">
        <v>19646</v>
      </c>
      <c r="O26" s="470">
        <v>21681</v>
      </c>
      <c r="P26" s="470">
        <v>24936</v>
      </c>
      <c r="Q26" s="470">
        <v>27458</v>
      </c>
      <c r="R26" s="470">
        <v>30363</v>
      </c>
      <c r="S26" s="470">
        <v>37962</v>
      </c>
      <c r="T26" s="470">
        <v>48263</v>
      </c>
      <c r="U26" s="470">
        <v>52973</v>
      </c>
      <c r="V26" s="470">
        <v>64719</v>
      </c>
      <c r="W26" s="470">
        <v>129478</v>
      </c>
      <c r="X26" s="470">
        <v>118342</v>
      </c>
      <c r="Y26" s="470">
        <v>124247</v>
      </c>
      <c r="Z26" s="470">
        <v>122165</v>
      </c>
      <c r="AA26" s="470">
        <v>133387</v>
      </c>
      <c r="AB26" s="470">
        <v>134568</v>
      </c>
      <c r="AC26" s="470">
        <v>149732</v>
      </c>
      <c r="AD26" s="470">
        <v>157121</v>
      </c>
      <c r="AE26" s="470">
        <v>140819</v>
      </c>
      <c r="AF26" s="470">
        <v>180642</v>
      </c>
      <c r="AG26" s="470">
        <v>198050</v>
      </c>
      <c r="AH26" s="470">
        <v>199125</v>
      </c>
      <c r="AI26" s="470">
        <v>220349</v>
      </c>
      <c r="AJ26" s="470">
        <v>245188</v>
      </c>
      <c r="AK26" s="470">
        <v>249225</v>
      </c>
      <c r="AL26" s="470">
        <v>310759</v>
      </c>
    </row>
    <row r="27" spans="1:38">
      <c r="A27" s="470" t="s">
        <v>488</v>
      </c>
      <c r="B27" s="470">
        <v>14105</v>
      </c>
      <c r="C27" s="470">
        <v>18585</v>
      </c>
      <c r="D27" s="470">
        <v>28447</v>
      </c>
      <c r="E27" s="470">
        <v>32152</v>
      </c>
      <c r="F27" s="470">
        <v>38387</v>
      </c>
      <c r="G27" s="470">
        <v>43555</v>
      </c>
      <c r="H27" s="470">
        <v>55935</v>
      </c>
      <c r="I27" s="470">
        <v>75519</v>
      </c>
      <c r="J27" s="470">
        <v>95698</v>
      </c>
      <c r="K27" s="470">
        <v>103458</v>
      </c>
      <c r="L27" s="470">
        <v>98676</v>
      </c>
      <c r="M27" s="470">
        <v>100085</v>
      </c>
      <c r="N27" s="470">
        <v>86587</v>
      </c>
      <c r="O27" s="470">
        <v>98739</v>
      </c>
      <c r="P27" s="470">
        <v>98732</v>
      </c>
      <c r="Q27" s="470">
        <v>116272</v>
      </c>
      <c r="R27" s="470">
        <v>121582</v>
      </c>
      <c r="S27" s="470">
        <v>129421</v>
      </c>
      <c r="T27" s="470">
        <v>137489</v>
      </c>
      <c r="U27" s="470">
        <v>153797</v>
      </c>
      <c r="V27" s="470">
        <v>277613</v>
      </c>
      <c r="W27" s="470">
        <v>197651</v>
      </c>
      <c r="X27" s="470">
        <v>211699</v>
      </c>
      <c r="Y27" s="470">
        <v>217841</v>
      </c>
      <c r="Z27" s="470">
        <v>267209</v>
      </c>
      <c r="AA27" s="470">
        <v>371350</v>
      </c>
      <c r="AB27" s="470">
        <v>414629</v>
      </c>
      <c r="AC27" s="470">
        <v>405543</v>
      </c>
      <c r="AD27" s="470">
        <v>447529</v>
      </c>
      <c r="AE27" s="470">
        <v>414590</v>
      </c>
      <c r="AF27" s="470">
        <v>400435</v>
      </c>
      <c r="AG27" s="470">
        <v>446077</v>
      </c>
      <c r="AH27" s="470">
        <v>485785</v>
      </c>
      <c r="AI27" s="470">
        <v>510795</v>
      </c>
      <c r="AJ27" s="470">
        <v>479373</v>
      </c>
      <c r="AK27" s="470">
        <v>512139</v>
      </c>
      <c r="AL27" s="470">
        <v>555687</v>
      </c>
    </row>
    <row r="28" spans="1:38">
      <c r="A28" s="470" t="s">
        <v>1445</v>
      </c>
      <c r="B28" s="470">
        <v>311</v>
      </c>
      <c r="C28" s="470">
        <v>399</v>
      </c>
      <c r="D28" s="470">
        <v>456</v>
      </c>
      <c r="E28" s="470">
        <v>584</v>
      </c>
      <c r="F28" s="470">
        <v>779</v>
      </c>
      <c r="G28" s="470">
        <v>1135</v>
      </c>
      <c r="H28" s="470">
        <v>1168</v>
      </c>
      <c r="I28" s="470" t="s">
        <v>273</v>
      </c>
      <c r="J28" s="470" t="s">
        <v>273</v>
      </c>
      <c r="K28" s="470" t="s">
        <v>273</v>
      </c>
      <c r="L28" s="470" t="s">
        <v>273</v>
      </c>
      <c r="M28" s="470" t="s">
        <v>273</v>
      </c>
      <c r="N28" s="470" t="s">
        <v>273</v>
      </c>
      <c r="O28" s="470" t="s">
        <v>273</v>
      </c>
      <c r="P28" s="470" t="s">
        <v>273</v>
      </c>
      <c r="Q28" s="470" t="s">
        <v>273</v>
      </c>
      <c r="R28" s="470" t="s">
        <v>273</v>
      </c>
      <c r="S28" s="470" t="s">
        <v>273</v>
      </c>
      <c r="T28" s="470" t="s">
        <v>273</v>
      </c>
      <c r="U28" s="470" t="s">
        <v>273</v>
      </c>
      <c r="V28" s="470" t="s">
        <v>273</v>
      </c>
      <c r="W28" s="470" t="s">
        <v>273</v>
      </c>
      <c r="X28" s="470" t="s">
        <v>273</v>
      </c>
      <c r="Y28" s="470" t="s">
        <v>273</v>
      </c>
      <c r="Z28" s="470" t="s">
        <v>273</v>
      </c>
      <c r="AA28" s="470" t="s">
        <v>273</v>
      </c>
      <c r="AB28" s="470" t="s">
        <v>273</v>
      </c>
      <c r="AC28" s="470" t="s">
        <v>273</v>
      </c>
      <c r="AD28" s="470" t="s">
        <v>273</v>
      </c>
      <c r="AE28" s="470" t="s">
        <v>273</v>
      </c>
      <c r="AF28" s="470" t="s">
        <v>273</v>
      </c>
      <c r="AG28" s="470" t="s">
        <v>273</v>
      </c>
      <c r="AH28" s="470" t="s">
        <v>273</v>
      </c>
      <c r="AI28" s="470" t="s">
        <v>273</v>
      </c>
      <c r="AJ28" s="470" t="s">
        <v>273</v>
      </c>
      <c r="AK28" s="470" t="s">
        <v>273</v>
      </c>
      <c r="AL28" s="470" t="s">
        <v>273</v>
      </c>
    </row>
    <row r="29" spans="1:38">
      <c r="A29" s="470" t="s">
        <v>236</v>
      </c>
      <c r="B29" s="470">
        <v>842</v>
      </c>
      <c r="C29" s="470">
        <v>1065</v>
      </c>
      <c r="D29" s="470">
        <v>1064</v>
      </c>
      <c r="E29" s="470">
        <v>1061</v>
      </c>
      <c r="F29" s="470">
        <v>1251</v>
      </c>
      <c r="G29" s="470">
        <v>1382</v>
      </c>
      <c r="H29" s="470">
        <v>1308</v>
      </c>
      <c r="I29" s="470">
        <v>288</v>
      </c>
      <c r="J29" s="470">
        <v>388</v>
      </c>
      <c r="K29" s="470">
        <v>316</v>
      </c>
      <c r="L29" s="470">
        <v>295</v>
      </c>
      <c r="M29" s="470">
        <v>435</v>
      </c>
      <c r="N29" s="470">
        <v>459</v>
      </c>
      <c r="O29" s="470">
        <v>415</v>
      </c>
      <c r="P29" s="470">
        <v>451</v>
      </c>
      <c r="Q29" s="470">
        <v>503</v>
      </c>
      <c r="R29" s="470">
        <v>661</v>
      </c>
      <c r="S29" s="470">
        <v>957</v>
      </c>
      <c r="T29" s="470">
        <v>1086</v>
      </c>
      <c r="U29" s="470">
        <v>2214</v>
      </c>
      <c r="V29" s="470">
        <v>6188</v>
      </c>
      <c r="W29" s="470">
        <v>25451</v>
      </c>
      <c r="X29" s="470">
        <v>26284</v>
      </c>
      <c r="Y29" s="470">
        <v>21216</v>
      </c>
      <c r="Z29" s="470">
        <v>29319</v>
      </c>
      <c r="AA29" s="470">
        <v>32348</v>
      </c>
      <c r="AB29" s="470">
        <v>45427</v>
      </c>
      <c r="AC29" s="470">
        <v>70907</v>
      </c>
      <c r="AD29" s="470">
        <v>91878</v>
      </c>
      <c r="AE29" s="470">
        <v>90601</v>
      </c>
      <c r="AF29" s="470">
        <v>57737</v>
      </c>
      <c r="AG29" s="470">
        <v>38390</v>
      </c>
      <c r="AH29" s="470">
        <v>25006</v>
      </c>
      <c r="AI29" s="470">
        <v>30586</v>
      </c>
      <c r="AJ29" s="470">
        <v>40300</v>
      </c>
      <c r="AK29" s="470">
        <v>43678</v>
      </c>
      <c r="AL29" s="470">
        <v>51231</v>
      </c>
    </row>
    <row r="30" spans="1:38">
      <c r="A30" s="470" t="s">
        <v>487</v>
      </c>
      <c r="B30" s="470" t="s">
        <v>273</v>
      </c>
      <c r="C30" s="470" t="s">
        <v>273</v>
      </c>
      <c r="D30" s="470" t="s">
        <v>273</v>
      </c>
      <c r="E30" s="470" t="s">
        <v>273</v>
      </c>
      <c r="F30" s="470" t="s">
        <v>273</v>
      </c>
      <c r="G30" s="470" t="s">
        <v>273</v>
      </c>
      <c r="H30" s="470" t="s">
        <v>273</v>
      </c>
      <c r="I30" s="470">
        <v>0</v>
      </c>
      <c r="J30" s="470">
        <v>0</v>
      </c>
      <c r="K30" s="470">
        <v>0</v>
      </c>
      <c r="L30" s="470">
        <v>0</v>
      </c>
      <c r="M30" s="470">
        <v>0</v>
      </c>
      <c r="N30" s="470">
        <v>1</v>
      </c>
      <c r="O30" s="470">
        <v>0</v>
      </c>
      <c r="P30" s="470">
        <v>0</v>
      </c>
      <c r="Q30" s="470">
        <v>0</v>
      </c>
      <c r="R30" s="470">
        <v>0</v>
      </c>
      <c r="S30" s="470">
        <v>0</v>
      </c>
      <c r="T30" s="470">
        <v>0</v>
      </c>
      <c r="U30" s="470">
        <v>0</v>
      </c>
      <c r="V30" s="470">
        <v>0</v>
      </c>
      <c r="W30" s="470">
        <v>0</v>
      </c>
      <c r="X30" s="470">
        <v>0</v>
      </c>
      <c r="Y30" s="470">
        <v>0</v>
      </c>
      <c r="Z30" s="470">
        <v>1</v>
      </c>
      <c r="AA30" s="470" t="s">
        <v>306</v>
      </c>
      <c r="AB30" s="470">
        <v>0</v>
      </c>
      <c r="AC30" s="470" t="s">
        <v>273</v>
      </c>
      <c r="AD30" s="470">
        <v>0</v>
      </c>
      <c r="AE30" s="470">
        <v>0</v>
      </c>
      <c r="AF30" s="470">
        <v>0</v>
      </c>
      <c r="AG30" s="470">
        <v>0</v>
      </c>
      <c r="AH30" s="470" t="s">
        <v>306</v>
      </c>
      <c r="AI30" s="470">
        <v>0</v>
      </c>
      <c r="AJ30" s="470" t="s">
        <v>306</v>
      </c>
      <c r="AK30" s="470" t="s">
        <v>306</v>
      </c>
      <c r="AL30" s="470">
        <v>1</v>
      </c>
    </row>
    <row r="31" spans="1:38">
      <c r="A31" s="470" t="s">
        <v>486</v>
      </c>
      <c r="B31" s="470">
        <v>0</v>
      </c>
      <c r="C31" s="470">
        <v>0</v>
      </c>
      <c r="D31" s="470">
        <v>1</v>
      </c>
      <c r="E31" s="470">
        <v>1</v>
      </c>
      <c r="F31" s="470">
        <v>1</v>
      </c>
      <c r="G31" s="470">
        <v>1</v>
      </c>
      <c r="H31" s="470">
        <v>3</v>
      </c>
      <c r="I31" s="470">
        <v>1</v>
      </c>
      <c r="J31" s="470">
        <v>1</v>
      </c>
      <c r="K31" s="470">
        <v>1</v>
      </c>
      <c r="L31" s="470">
        <v>1</v>
      </c>
      <c r="M31" s="470">
        <v>1</v>
      </c>
      <c r="N31" s="470">
        <v>0</v>
      </c>
      <c r="O31" s="470">
        <v>0</v>
      </c>
      <c r="P31" s="470">
        <v>0</v>
      </c>
      <c r="Q31" s="470">
        <v>0</v>
      </c>
      <c r="R31" s="470">
        <v>0</v>
      </c>
      <c r="S31" s="470" t="s">
        <v>273</v>
      </c>
      <c r="T31" s="470" t="s">
        <v>273</v>
      </c>
      <c r="U31" s="470" t="s">
        <v>273</v>
      </c>
      <c r="V31" s="470" t="s">
        <v>273</v>
      </c>
      <c r="W31" s="470" t="s">
        <v>273</v>
      </c>
      <c r="X31" s="470" t="s">
        <v>273</v>
      </c>
      <c r="Y31" s="470" t="s">
        <v>273</v>
      </c>
      <c r="Z31" s="470" t="s">
        <v>273</v>
      </c>
      <c r="AA31" s="470" t="s">
        <v>273</v>
      </c>
      <c r="AB31" s="470" t="s">
        <v>273</v>
      </c>
      <c r="AC31" s="470" t="s">
        <v>273</v>
      </c>
      <c r="AD31" s="470" t="s">
        <v>273</v>
      </c>
      <c r="AE31" s="470" t="s">
        <v>273</v>
      </c>
      <c r="AF31" s="470" t="s">
        <v>273</v>
      </c>
      <c r="AG31" s="470" t="s">
        <v>273</v>
      </c>
      <c r="AH31" s="470" t="s">
        <v>273</v>
      </c>
      <c r="AI31" s="470" t="s">
        <v>273</v>
      </c>
      <c r="AJ31" s="470" t="s">
        <v>273</v>
      </c>
      <c r="AK31" s="470" t="s">
        <v>273</v>
      </c>
      <c r="AL31" s="470" t="s">
        <v>273</v>
      </c>
    </row>
    <row r="32" spans="1:38">
      <c r="A32" s="470" t="s">
        <v>1444</v>
      </c>
      <c r="B32" s="470">
        <v>134</v>
      </c>
      <c r="C32" s="470">
        <v>141</v>
      </c>
      <c r="D32" s="470">
        <v>140</v>
      </c>
      <c r="E32" s="470">
        <v>210</v>
      </c>
      <c r="F32" s="470">
        <v>243</v>
      </c>
      <c r="G32" s="470">
        <v>127</v>
      </c>
      <c r="H32" s="470">
        <v>118</v>
      </c>
      <c r="I32" s="470" t="s">
        <v>273</v>
      </c>
      <c r="J32" s="470" t="s">
        <v>273</v>
      </c>
      <c r="K32" s="470" t="s">
        <v>273</v>
      </c>
      <c r="L32" s="470" t="s">
        <v>273</v>
      </c>
      <c r="M32" s="470" t="s">
        <v>273</v>
      </c>
      <c r="N32" s="470" t="s">
        <v>273</v>
      </c>
      <c r="O32" s="470" t="s">
        <v>273</v>
      </c>
      <c r="P32" s="470" t="s">
        <v>273</v>
      </c>
      <c r="Q32" s="470" t="s">
        <v>273</v>
      </c>
      <c r="R32" s="470" t="s">
        <v>273</v>
      </c>
      <c r="S32" s="470" t="s">
        <v>273</v>
      </c>
      <c r="T32" s="470" t="s">
        <v>273</v>
      </c>
      <c r="U32" s="470" t="s">
        <v>273</v>
      </c>
      <c r="V32" s="470" t="s">
        <v>273</v>
      </c>
      <c r="W32" s="470" t="s">
        <v>273</v>
      </c>
      <c r="X32" s="470" t="s">
        <v>273</v>
      </c>
      <c r="Y32" s="470" t="s">
        <v>273</v>
      </c>
      <c r="Z32" s="470" t="s">
        <v>273</v>
      </c>
      <c r="AA32" s="470" t="s">
        <v>273</v>
      </c>
      <c r="AB32" s="470" t="s">
        <v>273</v>
      </c>
      <c r="AC32" s="470" t="s">
        <v>273</v>
      </c>
      <c r="AD32" s="470" t="s">
        <v>273</v>
      </c>
      <c r="AE32" s="470" t="s">
        <v>273</v>
      </c>
      <c r="AF32" s="470" t="s">
        <v>273</v>
      </c>
      <c r="AG32" s="470" t="s">
        <v>273</v>
      </c>
      <c r="AH32" s="470" t="s">
        <v>273</v>
      </c>
      <c r="AI32" s="470" t="s">
        <v>273</v>
      </c>
      <c r="AJ32" s="470" t="s">
        <v>273</v>
      </c>
      <c r="AK32" s="470" t="s">
        <v>273</v>
      </c>
      <c r="AL32" s="470" t="s">
        <v>273</v>
      </c>
    </row>
    <row r="33" spans="1:38">
      <c r="A33" s="470" t="s">
        <v>485</v>
      </c>
      <c r="B33" s="470" t="s">
        <v>273</v>
      </c>
      <c r="C33" s="470" t="s">
        <v>273</v>
      </c>
      <c r="D33" s="470" t="s">
        <v>273</v>
      </c>
      <c r="E33" s="470" t="s">
        <v>273</v>
      </c>
      <c r="F33" s="470" t="s">
        <v>273</v>
      </c>
      <c r="G33" s="470" t="s">
        <v>273</v>
      </c>
      <c r="H33" s="470" t="s">
        <v>273</v>
      </c>
      <c r="I33" s="470" t="s">
        <v>273</v>
      </c>
      <c r="J33" s="470" t="s">
        <v>273</v>
      </c>
      <c r="K33" s="470" t="s">
        <v>273</v>
      </c>
      <c r="L33" s="470" t="s">
        <v>273</v>
      </c>
      <c r="M33" s="470" t="s">
        <v>273</v>
      </c>
      <c r="N33" s="470">
        <v>0</v>
      </c>
      <c r="O33" s="470">
        <v>0</v>
      </c>
      <c r="P33" s="470">
        <v>0</v>
      </c>
      <c r="Q33" s="470">
        <v>0</v>
      </c>
      <c r="R33" s="470">
        <v>0</v>
      </c>
      <c r="S33" s="470" t="s">
        <v>306</v>
      </c>
      <c r="T33" s="470" t="s">
        <v>306</v>
      </c>
      <c r="U33" s="470" t="s">
        <v>306</v>
      </c>
      <c r="V33" s="470" t="s">
        <v>306</v>
      </c>
      <c r="W33" s="470" t="s">
        <v>306</v>
      </c>
      <c r="X33" s="470">
        <v>0</v>
      </c>
      <c r="Y33" s="470">
        <v>0</v>
      </c>
      <c r="Z33" s="470" t="s">
        <v>273</v>
      </c>
      <c r="AA33" s="470" t="s">
        <v>273</v>
      </c>
      <c r="AB33" s="470" t="s">
        <v>273</v>
      </c>
      <c r="AC33" s="470" t="s">
        <v>273</v>
      </c>
      <c r="AD33" s="470">
        <v>0</v>
      </c>
      <c r="AE33" s="470">
        <v>0</v>
      </c>
      <c r="AF33" s="470">
        <v>0</v>
      </c>
      <c r="AG33" s="470">
        <v>0</v>
      </c>
      <c r="AH33" s="470">
        <v>1</v>
      </c>
      <c r="AI33" s="470">
        <v>1</v>
      </c>
      <c r="AJ33" s="470">
        <v>2</v>
      </c>
      <c r="AK33" s="470">
        <v>2</v>
      </c>
      <c r="AL33" s="470">
        <v>3</v>
      </c>
    </row>
    <row r="34" spans="1:38">
      <c r="A34" s="470" t="s">
        <v>484</v>
      </c>
      <c r="B34" s="470" t="s">
        <v>273</v>
      </c>
      <c r="C34" s="470" t="s">
        <v>273</v>
      </c>
      <c r="D34" s="470" t="s">
        <v>273</v>
      </c>
      <c r="E34" s="470" t="s">
        <v>273</v>
      </c>
      <c r="F34" s="470" t="s">
        <v>273</v>
      </c>
      <c r="G34" s="470" t="s">
        <v>273</v>
      </c>
      <c r="H34" s="470" t="s">
        <v>273</v>
      </c>
      <c r="I34" s="470" t="s">
        <v>273</v>
      </c>
      <c r="J34" s="470" t="s">
        <v>273</v>
      </c>
      <c r="K34" s="470" t="s">
        <v>273</v>
      </c>
      <c r="L34" s="470" t="s">
        <v>273</v>
      </c>
      <c r="M34" s="470" t="s">
        <v>273</v>
      </c>
      <c r="N34" s="470">
        <v>0</v>
      </c>
      <c r="O34" s="470">
        <v>0</v>
      </c>
      <c r="P34" s="470">
        <v>0</v>
      </c>
      <c r="Q34" s="470">
        <v>0</v>
      </c>
      <c r="R34" s="470">
        <v>0</v>
      </c>
      <c r="S34" s="470">
        <v>0</v>
      </c>
      <c r="T34" s="470">
        <v>0</v>
      </c>
      <c r="U34" s="470">
        <v>0</v>
      </c>
      <c r="V34" s="470">
        <v>-1</v>
      </c>
      <c r="W34" s="470">
        <v>-1</v>
      </c>
      <c r="X34" s="470">
        <v>-4</v>
      </c>
      <c r="Y34" s="470">
        <v>-6</v>
      </c>
      <c r="Z34" s="470">
        <v>-9</v>
      </c>
      <c r="AA34" s="470" t="s">
        <v>291</v>
      </c>
      <c r="AB34" s="470" t="s">
        <v>291</v>
      </c>
      <c r="AC34" s="470" t="s">
        <v>291</v>
      </c>
      <c r="AD34" s="470" t="s">
        <v>291</v>
      </c>
      <c r="AE34" s="470">
        <v>-22</v>
      </c>
      <c r="AF34" s="470">
        <v>-17</v>
      </c>
      <c r="AG34" s="470" t="s">
        <v>291</v>
      </c>
      <c r="AH34" s="470" t="s">
        <v>291</v>
      </c>
      <c r="AI34" s="470">
        <v>-40</v>
      </c>
      <c r="AJ34" s="470" t="s">
        <v>291</v>
      </c>
      <c r="AK34" s="470" t="s">
        <v>291</v>
      </c>
      <c r="AL34" s="470">
        <v>-5</v>
      </c>
    </row>
    <row r="35" spans="1:38">
      <c r="A35" s="470" t="s">
        <v>483</v>
      </c>
      <c r="B35" s="470" t="s">
        <v>273</v>
      </c>
      <c r="C35" s="470" t="s">
        <v>273</v>
      </c>
      <c r="D35" s="470" t="s">
        <v>273</v>
      </c>
      <c r="E35" s="470" t="s">
        <v>273</v>
      </c>
      <c r="F35" s="470" t="s">
        <v>273</v>
      </c>
      <c r="G35" s="470" t="s">
        <v>273</v>
      </c>
      <c r="H35" s="470" t="s">
        <v>273</v>
      </c>
      <c r="I35" s="470" t="s">
        <v>273</v>
      </c>
      <c r="J35" s="470" t="s">
        <v>273</v>
      </c>
      <c r="K35" s="470" t="s">
        <v>273</v>
      </c>
      <c r="L35" s="470" t="s">
        <v>273</v>
      </c>
      <c r="M35" s="470" t="s">
        <v>273</v>
      </c>
      <c r="N35" s="470">
        <v>0</v>
      </c>
      <c r="O35" s="470">
        <v>0</v>
      </c>
      <c r="P35" s="470">
        <v>0</v>
      </c>
      <c r="Q35" s="470">
        <v>0</v>
      </c>
      <c r="R35" s="470" t="s">
        <v>291</v>
      </c>
      <c r="S35" s="470" t="s">
        <v>291</v>
      </c>
      <c r="T35" s="470" t="s">
        <v>291</v>
      </c>
      <c r="U35" s="470" t="s">
        <v>291</v>
      </c>
      <c r="V35" s="470" t="s">
        <v>291</v>
      </c>
      <c r="W35" s="470" t="s">
        <v>291</v>
      </c>
      <c r="X35" s="470" t="s">
        <v>291</v>
      </c>
      <c r="Y35" s="470" t="s">
        <v>291</v>
      </c>
      <c r="Z35" s="470" t="s">
        <v>291</v>
      </c>
      <c r="AA35" s="470" t="s">
        <v>291</v>
      </c>
      <c r="AB35" s="470" t="s">
        <v>291</v>
      </c>
      <c r="AC35" s="470" t="s">
        <v>306</v>
      </c>
      <c r="AD35" s="470">
        <v>1</v>
      </c>
      <c r="AE35" s="470">
        <v>-1</v>
      </c>
      <c r="AF35" s="470">
        <v>-2</v>
      </c>
      <c r="AG35" s="470">
        <v>-2</v>
      </c>
      <c r="AH35" s="470">
        <v>-3</v>
      </c>
      <c r="AI35" s="470">
        <v>-4</v>
      </c>
      <c r="AJ35" s="470">
        <v>2</v>
      </c>
      <c r="AK35" s="470">
        <v>2</v>
      </c>
      <c r="AL35" s="470">
        <v>3</v>
      </c>
    </row>
    <row r="36" spans="1:38">
      <c r="A36" s="470" t="s">
        <v>482</v>
      </c>
      <c r="B36" s="470" t="s">
        <v>273</v>
      </c>
      <c r="C36" s="470" t="s">
        <v>273</v>
      </c>
      <c r="D36" s="470" t="s">
        <v>273</v>
      </c>
      <c r="E36" s="470" t="s">
        <v>273</v>
      </c>
      <c r="F36" s="470" t="s">
        <v>273</v>
      </c>
      <c r="G36" s="470" t="s">
        <v>273</v>
      </c>
      <c r="H36" s="470" t="s">
        <v>273</v>
      </c>
      <c r="I36" s="470" t="s">
        <v>273</v>
      </c>
      <c r="J36" s="470" t="s">
        <v>273</v>
      </c>
      <c r="K36" s="470" t="s">
        <v>273</v>
      </c>
      <c r="L36" s="470" t="s">
        <v>273</v>
      </c>
      <c r="M36" s="470" t="s">
        <v>273</v>
      </c>
      <c r="N36" s="470">
        <v>-4</v>
      </c>
      <c r="O36" s="470">
        <v>-3</v>
      </c>
      <c r="P36" s="470">
        <v>0</v>
      </c>
      <c r="Q36" s="470">
        <v>0</v>
      </c>
      <c r="R36" s="470">
        <v>0</v>
      </c>
      <c r="S36" s="470" t="s">
        <v>306</v>
      </c>
      <c r="T36" s="470">
        <v>0</v>
      </c>
      <c r="U36" s="470">
        <v>0</v>
      </c>
      <c r="V36" s="470">
        <v>0</v>
      </c>
      <c r="W36" s="470" t="s">
        <v>306</v>
      </c>
      <c r="X36" s="470">
        <v>0</v>
      </c>
      <c r="Y36" s="470">
        <v>0</v>
      </c>
      <c r="Z36" s="470" t="s">
        <v>273</v>
      </c>
      <c r="AA36" s="470" t="s">
        <v>273</v>
      </c>
      <c r="AB36" s="470">
        <v>0</v>
      </c>
      <c r="AC36" s="470" t="s">
        <v>273</v>
      </c>
      <c r="AD36" s="470" t="s">
        <v>273</v>
      </c>
      <c r="AE36" s="470" t="s">
        <v>273</v>
      </c>
      <c r="AF36" s="470" t="s">
        <v>273</v>
      </c>
      <c r="AG36" s="470" t="s">
        <v>273</v>
      </c>
      <c r="AH36" s="470" t="s">
        <v>306</v>
      </c>
      <c r="AI36" s="470" t="s">
        <v>306</v>
      </c>
      <c r="AJ36" s="470" t="s">
        <v>306</v>
      </c>
      <c r="AK36" s="470" t="s">
        <v>306</v>
      </c>
      <c r="AL36" s="470" t="s">
        <v>306</v>
      </c>
    </row>
    <row r="37" spans="1:38">
      <c r="A37" s="470" t="s">
        <v>481</v>
      </c>
      <c r="B37" s="470">
        <v>0</v>
      </c>
      <c r="C37" s="470">
        <v>0</v>
      </c>
      <c r="D37" s="470">
        <v>0</v>
      </c>
      <c r="E37" s="470">
        <v>0</v>
      </c>
      <c r="F37" s="470">
        <v>0</v>
      </c>
      <c r="G37" s="470">
        <v>0</v>
      </c>
      <c r="H37" s="470">
        <v>0</v>
      </c>
      <c r="I37" s="470">
        <v>0</v>
      </c>
      <c r="J37" s="470" t="s">
        <v>306</v>
      </c>
      <c r="K37" s="470" t="s">
        <v>306</v>
      </c>
      <c r="L37" s="470">
        <v>0</v>
      </c>
      <c r="M37" s="470">
        <v>0</v>
      </c>
      <c r="N37" s="470">
        <v>0</v>
      </c>
      <c r="O37" s="470">
        <v>0</v>
      </c>
      <c r="P37" s="470">
        <v>0</v>
      </c>
      <c r="Q37" s="470">
        <v>0</v>
      </c>
      <c r="R37" s="470">
        <v>-1</v>
      </c>
      <c r="S37" s="470" t="s">
        <v>306</v>
      </c>
      <c r="T37" s="470" t="s">
        <v>306</v>
      </c>
      <c r="U37" s="470" t="s">
        <v>306</v>
      </c>
      <c r="V37" s="470" t="s">
        <v>306</v>
      </c>
      <c r="W37" s="470" t="s">
        <v>306</v>
      </c>
      <c r="X37" s="470" t="s">
        <v>306</v>
      </c>
      <c r="Y37" s="470" t="s">
        <v>306</v>
      </c>
      <c r="Z37" s="470">
        <v>-2</v>
      </c>
      <c r="AA37" s="470" t="s">
        <v>306</v>
      </c>
      <c r="AB37" s="470">
        <v>1</v>
      </c>
      <c r="AC37" s="470">
        <v>0</v>
      </c>
      <c r="AD37" s="470" t="s">
        <v>306</v>
      </c>
      <c r="AE37" s="470" t="s">
        <v>306</v>
      </c>
      <c r="AF37" s="470">
        <v>1</v>
      </c>
      <c r="AG37" s="470" t="s">
        <v>306</v>
      </c>
      <c r="AH37" s="470" t="s">
        <v>306</v>
      </c>
      <c r="AI37" s="470" t="s">
        <v>291</v>
      </c>
      <c r="AJ37" s="470">
        <v>-4</v>
      </c>
      <c r="AK37" s="470" t="s">
        <v>291</v>
      </c>
      <c r="AL37" s="470" t="s">
        <v>291</v>
      </c>
    </row>
    <row r="38" spans="1:38">
      <c r="A38" s="470" t="s">
        <v>480</v>
      </c>
      <c r="B38" s="470" t="s">
        <v>273</v>
      </c>
      <c r="C38" s="470" t="s">
        <v>273</v>
      </c>
      <c r="D38" s="470" t="s">
        <v>273</v>
      </c>
      <c r="E38" s="470" t="s">
        <v>273</v>
      </c>
      <c r="F38" s="470" t="s">
        <v>273</v>
      </c>
      <c r="G38" s="470" t="s">
        <v>273</v>
      </c>
      <c r="H38" s="470" t="s">
        <v>273</v>
      </c>
      <c r="I38" s="470" t="s">
        <v>273</v>
      </c>
      <c r="J38" s="470" t="s">
        <v>273</v>
      </c>
      <c r="K38" s="470" t="s">
        <v>273</v>
      </c>
      <c r="L38" s="470" t="s">
        <v>273</v>
      </c>
      <c r="M38" s="470" t="s">
        <v>273</v>
      </c>
      <c r="N38" s="470">
        <v>0</v>
      </c>
      <c r="O38" s="470">
        <v>0</v>
      </c>
      <c r="P38" s="470">
        <v>0</v>
      </c>
      <c r="Q38" s="470">
        <v>0</v>
      </c>
      <c r="R38" s="470">
        <v>0</v>
      </c>
      <c r="S38" s="470">
        <v>1</v>
      </c>
      <c r="T38" s="470">
        <v>1</v>
      </c>
      <c r="U38" s="470">
        <v>1</v>
      </c>
      <c r="V38" s="470">
        <v>1</v>
      </c>
      <c r="W38" s="470">
        <v>1</v>
      </c>
      <c r="X38" s="470">
        <v>2</v>
      </c>
      <c r="Y38" s="470">
        <v>2</v>
      </c>
      <c r="Z38" s="470">
        <v>3</v>
      </c>
      <c r="AA38" s="470">
        <v>2</v>
      </c>
      <c r="AB38" s="470">
        <v>2</v>
      </c>
      <c r="AC38" s="470">
        <v>3</v>
      </c>
      <c r="AD38" s="470">
        <v>2</v>
      </c>
      <c r="AE38" s="470" t="s">
        <v>291</v>
      </c>
      <c r="AF38" s="470">
        <v>6</v>
      </c>
      <c r="AG38" s="470" t="s">
        <v>291</v>
      </c>
      <c r="AH38" s="470">
        <v>-12</v>
      </c>
      <c r="AI38" s="470" t="s">
        <v>291</v>
      </c>
      <c r="AJ38" s="470" t="s">
        <v>291</v>
      </c>
      <c r="AK38" s="470" t="s">
        <v>291</v>
      </c>
      <c r="AL38" s="470" t="s">
        <v>291</v>
      </c>
    </row>
    <row r="39" spans="1:38">
      <c r="A39" s="470" t="s">
        <v>479</v>
      </c>
      <c r="B39" s="470" t="s">
        <v>291</v>
      </c>
      <c r="C39" s="470">
        <v>0</v>
      </c>
      <c r="D39" s="470" t="s">
        <v>291</v>
      </c>
      <c r="E39" s="470" t="s">
        <v>306</v>
      </c>
      <c r="F39" s="470" t="s">
        <v>291</v>
      </c>
      <c r="G39" s="470" t="s">
        <v>291</v>
      </c>
      <c r="H39" s="470" t="s">
        <v>291</v>
      </c>
      <c r="I39" s="470">
        <v>1</v>
      </c>
      <c r="J39" s="470">
        <v>1</v>
      </c>
      <c r="K39" s="470" t="s">
        <v>291</v>
      </c>
      <c r="L39" s="470" t="s">
        <v>291</v>
      </c>
      <c r="M39" s="470" t="s">
        <v>291</v>
      </c>
      <c r="N39" s="470" t="s">
        <v>306</v>
      </c>
      <c r="O39" s="470">
        <v>1</v>
      </c>
      <c r="P39" s="470">
        <v>-1</v>
      </c>
      <c r="Q39" s="470">
        <v>1</v>
      </c>
      <c r="R39" s="470" t="s">
        <v>291</v>
      </c>
      <c r="S39" s="470">
        <v>6</v>
      </c>
      <c r="T39" s="470">
        <v>22</v>
      </c>
      <c r="U39" s="470" t="s">
        <v>291</v>
      </c>
      <c r="V39" s="470">
        <v>13</v>
      </c>
      <c r="W39" s="470">
        <v>14</v>
      </c>
      <c r="X39" s="470" t="s">
        <v>291</v>
      </c>
      <c r="Y39" s="470" t="s">
        <v>291</v>
      </c>
      <c r="Z39" s="470" t="s">
        <v>291</v>
      </c>
      <c r="AA39" s="470" t="s">
        <v>291</v>
      </c>
      <c r="AB39" s="470" t="s">
        <v>291</v>
      </c>
      <c r="AC39" s="470">
        <v>582</v>
      </c>
      <c r="AD39" s="470" t="s">
        <v>291</v>
      </c>
      <c r="AE39" s="470" t="s">
        <v>291</v>
      </c>
      <c r="AF39" s="470" t="s">
        <v>291</v>
      </c>
      <c r="AG39" s="470">
        <v>2644</v>
      </c>
      <c r="AH39" s="470">
        <v>2418</v>
      </c>
      <c r="AI39" s="470">
        <v>2580</v>
      </c>
      <c r="AJ39" s="470">
        <v>2450</v>
      </c>
      <c r="AK39" s="470">
        <v>2600</v>
      </c>
      <c r="AL39" s="470">
        <v>2218</v>
      </c>
    </row>
    <row r="40" spans="1:38">
      <c r="A40" s="470" t="s">
        <v>478</v>
      </c>
      <c r="B40" s="470" t="s">
        <v>273</v>
      </c>
      <c r="C40" s="470" t="s">
        <v>273</v>
      </c>
      <c r="D40" s="470" t="s">
        <v>273</v>
      </c>
      <c r="E40" s="470" t="s">
        <v>273</v>
      </c>
      <c r="F40" s="470" t="s">
        <v>273</v>
      </c>
      <c r="G40" s="470" t="s">
        <v>273</v>
      </c>
      <c r="H40" s="470" t="s">
        <v>273</v>
      </c>
      <c r="I40" s="470" t="s">
        <v>273</v>
      </c>
      <c r="J40" s="470" t="s">
        <v>273</v>
      </c>
      <c r="K40" s="470" t="s">
        <v>273</v>
      </c>
      <c r="L40" s="470" t="s">
        <v>273</v>
      </c>
      <c r="M40" s="470" t="s">
        <v>273</v>
      </c>
      <c r="N40" s="470" t="s">
        <v>273</v>
      </c>
      <c r="O40" s="470">
        <v>0</v>
      </c>
      <c r="P40" s="470">
        <v>0</v>
      </c>
      <c r="Q40" s="470">
        <v>0</v>
      </c>
      <c r="R40" s="470">
        <v>-1</v>
      </c>
      <c r="S40" s="470">
        <v>-2</v>
      </c>
      <c r="T40" s="470">
        <v>-2</v>
      </c>
      <c r="U40" s="470">
        <v>-3</v>
      </c>
      <c r="V40" s="470" t="s">
        <v>291</v>
      </c>
      <c r="W40" s="470">
        <v>-9</v>
      </c>
      <c r="X40" s="470">
        <v>11</v>
      </c>
      <c r="Y40" s="470">
        <v>10</v>
      </c>
      <c r="Z40" s="470">
        <v>53</v>
      </c>
      <c r="AA40" s="470">
        <v>54</v>
      </c>
      <c r="AB40" s="470">
        <v>29</v>
      </c>
      <c r="AC40" s="470">
        <v>13</v>
      </c>
      <c r="AD40" s="470">
        <v>16</v>
      </c>
      <c r="AE40" s="470">
        <v>31</v>
      </c>
      <c r="AF40" s="470">
        <v>65</v>
      </c>
      <c r="AG40" s="470">
        <v>91</v>
      </c>
      <c r="AH40" s="470">
        <v>63</v>
      </c>
      <c r="AI40" s="470">
        <v>88</v>
      </c>
      <c r="AJ40" s="470">
        <v>84</v>
      </c>
      <c r="AK40" s="470">
        <v>108</v>
      </c>
      <c r="AL40" s="470">
        <v>101</v>
      </c>
    </row>
    <row r="41" spans="1:38">
      <c r="A41" s="470" t="s">
        <v>477</v>
      </c>
      <c r="B41" s="470">
        <v>0</v>
      </c>
      <c r="C41" s="470">
        <v>0</v>
      </c>
      <c r="D41" s="470">
        <v>0</v>
      </c>
      <c r="E41" s="470">
        <v>0</v>
      </c>
      <c r="F41" s="470">
        <v>1</v>
      </c>
      <c r="G41" s="470">
        <v>1</v>
      </c>
      <c r="H41" s="470">
        <v>1</v>
      </c>
      <c r="I41" s="470">
        <v>0</v>
      </c>
      <c r="J41" s="470">
        <v>0</v>
      </c>
      <c r="K41" s="470">
        <v>0</v>
      </c>
      <c r="L41" s="470">
        <v>0</v>
      </c>
      <c r="M41" s="470">
        <v>0</v>
      </c>
      <c r="N41" s="470" t="s">
        <v>306</v>
      </c>
      <c r="O41" s="470" t="s">
        <v>273</v>
      </c>
      <c r="P41" s="470" t="s">
        <v>517</v>
      </c>
      <c r="Q41" s="470" t="s">
        <v>517</v>
      </c>
      <c r="R41" s="470" t="s">
        <v>517</v>
      </c>
      <c r="S41" s="470" t="s">
        <v>273</v>
      </c>
      <c r="T41" s="470" t="s">
        <v>273</v>
      </c>
      <c r="U41" s="470" t="s">
        <v>273</v>
      </c>
      <c r="V41" s="470" t="s">
        <v>273</v>
      </c>
      <c r="W41" s="470" t="s">
        <v>273</v>
      </c>
      <c r="X41" s="470" t="s">
        <v>273</v>
      </c>
      <c r="Y41" s="470" t="s">
        <v>273</v>
      </c>
      <c r="Z41" s="470" t="s">
        <v>273</v>
      </c>
      <c r="AA41" s="470" t="s">
        <v>273</v>
      </c>
      <c r="AB41" s="470" t="s">
        <v>273</v>
      </c>
      <c r="AC41" s="470" t="s">
        <v>273</v>
      </c>
      <c r="AD41" s="470" t="s">
        <v>273</v>
      </c>
      <c r="AE41" s="470" t="s">
        <v>273</v>
      </c>
      <c r="AF41" s="470" t="s">
        <v>273</v>
      </c>
      <c r="AG41" s="470" t="s">
        <v>273</v>
      </c>
      <c r="AH41" s="470" t="s">
        <v>273</v>
      </c>
      <c r="AI41" s="470" t="s">
        <v>273</v>
      </c>
      <c r="AJ41" s="470" t="s">
        <v>273</v>
      </c>
      <c r="AK41" s="470" t="s">
        <v>273</v>
      </c>
      <c r="AL41" s="470" t="s">
        <v>273</v>
      </c>
    </row>
    <row r="42" spans="1:38">
      <c r="A42" s="470" t="s">
        <v>1443</v>
      </c>
      <c r="B42" s="470">
        <v>34</v>
      </c>
      <c r="C42" s="470">
        <v>40</v>
      </c>
      <c r="D42" s="470">
        <v>53</v>
      </c>
      <c r="E42" s="470">
        <v>67</v>
      </c>
      <c r="F42" s="470">
        <v>164</v>
      </c>
      <c r="G42" s="470">
        <v>220</v>
      </c>
      <c r="H42" s="470">
        <v>195</v>
      </c>
      <c r="I42" s="470" t="s">
        <v>273</v>
      </c>
      <c r="J42" s="470" t="s">
        <v>273</v>
      </c>
      <c r="K42" s="470" t="s">
        <v>273</v>
      </c>
      <c r="L42" s="470" t="s">
        <v>273</v>
      </c>
      <c r="M42" s="470" t="s">
        <v>273</v>
      </c>
      <c r="N42" s="470" t="s">
        <v>273</v>
      </c>
      <c r="O42" s="470" t="s">
        <v>273</v>
      </c>
      <c r="P42" s="470" t="s">
        <v>273</v>
      </c>
      <c r="Q42" s="470" t="s">
        <v>273</v>
      </c>
      <c r="R42" s="470" t="s">
        <v>273</v>
      </c>
      <c r="S42" s="470" t="s">
        <v>273</v>
      </c>
      <c r="T42" s="470" t="s">
        <v>273</v>
      </c>
      <c r="U42" s="470" t="s">
        <v>273</v>
      </c>
      <c r="V42" s="470" t="s">
        <v>273</v>
      </c>
      <c r="W42" s="470" t="s">
        <v>273</v>
      </c>
      <c r="X42" s="470" t="s">
        <v>273</v>
      </c>
      <c r="Y42" s="470" t="s">
        <v>273</v>
      </c>
      <c r="Z42" s="470" t="s">
        <v>273</v>
      </c>
      <c r="AA42" s="470" t="s">
        <v>273</v>
      </c>
      <c r="AB42" s="470" t="s">
        <v>273</v>
      </c>
      <c r="AC42" s="470" t="s">
        <v>273</v>
      </c>
      <c r="AD42" s="470" t="s">
        <v>273</v>
      </c>
      <c r="AE42" s="470" t="s">
        <v>273</v>
      </c>
      <c r="AF42" s="470" t="s">
        <v>273</v>
      </c>
      <c r="AG42" s="470" t="s">
        <v>273</v>
      </c>
      <c r="AH42" s="470" t="s">
        <v>273</v>
      </c>
      <c r="AI42" s="470" t="s">
        <v>273</v>
      </c>
      <c r="AJ42" s="470" t="s">
        <v>273</v>
      </c>
      <c r="AK42" s="470" t="s">
        <v>273</v>
      </c>
      <c r="AL42" s="470" t="s">
        <v>273</v>
      </c>
    </row>
    <row r="43" spans="1:38">
      <c r="A43" s="470" t="s">
        <v>476</v>
      </c>
      <c r="B43" s="470" t="s">
        <v>273</v>
      </c>
      <c r="C43" s="470" t="s">
        <v>273</v>
      </c>
      <c r="D43" s="470" t="s">
        <v>273</v>
      </c>
      <c r="E43" s="470" t="s">
        <v>273</v>
      </c>
      <c r="F43" s="470" t="s">
        <v>273</v>
      </c>
      <c r="G43" s="470" t="s">
        <v>273</v>
      </c>
      <c r="H43" s="470" t="s">
        <v>273</v>
      </c>
      <c r="I43" s="470" t="s">
        <v>273</v>
      </c>
      <c r="J43" s="470" t="s">
        <v>273</v>
      </c>
      <c r="K43" s="470" t="s">
        <v>273</v>
      </c>
      <c r="L43" s="470" t="s">
        <v>273</v>
      </c>
      <c r="M43" s="470">
        <v>0</v>
      </c>
      <c r="N43" s="470">
        <v>0</v>
      </c>
      <c r="O43" s="470">
        <v>0</v>
      </c>
      <c r="P43" s="470">
        <v>0</v>
      </c>
      <c r="Q43" s="470">
        <v>0</v>
      </c>
      <c r="R43" s="470">
        <v>0</v>
      </c>
      <c r="S43" s="470">
        <v>0</v>
      </c>
      <c r="T43" s="470">
        <v>0</v>
      </c>
      <c r="U43" s="470">
        <v>0</v>
      </c>
      <c r="V43" s="470">
        <v>2</v>
      </c>
      <c r="W43" s="470">
        <v>1</v>
      </c>
      <c r="X43" s="470">
        <v>1</v>
      </c>
      <c r="Y43" s="470" t="s">
        <v>306</v>
      </c>
      <c r="Z43" s="470">
        <v>0</v>
      </c>
      <c r="AA43" s="470" t="s">
        <v>306</v>
      </c>
      <c r="AB43" s="470" t="s">
        <v>306</v>
      </c>
      <c r="AC43" s="470">
        <v>-4</v>
      </c>
      <c r="AD43" s="470">
        <v>-6</v>
      </c>
      <c r="AE43" s="470">
        <v>-6</v>
      </c>
      <c r="AF43" s="470">
        <v>-6</v>
      </c>
      <c r="AG43" s="470">
        <v>-5</v>
      </c>
      <c r="AH43" s="470">
        <v>-4</v>
      </c>
      <c r="AI43" s="470">
        <v>-5</v>
      </c>
      <c r="AJ43" s="470">
        <v>-5</v>
      </c>
      <c r="AK43" s="470">
        <v>-5</v>
      </c>
      <c r="AL43" s="470" t="s">
        <v>291</v>
      </c>
    </row>
    <row r="44" spans="1:38">
      <c r="A44" s="470" t="s">
        <v>475</v>
      </c>
      <c r="B44" s="470" t="s">
        <v>273</v>
      </c>
      <c r="C44" s="470" t="s">
        <v>273</v>
      </c>
      <c r="D44" s="470" t="s">
        <v>273</v>
      </c>
      <c r="E44" s="470" t="s">
        <v>273</v>
      </c>
      <c r="F44" s="470" t="s">
        <v>273</v>
      </c>
      <c r="G44" s="470" t="s">
        <v>273</v>
      </c>
      <c r="H44" s="470" t="s">
        <v>273</v>
      </c>
      <c r="I44" s="470" t="s">
        <v>273</v>
      </c>
      <c r="J44" s="470" t="s">
        <v>273</v>
      </c>
      <c r="K44" s="470" t="s">
        <v>273</v>
      </c>
      <c r="L44" s="470" t="s">
        <v>273</v>
      </c>
      <c r="M44" s="470" t="s">
        <v>273</v>
      </c>
      <c r="N44" s="470" t="s">
        <v>273</v>
      </c>
      <c r="O44" s="470" t="s">
        <v>273</v>
      </c>
      <c r="P44" s="470" t="s">
        <v>273</v>
      </c>
      <c r="Q44" s="470" t="s">
        <v>273</v>
      </c>
      <c r="R44" s="470" t="s">
        <v>273</v>
      </c>
      <c r="S44" s="470">
        <v>0</v>
      </c>
      <c r="T44" s="470">
        <v>0</v>
      </c>
      <c r="U44" s="470">
        <v>0</v>
      </c>
      <c r="V44" s="470">
        <v>0</v>
      </c>
      <c r="W44" s="470">
        <v>0</v>
      </c>
      <c r="X44" s="470">
        <v>-1</v>
      </c>
      <c r="Y44" s="470">
        <v>0</v>
      </c>
      <c r="Z44" s="470" t="s">
        <v>273</v>
      </c>
      <c r="AA44" s="470" t="s">
        <v>273</v>
      </c>
      <c r="AB44" s="470">
        <v>0</v>
      </c>
      <c r="AC44" s="470">
        <v>0</v>
      </c>
      <c r="AD44" s="470">
        <v>0</v>
      </c>
      <c r="AE44" s="470" t="s">
        <v>306</v>
      </c>
      <c r="AF44" s="470">
        <v>0</v>
      </c>
      <c r="AG44" s="470">
        <v>0</v>
      </c>
      <c r="AH44" s="470">
        <v>0</v>
      </c>
      <c r="AI44" s="470">
        <v>0</v>
      </c>
      <c r="AJ44" s="470">
        <v>0</v>
      </c>
      <c r="AK44" s="470">
        <v>-1</v>
      </c>
      <c r="AL44" s="470">
        <v>0</v>
      </c>
    </row>
    <row r="45" spans="1:38">
      <c r="A45" s="470" t="s">
        <v>474</v>
      </c>
      <c r="B45" s="470">
        <v>3</v>
      </c>
      <c r="C45" s="470">
        <v>3</v>
      </c>
      <c r="D45" s="470">
        <v>3</v>
      </c>
      <c r="E45" s="470">
        <v>3</v>
      </c>
      <c r="F45" s="470">
        <v>3</v>
      </c>
      <c r="G45" s="470">
        <v>3</v>
      </c>
      <c r="H45" s="470">
        <v>3</v>
      </c>
      <c r="I45" s="470" t="s">
        <v>291</v>
      </c>
      <c r="J45" s="470" t="s">
        <v>291</v>
      </c>
      <c r="K45" s="470" t="s">
        <v>291</v>
      </c>
      <c r="L45" s="470">
        <v>62</v>
      </c>
      <c r="M45" s="470">
        <v>61</v>
      </c>
      <c r="N45" s="470" t="s">
        <v>291</v>
      </c>
      <c r="O45" s="470" t="s">
        <v>291</v>
      </c>
      <c r="P45" s="470">
        <v>14</v>
      </c>
      <c r="Q45" s="470" t="s">
        <v>291</v>
      </c>
      <c r="R45" s="470" t="s">
        <v>291</v>
      </c>
      <c r="S45" s="470" t="s">
        <v>291</v>
      </c>
      <c r="T45" s="470" t="s">
        <v>291</v>
      </c>
      <c r="U45" s="470" t="s">
        <v>291</v>
      </c>
      <c r="V45" s="470" t="s">
        <v>291</v>
      </c>
      <c r="W45" s="470" t="s">
        <v>291</v>
      </c>
      <c r="X45" s="470" t="s">
        <v>291</v>
      </c>
      <c r="Y45" s="470" t="s">
        <v>291</v>
      </c>
      <c r="Z45" s="470" t="s">
        <v>291</v>
      </c>
      <c r="AA45" s="470" t="s">
        <v>291</v>
      </c>
      <c r="AB45" s="470">
        <v>4307</v>
      </c>
      <c r="AC45" s="470" t="s">
        <v>291</v>
      </c>
      <c r="AD45" s="470" t="s">
        <v>291</v>
      </c>
      <c r="AE45" s="470" t="s">
        <v>291</v>
      </c>
      <c r="AF45" s="470" t="s">
        <v>291</v>
      </c>
      <c r="AG45" s="470">
        <v>547</v>
      </c>
      <c r="AH45" s="470">
        <v>737</v>
      </c>
      <c r="AI45" s="470">
        <v>655</v>
      </c>
      <c r="AJ45" s="470">
        <v>2931</v>
      </c>
      <c r="AK45" s="470">
        <v>14807</v>
      </c>
      <c r="AL45" s="470">
        <v>15016</v>
      </c>
    </row>
    <row r="46" spans="1:38">
      <c r="A46" s="470" t="s">
        <v>1442</v>
      </c>
      <c r="B46" s="470" t="s">
        <v>273</v>
      </c>
      <c r="C46" s="470" t="s">
        <v>273</v>
      </c>
      <c r="D46" s="470" t="s">
        <v>273</v>
      </c>
      <c r="E46" s="470" t="s">
        <v>273</v>
      </c>
      <c r="F46" s="470" t="s">
        <v>273</v>
      </c>
      <c r="G46" s="470" t="s">
        <v>273</v>
      </c>
      <c r="H46" s="470" t="s">
        <v>273</v>
      </c>
      <c r="I46" s="470">
        <v>91</v>
      </c>
      <c r="J46" s="470">
        <v>99</v>
      </c>
      <c r="K46" s="470">
        <v>96</v>
      </c>
      <c r="L46" s="470">
        <v>94</v>
      </c>
      <c r="M46" s="470">
        <v>52</v>
      </c>
      <c r="N46" s="470">
        <v>76</v>
      </c>
      <c r="O46" s="470">
        <v>73</v>
      </c>
      <c r="P46" s="470">
        <v>78</v>
      </c>
      <c r="Q46" s="470">
        <v>106</v>
      </c>
      <c r="R46" s="470">
        <v>115</v>
      </c>
      <c r="S46" s="470">
        <v>154</v>
      </c>
      <c r="T46" s="470">
        <v>165</v>
      </c>
      <c r="U46" s="470">
        <v>171</v>
      </c>
      <c r="V46" s="470">
        <v>659</v>
      </c>
      <c r="W46" s="470">
        <v>462</v>
      </c>
      <c r="X46" s="470">
        <v>526</v>
      </c>
      <c r="Y46" s="470">
        <v>962</v>
      </c>
      <c r="Z46" s="470">
        <v>1120</v>
      </c>
      <c r="AA46" s="470">
        <v>1302</v>
      </c>
      <c r="AB46" s="470" t="s">
        <v>291</v>
      </c>
      <c r="AC46" s="470">
        <v>445</v>
      </c>
      <c r="AD46" s="470" t="s">
        <v>291</v>
      </c>
      <c r="AE46" s="470">
        <v>126</v>
      </c>
      <c r="AF46" s="470">
        <v>-41</v>
      </c>
      <c r="AG46" s="470">
        <v>-197</v>
      </c>
      <c r="AH46" s="470">
        <v>-376</v>
      </c>
      <c r="AI46" s="470">
        <v>612</v>
      </c>
      <c r="AJ46" s="470">
        <v>605</v>
      </c>
      <c r="AK46" s="470">
        <v>638</v>
      </c>
      <c r="AL46" s="470">
        <v>684</v>
      </c>
    </row>
    <row r="47" spans="1:38">
      <c r="A47" s="470" t="s">
        <v>473</v>
      </c>
      <c r="B47" s="470" t="s">
        <v>273</v>
      </c>
      <c r="C47" s="470" t="s">
        <v>273</v>
      </c>
      <c r="D47" s="470" t="s">
        <v>273</v>
      </c>
      <c r="E47" s="470" t="s">
        <v>273</v>
      </c>
      <c r="F47" s="470" t="s">
        <v>273</v>
      </c>
      <c r="G47" s="470" t="s">
        <v>273</v>
      </c>
      <c r="H47" s="470" t="s">
        <v>273</v>
      </c>
      <c r="I47" s="470" t="s">
        <v>273</v>
      </c>
      <c r="J47" s="470" t="s">
        <v>273</v>
      </c>
      <c r="K47" s="470" t="s">
        <v>273</v>
      </c>
      <c r="L47" s="470" t="s">
        <v>273</v>
      </c>
      <c r="M47" s="470" t="s">
        <v>273</v>
      </c>
      <c r="N47" s="470" t="s">
        <v>273</v>
      </c>
      <c r="O47" s="470" t="s">
        <v>273</v>
      </c>
      <c r="P47" s="470" t="s">
        <v>273</v>
      </c>
      <c r="Q47" s="470" t="s">
        <v>273</v>
      </c>
      <c r="R47" s="470" t="s">
        <v>273</v>
      </c>
      <c r="S47" s="470">
        <v>0</v>
      </c>
      <c r="T47" s="470">
        <v>0</v>
      </c>
      <c r="U47" s="470">
        <v>0</v>
      </c>
      <c r="V47" s="470">
        <v>0</v>
      </c>
      <c r="W47" s="470">
        <v>0</v>
      </c>
      <c r="X47" s="470">
        <v>1</v>
      </c>
      <c r="Y47" s="470">
        <v>1</v>
      </c>
      <c r="Z47" s="470">
        <v>1</v>
      </c>
      <c r="AA47" s="470">
        <v>1</v>
      </c>
      <c r="AB47" s="470">
        <v>1</v>
      </c>
      <c r="AC47" s="470">
        <v>1</v>
      </c>
      <c r="AD47" s="470">
        <v>1</v>
      </c>
      <c r="AE47" s="470">
        <v>1</v>
      </c>
      <c r="AF47" s="470">
        <v>1</v>
      </c>
      <c r="AG47" s="470">
        <v>1</v>
      </c>
      <c r="AH47" s="470">
        <v>2</v>
      </c>
      <c r="AI47" s="470">
        <v>2</v>
      </c>
      <c r="AJ47" s="470">
        <v>2</v>
      </c>
      <c r="AK47" s="470">
        <v>2</v>
      </c>
      <c r="AL47" s="470">
        <v>2</v>
      </c>
    </row>
    <row r="48" spans="1:38">
      <c r="A48" s="470" t="s">
        <v>472</v>
      </c>
      <c r="B48" s="470">
        <v>6</v>
      </c>
      <c r="C48" s="470">
        <v>9</v>
      </c>
      <c r="D48" s="470">
        <v>8</v>
      </c>
      <c r="E48" s="470">
        <v>6</v>
      </c>
      <c r="F48" s="470">
        <v>9</v>
      </c>
      <c r="G48" s="470">
        <v>8</v>
      </c>
      <c r="H48" s="470">
        <v>9</v>
      </c>
      <c r="I48" s="470" t="s">
        <v>291</v>
      </c>
      <c r="J48" s="470" t="s">
        <v>291</v>
      </c>
      <c r="K48" s="470">
        <v>7</v>
      </c>
      <c r="L48" s="470" t="s">
        <v>291</v>
      </c>
      <c r="M48" s="470">
        <v>-1</v>
      </c>
      <c r="N48" s="470">
        <v>15</v>
      </c>
      <c r="O48" s="470">
        <v>13</v>
      </c>
      <c r="P48" s="470">
        <v>12</v>
      </c>
      <c r="Q48" s="470">
        <v>11</v>
      </c>
      <c r="R48" s="470">
        <v>5</v>
      </c>
      <c r="S48" s="470" t="s">
        <v>291</v>
      </c>
      <c r="T48" s="470">
        <v>190</v>
      </c>
      <c r="U48" s="470">
        <v>1000</v>
      </c>
      <c r="V48" s="470">
        <v>5287</v>
      </c>
      <c r="W48" s="470">
        <v>17805</v>
      </c>
      <c r="X48" s="470">
        <v>18779</v>
      </c>
      <c r="Y48" s="470">
        <v>16554</v>
      </c>
      <c r="Z48" s="470">
        <v>17154</v>
      </c>
      <c r="AA48" s="470">
        <v>19123</v>
      </c>
      <c r="AB48" s="470">
        <v>24020</v>
      </c>
      <c r="AC48" s="470">
        <v>47509</v>
      </c>
      <c r="AD48" s="470">
        <v>66302</v>
      </c>
      <c r="AE48" s="470">
        <v>70715</v>
      </c>
      <c r="AF48" s="470">
        <v>39266</v>
      </c>
      <c r="AG48" s="470">
        <v>18362</v>
      </c>
      <c r="AH48" s="470">
        <v>11080</v>
      </c>
      <c r="AI48" s="470">
        <v>11952</v>
      </c>
      <c r="AJ48" s="470">
        <v>20269</v>
      </c>
      <c r="AK48" s="470">
        <v>12126</v>
      </c>
      <c r="AL48" s="470">
        <v>11454</v>
      </c>
    </row>
    <row r="49" spans="1:38">
      <c r="A49" s="470" t="s">
        <v>471</v>
      </c>
      <c r="B49" s="470" t="s">
        <v>291</v>
      </c>
      <c r="C49" s="470">
        <v>31</v>
      </c>
      <c r="D49" s="470" t="s">
        <v>291</v>
      </c>
      <c r="E49" s="470" t="s">
        <v>291</v>
      </c>
      <c r="F49" s="470" t="s">
        <v>291</v>
      </c>
      <c r="G49" s="470" t="s">
        <v>291</v>
      </c>
      <c r="H49" s="470" t="s">
        <v>291</v>
      </c>
      <c r="I49" s="470" t="s">
        <v>291</v>
      </c>
      <c r="J49" s="470" t="s">
        <v>291</v>
      </c>
      <c r="K49" s="470" t="s">
        <v>291</v>
      </c>
      <c r="L49" s="470" t="s">
        <v>291</v>
      </c>
      <c r="M49" s="470" t="s">
        <v>291</v>
      </c>
      <c r="N49" s="470">
        <v>23</v>
      </c>
      <c r="O49" s="470" t="s">
        <v>291</v>
      </c>
      <c r="P49" s="470" t="s">
        <v>291</v>
      </c>
      <c r="Q49" s="470" t="s">
        <v>291</v>
      </c>
      <c r="R49" s="470" t="s">
        <v>291</v>
      </c>
      <c r="S49" s="470" t="s">
        <v>291</v>
      </c>
      <c r="T49" s="470">
        <v>65</v>
      </c>
      <c r="U49" s="470">
        <v>113</v>
      </c>
      <c r="V49" s="470">
        <v>81</v>
      </c>
      <c r="W49" s="470" t="s">
        <v>291</v>
      </c>
      <c r="X49" s="470" t="s">
        <v>291</v>
      </c>
      <c r="Y49" s="470">
        <v>2232</v>
      </c>
      <c r="Z49" s="470">
        <v>7868</v>
      </c>
      <c r="AA49" s="470">
        <v>8110</v>
      </c>
      <c r="AB49" s="470" t="s">
        <v>291</v>
      </c>
      <c r="AC49" s="470">
        <v>8685</v>
      </c>
      <c r="AD49" s="470">
        <v>7878</v>
      </c>
      <c r="AE49" s="470">
        <v>1420</v>
      </c>
      <c r="AF49" s="470" t="s">
        <v>291</v>
      </c>
      <c r="AG49" s="470">
        <v>2985</v>
      </c>
      <c r="AH49" s="470" t="s">
        <v>291</v>
      </c>
      <c r="AI49" s="470" t="s">
        <v>291</v>
      </c>
      <c r="AJ49" s="470" t="s">
        <v>291</v>
      </c>
      <c r="AK49" s="470" t="s">
        <v>291</v>
      </c>
      <c r="AL49" s="470">
        <v>7113</v>
      </c>
    </row>
    <row r="50" spans="1:38">
      <c r="A50" s="470" t="s">
        <v>470</v>
      </c>
      <c r="B50" s="470" t="s">
        <v>273</v>
      </c>
      <c r="C50" s="470" t="s">
        <v>273</v>
      </c>
      <c r="D50" s="470" t="s">
        <v>273</v>
      </c>
      <c r="E50" s="470" t="s">
        <v>273</v>
      </c>
      <c r="F50" s="470" t="s">
        <v>273</v>
      </c>
      <c r="G50" s="470" t="s">
        <v>273</v>
      </c>
      <c r="H50" s="470" t="s">
        <v>273</v>
      </c>
      <c r="I50" s="470" t="s">
        <v>273</v>
      </c>
      <c r="J50" s="470" t="s">
        <v>273</v>
      </c>
      <c r="K50" s="470" t="s">
        <v>273</v>
      </c>
      <c r="L50" s="470" t="s">
        <v>273</v>
      </c>
      <c r="M50" s="470" t="s">
        <v>273</v>
      </c>
      <c r="N50" s="470">
        <v>0</v>
      </c>
      <c r="O50" s="470">
        <v>0</v>
      </c>
      <c r="P50" s="470">
        <v>0</v>
      </c>
      <c r="Q50" s="470">
        <v>0</v>
      </c>
      <c r="R50" s="470">
        <v>0</v>
      </c>
      <c r="S50" s="470">
        <v>-1</v>
      </c>
      <c r="T50" s="470">
        <v>-3</v>
      </c>
      <c r="U50" s="470">
        <v>3</v>
      </c>
      <c r="V50" s="470" t="s">
        <v>306</v>
      </c>
      <c r="W50" s="470">
        <v>-1</v>
      </c>
      <c r="X50" s="470">
        <v>-1</v>
      </c>
      <c r="Y50" s="470">
        <v>0</v>
      </c>
      <c r="Z50" s="470">
        <v>1</v>
      </c>
      <c r="AA50" s="470">
        <v>2</v>
      </c>
      <c r="AB50" s="470">
        <v>-15</v>
      </c>
      <c r="AC50" s="470">
        <v>-37</v>
      </c>
      <c r="AD50" s="470" t="s">
        <v>291</v>
      </c>
      <c r="AE50" s="470">
        <v>-21</v>
      </c>
      <c r="AF50" s="470">
        <v>-17</v>
      </c>
      <c r="AG50" s="470">
        <v>-9</v>
      </c>
      <c r="AH50" s="470">
        <v>-2</v>
      </c>
      <c r="AI50" s="470" t="s">
        <v>291</v>
      </c>
      <c r="AJ50" s="470">
        <v>-40</v>
      </c>
      <c r="AK50" s="470">
        <v>1</v>
      </c>
      <c r="AL50" s="470">
        <v>-2</v>
      </c>
    </row>
    <row r="51" spans="1:38">
      <c r="A51" s="470" t="s">
        <v>469</v>
      </c>
      <c r="B51" s="470" t="s">
        <v>273</v>
      </c>
      <c r="C51" s="470" t="s">
        <v>273</v>
      </c>
      <c r="D51" s="470" t="s">
        <v>273</v>
      </c>
      <c r="E51" s="470" t="s">
        <v>273</v>
      </c>
      <c r="F51" s="470" t="s">
        <v>273</v>
      </c>
      <c r="G51" s="470" t="s">
        <v>273</v>
      </c>
      <c r="H51" s="470" t="s">
        <v>273</v>
      </c>
      <c r="I51" s="470" t="s">
        <v>273</v>
      </c>
      <c r="J51" s="470" t="s">
        <v>273</v>
      </c>
      <c r="K51" s="470" t="s">
        <v>273</v>
      </c>
      <c r="L51" s="470" t="s">
        <v>273</v>
      </c>
      <c r="M51" s="470" t="s">
        <v>273</v>
      </c>
      <c r="N51" s="470" t="s">
        <v>273</v>
      </c>
      <c r="O51" s="470" t="s">
        <v>273</v>
      </c>
      <c r="P51" s="470" t="s">
        <v>273</v>
      </c>
      <c r="Q51" s="470" t="s">
        <v>273</v>
      </c>
      <c r="R51" s="470" t="s">
        <v>273</v>
      </c>
      <c r="S51" s="470" t="s">
        <v>273</v>
      </c>
      <c r="T51" s="470" t="s">
        <v>273</v>
      </c>
      <c r="U51" s="470" t="s">
        <v>273</v>
      </c>
      <c r="V51" s="470" t="s">
        <v>273</v>
      </c>
      <c r="W51" s="470" t="s">
        <v>273</v>
      </c>
      <c r="X51" s="470" t="s">
        <v>273</v>
      </c>
      <c r="Y51" s="470" t="s">
        <v>273</v>
      </c>
      <c r="Z51" s="470">
        <v>0</v>
      </c>
      <c r="AA51" s="470">
        <v>0</v>
      </c>
      <c r="AB51" s="470">
        <v>0</v>
      </c>
      <c r="AC51" s="470">
        <v>0</v>
      </c>
      <c r="AD51" s="470" t="s">
        <v>306</v>
      </c>
      <c r="AE51" s="470">
        <v>0</v>
      </c>
      <c r="AF51" s="470">
        <v>0</v>
      </c>
      <c r="AG51" s="470">
        <v>0</v>
      </c>
      <c r="AH51" s="470">
        <v>0</v>
      </c>
      <c r="AI51" s="470">
        <v>0</v>
      </c>
      <c r="AJ51" s="470">
        <v>0</v>
      </c>
      <c r="AK51" s="470">
        <v>0</v>
      </c>
      <c r="AL51" s="470">
        <v>0</v>
      </c>
    </row>
    <row r="52" spans="1:38">
      <c r="A52" s="470" t="s">
        <v>468</v>
      </c>
      <c r="B52" s="470" t="s">
        <v>273</v>
      </c>
      <c r="C52" s="470" t="s">
        <v>273</v>
      </c>
      <c r="D52" s="470" t="s">
        <v>273</v>
      </c>
      <c r="E52" s="470" t="s">
        <v>273</v>
      </c>
      <c r="F52" s="470" t="s">
        <v>273</v>
      </c>
      <c r="G52" s="470" t="s">
        <v>273</v>
      </c>
      <c r="H52" s="470" t="s">
        <v>273</v>
      </c>
      <c r="I52" s="470" t="s">
        <v>273</v>
      </c>
      <c r="J52" s="470" t="s">
        <v>273</v>
      </c>
      <c r="K52" s="470" t="s">
        <v>273</v>
      </c>
      <c r="L52" s="470" t="s">
        <v>273</v>
      </c>
      <c r="M52" s="470">
        <v>0</v>
      </c>
      <c r="N52" s="470">
        <v>0</v>
      </c>
      <c r="O52" s="470">
        <v>0</v>
      </c>
      <c r="P52" s="470">
        <v>0</v>
      </c>
      <c r="Q52" s="470">
        <v>0</v>
      </c>
      <c r="R52" s="470">
        <v>0</v>
      </c>
      <c r="S52" s="470">
        <v>0</v>
      </c>
      <c r="T52" s="470">
        <v>0</v>
      </c>
      <c r="U52" s="470">
        <v>0</v>
      </c>
      <c r="V52" s="470" t="s">
        <v>306</v>
      </c>
      <c r="W52" s="470">
        <v>0</v>
      </c>
      <c r="X52" s="470">
        <v>0</v>
      </c>
      <c r="Y52" s="470">
        <v>0</v>
      </c>
      <c r="Z52" s="470">
        <v>-1</v>
      </c>
      <c r="AA52" s="470">
        <v>-1</v>
      </c>
      <c r="AB52" s="470">
        <v>-1</v>
      </c>
      <c r="AC52" s="470" t="s">
        <v>306</v>
      </c>
      <c r="AD52" s="470">
        <v>-1</v>
      </c>
      <c r="AE52" s="470">
        <v>-1</v>
      </c>
      <c r="AF52" s="470" t="s">
        <v>306</v>
      </c>
      <c r="AG52" s="470">
        <v>0</v>
      </c>
      <c r="AH52" s="470" t="s">
        <v>306</v>
      </c>
      <c r="AI52" s="470" t="s">
        <v>306</v>
      </c>
      <c r="AJ52" s="470" t="s">
        <v>291</v>
      </c>
      <c r="AK52" s="470" t="s">
        <v>306</v>
      </c>
      <c r="AL52" s="470" t="s">
        <v>306</v>
      </c>
    </row>
    <row r="53" spans="1:38">
      <c r="A53" s="470" t="s">
        <v>467</v>
      </c>
      <c r="B53" s="470">
        <v>197</v>
      </c>
      <c r="C53" s="470">
        <v>254</v>
      </c>
      <c r="D53" s="470">
        <v>214</v>
      </c>
      <c r="E53" s="470">
        <v>129</v>
      </c>
      <c r="F53" s="470">
        <v>170</v>
      </c>
      <c r="G53" s="470">
        <v>221</v>
      </c>
      <c r="H53" s="470">
        <v>230</v>
      </c>
      <c r="I53" s="470" t="s">
        <v>273</v>
      </c>
      <c r="J53" s="470" t="s">
        <v>273</v>
      </c>
      <c r="K53" s="470" t="s">
        <v>273</v>
      </c>
      <c r="L53" s="470" t="s">
        <v>273</v>
      </c>
      <c r="M53" s="470" t="s">
        <v>273</v>
      </c>
      <c r="N53" s="470" t="s">
        <v>273</v>
      </c>
      <c r="O53" s="470" t="s">
        <v>273</v>
      </c>
      <c r="P53" s="470" t="s">
        <v>273</v>
      </c>
      <c r="Q53" s="470" t="s">
        <v>273</v>
      </c>
      <c r="R53" s="470" t="s">
        <v>273</v>
      </c>
      <c r="S53" s="470">
        <v>206</v>
      </c>
      <c r="T53" s="470">
        <v>286</v>
      </c>
      <c r="U53" s="470">
        <v>287</v>
      </c>
      <c r="V53" s="470">
        <v>319</v>
      </c>
      <c r="W53" s="470">
        <v>248</v>
      </c>
      <c r="X53" s="470">
        <v>224</v>
      </c>
      <c r="Y53" s="470">
        <v>229</v>
      </c>
      <c r="Z53" s="470">
        <v>273</v>
      </c>
      <c r="AA53" s="470">
        <v>292</v>
      </c>
      <c r="AB53" s="470">
        <v>316</v>
      </c>
      <c r="AC53" s="470">
        <v>454</v>
      </c>
      <c r="AD53" s="470">
        <v>458</v>
      </c>
      <c r="AE53" s="470">
        <v>472</v>
      </c>
      <c r="AF53" s="470">
        <v>541</v>
      </c>
      <c r="AG53" s="470">
        <v>568</v>
      </c>
      <c r="AH53" s="470">
        <v>637</v>
      </c>
      <c r="AI53" s="470" t="s">
        <v>291</v>
      </c>
      <c r="AJ53" s="470" t="s">
        <v>291</v>
      </c>
      <c r="AK53" s="470" t="s">
        <v>291</v>
      </c>
      <c r="AL53" s="470">
        <v>849</v>
      </c>
    </row>
    <row r="54" spans="1:38">
      <c r="A54" s="470" t="s">
        <v>466</v>
      </c>
      <c r="B54" s="470" t="s">
        <v>273</v>
      </c>
      <c r="C54" s="470" t="s">
        <v>273</v>
      </c>
      <c r="D54" s="470" t="s">
        <v>273</v>
      </c>
      <c r="E54" s="470" t="s">
        <v>273</v>
      </c>
      <c r="F54" s="470" t="s">
        <v>273</v>
      </c>
      <c r="G54" s="470" t="s">
        <v>273</v>
      </c>
      <c r="H54" s="470" t="s">
        <v>273</v>
      </c>
      <c r="I54" s="470" t="s">
        <v>273</v>
      </c>
      <c r="J54" s="470" t="s">
        <v>273</v>
      </c>
      <c r="K54" s="470" t="s">
        <v>273</v>
      </c>
      <c r="L54" s="470" t="s">
        <v>273</v>
      </c>
      <c r="M54" s="470" t="s">
        <v>273</v>
      </c>
      <c r="N54" s="470" t="s">
        <v>273</v>
      </c>
      <c r="O54" s="470" t="s">
        <v>273</v>
      </c>
      <c r="P54" s="470" t="s">
        <v>273</v>
      </c>
      <c r="Q54" s="470" t="s">
        <v>273</v>
      </c>
      <c r="R54" s="470" t="s">
        <v>273</v>
      </c>
      <c r="S54" s="470">
        <v>0</v>
      </c>
      <c r="T54" s="470">
        <v>0</v>
      </c>
      <c r="U54" s="470">
        <v>0</v>
      </c>
      <c r="V54" s="470">
        <v>0</v>
      </c>
      <c r="W54" s="470">
        <v>0</v>
      </c>
      <c r="X54" s="470" t="s">
        <v>306</v>
      </c>
      <c r="Y54" s="470" t="s">
        <v>306</v>
      </c>
      <c r="Z54" s="470" t="s">
        <v>306</v>
      </c>
      <c r="AA54" s="470" t="s">
        <v>291</v>
      </c>
      <c r="AB54" s="470" t="s">
        <v>291</v>
      </c>
      <c r="AC54" s="470">
        <v>-5</v>
      </c>
      <c r="AD54" s="470">
        <v>-4</v>
      </c>
      <c r="AE54" s="470">
        <v>-9</v>
      </c>
      <c r="AF54" s="470">
        <v>-2</v>
      </c>
      <c r="AG54" s="470">
        <v>-4</v>
      </c>
      <c r="AH54" s="470">
        <v>-3</v>
      </c>
      <c r="AI54" s="470" t="s">
        <v>291</v>
      </c>
      <c r="AJ54" s="470" t="s">
        <v>291</v>
      </c>
      <c r="AK54" s="470" t="s">
        <v>291</v>
      </c>
      <c r="AL54" s="470" t="s">
        <v>291</v>
      </c>
    </row>
    <row r="55" spans="1:38">
      <c r="A55" s="470" t="s">
        <v>465</v>
      </c>
      <c r="B55" s="470" t="s">
        <v>273</v>
      </c>
      <c r="C55" s="470" t="s">
        <v>273</v>
      </c>
      <c r="D55" s="470" t="s">
        <v>273</v>
      </c>
      <c r="E55" s="470" t="s">
        <v>273</v>
      </c>
      <c r="F55" s="470" t="s">
        <v>273</v>
      </c>
      <c r="G55" s="470" t="s">
        <v>273</v>
      </c>
      <c r="H55" s="470" t="s">
        <v>273</v>
      </c>
      <c r="I55" s="470" t="s">
        <v>273</v>
      </c>
      <c r="J55" s="470" t="s">
        <v>273</v>
      </c>
      <c r="K55" s="470" t="s">
        <v>273</v>
      </c>
      <c r="L55" s="470" t="s">
        <v>273</v>
      </c>
      <c r="M55" s="470" t="s">
        <v>273</v>
      </c>
      <c r="N55" s="470" t="s">
        <v>273</v>
      </c>
      <c r="O55" s="470" t="s">
        <v>273</v>
      </c>
      <c r="P55" s="470" t="s">
        <v>273</v>
      </c>
      <c r="Q55" s="470" t="s">
        <v>273</v>
      </c>
      <c r="R55" s="470" t="s">
        <v>273</v>
      </c>
      <c r="S55" s="470" t="s">
        <v>273</v>
      </c>
      <c r="T55" s="470" t="s">
        <v>273</v>
      </c>
      <c r="U55" s="470" t="s">
        <v>273</v>
      </c>
      <c r="V55" s="470" t="s">
        <v>273</v>
      </c>
      <c r="W55" s="470" t="s">
        <v>273</v>
      </c>
      <c r="X55" s="470" t="s">
        <v>273</v>
      </c>
      <c r="Y55" s="470" t="s">
        <v>273</v>
      </c>
      <c r="Z55" s="470">
        <v>0</v>
      </c>
      <c r="AA55" s="470">
        <v>0</v>
      </c>
      <c r="AB55" s="470">
        <v>0</v>
      </c>
      <c r="AC55" s="470">
        <v>-1</v>
      </c>
      <c r="AD55" s="470" t="s">
        <v>306</v>
      </c>
      <c r="AE55" s="470">
        <v>0</v>
      </c>
      <c r="AF55" s="470">
        <v>0</v>
      </c>
      <c r="AG55" s="470">
        <v>0</v>
      </c>
      <c r="AH55" s="470">
        <v>-1</v>
      </c>
      <c r="AI55" s="470">
        <v>0</v>
      </c>
      <c r="AJ55" s="470">
        <v>-1</v>
      </c>
      <c r="AK55" s="470">
        <v>1</v>
      </c>
      <c r="AL55" s="470">
        <v>0</v>
      </c>
    </row>
    <row r="56" spans="1:38">
      <c r="A56" s="470" t="s">
        <v>464</v>
      </c>
      <c r="B56" s="470" t="s">
        <v>306</v>
      </c>
      <c r="C56" s="470">
        <v>0</v>
      </c>
      <c r="D56" s="470">
        <v>0</v>
      </c>
      <c r="E56" s="470">
        <v>0</v>
      </c>
      <c r="F56" s="470" t="s">
        <v>306</v>
      </c>
      <c r="G56" s="470" t="s">
        <v>306</v>
      </c>
      <c r="H56" s="470" t="s">
        <v>306</v>
      </c>
      <c r="I56" s="470" t="s">
        <v>306</v>
      </c>
      <c r="J56" s="470" t="s">
        <v>306</v>
      </c>
      <c r="K56" s="470">
        <v>2</v>
      </c>
      <c r="L56" s="470">
        <v>1</v>
      </c>
      <c r="M56" s="470">
        <v>11</v>
      </c>
      <c r="N56" s="470" t="s">
        <v>291</v>
      </c>
      <c r="O56" s="470" t="s">
        <v>291</v>
      </c>
      <c r="P56" s="470" t="s">
        <v>291</v>
      </c>
      <c r="Q56" s="470">
        <v>90</v>
      </c>
      <c r="R56" s="470" t="s">
        <v>291</v>
      </c>
      <c r="S56" s="470" t="s">
        <v>291</v>
      </c>
      <c r="T56" s="470" t="s">
        <v>291</v>
      </c>
      <c r="U56" s="470" t="s">
        <v>291</v>
      </c>
      <c r="V56" s="470" t="s">
        <v>291</v>
      </c>
      <c r="W56" s="470">
        <v>-6</v>
      </c>
      <c r="X56" s="470" t="s">
        <v>291</v>
      </c>
      <c r="Y56" s="470" t="s">
        <v>291</v>
      </c>
      <c r="Z56" s="470" t="s">
        <v>291</v>
      </c>
      <c r="AA56" s="470" t="s">
        <v>291</v>
      </c>
      <c r="AB56" s="470" t="s">
        <v>291</v>
      </c>
      <c r="AC56" s="470">
        <v>6</v>
      </c>
      <c r="AD56" s="470">
        <v>-6</v>
      </c>
      <c r="AE56" s="470" t="s">
        <v>306</v>
      </c>
      <c r="AF56" s="470">
        <v>1</v>
      </c>
      <c r="AG56" s="470" t="s">
        <v>291</v>
      </c>
      <c r="AH56" s="470" t="s">
        <v>291</v>
      </c>
      <c r="AI56" s="470" t="s">
        <v>291</v>
      </c>
      <c r="AJ56" s="470">
        <v>964</v>
      </c>
      <c r="AK56" s="470">
        <v>689</v>
      </c>
      <c r="AL56" s="470" t="s">
        <v>291</v>
      </c>
    </row>
    <row r="57" spans="1:38">
      <c r="A57" s="470" t="s">
        <v>1441</v>
      </c>
      <c r="B57" s="470">
        <v>148</v>
      </c>
      <c r="C57" s="470">
        <v>273</v>
      </c>
      <c r="D57" s="470">
        <v>243</v>
      </c>
      <c r="E57" s="470">
        <v>311</v>
      </c>
      <c r="F57" s="470">
        <v>311</v>
      </c>
      <c r="G57" s="470">
        <v>396</v>
      </c>
      <c r="H57" s="470">
        <v>241</v>
      </c>
      <c r="I57" s="470" t="s">
        <v>273</v>
      </c>
      <c r="J57" s="470" t="s">
        <v>273</v>
      </c>
      <c r="K57" s="470" t="s">
        <v>273</v>
      </c>
      <c r="L57" s="470" t="s">
        <v>273</v>
      </c>
      <c r="M57" s="470" t="s">
        <v>273</v>
      </c>
      <c r="N57" s="470" t="s">
        <v>273</v>
      </c>
      <c r="O57" s="470" t="s">
        <v>273</v>
      </c>
      <c r="P57" s="470" t="s">
        <v>273</v>
      </c>
      <c r="Q57" s="470" t="s">
        <v>273</v>
      </c>
      <c r="R57" s="470" t="s">
        <v>273</v>
      </c>
      <c r="S57" s="470" t="s">
        <v>273</v>
      </c>
      <c r="T57" s="470" t="s">
        <v>273</v>
      </c>
      <c r="U57" s="470" t="s">
        <v>273</v>
      </c>
      <c r="V57" s="470" t="s">
        <v>273</v>
      </c>
      <c r="W57" s="470" t="s">
        <v>273</v>
      </c>
      <c r="X57" s="470" t="s">
        <v>273</v>
      </c>
      <c r="Y57" s="470" t="s">
        <v>273</v>
      </c>
      <c r="Z57" s="470" t="s">
        <v>273</v>
      </c>
      <c r="AA57" s="470" t="s">
        <v>273</v>
      </c>
      <c r="AB57" s="470" t="s">
        <v>273</v>
      </c>
      <c r="AC57" s="470" t="s">
        <v>273</v>
      </c>
      <c r="AD57" s="470" t="s">
        <v>273</v>
      </c>
      <c r="AE57" s="470" t="s">
        <v>273</v>
      </c>
      <c r="AF57" s="470" t="s">
        <v>273</v>
      </c>
      <c r="AG57" s="470" t="s">
        <v>273</v>
      </c>
      <c r="AH57" s="470" t="s">
        <v>273</v>
      </c>
      <c r="AI57" s="470" t="s">
        <v>273</v>
      </c>
      <c r="AJ57" s="470" t="s">
        <v>273</v>
      </c>
      <c r="AK57" s="470" t="s">
        <v>273</v>
      </c>
      <c r="AL57" s="470" t="s">
        <v>273</v>
      </c>
    </row>
    <row r="58" spans="1:38">
      <c r="A58" s="470" t="s">
        <v>462</v>
      </c>
      <c r="B58" s="470" t="s">
        <v>273</v>
      </c>
      <c r="C58" s="470" t="s">
        <v>273</v>
      </c>
      <c r="D58" s="470" t="s">
        <v>273</v>
      </c>
      <c r="E58" s="470" t="s">
        <v>273</v>
      </c>
      <c r="F58" s="470" t="s">
        <v>273</v>
      </c>
      <c r="G58" s="470" t="s">
        <v>273</v>
      </c>
      <c r="H58" s="470" t="s">
        <v>273</v>
      </c>
      <c r="I58" s="470" t="s">
        <v>273</v>
      </c>
      <c r="J58" s="470" t="s">
        <v>273</v>
      </c>
      <c r="K58" s="470" t="s">
        <v>273</v>
      </c>
      <c r="L58" s="470" t="s">
        <v>273</v>
      </c>
      <c r="M58" s="470" t="s">
        <v>273</v>
      </c>
      <c r="N58" s="470" t="s">
        <v>273</v>
      </c>
      <c r="O58" s="470" t="s">
        <v>273</v>
      </c>
      <c r="P58" s="470" t="s">
        <v>273</v>
      </c>
      <c r="Q58" s="470" t="s">
        <v>273</v>
      </c>
      <c r="R58" s="470" t="s">
        <v>273</v>
      </c>
      <c r="S58" s="470" t="s">
        <v>273</v>
      </c>
      <c r="T58" s="470" t="s">
        <v>273</v>
      </c>
      <c r="U58" s="470" t="s">
        <v>273</v>
      </c>
      <c r="V58" s="470" t="s">
        <v>273</v>
      </c>
      <c r="W58" s="470" t="s">
        <v>273</v>
      </c>
      <c r="X58" s="470" t="s">
        <v>273</v>
      </c>
      <c r="Y58" s="470" t="s">
        <v>273</v>
      </c>
      <c r="Z58" s="470" t="s">
        <v>273</v>
      </c>
      <c r="AA58" s="470" t="s">
        <v>273</v>
      </c>
      <c r="AB58" s="470" t="s">
        <v>1440</v>
      </c>
      <c r="AC58" s="470">
        <v>-1</v>
      </c>
      <c r="AD58" s="470" t="s">
        <v>306</v>
      </c>
      <c r="AE58" s="470">
        <v>-7</v>
      </c>
      <c r="AF58" s="470">
        <v>-1</v>
      </c>
      <c r="AG58" s="470" t="s">
        <v>306</v>
      </c>
      <c r="AH58" s="470">
        <v>1</v>
      </c>
      <c r="AI58" s="470">
        <v>1</v>
      </c>
      <c r="AJ58" s="470">
        <v>2</v>
      </c>
      <c r="AK58" s="470">
        <v>2</v>
      </c>
      <c r="AL58" s="470">
        <v>3</v>
      </c>
    </row>
    <row r="59" spans="1:38">
      <c r="A59" s="470" t="s">
        <v>461</v>
      </c>
      <c r="B59" s="470" t="s">
        <v>273</v>
      </c>
      <c r="C59" s="470" t="s">
        <v>273</v>
      </c>
      <c r="D59" s="470" t="s">
        <v>273</v>
      </c>
      <c r="E59" s="470" t="s">
        <v>273</v>
      </c>
      <c r="F59" s="470" t="s">
        <v>273</v>
      </c>
      <c r="G59" s="470" t="s">
        <v>273</v>
      </c>
      <c r="H59" s="470" t="s">
        <v>273</v>
      </c>
      <c r="I59" s="470" t="s">
        <v>273</v>
      </c>
      <c r="J59" s="470" t="s">
        <v>273</v>
      </c>
      <c r="K59" s="470" t="s">
        <v>273</v>
      </c>
      <c r="L59" s="470" t="s">
        <v>273</v>
      </c>
      <c r="M59" s="470" t="s">
        <v>273</v>
      </c>
      <c r="N59" s="470">
        <v>0</v>
      </c>
      <c r="O59" s="470">
        <v>0</v>
      </c>
      <c r="P59" s="470">
        <v>0</v>
      </c>
      <c r="Q59" s="470">
        <v>0</v>
      </c>
      <c r="R59" s="470">
        <v>0</v>
      </c>
      <c r="S59" s="470" t="s">
        <v>306</v>
      </c>
      <c r="T59" s="470" t="s">
        <v>306</v>
      </c>
      <c r="U59" s="470" t="s">
        <v>306</v>
      </c>
      <c r="V59" s="470" t="s">
        <v>306</v>
      </c>
      <c r="W59" s="470" t="s">
        <v>306</v>
      </c>
      <c r="X59" s="470">
        <v>0</v>
      </c>
      <c r="Y59" s="470">
        <v>0</v>
      </c>
      <c r="Z59" s="470" t="s">
        <v>273</v>
      </c>
      <c r="AA59" s="470" t="s">
        <v>273</v>
      </c>
      <c r="AB59" s="470" t="s">
        <v>273</v>
      </c>
      <c r="AC59" s="470" t="s">
        <v>273</v>
      </c>
      <c r="AD59" s="470" t="s">
        <v>273</v>
      </c>
      <c r="AE59" s="470" t="s">
        <v>273</v>
      </c>
      <c r="AF59" s="470" t="s">
        <v>273</v>
      </c>
      <c r="AG59" s="470" t="s">
        <v>273</v>
      </c>
      <c r="AH59" s="470" t="s">
        <v>273</v>
      </c>
      <c r="AI59" s="470" t="s">
        <v>273</v>
      </c>
      <c r="AJ59" s="470" t="s">
        <v>273</v>
      </c>
      <c r="AK59" s="470" t="s">
        <v>273</v>
      </c>
      <c r="AL59" s="470" t="s">
        <v>273</v>
      </c>
    </row>
    <row r="60" spans="1:38">
      <c r="A60" s="470" t="s">
        <v>460</v>
      </c>
      <c r="B60" s="470">
        <v>41</v>
      </c>
      <c r="C60" s="470">
        <v>47</v>
      </c>
      <c r="D60" s="470">
        <v>43</v>
      </c>
      <c r="E60" s="470" t="s">
        <v>291</v>
      </c>
      <c r="F60" s="470">
        <v>27</v>
      </c>
      <c r="G60" s="470">
        <v>29</v>
      </c>
      <c r="H60" s="470">
        <v>30</v>
      </c>
      <c r="I60" s="470">
        <v>29</v>
      </c>
      <c r="J60" s="470">
        <v>27</v>
      </c>
      <c r="K60" s="470">
        <v>28</v>
      </c>
      <c r="L60" s="470">
        <v>29</v>
      </c>
      <c r="M60" s="470">
        <v>41</v>
      </c>
      <c r="N60" s="470">
        <v>43</v>
      </c>
      <c r="O60" s="470">
        <v>46</v>
      </c>
      <c r="P60" s="470">
        <v>45</v>
      </c>
      <c r="Q60" s="470">
        <v>47</v>
      </c>
      <c r="R60" s="470">
        <v>51</v>
      </c>
      <c r="S60" s="470">
        <v>58</v>
      </c>
      <c r="T60" s="470">
        <v>56</v>
      </c>
      <c r="U60" s="470">
        <v>58</v>
      </c>
      <c r="V60" s="470">
        <v>57</v>
      </c>
      <c r="W60" s="470">
        <v>-27</v>
      </c>
      <c r="X60" s="470">
        <v>-13</v>
      </c>
      <c r="Y60" s="470">
        <v>17</v>
      </c>
      <c r="Z60" s="470">
        <v>18</v>
      </c>
      <c r="AA60" s="470">
        <v>1</v>
      </c>
      <c r="AB60" s="470">
        <v>4199</v>
      </c>
      <c r="AC60" s="470" t="s">
        <v>291</v>
      </c>
      <c r="AD60" s="470" t="s">
        <v>291</v>
      </c>
      <c r="AE60" s="470" t="s">
        <v>291</v>
      </c>
      <c r="AF60" s="470">
        <v>4386</v>
      </c>
      <c r="AG60" s="470">
        <v>6457</v>
      </c>
      <c r="AH60" s="470" t="s">
        <v>291</v>
      </c>
      <c r="AI60" s="470">
        <v>1229</v>
      </c>
      <c r="AJ60" s="470" t="s">
        <v>291</v>
      </c>
      <c r="AK60" s="470">
        <v>1496</v>
      </c>
      <c r="AL60" s="470" t="s">
        <v>291</v>
      </c>
    </row>
    <row r="61" spans="1:38">
      <c r="A61" s="470" t="s">
        <v>1439</v>
      </c>
      <c r="B61" s="470">
        <v>4</v>
      </c>
      <c r="C61" s="470">
        <v>8</v>
      </c>
      <c r="D61" s="470">
        <v>15</v>
      </c>
      <c r="E61" s="470">
        <v>14</v>
      </c>
      <c r="F61" s="470">
        <v>-4</v>
      </c>
      <c r="G61" s="470" t="s">
        <v>306</v>
      </c>
      <c r="H61" s="470">
        <v>18</v>
      </c>
      <c r="I61" s="470">
        <v>16</v>
      </c>
      <c r="J61" s="470">
        <v>18</v>
      </c>
      <c r="K61" s="470">
        <v>7</v>
      </c>
      <c r="L61" s="470">
        <v>-19</v>
      </c>
      <c r="M61" s="470">
        <v>-15</v>
      </c>
      <c r="N61" s="470">
        <v>4</v>
      </c>
      <c r="O61" s="470">
        <v>-2</v>
      </c>
      <c r="P61" s="470">
        <v>20</v>
      </c>
      <c r="Q61" s="470">
        <v>23</v>
      </c>
      <c r="R61" s="470">
        <v>-20</v>
      </c>
      <c r="S61" s="470">
        <v>-32</v>
      </c>
      <c r="T61" s="470">
        <v>-38</v>
      </c>
      <c r="U61" s="470">
        <v>-48</v>
      </c>
      <c r="V61" s="470">
        <v>-68</v>
      </c>
      <c r="W61" s="470">
        <v>-99</v>
      </c>
      <c r="X61" s="470">
        <v>-113</v>
      </c>
      <c r="Y61" s="470">
        <v>-139</v>
      </c>
      <c r="Z61" s="470">
        <v>-161</v>
      </c>
      <c r="AA61" s="470">
        <v>-158</v>
      </c>
      <c r="AB61" s="470" t="s">
        <v>291</v>
      </c>
      <c r="AC61" s="470">
        <v>119</v>
      </c>
      <c r="AD61" s="470">
        <v>53</v>
      </c>
      <c r="AE61" s="470">
        <v>129</v>
      </c>
      <c r="AF61" s="470">
        <v>204</v>
      </c>
      <c r="AG61" s="470">
        <v>391</v>
      </c>
      <c r="AH61" s="470">
        <v>407</v>
      </c>
      <c r="AI61" s="470">
        <v>761</v>
      </c>
      <c r="AJ61" s="470">
        <v>805</v>
      </c>
      <c r="AK61" s="470">
        <v>942</v>
      </c>
      <c r="AL61" s="470">
        <v>937</v>
      </c>
    </row>
    <row r="62" spans="1:38">
      <c r="A62" s="470" t="s">
        <v>1438</v>
      </c>
      <c r="B62" s="470">
        <v>179</v>
      </c>
      <c r="C62" s="470">
        <v>201</v>
      </c>
      <c r="D62" s="470">
        <v>273</v>
      </c>
      <c r="E62" s="470">
        <v>194</v>
      </c>
      <c r="F62" s="470">
        <v>231</v>
      </c>
      <c r="G62" s="470">
        <v>273</v>
      </c>
      <c r="H62" s="470">
        <v>350</v>
      </c>
      <c r="I62" s="470" t="s">
        <v>273</v>
      </c>
      <c r="J62" s="470" t="s">
        <v>273</v>
      </c>
      <c r="K62" s="470" t="s">
        <v>273</v>
      </c>
      <c r="L62" s="470" t="s">
        <v>273</v>
      </c>
      <c r="M62" s="470" t="s">
        <v>273</v>
      </c>
      <c r="N62" s="470" t="s">
        <v>273</v>
      </c>
      <c r="O62" s="470" t="s">
        <v>273</v>
      </c>
      <c r="P62" s="470" t="s">
        <v>273</v>
      </c>
      <c r="Q62" s="470" t="s">
        <v>273</v>
      </c>
      <c r="R62" s="470" t="s">
        <v>273</v>
      </c>
      <c r="S62" s="470" t="s">
        <v>273</v>
      </c>
      <c r="T62" s="470" t="s">
        <v>273</v>
      </c>
      <c r="U62" s="470" t="s">
        <v>273</v>
      </c>
      <c r="V62" s="470" t="s">
        <v>273</v>
      </c>
      <c r="W62" s="470" t="s">
        <v>273</v>
      </c>
      <c r="X62" s="470" t="s">
        <v>273</v>
      </c>
      <c r="Y62" s="470" t="s">
        <v>273</v>
      </c>
      <c r="Z62" s="470" t="s">
        <v>273</v>
      </c>
      <c r="AA62" s="470" t="s">
        <v>273</v>
      </c>
      <c r="AB62" s="470" t="s">
        <v>273</v>
      </c>
      <c r="AC62" s="470" t="s">
        <v>273</v>
      </c>
      <c r="AD62" s="470" t="s">
        <v>273</v>
      </c>
      <c r="AE62" s="470" t="s">
        <v>273</v>
      </c>
      <c r="AF62" s="470" t="s">
        <v>273</v>
      </c>
      <c r="AG62" s="470" t="s">
        <v>273</v>
      </c>
      <c r="AH62" s="470" t="s">
        <v>273</v>
      </c>
      <c r="AI62" s="470" t="s">
        <v>273</v>
      </c>
      <c r="AJ62" s="470" t="s">
        <v>273</v>
      </c>
      <c r="AK62" s="470" t="s">
        <v>273</v>
      </c>
      <c r="AL62" s="470" t="s">
        <v>273</v>
      </c>
    </row>
    <row r="63" spans="1:38">
      <c r="A63" s="470" t="s">
        <v>459</v>
      </c>
      <c r="B63" s="470" t="s">
        <v>273</v>
      </c>
      <c r="C63" s="470" t="s">
        <v>273</v>
      </c>
      <c r="D63" s="470" t="s">
        <v>273</v>
      </c>
      <c r="E63" s="470" t="s">
        <v>273</v>
      </c>
      <c r="F63" s="470" t="s">
        <v>273</v>
      </c>
      <c r="G63" s="470" t="s">
        <v>273</v>
      </c>
      <c r="H63" s="470" t="s">
        <v>273</v>
      </c>
      <c r="I63" s="470">
        <v>0</v>
      </c>
      <c r="J63" s="470">
        <v>0</v>
      </c>
      <c r="K63" s="470">
        <v>0</v>
      </c>
      <c r="L63" s="470">
        <v>0</v>
      </c>
      <c r="M63" s="470" t="s">
        <v>291</v>
      </c>
      <c r="N63" s="470" t="s">
        <v>291</v>
      </c>
      <c r="O63" s="470" t="s">
        <v>291</v>
      </c>
      <c r="P63" s="470" t="s">
        <v>291</v>
      </c>
      <c r="Q63" s="470" t="s">
        <v>291</v>
      </c>
      <c r="R63" s="470" t="s">
        <v>291</v>
      </c>
      <c r="S63" s="470">
        <v>-2</v>
      </c>
      <c r="T63" s="470">
        <v>-4</v>
      </c>
      <c r="U63" s="470" t="s">
        <v>291</v>
      </c>
      <c r="V63" s="470" t="s">
        <v>291</v>
      </c>
      <c r="W63" s="470" t="s">
        <v>291</v>
      </c>
      <c r="X63" s="470" t="s">
        <v>291</v>
      </c>
      <c r="Y63" s="470" t="s">
        <v>291</v>
      </c>
      <c r="Z63" s="470">
        <v>2</v>
      </c>
      <c r="AA63" s="470">
        <v>-3</v>
      </c>
      <c r="AB63" s="470">
        <v>-3</v>
      </c>
      <c r="AC63" s="470" t="s">
        <v>291</v>
      </c>
      <c r="AD63" s="470" t="s">
        <v>291</v>
      </c>
      <c r="AE63" s="470" t="s">
        <v>291</v>
      </c>
      <c r="AF63" s="470">
        <v>-55</v>
      </c>
      <c r="AG63" s="470">
        <v>21</v>
      </c>
      <c r="AH63" s="470" t="s">
        <v>291</v>
      </c>
      <c r="AI63" s="470">
        <v>69</v>
      </c>
      <c r="AJ63" s="470">
        <v>60</v>
      </c>
      <c r="AK63" s="470">
        <v>85</v>
      </c>
      <c r="AL63" s="470" t="s">
        <v>291</v>
      </c>
    </row>
    <row r="64" spans="1:38">
      <c r="A64" s="470" t="s">
        <v>458</v>
      </c>
      <c r="B64" s="470" t="s">
        <v>273</v>
      </c>
      <c r="C64" s="470" t="s">
        <v>273</v>
      </c>
      <c r="D64" s="470" t="s">
        <v>273</v>
      </c>
      <c r="E64" s="470" t="s">
        <v>273</v>
      </c>
      <c r="F64" s="470" t="s">
        <v>273</v>
      </c>
      <c r="G64" s="470" t="s">
        <v>273</v>
      </c>
      <c r="H64" s="470" t="s">
        <v>273</v>
      </c>
      <c r="I64" s="470" t="s">
        <v>273</v>
      </c>
      <c r="J64" s="470" t="s">
        <v>273</v>
      </c>
      <c r="K64" s="470" t="s">
        <v>273</v>
      </c>
      <c r="L64" s="470" t="s">
        <v>273</v>
      </c>
      <c r="M64" s="470" t="s">
        <v>273</v>
      </c>
      <c r="N64" s="470">
        <v>125</v>
      </c>
      <c r="O64" s="470">
        <v>98</v>
      </c>
      <c r="P64" s="470">
        <v>97</v>
      </c>
      <c r="Q64" s="470">
        <v>118</v>
      </c>
      <c r="R64" s="470">
        <v>242</v>
      </c>
      <c r="S64" s="470">
        <v>215</v>
      </c>
      <c r="T64" s="470" t="s">
        <v>291</v>
      </c>
      <c r="U64" s="470">
        <v>97</v>
      </c>
      <c r="V64" s="470">
        <v>118</v>
      </c>
      <c r="W64" s="470">
        <v>52</v>
      </c>
      <c r="X64" s="470">
        <v>122</v>
      </c>
      <c r="Y64" s="470" t="s">
        <v>291</v>
      </c>
      <c r="Z64" s="470">
        <v>419</v>
      </c>
      <c r="AA64" s="470">
        <v>511</v>
      </c>
      <c r="AB64" s="470">
        <v>756</v>
      </c>
      <c r="AC64" s="470">
        <v>5003</v>
      </c>
      <c r="AD64" s="470">
        <v>7917</v>
      </c>
      <c r="AE64" s="470">
        <v>8416</v>
      </c>
      <c r="AF64" s="470">
        <v>5689</v>
      </c>
      <c r="AG64" s="470">
        <v>6025</v>
      </c>
      <c r="AH64" s="470">
        <v>6077</v>
      </c>
      <c r="AI64" s="470">
        <v>6354</v>
      </c>
      <c r="AJ64" s="470">
        <v>4729</v>
      </c>
      <c r="AK64" s="470">
        <v>4358</v>
      </c>
      <c r="AL64" s="470">
        <v>4550</v>
      </c>
    </row>
    <row r="65" spans="1:38">
      <c r="A65" s="470" t="s">
        <v>457</v>
      </c>
      <c r="B65" s="470" t="s">
        <v>273</v>
      </c>
      <c r="C65" s="470" t="s">
        <v>273</v>
      </c>
      <c r="D65" s="470" t="s">
        <v>273</v>
      </c>
      <c r="E65" s="470" t="s">
        <v>273</v>
      </c>
      <c r="F65" s="470" t="s">
        <v>273</v>
      </c>
      <c r="G65" s="470" t="s">
        <v>273</v>
      </c>
      <c r="H65" s="470" t="s">
        <v>273</v>
      </c>
      <c r="I65" s="470" t="s">
        <v>273</v>
      </c>
      <c r="J65" s="470" t="s">
        <v>273</v>
      </c>
      <c r="K65" s="470" t="s">
        <v>273</v>
      </c>
      <c r="L65" s="470" t="s">
        <v>273</v>
      </c>
      <c r="M65" s="470" t="s">
        <v>273</v>
      </c>
      <c r="N65" s="470">
        <v>1</v>
      </c>
      <c r="O65" s="470" t="s">
        <v>291</v>
      </c>
      <c r="P65" s="470">
        <v>-18</v>
      </c>
      <c r="Q65" s="470">
        <v>-28</v>
      </c>
      <c r="R65" s="470" t="s">
        <v>291</v>
      </c>
      <c r="S65" s="470">
        <v>3</v>
      </c>
      <c r="T65" s="470" t="s">
        <v>291</v>
      </c>
      <c r="U65" s="470">
        <v>3</v>
      </c>
      <c r="V65" s="470">
        <v>3</v>
      </c>
      <c r="W65" s="470">
        <v>3</v>
      </c>
      <c r="X65" s="470">
        <v>3</v>
      </c>
      <c r="Y65" s="470">
        <v>2</v>
      </c>
      <c r="Z65" s="470">
        <v>3</v>
      </c>
      <c r="AA65" s="470">
        <v>3</v>
      </c>
      <c r="AB65" s="470">
        <v>1</v>
      </c>
      <c r="AC65" s="470">
        <v>-1</v>
      </c>
      <c r="AD65" s="470">
        <v>-1</v>
      </c>
      <c r="AE65" s="470">
        <v>-1</v>
      </c>
      <c r="AF65" s="470" t="s">
        <v>306</v>
      </c>
      <c r="AG65" s="470">
        <v>0</v>
      </c>
      <c r="AH65" s="470">
        <v>-2</v>
      </c>
      <c r="AI65" s="470" t="s">
        <v>306</v>
      </c>
      <c r="AJ65" s="470">
        <v>2</v>
      </c>
      <c r="AK65" s="470">
        <v>4</v>
      </c>
      <c r="AL65" s="470">
        <v>2</v>
      </c>
    </row>
    <row r="66" spans="1:38">
      <c r="A66" s="470" t="s">
        <v>456</v>
      </c>
      <c r="B66" s="470" t="s">
        <v>273</v>
      </c>
      <c r="C66" s="470" t="s">
        <v>273</v>
      </c>
      <c r="D66" s="470" t="s">
        <v>273</v>
      </c>
      <c r="E66" s="470" t="s">
        <v>273</v>
      </c>
      <c r="F66" s="470" t="s">
        <v>273</v>
      </c>
      <c r="G66" s="470" t="s">
        <v>273</v>
      </c>
      <c r="H66" s="470" t="s">
        <v>273</v>
      </c>
      <c r="I66" s="470" t="s">
        <v>273</v>
      </c>
      <c r="J66" s="470" t="s">
        <v>273</v>
      </c>
      <c r="K66" s="470" t="s">
        <v>273</v>
      </c>
      <c r="L66" s="470" t="s">
        <v>273</v>
      </c>
      <c r="M66" s="470" t="s">
        <v>273</v>
      </c>
      <c r="N66" s="470" t="s">
        <v>273</v>
      </c>
      <c r="O66" s="470" t="s">
        <v>306</v>
      </c>
      <c r="P66" s="470">
        <v>-1</v>
      </c>
      <c r="Q66" s="470" t="s">
        <v>291</v>
      </c>
      <c r="R66" s="470" t="s">
        <v>291</v>
      </c>
      <c r="S66" s="470">
        <v>0</v>
      </c>
      <c r="T66" s="470">
        <v>0</v>
      </c>
      <c r="U66" s="470">
        <v>-3</v>
      </c>
      <c r="V66" s="470">
        <v>-1</v>
      </c>
      <c r="W66" s="470">
        <v>0</v>
      </c>
      <c r="X66" s="470">
        <v>2</v>
      </c>
      <c r="Y66" s="470" t="s">
        <v>306</v>
      </c>
      <c r="Z66" s="470">
        <v>-4</v>
      </c>
      <c r="AA66" s="470">
        <v>1</v>
      </c>
      <c r="AB66" s="470" t="s">
        <v>291</v>
      </c>
      <c r="AC66" s="470">
        <v>3</v>
      </c>
      <c r="AD66" s="470" t="s">
        <v>306</v>
      </c>
      <c r="AE66" s="470">
        <v>-3</v>
      </c>
      <c r="AF66" s="470">
        <v>4</v>
      </c>
      <c r="AG66" s="470">
        <v>4</v>
      </c>
      <c r="AH66" s="470">
        <v>17</v>
      </c>
      <c r="AI66" s="470">
        <v>13</v>
      </c>
      <c r="AJ66" s="470">
        <v>1</v>
      </c>
      <c r="AK66" s="470" t="s">
        <v>291</v>
      </c>
      <c r="AL66" s="470">
        <v>21</v>
      </c>
    </row>
    <row r="67" spans="1:38">
      <c r="A67" s="470" t="s">
        <v>455</v>
      </c>
      <c r="B67" s="470" t="s">
        <v>273</v>
      </c>
      <c r="C67" s="470" t="s">
        <v>273</v>
      </c>
      <c r="D67" s="470" t="s">
        <v>273</v>
      </c>
      <c r="E67" s="470" t="s">
        <v>273</v>
      </c>
      <c r="F67" s="470" t="s">
        <v>273</v>
      </c>
      <c r="G67" s="470" t="s">
        <v>273</v>
      </c>
      <c r="H67" s="470" t="s">
        <v>273</v>
      </c>
      <c r="I67" s="470" t="s">
        <v>273</v>
      </c>
      <c r="J67" s="470" t="s">
        <v>273</v>
      </c>
      <c r="K67" s="470" t="s">
        <v>273</v>
      </c>
      <c r="L67" s="470" t="s">
        <v>273</v>
      </c>
      <c r="M67" s="470" t="s">
        <v>273</v>
      </c>
      <c r="N67" s="470">
        <v>31</v>
      </c>
      <c r="O67" s="470">
        <v>26</v>
      </c>
      <c r="P67" s="470">
        <v>26</v>
      </c>
      <c r="Q67" s="470">
        <v>20</v>
      </c>
      <c r="R67" s="470" t="s">
        <v>291</v>
      </c>
      <c r="S67" s="470">
        <v>19</v>
      </c>
      <c r="T67" s="470">
        <v>14</v>
      </c>
      <c r="U67" s="470">
        <v>13</v>
      </c>
      <c r="V67" s="470">
        <v>13</v>
      </c>
      <c r="W67" s="470">
        <v>13</v>
      </c>
      <c r="X67" s="470" t="s">
        <v>291</v>
      </c>
      <c r="Y67" s="470" t="s">
        <v>306</v>
      </c>
      <c r="Z67" s="470" t="s">
        <v>306</v>
      </c>
      <c r="AA67" s="470" t="s">
        <v>306</v>
      </c>
      <c r="AB67" s="470">
        <v>8</v>
      </c>
      <c r="AC67" s="470" t="s">
        <v>291</v>
      </c>
      <c r="AD67" s="470" t="s">
        <v>291</v>
      </c>
      <c r="AE67" s="470" t="s">
        <v>291</v>
      </c>
      <c r="AF67" s="470" t="s">
        <v>291</v>
      </c>
      <c r="AG67" s="470" t="s">
        <v>291</v>
      </c>
      <c r="AH67" s="470" t="s">
        <v>291</v>
      </c>
      <c r="AI67" s="470" t="s">
        <v>291</v>
      </c>
      <c r="AJ67" s="470" t="s">
        <v>291</v>
      </c>
      <c r="AK67" s="470" t="s">
        <v>291</v>
      </c>
      <c r="AL67" s="470" t="s">
        <v>291</v>
      </c>
    </row>
    <row r="68" spans="1:38">
      <c r="A68" s="470" t="s">
        <v>454</v>
      </c>
      <c r="B68" s="470" t="s">
        <v>273</v>
      </c>
      <c r="C68" s="470" t="s">
        <v>273</v>
      </c>
      <c r="D68" s="470" t="s">
        <v>273</v>
      </c>
      <c r="E68" s="470" t="s">
        <v>273</v>
      </c>
      <c r="F68" s="470" t="s">
        <v>273</v>
      </c>
      <c r="G68" s="470" t="s">
        <v>273</v>
      </c>
      <c r="H68" s="470" t="s">
        <v>273</v>
      </c>
      <c r="I68" s="470" t="s">
        <v>273</v>
      </c>
      <c r="J68" s="470" t="s">
        <v>273</v>
      </c>
      <c r="K68" s="470" t="s">
        <v>273</v>
      </c>
      <c r="L68" s="470" t="s">
        <v>273</v>
      </c>
      <c r="M68" s="470" t="s">
        <v>273</v>
      </c>
      <c r="N68" s="470" t="s">
        <v>273</v>
      </c>
      <c r="O68" s="470" t="s">
        <v>273</v>
      </c>
      <c r="P68" s="470" t="s">
        <v>273</v>
      </c>
      <c r="Q68" s="470" t="s">
        <v>273</v>
      </c>
      <c r="R68" s="470" t="s">
        <v>273</v>
      </c>
      <c r="S68" s="470" t="s">
        <v>273</v>
      </c>
      <c r="T68" s="470" t="s">
        <v>273</v>
      </c>
      <c r="U68" s="470" t="s">
        <v>273</v>
      </c>
      <c r="V68" s="470" t="s">
        <v>273</v>
      </c>
      <c r="W68" s="470" t="s">
        <v>273</v>
      </c>
      <c r="X68" s="470" t="s">
        <v>273</v>
      </c>
      <c r="Y68" s="470" t="s">
        <v>273</v>
      </c>
      <c r="Z68" s="470" t="s">
        <v>273</v>
      </c>
      <c r="AA68" s="470" t="s">
        <v>273</v>
      </c>
      <c r="AB68" s="470" t="s">
        <v>273</v>
      </c>
      <c r="AC68" s="470" t="s">
        <v>273</v>
      </c>
      <c r="AD68" s="470" t="s">
        <v>273</v>
      </c>
      <c r="AE68" s="470" t="s">
        <v>273</v>
      </c>
      <c r="AF68" s="470" t="s">
        <v>273</v>
      </c>
      <c r="AG68" s="470" t="s">
        <v>273</v>
      </c>
      <c r="AH68" s="470" t="s">
        <v>273</v>
      </c>
      <c r="AI68" s="470" t="s">
        <v>273</v>
      </c>
      <c r="AJ68" s="470">
        <v>0</v>
      </c>
      <c r="AK68" s="470">
        <v>0</v>
      </c>
      <c r="AL68" s="470" t="s">
        <v>306</v>
      </c>
    </row>
    <row r="69" spans="1:38">
      <c r="A69" s="470" t="s">
        <v>1437</v>
      </c>
      <c r="B69" s="470" t="s">
        <v>306</v>
      </c>
      <c r="C69" s="470" t="s">
        <v>306</v>
      </c>
      <c r="D69" s="470" t="s">
        <v>306</v>
      </c>
      <c r="E69" s="470" t="s">
        <v>306</v>
      </c>
      <c r="F69" s="470">
        <v>1</v>
      </c>
      <c r="G69" s="470">
        <v>1</v>
      </c>
      <c r="H69" s="470">
        <v>1</v>
      </c>
      <c r="I69" s="470">
        <v>15</v>
      </c>
      <c r="J69" s="470">
        <v>41</v>
      </c>
      <c r="K69" s="470">
        <v>17</v>
      </c>
      <c r="L69" s="470">
        <v>20</v>
      </c>
      <c r="M69" s="470">
        <v>34</v>
      </c>
      <c r="N69" s="470">
        <v>44</v>
      </c>
      <c r="O69" s="470">
        <v>48</v>
      </c>
      <c r="P69" s="470">
        <v>45</v>
      </c>
      <c r="Q69" s="470">
        <v>31</v>
      </c>
      <c r="R69" s="470">
        <v>55</v>
      </c>
      <c r="S69" s="470">
        <v>59</v>
      </c>
      <c r="T69" s="470">
        <v>68</v>
      </c>
      <c r="U69" s="470">
        <v>117</v>
      </c>
      <c r="V69" s="470">
        <v>188</v>
      </c>
      <c r="W69" s="470">
        <v>195</v>
      </c>
      <c r="X69" s="470">
        <v>228</v>
      </c>
      <c r="Y69" s="470">
        <v>161</v>
      </c>
      <c r="Z69" s="470">
        <v>162</v>
      </c>
      <c r="AA69" s="470">
        <v>162</v>
      </c>
      <c r="AB69" s="470">
        <v>205</v>
      </c>
      <c r="AC69" s="470">
        <v>165</v>
      </c>
      <c r="AD69" s="470" t="s">
        <v>291</v>
      </c>
      <c r="AE69" s="470">
        <v>786</v>
      </c>
      <c r="AF69" s="470">
        <v>749</v>
      </c>
      <c r="AG69" s="470">
        <v>476</v>
      </c>
      <c r="AH69" s="470" t="s">
        <v>291</v>
      </c>
      <c r="AI69" s="470">
        <v>649</v>
      </c>
      <c r="AJ69" s="470">
        <v>624</v>
      </c>
      <c r="AK69" s="470">
        <v>625</v>
      </c>
      <c r="AL69" s="470">
        <v>652</v>
      </c>
    </row>
    <row r="70" spans="1:38">
      <c r="A70" s="470" t="s">
        <v>453</v>
      </c>
      <c r="B70" s="470" t="s">
        <v>273</v>
      </c>
      <c r="C70" s="470" t="s">
        <v>273</v>
      </c>
      <c r="D70" s="470" t="s">
        <v>273</v>
      </c>
      <c r="E70" s="470" t="s">
        <v>273</v>
      </c>
      <c r="F70" s="470" t="s">
        <v>273</v>
      </c>
      <c r="G70" s="470" t="s">
        <v>273</v>
      </c>
      <c r="H70" s="470" t="s">
        <v>273</v>
      </c>
      <c r="I70" s="470" t="s">
        <v>273</v>
      </c>
      <c r="J70" s="470" t="s">
        <v>273</v>
      </c>
      <c r="K70" s="470" t="s">
        <v>273</v>
      </c>
      <c r="L70" s="470" t="s">
        <v>273</v>
      </c>
      <c r="M70" s="470" t="s">
        <v>273</v>
      </c>
      <c r="N70" s="470" t="s">
        <v>273</v>
      </c>
      <c r="O70" s="470" t="s">
        <v>273</v>
      </c>
      <c r="P70" s="470" t="s">
        <v>273</v>
      </c>
      <c r="Q70" s="470" t="s">
        <v>273</v>
      </c>
      <c r="R70" s="470" t="s">
        <v>273</v>
      </c>
      <c r="S70" s="470">
        <v>0</v>
      </c>
      <c r="T70" s="470">
        <v>0</v>
      </c>
      <c r="U70" s="470">
        <v>0</v>
      </c>
      <c r="V70" s="470">
        <v>0</v>
      </c>
      <c r="W70" s="470">
        <v>0</v>
      </c>
      <c r="X70" s="470">
        <v>0</v>
      </c>
      <c r="Y70" s="470">
        <v>0</v>
      </c>
      <c r="Z70" s="470">
        <v>0</v>
      </c>
      <c r="AA70" s="470">
        <v>-2</v>
      </c>
      <c r="AB70" s="470">
        <v>0</v>
      </c>
      <c r="AC70" s="470">
        <v>0</v>
      </c>
      <c r="AD70" s="470">
        <v>2</v>
      </c>
      <c r="AE70" s="470" t="s">
        <v>306</v>
      </c>
      <c r="AF70" s="470">
        <v>-1</v>
      </c>
      <c r="AG70" s="470">
        <v>-2</v>
      </c>
      <c r="AH70" s="470" t="s">
        <v>291</v>
      </c>
      <c r="AI70" s="470" t="s">
        <v>291</v>
      </c>
      <c r="AJ70" s="470">
        <v>-9</v>
      </c>
      <c r="AK70" s="470">
        <v>-3</v>
      </c>
      <c r="AL70" s="470">
        <v>-3</v>
      </c>
    </row>
    <row r="71" spans="1:38">
      <c r="A71" s="470" t="s">
        <v>452</v>
      </c>
      <c r="B71" s="470" t="s">
        <v>273</v>
      </c>
      <c r="C71" s="470" t="s">
        <v>273</v>
      </c>
      <c r="D71" s="470" t="s">
        <v>273</v>
      </c>
      <c r="E71" s="470" t="s">
        <v>273</v>
      </c>
      <c r="F71" s="470" t="s">
        <v>273</v>
      </c>
      <c r="G71" s="470" t="s">
        <v>273</v>
      </c>
      <c r="H71" s="470" t="s">
        <v>273</v>
      </c>
      <c r="I71" s="470" t="s">
        <v>273</v>
      </c>
      <c r="J71" s="470" t="s">
        <v>273</v>
      </c>
      <c r="K71" s="470" t="s">
        <v>273</v>
      </c>
      <c r="L71" s="470" t="s">
        <v>273</v>
      </c>
      <c r="M71" s="470" t="s">
        <v>273</v>
      </c>
      <c r="N71" s="470">
        <v>2</v>
      </c>
      <c r="O71" s="470">
        <v>2</v>
      </c>
      <c r="P71" s="470">
        <v>2</v>
      </c>
      <c r="Q71" s="470">
        <v>2</v>
      </c>
      <c r="R71" s="470">
        <v>2</v>
      </c>
      <c r="S71" s="470">
        <v>2</v>
      </c>
      <c r="T71" s="470">
        <v>2</v>
      </c>
      <c r="U71" s="470">
        <v>2</v>
      </c>
      <c r="V71" s="470">
        <v>2</v>
      </c>
      <c r="W71" s="470">
        <v>2</v>
      </c>
      <c r="X71" s="470" t="s">
        <v>306</v>
      </c>
      <c r="Y71" s="470" t="s">
        <v>306</v>
      </c>
      <c r="Z71" s="470" t="s">
        <v>306</v>
      </c>
      <c r="AA71" s="470">
        <v>1</v>
      </c>
      <c r="AB71" s="470" t="s">
        <v>306</v>
      </c>
      <c r="AC71" s="470">
        <v>-1</v>
      </c>
      <c r="AD71" s="470">
        <v>-3</v>
      </c>
      <c r="AE71" s="470">
        <v>-5</v>
      </c>
      <c r="AF71" s="470">
        <v>-3</v>
      </c>
      <c r="AG71" s="470" t="s">
        <v>306</v>
      </c>
      <c r="AH71" s="470" t="s">
        <v>306</v>
      </c>
      <c r="AI71" s="470">
        <v>-6</v>
      </c>
      <c r="AJ71" s="470">
        <v>-5</v>
      </c>
      <c r="AK71" s="470">
        <v>6</v>
      </c>
      <c r="AL71" s="470">
        <v>5</v>
      </c>
    </row>
    <row r="72" spans="1:38">
      <c r="A72" s="470" t="s">
        <v>451</v>
      </c>
      <c r="B72" s="470" t="s">
        <v>291</v>
      </c>
      <c r="C72" s="470">
        <v>13</v>
      </c>
      <c r="D72" s="470">
        <v>13</v>
      </c>
      <c r="E72" s="470">
        <v>13</v>
      </c>
      <c r="F72" s="470">
        <v>13</v>
      </c>
      <c r="G72" s="470">
        <v>12</v>
      </c>
      <c r="H72" s="470">
        <v>12</v>
      </c>
      <c r="I72" s="470" t="s">
        <v>291</v>
      </c>
      <c r="J72" s="470" t="s">
        <v>291</v>
      </c>
      <c r="K72" s="470">
        <v>13</v>
      </c>
      <c r="L72" s="470" t="s">
        <v>291</v>
      </c>
      <c r="M72" s="470" t="s">
        <v>291</v>
      </c>
      <c r="N72" s="470" t="s">
        <v>273</v>
      </c>
      <c r="O72" s="470" t="s">
        <v>273</v>
      </c>
      <c r="P72" s="470" t="s">
        <v>517</v>
      </c>
      <c r="Q72" s="470" t="s">
        <v>517</v>
      </c>
      <c r="R72" s="470" t="s">
        <v>517</v>
      </c>
      <c r="S72" s="470" t="s">
        <v>273</v>
      </c>
      <c r="T72" s="470" t="s">
        <v>273</v>
      </c>
      <c r="U72" s="470" t="s">
        <v>273</v>
      </c>
      <c r="V72" s="470" t="s">
        <v>273</v>
      </c>
      <c r="W72" s="470" t="s">
        <v>273</v>
      </c>
      <c r="X72" s="470" t="s">
        <v>273</v>
      </c>
      <c r="Y72" s="470" t="s">
        <v>273</v>
      </c>
      <c r="Z72" s="470" t="s">
        <v>273</v>
      </c>
      <c r="AA72" s="470" t="s">
        <v>273</v>
      </c>
      <c r="AB72" s="470" t="s">
        <v>273</v>
      </c>
      <c r="AC72" s="470" t="s">
        <v>273</v>
      </c>
      <c r="AD72" s="470" t="s">
        <v>273</v>
      </c>
      <c r="AE72" s="470" t="s">
        <v>273</v>
      </c>
      <c r="AF72" s="470" t="s">
        <v>273</v>
      </c>
      <c r="AG72" s="470" t="s">
        <v>273</v>
      </c>
      <c r="AH72" s="470" t="s">
        <v>273</v>
      </c>
      <c r="AI72" s="470" t="s">
        <v>273</v>
      </c>
      <c r="AJ72" s="470" t="s">
        <v>273</v>
      </c>
      <c r="AK72" s="470" t="s">
        <v>273</v>
      </c>
      <c r="AL72" s="470" t="s">
        <v>273</v>
      </c>
    </row>
    <row r="73" spans="1:38">
      <c r="A73" s="470" t="s">
        <v>450</v>
      </c>
      <c r="B73" s="470" t="s">
        <v>273</v>
      </c>
      <c r="C73" s="470" t="s">
        <v>273</v>
      </c>
      <c r="D73" s="470" t="s">
        <v>273</v>
      </c>
      <c r="E73" s="470" t="s">
        <v>273</v>
      </c>
      <c r="F73" s="470" t="s">
        <v>273</v>
      </c>
      <c r="G73" s="470" t="s">
        <v>273</v>
      </c>
      <c r="H73" s="470" t="s">
        <v>273</v>
      </c>
      <c r="I73" s="470" t="s">
        <v>273</v>
      </c>
      <c r="J73" s="470" t="s">
        <v>273</v>
      </c>
      <c r="K73" s="470" t="s">
        <v>273</v>
      </c>
      <c r="L73" s="470" t="s">
        <v>273</v>
      </c>
      <c r="M73" s="470" t="s">
        <v>273</v>
      </c>
      <c r="N73" s="470">
        <v>0</v>
      </c>
      <c r="O73" s="470">
        <v>0</v>
      </c>
      <c r="P73" s="470">
        <v>0</v>
      </c>
      <c r="Q73" s="470">
        <v>0</v>
      </c>
      <c r="R73" s="470">
        <v>0</v>
      </c>
      <c r="S73" s="470">
        <v>-1</v>
      </c>
      <c r="T73" s="470">
        <v>-1</v>
      </c>
      <c r="U73" s="470">
        <v>-2</v>
      </c>
      <c r="V73" s="470">
        <v>0</v>
      </c>
      <c r="W73" s="470">
        <v>0</v>
      </c>
      <c r="X73" s="470">
        <v>0</v>
      </c>
      <c r="Y73" s="470">
        <v>0</v>
      </c>
      <c r="Z73" s="470">
        <v>0</v>
      </c>
      <c r="AA73" s="470">
        <v>0</v>
      </c>
      <c r="AB73" s="470">
        <v>0</v>
      </c>
      <c r="AC73" s="470">
        <v>-1</v>
      </c>
      <c r="AD73" s="470">
        <v>-1</v>
      </c>
      <c r="AE73" s="470">
        <v>-2</v>
      </c>
      <c r="AF73" s="470">
        <v>0</v>
      </c>
      <c r="AG73" s="470">
        <v>0</v>
      </c>
      <c r="AH73" s="470" t="s">
        <v>306</v>
      </c>
      <c r="AI73" s="470" t="s">
        <v>306</v>
      </c>
      <c r="AJ73" s="470" t="s">
        <v>306</v>
      </c>
      <c r="AK73" s="470" t="s">
        <v>306</v>
      </c>
      <c r="AL73" s="470" t="s">
        <v>306</v>
      </c>
    </row>
    <row r="74" spans="1:38">
      <c r="A74" s="470" t="s">
        <v>449</v>
      </c>
      <c r="B74" s="470">
        <v>39</v>
      </c>
      <c r="C74" s="470">
        <v>44</v>
      </c>
      <c r="D74" s="470">
        <v>28</v>
      </c>
      <c r="E74" s="470">
        <v>41</v>
      </c>
      <c r="F74" s="470">
        <v>43</v>
      </c>
      <c r="G74" s="470">
        <v>39</v>
      </c>
      <c r="H74" s="470">
        <v>60</v>
      </c>
      <c r="I74" s="470">
        <v>47</v>
      </c>
      <c r="J74" s="470">
        <v>51</v>
      </c>
      <c r="K74" s="470">
        <v>33</v>
      </c>
      <c r="L74" s="470">
        <v>44</v>
      </c>
      <c r="M74" s="470">
        <v>45</v>
      </c>
      <c r="N74" s="470" t="s">
        <v>273</v>
      </c>
      <c r="O74" s="470" t="s">
        <v>273</v>
      </c>
      <c r="P74" s="470" t="s">
        <v>517</v>
      </c>
      <c r="Q74" s="470" t="s">
        <v>517</v>
      </c>
      <c r="R74" s="470" t="s">
        <v>517</v>
      </c>
      <c r="S74" s="470" t="s">
        <v>273</v>
      </c>
      <c r="T74" s="470" t="s">
        <v>273</v>
      </c>
      <c r="U74" s="470" t="s">
        <v>273</v>
      </c>
      <c r="V74" s="470" t="s">
        <v>273</v>
      </c>
      <c r="W74" s="470" t="s">
        <v>273</v>
      </c>
      <c r="X74" s="470" t="s">
        <v>273</v>
      </c>
      <c r="Y74" s="470" t="s">
        <v>273</v>
      </c>
      <c r="Z74" s="470" t="s">
        <v>273</v>
      </c>
      <c r="AA74" s="470" t="s">
        <v>273</v>
      </c>
      <c r="AB74" s="470" t="s">
        <v>273</v>
      </c>
      <c r="AC74" s="470" t="s">
        <v>273</v>
      </c>
      <c r="AD74" s="470" t="s">
        <v>273</v>
      </c>
      <c r="AE74" s="470" t="s">
        <v>273</v>
      </c>
      <c r="AF74" s="470" t="s">
        <v>273</v>
      </c>
      <c r="AG74" s="470" t="s">
        <v>273</v>
      </c>
      <c r="AH74" s="470" t="s">
        <v>273</v>
      </c>
      <c r="AI74" s="470" t="s">
        <v>273</v>
      </c>
      <c r="AJ74" s="470" t="s">
        <v>273</v>
      </c>
      <c r="AK74" s="470" t="s">
        <v>273</v>
      </c>
      <c r="AL74" s="470" t="s">
        <v>273</v>
      </c>
    </row>
    <row r="75" spans="1:38">
      <c r="A75" s="470" t="s">
        <v>1436</v>
      </c>
      <c r="B75" s="470">
        <v>4723</v>
      </c>
      <c r="C75" s="470">
        <v>7697</v>
      </c>
      <c r="D75" s="470">
        <v>9677</v>
      </c>
      <c r="E75" s="470">
        <v>11336</v>
      </c>
      <c r="F75" s="470">
        <v>16044</v>
      </c>
      <c r="G75" s="470">
        <v>19313</v>
      </c>
      <c r="H75" s="470">
        <v>26824</v>
      </c>
      <c r="I75" s="470" t="s">
        <v>273</v>
      </c>
      <c r="J75" s="470" t="s">
        <v>273</v>
      </c>
      <c r="K75" s="470" t="s">
        <v>273</v>
      </c>
      <c r="L75" s="470" t="s">
        <v>273</v>
      </c>
      <c r="M75" s="470" t="s">
        <v>273</v>
      </c>
      <c r="N75" s="470" t="s">
        <v>273</v>
      </c>
      <c r="O75" s="470" t="s">
        <v>273</v>
      </c>
      <c r="P75" s="470" t="s">
        <v>273</v>
      </c>
      <c r="Q75" s="470" t="s">
        <v>273</v>
      </c>
      <c r="R75" s="470" t="s">
        <v>273</v>
      </c>
      <c r="S75" s="470" t="s">
        <v>273</v>
      </c>
      <c r="T75" s="470" t="s">
        <v>273</v>
      </c>
      <c r="U75" s="470" t="s">
        <v>273</v>
      </c>
      <c r="V75" s="470" t="s">
        <v>273</v>
      </c>
      <c r="W75" s="470" t="s">
        <v>273</v>
      </c>
      <c r="X75" s="470" t="s">
        <v>273</v>
      </c>
      <c r="Y75" s="470" t="s">
        <v>273</v>
      </c>
      <c r="Z75" s="470" t="s">
        <v>273</v>
      </c>
      <c r="AA75" s="470" t="s">
        <v>273</v>
      </c>
      <c r="AB75" s="470" t="s">
        <v>273</v>
      </c>
      <c r="AC75" s="470" t="s">
        <v>273</v>
      </c>
      <c r="AD75" s="470" t="s">
        <v>273</v>
      </c>
      <c r="AE75" s="470" t="s">
        <v>273</v>
      </c>
      <c r="AF75" s="470" t="s">
        <v>273</v>
      </c>
      <c r="AG75" s="470" t="s">
        <v>273</v>
      </c>
      <c r="AH75" s="470" t="s">
        <v>273</v>
      </c>
      <c r="AI75" s="470" t="s">
        <v>273</v>
      </c>
      <c r="AJ75" s="470" t="s">
        <v>273</v>
      </c>
      <c r="AK75" s="470" t="s">
        <v>273</v>
      </c>
      <c r="AL75" s="470" t="s">
        <v>273</v>
      </c>
    </row>
    <row r="76" spans="1:38">
      <c r="A76" s="470" t="s">
        <v>1435</v>
      </c>
      <c r="B76" s="470">
        <v>428</v>
      </c>
      <c r="C76" s="470">
        <v>686</v>
      </c>
      <c r="D76" s="470">
        <v>836</v>
      </c>
      <c r="E76" s="470">
        <v>999</v>
      </c>
      <c r="F76" s="470">
        <v>2152</v>
      </c>
      <c r="G76" s="470">
        <v>3324</v>
      </c>
      <c r="H76" s="470">
        <v>5634</v>
      </c>
      <c r="I76" s="470" t="s">
        <v>273</v>
      </c>
      <c r="J76" s="470" t="s">
        <v>273</v>
      </c>
      <c r="K76" s="470" t="s">
        <v>273</v>
      </c>
      <c r="L76" s="470" t="s">
        <v>273</v>
      </c>
      <c r="M76" s="470" t="s">
        <v>273</v>
      </c>
      <c r="N76" s="470" t="s">
        <v>273</v>
      </c>
      <c r="O76" s="470" t="s">
        <v>273</v>
      </c>
      <c r="P76" s="470" t="s">
        <v>273</v>
      </c>
      <c r="Q76" s="470" t="s">
        <v>273</v>
      </c>
      <c r="R76" s="470" t="s">
        <v>273</v>
      </c>
      <c r="S76" s="470" t="s">
        <v>273</v>
      </c>
      <c r="T76" s="470" t="s">
        <v>273</v>
      </c>
      <c r="U76" s="470" t="s">
        <v>273</v>
      </c>
      <c r="V76" s="470" t="s">
        <v>273</v>
      </c>
      <c r="W76" s="470" t="s">
        <v>273</v>
      </c>
      <c r="X76" s="470" t="s">
        <v>273</v>
      </c>
      <c r="Y76" s="470" t="s">
        <v>273</v>
      </c>
      <c r="Z76" s="470" t="s">
        <v>273</v>
      </c>
      <c r="AA76" s="470" t="s">
        <v>273</v>
      </c>
      <c r="AB76" s="470" t="s">
        <v>273</v>
      </c>
      <c r="AC76" s="470" t="s">
        <v>273</v>
      </c>
      <c r="AD76" s="470" t="s">
        <v>273</v>
      </c>
      <c r="AE76" s="470" t="s">
        <v>273</v>
      </c>
      <c r="AF76" s="470" t="s">
        <v>273</v>
      </c>
      <c r="AG76" s="470" t="s">
        <v>273</v>
      </c>
      <c r="AH76" s="470" t="s">
        <v>273</v>
      </c>
      <c r="AI76" s="470" t="s">
        <v>273</v>
      </c>
      <c r="AJ76" s="470" t="s">
        <v>273</v>
      </c>
      <c r="AK76" s="470" t="s">
        <v>273</v>
      </c>
      <c r="AL76" s="470" t="s">
        <v>273</v>
      </c>
    </row>
    <row r="77" spans="1:38">
      <c r="A77" s="470" t="s">
        <v>322</v>
      </c>
      <c r="B77" s="470">
        <v>338</v>
      </c>
      <c r="C77" s="470">
        <v>572</v>
      </c>
      <c r="D77" s="470">
        <v>730</v>
      </c>
      <c r="E77" s="470">
        <v>930</v>
      </c>
      <c r="F77" s="470">
        <v>2125</v>
      </c>
      <c r="G77" s="470">
        <v>3264</v>
      </c>
      <c r="H77" s="470">
        <v>5466</v>
      </c>
      <c r="I77" s="470" t="s">
        <v>273</v>
      </c>
      <c r="J77" s="470" t="s">
        <v>273</v>
      </c>
      <c r="K77" s="470" t="s">
        <v>273</v>
      </c>
      <c r="L77" s="470" t="s">
        <v>273</v>
      </c>
      <c r="M77" s="470" t="s">
        <v>273</v>
      </c>
      <c r="N77" s="470" t="s">
        <v>273</v>
      </c>
      <c r="O77" s="470" t="s">
        <v>273</v>
      </c>
      <c r="P77" s="470" t="s">
        <v>273</v>
      </c>
      <c r="Q77" s="470" t="s">
        <v>273</v>
      </c>
      <c r="R77" s="470" t="s">
        <v>273</v>
      </c>
      <c r="S77" s="470" t="s">
        <v>273</v>
      </c>
      <c r="T77" s="470" t="s">
        <v>273</v>
      </c>
      <c r="U77" s="470" t="s">
        <v>273</v>
      </c>
      <c r="V77" s="470" t="s">
        <v>273</v>
      </c>
      <c r="W77" s="470" t="s">
        <v>273</v>
      </c>
      <c r="X77" s="470" t="s">
        <v>273</v>
      </c>
      <c r="Y77" s="470" t="s">
        <v>273</v>
      </c>
      <c r="Z77" s="470" t="s">
        <v>273</v>
      </c>
      <c r="AA77" s="470" t="s">
        <v>273</v>
      </c>
      <c r="AB77" s="470" t="s">
        <v>273</v>
      </c>
      <c r="AC77" s="470" t="s">
        <v>273</v>
      </c>
      <c r="AD77" s="470" t="s">
        <v>273</v>
      </c>
      <c r="AE77" s="470" t="s">
        <v>273</v>
      </c>
      <c r="AF77" s="470" t="s">
        <v>273</v>
      </c>
      <c r="AG77" s="470" t="s">
        <v>273</v>
      </c>
      <c r="AH77" s="470" t="s">
        <v>273</v>
      </c>
      <c r="AI77" s="470" t="s">
        <v>273</v>
      </c>
      <c r="AJ77" s="470" t="s">
        <v>273</v>
      </c>
      <c r="AK77" s="470" t="s">
        <v>273</v>
      </c>
      <c r="AL77" s="470" t="s">
        <v>273</v>
      </c>
    </row>
    <row r="78" spans="1:38">
      <c r="A78" s="470" t="s">
        <v>314</v>
      </c>
      <c r="B78" s="470">
        <v>74</v>
      </c>
      <c r="C78" s="470">
        <v>98</v>
      </c>
      <c r="D78" s="470">
        <v>96</v>
      </c>
      <c r="E78" s="470">
        <v>98</v>
      </c>
      <c r="F78" s="470">
        <v>52</v>
      </c>
      <c r="G78" s="470">
        <v>72</v>
      </c>
      <c r="H78" s="470">
        <v>97</v>
      </c>
      <c r="I78" s="470" t="s">
        <v>273</v>
      </c>
      <c r="J78" s="470" t="s">
        <v>273</v>
      </c>
      <c r="K78" s="470" t="s">
        <v>273</v>
      </c>
      <c r="L78" s="470" t="s">
        <v>273</v>
      </c>
      <c r="M78" s="470" t="s">
        <v>273</v>
      </c>
      <c r="N78" s="470" t="s">
        <v>273</v>
      </c>
      <c r="O78" s="470" t="s">
        <v>273</v>
      </c>
      <c r="P78" s="470" t="s">
        <v>273</v>
      </c>
      <c r="Q78" s="470" t="s">
        <v>273</v>
      </c>
      <c r="R78" s="470" t="s">
        <v>273</v>
      </c>
      <c r="S78" s="470" t="s">
        <v>273</v>
      </c>
      <c r="T78" s="470" t="s">
        <v>273</v>
      </c>
      <c r="U78" s="470" t="s">
        <v>273</v>
      </c>
      <c r="V78" s="470" t="s">
        <v>273</v>
      </c>
      <c r="W78" s="470" t="s">
        <v>273</v>
      </c>
      <c r="X78" s="470" t="s">
        <v>273</v>
      </c>
      <c r="Y78" s="470" t="s">
        <v>273</v>
      </c>
      <c r="Z78" s="470" t="s">
        <v>273</v>
      </c>
      <c r="AA78" s="470" t="s">
        <v>273</v>
      </c>
      <c r="AB78" s="470" t="s">
        <v>273</v>
      </c>
      <c r="AC78" s="470" t="s">
        <v>273</v>
      </c>
      <c r="AD78" s="470" t="s">
        <v>273</v>
      </c>
      <c r="AE78" s="470" t="s">
        <v>273</v>
      </c>
      <c r="AF78" s="470" t="s">
        <v>273</v>
      </c>
      <c r="AG78" s="470" t="s">
        <v>273</v>
      </c>
      <c r="AH78" s="470" t="s">
        <v>273</v>
      </c>
      <c r="AI78" s="470" t="s">
        <v>273</v>
      </c>
      <c r="AJ78" s="470" t="s">
        <v>273</v>
      </c>
      <c r="AK78" s="470" t="s">
        <v>273</v>
      </c>
      <c r="AL78" s="470" t="s">
        <v>273</v>
      </c>
    </row>
    <row r="79" spans="1:38">
      <c r="A79" s="470" t="s">
        <v>391</v>
      </c>
      <c r="B79" s="470">
        <v>16</v>
      </c>
      <c r="C79" s="470">
        <v>16</v>
      </c>
      <c r="D79" s="470">
        <v>10</v>
      </c>
      <c r="E79" s="470">
        <v>-28</v>
      </c>
      <c r="F79" s="470">
        <v>-25</v>
      </c>
      <c r="G79" s="470">
        <v>-12</v>
      </c>
      <c r="H79" s="470">
        <v>72</v>
      </c>
      <c r="I79" s="470" t="s">
        <v>273</v>
      </c>
      <c r="J79" s="470" t="s">
        <v>273</v>
      </c>
      <c r="K79" s="470" t="s">
        <v>273</v>
      </c>
      <c r="L79" s="470" t="s">
        <v>273</v>
      </c>
      <c r="M79" s="470" t="s">
        <v>273</v>
      </c>
      <c r="N79" s="470" t="s">
        <v>273</v>
      </c>
      <c r="O79" s="470" t="s">
        <v>273</v>
      </c>
      <c r="P79" s="470" t="s">
        <v>273</v>
      </c>
      <c r="Q79" s="470" t="s">
        <v>273</v>
      </c>
      <c r="R79" s="470" t="s">
        <v>273</v>
      </c>
      <c r="S79" s="470" t="s">
        <v>273</v>
      </c>
      <c r="T79" s="470" t="s">
        <v>273</v>
      </c>
      <c r="U79" s="470" t="s">
        <v>273</v>
      </c>
      <c r="V79" s="470" t="s">
        <v>273</v>
      </c>
      <c r="W79" s="470" t="s">
        <v>273</v>
      </c>
      <c r="X79" s="470" t="s">
        <v>273</v>
      </c>
      <c r="Y79" s="470" t="s">
        <v>273</v>
      </c>
      <c r="Z79" s="470" t="s">
        <v>273</v>
      </c>
      <c r="AA79" s="470" t="s">
        <v>273</v>
      </c>
      <c r="AB79" s="470" t="s">
        <v>273</v>
      </c>
      <c r="AC79" s="470" t="s">
        <v>273</v>
      </c>
      <c r="AD79" s="470" t="s">
        <v>273</v>
      </c>
      <c r="AE79" s="470" t="s">
        <v>273</v>
      </c>
      <c r="AF79" s="470" t="s">
        <v>273</v>
      </c>
      <c r="AG79" s="470" t="s">
        <v>273</v>
      </c>
      <c r="AH79" s="470" t="s">
        <v>273</v>
      </c>
      <c r="AI79" s="470" t="s">
        <v>273</v>
      </c>
      <c r="AJ79" s="470" t="s">
        <v>273</v>
      </c>
      <c r="AK79" s="470" t="s">
        <v>273</v>
      </c>
      <c r="AL79" s="470" t="s">
        <v>273</v>
      </c>
    </row>
    <row r="80" spans="1:38">
      <c r="A80" s="470" t="s">
        <v>448</v>
      </c>
      <c r="B80" s="470">
        <v>9678</v>
      </c>
      <c r="C80" s="470">
        <v>11739</v>
      </c>
      <c r="D80" s="470">
        <v>14229</v>
      </c>
      <c r="E80" s="470">
        <v>15035</v>
      </c>
      <c r="F80" s="470">
        <v>16201</v>
      </c>
      <c r="G80" s="470">
        <v>16826</v>
      </c>
      <c r="H80" s="470">
        <v>16763</v>
      </c>
      <c r="I80" s="470">
        <v>10103</v>
      </c>
      <c r="J80" s="470">
        <v>11243</v>
      </c>
      <c r="K80" s="470">
        <v>16218</v>
      </c>
      <c r="L80" s="470">
        <v>20168</v>
      </c>
      <c r="M80" s="470">
        <v>14546</v>
      </c>
      <c r="N80" s="470">
        <v>19481</v>
      </c>
      <c r="O80" s="470">
        <v>21908</v>
      </c>
      <c r="P80" s="470">
        <v>24526</v>
      </c>
      <c r="Q80" s="470">
        <v>27873</v>
      </c>
      <c r="R80" s="470">
        <v>28002</v>
      </c>
      <c r="S80" s="470">
        <v>33602</v>
      </c>
      <c r="T80" s="470">
        <v>28056</v>
      </c>
      <c r="U80" s="470">
        <v>40771</v>
      </c>
      <c r="V80" s="470">
        <v>53691</v>
      </c>
      <c r="W80" s="470">
        <v>64842</v>
      </c>
      <c r="X80" s="470">
        <v>74867</v>
      </c>
      <c r="Y80" s="470">
        <v>84134</v>
      </c>
      <c r="Z80" s="470">
        <v>76268</v>
      </c>
      <c r="AA80" s="470">
        <v>57175</v>
      </c>
      <c r="AB80" s="470">
        <v>66583</v>
      </c>
      <c r="AC80" s="470">
        <v>58869</v>
      </c>
      <c r="AD80" s="470">
        <v>56538</v>
      </c>
      <c r="AE80" s="470">
        <v>32961</v>
      </c>
      <c r="AF80" s="470">
        <v>62130</v>
      </c>
      <c r="AG80" s="470">
        <v>78310</v>
      </c>
      <c r="AH80" s="470">
        <v>83525</v>
      </c>
      <c r="AI80" s="470">
        <v>100482</v>
      </c>
      <c r="AJ80" s="470">
        <v>117051</v>
      </c>
      <c r="AK80" s="470">
        <v>117301</v>
      </c>
      <c r="AL80" s="470">
        <v>124798</v>
      </c>
    </row>
    <row r="81" spans="1:38">
      <c r="A81" s="470" t="s">
        <v>1434</v>
      </c>
      <c r="B81" s="470">
        <v>1260</v>
      </c>
      <c r="C81" s="470">
        <v>1426</v>
      </c>
      <c r="D81" s="470">
        <v>2806</v>
      </c>
      <c r="E81" s="470">
        <v>2747</v>
      </c>
      <c r="F81" s="470">
        <v>2859</v>
      </c>
      <c r="G81" s="470">
        <v>3491</v>
      </c>
      <c r="H81" s="470">
        <v>4190</v>
      </c>
      <c r="I81" s="470">
        <v>3935</v>
      </c>
      <c r="J81" s="470">
        <v>4331</v>
      </c>
      <c r="K81" s="470">
        <v>5819</v>
      </c>
      <c r="L81" s="470">
        <v>6140</v>
      </c>
      <c r="M81" s="470">
        <v>6818</v>
      </c>
      <c r="N81" s="470">
        <v>7725</v>
      </c>
      <c r="O81" s="470">
        <v>6518</v>
      </c>
      <c r="P81" s="470">
        <v>7021</v>
      </c>
      <c r="Q81" s="470">
        <v>8067</v>
      </c>
      <c r="R81" s="470">
        <v>8823</v>
      </c>
      <c r="S81" s="470">
        <v>9632</v>
      </c>
      <c r="T81" s="470">
        <v>8972</v>
      </c>
      <c r="U81" s="470">
        <v>8340</v>
      </c>
      <c r="V81" s="470">
        <v>13384</v>
      </c>
      <c r="W81" s="470">
        <v>15498</v>
      </c>
      <c r="X81" s="470">
        <v>18860</v>
      </c>
      <c r="Y81" s="470">
        <v>22910</v>
      </c>
      <c r="Z81" s="470">
        <v>25001</v>
      </c>
      <c r="AA81" s="470">
        <v>22507</v>
      </c>
      <c r="AB81" s="470">
        <v>24171</v>
      </c>
      <c r="AC81" s="470">
        <v>16685</v>
      </c>
      <c r="AD81" s="470">
        <v>13581</v>
      </c>
      <c r="AE81" s="470">
        <v>14583</v>
      </c>
      <c r="AF81" s="470">
        <v>17943</v>
      </c>
      <c r="AG81" s="470">
        <v>24783</v>
      </c>
      <c r="AH81" s="470">
        <v>23754</v>
      </c>
      <c r="AI81" s="470">
        <v>25036</v>
      </c>
      <c r="AJ81" s="470">
        <v>25083</v>
      </c>
      <c r="AK81" s="470">
        <v>25755</v>
      </c>
      <c r="AL81" s="470">
        <v>25805</v>
      </c>
    </row>
    <row r="82" spans="1:38">
      <c r="A82" s="470" t="s">
        <v>445</v>
      </c>
      <c r="B82" s="470" t="s">
        <v>273</v>
      </c>
      <c r="C82" s="470" t="s">
        <v>273</v>
      </c>
      <c r="D82" s="470" t="s">
        <v>273</v>
      </c>
      <c r="E82" s="470" t="s">
        <v>273</v>
      </c>
      <c r="F82" s="470" t="s">
        <v>273</v>
      </c>
      <c r="G82" s="470" t="s">
        <v>273</v>
      </c>
      <c r="H82" s="470" t="s">
        <v>273</v>
      </c>
      <c r="I82" s="470">
        <v>293</v>
      </c>
      <c r="J82" s="470">
        <v>286</v>
      </c>
      <c r="K82" s="470">
        <v>428</v>
      </c>
      <c r="L82" s="470">
        <v>377</v>
      </c>
      <c r="M82" s="470">
        <v>534</v>
      </c>
      <c r="N82" s="470">
        <v>449</v>
      </c>
      <c r="O82" s="470">
        <v>653</v>
      </c>
      <c r="P82" s="470">
        <v>625</v>
      </c>
      <c r="Q82" s="470">
        <v>750</v>
      </c>
      <c r="R82" s="470">
        <v>697</v>
      </c>
      <c r="S82" s="470">
        <v>706</v>
      </c>
      <c r="T82" s="470">
        <v>625</v>
      </c>
      <c r="U82" s="470">
        <v>735</v>
      </c>
      <c r="V82" s="470">
        <v>882</v>
      </c>
      <c r="W82" s="470">
        <v>596</v>
      </c>
      <c r="X82" s="470">
        <v>923</v>
      </c>
      <c r="Y82" s="470">
        <v>548</v>
      </c>
      <c r="Z82" s="470">
        <v>1195</v>
      </c>
      <c r="AA82" s="470">
        <v>2051</v>
      </c>
      <c r="AB82" s="470">
        <v>1054</v>
      </c>
      <c r="AC82" s="470">
        <v>2091</v>
      </c>
      <c r="AD82" s="470">
        <v>16</v>
      </c>
      <c r="AE82" s="470">
        <v>-1430</v>
      </c>
      <c r="AF82" s="470">
        <v>1357</v>
      </c>
      <c r="AG82" s="470">
        <v>5077</v>
      </c>
      <c r="AH82" s="470">
        <v>3562</v>
      </c>
      <c r="AI82" s="470">
        <v>1891</v>
      </c>
      <c r="AJ82" s="470">
        <v>1444</v>
      </c>
      <c r="AK82" s="470">
        <v>551</v>
      </c>
      <c r="AL82" s="470">
        <v>-1831</v>
      </c>
    </row>
    <row r="83" spans="1:38">
      <c r="A83" s="470" t="s">
        <v>429</v>
      </c>
      <c r="B83" s="470" t="s">
        <v>273</v>
      </c>
      <c r="C83" s="470" t="s">
        <v>273</v>
      </c>
      <c r="D83" s="470" t="s">
        <v>273</v>
      </c>
      <c r="E83" s="470" t="s">
        <v>273</v>
      </c>
      <c r="F83" s="470" t="s">
        <v>273</v>
      </c>
      <c r="G83" s="470" t="s">
        <v>273</v>
      </c>
      <c r="H83" s="470" t="s">
        <v>273</v>
      </c>
      <c r="I83" s="470">
        <v>180</v>
      </c>
      <c r="J83" s="470">
        <v>218</v>
      </c>
      <c r="K83" s="470">
        <v>350</v>
      </c>
      <c r="L83" s="470">
        <v>575</v>
      </c>
      <c r="M83" s="470">
        <v>747</v>
      </c>
      <c r="N83" s="470">
        <v>1406</v>
      </c>
      <c r="O83" s="470">
        <v>1244</v>
      </c>
      <c r="P83" s="470">
        <v>2069</v>
      </c>
      <c r="Q83" s="470">
        <v>1850</v>
      </c>
      <c r="R83" s="470">
        <v>1641</v>
      </c>
      <c r="S83" s="470">
        <v>3100</v>
      </c>
      <c r="T83" s="470">
        <v>2055</v>
      </c>
      <c r="U83" s="470">
        <v>1999</v>
      </c>
      <c r="V83" s="470">
        <v>7462</v>
      </c>
      <c r="W83" s="470">
        <v>6645</v>
      </c>
      <c r="X83" s="470">
        <v>7829</v>
      </c>
      <c r="Y83" s="470">
        <v>9022</v>
      </c>
      <c r="Z83" s="470">
        <v>7592</v>
      </c>
      <c r="AA83" s="470">
        <v>3595</v>
      </c>
      <c r="AB83" s="470">
        <v>5310</v>
      </c>
      <c r="AC83" s="470">
        <v>8478</v>
      </c>
      <c r="AD83" s="470">
        <v>8420</v>
      </c>
      <c r="AE83" s="470">
        <v>11111</v>
      </c>
      <c r="AF83" s="470">
        <v>10970</v>
      </c>
      <c r="AG83" s="470">
        <v>12500</v>
      </c>
      <c r="AH83" s="470">
        <v>12751</v>
      </c>
      <c r="AI83" s="470">
        <v>15869</v>
      </c>
      <c r="AJ83" s="470">
        <v>15198</v>
      </c>
      <c r="AK83" s="470">
        <v>15209</v>
      </c>
      <c r="AL83" s="470">
        <v>16757</v>
      </c>
    </row>
    <row r="84" spans="1:38">
      <c r="A84" s="470" t="s">
        <v>428</v>
      </c>
      <c r="B84" s="470">
        <v>811</v>
      </c>
      <c r="C84" s="470">
        <v>913</v>
      </c>
      <c r="D84" s="470">
        <v>2168</v>
      </c>
      <c r="E84" s="470">
        <v>2073</v>
      </c>
      <c r="F84" s="470">
        <v>1924</v>
      </c>
      <c r="G84" s="470">
        <v>2204</v>
      </c>
      <c r="H84" s="470">
        <v>2202</v>
      </c>
      <c r="I84" s="470">
        <v>2627</v>
      </c>
      <c r="J84" s="470">
        <v>2878</v>
      </c>
      <c r="K84" s="470">
        <v>3392</v>
      </c>
      <c r="L84" s="470">
        <v>4188</v>
      </c>
      <c r="M84" s="470">
        <v>4500</v>
      </c>
      <c r="N84" s="470">
        <v>5069</v>
      </c>
      <c r="O84" s="470">
        <v>4652</v>
      </c>
      <c r="P84" s="470">
        <v>4253</v>
      </c>
      <c r="Q84" s="470">
        <v>4939</v>
      </c>
      <c r="R84" s="470">
        <v>6014</v>
      </c>
      <c r="S84" s="470">
        <v>5599</v>
      </c>
      <c r="T84" s="470">
        <v>6227</v>
      </c>
      <c r="U84" s="470">
        <v>5275</v>
      </c>
      <c r="V84" s="470">
        <v>3819</v>
      </c>
      <c r="W84" s="470">
        <v>4385</v>
      </c>
      <c r="X84" s="470">
        <v>5841</v>
      </c>
      <c r="Y84" s="470">
        <v>8874</v>
      </c>
      <c r="Z84" s="470">
        <v>10408</v>
      </c>
      <c r="AA84" s="470">
        <v>10983</v>
      </c>
      <c r="AB84" s="470">
        <v>11924</v>
      </c>
      <c r="AC84" s="470">
        <v>1066</v>
      </c>
      <c r="AD84" s="470">
        <v>916</v>
      </c>
      <c r="AE84" s="470">
        <v>1101</v>
      </c>
      <c r="AF84" s="470">
        <v>952</v>
      </c>
      <c r="AG84" s="470">
        <v>1135</v>
      </c>
      <c r="AH84" s="470">
        <v>1218</v>
      </c>
      <c r="AI84" s="470">
        <v>1527</v>
      </c>
      <c r="AJ84" s="470">
        <v>2350</v>
      </c>
      <c r="AK84" s="470">
        <v>2592</v>
      </c>
      <c r="AL84" s="470">
        <v>2922</v>
      </c>
    </row>
    <row r="85" spans="1:38">
      <c r="A85" s="470" t="s">
        <v>440</v>
      </c>
      <c r="B85" s="470" t="s">
        <v>273</v>
      </c>
      <c r="C85" s="470" t="s">
        <v>273</v>
      </c>
      <c r="D85" s="470" t="s">
        <v>273</v>
      </c>
      <c r="E85" s="470" t="s">
        <v>273</v>
      </c>
      <c r="F85" s="470" t="s">
        <v>273</v>
      </c>
      <c r="G85" s="470" t="s">
        <v>273</v>
      </c>
      <c r="H85" s="470" t="s">
        <v>273</v>
      </c>
      <c r="I85" s="470">
        <v>411</v>
      </c>
      <c r="J85" s="470">
        <v>540</v>
      </c>
      <c r="K85" s="470">
        <v>1163</v>
      </c>
      <c r="L85" s="470">
        <v>496</v>
      </c>
      <c r="M85" s="470">
        <v>512</v>
      </c>
      <c r="N85" s="470">
        <v>394</v>
      </c>
      <c r="O85" s="470">
        <v>-445</v>
      </c>
      <c r="P85" s="470">
        <v>-312</v>
      </c>
      <c r="Q85" s="470">
        <v>-152</v>
      </c>
      <c r="R85" s="470">
        <v>-4</v>
      </c>
      <c r="S85" s="470">
        <v>-332</v>
      </c>
      <c r="T85" s="470">
        <v>-483</v>
      </c>
      <c r="U85" s="470">
        <v>-65</v>
      </c>
      <c r="V85" s="470">
        <v>792</v>
      </c>
      <c r="W85" s="470">
        <v>3814</v>
      </c>
      <c r="X85" s="470">
        <v>4304</v>
      </c>
      <c r="Y85" s="470">
        <v>4349</v>
      </c>
      <c r="Z85" s="470">
        <v>5009</v>
      </c>
      <c r="AA85" s="470">
        <v>5292</v>
      </c>
      <c r="AB85" s="470">
        <v>5380</v>
      </c>
      <c r="AC85" s="470">
        <v>4051</v>
      </c>
      <c r="AD85" s="470">
        <v>2402</v>
      </c>
      <c r="AE85" s="470">
        <v>2612</v>
      </c>
      <c r="AF85" s="470">
        <v>3122</v>
      </c>
      <c r="AG85" s="470">
        <v>3898</v>
      </c>
      <c r="AH85" s="470">
        <v>4393</v>
      </c>
      <c r="AI85" s="470">
        <v>3881</v>
      </c>
      <c r="AJ85" s="470">
        <v>3926</v>
      </c>
      <c r="AK85" s="470">
        <v>4187</v>
      </c>
      <c r="AL85" s="470">
        <v>4457</v>
      </c>
    </row>
    <row r="86" spans="1:38">
      <c r="A86" s="470" t="s">
        <v>67</v>
      </c>
      <c r="B86" s="470">
        <v>449</v>
      </c>
      <c r="C86" s="470">
        <v>513</v>
      </c>
      <c r="D86" s="470">
        <v>638</v>
      </c>
      <c r="E86" s="470">
        <v>674</v>
      </c>
      <c r="F86" s="470">
        <v>935</v>
      </c>
      <c r="G86" s="470">
        <v>1287</v>
      </c>
      <c r="H86" s="470">
        <v>1988</v>
      </c>
      <c r="I86" s="470">
        <v>425</v>
      </c>
      <c r="J86" s="470">
        <v>409</v>
      </c>
      <c r="K86" s="470">
        <v>486</v>
      </c>
      <c r="L86" s="470">
        <v>504</v>
      </c>
      <c r="M86" s="470">
        <v>525</v>
      </c>
      <c r="N86" s="470">
        <v>407</v>
      </c>
      <c r="O86" s="470">
        <v>413</v>
      </c>
      <c r="P86" s="470">
        <v>387</v>
      </c>
      <c r="Q86" s="470">
        <v>679</v>
      </c>
      <c r="R86" s="470">
        <v>475</v>
      </c>
      <c r="S86" s="470">
        <v>559</v>
      </c>
      <c r="T86" s="470">
        <v>548</v>
      </c>
      <c r="U86" s="470">
        <v>396</v>
      </c>
      <c r="V86" s="470">
        <v>429</v>
      </c>
      <c r="W86" s="470">
        <v>58</v>
      </c>
      <c r="X86" s="470">
        <v>-37</v>
      </c>
      <c r="Y86" s="470">
        <v>118</v>
      </c>
      <c r="Z86" s="470">
        <v>796</v>
      </c>
      <c r="AA86" s="470">
        <v>586</v>
      </c>
      <c r="AB86" s="470">
        <v>504</v>
      </c>
      <c r="AC86" s="470">
        <v>999</v>
      </c>
      <c r="AD86" s="470">
        <v>1827</v>
      </c>
      <c r="AE86" s="470">
        <v>1191</v>
      </c>
      <c r="AF86" s="470">
        <v>1543</v>
      </c>
      <c r="AG86" s="470">
        <v>2173</v>
      </c>
      <c r="AH86" s="470">
        <v>1830</v>
      </c>
      <c r="AI86" s="470">
        <v>1868</v>
      </c>
      <c r="AJ86" s="470">
        <v>2166</v>
      </c>
      <c r="AK86" s="470">
        <v>3216</v>
      </c>
      <c r="AL86" s="470">
        <v>3500</v>
      </c>
    </row>
    <row r="87" spans="1:38">
      <c r="A87" s="470" t="s">
        <v>1433</v>
      </c>
      <c r="B87" s="470">
        <v>70</v>
      </c>
      <c r="C87" s="470">
        <v>149</v>
      </c>
      <c r="D87" s="470">
        <v>130</v>
      </c>
      <c r="E87" s="470">
        <v>194</v>
      </c>
      <c r="F87" s="470">
        <v>237</v>
      </c>
      <c r="G87" s="470">
        <v>280</v>
      </c>
      <c r="H87" s="470">
        <v>292</v>
      </c>
      <c r="I87" s="470">
        <v>305</v>
      </c>
      <c r="J87" s="470">
        <v>291</v>
      </c>
      <c r="K87" s="470">
        <v>370</v>
      </c>
      <c r="L87" s="470">
        <v>420</v>
      </c>
      <c r="M87" s="470">
        <v>407</v>
      </c>
      <c r="N87" s="470">
        <v>307</v>
      </c>
      <c r="O87" s="470">
        <v>297</v>
      </c>
      <c r="P87" s="470">
        <v>335</v>
      </c>
      <c r="Q87" s="470">
        <v>673</v>
      </c>
      <c r="R87" s="470">
        <v>438</v>
      </c>
      <c r="S87" s="470">
        <v>408</v>
      </c>
      <c r="T87" s="470">
        <v>420</v>
      </c>
      <c r="U87" s="470">
        <v>389</v>
      </c>
      <c r="V87" s="470">
        <v>364</v>
      </c>
      <c r="W87" s="470">
        <v>402</v>
      </c>
      <c r="X87" s="470">
        <v>989</v>
      </c>
      <c r="Y87" s="470">
        <v>599</v>
      </c>
      <c r="Z87" s="470">
        <v>466</v>
      </c>
      <c r="AA87" s="470">
        <v>364</v>
      </c>
      <c r="AB87" s="470">
        <v>338</v>
      </c>
      <c r="AC87" s="470">
        <v>339</v>
      </c>
      <c r="AD87" s="470">
        <v>435</v>
      </c>
      <c r="AE87" s="470">
        <v>118</v>
      </c>
      <c r="AF87" s="470">
        <v>464</v>
      </c>
      <c r="AG87" s="470">
        <v>268</v>
      </c>
      <c r="AH87" s="470">
        <v>170</v>
      </c>
      <c r="AI87" s="470">
        <v>106</v>
      </c>
      <c r="AJ87" s="470">
        <v>898</v>
      </c>
      <c r="AK87" s="470">
        <v>851</v>
      </c>
      <c r="AL87" s="470">
        <v>823</v>
      </c>
    </row>
    <row r="88" spans="1:38">
      <c r="A88" s="470" t="s">
        <v>427</v>
      </c>
      <c r="B88" s="470" t="s">
        <v>291</v>
      </c>
      <c r="C88" s="470" t="s">
        <v>291</v>
      </c>
      <c r="D88" s="470" t="s">
        <v>306</v>
      </c>
      <c r="E88" s="470" t="s">
        <v>291</v>
      </c>
      <c r="F88" s="470" t="s">
        <v>306</v>
      </c>
      <c r="G88" s="470" t="s">
        <v>291</v>
      </c>
      <c r="H88" s="470" t="s">
        <v>291</v>
      </c>
      <c r="I88" s="470">
        <v>0</v>
      </c>
      <c r="J88" s="470">
        <v>0</v>
      </c>
      <c r="K88" s="470">
        <v>-1</v>
      </c>
      <c r="L88" s="470" t="s">
        <v>291</v>
      </c>
      <c r="M88" s="470">
        <v>-1</v>
      </c>
      <c r="N88" s="470">
        <v>-1</v>
      </c>
      <c r="O88" s="470">
        <v>0</v>
      </c>
      <c r="P88" s="470">
        <v>0</v>
      </c>
      <c r="Q88" s="470">
        <v>0</v>
      </c>
      <c r="R88" s="470">
        <v>0</v>
      </c>
      <c r="S88" s="470">
        <v>0</v>
      </c>
      <c r="T88" s="470">
        <v>0</v>
      </c>
      <c r="U88" s="470">
        <v>0</v>
      </c>
      <c r="V88" s="470">
        <v>0</v>
      </c>
      <c r="W88" s="470">
        <v>0</v>
      </c>
      <c r="X88" s="470">
        <v>0</v>
      </c>
      <c r="Y88" s="470">
        <v>0</v>
      </c>
      <c r="Z88" s="470" t="s">
        <v>306</v>
      </c>
      <c r="AA88" s="470">
        <v>5</v>
      </c>
      <c r="AB88" s="470">
        <v>6</v>
      </c>
      <c r="AC88" s="470" t="s">
        <v>291</v>
      </c>
      <c r="AD88" s="470" t="s">
        <v>291</v>
      </c>
      <c r="AE88" s="470">
        <v>8</v>
      </c>
      <c r="AF88" s="470" t="s">
        <v>291</v>
      </c>
      <c r="AG88" s="470" t="s">
        <v>291</v>
      </c>
      <c r="AH88" s="470" t="s">
        <v>291</v>
      </c>
      <c r="AI88" s="470">
        <v>14</v>
      </c>
      <c r="AJ88" s="470">
        <v>13</v>
      </c>
      <c r="AK88" s="470">
        <v>13</v>
      </c>
      <c r="AL88" s="470" t="s">
        <v>291</v>
      </c>
    </row>
    <row r="89" spans="1:38">
      <c r="A89" s="470" t="s">
        <v>439</v>
      </c>
      <c r="B89" s="470">
        <v>0</v>
      </c>
      <c r="C89" s="470">
        <v>0</v>
      </c>
      <c r="D89" s="470">
        <v>0</v>
      </c>
      <c r="E89" s="470">
        <v>0</v>
      </c>
      <c r="F89" s="470">
        <v>-2</v>
      </c>
      <c r="G89" s="470">
        <v>0</v>
      </c>
      <c r="H89" s="470">
        <v>0</v>
      </c>
      <c r="I89" s="470">
        <v>0</v>
      </c>
      <c r="J89" s="470">
        <v>-1</v>
      </c>
      <c r="K89" s="470">
        <v>0</v>
      </c>
      <c r="L89" s="470">
        <v>-2</v>
      </c>
      <c r="M89" s="470" t="s">
        <v>306</v>
      </c>
      <c r="N89" s="470" t="s">
        <v>291</v>
      </c>
      <c r="O89" s="470" t="s">
        <v>291</v>
      </c>
      <c r="P89" s="470" t="s">
        <v>291</v>
      </c>
      <c r="Q89" s="470" t="s">
        <v>291</v>
      </c>
      <c r="R89" s="470" t="s">
        <v>291</v>
      </c>
      <c r="S89" s="470" t="s">
        <v>291</v>
      </c>
      <c r="T89" s="470" t="s">
        <v>291</v>
      </c>
      <c r="U89" s="470" t="s">
        <v>291</v>
      </c>
      <c r="V89" s="470">
        <v>-4</v>
      </c>
      <c r="W89" s="470">
        <v>-4</v>
      </c>
      <c r="X89" s="470">
        <v>-2</v>
      </c>
      <c r="Y89" s="470">
        <v>-1</v>
      </c>
      <c r="Z89" s="470" t="s">
        <v>306</v>
      </c>
      <c r="AA89" s="470" t="s">
        <v>306</v>
      </c>
      <c r="AB89" s="470">
        <v>2</v>
      </c>
      <c r="AC89" s="470">
        <v>2</v>
      </c>
      <c r="AD89" s="470">
        <v>4</v>
      </c>
      <c r="AE89" s="470">
        <v>3</v>
      </c>
      <c r="AF89" s="470">
        <v>2</v>
      </c>
      <c r="AG89" s="470">
        <v>11</v>
      </c>
      <c r="AH89" s="470">
        <v>-17</v>
      </c>
      <c r="AI89" s="470" t="s">
        <v>291</v>
      </c>
      <c r="AJ89" s="470" t="s">
        <v>291</v>
      </c>
      <c r="AK89" s="470">
        <v>-16</v>
      </c>
      <c r="AL89" s="470">
        <v>-27</v>
      </c>
    </row>
    <row r="90" spans="1:38">
      <c r="A90" s="470" t="s">
        <v>1432</v>
      </c>
      <c r="B90" s="470">
        <v>155</v>
      </c>
      <c r="C90" s="470">
        <v>110</v>
      </c>
      <c r="D90" s="470">
        <v>100</v>
      </c>
      <c r="E90" s="470">
        <v>84</v>
      </c>
      <c r="F90" s="470">
        <v>160</v>
      </c>
      <c r="G90" s="470">
        <v>201</v>
      </c>
      <c r="H90" s="470">
        <v>182</v>
      </c>
      <c r="I90" s="470" t="s">
        <v>273</v>
      </c>
      <c r="J90" s="470" t="s">
        <v>273</v>
      </c>
      <c r="K90" s="470" t="s">
        <v>273</v>
      </c>
      <c r="L90" s="470" t="s">
        <v>273</v>
      </c>
      <c r="M90" s="470" t="s">
        <v>273</v>
      </c>
      <c r="N90" s="470" t="s">
        <v>273</v>
      </c>
      <c r="O90" s="470" t="s">
        <v>273</v>
      </c>
      <c r="P90" s="470" t="s">
        <v>273</v>
      </c>
      <c r="Q90" s="470" t="s">
        <v>273</v>
      </c>
      <c r="R90" s="470" t="s">
        <v>273</v>
      </c>
      <c r="S90" s="470" t="s">
        <v>273</v>
      </c>
      <c r="T90" s="470" t="s">
        <v>273</v>
      </c>
      <c r="U90" s="470" t="s">
        <v>273</v>
      </c>
      <c r="V90" s="470" t="s">
        <v>273</v>
      </c>
      <c r="W90" s="470" t="s">
        <v>273</v>
      </c>
      <c r="X90" s="470" t="s">
        <v>273</v>
      </c>
      <c r="Y90" s="470" t="s">
        <v>273</v>
      </c>
      <c r="Z90" s="470" t="s">
        <v>273</v>
      </c>
      <c r="AA90" s="470" t="s">
        <v>273</v>
      </c>
      <c r="AB90" s="470" t="s">
        <v>273</v>
      </c>
      <c r="AC90" s="470" t="s">
        <v>273</v>
      </c>
      <c r="AD90" s="470" t="s">
        <v>273</v>
      </c>
      <c r="AE90" s="470" t="s">
        <v>273</v>
      </c>
      <c r="AF90" s="470" t="s">
        <v>273</v>
      </c>
      <c r="AG90" s="470" t="s">
        <v>273</v>
      </c>
      <c r="AH90" s="470" t="s">
        <v>273</v>
      </c>
      <c r="AI90" s="470" t="s">
        <v>273</v>
      </c>
      <c r="AJ90" s="470" t="s">
        <v>273</v>
      </c>
      <c r="AK90" s="470" t="s">
        <v>273</v>
      </c>
      <c r="AL90" s="470" t="s">
        <v>273</v>
      </c>
    </row>
    <row r="91" spans="1:38">
      <c r="A91" s="470" t="s">
        <v>1431</v>
      </c>
      <c r="B91" s="470">
        <v>6</v>
      </c>
      <c r="C91" s="470">
        <v>-22</v>
      </c>
      <c r="D91" s="470">
        <v>-12</v>
      </c>
      <c r="E91" s="470">
        <v>3</v>
      </c>
      <c r="F91" s="470">
        <v>-5</v>
      </c>
      <c r="G91" s="470">
        <v>16</v>
      </c>
      <c r="H91" s="470">
        <v>14</v>
      </c>
      <c r="I91" s="470">
        <v>29</v>
      </c>
      <c r="J91" s="470">
        <v>34</v>
      </c>
      <c r="K91" s="470">
        <v>40</v>
      </c>
      <c r="L91" s="470">
        <v>5</v>
      </c>
      <c r="M91" s="470">
        <v>29</v>
      </c>
      <c r="N91" s="470">
        <v>24</v>
      </c>
      <c r="O91" s="470">
        <v>4</v>
      </c>
      <c r="P91" s="470">
        <v>4</v>
      </c>
      <c r="Q91" s="470">
        <v>2</v>
      </c>
      <c r="R91" s="470">
        <v>9</v>
      </c>
      <c r="S91" s="470">
        <v>59</v>
      </c>
      <c r="T91" s="470">
        <v>33</v>
      </c>
      <c r="U91" s="470">
        <v>42</v>
      </c>
      <c r="V91" s="470">
        <v>24</v>
      </c>
      <c r="W91" s="470">
        <v>-186</v>
      </c>
      <c r="X91" s="470">
        <v>29</v>
      </c>
      <c r="Y91" s="470">
        <v>70</v>
      </c>
      <c r="Z91" s="470">
        <v>70</v>
      </c>
      <c r="AA91" s="470">
        <v>143</v>
      </c>
      <c r="AB91" s="470">
        <v>288</v>
      </c>
      <c r="AC91" s="470">
        <v>318</v>
      </c>
      <c r="AD91" s="470">
        <v>331</v>
      </c>
      <c r="AE91" s="470">
        <v>301</v>
      </c>
      <c r="AF91" s="470">
        <v>391</v>
      </c>
      <c r="AG91" s="470">
        <v>354</v>
      </c>
      <c r="AH91" s="470">
        <v>673</v>
      </c>
      <c r="AI91" s="470">
        <v>753</v>
      </c>
      <c r="AJ91" s="470">
        <v>837</v>
      </c>
      <c r="AK91" s="470">
        <v>2087</v>
      </c>
      <c r="AL91" s="470">
        <v>2220</v>
      </c>
    </row>
    <row r="92" spans="1:38">
      <c r="A92" s="470" t="s">
        <v>1430</v>
      </c>
      <c r="B92" s="470">
        <v>29</v>
      </c>
      <c r="C92" s="470">
        <v>46</v>
      </c>
      <c r="D92" s="470">
        <v>51</v>
      </c>
      <c r="E92" s="470">
        <v>63</v>
      </c>
      <c r="F92" s="470">
        <v>69</v>
      </c>
      <c r="G92" s="470">
        <v>75</v>
      </c>
      <c r="H92" s="470">
        <v>78</v>
      </c>
      <c r="I92" s="470">
        <v>59</v>
      </c>
      <c r="J92" s="470">
        <v>68</v>
      </c>
      <c r="K92" s="470">
        <v>53</v>
      </c>
      <c r="L92" s="470">
        <v>55</v>
      </c>
      <c r="M92" s="470">
        <v>59</v>
      </c>
      <c r="N92" s="470">
        <v>68</v>
      </c>
      <c r="O92" s="470">
        <v>58</v>
      </c>
      <c r="P92" s="470">
        <v>44</v>
      </c>
      <c r="Q92" s="470">
        <v>30</v>
      </c>
      <c r="R92" s="470">
        <v>16</v>
      </c>
      <c r="S92" s="470">
        <v>18</v>
      </c>
      <c r="T92" s="470">
        <v>40</v>
      </c>
      <c r="U92" s="470">
        <v>24</v>
      </c>
      <c r="V92" s="470">
        <v>2</v>
      </c>
      <c r="W92" s="470">
        <v>-80</v>
      </c>
      <c r="X92" s="470" t="s">
        <v>291</v>
      </c>
      <c r="Y92" s="470" t="s">
        <v>291</v>
      </c>
      <c r="Z92" s="470" t="s">
        <v>291</v>
      </c>
      <c r="AA92" s="470" t="s">
        <v>291</v>
      </c>
      <c r="AB92" s="470" t="s">
        <v>291</v>
      </c>
      <c r="AC92" s="470">
        <v>481</v>
      </c>
      <c r="AD92" s="470">
        <v>834</v>
      </c>
      <c r="AE92" s="470">
        <v>256</v>
      </c>
      <c r="AF92" s="470">
        <v>382</v>
      </c>
      <c r="AG92" s="470">
        <v>935</v>
      </c>
      <c r="AH92" s="470">
        <v>775</v>
      </c>
      <c r="AI92" s="470">
        <v>659</v>
      </c>
      <c r="AJ92" s="470">
        <v>-211</v>
      </c>
      <c r="AK92" s="470">
        <v>-97</v>
      </c>
      <c r="AL92" s="470">
        <v>-16</v>
      </c>
    </row>
    <row r="93" spans="1:38">
      <c r="A93" s="470" t="s">
        <v>1429</v>
      </c>
      <c r="B93" s="470" t="s">
        <v>306</v>
      </c>
      <c r="C93" s="470" t="s">
        <v>306</v>
      </c>
      <c r="D93" s="470">
        <v>-1</v>
      </c>
      <c r="E93" s="470" t="s">
        <v>306</v>
      </c>
      <c r="F93" s="470" t="s">
        <v>306</v>
      </c>
      <c r="G93" s="470" t="s">
        <v>306</v>
      </c>
      <c r="H93" s="470" t="s">
        <v>306</v>
      </c>
      <c r="I93" s="470">
        <v>1</v>
      </c>
      <c r="J93" s="470">
        <v>1</v>
      </c>
      <c r="K93" s="470">
        <v>1</v>
      </c>
      <c r="L93" s="470">
        <v>-2</v>
      </c>
      <c r="M93" s="470">
        <v>3</v>
      </c>
      <c r="N93" s="470">
        <v>-2</v>
      </c>
      <c r="O93" s="470">
        <v>-2</v>
      </c>
      <c r="P93" s="470">
        <v>-12</v>
      </c>
      <c r="Q93" s="470">
        <v>-7</v>
      </c>
      <c r="R93" s="470">
        <v>1</v>
      </c>
      <c r="S93" s="470">
        <v>1</v>
      </c>
      <c r="T93" s="470">
        <v>7</v>
      </c>
      <c r="U93" s="470">
        <v>-55</v>
      </c>
      <c r="V93" s="470">
        <v>2</v>
      </c>
      <c r="W93" s="470">
        <v>-3</v>
      </c>
      <c r="X93" s="470">
        <v>-8</v>
      </c>
      <c r="Y93" s="470">
        <v>-10</v>
      </c>
      <c r="Z93" s="470">
        <v>-11</v>
      </c>
      <c r="AA93" s="470">
        <v>-122</v>
      </c>
      <c r="AB93" s="470">
        <v>-118</v>
      </c>
      <c r="AC93" s="470">
        <v>-114</v>
      </c>
      <c r="AD93" s="470">
        <v>-34</v>
      </c>
      <c r="AE93" s="470">
        <v>-47</v>
      </c>
      <c r="AF93" s="470">
        <v>-48</v>
      </c>
      <c r="AG93" s="470">
        <v>-78</v>
      </c>
      <c r="AH93" s="470">
        <v>-112</v>
      </c>
      <c r="AI93" s="470">
        <v>-62</v>
      </c>
      <c r="AJ93" s="470">
        <v>-104</v>
      </c>
      <c r="AK93" s="470">
        <v>-84</v>
      </c>
      <c r="AL93" s="470">
        <v>-92</v>
      </c>
    </row>
    <row r="94" spans="1:38">
      <c r="A94" s="470" t="s">
        <v>1428</v>
      </c>
      <c r="B94" s="470">
        <v>7</v>
      </c>
      <c r="C94" s="470" t="s">
        <v>291</v>
      </c>
      <c r="D94" s="470">
        <v>26</v>
      </c>
      <c r="E94" s="470">
        <v>32</v>
      </c>
      <c r="F94" s="470">
        <v>35</v>
      </c>
      <c r="G94" s="470">
        <v>41</v>
      </c>
      <c r="H94" s="470">
        <v>45</v>
      </c>
      <c r="I94" s="470">
        <v>10</v>
      </c>
      <c r="J94" s="470">
        <v>7</v>
      </c>
      <c r="K94" s="470">
        <v>5</v>
      </c>
      <c r="L94" s="470">
        <v>6</v>
      </c>
      <c r="M94" s="470">
        <v>5</v>
      </c>
      <c r="N94" s="470">
        <v>5</v>
      </c>
      <c r="O94" s="470">
        <v>4</v>
      </c>
      <c r="P94" s="470">
        <v>1</v>
      </c>
      <c r="Q94" s="470">
        <v>5</v>
      </c>
      <c r="R94" s="470">
        <v>6</v>
      </c>
      <c r="S94" s="470">
        <v>22</v>
      </c>
      <c r="T94" s="470">
        <v>26</v>
      </c>
      <c r="U94" s="470">
        <v>25</v>
      </c>
      <c r="V94" s="470">
        <v>29</v>
      </c>
      <c r="W94" s="470">
        <v>33</v>
      </c>
      <c r="X94" s="470">
        <v>28</v>
      </c>
      <c r="Y94" s="470">
        <v>30</v>
      </c>
      <c r="Z94" s="470">
        <v>30</v>
      </c>
      <c r="AA94" s="470">
        <v>13</v>
      </c>
      <c r="AB94" s="470">
        <v>19</v>
      </c>
      <c r="AC94" s="470">
        <v>13</v>
      </c>
      <c r="AD94" s="470">
        <v>-6</v>
      </c>
      <c r="AE94" s="470">
        <v>29</v>
      </c>
      <c r="AF94" s="470">
        <v>77</v>
      </c>
      <c r="AG94" s="470">
        <v>66</v>
      </c>
      <c r="AH94" s="470">
        <v>40</v>
      </c>
      <c r="AI94" s="470">
        <v>9</v>
      </c>
      <c r="AJ94" s="470" t="s">
        <v>306</v>
      </c>
      <c r="AK94" s="470">
        <v>1</v>
      </c>
      <c r="AL94" s="470">
        <v>-4</v>
      </c>
    </row>
    <row r="95" spans="1:38">
      <c r="A95" s="470" t="s">
        <v>426</v>
      </c>
      <c r="B95" s="470" t="s">
        <v>291</v>
      </c>
      <c r="C95" s="470" t="s">
        <v>291</v>
      </c>
      <c r="D95" s="470">
        <v>12</v>
      </c>
      <c r="E95" s="470" t="s">
        <v>291</v>
      </c>
      <c r="F95" s="470" t="s">
        <v>291</v>
      </c>
      <c r="G95" s="470" t="s">
        <v>291</v>
      </c>
      <c r="H95" s="470" t="s">
        <v>291</v>
      </c>
      <c r="I95" s="470" t="s">
        <v>306</v>
      </c>
      <c r="J95" s="470" t="s">
        <v>306</v>
      </c>
      <c r="K95" s="470" t="s">
        <v>306</v>
      </c>
      <c r="L95" s="470" t="s">
        <v>306</v>
      </c>
      <c r="M95" s="470">
        <v>-1</v>
      </c>
      <c r="N95" s="470">
        <v>1</v>
      </c>
      <c r="O95" s="470" t="s">
        <v>306</v>
      </c>
      <c r="P95" s="470">
        <v>-2</v>
      </c>
      <c r="Q95" s="470">
        <v>-3</v>
      </c>
      <c r="R95" s="470">
        <v>-1</v>
      </c>
      <c r="S95" s="470">
        <v>2</v>
      </c>
      <c r="T95" s="470">
        <v>-1</v>
      </c>
      <c r="U95" s="470">
        <v>-1</v>
      </c>
      <c r="V95" s="470">
        <v>2</v>
      </c>
      <c r="W95" s="470">
        <v>2</v>
      </c>
      <c r="X95" s="470">
        <v>1</v>
      </c>
      <c r="Y95" s="470">
        <v>11</v>
      </c>
      <c r="Z95" s="470">
        <v>-4</v>
      </c>
      <c r="AA95" s="470">
        <v>-8</v>
      </c>
      <c r="AB95" s="470">
        <v>-8</v>
      </c>
      <c r="AC95" s="470">
        <v>-20</v>
      </c>
      <c r="AD95" s="470">
        <v>-11</v>
      </c>
      <c r="AE95" s="470">
        <v>-13</v>
      </c>
      <c r="AF95" s="470">
        <v>-15</v>
      </c>
      <c r="AG95" s="470">
        <v>-12</v>
      </c>
      <c r="AH95" s="470">
        <v>-14</v>
      </c>
      <c r="AI95" s="470">
        <v>-13</v>
      </c>
      <c r="AJ95" s="470">
        <v>-24</v>
      </c>
      <c r="AK95" s="470">
        <v>-18</v>
      </c>
      <c r="AL95" s="470">
        <v>-16</v>
      </c>
    </row>
    <row r="96" spans="1:38">
      <c r="A96" s="470" t="s">
        <v>438</v>
      </c>
      <c r="B96" s="470" t="s">
        <v>273</v>
      </c>
      <c r="C96" s="470" t="s">
        <v>273</v>
      </c>
      <c r="D96" s="470" t="s">
        <v>273</v>
      </c>
      <c r="E96" s="470" t="s">
        <v>273</v>
      </c>
      <c r="F96" s="470" t="s">
        <v>273</v>
      </c>
      <c r="G96" s="470" t="s">
        <v>273</v>
      </c>
      <c r="H96" s="470" t="s">
        <v>273</v>
      </c>
      <c r="I96" s="470">
        <v>0</v>
      </c>
      <c r="J96" s="470">
        <v>0</v>
      </c>
      <c r="K96" s="470">
        <v>0</v>
      </c>
      <c r="L96" s="470">
        <v>0</v>
      </c>
      <c r="M96" s="470">
        <v>0</v>
      </c>
      <c r="N96" s="470">
        <v>0</v>
      </c>
      <c r="O96" s="470">
        <v>0</v>
      </c>
      <c r="P96" s="470">
        <v>0</v>
      </c>
      <c r="Q96" s="470">
        <v>0</v>
      </c>
      <c r="R96" s="470">
        <v>0</v>
      </c>
      <c r="S96" s="470">
        <v>0</v>
      </c>
      <c r="T96" s="470">
        <v>0</v>
      </c>
      <c r="U96" s="470">
        <v>0</v>
      </c>
      <c r="V96" s="470">
        <v>1</v>
      </c>
      <c r="W96" s="470">
        <v>0</v>
      </c>
      <c r="X96" s="470">
        <v>0</v>
      </c>
      <c r="Y96" s="470">
        <v>0</v>
      </c>
      <c r="Z96" s="470" t="s">
        <v>273</v>
      </c>
      <c r="AA96" s="470" t="s">
        <v>273</v>
      </c>
      <c r="AB96" s="470" t="s">
        <v>273</v>
      </c>
      <c r="AC96" s="470" t="s">
        <v>273</v>
      </c>
      <c r="AD96" s="470">
        <v>0</v>
      </c>
      <c r="AE96" s="470">
        <v>0</v>
      </c>
      <c r="AF96" s="470">
        <v>0</v>
      </c>
      <c r="AG96" s="470" t="s">
        <v>291</v>
      </c>
      <c r="AH96" s="470">
        <v>0</v>
      </c>
      <c r="AI96" s="470" t="s">
        <v>291</v>
      </c>
      <c r="AJ96" s="470">
        <v>-5</v>
      </c>
      <c r="AK96" s="470">
        <v>-5</v>
      </c>
      <c r="AL96" s="470">
        <v>-5</v>
      </c>
    </row>
    <row r="97" spans="1:38">
      <c r="A97" s="470" t="s">
        <v>425</v>
      </c>
      <c r="B97" s="470">
        <v>7</v>
      </c>
      <c r="C97" s="470">
        <v>5</v>
      </c>
      <c r="D97" s="470">
        <v>2</v>
      </c>
      <c r="E97" s="470">
        <v>2</v>
      </c>
      <c r="F97" s="470">
        <v>7</v>
      </c>
      <c r="G97" s="470">
        <v>8</v>
      </c>
      <c r="H97" s="470">
        <v>8</v>
      </c>
      <c r="I97" s="470">
        <v>-1</v>
      </c>
      <c r="J97" s="470">
        <v>-2</v>
      </c>
      <c r="K97" s="470">
        <v>-7</v>
      </c>
      <c r="L97" s="470">
        <v>-4</v>
      </c>
      <c r="M97" s="470">
        <v>-12</v>
      </c>
      <c r="N97" s="470">
        <v>-6</v>
      </c>
      <c r="O97" s="470" t="s">
        <v>291</v>
      </c>
      <c r="P97" s="470">
        <v>-16</v>
      </c>
      <c r="Q97" s="470">
        <v>-40</v>
      </c>
      <c r="R97" s="470" t="s">
        <v>291</v>
      </c>
      <c r="S97" s="470">
        <v>-10</v>
      </c>
      <c r="T97" s="470">
        <v>-14</v>
      </c>
      <c r="U97" s="470">
        <v>-26</v>
      </c>
      <c r="V97" s="470">
        <v>-10</v>
      </c>
      <c r="W97" s="470">
        <v>-14</v>
      </c>
      <c r="X97" s="470" t="s">
        <v>291</v>
      </c>
      <c r="Y97" s="470" t="s">
        <v>291</v>
      </c>
      <c r="Z97" s="470" t="s">
        <v>291</v>
      </c>
      <c r="AA97" s="470" t="s">
        <v>291</v>
      </c>
      <c r="AB97" s="470" t="s">
        <v>291</v>
      </c>
      <c r="AC97" s="470">
        <v>11</v>
      </c>
      <c r="AD97" s="470">
        <v>-20</v>
      </c>
      <c r="AE97" s="470">
        <v>-61</v>
      </c>
      <c r="AF97" s="470">
        <v>-11</v>
      </c>
      <c r="AG97" s="470">
        <v>-19</v>
      </c>
      <c r="AH97" s="470">
        <v>-6</v>
      </c>
      <c r="AI97" s="470">
        <v>-12</v>
      </c>
      <c r="AJ97" s="470">
        <v>-22</v>
      </c>
      <c r="AK97" s="470">
        <v>-15</v>
      </c>
      <c r="AL97" s="470">
        <v>3</v>
      </c>
    </row>
    <row r="98" spans="1:38">
      <c r="A98" s="470" t="s">
        <v>437</v>
      </c>
      <c r="B98" s="470" t="s">
        <v>273</v>
      </c>
      <c r="C98" s="470" t="s">
        <v>273</v>
      </c>
      <c r="D98" s="470" t="s">
        <v>273</v>
      </c>
      <c r="E98" s="470" t="s">
        <v>273</v>
      </c>
      <c r="F98" s="470" t="s">
        <v>273</v>
      </c>
      <c r="G98" s="470" t="s">
        <v>273</v>
      </c>
      <c r="H98" s="470" t="s">
        <v>273</v>
      </c>
      <c r="I98" s="470">
        <v>0</v>
      </c>
      <c r="J98" s="470">
        <v>0</v>
      </c>
      <c r="K98" s="470" t="s">
        <v>306</v>
      </c>
      <c r="L98" s="470">
        <v>0</v>
      </c>
      <c r="M98" s="470">
        <v>0</v>
      </c>
      <c r="N98" s="470">
        <v>-2</v>
      </c>
      <c r="O98" s="470">
        <v>0</v>
      </c>
      <c r="P98" s="470">
        <v>0</v>
      </c>
      <c r="Q98" s="470">
        <v>0</v>
      </c>
      <c r="R98" s="470">
        <v>-1</v>
      </c>
      <c r="S98" s="470">
        <v>-1</v>
      </c>
      <c r="T98" s="470">
        <v>-1</v>
      </c>
      <c r="U98" s="470">
        <v>-3</v>
      </c>
      <c r="V98" s="470">
        <v>-1</v>
      </c>
      <c r="W98" s="470">
        <v>-1</v>
      </c>
      <c r="X98" s="470">
        <v>-1</v>
      </c>
      <c r="Y98" s="470">
        <v>-1</v>
      </c>
      <c r="Z98" s="470">
        <v>-1</v>
      </c>
      <c r="AA98" s="470">
        <v>-1</v>
      </c>
      <c r="AB98" s="470">
        <v>-1</v>
      </c>
      <c r="AC98" s="470" t="s">
        <v>273</v>
      </c>
      <c r="AD98" s="470">
        <v>0</v>
      </c>
      <c r="AE98" s="470">
        <v>0</v>
      </c>
      <c r="AF98" s="470">
        <v>0</v>
      </c>
      <c r="AG98" s="470">
        <v>-2</v>
      </c>
      <c r="AH98" s="470">
        <v>-2</v>
      </c>
      <c r="AI98" s="470" t="s">
        <v>291</v>
      </c>
      <c r="AJ98" s="470" t="s">
        <v>306</v>
      </c>
      <c r="AK98" s="470" t="s">
        <v>306</v>
      </c>
      <c r="AL98" s="470" t="s">
        <v>291</v>
      </c>
    </row>
    <row r="99" spans="1:38">
      <c r="A99" s="470" t="s">
        <v>1427</v>
      </c>
      <c r="B99" s="470">
        <v>4</v>
      </c>
      <c r="C99" s="470">
        <v>5</v>
      </c>
      <c r="D99" s="470">
        <v>5</v>
      </c>
      <c r="E99" s="470">
        <v>6</v>
      </c>
      <c r="F99" s="470">
        <v>6</v>
      </c>
      <c r="G99" s="470">
        <v>6</v>
      </c>
      <c r="H99" s="470">
        <v>6</v>
      </c>
      <c r="I99" s="470">
        <v>11</v>
      </c>
      <c r="J99" s="470">
        <v>11</v>
      </c>
      <c r="K99" s="470">
        <v>10</v>
      </c>
      <c r="L99" s="470">
        <v>8</v>
      </c>
      <c r="M99" s="470">
        <v>7</v>
      </c>
      <c r="N99" s="470" t="s">
        <v>306</v>
      </c>
      <c r="O99" s="470">
        <v>-1</v>
      </c>
      <c r="P99" s="470">
        <v>-4</v>
      </c>
      <c r="Q99" s="470">
        <v>-6</v>
      </c>
      <c r="R99" s="470">
        <v>-8</v>
      </c>
      <c r="S99" s="470">
        <v>-4</v>
      </c>
      <c r="T99" s="470">
        <v>-2</v>
      </c>
      <c r="U99" s="470">
        <v>1</v>
      </c>
      <c r="V99" s="470">
        <v>-3</v>
      </c>
      <c r="W99" s="470">
        <v>-2</v>
      </c>
      <c r="X99" s="470" t="s">
        <v>306</v>
      </c>
      <c r="Y99" s="470">
        <v>-6</v>
      </c>
      <c r="Z99" s="470">
        <v>-3</v>
      </c>
      <c r="AA99" s="470">
        <v>-7</v>
      </c>
      <c r="AB99" s="470">
        <v>-13</v>
      </c>
      <c r="AC99" s="470">
        <v>-19</v>
      </c>
      <c r="AD99" s="470">
        <v>-7</v>
      </c>
      <c r="AE99" s="470">
        <v>-32</v>
      </c>
      <c r="AF99" s="470">
        <v>7</v>
      </c>
      <c r="AG99" s="470">
        <v>-22</v>
      </c>
      <c r="AH99" s="470">
        <v>-35</v>
      </c>
      <c r="AI99" s="470">
        <v>-21</v>
      </c>
      <c r="AJ99" s="470">
        <v>-19</v>
      </c>
      <c r="AK99" s="470">
        <v>-16</v>
      </c>
      <c r="AL99" s="470">
        <v>-3</v>
      </c>
    </row>
    <row r="100" spans="1:38">
      <c r="A100" s="470" t="s">
        <v>1426</v>
      </c>
      <c r="B100" s="470">
        <v>136</v>
      </c>
      <c r="C100" s="470">
        <v>163</v>
      </c>
      <c r="D100" s="470">
        <v>259</v>
      </c>
      <c r="E100" s="470">
        <v>244</v>
      </c>
      <c r="F100" s="470">
        <v>308</v>
      </c>
      <c r="G100" s="470">
        <v>533</v>
      </c>
      <c r="H100" s="470">
        <v>847</v>
      </c>
      <c r="I100" s="470" t="s">
        <v>273</v>
      </c>
      <c r="J100" s="470" t="s">
        <v>273</v>
      </c>
      <c r="K100" s="470" t="s">
        <v>273</v>
      </c>
      <c r="L100" s="470" t="s">
        <v>273</v>
      </c>
      <c r="M100" s="470" t="s">
        <v>273</v>
      </c>
      <c r="N100" s="470" t="s">
        <v>273</v>
      </c>
      <c r="O100" s="470" t="s">
        <v>273</v>
      </c>
      <c r="P100" s="470" t="s">
        <v>273</v>
      </c>
      <c r="Q100" s="470" t="s">
        <v>273</v>
      </c>
      <c r="R100" s="470" t="s">
        <v>273</v>
      </c>
      <c r="S100" s="470" t="s">
        <v>273</v>
      </c>
      <c r="T100" s="470" t="s">
        <v>273</v>
      </c>
      <c r="U100" s="470" t="s">
        <v>273</v>
      </c>
      <c r="V100" s="470" t="s">
        <v>273</v>
      </c>
      <c r="W100" s="470" t="s">
        <v>273</v>
      </c>
      <c r="X100" s="470" t="s">
        <v>273</v>
      </c>
      <c r="Y100" s="470" t="s">
        <v>273</v>
      </c>
      <c r="Z100" s="470" t="s">
        <v>273</v>
      </c>
      <c r="AA100" s="470" t="s">
        <v>273</v>
      </c>
      <c r="AB100" s="470" t="s">
        <v>273</v>
      </c>
      <c r="AC100" s="470" t="s">
        <v>273</v>
      </c>
      <c r="AD100" s="470" t="s">
        <v>273</v>
      </c>
      <c r="AE100" s="470" t="s">
        <v>273</v>
      </c>
      <c r="AF100" s="470" t="s">
        <v>273</v>
      </c>
      <c r="AG100" s="470" t="s">
        <v>273</v>
      </c>
      <c r="AH100" s="470" t="s">
        <v>273</v>
      </c>
      <c r="AI100" s="470" t="s">
        <v>273</v>
      </c>
      <c r="AJ100" s="470" t="s">
        <v>273</v>
      </c>
      <c r="AK100" s="470" t="s">
        <v>273</v>
      </c>
      <c r="AL100" s="470" t="s">
        <v>273</v>
      </c>
    </row>
    <row r="101" spans="1:38">
      <c r="A101" s="470" t="s">
        <v>424</v>
      </c>
      <c r="B101" s="470" t="s">
        <v>306</v>
      </c>
      <c r="C101" s="470">
        <v>-1</v>
      </c>
      <c r="D101" s="470">
        <v>-1</v>
      </c>
      <c r="E101" s="470" t="s">
        <v>306</v>
      </c>
      <c r="F101" s="470" t="s">
        <v>306</v>
      </c>
      <c r="G101" s="470">
        <v>1</v>
      </c>
      <c r="H101" s="470">
        <v>1</v>
      </c>
      <c r="I101" s="470" t="s">
        <v>306</v>
      </c>
      <c r="J101" s="470" t="s">
        <v>306</v>
      </c>
      <c r="K101" s="470" t="s">
        <v>306</v>
      </c>
      <c r="L101" s="470" t="s">
        <v>306</v>
      </c>
      <c r="M101" s="470" t="s">
        <v>306</v>
      </c>
      <c r="N101" s="470" t="s">
        <v>306</v>
      </c>
      <c r="O101" s="470" t="s">
        <v>306</v>
      </c>
      <c r="P101" s="470" t="s">
        <v>306</v>
      </c>
      <c r="Q101" s="470" t="s">
        <v>306</v>
      </c>
      <c r="R101" s="470">
        <v>-9</v>
      </c>
      <c r="S101" s="470" t="s">
        <v>291</v>
      </c>
      <c r="T101" s="470" t="s">
        <v>291</v>
      </c>
      <c r="U101" s="470" t="s">
        <v>291</v>
      </c>
      <c r="V101" s="470">
        <v>-4</v>
      </c>
      <c r="W101" s="470" t="s">
        <v>306</v>
      </c>
      <c r="X101" s="470">
        <v>-1</v>
      </c>
      <c r="Y101" s="470" t="s">
        <v>291</v>
      </c>
      <c r="Z101" s="470">
        <v>-6</v>
      </c>
      <c r="AA101" s="470" t="s">
        <v>291</v>
      </c>
      <c r="AB101" s="470" t="s">
        <v>291</v>
      </c>
      <c r="AC101" s="470" t="s">
        <v>291</v>
      </c>
      <c r="AD101" s="470" t="s">
        <v>291</v>
      </c>
      <c r="AE101" s="470">
        <v>-1</v>
      </c>
      <c r="AF101" s="470" t="s">
        <v>291</v>
      </c>
      <c r="AG101" s="470">
        <v>1</v>
      </c>
      <c r="AH101" s="470" t="s">
        <v>291</v>
      </c>
      <c r="AI101" s="470">
        <v>53</v>
      </c>
      <c r="AJ101" s="470">
        <v>27</v>
      </c>
      <c r="AK101" s="470" t="s">
        <v>291</v>
      </c>
      <c r="AL101" s="470" t="s">
        <v>291</v>
      </c>
    </row>
    <row r="102" spans="1:38">
      <c r="A102" s="470" t="s">
        <v>436</v>
      </c>
      <c r="B102" s="470">
        <v>1</v>
      </c>
      <c r="C102" s="470">
        <v>1</v>
      </c>
      <c r="D102" s="470" t="s">
        <v>306</v>
      </c>
      <c r="E102" s="470">
        <v>2</v>
      </c>
      <c r="F102" s="470">
        <v>-2</v>
      </c>
      <c r="G102" s="470">
        <v>-7</v>
      </c>
      <c r="H102" s="470">
        <v>1</v>
      </c>
      <c r="I102" s="470">
        <v>0</v>
      </c>
      <c r="J102" s="470">
        <v>0</v>
      </c>
      <c r="K102" s="470">
        <v>0</v>
      </c>
      <c r="L102" s="470">
        <v>0</v>
      </c>
      <c r="M102" s="470">
        <v>0</v>
      </c>
      <c r="N102" s="470">
        <v>0</v>
      </c>
      <c r="O102" s="470">
        <v>0</v>
      </c>
      <c r="P102" s="470">
        <v>0</v>
      </c>
      <c r="Q102" s="470">
        <v>0</v>
      </c>
      <c r="R102" s="470">
        <v>0</v>
      </c>
      <c r="S102" s="470">
        <v>0</v>
      </c>
      <c r="T102" s="470" t="s">
        <v>306</v>
      </c>
      <c r="U102" s="470">
        <v>0</v>
      </c>
      <c r="V102" s="470">
        <v>0</v>
      </c>
      <c r="W102" s="470">
        <v>-1</v>
      </c>
      <c r="X102" s="470" t="s">
        <v>306</v>
      </c>
      <c r="Y102" s="470" t="s">
        <v>306</v>
      </c>
      <c r="Z102" s="470" t="s">
        <v>306</v>
      </c>
      <c r="AA102" s="470" t="s">
        <v>306</v>
      </c>
      <c r="AB102" s="470" t="s">
        <v>291</v>
      </c>
      <c r="AC102" s="470">
        <v>-2</v>
      </c>
      <c r="AD102" s="470">
        <v>-3</v>
      </c>
      <c r="AE102" s="470">
        <v>-5</v>
      </c>
      <c r="AF102" s="470">
        <v>-2</v>
      </c>
      <c r="AG102" s="470">
        <v>-1</v>
      </c>
      <c r="AH102" s="470">
        <v>-2</v>
      </c>
      <c r="AI102" s="470">
        <v>-3</v>
      </c>
      <c r="AJ102" s="470" t="s">
        <v>291</v>
      </c>
      <c r="AK102" s="470" t="s">
        <v>291</v>
      </c>
      <c r="AL102" s="470">
        <v>-3</v>
      </c>
    </row>
    <row r="103" spans="1:38">
      <c r="A103" s="470" t="s">
        <v>1425</v>
      </c>
      <c r="B103" s="470" t="s">
        <v>306</v>
      </c>
      <c r="C103" s="470">
        <v>-3</v>
      </c>
      <c r="D103" s="470">
        <v>0</v>
      </c>
      <c r="E103" s="470">
        <v>3</v>
      </c>
      <c r="F103" s="470">
        <v>3</v>
      </c>
      <c r="G103" s="470">
        <v>4</v>
      </c>
      <c r="H103" s="470" t="s">
        <v>291</v>
      </c>
      <c r="I103" s="470">
        <v>6</v>
      </c>
      <c r="J103" s="470">
        <v>5</v>
      </c>
      <c r="K103" s="470">
        <v>5</v>
      </c>
      <c r="L103" s="470" t="s">
        <v>291</v>
      </c>
      <c r="M103" s="470">
        <v>13</v>
      </c>
      <c r="N103" s="470" t="s">
        <v>291</v>
      </c>
      <c r="O103" s="470">
        <v>33</v>
      </c>
      <c r="P103" s="470" t="s">
        <v>291</v>
      </c>
      <c r="Q103" s="470" t="s">
        <v>291</v>
      </c>
      <c r="R103" s="470">
        <v>21</v>
      </c>
      <c r="S103" s="470">
        <v>17</v>
      </c>
      <c r="T103" s="470">
        <v>27</v>
      </c>
      <c r="U103" s="470">
        <v>-5</v>
      </c>
      <c r="V103" s="470">
        <v>-13</v>
      </c>
      <c r="W103" s="470">
        <v>-137</v>
      </c>
      <c r="X103" s="470" t="s">
        <v>291</v>
      </c>
      <c r="Y103" s="470" t="s">
        <v>291</v>
      </c>
      <c r="Z103" s="470" t="s">
        <v>291</v>
      </c>
      <c r="AA103" s="470" t="s">
        <v>291</v>
      </c>
      <c r="AB103" s="470" t="s">
        <v>291</v>
      </c>
      <c r="AC103" s="470" t="s">
        <v>306</v>
      </c>
      <c r="AD103" s="470">
        <v>39</v>
      </c>
      <c r="AE103" s="470">
        <v>112</v>
      </c>
      <c r="AF103" s="470">
        <v>182</v>
      </c>
      <c r="AG103" s="470">
        <v>238</v>
      </c>
      <c r="AH103" s="470">
        <v>118</v>
      </c>
      <c r="AI103" s="470">
        <v>160</v>
      </c>
      <c r="AJ103" s="470">
        <v>119</v>
      </c>
      <c r="AK103" s="470">
        <v>117</v>
      </c>
      <c r="AL103" s="470">
        <v>144</v>
      </c>
    </row>
    <row r="104" spans="1:38">
      <c r="A104" s="470" t="s">
        <v>435</v>
      </c>
      <c r="B104" s="470" t="s">
        <v>306</v>
      </c>
      <c r="C104" s="470" t="s">
        <v>306</v>
      </c>
      <c r="D104" s="470">
        <v>0</v>
      </c>
      <c r="E104" s="470">
        <v>2</v>
      </c>
      <c r="F104" s="470">
        <v>0</v>
      </c>
      <c r="G104" s="470">
        <v>0</v>
      </c>
      <c r="H104" s="470">
        <v>0</v>
      </c>
      <c r="I104" s="470">
        <v>0</v>
      </c>
      <c r="J104" s="470">
        <v>-2</v>
      </c>
      <c r="K104" s="470">
        <v>0</v>
      </c>
      <c r="L104" s="470">
        <v>0</v>
      </c>
      <c r="M104" s="470">
        <v>0</v>
      </c>
      <c r="N104" s="470" t="s">
        <v>306</v>
      </c>
      <c r="O104" s="470" t="s">
        <v>306</v>
      </c>
      <c r="P104" s="470" t="s">
        <v>306</v>
      </c>
      <c r="Q104" s="470">
        <v>-1</v>
      </c>
      <c r="R104" s="470">
        <v>-1</v>
      </c>
      <c r="S104" s="470">
        <v>0</v>
      </c>
      <c r="T104" s="470">
        <v>0</v>
      </c>
      <c r="U104" s="470">
        <v>0</v>
      </c>
      <c r="V104" s="470">
        <v>0</v>
      </c>
      <c r="W104" s="470">
        <v>0</v>
      </c>
      <c r="X104" s="470">
        <v>0</v>
      </c>
      <c r="Y104" s="470">
        <v>0</v>
      </c>
      <c r="Z104" s="470">
        <v>0</v>
      </c>
      <c r="AA104" s="470">
        <v>0</v>
      </c>
      <c r="AB104" s="470">
        <v>0</v>
      </c>
      <c r="AC104" s="470">
        <v>6</v>
      </c>
      <c r="AD104" s="470">
        <v>6</v>
      </c>
      <c r="AE104" s="470">
        <v>7</v>
      </c>
      <c r="AF104" s="470">
        <v>7</v>
      </c>
      <c r="AG104" s="470" t="s">
        <v>291</v>
      </c>
      <c r="AH104" s="470" t="s">
        <v>306</v>
      </c>
      <c r="AI104" s="470" t="s">
        <v>306</v>
      </c>
      <c r="AJ104" s="470" t="s">
        <v>306</v>
      </c>
      <c r="AK104" s="470">
        <v>0</v>
      </c>
      <c r="AL104" s="470" t="s">
        <v>291</v>
      </c>
    </row>
    <row r="105" spans="1:38">
      <c r="A105" s="470" t="s">
        <v>434</v>
      </c>
      <c r="B105" s="470">
        <v>3</v>
      </c>
      <c r="C105" s="470">
        <v>2</v>
      </c>
      <c r="D105" s="470">
        <v>2</v>
      </c>
      <c r="E105" s="470">
        <v>3</v>
      </c>
      <c r="F105" s="470" t="s">
        <v>291</v>
      </c>
      <c r="G105" s="470">
        <v>2</v>
      </c>
      <c r="H105" s="470">
        <v>2</v>
      </c>
      <c r="I105" s="470">
        <v>5</v>
      </c>
      <c r="J105" s="470">
        <v>-4</v>
      </c>
      <c r="K105" s="470">
        <v>10</v>
      </c>
      <c r="L105" s="470">
        <v>9</v>
      </c>
      <c r="M105" s="470">
        <v>16</v>
      </c>
      <c r="N105" s="470">
        <v>1</v>
      </c>
      <c r="O105" s="470">
        <v>35</v>
      </c>
      <c r="P105" s="470">
        <v>23</v>
      </c>
      <c r="Q105" s="470">
        <v>1</v>
      </c>
      <c r="R105" s="470">
        <v>14</v>
      </c>
      <c r="S105" s="470">
        <v>58</v>
      </c>
      <c r="T105" s="470">
        <v>46</v>
      </c>
      <c r="U105" s="470">
        <v>40</v>
      </c>
      <c r="V105" s="470">
        <v>40</v>
      </c>
      <c r="W105" s="470">
        <v>48</v>
      </c>
      <c r="X105" s="470">
        <v>52</v>
      </c>
      <c r="Y105" s="470">
        <v>167</v>
      </c>
      <c r="Z105" s="470">
        <v>147</v>
      </c>
      <c r="AA105" s="470">
        <v>88</v>
      </c>
      <c r="AB105" s="470">
        <v>130</v>
      </c>
      <c r="AC105" s="470">
        <v>24</v>
      </c>
      <c r="AD105" s="470">
        <v>238</v>
      </c>
      <c r="AE105" s="470">
        <v>514</v>
      </c>
      <c r="AF105" s="470">
        <v>168</v>
      </c>
      <c r="AG105" s="470">
        <v>426</v>
      </c>
      <c r="AH105" s="470">
        <v>338</v>
      </c>
      <c r="AI105" s="470">
        <v>289</v>
      </c>
      <c r="AJ105" s="470">
        <v>691</v>
      </c>
      <c r="AK105" s="470">
        <v>393</v>
      </c>
      <c r="AL105" s="470">
        <v>462</v>
      </c>
    </row>
    <row r="106" spans="1:38">
      <c r="A106" s="470" t="s">
        <v>1424</v>
      </c>
      <c r="B106" s="470">
        <v>23</v>
      </c>
      <c r="C106" s="470">
        <v>29</v>
      </c>
      <c r="D106" s="470">
        <v>66</v>
      </c>
      <c r="E106" s="470">
        <v>24</v>
      </c>
      <c r="F106" s="470">
        <v>48</v>
      </c>
      <c r="G106" s="470">
        <v>103</v>
      </c>
      <c r="H106" s="470">
        <v>476</v>
      </c>
      <c r="I106" s="470" t="s">
        <v>273</v>
      </c>
      <c r="J106" s="470" t="s">
        <v>273</v>
      </c>
      <c r="K106" s="470" t="s">
        <v>273</v>
      </c>
      <c r="L106" s="470" t="s">
        <v>273</v>
      </c>
      <c r="M106" s="470" t="s">
        <v>273</v>
      </c>
      <c r="N106" s="470" t="s">
        <v>273</v>
      </c>
      <c r="O106" s="470" t="s">
        <v>273</v>
      </c>
      <c r="P106" s="470" t="s">
        <v>273</v>
      </c>
      <c r="Q106" s="470" t="s">
        <v>273</v>
      </c>
      <c r="R106" s="470" t="s">
        <v>273</v>
      </c>
      <c r="S106" s="470" t="s">
        <v>273</v>
      </c>
      <c r="T106" s="470" t="s">
        <v>273</v>
      </c>
      <c r="U106" s="470" t="s">
        <v>273</v>
      </c>
      <c r="V106" s="470" t="s">
        <v>273</v>
      </c>
      <c r="W106" s="470" t="s">
        <v>273</v>
      </c>
      <c r="X106" s="470" t="s">
        <v>273</v>
      </c>
      <c r="Y106" s="470" t="s">
        <v>273</v>
      </c>
      <c r="Z106" s="470" t="s">
        <v>273</v>
      </c>
      <c r="AA106" s="470" t="s">
        <v>273</v>
      </c>
      <c r="AB106" s="470" t="s">
        <v>273</v>
      </c>
      <c r="AC106" s="470" t="s">
        <v>273</v>
      </c>
      <c r="AD106" s="470" t="s">
        <v>273</v>
      </c>
      <c r="AE106" s="470" t="s">
        <v>273</v>
      </c>
      <c r="AF106" s="470" t="s">
        <v>273</v>
      </c>
      <c r="AG106" s="470" t="s">
        <v>273</v>
      </c>
      <c r="AH106" s="470" t="s">
        <v>273</v>
      </c>
      <c r="AI106" s="470" t="s">
        <v>273</v>
      </c>
      <c r="AJ106" s="470" t="s">
        <v>273</v>
      </c>
      <c r="AK106" s="470" t="s">
        <v>273</v>
      </c>
      <c r="AL106" s="470" t="s">
        <v>273</v>
      </c>
    </row>
    <row r="107" spans="1:38">
      <c r="A107" s="470" t="s">
        <v>423</v>
      </c>
      <c r="B107" s="470">
        <v>8418</v>
      </c>
      <c r="C107" s="470">
        <v>10313</v>
      </c>
      <c r="D107" s="470">
        <v>11422</v>
      </c>
      <c r="E107" s="470">
        <v>12289</v>
      </c>
      <c r="F107" s="470">
        <v>13343</v>
      </c>
      <c r="G107" s="470">
        <v>13335</v>
      </c>
      <c r="H107" s="470">
        <v>12573</v>
      </c>
      <c r="I107" s="470">
        <v>6168</v>
      </c>
      <c r="J107" s="470">
        <v>6911</v>
      </c>
      <c r="K107" s="470">
        <v>10399</v>
      </c>
      <c r="L107" s="470">
        <v>14028</v>
      </c>
      <c r="M107" s="470">
        <v>7728</v>
      </c>
      <c r="N107" s="470">
        <v>11756</v>
      </c>
      <c r="O107" s="470">
        <v>15389</v>
      </c>
      <c r="P107" s="470">
        <v>17504</v>
      </c>
      <c r="Q107" s="470">
        <v>19806</v>
      </c>
      <c r="R107" s="470">
        <v>19180</v>
      </c>
      <c r="S107" s="470">
        <v>23969</v>
      </c>
      <c r="T107" s="470">
        <v>19084</v>
      </c>
      <c r="U107" s="470">
        <v>32431</v>
      </c>
      <c r="V107" s="470">
        <v>40307</v>
      </c>
      <c r="W107" s="470">
        <v>49344</v>
      </c>
      <c r="X107" s="470">
        <v>56007</v>
      </c>
      <c r="Y107" s="470">
        <v>61224</v>
      </c>
      <c r="Z107" s="470">
        <v>51268</v>
      </c>
      <c r="AA107" s="470">
        <v>34668</v>
      </c>
      <c r="AB107" s="470">
        <v>42412</v>
      </c>
      <c r="AC107" s="470">
        <v>42185</v>
      </c>
      <c r="AD107" s="470">
        <v>42957</v>
      </c>
      <c r="AE107" s="470">
        <v>18377</v>
      </c>
      <c r="AF107" s="470">
        <v>44187</v>
      </c>
      <c r="AG107" s="470">
        <v>53527</v>
      </c>
      <c r="AH107" s="470">
        <v>59772</v>
      </c>
      <c r="AI107" s="470">
        <v>75446</v>
      </c>
      <c r="AJ107" s="470">
        <v>91967</v>
      </c>
      <c r="AK107" s="470">
        <v>91546</v>
      </c>
      <c r="AL107" s="470">
        <v>98993</v>
      </c>
    </row>
    <row r="108" spans="1:38">
      <c r="A108" s="470" t="s">
        <v>422</v>
      </c>
      <c r="B108" s="470" t="s">
        <v>273</v>
      </c>
      <c r="C108" s="470" t="s">
        <v>273</v>
      </c>
      <c r="D108" s="470" t="s">
        <v>273</v>
      </c>
      <c r="E108" s="470" t="s">
        <v>273</v>
      </c>
      <c r="F108" s="470" t="s">
        <v>273</v>
      </c>
      <c r="G108" s="470" t="s">
        <v>273</v>
      </c>
      <c r="H108" s="470" t="s">
        <v>273</v>
      </c>
      <c r="I108" s="470">
        <v>179</v>
      </c>
      <c r="J108" s="470" t="s">
        <v>291</v>
      </c>
      <c r="K108" s="470">
        <v>-52</v>
      </c>
      <c r="L108" s="470">
        <v>1535</v>
      </c>
      <c r="M108" s="470">
        <v>-881</v>
      </c>
      <c r="N108" s="470">
        <v>613</v>
      </c>
      <c r="O108" s="470">
        <v>1276</v>
      </c>
      <c r="P108" s="470">
        <v>1023</v>
      </c>
      <c r="Q108" s="470">
        <v>1286</v>
      </c>
      <c r="R108" s="470">
        <v>1883</v>
      </c>
      <c r="S108" s="470">
        <v>1702</v>
      </c>
      <c r="T108" s="470">
        <v>1619</v>
      </c>
      <c r="U108" s="470">
        <v>1581</v>
      </c>
      <c r="V108" s="470">
        <v>1254</v>
      </c>
      <c r="W108" s="470">
        <v>1203</v>
      </c>
      <c r="X108" s="470">
        <v>1299</v>
      </c>
      <c r="Y108" s="470">
        <v>1227</v>
      </c>
      <c r="Z108" s="470">
        <v>1122</v>
      </c>
      <c r="AA108" s="470">
        <v>650</v>
      </c>
      <c r="AB108" s="470">
        <v>513</v>
      </c>
      <c r="AC108" s="470">
        <v>760</v>
      </c>
      <c r="AD108" s="470">
        <v>236</v>
      </c>
      <c r="AE108" s="470">
        <v>694</v>
      </c>
      <c r="AF108" s="470">
        <v>1753</v>
      </c>
      <c r="AG108" s="470">
        <v>443</v>
      </c>
      <c r="AH108" s="470">
        <v>635</v>
      </c>
      <c r="AI108" s="470">
        <v>643</v>
      </c>
      <c r="AJ108" s="470">
        <v>813</v>
      </c>
      <c r="AK108" s="470">
        <v>805</v>
      </c>
      <c r="AL108" s="470">
        <v>484</v>
      </c>
    </row>
    <row r="109" spans="1:38">
      <c r="A109" s="470" t="s">
        <v>420</v>
      </c>
      <c r="B109" s="470">
        <v>727</v>
      </c>
      <c r="C109" s="470">
        <v>1062</v>
      </c>
      <c r="D109" s="470">
        <v>1337</v>
      </c>
      <c r="E109" s="470">
        <v>1168</v>
      </c>
      <c r="F109" s="470">
        <v>1370</v>
      </c>
      <c r="G109" s="470">
        <v>1691</v>
      </c>
      <c r="H109" s="470">
        <v>2002</v>
      </c>
      <c r="I109" s="470">
        <v>1087</v>
      </c>
      <c r="J109" s="470">
        <v>1067</v>
      </c>
      <c r="K109" s="470">
        <v>1012</v>
      </c>
      <c r="L109" s="470">
        <v>1550</v>
      </c>
      <c r="M109" s="470">
        <v>1871</v>
      </c>
      <c r="N109" s="470">
        <v>1006</v>
      </c>
      <c r="O109" s="470">
        <v>717</v>
      </c>
      <c r="P109" s="470">
        <v>1745</v>
      </c>
      <c r="Q109" s="470">
        <v>2626</v>
      </c>
      <c r="R109" s="470">
        <v>1471</v>
      </c>
      <c r="S109" s="470">
        <v>3987</v>
      </c>
      <c r="T109" s="470">
        <v>3735</v>
      </c>
      <c r="U109" s="470">
        <v>14798</v>
      </c>
      <c r="V109" s="470">
        <v>18336</v>
      </c>
      <c r="W109" s="470">
        <v>7316</v>
      </c>
      <c r="X109" s="470">
        <v>11215</v>
      </c>
      <c r="Y109" s="470">
        <v>9854</v>
      </c>
      <c r="Z109" s="470">
        <v>6626</v>
      </c>
      <c r="AA109" s="470">
        <v>2147</v>
      </c>
      <c r="AB109" s="470">
        <v>9223</v>
      </c>
      <c r="AC109" s="470">
        <v>4713</v>
      </c>
      <c r="AD109" s="470">
        <v>13703</v>
      </c>
      <c r="AE109" s="470">
        <v>-7646</v>
      </c>
      <c r="AF109" s="470">
        <v>365</v>
      </c>
      <c r="AG109" s="470">
        <v>-8818</v>
      </c>
      <c r="AH109" s="470">
        <v>-13030</v>
      </c>
      <c r="AI109" s="470">
        <v>-8486</v>
      </c>
      <c r="AJ109" s="470">
        <v>993</v>
      </c>
      <c r="AK109" s="470">
        <v>-7411</v>
      </c>
      <c r="AL109" s="470">
        <v>9361</v>
      </c>
    </row>
    <row r="110" spans="1:38">
      <c r="A110" s="470" t="s">
        <v>1423</v>
      </c>
      <c r="B110" s="470" t="s">
        <v>273</v>
      </c>
      <c r="C110" s="470" t="s">
        <v>273</v>
      </c>
      <c r="D110" s="470" t="s">
        <v>273</v>
      </c>
      <c r="E110" s="470" t="s">
        <v>273</v>
      </c>
      <c r="F110" s="470" t="s">
        <v>273</v>
      </c>
      <c r="G110" s="470" t="s">
        <v>273</v>
      </c>
      <c r="H110" s="470" t="s">
        <v>273</v>
      </c>
      <c r="I110" s="470" t="s">
        <v>273</v>
      </c>
      <c r="J110" s="470" t="s">
        <v>273</v>
      </c>
      <c r="K110" s="470" t="s">
        <v>273</v>
      </c>
      <c r="L110" s="470" t="s">
        <v>273</v>
      </c>
      <c r="M110" s="470" t="s">
        <v>273</v>
      </c>
      <c r="N110" s="470" t="s">
        <v>273</v>
      </c>
      <c r="O110" s="470" t="s">
        <v>273</v>
      </c>
      <c r="P110" s="470" t="s">
        <v>273</v>
      </c>
      <c r="Q110" s="470" t="s">
        <v>273</v>
      </c>
      <c r="R110" s="470" t="s">
        <v>273</v>
      </c>
      <c r="S110" s="470" t="s">
        <v>273</v>
      </c>
      <c r="T110" s="470" t="s">
        <v>273</v>
      </c>
      <c r="U110" s="470" t="s">
        <v>273</v>
      </c>
      <c r="V110" s="470" t="s">
        <v>273</v>
      </c>
      <c r="W110" s="470" t="s">
        <v>273</v>
      </c>
      <c r="X110" s="470" t="s">
        <v>273</v>
      </c>
      <c r="Y110" s="470" t="s">
        <v>273</v>
      </c>
      <c r="Z110" s="470" t="s">
        <v>273</v>
      </c>
      <c r="AA110" s="470" t="s">
        <v>273</v>
      </c>
      <c r="AB110" s="470" t="s">
        <v>273</v>
      </c>
      <c r="AC110" s="470" t="s">
        <v>273</v>
      </c>
      <c r="AD110" s="470" t="s">
        <v>1422</v>
      </c>
      <c r="AE110" s="470" t="s">
        <v>1422</v>
      </c>
      <c r="AF110" s="470" t="s">
        <v>1422</v>
      </c>
      <c r="AG110" s="470">
        <v>2604</v>
      </c>
      <c r="AH110" s="470">
        <v>4470</v>
      </c>
      <c r="AI110" s="470">
        <v>4344</v>
      </c>
      <c r="AJ110" s="470">
        <v>1982</v>
      </c>
      <c r="AK110" s="470">
        <v>1630</v>
      </c>
      <c r="AL110" s="470">
        <v>1660</v>
      </c>
    </row>
    <row r="111" spans="1:38">
      <c r="A111" s="470" t="s">
        <v>1421</v>
      </c>
      <c r="B111" s="470">
        <v>6651</v>
      </c>
      <c r="C111" s="470">
        <v>8232</v>
      </c>
      <c r="D111" s="470">
        <v>9190</v>
      </c>
      <c r="E111" s="470">
        <v>9948</v>
      </c>
      <c r="F111" s="470">
        <v>10935</v>
      </c>
      <c r="G111" s="470">
        <v>10443</v>
      </c>
      <c r="H111" s="470">
        <v>9685</v>
      </c>
      <c r="I111" s="470">
        <v>8062</v>
      </c>
      <c r="J111" s="470">
        <v>8935</v>
      </c>
      <c r="K111" s="470">
        <v>8733</v>
      </c>
      <c r="L111" s="470">
        <v>12974</v>
      </c>
      <c r="M111" s="470">
        <v>7750</v>
      </c>
      <c r="N111" s="470">
        <v>9291</v>
      </c>
      <c r="O111" s="470">
        <v>8356</v>
      </c>
      <c r="P111" s="470">
        <v>8951</v>
      </c>
      <c r="Q111" s="470">
        <v>8044</v>
      </c>
      <c r="R111" s="470">
        <v>7993</v>
      </c>
      <c r="S111" s="470">
        <v>6113</v>
      </c>
      <c r="T111" s="470">
        <v>3461</v>
      </c>
      <c r="U111" s="470">
        <v>3153</v>
      </c>
      <c r="V111" s="470">
        <v>3807</v>
      </c>
      <c r="W111" s="470">
        <v>4384</v>
      </c>
      <c r="X111" s="470">
        <v>4034</v>
      </c>
      <c r="Y111" s="470">
        <v>3597</v>
      </c>
      <c r="Z111" s="470">
        <v>3532</v>
      </c>
      <c r="AA111" s="470">
        <v>5531</v>
      </c>
      <c r="AB111" s="470">
        <v>4675</v>
      </c>
      <c r="AC111" s="470">
        <v>6253</v>
      </c>
      <c r="AD111" s="470">
        <v>6351</v>
      </c>
      <c r="AE111" s="470">
        <v>6513</v>
      </c>
      <c r="AF111" s="470">
        <v>2819</v>
      </c>
      <c r="AG111" s="470" t="s">
        <v>402</v>
      </c>
      <c r="AH111" s="470" t="s">
        <v>402</v>
      </c>
      <c r="AI111" s="470" t="s">
        <v>402</v>
      </c>
      <c r="AJ111" s="470" t="s">
        <v>402</v>
      </c>
      <c r="AK111" s="470" t="s">
        <v>402</v>
      </c>
      <c r="AL111" s="470" t="s">
        <v>402</v>
      </c>
    </row>
    <row r="112" spans="1:38">
      <c r="A112" s="470" t="s">
        <v>1420</v>
      </c>
      <c r="B112" s="470">
        <v>746</v>
      </c>
      <c r="C112" s="470">
        <v>766</v>
      </c>
      <c r="D112" s="470">
        <v>717</v>
      </c>
      <c r="E112" s="470">
        <v>985</v>
      </c>
      <c r="F112" s="470">
        <v>866</v>
      </c>
      <c r="G112" s="470">
        <v>1028</v>
      </c>
      <c r="H112" s="470">
        <v>560</v>
      </c>
      <c r="I112" s="470">
        <v>-3335</v>
      </c>
      <c r="J112" s="470">
        <v>-3867</v>
      </c>
      <c r="K112" s="470">
        <v>-215</v>
      </c>
      <c r="L112" s="470">
        <v>-2979</v>
      </c>
      <c r="M112" s="470">
        <v>-1468</v>
      </c>
      <c r="N112" s="470">
        <v>-426</v>
      </c>
      <c r="O112" s="470">
        <v>4078</v>
      </c>
      <c r="P112" s="470">
        <v>5273</v>
      </c>
      <c r="Q112" s="470">
        <v>7207</v>
      </c>
      <c r="R112" s="470">
        <v>7595</v>
      </c>
      <c r="S112" s="470">
        <v>11556</v>
      </c>
      <c r="T112" s="470">
        <v>9885</v>
      </c>
      <c r="U112" s="470">
        <v>11573</v>
      </c>
      <c r="V112" s="470">
        <v>15191</v>
      </c>
      <c r="W112" s="470">
        <v>25620</v>
      </c>
      <c r="X112" s="470">
        <v>24255</v>
      </c>
      <c r="Y112" s="470">
        <v>26202</v>
      </c>
      <c r="Z112" s="470">
        <v>21702</v>
      </c>
      <c r="AA112" s="470">
        <v>23063</v>
      </c>
      <c r="AB112" s="470">
        <v>28367</v>
      </c>
      <c r="AC112" s="470">
        <v>34353</v>
      </c>
      <c r="AD112" s="470">
        <v>27799</v>
      </c>
      <c r="AE112" s="470">
        <v>21227</v>
      </c>
      <c r="AF112" s="470">
        <v>38477</v>
      </c>
      <c r="AG112" s="470">
        <v>57345</v>
      </c>
      <c r="AH112" s="470">
        <v>66000</v>
      </c>
      <c r="AI112" s="470">
        <v>78228</v>
      </c>
      <c r="AJ112" s="470">
        <v>87344</v>
      </c>
      <c r="AK112" s="470">
        <v>94773</v>
      </c>
      <c r="AL112" s="470">
        <v>86054</v>
      </c>
    </row>
    <row r="113" spans="1:38">
      <c r="A113" s="470" t="s">
        <v>67</v>
      </c>
      <c r="B113" s="470">
        <v>295</v>
      </c>
      <c r="C113" s="470">
        <v>253</v>
      </c>
      <c r="D113" s="470">
        <v>178</v>
      </c>
      <c r="E113" s="470">
        <v>188</v>
      </c>
      <c r="F113" s="470">
        <v>172</v>
      </c>
      <c r="G113" s="470">
        <v>172</v>
      </c>
      <c r="H113" s="470">
        <v>326</v>
      </c>
      <c r="I113" s="470">
        <v>175</v>
      </c>
      <c r="J113" s="470" t="s">
        <v>291</v>
      </c>
      <c r="K113" s="470">
        <v>922</v>
      </c>
      <c r="L113" s="470">
        <v>948</v>
      </c>
      <c r="M113" s="470">
        <v>456</v>
      </c>
      <c r="N113" s="470">
        <v>1271</v>
      </c>
      <c r="O113" s="470">
        <v>963</v>
      </c>
      <c r="P113" s="470">
        <v>512</v>
      </c>
      <c r="Q113" s="470">
        <v>644</v>
      </c>
      <c r="R113" s="470">
        <v>237</v>
      </c>
      <c r="S113" s="470">
        <v>611</v>
      </c>
      <c r="T113" s="470">
        <v>384</v>
      </c>
      <c r="U113" s="470">
        <v>1327</v>
      </c>
      <c r="V113" s="470">
        <v>1719</v>
      </c>
      <c r="W113" s="470">
        <v>10822</v>
      </c>
      <c r="X113" s="470">
        <v>15204</v>
      </c>
      <c r="Y113" s="470">
        <v>20344</v>
      </c>
      <c r="Z113" s="470">
        <v>18284</v>
      </c>
      <c r="AA113" s="470">
        <v>3277</v>
      </c>
      <c r="AB113" s="470">
        <v>-367</v>
      </c>
      <c r="AC113" s="470">
        <v>-3894</v>
      </c>
      <c r="AD113" s="470">
        <v>-5132</v>
      </c>
      <c r="AE113" s="470">
        <v>-2410</v>
      </c>
      <c r="AF113" s="470">
        <v>772</v>
      </c>
      <c r="AG113" s="470">
        <v>1952</v>
      </c>
      <c r="AH113" s="470">
        <v>1697</v>
      </c>
      <c r="AI113" s="470">
        <v>717</v>
      </c>
      <c r="AJ113" s="470">
        <v>834</v>
      </c>
      <c r="AK113" s="470">
        <v>1749</v>
      </c>
      <c r="AL113" s="470">
        <v>1434</v>
      </c>
    </row>
    <row r="114" spans="1:38">
      <c r="A114" s="470" t="s">
        <v>414</v>
      </c>
      <c r="B114" s="470" t="s">
        <v>273</v>
      </c>
      <c r="C114" s="470" t="s">
        <v>273</v>
      </c>
      <c r="D114" s="470" t="s">
        <v>273</v>
      </c>
      <c r="E114" s="470" t="s">
        <v>273</v>
      </c>
      <c r="F114" s="470" t="s">
        <v>273</v>
      </c>
      <c r="G114" s="470" t="s">
        <v>273</v>
      </c>
      <c r="H114" s="470" t="s">
        <v>273</v>
      </c>
      <c r="I114" s="470">
        <v>0</v>
      </c>
      <c r="J114" s="470">
        <v>0</v>
      </c>
      <c r="K114" s="470">
        <v>0</v>
      </c>
      <c r="L114" s="470">
        <v>0</v>
      </c>
      <c r="M114" s="470">
        <v>0</v>
      </c>
      <c r="N114" s="470">
        <v>0</v>
      </c>
      <c r="O114" s="470">
        <v>0</v>
      </c>
      <c r="P114" s="470">
        <v>0</v>
      </c>
      <c r="Q114" s="470">
        <v>0</v>
      </c>
      <c r="R114" s="470">
        <v>0</v>
      </c>
      <c r="S114" s="470">
        <v>1</v>
      </c>
      <c r="T114" s="470">
        <v>1</v>
      </c>
      <c r="U114" s="470">
        <v>1</v>
      </c>
      <c r="V114" s="470">
        <v>1</v>
      </c>
      <c r="W114" s="470">
        <v>1</v>
      </c>
      <c r="X114" s="470">
        <v>0</v>
      </c>
      <c r="Y114" s="470">
        <v>0</v>
      </c>
      <c r="Z114" s="470" t="s">
        <v>273</v>
      </c>
      <c r="AA114" s="470" t="s">
        <v>273</v>
      </c>
      <c r="AB114" s="470" t="s">
        <v>273</v>
      </c>
      <c r="AC114" s="470">
        <v>0</v>
      </c>
      <c r="AD114" s="470">
        <v>0</v>
      </c>
      <c r="AE114" s="470" t="s">
        <v>291</v>
      </c>
      <c r="AF114" s="470" t="s">
        <v>291</v>
      </c>
      <c r="AG114" s="470" t="s">
        <v>291</v>
      </c>
      <c r="AH114" s="470" t="s">
        <v>291</v>
      </c>
      <c r="AI114" s="470" t="s">
        <v>291</v>
      </c>
      <c r="AJ114" s="470" t="s">
        <v>291</v>
      </c>
      <c r="AK114" s="470" t="s">
        <v>291</v>
      </c>
      <c r="AL114" s="470" t="s">
        <v>291</v>
      </c>
    </row>
    <row r="115" spans="1:38">
      <c r="A115" s="470" t="s">
        <v>413</v>
      </c>
      <c r="B115" s="470" t="s">
        <v>273</v>
      </c>
      <c r="C115" s="470" t="s">
        <v>273</v>
      </c>
      <c r="D115" s="470" t="s">
        <v>273</v>
      </c>
      <c r="E115" s="470" t="s">
        <v>273</v>
      </c>
      <c r="F115" s="470" t="s">
        <v>273</v>
      </c>
      <c r="G115" s="470" t="s">
        <v>273</v>
      </c>
      <c r="H115" s="470" t="s">
        <v>273</v>
      </c>
      <c r="I115" s="470">
        <v>0</v>
      </c>
      <c r="J115" s="470">
        <v>0</v>
      </c>
      <c r="K115" s="470">
        <v>0</v>
      </c>
      <c r="L115" s="470">
        <v>0</v>
      </c>
      <c r="M115" s="470">
        <v>0</v>
      </c>
      <c r="N115" s="470">
        <v>32</v>
      </c>
      <c r="O115" s="470">
        <v>31</v>
      </c>
      <c r="P115" s="470">
        <v>30</v>
      </c>
      <c r="Q115" s="470">
        <v>28</v>
      </c>
      <c r="R115" s="470">
        <v>28</v>
      </c>
      <c r="S115" s="470">
        <v>22</v>
      </c>
      <c r="T115" s="470">
        <v>21</v>
      </c>
      <c r="U115" s="470">
        <v>21</v>
      </c>
      <c r="V115" s="470">
        <v>20</v>
      </c>
      <c r="W115" s="470">
        <v>20</v>
      </c>
      <c r="X115" s="470">
        <v>3</v>
      </c>
      <c r="Y115" s="470">
        <v>3</v>
      </c>
      <c r="Z115" s="470">
        <v>3</v>
      </c>
      <c r="AA115" s="470">
        <v>3</v>
      </c>
      <c r="AB115" s="470">
        <v>3</v>
      </c>
      <c r="AC115" s="470">
        <v>3</v>
      </c>
      <c r="AD115" s="470">
        <v>3</v>
      </c>
      <c r="AE115" s="470">
        <v>3</v>
      </c>
      <c r="AF115" s="470">
        <v>3</v>
      </c>
      <c r="AG115" s="470">
        <v>3</v>
      </c>
      <c r="AH115" s="470">
        <v>4</v>
      </c>
      <c r="AI115" s="470" t="s">
        <v>291</v>
      </c>
      <c r="AJ115" s="470">
        <v>3</v>
      </c>
      <c r="AK115" s="470">
        <v>3</v>
      </c>
      <c r="AL115" s="470">
        <v>4</v>
      </c>
    </row>
    <row r="116" spans="1:38">
      <c r="A116" s="470" t="s">
        <v>412</v>
      </c>
      <c r="B116" s="470" t="s">
        <v>273</v>
      </c>
      <c r="C116" s="470" t="s">
        <v>273</v>
      </c>
      <c r="D116" s="470" t="s">
        <v>273</v>
      </c>
      <c r="E116" s="470" t="s">
        <v>273</v>
      </c>
      <c r="F116" s="470" t="s">
        <v>273</v>
      </c>
      <c r="G116" s="470" t="s">
        <v>273</v>
      </c>
      <c r="H116" s="470" t="s">
        <v>273</v>
      </c>
      <c r="I116" s="470">
        <v>0</v>
      </c>
      <c r="J116" s="470">
        <v>0</v>
      </c>
      <c r="K116" s="470">
        <v>0</v>
      </c>
      <c r="L116" s="470">
        <v>0</v>
      </c>
      <c r="M116" s="470" t="s">
        <v>291</v>
      </c>
      <c r="N116" s="470" t="s">
        <v>291</v>
      </c>
      <c r="O116" s="470">
        <v>14</v>
      </c>
      <c r="P116" s="470">
        <v>23</v>
      </c>
      <c r="Q116" s="470">
        <v>24</v>
      </c>
      <c r="R116" s="470">
        <v>32</v>
      </c>
      <c r="S116" s="470">
        <v>18</v>
      </c>
      <c r="T116" s="470">
        <v>18</v>
      </c>
      <c r="U116" s="470">
        <v>11</v>
      </c>
      <c r="V116" s="470">
        <v>14</v>
      </c>
      <c r="W116" s="470">
        <v>14</v>
      </c>
      <c r="X116" s="470" t="s">
        <v>291</v>
      </c>
      <c r="Y116" s="470" t="s">
        <v>291</v>
      </c>
      <c r="Z116" s="470" t="s">
        <v>291</v>
      </c>
      <c r="AA116" s="470" t="s">
        <v>291</v>
      </c>
      <c r="AB116" s="470" t="s">
        <v>291</v>
      </c>
      <c r="AC116" s="470">
        <v>3</v>
      </c>
      <c r="AD116" s="470" t="s">
        <v>291</v>
      </c>
      <c r="AE116" s="470">
        <v>-6</v>
      </c>
      <c r="AF116" s="470">
        <v>-8</v>
      </c>
      <c r="AG116" s="470">
        <v>-10</v>
      </c>
      <c r="AH116" s="470">
        <v>-5</v>
      </c>
      <c r="AI116" s="470">
        <v>-4</v>
      </c>
      <c r="AJ116" s="470" t="s">
        <v>291</v>
      </c>
      <c r="AK116" s="470">
        <v>-7</v>
      </c>
      <c r="AL116" s="470">
        <v>-8</v>
      </c>
    </row>
    <row r="117" spans="1:38">
      <c r="A117" s="470" t="s">
        <v>411</v>
      </c>
      <c r="B117" s="470">
        <v>285</v>
      </c>
      <c r="C117" s="470">
        <v>241</v>
      </c>
      <c r="D117" s="470">
        <v>164</v>
      </c>
      <c r="E117" s="470">
        <v>175</v>
      </c>
      <c r="F117" s="470">
        <v>158</v>
      </c>
      <c r="G117" s="470">
        <v>154</v>
      </c>
      <c r="H117" s="470">
        <v>309</v>
      </c>
      <c r="I117" s="470" t="s">
        <v>273</v>
      </c>
      <c r="J117" s="470" t="s">
        <v>273</v>
      </c>
      <c r="K117" s="470" t="s">
        <v>273</v>
      </c>
      <c r="L117" s="470" t="s">
        <v>273</v>
      </c>
      <c r="M117" s="470" t="s">
        <v>273</v>
      </c>
      <c r="N117" s="470" t="s">
        <v>273</v>
      </c>
      <c r="O117" s="470" t="s">
        <v>273</v>
      </c>
      <c r="P117" s="470" t="s">
        <v>273</v>
      </c>
      <c r="Q117" s="470" t="s">
        <v>273</v>
      </c>
      <c r="R117" s="470" t="s">
        <v>273</v>
      </c>
      <c r="S117" s="470" t="s">
        <v>273</v>
      </c>
      <c r="T117" s="470" t="s">
        <v>273</v>
      </c>
      <c r="U117" s="470" t="s">
        <v>273</v>
      </c>
      <c r="V117" s="470" t="s">
        <v>273</v>
      </c>
      <c r="W117" s="470" t="s">
        <v>273</v>
      </c>
      <c r="X117" s="470" t="s">
        <v>273</v>
      </c>
      <c r="Y117" s="470" t="s">
        <v>273</v>
      </c>
      <c r="Z117" s="470" t="s">
        <v>273</v>
      </c>
      <c r="AA117" s="470" t="s">
        <v>273</v>
      </c>
      <c r="AB117" s="470" t="s">
        <v>273</v>
      </c>
      <c r="AC117" s="470" t="s">
        <v>273</v>
      </c>
      <c r="AD117" s="470" t="s">
        <v>273</v>
      </c>
      <c r="AE117" s="470" t="s">
        <v>273</v>
      </c>
      <c r="AF117" s="470" t="s">
        <v>273</v>
      </c>
      <c r="AG117" s="470" t="s">
        <v>273</v>
      </c>
      <c r="AH117" s="470" t="s">
        <v>273</v>
      </c>
      <c r="AI117" s="470" t="s">
        <v>273</v>
      </c>
      <c r="AJ117" s="470" t="s">
        <v>273</v>
      </c>
      <c r="AK117" s="470" t="s">
        <v>273</v>
      </c>
      <c r="AL117" s="470" t="s">
        <v>273</v>
      </c>
    </row>
    <row r="118" spans="1:38">
      <c r="A118" s="470" t="s">
        <v>1419</v>
      </c>
      <c r="B118" s="470" t="s">
        <v>291</v>
      </c>
      <c r="C118" s="470" t="s">
        <v>291</v>
      </c>
      <c r="D118" s="470" t="s">
        <v>291</v>
      </c>
      <c r="E118" s="470" t="s">
        <v>291</v>
      </c>
      <c r="F118" s="470" t="s">
        <v>291</v>
      </c>
      <c r="G118" s="470" t="s">
        <v>291</v>
      </c>
      <c r="H118" s="470" t="s">
        <v>291</v>
      </c>
      <c r="I118" s="470">
        <v>32</v>
      </c>
      <c r="J118" s="470">
        <v>72</v>
      </c>
      <c r="K118" s="470">
        <v>51</v>
      </c>
      <c r="L118" s="470">
        <v>191</v>
      </c>
      <c r="M118" s="470">
        <v>124</v>
      </c>
      <c r="N118" s="470">
        <v>858</v>
      </c>
      <c r="O118" s="470">
        <v>888</v>
      </c>
      <c r="P118" s="470">
        <v>408</v>
      </c>
      <c r="Q118" s="470">
        <v>590</v>
      </c>
      <c r="R118" s="470">
        <v>153</v>
      </c>
      <c r="S118" s="470">
        <v>552</v>
      </c>
      <c r="T118" s="470">
        <v>245</v>
      </c>
      <c r="U118" s="470">
        <v>1244</v>
      </c>
      <c r="V118" s="470">
        <v>1560</v>
      </c>
      <c r="W118" s="470">
        <v>10818</v>
      </c>
      <c r="X118" s="470">
        <v>15063</v>
      </c>
      <c r="Y118" s="470">
        <v>20219</v>
      </c>
      <c r="Z118" s="470">
        <v>18109</v>
      </c>
      <c r="AA118" s="470">
        <v>3062</v>
      </c>
      <c r="AB118" s="470">
        <v>-455</v>
      </c>
      <c r="AC118" s="470">
        <v>-3997</v>
      </c>
      <c r="AD118" s="470">
        <v>-5242</v>
      </c>
      <c r="AE118" s="470">
        <v>-2505</v>
      </c>
      <c r="AF118" s="470">
        <v>706</v>
      </c>
      <c r="AG118" s="470">
        <v>1387</v>
      </c>
      <c r="AH118" s="470">
        <v>1131</v>
      </c>
      <c r="AI118" s="470">
        <v>316</v>
      </c>
      <c r="AJ118" s="470">
        <v>301</v>
      </c>
      <c r="AK118" s="470">
        <v>1340</v>
      </c>
      <c r="AL118" s="470">
        <v>1142</v>
      </c>
    </row>
    <row r="119" spans="1:38">
      <c r="A119" s="470" t="s">
        <v>410</v>
      </c>
      <c r="B119" s="470" t="s">
        <v>273</v>
      </c>
      <c r="C119" s="470" t="s">
        <v>273</v>
      </c>
      <c r="D119" s="470" t="s">
        <v>273</v>
      </c>
      <c r="E119" s="470" t="s">
        <v>273</v>
      </c>
      <c r="F119" s="470" t="s">
        <v>273</v>
      </c>
      <c r="G119" s="470" t="s">
        <v>273</v>
      </c>
      <c r="H119" s="470" t="s">
        <v>273</v>
      </c>
      <c r="I119" s="470">
        <v>0</v>
      </c>
      <c r="J119" s="470">
        <v>0</v>
      </c>
      <c r="K119" s="470">
        <v>0</v>
      </c>
      <c r="L119" s="470">
        <v>0</v>
      </c>
      <c r="M119" s="470">
        <v>0</v>
      </c>
      <c r="N119" s="470">
        <v>0</v>
      </c>
      <c r="O119" s="470">
        <v>0</v>
      </c>
      <c r="P119" s="470">
        <v>-3</v>
      </c>
      <c r="Q119" s="470" t="s">
        <v>291</v>
      </c>
      <c r="R119" s="470" t="s">
        <v>291</v>
      </c>
      <c r="S119" s="470" t="s">
        <v>291</v>
      </c>
      <c r="T119" s="470">
        <v>0</v>
      </c>
      <c r="U119" s="470">
        <v>0</v>
      </c>
      <c r="V119" s="470">
        <v>0</v>
      </c>
      <c r="W119" s="470">
        <v>0</v>
      </c>
      <c r="X119" s="470" t="s">
        <v>291</v>
      </c>
      <c r="Y119" s="470" t="s">
        <v>291</v>
      </c>
      <c r="Z119" s="470" t="s">
        <v>291</v>
      </c>
      <c r="AA119" s="470" t="s">
        <v>291</v>
      </c>
      <c r="AB119" s="470" t="s">
        <v>291</v>
      </c>
      <c r="AC119" s="470" t="s">
        <v>291</v>
      </c>
      <c r="AD119" s="470" t="s">
        <v>291</v>
      </c>
      <c r="AE119" s="470" t="s">
        <v>291</v>
      </c>
      <c r="AF119" s="470" t="s">
        <v>291</v>
      </c>
      <c r="AG119" s="470" t="s">
        <v>291</v>
      </c>
      <c r="AH119" s="470" t="s">
        <v>306</v>
      </c>
      <c r="AI119" s="470" t="s">
        <v>291</v>
      </c>
      <c r="AJ119" s="470" t="s">
        <v>306</v>
      </c>
      <c r="AK119" s="470" t="s">
        <v>306</v>
      </c>
      <c r="AL119" s="470" t="s">
        <v>306</v>
      </c>
    </row>
    <row r="120" spans="1:38">
      <c r="A120" s="470" t="s">
        <v>408</v>
      </c>
      <c r="B120" s="470" t="s">
        <v>273</v>
      </c>
      <c r="C120" s="470" t="s">
        <v>273</v>
      </c>
      <c r="D120" s="470" t="s">
        <v>273</v>
      </c>
      <c r="E120" s="470" t="s">
        <v>273</v>
      </c>
      <c r="F120" s="470" t="s">
        <v>273</v>
      </c>
      <c r="G120" s="470" t="s">
        <v>273</v>
      </c>
      <c r="H120" s="470" t="s">
        <v>273</v>
      </c>
      <c r="I120" s="470">
        <v>0</v>
      </c>
      <c r="J120" s="470">
        <v>0</v>
      </c>
      <c r="K120" s="470">
        <v>0</v>
      </c>
      <c r="L120" s="470">
        <v>0</v>
      </c>
      <c r="M120" s="470">
        <v>0</v>
      </c>
      <c r="N120" s="470">
        <v>0</v>
      </c>
      <c r="O120" s="470">
        <v>0</v>
      </c>
      <c r="P120" s="470">
        <v>0</v>
      </c>
      <c r="Q120" s="470">
        <v>0</v>
      </c>
      <c r="R120" s="470">
        <v>0</v>
      </c>
      <c r="S120" s="470">
        <v>0</v>
      </c>
      <c r="T120" s="470" t="s">
        <v>306</v>
      </c>
      <c r="U120" s="470">
        <v>0</v>
      </c>
      <c r="V120" s="470">
        <v>0</v>
      </c>
      <c r="W120" s="470">
        <v>0</v>
      </c>
      <c r="X120" s="470">
        <v>0</v>
      </c>
      <c r="Y120" s="470">
        <v>0</v>
      </c>
      <c r="Z120" s="470" t="s">
        <v>273</v>
      </c>
      <c r="AA120" s="470" t="s">
        <v>273</v>
      </c>
      <c r="AB120" s="470" t="s">
        <v>273</v>
      </c>
      <c r="AC120" s="470" t="s">
        <v>273</v>
      </c>
      <c r="AD120" s="470">
        <v>0</v>
      </c>
      <c r="AE120" s="470">
        <v>0</v>
      </c>
      <c r="AF120" s="470">
        <v>0</v>
      </c>
      <c r="AG120" s="470" t="s">
        <v>306</v>
      </c>
      <c r="AH120" s="470" t="s">
        <v>306</v>
      </c>
      <c r="AI120" s="470" t="s">
        <v>291</v>
      </c>
      <c r="AJ120" s="470">
        <v>2</v>
      </c>
      <c r="AK120" s="470">
        <v>-1</v>
      </c>
      <c r="AL120" s="470" t="s">
        <v>306</v>
      </c>
    </row>
    <row r="121" spans="1:38">
      <c r="A121" s="470" t="s">
        <v>1418</v>
      </c>
      <c r="B121" s="470">
        <v>0</v>
      </c>
      <c r="C121" s="470">
        <v>0</v>
      </c>
      <c r="D121" s="470">
        <v>0</v>
      </c>
      <c r="E121" s="470" t="s">
        <v>306</v>
      </c>
      <c r="F121" s="470">
        <v>0</v>
      </c>
      <c r="G121" s="470">
        <v>-2</v>
      </c>
      <c r="H121" s="470">
        <v>-2</v>
      </c>
      <c r="I121" s="470" t="s">
        <v>306</v>
      </c>
      <c r="J121" s="470">
        <v>0</v>
      </c>
      <c r="K121" s="470">
        <v>0</v>
      </c>
      <c r="L121" s="470">
        <v>0</v>
      </c>
      <c r="M121" s="470">
        <v>0</v>
      </c>
      <c r="N121" s="470">
        <v>2</v>
      </c>
      <c r="O121" s="470" t="s">
        <v>291</v>
      </c>
      <c r="P121" s="470" t="s">
        <v>291</v>
      </c>
      <c r="Q121" s="470" t="s">
        <v>291</v>
      </c>
      <c r="R121" s="470">
        <v>2</v>
      </c>
      <c r="S121" s="470">
        <v>19</v>
      </c>
      <c r="T121" s="470">
        <v>21</v>
      </c>
      <c r="U121" s="470">
        <v>18</v>
      </c>
      <c r="V121" s="470">
        <v>79</v>
      </c>
      <c r="W121" s="470">
        <v>50</v>
      </c>
      <c r="X121" s="470">
        <v>58</v>
      </c>
      <c r="Y121" s="470">
        <v>11</v>
      </c>
      <c r="Z121" s="470" t="s">
        <v>306</v>
      </c>
      <c r="AA121" s="470">
        <v>22</v>
      </c>
      <c r="AB121" s="470">
        <v>-105</v>
      </c>
      <c r="AC121" s="470">
        <v>-162</v>
      </c>
      <c r="AD121" s="470">
        <v>-144</v>
      </c>
      <c r="AE121" s="470">
        <v>-73</v>
      </c>
      <c r="AF121" s="470">
        <v>-142</v>
      </c>
      <c r="AG121" s="470">
        <v>37</v>
      </c>
      <c r="AH121" s="470">
        <v>71</v>
      </c>
      <c r="AI121" s="470">
        <v>-1</v>
      </c>
      <c r="AJ121" s="470">
        <v>-5</v>
      </c>
      <c r="AK121" s="470">
        <v>-8</v>
      </c>
      <c r="AL121" s="470">
        <v>-2</v>
      </c>
    </row>
    <row r="122" spans="1:38">
      <c r="A122" s="470" t="s">
        <v>407</v>
      </c>
      <c r="B122" s="470">
        <v>0</v>
      </c>
      <c r="C122" s="470" t="s">
        <v>306</v>
      </c>
      <c r="D122" s="470" t="s">
        <v>306</v>
      </c>
      <c r="E122" s="470" t="s">
        <v>306</v>
      </c>
      <c r="F122" s="470" t="s">
        <v>306</v>
      </c>
      <c r="G122" s="470" t="s">
        <v>306</v>
      </c>
      <c r="H122" s="470" t="s">
        <v>306</v>
      </c>
      <c r="I122" s="470" t="s">
        <v>306</v>
      </c>
      <c r="J122" s="470" t="s">
        <v>306</v>
      </c>
      <c r="K122" s="470" t="s">
        <v>306</v>
      </c>
      <c r="L122" s="470" t="s">
        <v>306</v>
      </c>
      <c r="M122" s="470" t="s">
        <v>306</v>
      </c>
      <c r="N122" s="470">
        <v>2</v>
      </c>
      <c r="O122" s="470">
        <v>3</v>
      </c>
      <c r="P122" s="470">
        <v>4</v>
      </c>
      <c r="Q122" s="470">
        <v>5</v>
      </c>
      <c r="R122" s="470">
        <v>7</v>
      </c>
      <c r="S122" s="470">
        <v>0</v>
      </c>
      <c r="T122" s="470">
        <v>0</v>
      </c>
      <c r="U122" s="470">
        <v>1</v>
      </c>
      <c r="V122" s="470">
        <v>3</v>
      </c>
      <c r="W122" s="470">
        <v>-1</v>
      </c>
      <c r="X122" s="470" t="s">
        <v>291</v>
      </c>
      <c r="Y122" s="470" t="s">
        <v>291</v>
      </c>
      <c r="Z122" s="470" t="s">
        <v>291</v>
      </c>
      <c r="AA122" s="470" t="s">
        <v>291</v>
      </c>
      <c r="AB122" s="470" t="s">
        <v>291</v>
      </c>
      <c r="AC122" s="470" t="s">
        <v>306</v>
      </c>
      <c r="AD122" s="470" t="s">
        <v>306</v>
      </c>
      <c r="AE122" s="470">
        <v>-2</v>
      </c>
      <c r="AF122" s="470" t="s">
        <v>306</v>
      </c>
      <c r="AG122" s="470">
        <v>-3</v>
      </c>
      <c r="AH122" s="470">
        <v>-1</v>
      </c>
      <c r="AI122" s="470" t="s">
        <v>291</v>
      </c>
      <c r="AJ122" s="470">
        <v>-1</v>
      </c>
      <c r="AK122" s="470">
        <v>-1</v>
      </c>
      <c r="AL122" s="470">
        <v>-1</v>
      </c>
    </row>
    <row r="123" spans="1:38">
      <c r="A123" s="470" t="s">
        <v>406</v>
      </c>
      <c r="B123" s="470" t="s">
        <v>273</v>
      </c>
      <c r="C123" s="470" t="s">
        <v>273</v>
      </c>
      <c r="D123" s="470" t="s">
        <v>273</v>
      </c>
      <c r="E123" s="470" t="s">
        <v>273</v>
      </c>
      <c r="F123" s="470" t="s">
        <v>273</v>
      </c>
      <c r="G123" s="470" t="s">
        <v>273</v>
      </c>
      <c r="H123" s="470" t="s">
        <v>273</v>
      </c>
      <c r="I123" s="470" t="s">
        <v>291</v>
      </c>
      <c r="J123" s="470" t="s">
        <v>291</v>
      </c>
      <c r="K123" s="470" t="s">
        <v>291</v>
      </c>
      <c r="L123" s="470" t="s">
        <v>291</v>
      </c>
      <c r="M123" s="470" t="s">
        <v>291</v>
      </c>
      <c r="N123" s="470">
        <v>0</v>
      </c>
      <c r="O123" s="470" t="s">
        <v>306</v>
      </c>
      <c r="P123" s="470" t="s">
        <v>306</v>
      </c>
      <c r="Q123" s="470" t="s">
        <v>306</v>
      </c>
      <c r="R123" s="470" t="s">
        <v>306</v>
      </c>
      <c r="S123" s="470" t="s">
        <v>306</v>
      </c>
      <c r="T123" s="470">
        <v>5</v>
      </c>
      <c r="U123" s="470">
        <v>5</v>
      </c>
      <c r="V123" s="470">
        <v>5</v>
      </c>
      <c r="W123" s="470">
        <v>5</v>
      </c>
      <c r="X123" s="470" t="s">
        <v>291</v>
      </c>
      <c r="Y123" s="470" t="s">
        <v>291</v>
      </c>
      <c r="Z123" s="470" t="s">
        <v>291</v>
      </c>
      <c r="AA123" s="470" t="s">
        <v>291</v>
      </c>
      <c r="AB123" s="470" t="s">
        <v>291</v>
      </c>
      <c r="AC123" s="470">
        <v>8</v>
      </c>
      <c r="AD123" s="470">
        <v>8</v>
      </c>
      <c r="AE123" s="470">
        <v>8</v>
      </c>
      <c r="AF123" s="470">
        <v>8</v>
      </c>
      <c r="AG123" s="470">
        <v>8</v>
      </c>
      <c r="AH123" s="470">
        <v>8</v>
      </c>
      <c r="AI123" s="470">
        <v>8</v>
      </c>
      <c r="AJ123" s="470">
        <v>8</v>
      </c>
      <c r="AK123" s="470">
        <v>8</v>
      </c>
      <c r="AL123" s="470">
        <v>8</v>
      </c>
    </row>
    <row r="124" spans="1:38">
      <c r="A124" s="470" t="s">
        <v>405</v>
      </c>
      <c r="B124" s="470">
        <v>0</v>
      </c>
      <c r="C124" s="470">
        <v>0</v>
      </c>
      <c r="D124" s="470">
        <v>0</v>
      </c>
      <c r="E124" s="470">
        <v>1</v>
      </c>
      <c r="F124" s="470">
        <v>1</v>
      </c>
      <c r="G124" s="470">
        <v>1</v>
      </c>
      <c r="H124" s="470">
        <v>1</v>
      </c>
      <c r="I124" s="470" t="s">
        <v>306</v>
      </c>
      <c r="J124" s="470" t="s">
        <v>306</v>
      </c>
      <c r="K124" s="470" t="s">
        <v>306</v>
      </c>
      <c r="L124" s="470" t="s">
        <v>306</v>
      </c>
      <c r="M124" s="470" t="s">
        <v>306</v>
      </c>
      <c r="N124" s="470" t="s">
        <v>306</v>
      </c>
      <c r="O124" s="470" t="s">
        <v>306</v>
      </c>
      <c r="P124" s="470">
        <v>-1</v>
      </c>
      <c r="Q124" s="470" t="s">
        <v>306</v>
      </c>
      <c r="R124" s="470">
        <v>1</v>
      </c>
      <c r="S124" s="470">
        <v>-1</v>
      </c>
      <c r="T124" s="470" t="s">
        <v>306</v>
      </c>
      <c r="U124" s="470">
        <v>-1</v>
      </c>
      <c r="V124" s="470">
        <v>-1</v>
      </c>
      <c r="W124" s="470">
        <v>-1</v>
      </c>
      <c r="X124" s="470">
        <v>1</v>
      </c>
      <c r="Y124" s="470">
        <v>1</v>
      </c>
      <c r="Z124" s="470">
        <v>1</v>
      </c>
      <c r="AA124" s="470">
        <v>1</v>
      </c>
      <c r="AB124" s="470">
        <v>1</v>
      </c>
      <c r="AC124" s="470" t="s">
        <v>306</v>
      </c>
      <c r="AD124" s="470">
        <v>0</v>
      </c>
      <c r="AE124" s="470">
        <v>0</v>
      </c>
      <c r="AF124" s="470">
        <v>0</v>
      </c>
      <c r="AG124" s="470">
        <v>0</v>
      </c>
      <c r="AH124" s="470" t="s">
        <v>291</v>
      </c>
      <c r="AI124" s="470">
        <v>-8</v>
      </c>
      <c r="AJ124" s="470" t="s">
        <v>291</v>
      </c>
      <c r="AK124" s="470" t="s">
        <v>291</v>
      </c>
      <c r="AL124" s="470" t="s">
        <v>291</v>
      </c>
    </row>
    <row r="125" spans="1:38">
      <c r="A125" s="470" t="s">
        <v>404</v>
      </c>
      <c r="B125" s="470" t="s">
        <v>306</v>
      </c>
      <c r="C125" s="470" t="s">
        <v>306</v>
      </c>
      <c r="D125" s="470" t="s">
        <v>306</v>
      </c>
      <c r="E125" s="470" t="s">
        <v>306</v>
      </c>
      <c r="F125" s="470" t="s">
        <v>306</v>
      </c>
      <c r="G125" s="470">
        <v>5</v>
      </c>
      <c r="H125" s="470" t="s">
        <v>306</v>
      </c>
      <c r="I125" s="470" t="s">
        <v>291</v>
      </c>
      <c r="J125" s="470" t="s">
        <v>291</v>
      </c>
      <c r="K125" s="470" t="s">
        <v>291</v>
      </c>
      <c r="L125" s="470" t="s">
        <v>291</v>
      </c>
      <c r="M125" s="470" t="s">
        <v>291</v>
      </c>
      <c r="N125" s="470" t="s">
        <v>291</v>
      </c>
      <c r="O125" s="470" t="s">
        <v>291</v>
      </c>
      <c r="P125" s="470" t="s">
        <v>291</v>
      </c>
      <c r="Q125" s="470">
        <v>-2</v>
      </c>
      <c r="R125" s="470" t="s">
        <v>306</v>
      </c>
      <c r="S125" s="470">
        <v>-4</v>
      </c>
      <c r="T125" s="470">
        <v>-4</v>
      </c>
      <c r="U125" s="470">
        <v>-7</v>
      </c>
      <c r="V125" s="470">
        <v>-5</v>
      </c>
      <c r="W125" s="470" t="s">
        <v>291</v>
      </c>
      <c r="X125" s="470">
        <v>-4</v>
      </c>
      <c r="Y125" s="470">
        <v>-3</v>
      </c>
      <c r="Z125" s="470">
        <v>-14</v>
      </c>
      <c r="AA125" s="470">
        <v>-4</v>
      </c>
      <c r="AB125" s="470">
        <v>-9</v>
      </c>
      <c r="AC125" s="470">
        <v>3</v>
      </c>
      <c r="AD125" s="470" t="s">
        <v>306</v>
      </c>
      <c r="AE125" s="470">
        <v>-1</v>
      </c>
      <c r="AF125" s="470">
        <v>3</v>
      </c>
      <c r="AG125" s="470">
        <v>12</v>
      </c>
      <c r="AH125" s="470">
        <v>4</v>
      </c>
      <c r="AI125" s="470" t="s">
        <v>306</v>
      </c>
      <c r="AJ125" s="470">
        <v>3</v>
      </c>
      <c r="AK125" s="470" t="s">
        <v>306</v>
      </c>
      <c r="AL125" s="470" t="s">
        <v>306</v>
      </c>
    </row>
    <row r="126" spans="1:38">
      <c r="A126" s="470" t="s">
        <v>1417</v>
      </c>
      <c r="B126" s="470" t="s">
        <v>273</v>
      </c>
      <c r="C126" s="470" t="s">
        <v>273</v>
      </c>
      <c r="D126" s="470" t="s">
        <v>273</v>
      </c>
      <c r="E126" s="470" t="s">
        <v>273</v>
      </c>
      <c r="F126" s="470" t="s">
        <v>273</v>
      </c>
      <c r="G126" s="470" t="s">
        <v>273</v>
      </c>
      <c r="H126" s="470" t="s">
        <v>273</v>
      </c>
      <c r="I126" s="470" t="s">
        <v>273</v>
      </c>
      <c r="J126" s="470" t="s">
        <v>273</v>
      </c>
      <c r="K126" s="470" t="s">
        <v>273</v>
      </c>
      <c r="L126" s="470" t="s">
        <v>273</v>
      </c>
      <c r="M126" s="470" t="s">
        <v>273</v>
      </c>
      <c r="N126" s="470" t="s">
        <v>273</v>
      </c>
      <c r="O126" s="470" t="s">
        <v>273</v>
      </c>
      <c r="P126" s="470" t="s">
        <v>273</v>
      </c>
      <c r="Q126" s="470" t="s">
        <v>273</v>
      </c>
      <c r="R126" s="470" t="s">
        <v>273</v>
      </c>
      <c r="S126" s="470" t="s">
        <v>273</v>
      </c>
      <c r="T126" s="470" t="s">
        <v>273</v>
      </c>
      <c r="U126" s="470" t="s">
        <v>273</v>
      </c>
      <c r="V126" s="470" t="s">
        <v>273</v>
      </c>
      <c r="W126" s="470" t="s">
        <v>273</v>
      </c>
      <c r="X126" s="470" t="s">
        <v>273</v>
      </c>
      <c r="Y126" s="470" t="s">
        <v>273</v>
      </c>
      <c r="Z126" s="470" t="s">
        <v>273</v>
      </c>
      <c r="AA126" s="470" t="s">
        <v>273</v>
      </c>
      <c r="AB126" s="470" t="s">
        <v>273</v>
      </c>
      <c r="AC126" s="470" t="s">
        <v>273</v>
      </c>
      <c r="AD126" s="470">
        <v>0</v>
      </c>
      <c r="AE126" s="470">
        <v>0</v>
      </c>
      <c r="AF126" s="470">
        <v>0</v>
      </c>
      <c r="AG126" s="470">
        <v>241</v>
      </c>
      <c r="AH126" s="470">
        <v>163</v>
      </c>
      <c r="AI126" s="470">
        <v>182</v>
      </c>
      <c r="AJ126" s="470">
        <v>213</v>
      </c>
      <c r="AK126" s="470" t="s">
        <v>291</v>
      </c>
      <c r="AL126" s="470">
        <v>89</v>
      </c>
    </row>
    <row r="127" spans="1:38">
      <c r="A127" s="470" t="s">
        <v>399</v>
      </c>
      <c r="B127" s="470" t="s">
        <v>291</v>
      </c>
      <c r="C127" s="470" t="s">
        <v>291</v>
      </c>
      <c r="D127" s="470" t="s">
        <v>291</v>
      </c>
      <c r="E127" s="470" t="s">
        <v>291</v>
      </c>
      <c r="F127" s="470" t="s">
        <v>291</v>
      </c>
      <c r="G127" s="470" t="s">
        <v>291</v>
      </c>
      <c r="H127" s="470" t="s">
        <v>291</v>
      </c>
      <c r="I127" s="470">
        <v>0</v>
      </c>
      <c r="J127" s="470">
        <v>2</v>
      </c>
      <c r="K127" s="470">
        <v>2</v>
      </c>
      <c r="L127" s="470">
        <v>2</v>
      </c>
      <c r="M127" s="470">
        <v>2</v>
      </c>
      <c r="N127" s="470">
        <v>3</v>
      </c>
      <c r="O127" s="470">
        <v>2</v>
      </c>
      <c r="P127" s="470">
        <v>1</v>
      </c>
      <c r="Q127" s="470" t="s">
        <v>306</v>
      </c>
      <c r="R127" s="470">
        <v>-2</v>
      </c>
      <c r="S127" s="470" t="s">
        <v>273</v>
      </c>
      <c r="T127" s="470" t="s">
        <v>273</v>
      </c>
      <c r="U127" s="470" t="s">
        <v>273</v>
      </c>
      <c r="V127" s="470" t="s">
        <v>273</v>
      </c>
      <c r="W127" s="470" t="s">
        <v>273</v>
      </c>
      <c r="X127" s="470" t="s">
        <v>273</v>
      </c>
      <c r="Y127" s="470" t="s">
        <v>273</v>
      </c>
      <c r="Z127" s="470" t="s">
        <v>273</v>
      </c>
      <c r="AA127" s="470" t="s">
        <v>273</v>
      </c>
      <c r="AB127" s="470">
        <v>0</v>
      </c>
      <c r="AC127" s="470">
        <v>1</v>
      </c>
      <c r="AD127" s="470">
        <v>1</v>
      </c>
      <c r="AE127" s="470">
        <v>1</v>
      </c>
      <c r="AF127" s="470">
        <v>1</v>
      </c>
      <c r="AG127" s="470">
        <v>-1</v>
      </c>
      <c r="AH127" s="470">
        <v>-1</v>
      </c>
      <c r="AI127" s="470" t="s">
        <v>291</v>
      </c>
      <c r="AJ127" s="470">
        <v>-1</v>
      </c>
      <c r="AK127" s="470" t="s">
        <v>306</v>
      </c>
      <c r="AL127" s="470">
        <v>-1</v>
      </c>
    </row>
    <row r="128" spans="1:38">
      <c r="A128" s="470" t="s">
        <v>398</v>
      </c>
      <c r="B128" s="470" t="s">
        <v>273</v>
      </c>
      <c r="C128" s="470" t="s">
        <v>273</v>
      </c>
      <c r="D128" s="470" t="s">
        <v>273</v>
      </c>
      <c r="E128" s="470" t="s">
        <v>273</v>
      </c>
      <c r="F128" s="470" t="s">
        <v>273</v>
      </c>
      <c r="G128" s="470" t="s">
        <v>273</v>
      </c>
      <c r="H128" s="470" t="s">
        <v>273</v>
      </c>
      <c r="I128" s="470">
        <v>0</v>
      </c>
      <c r="J128" s="470">
        <v>0</v>
      </c>
      <c r="K128" s="470">
        <v>0</v>
      </c>
      <c r="L128" s="470">
        <v>0</v>
      </c>
      <c r="M128" s="470">
        <v>0</v>
      </c>
      <c r="N128" s="470">
        <v>0</v>
      </c>
      <c r="O128" s="470">
        <v>0</v>
      </c>
      <c r="P128" s="470">
        <v>0</v>
      </c>
      <c r="Q128" s="470">
        <v>0</v>
      </c>
      <c r="R128" s="470">
        <v>0</v>
      </c>
      <c r="S128" s="470">
        <v>0</v>
      </c>
      <c r="T128" s="470" t="s">
        <v>306</v>
      </c>
      <c r="U128" s="470">
        <v>0</v>
      </c>
      <c r="V128" s="470">
        <v>0</v>
      </c>
      <c r="W128" s="470">
        <v>-1</v>
      </c>
      <c r="X128" s="470">
        <v>0</v>
      </c>
      <c r="Y128" s="470">
        <v>0</v>
      </c>
      <c r="Z128" s="470" t="s">
        <v>306</v>
      </c>
      <c r="AA128" s="470">
        <v>0</v>
      </c>
      <c r="AB128" s="470" t="s">
        <v>306</v>
      </c>
      <c r="AC128" s="470">
        <v>1</v>
      </c>
      <c r="AD128" s="470" t="s">
        <v>306</v>
      </c>
      <c r="AE128" s="470" t="s">
        <v>306</v>
      </c>
      <c r="AF128" s="470" t="s">
        <v>306</v>
      </c>
      <c r="AG128" s="470">
        <v>1</v>
      </c>
      <c r="AH128" s="470">
        <v>0</v>
      </c>
      <c r="AI128" s="470">
        <v>0</v>
      </c>
      <c r="AJ128" s="470" t="s">
        <v>306</v>
      </c>
      <c r="AK128" s="470">
        <v>0</v>
      </c>
      <c r="AL128" s="470">
        <v>0</v>
      </c>
    </row>
    <row r="129" spans="1:38">
      <c r="A129" s="470" t="s">
        <v>397</v>
      </c>
      <c r="B129" s="470" t="s">
        <v>273</v>
      </c>
      <c r="C129" s="470" t="s">
        <v>273</v>
      </c>
      <c r="D129" s="470" t="s">
        <v>273</v>
      </c>
      <c r="E129" s="470" t="s">
        <v>273</v>
      </c>
      <c r="F129" s="470" t="s">
        <v>273</v>
      </c>
      <c r="G129" s="470" t="s">
        <v>273</v>
      </c>
      <c r="H129" s="470" t="s">
        <v>273</v>
      </c>
      <c r="I129" s="470">
        <v>0</v>
      </c>
      <c r="J129" s="470">
        <v>0</v>
      </c>
      <c r="K129" s="470">
        <v>0</v>
      </c>
      <c r="L129" s="470">
        <v>0</v>
      </c>
      <c r="M129" s="470">
        <v>0</v>
      </c>
      <c r="N129" s="470">
        <v>0</v>
      </c>
      <c r="O129" s="470">
        <v>0</v>
      </c>
      <c r="P129" s="470">
        <v>0</v>
      </c>
      <c r="Q129" s="470">
        <v>0</v>
      </c>
      <c r="R129" s="470">
        <v>0</v>
      </c>
      <c r="S129" s="470">
        <v>5</v>
      </c>
      <c r="T129" s="470">
        <v>4</v>
      </c>
      <c r="U129" s="470">
        <v>4</v>
      </c>
      <c r="V129" s="470">
        <v>3</v>
      </c>
      <c r="W129" s="470">
        <v>3</v>
      </c>
      <c r="X129" s="470">
        <v>4</v>
      </c>
      <c r="Y129" s="470">
        <v>4</v>
      </c>
      <c r="Z129" s="470">
        <v>4</v>
      </c>
      <c r="AA129" s="470">
        <v>4</v>
      </c>
      <c r="AB129" s="470">
        <v>3</v>
      </c>
      <c r="AC129" s="470">
        <v>-1</v>
      </c>
      <c r="AD129" s="470">
        <v>-1</v>
      </c>
      <c r="AE129" s="470">
        <v>-2</v>
      </c>
      <c r="AF129" s="470">
        <v>-1</v>
      </c>
      <c r="AG129" s="470">
        <v>-1</v>
      </c>
      <c r="AH129" s="470" t="s">
        <v>306</v>
      </c>
      <c r="AI129" s="470" t="s">
        <v>291</v>
      </c>
      <c r="AJ129" s="470">
        <v>0</v>
      </c>
      <c r="AK129" s="470" t="s">
        <v>306</v>
      </c>
      <c r="AL129" s="470">
        <v>0</v>
      </c>
    </row>
    <row r="130" spans="1:38">
      <c r="A130" s="470" t="s">
        <v>396</v>
      </c>
      <c r="B130" s="470">
        <v>-1</v>
      </c>
      <c r="C130" s="470" t="s">
        <v>306</v>
      </c>
      <c r="D130" s="470" t="s">
        <v>306</v>
      </c>
      <c r="E130" s="470" t="s">
        <v>306</v>
      </c>
      <c r="F130" s="470" t="s">
        <v>306</v>
      </c>
      <c r="G130" s="470" t="s">
        <v>306</v>
      </c>
      <c r="H130" s="470" t="s">
        <v>306</v>
      </c>
      <c r="I130" s="470">
        <v>-1</v>
      </c>
      <c r="J130" s="470" t="s">
        <v>306</v>
      </c>
      <c r="K130" s="470">
        <v>-1</v>
      </c>
      <c r="L130" s="470" t="s">
        <v>306</v>
      </c>
      <c r="M130" s="470">
        <v>1</v>
      </c>
      <c r="N130" s="470">
        <v>1</v>
      </c>
      <c r="O130" s="470">
        <v>1</v>
      </c>
      <c r="P130" s="470">
        <v>3</v>
      </c>
      <c r="Q130" s="470">
        <v>3</v>
      </c>
      <c r="R130" s="470" t="s">
        <v>291</v>
      </c>
      <c r="S130" s="470" t="s">
        <v>291</v>
      </c>
      <c r="T130" s="470" t="s">
        <v>291</v>
      </c>
      <c r="U130" s="470">
        <v>31</v>
      </c>
      <c r="V130" s="470">
        <v>40</v>
      </c>
      <c r="W130" s="470" t="s">
        <v>291</v>
      </c>
      <c r="X130" s="470">
        <v>40</v>
      </c>
      <c r="Y130" s="470">
        <v>62</v>
      </c>
      <c r="Z130" s="470">
        <v>138</v>
      </c>
      <c r="AA130" s="470">
        <v>145</v>
      </c>
      <c r="AB130" s="470">
        <v>157</v>
      </c>
      <c r="AC130" s="470">
        <v>171</v>
      </c>
      <c r="AD130" s="470">
        <v>152</v>
      </c>
      <c r="AE130" s="470">
        <v>97</v>
      </c>
      <c r="AF130" s="470">
        <v>204</v>
      </c>
      <c r="AG130" s="470">
        <v>274</v>
      </c>
      <c r="AH130" s="470">
        <v>252</v>
      </c>
      <c r="AI130" s="470">
        <v>124</v>
      </c>
      <c r="AJ130" s="470">
        <v>229</v>
      </c>
      <c r="AK130" s="470">
        <v>175</v>
      </c>
      <c r="AL130" s="470">
        <v>115</v>
      </c>
    </row>
    <row r="131" spans="1:38">
      <c r="A131" s="470" t="s">
        <v>858</v>
      </c>
      <c r="B131" s="470" t="s">
        <v>273</v>
      </c>
      <c r="C131" s="470" t="s">
        <v>273</v>
      </c>
      <c r="D131" s="470" t="s">
        <v>273</v>
      </c>
      <c r="E131" s="470" t="s">
        <v>273</v>
      </c>
      <c r="F131" s="470" t="s">
        <v>273</v>
      </c>
      <c r="G131" s="470" t="s">
        <v>273</v>
      </c>
      <c r="H131" s="470" t="s">
        <v>273</v>
      </c>
      <c r="I131" s="470">
        <v>0</v>
      </c>
      <c r="J131" s="470">
        <v>0</v>
      </c>
      <c r="K131" s="470">
        <v>0</v>
      </c>
      <c r="L131" s="470">
        <v>0</v>
      </c>
      <c r="M131" s="470">
        <v>0</v>
      </c>
      <c r="N131" s="470">
        <v>0</v>
      </c>
      <c r="O131" s="470">
        <v>0</v>
      </c>
      <c r="P131" s="470">
        <v>0</v>
      </c>
      <c r="Q131" s="470">
        <v>0</v>
      </c>
      <c r="R131" s="470">
        <v>0</v>
      </c>
      <c r="S131" s="470">
        <v>0</v>
      </c>
      <c r="T131" s="470" t="s">
        <v>291</v>
      </c>
      <c r="U131" s="470">
        <v>0</v>
      </c>
      <c r="V131" s="470">
        <v>0</v>
      </c>
      <c r="W131" s="470">
        <v>0</v>
      </c>
      <c r="X131" s="470">
        <v>0</v>
      </c>
      <c r="Y131" s="470">
        <v>1</v>
      </c>
      <c r="Z131" s="470">
        <v>0</v>
      </c>
      <c r="AA131" s="470">
        <v>3</v>
      </c>
      <c r="AB131" s="470">
        <v>0</v>
      </c>
      <c r="AC131" s="470" t="s">
        <v>291</v>
      </c>
      <c r="AD131" s="470" t="s">
        <v>291</v>
      </c>
      <c r="AE131" s="470" t="s">
        <v>291</v>
      </c>
      <c r="AF131" s="470">
        <v>5</v>
      </c>
      <c r="AG131" s="470">
        <v>5</v>
      </c>
      <c r="AH131" s="470">
        <v>24</v>
      </c>
      <c r="AI131" s="470">
        <v>35</v>
      </c>
      <c r="AJ131" s="470">
        <v>36</v>
      </c>
      <c r="AK131" s="470">
        <v>35</v>
      </c>
      <c r="AL131" s="470">
        <v>21</v>
      </c>
    </row>
    <row r="132" spans="1:38">
      <c r="A132" s="470" t="s">
        <v>394</v>
      </c>
      <c r="B132" s="470" t="s">
        <v>273</v>
      </c>
      <c r="C132" s="470" t="s">
        <v>273</v>
      </c>
      <c r="D132" s="470" t="s">
        <v>273</v>
      </c>
      <c r="E132" s="470" t="s">
        <v>273</v>
      </c>
      <c r="F132" s="470" t="s">
        <v>273</v>
      </c>
      <c r="G132" s="470" t="s">
        <v>273</v>
      </c>
      <c r="H132" s="470" t="s">
        <v>273</v>
      </c>
      <c r="I132" s="470">
        <v>521</v>
      </c>
      <c r="J132" s="470">
        <v>441</v>
      </c>
      <c r="K132" s="470">
        <v>505</v>
      </c>
      <c r="L132" s="470">
        <v>505</v>
      </c>
      <c r="M132" s="470">
        <v>937</v>
      </c>
      <c r="N132" s="470">
        <v>1209</v>
      </c>
      <c r="O132" s="470">
        <v>1264</v>
      </c>
      <c r="P132" s="470">
        <v>1230</v>
      </c>
      <c r="Q132" s="470">
        <v>1113</v>
      </c>
      <c r="R132" s="470">
        <v>994</v>
      </c>
      <c r="S132" s="470">
        <v>1463</v>
      </c>
      <c r="T132" s="470">
        <v>853</v>
      </c>
      <c r="U132" s="470">
        <v>1361</v>
      </c>
      <c r="V132" s="470">
        <v>2700</v>
      </c>
      <c r="W132" s="470">
        <v>2346</v>
      </c>
      <c r="X132" s="470">
        <v>2228</v>
      </c>
      <c r="Y132" s="470">
        <v>2196</v>
      </c>
      <c r="Z132" s="470">
        <v>1859</v>
      </c>
      <c r="AA132" s="470">
        <v>2341</v>
      </c>
      <c r="AB132" s="470">
        <v>1976</v>
      </c>
      <c r="AC132" s="470">
        <v>1034</v>
      </c>
      <c r="AD132" s="470">
        <v>1817</v>
      </c>
      <c r="AE132" s="470">
        <v>1225</v>
      </c>
      <c r="AF132" s="470">
        <v>2265</v>
      </c>
      <c r="AG132" s="470">
        <v>3295</v>
      </c>
      <c r="AH132" s="470">
        <v>3761</v>
      </c>
      <c r="AI132" s="470">
        <v>1635</v>
      </c>
      <c r="AJ132" s="470">
        <v>1691</v>
      </c>
      <c r="AK132" s="470">
        <v>4330</v>
      </c>
      <c r="AL132" s="470">
        <v>4394</v>
      </c>
    </row>
    <row r="133" spans="1:38">
      <c r="A133" s="470" t="s">
        <v>391</v>
      </c>
      <c r="B133" s="470" t="s">
        <v>273</v>
      </c>
      <c r="C133" s="470" t="s">
        <v>273</v>
      </c>
      <c r="D133" s="470" t="s">
        <v>273</v>
      </c>
      <c r="E133" s="470" t="s">
        <v>273</v>
      </c>
      <c r="F133" s="470" t="s">
        <v>273</v>
      </c>
      <c r="G133" s="470" t="s">
        <v>273</v>
      </c>
      <c r="H133" s="470" t="s">
        <v>273</v>
      </c>
      <c r="I133" s="470" t="s">
        <v>291</v>
      </c>
      <c r="J133" s="470">
        <v>37</v>
      </c>
      <c r="K133" s="470">
        <v>26</v>
      </c>
      <c r="L133" s="470">
        <v>10</v>
      </c>
      <c r="M133" s="470">
        <v>-17</v>
      </c>
      <c r="N133" s="470">
        <v>-9</v>
      </c>
      <c r="O133" s="470">
        <v>5</v>
      </c>
      <c r="P133" s="470">
        <v>-4</v>
      </c>
      <c r="Q133" s="470">
        <v>-3</v>
      </c>
      <c r="R133" s="470">
        <v>-30</v>
      </c>
      <c r="S133" s="470">
        <v>-28</v>
      </c>
      <c r="T133" s="470">
        <v>120</v>
      </c>
      <c r="U133" s="470">
        <v>236</v>
      </c>
      <c r="V133" s="470">
        <v>704</v>
      </c>
      <c r="W133" s="470">
        <v>576</v>
      </c>
      <c r="X133" s="470">
        <v>482</v>
      </c>
      <c r="Y133" s="470">
        <v>382</v>
      </c>
      <c r="Z133" s="470">
        <v>372</v>
      </c>
      <c r="AA133" s="470">
        <v>493</v>
      </c>
      <c r="AB133" s="470">
        <v>643</v>
      </c>
      <c r="AC133" s="470">
        <v>239</v>
      </c>
      <c r="AD133" s="470">
        <v>676</v>
      </c>
      <c r="AE133" s="470">
        <v>594</v>
      </c>
      <c r="AF133" s="470">
        <v>699</v>
      </c>
      <c r="AG133" s="470">
        <v>941</v>
      </c>
      <c r="AH133" s="470">
        <v>755</v>
      </c>
      <c r="AI133" s="470">
        <v>105</v>
      </c>
      <c r="AJ133" s="470">
        <v>329</v>
      </c>
      <c r="AK133" s="470">
        <v>2942</v>
      </c>
      <c r="AL133" s="470">
        <v>3114</v>
      </c>
    </row>
    <row r="134" spans="1:38">
      <c r="A134" s="470" t="s">
        <v>236</v>
      </c>
      <c r="B134" s="470" t="s">
        <v>273</v>
      </c>
      <c r="C134" s="470" t="s">
        <v>273</v>
      </c>
      <c r="D134" s="470" t="s">
        <v>273</v>
      </c>
      <c r="E134" s="470" t="s">
        <v>273</v>
      </c>
      <c r="F134" s="470" t="s">
        <v>273</v>
      </c>
      <c r="G134" s="470" t="s">
        <v>273</v>
      </c>
      <c r="H134" s="470" t="s">
        <v>273</v>
      </c>
      <c r="I134" s="470" t="s">
        <v>291</v>
      </c>
      <c r="J134" s="470">
        <v>404</v>
      </c>
      <c r="K134" s="470">
        <v>480</v>
      </c>
      <c r="L134" s="470">
        <v>496</v>
      </c>
      <c r="M134" s="470">
        <v>954</v>
      </c>
      <c r="N134" s="470">
        <v>1218</v>
      </c>
      <c r="O134" s="470">
        <v>1258</v>
      </c>
      <c r="P134" s="470">
        <v>1235</v>
      </c>
      <c r="Q134" s="470">
        <v>1115</v>
      </c>
      <c r="R134" s="470">
        <v>1024</v>
      </c>
      <c r="S134" s="470">
        <v>1491</v>
      </c>
      <c r="T134" s="470">
        <v>734</v>
      </c>
      <c r="U134" s="470">
        <v>1125</v>
      </c>
      <c r="V134" s="470">
        <v>1996</v>
      </c>
      <c r="W134" s="470">
        <v>1770</v>
      </c>
      <c r="X134" s="470">
        <v>1745</v>
      </c>
      <c r="Y134" s="470">
        <v>1814</v>
      </c>
      <c r="Z134" s="470">
        <v>1487</v>
      </c>
      <c r="AA134" s="470">
        <v>1848</v>
      </c>
      <c r="AB134" s="470">
        <v>1332</v>
      </c>
      <c r="AC134" s="470">
        <v>796</v>
      </c>
      <c r="AD134" s="470">
        <v>1142</v>
      </c>
      <c r="AE134" s="470">
        <v>631</v>
      </c>
      <c r="AF134" s="470">
        <v>1566</v>
      </c>
      <c r="AG134" s="470">
        <v>2354</v>
      </c>
      <c r="AH134" s="470">
        <v>3005</v>
      </c>
      <c r="AI134" s="470">
        <v>1530</v>
      </c>
      <c r="AJ134" s="470">
        <v>1362</v>
      </c>
      <c r="AK134" s="470">
        <v>1388</v>
      </c>
      <c r="AL134" s="470">
        <v>1280</v>
      </c>
    </row>
    <row r="135" spans="1:38">
      <c r="A135" s="470" t="s">
        <v>390</v>
      </c>
      <c r="B135" s="470" t="s">
        <v>273</v>
      </c>
      <c r="C135" s="470" t="s">
        <v>273</v>
      </c>
      <c r="D135" s="470" t="s">
        <v>273</v>
      </c>
      <c r="E135" s="470" t="s">
        <v>273</v>
      </c>
      <c r="F135" s="470" t="s">
        <v>273</v>
      </c>
      <c r="G135" s="470" t="s">
        <v>273</v>
      </c>
      <c r="H135" s="470" t="s">
        <v>273</v>
      </c>
      <c r="I135" s="470">
        <v>0</v>
      </c>
      <c r="J135" s="470">
        <v>0</v>
      </c>
      <c r="K135" s="470">
        <v>0</v>
      </c>
      <c r="L135" s="470">
        <v>0</v>
      </c>
      <c r="M135" s="470">
        <v>0</v>
      </c>
      <c r="N135" s="470">
        <v>0</v>
      </c>
      <c r="O135" s="470">
        <v>0</v>
      </c>
      <c r="P135" s="470">
        <v>0</v>
      </c>
      <c r="Q135" s="470">
        <v>0</v>
      </c>
      <c r="R135" s="470">
        <v>0</v>
      </c>
      <c r="S135" s="470" t="s">
        <v>291</v>
      </c>
      <c r="T135" s="470" t="s">
        <v>291</v>
      </c>
      <c r="U135" s="470" t="s">
        <v>291</v>
      </c>
      <c r="V135" s="470" t="s">
        <v>291</v>
      </c>
      <c r="W135" s="470" t="s">
        <v>291</v>
      </c>
      <c r="X135" s="470" t="s">
        <v>306</v>
      </c>
      <c r="Y135" s="470">
        <v>0</v>
      </c>
      <c r="Z135" s="470" t="s">
        <v>291</v>
      </c>
      <c r="AA135" s="470" t="s">
        <v>306</v>
      </c>
      <c r="AB135" s="470">
        <v>-4</v>
      </c>
      <c r="AC135" s="470">
        <v>-7</v>
      </c>
      <c r="AD135" s="470">
        <v>-2</v>
      </c>
      <c r="AE135" s="470">
        <v>-4</v>
      </c>
      <c r="AF135" s="470">
        <v>-5</v>
      </c>
      <c r="AG135" s="470">
        <v>4</v>
      </c>
      <c r="AH135" s="470">
        <v>1</v>
      </c>
      <c r="AI135" s="470" t="s">
        <v>291</v>
      </c>
      <c r="AJ135" s="470" t="s">
        <v>291</v>
      </c>
      <c r="AK135" s="470">
        <v>-13</v>
      </c>
      <c r="AL135" s="470" t="s">
        <v>291</v>
      </c>
    </row>
    <row r="136" spans="1:38">
      <c r="A136" s="470" t="s">
        <v>389</v>
      </c>
      <c r="B136" s="470" t="s">
        <v>273</v>
      </c>
      <c r="C136" s="470" t="s">
        <v>273</v>
      </c>
      <c r="D136" s="470" t="s">
        <v>273</v>
      </c>
      <c r="E136" s="470" t="s">
        <v>273</v>
      </c>
      <c r="F136" s="470" t="s">
        <v>273</v>
      </c>
      <c r="G136" s="470" t="s">
        <v>273</v>
      </c>
      <c r="H136" s="470" t="s">
        <v>273</v>
      </c>
      <c r="I136" s="470">
        <v>0</v>
      </c>
      <c r="J136" s="470">
        <v>0</v>
      </c>
      <c r="K136" s="470">
        <v>0</v>
      </c>
      <c r="L136" s="470">
        <v>0</v>
      </c>
      <c r="M136" s="470">
        <v>0</v>
      </c>
      <c r="N136" s="470">
        <v>0</v>
      </c>
      <c r="O136" s="470">
        <v>2</v>
      </c>
      <c r="P136" s="470">
        <v>0</v>
      </c>
      <c r="Q136" s="470">
        <v>-1</v>
      </c>
      <c r="R136" s="470">
        <v>-2</v>
      </c>
      <c r="S136" s="470">
        <v>-3</v>
      </c>
      <c r="T136" s="470" t="s">
        <v>306</v>
      </c>
      <c r="U136" s="470">
        <v>-1</v>
      </c>
      <c r="V136" s="470">
        <v>-5</v>
      </c>
      <c r="W136" s="470">
        <v>-9</v>
      </c>
      <c r="X136" s="470" t="s">
        <v>291</v>
      </c>
      <c r="Y136" s="470" t="s">
        <v>291</v>
      </c>
      <c r="Z136" s="470">
        <v>-22</v>
      </c>
      <c r="AA136" s="470">
        <v>-36</v>
      </c>
      <c r="AB136" s="470">
        <v>6</v>
      </c>
      <c r="AC136" s="470">
        <v>-64</v>
      </c>
      <c r="AD136" s="470">
        <v>13</v>
      </c>
      <c r="AE136" s="470">
        <v>-7</v>
      </c>
      <c r="AF136" s="470">
        <v>10</v>
      </c>
      <c r="AG136" s="470">
        <v>-32</v>
      </c>
      <c r="AH136" s="470">
        <v>163</v>
      </c>
      <c r="AI136" s="470">
        <v>160</v>
      </c>
      <c r="AJ136" s="470">
        <v>89</v>
      </c>
      <c r="AK136" s="470">
        <v>207</v>
      </c>
      <c r="AL136" s="470">
        <v>234</v>
      </c>
    </row>
    <row r="137" spans="1:38">
      <c r="A137" s="470" t="s">
        <v>388</v>
      </c>
      <c r="B137" s="470" t="s">
        <v>273</v>
      </c>
      <c r="C137" s="470" t="s">
        <v>273</v>
      </c>
      <c r="D137" s="470" t="s">
        <v>273</v>
      </c>
      <c r="E137" s="470" t="s">
        <v>273</v>
      </c>
      <c r="F137" s="470" t="s">
        <v>273</v>
      </c>
      <c r="G137" s="470" t="s">
        <v>273</v>
      </c>
      <c r="H137" s="470" t="s">
        <v>273</v>
      </c>
      <c r="I137" s="470" t="s">
        <v>273</v>
      </c>
      <c r="J137" s="470" t="s">
        <v>273</v>
      </c>
      <c r="K137" s="470" t="s">
        <v>273</v>
      </c>
      <c r="L137" s="470" t="s">
        <v>273</v>
      </c>
      <c r="M137" s="470" t="s">
        <v>273</v>
      </c>
      <c r="N137" s="470" t="s">
        <v>273</v>
      </c>
      <c r="O137" s="470" t="s">
        <v>273</v>
      </c>
      <c r="P137" s="470" t="s">
        <v>273</v>
      </c>
      <c r="Q137" s="470" t="s">
        <v>273</v>
      </c>
      <c r="R137" s="470" t="s">
        <v>273</v>
      </c>
      <c r="S137" s="470">
        <v>0</v>
      </c>
      <c r="T137" s="470">
        <v>0</v>
      </c>
      <c r="U137" s="470">
        <v>0</v>
      </c>
      <c r="V137" s="470">
        <v>0</v>
      </c>
      <c r="W137" s="470">
        <v>0</v>
      </c>
      <c r="X137" s="470">
        <v>-1</v>
      </c>
      <c r="Y137" s="470">
        <v>0</v>
      </c>
      <c r="Z137" s="470">
        <v>0</v>
      </c>
      <c r="AA137" s="470">
        <v>0</v>
      </c>
      <c r="AB137" s="470">
        <v>0</v>
      </c>
      <c r="AC137" s="470">
        <v>-2</v>
      </c>
      <c r="AD137" s="470">
        <v>2</v>
      </c>
      <c r="AE137" s="470">
        <v>0</v>
      </c>
      <c r="AF137" s="470">
        <v>0</v>
      </c>
      <c r="AG137" s="470">
        <v>0</v>
      </c>
      <c r="AH137" s="470">
        <v>0</v>
      </c>
      <c r="AI137" s="470">
        <v>0</v>
      </c>
      <c r="AJ137" s="470">
        <v>0</v>
      </c>
      <c r="AK137" s="470">
        <v>0</v>
      </c>
      <c r="AL137" s="470">
        <v>0</v>
      </c>
    </row>
    <row r="138" spans="1:38">
      <c r="A138" s="470" t="s">
        <v>387</v>
      </c>
      <c r="B138" s="470" t="s">
        <v>273</v>
      </c>
      <c r="C138" s="470" t="s">
        <v>273</v>
      </c>
      <c r="D138" s="470" t="s">
        <v>273</v>
      </c>
      <c r="E138" s="470" t="s">
        <v>273</v>
      </c>
      <c r="F138" s="470" t="s">
        <v>273</v>
      </c>
      <c r="G138" s="470" t="s">
        <v>273</v>
      </c>
      <c r="H138" s="470" t="s">
        <v>273</v>
      </c>
      <c r="I138" s="470">
        <v>0</v>
      </c>
      <c r="J138" s="470">
        <v>0</v>
      </c>
      <c r="K138" s="470">
        <v>0</v>
      </c>
      <c r="L138" s="470">
        <v>0</v>
      </c>
      <c r="M138" s="470">
        <v>0</v>
      </c>
      <c r="N138" s="470">
        <v>-1</v>
      </c>
      <c r="O138" s="470">
        <v>0</v>
      </c>
      <c r="P138" s="470">
        <v>0</v>
      </c>
      <c r="Q138" s="470">
        <v>0</v>
      </c>
      <c r="R138" s="470">
        <v>0</v>
      </c>
      <c r="S138" s="470" t="s">
        <v>273</v>
      </c>
      <c r="T138" s="470" t="s">
        <v>273</v>
      </c>
      <c r="U138" s="470" t="s">
        <v>273</v>
      </c>
      <c r="V138" s="470" t="s">
        <v>583</v>
      </c>
      <c r="W138" s="470" t="s">
        <v>273</v>
      </c>
      <c r="X138" s="470" t="s">
        <v>273</v>
      </c>
      <c r="Y138" s="470" t="s">
        <v>273</v>
      </c>
      <c r="Z138" s="470" t="s">
        <v>273</v>
      </c>
      <c r="AA138" s="470" t="s">
        <v>273</v>
      </c>
      <c r="AB138" s="470" t="s">
        <v>273</v>
      </c>
      <c r="AC138" s="470">
        <v>0</v>
      </c>
      <c r="AD138" s="470">
        <v>0</v>
      </c>
      <c r="AE138" s="470" t="s">
        <v>306</v>
      </c>
      <c r="AF138" s="470">
        <v>0</v>
      </c>
      <c r="AG138" s="470" t="s">
        <v>306</v>
      </c>
      <c r="AH138" s="470" t="s">
        <v>306</v>
      </c>
      <c r="AI138" s="470" t="s">
        <v>306</v>
      </c>
      <c r="AJ138" s="470">
        <v>-1</v>
      </c>
      <c r="AK138" s="470">
        <v>-1</v>
      </c>
      <c r="AL138" s="470">
        <v>-1</v>
      </c>
    </row>
    <row r="139" spans="1:38">
      <c r="A139" s="470" t="s">
        <v>386</v>
      </c>
      <c r="B139" s="470" t="s">
        <v>273</v>
      </c>
      <c r="C139" s="470" t="s">
        <v>273</v>
      </c>
      <c r="D139" s="470" t="s">
        <v>273</v>
      </c>
      <c r="E139" s="470" t="s">
        <v>273</v>
      </c>
      <c r="F139" s="470" t="s">
        <v>273</v>
      </c>
      <c r="G139" s="470" t="s">
        <v>273</v>
      </c>
      <c r="H139" s="470" t="s">
        <v>273</v>
      </c>
      <c r="I139" s="470" t="s">
        <v>273</v>
      </c>
      <c r="J139" s="470" t="s">
        <v>273</v>
      </c>
      <c r="K139" s="470" t="s">
        <v>273</v>
      </c>
      <c r="L139" s="470" t="s">
        <v>273</v>
      </c>
      <c r="M139" s="470" t="s">
        <v>273</v>
      </c>
      <c r="N139" s="470" t="s">
        <v>273</v>
      </c>
      <c r="O139" s="470" t="s">
        <v>273</v>
      </c>
      <c r="P139" s="470" t="s">
        <v>273</v>
      </c>
      <c r="Q139" s="470" t="s">
        <v>273</v>
      </c>
      <c r="R139" s="470" t="s">
        <v>273</v>
      </c>
      <c r="S139" s="470" t="s">
        <v>273</v>
      </c>
      <c r="T139" s="470" t="s">
        <v>273</v>
      </c>
      <c r="U139" s="470" t="s">
        <v>273</v>
      </c>
      <c r="V139" s="470" t="s">
        <v>273</v>
      </c>
      <c r="W139" s="470" t="s">
        <v>273</v>
      </c>
      <c r="X139" s="470" t="s">
        <v>273</v>
      </c>
      <c r="Y139" s="470" t="s">
        <v>273</v>
      </c>
      <c r="Z139" s="470" t="s">
        <v>273</v>
      </c>
      <c r="AA139" s="470" t="s">
        <v>273</v>
      </c>
      <c r="AB139" s="470" t="s">
        <v>273</v>
      </c>
      <c r="AC139" s="470">
        <v>0</v>
      </c>
      <c r="AD139" s="470">
        <v>0</v>
      </c>
      <c r="AE139" s="470">
        <v>0</v>
      </c>
      <c r="AF139" s="470">
        <v>1</v>
      </c>
      <c r="AG139" s="470">
        <v>1</v>
      </c>
      <c r="AH139" s="470">
        <v>0</v>
      </c>
      <c r="AI139" s="470">
        <v>0</v>
      </c>
      <c r="AJ139" s="470">
        <v>0</v>
      </c>
      <c r="AK139" s="470">
        <v>0</v>
      </c>
      <c r="AL139" s="470">
        <v>-1</v>
      </c>
    </row>
    <row r="140" spans="1:38">
      <c r="A140" s="470" t="s">
        <v>384</v>
      </c>
      <c r="B140" s="470" t="s">
        <v>273</v>
      </c>
      <c r="C140" s="470" t="s">
        <v>273</v>
      </c>
      <c r="D140" s="470" t="s">
        <v>273</v>
      </c>
      <c r="E140" s="470" t="s">
        <v>273</v>
      </c>
      <c r="F140" s="470" t="s">
        <v>273</v>
      </c>
      <c r="G140" s="470" t="s">
        <v>273</v>
      </c>
      <c r="H140" s="470" t="s">
        <v>273</v>
      </c>
      <c r="I140" s="470">
        <v>0</v>
      </c>
      <c r="J140" s="470">
        <v>-1</v>
      </c>
      <c r="K140" s="470">
        <v>-1</v>
      </c>
      <c r="L140" s="470" t="s">
        <v>306</v>
      </c>
      <c r="M140" s="470">
        <v>-1</v>
      </c>
      <c r="N140" s="470">
        <v>0</v>
      </c>
      <c r="O140" s="470">
        <v>0</v>
      </c>
      <c r="P140" s="470">
        <v>0</v>
      </c>
      <c r="Q140" s="470">
        <v>0</v>
      </c>
      <c r="R140" s="470">
        <v>0</v>
      </c>
      <c r="S140" s="470">
        <v>0</v>
      </c>
      <c r="T140" s="470" t="s">
        <v>306</v>
      </c>
      <c r="U140" s="470">
        <v>0</v>
      </c>
      <c r="V140" s="470">
        <v>0</v>
      </c>
      <c r="W140" s="470">
        <v>0</v>
      </c>
      <c r="X140" s="470">
        <v>0</v>
      </c>
      <c r="Y140" s="470">
        <v>0</v>
      </c>
      <c r="Z140" s="470" t="s">
        <v>306</v>
      </c>
      <c r="AA140" s="470" t="s">
        <v>306</v>
      </c>
      <c r="AB140" s="470">
        <v>0</v>
      </c>
      <c r="AC140" s="470">
        <v>0</v>
      </c>
      <c r="AD140" s="470">
        <v>-5</v>
      </c>
      <c r="AE140" s="470">
        <v>-2</v>
      </c>
      <c r="AF140" s="470" t="s">
        <v>306</v>
      </c>
      <c r="AG140" s="470" t="s">
        <v>306</v>
      </c>
      <c r="AH140" s="470">
        <v>-7</v>
      </c>
      <c r="AI140" s="470" t="s">
        <v>291</v>
      </c>
      <c r="AJ140" s="470">
        <v>-9</v>
      </c>
      <c r="AK140" s="470" t="s">
        <v>291</v>
      </c>
      <c r="AL140" s="470">
        <v>-8</v>
      </c>
    </row>
    <row r="141" spans="1:38">
      <c r="A141" s="470" t="s">
        <v>383</v>
      </c>
      <c r="B141" s="470" t="s">
        <v>273</v>
      </c>
      <c r="C141" s="470" t="s">
        <v>273</v>
      </c>
      <c r="D141" s="470" t="s">
        <v>273</v>
      </c>
      <c r="E141" s="470" t="s">
        <v>273</v>
      </c>
      <c r="F141" s="470" t="s">
        <v>273</v>
      </c>
      <c r="G141" s="470" t="s">
        <v>273</v>
      </c>
      <c r="H141" s="470" t="s">
        <v>273</v>
      </c>
      <c r="I141" s="470" t="s">
        <v>273</v>
      </c>
      <c r="J141" s="470" t="s">
        <v>273</v>
      </c>
      <c r="K141" s="470" t="s">
        <v>273</v>
      </c>
      <c r="L141" s="470" t="s">
        <v>273</v>
      </c>
      <c r="M141" s="470" t="s">
        <v>273</v>
      </c>
      <c r="N141" s="470" t="s">
        <v>273</v>
      </c>
      <c r="O141" s="470" t="s">
        <v>273</v>
      </c>
      <c r="P141" s="470" t="s">
        <v>273</v>
      </c>
      <c r="Q141" s="470" t="s">
        <v>273</v>
      </c>
      <c r="R141" s="470" t="s">
        <v>273</v>
      </c>
      <c r="S141" s="470" t="s">
        <v>273</v>
      </c>
      <c r="T141" s="470" t="s">
        <v>273</v>
      </c>
      <c r="U141" s="470" t="s">
        <v>273</v>
      </c>
      <c r="V141" s="470" t="s">
        <v>273</v>
      </c>
      <c r="W141" s="470" t="s">
        <v>273</v>
      </c>
      <c r="X141" s="470" t="s">
        <v>273</v>
      </c>
      <c r="Y141" s="470" t="s">
        <v>273</v>
      </c>
      <c r="Z141" s="470" t="s">
        <v>273</v>
      </c>
      <c r="AA141" s="470" t="s">
        <v>273</v>
      </c>
      <c r="AB141" s="470" t="s">
        <v>273</v>
      </c>
      <c r="AC141" s="470" t="s">
        <v>273</v>
      </c>
      <c r="AD141" s="470" t="s">
        <v>273</v>
      </c>
      <c r="AE141" s="470" t="s">
        <v>273</v>
      </c>
      <c r="AF141" s="470" t="s">
        <v>273</v>
      </c>
      <c r="AG141" s="470" t="s">
        <v>273</v>
      </c>
      <c r="AH141" s="470">
        <v>0</v>
      </c>
      <c r="AI141" s="470">
        <v>0</v>
      </c>
      <c r="AJ141" s="470">
        <v>0</v>
      </c>
      <c r="AK141" s="470" t="s">
        <v>306</v>
      </c>
      <c r="AL141" s="470" t="s">
        <v>306</v>
      </c>
    </row>
    <row r="142" spans="1:38">
      <c r="A142" s="470" t="s">
        <v>382</v>
      </c>
      <c r="B142" s="470" t="s">
        <v>273</v>
      </c>
      <c r="C142" s="470" t="s">
        <v>273</v>
      </c>
      <c r="D142" s="470" t="s">
        <v>273</v>
      </c>
      <c r="E142" s="470" t="s">
        <v>273</v>
      </c>
      <c r="F142" s="470" t="s">
        <v>273</v>
      </c>
      <c r="G142" s="470" t="s">
        <v>273</v>
      </c>
      <c r="H142" s="470" t="s">
        <v>273</v>
      </c>
      <c r="I142" s="470" t="s">
        <v>273</v>
      </c>
      <c r="J142" s="470" t="s">
        <v>273</v>
      </c>
      <c r="K142" s="470" t="s">
        <v>273</v>
      </c>
      <c r="L142" s="470" t="s">
        <v>273</v>
      </c>
      <c r="M142" s="470" t="s">
        <v>273</v>
      </c>
      <c r="N142" s="470" t="s">
        <v>273</v>
      </c>
      <c r="O142" s="470" t="s">
        <v>273</v>
      </c>
      <c r="P142" s="470" t="s">
        <v>273</v>
      </c>
      <c r="Q142" s="470" t="s">
        <v>273</v>
      </c>
      <c r="R142" s="470" t="s">
        <v>273</v>
      </c>
      <c r="S142" s="470" t="s">
        <v>273</v>
      </c>
      <c r="T142" s="470" t="s">
        <v>273</v>
      </c>
      <c r="U142" s="470" t="s">
        <v>273</v>
      </c>
      <c r="V142" s="470" t="s">
        <v>273</v>
      </c>
      <c r="W142" s="470" t="s">
        <v>273</v>
      </c>
      <c r="X142" s="470" t="s">
        <v>273</v>
      </c>
      <c r="Y142" s="470" t="s">
        <v>273</v>
      </c>
      <c r="Z142" s="470">
        <v>0</v>
      </c>
      <c r="AA142" s="470">
        <v>0</v>
      </c>
      <c r="AB142" s="470" t="s">
        <v>273</v>
      </c>
      <c r="AC142" s="470">
        <v>0</v>
      </c>
      <c r="AD142" s="470" t="s">
        <v>306</v>
      </c>
      <c r="AE142" s="470" t="s">
        <v>306</v>
      </c>
      <c r="AF142" s="470" t="s">
        <v>306</v>
      </c>
      <c r="AG142" s="470">
        <v>0</v>
      </c>
      <c r="AH142" s="470" t="s">
        <v>306</v>
      </c>
      <c r="AI142" s="470">
        <v>-1</v>
      </c>
      <c r="AJ142" s="470">
        <v>-4</v>
      </c>
      <c r="AK142" s="470" t="s">
        <v>306</v>
      </c>
      <c r="AL142" s="470" t="s">
        <v>306</v>
      </c>
    </row>
    <row r="143" spans="1:38">
      <c r="A143" s="470" t="s">
        <v>1416</v>
      </c>
      <c r="B143" s="470" t="s">
        <v>273</v>
      </c>
      <c r="C143" s="470" t="s">
        <v>273</v>
      </c>
      <c r="D143" s="470" t="s">
        <v>273</v>
      </c>
      <c r="E143" s="470" t="s">
        <v>273</v>
      </c>
      <c r="F143" s="470" t="s">
        <v>273</v>
      </c>
      <c r="G143" s="470" t="s">
        <v>273</v>
      </c>
      <c r="H143" s="470" t="s">
        <v>273</v>
      </c>
      <c r="I143" s="470">
        <v>0</v>
      </c>
      <c r="J143" s="470">
        <v>0</v>
      </c>
      <c r="K143" s="470">
        <v>0</v>
      </c>
      <c r="L143" s="470">
        <v>0</v>
      </c>
      <c r="M143" s="470">
        <v>0</v>
      </c>
      <c r="N143" s="470">
        <v>0</v>
      </c>
      <c r="O143" s="470">
        <v>0</v>
      </c>
      <c r="P143" s="470">
        <v>1</v>
      </c>
      <c r="Q143" s="470">
        <v>0</v>
      </c>
      <c r="R143" s="470">
        <v>0</v>
      </c>
      <c r="S143" s="470" t="s">
        <v>273</v>
      </c>
      <c r="T143" s="470" t="s">
        <v>273</v>
      </c>
      <c r="U143" s="470" t="s">
        <v>273</v>
      </c>
      <c r="V143" s="470" t="s">
        <v>273</v>
      </c>
      <c r="W143" s="470" t="s">
        <v>273</v>
      </c>
      <c r="X143" s="470" t="s">
        <v>273</v>
      </c>
      <c r="Y143" s="470" t="s">
        <v>273</v>
      </c>
      <c r="Z143" s="470" t="s">
        <v>273</v>
      </c>
      <c r="AA143" s="470" t="s">
        <v>273</v>
      </c>
      <c r="AB143" s="470" t="s">
        <v>273</v>
      </c>
      <c r="AC143" s="470" t="s">
        <v>273</v>
      </c>
      <c r="AD143" s="470" t="s">
        <v>273</v>
      </c>
      <c r="AE143" s="470" t="s">
        <v>273</v>
      </c>
      <c r="AF143" s="470" t="s">
        <v>273</v>
      </c>
      <c r="AG143" s="470" t="s">
        <v>273</v>
      </c>
      <c r="AH143" s="470" t="s">
        <v>273</v>
      </c>
      <c r="AI143" s="470" t="s">
        <v>273</v>
      </c>
      <c r="AJ143" s="470" t="s">
        <v>273</v>
      </c>
      <c r="AK143" s="470" t="s">
        <v>273</v>
      </c>
      <c r="AL143" s="470" t="s">
        <v>273</v>
      </c>
    </row>
    <row r="144" spans="1:38">
      <c r="A144" s="470" t="s">
        <v>380</v>
      </c>
      <c r="B144" s="470" t="s">
        <v>273</v>
      </c>
      <c r="C144" s="470" t="s">
        <v>273</v>
      </c>
      <c r="D144" s="470" t="s">
        <v>273</v>
      </c>
      <c r="E144" s="470" t="s">
        <v>273</v>
      </c>
      <c r="F144" s="470" t="s">
        <v>273</v>
      </c>
      <c r="G144" s="470" t="s">
        <v>273</v>
      </c>
      <c r="H144" s="470" t="s">
        <v>273</v>
      </c>
      <c r="I144" s="470">
        <v>0</v>
      </c>
      <c r="J144" s="470">
        <v>0</v>
      </c>
      <c r="K144" s="470">
        <v>0</v>
      </c>
      <c r="L144" s="470">
        <v>0</v>
      </c>
      <c r="M144" s="470">
        <v>0</v>
      </c>
      <c r="N144" s="470">
        <v>0</v>
      </c>
      <c r="O144" s="470">
        <v>0</v>
      </c>
      <c r="P144" s="470">
        <v>0</v>
      </c>
      <c r="Q144" s="470">
        <v>0</v>
      </c>
      <c r="R144" s="470">
        <v>0</v>
      </c>
      <c r="S144" s="470">
        <v>0</v>
      </c>
      <c r="T144" s="470" t="s">
        <v>306</v>
      </c>
      <c r="U144" s="470" t="s">
        <v>306</v>
      </c>
      <c r="V144" s="470">
        <v>-1</v>
      </c>
      <c r="W144" s="470">
        <v>-2</v>
      </c>
      <c r="X144" s="470">
        <v>0</v>
      </c>
      <c r="Y144" s="470">
        <v>0</v>
      </c>
      <c r="Z144" s="470">
        <v>-5</v>
      </c>
      <c r="AA144" s="470">
        <v>-4</v>
      </c>
      <c r="AB144" s="470">
        <v>-4</v>
      </c>
      <c r="AC144" s="470">
        <v>-2</v>
      </c>
      <c r="AD144" s="470">
        <v>-1</v>
      </c>
      <c r="AE144" s="470">
        <v>-4</v>
      </c>
      <c r="AF144" s="470">
        <v>-2</v>
      </c>
      <c r="AG144" s="470">
        <v>17</v>
      </c>
      <c r="AH144" s="470" t="s">
        <v>291</v>
      </c>
      <c r="AI144" s="470">
        <v>8</v>
      </c>
      <c r="AJ144" s="470">
        <v>-7</v>
      </c>
      <c r="AK144" s="470">
        <v>-6</v>
      </c>
      <c r="AL144" s="470">
        <v>-4</v>
      </c>
    </row>
    <row r="145" spans="1:38">
      <c r="A145" s="470" t="s">
        <v>379</v>
      </c>
      <c r="B145" s="470" t="s">
        <v>273</v>
      </c>
      <c r="C145" s="470" t="s">
        <v>273</v>
      </c>
      <c r="D145" s="470" t="s">
        <v>273</v>
      </c>
      <c r="E145" s="470" t="s">
        <v>273</v>
      </c>
      <c r="F145" s="470" t="s">
        <v>273</v>
      </c>
      <c r="G145" s="470" t="s">
        <v>273</v>
      </c>
      <c r="H145" s="470" t="s">
        <v>273</v>
      </c>
      <c r="I145" s="470" t="s">
        <v>291</v>
      </c>
      <c r="J145" s="470" t="s">
        <v>291</v>
      </c>
      <c r="K145" s="470" t="s">
        <v>291</v>
      </c>
      <c r="L145" s="470" t="s">
        <v>291</v>
      </c>
      <c r="M145" s="470" t="s">
        <v>291</v>
      </c>
      <c r="N145" s="470">
        <v>0</v>
      </c>
      <c r="O145" s="470">
        <v>0</v>
      </c>
      <c r="P145" s="470">
        <v>0</v>
      </c>
      <c r="Q145" s="470">
        <v>0</v>
      </c>
      <c r="R145" s="470">
        <v>0</v>
      </c>
      <c r="S145" s="470">
        <v>2</v>
      </c>
      <c r="T145" s="470">
        <v>2</v>
      </c>
      <c r="U145" s="470">
        <v>2</v>
      </c>
      <c r="V145" s="470">
        <v>2</v>
      </c>
      <c r="W145" s="470">
        <v>2</v>
      </c>
      <c r="X145" s="470">
        <v>0</v>
      </c>
      <c r="Y145" s="470">
        <v>0</v>
      </c>
      <c r="Z145" s="470" t="s">
        <v>273</v>
      </c>
      <c r="AA145" s="470" t="s">
        <v>273</v>
      </c>
      <c r="AB145" s="470" t="s">
        <v>273</v>
      </c>
      <c r="AC145" s="470" t="s">
        <v>273</v>
      </c>
      <c r="AD145" s="470">
        <v>0</v>
      </c>
      <c r="AE145" s="470">
        <v>0</v>
      </c>
      <c r="AF145" s="470">
        <v>0</v>
      </c>
      <c r="AG145" s="470">
        <v>0</v>
      </c>
      <c r="AH145" s="470" t="s">
        <v>291</v>
      </c>
      <c r="AI145" s="470">
        <v>0</v>
      </c>
      <c r="AJ145" s="470">
        <v>0</v>
      </c>
      <c r="AK145" s="470">
        <v>2</v>
      </c>
      <c r="AL145" s="470">
        <v>0</v>
      </c>
    </row>
    <row r="146" spans="1:38">
      <c r="A146" s="470" t="s">
        <v>378</v>
      </c>
      <c r="B146" s="470" t="s">
        <v>273</v>
      </c>
      <c r="C146" s="470" t="s">
        <v>273</v>
      </c>
      <c r="D146" s="470" t="s">
        <v>273</v>
      </c>
      <c r="E146" s="470" t="s">
        <v>273</v>
      </c>
      <c r="F146" s="470" t="s">
        <v>273</v>
      </c>
      <c r="G146" s="470" t="s">
        <v>273</v>
      </c>
      <c r="H146" s="470" t="s">
        <v>273</v>
      </c>
      <c r="I146" s="470">
        <v>2</v>
      </c>
      <c r="J146" s="470">
        <v>2</v>
      </c>
      <c r="K146" s="470">
        <v>2</v>
      </c>
      <c r="L146" s="470">
        <v>0</v>
      </c>
      <c r="M146" s="470">
        <v>0</v>
      </c>
      <c r="N146" s="470">
        <v>0</v>
      </c>
      <c r="O146" s="470" t="s">
        <v>306</v>
      </c>
      <c r="P146" s="470" t="s">
        <v>306</v>
      </c>
      <c r="Q146" s="470">
        <v>1</v>
      </c>
      <c r="R146" s="470" t="s">
        <v>306</v>
      </c>
      <c r="S146" s="470" t="s">
        <v>306</v>
      </c>
      <c r="T146" s="470" t="s">
        <v>306</v>
      </c>
      <c r="U146" s="470" t="s">
        <v>306</v>
      </c>
      <c r="V146" s="470" t="s">
        <v>306</v>
      </c>
      <c r="W146" s="470" t="s">
        <v>306</v>
      </c>
      <c r="X146" s="470">
        <v>-1</v>
      </c>
      <c r="Y146" s="470">
        <v>-3</v>
      </c>
      <c r="Z146" s="470">
        <v>-30</v>
      </c>
      <c r="AA146" s="470" t="s">
        <v>291</v>
      </c>
      <c r="AB146" s="470" t="s">
        <v>291</v>
      </c>
      <c r="AC146" s="470" t="s">
        <v>291</v>
      </c>
      <c r="AD146" s="470" t="s">
        <v>306</v>
      </c>
      <c r="AE146" s="470">
        <v>1</v>
      </c>
      <c r="AF146" s="470">
        <v>1</v>
      </c>
      <c r="AG146" s="470">
        <v>-3</v>
      </c>
      <c r="AH146" s="470">
        <v>-1</v>
      </c>
      <c r="AI146" s="470">
        <v>-6</v>
      </c>
      <c r="AJ146" s="470">
        <v>-3</v>
      </c>
      <c r="AK146" s="470" t="s">
        <v>291</v>
      </c>
      <c r="AL146" s="470">
        <v>-1</v>
      </c>
    </row>
    <row r="147" spans="1:38">
      <c r="A147" s="470" t="s">
        <v>1415</v>
      </c>
      <c r="B147" s="470" t="s">
        <v>273</v>
      </c>
      <c r="C147" s="470" t="s">
        <v>273</v>
      </c>
      <c r="D147" s="470" t="s">
        <v>273</v>
      </c>
      <c r="E147" s="470" t="s">
        <v>273</v>
      </c>
      <c r="F147" s="470" t="s">
        <v>273</v>
      </c>
      <c r="G147" s="470" t="s">
        <v>273</v>
      </c>
      <c r="H147" s="470" t="s">
        <v>273</v>
      </c>
      <c r="I147" s="470" t="s">
        <v>291</v>
      </c>
      <c r="J147" s="470" t="s">
        <v>291</v>
      </c>
      <c r="K147" s="470">
        <v>-8</v>
      </c>
      <c r="L147" s="470">
        <v>1</v>
      </c>
      <c r="M147" s="470">
        <v>8</v>
      </c>
      <c r="N147" s="470">
        <v>42</v>
      </c>
      <c r="O147" s="470">
        <v>37</v>
      </c>
      <c r="P147" s="470">
        <v>6</v>
      </c>
      <c r="Q147" s="470">
        <v>-1</v>
      </c>
      <c r="R147" s="470">
        <v>31</v>
      </c>
      <c r="S147" s="470">
        <v>44</v>
      </c>
      <c r="T147" s="470">
        <v>16</v>
      </c>
      <c r="U147" s="470">
        <v>8</v>
      </c>
      <c r="V147" s="470">
        <v>-4</v>
      </c>
      <c r="W147" s="470">
        <v>12</v>
      </c>
      <c r="X147" s="470">
        <v>-1</v>
      </c>
      <c r="Y147" s="470">
        <v>-18</v>
      </c>
      <c r="Z147" s="470">
        <v>-27</v>
      </c>
      <c r="AA147" s="470">
        <v>-5</v>
      </c>
      <c r="AB147" s="470">
        <v>-117</v>
      </c>
      <c r="AC147" s="470">
        <v>-53</v>
      </c>
      <c r="AD147" s="470">
        <v>-157</v>
      </c>
      <c r="AE147" s="470">
        <v>-209</v>
      </c>
      <c r="AF147" s="470">
        <v>-277</v>
      </c>
      <c r="AG147" s="470">
        <v>-77</v>
      </c>
      <c r="AH147" s="470">
        <v>-98</v>
      </c>
      <c r="AI147" s="470">
        <v>-86</v>
      </c>
      <c r="AJ147" s="470">
        <v>-84</v>
      </c>
      <c r="AK147" s="470">
        <v>-76</v>
      </c>
      <c r="AL147" s="470">
        <v>-120</v>
      </c>
    </row>
    <row r="148" spans="1:38">
      <c r="A148" s="470" t="s">
        <v>376</v>
      </c>
      <c r="B148" s="470" t="s">
        <v>273</v>
      </c>
      <c r="C148" s="470" t="s">
        <v>273</v>
      </c>
      <c r="D148" s="470" t="s">
        <v>273</v>
      </c>
      <c r="E148" s="470" t="s">
        <v>273</v>
      </c>
      <c r="F148" s="470" t="s">
        <v>273</v>
      </c>
      <c r="G148" s="470" t="s">
        <v>273</v>
      </c>
      <c r="H148" s="470" t="s">
        <v>273</v>
      </c>
      <c r="I148" s="470">
        <v>0</v>
      </c>
      <c r="J148" s="470">
        <v>0</v>
      </c>
      <c r="K148" s="470">
        <v>0</v>
      </c>
      <c r="L148" s="470">
        <v>0</v>
      </c>
      <c r="M148" s="470">
        <v>0</v>
      </c>
      <c r="N148" s="470">
        <v>0</v>
      </c>
      <c r="O148" s="470">
        <v>0</v>
      </c>
      <c r="P148" s="470">
        <v>0</v>
      </c>
      <c r="Q148" s="470">
        <v>0</v>
      </c>
      <c r="R148" s="470">
        <v>0</v>
      </c>
      <c r="S148" s="470" t="s">
        <v>306</v>
      </c>
      <c r="T148" s="470" t="s">
        <v>306</v>
      </c>
      <c r="U148" s="470">
        <v>0</v>
      </c>
      <c r="V148" s="470">
        <v>-3</v>
      </c>
      <c r="W148" s="470" t="s">
        <v>291</v>
      </c>
      <c r="X148" s="470" t="s">
        <v>291</v>
      </c>
      <c r="Y148" s="470" t="s">
        <v>291</v>
      </c>
      <c r="Z148" s="470" t="s">
        <v>291</v>
      </c>
      <c r="AA148" s="470" t="s">
        <v>291</v>
      </c>
      <c r="AB148" s="470" t="s">
        <v>306</v>
      </c>
      <c r="AC148" s="470" t="s">
        <v>291</v>
      </c>
      <c r="AD148" s="470" t="s">
        <v>291</v>
      </c>
      <c r="AE148" s="470" t="s">
        <v>291</v>
      </c>
      <c r="AF148" s="470">
        <v>-5</v>
      </c>
      <c r="AG148" s="470">
        <v>8</v>
      </c>
      <c r="AH148" s="470">
        <v>-3</v>
      </c>
      <c r="AI148" s="470" t="s">
        <v>291</v>
      </c>
      <c r="AJ148" s="470">
        <v>-4</v>
      </c>
      <c r="AK148" s="470">
        <v>3</v>
      </c>
      <c r="AL148" s="470">
        <v>2</v>
      </c>
    </row>
    <row r="149" spans="1:38">
      <c r="A149" s="470" t="s">
        <v>374</v>
      </c>
      <c r="B149" s="470" t="s">
        <v>273</v>
      </c>
      <c r="C149" s="470" t="s">
        <v>273</v>
      </c>
      <c r="D149" s="470" t="s">
        <v>273</v>
      </c>
      <c r="E149" s="470" t="s">
        <v>273</v>
      </c>
      <c r="F149" s="470" t="s">
        <v>273</v>
      </c>
      <c r="G149" s="470" t="s">
        <v>273</v>
      </c>
      <c r="H149" s="470" t="s">
        <v>273</v>
      </c>
      <c r="I149" s="470">
        <v>0</v>
      </c>
      <c r="J149" s="470">
        <v>0</v>
      </c>
      <c r="K149" s="470">
        <v>0</v>
      </c>
      <c r="L149" s="470">
        <v>0</v>
      </c>
      <c r="M149" s="470">
        <v>0</v>
      </c>
      <c r="N149" s="470">
        <v>0</v>
      </c>
      <c r="O149" s="470">
        <v>1</v>
      </c>
      <c r="P149" s="470">
        <v>0</v>
      </c>
      <c r="Q149" s="470">
        <v>0</v>
      </c>
      <c r="R149" s="470">
        <v>0</v>
      </c>
      <c r="S149" s="470" t="s">
        <v>273</v>
      </c>
      <c r="T149" s="470" t="s">
        <v>273</v>
      </c>
      <c r="U149" s="470" t="s">
        <v>273</v>
      </c>
      <c r="V149" s="470" t="s">
        <v>273</v>
      </c>
      <c r="W149" s="470" t="s">
        <v>273</v>
      </c>
      <c r="X149" s="470" t="s">
        <v>273</v>
      </c>
      <c r="Y149" s="470" t="s">
        <v>273</v>
      </c>
      <c r="Z149" s="470">
        <v>0</v>
      </c>
      <c r="AA149" s="470">
        <v>0</v>
      </c>
      <c r="AB149" s="470" t="s">
        <v>273</v>
      </c>
      <c r="AC149" s="470">
        <v>0</v>
      </c>
      <c r="AD149" s="470">
        <v>-1</v>
      </c>
      <c r="AE149" s="470">
        <v>-1</v>
      </c>
      <c r="AF149" s="470">
        <v>-1</v>
      </c>
      <c r="AG149" s="470">
        <v>-1</v>
      </c>
      <c r="AH149" s="470">
        <v>-1</v>
      </c>
      <c r="AI149" s="470">
        <v>-1</v>
      </c>
      <c r="AJ149" s="470">
        <v>0</v>
      </c>
      <c r="AK149" s="470">
        <v>-1</v>
      </c>
      <c r="AL149" s="470">
        <v>-1</v>
      </c>
    </row>
    <row r="150" spans="1:38">
      <c r="A150" s="470" t="s">
        <v>373</v>
      </c>
      <c r="B150" s="470" t="s">
        <v>273</v>
      </c>
      <c r="C150" s="470" t="s">
        <v>273</v>
      </c>
      <c r="D150" s="470" t="s">
        <v>273</v>
      </c>
      <c r="E150" s="470" t="s">
        <v>273</v>
      </c>
      <c r="F150" s="470" t="s">
        <v>273</v>
      </c>
      <c r="G150" s="470" t="s">
        <v>273</v>
      </c>
      <c r="H150" s="470" t="s">
        <v>273</v>
      </c>
      <c r="I150" s="470">
        <v>0</v>
      </c>
      <c r="J150" s="470">
        <v>-2</v>
      </c>
      <c r="K150" s="470" t="s">
        <v>306</v>
      </c>
      <c r="L150" s="470">
        <v>-20</v>
      </c>
      <c r="M150" s="470">
        <v>-1</v>
      </c>
      <c r="N150" s="470">
        <v>-1</v>
      </c>
      <c r="O150" s="470">
        <v>0</v>
      </c>
      <c r="P150" s="470">
        <v>0</v>
      </c>
      <c r="Q150" s="470">
        <v>-1</v>
      </c>
      <c r="R150" s="470">
        <v>-2</v>
      </c>
      <c r="S150" s="470">
        <v>0</v>
      </c>
      <c r="T150" s="470">
        <v>-2</v>
      </c>
      <c r="U150" s="470">
        <v>0</v>
      </c>
      <c r="V150" s="470">
        <v>-1</v>
      </c>
      <c r="W150" s="470">
        <v>0</v>
      </c>
      <c r="X150" s="470">
        <v>1</v>
      </c>
      <c r="Y150" s="470">
        <v>0</v>
      </c>
      <c r="Z150" s="470">
        <v>3</v>
      </c>
      <c r="AA150" s="470">
        <v>2</v>
      </c>
      <c r="AB150" s="470">
        <v>2</v>
      </c>
      <c r="AC150" s="470">
        <v>3</v>
      </c>
      <c r="AD150" s="470" t="s">
        <v>306</v>
      </c>
      <c r="AE150" s="470">
        <v>-1</v>
      </c>
      <c r="AF150" s="470">
        <v>-4</v>
      </c>
      <c r="AG150" s="470">
        <v>-3</v>
      </c>
      <c r="AH150" s="470">
        <v>-9</v>
      </c>
      <c r="AI150" s="470" t="s">
        <v>291</v>
      </c>
      <c r="AJ150" s="470">
        <v>-11</v>
      </c>
      <c r="AK150" s="470" t="s">
        <v>291</v>
      </c>
      <c r="AL150" s="470">
        <v>-4</v>
      </c>
    </row>
    <row r="151" spans="1:38">
      <c r="A151" s="470" t="s">
        <v>371</v>
      </c>
      <c r="B151" s="470" t="s">
        <v>273</v>
      </c>
      <c r="C151" s="470" t="s">
        <v>273</v>
      </c>
      <c r="D151" s="470" t="s">
        <v>273</v>
      </c>
      <c r="E151" s="470" t="s">
        <v>273</v>
      </c>
      <c r="F151" s="470" t="s">
        <v>273</v>
      </c>
      <c r="G151" s="470" t="s">
        <v>273</v>
      </c>
      <c r="H151" s="470" t="s">
        <v>273</v>
      </c>
      <c r="I151" s="470">
        <v>3</v>
      </c>
      <c r="J151" s="470">
        <v>0</v>
      </c>
      <c r="K151" s="470">
        <v>0</v>
      </c>
      <c r="L151" s="470">
        <v>0</v>
      </c>
      <c r="M151" s="470">
        <v>0</v>
      </c>
      <c r="N151" s="470">
        <v>0</v>
      </c>
      <c r="O151" s="470">
        <v>0</v>
      </c>
      <c r="P151" s="470">
        <v>0</v>
      </c>
      <c r="Q151" s="470">
        <v>0</v>
      </c>
      <c r="R151" s="470">
        <v>0</v>
      </c>
      <c r="S151" s="470">
        <v>0</v>
      </c>
      <c r="T151" s="470">
        <v>0</v>
      </c>
      <c r="U151" s="470">
        <v>-1</v>
      </c>
      <c r="V151" s="470">
        <v>-1</v>
      </c>
      <c r="W151" s="470">
        <v>-1</v>
      </c>
      <c r="X151" s="470">
        <v>-4</v>
      </c>
      <c r="Y151" s="470">
        <v>-1</v>
      </c>
      <c r="Z151" s="470">
        <v>-2</v>
      </c>
      <c r="AA151" s="470">
        <v>-2</v>
      </c>
      <c r="AB151" s="470">
        <v>-4</v>
      </c>
      <c r="AC151" s="470" t="s">
        <v>306</v>
      </c>
      <c r="AD151" s="470">
        <v>-8</v>
      </c>
      <c r="AE151" s="470">
        <v>-1</v>
      </c>
      <c r="AF151" s="470">
        <v>-2</v>
      </c>
      <c r="AG151" s="470" t="s">
        <v>291</v>
      </c>
      <c r="AH151" s="470" t="s">
        <v>291</v>
      </c>
      <c r="AI151" s="470">
        <v>28</v>
      </c>
      <c r="AJ151" s="470">
        <v>37</v>
      </c>
      <c r="AK151" s="470">
        <v>-33</v>
      </c>
      <c r="AL151" s="470" t="s">
        <v>291</v>
      </c>
    </row>
    <row r="152" spans="1:38">
      <c r="A152" s="470" t="s">
        <v>370</v>
      </c>
      <c r="B152" s="470" t="s">
        <v>273</v>
      </c>
      <c r="C152" s="470" t="s">
        <v>273</v>
      </c>
      <c r="D152" s="470" t="s">
        <v>273</v>
      </c>
      <c r="E152" s="470" t="s">
        <v>273</v>
      </c>
      <c r="F152" s="470" t="s">
        <v>273</v>
      </c>
      <c r="G152" s="470" t="s">
        <v>273</v>
      </c>
      <c r="H152" s="470" t="s">
        <v>273</v>
      </c>
      <c r="I152" s="470">
        <v>1</v>
      </c>
      <c r="J152" s="470">
        <v>1</v>
      </c>
      <c r="K152" s="470">
        <v>1</v>
      </c>
      <c r="L152" s="470">
        <v>1</v>
      </c>
      <c r="M152" s="470">
        <v>1</v>
      </c>
      <c r="N152" s="470">
        <v>1</v>
      </c>
      <c r="O152" s="470" t="s">
        <v>291</v>
      </c>
      <c r="P152" s="470" t="s">
        <v>291</v>
      </c>
      <c r="Q152" s="470">
        <v>2</v>
      </c>
      <c r="R152" s="470">
        <v>4</v>
      </c>
      <c r="S152" s="470" t="s">
        <v>291</v>
      </c>
      <c r="T152" s="470" t="s">
        <v>291</v>
      </c>
      <c r="U152" s="470" t="s">
        <v>291</v>
      </c>
      <c r="V152" s="470">
        <v>1</v>
      </c>
      <c r="W152" s="470">
        <v>6</v>
      </c>
      <c r="X152" s="470" t="s">
        <v>291</v>
      </c>
      <c r="Y152" s="470" t="s">
        <v>291</v>
      </c>
      <c r="Z152" s="470" t="s">
        <v>291</v>
      </c>
      <c r="AA152" s="470" t="s">
        <v>291</v>
      </c>
      <c r="AB152" s="470" t="s">
        <v>291</v>
      </c>
      <c r="AC152" s="470" t="s">
        <v>291</v>
      </c>
      <c r="AD152" s="470" t="s">
        <v>291</v>
      </c>
      <c r="AE152" s="470" t="s">
        <v>291</v>
      </c>
      <c r="AF152" s="470" t="s">
        <v>291</v>
      </c>
      <c r="AG152" s="470" t="s">
        <v>291</v>
      </c>
      <c r="AH152" s="470" t="s">
        <v>291</v>
      </c>
      <c r="AI152" s="470" t="s">
        <v>291</v>
      </c>
      <c r="AJ152" s="470" t="s">
        <v>291</v>
      </c>
      <c r="AK152" s="470" t="s">
        <v>291</v>
      </c>
      <c r="AL152" s="470" t="s">
        <v>291</v>
      </c>
    </row>
    <row r="153" spans="1:38">
      <c r="A153" s="470" t="s">
        <v>1025</v>
      </c>
      <c r="B153" s="470" t="s">
        <v>273</v>
      </c>
      <c r="C153" s="470" t="s">
        <v>273</v>
      </c>
      <c r="D153" s="470" t="s">
        <v>273</v>
      </c>
      <c r="E153" s="470" t="s">
        <v>273</v>
      </c>
      <c r="F153" s="470" t="s">
        <v>273</v>
      </c>
      <c r="G153" s="470" t="s">
        <v>273</v>
      </c>
      <c r="H153" s="470" t="s">
        <v>273</v>
      </c>
      <c r="I153" s="470">
        <v>0</v>
      </c>
      <c r="J153" s="470">
        <v>0</v>
      </c>
      <c r="K153" s="470">
        <v>0</v>
      </c>
      <c r="L153" s="470">
        <v>0</v>
      </c>
      <c r="M153" s="470">
        <v>0</v>
      </c>
      <c r="N153" s="470">
        <v>0</v>
      </c>
      <c r="O153" s="470">
        <v>0</v>
      </c>
      <c r="P153" s="470">
        <v>0</v>
      </c>
      <c r="Q153" s="470">
        <v>0</v>
      </c>
      <c r="R153" s="470">
        <v>0</v>
      </c>
      <c r="S153" s="470" t="s">
        <v>273</v>
      </c>
      <c r="T153" s="470" t="s">
        <v>273</v>
      </c>
      <c r="U153" s="470" t="s">
        <v>273</v>
      </c>
      <c r="V153" s="470" t="s">
        <v>273</v>
      </c>
      <c r="W153" s="470" t="s">
        <v>273</v>
      </c>
      <c r="X153" s="470" t="s">
        <v>273</v>
      </c>
      <c r="Y153" s="470" t="s">
        <v>273</v>
      </c>
      <c r="Z153" s="470" t="s">
        <v>273</v>
      </c>
      <c r="AA153" s="470" t="s">
        <v>273</v>
      </c>
      <c r="AB153" s="470" t="s">
        <v>273</v>
      </c>
      <c r="AC153" s="470" t="s">
        <v>273</v>
      </c>
      <c r="AD153" s="470" t="s">
        <v>273</v>
      </c>
      <c r="AE153" s="470" t="s">
        <v>273</v>
      </c>
      <c r="AF153" s="470" t="s">
        <v>273</v>
      </c>
      <c r="AG153" s="470" t="s">
        <v>273</v>
      </c>
      <c r="AH153" s="470" t="s">
        <v>273</v>
      </c>
      <c r="AI153" s="470" t="s">
        <v>273</v>
      </c>
      <c r="AJ153" s="470" t="s">
        <v>273</v>
      </c>
      <c r="AK153" s="470" t="s">
        <v>273</v>
      </c>
      <c r="AL153" s="470" t="s">
        <v>273</v>
      </c>
    </row>
    <row r="154" spans="1:38">
      <c r="A154" s="470" t="s">
        <v>369</v>
      </c>
      <c r="B154" s="470" t="s">
        <v>273</v>
      </c>
      <c r="C154" s="470" t="s">
        <v>273</v>
      </c>
      <c r="D154" s="470" t="s">
        <v>273</v>
      </c>
      <c r="E154" s="470" t="s">
        <v>273</v>
      </c>
      <c r="F154" s="470" t="s">
        <v>273</v>
      </c>
      <c r="G154" s="470" t="s">
        <v>273</v>
      </c>
      <c r="H154" s="470" t="s">
        <v>273</v>
      </c>
      <c r="I154" s="470">
        <v>-4</v>
      </c>
      <c r="J154" s="470">
        <v>-2</v>
      </c>
      <c r="K154" s="470">
        <v>0</v>
      </c>
      <c r="L154" s="470" t="s">
        <v>306</v>
      </c>
      <c r="M154" s="470" t="s">
        <v>306</v>
      </c>
      <c r="N154" s="470">
        <v>-2</v>
      </c>
      <c r="O154" s="470" t="s">
        <v>306</v>
      </c>
      <c r="P154" s="470" t="s">
        <v>306</v>
      </c>
      <c r="Q154" s="470">
        <v>1</v>
      </c>
      <c r="R154" s="470" t="s">
        <v>306</v>
      </c>
      <c r="S154" s="470">
        <v>1</v>
      </c>
      <c r="T154" s="470">
        <v>1</v>
      </c>
      <c r="U154" s="470">
        <v>1</v>
      </c>
      <c r="V154" s="470">
        <v>1</v>
      </c>
      <c r="W154" s="470" t="s">
        <v>306</v>
      </c>
      <c r="X154" s="470" t="s">
        <v>306</v>
      </c>
      <c r="Y154" s="470" t="s">
        <v>306</v>
      </c>
      <c r="Z154" s="470" t="s">
        <v>306</v>
      </c>
      <c r="AA154" s="470" t="s">
        <v>306</v>
      </c>
      <c r="AB154" s="470" t="s">
        <v>306</v>
      </c>
      <c r="AC154" s="470" t="s">
        <v>306</v>
      </c>
      <c r="AD154" s="470" t="s">
        <v>306</v>
      </c>
      <c r="AE154" s="470">
        <v>-3</v>
      </c>
      <c r="AF154" s="470">
        <v>-5</v>
      </c>
      <c r="AG154" s="470" t="s">
        <v>291</v>
      </c>
      <c r="AH154" s="470" t="s">
        <v>291</v>
      </c>
      <c r="AI154" s="470">
        <v>-32</v>
      </c>
      <c r="AJ154" s="470">
        <v>-8</v>
      </c>
      <c r="AK154" s="470">
        <v>-8</v>
      </c>
      <c r="AL154" s="470" t="s">
        <v>291</v>
      </c>
    </row>
    <row r="155" spans="1:38">
      <c r="A155" s="470" t="s">
        <v>368</v>
      </c>
      <c r="B155" s="470" t="s">
        <v>273</v>
      </c>
      <c r="C155" s="470" t="s">
        <v>273</v>
      </c>
      <c r="D155" s="470" t="s">
        <v>273</v>
      </c>
      <c r="E155" s="470" t="s">
        <v>273</v>
      </c>
      <c r="F155" s="470" t="s">
        <v>273</v>
      </c>
      <c r="G155" s="470" t="s">
        <v>273</v>
      </c>
      <c r="H155" s="470" t="s">
        <v>273</v>
      </c>
      <c r="I155" s="470" t="s">
        <v>273</v>
      </c>
      <c r="J155" s="470" t="s">
        <v>273</v>
      </c>
      <c r="K155" s="470" t="s">
        <v>273</v>
      </c>
      <c r="L155" s="470" t="s">
        <v>273</v>
      </c>
      <c r="M155" s="470" t="s">
        <v>273</v>
      </c>
      <c r="N155" s="470" t="s">
        <v>273</v>
      </c>
      <c r="O155" s="470" t="s">
        <v>273</v>
      </c>
      <c r="P155" s="470" t="s">
        <v>273</v>
      </c>
      <c r="Q155" s="470" t="s">
        <v>273</v>
      </c>
      <c r="R155" s="470" t="s">
        <v>273</v>
      </c>
      <c r="S155" s="470" t="s">
        <v>273</v>
      </c>
      <c r="T155" s="470" t="s">
        <v>273</v>
      </c>
      <c r="U155" s="470" t="s">
        <v>273</v>
      </c>
      <c r="V155" s="470" t="s">
        <v>273</v>
      </c>
      <c r="W155" s="470" t="s">
        <v>273</v>
      </c>
      <c r="X155" s="470" t="s">
        <v>273</v>
      </c>
      <c r="Y155" s="470" t="s">
        <v>273</v>
      </c>
      <c r="Z155" s="470" t="s">
        <v>273</v>
      </c>
      <c r="AA155" s="470" t="s">
        <v>273</v>
      </c>
      <c r="AB155" s="470" t="s">
        <v>273</v>
      </c>
      <c r="AC155" s="470" t="s">
        <v>273</v>
      </c>
      <c r="AD155" s="470" t="s">
        <v>273</v>
      </c>
      <c r="AE155" s="470" t="s">
        <v>273</v>
      </c>
      <c r="AF155" s="470" t="s">
        <v>273</v>
      </c>
      <c r="AG155" s="470" t="s">
        <v>306</v>
      </c>
      <c r="AH155" s="470">
        <v>0</v>
      </c>
      <c r="AI155" s="470">
        <v>0</v>
      </c>
      <c r="AJ155" s="470">
        <v>0</v>
      </c>
      <c r="AK155" s="470">
        <v>0</v>
      </c>
      <c r="AL155" s="470">
        <v>0</v>
      </c>
    </row>
    <row r="156" spans="1:38">
      <c r="A156" s="470" t="s">
        <v>367</v>
      </c>
      <c r="B156" s="470" t="s">
        <v>273</v>
      </c>
      <c r="C156" s="470" t="s">
        <v>273</v>
      </c>
      <c r="D156" s="470" t="s">
        <v>273</v>
      </c>
      <c r="E156" s="470" t="s">
        <v>273</v>
      </c>
      <c r="F156" s="470" t="s">
        <v>273</v>
      </c>
      <c r="G156" s="470" t="s">
        <v>273</v>
      </c>
      <c r="H156" s="470" t="s">
        <v>273</v>
      </c>
      <c r="I156" s="470">
        <v>212</v>
      </c>
      <c r="J156" s="470">
        <v>343</v>
      </c>
      <c r="K156" s="470">
        <v>430</v>
      </c>
      <c r="L156" s="470">
        <v>453</v>
      </c>
      <c r="M156" s="470">
        <v>935</v>
      </c>
      <c r="N156" s="470">
        <v>1181</v>
      </c>
      <c r="O156" s="470">
        <v>1229</v>
      </c>
      <c r="P156" s="470">
        <v>1210</v>
      </c>
      <c r="Q156" s="470">
        <v>1113</v>
      </c>
      <c r="R156" s="470">
        <v>992</v>
      </c>
      <c r="S156" s="470">
        <v>1462</v>
      </c>
      <c r="T156" s="470">
        <v>708</v>
      </c>
      <c r="U156" s="470">
        <v>1099</v>
      </c>
      <c r="V156" s="470">
        <v>2007</v>
      </c>
      <c r="W156" s="470">
        <v>1614</v>
      </c>
      <c r="X156" s="470">
        <v>1655</v>
      </c>
      <c r="Y156" s="470">
        <v>1730</v>
      </c>
      <c r="Z156" s="470">
        <v>2062</v>
      </c>
      <c r="AA156" s="470">
        <v>1805</v>
      </c>
      <c r="AB156" s="470">
        <v>1227</v>
      </c>
      <c r="AC156" s="470">
        <v>608</v>
      </c>
      <c r="AD156" s="470">
        <v>558</v>
      </c>
      <c r="AE156" s="470">
        <v>444</v>
      </c>
      <c r="AF156" s="470">
        <v>538</v>
      </c>
      <c r="AG156" s="470">
        <v>522</v>
      </c>
      <c r="AH156" s="470">
        <v>516</v>
      </c>
      <c r="AI156" s="470">
        <v>502</v>
      </c>
      <c r="AJ156" s="470">
        <v>512</v>
      </c>
      <c r="AK156" s="470">
        <v>501</v>
      </c>
      <c r="AL156" s="470">
        <v>461</v>
      </c>
    </row>
    <row r="157" spans="1:38">
      <c r="A157" s="470" t="s">
        <v>366</v>
      </c>
      <c r="B157" s="470" t="s">
        <v>273</v>
      </c>
      <c r="C157" s="470" t="s">
        <v>273</v>
      </c>
      <c r="D157" s="470" t="s">
        <v>273</v>
      </c>
      <c r="E157" s="470" t="s">
        <v>273</v>
      </c>
      <c r="F157" s="470" t="s">
        <v>273</v>
      </c>
      <c r="G157" s="470" t="s">
        <v>273</v>
      </c>
      <c r="H157" s="470" t="s">
        <v>273</v>
      </c>
      <c r="I157" s="470" t="s">
        <v>273</v>
      </c>
      <c r="J157" s="470" t="s">
        <v>273</v>
      </c>
      <c r="K157" s="470" t="s">
        <v>273</v>
      </c>
      <c r="L157" s="470" t="s">
        <v>273</v>
      </c>
      <c r="M157" s="470" t="s">
        <v>273</v>
      </c>
      <c r="N157" s="470" t="s">
        <v>273</v>
      </c>
      <c r="O157" s="470" t="s">
        <v>273</v>
      </c>
      <c r="P157" s="470" t="s">
        <v>273</v>
      </c>
      <c r="Q157" s="470" t="s">
        <v>273</v>
      </c>
      <c r="R157" s="470" t="s">
        <v>273</v>
      </c>
      <c r="S157" s="470" t="s">
        <v>273</v>
      </c>
      <c r="T157" s="470" t="s">
        <v>273</v>
      </c>
      <c r="U157" s="470" t="s">
        <v>273</v>
      </c>
      <c r="V157" s="470" t="s">
        <v>273</v>
      </c>
      <c r="W157" s="470" t="s">
        <v>273</v>
      </c>
      <c r="X157" s="470" t="s">
        <v>273</v>
      </c>
      <c r="Y157" s="470" t="s">
        <v>273</v>
      </c>
      <c r="Z157" s="470">
        <v>0</v>
      </c>
      <c r="AA157" s="470">
        <v>0</v>
      </c>
      <c r="AB157" s="470">
        <v>-1</v>
      </c>
      <c r="AC157" s="470" t="s">
        <v>306</v>
      </c>
      <c r="AD157" s="470">
        <v>-2</v>
      </c>
      <c r="AE157" s="470">
        <v>-3</v>
      </c>
      <c r="AF157" s="470">
        <v>-3</v>
      </c>
      <c r="AG157" s="470">
        <v>1</v>
      </c>
      <c r="AH157" s="470" t="s">
        <v>291</v>
      </c>
      <c r="AI157" s="470" t="s">
        <v>291</v>
      </c>
      <c r="AJ157" s="470">
        <v>-3</v>
      </c>
      <c r="AK157" s="470" t="s">
        <v>291</v>
      </c>
      <c r="AL157" s="470" t="s">
        <v>291</v>
      </c>
    </row>
    <row r="158" spans="1:38">
      <c r="A158" s="470" t="s">
        <v>365</v>
      </c>
      <c r="B158" s="470" t="s">
        <v>273</v>
      </c>
      <c r="C158" s="470" t="s">
        <v>273</v>
      </c>
      <c r="D158" s="470" t="s">
        <v>273</v>
      </c>
      <c r="E158" s="470" t="s">
        <v>273</v>
      </c>
      <c r="F158" s="470" t="s">
        <v>273</v>
      </c>
      <c r="G158" s="470" t="s">
        <v>273</v>
      </c>
      <c r="H158" s="470" t="s">
        <v>273</v>
      </c>
      <c r="I158" s="470">
        <v>8</v>
      </c>
      <c r="J158" s="470">
        <v>0</v>
      </c>
      <c r="K158" s="470">
        <v>0</v>
      </c>
      <c r="L158" s="470">
        <v>0</v>
      </c>
      <c r="M158" s="470">
        <v>0</v>
      </c>
      <c r="N158" s="470">
        <v>0</v>
      </c>
      <c r="O158" s="470">
        <v>0</v>
      </c>
      <c r="P158" s="470">
        <v>0</v>
      </c>
      <c r="Q158" s="470">
        <v>0</v>
      </c>
      <c r="R158" s="470">
        <v>0</v>
      </c>
      <c r="S158" s="470">
        <v>-1</v>
      </c>
      <c r="T158" s="470">
        <v>-1</v>
      </c>
      <c r="U158" s="470">
        <v>-2</v>
      </c>
      <c r="V158" s="470">
        <v>-2</v>
      </c>
      <c r="W158" s="470">
        <v>0</v>
      </c>
      <c r="X158" s="470">
        <v>0</v>
      </c>
      <c r="Y158" s="470">
        <v>0</v>
      </c>
      <c r="Z158" s="470">
        <v>0</v>
      </c>
      <c r="AA158" s="470">
        <v>0</v>
      </c>
      <c r="AB158" s="470" t="s">
        <v>273</v>
      </c>
      <c r="AC158" s="470" t="s">
        <v>273</v>
      </c>
      <c r="AD158" s="470">
        <v>0</v>
      </c>
      <c r="AE158" s="470">
        <v>0</v>
      </c>
      <c r="AF158" s="470">
        <v>0</v>
      </c>
      <c r="AG158" s="470">
        <v>-1</v>
      </c>
      <c r="AH158" s="470">
        <v>0</v>
      </c>
      <c r="AI158" s="470">
        <v>0</v>
      </c>
      <c r="AJ158" s="470">
        <v>0</v>
      </c>
      <c r="AK158" s="470">
        <v>0</v>
      </c>
      <c r="AL158" s="470">
        <v>0</v>
      </c>
    </row>
    <row r="159" spans="1:38">
      <c r="A159" s="470" t="s">
        <v>364</v>
      </c>
      <c r="B159" s="470" t="s">
        <v>273</v>
      </c>
      <c r="C159" s="470" t="s">
        <v>273</v>
      </c>
      <c r="D159" s="470" t="s">
        <v>273</v>
      </c>
      <c r="E159" s="470" t="s">
        <v>273</v>
      </c>
      <c r="F159" s="470" t="s">
        <v>273</v>
      </c>
      <c r="G159" s="470" t="s">
        <v>273</v>
      </c>
      <c r="H159" s="470" t="s">
        <v>273</v>
      </c>
      <c r="I159" s="470" t="s">
        <v>306</v>
      </c>
      <c r="J159" s="470">
        <v>-1</v>
      </c>
      <c r="K159" s="470">
        <v>-1</v>
      </c>
      <c r="L159" s="470">
        <v>-1</v>
      </c>
      <c r="M159" s="470">
        <v>0</v>
      </c>
      <c r="N159" s="470">
        <v>-1</v>
      </c>
      <c r="O159" s="470">
        <v>0</v>
      </c>
      <c r="P159" s="470">
        <v>0</v>
      </c>
      <c r="Q159" s="470">
        <v>0</v>
      </c>
      <c r="R159" s="470">
        <v>0</v>
      </c>
      <c r="S159" s="470" t="s">
        <v>273</v>
      </c>
      <c r="T159" s="470" t="s">
        <v>273</v>
      </c>
      <c r="U159" s="470" t="s">
        <v>273</v>
      </c>
      <c r="V159" s="470" t="s">
        <v>273</v>
      </c>
      <c r="W159" s="470" t="s">
        <v>273</v>
      </c>
      <c r="X159" s="470" t="s">
        <v>273</v>
      </c>
      <c r="Y159" s="470" t="s">
        <v>273</v>
      </c>
      <c r="Z159" s="470">
        <v>0</v>
      </c>
      <c r="AA159" s="470">
        <v>0</v>
      </c>
      <c r="AB159" s="470" t="s">
        <v>273</v>
      </c>
      <c r="AC159" s="470">
        <v>0</v>
      </c>
      <c r="AD159" s="470">
        <v>-1</v>
      </c>
      <c r="AE159" s="470">
        <v>-1</v>
      </c>
      <c r="AF159" s="470">
        <v>0</v>
      </c>
      <c r="AG159" s="470">
        <v>0</v>
      </c>
      <c r="AH159" s="470" t="s">
        <v>306</v>
      </c>
      <c r="AI159" s="470" t="s">
        <v>306</v>
      </c>
      <c r="AJ159" s="470" t="s">
        <v>306</v>
      </c>
      <c r="AK159" s="470" t="s">
        <v>306</v>
      </c>
      <c r="AL159" s="470" t="s">
        <v>306</v>
      </c>
    </row>
    <row r="160" spans="1:38">
      <c r="A160" s="470" t="s">
        <v>363</v>
      </c>
      <c r="B160" s="470" t="s">
        <v>273</v>
      </c>
      <c r="C160" s="470" t="s">
        <v>273</v>
      </c>
      <c r="D160" s="470" t="s">
        <v>273</v>
      </c>
      <c r="E160" s="470" t="s">
        <v>273</v>
      </c>
      <c r="F160" s="470" t="s">
        <v>273</v>
      </c>
      <c r="G160" s="470" t="s">
        <v>273</v>
      </c>
      <c r="H160" s="470" t="s">
        <v>273</v>
      </c>
      <c r="I160" s="470" t="s">
        <v>273</v>
      </c>
      <c r="J160" s="470" t="s">
        <v>273</v>
      </c>
      <c r="K160" s="470" t="s">
        <v>273</v>
      </c>
      <c r="L160" s="470" t="s">
        <v>273</v>
      </c>
      <c r="M160" s="470" t="s">
        <v>273</v>
      </c>
      <c r="N160" s="470" t="s">
        <v>273</v>
      </c>
      <c r="O160" s="470" t="s">
        <v>273</v>
      </c>
      <c r="P160" s="470" t="s">
        <v>273</v>
      </c>
      <c r="Q160" s="470" t="s">
        <v>273</v>
      </c>
      <c r="R160" s="470" t="s">
        <v>273</v>
      </c>
      <c r="S160" s="470" t="s">
        <v>273</v>
      </c>
      <c r="T160" s="470" t="s">
        <v>273</v>
      </c>
      <c r="U160" s="470" t="s">
        <v>273</v>
      </c>
      <c r="V160" s="470" t="s">
        <v>273</v>
      </c>
      <c r="W160" s="470" t="s">
        <v>273</v>
      </c>
      <c r="X160" s="470" t="s">
        <v>273</v>
      </c>
      <c r="Y160" s="470" t="s">
        <v>273</v>
      </c>
      <c r="Z160" s="470">
        <v>0</v>
      </c>
      <c r="AA160" s="470">
        <v>0</v>
      </c>
      <c r="AB160" s="470">
        <v>0</v>
      </c>
      <c r="AC160" s="470">
        <v>-1</v>
      </c>
      <c r="AD160" s="470" t="s">
        <v>306</v>
      </c>
      <c r="AE160" s="470">
        <v>0</v>
      </c>
      <c r="AF160" s="470">
        <v>0</v>
      </c>
      <c r="AG160" s="470">
        <v>0</v>
      </c>
      <c r="AH160" s="470">
        <v>-1</v>
      </c>
      <c r="AI160" s="470">
        <v>-2</v>
      </c>
      <c r="AJ160" s="470">
        <v>-3</v>
      </c>
      <c r="AK160" s="470">
        <v>-2</v>
      </c>
      <c r="AL160" s="470">
        <v>-3</v>
      </c>
    </row>
    <row r="161" spans="1:38">
      <c r="A161" s="470" t="s">
        <v>362</v>
      </c>
      <c r="B161" s="470" t="s">
        <v>273</v>
      </c>
      <c r="C161" s="470" t="s">
        <v>273</v>
      </c>
      <c r="D161" s="470" t="s">
        <v>273</v>
      </c>
      <c r="E161" s="470" t="s">
        <v>273</v>
      </c>
      <c r="F161" s="470" t="s">
        <v>273</v>
      </c>
      <c r="G161" s="470" t="s">
        <v>273</v>
      </c>
      <c r="H161" s="470" t="s">
        <v>273</v>
      </c>
      <c r="I161" s="470" t="s">
        <v>273</v>
      </c>
      <c r="J161" s="470" t="s">
        <v>273</v>
      </c>
      <c r="K161" s="470" t="s">
        <v>273</v>
      </c>
      <c r="L161" s="470" t="s">
        <v>273</v>
      </c>
      <c r="M161" s="470" t="s">
        <v>273</v>
      </c>
      <c r="N161" s="470" t="s">
        <v>273</v>
      </c>
      <c r="O161" s="470" t="s">
        <v>273</v>
      </c>
      <c r="P161" s="470" t="s">
        <v>273</v>
      </c>
      <c r="Q161" s="470" t="s">
        <v>273</v>
      </c>
      <c r="R161" s="470" t="s">
        <v>273</v>
      </c>
      <c r="S161" s="470">
        <v>0</v>
      </c>
      <c r="T161" s="470">
        <v>0</v>
      </c>
      <c r="U161" s="470">
        <v>0</v>
      </c>
      <c r="V161" s="470">
        <v>0</v>
      </c>
      <c r="W161" s="470">
        <v>0</v>
      </c>
      <c r="X161" s="470">
        <v>0</v>
      </c>
      <c r="Y161" s="470">
        <v>-1</v>
      </c>
      <c r="Z161" s="470">
        <v>3</v>
      </c>
      <c r="AA161" s="470">
        <v>5</v>
      </c>
      <c r="AB161" s="470">
        <v>5</v>
      </c>
      <c r="AC161" s="470">
        <v>0</v>
      </c>
      <c r="AD161" s="470" t="s">
        <v>306</v>
      </c>
      <c r="AE161" s="470">
        <v>0</v>
      </c>
      <c r="AF161" s="470" t="s">
        <v>306</v>
      </c>
      <c r="AG161" s="470">
        <v>0</v>
      </c>
      <c r="AH161" s="470">
        <v>0</v>
      </c>
      <c r="AI161" s="470">
        <v>-1</v>
      </c>
      <c r="AJ161" s="470" t="s">
        <v>306</v>
      </c>
      <c r="AK161" s="470" t="s">
        <v>306</v>
      </c>
      <c r="AL161" s="470" t="s">
        <v>306</v>
      </c>
    </row>
    <row r="162" spans="1:38">
      <c r="A162" s="470" t="s">
        <v>361</v>
      </c>
      <c r="B162" s="470" t="s">
        <v>273</v>
      </c>
      <c r="C162" s="470" t="s">
        <v>273</v>
      </c>
      <c r="D162" s="470" t="s">
        <v>273</v>
      </c>
      <c r="E162" s="470" t="s">
        <v>273</v>
      </c>
      <c r="F162" s="470" t="s">
        <v>273</v>
      </c>
      <c r="G162" s="470" t="s">
        <v>273</v>
      </c>
      <c r="H162" s="470" t="s">
        <v>273</v>
      </c>
      <c r="I162" s="470">
        <v>0</v>
      </c>
      <c r="J162" s="470">
        <v>0</v>
      </c>
      <c r="K162" s="470">
        <v>0</v>
      </c>
      <c r="L162" s="470">
        <v>0</v>
      </c>
      <c r="M162" s="470">
        <v>0</v>
      </c>
      <c r="N162" s="470">
        <v>0</v>
      </c>
      <c r="O162" s="470">
        <v>0</v>
      </c>
      <c r="P162" s="470">
        <v>0</v>
      </c>
      <c r="Q162" s="470">
        <v>0</v>
      </c>
      <c r="R162" s="470">
        <v>0</v>
      </c>
      <c r="S162" s="470">
        <v>0</v>
      </c>
      <c r="T162" s="470">
        <v>0</v>
      </c>
      <c r="U162" s="470">
        <v>0</v>
      </c>
      <c r="V162" s="470" t="s">
        <v>291</v>
      </c>
      <c r="W162" s="470" t="s">
        <v>291</v>
      </c>
      <c r="X162" s="470" t="s">
        <v>291</v>
      </c>
      <c r="Y162" s="470" t="s">
        <v>291</v>
      </c>
      <c r="Z162" s="470" t="s">
        <v>291</v>
      </c>
      <c r="AA162" s="470" t="s">
        <v>291</v>
      </c>
      <c r="AB162" s="470" t="s">
        <v>291</v>
      </c>
      <c r="AC162" s="470">
        <v>189</v>
      </c>
      <c r="AD162" s="470">
        <v>486</v>
      </c>
      <c r="AE162" s="470">
        <v>295</v>
      </c>
      <c r="AF162" s="470">
        <v>1215</v>
      </c>
      <c r="AG162" s="470" t="s">
        <v>291</v>
      </c>
      <c r="AH162" s="470">
        <v>2266</v>
      </c>
      <c r="AI162" s="470">
        <v>894</v>
      </c>
      <c r="AJ162" s="470">
        <v>651</v>
      </c>
      <c r="AK162" s="470">
        <v>386</v>
      </c>
      <c r="AL162" s="470">
        <v>339</v>
      </c>
    </row>
    <row r="163" spans="1:38">
      <c r="A163" s="470" t="s">
        <v>360</v>
      </c>
      <c r="B163" s="470" t="s">
        <v>273</v>
      </c>
      <c r="C163" s="470" t="s">
        <v>273</v>
      </c>
      <c r="D163" s="470" t="s">
        <v>273</v>
      </c>
      <c r="E163" s="470" t="s">
        <v>273</v>
      </c>
      <c r="F163" s="470" t="s">
        <v>273</v>
      </c>
      <c r="G163" s="470" t="s">
        <v>273</v>
      </c>
      <c r="H163" s="470" t="s">
        <v>273</v>
      </c>
      <c r="I163" s="470" t="s">
        <v>291</v>
      </c>
      <c r="J163" s="470" t="s">
        <v>291</v>
      </c>
      <c r="K163" s="470">
        <v>11</v>
      </c>
      <c r="L163" s="470">
        <v>7</v>
      </c>
      <c r="M163" s="470">
        <v>5</v>
      </c>
      <c r="N163" s="470">
        <v>-8</v>
      </c>
      <c r="O163" s="470">
        <v>-11</v>
      </c>
      <c r="P163" s="470">
        <v>-4</v>
      </c>
      <c r="Q163" s="470">
        <v>-10</v>
      </c>
      <c r="R163" s="470">
        <v>-14</v>
      </c>
      <c r="S163" s="470">
        <v>-18</v>
      </c>
      <c r="T163" s="470">
        <v>-21</v>
      </c>
      <c r="U163" s="470">
        <v>-22</v>
      </c>
      <c r="V163" s="470">
        <v>-23</v>
      </c>
      <c r="W163" s="470">
        <v>-23</v>
      </c>
      <c r="X163" s="470">
        <v>-24</v>
      </c>
      <c r="Y163" s="470">
        <v>14</v>
      </c>
      <c r="Z163" s="470">
        <v>5</v>
      </c>
      <c r="AA163" s="470">
        <v>5</v>
      </c>
      <c r="AB163" s="470">
        <v>5</v>
      </c>
      <c r="AC163" s="470" t="s">
        <v>291</v>
      </c>
      <c r="AD163" s="470" t="s">
        <v>291</v>
      </c>
      <c r="AE163" s="470" t="s">
        <v>291</v>
      </c>
      <c r="AF163" s="470" t="s">
        <v>291</v>
      </c>
      <c r="AG163" s="470" t="s">
        <v>291</v>
      </c>
      <c r="AH163" s="470" t="s">
        <v>291</v>
      </c>
      <c r="AI163" s="470">
        <v>-15</v>
      </c>
      <c r="AJ163" s="470">
        <v>-20</v>
      </c>
      <c r="AK163" s="470" t="s">
        <v>291</v>
      </c>
      <c r="AL163" s="470" t="s">
        <v>291</v>
      </c>
    </row>
    <row r="164" spans="1:38">
      <c r="A164" s="470" t="s">
        <v>359</v>
      </c>
      <c r="B164" s="470" t="s">
        <v>273</v>
      </c>
      <c r="C164" s="470" t="s">
        <v>273</v>
      </c>
      <c r="D164" s="470" t="s">
        <v>273</v>
      </c>
      <c r="E164" s="470" t="s">
        <v>273</v>
      </c>
      <c r="F164" s="470" t="s">
        <v>273</v>
      </c>
      <c r="G164" s="470" t="s">
        <v>273</v>
      </c>
      <c r="H164" s="470" t="s">
        <v>273</v>
      </c>
      <c r="I164" s="470" t="s">
        <v>273</v>
      </c>
      <c r="J164" s="470" t="s">
        <v>273</v>
      </c>
      <c r="K164" s="470" t="s">
        <v>273</v>
      </c>
      <c r="L164" s="470" t="s">
        <v>273</v>
      </c>
      <c r="M164" s="470" t="s">
        <v>273</v>
      </c>
      <c r="N164" s="470" t="s">
        <v>273</v>
      </c>
      <c r="O164" s="470" t="s">
        <v>273</v>
      </c>
      <c r="P164" s="470" t="s">
        <v>273</v>
      </c>
      <c r="Q164" s="470" t="s">
        <v>273</v>
      </c>
      <c r="R164" s="470" t="s">
        <v>273</v>
      </c>
      <c r="S164" s="470" t="s">
        <v>273</v>
      </c>
      <c r="T164" s="470" t="s">
        <v>273</v>
      </c>
      <c r="U164" s="470" t="s">
        <v>273</v>
      </c>
      <c r="V164" s="470" t="s">
        <v>273</v>
      </c>
      <c r="W164" s="470" t="s">
        <v>273</v>
      </c>
      <c r="X164" s="470" t="s">
        <v>273</v>
      </c>
      <c r="Y164" s="470" t="s">
        <v>273</v>
      </c>
      <c r="Z164" s="470">
        <v>0</v>
      </c>
      <c r="AA164" s="470">
        <v>0</v>
      </c>
      <c r="AB164" s="470">
        <v>0</v>
      </c>
      <c r="AC164" s="470">
        <v>-1</v>
      </c>
      <c r="AD164" s="470">
        <v>-1</v>
      </c>
      <c r="AE164" s="470">
        <v>-1</v>
      </c>
      <c r="AF164" s="470">
        <v>0</v>
      </c>
      <c r="AG164" s="470">
        <v>1</v>
      </c>
      <c r="AH164" s="470" t="s">
        <v>306</v>
      </c>
      <c r="AI164" s="470">
        <v>-2</v>
      </c>
      <c r="AJ164" s="470">
        <v>-1</v>
      </c>
      <c r="AK164" s="470" t="s">
        <v>306</v>
      </c>
      <c r="AL164" s="470">
        <v>-1</v>
      </c>
    </row>
    <row r="165" spans="1:38">
      <c r="A165" s="470" t="s">
        <v>358</v>
      </c>
      <c r="B165" s="470" t="s">
        <v>273</v>
      </c>
      <c r="C165" s="470" t="s">
        <v>273</v>
      </c>
      <c r="D165" s="470" t="s">
        <v>273</v>
      </c>
      <c r="E165" s="470" t="s">
        <v>273</v>
      </c>
      <c r="F165" s="470" t="s">
        <v>273</v>
      </c>
      <c r="G165" s="470" t="s">
        <v>273</v>
      </c>
      <c r="H165" s="470" t="s">
        <v>273</v>
      </c>
      <c r="I165" s="470">
        <v>0</v>
      </c>
      <c r="J165" s="470">
        <v>0</v>
      </c>
      <c r="K165" s="470">
        <v>0</v>
      </c>
      <c r="L165" s="470">
        <v>0</v>
      </c>
      <c r="M165" s="470">
        <v>0</v>
      </c>
      <c r="N165" s="470">
        <v>0</v>
      </c>
      <c r="O165" s="470">
        <v>1</v>
      </c>
      <c r="P165" s="470">
        <v>0</v>
      </c>
      <c r="Q165" s="470">
        <v>0</v>
      </c>
      <c r="R165" s="470">
        <v>2</v>
      </c>
      <c r="S165" s="470">
        <v>2</v>
      </c>
      <c r="T165" s="470">
        <v>3</v>
      </c>
      <c r="U165" s="470">
        <v>4</v>
      </c>
      <c r="V165" s="470">
        <v>0</v>
      </c>
      <c r="W165" s="470">
        <v>0</v>
      </c>
      <c r="X165" s="470">
        <v>0</v>
      </c>
      <c r="Y165" s="470">
        <v>0</v>
      </c>
      <c r="Z165" s="470" t="s">
        <v>273</v>
      </c>
      <c r="AA165" s="470" t="s">
        <v>273</v>
      </c>
      <c r="AB165" s="470" t="s">
        <v>273</v>
      </c>
      <c r="AC165" s="470" t="s">
        <v>273</v>
      </c>
      <c r="AD165" s="470" t="s">
        <v>273</v>
      </c>
      <c r="AE165" s="470" t="s">
        <v>273</v>
      </c>
      <c r="AF165" s="470" t="s">
        <v>273</v>
      </c>
      <c r="AG165" s="470">
        <v>0</v>
      </c>
      <c r="AH165" s="470">
        <v>0</v>
      </c>
      <c r="AI165" s="470">
        <v>-9</v>
      </c>
      <c r="AJ165" s="470" t="s">
        <v>291</v>
      </c>
      <c r="AK165" s="470">
        <v>2</v>
      </c>
      <c r="AL165" s="470" t="s">
        <v>306</v>
      </c>
    </row>
    <row r="166" spans="1:38">
      <c r="A166" s="470" t="s">
        <v>357</v>
      </c>
      <c r="B166" s="470" t="s">
        <v>273</v>
      </c>
      <c r="C166" s="470" t="s">
        <v>273</v>
      </c>
      <c r="D166" s="470" t="s">
        <v>273</v>
      </c>
      <c r="E166" s="470" t="s">
        <v>273</v>
      </c>
      <c r="F166" s="470" t="s">
        <v>273</v>
      </c>
      <c r="G166" s="470" t="s">
        <v>273</v>
      </c>
      <c r="H166" s="470" t="s">
        <v>273</v>
      </c>
      <c r="I166" s="470" t="s">
        <v>273</v>
      </c>
      <c r="J166" s="470" t="s">
        <v>273</v>
      </c>
      <c r="K166" s="470" t="s">
        <v>273</v>
      </c>
      <c r="L166" s="470" t="s">
        <v>273</v>
      </c>
      <c r="M166" s="470" t="s">
        <v>273</v>
      </c>
      <c r="N166" s="470" t="s">
        <v>273</v>
      </c>
      <c r="O166" s="470" t="s">
        <v>273</v>
      </c>
      <c r="P166" s="470" t="s">
        <v>273</v>
      </c>
      <c r="Q166" s="470" t="s">
        <v>273</v>
      </c>
      <c r="R166" s="470" t="s">
        <v>273</v>
      </c>
      <c r="S166" s="470" t="s">
        <v>273</v>
      </c>
      <c r="T166" s="470" t="s">
        <v>273</v>
      </c>
      <c r="U166" s="470" t="s">
        <v>273</v>
      </c>
      <c r="V166" s="470" t="s">
        <v>273</v>
      </c>
      <c r="W166" s="470" t="s">
        <v>273</v>
      </c>
      <c r="X166" s="470" t="s">
        <v>273</v>
      </c>
      <c r="Y166" s="470" t="s">
        <v>273</v>
      </c>
      <c r="Z166" s="470">
        <v>0</v>
      </c>
      <c r="AA166" s="470">
        <v>0</v>
      </c>
      <c r="AB166" s="470">
        <v>0</v>
      </c>
      <c r="AC166" s="470">
        <v>-2</v>
      </c>
      <c r="AD166" s="470">
        <v>0</v>
      </c>
      <c r="AE166" s="470">
        <v>0</v>
      </c>
      <c r="AF166" s="470">
        <v>0</v>
      </c>
      <c r="AG166" s="470">
        <v>0</v>
      </c>
      <c r="AH166" s="470" t="s">
        <v>306</v>
      </c>
      <c r="AI166" s="470" t="s">
        <v>306</v>
      </c>
      <c r="AJ166" s="470" t="s">
        <v>306</v>
      </c>
      <c r="AK166" s="470" t="s">
        <v>306</v>
      </c>
      <c r="AL166" s="470" t="s">
        <v>306</v>
      </c>
    </row>
    <row r="167" spans="1:38">
      <c r="A167" s="470" t="s">
        <v>1414</v>
      </c>
      <c r="B167" s="470" t="s">
        <v>273</v>
      </c>
      <c r="C167" s="470" t="s">
        <v>273</v>
      </c>
      <c r="D167" s="470" t="s">
        <v>273</v>
      </c>
      <c r="E167" s="470" t="s">
        <v>273</v>
      </c>
      <c r="F167" s="470" t="s">
        <v>273</v>
      </c>
      <c r="G167" s="470" t="s">
        <v>273</v>
      </c>
      <c r="H167" s="470" t="s">
        <v>273</v>
      </c>
      <c r="I167" s="470">
        <v>-2</v>
      </c>
      <c r="J167" s="470" t="s">
        <v>306</v>
      </c>
      <c r="K167" s="470">
        <v>-1</v>
      </c>
      <c r="L167" s="470">
        <v>-17</v>
      </c>
      <c r="M167" s="470">
        <v>5</v>
      </c>
      <c r="N167" s="470">
        <v>5</v>
      </c>
      <c r="O167" s="470" t="s">
        <v>291</v>
      </c>
      <c r="P167" s="470" t="s">
        <v>291</v>
      </c>
      <c r="Q167" s="470">
        <v>10</v>
      </c>
      <c r="R167" s="470">
        <v>13</v>
      </c>
      <c r="S167" s="470" t="s">
        <v>291</v>
      </c>
      <c r="T167" s="470" t="s">
        <v>291</v>
      </c>
      <c r="U167" s="470" t="s">
        <v>291</v>
      </c>
      <c r="V167" s="470" t="s">
        <v>291</v>
      </c>
      <c r="W167" s="470">
        <v>39</v>
      </c>
      <c r="X167" s="470">
        <v>42</v>
      </c>
      <c r="Y167" s="470">
        <v>63</v>
      </c>
      <c r="Z167" s="470" t="s">
        <v>291</v>
      </c>
      <c r="AA167" s="470" t="s">
        <v>291</v>
      </c>
      <c r="AB167" s="470" t="s">
        <v>291</v>
      </c>
      <c r="AC167" s="470">
        <v>77</v>
      </c>
      <c r="AD167" s="470">
        <v>164</v>
      </c>
      <c r="AE167" s="470">
        <v>63</v>
      </c>
      <c r="AF167" s="470">
        <v>23</v>
      </c>
      <c r="AG167" s="470">
        <v>20</v>
      </c>
      <c r="AH167" s="470">
        <v>23</v>
      </c>
      <c r="AI167" s="470" t="s">
        <v>306</v>
      </c>
      <c r="AJ167" s="470">
        <v>14</v>
      </c>
      <c r="AK167" s="470">
        <v>29</v>
      </c>
      <c r="AL167" s="470">
        <v>53</v>
      </c>
    </row>
    <row r="168" spans="1:38">
      <c r="A168" s="470" t="s">
        <v>354</v>
      </c>
      <c r="B168" s="470" t="s">
        <v>273</v>
      </c>
      <c r="C168" s="470" t="s">
        <v>273</v>
      </c>
      <c r="D168" s="470" t="s">
        <v>273</v>
      </c>
      <c r="E168" s="470" t="s">
        <v>273</v>
      </c>
      <c r="F168" s="470" t="s">
        <v>273</v>
      </c>
      <c r="G168" s="470" t="s">
        <v>273</v>
      </c>
      <c r="H168" s="470" t="s">
        <v>273</v>
      </c>
      <c r="I168" s="470">
        <v>0</v>
      </c>
      <c r="J168" s="470">
        <v>0</v>
      </c>
      <c r="K168" s="470">
        <v>0</v>
      </c>
      <c r="L168" s="470">
        <v>0</v>
      </c>
      <c r="M168" s="470">
        <v>0</v>
      </c>
      <c r="N168" s="470">
        <v>0</v>
      </c>
      <c r="O168" s="470">
        <v>0</v>
      </c>
      <c r="P168" s="470">
        <v>0</v>
      </c>
      <c r="Q168" s="470">
        <v>0</v>
      </c>
      <c r="R168" s="470">
        <v>0</v>
      </c>
      <c r="S168" s="470" t="s">
        <v>306</v>
      </c>
      <c r="T168" s="470" t="s">
        <v>306</v>
      </c>
      <c r="U168" s="470" t="s">
        <v>306</v>
      </c>
      <c r="V168" s="470" t="s">
        <v>306</v>
      </c>
      <c r="W168" s="470" t="s">
        <v>306</v>
      </c>
      <c r="X168" s="470">
        <v>0</v>
      </c>
      <c r="Y168" s="470">
        <v>0</v>
      </c>
      <c r="Z168" s="470">
        <v>0</v>
      </c>
      <c r="AA168" s="470">
        <v>0</v>
      </c>
      <c r="AB168" s="470" t="s">
        <v>273</v>
      </c>
      <c r="AC168" s="470">
        <v>0</v>
      </c>
      <c r="AD168" s="470" t="s">
        <v>291</v>
      </c>
      <c r="AE168" s="470">
        <v>0</v>
      </c>
      <c r="AF168" s="470">
        <v>0</v>
      </c>
      <c r="AG168" s="470">
        <v>0</v>
      </c>
      <c r="AH168" s="470">
        <v>0</v>
      </c>
      <c r="AI168" s="470">
        <v>0</v>
      </c>
      <c r="AJ168" s="470" t="s">
        <v>306</v>
      </c>
      <c r="AK168" s="470" t="s">
        <v>306</v>
      </c>
      <c r="AL168" s="470">
        <v>-2</v>
      </c>
    </row>
    <row r="169" spans="1:38">
      <c r="A169" s="470" t="s">
        <v>353</v>
      </c>
      <c r="B169" s="470" t="s">
        <v>273</v>
      </c>
      <c r="C169" s="470" t="s">
        <v>273</v>
      </c>
      <c r="D169" s="470" t="s">
        <v>273</v>
      </c>
      <c r="E169" s="470" t="s">
        <v>273</v>
      </c>
      <c r="F169" s="470" t="s">
        <v>273</v>
      </c>
      <c r="G169" s="470" t="s">
        <v>273</v>
      </c>
      <c r="H169" s="470" t="s">
        <v>273</v>
      </c>
      <c r="I169" s="470" t="s">
        <v>273</v>
      </c>
      <c r="J169" s="470" t="s">
        <v>273</v>
      </c>
      <c r="K169" s="470" t="s">
        <v>273</v>
      </c>
      <c r="L169" s="470" t="s">
        <v>273</v>
      </c>
      <c r="M169" s="470" t="s">
        <v>273</v>
      </c>
      <c r="N169" s="470" t="s">
        <v>273</v>
      </c>
      <c r="O169" s="470" t="s">
        <v>273</v>
      </c>
      <c r="P169" s="470" t="s">
        <v>273</v>
      </c>
      <c r="Q169" s="470" t="s">
        <v>273</v>
      </c>
      <c r="R169" s="470" t="s">
        <v>273</v>
      </c>
      <c r="S169" s="470" t="s">
        <v>273</v>
      </c>
      <c r="T169" s="470" t="s">
        <v>273</v>
      </c>
      <c r="U169" s="470" t="s">
        <v>273</v>
      </c>
      <c r="V169" s="470" t="s">
        <v>273</v>
      </c>
      <c r="W169" s="470" t="s">
        <v>273</v>
      </c>
      <c r="X169" s="470" t="s">
        <v>273</v>
      </c>
      <c r="Y169" s="470" t="s">
        <v>273</v>
      </c>
      <c r="Z169" s="470" t="s">
        <v>273</v>
      </c>
      <c r="AA169" s="470" t="s">
        <v>273</v>
      </c>
      <c r="AB169" s="470">
        <v>0</v>
      </c>
      <c r="AC169" s="470" t="s">
        <v>306</v>
      </c>
      <c r="AD169" s="470" t="s">
        <v>306</v>
      </c>
      <c r="AE169" s="470" t="s">
        <v>306</v>
      </c>
      <c r="AF169" s="470" t="s">
        <v>306</v>
      </c>
      <c r="AG169" s="470" t="s">
        <v>306</v>
      </c>
      <c r="AH169" s="470" t="s">
        <v>306</v>
      </c>
      <c r="AI169" s="470" t="s">
        <v>306</v>
      </c>
      <c r="AJ169" s="470" t="s">
        <v>306</v>
      </c>
      <c r="AK169" s="470" t="s">
        <v>306</v>
      </c>
      <c r="AL169" s="470" t="s">
        <v>306</v>
      </c>
    </row>
    <row r="170" spans="1:38">
      <c r="A170" s="470" t="s">
        <v>352</v>
      </c>
      <c r="B170" s="470" t="s">
        <v>273</v>
      </c>
      <c r="C170" s="470" t="s">
        <v>273</v>
      </c>
      <c r="D170" s="470" t="s">
        <v>273</v>
      </c>
      <c r="E170" s="470" t="s">
        <v>273</v>
      </c>
      <c r="F170" s="470" t="s">
        <v>273</v>
      </c>
      <c r="G170" s="470" t="s">
        <v>273</v>
      </c>
      <c r="H170" s="470" t="s">
        <v>273</v>
      </c>
      <c r="I170" s="470" t="s">
        <v>273</v>
      </c>
      <c r="J170" s="470" t="s">
        <v>273</v>
      </c>
      <c r="K170" s="470" t="s">
        <v>273</v>
      </c>
      <c r="L170" s="470" t="s">
        <v>273</v>
      </c>
      <c r="M170" s="470" t="s">
        <v>273</v>
      </c>
      <c r="N170" s="470" t="s">
        <v>273</v>
      </c>
      <c r="O170" s="470" t="s">
        <v>273</v>
      </c>
      <c r="P170" s="470" t="s">
        <v>273</v>
      </c>
      <c r="Q170" s="470" t="s">
        <v>273</v>
      </c>
      <c r="R170" s="470" t="s">
        <v>273</v>
      </c>
      <c r="S170" s="470" t="s">
        <v>273</v>
      </c>
      <c r="T170" s="470" t="s">
        <v>273</v>
      </c>
      <c r="U170" s="470" t="s">
        <v>273</v>
      </c>
      <c r="V170" s="470" t="s">
        <v>273</v>
      </c>
      <c r="W170" s="470" t="s">
        <v>273</v>
      </c>
      <c r="X170" s="470" t="s">
        <v>273</v>
      </c>
      <c r="Y170" s="470" t="s">
        <v>273</v>
      </c>
      <c r="Z170" s="470" t="s">
        <v>273</v>
      </c>
      <c r="AA170" s="470" t="s">
        <v>273</v>
      </c>
      <c r="AB170" s="470" t="s">
        <v>273</v>
      </c>
      <c r="AC170" s="470" t="s">
        <v>273</v>
      </c>
      <c r="AD170" s="470">
        <v>0</v>
      </c>
      <c r="AE170" s="470">
        <v>0</v>
      </c>
      <c r="AF170" s="470">
        <v>0</v>
      </c>
      <c r="AG170" s="470">
        <v>-5</v>
      </c>
      <c r="AH170" s="470" t="s">
        <v>306</v>
      </c>
      <c r="AI170" s="470" t="s">
        <v>306</v>
      </c>
      <c r="AJ170" s="470" t="s">
        <v>306</v>
      </c>
      <c r="AK170" s="470">
        <v>0</v>
      </c>
      <c r="AL170" s="470">
        <v>0</v>
      </c>
    </row>
    <row r="171" spans="1:38">
      <c r="A171" s="470" t="s">
        <v>351</v>
      </c>
      <c r="B171" s="470" t="s">
        <v>273</v>
      </c>
      <c r="C171" s="470" t="s">
        <v>273</v>
      </c>
      <c r="D171" s="470" t="s">
        <v>273</v>
      </c>
      <c r="E171" s="470" t="s">
        <v>273</v>
      </c>
      <c r="F171" s="470" t="s">
        <v>273</v>
      </c>
      <c r="G171" s="470" t="s">
        <v>273</v>
      </c>
      <c r="H171" s="470" t="s">
        <v>273</v>
      </c>
      <c r="I171" s="470" t="s">
        <v>273</v>
      </c>
      <c r="J171" s="470" t="s">
        <v>273</v>
      </c>
      <c r="K171" s="470" t="s">
        <v>273</v>
      </c>
      <c r="L171" s="470" t="s">
        <v>273</v>
      </c>
      <c r="M171" s="470" t="s">
        <v>273</v>
      </c>
      <c r="N171" s="470" t="s">
        <v>273</v>
      </c>
      <c r="O171" s="470" t="s">
        <v>273</v>
      </c>
      <c r="P171" s="470" t="s">
        <v>273</v>
      </c>
      <c r="Q171" s="470" t="s">
        <v>273</v>
      </c>
      <c r="R171" s="470" t="s">
        <v>273</v>
      </c>
      <c r="S171" s="470" t="s">
        <v>273</v>
      </c>
      <c r="T171" s="470" t="s">
        <v>273</v>
      </c>
      <c r="U171" s="470" t="s">
        <v>273</v>
      </c>
      <c r="V171" s="470" t="s">
        <v>273</v>
      </c>
      <c r="W171" s="470" t="s">
        <v>273</v>
      </c>
      <c r="X171" s="470" t="s">
        <v>273</v>
      </c>
      <c r="Y171" s="470" t="s">
        <v>273</v>
      </c>
      <c r="Z171" s="470" t="s">
        <v>273</v>
      </c>
      <c r="AA171" s="470" t="s">
        <v>273</v>
      </c>
      <c r="AB171" s="470" t="s">
        <v>273</v>
      </c>
      <c r="AC171" s="470" t="s">
        <v>273</v>
      </c>
      <c r="AD171" s="470" t="s">
        <v>273</v>
      </c>
      <c r="AE171" s="470" t="s">
        <v>273</v>
      </c>
      <c r="AF171" s="470" t="s">
        <v>273</v>
      </c>
      <c r="AG171" s="470" t="s">
        <v>273</v>
      </c>
      <c r="AH171" s="470" t="s">
        <v>306</v>
      </c>
      <c r="AI171" s="470" t="s">
        <v>306</v>
      </c>
      <c r="AJ171" s="470" t="s">
        <v>306</v>
      </c>
      <c r="AK171" s="470" t="s">
        <v>306</v>
      </c>
      <c r="AL171" s="470" t="s">
        <v>306</v>
      </c>
    </row>
    <row r="172" spans="1:38">
      <c r="A172" s="470" t="s">
        <v>1026</v>
      </c>
      <c r="B172" s="470" t="s">
        <v>273</v>
      </c>
      <c r="C172" s="470" t="s">
        <v>273</v>
      </c>
      <c r="D172" s="470" t="s">
        <v>273</v>
      </c>
      <c r="E172" s="470" t="s">
        <v>273</v>
      </c>
      <c r="F172" s="470" t="s">
        <v>273</v>
      </c>
      <c r="G172" s="470" t="s">
        <v>273</v>
      </c>
      <c r="H172" s="470" t="s">
        <v>273</v>
      </c>
      <c r="I172" s="470" t="s">
        <v>273</v>
      </c>
      <c r="J172" s="470" t="s">
        <v>273</v>
      </c>
      <c r="K172" s="470" t="s">
        <v>273</v>
      </c>
      <c r="L172" s="470" t="s">
        <v>273</v>
      </c>
      <c r="M172" s="470" t="s">
        <v>273</v>
      </c>
      <c r="N172" s="470" t="s">
        <v>273</v>
      </c>
      <c r="O172" s="470" t="s">
        <v>273</v>
      </c>
      <c r="P172" s="470" t="s">
        <v>273</v>
      </c>
      <c r="Q172" s="470" t="s">
        <v>273</v>
      </c>
      <c r="R172" s="470" t="s">
        <v>273</v>
      </c>
      <c r="S172" s="470" t="s">
        <v>273</v>
      </c>
      <c r="T172" s="470" t="s">
        <v>273</v>
      </c>
      <c r="U172" s="470" t="s">
        <v>273</v>
      </c>
      <c r="V172" s="470" t="s">
        <v>273</v>
      </c>
      <c r="W172" s="470" t="s">
        <v>273</v>
      </c>
      <c r="X172" s="470" t="s">
        <v>273</v>
      </c>
      <c r="Y172" s="470" t="s">
        <v>273</v>
      </c>
      <c r="Z172" s="470" t="s">
        <v>273</v>
      </c>
      <c r="AA172" s="470" t="s">
        <v>273</v>
      </c>
      <c r="AB172" s="470" t="s">
        <v>273</v>
      </c>
      <c r="AC172" s="470" t="s">
        <v>273</v>
      </c>
      <c r="AD172" s="470" t="s">
        <v>273</v>
      </c>
      <c r="AE172" s="470" t="s">
        <v>273</v>
      </c>
      <c r="AF172" s="470" t="s">
        <v>273</v>
      </c>
      <c r="AG172" s="470" t="s">
        <v>273</v>
      </c>
      <c r="AH172" s="470">
        <v>0</v>
      </c>
      <c r="AI172" s="470">
        <v>0</v>
      </c>
      <c r="AJ172" s="470">
        <v>0</v>
      </c>
      <c r="AK172" s="470" t="s">
        <v>306</v>
      </c>
      <c r="AL172" s="470">
        <v>0</v>
      </c>
    </row>
    <row r="173" spans="1:38">
      <c r="A173" s="470" t="s">
        <v>350</v>
      </c>
      <c r="B173" s="470" t="s">
        <v>273</v>
      </c>
      <c r="C173" s="470" t="s">
        <v>273</v>
      </c>
      <c r="D173" s="470" t="s">
        <v>273</v>
      </c>
      <c r="E173" s="470" t="s">
        <v>273</v>
      </c>
      <c r="F173" s="470" t="s">
        <v>273</v>
      </c>
      <c r="G173" s="470" t="s">
        <v>273</v>
      </c>
      <c r="H173" s="470" t="s">
        <v>273</v>
      </c>
      <c r="I173" s="470" t="s">
        <v>291</v>
      </c>
      <c r="J173" s="470" t="s">
        <v>291</v>
      </c>
      <c r="K173" s="470" t="s">
        <v>291</v>
      </c>
      <c r="L173" s="470" t="s">
        <v>291</v>
      </c>
      <c r="M173" s="470">
        <v>0</v>
      </c>
      <c r="N173" s="470">
        <v>0</v>
      </c>
      <c r="O173" s="470">
        <v>0</v>
      </c>
      <c r="P173" s="470">
        <v>0</v>
      </c>
      <c r="Q173" s="470">
        <v>0</v>
      </c>
      <c r="R173" s="470">
        <v>0</v>
      </c>
      <c r="S173" s="470" t="s">
        <v>273</v>
      </c>
      <c r="T173" s="470" t="s">
        <v>273</v>
      </c>
      <c r="U173" s="470" t="s">
        <v>273</v>
      </c>
      <c r="V173" s="470" t="s">
        <v>273</v>
      </c>
      <c r="W173" s="470" t="s">
        <v>273</v>
      </c>
      <c r="X173" s="470" t="s">
        <v>273</v>
      </c>
      <c r="Y173" s="470" t="s">
        <v>273</v>
      </c>
      <c r="Z173" s="470" t="s">
        <v>273</v>
      </c>
      <c r="AA173" s="470" t="s">
        <v>273</v>
      </c>
      <c r="AB173" s="470" t="s">
        <v>273</v>
      </c>
      <c r="AC173" s="470" t="s">
        <v>273</v>
      </c>
      <c r="AD173" s="470" t="s">
        <v>273</v>
      </c>
      <c r="AE173" s="470" t="s">
        <v>273</v>
      </c>
      <c r="AF173" s="470" t="s">
        <v>273</v>
      </c>
      <c r="AG173" s="470" t="s">
        <v>273</v>
      </c>
      <c r="AH173" s="470" t="s">
        <v>306</v>
      </c>
      <c r="AI173" s="470" t="s">
        <v>306</v>
      </c>
      <c r="AJ173" s="470" t="s">
        <v>306</v>
      </c>
      <c r="AK173" s="470" t="s">
        <v>306</v>
      </c>
      <c r="AL173" s="470" t="s">
        <v>306</v>
      </c>
    </row>
    <row r="174" spans="1:38">
      <c r="A174" s="470" t="s">
        <v>349</v>
      </c>
      <c r="B174" s="470" t="s">
        <v>273</v>
      </c>
      <c r="C174" s="470" t="s">
        <v>273</v>
      </c>
      <c r="D174" s="470" t="s">
        <v>273</v>
      </c>
      <c r="E174" s="470" t="s">
        <v>273</v>
      </c>
      <c r="F174" s="470" t="s">
        <v>273</v>
      </c>
      <c r="G174" s="470" t="s">
        <v>273</v>
      </c>
      <c r="H174" s="470" t="s">
        <v>273</v>
      </c>
      <c r="I174" s="470">
        <v>2</v>
      </c>
      <c r="J174" s="470">
        <v>2</v>
      </c>
      <c r="K174" s="470">
        <v>1</v>
      </c>
      <c r="L174" s="470">
        <v>1</v>
      </c>
      <c r="M174" s="470">
        <v>1</v>
      </c>
      <c r="N174" s="470">
        <v>0</v>
      </c>
      <c r="O174" s="470">
        <v>0</v>
      </c>
      <c r="P174" s="470">
        <v>0</v>
      </c>
      <c r="Q174" s="470">
        <v>0</v>
      </c>
      <c r="R174" s="470">
        <v>0</v>
      </c>
      <c r="S174" s="470">
        <v>0</v>
      </c>
      <c r="T174" s="470">
        <v>0</v>
      </c>
      <c r="U174" s="470">
        <v>0</v>
      </c>
      <c r="V174" s="470">
        <v>0</v>
      </c>
      <c r="W174" s="470">
        <v>0</v>
      </c>
      <c r="X174" s="470">
        <v>0</v>
      </c>
      <c r="Y174" s="470">
        <v>0</v>
      </c>
      <c r="Z174" s="470">
        <v>-3</v>
      </c>
      <c r="AA174" s="470">
        <v>-2</v>
      </c>
      <c r="AB174" s="470">
        <v>0</v>
      </c>
      <c r="AC174" s="470" t="s">
        <v>273</v>
      </c>
      <c r="AD174" s="470">
        <v>0</v>
      </c>
      <c r="AE174" s="470">
        <v>0</v>
      </c>
      <c r="AF174" s="470">
        <v>0</v>
      </c>
      <c r="AG174" s="470">
        <v>0</v>
      </c>
      <c r="AH174" s="470" t="s">
        <v>306</v>
      </c>
      <c r="AI174" s="470">
        <v>2</v>
      </c>
      <c r="AJ174" s="470">
        <v>-5</v>
      </c>
      <c r="AK174" s="470">
        <v>-5</v>
      </c>
      <c r="AL174" s="470">
        <v>-5</v>
      </c>
    </row>
    <row r="175" spans="1:38">
      <c r="A175" s="470" t="s">
        <v>348</v>
      </c>
      <c r="B175" s="470" t="s">
        <v>273</v>
      </c>
      <c r="C175" s="470" t="s">
        <v>273</v>
      </c>
      <c r="D175" s="470" t="s">
        <v>273</v>
      </c>
      <c r="E175" s="470" t="s">
        <v>273</v>
      </c>
      <c r="F175" s="470" t="s">
        <v>273</v>
      </c>
      <c r="G175" s="470" t="s">
        <v>273</v>
      </c>
      <c r="H175" s="470" t="s">
        <v>273</v>
      </c>
      <c r="I175" s="470">
        <v>0</v>
      </c>
      <c r="J175" s="470">
        <v>0</v>
      </c>
      <c r="K175" s="470" t="s">
        <v>306</v>
      </c>
      <c r="L175" s="470" t="s">
        <v>306</v>
      </c>
      <c r="M175" s="470">
        <v>0</v>
      </c>
      <c r="N175" s="470">
        <v>0</v>
      </c>
      <c r="O175" s="470">
        <v>0</v>
      </c>
      <c r="P175" s="470">
        <v>0</v>
      </c>
      <c r="Q175" s="470">
        <v>0</v>
      </c>
      <c r="R175" s="470">
        <v>0</v>
      </c>
      <c r="S175" s="470">
        <v>0</v>
      </c>
      <c r="T175" s="470">
        <v>0</v>
      </c>
      <c r="U175" s="470">
        <v>0</v>
      </c>
      <c r="V175" s="470" t="s">
        <v>306</v>
      </c>
      <c r="W175" s="470" t="s">
        <v>306</v>
      </c>
      <c r="X175" s="470" t="s">
        <v>306</v>
      </c>
      <c r="Y175" s="470" t="s">
        <v>306</v>
      </c>
      <c r="Z175" s="470" t="s">
        <v>306</v>
      </c>
      <c r="AA175" s="470">
        <v>0</v>
      </c>
      <c r="AB175" s="470">
        <v>0</v>
      </c>
      <c r="AC175" s="470" t="s">
        <v>306</v>
      </c>
      <c r="AD175" s="470">
        <v>0</v>
      </c>
      <c r="AE175" s="470" t="s">
        <v>306</v>
      </c>
      <c r="AF175" s="470">
        <v>-1</v>
      </c>
      <c r="AG175" s="470" t="s">
        <v>306</v>
      </c>
      <c r="AH175" s="470" t="s">
        <v>306</v>
      </c>
      <c r="AI175" s="470">
        <v>-7</v>
      </c>
      <c r="AJ175" s="470">
        <v>-3</v>
      </c>
      <c r="AK175" s="470" t="s">
        <v>291</v>
      </c>
      <c r="AL175" s="470" t="s">
        <v>291</v>
      </c>
    </row>
    <row r="176" spans="1:38">
      <c r="A176" s="470" t="s">
        <v>346</v>
      </c>
      <c r="B176" s="470" t="s">
        <v>273</v>
      </c>
      <c r="C176" s="470" t="s">
        <v>273</v>
      </c>
      <c r="D176" s="470" t="s">
        <v>273</v>
      </c>
      <c r="E176" s="470" t="s">
        <v>273</v>
      </c>
      <c r="F176" s="470" t="s">
        <v>273</v>
      </c>
      <c r="G176" s="470" t="s">
        <v>273</v>
      </c>
      <c r="H176" s="470" t="s">
        <v>273</v>
      </c>
      <c r="I176" s="470">
        <v>0</v>
      </c>
      <c r="J176" s="470">
        <v>0</v>
      </c>
      <c r="K176" s="470">
        <v>0</v>
      </c>
      <c r="L176" s="470">
        <v>0</v>
      </c>
      <c r="M176" s="470">
        <v>0</v>
      </c>
      <c r="N176" s="470">
        <v>0</v>
      </c>
      <c r="O176" s="470">
        <v>0</v>
      </c>
      <c r="P176" s="470">
        <v>0</v>
      </c>
      <c r="Q176" s="470">
        <v>0</v>
      </c>
      <c r="R176" s="470">
        <v>0</v>
      </c>
      <c r="S176" s="470">
        <v>-4</v>
      </c>
      <c r="T176" s="470" t="s">
        <v>306</v>
      </c>
      <c r="U176" s="470" t="s">
        <v>306</v>
      </c>
      <c r="V176" s="470">
        <v>1</v>
      </c>
      <c r="W176" s="470">
        <v>1</v>
      </c>
      <c r="X176" s="470" t="s">
        <v>306</v>
      </c>
      <c r="Y176" s="470">
        <v>-4</v>
      </c>
      <c r="Z176" s="470" t="s">
        <v>306</v>
      </c>
      <c r="AA176" s="470" t="s">
        <v>306</v>
      </c>
      <c r="AB176" s="470">
        <v>-1</v>
      </c>
      <c r="AC176" s="470" t="s">
        <v>291</v>
      </c>
      <c r="AD176" s="470" t="s">
        <v>291</v>
      </c>
      <c r="AE176" s="470">
        <v>-13</v>
      </c>
      <c r="AF176" s="470" t="s">
        <v>291</v>
      </c>
      <c r="AG176" s="470" t="s">
        <v>291</v>
      </c>
      <c r="AH176" s="470">
        <v>-9</v>
      </c>
      <c r="AI176" s="470">
        <v>-14</v>
      </c>
      <c r="AJ176" s="470">
        <v>-17</v>
      </c>
      <c r="AK176" s="470">
        <v>-17</v>
      </c>
      <c r="AL176" s="470">
        <v>-17</v>
      </c>
    </row>
    <row r="177" spans="1:38">
      <c r="A177" s="470" t="s">
        <v>345</v>
      </c>
      <c r="B177" s="470" t="s">
        <v>273</v>
      </c>
      <c r="C177" s="470" t="s">
        <v>273</v>
      </c>
      <c r="D177" s="470" t="s">
        <v>273</v>
      </c>
      <c r="E177" s="470" t="s">
        <v>273</v>
      </c>
      <c r="F177" s="470" t="s">
        <v>273</v>
      </c>
      <c r="G177" s="470" t="s">
        <v>273</v>
      </c>
      <c r="H177" s="470" t="s">
        <v>273</v>
      </c>
      <c r="I177" s="470">
        <v>2</v>
      </c>
      <c r="J177" s="470">
        <v>2</v>
      </c>
      <c r="K177" s="470">
        <v>2</v>
      </c>
      <c r="L177" s="470">
        <v>2</v>
      </c>
      <c r="M177" s="470">
        <v>2</v>
      </c>
      <c r="N177" s="470">
        <v>2</v>
      </c>
      <c r="O177" s="470">
        <v>2</v>
      </c>
      <c r="P177" s="470">
        <v>2</v>
      </c>
      <c r="Q177" s="470">
        <v>2</v>
      </c>
      <c r="R177" s="470">
        <v>2</v>
      </c>
      <c r="S177" s="470">
        <v>2</v>
      </c>
      <c r="T177" s="470">
        <v>2</v>
      </c>
      <c r="U177" s="470">
        <v>2</v>
      </c>
      <c r="V177" s="470">
        <v>2</v>
      </c>
      <c r="W177" s="470">
        <v>2</v>
      </c>
      <c r="X177" s="470">
        <v>2</v>
      </c>
      <c r="Y177" s="470">
        <v>2</v>
      </c>
      <c r="Z177" s="470">
        <v>2</v>
      </c>
      <c r="AA177" s="470">
        <v>2</v>
      </c>
      <c r="AB177" s="470">
        <v>2</v>
      </c>
      <c r="AC177" s="470">
        <v>0</v>
      </c>
      <c r="AD177" s="470" t="s">
        <v>306</v>
      </c>
      <c r="AE177" s="470">
        <v>0</v>
      </c>
      <c r="AF177" s="470">
        <v>0</v>
      </c>
      <c r="AG177" s="470">
        <v>0</v>
      </c>
      <c r="AH177" s="470">
        <v>0</v>
      </c>
      <c r="AI177" s="470">
        <v>-1</v>
      </c>
      <c r="AJ177" s="470" t="s">
        <v>306</v>
      </c>
      <c r="AK177" s="470" t="s">
        <v>306</v>
      </c>
      <c r="AL177" s="470" t="s">
        <v>306</v>
      </c>
    </row>
    <row r="178" spans="1:38">
      <c r="A178" s="470" t="s">
        <v>344</v>
      </c>
      <c r="B178" s="470" t="s">
        <v>273</v>
      </c>
      <c r="C178" s="470" t="s">
        <v>273</v>
      </c>
      <c r="D178" s="470" t="s">
        <v>273</v>
      </c>
      <c r="E178" s="470" t="s">
        <v>273</v>
      </c>
      <c r="F178" s="470" t="s">
        <v>273</v>
      </c>
      <c r="G178" s="470" t="s">
        <v>273</v>
      </c>
      <c r="H178" s="470" t="s">
        <v>273</v>
      </c>
      <c r="I178" s="470" t="s">
        <v>306</v>
      </c>
      <c r="J178" s="470" t="s">
        <v>306</v>
      </c>
      <c r="K178" s="470">
        <v>-1</v>
      </c>
      <c r="L178" s="470">
        <v>-1</v>
      </c>
      <c r="M178" s="470" t="s">
        <v>291</v>
      </c>
      <c r="N178" s="470">
        <v>0</v>
      </c>
      <c r="O178" s="470">
        <v>0</v>
      </c>
      <c r="P178" s="470">
        <v>0</v>
      </c>
      <c r="Q178" s="470">
        <v>0</v>
      </c>
      <c r="R178" s="470">
        <v>0</v>
      </c>
      <c r="S178" s="470">
        <v>0</v>
      </c>
      <c r="T178" s="470">
        <v>0</v>
      </c>
      <c r="U178" s="470">
        <v>0</v>
      </c>
      <c r="V178" s="470">
        <v>0</v>
      </c>
      <c r="W178" s="470">
        <v>0</v>
      </c>
      <c r="X178" s="470">
        <v>0</v>
      </c>
      <c r="Y178" s="470">
        <v>0</v>
      </c>
      <c r="Z178" s="470" t="s">
        <v>273</v>
      </c>
      <c r="AA178" s="470" t="s">
        <v>273</v>
      </c>
      <c r="AB178" s="470" t="s">
        <v>273</v>
      </c>
      <c r="AC178" s="470" t="s">
        <v>273</v>
      </c>
      <c r="AD178" s="470">
        <v>0</v>
      </c>
      <c r="AE178" s="470">
        <v>0</v>
      </c>
      <c r="AF178" s="470">
        <v>0</v>
      </c>
      <c r="AG178" s="470" t="s">
        <v>306</v>
      </c>
      <c r="AH178" s="470" t="s">
        <v>306</v>
      </c>
      <c r="AI178" s="470" t="s">
        <v>291</v>
      </c>
      <c r="AJ178" s="470">
        <v>0</v>
      </c>
      <c r="AK178" s="470">
        <v>0</v>
      </c>
      <c r="AL178" s="470">
        <v>0</v>
      </c>
    </row>
    <row r="179" spans="1:38">
      <c r="A179" s="470" t="s">
        <v>342</v>
      </c>
      <c r="B179" s="470" t="s">
        <v>273</v>
      </c>
      <c r="C179" s="470" t="s">
        <v>273</v>
      </c>
      <c r="D179" s="470" t="s">
        <v>273</v>
      </c>
      <c r="E179" s="470" t="s">
        <v>273</v>
      </c>
      <c r="F179" s="470" t="s">
        <v>273</v>
      </c>
      <c r="G179" s="470" t="s">
        <v>273</v>
      </c>
      <c r="H179" s="470" t="s">
        <v>273</v>
      </c>
      <c r="I179" s="470">
        <v>0</v>
      </c>
      <c r="J179" s="470">
        <v>0</v>
      </c>
      <c r="K179" s="470">
        <v>0</v>
      </c>
      <c r="L179" s="470">
        <v>0</v>
      </c>
      <c r="M179" s="470">
        <v>0</v>
      </c>
      <c r="N179" s="470">
        <v>0</v>
      </c>
      <c r="O179" s="470">
        <v>0</v>
      </c>
      <c r="P179" s="470">
        <v>0</v>
      </c>
      <c r="Q179" s="470">
        <v>0</v>
      </c>
      <c r="R179" s="470">
        <v>0</v>
      </c>
      <c r="S179" s="470">
        <v>0</v>
      </c>
      <c r="T179" s="470">
        <v>0</v>
      </c>
      <c r="U179" s="470">
        <v>0</v>
      </c>
      <c r="V179" s="470">
        <v>-1</v>
      </c>
      <c r="W179" s="470" t="s">
        <v>306</v>
      </c>
      <c r="X179" s="470" t="s">
        <v>306</v>
      </c>
      <c r="Y179" s="470">
        <v>0</v>
      </c>
      <c r="Z179" s="470" t="s">
        <v>306</v>
      </c>
      <c r="AA179" s="470">
        <v>0</v>
      </c>
      <c r="AB179" s="470" t="s">
        <v>306</v>
      </c>
      <c r="AC179" s="470">
        <v>-2</v>
      </c>
      <c r="AD179" s="470">
        <v>1</v>
      </c>
      <c r="AE179" s="470">
        <v>2</v>
      </c>
      <c r="AF179" s="470">
        <v>1</v>
      </c>
      <c r="AG179" s="470">
        <v>-2</v>
      </c>
      <c r="AH179" s="470" t="s">
        <v>291</v>
      </c>
      <c r="AI179" s="470" t="s">
        <v>291</v>
      </c>
      <c r="AJ179" s="470" t="s">
        <v>306</v>
      </c>
      <c r="AK179" s="470" t="s">
        <v>291</v>
      </c>
      <c r="AL179" s="470" t="s">
        <v>291</v>
      </c>
    </row>
    <row r="180" spans="1:38">
      <c r="A180" s="470" t="s">
        <v>341</v>
      </c>
      <c r="B180" s="470" t="s">
        <v>273</v>
      </c>
      <c r="C180" s="470" t="s">
        <v>273</v>
      </c>
      <c r="D180" s="470" t="s">
        <v>273</v>
      </c>
      <c r="E180" s="470" t="s">
        <v>273</v>
      </c>
      <c r="F180" s="470" t="s">
        <v>273</v>
      </c>
      <c r="G180" s="470" t="s">
        <v>273</v>
      </c>
      <c r="H180" s="470" t="s">
        <v>273</v>
      </c>
      <c r="I180" s="470" t="s">
        <v>291</v>
      </c>
      <c r="J180" s="470">
        <v>0</v>
      </c>
      <c r="K180" s="470">
        <v>0</v>
      </c>
      <c r="L180" s="470" t="s">
        <v>306</v>
      </c>
      <c r="M180" s="470">
        <v>0</v>
      </c>
      <c r="N180" s="470">
        <v>0</v>
      </c>
      <c r="O180" s="470">
        <v>0</v>
      </c>
      <c r="P180" s="470">
        <v>0</v>
      </c>
      <c r="Q180" s="470">
        <v>0</v>
      </c>
      <c r="R180" s="470">
        <v>-3</v>
      </c>
      <c r="S180" s="470">
        <v>0</v>
      </c>
      <c r="T180" s="470">
        <v>0</v>
      </c>
      <c r="U180" s="470">
        <v>0</v>
      </c>
      <c r="V180" s="470">
        <v>-2</v>
      </c>
      <c r="W180" s="470">
        <v>0</v>
      </c>
      <c r="X180" s="470">
        <v>0</v>
      </c>
      <c r="Y180" s="470">
        <v>0</v>
      </c>
      <c r="Z180" s="470" t="s">
        <v>273</v>
      </c>
      <c r="AA180" s="470" t="s">
        <v>273</v>
      </c>
      <c r="AB180" s="470" t="s">
        <v>273</v>
      </c>
      <c r="AC180" s="470" t="s">
        <v>273</v>
      </c>
      <c r="AD180" s="470">
        <v>0</v>
      </c>
      <c r="AE180" s="470">
        <v>0</v>
      </c>
      <c r="AF180" s="470">
        <v>0</v>
      </c>
      <c r="AG180" s="470">
        <v>0</v>
      </c>
      <c r="AH180" s="470">
        <v>1</v>
      </c>
      <c r="AI180" s="470">
        <v>0</v>
      </c>
      <c r="AJ180" s="470">
        <v>0</v>
      </c>
      <c r="AK180" s="470">
        <v>0</v>
      </c>
      <c r="AL180" s="470">
        <v>0</v>
      </c>
    </row>
    <row r="181" spans="1:38">
      <c r="A181" s="470" t="s">
        <v>340</v>
      </c>
      <c r="B181" s="470">
        <v>916</v>
      </c>
      <c r="C181" s="470">
        <v>3588</v>
      </c>
      <c r="D181" s="470">
        <v>4401</v>
      </c>
      <c r="E181" s="470">
        <v>4446</v>
      </c>
      <c r="F181" s="470">
        <v>5336</v>
      </c>
      <c r="G181" s="470">
        <v>4954</v>
      </c>
      <c r="H181" s="470">
        <v>4870</v>
      </c>
      <c r="I181" s="470">
        <v>4973</v>
      </c>
      <c r="J181" s="470">
        <v>6570</v>
      </c>
      <c r="K181" s="470">
        <v>7588</v>
      </c>
      <c r="L181" s="470">
        <v>4425</v>
      </c>
      <c r="M181" s="470">
        <v>4864</v>
      </c>
      <c r="N181" s="470">
        <v>6057</v>
      </c>
      <c r="O181" s="470">
        <v>6575</v>
      </c>
      <c r="P181" s="470">
        <v>6608</v>
      </c>
      <c r="Q181" s="470">
        <v>5801</v>
      </c>
      <c r="R181" s="470">
        <v>5812</v>
      </c>
      <c r="S181" s="470">
        <v>6773</v>
      </c>
      <c r="T181" s="470">
        <v>4126</v>
      </c>
      <c r="U181" s="470">
        <v>4362</v>
      </c>
      <c r="V181" s="470">
        <v>6506</v>
      </c>
      <c r="W181" s="470">
        <v>6082</v>
      </c>
      <c r="X181" s="470">
        <v>6758</v>
      </c>
      <c r="Y181" s="470">
        <v>7177</v>
      </c>
      <c r="Z181" s="470">
        <v>7899</v>
      </c>
      <c r="AA181" s="470">
        <v>8306</v>
      </c>
      <c r="AB181" s="470">
        <v>10112</v>
      </c>
      <c r="AC181" s="470">
        <v>15028</v>
      </c>
      <c r="AD181" s="470">
        <v>16233</v>
      </c>
      <c r="AE181" s="470">
        <v>18177</v>
      </c>
      <c r="AF181" s="470">
        <v>16808</v>
      </c>
      <c r="AG181" s="470">
        <v>19463</v>
      </c>
      <c r="AH181" s="470">
        <v>18374</v>
      </c>
      <c r="AI181" s="470">
        <v>17944</v>
      </c>
      <c r="AJ181" s="470">
        <v>16467</v>
      </c>
      <c r="AK181" s="470">
        <v>18169</v>
      </c>
      <c r="AL181" s="470">
        <v>19826</v>
      </c>
    </row>
    <row r="182" spans="1:38">
      <c r="A182" s="470" t="s">
        <v>339</v>
      </c>
      <c r="B182" s="470">
        <v>324</v>
      </c>
      <c r="C182" s="470">
        <v>312</v>
      </c>
      <c r="D182" s="470">
        <v>428</v>
      </c>
      <c r="E182" s="470">
        <v>449</v>
      </c>
      <c r="F182" s="470">
        <v>525</v>
      </c>
      <c r="G182" s="470">
        <v>494</v>
      </c>
      <c r="H182" s="470">
        <v>567</v>
      </c>
      <c r="I182" s="470">
        <v>632</v>
      </c>
      <c r="J182" s="470">
        <v>587</v>
      </c>
      <c r="K182" s="470">
        <v>630</v>
      </c>
      <c r="L182" s="470">
        <v>640</v>
      </c>
      <c r="M182" s="470">
        <v>1391</v>
      </c>
      <c r="N182" s="470">
        <v>1365</v>
      </c>
      <c r="O182" s="470">
        <v>1886</v>
      </c>
      <c r="P182" s="470">
        <v>1965</v>
      </c>
      <c r="Q182" s="470">
        <v>1883</v>
      </c>
      <c r="R182" s="470">
        <v>1604</v>
      </c>
      <c r="S182" s="470">
        <v>2180</v>
      </c>
      <c r="T182" s="470">
        <v>2337</v>
      </c>
      <c r="U182" s="470">
        <v>2485</v>
      </c>
      <c r="V182" s="470">
        <v>3012</v>
      </c>
      <c r="W182" s="470">
        <v>2882</v>
      </c>
      <c r="X182" s="470">
        <v>3101</v>
      </c>
      <c r="Y182" s="470">
        <v>3316</v>
      </c>
      <c r="Z182" s="470">
        <v>3921</v>
      </c>
      <c r="AA182" s="470">
        <v>4231</v>
      </c>
      <c r="AB182" s="470" t="s">
        <v>291</v>
      </c>
      <c r="AC182" s="470">
        <v>6312</v>
      </c>
      <c r="AD182" s="470">
        <v>6752</v>
      </c>
      <c r="AE182" s="470">
        <v>8122</v>
      </c>
      <c r="AF182" s="470">
        <v>8714</v>
      </c>
      <c r="AG182" s="470">
        <v>9290</v>
      </c>
      <c r="AH182" s="470">
        <v>7361</v>
      </c>
      <c r="AI182" s="470">
        <v>7041</v>
      </c>
      <c r="AJ182" s="470">
        <v>6175</v>
      </c>
      <c r="AK182" s="470">
        <v>7442</v>
      </c>
      <c r="AL182" s="470">
        <v>8136</v>
      </c>
    </row>
    <row r="183" spans="1:38">
      <c r="A183" s="470" t="s">
        <v>1413</v>
      </c>
      <c r="B183" s="470" t="s">
        <v>273</v>
      </c>
      <c r="C183" s="470" t="s">
        <v>273</v>
      </c>
      <c r="D183" s="470" t="s">
        <v>273</v>
      </c>
      <c r="E183" s="470" t="s">
        <v>273</v>
      </c>
      <c r="F183" s="470" t="s">
        <v>273</v>
      </c>
      <c r="G183" s="470" t="s">
        <v>273</v>
      </c>
      <c r="H183" s="470" t="s">
        <v>273</v>
      </c>
      <c r="I183" s="470">
        <v>3898</v>
      </c>
      <c r="J183" s="470">
        <v>3954</v>
      </c>
      <c r="K183" s="470">
        <v>4280</v>
      </c>
      <c r="L183" s="470">
        <v>1805</v>
      </c>
      <c r="M183" s="470">
        <v>1663</v>
      </c>
      <c r="N183" s="470">
        <v>2768</v>
      </c>
      <c r="O183" s="470">
        <v>2820</v>
      </c>
      <c r="P183" s="470">
        <v>2821</v>
      </c>
      <c r="Q183" s="470">
        <v>2525</v>
      </c>
      <c r="R183" s="470">
        <v>2640</v>
      </c>
      <c r="S183" s="470">
        <v>2964</v>
      </c>
      <c r="T183" s="470" t="s">
        <v>291</v>
      </c>
      <c r="U183" s="470">
        <v>850</v>
      </c>
      <c r="V183" s="470">
        <v>908</v>
      </c>
      <c r="W183" s="470">
        <v>964</v>
      </c>
      <c r="X183" s="470" t="s">
        <v>291</v>
      </c>
      <c r="Y183" s="470" t="s">
        <v>291</v>
      </c>
      <c r="Z183" s="470" t="s">
        <v>291</v>
      </c>
      <c r="AA183" s="470">
        <v>568</v>
      </c>
      <c r="AB183" s="470">
        <v>893</v>
      </c>
      <c r="AC183" s="470">
        <v>855</v>
      </c>
      <c r="AD183" s="470">
        <v>371</v>
      </c>
      <c r="AE183" s="470">
        <v>358</v>
      </c>
      <c r="AF183" s="470">
        <v>347</v>
      </c>
      <c r="AG183" s="470">
        <v>892</v>
      </c>
      <c r="AH183" s="470">
        <v>742</v>
      </c>
      <c r="AI183" s="470">
        <v>1011</v>
      </c>
      <c r="AJ183" s="470">
        <v>1072</v>
      </c>
      <c r="AK183" s="470">
        <v>1113</v>
      </c>
      <c r="AL183" s="470">
        <v>1122</v>
      </c>
    </row>
    <row r="184" spans="1:38">
      <c r="A184" s="470" t="s">
        <v>1412</v>
      </c>
      <c r="B184" s="470" t="s">
        <v>273</v>
      </c>
      <c r="C184" s="470" t="s">
        <v>273</v>
      </c>
      <c r="D184" s="470" t="s">
        <v>273</v>
      </c>
      <c r="E184" s="470" t="s">
        <v>273</v>
      </c>
      <c r="F184" s="470" t="s">
        <v>273</v>
      </c>
      <c r="G184" s="470" t="s">
        <v>273</v>
      </c>
      <c r="H184" s="470" t="s">
        <v>273</v>
      </c>
      <c r="I184" s="470" t="s">
        <v>306</v>
      </c>
      <c r="J184" s="470">
        <v>-7</v>
      </c>
      <c r="K184" s="470">
        <v>-9</v>
      </c>
      <c r="L184" s="470">
        <v>-16</v>
      </c>
      <c r="M184" s="470">
        <v>-23</v>
      </c>
      <c r="N184" s="470">
        <v>-2</v>
      </c>
      <c r="O184" s="470">
        <v>-4</v>
      </c>
      <c r="P184" s="470">
        <v>-7</v>
      </c>
      <c r="Q184" s="470">
        <v>-9</v>
      </c>
      <c r="R184" s="470">
        <v>-11</v>
      </c>
      <c r="S184" s="470">
        <v>1</v>
      </c>
      <c r="T184" s="470">
        <v>-1</v>
      </c>
      <c r="U184" s="470">
        <v>-1</v>
      </c>
      <c r="V184" s="470">
        <v>1</v>
      </c>
      <c r="W184" s="470">
        <v>1</v>
      </c>
      <c r="X184" s="470" t="s">
        <v>306</v>
      </c>
      <c r="Y184" s="470" t="s">
        <v>306</v>
      </c>
      <c r="Z184" s="470" t="s">
        <v>306</v>
      </c>
      <c r="AA184" s="470">
        <v>-6</v>
      </c>
      <c r="AB184" s="470">
        <v>-7</v>
      </c>
      <c r="AC184" s="470" t="s">
        <v>291</v>
      </c>
      <c r="AD184" s="470" t="s">
        <v>291</v>
      </c>
      <c r="AE184" s="470" t="s">
        <v>291</v>
      </c>
      <c r="AF184" s="470" t="s">
        <v>291</v>
      </c>
      <c r="AG184" s="470" t="s">
        <v>291</v>
      </c>
      <c r="AH184" s="470">
        <v>-60</v>
      </c>
      <c r="AI184" s="470">
        <v>-28</v>
      </c>
      <c r="AJ184" s="470">
        <v>-19</v>
      </c>
      <c r="AK184" s="470">
        <v>-14</v>
      </c>
      <c r="AL184" s="470">
        <v>-13</v>
      </c>
    </row>
    <row r="185" spans="1:38">
      <c r="A185" s="470" t="s">
        <v>338</v>
      </c>
      <c r="B185" s="470" t="s">
        <v>273</v>
      </c>
      <c r="C185" s="470" t="s">
        <v>273</v>
      </c>
      <c r="D185" s="470" t="s">
        <v>273</v>
      </c>
      <c r="E185" s="470" t="s">
        <v>273</v>
      </c>
      <c r="F185" s="470" t="s">
        <v>273</v>
      </c>
      <c r="G185" s="470" t="s">
        <v>273</v>
      </c>
      <c r="H185" s="470" t="s">
        <v>273</v>
      </c>
      <c r="I185" s="470">
        <v>257</v>
      </c>
      <c r="J185" s="470">
        <v>1826</v>
      </c>
      <c r="K185" s="470">
        <v>2455</v>
      </c>
      <c r="L185" s="470">
        <v>1811</v>
      </c>
      <c r="M185" s="470">
        <v>1624</v>
      </c>
      <c r="N185" s="470" t="s">
        <v>291</v>
      </c>
      <c r="O185" s="470" t="s">
        <v>291</v>
      </c>
      <c r="P185" s="470" t="s">
        <v>291</v>
      </c>
      <c r="Q185" s="470">
        <v>1211</v>
      </c>
      <c r="R185" s="470">
        <v>1398</v>
      </c>
      <c r="S185" s="470">
        <v>1476</v>
      </c>
      <c r="T185" s="470" t="s">
        <v>291</v>
      </c>
      <c r="U185" s="470">
        <v>945</v>
      </c>
      <c r="V185" s="470" t="s">
        <v>291</v>
      </c>
      <c r="W185" s="470" t="s">
        <v>291</v>
      </c>
      <c r="X185" s="470" t="s">
        <v>291</v>
      </c>
      <c r="Y185" s="470" t="s">
        <v>291</v>
      </c>
      <c r="Z185" s="470" t="s">
        <v>291</v>
      </c>
      <c r="AA185" s="470" t="s">
        <v>291</v>
      </c>
      <c r="AB185" s="470" t="s">
        <v>291</v>
      </c>
      <c r="AC185" s="470" t="s">
        <v>291</v>
      </c>
      <c r="AD185" s="470" t="s">
        <v>291</v>
      </c>
      <c r="AE185" s="470" t="s">
        <v>291</v>
      </c>
      <c r="AF185" s="470" t="s">
        <v>291</v>
      </c>
      <c r="AG185" s="470" t="s">
        <v>291</v>
      </c>
      <c r="AH185" s="470" t="s">
        <v>291</v>
      </c>
      <c r="AI185" s="470" t="s">
        <v>291</v>
      </c>
      <c r="AJ185" s="470" t="s">
        <v>291</v>
      </c>
      <c r="AK185" s="470" t="s">
        <v>291</v>
      </c>
      <c r="AL185" s="470" t="s">
        <v>291</v>
      </c>
    </row>
    <row r="186" spans="1:38">
      <c r="A186" s="470" t="s">
        <v>337</v>
      </c>
      <c r="B186" s="470" t="s">
        <v>273</v>
      </c>
      <c r="C186" s="470" t="s">
        <v>273</v>
      </c>
      <c r="D186" s="470" t="s">
        <v>273</v>
      </c>
      <c r="E186" s="470" t="s">
        <v>273</v>
      </c>
      <c r="F186" s="470" t="s">
        <v>273</v>
      </c>
      <c r="G186" s="470" t="s">
        <v>273</v>
      </c>
      <c r="H186" s="470" t="s">
        <v>273</v>
      </c>
      <c r="I186" s="470">
        <v>43</v>
      </c>
      <c r="J186" s="470">
        <v>111</v>
      </c>
      <c r="K186" s="470">
        <v>112</v>
      </c>
      <c r="L186" s="470">
        <v>99</v>
      </c>
      <c r="M186" s="470">
        <v>74</v>
      </c>
      <c r="N186" s="470">
        <v>104</v>
      </c>
      <c r="O186" s="470">
        <v>116</v>
      </c>
      <c r="P186" s="470">
        <v>97</v>
      </c>
      <c r="Q186" s="470">
        <v>98</v>
      </c>
      <c r="R186" s="470">
        <v>87</v>
      </c>
      <c r="S186" s="470">
        <v>74</v>
      </c>
      <c r="T186" s="470">
        <v>42</v>
      </c>
      <c r="U186" s="470">
        <v>13</v>
      </c>
      <c r="V186" s="470">
        <v>64</v>
      </c>
      <c r="W186" s="470">
        <v>45</v>
      </c>
      <c r="X186" s="470">
        <v>42</v>
      </c>
      <c r="Y186" s="470">
        <v>46</v>
      </c>
      <c r="Z186" s="470">
        <v>23</v>
      </c>
      <c r="AA186" s="470" t="s">
        <v>291</v>
      </c>
      <c r="AB186" s="470" t="s">
        <v>291</v>
      </c>
      <c r="AC186" s="470">
        <v>1039</v>
      </c>
      <c r="AD186" s="470">
        <v>2136</v>
      </c>
      <c r="AE186" s="470">
        <v>2253</v>
      </c>
      <c r="AF186" s="470">
        <v>747</v>
      </c>
      <c r="AG186" s="470">
        <v>1451</v>
      </c>
      <c r="AH186" s="470">
        <v>2782</v>
      </c>
      <c r="AI186" s="470">
        <v>2245</v>
      </c>
      <c r="AJ186" s="470">
        <v>2618</v>
      </c>
      <c r="AK186" s="470">
        <v>2755</v>
      </c>
      <c r="AL186" s="470">
        <v>2843</v>
      </c>
    </row>
    <row r="187" spans="1:38">
      <c r="A187" s="470" t="s">
        <v>236</v>
      </c>
      <c r="B187" s="470">
        <v>592</v>
      </c>
      <c r="C187" s="470">
        <v>3276</v>
      </c>
      <c r="D187" s="470">
        <v>3974</v>
      </c>
      <c r="E187" s="470">
        <v>3997</v>
      </c>
      <c r="F187" s="470">
        <v>4811</v>
      </c>
      <c r="G187" s="470">
        <v>4460</v>
      </c>
      <c r="H187" s="470">
        <v>4303</v>
      </c>
      <c r="I187" s="470">
        <v>142</v>
      </c>
      <c r="J187" s="470">
        <v>100</v>
      </c>
      <c r="K187" s="470">
        <v>119</v>
      </c>
      <c r="L187" s="470">
        <v>86</v>
      </c>
      <c r="M187" s="470">
        <v>135</v>
      </c>
      <c r="N187" s="470" t="s">
        <v>291</v>
      </c>
      <c r="O187" s="470" t="s">
        <v>291</v>
      </c>
      <c r="P187" s="470" t="s">
        <v>291</v>
      </c>
      <c r="Q187" s="470">
        <v>93</v>
      </c>
      <c r="R187" s="470">
        <v>95</v>
      </c>
      <c r="S187" s="470">
        <v>79</v>
      </c>
      <c r="T187" s="470">
        <v>-101</v>
      </c>
      <c r="U187" s="470">
        <v>71</v>
      </c>
      <c r="V187" s="470" t="s">
        <v>291</v>
      </c>
      <c r="W187" s="470" t="s">
        <v>291</v>
      </c>
      <c r="X187" s="470">
        <v>178</v>
      </c>
      <c r="Y187" s="470">
        <v>157</v>
      </c>
      <c r="Z187" s="470">
        <v>142</v>
      </c>
      <c r="AA187" s="470">
        <v>265</v>
      </c>
      <c r="AB187" s="470">
        <v>221</v>
      </c>
      <c r="AC187" s="470">
        <v>1269</v>
      </c>
      <c r="AD187" s="470">
        <v>1630</v>
      </c>
      <c r="AE187" s="470" t="s">
        <v>291</v>
      </c>
      <c r="AF187" s="470" t="s">
        <v>291</v>
      </c>
      <c r="AG187" s="470" t="s">
        <v>291</v>
      </c>
      <c r="AH187" s="470" t="s">
        <v>291</v>
      </c>
      <c r="AI187" s="470" t="s">
        <v>291</v>
      </c>
      <c r="AJ187" s="470" t="s">
        <v>291</v>
      </c>
      <c r="AK187" s="470" t="s">
        <v>291</v>
      </c>
      <c r="AL187" s="470" t="s">
        <v>291</v>
      </c>
    </row>
    <row r="188" spans="1:38">
      <c r="A188" s="470" t="s">
        <v>336</v>
      </c>
      <c r="B188" s="470">
        <v>-1</v>
      </c>
      <c r="C188" s="470" t="s">
        <v>291</v>
      </c>
      <c r="D188" s="470" t="s">
        <v>291</v>
      </c>
      <c r="E188" s="470" t="s">
        <v>291</v>
      </c>
      <c r="F188" s="470" t="s">
        <v>291</v>
      </c>
      <c r="G188" s="470">
        <v>-3</v>
      </c>
      <c r="H188" s="470">
        <v>23</v>
      </c>
      <c r="I188" s="470">
        <v>43</v>
      </c>
      <c r="J188" s="470">
        <v>53</v>
      </c>
      <c r="K188" s="470">
        <v>67</v>
      </c>
      <c r="L188" s="470">
        <v>46</v>
      </c>
      <c r="M188" s="470">
        <v>59</v>
      </c>
      <c r="N188" s="470" t="s">
        <v>291</v>
      </c>
      <c r="O188" s="470">
        <v>67</v>
      </c>
      <c r="P188" s="470">
        <v>36</v>
      </c>
      <c r="Q188" s="470" t="s">
        <v>291</v>
      </c>
      <c r="R188" s="470" t="s">
        <v>291</v>
      </c>
      <c r="S188" s="470">
        <v>57</v>
      </c>
      <c r="T188" s="470" t="s">
        <v>291</v>
      </c>
      <c r="U188" s="470">
        <v>58</v>
      </c>
      <c r="V188" s="470" t="s">
        <v>291</v>
      </c>
      <c r="W188" s="470">
        <v>37</v>
      </c>
      <c r="X188" s="470">
        <v>184</v>
      </c>
      <c r="Y188" s="470" t="s">
        <v>291</v>
      </c>
      <c r="Z188" s="470" t="s">
        <v>291</v>
      </c>
      <c r="AA188" s="470">
        <v>267</v>
      </c>
      <c r="AB188" s="470">
        <v>187</v>
      </c>
      <c r="AC188" s="470">
        <v>214</v>
      </c>
      <c r="AD188" s="470">
        <v>229</v>
      </c>
      <c r="AE188" s="470">
        <v>165</v>
      </c>
      <c r="AF188" s="470">
        <v>30</v>
      </c>
      <c r="AG188" s="470">
        <v>48</v>
      </c>
      <c r="AH188" s="470">
        <v>-3</v>
      </c>
      <c r="AI188" s="470">
        <v>-153</v>
      </c>
      <c r="AJ188" s="470">
        <v>-134</v>
      </c>
      <c r="AK188" s="470">
        <v>-162</v>
      </c>
      <c r="AL188" s="470">
        <v>-83</v>
      </c>
    </row>
    <row r="189" spans="1:38">
      <c r="A189" s="470" t="s">
        <v>335</v>
      </c>
      <c r="B189" s="470">
        <v>22</v>
      </c>
      <c r="C189" s="470">
        <v>18</v>
      </c>
      <c r="D189" s="470">
        <v>17</v>
      </c>
      <c r="E189" s="470">
        <v>18</v>
      </c>
      <c r="F189" s="470">
        <v>17</v>
      </c>
      <c r="G189" s="470">
        <v>16</v>
      </c>
      <c r="H189" s="470">
        <v>14</v>
      </c>
      <c r="I189" s="470">
        <v>2</v>
      </c>
      <c r="J189" s="470">
        <v>2</v>
      </c>
      <c r="K189" s="470" t="s">
        <v>291</v>
      </c>
      <c r="L189" s="470" t="s">
        <v>291</v>
      </c>
      <c r="M189" s="470" t="s">
        <v>291</v>
      </c>
      <c r="N189" s="470">
        <v>-1</v>
      </c>
      <c r="O189" s="470">
        <v>-1</v>
      </c>
      <c r="P189" s="470">
        <v>-1</v>
      </c>
      <c r="Q189" s="470">
        <v>-2</v>
      </c>
      <c r="R189" s="470">
        <v>-4</v>
      </c>
      <c r="S189" s="470">
        <v>1</v>
      </c>
      <c r="T189" s="470">
        <v>1</v>
      </c>
      <c r="U189" s="470">
        <v>1</v>
      </c>
      <c r="V189" s="470">
        <v>1</v>
      </c>
      <c r="W189" s="470" t="s">
        <v>306</v>
      </c>
      <c r="X189" s="470" t="s">
        <v>306</v>
      </c>
      <c r="Y189" s="470" t="s">
        <v>306</v>
      </c>
      <c r="Z189" s="470" t="s">
        <v>306</v>
      </c>
      <c r="AA189" s="470" t="s">
        <v>306</v>
      </c>
      <c r="AB189" s="470" t="s">
        <v>306</v>
      </c>
      <c r="AC189" s="470" t="s">
        <v>306</v>
      </c>
      <c r="AD189" s="470" t="s">
        <v>306</v>
      </c>
      <c r="AE189" s="470" t="s">
        <v>306</v>
      </c>
      <c r="AF189" s="470" t="s">
        <v>306</v>
      </c>
      <c r="AG189" s="470" t="s">
        <v>306</v>
      </c>
      <c r="AH189" s="470">
        <v>1</v>
      </c>
      <c r="AI189" s="470">
        <v>-2</v>
      </c>
      <c r="AJ189" s="470">
        <v>1</v>
      </c>
      <c r="AK189" s="470" t="s">
        <v>291</v>
      </c>
      <c r="AL189" s="470" t="s">
        <v>291</v>
      </c>
    </row>
    <row r="190" spans="1:38">
      <c r="A190" s="470" t="s">
        <v>334</v>
      </c>
      <c r="B190" s="470">
        <v>1</v>
      </c>
      <c r="C190" s="470">
        <v>1</v>
      </c>
      <c r="D190" s="470">
        <v>1</v>
      </c>
      <c r="E190" s="470">
        <v>1</v>
      </c>
      <c r="F190" s="470">
        <v>1</v>
      </c>
      <c r="G190" s="470">
        <v>1</v>
      </c>
      <c r="H190" s="470" t="s">
        <v>306</v>
      </c>
      <c r="I190" s="470">
        <v>0</v>
      </c>
      <c r="J190" s="470">
        <v>0</v>
      </c>
      <c r="K190" s="470">
        <v>0</v>
      </c>
      <c r="L190" s="470">
        <v>0</v>
      </c>
      <c r="M190" s="470">
        <v>0</v>
      </c>
      <c r="N190" s="470">
        <v>0</v>
      </c>
      <c r="O190" s="470">
        <v>0</v>
      </c>
      <c r="P190" s="470" t="s">
        <v>306</v>
      </c>
      <c r="Q190" s="470">
        <v>0</v>
      </c>
      <c r="R190" s="470">
        <v>0</v>
      </c>
      <c r="S190" s="470">
        <v>0</v>
      </c>
      <c r="T190" s="470">
        <v>0</v>
      </c>
      <c r="U190" s="470">
        <v>0</v>
      </c>
      <c r="V190" s="470">
        <v>0</v>
      </c>
      <c r="W190" s="470">
        <v>0</v>
      </c>
      <c r="X190" s="470">
        <v>0</v>
      </c>
      <c r="Y190" s="470">
        <v>1</v>
      </c>
      <c r="Z190" s="470">
        <v>0</v>
      </c>
      <c r="AA190" s="470">
        <v>0</v>
      </c>
      <c r="AB190" s="470">
        <v>-4</v>
      </c>
      <c r="AC190" s="470">
        <v>0</v>
      </c>
      <c r="AD190" s="470">
        <v>2</v>
      </c>
      <c r="AE190" s="470">
        <v>2</v>
      </c>
      <c r="AF190" s="470">
        <v>1</v>
      </c>
      <c r="AG190" s="470" t="s">
        <v>291</v>
      </c>
      <c r="AH190" s="470" t="s">
        <v>291</v>
      </c>
      <c r="AI190" s="470" t="s">
        <v>291</v>
      </c>
      <c r="AJ190" s="470" t="s">
        <v>291</v>
      </c>
      <c r="AK190" s="470" t="s">
        <v>291</v>
      </c>
      <c r="AL190" s="470" t="s">
        <v>291</v>
      </c>
    </row>
    <row r="191" spans="1:38">
      <c r="A191" s="470" t="s">
        <v>333</v>
      </c>
      <c r="B191" s="470">
        <v>0</v>
      </c>
      <c r="C191" s="470">
        <v>0</v>
      </c>
      <c r="D191" s="470">
        <v>0</v>
      </c>
      <c r="E191" s="470">
        <v>0</v>
      </c>
      <c r="F191" s="470">
        <v>0</v>
      </c>
      <c r="G191" s="470">
        <v>0</v>
      </c>
      <c r="H191" s="470">
        <v>0</v>
      </c>
      <c r="I191" s="470">
        <v>0</v>
      </c>
      <c r="J191" s="470" t="s">
        <v>306</v>
      </c>
      <c r="K191" s="470">
        <v>0</v>
      </c>
      <c r="L191" s="470">
        <v>0</v>
      </c>
      <c r="M191" s="470">
        <v>0</v>
      </c>
      <c r="N191" s="470" t="s">
        <v>273</v>
      </c>
      <c r="O191" s="470" t="s">
        <v>273</v>
      </c>
      <c r="P191" s="470" t="s">
        <v>273</v>
      </c>
      <c r="Q191" s="470" t="s">
        <v>273</v>
      </c>
      <c r="R191" s="470" t="s">
        <v>273</v>
      </c>
      <c r="S191" s="470" t="s">
        <v>273</v>
      </c>
      <c r="T191" s="470" t="s">
        <v>273</v>
      </c>
      <c r="U191" s="470" t="s">
        <v>273</v>
      </c>
      <c r="V191" s="470" t="s">
        <v>273</v>
      </c>
      <c r="W191" s="470" t="s">
        <v>273</v>
      </c>
      <c r="X191" s="470" t="s">
        <v>273</v>
      </c>
      <c r="Y191" s="470" t="s">
        <v>273</v>
      </c>
      <c r="Z191" s="470" t="s">
        <v>273</v>
      </c>
      <c r="AA191" s="470" t="s">
        <v>273</v>
      </c>
      <c r="AB191" s="470" t="s">
        <v>273</v>
      </c>
      <c r="AC191" s="470" t="s">
        <v>273</v>
      </c>
      <c r="AD191" s="470" t="s">
        <v>273</v>
      </c>
      <c r="AE191" s="470" t="s">
        <v>273</v>
      </c>
      <c r="AF191" s="470" t="s">
        <v>273</v>
      </c>
      <c r="AG191" s="470" t="s">
        <v>273</v>
      </c>
      <c r="AH191" s="470" t="s">
        <v>273</v>
      </c>
      <c r="AI191" s="470" t="s">
        <v>273</v>
      </c>
      <c r="AJ191" s="470" t="s">
        <v>273</v>
      </c>
      <c r="AK191" s="470" t="s">
        <v>273</v>
      </c>
      <c r="AL191" s="470" t="s">
        <v>273</v>
      </c>
    </row>
    <row r="192" spans="1:38">
      <c r="A192" s="470" t="s">
        <v>332</v>
      </c>
      <c r="B192" s="470">
        <v>0</v>
      </c>
      <c r="C192" s="470">
        <v>0</v>
      </c>
      <c r="D192" s="470">
        <v>0</v>
      </c>
      <c r="E192" s="470">
        <v>-2</v>
      </c>
      <c r="F192" s="470">
        <v>-8</v>
      </c>
      <c r="G192" s="470">
        <v>-3</v>
      </c>
      <c r="H192" s="470" t="s">
        <v>306</v>
      </c>
      <c r="I192" s="470">
        <v>84</v>
      </c>
      <c r="J192" s="470">
        <v>28</v>
      </c>
      <c r="K192" s="470">
        <v>31</v>
      </c>
      <c r="L192" s="470">
        <v>22</v>
      </c>
      <c r="M192" s="470">
        <v>55</v>
      </c>
      <c r="N192" s="470">
        <v>42</v>
      </c>
      <c r="O192" s="470">
        <v>57</v>
      </c>
      <c r="P192" s="470" t="s">
        <v>291</v>
      </c>
      <c r="Q192" s="470" t="s">
        <v>291</v>
      </c>
      <c r="R192" s="470">
        <v>-8</v>
      </c>
      <c r="S192" s="470">
        <v>-6</v>
      </c>
      <c r="T192" s="470">
        <v>-2</v>
      </c>
      <c r="U192" s="470">
        <v>-12</v>
      </c>
      <c r="V192" s="470">
        <v>-3</v>
      </c>
      <c r="W192" s="470">
        <v>9</v>
      </c>
      <c r="X192" s="470" t="s">
        <v>291</v>
      </c>
      <c r="Y192" s="470" t="s">
        <v>291</v>
      </c>
      <c r="Z192" s="470" t="s">
        <v>291</v>
      </c>
      <c r="AA192" s="470" t="s">
        <v>291</v>
      </c>
      <c r="AB192" s="470" t="s">
        <v>291</v>
      </c>
      <c r="AC192" s="470" t="s">
        <v>291</v>
      </c>
      <c r="AD192" s="470" t="s">
        <v>291</v>
      </c>
      <c r="AE192" s="470" t="s">
        <v>291</v>
      </c>
      <c r="AF192" s="470" t="s">
        <v>291</v>
      </c>
      <c r="AG192" s="470">
        <v>-47</v>
      </c>
      <c r="AH192" s="470">
        <v>-87</v>
      </c>
      <c r="AI192" s="470">
        <v>-93</v>
      </c>
      <c r="AJ192" s="470">
        <v>-65</v>
      </c>
      <c r="AK192" s="470" t="s">
        <v>291</v>
      </c>
      <c r="AL192" s="470" t="s">
        <v>291</v>
      </c>
    </row>
    <row r="193" spans="1:38">
      <c r="A193" s="470" t="s">
        <v>331</v>
      </c>
      <c r="B193" s="470">
        <v>335</v>
      </c>
      <c r="C193" s="470">
        <v>2994</v>
      </c>
      <c r="D193" s="470">
        <v>3567</v>
      </c>
      <c r="E193" s="470">
        <v>3606</v>
      </c>
      <c r="F193" s="470">
        <v>4333</v>
      </c>
      <c r="G193" s="470">
        <v>3968</v>
      </c>
      <c r="H193" s="470">
        <v>3771</v>
      </c>
      <c r="I193" s="470" t="s">
        <v>273</v>
      </c>
      <c r="J193" s="470" t="s">
        <v>273</v>
      </c>
      <c r="K193" s="470" t="s">
        <v>273</v>
      </c>
      <c r="L193" s="470" t="s">
        <v>273</v>
      </c>
      <c r="M193" s="470" t="s">
        <v>273</v>
      </c>
      <c r="N193" s="470" t="s">
        <v>273</v>
      </c>
      <c r="O193" s="470" t="s">
        <v>273</v>
      </c>
      <c r="P193" s="470" t="s">
        <v>273</v>
      </c>
      <c r="Q193" s="470" t="s">
        <v>273</v>
      </c>
      <c r="R193" s="470" t="s">
        <v>273</v>
      </c>
      <c r="S193" s="470" t="s">
        <v>273</v>
      </c>
      <c r="T193" s="470" t="s">
        <v>273</v>
      </c>
      <c r="U193" s="470" t="s">
        <v>273</v>
      </c>
      <c r="V193" s="470" t="s">
        <v>273</v>
      </c>
      <c r="W193" s="470" t="s">
        <v>273</v>
      </c>
      <c r="X193" s="470" t="s">
        <v>273</v>
      </c>
      <c r="Y193" s="470" t="s">
        <v>273</v>
      </c>
      <c r="Z193" s="470" t="s">
        <v>273</v>
      </c>
      <c r="AA193" s="470" t="s">
        <v>273</v>
      </c>
      <c r="AB193" s="470" t="s">
        <v>273</v>
      </c>
      <c r="AC193" s="470" t="s">
        <v>273</v>
      </c>
      <c r="AD193" s="470" t="s">
        <v>273</v>
      </c>
      <c r="AE193" s="470" t="s">
        <v>273</v>
      </c>
      <c r="AF193" s="470" t="s">
        <v>273</v>
      </c>
      <c r="AG193" s="470" t="s">
        <v>273</v>
      </c>
      <c r="AH193" s="470" t="s">
        <v>273</v>
      </c>
      <c r="AI193" s="470" t="s">
        <v>273</v>
      </c>
      <c r="AJ193" s="470" t="s">
        <v>273</v>
      </c>
      <c r="AK193" s="470" t="s">
        <v>273</v>
      </c>
      <c r="AL193" s="470" t="s">
        <v>273</v>
      </c>
    </row>
    <row r="194" spans="1:38">
      <c r="A194" s="470" t="s">
        <v>330</v>
      </c>
      <c r="B194" s="470">
        <v>1</v>
      </c>
      <c r="C194" s="470">
        <v>2</v>
      </c>
      <c r="D194" s="470">
        <v>3</v>
      </c>
      <c r="E194" s="470">
        <v>5</v>
      </c>
      <c r="F194" s="470">
        <v>31</v>
      </c>
      <c r="G194" s="470">
        <v>40</v>
      </c>
      <c r="H194" s="470">
        <v>49</v>
      </c>
      <c r="I194" s="470" t="s">
        <v>273</v>
      </c>
      <c r="J194" s="470" t="s">
        <v>273</v>
      </c>
      <c r="K194" s="470" t="s">
        <v>273</v>
      </c>
      <c r="L194" s="470" t="s">
        <v>273</v>
      </c>
      <c r="M194" s="470" t="s">
        <v>273</v>
      </c>
      <c r="N194" s="470" t="s">
        <v>273</v>
      </c>
      <c r="O194" s="470" t="s">
        <v>273</v>
      </c>
      <c r="P194" s="470" t="s">
        <v>273</v>
      </c>
      <c r="Q194" s="470" t="s">
        <v>273</v>
      </c>
      <c r="R194" s="470" t="s">
        <v>273</v>
      </c>
      <c r="S194" s="470" t="s">
        <v>273</v>
      </c>
      <c r="T194" s="470" t="s">
        <v>273</v>
      </c>
      <c r="U194" s="470" t="s">
        <v>273</v>
      </c>
      <c r="V194" s="470" t="s">
        <v>273</v>
      </c>
      <c r="W194" s="470" t="s">
        <v>273</v>
      </c>
      <c r="X194" s="470" t="s">
        <v>273</v>
      </c>
      <c r="Y194" s="470" t="s">
        <v>273</v>
      </c>
      <c r="Z194" s="470" t="s">
        <v>273</v>
      </c>
      <c r="AA194" s="470" t="s">
        <v>273</v>
      </c>
      <c r="AB194" s="470" t="s">
        <v>273</v>
      </c>
      <c r="AC194" s="470" t="s">
        <v>273</v>
      </c>
      <c r="AD194" s="470" t="s">
        <v>273</v>
      </c>
      <c r="AE194" s="470" t="s">
        <v>273</v>
      </c>
      <c r="AF194" s="470" t="s">
        <v>273</v>
      </c>
      <c r="AG194" s="470" t="s">
        <v>273</v>
      </c>
      <c r="AH194" s="470" t="s">
        <v>273</v>
      </c>
      <c r="AI194" s="470" t="s">
        <v>273</v>
      </c>
      <c r="AJ194" s="470" t="s">
        <v>273</v>
      </c>
      <c r="AK194" s="470" t="s">
        <v>273</v>
      </c>
      <c r="AL194" s="470" t="s">
        <v>273</v>
      </c>
    </row>
    <row r="195" spans="1:38">
      <c r="A195" s="470" t="s">
        <v>329</v>
      </c>
      <c r="B195" s="470">
        <v>1</v>
      </c>
      <c r="C195" s="470" t="s">
        <v>291</v>
      </c>
      <c r="D195" s="470" t="s">
        <v>291</v>
      </c>
      <c r="E195" s="470" t="s">
        <v>291</v>
      </c>
      <c r="F195" s="470" t="s">
        <v>291</v>
      </c>
      <c r="G195" s="470">
        <v>-1</v>
      </c>
      <c r="H195" s="470">
        <v>0</v>
      </c>
      <c r="I195" s="470">
        <v>9</v>
      </c>
      <c r="J195" s="470">
        <v>9</v>
      </c>
      <c r="K195" s="470">
        <v>8</v>
      </c>
      <c r="L195" s="470">
        <v>7</v>
      </c>
      <c r="M195" s="470">
        <v>5</v>
      </c>
      <c r="N195" s="470">
        <v>20</v>
      </c>
      <c r="O195" s="470">
        <v>16</v>
      </c>
      <c r="P195" s="470">
        <v>22</v>
      </c>
      <c r="Q195" s="470">
        <v>23</v>
      </c>
      <c r="R195" s="470">
        <v>24</v>
      </c>
      <c r="S195" s="470">
        <v>-1</v>
      </c>
      <c r="T195" s="470">
        <v>-6</v>
      </c>
      <c r="U195" s="470">
        <v>-9</v>
      </c>
      <c r="V195" s="470">
        <v>-11</v>
      </c>
      <c r="W195" s="470" t="s">
        <v>291</v>
      </c>
      <c r="X195" s="470" t="s">
        <v>291</v>
      </c>
      <c r="Y195" s="470" t="s">
        <v>291</v>
      </c>
      <c r="Z195" s="470" t="s">
        <v>291</v>
      </c>
      <c r="AA195" s="470" t="s">
        <v>291</v>
      </c>
      <c r="AB195" s="470" t="s">
        <v>291</v>
      </c>
      <c r="AC195" s="470">
        <v>-5</v>
      </c>
      <c r="AD195" s="470">
        <v>-9</v>
      </c>
      <c r="AE195" s="470">
        <v>-10</v>
      </c>
      <c r="AF195" s="470">
        <v>-10</v>
      </c>
      <c r="AG195" s="470">
        <v>-5</v>
      </c>
      <c r="AH195" s="470">
        <v>-19</v>
      </c>
      <c r="AI195" s="470">
        <v>-52</v>
      </c>
      <c r="AJ195" s="470">
        <v>-45</v>
      </c>
      <c r="AK195" s="470">
        <v>-33</v>
      </c>
      <c r="AL195" s="470">
        <v>-32</v>
      </c>
    </row>
    <row r="196" spans="1:38">
      <c r="A196" s="470" t="s">
        <v>328</v>
      </c>
      <c r="B196" s="470">
        <v>1</v>
      </c>
      <c r="C196" s="470">
        <v>-1</v>
      </c>
      <c r="D196" s="470">
        <v>-1</v>
      </c>
      <c r="E196" s="470">
        <v>3</v>
      </c>
      <c r="F196" s="470">
        <v>3</v>
      </c>
      <c r="G196" s="470">
        <v>3</v>
      </c>
      <c r="H196" s="470">
        <v>3</v>
      </c>
      <c r="I196" s="470">
        <v>3</v>
      </c>
      <c r="J196" s="470">
        <v>8</v>
      </c>
      <c r="K196" s="470" t="s">
        <v>291</v>
      </c>
      <c r="L196" s="470" t="s">
        <v>291</v>
      </c>
      <c r="M196" s="470" t="s">
        <v>291</v>
      </c>
      <c r="N196" s="470" t="s">
        <v>291</v>
      </c>
      <c r="O196" s="470" t="s">
        <v>291</v>
      </c>
      <c r="P196" s="470">
        <v>4</v>
      </c>
      <c r="Q196" s="470">
        <v>5</v>
      </c>
      <c r="R196" s="470">
        <v>7</v>
      </c>
      <c r="S196" s="470">
        <v>21</v>
      </c>
      <c r="T196" s="470">
        <v>35</v>
      </c>
      <c r="U196" s="470">
        <v>35</v>
      </c>
      <c r="V196" s="470">
        <v>37</v>
      </c>
      <c r="W196" s="470">
        <v>36</v>
      </c>
      <c r="X196" s="470" t="s">
        <v>291</v>
      </c>
      <c r="Y196" s="470" t="s">
        <v>291</v>
      </c>
      <c r="Z196" s="470" t="s">
        <v>291</v>
      </c>
      <c r="AA196" s="470" t="s">
        <v>291</v>
      </c>
      <c r="AB196" s="470" t="s">
        <v>291</v>
      </c>
      <c r="AC196" s="470" t="s">
        <v>291</v>
      </c>
      <c r="AD196" s="470" t="s">
        <v>291</v>
      </c>
      <c r="AE196" s="470" t="s">
        <v>291</v>
      </c>
      <c r="AF196" s="470" t="s">
        <v>291</v>
      </c>
      <c r="AG196" s="470" t="s">
        <v>291</v>
      </c>
      <c r="AH196" s="470" t="s">
        <v>291</v>
      </c>
      <c r="AI196" s="470" t="s">
        <v>291</v>
      </c>
      <c r="AJ196" s="470">
        <v>2080</v>
      </c>
      <c r="AK196" s="470" t="s">
        <v>291</v>
      </c>
      <c r="AL196" s="470">
        <v>2043</v>
      </c>
    </row>
    <row r="197" spans="1:38">
      <c r="A197" s="470" t="s">
        <v>1411</v>
      </c>
      <c r="B197" s="470">
        <v>228</v>
      </c>
      <c r="C197" s="470">
        <v>247</v>
      </c>
      <c r="D197" s="470">
        <v>370</v>
      </c>
      <c r="E197" s="470">
        <v>353</v>
      </c>
      <c r="F197" s="470">
        <v>425</v>
      </c>
      <c r="G197" s="470">
        <v>420</v>
      </c>
      <c r="H197" s="470">
        <v>436</v>
      </c>
      <c r="I197" s="470" t="s">
        <v>273</v>
      </c>
      <c r="J197" s="470" t="s">
        <v>273</v>
      </c>
      <c r="K197" s="470" t="s">
        <v>273</v>
      </c>
      <c r="L197" s="470" t="s">
        <v>273</v>
      </c>
      <c r="M197" s="470" t="s">
        <v>273</v>
      </c>
      <c r="N197" s="470" t="s">
        <v>273</v>
      </c>
      <c r="O197" s="470" t="s">
        <v>273</v>
      </c>
      <c r="P197" s="470" t="s">
        <v>273</v>
      </c>
      <c r="Q197" s="470" t="s">
        <v>273</v>
      </c>
      <c r="R197" s="470" t="s">
        <v>273</v>
      </c>
      <c r="S197" s="470" t="s">
        <v>273</v>
      </c>
      <c r="T197" s="470" t="s">
        <v>273</v>
      </c>
      <c r="U197" s="470" t="s">
        <v>273</v>
      </c>
      <c r="V197" s="470" t="s">
        <v>273</v>
      </c>
      <c r="W197" s="470" t="s">
        <v>273</v>
      </c>
      <c r="X197" s="470" t="s">
        <v>273</v>
      </c>
      <c r="Y197" s="470" t="s">
        <v>273</v>
      </c>
      <c r="Z197" s="470" t="s">
        <v>273</v>
      </c>
      <c r="AA197" s="470" t="s">
        <v>273</v>
      </c>
      <c r="AB197" s="470" t="s">
        <v>273</v>
      </c>
      <c r="AC197" s="470" t="s">
        <v>273</v>
      </c>
      <c r="AD197" s="470" t="s">
        <v>273</v>
      </c>
      <c r="AE197" s="470" t="s">
        <v>273</v>
      </c>
      <c r="AF197" s="470" t="s">
        <v>273</v>
      </c>
      <c r="AG197" s="470" t="s">
        <v>273</v>
      </c>
      <c r="AH197" s="470" t="s">
        <v>273</v>
      </c>
      <c r="AI197" s="470" t="s">
        <v>273</v>
      </c>
      <c r="AJ197" s="470" t="s">
        <v>273</v>
      </c>
      <c r="AK197" s="470" t="s">
        <v>273</v>
      </c>
      <c r="AL197" s="470" t="s">
        <v>273</v>
      </c>
    </row>
    <row r="198" spans="1:38">
      <c r="A198" s="470" t="s">
        <v>327</v>
      </c>
      <c r="B198" s="470" t="s">
        <v>273</v>
      </c>
      <c r="C198" s="470" t="s">
        <v>273</v>
      </c>
      <c r="D198" s="470" t="s">
        <v>273</v>
      </c>
      <c r="E198" s="470" t="s">
        <v>273</v>
      </c>
      <c r="F198" s="470" t="s">
        <v>273</v>
      </c>
      <c r="G198" s="470" t="s">
        <v>273</v>
      </c>
      <c r="H198" s="470" t="s">
        <v>273</v>
      </c>
      <c r="I198" s="470">
        <v>0</v>
      </c>
      <c r="J198" s="470">
        <v>0</v>
      </c>
      <c r="K198" s="470">
        <v>0</v>
      </c>
      <c r="L198" s="470">
        <v>0</v>
      </c>
      <c r="M198" s="470">
        <v>0</v>
      </c>
      <c r="N198" s="470">
        <v>3</v>
      </c>
      <c r="O198" s="470">
        <v>4</v>
      </c>
      <c r="P198" s="470">
        <v>4</v>
      </c>
      <c r="Q198" s="470">
        <v>4</v>
      </c>
      <c r="R198" s="470" t="s">
        <v>291</v>
      </c>
      <c r="S198" s="470">
        <v>6</v>
      </c>
      <c r="T198" s="470" t="s">
        <v>291</v>
      </c>
      <c r="U198" s="470">
        <v>1</v>
      </c>
      <c r="V198" s="470">
        <v>1</v>
      </c>
      <c r="W198" s="470">
        <v>1</v>
      </c>
      <c r="X198" s="470">
        <v>0</v>
      </c>
      <c r="Y198" s="470">
        <v>0</v>
      </c>
      <c r="Z198" s="470">
        <v>0</v>
      </c>
      <c r="AA198" s="470">
        <v>0</v>
      </c>
      <c r="AB198" s="470">
        <v>0</v>
      </c>
      <c r="AC198" s="470">
        <v>0</v>
      </c>
      <c r="AD198" s="470" t="s">
        <v>306</v>
      </c>
      <c r="AE198" s="470" t="s">
        <v>306</v>
      </c>
      <c r="AF198" s="470" t="s">
        <v>306</v>
      </c>
      <c r="AG198" s="470">
        <v>0</v>
      </c>
      <c r="AH198" s="470" t="s">
        <v>306</v>
      </c>
      <c r="AI198" s="470">
        <v>0</v>
      </c>
      <c r="AJ198" s="470" t="s">
        <v>306</v>
      </c>
      <c r="AK198" s="470">
        <v>0</v>
      </c>
      <c r="AL198" s="470">
        <v>0</v>
      </c>
    </row>
    <row r="199" spans="1:38">
      <c r="A199" s="470" t="s">
        <v>1410</v>
      </c>
      <c r="B199" s="470">
        <v>5</v>
      </c>
      <c r="C199" s="470">
        <v>9</v>
      </c>
      <c r="D199" s="470">
        <v>10</v>
      </c>
      <c r="E199" s="470">
        <v>11</v>
      </c>
      <c r="F199" s="470">
        <v>21</v>
      </c>
      <c r="G199" s="470">
        <v>19</v>
      </c>
      <c r="H199" s="470">
        <v>4</v>
      </c>
      <c r="I199" s="470" t="s">
        <v>273</v>
      </c>
      <c r="J199" s="470" t="s">
        <v>273</v>
      </c>
      <c r="K199" s="470" t="s">
        <v>273</v>
      </c>
      <c r="L199" s="470" t="s">
        <v>273</v>
      </c>
      <c r="M199" s="470" t="s">
        <v>273</v>
      </c>
      <c r="N199" s="470" t="s">
        <v>273</v>
      </c>
      <c r="O199" s="470" t="s">
        <v>273</v>
      </c>
      <c r="P199" s="470" t="s">
        <v>273</v>
      </c>
      <c r="Q199" s="470" t="s">
        <v>273</v>
      </c>
      <c r="R199" s="470" t="s">
        <v>273</v>
      </c>
      <c r="S199" s="470" t="s">
        <v>273</v>
      </c>
      <c r="T199" s="470" t="s">
        <v>273</v>
      </c>
      <c r="U199" s="470" t="s">
        <v>273</v>
      </c>
      <c r="V199" s="470" t="s">
        <v>273</v>
      </c>
      <c r="W199" s="470" t="s">
        <v>273</v>
      </c>
      <c r="X199" s="470" t="s">
        <v>273</v>
      </c>
      <c r="Y199" s="470" t="s">
        <v>273</v>
      </c>
      <c r="Z199" s="470" t="s">
        <v>273</v>
      </c>
      <c r="AA199" s="470" t="s">
        <v>273</v>
      </c>
      <c r="AB199" s="470" t="s">
        <v>273</v>
      </c>
      <c r="AC199" s="470" t="s">
        <v>273</v>
      </c>
      <c r="AD199" s="470" t="s">
        <v>273</v>
      </c>
      <c r="AE199" s="470" t="s">
        <v>273</v>
      </c>
      <c r="AF199" s="470" t="s">
        <v>273</v>
      </c>
      <c r="AG199" s="470" t="s">
        <v>273</v>
      </c>
      <c r="AH199" s="470" t="s">
        <v>273</v>
      </c>
      <c r="AI199" s="470" t="s">
        <v>273</v>
      </c>
      <c r="AJ199" s="470" t="s">
        <v>273</v>
      </c>
      <c r="AK199" s="470" t="s">
        <v>273</v>
      </c>
      <c r="AL199" s="470" t="s">
        <v>273</v>
      </c>
    </row>
    <row r="200" spans="1:38">
      <c r="A200" s="470" t="s">
        <v>324</v>
      </c>
      <c r="B200" s="470" t="s">
        <v>273</v>
      </c>
      <c r="C200" s="470" t="s">
        <v>273</v>
      </c>
      <c r="D200" s="470" t="s">
        <v>273</v>
      </c>
      <c r="E200" s="470" t="s">
        <v>273</v>
      </c>
      <c r="F200" s="470" t="s">
        <v>273</v>
      </c>
      <c r="G200" s="470" t="s">
        <v>273</v>
      </c>
      <c r="H200" s="470" t="s">
        <v>273</v>
      </c>
      <c r="I200" s="470">
        <v>0</v>
      </c>
      <c r="J200" s="470">
        <v>0</v>
      </c>
      <c r="K200" s="470">
        <v>0</v>
      </c>
      <c r="L200" s="470">
        <v>0</v>
      </c>
      <c r="M200" s="470">
        <v>0</v>
      </c>
      <c r="N200" s="470">
        <v>0</v>
      </c>
      <c r="O200" s="470">
        <v>0</v>
      </c>
      <c r="P200" s="470">
        <v>0</v>
      </c>
      <c r="Q200" s="470">
        <v>0</v>
      </c>
      <c r="R200" s="470">
        <v>0</v>
      </c>
      <c r="S200" s="470">
        <v>0</v>
      </c>
      <c r="T200" s="470">
        <v>3</v>
      </c>
      <c r="U200" s="470">
        <v>-2</v>
      </c>
      <c r="V200" s="470">
        <v>-9</v>
      </c>
      <c r="W200" s="470" t="s">
        <v>291</v>
      </c>
      <c r="X200" s="470" t="s">
        <v>291</v>
      </c>
      <c r="Y200" s="470">
        <v>1</v>
      </c>
      <c r="Z200" s="470" t="s">
        <v>291</v>
      </c>
      <c r="AA200" s="470" t="s">
        <v>291</v>
      </c>
      <c r="AB200" s="470">
        <v>1</v>
      </c>
      <c r="AC200" s="470" t="s">
        <v>306</v>
      </c>
      <c r="AD200" s="470">
        <v>-2</v>
      </c>
      <c r="AE200" s="470">
        <v>1</v>
      </c>
      <c r="AF200" s="470">
        <v>1</v>
      </c>
      <c r="AG200" s="470" t="s">
        <v>306</v>
      </c>
      <c r="AH200" s="470">
        <v>1</v>
      </c>
      <c r="AI200" s="470" t="s">
        <v>291</v>
      </c>
      <c r="AJ200" s="470" t="s">
        <v>291</v>
      </c>
      <c r="AK200" s="470" t="s">
        <v>291</v>
      </c>
      <c r="AL200" s="470" t="s">
        <v>291</v>
      </c>
    </row>
    <row r="201" spans="1:38">
      <c r="A201" s="470" t="s">
        <v>323</v>
      </c>
      <c r="B201" s="470" t="s">
        <v>273</v>
      </c>
      <c r="C201" s="470" t="s">
        <v>273</v>
      </c>
      <c r="D201" s="470" t="s">
        <v>273</v>
      </c>
      <c r="E201" s="470" t="s">
        <v>273</v>
      </c>
      <c r="F201" s="470" t="s">
        <v>273</v>
      </c>
      <c r="G201" s="470" t="s">
        <v>273</v>
      </c>
      <c r="H201" s="470" t="s">
        <v>273</v>
      </c>
      <c r="I201" s="470">
        <v>42108</v>
      </c>
      <c r="J201" s="470">
        <v>60992</v>
      </c>
      <c r="K201" s="470">
        <v>75053</v>
      </c>
      <c r="L201" s="470">
        <v>92948</v>
      </c>
      <c r="M201" s="470">
        <v>105873</v>
      </c>
      <c r="N201" s="470">
        <v>108965</v>
      </c>
      <c r="O201" s="470">
        <v>112289</v>
      </c>
      <c r="P201" s="470">
        <v>113048</v>
      </c>
      <c r="Q201" s="470">
        <v>122774</v>
      </c>
      <c r="R201" s="470">
        <v>137533</v>
      </c>
      <c r="S201" s="470">
        <v>146109</v>
      </c>
      <c r="T201" s="470">
        <v>154111</v>
      </c>
      <c r="U201" s="470">
        <v>178749</v>
      </c>
      <c r="V201" s="470">
        <v>192647</v>
      </c>
      <c r="W201" s="470">
        <v>179228</v>
      </c>
      <c r="X201" s="470">
        <v>192457</v>
      </c>
      <c r="Y201" s="470">
        <v>204708</v>
      </c>
      <c r="Z201" s="470">
        <v>230231</v>
      </c>
      <c r="AA201" s="470">
        <v>246585</v>
      </c>
      <c r="AB201" s="470">
        <v>269772</v>
      </c>
      <c r="AC201" s="470">
        <v>294976</v>
      </c>
      <c r="AD201" s="470">
        <v>325431</v>
      </c>
      <c r="AE201" s="470">
        <v>323404</v>
      </c>
      <c r="AF201" s="470">
        <v>346605</v>
      </c>
      <c r="AG201" s="470">
        <v>395241</v>
      </c>
      <c r="AH201" s="470">
        <v>428016</v>
      </c>
      <c r="AI201" s="470">
        <v>483304</v>
      </c>
      <c r="AJ201" s="470">
        <v>532491</v>
      </c>
      <c r="AK201" s="470">
        <v>564974</v>
      </c>
      <c r="AL201" s="470">
        <v>599373</v>
      </c>
    </row>
    <row r="202" spans="1:38">
      <c r="A202" s="470" t="s">
        <v>322</v>
      </c>
      <c r="B202" s="470" t="s">
        <v>273</v>
      </c>
      <c r="C202" s="470" t="s">
        <v>273</v>
      </c>
      <c r="D202" s="470" t="s">
        <v>273</v>
      </c>
      <c r="E202" s="470" t="s">
        <v>273</v>
      </c>
      <c r="F202" s="470" t="s">
        <v>273</v>
      </c>
      <c r="G202" s="470" t="s">
        <v>273</v>
      </c>
      <c r="H202" s="470" t="s">
        <v>273</v>
      </c>
      <c r="I202" s="470">
        <v>5369</v>
      </c>
      <c r="J202" s="470">
        <v>7171</v>
      </c>
      <c r="K202" s="470">
        <v>4962</v>
      </c>
      <c r="L202" s="470">
        <v>6542</v>
      </c>
      <c r="M202" s="470">
        <v>6011</v>
      </c>
      <c r="N202" s="470">
        <v>6957</v>
      </c>
      <c r="O202" s="470">
        <v>7089</v>
      </c>
      <c r="P202" s="470">
        <v>8838</v>
      </c>
      <c r="Q202" s="470">
        <v>10356</v>
      </c>
      <c r="R202" s="470">
        <v>14968</v>
      </c>
      <c r="S202" s="470">
        <v>11721</v>
      </c>
      <c r="T202" s="470">
        <v>10520</v>
      </c>
      <c r="U202" s="470">
        <v>15616</v>
      </c>
      <c r="V202" s="470">
        <v>18775</v>
      </c>
      <c r="W202" s="470">
        <v>19465</v>
      </c>
      <c r="X202" s="470">
        <v>34197</v>
      </c>
      <c r="Y202" s="470">
        <v>37059</v>
      </c>
      <c r="Z202" s="470">
        <v>40107</v>
      </c>
      <c r="AA202" s="470">
        <v>36392</v>
      </c>
      <c r="AB202" s="470">
        <v>38777</v>
      </c>
      <c r="AC202" s="470">
        <v>35595</v>
      </c>
      <c r="AD202" s="470">
        <v>37399</v>
      </c>
      <c r="AE202" s="470">
        <v>36760</v>
      </c>
      <c r="AF202" s="470">
        <v>35632</v>
      </c>
      <c r="AG202" s="470">
        <v>59362</v>
      </c>
      <c r="AH202" s="470">
        <v>51138</v>
      </c>
      <c r="AI202" s="470">
        <v>49127</v>
      </c>
      <c r="AJ202" s="470">
        <v>56404</v>
      </c>
      <c r="AK202" s="470">
        <v>47270</v>
      </c>
      <c r="AL202" s="470">
        <v>46926</v>
      </c>
    </row>
    <row r="203" spans="1:38">
      <c r="A203" s="470" t="s">
        <v>321</v>
      </c>
      <c r="B203" s="470" t="s">
        <v>273</v>
      </c>
      <c r="C203" s="470" t="s">
        <v>273</v>
      </c>
      <c r="D203" s="470" t="s">
        <v>273</v>
      </c>
      <c r="E203" s="470" t="s">
        <v>273</v>
      </c>
      <c r="F203" s="470" t="s">
        <v>273</v>
      </c>
      <c r="G203" s="470" t="s">
        <v>273</v>
      </c>
      <c r="H203" s="470" t="s">
        <v>273</v>
      </c>
      <c r="I203" s="470" t="s">
        <v>273</v>
      </c>
      <c r="J203" s="470" t="s">
        <v>273</v>
      </c>
      <c r="K203" s="470" t="s">
        <v>273</v>
      </c>
      <c r="L203" s="470" t="s">
        <v>273</v>
      </c>
      <c r="M203" s="470" t="s">
        <v>273</v>
      </c>
      <c r="N203" s="470" t="s">
        <v>273</v>
      </c>
      <c r="O203" s="470" t="s">
        <v>273</v>
      </c>
      <c r="P203" s="470" t="s">
        <v>273</v>
      </c>
      <c r="Q203" s="470" t="s">
        <v>273</v>
      </c>
      <c r="R203" s="470" t="s">
        <v>273</v>
      </c>
      <c r="S203" s="470">
        <v>182</v>
      </c>
      <c r="T203" s="470">
        <v>251</v>
      </c>
      <c r="U203" s="470">
        <v>295</v>
      </c>
      <c r="V203" s="470">
        <v>277</v>
      </c>
      <c r="W203" s="470">
        <v>535</v>
      </c>
      <c r="X203" s="470">
        <v>385</v>
      </c>
      <c r="Y203" s="470">
        <v>284</v>
      </c>
      <c r="Z203" s="470">
        <v>435</v>
      </c>
      <c r="AA203" s="470">
        <v>574</v>
      </c>
      <c r="AB203" s="470">
        <v>785</v>
      </c>
      <c r="AC203" s="470">
        <v>584</v>
      </c>
      <c r="AD203" s="470">
        <v>1105</v>
      </c>
      <c r="AE203" s="470">
        <v>1624</v>
      </c>
      <c r="AF203" s="470">
        <v>3300</v>
      </c>
      <c r="AG203" s="470">
        <v>3598</v>
      </c>
      <c r="AH203" s="470">
        <v>7076</v>
      </c>
      <c r="AI203" s="470">
        <v>7855</v>
      </c>
      <c r="AJ203" s="470">
        <v>10071</v>
      </c>
      <c r="AK203" s="470">
        <v>16769</v>
      </c>
      <c r="AL203" s="470">
        <v>27475</v>
      </c>
    </row>
    <row r="204" spans="1:38">
      <c r="A204" s="470" t="s">
        <v>320</v>
      </c>
      <c r="B204" s="470" t="s">
        <v>273</v>
      </c>
      <c r="C204" s="470" t="s">
        <v>273</v>
      </c>
      <c r="D204" s="470" t="s">
        <v>273</v>
      </c>
      <c r="E204" s="470" t="s">
        <v>273</v>
      </c>
      <c r="F204" s="470" t="s">
        <v>273</v>
      </c>
      <c r="G204" s="470" t="s">
        <v>273</v>
      </c>
      <c r="H204" s="470" t="s">
        <v>273</v>
      </c>
      <c r="I204" s="470">
        <v>941</v>
      </c>
      <c r="J204" s="470">
        <v>895</v>
      </c>
      <c r="K204" s="470">
        <v>1124</v>
      </c>
      <c r="L204" s="470">
        <v>1511</v>
      </c>
      <c r="M204" s="470">
        <v>1162</v>
      </c>
      <c r="N204" s="470">
        <v>1377</v>
      </c>
      <c r="O204" s="470">
        <v>1518</v>
      </c>
      <c r="P204" s="470">
        <v>1505</v>
      </c>
      <c r="Q204" s="470">
        <v>1511</v>
      </c>
      <c r="R204" s="470">
        <v>1711</v>
      </c>
      <c r="S204" s="470">
        <v>1656</v>
      </c>
      <c r="T204" s="470">
        <v>1458</v>
      </c>
      <c r="U204" s="470">
        <v>885</v>
      </c>
      <c r="V204" s="470">
        <v>1493</v>
      </c>
      <c r="W204" s="470">
        <v>1292</v>
      </c>
      <c r="X204" s="470">
        <v>2005</v>
      </c>
      <c r="Y204" s="470">
        <v>1984</v>
      </c>
      <c r="Z204" s="470">
        <v>2744</v>
      </c>
      <c r="AA204" s="470">
        <v>3467</v>
      </c>
      <c r="AB204" s="470">
        <v>2992</v>
      </c>
      <c r="AC204" s="470">
        <v>3809</v>
      </c>
      <c r="AD204" s="470">
        <v>4217</v>
      </c>
      <c r="AE204" s="470">
        <v>4236</v>
      </c>
      <c r="AF204" s="470">
        <v>4440</v>
      </c>
      <c r="AG204" s="470">
        <v>7605</v>
      </c>
      <c r="AH204" s="470">
        <v>9750</v>
      </c>
      <c r="AI204" s="470">
        <v>7404</v>
      </c>
      <c r="AJ204" s="470">
        <v>9776</v>
      </c>
      <c r="AK204" s="470">
        <v>10991</v>
      </c>
      <c r="AL204" s="470">
        <v>11649</v>
      </c>
    </row>
    <row r="205" spans="1:38">
      <c r="A205" s="470" t="s">
        <v>319</v>
      </c>
      <c r="B205" s="470" t="s">
        <v>273</v>
      </c>
      <c r="C205" s="470" t="s">
        <v>273</v>
      </c>
      <c r="D205" s="470" t="s">
        <v>273</v>
      </c>
      <c r="E205" s="470" t="s">
        <v>273</v>
      </c>
      <c r="F205" s="470" t="s">
        <v>273</v>
      </c>
      <c r="G205" s="470" t="s">
        <v>273</v>
      </c>
      <c r="H205" s="470" t="s">
        <v>273</v>
      </c>
      <c r="I205" s="470" t="s">
        <v>273</v>
      </c>
      <c r="J205" s="470" t="s">
        <v>273</v>
      </c>
      <c r="K205" s="470" t="s">
        <v>273</v>
      </c>
      <c r="L205" s="470" t="s">
        <v>273</v>
      </c>
      <c r="M205" s="470" t="s">
        <v>273</v>
      </c>
      <c r="N205" s="470" t="s">
        <v>273</v>
      </c>
      <c r="O205" s="470" t="s">
        <v>273</v>
      </c>
      <c r="P205" s="470" t="s">
        <v>273</v>
      </c>
      <c r="Q205" s="470" t="s">
        <v>273</v>
      </c>
      <c r="R205" s="470" t="s">
        <v>273</v>
      </c>
      <c r="S205" s="470">
        <v>102</v>
      </c>
      <c r="T205" s="470">
        <v>102</v>
      </c>
      <c r="U205" s="470">
        <v>88</v>
      </c>
      <c r="V205" s="470">
        <v>96</v>
      </c>
      <c r="W205" s="470">
        <v>258</v>
      </c>
      <c r="X205" s="470">
        <v>227</v>
      </c>
      <c r="Y205" s="470">
        <v>352</v>
      </c>
      <c r="Z205" s="470">
        <v>629</v>
      </c>
      <c r="AA205" s="470">
        <v>1497</v>
      </c>
      <c r="AB205" s="470">
        <v>1438</v>
      </c>
      <c r="AC205" s="470">
        <v>1671</v>
      </c>
      <c r="AD205" s="470">
        <v>2820</v>
      </c>
      <c r="AE205" s="470">
        <v>2555</v>
      </c>
      <c r="AF205" s="470">
        <v>4102</v>
      </c>
      <c r="AG205" s="470">
        <v>5323</v>
      </c>
      <c r="AH205" s="470">
        <v>5959</v>
      </c>
      <c r="AI205" s="470">
        <v>7661</v>
      </c>
      <c r="AJ205" s="470">
        <v>8927</v>
      </c>
      <c r="AK205" s="470">
        <v>9629</v>
      </c>
      <c r="AL205" s="470">
        <v>9852</v>
      </c>
    </row>
    <row r="206" spans="1:38">
      <c r="A206" s="470" t="s">
        <v>317</v>
      </c>
      <c r="B206" s="470" t="s">
        <v>273</v>
      </c>
      <c r="C206" s="470" t="s">
        <v>273</v>
      </c>
      <c r="D206" s="470" t="s">
        <v>273</v>
      </c>
      <c r="E206" s="470" t="s">
        <v>273</v>
      </c>
      <c r="F206" s="470" t="s">
        <v>273</v>
      </c>
      <c r="G206" s="470" t="s">
        <v>273</v>
      </c>
      <c r="H206" s="470" t="s">
        <v>273</v>
      </c>
      <c r="I206" s="470">
        <v>34421</v>
      </c>
      <c r="J206" s="470">
        <v>51126</v>
      </c>
      <c r="K206" s="470">
        <v>67268</v>
      </c>
      <c r="L206" s="470">
        <v>83091</v>
      </c>
      <c r="M206" s="470">
        <v>95142</v>
      </c>
      <c r="N206" s="470">
        <v>97769</v>
      </c>
      <c r="O206" s="470">
        <v>100721</v>
      </c>
      <c r="P206" s="470">
        <v>98513</v>
      </c>
      <c r="Q206" s="470">
        <v>104997</v>
      </c>
      <c r="R206" s="470">
        <v>116144</v>
      </c>
      <c r="S206" s="470">
        <v>125041</v>
      </c>
      <c r="T206" s="470">
        <v>134340</v>
      </c>
      <c r="U206" s="470">
        <v>153815</v>
      </c>
      <c r="V206" s="470">
        <v>159690</v>
      </c>
      <c r="W206" s="470">
        <v>149859</v>
      </c>
      <c r="X206" s="470">
        <v>147372</v>
      </c>
      <c r="Y206" s="470">
        <v>157176</v>
      </c>
      <c r="Z206" s="470">
        <v>174490</v>
      </c>
      <c r="AA206" s="470">
        <v>189851</v>
      </c>
      <c r="AB206" s="470">
        <v>204020</v>
      </c>
      <c r="AC206" s="470">
        <v>222695</v>
      </c>
      <c r="AD206" s="470">
        <v>234748</v>
      </c>
      <c r="AE206" s="470">
        <v>238140</v>
      </c>
      <c r="AF206" s="470">
        <v>255012</v>
      </c>
      <c r="AG206" s="470">
        <v>274283</v>
      </c>
      <c r="AH206" s="470">
        <v>301183</v>
      </c>
      <c r="AI206" s="470">
        <v>350395</v>
      </c>
      <c r="AJ206" s="470">
        <v>371874</v>
      </c>
      <c r="AK206" s="470">
        <v>402164</v>
      </c>
      <c r="AL206" s="470">
        <v>421103</v>
      </c>
    </row>
    <row r="207" spans="1:38">
      <c r="A207" s="470" t="s">
        <v>316</v>
      </c>
      <c r="B207" s="470" t="s">
        <v>273</v>
      </c>
      <c r="C207" s="470" t="s">
        <v>273</v>
      </c>
      <c r="D207" s="470" t="s">
        <v>273</v>
      </c>
      <c r="E207" s="470" t="s">
        <v>273</v>
      </c>
      <c r="F207" s="470" t="s">
        <v>273</v>
      </c>
      <c r="G207" s="470" t="s">
        <v>273</v>
      </c>
      <c r="H207" s="470" t="s">
        <v>273</v>
      </c>
      <c r="I207" s="470">
        <v>198</v>
      </c>
      <c r="J207" s="470">
        <v>505</v>
      </c>
      <c r="K207" s="470">
        <v>-307</v>
      </c>
      <c r="L207" s="470">
        <v>-1009</v>
      </c>
      <c r="M207" s="470">
        <v>800</v>
      </c>
      <c r="N207" s="470">
        <v>106</v>
      </c>
      <c r="O207" s="470">
        <v>-71</v>
      </c>
      <c r="P207" s="470">
        <v>-73</v>
      </c>
      <c r="Q207" s="470">
        <v>692</v>
      </c>
      <c r="R207" s="470">
        <v>-103</v>
      </c>
      <c r="S207" s="470">
        <v>644</v>
      </c>
      <c r="T207" s="470">
        <v>1355</v>
      </c>
      <c r="U207" s="470">
        <v>2691</v>
      </c>
      <c r="V207" s="470">
        <v>3110</v>
      </c>
      <c r="W207" s="470">
        <v>3011</v>
      </c>
      <c r="X207" s="470">
        <v>2932</v>
      </c>
      <c r="Y207" s="470">
        <v>1409</v>
      </c>
      <c r="Z207" s="470">
        <v>5270</v>
      </c>
      <c r="AA207" s="470">
        <v>6077</v>
      </c>
      <c r="AB207" s="470">
        <v>9459</v>
      </c>
      <c r="AC207" s="470">
        <v>11939</v>
      </c>
      <c r="AD207" s="470">
        <v>12859</v>
      </c>
      <c r="AE207" s="470">
        <v>12969</v>
      </c>
      <c r="AF207" s="470">
        <v>15746</v>
      </c>
      <c r="AG207" s="470">
        <v>19860</v>
      </c>
      <c r="AH207" s="470">
        <v>25260</v>
      </c>
      <c r="AI207" s="470">
        <v>31790</v>
      </c>
      <c r="AJ207" s="470">
        <v>39966</v>
      </c>
      <c r="AK207" s="470">
        <v>40585</v>
      </c>
      <c r="AL207" s="470">
        <v>40937</v>
      </c>
    </row>
    <row r="208" spans="1:38">
      <c r="A208" s="470" t="s">
        <v>315</v>
      </c>
      <c r="B208" s="470" t="s">
        <v>273</v>
      </c>
      <c r="C208" s="470" t="s">
        <v>273</v>
      </c>
      <c r="D208" s="470" t="s">
        <v>273</v>
      </c>
      <c r="E208" s="470" t="s">
        <v>273</v>
      </c>
      <c r="F208" s="470" t="s">
        <v>273</v>
      </c>
      <c r="G208" s="470" t="s">
        <v>273</v>
      </c>
      <c r="H208" s="470" t="s">
        <v>273</v>
      </c>
      <c r="I208" s="470">
        <v>7</v>
      </c>
      <c r="J208" s="470">
        <v>42</v>
      </c>
      <c r="K208" s="470">
        <v>29</v>
      </c>
      <c r="L208" s="470">
        <v>56</v>
      </c>
      <c r="M208" s="470">
        <v>57</v>
      </c>
      <c r="N208" s="470">
        <v>86</v>
      </c>
      <c r="O208" s="470">
        <v>292</v>
      </c>
      <c r="P208" s="470">
        <v>464</v>
      </c>
      <c r="Q208" s="470">
        <v>400</v>
      </c>
      <c r="R208" s="470">
        <v>481</v>
      </c>
      <c r="S208" s="470">
        <v>342</v>
      </c>
      <c r="T208" s="470">
        <v>190</v>
      </c>
      <c r="U208" s="470">
        <v>71</v>
      </c>
      <c r="V208" s="470">
        <v>310</v>
      </c>
      <c r="W208" s="470">
        <v>340</v>
      </c>
      <c r="X208" s="470">
        <v>336</v>
      </c>
      <c r="Y208" s="470">
        <v>292</v>
      </c>
      <c r="Z208" s="470">
        <v>327</v>
      </c>
      <c r="AA208" s="470">
        <v>420</v>
      </c>
      <c r="AB208" s="470">
        <v>488</v>
      </c>
      <c r="AC208" s="470">
        <v>464</v>
      </c>
      <c r="AD208" s="470">
        <v>450</v>
      </c>
      <c r="AE208" s="470">
        <v>439</v>
      </c>
      <c r="AF208" s="470">
        <v>338</v>
      </c>
      <c r="AG208" s="470">
        <v>911</v>
      </c>
      <c r="AH208" s="470">
        <v>1012</v>
      </c>
      <c r="AI208" s="470">
        <v>986</v>
      </c>
      <c r="AJ208" s="470">
        <v>1154</v>
      </c>
      <c r="AK208" s="470">
        <v>1278</v>
      </c>
      <c r="AL208" s="470">
        <v>1136</v>
      </c>
    </row>
    <row r="209" spans="1:38">
      <c r="A209" s="470" t="s">
        <v>314</v>
      </c>
      <c r="B209" s="470" t="s">
        <v>273</v>
      </c>
      <c r="C209" s="470" t="s">
        <v>273</v>
      </c>
      <c r="D209" s="470" t="s">
        <v>273</v>
      </c>
      <c r="E209" s="470" t="s">
        <v>273</v>
      </c>
      <c r="F209" s="470" t="s">
        <v>273</v>
      </c>
      <c r="G209" s="470" t="s">
        <v>273</v>
      </c>
      <c r="H209" s="470" t="s">
        <v>273</v>
      </c>
      <c r="I209" s="470">
        <v>263</v>
      </c>
      <c r="J209" s="470">
        <v>154</v>
      </c>
      <c r="K209" s="470">
        <v>166</v>
      </c>
      <c r="L209" s="470">
        <v>157</v>
      </c>
      <c r="M209" s="470">
        <v>92</v>
      </c>
      <c r="N209" s="470">
        <v>101</v>
      </c>
      <c r="O209" s="470">
        <v>123</v>
      </c>
      <c r="P209" s="470">
        <v>179</v>
      </c>
      <c r="Q209" s="470">
        <v>149</v>
      </c>
      <c r="R209" s="470">
        <v>170</v>
      </c>
      <c r="S209" s="470">
        <v>191</v>
      </c>
      <c r="T209" s="470">
        <v>289</v>
      </c>
      <c r="U209" s="470">
        <v>425</v>
      </c>
      <c r="V209" s="470">
        <v>395</v>
      </c>
      <c r="W209" s="470">
        <v>426</v>
      </c>
      <c r="X209" s="470">
        <v>538</v>
      </c>
      <c r="Y209" s="470">
        <v>642</v>
      </c>
      <c r="Z209" s="470">
        <v>824</v>
      </c>
      <c r="AA209" s="470">
        <v>690</v>
      </c>
      <c r="AB209" s="470">
        <v>559</v>
      </c>
      <c r="AC209" s="470">
        <v>908</v>
      </c>
      <c r="AD209" s="470">
        <v>880</v>
      </c>
      <c r="AE209" s="470">
        <v>767</v>
      </c>
      <c r="AF209" s="470">
        <v>584</v>
      </c>
      <c r="AG209" s="470">
        <v>1014</v>
      </c>
      <c r="AH209" s="470">
        <v>1052</v>
      </c>
      <c r="AI209" s="470">
        <v>1046</v>
      </c>
      <c r="AJ209" s="470">
        <v>1048</v>
      </c>
      <c r="AK209" s="470">
        <v>439</v>
      </c>
      <c r="AL209" s="470">
        <v>176</v>
      </c>
    </row>
    <row r="210" spans="1:38">
      <c r="A210" s="470" t="s">
        <v>313</v>
      </c>
      <c r="B210" s="470" t="s">
        <v>273</v>
      </c>
      <c r="C210" s="470" t="s">
        <v>273</v>
      </c>
      <c r="D210" s="470" t="s">
        <v>273</v>
      </c>
      <c r="E210" s="470" t="s">
        <v>273</v>
      </c>
      <c r="F210" s="470" t="s">
        <v>273</v>
      </c>
      <c r="G210" s="470" t="s">
        <v>273</v>
      </c>
      <c r="H210" s="470" t="s">
        <v>273</v>
      </c>
      <c r="I210" s="470">
        <v>73</v>
      </c>
      <c r="J210" s="470">
        <v>73</v>
      </c>
      <c r="K210" s="470">
        <v>82</v>
      </c>
      <c r="L210" s="470">
        <v>77</v>
      </c>
      <c r="M210" s="470">
        <v>63</v>
      </c>
      <c r="N210" s="470">
        <v>58</v>
      </c>
      <c r="O210" s="470">
        <v>50</v>
      </c>
      <c r="P210" s="470">
        <v>76</v>
      </c>
      <c r="Q210" s="470">
        <v>75</v>
      </c>
      <c r="R210" s="470">
        <v>78</v>
      </c>
      <c r="S210" s="470" t="s">
        <v>273</v>
      </c>
      <c r="T210" s="470" t="s">
        <v>273</v>
      </c>
      <c r="U210" s="470" t="s">
        <v>273</v>
      </c>
      <c r="V210" s="470" t="s">
        <v>273</v>
      </c>
      <c r="W210" s="470" t="s">
        <v>273</v>
      </c>
      <c r="X210" s="470" t="s">
        <v>273</v>
      </c>
      <c r="Y210" s="470" t="s">
        <v>273</v>
      </c>
      <c r="Z210" s="470" t="s">
        <v>273</v>
      </c>
      <c r="AA210" s="470" t="s">
        <v>273</v>
      </c>
      <c r="AB210" s="470" t="s">
        <v>273</v>
      </c>
      <c r="AC210" s="470" t="s">
        <v>273</v>
      </c>
      <c r="AD210" s="470" t="s">
        <v>273</v>
      </c>
      <c r="AE210" s="470" t="s">
        <v>273</v>
      </c>
      <c r="AF210" s="470" t="s">
        <v>273</v>
      </c>
      <c r="AG210" s="470" t="s">
        <v>273</v>
      </c>
      <c r="AH210" s="470" t="s">
        <v>273</v>
      </c>
      <c r="AI210" s="470" t="s">
        <v>273</v>
      </c>
      <c r="AJ210" s="470" t="s">
        <v>273</v>
      </c>
      <c r="AK210" s="470" t="s">
        <v>273</v>
      </c>
      <c r="AL210" s="470" t="s">
        <v>273</v>
      </c>
    </row>
    <row r="211" spans="1:38">
      <c r="A211" s="470" t="s">
        <v>312</v>
      </c>
      <c r="B211" s="505">
        <f t="shared" ref="B211:G211" si="0">C211*B8/C8</f>
        <v>123.27914075491466</v>
      </c>
      <c r="C211" s="505">
        <f t="shared" si="0"/>
        <v>161.38246884894869</v>
      </c>
      <c r="D211" s="505">
        <f t="shared" si="0"/>
        <v>185.07903369097244</v>
      </c>
      <c r="E211" s="505">
        <f t="shared" si="0"/>
        <v>203.46268707715436</v>
      </c>
      <c r="F211" s="505">
        <f t="shared" si="0"/>
        <v>244.31821909382901</v>
      </c>
      <c r="G211" s="505">
        <f t="shared" si="0"/>
        <v>274.05508477793722</v>
      </c>
      <c r="H211" s="470">
        <f>I211*H8/I8</f>
        <v>327.19755954957213</v>
      </c>
      <c r="I211" s="470">
        <v>391</v>
      </c>
      <c r="J211" s="470">
        <v>510</v>
      </c>
      <c r="K211" s="470">
        <v>934</v>
      </c>
      <c r="L211" s="470">
        <v>1289</v>
      </c>
      <c r="M211" s="470">
        <v>947</v>
      </c>
      <c r="N211" s="470">
        <v>771</v>
      </c>
      <c r="O211" s="470">
        <v>450</v>
      </c>
      <c r="P211" s="470">
        <v>1375</v>
      </c>
      <c r="Q211" s="470">
        <v>1637</v>
      </c>
      <c r="R211" s="470">
        <v>1246</v>
      </c>
      <c r="S211" s="470">
        <v>2635</v>
      </c>
      <c r="T211" s="470">
        <v>1828</v>
      </c>
      <c r="U211" s="470">
        <v>1365</v>
      </c>
      <c r="V211" s="470">
        <v>5087</v>
      </c>
      <c r="W211" s="470">
        <v>1221</v>
      </c>
      <c r="X211" s="470">
        <v>1530</v>
      </c>
      <c r="Y211" s="470">
        <v>2166</v>
      </c>
      <c r="Z211" s="470">
        <v>1733</v>
      </c>
      <c r="AA211" s="470">
        <v>3338</v>
      </c>
      <c r="AB211" s="470">
        <v>6458</v>
      </c>
      <c r="AC211" s="470">
        <v>12151</v>
      </c>
      <c r="AD211" s="470">
        <v>25801</v>
      </c>
      <c r="AE211" s="470">
        <v>20757</v>
      </c>
      <c r="AF211" s="470">
        <v>21517</v>
      </c>
      <c r="AG211" s="470">
        <v>16819</v>
      </c>
      <c r="AH211" s="470">
        <v>18701</v>
      </c>
      <c r="AI211" s="470">
        <v>17082</v>
      </c>
      <c r="AJ211" s="470">
        <v>20665</v>
      </c>
      <c r="AK211" s="470">
        <v>21654</v>
      </c>
      <c r="AL211" s="470">
        <v>23933</v>
      </c>
    </row>
    <row r="212" spans="1:38">
      <c r="A212" s="470" t="s">
        <v>311</v>
      </c>
      <c r="B212" s="470" t="s">
        <v>273</v>
      </c>
      <c r="C212" s="470" t="s">
        <v>273</v>
      </c>
      <c r="D212" s="470" t="s">
        <v>273</v>
      </c>
      <c r="E212" s="470" t="s">
        <v>273</v>
      </c>
      <c r="F212" s="470" t="s">
        <v>273</v>
      </c>
      <c r="G212" s="470" t="s">
        <v>273</v>
      </c>
      <c r="H212" s="470" t="s">
        <v>273</v>
      </c>
      <c r="I212" s="470">
        <v>199</v>
      </c>
      <c r="J212" s="470">
        <v>329</v>
      </c>
      <c r="K212" s="470">
        <v>476</v>
      </c>
      <c r="L212" s="470">
        <v>836</v>
      </c>
      <c r="M212" s="470">
        <v>1098</v>
      </c>
      <c r="N212" s="470">
        <v>1267</v>
      </c>
      <c r="O212" s="470">
        <v>1618</v>
      </c>
      <c r="P212" s="470">
        <v>1574</v>
      </c>
      <c r="Q212" s="470">
        <v>2142</v>
      </c>
      <c r="R212" s="470">
        <v>2133</v>
      </c>
      <c r="S212" s="470">
        <v>2858</v>
      </c>
      <c r="T212" s="470">
        <v>3194</v>
      </c>
      <c r="U212" s="470">
        <v>3021</v>
      </c>
      <c r="V212" s="470">
        <v>3174</v>
      </c>
      <c r="W212" s="470">
        <v>2520</v>
      </c>
      <c r="X212" s="470">
        <v>2571</v>
      </c>
      <c r="Y212" s="470">
        <v>2888</v>
      </c>
      <c r="Z212" s="470">
        <v>3209</v>
      </c>
      <c r="AA212" s="470">
        <v>3731</v>
      </c>
      <c r="AB212" s="470">
        <v>4064</v>
      </c>
      <c r="AC212" s="470">
        <v>4465</v>
      </c>
      <c r="AD212" s="470">
        <v>4462</v>
      </c>
      <c r="AE212" s="470">
        <v>3885</v>
      </c>
      <c r="AF212" s="470">
        <v>4642</v>
      </c>
      <c r="AG212" s="470">
        <v>5004</v>
      </c>
      <c r="AH212" s="470">
        <v>5039</v>
      </c>
      <c r="AI212" s="470">
        <v>6135</v>
      </c>
      <c r="AJ212" s="470">
        <v>6107</v>
      </c>
      <c r="AK212" s="470">
        <v>6890</v>
      </c>
      <c r="AL212" s="470">
        <v>7196</v>
      </c>
    </row>
    <row r="213" spans="1:38">
      <c r="A213" s="470" t="s">
        <v>236</v>
      </c>
      <c r="B213" s="470" t="s">
        <v>273</v>
      </c>
      <c r="C213" s="470" t="s">
        <v>273</v>
      </c>
      <c r="D213" s="470" t="s">
        <v>273</v>
      </c>
      <c r="E213" s="470" t="s">
        <v>273</v>
      </c>
      <c r="F213" s="470" t="s">
        <v>273</v>
      </c>
      <c r="G213" s="470" t="s">
        <v>273</v>
      </c>
      <c r="H213" s="470" t="s">
        <v>273</v>
      </c>
      <c r="I213" s="470">
        <v>246</v>
      </c>
      <c r="J213" s="470">
        <v>186</v>
      </c>
      <c r="K213" s="470">
        <v>318</v>
      </c>
      <c r="L213" s="470">
        <v>398</v>
      </c>
      <c r="M213" s="470">
        <v>502</v>
      </c>
      <c r="N213" s="470">
        <v>473</v>
      </c>
      <c r="O213" s="470">
        <v>499</v>
      </c>
      <c r="P213" s="470">
        <v>597</v>
      </c>
      <c r="Q213" s="470">
        <v>815</v>
      </c>
      <c r="R213" s="470">
        <v>705</v>
      </c>
      <c r="S213" s="470">
        <v>736</v>
      </c>
      <c r="T213" s="470">
        <v>585</v>
      </c>
      <c r="U213" s="470">
        <v>478</v>
      </c>
      <c r="V213" s="470">
        <v>241</v>
      </c>
      <c r="W213" s="470">
        <v>301</v>
      </c>
      <c r="X213" s="470">
        <v>364</v>
      </c>
      <c r="Y213" s="470">
        <v>457</v>
      </c>
      <c r="Z213" s="470">
        <v>464</v>
      </c>
      <c r="AA213" s="470">
        <v>548</v>
      </c>
      <c r="AB213" s="470">
        <v>733</v>
      </c>
      <c r="AC213" s="470">
        <v>694</v>
      </c>
      <c r="AD213" s="470">
        <v>689</v>
      </c>
      <c r="AE213" s="470">
        <v>1271</v>
      </c>
      <c r="AF213" s="470">
        <v>1293</v>
      </c>
      <c r="AG213" s="470">
        <v>1461</v>
      </c>
      <c r="AH213" s="470">
        <v>1847</v>
      </c>
      <c r="AI213" s="470">
        <v>3825</v>
      </c>
      <c r="AJ213" s="470">
        <v>6498</v>
      </c>
      <c r="AK213" s="470">
        <v>7306</v>
      </c>
      <c r="AL213" s="470">
        <v>8991</v>
      </c>
    </row>
    <row r="214" spans="1:38">
      <c r="A214" s="470" t="s">
        <v>309</v>
      </c>
      <c r="B214" s="470" t="s">
        <v>273</v>
      </c>
      <c r="C214" s="470" t="s">
        <v>273</v>
      </c>
      <c r="D214" s="470" t="s">
        <v>273</v>
      </c>
      <c r="E214" s="470" t="s">
        <v>273</v>
      </c>
      <c r="F214" s="470" t="s">
        <v>273</v>
      </c>
      <c r="G214" s="470" t="s">
        <v>273</v>
      </c>
      <c r="H214" s="470" t="s">
        <v>273</v>
      </c>
      <c r="I214" s="470" t="s">
        <v>291</v>
      </c>
      <c r="J214" s="470" t="s">
        <v>291</v>
      </c>
      <c r="K214" s="470" t="s">
        <v>291</v>
      </c>
      <c r="L214" s="470" t="s">
        <v>291</v>
      </c>
      <c r="M214" s="470" t="s">
        <v>291</v>
      </c>
      <c r="N214" s="470" t="s">
        <v>291</v>
      </c>
      <c r="O214" s="470" t="s">
        <v>291</v>
      </c>
      <c r="P214" s="470" t="s">
        <v>291</v>
      </c>
      <c r="Q214" s="470" t="s">
        <v>291</v>
      </c>
      <c r="R214" s="470" t="s">
        <v>291</v>
      </c>
      <c r="S214" s="470" t="s">
        <v>291</v>
      </c>
      <c r="T214" s="470" t="s">
        <v>291</v>
      </c>
      <c r="U214" s="470" t="s">
        <v>291</v>
      </c>
      <c r="V214" s="470" t="s">
        <v>291</v>
      </c>
      <c r="W214" s="470" t="s">
        <v>291</v>
      </c>
      <c r="X214" s="470" t="s">
        <v>291</v>
      </c>
      <c r="Y214" s="470" t="s">
        <v>291</v>
      </c>
      <c r="Z214" s="470" t="s">
        <v>291</v>
      </c>
      <c r="AA214" s="470" t="s">
        <v>291</v>
      </c>
      <c r="AB214" s="470" t="s">
        <v>291</v>
      </c>
      <c r="AC214" s="470">
        <v>0</v>
      </c>
      <c r="AD214" s="470">
        <v>1</v>
      </c>
      <c r="AE214" s="470">
        <v>3</v>
      </c>
      <c r="AF214" s="470">
        <v>5</v>
      </c>
      <c r="AG214" s="470" t="s">
        <v>291</v>
      </c>
      <c r="AH214" s="470">
        <v>1</v>
      </c>
      <c r="AI214" s="470">
        <v>1</v>
      </c>
      <c r="AJ214" s="470">
        <v>1</v>
      </c>
      <c r="AK214" s="470">
        <v>2</v>
      </c>
      <c r="AL214" s="470">
        <v>0</v>
      </c>
    </row>
    <row r="215" spans="1:38">
      <c r="A215" s="470" t="s">
        <v>308</v>
      </c>
      <c r="B215" s="470" t="s">
        <v>273</v>
      </c>
      <c r="C215" s="470" t="s">
        <v>273</v>
      </c>
      <c r="D215" s="470" t="s">
        <v>273</v>
      </c>
      <c r="E215" s="470" t="s">
        <v>273</v>
      </c>
      <c r="F215" s="470" t="s">
        <v>273</v>
      </c>
      <c r="G215" s="470" t="s">
        <v>273</v>
      </c>
      <c r="H215" s="470" t="s">
        <v>273</v>
      </c>
      <c r="I215" s="470">
        <v>0</v>
      </c>
      <c r="J215" s="470">
        <v>0</v>
      </c>
      <c r="K215" s="470">
        <v>0</v>
      </c>
      <c r="L215" s="470">
        <v>0</v>
      </c>
      <c r="M215" s="470">
        <v>2</v>
      </c>
      <c r="N215" s="470">
        <v>1</v>
      </c>
      <c r="O215" s="470">
        <v>1</v>
      </c>
      <c r="P215" s="470">
        <v>1</v>
      </c>
      <c r="Q215" s="470">
        <v>1</v>
      </c>
      <c r="R215" s="470" t="s">
        <v>306</v>
      </c>
      <c r="S215" s="470">
        <v>2</v>
      </c>
      <c r="T215" s="470">
        <v>3</v>
      </c>
      <c r="U215" s="470">
        <v>3</v>
      </c>
      <c r="V215" s="470">
        <v>2</v>
      </c>
      <c r="W215" s="470">
        <v>4</v>
      </c>
      <c r="X215" s="470">
        <v>1</v>
      </c>
      <c r="Y215" s="470">
        <v>1</v>
      </c>
      <c r="Z215" s="470">
        <v>1</v>
      </c>
      <c r="AA215" s="470">
        <v>1</v>
      </c>
      <c r="AB215" s="470">
        <v>2</v>
      </c>
      <c r="AC215" s="470" t="s">
        <v>306</v>
      </c>
      <c r="AD215" s="470">
        <v>1</v>
      </c>
      <c r="AE215" s="470">
        <v>2</v>
      </c>
      <c r="AF215" s="470">
        <v>3</v>
      </c>
      <c r="AG215" s="470">
        <v>4</v>
      </c>
      <c r="AH215" s="470">
        <v>7</v>
      </c>
      <c r="AI215" s="470" t="s">
        <v>291</v>
      </c>
      <c r="AJ215" s="470" t="s">
        <v>291</v>
      </c>
      <c r="AK215" s="470" t="s">
        <v>306</v>
      </c>
      <c r="AL215" s="470" t="s">
        <v>306</v>
      </c>
    </row>
    <row r="216" spans="1:38">
      <c r="A216" s="470" t="s">
        <v>307</v>
      </c>
      <c r="B216" s="470" t="s">
        <v>273</v>
      </c>
      <c r="C216" s="470" t="s">
        <v>273</v>
      </c>
      <c r="D216" s="470" t="s">
        <v>273</v>
      </c>
      <c r="E216" s="470" t="s">
        <v>273</v>
      </c>
      <c r="F216" s="470" t="s">
        <v>273</v>
      </c>
      <c r="G216" s="470" t="s">
        <v>273</v>
      </c>
      <c r="H216" s="470" t="s">
        <v>273</v>
      </c>
      <c r="I216" s="470">
        <v>0</v>
      </c>
      <c r="J216" s="470">
        <v>0</v>
      </c>
      <c r="K216" s="470">
        <v>0</v>
      </c>
      <c r="L216" s="470" t="s">
        <v>306</v>
      </c>
      <c r="M216" s="470">
        <v>0</v>
      </c>
      <c r="N216" s="470">
        <v>0</v>
      </c>
      <c r="O216" s="470">
        <v>0</v>
      </c>
      <c r="P216" s="470">
        <v>0</v>
      </c>
      <c r="Q216" s="470">
        <v>1</v>
      </c>
      <c r="R216" s="470">
        <v>0</v>
      </c>
      <c r="S216" s="470">
        <v>0</v>
      </c>
      <c r="T216" s="470">
        <v>0</v>
      </c>
      <c r="U216" s="470" t="s">
        <v>306</v>
      </c>
      <c r="V216" s="470">
        <v>0</v>
      </c>
      <c r="W216" s="470">
        <v>0</v>
      </c>
      <c r="X216" s="470">
        <v>0</v>
      </c>
      <c r="Y216" s="470">
        <v>0</v>
      </c>
      <c r="Z216" s="470" t="s">
        <v>273</v>
      </c>
      <c r="AA216" s="470" t="s">
        <v>273</v>
      </c>
      <c r="AB216" s="470">
        <v>0</v>
      </c>
      <c r="AC216" s="470" t="s">
        <v>273</v>
      </c>
      <c r="AD216" s="470" t="s">
        <v>273</v>
      </c>
      <c r="AE216" s="470" t="s">
        <v>273</v>
      </c>
      <c r="AF216" s="470" t="s">
        <v>273</v>
      </c>
      <c r="AG216" s="470" t="s">
        <v>273</v>
      </c>
      <c r="AH216" s="470" t="s">
        <v>273</v>
      </c>
      <c r="AI216" s="470" t="s">
        <v>273</v>
      </c>
      <c r="AJ216" s="470" t="s">
        <v>273</v>
      </c>
      <c r="AK216" s="470" t="s">
        <v>273</v>
      </c>
      <c r="AL216" s="470" t="s">
        <v>273</v>
      </c>
    </row>
    <row r="217" spans="1:38">
      <c r="A217" s="470" t="s">
        <v>305</v>
      </c>
      <c r="B217" s="470" t="s">
        <v>273</v>
      </c>
      <c r="C217" s="470" t="s">
        <v>273</v>
      </c>
      <c r="D217" s="470" t="s">
        <v>273</v>
      </c>
      <c r="E217" s="470" t="s">
        <v>273</v>
      </c>
      <c r="F217" s="470" t="s">
        <v>273</v>
      </c>
      <c r="G217" s="470" t="s">
        <v>273</v>
      </c>
      <c r="H217" s="470" t="s">
        <v>273</v>
      </c>
      <c r="I217" s="470" t="s">
        <v>291</v>
      </c>
      <c r="J217" s="470" t="s">
        <v>291</v>
      </c>
      <c r="K217" s="470" t="s">
        <v>291</v>
      </c>
      <c r="L217" s="470" t="s">
        <v>291</v>
      </c>
      <c r="M217" s="470">
        <v>0</v>
      </c>
      <c r="N217" s="470">
        <v>0</v>
      </c>
      <c r="O217" s="470">
        <v>0</v>
      </c>
      <c r="P217" s="470">
        <v>0</v>
      </c>
      <c r="Q217" s="470">
        <v>0</v>
      </c>
      <c r="R217" s="470">
        <v>0</v>
      </c>
      <c r="S217" s="470" t="s">
        <v>291</v>
      </c>
      <c r="T217" s="470" t="s">
        <v>291</v>
      </c>
      <c r="U217" s="470" t="s">
        <v>291</v>
      </c>
      <c r="V217" s="470" t="s">
        <v>291</v>
      </c>
      <c r="W217" s="470" t="s">
        <v>291</v>
      </c>
      <c r="X217" s="470" t="s">
        <v>291</v>
      </c>
      <c r="Y217" s="470" t="s">
        <v>291</v>
      </c>
      <c r="Z217" s="470" t="s">
        <v>291</v>
      </c>
      <c r="AA217" s="470" t="s">
        <v>291</v>
      </c>
      <c r="AB217" s="470" t="s">
        <v>291</v>
      </c>
      <c r="AC217" s="470">
        <v>-3</v>
      </c>
      <c r="AD217" s="470">
        <v>-3</v>
      </c>
      <c r="AE217" s="470">
        <v>-1</v>
      </c>
      <c r="AF217" s="470">
        <v>-2</v>
      </c>
      <c r="AG217" s="470" t="s">
        <v>291</v>
      </c>
      <c r="AH217" s="470">
        <v>-2</v>
      </c>
      <c r="AI217" s="470" t="s">
        <v>291</v>
      </c>
      <c r="AJ217" s="470" t="s">
        <v>291</v>
      </c>
      <c r="AK217" s="470" t="s">
        <v>291</v>
      </c>
      <c r="AL217" s="470" t="s">
        <v>291</v>
      </c>
    </row>
    <row r="218" spans="1:38">
      <c r="A218" s="470" t="s">
        <v>304</v>
      </c>
      <c r="B218" s="470" t="s">
        <v>273</v>
      </c>
      <c r="C218" s="470" t="s">
        <v>273</v>
      </c>
      <c r="D218" s="470" t="s">
        <v>273</v>
      </c>
      <c r="E218" s="470" t="s">
        <v>273</v>
      </c>
      <c r="F218" s="470" t="s">
        <v>273</v>
      </c>
      <c r="G218" s="470" t="s">
        <v>273</v>
      </c>
      <c r="H218" s="470" t="s">
        <v>273</v>
      </c>
      <c r="I218" s="470">
        <v>0</v>
      </c>
      <c r="J218" s="470">
        <v>0</v>
      </c>
      <c r="K218" s="470">
        <v>0</v>
      </c>
      <c r="L218" s="470">
        <v>0</v>
      </c>
      <c r="M218" s="470" t="s">
        <v>306</v>
      </c>
      <c r="N218" s="470">
        <v>0</v>
      </c>
      <c r="O218" s="470">
        <v>0</v>
      </c>
      <c r="P218" s="470">
        <v>0</v>
      </c>
      <c r="Q218" s="470">
        <v>0</v>
      </c>
      <c r="R218" s="470">
        <v>0</v>
      </c>
      <c r="S218" s="470">
        <v>0</v>
      </c>
      <c r="T218" s="470">
        <v>0</v>
      </c>
      <c r="U218" s="470" t="s">
        <v>306</v>
      </c>
      <c r="V218" s="470">
        <v>0</v>
      </c>
      <c r="W218" s="470">
        <v>0</v>
      </c>
      <c r="X218" s="470">
        <v>0</v>
      </c>
      <c r="Y218" s="470">
        <v>0</v>
      </c>
      <c r="Z218" s="470">
        <v>-1</v>
      </c>
      <c r="AA218" s="470">
        <v>-1</v>
      </c>
      <c r="AB218" s="470">
        <v>0</v>
      </c>
      <c r="AC218" s="470" t="s">
        <v>306</v>
      </c>
      <c r="AD218" s="470" t="s">
        <v>306</v>
      </c>
      <c r="AE218" s="470" t="s">
        <v>306</v>
      </c>
      <c r="AF218" s="470" t="s">
        <v>306</v>
      </c>
      <c r="AG218" s="470" t="s">
        <v>306</v>
      </c>
      <c r="AH218" s="470">
        <v>4</v>
      </c>
      <c r="AI218" s="470">
        <v>5</v>
      </c>
      <c r="AJ218" s="470" t="s">
        <v>291</v>
      </c>
      <c r="AK218" s="470" t="s">
        <v>291</v>
      </c>
      <c r="AL218" s="470" t="s">
        <v>291</v>
      </c>
    </row>
    <row r="219" spans="1:38">
      <c r="A219" s="470" t="s">
        <v>303</v>
      </c>
      <c r="B219" s="470" t="s">
        <v>273</v>
      </c>
      <c r="C219" s="470" t="s">
        <v>273</v>
      </c>
      <c r="D219" s="470" t="s">
        <v>273</v>
      </c>
      <c r="E219" s="470" t="s">
        <v>273</v>
      </c>
      <c r="F219" s="470" t="s">
        <v>273</v>
      </c>
      <c r="G219" s="470" t="s">
        <v>273</v>
      </c>
      <c r="H219" s="470" t="s">
        <v>273</v>
      </c>
      <c r="I219" s="470" t="s">
        <v>306</v>
      </c>
      <c r="J219" s="470" t="s">
        <v>306</v>
      </c>
      <c r="K219" s="470">
        <v>-1</v>
      </c>
      <c r="L219" s="470">
        <v>-2</v>
      </c>
      <c r="M219" s="470">
        <v>-3</v>
      </c>
      <c r="N219" s="470">
        <v>0</v>
      </c>
      <c r="O219" s="470">
        <v>0</v>
      </c>
      <c r="P219" s="470" t="s">
        <v>306</v>
      </c>
      <c r="Q219" s="470">
        <v>0</v>
      </c>
      <c r="R219" s="470">
        <v>0</v>
      </c>
      <c r="S219" s="470">
        <v>-2</v>
      </c>
      <c r="T219" s="470">
        <v>0</v>
      </c>
      <c r="U219" s="470">
        <v>0</v>
      </c>
      <c r="V219" s="470" t="s">
        <v>306</v>
      </c>
      <c r="W219" s="470">
        <v>0</v>
      </c>
      <c r="X219" s="470">
        <v>0</v>
      </c>
      <c r="Y219" s="470">
        <v>0</v>
      </c>
      <c r="Z219" s="470">
        <v>0</v>
      </c>
      <c r="AA219" s="470">
        <v>0</v>
      </c>
      <c r="AB219" s="470" t="s">
        <v>273</v>
      </c>
      <c r="AC219" s="470">
        <v>0</v>
      </c>
      <c r="AD219" s="470">
        <v>0</v>
      </c>
      <c r="AE219" s="470">
        <v>-1</v>
      </c>
      <c r="AF219" s="470" t="s">
        <v>306</v>
      </c>
      <c r="AG219" s="470">
        <v>0</v>
      </c>
      <c r="AH219" s="470" t="s">
        <v>306</v>
      </c>
      <c r="AI219" s="470" t="s">
        <v>291</v>
      </c>
      <c r="AJ219" s="470" t="s">
        <v>291</v>
      </c>
      <c r="AK219" s="470" t="s">
        <v>306</v>
      </c>
      <c r="AL219" s="470" t="s">
        <v>306</v>
      </c>
    </row>
    <row r="220" spans="1:38">
      <c r="A220" s="470" t="s">
        <v>302</v>
      </c>
      <c r="B220" s="470" t="s">
        <v>273</v>
      </c>
      <c r="C220" s="470" t="s">
        <v>273</v>
      </c>
      <c r="D220" s="470" t="s">
        <v>273</v>
      </c>
      <c r="E220" s="470" t="s">
        <v>273</v>
      </c>
      <c r="F220" s="470" t="s">
        <v>273</v>
      </c>
      <c r="G220" s="470" t="s">
        <v>273</v>
      </c>
      <c r="H220" s="470" t="s">
        <v>273</v>
      </c>
      <c r="I220" s="470" t="s">
        <v>273</v>
      </c>
      <c r="J220" s="470" t="s">
        <v>273</v>
      </c>
      <c r="K220" s="470" t="s">
        <v>273</v>
      </c>
      <c r="L220" s="470" t="s">
        <v>273</v>
      </c>
      <c r="M220" s="470" t="s">
        <v>273</v>
      </c>
      <c r="N220" s="470" t="s">
        <v>273</v>
      </c>
      <c r="O220" s="470" t="s">
        <v>273</v>
      </c>
      <c r="P220" s="470" t="s">
        <v>273</v>
      </c>
      <c r="Q220" s="470" t="s">
        <v>273</v>
      </c>
      <c r="R220" s="470" t="s">
        <v>273</v>
      </c>
      <c r="S220" s="470" t="s">
        <v>273</v>
      </c>
      <c r="T220" s="470" t="s">
        <v>273</v>
      </c>
      <c r="U220" s="470" t="s">
        <v>273</v>
      </c>
      <c r="V220" s="470" t="s">
        <v>273</v>
      </c>
      <c r="W220" s="470" t="s">
        <v>273</v>
      </c>
      <c r="X220" s="470" t="s">
        <v>273</v>
      </c>
      <c r="Y220" s="470" t="s">
        <v>273</v>
      </c>
      <c r="Z220" s="470" t="s">
        <v>273</v>
      </c>
      <c r="AA220" s="470" t="s">
        <v>273</v>
      </c>
      <c r="AB220" s="470" t="s">
        <v>273</v>
      </c>
      <c r="AC220" s="470">
        <v>0</v>
      </c>
      <c r="AD220" s="470" t="s">
        <v>273</v>
      </c>
      <c r="AE220" s="470" t="s">
        <v>273</v>
      </c>
      <c r="AF220" s="470" t="s">
        <v>273</v>
      </c>
      <c r="AG220" s="470" t="s">
        <v>273</v>
      </c>
      <c r="AH220" s="470" t="s">
        <v>273</v>
      </c>
      <c r="AI220" s="470" t="s">
        <v>273</v>
      </c>
      <c r="AJ220" s="470" t="s">
        <v>273</v>
      </c>
      <c r="AK220" s="470" t="s">
        <v>273</v>
      </c>
      <c r="AL220" s="470" t="s">
        <v>273</v>
      </c>
    </row>
    <row r="221" spans="1:38">
      <c r="A221" s="470" t="s">
        <v>1409</v>
      </c>
      <c r="B221" s="470" t="s">
        <v>273</v>
      </c>
      <c r="C221" s="470" t="s">
        <v>273</v>
      </c>
      <c r="D221" s="470" t="s">
        <v>273</v>
      </c>
      <c r="E221" s="470" t="s">
        <v>273</v>
      </c>
      <c r="F221" s="470" t="s">
        <v>273</v>
      </c>
      <c r="G221" s="470" t="s">
        <v>273</v>
      </c>
      <c r="H221" s="470" t="s">
        <v>273</v>
      </c>
      <c r="I221" s="470">
        <v>58</v>
      </c>
      <c r="J221" s="470">
        <v>-3</v>
      </c>
      <c r="K221" s="470">
        <v>87</v>
      </c>
      <c r="L221" s="470">
        <v>124</v>
      </c>
      <c r="M221" s="470">
        <v>192</v>
      </c>
      <c r="N221" s="470">
        <v>170</v>
      </c>
      <c r="O221" s="470">
        <v>109</v>
      </c>
      <c r="P221" s="470">
        <v>244</v>
      </c>
      <c r="Q221" s="470">
        <v>329</v>
      </c>
      <c r="R221" s="470">
        <v>197</v>
      </c>
      <c r="S221" s="470" t="s">
        <v>273</v>
      </c>
      <c r="T221" s="470" t="s">
        <v>273</v>
      </c>
      <c r="U221" s="470" t="s">
        <v>273</v>
      </c>
      <c r="V221" s="470" t="s">
        <v>273</v>
      </c>
      <c r="W221" s="470" t="s">
        <v>273</v>
      </c>
      <c r="X221" s="470" t="s">
        <v>273</v>
      </c>
      <c r="Y221" s="470" t="s">
        <v>273</v>
      </c>
      <c r="Z221" s="470" t="s">
        <v>273</v>
      </c>
      <c r="AA221" s="470" t="s">
        <v>273</v>
      </c>
      <c r="AB221" s="470" t="s">
        <v>273</v>
      </c>
      <c r="AC221" s="470" t="s">
        <v>273</v>
      </c>
      <c r="AD221" s="470" t="s">
        <v>273</v>
      </c>
      <c r="AE221" s="470" t="s">
        <v>273</v>
      </c>
      <c r="AF221" s="470" t="s">
        <v>273</v>
      </c>
      <c r="AG221" s="470" t="s">
        <v>273</v>
      </c>
      <c r="AH221" s="470" t="s">
        <v>273</v>
      </c>
      <c r="AI221" s="470" t="s">
        <v>273</v>
      </c>
      <c r="AJ221" s="470" t="s">
        <v>273</v>
      </c>
      <c r="AK221" s="470" t="s">
        <v>273</v>
      </c>
      <c r="AL221" s="470" t="s">
        <v>273</v>
      </c>
    </row>
    <row r="222" spans="1:38">
      <c r="A222" s="470" t="s">
        <v>300</v>
      </c>
      <c r="B222" s="470" t="s">
        <v>273</v>
      </c>
      <c r="C222" s="470" t="s">
        <v>273</v>
      </c>
      <c r="D222" s="470" t="s">
        <v>273</v>
      </c>
      <c r="E222" s="470" t="s">
        <v>273</v>
      </c>
      <c r="F222" s="470" t="s">
        <v>273</v>
      </c>
      <c r="G222" s="470" t="s">
        <v>273</v>
      </c>
      <c r="H222" s="470" t="s">
        <v>273</v>
      </c>
      <c r="I222" s="470" t="s">
        <v>273</v>
      </c>
      <c r="J222" s="470" t="s">
        <v>273</v>
      </c>
      <c r="K222" s="470" t="s">
        <v>273</v>
      </c>
      <c r="L222" s="470" t="s">
        <v>273</v>
      </c>
      <c r="M222" s="470" t="s">
        <v>273</v>
      </c>
      <c r="N222" s="470" t="s">
        <v>273</v>
      </c>
      <c r="O222" s="470" t="s">
        <v>273</v>
      </c>
      <c r="P222" s="470" t="s">
        <v>273</v>
      </c>
      <c r="Q222" s="470" t="s">
        <v>273</v>
      </c>
      <c r="R222" s="470" t="s">
        <v>273</v>
      </c>
      <c r="S222" s="470">
        <v>0</v>
      </c>
      <c r="T222" s="470">
        <v>0</v>
      </c>
      <c r="U222" s="470">
        <v>0</v>
      </c>
      <c r="V222" s="470">
        <v>0</v>
      </c>
      <c r="W222" s="470">
        <v>0</v>
      </c>
      <c r="X222" s="470" t="s">
        <v>306</v>
      </c>
      <c r="Y222" s="470">
        <v>0</v>
      </c>
      <c r="Z222" s="470">
        <v>0</v>
      </c>
      <c r="AA222" s="470">
        <v>1</v>
      </c>
      <c r="AB222" s="470">
        <v>0</v>
      </c>
      <c r="AC222" s="470" t="s">
        <v>273</v>
      </c>
      <c r="AD222" s="470" t="s">
        <v>273</v>
      </c>
      <c r="AE222" s="470" t="s">
        <v>273</v>
      </c>
      <c r="AF222" s="470" t="s">
        <v>273</v>
      </c>
      <c r="AG222" s="470" t="s">
        <v>273</v>
      </c>
      <c r="AH222" s="470" t="s">
        <v>273</v>
      </c>
      <c r="AI222" s="470" t="s">
        <v>273</v>
      </c>
      <c r="AJ222" s="470" t="s">
        <v>273</v>
      </c>
      <c r="AK222" s="470" t="s">
        <v>273</v>
      </c>
      <c r="AL222" s="470" t="s">
        <v>273</v>
      </c>
    </row>
    <row r="223" spans="1:38">
      <c r="A223" s="470" t="s">
        <v>299</v>
      </c>
      <c r="B223" s="470" t="s">
        <v>273</v>
      </c>
      <c r="C223" s="470" t="s">
        <v>273</v>
      </c>
      <c r="D223" s="470" t="s">
        <v>273</v>
      </c>
      <c r="E223" s="470" t="s">
        <v>273</v>
      </c>
      <c r="F223" s="470" t="s">
        <v>273</v>
      </c>
      <c r="G223" s="470" t="s">
        <v>273</v>
      </c>
      <c r="H223" s="470" t="s">
        <v>273</v>
      </c>
      <c r="I223" s="470">
        <v>0</v>
      </c>
      <c r="J223" s="470">
        <v>0</v>
      </c>
      <c r="K223" s="470">
        <v>0</v>
      </c>
      <c r="L223" s="470">
        <v>0</v>
      </c>
      <c r="M223" s="470">
        <v>0</v>
      </c>
      <c r="N223" s="470">
        <v>0</v>
      </c>
      <c r="O223" s="470">
        <v>0</v>
      </c>
      <c r="P223" s="470">
        <v>0</v>
      </c>
      <c r="Q223" s="470">
        <v>0</v>
      </c>
      <c r="R223" s="470">
        <v>0</v>
      </c>
      <c r="S223" s="470">
        <v>0</v>
      </c>
      <c r="T223" s="470">
        <v>-1</v>
      </c>
      <c r="U223" s="470" t="s">
        <v>291</v>
      </c>
      <c r="V223" s="470">
        <v>-1</v>
      </c>
      <c r="W223" s="470">
        <v>-1</v>
      </c>
      <c r="X223" s="470">
        <v>0</v>
      </c>
      <c r="Y223" s="470">
        <v>0</v>
      </c>
      <c r="Z223" s="470" t="s">
        <v>273</v>
      </c>
      <c r="AA223" s="470" t="s">
        <v>273</v>
      </c>
      <c r="AB223" s="470">
        <v>0</v>
      </c>
      <c r="AC223" s="470">
        <v>2</v>
      </c>
      <c r="AD223" s="470" t="s">
        <v>273</v>
      </c>
      <c r="AE223" s="470" t="s">
        <v>273</v>
      </c>
      <c r="AF223" s="470" t="s">
        <v>273</v>
      </c>
      <c r="AG223" s="470" t="s">
        <v>273</v>
      </c>
      <c r="AH223" s="470" t="s">
        <v>273</v>
      </c>
      <c r="AI223" s="470" t="s">
        <v>273</v>
      </c>
      <c r="AJ223" s="470" t="s">
        <v>273</v>
      </c>
      <c r="AK223" s="470" t="s">
        <v>273</v>
      </c>
      <c r="AL223" s="470" t="s">
        <v>273</v>
      </c>
    </row>
    <row r="224" spans="1:38">
      <c r="A224" s="470" t="s">
        <v>298</v>
      </c>
      <c r="B224" s="470" t="s">
        <v>273</v>
      </c>
      <c r="C224" s="470" t="s">
        <v>273</v>
      </c>
      <c r="D224" s="470" t="s">
        <v>273</v>
      </c>
      <c r="E224" s="470" t="s">
        <v>273</v>
      </c>
      <c r="F224" s="470" t="s">
        <v>273</v>
      </c>
      <c r="G224" s="470" t="s">
        <v>273</v>
      </c>
      <c r="H224" s="470" t="s">
        <v>273</v>
      </c>
      <c r="I224" s="470">
        <v>0</v>
      </c>
      <c r="J224" s="470">
        <v>0</v>
      </c>
      <c r="K224" s="470">
        <v>0</v>
      </c>
      <c r="L224" s="470">
        <v>0</v>
      </c>
      <c r="M224" s="470">
        <v>0</v>
      </c>
      <c r="N224" s="470">
        <v>0</v>
      </c>
      <c r="O224" s="470">
        <v>0</v>
      </c>
      <c r="P224" s="470" t="s">
        <v>306</v>
      </c>
      <c r="Q224" s="470">
        <v>1</v>
      </c>
      <c r="R224" s="470">
        <v>0</v>
      </c>
      <c r="S224" s="470">
        <v>1</v>
      </c>
      <c r="T224" s="470">
        <v>1</v>
      </c>
      <c r="U224" s="470">
        <v>1</v>
      </c>
      <c r="V224" s="470">
        <v>1</v>
      </c>
      <c r="W224" s="470">
        <v>1</v>
      </c>
      <c r="X224" s="470">
        <v>-1</v>
      </c>
      <c r="Y224" s="470" t="s">
        <v>306</v>
      </c>
      <c r="Z224" s="470" t="s">
        <v>306</v>
      </c>
      <c r="AA224" s="470" t="s">
        <v>306</v>
      </c>
      <c r="AB224" s="470">
        <v>2</v>
      </c>
      <c r="AC224" s="470" t="s">
        <v>273</v>
      </c>
      <c r="AD224" s="470">
        <v>2</v>
      </c>
      <c r="AE224" s="470">
        <v>8</v>
      </c>
      <c r="AF224" s="470">
        <v>-4</v>
      </c>
      <c r="AG224" s="470" t="s">
        <v>306</v>
      </c>
      <c r="AH224" s="470">
        <v>-4</v>
      </c>
      <c r="AI224" s="470">
        <v>-3</v>
      </c>
      <c r="AJ224" s="470" t="s">
        <v>306</v>
      </c>
      <c r="AK224" s="470" t="s">
        <v>306</v>
      </c>
      <c r="AL224" s="470">
        <v>2</v>
      </c>
    </row>
    <row r="225" spans="1:38">
      <c r="A225" s="470" t="s">
        <v>1408</v>
      </c>
      <c r="B225" s="470" t="s">
        <v>273</v>
      </c>
      <c r="C225" s="470" t="s">
        <v>273</v>
      </c>
      <c r="D225" s="470" t="s">
        <v>273</v>
      </c>
      <c r="E225" s="470" t="s">
        <v>273</v>
      </c>
      <c r="F225" s="470" t="s">
        <v>273</v>
      </c>
      <c r="G225" s="470" t="s">
        <v>273</v>
      </c>
      <c r="H225" s="470" t="s">
        <v>273</v>
      </c>
      <c r="I225" s="470">
        <v>23</v>
      </c>
      <c r="J225" s="470">
        <v>21</v>
      </c>
      <c r="K225" s="470">
        <v>26</v>
      </c>
      <c r="L225" s="470">
        <v>30</v>
      </c>
      <c r="M225" s="470">
        <v>0</v>
      </c>
      <c r="N225" s="470">
        <v>24</v>
      </c>
      <c r="O225" s="470">
        <v>37</v>
      </c>
      <c r="P225" s="470">
        <v>44</v>
      </c>
      <c r="Q225" s="470">
        <v>66</v>
      </c>
      <c r="R225" s="470">
        <v>54</v>
      </c>
      <c r="S225" s="470" t="s">
        <v>273</v>
      </c>
      <c r="T225" s="470" t="s">
        <v>273</v>
      </c>
      <c r="U225" s="470" t="s">
        <v>273</v>
      </c>
      <c r="V225" s="470" t="s">
        <v>273</v>
      </c>
      <c r="W225" s="470" t="s">
        <v>273</v>
      </c>
      <c r="X225" s="470" t="s">
        <v>273</v>
      </c>
      <c r="Y225" s="470" t="s">
        <v>273</v>
      </c>
      <c r="Z225" s="470" t="s">
        <v>273</v>
      </c>
      <c r="AA225" s="470" t="s">
        <v>273</v>
      </c>
      <c r="AB225" s="470" t="s">
        <v>273</v>
      </c>
      <c r="AC225" s="470" t="s">
        <v>273</v>
      </c>
      <c r="AD225" s="470" t="s">
        <v>273</v>
      </c>
      <c r="AE225" s="470" t="s">
        <v>273</v>
      </c>
      <c r="AF225" s="470" t="s">
        <v>273</v>
      </c>
      <c r="AG225" s="470" t="s">
        <v>273</v>
      </c>
      <c r="AH225" s="470" t="s">
        <v>273</v>
      </c>
      <c r="AI225" s="470" t="s">
        <v>273</v>
      </c>
      <c r="AJ225" s="470" t="s">
        <v>273</v>
      </c>
      <c r="AK225" s="470" t="s">
        <v>273</v>
      </c>
      <c r="AL225" s="470" t="s">
        <v>273</v>
      </c>
    </row>
    <row r="226" spans="1:38">
      <c r="A226" s="470" t="s">
        <v>1407</v>
      </c>
      <c r="B226" s="470" t="s">
        <v>273</v>
      </c>
      <c r="C226" s="470" t="s">
        <v>273</v>
      </c>
      <c r="D226" s="470" t="s">
        <v>273</v>
      </c>
      <c r="E226" s="470" t="s">
        <v>273</v>
      </c>
      <c r="F226" s="470" t="s">
        <v>273</v>
      </c>
      <c r="G226" s="470" t="s">
        <v>273</v>
      </c>
      <c r="H226" s="470" t="s">
        <v>273</v>
      </c>
      <c r="I226" s="470">
        <v>35</v>
      </c>
      <c r="J226" s="470">
        <v>41</v>
      </c>
      <c r="K226" s="470">
        <v>39</v>
      </c>
      <c r="L226" s="470">
        <v>25</v>
      </c>
      <c r="M226" s="470">
        <v>30</v>
      </c>
      <c r="N226" s="470">
        <v>80</v>
      </c>
      <c r="O226" s="470">
        <v>69</v>
      </c>
      <c r="P226" s="470">
        <v>68</v>
      </c>
      <c r="Q226" s="470">
        <v>159</v>
      </c>
      <c r="R226" s="470">
        <v>199</v>
      </c>
      <c r="S226" s="470">
        <v>262</v>
      </c>
      <c r="T226" s="470">
        <v>254</v>
      </c>
      <c r="U226" s="470">
        <v>83</v>
      </c>
      <c r="V226" s="470">
        <v>16</v>
      </c>
      <c r="W226" s="470">
        <v>57</v>
      </c>
      <c r="X226" s="470">
        <v>40</v>
      </c>
      <c r="Y226" s="470">
        <v>58</v>
      </c>
      <c r="Z226" s="470">
        <v>49</v>
      </c>
      <c r="AA226" s="470">
        <v>65</v>
      </c>
      <c r="AB226" s="470" t="s">
        <v>291</v>
      </c>
      <c r="AC226" s="470">
        <v>106</v>
      </c>
      <c r="AD226" s="470">
        <v>88</v>
      </c>
      <c r="AE226" s="470">
        <v>248</v>
      </c>
      <c r="AF226" s="470">
        <v>138</v>
      </c>
      <c r="AG226" s="470">
        <v>169</v>
      </c>
      <c r="AH226" s="470">
        <v>24</v>
      </c>
      <c r="AI226" s="470">
        <v>1190</v>
      </c>
      <c r="AJ226" s="470">
        <v>1521</v>
      </c>
      <c r="AK226" s="470">
        <v>1604</v>
      </c>
      <c r="AL226" s="470">
        <v>1637</v>
      </c>
    </row>
    <row r="227" spans="1:38">
      <c r="A227" s="470" t="s">
        <v>297</v>
      </c>
      <c r="B227" s="470" t="s">
        <v>273</v>
      </c>
      <c r="C227" s="470" t="s">
        <v>273</v>
      </c>
      <c r="D227" s="470" t="s">
        <v>273</v>
      </c>
      <c r="E227" s="470" t="s">
        <v>273</v>
      </c>
      <c r="F227" s="470" t="s">
        <v>273</v>
      </c>
      <c r="G227" s="470" t="s">
        <v>273</v>
      </c>
      <c r="H227" s="470" t="s">
        <v>273</v>
      </c>
      <c r="I227" s="470">
        <v>0</v>
      </c>
      <c r="J227" s="470">
        <v>0</v>
      </c>
      <c r="K227" s="470">
        <v>0</v>
      </c>
      <c r="L227" s="470">
        <v>0</v>
      </c>
      <c r="M227" s="470">
        <v>0</v>
      </c>
      <c r="N227" s="470">
        <v>5</v>
      </c>
      <c r="O227" s="470">
        <v>5</v>
      </c>
      <c r="P227" s="470">
        <v>5</v>
      </c>
      <c r="Q227" s="470">
        <v>5</v>
      </c>
      <c r="R227" s="470">
        <v>5</v>
      </c>
      <c r="S227" s="470">
        <v>5</v>
      </c>
      <c r="T227" s="470">
        <v>5</v>
      </c>
      <c r="U227" s="470">
        <v>5</v>
      </c>
      <c r="V227" s="470">
        <v>5</v>
      </c>
      <c r="W227" s="470">
        <v>4</v>
      </c>
      <c r="X227" s="470">
        <v>4</v>
      </c>
      <c r="Y227" s="470">
        <v>4</v>
      </c>
      <c r="Z227" s="470">
        <v>4</v>
      </c>
      <c r="AA227" s="470">
        <v>4</v>
      </c>
      <c r="AB227" s="470">
        <v>4</v>
      </c>
      <c r="AC227" s="470">
        <v>0</v>
      </c>
      <c r="AD227" s="470">
        <v>0</v>
      </c>
      <c r="AE227" s="470">
        <v>1</v>
      </c>
      <c r="AF227" s="470">
        <v>0</v>
      </c>
      <c r="AG227" s="470">
        <v>0</v>
      </c>
      <c r="AH227" s="470">
        <v>0</v>
      </c>
      <c r="AI227" s="470">
        <v>0</v>
      </c>
      <c r="AJ227" s="470">
        <v>0</v>
      </c>
      <c r="AK227" s="470">
        <v>0</v>
      </c>
      <c r="AL227" s="470">
        <v>0</v>
      </c>
    </row>
    <row r="228" spans="1:38">
      <c r="A228" s="470" t="s">
        <v>296</v>
      </c>
      <c r="B228" s="470" t="s">
        <v>273</v>
      </c>
      <c r="C228" s="470" t="s">
        <v>273</v>
      </c>
      <c r="D228" s="470" t="s">
        <v>273</v>
      </c>
      <c r="E228" s="470" t="s">
        <v>273</v>
      </c>
      <c r="F228" s="470" t="s">
        <v>273</v>
      </c>
      <c r="G228" s="470" t="s">
        <v>273</v>
      </c>
      <c r="H228" s="470" t="s">
        <v>273</v>
      </c>
      <c r="I228" s="470">
        <v>1</v>
      </c>
      <c r="J228" s="470">
        <v>0</v>
      </c>
      <c r="K228" s="470">
        <v>0</v>
      </c>
      <c r="L228" s="470">
        <v>0</v>
      </c>
      <c r="M228" s="470">
        <v>0</v>
      </c>
      <c r="N228" s="470">
        <v>3</v>
      </c>
      <c r="O228" s="470">
        <v>3</v>
      </c>
      <c r="P228" s="470">
        <v>3</v>
      </c>
      <c r="Q228" s="470">
        <v>3</v>
      </c>
      <c r="R228" s="470">
        <v>3</v>
      </c>
      <c r="S228" s="470">
        <v>1</v>
      </c>
      <c r="T228" s="470">
        <v>1</v>
      </c>
      <c r="U228" s="470">
        <v>1</v>
      </c>
      <c r="V228" s="470">
        <v>1</v>
      </c>
      <c r="W228" s="470">
        <v>1</v>
      </c>
      <c r="X228" s="470">
        <v>1</v>
      </c>
      <c r="Y228" s="470" t="s">
        <v>291</v>
      </c>
      <c r="Z228" s="470" t="s">
        <v>291</v>
      </c>
      <c r="AA228" s="470">
        <v>103</v>
      </c>
      <c r="AB228" s="470">
        <v>40</v>
      </c>
      <c r="AC228" s="470" t="s">
        <v>291</v>
      </c>
      <c r="AD228" s="470" t="s">
        <v>291</v>
      </c>
      <c r="AE228" s="470" t="s">
        <v>291</v>
      </c>
      <c r="AF228" s="470">
        <v>428</v>
      </c>
      <c r="AG228" s="470" t="s">
        <v>291</v>
      </c>
      <c r="AH228" s="470">
        <v>629</v>
      </c>
      <c r="AI228" s="470">
        <v>268</v>
      </c>
      <c r="AJ228" s="470">
        <v>124</v>
      </c>
      <c r="AK228" s="470">
        <v>139</v>
      </c>
      <c r="AL228" s="470">
        <v>8</v>
      </c>
    </row>
    <row r="229" spans="1:38">
      <c r="A229" s="470" t="s">
        <v>295</v>
      </c>
      <c r="B229" s="470" t="s">
        <v>273</v>
      </c>
      <c r="C229" s="470" t="s">
        <v>273</v>
      </c>
      <c r="D229" s="470" t="s">
        <v>273</v>
      </c>
      <c r="E229" s="470" t="s">
        <v>273</v>
      </c>
      <c r="F229" s="470" t="s">
        <v>273</v>
      </c>
      <c r="G229" s="470" t="s">
        <v>273</v>
      </c>
      <c r="H229" s="470" t="s">
        <v>273</v>
      </c>
      <c r="I229" s="470" t="s">
        <v>273</v>
      </c>
      <c r="J229" s="470" t="s">
        <v>273</v>
      </c>
      <c r="K229" s="470" t="s">
        <v>273</v>
      </c>
      <c r="L229" s="470" t="s">
        <v>273</v>
      </c>
      <c r="M229" s="470" t="s">
        <v>273</v>
      </c>
      <c r="N229" s="470" t="s">
        <v>273</v>
      </c>
      <c r="O229" s="470" t="s">
        <v>273</v>
      </c>
      <c r="P229" s="470" t="s">
        <v>273</v>
      </c>
      <c r="Q229" s="470" t="s">
        <v>273</v>
      </c>
      <c r="R229" s="470" t="s">
        <v>273</v>
      </c>
      <c r="S229" s="470" t="s">
        <v>273</v>
      </c>
      <c r="T229" s="470" t="s">
        <v>273</v>
      </c>
      <c r="U229" s="470" t="s">
        <v>273</v>
      </c>
      <c r="V229" s="470" t="s">
        <v>273</v>
      </c>
      <c r="W229" s="470" t="s">
        <v>273</v>
      </c>
      <c r="X229" s="470" t="s">
        <v>273</v>
      </c>
      <c r="Y229" s="470" t="s">
        <v>273</v>
      </c>
      <c r="Z229" s="470">
        <v>0</v>
      </c>
      <c r="AA229" s="470">
        <v>0</v>
      </c>
      <c r="AB229" s="470" t="s">
        <v>306</v>
      </c>
      <c r="AC229" s="470">
        <v>0</v>
      </c>
      <c r="AD229" s="470" t="s">
        <v>273</v>
      </c>
      <c r="AE229" s="470" t="s">
        <v>273</v>
      </c>
      <c r="AF229" s="470" t="s">
        <v>273</v>
      </c>
      <c r="AG229" s="470" t="s">
        <v>273</v>
      </c>
      <c r="AH229" s="470" t="s">
        <v>273</v>
      </c>
      <c r="AI229" s="470" t="s">
        <v>273</v>
      </c>
      <c r="AJ229" s="470" t="s">
        <v>273</v>
      </c>
      <c r="AK229" s="470" t="s">
        <v>273</v>
      </c>
      <c r="AL229" s="470" t="s">
        <v>273</v>
      </c>
    </row>
    <row r="230" spans="1:38">
      <c r="A230" s="470" t="s">
        <v>294</v>
      </c>
      <c r="B230" s="470" t="s">
        <v>273</v>
      </c>
      <c r="C230" s="470" t="s">
        <v>273</v>
      </c>
      <c r="D230" s="470" t="s">
        <v>273</v>
      </c>
      <c r="E230" s="470" t="s">
        <v>273</v>
      </c>
      <c r="F230" s="470" t="s">
        <v>273</v>
      </c>
      <c r="G230" s="470" t="s">
        <v>273</v>
      </c>
      <c r="H230" s="470" t="s">
        <v>273</v>
      </c>
      <c r="I230" s="470">
        <v>0</v>
      </c>
      <c r="J230" s="470">
        <v>0</v>
      </c>
      <c r="K230" s="470">
        <v>0</v>
      </c>
      <c r="L230" s="470">
        <v>0</v>
      </c>
      <c r="M230" s="470">
        <v>0</v>
      </c>
      <c r="N230" s="470">
        <v>0</v>
      </c>
      <c r="O230" s="470">
        <v>0</v>
      </c>
      <c r="P230" s="470">
        <v>0</v>
      </c>
      <c r="Q230" s="470">
        <v>0</v>
      </c>
      <c r="R230" s="470">
        <v>0</v>
      </c>
      <c r="S230" s="470">
        <v>0</v>
      </c>
      <c r="T230" s="470">
        <v>0</v>
      </c>
      <c r="U230" s="470">
        <v>0</v>
      </c>
      <c r="V230" s="470">
        <v>2</v>
      </c>
      <c r="W230" s="470">
        <v>3</v>
      </c>
      <c r="X230" s="470" t="s">
        <v>291</v>
      </c>
      <c r="Y230" s="470" t="s">
        <v>291</v>
      </c>
      <c r="Z230" s="470" t="s">
        <v>291</v>
      </c>
      <c r="AA230" s="470" t="s">
        <v>291</v>
      </c>
      <c r="AB230" s="470" t="s">
        <v>291</v>
      </c>
      <c r="AC230" s="470">
        <v>3</v>
      </c>
      <c r="AD230" s="470" t="s">
        <v>291</v>
      </c>
      <c r="AE230" s="470" t="s">
        <v>291</v>
      </c>
      <c r="AF230" s="470" t="s">
        <v>291</v>
      </c>
      <c r="AG230" s="470" t="s">
        <v>291</v>
      </c>
      <c r="AH230" s="470" t="s">
        <v>291</v>
      </c>
      <c r="AI230" s="470" t="s">
        <v>291</v>
      </c>
      <c r="AJ230" s="470">
        <v>29</v>
      </c>
      <c r="AK230" s="470">
        <v>38</v>
      </c>
      <c r="AL230" s="470">
        <v>63</v>
      </c>
    </row>
    <row r="231" spans="1:38">
      <c r="A231" s="470" t="s">
        <v>293</v>
      </c>
      <c r="B231" s="470" t="s">
        <v>273</v>
      </c>
      <c r="C231" s="470" t="s">
        <v>273</v>
      </c>
      <c r="D231" s="470" t="s">
        <v>273</v>
      </c>
      <c r="E231" s="470" t="s">
        <v>273</v>
      </c>
      <c r="F231" s="470" t="s">
        <v>273</v>
      </c>
      <c r="G231" s="470" t="s">
        <v>273</v>
      </c>
      <c r="H231" s="470" t="s">
        <v>273</v>
      </c>
      <c r="I231" s="470" t="s">
        <v>273</v>
      </c>
      <c r="J231" s="470" t="s">
        <v>273</v>
      </c>
      <c r="K231" s="470" t="s">
        <v>273</v>
      </c>
      <c r="L231" s="470" t="s">
        <v>273</v>
      </c>
      <c r="M231" s="470" t="s">
        <v>273</v>
      </c>
      <c r="N231" s="470" t="s">
        <v>273</v>
      </c>
      <c r="O231" s="470" t="s">
        <v>273</v>
      </c>
      <c r="P231" s="470" t="s">
        <v>273</v>
      </c>
      <c r="Q231" s="470" t="s">
        <v>273</v>
      </c>
      <c r="R231" s="470" t="s">
        <v>273</v>
      </c>
      <c r="S231" s="470" t="s">
        <v>273</v>
      </c>
      <c r="T231" s="470" t="s">
        <v>273</v>
      </c>
      <c r="U231" s="470" t="s">
        <v>273</v>
      </c>
      <c r="V231" s="470" t="s">
        <v>273</v>
      </c>
      <c r="W231" s="470" t="s">
        <v>273</v>
      </c>
      <c r="X231" s="470" t="s">
        <v>273</v>
      </c>
      <c r="Y231" s="470" t="s">
        <v>273</v>
      </c>
      <c r="Z231" s="470" t="s">
        <v>273</v>
      </c>
      <c r="AA231" s="470" t="s">
        <v>273</v>
      </c>
      <c r="AB231" s="470" t="s">
        <v>273</v>
      </c>
      <c r="AC231" s="470" t="s">
        <v>273</v>
      </c>
      <c r="AD231" s="470" t="s">
        <v>273</v>
      </c>
      <c r="AE231" s="470" t="s">
        <v>273</v>
      </c>
      <c r="AF231" s="470" t="s">
        <v>273</v>
      </c>
      <c r="AG231" s="470" t="s">
        <v>273</v>
      </c>
      <c r="AH231" s="470">
        <v>1</v>
      </c>
      <c r="AI231" s="470">
        <v>1</v>
      </c>
      <c r="AJ231" s="470">
        <v>1</v>
      </c>
      <c r="AK231" s="470">
        <v>1</v>
      </c>
      <c r="AL231" s="470">
        <v>1</v>
      </c>
    </row>
    <row r="232" spans="1:38">
      <c r="A232" s="470" t="s">
        <v>292</v>
      </c>
      <c r="B232" s="470" t="s">
        <v>273</v>
      </c>
      <c r="C232" s="470" t="s">
        <v>273</v>
      </c>
      <c r="D232" s="470" t="s">
        <v>273</v>
      </c>
      <c r="E232" s="470" t="s">
        <v>273</v>
      </c>
      <c r="F232" s="470" t="s">
        <v>273</v>
      </c>
      <c r="G232" s="470" t="s">
        <v>273</v>
      </c>
      <c r="H232" s="470" t="s">
        <v>273</v>
      </c>
      <c r="I232" s="470">
        <v>0</v>
      </c>
      <c r="J232" s="470">
        <v>0</v>
      </c>
      <c r="K232" s="470">
        <v>0</v>
      </c>
      <c r="L232" s="470">
        <v>0</v>
      </c>
      <c r="M232" s="470">
        <v>0</v>
      </c>
      <c r="N232" s="470">
        <v>0</v>
      </c>
      <c r="O232" s="470">
        <v>0</v>
      </c>
      <c r="P232" s="470">
        <v>0</v>
      </c>
      <c r="Q232" s="470">
        <v>0</v>
      </c>
      <c r="R232" s="470">
        <v>0</v>
      </c>
      <c r="S232" s="470">
        <v>0</v>
      </c>
      <c r="T232" s="470">
        <v>0</v>
      </c>
      <c r="U232" s="470" t="s">
        <v>306</v>
      </c>
      <c r="V232" s="470">
        <v>0</v>
      </c>
      <c r="W232" s="470">
        <v>-1</v>
      </c>
      <c r="X232" s="470">
        <v>-2</v>
      </c>
      <c r="Y232" s="470">
        <v>-1</v>
      </c>
      <c r="Z232" s="470">
        <v>-2</v>
      </c>
      <c r="AA232" s="470">
        <v>-2</v>
      </c>
      <c r="AB232" s="470">
        <v>-3</v>
      </c>
      <c r="AC232" s="470">
        <v>-2</v>
      </c>
      <c r="AD232" s="470">
        <v>-4</v>
      </c>
      <c r="AE232" s="470">
        <v>-5</v>
      </c>
      <c r="AF232" s="470">
        <v>-5</v>
      </c>
      <c r="AG232" s="470">
        <v>-7</v>
      </c>
      <c r="AH232" s="470" t="s">
        <v>291</v>
      </c>
      <c r="AI232" s="470" t="s">
        <v>306</v>
      </c>
      <c r="AJ232" s="470" t="s">
        <v>306</v>
      </c>
      <c r="AK232" s="470">
        <v>1</v>
      </c>
      <c r="AL232" s="470" t="s">
        <v>306</v>
      </c>
    </row>
    <row r="233" spans="1:38">
      <c r="A233" s="470" t="s">
        <v>290</v>
      </c>
      <c r="B233" s="470" t="s">
        <v>273</v>
      </c>
      <c r="C233" s="470" t="s">
        <v>273</v>
      </c>
      <c r="D233" s="470" t="s">
        <v>273</v>
      </c>
      <c r="E233" s="470" t="s">
        <v>273</v>
      </c>
      <c r="F233" s="470" t="s">
        <v>273</v>
      </c>
      <c r="G233" s="470" t="s">
        <v>273</v>
      </c>
      <c r="H233" s="470" t="s">
        <v>273</v>
      </c>
      <c r="I233" s="470">
        <v>27</v>
      </c>
      <c r="J233" s="470">
        <v>30</v>
      </c>
      <c r="K233" s="470">
        <v>31</v>
      </c>
      <c r="L233" s="470">
        <v>35</v>
      </c>
      <c r="M233" s="470">
        <v>75</v>
      </c>
      <c r="N233" s="470">
        <v>0</v>
      </c>
      <c r="O233" s="470">
        <v>0</v>
      </c>
      <c r="P233" s="470">
        <v>0</v>
      </c>
      <c r="Q233" s="470">
        <v>0</v>
      </c>
      <c r="R233" s="470">
        <v>0</v>
      </c>
      <c r="S233" s="470" t="s">
        <v>273</v>
      </c>
      <c r="T233" s="470" t="s">
        <v>273</v>
      </c>
      <c r="U233" s="470" t="s">
        <v>273</v>
      </c>
      <c r="V233" s="470" t="s">
        <v>273</v>
      </c>
      <c r="W233" s="470" t="s">
        <v>273</v>
      </c>
      <c r="X233" s="470" t="s">
        <v>273</v>
      </c>
      <c r="Y233" s="470" t="s">
        <v>273</v>
      </c>
      <c r="Z233" s="470" t="s">
        <v>273</v>
      </c>
      <c r="AA233" s="470" t="s">
        <v>273</v>
      </c>
      <c r="AB233" s="470" t="s">
        <v>273</v>
      </c>
      <c r="AC233" s="470" t="s">
        <v>273</v>
      </c>
      <c r="AD233" s="470" t="s">
        <v>273</v>
      </c>
      <c r="AE233" s="470" t="s">
        <v>273</v>
      </c>
      <c r="AF233" s="470" t="s">
        <v>273</v>
      </c>
      <c r="AG233" s="470" t="s">
        <v>273</v>
      </c>
      <c r="AH233" s="470" t="s">
        <v>273</v>
      </c>
      <c r="AI233" s="470" t="s">
        <v>273</v>
      </c>
      <c r="AJ233" s="470" t="s">
        <v>273</v>
      </c>
      <c r="AK233" s="470" t="s">
        <v>273</v>
      </c>
      <c r="AL233" s="470" t="s">
        <v>273</v>
      </c>
    </row>
    <row r="234" spans="1:38">
      <c r="A234" s="470" t="s">
        <v>1030</v>
      </c>
      <c r="B234" s="470" t="s">
        <v>273</v>
      </c>
      <c r="C234" s="470" t="s">
        <v>273</v>
      </c>
      <c r="D234" s="470" t="s">
        <v>273</v>
      </c>
      <c r="E234" s="470" t="s">
        <v>273</v>
      </c>
      <c r="F234" s="470" t="s">
        <v>273</v>
      </c>
      <c r="G234" s="470" t="s">
        <v>273</v>
      </c>
      <c r="H234" s="470" t="s">
        <v>273</v>
      </c>
      <c r="I234" s="470" t="s">
        <v>273</v>
      </c>
      <c r="J234" s="470" t="s">
        <v>273</v>
      </c>
      <c r="K234" s="470" t="s">
        <v>273</v>
      </c>
      <c r="L234" s="470" t="s">
        <v>273</v>
      </c>
      <c r="M234" s="470" t="s">
        <v>273</v>
      </c>
      <c r="N234" s="470" t="s">
        <v>273</v>
      </c>
      <c r="O234" s="470" t="s">
        <v>273</v>
      </c>
      <c r="P234" s="470" t="s">
        <v>273</v>
      </c>
      <c r="Q234" s="470" t="s">
        <v>273</v>
      </c>
      <c r="R234" s="470" t="s">
        <v>273</v>
      </c>
      <c r="S234" s="470">
        <v>0</v>
      </c>
      <c r="T234" s="470">
        <v>0</v>
      </c>
      <c r="U234" s="470">
        <v>0</v>
      </c>
      <c r="V234" s="470">
        <v>0</v>
      </c>
      <c r="W234" s="470">
        <v>0</v>
      </c>
      <c r="X234" s="470">
        <v>0</v>
      </c>
      <c r="Y234" s="470">
        <v>0</v>
      </c>
      <c r="Z234" s="470" t="s">
        <v>273</v>
      </c>
      <c r="AA234" s="470" t="s">
        <v>273</v>
      </c>
      <c r="AB234" s="470">
        <v>0</v>
      </c>
      <c r="AC234" s="470">
        <v>0</v>
      </c>
      <c r="AD234" s="470" t="s">
        <v>306</v>
      </c>
      <c r="AE234" s="470" t="s">
        <v>306</v>
      </c>
      <c r="AF234" s="470">
        <v>0</v>
      </c>
      <c r="AG234" s="470">
        <v>0</v>
      </c>
      <c r="AH234" s="470">
        <v>0</v>
      </c>
      <c r="AI234" s="470">
        <v>-1</v>
      </c>
      <c r="AJ234" s="470">
        <v>0</v>
      </c>
      <c r="AK234" s="470">
        <v>0</v>
      </c>
      <c r="AL234" s="470">
        <v>0</v>
      </c>
    </row>
    <row r="235" spans="1:38">
      <c r="A235" s="470" t="s">
        <v>288</v>
      </c>
      <c r="B235" s="470" t="s">
        <v>273</v>
      </c>
      <c r="C235" s="470" t="s">
        <v>273</v>
      </c>
      <c r="D235" s="470" t="s">
        <v>273</v>
      </c>
      <c r="E235" s="470" t="s">
        <v>273</v>
      </c>
      <c r="F235" s="470" t="s">
        <v>273</v>
      </c>
      <c r="G235" s="470" t="s">
        <v>273</v>
      </c>
      <c r="H235" s="470" t="s">
        <v>273</v>
      </c>
      <c r="I235" s="470">
        <v>15</v>
      </c>
      <c r="J235" s="470">
        <v>14</v>
      </c>
      <c r="K235" s="470">
        <v>19</v>
      </c>
      <c r="L235" s="470">
        <v>19</v>
      </c>
      <c r="M235" s="470">
        <v>7</v>
      </c>
      <c r="N235" s="470">
        <v>17</v>
      </c>
      <c r="O235" s="470">
        <v>17</v>
      </c>
      <c r="P235" s="470">
        <v>22</v>
      </c>
      <c r="Q235" s="470">
        <v>30</v>
      </c>
      <c r="R235" s="470">
        <v>19</v>
      </c>
      <c r="S235" s="470">
        <v>20</v>
      </c>
      <c r="T235" s="470">
        <v>10</v>
      </c>
      <c r="U235" s="470">
        <v>5</v>
      </c>
      <c r="V235" s="470" t="s">
        <v>306</v>
      </c>
      <c r="W235" s="470" t="s">
        <v>291</v>
      </c>
      <c r="X235" s="470" t="s">
        <v>291</v>
      </c>
      <c r="Y235" s="470">
        <v>30</v>
      </c>
      <c r="Z235" s="470" t="s">
        <v>291</v>
      </c>
      <c r="AA235" s="470" t="s">
        <v>291</v>
      </c>
      <c r="AB235" s="470" t="s">
        <v>291</v>
      </c>
      <c r="AC235" s="470">
        <v>52</v>
      </c>
      <c r="AD235" s="470">
        <v>57</v>
      </c>
      <c r="AE235" s="470">
        <v>60</v>
      </c>
      <c r="AF235" s="470">
        <v>76</v>
      </c>
      <c r="AG235" s="470">
        <v>79</v>
      </c>
      <c r="AH235" s="470">
        <v>64</v>
      </c>
      <c r="AI235" s="470">
        <v>-237</v>
      </c>
      <c r="AJ235" s="470">
        <v>-133</v>
      </c>
      <c r="AK235" s="470">
        <v>-117</v>
      </c>
      <c r="AL235" s="470">
        <v>-131</v>
      </c>
    </row>
    <row r="236" spans="1:38">
      <c r="A236" s="470" t="s">
        <v>287</v>
      </c>
      <c r="B236" s="470" t="s">
        <v>273</v>
      </c>
      <c r="C236" s="470" t="s">
        <v>273</v>
      </c>
      <c r="D236" s="470" t="s">
        <v>273</v>
      </c>
      <c r="E236" s="470" t="s">
        <v>273</v>
      </c>
      <c r="F236" s="470" t="s">
        <v>273</v>
      </c>
      <c r="G236" s="470" t="s">
        <v>273</v>
      </c>
      <c r="H236" s="470" t="s">
        <v>273</v>
      </c>
      <c r="I236" s="470">
        <v>0</v>
      </c>
      <c r="J236" s="470">
        <v>0</v>
      </c>
      <c r="K236" s="470">
        <v>0</v>
      </c>
      <c r="L236" s="470">
        <v>-1</v>
      </c>
      <c r="M236" s="470">
        <v>26</v>
      </c>
      <c r="N236" s="470">
        <v>0</v>
      </c>
      <c r="O236" s="470">
        <v>0</v>
      </c>
      <c r="P236" s="470">
        <v>0</v>
      </c>
      <c r="Q236" s="470">
        <v>0</v>
      </c>
      <c r="R236" s="470">
        <v>0</v>
      </c>
      <c r="S236" s="470">
        <v>0</v>
      </c>
      <c r="T236" s="470">
        <v>0</v>
      </c>
      <c r="U236" s="470">
        <v>0</v>
      </c>
      <c r="V236" s="470">
        <v>-1</v>
      </c>
      <c r="W236" s="470">
        <v>0</v>
      </c>
      <c r="X236" s="470">
        <v>0</v>
      </c>
      <c r="Y236" s="470">
        <v>0</v>
      </c>
      <c r="Z236" s="470" t="s">
        <v>273</v>
      </c>
      <c r="AA236" s="470" t="s">
        <v>273</v>
      </c>
      <c r="AB236" s="470" t="s">
        <v>273</v>
      </c>
      <c r="AC236" s="470" t="s">
        <v>273</v>
      </c>
      <c r="AD236" s="470" t="s">
        <v>273</v>
      </c>
      <c r="AE236" s="470" t="s">
        <v>273</v>
      </c>
      <c r="AF236" s="470" t="s">
        <v>273</v>
      </c>
      <c r="AG236" s="470">
        <v>0</v>
      </c>
      <c r="AH236" s="470">
        <v>0</v>
      </c>
      <c r="AI236" s="470">
        <v>0</v>
      </c>
      <c r="AJ236" s="470" t="s">
        <v>273</v>
      </c>
      <c r="AK236" s="470" t="s">
        <v>273</v>
      </c>
      <c r="AL236" s="470" t="s">
        <v>273</v>
      </c>
    </row>
    <row r="237" spans="1:38">
      <c r="A237" s="470" t="s">
        <v>286</v>
      </c>
      <c r="B237" s="470" t="s">
        <v>273</v>
      </c>
      <c r="C237" s="470" t="s">
        <v>273</v>
      </c>
      <c r="D237" s="470" t="s">
        <v>273</v>
      </c>
      <c r="E237" s="470" t="s">
        <v>273</v>
      </c>
      <c r="F237" s="470" t="s">
        <v>273</v>
      </c>
      <c r="G237" s="470" t="s">
        <v>273</v>
      </c>
      <c r="H237" s="470" t="s">
        <v>273</v>
      </c>
      <c r="I237" s="470">
        <v>0</v>
      </c>
      <c r="J237" s="470">
        <v>-2</v>
      </c>
      <c r="K237" s="470">
        <v>0</v>
      </c>
      <c r="L237" s="470">
        <v>0</v>
      </c>
      <c r="M237" s="470">
        <v>0</v>
      </c>
      <c r="N237" s="470">
        <v>0</v>
      </c>
      <c r="O237" s="470">
        <v>0</v>
      </c>
      <c r="P237" s="470">
        <v>0</v>
      </c>
      <c r="Q237" s="470">
        <v>0</v>
      </c>
      <c r="R237" s="470">
        <v>0</v>
      </c>
      <c r="S237" s="470">
        <v>79</v>
      </c>
      <c r="T237" s="470">
        <v>1</v>
      </c>
      <c r="U237" s="470">
        <v>1</v>
      </c>
      <c r="V237" s="470">
        <v>2</v>
      </c>
      <c r="W237" s="470">
        <v>1</v>
      </c>
      <c r="X237" s="470">
        <v>-1</v>
      </c>
      <c r="Y237" s="470">
        <v>-1</v>
      </c>
      <c r="Z237" s="470">
        <v>1</v>
      </c>
      <c r="AA237" s="470">
        <v>1</v>
      </c>
      <c r="AB237" s="470">
        <v>1</v>
      </c>
      <c r="AC237" s="470">
        <v>2</v>
      </c>
      <c r="AD237" s="470">
        <v>2</v>
      </c>
      <c r="AE237" s="470">
        <v>2</v>
      </c>
      <c r="AF237" s="470">
        <v>2</v>
      </c>
      <c r="AG237" s="470">
        <v>1</v>
      </c>
      <c r="AH237" s="470">
        <v>1</v>
      </c>
      <c r="AI237" s="470">
        <v>-3</v>
      </c>
      <c r="AJ237" s="470">
        <v>-1</v>
      </c>
      <c r="AK237" s="470">
        <v>2</v>
      </c>
      <c r="AL237" s="470">
        <v>2</v>
      </c>
    </row>
    <row r="238" spans="1:38">
      <c r="A238" s="470" t="s">
        <v>1406</v>
      </c>
      <c r="B238" s="470" t="s">
        <v>273</v>
      </c>
      <c r="C238" s="470" t="s">
        <v>273</v>
      </c>
      <c r="D238" s="470" t="s">
        <v>273</v>
      </c>
      <c r="E238" s="470" t="s">
        <v>273</v>
      </c>
      <c r="F238" s="470" t="s">
        <v>273</v>
      </c>
      <c r="G238" s="470" t="s">
        <v>273</v>
      </c>
      <c r="H238" s="470" t="s">
        <v>273</v>
      </c>
      <c r="I238" s="470" t="s">
        <v>273</v>
      </c>
      <c r="J238" s="470" t="s">
        <v>273</v>
      </c>
      <c r="K238" s="470" t="s">
        <v>273</v>
      </c>
      <c r="L238" s="470" t="s">
        <v>273</v>
      </c>
      <c r="M238" s="470" t="s">
        <v>273</v>
      </c>
      <c r="N238" s="470" t="s">
        <v>273</v>
      </c>
      <c r="O238" s="470" t="s">
        <v>273</v>
      </c>
      <c r="P238" s="470" t="s">
        <v>273</v>
      </c>
      <c r="Q238" s="470" t="s">
        <v>273</v>
      </c>
      <c r="R238" s="470" t="s">
        <v>273</v>
      </c>
      <c r="S238" s="470">
        <v>99</v>
      </c>
      <c r="T238" s="470">
        <v>110</v>
      </c>
      <c r="U238" s="470">
        <v>101</v>
      </c>
      <c r="V238" s="470">
        <v>47</v>
      </c>
      <c r="W238" s="470">
        <v>27</v>
      </c>
      <c r="X238" s="470">
        <v>43</v>
      </c>
      <c r="Y238" s="470">
        <v>24</v>
      </c>
      <c r="Z238" s="470">
        <v>19</v>
      </c>
      <c r="AA238" s="470">
        <v>2</v>
      </c>
      <c r="AB238" s="470">
        <v>55</v>
      </c>
      <c r="AC238" s="470">
        <v>125</v>
      </c>
      <c r="AD238" s="470">
        <v>60</v>
      </c>
      <c r="AE238" s="470">
        <v>131</v>
      </c>
      <c r="AF238" s="470">
        <v>103</v>
      </c>
      <c r="AG238" s="470">
        <v>115</v>
      </c>
      <c r="AH238" s="470">
        <v>289</v>
      </c>
      <c r="AI238" s="470">
        <v>339</v>
      </c>
      <c r="AJ238" s="470">
        <v>1028</v>
      </c>
      <c r="AK238" s="470">
        <v>1173</v>
      </c>
      <c r="AL238" s="470">
        <v>1413</v>
      </c>
    </row>
    <row r="239" spans="1:38">
      <c r="A239" s="470" t="s">
        <v>285</v>
      </c>
      <c r="B239" s="470" t="s">
        <v>273</v>
      </c>
      <c r="C239" s="470" t="s">
        <v>273</v>
      </c>
      <c r="D239" s="470" t="s">
        <v>273</v>
      </c>
      <c r="E239" s="470" t="s">
        <v>273</v>
      </c>
      <c r="F239" s="470" t="s">
        <v>273</v>
      </c>
      <c r="G239" s="470" t="s">
        <v>273</v>
      </c>
      <c r="H239" s="470" t="s">
        <v>273</v>
      </c>
      <c r="I239" s="470">
        <v>0</v>
      </c>
      <c r="J239" s="470">
        <v>0</v>
      </c>
      <c r="K239" s="470">
        <v>0</v>
      </c>
      <c r="L239" s="470">
        <v>0</v>
      </c>
      <c r="M239" s="470">
        <v>0</v>
      </c>
      <c r="N239" s="470">
        <v>0</v>
      </c>
      <c r="O239" s="470">
        <v>0</v>
      </c>
      <c r="P239" s="470">
        <v>0</v>
      </c>
      <c r="Q239" s="470">
        <v>0</v>
      </c>
      <c r="R239" s="470" t="s">
        <v>306</v>
      </c>
      <c r="S239" s="470" t="s">
        <v>306</v>
      </c>
      <c r="T239" s="470" t="s">
        <v>306</v>
      </c>
      <c r="U239" s="470" t="s">
        <v>306</v>
      </c>
      <c r="V239" s="470">
        <v>0</v>
      </c>
      <c r="W239" s="470">
        <v>0</v>
      </c>
      <c r="X239" s="470">
        <v>0</v>
      </c>
      <c r="Y239" s="470">
        <v>0</v>
      </c>
      <c r="Z239" s="470">
        <v>0</v>
      </c>
      <c r="AA239" s="470">
        <v>0</v>
      </c>
      <c r="AB239" s="470">
        <v>0</v>
      </c>
      <c r="AC239" s="470">
        <v>13</v>
      </c>
      <c r="AD239" s="470">
        <v>13</v>
      </c>
      <c r="AE239" s="470" t="s">
        <v>291</v>
      </c>
      <c r="AF239" s="470" t="s">
        <v>291</v>
      </c>
      <c r="AG239" s="470" t="s">
        <v>291</v>
      </c>
      <c r="AH239" s="470" t="s">
        <v>291</v>
      </c>
      <c r="AI239" s="470" t="s">
        <v>291</v>
      </c>
      <c r="AJ239" s="470" t="s">
        <v>291</v>
      </c>
      <c r="AK239" s="470" t="s">
        <v>291</v>
      </c>
      <c r="AL239" s="470" t="s">
        <v>291</v>
      </c>
    </row>
    <row r="240" spans="1:38">
      <c r="A240" s="470" t="s">
        <v>284</v>
      </c>
      <c r="B240" s="470" t="s">
        <v>273</v>
      </c>
      <c r="C240" s="470" t="s">
        <v>273</v>
      </c>
      <c r="D240" s="470" t="s">
        <v>273</v>
      </c>
      <c r="E240" s="470" t="s">
        <v>273</v>
      </c>
      <c r="F240" s="470" t="s">
        <v>273</v>
      </c>
      <c r="G240" s="470" t="s">
        <v>273</v>
      </c>
      <c r="H240" s="470" t="s">
        <v>273</v>
      </c>
      <c r="I240" s="470" t="s">
        <v>273</v>
      </c>
      <c r="J240" s="470" t="s">
        <v>273</v>
      </c>
      <c r="K240" s="470" t="s">
        <v>273</v>
      </c>
      <c r="L240" s="470" t="s">
        <v>273</v>
      </c>
      <c r="M240" s="470" t="s">
        <v>273</v>
      </c>
      <c r="N240" s="470" t="s">
        <v>273</v>
      </c>
      <c r="O240" s="470" t="s">
        <v>273</v>
      </c>
      <c r="P240" s="470" t="s">
        <v>273</v>
      </c>
      <c r="Q240" s="470" t="s">
        <v>273</v>
      </c>
      <c r="R240" s="470" t="s">
        <v>273</v>
      </c>
      <c r="S240" s="470" t="s">
        <v>273</v>
      </c>
      <c r="T240" s="470" t="s">
        <v>273</v>
      </c>
      <c r="U240" s="470" t="s">
        <v>273</v>
      </c>
      <c r="V240" s="470" t="s">
        <v>273</v>
      </c>
      <c r="W240" s="470" t="s">
        <v>273</v>
      </c>
      <c r="X240" s="470" t="s">
        <v>273</v>
      </c>
      <c r="Y240" s="470" t="s">
        <v>273</v>
      </c>
      <c r="Z240" s="470">
        <v>0</v>
      </c>
      <c r="AA240" s="470">
        <v>0</v>
      </c>
      <c r="AB240" s="470">
        <v>0</v>
      </c>
      <c r="AC240" s="470" t="s">
        <v>306</v>
      </c>
      <c r="AD240" s="470">
        <v>0</v>
      </c>
      <c r="AE240" s="470">
        <v>0</v>
      </c>
      <c r="AF240" s="470">
        <v>0</v>
      </c>
      <c r="AG240" s="470">
        <v>0</v>
      </c>
      <c r="AH240" s="470">
        <v>0</v>
      </c>
      <c r="AI240" s="470">
        <v>0</v>
      </c>
      <c r="AJ240" s="470" t="s">
        <v>273</v>
      </c>
      <c r="AK240" s="470" t="s">
        <v>273</v>
      </c>
      <c r="AL240" s="470" t="s">
        <v>273</v>
      </c>
    </row>
    <row r="241" spans="1:38">
      <c r="A241" s="470" t="s">
        <v>283</v>
      </c>
      <c r="B241" s="470" t="s">
        <v>273</v>
      </c>
      <c r="C241" s="470" t="s">
        <v>273</v>
      </c>
      <c r="D241" s="470" t="s">
        <v>273</v>
      </c>
      <c r="E241" s="470" t="s">
        <v>273</v>
      </c>
      <c r="F241" s="470" t="s">
        <v>273</v>
      </c>
      <c r="G241" s="470" t="s">
        <v>273</v>
      </c>
      <c r="H241" s="470" t="s">
        <v>273</v>
      </c>
      <c r="I241" s="470">
        <v>0</v>
      </c>
      <c r="J241" s="470">
        <v>0</v>
      </c>
      <c r="K241" s="470" t="s">
        <v>306</v>
      </c>
      <c r="L241" s="470">
        <v>-1</v>
      </c>
      <c r="M241" s="470">
        <v>-1</v>
      </c>
      <c r="N241" s="470" t="s">
        <v>306</v>
      </c>
      <c r="O241" s="470">
        <v>-1</v>
      </c>
      <c r="P241" s="470">
        <v>-1</v>
      </c>
      <c r="Q241" s="470">
        <v>-3</v>
      </c>
      <c r="R241" s="470">
        <v>-3</v>
      </c>
      <c r="S241" s="470">
        <v>-2</v>
      </c>
      <c r="T241" s="470">
        <v>-1</v>
      </c>
      <c r="U241" s="470">
        <v>-1</v>
      </c>
      <c r="V241" s="470">
        <v>2</v>
      </c>
      <c r="W241" s="470">
        <v>7</v>
      </c>
      <c r="X241" s="470" t="s">
        <v>291</v>
      </c>
      <c r="Y241" s="470" t="s">
        <v>291</v>
      </c>
      <c r="Z241" s="470" t="s">
        <v>291</v>
      </c>
      <c r="AA241" s="470" t="s">
        <v>291</v>
      </c>
      <c r="AB241" s="470" t="s">
        <v>291</v>
      </c>
      <c r="AC241" s="470">
        <v>8</v>
      </c>
      <c r="AD241" s="470">
        <v>14</v>
      </c>
      <c r="AE241" s="470">
        <v>9</v>
      </c>
      <c r="AF241" s="470">
        <v>10</v>
      </c>
      <c r="AG241" s="470">
        <v>15</v>
      </c>
      <c r="AH241" s="470">
        <v>17</v>
      </c>
      <c r="AI241" s="470">
        <v>43</v>
      </c>
      <c r="AJ241" s="470">
        <v>42</v>
      </c>
      <c r="AK241" s="470">
        <v>56</v>
      </c>
      <c r="AL241" s="470">
        <v>70</v>
      </c>
    </row>
    <row r="242" spans="1:38">
      <c r="A242" s="470" t="s">
        <v>1405</v>
      </c>
      <c r="B242" s="470" t="s">
        <v>273</v>
      </c>
      <c r="C242" s="470" t="s">
        <v>273</v>
      </c>
      <c r="D242" s="470" t="s">
        <v>273</v>
      </c>
      <c r="E242" s="470" t="s">
        <v>273</v>
      </c>
      <c r="F242" s="470" t="s">
        <v>273</v>
      </c>
      <c r="G242" s="470" t="s">
        <v>273</v>
      </c>
      <c r="H242" s="470" t="s">
        <v>273</v>
      </c>
      <c r="I242" s="470">
        <v>78</v>
      </c>
      <c r="J242" s="470">
        <v>72</v>
      </c>
      <c r="K242" s="470">
        <v>100</v>
      </c>
      <c r="L242" s="470">
        <v>150</v>
      </c>
      <c r="M242" s="470">
        <v>155</v>
      </c>
      <c r="N242" s="470">
        <v>149</v>
      </c>
      <c r="O242" s="470">
        <v>237</v>
      </c>
      <c r="P242" s="470">
        <v>192</v>
      </c>
      <c r="Q242" s="470">
        <v>205</v>
      </c>
      <c r="R242" s="470">
        <v>213</v>
      </c>
      <c r="S242" s="470">
        <v>224</v>
      </c>
      <c r="T242" s="470">
        <v>158</v>
      </c>
      <c r="U242" s="470">
        <v>241</v>
      </c>
      <c r="V242" s="470">
        <v>132</v>
      </c>
      <c r="W242" s="470">
        <v>140</v>
      </c>
      <c r="X242" s="470">
        <v>134</v>
      </c>
      <c r="Y242" s="470">
        <v>185</v>
      </c>
      <c r="Z242" s="470">
        <v>153</v>
      </c>
      <c r="AA242" s="470">
        <v>153</v>
      </c>
      <c r="AB242" s="470">
        <v>289</v>
      </c>
      <c r="AC242" s="470">
        <v>334</v>
      </c>
      <c r="AD242" s="470">
        <v>187</v>
      </c>
      <c r="AE242" s="470">
        <v>199</v>
      </c>
      <c r="AF242" s="470">
        <v>158</v>
      </c>
      <c r="AG242" s="470">
        <v>123</v>
      </c>
      <c r="AH242" s="470">
        <v>382</v>
      </c>
      <c r="AI242" s="470">
        <v>1422</v>
      </c>
      <c r="AJ242" s="470">
        <v>1997</v>
      </c>
      <c r="AK242" s="470">
        <v>2468</v>
      </c>
      <c r="AL242" s="470">
        <v>4058</v>
      </c>
    </row>
    <row r="243" spans="1:38">
      <c r="A243" s="470" t="s">
        <v>282</v>
      </c>
      <c r="B243" s="470" t="s">
        <v>273</v>
      </c>
      <c r="C243" s="470" t="s">
        <v>273</v>
      </c>
      <c r="D243" s="470" t="s">
        <v>273</v>
      </c>
      <c r="E243" s="470" t="s">
        <v>273</v>
      </c>
      <c r="F243" s="470" t="s">
        <v>273</v>
      </c>
      <c r="G243" s="470" t="s">
        <v>273</v>
      </c>
      <c r="H243" s="470" t="s">
        <v>273</v>
      </c>
      <c r="I243" s="470" t="s">
        <v>273</v>
      </c>
      <c r="J243" s="470" t="s">
        <v>273</v>
      </c>
      <c r="K243" s="470" t="s">
        <v>273</v>
      </c>
      <c r="L243" s="470" t="s">
        <v>273</v>
      </c>
      <c r="M243" s="470" t="s">
        <v>273</v>
      </c>
      <c r="N243" s="470" t="s">
        <v>273</v>
      </c>
      <c r="O243" s="470" t="s">
        <v>273</v>
      </c>
      <c r="P243" s="470" t="s">
        <v>273</v>
      </c>
      <c r="Q243" s="470" t="s">
        <v>273</v>
      </c>
      <c r="R243" s="470" t="s">
        <v>273</v>
      </c>
      <c r="S243" s="470" t="s">
        <v>273</v>
      </c>
      <c r="T243" s="470" t="s">
        <v>273</v>
      </c>
      <c r="U243" s="470" t="s">
        <v>273</v>
      </c>
      <c r="V243" s="470" t="s">
        <v>273</v>
      </c>
      <c r="W243" s="470" t="s">
        <v>273</v>
      </c>
      <c r="X243" s="470" t="s">
        <v>273</v>
      </c>
      <c r="Y243" s="470" t="s">
        <v>273</v>
      </c>
      <c r="Z243" s="470" t="s">
        <v>273</v>
      </c>
      <c r="AA243" s="470" t="s">
        <v>273</v>
      </c>
      <c r="AB243" s="470" t="s">
        <v>273</v>
      </c>
      <c r="AC243" s="470" t="s">
        <v>273</v>
      </c>
      <c r="AD243" s="470">
        <v>0</v>
      </c>
      <c r="AE243" s="470">
        <v>0</v>
      </c>
      <c r="AF243" s="470">
        <v>-2</v>
      </c>
      <c r="AG243" s="470">
        <v>-2</v>
      </c>
      <c r="AH243" s="470">
        <v>0</v>
      </c>
      <c r="AI243" s="470">
        <v>0</v>
      </c>
      <c r="AJ243" s="470">
        <v>-4</v>
      </c>
      <c r="AK243" s="470">
        <v>-4</v>
      </c>
      <c r="AL243" s="470">
        <v>-4</v>
      </c>
    </row>
    <row r="244" spans="1:38">
      <c r="A244" s="470" t="s">
        <v>281</v>
      </c>
      <c r="B244" s="470" t="s">
        <v>273</v>
      </c>
      <c r="C244" s="470" t="s">
        <v>273</v>
      </c>
      <c r="D244" s="470" t="s">
        <v>273</v>
      </c>
      <c r="E244" s="470" t="s">
        <v>273</v>
      </c>
      <c r="F244" s="470" t="s">
        <v>273</v>
      </c>
      <c r="G244" s="470" t="s">
        <v>273</v>
      </c>
      <c r="H244" s="470" t="s">
        <v>273</v>
      </c>
      <c r="I244" s="470">
        <v>0</v>
      </c>
      <c r="J244" s="470">
        <v>0</v>
      </c>
      <c r="K244" s="470">
        <v>0</v>
      </c>
      <c r="L244" s="470">
        <v>0</v>
      </c>
      <c r="M244" s="470">
        <v>0</v>
      </c>
      <c r="N244" s="470" t="s">
        <v>306</v>
      </c>
      <c r="O244" s="470">
        <v>0</v>
      </c>
      <c r="P244" s="470">
        <v>0</v>
      </c>
      <c r="Q244" s="470">
        <v>0</v>
      </c>
      <c r="R244" s="470">
        <v>0</v>
      </c>
      <c r="S244" s="470" t="s">
        <v>273</v>
      </c>
      <c r="T244" s="470" t="s">
        <v>273</v>
      </c>
      <c r="U244" s="470" t="s">
        <v>273</v>
      </c>
      <c r="V244" s="470" t="s">
        <v>273</v>
      </c>
      <c r="W244" s="470" t="s">
        <v>273</v>
      </c>
      <c r="X244" s="470" t="s">
        <v>273</v>
      </c>
      <c r="Y244" s="470" t="s">
        <v>273</v>
      </c>
      <c r="Z244" s="470" t="s">
        <v>273</v>
      </c>
      <c r="AA244" s="470" t="s">
        <v>273</v>
      </c>
      <c r="AB244" s="470" t="s">
        <v>273</v>
      </c>
      <c r="AC244" s="470" t="s">
        <v>273</v>
      </c>
      <c r="AD244" s="470" t="s">
        <v>273</v>
      </c>
      <c r="AE244" s="470" t="s">
        <v>273</v>
      </c>
      <c r="AF244" s="470" t="s">
        <v>273</v>
      </c>
      <c r="AG244" s="470" t="s">
        <v>273</v>
      </c>
      <c r="AH244" s="470" t="s">
        <v>273</v>
      </c>
      <c r="AI244" s="470" t="s">
        <v>273</v>
      </c>
      <c r="AJ244" s="470" t="s">
        <v>273</v>
      </c>
      <c r="AK244" s="470" t="s">
        <v>273</v>
      </c>
      <c r="AL244" s="470" t="s">
        <v>273</v>
      </c>
    </row>
    <row r="245" spans="1:38">
      <c r="A245" s="470" t="s">
        <v>280</v>
      </c>
      <c r="B245" s="470" t="s">
        <v>273</v>
      </c>
      <c r="C245" s="470" t="s">
        <v>273</v>
      </c>
      <c r="D245" s="470" t="s">
        <v>273</v>
      </c>
      <c r="E245" s="470" t="s">
        <v>273</v>
      </c>
      <c r="F245" s="470" t="s">
        <v>273</v>
      </c>
      <c r="G245" s="470" t="s">
        <v>273</v>
      </c>
      <c r="H245" s="470" t="s">
        <v>273</v>
      </c>
      <c r="I245" s="470">
        <v>0</v>
      </c>
      <c r="J245" s="470">
        <v>0</v>
      </c>
      <c r="K245" s="470">
        <v>0</v>
      </c>
      <c r="L245" s="470">
        <v>0</v>
      </c>
      <c r="M245" s="470">
        <v>0</v>
      </c>
      <c r="N245" s="470">
        <v>0</v>
      </c>
      <c r="O245" s="470">
        <v>0</v>
      </c>
      <c r="P245" s="470">
        <v>0</v>
      </c>
      <c r="Q245" s="470">
        <v>0</v>
      </c>
      <c r="R245" s="470">
        <v>0</v>
      </c>
      <c r="S245" s="470">
        <v>0</v>
      </c>
      <c r="T245" s="470">
        <v>0</v>
      </c>
      <c r="U245" s="470">
        <v>0</v>
      </c>
      <c r="V245" s="470" t="s">
        <v>306</v>
      </c>
      <c r="W245" s="470">
        <v>0</v>
      </c>
      <c r="X245" s="470">
        <v>0</v>
      </c>
      <c r="Y245" s="470">
        <v>0</v>
      </c>
      <c r="Z245" s="470" t="s">
        <v>273</v>
      </c>
      <c r="AA245" s="470" t="s">
        <v>273</v>
      </c>
      <c r="AB245" s="470" t="s">
        <v>273</v>
      </c>
      <c r="AC245" s="470">
        <v>0</v>
      </c>
      <c r="AD245" s="470">
        <v>0</v>
      </c>
      <c r="AE245" s="470">
        <v>0</v>
      </c>
      <c r="AF245" s="470" t="s">
        <v>306</v>
      </c>
      <c r="AG245" s="470">
        <v>0</v>
      </c>
      <c r="AH245" s="470">
        <v>0</v>
      </c>
      <c r="AI245" s="470">
        <v>0</v>
      </c>
      <c r="AJ245" s="470">
        <v>0</v>
      </c>
      <c r="AK245" s="470">
        <v>0</v>
      </c>
      <c r="AL245" s="470">
        <v>0</v>
      </c>
    </row>
    <row r="246" spans="1:38">
      <c r="A246" s="470" t="s">
        <v>279</v>
      </c>
      <c r="B246" s="470" t="s">
        <v>273</v>
      </c>
      <c r="C246" s="470" t="s">
        <v>273</v>
      </c>
      <c r="D246" s="470" t="s">
        <v>273</v>
      </c>
      <c r="E246" s="470" t="s">
        <v>273</v>
      </c>
      <c r="F246" s="470" t="s">
        <v>273</v>
      </c>
      <c r="G246" s="470" t="s">
        <v>273</v>
      </c>
      <c r="H246" s="470" t="s">
        <v>273</v>
      </c>
      <c r="I246" s="470">
        <v>0</v>
      </c>
      <c r="J246" s="470">
        <v>0</v>
      </c>
      <c r="K246" s="470">
        <v>0</v>
      </c>
      <c r="L246" s="470">
        <v>0</v>
      </c>
      <c r="M246" s="470">
        <v>1</v>
      </c>
      <c r="N246" s="470">
        <v>3</v>
      </c>
      <c r="O246" s="470">
        <v>2</v>
      </c>
      <c r="P246" s="470">
        <v>3</v>
      </c>
      <c r="Q246" s="470">
        <v>3</v>
      </c>
      <c r="R246" s="470">
        <v>3</v>
      </c>
      <c r="S246" s="470">
        <v>3</v>
      </c>
      <c r="T246" s="470">
        <v>3</v>
      </c>
      <c r="U246" s="470">
        <v>3</v>
      </c>
      <c r="V246" s="470">
        <v>3</v>
      </c>
      <c r="W246" s="470">
        <v>3</v>
      </c>
      <c r="X246" s="470">
        <v>3</v>
      </c>
      <c r="Y246" s="470">
        <v>3</v>
      </c>
      <c r="Z246" s="470">
        <v>3</v>
      </c>
      <c r="AA246" s="470">
        <v>3</v>
      </c>
      <c r="AB246" s="470">
        <v>3</v>
      </c>
      <c r="AC246" s="470" t="s">
        <v>273</v>
      </c>
      <c r="AD246" s="470" t="s">
        <v>273</v>
      </c>
      <c r="AE246" s="470" t="s">
        <v>273</v>
      </c>
      <c r="AF246" s="470" t="s">
        <v>273</v>
      </c>
      <c r="AG246" s="470" t="s">
        <v>273</v>
      </c>
      <c r="AH246" s="470" t="s">
        <v>273</v>
      </c>
      <c r="AI246" s="470" t="s">
        <v>273</v>
      </c>
      <c r="AJ246" s="470">
        <v>0</v>
      </c>
      <c r="AK246" s="470" t="s">
        <v>306</v>
      </c>
      <c r="AL246" s="470">
        <v>0</v>
      </c>
    </row>
    <row r="247" spans="1:38">
      <c r="A247" s="470" t="s">
        <v>278</v>
      </c>
      <c r="B247" s="470" t="s">
        <v>273</v>
      </c>
      <c r="C247" s="470" t="s">
        <v>273</v>
      </c>
      <c r="D247" s="470" t="s">
        <v>273</v>
      </c>
      <c r="E247" s="470" t="s">
        <v>273</v>
      </c>
      <c r="F247" s="470" t="s">
        <v>273</v>
      </c>
      <c r="G247" s="470" t="s">
        <v>273</v>
      </c>
      <c r="H247" s="470" t="s">
        <v>273</v>
      </c>
      <c r="I247" s="470">
        <v>0</v>
      </c>
      <c r="J247" s="470">
        <v>5</v>
      </c>
      <c r="K247" s="470">
        <v>5</v>
      </c>
      <c r="L247" s="470">
        <v>5</v>
      </c>
      <c r="M247" s="470">
        <v>5</v>
      </c>
      <c r="N247" s="470">
        <v>7</v>
      </c>
      <c r="O247" s="470">
        <v>4</v>
      </c>
      <c r="P247" s="470">
        <v>2</v>
      </c>
      <c r="Q247" s="470" t="s">
        <v>306</v>
      </c>
      <c r="R247" s="470">
        <v>-2</v>
      </c>
      <c r="S247" s="470">
        <v>0</v>
      </c>
      <c r="T247" s="470">
        <v>0</v>
      </c>
      <c r="U247" s="470">
        <v>0</v>
      </c>
      <c r="V247" s="470">
        <v>0</v>
      </c>
      <c r="W247" s="470">
        <v>0</v>
      </c>
      <c r="X247" s="470">
        <v>2</v>
      </c>
      <c r="Y247" s="470">
        <v>1</v>
      </c>
      <c r="Z247" s="470">
        <v>1</v>
      </c>
      <c r="AA247" s="470">
        <v>1</v>
      </c>
      <c r="AB247" s="470">
        <v>1</v>
      </c>
      <c r="AC247" s="470">
        <v>3</v>
      </c>
      <c r="AD247" s="470">
        <v>1</v>
      </c>
      <c r="AE247" s="470">
        <v>1</v>
      </c>
      <c r="AF247" s="470" t="s">
        <v>306</v>
      </c>
      <c r="AG247" s="470" t="s">
        <v>306</v>
      </c>
      <c r="AH247" s="470" t="s">
        <v>291</v>
      </c>
      <c r="AI247" s="470" t="s">
        <v>291</v>
      </c>
      <c r="AJ247" s="470" t="s">
        <v>291</v>
      </c>
      <c r="AK247" s="470" t="s">
        <v>291</v>
      </c>
      <c r="AL247" s="470" t="s">
        <v>291</v>
      </c>
    </row>
    <row r="248" spans="1:38">
      <c r="A248" s="470" t="s">
        <v>277</v>
      </c>
      <c r="B248" s="470" t="s">
        <v>273</v>
      </c>
      <c r="C248" s="470" t="s">
        <v>273</v>
      </c>
      <c r="D248" s="470" t="s">
        <v>273</v>
      </c>
      <c r="E248" s="470" t="s">
        <v>273</v>
      </c>
      <c r="F248" s="470" t="s">
        <v>273</v>
      </c>
      <c r="G248" s="470" t="s">
        <v>273</v>
      </c>
      <c r="H248" s="470" t="s">
        <v>273</v>
      </c>
      <c r="I248" s="470">
        <v>0</v>
      </c>
      <c r="J248" s="470">
        <v>-2</v>
      </c>
      <c r="K248" s="470">
        <v>1</v>
      </c>
      <c r="L248" s="470">
        <v>2</v>
      </c>
      <c r="M248" s="470" t="s">
        <v>291</v>
      </c>
      <c r="N248" s="470" t="s">
        <v>291</v>
      </c>
      <c r="O248" s="470" t="s">
        <v>291</v>
      </c>
      <c r="P248" s="470" t="s">
        <v>291</v>
      </c>
      <c r="Q248" s="470" t="s">
        <v>291</v>
      </c>
      <c r="R248" s="470" t="s">
        <v>291</v>
      </c>
      <c r="S248" s="470" t="s">
        <v>291</v>
      </c>
      <c r="T248" s="470" t="s">
        <v>291</v>
      </c>
      <c r="U248" s="470">
        <v>6</v>
      </c>
      <c r="V248" s="470" t="s">
        <v>291</v>
      </c>
      <c r="W248" s="470">
        <v>5</v>
      </c>
      <c r="X248" s="470">
        <v>5</v>
      </c>
      <c r="Y248" s="470">
        <v>5</v>
      </c>
      <c r="Z248" s="470">
        <v>5</v>
      </c>
      <c r="AA248" s="470">
        <v>5</v>
      </c>
      <c r="AB248" s="470">
        <v>5</v>
      </c>
      <c r="AC248" s="470" t="s">
        <v>291</v>
      </c>
      <c r="AD248" s="470" t="s">
        <v>291</v>
      </c>
      <c r="AE248" s="470" t="s">
        <v>291</v>
      </c>
      <c r="AF248" s="470" t="s">
        <v>291</v>
      </c>
      <c r="AG248" s="470" t="s">
        <v>291</v>
      </c>
      <c r="AH248" s="470" t="s">
        <v>291</v>
      </c>
      <c r="AI248" s="470" t="s">
        <v>291</v>
      </c>
      <c r="AJ248" s="470" t="s">
        <v>291</v>
      </c>
      <c r="AK248" s="470" t="s">
        <v>291</v>
      </c>
      <c r="AL248" s="470" t="s">
        <v>291</v>
      </c>
    </row>
    <row r="249" spans="1:38">
      <c r="A249" s="470" t="s">
        <v>276</v>
      </c>
      <c r="B249" s="470" t="s">
        <v>273</v>
      </c>
      <c r="C249" s="470" t="s">
        <v>273</v>
      </c>
      <c r="D249" s="470" t="s">
        <v>273</v>
      </c>
      <c r="E249" s="470" t="s">
        <v>273</v>
      </c>
      <c r="F249" s="470" t="s">
        <v>273</v>
      </c>
      <c r="G249" s="470" t="s">
        <v>273</v>
      </c>
      <c r="H249" s="470" t="s">
        <v>273</v>
      </c>
      <c r="I249" s="470">
        <v>0</v>
      </c>
      <c r="J249" s="470">
        <v>0</v>
      </c>
      <c r="K249" s="470">
        <v>0</v>
      </c>
      <c r="L249" s="470">
        <v>0</v>
      </c>
      <c r="M249" s="470">
        <v>0</v>
      </c>
      <c r="N249" s="470">
        <v>0</v>
      </c>
      <c r="O249" s="470">
        <v>0</v>
      </c>
      <c r="P249" s="470">
        <v>0</v>
      </c>
      <c r="Q249" s="470">
        <v>0</v>
      </c>
      <c r="R249" s="470">
        <v>0</v>
      </c>
      <c r="S249" s="470">
        <v>0</v>
      </c>
      <c r="T249" s="470">
        <v>-4</v>
      </c>
      <c r="U249" s="470">
        <v>-6</v>
      </c>
      <c r="V249" s="470">
        <v>-8</v>
      </c>
      <c r="W249" s="470">
        <v>-3</v>
      </c>
      <c r="X249" s="470">
        <v>-4</v>
      </c>
      <c r="Y249" s="470">
        <v>-4</v>
      </c>
      <c r="Z249" s="470" t="s">
        <v>306</v>
      </c>
      <c r="AA249" s="470">
        <v>-8</v>
      </c>
      <c r="AB249" s="470">
        <v>-7</v>
      </c>
      <c r="AC249" s="470">
        <v>5</v>
      </c>
      <c r="AD249" s="470">
        <v>14</v>
      </c>
      <c r="AE249" s="470">
        <v>19</v>
      </c>
      <c r="AF249" s="470">
        <v>59</v>
      </c>
      <c r="AG249" s="470">
        <v>17</v>
      </c>
      <c r="AH249" s="470">
        <v>39</v>
      </c>
      <c r="AI249" s="470">
        <v>-30</v>
      </c>
      <c r="AJ249" s="470">
        <v>1043</v>
      </c>
      <c r="AK249" s="470">
        <v>1515</v>
      </c>
      <c r="AL249" s="470">
        <v>1392</v>
      </c>
    </row>
    <row r="250" spans="1:38">
      <c r="A250" s="470" t="s">
        <v>1404</v>
      </c>
      <c r="B250" s="470">
        <v>450</v>
      </c>
      <c r="C250" s="470">
        <v>511</v>
      </c>
      <c r="D250" s="470">
        <v>634</v>
      </c>
      <c r="E250" s="470">
        <v>875</v>
      </c>
      <c r="F250" s="470">
        <v>1353</v>
      </c>
      <c r="G250" s="470">
        <v>1654</v>
      </c>
      <c r="H250" s="470">
        <v>1823</v>
      </c>
      <c r="I250" s="470" t="s">
        <v>273</v>
      </c>
      <c r="J250" s="470" t="s">
        <v>273</v>
      </c>
      <c r="K250" s="470" t="s">
        <v>273</v>
      </c>
      <c r="L250" s="470" t="s">
        <v>273</v>
      </c>
      <c r="M250" s="470" t="s">
        <v>273</v>
      </c>
      <c r="N250" s="470" t="s">
        <v>273</v>
      </c>
      <c r="O250" s="470" t="s">
        <v>273</v>
      </c>
      <c r="P250" s="470" t="s">
        <v>273</v>
      </c>
      <c r="Q250" s="470" t="s">
        <v>273</v>
      </c>
      <c r="R250" s="470" t="s">
        <v>273</v>
      </c>
      <c r="S250" s="470" t="s">
        <v>273</v>
      </c>
      <c r="T250" s="470" t="s">
        <v>273</v>
      </c>
      <c r="U250" s="470" t="s">
        <v>273</v>
      </c>
      <c r="V250" s="470" t="s">
        <v>273</v>
      </c>
      <c r="W250" s="470" t="s">
        <v>273</v>
      </c>
      <c r="X250" s="470" t="s">
        <v>273</v>
      </c>
      <c r="Y250" s="470" t="s">
        <v>273</v>
      </c>
      <c r="Z250" s="470" t="s">
        <v>273</v>
      </c>
      <c r="AA250" s="470" t="s">
        <v>273</v>
      </c>
      <c r="AB250" s="470" t="s">
        <v>273</v>
      </c>
      <c r="AC250" s="470" t="s">
        <v>273</v>
      </c>
      <c r="AD250" s="470" t="s">
        <v>273</v>
      </c>
      <c r="AE250" s="470" t="s">
        <v>273</v>
      </c>
      <c r="AF250" s="470" t="s">
        <v>273</v>
      </c>
      <c r="AG250" s="470" t="s">
        <v>273</v>
      </c>
      <c r="AH250" s="470" t="s">
        <v>273</v>
      </c>
      <c r="AI250" s="470" t="s">
        <v>273</v>
      </c>
      <c r="AJ250" s="470" t="s">
        <v>273</v>
      </c>
      <c r="AK250" s="470" t="s">
        <v>273</v>
      </c>
      <c r="AL250" s="470" t="s">
        <v>273</v>
      </c>
    </row>
    <row r="251" spans="1:38">
      <c r="A251" s="470" t="s">
        <v>1403</v>
      </c>
      <c r="B251" s="470" t="s">
        <v>291</v>
      </c>
      <c r="C251" s="470">
        <v>5</v>
      </c>
      <c r="D251" s="470">
        <v>1</v>
      </c>
      <c r="E251" s="470" t="s">
        <v>291</v>
      </c>
      <c r="F251" s="470" t="s">
        <v>291</v>
      </c>
      <c r="G251" s="470">
        <v>2</v>
      </c>
      <c r="H251" s="470" t="s">
        <v>291</v>
      </c>
      <c r="I251" s="470" t="s">
        <v>273</v>
      </c>
      <c r="J251" s="470" t="s">
        <v>273</v>
      </c>
      <c r="K251" s="470" t="s">
        <v>273</v>
      </c>
      <c r="L251" s="470" t="s">
        <v>273</v>
      </c>
      <c r="M251" s="470" t="s">
        <v>273</v>
      </c>
      <c r="N251" s="470" t="s">
        <v>273</v>
      </c>
      <c r="O251" s="470" t="s">
        <v>273</v>
      </c>
      <c r="P251" s="470" t="s">
        <v>273</v>
      </c>
      <c r="Q251" s="470" t="s">
        <v>273</v>
      </c>
      <c r="R251" s="470" t="s">
        <v>273</v>
      </c>
      <c r="S251" s="470" t="s">
        <v>273</v>
      </c>
      <c r="T251" s="470" t="s">
        <v>273</v>
      </c>
      <c r="U251" s="470" t="s">
        <v>273</v>
      </c>
      <c r="V251" s="470" t="s">
        <v>273</v>
      </c>
      <c r="W251" s="470" t="s">
        <v>273</v>
      </c>
      <c r="X251" s="470" t="s">
        <v>273</v>
      </c>
      <c r="Y251" s="470" t="s">
        <v>273</v>
      </c>
      <c r="Z251" s="470" t="s">
        <v>273</v>
      </c>
      <c r="AA251" s="470" t="s">
        <v>273</v>
      </c>
      <c r="AB251" s="470" t="s">
        <v>273</v>
      </c>
      <c r="AC251" s="470" t="s">
        <v>273</v>
      </c>
      <c r="AD251" s="470" t="s">
        <v>273</v>
      </c>
      <c r="AE251" s="470" t="s">
        <v>273</v>
      </c>
      <c r="AF251" s="470" t="s">
        <v>273</v>
      </c>
      <c r="AG251" s="470" t="s">
        <v>273</v>
      </c>
      <c r="AH251" s="470" t="s">
        <v>273</v>
      </c>
      <c r="AI251" s="470" t="s">
        <v>273</v>
      </c>
      <c r="AJ251" s="470" t="s">
        <v>273</v>
      </c>
      <c r="AK251" s="470" t="s">
        <v>273</v>
      </c>
      <c r="AL251" s="470" t="s">
        <v>273</v>
      </c>
    </row>
    <row r="252" spans="1:38">
      <c r="A252" s="470" t="s">
        <v>1402</v>
      </c>
      <c r="B252" s="470">
        <v>5</v>
      </c>
      <c r="C252" s="470">
        <v>0</v>
      </c>
      <c r="D252" s="470">
        <v>0</v>
      </c>
      <c r="E252" s="470">
        <v>0</v>
      </c>
      <c r="F252" s="470">
        <v>0</v>
      </c>
      <c r="G252" s="470" t="s">
        <v>291</v>
      </c>
      <c r="H252" s="470" t="s">
        <v>291</v>
      </c>
      <c r="I252" s="470" t="s">
        <v>273</v>
      </c>
      <c r="J252" s="470" t="s">
        <v>273</v>
      </c>
      <c r="K252" s="470" t="s">
        <v>273</v>
      </c>
      <c r="L252" s="470" t="s">
        <v>273</v>
      </c>
      <c r="M252" s="470" t="s">
        <v>273</v>
      </c>
      <c r="N252" s="470" t="s">
        <v>273</v>
      </c>
      <c r="O252" s="470" t="s">
        <v>273</v>
      </c>
      <c r="P252" s="470" t="s">
        <v>273</v>
      </c>
      <c r="Q252" s="470" t="s">
        <v>273</v>
      </c>
      <c r="R252" s="470" t="s">
        <v>273</v>
      </c>
      <c r="S252" s="470" t="s">
        <v>273</v>
      </c>
      <c r="T252" s="470" t="s">
        <v>273</v>
      </c>
      <c r="U252" s="470" t="s">
        <v>273</v>
      </c>
      <c r="V252" s="470" t="s">
        <v>273</v>
      </c>
      <c r="W252" s="470" t="s">
        <v>273</v>
      </c>
      <c r="X252" s="470" t="s">
        <v>273</v>
      </c>
      <c r="Y252" s="470" t="s">
        <v>273</v>
      </c>
      <c r="Z252" s="470" t="s">
        <v>273</v>
      </c>
      <c r="AA252" s="470" t="s">
        <v>273</v>
      </c>
      <c r="AB252" s="470" t="s">
        <v>273</v>
      </c>
      <c r="AC252" s="470" t="s">
        <v>273</v>
      </c>
      <c r="AD252" s="470" t="s">
        <v>273</v>
      </c>
      <c r="AE252" s="470" t="s">
        <v>273</v>
      </c>
      <c r="AF252" s="470" t="s">
        <v>273</v>
      </c>
      <c r="AG252" s="470" t="s">
        <v>273</v>
      </c>
      <c r="AH252" s="470" t="s">
        <v>273</v>
      </c>
      <c r="AI252" s="470" t="s">
        <v>273</v>
      </c>
      <c r="AJ252" s="470" t="s">
        <v>273</v>
      </c>
      <c r="AK252" s="470" t="s">
        <v>273</v>
      </c>
      <c r="AL252" s="470" t="s">
        <v>273</v>
      </c>
    </row>
    <row r="253" spans="1:38">
      <c r="A253" s="470" t="s">
        <v>1401</v>
      </c>
      <c r="B253" s="470" t="s">
        <v>306</v>
      </c>
      <c r="C253" s="470">
        <v>0</v>
      </c>
      <c r="D253" s="470">
        <v>0</v>
      </c>
      <c r="E253" s="470">
        <v>0</v>
      </c>
      <c r="F253" s="470">
        <v>0</v>
      </c>
      <c r="G253" s="470">
        <v>0</v>
      </c>
      <c r="H253" s="470">
        <v>0</v>
      </c>
      <c r="I253" s="470" t="s">
        <v>273</v>
      </c>
      <c r="J253" s="470" t="s">
        <v>273</v>
      </c>
      <c r="K253" s="470" t="s">
        <v>273</v>
      </c>
      <c r="L253" s="470" t="s">
        <v>273</v>
      </c>
      <c r="M253" s="470" t="s">
        <v>273</v>
      </c>
      <c r="N253" s="470" t="s">
        <v>273</v>
      </c>
      <c r="O253" s="470" t="s">
        <v>273</v>
      </c>
      <c r="P253" s="470" t="s">
        <v>273</v>
      </c>
      <c r="Q253" s="470" t="s">
        <v>273</v>
      </c>
      <c r="R253" s="470" t="s">
        <v>273</v>
      </c>
      <c r="S253" s="470" t="s">
        <v>273</v>
      </c>
      <c r="T253" s="470" t="s">
        <v>273</v>
      </c>
      <c r="U253" s="470" t="s">
        <v>273</v>
      </c>
      <c r="V253" s="470" t="s">
        <v>273</v>
      </c>
      <c r="W253" s="470" t="s">
        <v>273</v>
      </c>
      <c r="X253" s="470" t="s">
        <v>273</v>
      </c>
      <c r="Y253" s="470" t="s">
        <v>273</v>
      </c>
      <c r="Z253" s="470" t="s">
        <v>273</v>
      </c>
      <c r="AA253" s="470" t="s">
        <v>273</v>
      </c>
      <c r="AB253" s="470" t="s">
        <v>273</v>
      </c>
      <c r="AC253" s="470" t="s">
        <v>273</v>
      </c>
      <c r="AD253" s="470" t="s">
        <v>273</v>
      </c>
      <c r="AE253" s="470" t="s">
        <v>273</v>
      </c>
      <c r="AF253" s="470" t="s">
        <v>273</v>
      </c>
      <c r="AG253" s="470" t="s">
        <v>273</v>
      </c>
      <c r="AH253" s="470" t="s">
        <v>273</v>
      </c>
      <c r="AI253" s="470" t="s">
        <v>273</v>
      </c>
      <c r="AJ253" s="470" t="s">
        <v>273</v>
      </c>
      <c r="AK253" s="470" t="s">
        <v>273</v>
      </c>
      <c r="AL253" s="470" t="s">
        <v>273</v>
      </c>
    </row>
    <row r="254" spans="1:38">
      <c r="A254" s="470" t="s">
        <v>1400</v>
      </c>
      <c r="B254" s="470" t="s">
        <v>291</v>
      </c>
      <c r="C254" s="470" t="s">
        <v>291</v>
      </c>
      <c r="D254" s="470" t="s">
        <v>291</v>
      </c>
      <c r="E254" s="470">
        <v>2</v>
      </c>
      <c r="F254" s="470">
        <v>0</v>
      </c>
      <c r="G254" s="470">
        <v>0</v>
      </c>
      <c r="H254" s="470">
        <v>0</v>
      </c>
      <c r="I254" s="470" t="s">
        <v>273</v>
      </c>
      <c r="J254" s="470" t="s">
        <v>273</v>
      </c>
      <c r="K254" s="470" t="s">
        <v>273</v>
      </c>
      <c r="L254" s="470" t="s">
        <v>273</v>
      </c>
      <c r="M254" s="470" t="s">
        <v>273</v>
      </c>
      <c r="N254" s="470" t="s">
        <v>273</v>
      </c>
      <c r="O254" s="470" t="s">
        <v>273</v>
      </c>
      <c r="P254" s="470" t="s">
        <v>273</v>
      </c>
      <c r="Q254" s="470" t="s">
        <v>273</v>
      </c>
      <c r="R254" s="470" t="s">
        <v>273</v>
      </c>
      <c r="S254" s="470" t="s">
        <v>273</v>
      </c>
      <c r="T254" s="470" t="s">
        <v>273</v>
      </c>
      <c r="U254" s="470" t="s">
        <v>273</v>
      </c>
      <c r="V254" s="470" t="s">
        <v>273</v>
      </c>
      <c r="W254" s="470" t="s">
        <v>273</v>
      </c>
      <c r="X254" s="470" t="s">
        <v>273</v>
      </c>
      <c r="Y254" s="470" t="s">
        <v>273</v>
      </c>
      <c r="Z254" s="470" t="s">
        <v>273</v>
      </c>
      <c r="AA254" s="470" t="s">
        <v>273</v>
      </c>
      <c r="AB254" s="470" t="s">
        <v>273</v>
      </c>
      <c r="AC254" s="470" t="s">
        <v>273</v>
      </c>
      <c r="AD254" s="470" t="s">
        <v>273</v>
      </c>
      <c r="AE254" s="470" t="s">
        <v>273</v>
      </c>
      <c r="AF254" s="470" t="s">
        <v>273</v>
      </c>
      <c r="AG254" s="470" t="s">
        <v>273</v>
      </c>
      <c r="AH254" s="470" t="s">
        <v>273</v>
      </c>
      <c r="AI254" s="470" t="s">
        <v>273</v>
      </c>
      <c r="AJ254" s="470" t="s">
        <v>273</v>
      </c>
      <c r="AK254" s="470" t="s">
        <v>273</v>
      </c>
      <c r="AL254" s="470" t="s">
        <v>273</v>
      </c>
    </row>
    <row r="255" spans="1:38">
      <c r="A255" s="470" t="s">
        <v>1399</v>
      </c>
      <c r="B255" s="470" t="s">
        <v>306</v>
      </c>
      <c r="C255" s="470" t="s">
        <v>306</v>
      </c>
      <c r="D255" s="470" t="s">
        <v>306</v>
      </c>
      <c r="E255" s="470" t="s">
        <v>306</v>
      </c>
      <c r="F255" s="470" t="s">
        <v>306</v>
      </c>
      <c r="G255" s="470" t="s">
        <v>306</v>
      </c>
      <c r="H255" s="470" t="s">
        <v>306</v>
      </c>
      <c r="I255" s="470" t="s">
        <v>273</v>
      </c>
      <c r="J255" s="470" t="s">
        <v>273</v>
      </c>
      <c r="K255" s="470" t="s">
        <v>273</v>
      </c>
      <c r="L255" s="470" t="s">
        <v>273</v>
      </c>
      <c r="M255" s="470" t="s">
        <v>273</v>
      </c>
      <c r="N255" s="470" t="s">
        <v>273</v>
      </c>
      <c r="O255" s="470" t="s">
        <v>273</v>
      </c>
      <c r="P255" s="470" t="s">
        <v>273</v>
      </c>
      <c r="Q255" s="470" t="s">
        <v>273</v>
      </c>
      <c r="R255" s="470" t="s">
        <v>273</v>
      </c>
      <c r="S255" s="470" t="s">
        <v>273</v>
      </c>
      <c r="T255" s="470" t="s">
        <v>273</v>
      </c>
      <c r="U255" s="470" t="s">
        <v>273</v>
      </c>
      <c r="V255" s="470" t="s">
        <v>273</v>
      </c>
      <c r="W255" s="470" t="s">
        <v>273</v>
      </c>
      <c r="X255" s="470" t="s">
        <v>273</v>
      </c>
      <c r="Y255" s="470" t="s">
        <v>273</v>
      </c>
      <c r="Z255" s="470" t="s">
        <v>273</v>
      </c>
      <c r="AA255" s="470" t="s">
        <v>273</v>
      </c>
      <c r="AB255" s="470" t="s">
        <v>273</v>
      </c>
      <c r="AC255" s="470" t="s">
        <v>273</v>
      </c>
      <c r="AD255" s="470" t="s">
        <v>273</v>
      </c>
      <c r="AE255" s="470" t="s">
        <v>273</v>
      </c>
      <c r="AF255" s="470" t="s">
        <v>273</v>
      </c>
      <c r="AG255" s="470" t="s">
        <v>273</v>
      </c>
      <c r="AH255" s="470" t="s">
        <v>273</v>
      </c>
      <c r="AI255" s="470" t="s">
        <v>273</v>
      </c>
      <c r="AJ255" s="470" t="s">
        <v>273</v>
      </c>
      <c r="AK255" s="470" t="s">
        <v>273</v>
      </c>
      <c r="AL255" s="470" t="s">
        <v>273</v>
      </c>
    </row>
    <row r="256" spans="1:38">
      <c r="A256" s="470" t="s">
        <v>321</v>
      </c>
      <c r="B256" s="470">
        <v>2</v>
      </c>
      <c r="C256" s="470">
        <v>6</v>
      </c>
      <c r="D256" s="470" t="s">
        <v>291</v>
      </c>
      <c r="E256" s="470">
        <v>-7</v>
      </c>
      <c r="F256" s="470">
        <v>7</v>
      </c>
      <c r="G256" s="470">
        <v>8</v>
      </c>
      <c r="H256" s="470">
        <v>10</v>
      </c>
      <c r="I256" s="470" t="s">
        <v>273</v>
      </c>
      <c r="J256" s="470" t="s">
        <v>273</v>
      </c>
      <c r="K256" s="470" t="s">
        <v>273</v>
      </c>
      <c r="L256" s="470" t="s">
        <v>273</v>
      </c>
      <c r="M256" s="470" t="s">
        <v>273</v>
      </c>
      <c r="N256" s="470" t="s">
        <v>273</v>
      </c>
      <c r="O256" s="470" t="s">
        <v>273</v>
      </c>
      <c r="P256" s="470" t="s">
        <v>273</v>
      </c>
      <c r="Q256" s="470" t="s">
        <v>273</v>
      </c>
      <c r="R256" s="470" t="s">
        <v>273</v>
      </c>
      <c r="S256" s="470" t="s">
        <v>273</v>
      </c>
      <c r="T256" s="470" t="s">
        <v>273</v>
      </c>
      <c r="U256" s="470" t="s">
        <v>273</v>
      </c>
      <c r="V256" s="470" t="s">
        <v>273</v>
      </c>
      <c r="W256" s="470" t="s">
        <v>273</v>
      </c>
      <c r="X256" s="470" t="s">
        <v>273</v>
      </c>
      <c r="Y256" s="470" t="s">
        <v>273</v>
      </c>
      <c r="Z256" s="470" t="s">
        <v>273</v>
      </c>
      <c r="AA256" s="470" t="s">
        <v>273</v>
      </c>
      <c r="AB256" s="470" t="s">
        <v>273</v>
      </c>
      <c r="AC256" s="470" t="s">
        <v>273</v>
      </c>
      <c r="AD256" s="470" t="s">
        <v>273</v>
      </c>
      <c r="AE256" s="470" t="s">
        <v>273</v>
      </c>
      <c r="AF256" s="470" t="s">
        <v>273</v>
      </c>
      <c r="AG256" s="470" t="s">
        <v>273</v>
      </c>
      <c r="AH256" s="470" t="s">
        <v>273</v>
      </c>
      <c r="AI256" s="470" t="s">
        <v>273</v>
      </c>
      <c r="AJ256" s="470" t="s">
        <v>273</v>
      </c>
      <c r="AK256" s="470" t="s">
        <v>273</v>
      </c>
      <c r="AL256" s="470" t="s">
        <v>273</v>
      </c>
    </row>
    <row r="257" spans="1:38">
      <c r="A257" s="470" t="s">
        <v>1398</v>
      </c>
      <c r="B257" s="470" t="s">
        <v>306</v>
      </c>
      <c r="C257" s="470">
        <v>0</v>
      </c>
      <c r="D257" s="470" t="s">
        <v>306</v>
      </c>
      <c r="E257" s="470" t="s">
        <v>306</v>
      </c>
      <c r="F257" s="470" t="s">
        <v>306</v>
      </c>
      <c r="G257" s="470" t="s">
        <v>306</v>
      </c>
      <c r="H257" s="470" t="s">
        <v>306</v>
      </c>
      <c r="I257" s="470" t="s">
        <v>273</v>
      </c>
      <c r="J257" s="470" t="s">
        <v>273</v>
      </c>
      <c r="K257" s="470" t="s">
        <v>273</v>
      </c>
      <c r="L257" s="470" t="s">
        <v>273</v>
      </c>
      <c r="M257" s="470" t="s">
        <v>273</v>
      </c>
      <c r="N257" s="470" t="s">
        <v>273</v>
      </c>
      <c r="O257" s="470" t="s">
        <v>273</v>
      </c>
      <c r="P257" s="470" t="s">
        <v>273</v>
      </c>
      <c r="Q257" s="470" t="s">
        <v>273</v>
      </c>
      <c r="R257" s="470" t="s">
        <v>273</v>
      </c>
      <c r="S257" s="470" t="s">
        <v>273</v>
      </c>
      <c r="T257" s="470" t="s">
        <v>273</v>
      </c>
      <c r="U257" s="470" t="s">
        <v>273</v>
      </c>
      <c r="V257" s="470" t="s">
        <v>273</v>
      </c>
      <c r="W257" s="470" t="s">
        <v>273</v>
      </c>
      <c r="X257" s="470" t="s">
        <v>273</v>
      </c>
      <c r="Y257" s="470" t="s">
        <v>273</v>
      </c>
      <c r="Z257" s="470" t="s">
        <v>273</v>
      </c>
      <c r="AA257" s="470" t="s">
        <v>273</v>
      </c>
      <c r="AB257" s="470" t="s">
        <v>273</v>
      </c>
      <c r="AC257" s="470" t="s">
        <v>273</v>
      </c>
      <c r="AD257" s="470" t="s">
        <v>273</v>
      </c>
      <c r="AE257" s="470" t="s">
        <v>273</v>
      </c>
      <c r="AF257" s="470" t="s">
        <v>273</v>
      </c>
      <c r="AG257" s="470" t="s">
        <v>273</v>
      </c>
      <c r="AH257" s="470" t="s">
        <v>273</v>
      </c>
      <c r="AI257" s="470" t="s">
        <v>273</v>
      </c>
      <c r="AJ257" s="470" t="s">
        <v>273</v>
      </c>
      <c r="AK257" s="470" t="s">
        <v>273</v>
      </c>
      <c r="AL257" s="470" t="s">
        <v>273</v>
      </c>
    </row>
    <row r="258" spans="1:38">
      <c r="A258" s="470" t="s">
        <v>393</v>
      </c>
      <c r="B258" s="470" t="s">
        <v>291</v>
      </c>
      <c r="C258" s="470">
        <v>2</v>
      </c>
      <c r="D258" s="470">
        <v>3</v>
      </c>
      <c r="E258" s="470">
        <v>3</v>
      </c>
      <c r="F258" s="470">
        <v>3</v>
      </c>
      <c r="G258" s="470">
        <v>4</v>
      </c>
      <c r="H258" s="470">
        <v>9</v>
      </c>
      <c r="I258" s="470" t="s">
        <v>273</v>
      </c>
      <c r="J258" s="470" t="s">
        <v>273</v>
      </c>
      <c r="K258" s="470" t="s">
        <v>273</v>
      </c>
      <c r="L258" s="470" t="s">
        <v>273</v>
      </c>
      <c r="M258" s="470" t="s">
        <v>273</v>
      </c>
      <c r="N258" s="470" t="s">
        <v>273</v>
      </c>
      <c r="O258" s="470" t="s">
        <v>273</v>
      </c>
      <c r="P258" s="470" t="s">
        <v>273</v>
      </c>
      <c r="Q258" s="470" t="s">
        <v>273</v>
      </c>
      <c r="R258" s="470" t="s">
        <v>273</v>
      </c>
      <c r="S258" s="470" t="s">
        <v>273</v>
      </c>
      <c r="T258" s="470" t="s">
        <v>273</v>
      </c>
      <c r="U258" s="470" t="s">
        <v>273</v>
      </c>
      <c r="V258" s="470" t="s">
        <v>273</v>
      </c>
      <c r="W258" s="470" t="s">
        <v>273</v>
      </c>
      <c r="X258" s="470" t="s">
        <v>273</v>
      </c>
      <c r="Y258" s="470" t="s">
        <v>273</v>
      </c>
      <c r="Z258" s="470" t="s">
        <v>273</v>
      </c>
      <c r="AA258" s="470" t="s">
        <v>273</v>
      </c>
      <c r="AB258" s="470" t="s">
        <v>273</v>
      </c>
      <c r="AC258" s="470" t="s">
        <v>273</v>
      </c>
      <c r="AD258" s="470" t="s">
        <v>273</v>
      </c>
      <c r="AE258" s="470" t="s">
        <v>273</v>
      </c>
      <c r="AF258" s="470" t="s">
        <v>273</v>
      </c>
      <c r="AG258" s="470" t="s">
        <v>273</v>
      </c>
      <c r="AH258" s="470" t="s">
        <v>273</v>
      </c>
      <c r="AI258" s="470" t="s">
        <v>273</v>
      </c>
      <c r="AJ258" s="470" t="s">
        <v>273</v>
      </c>
      <c r="AK258" s="470" t="s">
        <v>273</v>
      </c>
      <c r="AL258" s="470" t="s">
        <v>273</v>
      </c>
    </row>
    <row r="259" spans="1:38">
      <c r="A259" s="470" t="s">
        <v>1397</v>
      </c>
      <c r="B259" s="470" t="s">
        <v>306</v>
      </c>
      <c r="C259" s="470" t="s">
        <v>306</v>
      </c>
      <c r="D259" s="470" t="s">
        <v>306</v>
      </c>
      <c r="E259" s="470" t="s">
        <v>306</v>
      </c>
      <c r="F259" s="470" t="s">
        <v>306</v>
      </c>
      <c r="G259" s="470" t="s">
        <v>306</v>
      </c>
      <c r="H259" s="470" t="s">
        <v>306</v>
      </c>
      <c r="I259" s="470" t="s">
        <v>273</v>
      </c>
      <c r="J259" s="470" t="s">
        <v>273</v>
      </c>
      <c r="K259" s="470" t="s">
        <v>273</v>
      </c>
      <c r="L259" s="470" t="s">
        <v>273</v>
      </c>
      <c r="M259" s="470" t="s">
        <v>273</v>
      </c>
      <c r="N259" s="470" t="s">
        <v>273</v>
      </c>
      <c r="O259" s="470" t="s">
        <v>273</v>
      </c>
      <c r="P259" s="470" t="s">
        <v>273</v>
      </c>
      <c r="Q259" s="470" t="s">
        <v>273</v>
      </c>
      <c r="R259" s="470" t="s">
        <v>273</v>
      </c>
      <c r="S259" s="470" t="s">
        <v>273</v>
      </c>
      <c r="T259" s="470" t="s">
        <v>273</v>
      </c>
      <c r="U259" s="470" t="s">
        <v>273</v>
      </c>
      <c r="V259" s="470" t="s">
        <v>273</v>
      </c>
      <c r="W259" s="470" t="s">
        <v>273</v>
      </c>
      <c r="X259" s="470" t="s">
        <v>273</v>
      </c>
      <c r="Y259" s="470" t="s">
        <v>273</v>
      </c>
      <c r="Z259" s="470" t="s">
        <v>273</v>
      </c>
      <c r="AA259" s="470" t="s">
        <v>273</v>
      </c>
      <c r="AB259" s="470" t="s">
        <v>273</v>
      </c>
      <c r="AC259" s="470" t="s">
        <v>273</v>
      </c>
      <c r="AD259" s="470" t="s">
        <v>273</v>
      </c>
      <c r="AE259" s="470" t="s">
        <v>273</v>
      </c>
      <c r="AF259" s="470" t="s">
        <v>273</v>
      </c>
      <c r="AG259" s="470" t="s">
        <v>273</v>
      </c>
      <c r="AH259" s="470" t="s">
        <v>273</v>
      </c>
      <c r="AI259" s="470" t="s">
        <v>273</v>
      </c>
      <c r="AJ259" s="470" t="s">
        <v>273</v>
      </c>
      <c r="AK259" s="470" t="s">
        <v>273</v>
      </c>
      <c r="AL259" s="470" t="s">
        <v>273</v>
      </c>
    </row>
    <row r="260" spans="1:38">
      <c r="A260" s="470" t="s">
        <v>1396</v>
      </c>
      <c r="B260" s="470">
        <v>0</v>
      </c>
      <c r="C260" s="470" t="s">
        <v>306</v>
      </c>
      <c r="D260" s="470">
        <v>0</v>
      </c>
      <c r="E260" s="470">
        <v>0</v>
      </c>
      <c r="F260" s="470">
        <v>0</v>
      </c>
      <c r="G260" s="470">
        <v>0</v>
      </c>
      <c r="H260" s="470">
        <v>0</v>
      </c>
      <c r="I260" s="470" t="s">
        <v>273</v>
      </c>
      <c r="J260" s="470" t="s">
        <v>273</v>
      </c>
      <c r="K260" s="470" t="s">
        <v>273</v>
      </c>
      <c r="L260" s="470" t="s">
        <v>273</v>
      </c>
      <c r="M260" s="470" t="s">
        <v>273</v>
      </c>
      <c r="N260" s="470" t="s">
        <v>273</v>
      </c>
      <c r="O260" s="470" t="s">
        <v>273</v>
      </c>
      <c r="P260" s="470" t="s">
        <v>273</v>
      </c>
      <c r="Q260" s="470" t="s">
        <v>273</v>
      </c>
      <c r="R260" s="470" t="s">
        <v>273</v>
      </c>
      <c r="S260" s="470" t="s">
        <v>273</v>
      </c>
      <c r="T260" s="470" t="s">
        <v>273</v>
      </c>
      <c r="U260" s="470" t="s">
        <v>273</v>
      </c>
      <c r="V260" s="470" t="s">
        <v>273</v>
      </c>
      <c r="W260" s="470" t="s">
        <v>273</v>
      </c>
      <c r="X260" s="470" t="s">
        <v>273</v>
      </c>
      <c r="Y260" s="470" t="s">
        <v>273</v>
      </c>
      <c r="Z260" s="470" t="s">
        <v>273</v>
      </c>
      <c r="AA260" s="470" t="s">
        <v>273</v>
      </c>
      <c r="AB260" s="470" t="s">
        <v>273</v>
      </c>
      <c r="AC260" s="470" t="s">
        <v>273</v>
      </c>
      <c r="AD260" s="470" t="s">
        <v>273</v>
      </c>
      <c r="AE260" s="470" t="s">
        <v>273</v>
      </c>
      <c r="AF260" s="470" t="s">
        <v>273</v>
      </c>
      <c r="AG260" s="470" t="s">
        <v>273</v>
      </c>
      <c r="AH260" s="470" t="s">
        <v>273</v>
      </c>
      <c r="AI260" s="470" t="s">
        <v>273</v>
      </c>
      <c r="AJ260" s="470" t="s">
        <v>273</v>
      </c>
      <c r="AK260" s="470" t="s">
        <v>273</v>
      </c>
      <c r="AL260" s="470" t="s">
        <v>273</v>
      </c>
    </row>
    <row r="261" spans="1:38">
      <c r="A261" s="470" t="s">
        <v>1395</v>
      </c>
      <c r="B261" s="470">
        <v>0</v>
      </c>
      <c r="C261" s="470" t="s">
        <v>306</v>
      </c>
      <c r="D261" s="470" t="s">
        <v>306</v>
      </c>
      <c r="E261" s="470" t="s">
        <v>306</v>
      </c>
      <c r="F261" s="470" t="s">
        <v>306</v>
      </c>
      <c r="G261" s="470" t="s">
        <v>306</v>
      </c>
      <c r="H261" s="470">
        <v>2</v>
      </c>
      <c r="I261" s="470" t="s">
        <v>273</v>
      </c>
      <c r="J261" s="470" t="s">
        <v>273</v>
      </c>
      <c r="K261" s="470" t="s">
        <v>273</v>
      </c>
      <c r="L261" s="470" t="s">
        <v>273</v>
      </c>
      <c r="M261" s="470" t="s">
        <v>273</v>
      </c>
      <c r="N261" s="470" t="s">
        <v>273</v>
      </c>
      <c r="O261" s="470" t="s">
        <v>273</v>
      </c>
      <c r="P261" s="470" t="s">
        <v>273</v>
      </c>
      <c r="Q261" s="470" t="s">
        <v>273</v>
      </c>
      <c r="R261" s="470" t="s">
        <v>273</v>
      </c>
      <c r="S261" s="470" t="s">
        <v>273</v>
      </c>
      <c r="T261" s="470" t="s">
        <v>273</v>
      </c>
      <c r="U261" s="470" t="s">
        <v>273</v>
      </c>
      <c r="V261" s="470" t="s">
        <v>273</v>
      </c>
      <c r="W261" s="470" t="s">
        <v>273</v>
      </c>
      <c r="X261" s="470" t="s">
        <v>273</v>
      </c>
      <c r="Y261" s="470" t="s">
        <v>273</v>
      </c>
      <c r="Z261" s="470" t="s">
        <v>273</v>
      </c>
      <c r="AA261" s="470" t="s">
        <v>273</v>
      </c>
      <c r="AB261" s="470" t="s">
        <v>273</v>
      </c>
      <c r="AC261" s="470" t="s">
        <v>273</v>
      </c>
      <c r="AD261" s="470" t="s">
        <v>273</v>
      </c>
      <c r="AE261" s="470" t="s">
        <v>273</v>
      </c>
      <c r="AF261" s="470" t="s">
        <v>273</v>
      </c>
      <c r="AG261" s="470" t="s">
        <v>273</v>
      </c>
      <c r="AH261" s="470" t="s">
        <v>273</v>
      </c>
      <c r="AI261" s="470" t="s">
        <v>273</v>
      </c>
      <c r="AJ261" s="470" t="s">
        <v>273</v>
      </c>
      <c r="AK261" s="470" t="s">
        <v>273</v>
      </c>
      <c r="AL261" s="470" t="s">
        <v>273</v>
      </c>
    </row>
    <row r="262" spans="1:38">
      <c r="A262" s="470" t="s">
        <v>1394</v>
      </c>
      <c r="B262" s="470">
        <v>1</v>
      </c>
      <c r="C262" s="470">
        <v>0</v>
      </c>
      <c r="D262" s="470">
        <v>0</v>
      </c>
      <c r="E262" s="470">
        <v>0</v>
      </c>
      <c r="F262" s="470" t="s">
        <v>306</v>
      </c>
      <c r="G262" s="470">
        <v>0</v>
      </c>
      <c r="H262" s="470">
        <v>0</v>
      </c>
      <c r="I262" s="470" t="s">
        <v>273</v>
      </c>
      <c r="J262" s="470" t="s">
        <v>273</v>
      </c>
      <c r="K262" s="470" t="s">
        <v>273</v>
      </c>
      <c r="L262" s="470" t="s">
        <v>273</v>
      </c>
      <c r="M262" s="470" t="s">
        <v>273</v>
      </c>
      <c r="N262" s="470" t="s">
        <v>273</v>
      </c>
      <c r="O262" s="470" t="s">
        <v>273</v>
      </c>
      <c r="P262" s="470" t="s">
        <v>273</v>
      </c>
      <c r="Q262" s="470" t="s">
        <v>273</v>
      </c>
      <c r="R262" s="470" t="s">
        <v>273</v>
      </c>
      <c r="S262" s="470" t="s">
        <v>273</v>
      </c>
      <c r="T262" s="470" t="s">
        <v>273</v>
      </c>
      <c r="U262" s="470" t="s">
        <v>273</v>
      </c>
      <c r="V262" s="470" t="s">
        <v>273</v>
      </c>
      <c r="W262" s="470" t="s">
        <v>273</v>
      </c>
      <c r="X262" s="470" t="s">
        <v>273</v>
      </c>
      <c r="Y262" s="470" t="s">
        <v>273</v>
      </c>
      <c r="Z262" s="470" t="s">
        <v>273</v>
      </c>
      <c r="AA262" s="470" t="s">
        <v>273</v>
      </c>
      <c r="AB262" s="470" t="s">
        <v>273</v>
      </c>
      <c r="AC262" s="470" t="s">
        <v>273</v>
      </c>
      <c r="AD262" s="470" t="s">
        <v>273</v>
      </c>
      <c r="AE262" s="470" t="s">
        <v>273</v>
      </c>
      <c r="AF262" s="470" t="s">
        <v>273</v>
      </c>
      <c r="AG262" s="470" t="s">
        <v>273</v>
      </c>
      <c r="AH262" s="470" t="s">
        <v>273</v>
      </c>
      <c r="AI262" s="470" t="s">
        <v>273</v>
      </c>
      <c r="AJ262" s="470" t="s">
        <v>273</v>
      </c>
      <c r="AK262" s="470" t="s">
        <v>273</v>
      </c>
      <c r="AL262" s="470" t="s">
        <v>273</v>
      </c>
    </row>
    <row r="263" spans="1:38">
      <c r="A263" s="470" t="s">
        <v>1393</v>
      </c>
      <c r="B263" s="470">
        <v>0</v>
      </c>
      <c r="C263" s="470">
        <v>0</v>
      </c>
      <c r="D263" s="470">
        <v>0</v>
      </c>
      <c r="E263" s="470">
        <v>0</v>
      </c>
      <c r="F263" s="470">
        <v>0</v>
      </c>
      <c r="G263" s="470">
        <v>0</v>
      </c>
      <c r="H263" s="470">
        <v>1</v>
      </c>
      <c r="I263" s="470" t="s">
        <v>273</v>
      </c>
      <c r="J263" s="470" t="s">
        <v>273</v>
      </c>
      <c r="K263" s="470" t="s">
        <v>273</v>
      </c>
      <c r="L263" s="470" t="s">
        <v>273</v>
      </c>
      <c r="M263" s="470" t="s">
        <v>273</v>
      </c>
      <c r="N263" s="470" t="s">
        <v>273</v>
      </c>
      <c r="O263" s="470" t="s">
        <v>273</v>
      </c>
      <c r="P263" s="470" t="s">
        <v>273</v>
      </c>
      <c r="Q263" s="470" t="s">
        <v>273</v>
      </c>
      <c r="R263" s="470" t="s">
        <v>273</v>
      </c>
      <c r="S263" s="470" t="s">
        <v>273</v>
      </c>
      <c r="T263" s="470" t="s">
        <v>273</v>
      </c>
      <c r="U263" s="470" t="s">
        <v>273</v>
      </c>
      <c r="V263" s="470" t="s">
        <v>273</v>
      </c>
      <c r="W263" s="470" t="s">
        <v>273</v>
      </c>
      <c r="X263" s="470" t="s">
        <v>273</v>
      </c>
      <c r="Y263" s="470" t="s">
        <v>273</v>
      </c>
      <c r="Z263" s="470" t="s">
        <v>273</v>
      </c>
      <c r="AA263" s="470" t="s">
        <v>273</v>
      </c>
      <c r="AB263" s="470" t="s">
        <v>273</v>
      </c>
      <c r="AC263" s="470" t="s">
        <v>273</v>
      </c>
      <c r="AD263" s="470" t="s">
        <v>273</v>
      </c>
      <c r="AE263" s="470" t="s">
        <v>273</v>
      </c>
      <c r="AF263" s="470" t="s">
        <v>273</v>
      </c>
      <c r="AG263" s="470" t="s">
        <v>273</v>
      </c>
      <c r="AH263" s="470" t="s">
        <v>273</v>
      </c>
      <c r="AI263" s="470" t="s">
        <v>273</v>
      </c>
      <c r="AJ263" s="470" t="s">
        <v>273</v>
      </c>
      <c r="AK263" s="470" t="s">
        <v>273</v>
      </c>
      <c r="AL263" s="470" t="s">
        <v>273</v>
      </c>
    </row>
    <row r="264" spans="1:38">
      <c r="A264" s="470" t="s">
        <v>1392</v>
      </c>
      <c r="B264" s="470">
        <v>0</v>
      </c>
      <c r="C264" s="470">
        <v>0</v>
      </c>
      <c r="D264" s="470">
        <v>0</v>
      </c>
      <c r="E264" s="470">
        <v>0</v>
      </c>
      <c r="F264" s="470">
        <v>0</v>
      </c>
      <c r="G264" s="470">
        <v>0</v>
      </c>
      <c r="H264" s="470" t="s">
        <v>306</v>
      </c>
      <c r="I264" s="470" t="s">
        <v>273</v>
      </c>
      <c r="J264" s="470" t="s">
        <v>273</v>
      </c>
      <c r="K264" s="470" t="s">
        <v>273</v>
      </c>
      <c r="L264" s="470" t="s">
        <v>273</v>
      </c>
      <c r="M264" s="470" t="s">
        <v>273</v>
      </c>
      <c r="N264" s="470" t="s">
        <v>273</v>
      </c>
      <c r="O264" s="470" t="s">
        <v>273</v>
      </c>
      <c r="P264" s="470" t="s">
        <v>273</v>
      </c>
      <c r="Q264" s="470" t="s">
        <v>273</v>
      </c>
      <c r="R264" s="470" t="s">
        <v>273</v>
      </c>
      <c r="S264" s="470" t="s">
        <v>273</v>
      </c>
      <c r="T264" s="470" t="s">
        <v>273</v>
      </c>
      <c r="U264" s="470" t="s">
        <v>273</v>
      </c>
      <c r="V264" s="470" t="s">
        <v>273</v>
      </c>
      <c r="W264" s="470" t="s">
        <v>273</v>
      </c>
      <c r="X264" s="470" t="s">
        <v>273</v>
      </c>
      <c r="Y264" s="470" t="s">
        <v>273</v>
      </c>
      <c r="Z264" s="470" t="s">
        <v>273</v>
      </c>
      <c r="AA264" s="470" t="s">
        <v>273</v>
      </c>
      <c r="AB264" s="470" t="s">
        <v>273</v>
      </c>
      <c r="AC264" s="470" t="s">
        <v>273</v>
      </c>
      <c r="AD264" s="470" t="s">
        <v>273</v>
      </c>
      <c r="AE264" s="470" t="s">
        <v>273</v>
      </c>
      <c r="AF264" s="470" t="s">
        <v>273</v>
      </c>
      <c r="AG264" s="470" t="s">
        <v>273</v>
      </c>
      <c r="AH264" s="470" t="s">
        <v>273</v>
      </c>
      <c r="AI264" s="470" t="s">
        <v>273</v>
      </c>
      <c r="AJ264" s="470" t="s">
        <v>273</v>
      </c>
      <c r="AK264" s="470" t="s">
        <v>273</v>
      </c>
      <c r="AL264" s="470" t="s">
        <v>273</v>
      </c>
    </row>
    <row r="265" spans="1:38">
      <c r="A265" s="470" t="s">
        <v>320</v>
      </c>
      <c r="B265" s="470">
        <v>148</v>
      </c>
      <c r="C265" s="470">
        <v>169</v>
      </c>
      <c r="D265" s="470">
        <v>229</v>
      </c>
      <c r="E265" s="470">
        <v>324</v>
      </c>
      <c r="F265" s="470">
        <v>659</v>
      </c>
      <c r="G265" s="470">
        <v>640</v>
      </c>
      <c r="H265" s="470">
        <v>605</v>
      </c>
      <c r="I265" s="470" t="s">
        <v>273</v>
      </c>
      <c r="J265" s="470" t="s">
        <v>273</v>
      </c>
      <c r="K265" s="470" t="s">
        <v>273</v>
      </c>
      <c r="L265" s="470" t="s">
        <v>273</v>
      </c>
      <c r="M265" s="470" t="s">
        <v>273</v>
      </c>
      <c r="N265" s="470" t="s">
        <v>273</v>
      </c>
      <c r="O265" s="470" t="s">
        <v>273</v>
      </c>
      <c r="P265" s="470" t="s">
        <v>273</v>
      </c>
      <c r="Q265" s="470" t="s">
        <v>273</v>
      </c>
      <c r="R265" s="470" t="s">
        <v>273</v>
      </c>
      <c r="S265" s="470" t="s">
        <v>273</v>
      </c>
      <c r="T265" s="470" t="s">
        <v>273</v>
      </c>
      <c r="U265" s="470" t="s">
        <v>273</v>
      </c>
      <c r="V265" s="470" t="s">
        <v>273</v>
      </c>
      <c r="W265" s="470" t="s">
        <v>273</v>
      </c>
      <c r="X265" s="470" t="s">
        <v>273</v>
      </c>
      <c r="Y265" s="470" t="s">
        <v>273</v>
      </c>
      <c r="Z265" s="470" t="s">
        <v>273</v>
      </c>
      <c r="AA265" s="470" t="s">
        <v>273</v>
      </c>
      <c r="AB265" s="470" t="s">
        <v>273</v>
      </c>
      <c r="AC265" s="470" t="s">
        <v>273</v>
      </c>
      <c r="AD265" s="470" t="s">
        <v>273</v>
      </c>
      <c r="AE265" s="470" t="s">
        <v>273</v>
      </c>
      <c r="AF265" s="470" t="s">
        <v>273</v>
      </c>
      <c r="AG265" s="470" t="s">
        <v>273</v>
      </c>
      <c r="AH265" s="470" t="s">
        <v>273</v>
      </c>
      <c r="AI265" s="470" t="s">
        <v>273</v>
      </c>
      <c r="AJ265" s="470" t="s">
        <v>273</v>
      </c>
      <c r="AK265" s="470" t="s">
        <v>273</v>
      </c>
      <c r="AL265" s="470" t="s">
        <v>273</v>
      </c>
    </row>
    <row r="266" spans="1:38">
      <c r="A266" s="470" t="s">
        <v>319</v>
      </c>
      <c r="B266" s="470">
        <v>4</v>
      </c>
      <c r="C266" s="470">
        <v>6</v>
      </c>
      <c r="D266" s="470">
        <v>7</v>
      </c>
      <c r="E266" s="470">
        <v>12</v>
      </c>
      <c r="F266" s="470">
        <v>16</v>
      </c>
      <c r="G266" s="470">
        <v>19</v>
      </c>
      <c r="H266" s="470">
        <v>18</v>
      </c>
      <c r="I266" s="470" t="s">
        <v>273</v>
      </c>
      <c r="J266" s="470" t="s">
        <v>273</v>
      </c>
      <c r="K266" s="470" t="s">
        <v>273</v>
      </c>
      <c r="L266" s="470" t="s">
        <v>273</v>
      </c>
      <c r="M266" s="470" t="s">
        <v>273</v>
      </c>
      <c r="N266" s="470" t="s">
        <v>273</v>
      </c>
      <c r="O266" s="470" t="s">
        <v>273</v>
      </c>
      <c r="P266" s="470" t="s">
        <v>273</v>
      </c>
      <c r="Q266" s="470" t="s">
        <v>273</v>
      </c>
      <c r="R266" s="470" t="s">
        <v>273</v>
      </c>
      <c r="S266" s="470" t="s">
        <v>273</v>
      </c>
      <c r="T266" s="470" t="s">
        <v>273</v>
      </c>
      <c r="U266" s="470" t="s">
        <v>273</v>
      </c>
      <c r="V266" s="470" t="s">
        <v>273</v>
      </c>
      <c r="W266" s="470" t="s">
        <v>273</v>
      </c>
      <c r="X266" s="470" t="s">
        <v>273</v>
      </c>
      <c r="Y266" s="470" t="s">
        <v>273</v>
      </c>
      <c r="Z266" s="470" t="s">
        <v>273</v>
      </c>
      <c r="AA266" s="470" t="s">
        <v>273</v>
      </c>
      <c r="AB266" s="470" t="s">
        <v>273</v>
      </c>
      <c r="AC266" s="470" t="s">
        <v>273</v>
      </c>
      <c r="AD266" s="470" t="s">
        <v>273</v>
      </c>
      <c r="AE266" s="470" t="s">
        <v>273</v>
      </c>
      <c r="AF266" s="470" t="s">
        <v>273</v>
      </c>
      <c r="AG266" s="470" t="s">
        <v>273</v>
      </c>
      <c r="AH266" s="470" t="s">
        <v>273</v>
      </c>
      <c r="AI266" s="470" t="s">
        <v>273</v>
      </c>
      <c r="AJ266" s="470" t="s">
        <v>273</v>
      </c>
      <c r="AK266" s="470" t="s">
        <v>273</v>
      </c>
      <c r="AL266" s="470" t="s">
        <v>273</v>
      </c>
    </row>
    <row r="267" spans="1:38">
      <c r="A267" s="470" t="s">
        <v>318</v>
      </c>
      <c r="B267" s="470">
        <v>-1</v>
      </c>
      <c r="C267" s="470">
        <v>-2</v>
      </c>
      <c r="D267" s="470">
        <v>-5</v>
      </c>
      <c r="E267" s="470">
        <v>-2</v>
      </c>
      <c r="F267" s="470">
        <v>15</v>
      </c>
      <c r="G267" s="470">
        <v>49</v>
      </c>
      <c r="H267" s="470">
        <v>37</v>
      </c>
      <c r="I267" s="470" t="s">
        <v>273</v>
      </c>
      <c r="J267" s="470" t="s">
        <v>273</v>
      </c>
      <c r="K267" s="470" t="s">
        <v>273</v>
      </c>
      <c r="L267" s="470" t="s">
        <v>273</v>
      </c>
      <c r="M267" s="470" t="s">
        <v>273</v>
      </c>
      <c r="N267" s="470" t="s">
        <v>273</v>
      </c>
      <c r="O267" s="470" t="s">
        <v>273</v>
      </c>
      <c r="P267" s="470" t="s">
        <v>273</v>
      </c>
      <c r="Q267" s="470" t="s">
        <v>273</v>
      </c>
      <c r="R267" s="470" t="s">
        <v>273</v>
      </c>
      <c r="S267" s="470" t="s">
        <v>273</v>
      </c>
      <c r="T267" s="470" t="s">
        <v>273</v>
      </c>
      <c r="U267" s="470" t="s">
        <v>273</v>
      </c>
      <c r="V267" s="470" t="s">
        <v>273</v>
      </c>
      <c r="W267" s="470" t="s">
        <v>273</v>
      </c>
      <c r="X267" s="470" t="s">
        <v>273</v>
      </c>
      <c r="Y267" s="470" t="s">
        <v>273</v>
      </c>
      <c r="Z267" s="470" t="s">
        <v>273</v>
      </c>
      <c r="AA267" s="470" t="s">
        <v>273</v>
      </c>
      <c r="AB267" s="470" t="s">
        <v>273</v>
      </c>
      <c r="AC267" s="470" t="s">
        <v>273</v>
      </c>
      <c r="AD267" s="470" t="s">
        <v>273</v>
      </c>
      <c r="AE267" s="470" t="s">
        <v>273</v>
      </c>
      <c r="AF267" s="470" t="s">
        <v>273</v>
      </c>
      <c r="AG267" s="470" t="s">
        <v>273</v>
      </c>
      <c r="AH267" s="470" t="s">
        <v>273</v>
      </c>
      <c r="AI267" s="470" t="s">
        <v>273</v>
      </c>
      <c r="AJ267" s="470" t="s">
        <v>273</v>
      </c>
      <c r="AK267" s="470" t="s">
        <v>273</v>
      </c>
      <c r="AL267" s="470" t="s">
        <v>273</v>
      </c>
    </row>
    <row r="268" spans="1:38">
      <c r="A268" s="470" t="s">
        <v>1391</v>
      </c>
      <c r="B268" s="470">
        <v>1</v>
      </c>
      <c r="C268" s="470">
        <v>1</v>
      </c>
      <c r="D268" s="470">
        <v>1</v>
      </c>
      <c r="E268" s="470">
        <v>2</v>
      </c>
      <c r="F268" s="470">
        <v>1</v>
      </c>
      <c r="G268" s="470">
        <v>1</v>
      </c>
      <c r="H268" s="470">
        <v>1</v>
      </c>
      <c r="I268" s="470" t="s">
        <v>273</v>
      </c>
      <c r="J268" s="470" t="s">
        <v>273</v>
      </c>
      <c r="K268" s="470" t="s">
        <v>273</v>
      </c>
      <c r="L268" s="470" t="s">
        <v>273</v>
      </c>
      <c r="M268" s="470" t="s">
        <v>273</v>
      </c>
      <c r="N268" s="470" t="s">
        <v>273</v>
      </c>
      <c r="O268" s="470" t="s">
        <v>273</v>
      </c>
      <c r="P268" s="470" t="s">
        <v>273</v>
      </c>
      <c r="Q268" s="470" t="s">
        <v>273</v>
      </c>
      <c r="R268" s="470" t="s">
        <v>273</v>
      </c>
      <c r="S268" s="470" t="s">
        <v>273</v>
      </c>
      <c r="T268" s="470" t="s">
        <v>273</v>
      </c>
      <c r="U268" s="470" t="s">
        <v>273</v>
      </c>
      <c r="V268" s="470" t="s">
        <v>273</v>
      </c>
      <c r="W268" s="470" t="s">
        <v>273</v>
      </c>
      <c r="X268" s="470" t="s">
        <v>273</v>
      </c>
      <c r="Y268" s="470" t="s">
        <v>273</v>
      </c>
      <c r="Z268" s="470" t="s">
        <v>273</v>
      </c>
      <c r="AA268" s="470" t="s">
        <v>273</v>
      </c>
      <c r="AB268" s="470" t="s">
        <v>273</v>
      </c>
      <c r="AC268" s="470" t="s">
        <v>273</v>
      </c>
      <c r="AD268" s="470" t="s">
        <v>273</v>
      </c>
      <c r="AE268" s="470" t="s">
        <v>273</v>
      </c>
      <c r="AF268" s="470" t="s">
        <v>273</v>
      </c>
      <c r="AG268" s="470" t="s">
        <v>273</v>
      </c>
      <c r="AH268" s="470" t="s">
        <v>273</v>
      </c>
      <c r="AI268" s="470" t="s">
        <v>273</v>
      </c>
      <c r="AJ268" s="470" t="s">
        <v>273</v>
      </c>
      <c r="AK268" s="470" t="s">
        <v>273</v>
      </c>
      <c r="AL268" s="470" t="s">
        <v>273</v>
      </c>
    </row>
    <row r="269" spans="1:38">
      <c r="A269" s="470" t="s">
        <v>1390</v>
      </c>
      <c r="B269" s="470">
        <v>0</v>
      </c>
      <c r="C269" s="470">
        <v>0</v>
      </c>
      <c r="D269" s="470">
        <v>0</v>
      </c>
      <c r="E269" s="470">
        <v>0</v>
      </c>
      <c r="F269" s="470">
        <v>0</v>
      </c>
      <c r="G269" s="470">
        <v>0</v>
      </c>
      <c r="H269" s="470">
        <v>0</v>
      </c>
      <c r="I269" s="470" t="s">
        <v>273</v>
      </c>
      <c r="J269" s="470" t="s">
        <v>273</v>
      </c>
      <c r="K269" s="470" t="s">
        <v>273</v>
      </c>
      <c r="L269" s="470" t="s">
        <v>273</v>
      </c>
      <c r="M269" s="470" t="s">
        <v>273</v>
      </c>
      <c r="N269" s="470" t="s">
        <v>273</v>
      </c>
      <c r="O269" s="470" t="s">
        <v>273</v>
      </c>
      <c r="P269" s="470" t="s">
        <v>273</v>
      </c>
      <c r="Q269" s="470" t="s">
        <v>273</v>
      </c>
      <c r="R269" s="470" t="s">
        <v>273</v>
      </c>
      <c r="S269" s="470" t="s">
        <v>273</v>
      </c>
      <c r="T269" s="470" t="s">
        <v>273</v>
      </c>
      <c r="U269" s="470" t="s">
        <v>273</v>
      </c>
      <c r="V269" s="470" t="s">
        <v>273</v>
      </c>
      <c r="W269" s="470" t="s">
        <v>273</v>
      </c>
      <c r="X269" s="470" t="s">
        <v>273</v>
      </c>
      <c r="Y269" s="470" t="s">
        <v>273</v>
      </c>
      <c r="Z269" s="470" t="s">
        <v>273</v>
      </c>
      <c r="AA269" s="470" t="s">
        <v>273</v>
      </c>
      <c r="AB269" s="470" t="s">
        <v>273</v>
      </c>
      <c r="AC269" s="470" t="s">
        <v>273</v>
      </c>
      <c r="AD269" s="470" t="s">
        <v>273</v>
      </c>
      <c r="AE269" s="470" t="s">
        <v>273</v>
      </c>
      <c r="AF269" s="470" t="s">
        <v>273</v>
      </c>
      <c r="AG269" s="470" t="s">
        <v>273</v>
      </c>
      <c r="AH269" s="470" t="s">
        <v>273</v>
      </c>
      <c r="AI269" s="470" t="s">
        <v>273</v>
      </c>
      <c r="AJ269" s="470" t="s">
        <v>273</v>
      </c>
      <c r="AK269" s="470" t="s">
        <v>273</v>
      </c>
      <c r="AL269" s="470" t="s">
        <v>273</v>
      </c>
    </row>
    <row r="270" spans="1:38">
      <c r="A270" s="470" t="s">
        <v>1389</v>
      </c>
      <c r="B270" s="470">
        <v>-1</v>
      </c>
      <c r="C270" s="470">
        <v>-1</v>
      </c>
      <c r="D270" s="470">
        <v>-1</v>
      </c>
      <c r="E270" s="470">
        <v>-1</v>
      </c>
      <c r="F270" s="470">
        <v>-1</v>
      </c>
      <c r="G270" s="470">
        <v>-1</v>
      </c>
      <c r="H270" s="470">
        <v>-4</v>
      </c>
      <c r="I270" s="470" t="s">
        <v>273</v>
      </c>
      <c r="J270" s="470" t="s">
        <v>273</v>
      </c>
      <c r="K270" s="470" t="s">
        <v>273</v>
      </c>
      <c r="L270" s="470" t="s">
        <v>273</v>
      </c>
      <c r="M270" s="470" t="s">
        <v>273</v>
      </c>
      <c r="N270" s="470" t="s">
        <v>273</v>
      </c>
      <c r="O270" s="470" t="s">
        <v>273</v>
      </c>
      <c r="P270" s="470" t="s">
        <v>273</v>
      </c>
      <c r="Q270" s="470" t="s">
        <v>273</v>
      </c>
      <c r="R270" s="470" t="s">
        <v>273</v>
      </c>
      <c r="S270" s="470" t="s">
        <v>273</v>
      </c>
      <c r="T270" s="470" t="s">
        <v>273</v>
      </c>
      <c r="U270" s="470" t="s">
        <v>273</v>
      </c>
      <c r="V270" s="470" t="s">
        <v>273</v>
      </c>
      <c r="W270" s="470" t="s">
        <v>273</v>
      </c>
      <c r="X270" s="470" t="s">
        <v>273</v>
      </c>
      <c r="Y270" s="470" t="s">
        <v>273</v>
      </c>
      <c r="Z270" s="470" t="s">
        <v>273</v>
      </c>
      <c r="AA270" s="470" t="s">
        <v>273</v>
      </c>
      <c r="AB270" s="470" t="s">
        <v>273</v>
      </c>
      <c r="AC270" s="470" t="s">
        <v>273</v>
      </c>
      <c r="AD270" s="470" t="s">
        <v>273</v>
      </c>
      <c r="AE270" s="470" t="s">
        <v>273</v>
      </c>
      <c r="AF270" s="470" t="s">
        <v>273</v>
      </c>
      <c r="AG270" s="470" t="s">
        <v>273</v>
      </c>
      <c r="AH270" s="470" t="s">
        <v>273</v>
      </c>
      <c r="AI270" s="470" t="s">
        <v>273</v>
      </c>
      <c r="AJ270" s="470" t="s">
        <v>273</v>
      </c>
      <c r="AK270" s="470" t="s">
        <v>273</v>
      </c>
      <c r="AL270" s="470" t="s">
        <v>273</v>
      </c>
    </row>
    <row r="271" spans="1:38">
      <c r="A271" s="470" t="s">
        <v>316</v>
      </c>
      <c r="B271" s="470">
        <v>-134</v>
      </c>
      <c r="C271" s="470">
        <v>-103</v>
      </c>
      <c r="D271" s="470">
        <v>-55</v>
      </c>
      <c r="E271" s="470">
        <v>-57</v>
      </c>
      <c r="F271" s="470">
        <v>-81</v>
      </c>
      <c r="G271" s="470">
        <v>-101</v>
      </c>
      <c r="H271" s="470">
        <v>383</v>
      </c>
      <c r="I271" s="470" t="s">
        <v>273</v>
      </c>
      <c r="J271" s="470" t="s">
        <v>273</v>
      </c>
      <c r="K271" s="470" t="s">
        <v>273</v>
      </c>
      <c r="L271" s="470" t="s">
        <v>273</v>
      </c>
      <c r="M271" s="470" t="s">
        <v>273</v>
      </c>
      <c r="N271" s="470" t="s">
        <v>273</v>
      </c>
      <c r="O271" s="470" t="s">
        <v>273</v>
      </c>
      <c r="P271" s="470" t="s">
        <v>273</v>
      </c>
      <c r="Q271" s="470" t="s">
        <v>273</v>
      </c>
      <c r="R271" s="470" t="s">
        <v>273</v>
      </c>
      <c r="S271" s="470" t="s">
        <v>273</v>
      </c>
      <c r="T271" s="470" t="s">
        <v>273</v>
      </c>
      <c r="U271" s="470" t="s">
        <v>273</v>
      </c>
      <c r="V271" s="470" t="s">
        <v>273</v>
      </c>
      <c r="W271" s="470" t="s">
        <v>273</v>
      </c>
      <c r="X271" s="470" t="s">
        <v>273</v>
      </c>
      <c r="Y271" s="470" t="s">
        <v>273</v>
      </c>
      <c r="Z271" s="470" t="s">
        <v>273</v>
      </c>
      <c r="AA271" s="470" t="s">
        <v>273</v>
      </c>
      <c r="AB271" s="470" t="s">
        <v>273</v>
      </c>
      <c r="AC271" s="470" t="s">
        <v>273</v>
      </c>
      <c r="AD271" s="470" t="s">
        <v>273</v>
      </c>
      <c r="AE271" s="470" t="s">
        <v>273</v>
      </c>
      <c r="AF271" s="470" t="s">
        <v>273</v>
      </c>
      <c r="AG271" s="470" t="s">
        <v>273</v>
      </c>
      <c r="AH271" s="470" t="s">
        <v>273</v>
      </c>
      <c r="AI271" s="470" t="s">
        <v>273</v>
      </c>
      <c r="AJ271" s="470" t="s">
        <v>273</v>
      </c>
      <c r="AK271" s="470" t="s">
        <v>273</v>
      </c>
      <c r="AL271" s="470" t="s">
        <v>273</v>
      </c>
    </row>
    <row r="272" spans="1:38">
      <c r="A272" s="470" t="s">
        <v>1388</v>
      </c>
      <c r="B272" s="470">
        <v>2</v>
      </c>
      <c r="C272" s="470">
        <v>1</v>
      </c>
      <c r="D272" s="470">
        <v>1</v>
      </c>
      <c r="E272" s="470" t="s">
        <v>306</v>
      </c>
      <c r="F272" s="470">
        <v>-1</v>
      </c>
      <c r="G272" s="470">
        <v>-3</v>
      </c>
      <c r="H272" s="470">
        <v>-4</v>
      </c>
      <c r="I272" s="470" t="s">
        <v>273</v>
      </c>
      <c r="J272" s="470" t="s">
        <v>273</v>
      </c>
      <c r="K272" s="470" t="s">
        <v>273</v>
      </c>
      <c r="L272" s="470" t="s">
        <v>273</v>
      </c>
      <c r="M272" s="470" t="s">
        <v>273</v>
      </c>
      <c r="N272" s="470" t="s">
        <v>273</v>
      </c>
      <c r="O272" s="470" t="s">
        <v>273</v>
      </c>
      <c r="P272" s="470" t="s">
        <v>273</v>
      </c>
      <c r="Q272" s="470" t="s">
        <v>273</v>
      </c>
      <c r="R272" s="470" t="s">
        <v>273</v>
      </c>
      <c r="S272" s="470" t="s">
        <v>273</v>
      </c>
      <c r="T272" s="470" t="s">
        <v>273</v>
      </c>
      <c r="U272" s="470" t="s">
        <v>273</v>
      </c>
      <c r="V272" s="470" t="s">
        <v>273</v>
      </c>
      <c r="W272" s="470" t="s">
        <v>273</v>
      </c>
      <c r="X272" s="470" t="s">
        <v>273</v>
      </c>
      <c r="Y272" s="470" t="s">
        <v>273</v>
      </c>
      <c r="Z272" s="470" t="s">
        <v>273</v>
      </c>
      <c r="AA272" s="470" t="s">
        <v>273</v>
      </c>
      <c r="AB272" s="470" t="s">
        <v>273</v>
      </c>
      <c r="AC272" s="470" t="s">
        <v>273</v>
      </c>
      <c r="AD272" s="470" t="s">
        <v>273</v>
      </c>
      <c r="AE272" s="470" t="s">
        <v>273</v>
      </c>
      <c r="AF272" s="470" t="s">
        <v>273</v>
      </c>
      <c r="AG272" s="470" t="s">
        <v>273</v>
      </c>
      <c r="AH272" s="470" t="s">
        <v>273</v>
      </c>
      <c r="AI272" s="470" t="s">
        <v>273</v>
      </c>
      <c r="AJ272" s="470" t="s">
        <v>273</v>
      </c>
      <c r="AK272" s="470" t="s">
        <v>273</v>
      </c>
      <c r="AL272" s="470" t="s">
        <v>273</v>
      </c>
    </row>
    <row r="273" spans="1:38">
      <c r="A273" s="470" t="s">
        <v>1387</v>
      </c>
      <c r="B273" s="470">
        <v>48</v>
      </c>
      <c r="C273" s="470">
        <v>74</v>
      </c>
      <c r="D273" s="470">
        <v>72</v>
      </c>
      <c r="E273" s="470">
        <v>74</v>
      </c>
      <c r="F273" s="470">
        <v>126</v>
      </c>
      <c r="G273" s="470">
        <v>361</v>
      </c>
      <c r="H273" s="470">
        <v>87</v>
      </c>
      <c r="I273" s="470" t="s">
        <v>273</v>
      </c>
      <c r="J273" s="470" t="s">
        <v>273</v>
      </c>
      <c r="K273" s="470" t="s">
        <v>273</v>
      </c>
      <c r="L273" s="470" t="s">
        <v>273</v>
      </c>
      <c r="M273" s="470" t="s">
        <v>273</v>
      </c>
      <c r="N273" s="470" t="s">
        <v>273</v>
      </c>
      <c r="O273" s="470" t="s">
        <v>273</v>
      </c>
      <c r="P273" s="470" t="s">
        <v>273</v>
      </c>
      <c r="Q273" s="470" t="s">
        <v>273</v>
      </c>
      <c r="R273" s="470" t="s">
        <v>273</v>
      </c>
      <c r="S273" s="470" t="s">
        <v>273</v>
      </c>
      <c r="T273" s="470" t="s">
        <v>273</v>
      </c>
      <c r="U273" s="470" t="s">
        <v>273</v>
      </c>
      <c r="V273" s="470" t="s">
        <v>273</v>
      </c>
      <c r="W273" s="470" t="s">
        <v>273</v>
      </c>
      <c r="X273" s="470" t="s">
        <v>273</v>
      </c>
      <c r="Y273" s="470" t="s">
        <v>273</v>
      </c>
      <c r="Z273" s="470" t="s">
        <v>273</v>
      </c>
      <c r="AA273" s="470" t="s">
        <v>273</v>
      </c>
      <c r="AB273" s="470" t="s">
        <v>273</v>
      </c>
      <c r="AC273" s="470" t="s">
        <v>273</v>
      </c>
      <c r="AD273" s="470" t="s">
        <v>273</v>
      </c>
      <c r="AE273" s="470" t="s">
        <v>273</v>
      </c>
      <c r="AF273" s="470" t="s">
        <v>273</v>
      </c>
      <c r="AG273" s="470" t="s">
        <v>273</v>
      </c>
      <c r="AH273" s="470" t="s">
        <v>273</v>
      </c>
      <c r="AI273" s="470" t="s">
        <v>273</v>
      </c>
      <c r="AJ273" s="470" t="s">
        <v>273</v>
      </c>
      <c r="AK273" s="470" t="s">
        <v>273</v>
      </c>
      <c r="AL273" s="470" t="s">
        <v>273</v>
      </c>
    </row>
    <row r="274" spans="1:38">
      <c r="A274" s="470" t="s">
        <v>1386</v>
      </c>
      <c r="B274" s="470">
        <v>1</v>
      </c>
      <c r="C274" s="470">
        <v>1</v>
      </c>
      <c r="D274" s="470">
        <v>2</v>
      </c>
      <c r="E274" s="470">
        <v>2</v>
      </c>
      <c r="F274" s="470">
        <v>2</v>
      </c>
      <c r="G274" s="470">
        <v>2</v>
      </c>
      <c r="H274" s="470">
        <v>2</v>
      </c>
      <c r="I274" s="470" t="s">
        <v>273</v>
      </c>
      <c r="J274" s="470" t="s">
        <v>273</v>
      </c>
      <c r="K274" s="470" t="s">
        <v>273</v>
      </c>
      <c r="L274" s="470" t="s">
        <v>273</v>
      </c>
      <c r="M274" s="470" t="s">
        <v>273</v>
      </c>
      <c r="N274" s="470" t="s">
        <v>273</v>
      </c>
      <c r="O274" s="470" t="s">
        <v>273</v>
      </c>
      <c r="P274" s="470" t="s">
        <v>273</v>
      </c>
      <c r="Q274" s="470" t="s">
        <v>273</v>
      </c>
      <c r="R274" s="470" t="s">
        <v>273</v>
      </c>
      <c r="S274" s="470" t="s">
        <v>273</v>
      </c>
      <c r="T274" s="470" t="s">
        <v>273</v>
      </c>
      <c r="U274" s="470" t="s">
        <v>273</v>
      </c>
      <c r="V274" s="470" t="s">
        <v>273</v>
      </c>
      <c r="W274" s="470" t="s">
        <v>273</v>
      </c>
      <c r="X274" s="470" t="s">
        <v>273</v>
      </c>
      <c r="Y274" s="470" t="s">
        <v>273</v>
      </c>
      <c r="Z274" s="470" t="s">
        <v>273</v>
      </c>
      <c r="AA274" s="470" t="s">
        <v>273</v>
      </c>
      <c r="AB274" s="470" t="s">
        <v>273</v>
      </c>
      <c r="AC274" s="470" t="s">
        <v>273</v>
      </c>
      <c r="AD274" s="470" t="s">
        <v>273</v>
      </c>
      <c r="AE274" s="470" t="s">
        <v>273</v>
      </c>
      <c r="AF274" s="470" t="s">
        <v>273</v>
      </c>
      <c r="AG274" s="470" t="s">
        <v>273</v>
      </c>
      <c r="AH274" s="470" t="s">
        <v>273</v>
      </c>
      <c r="AI274" s="470" t="s">
        <v>273</v>
      </c>
      <c r="AJ274" s="470" t="s">
        <v>273</v>
      </c>
      <c r="AK274" s="470" t="s">
        <v>273</v>
      </c>
      <c r="AL274" s="470" t="s">
        <v>273</v>
      </c>
    </row>
    <row r="275" spans="1:38">
      <c r="A275" s="470" t="s">
        <v>1385</v>
      </c>
      <c r="B275" s="470">
        <v>0</v>
      </c>
      <c r="C275" s="470">
        <v>0</v>
      </c>
      <c r="D275" s="470">
        <v>0</v>
      </c>
      <c r="E275" s="470">
        <v>0</v>
      </c>
      <c r="F275" s="470">
        <v>0</v>
      </c>
      <c r="G275" s="470">
        <v>0</v>
      </c>
      <c r="H275" s="470">
        <v>2</v>
      </c>
      <c r="I275" s="470" t="s">
        <v>273</v>
      </c>
      <c r="J275" s="470" t="s">
        <v>273</v>
      </c>
      <c r="K275" s="470" t="s">
        <v>273</v>
      </c>
      <c r="L275" s="470" t="s">
        <v>273</v>
      </c>
      <c r="M275" s="470" t="s">
        <v>273</v>
      </c>
      <c r="N275" s="470" t="s">
        <v>273</v>
      </c>
      <c r="O275" s="470" t="s">
        <v>273</v>
      </c>
      <c r="P275" s="470" t="s">
        <v>273</v>
      </c>
      <c r="Q275" s="470" t="s">
        <v>273</v>
      </c>
      <c r="R275" s="470" t="s">
        <v>273</v>
      </c>
      <c r="S275" s="470" t="s">
        <v>273</v>
      </c>
      <c r="T275" s="470" t="s">
        <v>273</v>
      </c>
      <c r="U275" s="470" t="s">
        <v>273</v>
      </c>
      <c r="V275" s="470" t="s">
        <v>273</v>
      </c>
      <c r="W275" s="470" t="s">
        <v>273</v>
      </c>
      <c r="X275" s="470" t="s">
        <v>273</v>
      </c>
      <c r="Y275" s="470" t="s">
        <v>273</v>
      </c>
      <c r="Z275" s="470" t="s">
        <v>273</v>
      </c>
      <c r="AA275" s="470" t="s">
        <v>273</v>
      </c>
      <c r="AB275" s="470" t="s">
        <v>273</v>
      </c>
      <c r="AC275" s="470" t="s">
        <v>273</v>
      </c>
      <c r="AD275" s="470" t="s">
        <v>273</v>
      </c>
      <c r="AE275" s="470" t="s">
        <v>273</v>
      </c>
      <c r="AF275" s="470" t="s">
        <v>273</v>
      </c>
      <c r="AG275" s="470" t="s">
        <v>273</v>
      </c>
      <c r="AH275" s="470" t="s">
        <v>273</v>
      </c>
      <c r="AI275" s="470" t="s">
        <v>273</v>
      </c>
      <c r="AJ275" s="470" t="s">
        <v>273</v>
      </c>
      <c r="AK275" s="470" t="s">
        <v>273</v>
      </c>
      <c r="AL275" s="470" t="s">
        <v>273</v>
      </c>
    </row>
    <row r="276" spans="1:38">
      <c r="A276" s="470" t="s">
        <v>1384</v>
      </c>
      <c r="B276" s="470">
        <v>0</v>
      </c>
      <c r="C276" s="470">
        <v>-1</v>
      </c>
      <c r="D276" s="470">
        <v>0</v>
      </c>
      <c r="E276" s="470">
        <v>0</v>
      </c>
      <c r="F276" s="470">
        <v>0</v>
      </c>
      <c r="G276" s="470">
        <v>0</v>
      </c>
      <c r="H276" s="470">
        <v>0</v>
      </c>
      <c r="I276" s="470" t="s">
        <v>273</v>
      </c>
      <c r="J276" s="470" t="s">
        <v>273</v>
      </c>
      <c r="K276" s="470" t="s">
        <v>273</v>
      </c>
      <c r="L276" s="470" t="s">
        <v>273</v>
      </c>
      <c r="M276" s="470" t="s">
        <v>273</v>
      </c>
      <c r="N276" s="470" t="s">
        <v>273</v>
      </c>
      <c r="O276" s="470" t="s">
        <v>273</v>
      </c>
      <c r="P276" s="470" t="s">
        <v>273</v>
      </c>
      <c r="Q276" s="470" t="s">
        <v>273</v>
      </c>
      <c r="R276" s="470" t="s">
        <v>273</v>
      </c>
      <c r="S276" s="470" t="s">
        <v>273</v>
      </c>
      <c r="T276" s="470" t="s">
        <v>273</v>
      </c>
      <c r="U276" s="470" t="s">
        <v>273</v>
      </c>
      <c r="V276" s="470" t="s">
        <v>273</v>
      </c>
      <c r="W276" s="470" t="s">
        <v>273</v>
      </c>
      <c r="X276" s="470" t="s">
        <v>273</v>
      </c>
      <c r="Y276" s="470" t="s">
        <v>273</v>
      </c>
      <c r="Z276" s="470" t="s">
        <v>273</v>
      </c>
      <c r="AA276" s="470" t="s">
        <v>273</v>
      </c>
      <c r="AB276" s="470" t="s">
        <v>273</v>
      </c>
      <c r="AC276" s="470" t="s">
        <v>273</v>
      </c>
      <c r="AD276" s="470" t="s">
        <v>273</v>
      </c>
      <c r="AE276" s="470" t="s">
        <v>273</v>
      </c>
      <c r="AF276" s="470" t="s">
        <v>273</v>
      </c>
      <c r="AG276" s="470" t="s">
        <v>273</v>
      </c>
      <c r="AH276" s="470" t="s">
        <v>273</v>
      </c>
      <c r="AI276" s="470" t="s">
        <v>273</v>
      </c>
      <c r="AJ276" s="470" t="s">
        <v>273</v>
      </c>
      <c r="AK276" s="470" t="s">
        <v>273</v>
      </c>
      <c r="AL276" s="470" t="s">
        <v>273</v>
      </c>
    </row>
    <row r="277" spans="1:38">
      <c r="A277" s="470" t="s">
        <v>315</v>
      </c>
      <c r="B277" s="470">
        <v>16</v>
      </c>
      <c r="C277" s="470">
        <v>21</v>
      </c>
      <c r="D277" s="470">
        <v>14</v>
      </c>
      <c r="E277" s="470">
        <v>22</v>
      </c>
      <c r="F277" s="470">
        <v>22</v>
      </c>
      <c r="G277" s="470">
        <v>16</v>
      </c>
      <c r="H277" s="470">
        <v>39</v>
      </c>
      <c r="I277" s="470" t="s">
        <v>273</v>
      </c>
      <c r="J277" s="470" t="s">
        <v>273</v>
      </c>
      <c r="K277" s="470" t="s">
        <v>273</v>
      </c>
      <c r="L277" s="470" t="s">
        <v>273</v>
      </c>
      <c r="M277" s="470" t="s">
        <v>273</v>
      </c>
      <c r="N277" s="470" t="s">
        <v>273</v>
      </c>
      <c r="O277" s="470" t="s">
        <v>273</v>
      </c>
      <c r="P277" s="470" t="s">
        <v>273</v>
      </c>
      <c r="Q277" s="470" t="s">
        <v>273</v>
      </c>
      <c r="R277" s="470" t="s">
        <v>273</v>
      </c>
      <c r="S277" s="470" t="s">
        <v>273</v>
      </c>
      <c r="T277" s="470" t="s">
        <v>273</v>
      </c>
      <c r="U277" s="470" t="s">
        <v>273</v>
      </c>
      <c r="V277" s="470" t="s">
        <v>273</v>
      </c>
      <c r="W277" s="470" t="s">
        <v>273</v>
      </c>
      <c r="X277" s="470" t="s">
        <v>273</v>
      </c>
      <c r="Y277" s="470" t="s">
        <v>273</v>
      </c>
      <c r="Z277" s="470" t="s">
        <v>273</v>
      </c>
      <c r="AA277" s="470" t="s">
        <v>273</v>
      </c>
      <c r="AB277" s="470" t="s">
        <v>273</v>
      </c>
      <c r="AC277" s="470" t="s">
        <v>273</v>
      </c>
      <c r="AD277" s="470" t="s">
        <v>273</v>
      </c>
      <c r="AE277" s="470" t="s">
        <v>273</v>
      </c>
      <c r="AF277" s="470" t="s">
        <v>273</v>
      </c>
      <c r="AG277" s="470" t="s">
        <v>273</v>
      </c>
      <c r="AH277" s="470" t="s">
        <v>273</v>
      </c>
      <c r="AI277" s="470" t="s">
        <v>273</v>
      </c>
      <c r="AJ277" s="470" t="s">
        <v>273</v>
      </c>
      <c r="AK277" s="470" t="s">
        <v>273</v>
      </c>
      <c r="AL277" s="470" t="s">
        <v>273</v>
      </c>
    </row>
    <row r="278" spans="1:38">
      <c r="A278" s="470" t="s">
        <v>1383</v>
      </c>
      <c r="B278" s="470" t="s">
        <v>306</v>
      </c>
      <c r="C278" s="470">
        <v>0</v>
      </c>
      <c r="D278" s="470">
        <v>0</v>
      </c>
      <c r="E278" s="470">
        <v>0</v>
      </c>
      <c r="F278" s="470">
        <v>0</v>
      </c>
      <c r="G278" s="470">
        <v>0</v>
      </c>
      <c r="H278" s="470">
        <v>0</v>
      </c>
      <c r="I278" s="470" t="s">
        <v>273</v>
      </c>
      <c r="J278" s="470" t="s">
        <v>273</v>
      </c>
      <c r="K278" s="470" t="s">
        <v>273</v>
      </c>
      <c r="L278" s="470" t="s">
        <v>273</v>
      </c>
      <c r="M278" s="470" t="s">
        <v>273</v>
      </c>
      <c r="N278" s="470" t="s">
        <v>273</v>
      </c>
      <c r="O278" s="470" t="s">
        <v>273</v>
      </c>
      <c r="P278" s="470" t="s">
        <v>273</v>
      </c>
      <c r="Q278" s="470" t="s">
        <v>273</v>
      </c>
      <c r="R278" s="470" t="s">
        <v>273</v>
      </c>
      <c r="S278" s="470" t="s">
        <v>273</v>
      </c>
      <c r="T278" s="470" t="s">
        <v>273</v>
      </c>
      <c r="U278" s="470" t="s">
        <v>273</v>
      </c>
      <c r="V278" s="470" t="s">
        <v>273</v>
      </c>
      <c r="W278" s="470" t="s">
        <v>273</v>
      </c>
      <c r="X278" s="470" t="s">
        <v>273</v>
      </c>
      <c r="Y278" s="470" t="s">
        <v>273</v>
      </c>
      <c r="Z278" s="470" t="s">
        <v>273</v>
      </c>
      <c r="AA278" s="470" t="s">
        <v>273</v>
      </c>
      <c r="AB278" s="470" t="s">
        <v>273</v>
      </c>
      <c r="AC278" s="470" t="s">
        <v>273</v>
      </c>
      <c r="AD278" s="470" t="s">
        <v>273</v>
      </c>
      <c r="AE278" s="470" t="s">
        <v>273</v>
      </c>
      <c r="AF278" s="470" t="s">
        <v>273</v>
      </c>
      <c r="AG278" s="470" t="s">
        <v>273</v>
      </c>
      <c r="AH278" s="470" t="s">
        <v>273</v>
      </c>
      <c r="AI278" s="470" t="s">
        <v>273</v>
      </c>
      <c r="AJ278" s="470" t="s">
        <v>273</v>
      </c>
      <c r="AK278" s="470" t="s">
        <v>273</v>
      </c>
      <c r="AL278" s="470" t="s">
        <v>273</v>
      </c>
    </row>
    <row r="279" spans="1:38">
      <c r="A279" s="470" t="s">
        <v>1382</v>
      </c>
      <c r="B279" s="470">
        <v>1</v>
      </c>
      <c r="C279" s="470">
        <v>1</v>
      </c>
      <c r="D279" s="470">
        <v>1</v>
      </c>
      <c r="E279" s="470">
        <v>1</v>
      </c>
      <c r="F279" s="470">
        <v>1</v>
      </c>
      <c r="G279" s="470">
        <v>1</v>
      </c>
      <c r="H279" s="470">
        <v>1</v>
      </c>
      <c r="I279" s="470" t="s">
        <v>273</v>
      </c>
      <c r="J279" s="470" t="s">
        <v>273</v>
      </c>
      <c r="K279" s="470" t="s">
        <v>273</v>
      </c>
      <c r="L279" s="470" t="s">
        <v>273</v>
      </c>
      <c r="M279" s="470" t="s">
        <v>273</v>
      </c>
      <c r="N279" s="470" t="s">
        <v>273</v>
      </c>
      <c r="O279" s="470" t="s">
        <v>273</v>
      </c>
      <c r="P279" s="470" t="s">
        <v>273</v>
      </c>
      <c r="Q279" s="470" t="s">
        <v>273</v>
      </c>
      <c r="R279" s="470" t="s">
        <v>273</v>
      </c>
      <c r="S279" s="470" t="s">
        <v>273</v>
      </c>
      <c r="T279" s="470" t="s">
        <v>273</v>
      </c>
      <c r="U279" s="470" t="s">
        <v>273</v>
      </c>
      <c r="V279" s="470" t="s">
        <v>273</v>
      </c>
      <c r="W279" s="470" t="s">
        <v>273</v>
      </c>
      <c r="X279" s="470" t="s">
        <v>273</v>
      </c>
      <c r="Y279" s="470" t="s">
        <v>273</v>
      </c>
      <c r="Z279" s="470" t="s">
        <v>273</v>
      </c>
      <c r="AA279" s="470" t="s">
        <v>273</v>
      </c>
      <c r="AB279" s="470" t="s">
        <v>273</v>
      </c>
      <c r="AC279" s="470" t="s">
        <v>273</v>
      </c>
      <c r="AD279" s="470" t="s">
        <v>273</v>
      </c>
      <c r="AE279" s="470" t="s">
        <v>273</v>
      </c>
      <c r="AF279" s="470" t="s">
        <v>273</v>
      </c>
      <c r="AG279" s="470" t="s">
        <v>273</v>
      </c>
      <c r="AH279" s="470" t="s">
        <v>273</v>
      </c>
      <c r="AI279" s="470" t="s">
        <v>273</v>
      </c>
      <c r="AJ279" s="470" t="s">
        <v>273</v>
      </c>
      <c r="AK279" s="470" t="s">
        <v>273</v>
      </c>
      <c r="AL279" s="470" t="s">
        <v>273</v>
      </c>
    </row>
    <row r="280" spans="1:38">
      <c r="A280" s="470" t="s">
        <v>1381</v>
      </c>
      <c r="B280" s="470">
        <v>1</v>
      </c>
      <c r="C280" s="470">
        <v>1</v>
      </c>
      <c r="D280" s="470">
        <v>1</v>
      </c>
      <c r="E280" s="470">
        <v>1</v>
      </c>
      <c r="F280" s="470">
        <v>1</v>
      </c>
      <c r="G280" s="470">
        <v>1</v>
      </c>
      <c r="H280" s="470">
        <v>1</v>
      </c>
      <c r="I280" s="470" t="s">
        <v>273</v>
      </c>
      <c r="J280" s="470" t="s">
        <v>273</v>
      </c>
      <c r="K280" s="470" t="s">
        <v>273</v>
      </c>
      <c r="L280" s="470" t="s">
        <v>273</v>
      </c>
      <c r="M280" s="470" t="s">
        <v>273</v>
      </c>
      <c r="N280" s="470" t="s">
        <v>273</v>
      </c>
      <c r="O280" s="470" t="s">
        <v>273</v>
      </c>
      <c r="P280" s="470" t="s">
        <v>273</v>
      </c>
      <c r="Q280" s="470" t="s">
        <v>273</v>
      </c>
      <c r="R280" s="470" t="s">
        <v>273</v>
      </c>
      <c r="S280" s="470" t="s">
        <v>273</v>
      </c>
      <c r="T280" s="470" t="s">
        <v>273</v>
      </c>
      <c r="U280" s="470" t="s">
        <v>273</v>
      </c>
      <c r="V280" s="470" t="s">
        <v>273</v>
      </c>
      <c r="W280" s="470" t="s">
        <v>273</v>
      </c>
      <c r="X280" s="470" t="s">
        <v>273</v>
      </c>
      <c r="Y280" s="470" t="s">
        <v>273</v>
      </c>
      <c r="Z280" s="470" t="s">
        <v>273</v>
      </c>
      <c r="AA280" s="470" t="s">
        <v>273</v>
      </c>
      <c r="AB280" s="470" t="s">
        <v>273</v>
      </c>
      <c r="AC280" s="470" t="s">
        <v>273</v>
      </c>
      <c r="AD280" s="470" t="s">
        <v>273</v>
      </c>
      <c r="AE280" s="470" t="s">
        <v>273</v>
      </c>
      <c r="AF280" s="470" t="s">
        <v>273</v>
      </c>
      <c r="AG280" s="470" t="s">
        <v>273</v>
      </c>
      <c r="AH280" s="470" t="s">
        <v>273</v>
      </c>
      <c r="AI280" s="470" t="s">
        <v>273</v>
      </c>
      <c r="AJ280" s="470" t="s">
        <v>273</v>
      </c>
      <c r="AK280" s="470" t="s">
        <v>273</v>
      </c>
      <c r="AL280" s="470" t="s">
        <v>273</v>
      </c>
    </row>
    <row r="281" spans="1:38">
      <c r="A281" s="470" t="s">
        <v>1380</v>
      </c>
      <c r="B281" s="470">
        <v>0</v>
      </c>
      <c r="C281" s="470" t="s">
        <v>306</v>
      </c>
      <c r="D281" s="470" t="s">
        <v>291</v>
      </c>
      <c r="E281" s="470" t="s">
        <v>291</v>
      </c>
      <c r="F281" s="470" t="s">
        <v>291</v>
      </c>
      <c r="G281" s="470" t="s">
        <v>291</v>
      </c>
      <c r="H281" s="470" t="s">
        <v>291</v>
      </c>
      <c r="I281" s="470" t="s">
        <v>273</v>
      </c>
      <c r="J281" s="470" t="s">
        <v>273</v>
      </c>
      <c r="K281" s="470" t="s">
        <v>273</v>
      </c>
      <c r="L281" s="470" t="s">
        <v>273</v>
      </c>
      <c r="M281" s="470" t="s">
        <v>273</v>
      </c>
      <c r="N281" s="470" t="s">
        <v>273</v>
      </c>
      <c r="O281" s="470" t="s">
        <v>273</v>
      </c>
      <c r="P281" s="470" t="s">
        <v>273</v>
      </c>
      <c r="Q281" s="470" t="s">
        <v>273</v>
      </c>
      <c r="R281" s="470" t="s">
        <v>273</v>
      </c>
      <c r="S281" s="470" t="s">
        <v>273</v>
      </c>
      <c r="T281" s="470" t="s">
        <v>273</v>
      </c>
      <c r="U281" s="470" t="s">
        <v>273</v>
      </c>
      <c r="V281" s="470" t="s">
        <v>273</v>
      </c>
      <c r="W281" s="470" t="s">
        <v>273</v>
      </c>
      <c r="X281" s="470" t="s">
        <v>273</v>
      </c>
      <c r="Y281" s="470" t="s">
        <v>273</v>
      </c>
      <c r="Z281" s="470" t="s">
        <v>273</v>
      </c>
      <c r="AA281" s="470" t="s">
        <v>273</v>
      </c>
      <c r="AB281" s="470" t="s">
        <v>273</v>
      </c>
      <c r="AC281" s="470" t="s">
        <v>273</v>
      </c>
      <c r="AD281" s="470" t="s">
        <v>273</v>
      </c>
      <c r="AE281" s="470" t="s">
        <v>273</v>
      </c>
      <c r="AF281" s="470" t="s">
        <v>273</v>
      </c>
      <c r="AG281" s="470" t="s">
        <v>273</v>
      </c>
      <c r="AH281" s="470" t="s">
        <v>273</v>
      </c>
      <c r="AI281" s="470" t="s">
        <v>273</v>
      </c>
      <c r="AJ281" s="470" t="s">
        <v>273</v>
      </c>
      <c r="AK281" s="470" t="s">
        <v>273</v>
      </c>
      <c r="AL281" s="470" t="s">
        <v>273</v>
      </c>
    </row>
    <row r="282" spans="1:38">
      <c r="A282" s="470" t="s">
        <v>392</v>
      </c>
      <c r="B282" s="470">
        <v>14</v>
      </c>
      <c r="C282" s="470">
        <v>22</v>
      </c>
      <c r="D282" s="470">
        <v>-8</v>
      </c>
      <c r="E282" s="470">
        <v>-7</v>
      </c>
      <c r="F282" s="470">
        <v>-8</v>
      </c>
      <c r="G282" s="470">
        <v>-8</v>
      </c>
      <c r="H282" s="470">
        <v>6</v>
      </c>
      <c r="I282" s="470" t="s">
        <v>273</v>
      </c>
      <c r="J282" s="470" t="s">
        <v>273</v>
      </c>
      <c r="K282" s="470" t="s">
        <v>273</v>
      </c>
      <c r="L282" s="470" t="s">
        <v>273</v>
      </c>
      <c r="M282" s="470" t="s">
        <v>273</v>
      </c>
      <c r="N282" s="470" t="s">
        <v>273</v>
      </c>
      <c r="O282" s="470" t="s">
        <v>273</v>
      </c>
      <c r="P282" s="470" t="s">
        <v>273</v>
      </c>
      <c r="Q282" s="470" t="s">
        <v>273</v>
      </c>
      <c r="R282" s="470" t="s">
        <v>273</v>
      </c>
      <c r="S282" s="470" t="s">
        <v>273</v>
      </c>
      <c r="T282" s="470" t="s">
        <v>273</v>
      </c>
      <c r="U282" s="470" t="s">
        <v>273</v>
      </c>
      <c r="V282" s="470" t="s">
        <v>273</v>
      </c>
      <c r="W282" s="470" t="s">
        <v>273</v>
      </c>
      <c r="X282" s="470" t="s">
        <v>273</v>
      </c>
      <c r="Y282" s="470" t="s">
        <v>273</v>
      </c>
      <c r="Z282" s="470" t="s">
        <v>273</v>
      </c>
      <c r="AA282" s="470" t="s">
        <v>273</v>
      </c>
      <c r="AB282" s="470" t="s">
        <v>273</v>
      </c>
      <c r="AC282" s="470" t="s">
        <v>273</v>
      </c>
      <c r="AD282" s="470" t="s">
        <v>273</v>
      </c>
      <c r="AE282" s="470" t="s">
        <v>273</v>
      </c>
      <c r="AF282" s="470" t="s">
        <v>273</v>
      </c>
      <c r="AG282" s="470" t="s">
        <v>273</v>
      </c>
      <c r="AH282" s="470" t="s">
        <v>273</v>
      </c>
      <c r="AI282" s="470" t="s">
        <v>273</v>
      </c>
      <c r="AJ282" s="470" t="s">
        <v>273</v>
      </c>
      <c r="AK282" s="470" t="s">
        <v>273</v>
      </c>
      <c r="AL282" s="470" t="s">
        <v>273</v>
      </c>
    </row>
    <row r="283" spans="1:38">
      <c r="A283" s="470" t="s">
        <v>1379</v>
      </c>
      <c r="B283" s="470">
        <v>9</v>
      </c>
      <c r="C283" s="470">
        <v>15</v>
      </c>
      <c r="D283" s="470">
        <v>10</v>
      </c>
      <c r="E283" s="470">
        <v>9</v>
      </c>
      <c r="F283" s="470">
        <v>17</v>
      </c>
      <c r="G283" s="470">
        <v>15</v>
      </c>
      <c r="H283" s="470">
        <v>19</v>
      </c>
      <c r="I283" s="470" t="s">
        <v>273</v>
      </c>
      <c r="J283" s="470" t="s">
        <v>273</v>
      </c>
      <c r="K283" s="470" t="s">
        <v>273</v>
      </c>
      <c r="L283" s="470" t="s">
        <v>273</v>
      </c>
      <c r="M283" s="470" t="s">
        <v>273</v>
      </c>
      <c r="N283" s="470" t="s">
        <v>273</v>
      </c>
      <c r="O283" s="470" t="s">
        <v>273</v>
      </c>
      <c r="P283" s="470" t="s">
        <v>273</v>
      </c>
      <c r="Q283" s="470" t="s">
        <v>273</v>
      </c>
      <c r="R283" s="470" t="s">
        <v>273</v>
      </c>
      <c r="S283" s="470" t="s">
        <v>273</v>
      </c>
      <c r="T283" s="470" t="s">
        <v>273</v>
      </c>
      <c r="U283" s="470" t="s">
        <v>273</v>
      </c>
      <c r="V283" s="470" t="s">
        <v>273</v>
      </c>
      <c r="W283" s="470" t="s">
        <v>273</v>
      </c>
      <c r="X283" s="470" t="s">
        <v>273</v>
      </c>
      <c r="Y283" s="470" t="s">
        <v>273</v>
      </c>
      <c r="Z283" s="470" t="s">
        <v>273</v>
      </c>
      <c r="AA283" s="470" t="s">
        <v>273</v>
      </c>
      <c r="AB283" s="470" t="s">
        <v>273</v>
      </c>
      <c r="AC283" s="470" t="s">
        <v>273</v>
      </c>
      <c r="AD283" s="470" t="s">
        <v>273</v>
      </c>
      <c r="AE283" s="470" t="s">
        <v>273</v>
      </c>
      <c r="AF283" s="470" t="s">
        <v>273</v>
      </c>
      <c r="AG283" s="470" t="s">
        <v>273</v>
      </c>
      <c r="AH283" s="470" t="s">
        <v>273</v>
      </c>
      <c r="AI283" s="470" t="s">
        <v>273</v>
      </c>
      <c r="AJ283" s="470" t="s">
        <v>273</v>
      </c>
      <c r="AK283" s="470" t="s">
        <v>273</v>
      </c>
      <c r="AL283" s="470" t="s">
        <v>273</v>
      </c>
    </row>
    <row r="284" spans="1:38">
      <c r="A284" s="470" t="s">
        <v>313</v>
      </c>
      <c r="B284" s="470">
        <v>73</v>
      </c>
      <c r="C284" s="470">
        <v>77</v>
      </c>
      <c r="D284" s="470">
        <v>102</v>
      </c>
      <c r="E284" s="470">
        <v>116</v>
      </c>
      <c r="F284" s="470">
        <v>121</v>
      </c>
      <c r="G284" s="470">
        <v>118</v>
      </c>
      <c r="H284" s="470">
        <v>113</v>
      </c>
      <c r="I284" s="470" t="s">
        <v>273</v>
      </c>
      <c r="J284" s="470" t="s">
        <v>273</v>
      </c>
      <c r="K284" s="470" t="s">
        <v>273</v>
      </c>
      <c r="L284" s="470" t="s">
        <v>273</v>
      </c>
      <c r="M284" s="470" t="s">
        <v>273</v>
      </c>
      <c r="N284" s="470" t="s">
        <v>273</v>
      </c>
      <c r="O284" s="470" t="s">
        <v>273</v>
      </c>
      <c r="P284" s="470" t="s">
        <v>273</v>
      </c>
      <c r="Q284" s="470" t="s">
        <v>273</v>
      </c>
      <c r="R284" s="470" t="s">
        <v>273</v>
      </c>
      <c r="S284" s="470" t="s">
        <v>273</v>
      </c>
      <c r="T284" s="470" t="s">
        <v>273</v>
      </c>
      <c r="U284" s="470" t="s">
        <v>273</v>
      </c>
      <c r="V284" s="470" t="s">
        <v>273</v>
      </c>
      <c r="W284" s="470" t="s">
        <v>273</v>
      </c>
      <c r="X284" s="470" t="s">
        <v>273</v>
      </c>
      <c r="Y284" s="470" t="s">
        <v>273</v>
      </c>
      <c r="Z284" s="470" t="s">
        <v>273</v>
      </c>
      <c r="AA284" s="470" t="s">
        <v>273</v>
      </c>
      <c r="AB284" s="470" t="s">
        <v>273</v>
      </c>
      <c r="AC284" s="470" t="s">
        <v>273</v>
      </c>
      <c r="AD284" s="470" t="s">
        <v>273</v>
      </c>
      <c r="AE284" s="470" t="s">
        <v>273</v>
      </c>
      <c r="AF284" s="470" t="s">
        <v>273</v>
      </c>
      <c r="AG284" s="470" t="s">
        <v>273</v>
      </c>
      <c r="AH284" s="470" t="s">
        <v>273</v>
      </c>
      <c r="AI284" s="470" t="s">
        <v>273</v>
      </c>
      <c r="AJ284" s="470" t="s">
        <v>273</v>
      </c>
      <c r="AK284" s="470" t="s">
        <v>273</v>
      </c>
      <c r="AL284" s="470" t="s">
        <v>273</v>
      </c>
    </row>
    <row r="285" spans="1:38">
      <c r="A285" s="470" t="s">
        <v>1378</v>
      </c>
      <c r="B285" s="470" t="s">
        <v>306</v>
      </c>
      <c r="C285" s="470">
        <v>0</v>
      </c>
      <c r="D285" s="470">
        <v>0</v>
      </c>
      <c r="E285" s="470">
        <v>0</v>
      </c>
      <c r="F285" s="470">
        <v>0</v>
      </c>
      <c r="G285" s="470">
        <v>0</v>
      </c>
      <c r="H285" s="470">
        <v>0</v>
      </c>
      <c r="I285" s="470" t="s">
        <v>273</v>
      </c>
      <c r="J285" s="470" t="s">
        <v>273</v>
      </c>
      <c r="K285" s="470" t="s">
        <v>273</v>
      </c>
      <c r="L285" s="470" t="s">
        <v>273</v>
      </c>
      <c r="M285" s="470" t="s">
        <v>273</v>
      </c>
      <c r="N285" s="470" t="s">
        <v>273</v>
      </c>
      <c r="O285" s="470" t="s">
        <v>273</v>
      </c>
      <c r="P285" s="470" t="s">
        <v>273</v>
      </c>
      <c r="Q285" s="470" t="s">
        <v>273</v>
      </c>
      <c r="R285" s="470" t="s">
        <v>273</v>
      </c>
      <c r="S285" s="470" t="s">
        <v>273</v>
      </c>
      <c r="T285" s="470" t="s">
        <v>273</v>
      </c>
      <c r="U285" s="470" t="s">
        <v>273</v>
      </c>
      <c r="V285" s="470" t="s">
        <v>273</v>
      </c>
      <c r="W285" s="470" t="s">
        <v>273</v>
      </c>
      <c r="X285" s="470" t="s">
        <v>273</v>
      </c>
      <c r="Y285" s="470" t="s">
        <v>273</v>
      </c>
      <c r="Z285" s="470" t="s">
        <v>273</v>
      </c>
      <c r="AA285" s="470" t="s">
        <v>273</v>
      </c>
      <c r="AB285" s="470" t="s">
        <v>273</v>
      </c>
      <c r="AC285" s="470" t="s">
        <v>273</v>
      </c>
      <c r="AD285" s="470" t="s">
        <v>273</v>
      </c>
      <c r="AE285" s="470" t="s">
        <v>273</v>
      </c>
      <c r="AF285" s="470" t="s">
        <v>273</v>
      </c>
      <c r="AG285" s="470" t="s">
        <v>273</v>
      </c>
      <c r="AH285" s="470" t="s">
        <v>273</v>
      </c>
      <c r="AI285" s="470" t="s">
        <v>273</v>
      </c>
      <c r="AJ285" s="470" t="s">
        <v>273</v>
      </c>
      <c r="AK285" s="470" t="s">
        <v>273</v>
      </c>
      <c r="AL285" s="470" t="s">
        <v>273</v>
      </c>
    </row>
    <row r="286" spans="1:38">
      <c r="A286" s="470" t="s">
        <v>312</v>
      </c>
      <c r="B286" s="470">
        <v>93</v>
      </c>
      <c r="C286" s="470">
        <v>26</v>
      </c>
      <c r="D286" s="470">
        <v>97</v>
      </c>
      <c r="E286" s="470">
        <v>186</v>
      </c>
      <c r="F286" s="470">
        <v>208</v>
      </c>
      <c r="G286" s="470">
        <v>242</v>
      </c>
      <c r="H286" s="470">
        <v>169</v>
      </c>
      <c r="I286" s="470" t="s">
        <v>273</v>
      </c>
      <c r="J286" s="470" t="s">
        <v>273</v>
      </c>
      <c r="K286" s="470" t="s">
        <v>273</v>
      </c>
      <c r="L286" s="470" t="s">
        <v>273</v>
      </c>
      <c r="M286" s="470" t="s">
        <v>273</v>
      </c>
      <c r="N286" s="470" t="s">
        <v>273</v>
      </c>
      <c r="O286" s="470" t="s">
        <v>273</v>
      </c>
      <c r="P286" s="470" t="s">
        <v>273</v>
      </c>
      <c r="Q286" s="470" t="s">
        <v>273</v>
      </c>
      <c r="R286" s="470" t="s">
        <v>273</v>
      </c>
      <c r="S286" s="470" t="s">
        <v>273</v>
      </c>
      <c r="T286" s="470" t="s">
        <v>273</v>
      </c>
      <c r="U286" s="470" t="s">
        <v>273</v>
      </c>
      <c r="V286" s="470" t="s">
        <v>273</v>
      </c>
      <c r="W286" s="470" t="s">
        <v>273</v>
      </c>
      <c r="X286" s="470" t="s">
        <v>273</v>
      </c>
      <c r="Y286" s="470" t="s">
        <v>273</v>
      </c>
      <c r="Z286" s="470" t="s">
        <v>273</v>
      </c>
      <c r="AA286" s="470" t="s">
        <v>273</v>
      </c>
      <c r="AB286" s="470" t="s">
        <v>273</v>
      </c>
      <c r="AC286" s="470" t="s">
        <v>273</v>
      </c>
      <c r="AD286" s="470" t="s">
        <v>273</v>
      </c>
      <c r="AE286" s="470" t="s">
        <v>273</v>
      </c>
      <c r="AF286" s="470" t="s">
        <v>273</v>
      </c>
      <c r="AG286" s="470" t="s">
        <v>273</v>
      </c>
      <c r="AH286" s="470" t="s">
        <v>273</v>
      </c>
      <c r="AI286" s="470" t="s">
        <v>273</v>
      </c>
      <c r="AJ286" s="470" t="s">
        <v>273</v>
      </c>
      <c r="AK286" s="470" t="s">
        <v>273</v>
      </c>
      <c r="AL286" s="470" t="s">
        <v>273</v>
      </c>
    </row>
    <row r="287" spans="1:38">
      <c r="A287" s="470" t="s">
        <v>1377</v>
      </c>
      <c r="B287" s="470">
        <v>0</v>
      </c>
      <c r="C287" s="470">
        <v>-1</v>
      </c>
      <c r="D287" s="470">
        <v>0</v>
      </c>
      <c r="E287" s="470">
        <v>0</v>
      </c>
      <c r="F287" s="470">
        <v>0</v>
      </c>
      <c r="G287" s="470" t="s">
        <v>306</v>
      </c>
      <c r="H287" s="470">
        <v>0</v>
      </c>
      <c r="I287" s="470" t="s">
        <v>273</v>
      </c>
      <c r="J287" s="470" t="s">
        <v>273</v>
      </c>
      <c r="K287" s="470" t="s">
        <v>273</v>
      </c>
      <c r="L287" s="470" t="s">
        <v>273</v>
      </c>
      <c r="M287" s="470" t="s">
        <v>273</v>
      </c>
      <c r="N287" s="470" t="s">
        <v>273</v>
      </c>
      <c r="O287" s="470" t="s">
        <v>273</v>
      </c>
      <c r="P287" s="470" t="s">
        <v>273</v>
      </c>
      <c r="Q287" s="470" t="s">
        <v>273</v>
      </c>
      <c r="R287" s="470" t="s">
        <v>273</v>
      </c>
      <c r="S287" s="470" t="s">
        <v>273</v>
      </c>
      <c r="T287" s="470" t="s">
        <v>273</v>
      </c>
      <c r="U287" s="470" t="s">
        <v>273</v>
      </c>
      <c r="V287" s="470" t="s">
        <v>273</v>
      </c>
      <c r="W287" s="470" t="s">
        <v>273</v>
      </c>
      <c r="X287" s="470" t="s">
        <v>273</v>
      </c>
      <c r="Y287" s="470" t="s">
        <v>273</v>
      </c>
      <c r="Z287" s="470" t="s">
        <v>273</v>
      </c>
      <c r="AA287" s="470" t="s">
        <v>273</v>
      </c>
      <c r="AB287" s="470" t="s">
        <v>273</v>
      </c>
      <c r="AC287" s="470" t="s">
        <v>273</v>
      </c>
      <c r="AD287" s="470" t="s">
        <v>273</v>
      </c>
      <c r="AE287" s="470" t="s">
        <v>273</v>
      </c>
      <c r="AF287" s="470" t="s">
        <v>273</v>
      </c>
      <c r="AG287" s="470" t="s">
        <v>273</v>
      </c>
      <c r="AH287" s="470" t="s">
        <v>273</v>
      </c>
      <c r="AI287" s="470" t="s">
        <v>273</v>
      </c>
      <c r="AJ287" s="470" t="s">
        <v>273</v>
      </c>
      <c r="AK287" s="470" t="s">
        <v>273</v>
      </c>
      <c r="AL287" s="470" t="s">
        <v>273</v>
      </c>
    </row>
    <row r="288" spans="1:38">
      <c r="A288" s="470" t="s">
        <v>311</v>
      </c>
      <c r="B288" s="470">
        <v>61</v>
      </c>
      <c r="C288" s="470">
        <v>74</v>
      </c>
      <c r="D288" s="470">
        <v>80</v>
      </c>
      <c r="E288" s="470">
        <v>69</v>
      </c>
      <c r="F288" s="470">
        <v>70</v>
      </c>
      <c r="G288" s="470">
        <v>107</v>
      </c>
      <c r="H288" s="470">
        <v>177</v>
      </c>
      <c r="I288" s="470" t="s">
        <v>273</v>
      </c>
      <c r="J288" s="470" t="s">
        <v>273</v>
      </c>
      <c r="K288" s="470" t="s">
        <v>273</v>
      </c>
      <c r="L288" s="470" t="s">
        <v>273</v>
      </c>
      <c r="M288" s="470" t="s">
        <v>273</v>
      </c>
      <c r="N288" s="470" t="s">
        <v>273</v>
      </c>
      <c r="O288" s="470" t="s">
        <v>273</v>
      </c>
      <c r="P288" s="470" t="s">
        <v>273</v>
      </c>
      <c r="Q288" s="470" t="s">
        <v>273</v>
      </c>
      <c r="R288" s="470" t="s">
        <v>273</v>
      </c>
      <c r="S288" s="470" t="s">
        <v>273</v>
      </c>
      <c r="T288" s="470" t="s">
        <v>273</v>
      </c>
      <c r="U288" s="470" t="s">
        <v>273</v>
      </c>
      <c r="V288" s="470" t="s">
        <v>273</v>
      </c>
      <c r="W288" s="470" t="s">
        <v>273</v>
      </c>
      <c r="X288" s="470" t="s">
        <v>273</v>
      </c>
      <c r="Y288" s="470" t="s">
        <v>273</v>
      </c>
      <c r="Z288" s="470" t="s">
        <v>273</v>
      </c>
      <c r="AA288" s="470" t="s">
        <v>273</v>
      </c>
      <c r="AB288" s="470" t="s">
        <v>273</v>
      </c>
      <c r="AC288" s="470" t="s">
        <v>273</v>
      </c>
      <c r="AD288" s="470" t="s">
        <v>273</v>
      </c>
      <c r="AE288" s="470" t="s">
        <v>273</v>
      </c>
      <c r="AF288" s="470" t="s">
        <v>273</v>
      </c>
      <c r="AG288" s="470" t="s">
        <v>273</v>
      </c>
      <c r="AH288" s="470" t="s">
        <v>273</v>
      </c>
      <c r="AI288" s="470" t="s">
        <v>273</v>
      </c>
      <c r="AJ288" s="470" t="s">
        <v>273</v>
      </c>
      <c r="AK288" s="470" t="s">
        <v>273</v>
      </c>
      <c r="AL288" s="470" t="s">
        <v>273</v>
      </c>
    </row>
    <row r="289" spans="1:38">
      <c r="A289" s="470" t="s">
        <v>1376</v>
      </c>
      <c r="B289" s="470">
        <v>3</v>
      </c>
      <c r="C289" s="470">
        <v>1</v>
      </c>
      <c r="D289" s="470">
        <v>1</v>
      </c>
      <c r="E289" s="470">
        <v>1</v>
      </c>
      <c r="F289" s="470">
        <v>1</v>
      </c>
      <c r="G289" s="470">
        <v>1</v>
      </c>
      <c r="H289" s="470">
        <v>1</v>
      </c>
      <c r="I289" s="470" t="s">
        <v>273</v>
      </c>
      <c r="J289" s="470" t="s">
        <v>273</v>
      </c>
      <c r="K289" s="470" t="s">
        <v>273</v>
      </c>
      <c r="L289" s="470" t="s">
        <v>273</v>
      </c>
      <c r="M289" s="470" t="s">
        <v>273</v>
      </c>
      <c r="N289" s="470" t="s">
        <v>273</v>
      </c>
      <c r="O289" s="470" t="s">
        <v>273</v>
      </c>
      <c r="P289" s="470" t="s">
        <v>273</v>
      </c>
      <c r="Q289" s="470" t="s">
        <v>273</v>
      </c>
      <c r="R289" s="470" t="s">
        <v>273</v>
      </c>
      <c r="S289" s="470" t="s">
        <v>273</v>
      </c>
      <c r="T289" s="470" t="s">
        <v>273</v>
      </c>
      <c r="U289" s="470" t="s">
        <v>273</v>
      </c>
      <c r="V289" s="470" t="s">
        <v>273</v>
      </c>
      <c r="W289" s="470" t="s">
        <v>273</v>
      </c>
      <c r="X289" s="470" t="s">
        <v>273</v>
      </c>
      <c r="Y289" s="470" t="s">
        <v>273</v>
      </c>
      <c r="Z289" s="470" t="s">
        <v>273</v>
      </c>
      <c r="AA289" s="470" t="s">
        <v>273</v>
      </c>
      <c r="AB289" s="470" t="s">
        <v>273</v>
      </c>
      <c r="AC289" s="470" t="s">
        <v>273</v>
      </c>
      <c r="AD289" s="470" t="s">
        <v>273</v>
      </c>
      <c r="AE289" s="470" t="s">
        <v>273</v>
      </c>
      <c r="AF289" s="470" t="s">
        <v>273</v>
      </c>
      <c r="AG289" s="470" t="s">
        <v>273</v>
      </c>
      <c r="AH289" s="470" t="s">
        <v>273</v>
      </c>
      <c r="AI289" s="470" t="s">
        <v>273</v>
      </c>
      <c r="AJ289" s="470" t="s">
        <v>273</v>
      </c>
      <c r="AK289" s="470" t="s">
        <v>273</v>
      </c>
      <c r="AL289" s="470" t="s">
        <v>273</v>
      </c>
    </row>
    <row r="290" spans="1:38">
      <c r="A290" s="470" t="s">
        <v>310</v>
      </c>
      <c r="B290" s="470">
        <v>6</v>
      </c>
      <c r="C290" s="470">
        <v>7</v>
      </c>
      <c r="D290" s="470">
        <v>7</v>
      </c>
      <c r="E290" s="470">
        <v>6</v>
      </c>
      <c r="F290" s="470">
        <v>18</v>
      </c>
      <c r="G290" s="470">
        <v>13</v>
      </c>
      <c r="H290" s="470">
        <v>14</v>
      </c>
      <c r="I290" s="470" t="s">
        <v>273</v>
      </c>
      <c r="J290" s="470" t="s">
        <v>273</v>
      </c>
      <c r="K290" s="470" t="s">
        <v>273</v>
      </c>
      <c r="L290" s="470" t="s">
        <v>273</v>
      </c>
      <c r="M290" s="470" t="s">
        <v>273</v>
      </c>
      <c r="N290" s="470" t="s">
        <v>273</v>
      </c>
      <c r="O290" s="470" t="s">
        <v>273</v>
      </c>
      <c r="P290" s="470" t="s">
        <v>273</v>
      </c>
      <c r="Q290" s="470" t="s">
        <v>273</v>
      </c>
      <c r="R290" s="470" t="s">
        <v>273</v>
      </c>
      <c r="S290" s="470" t="s">
        <v>273</v>
      </c>
      <c r="T290" s="470" t="s">
        <v>273</v>
      </c>
      <c r="U290" s="470" t="s">
        <v>273</v>
      </c>
      <c r="V290" s="470" t="s">
        <v>273</v>
      </c>
      <c r="W290" s="470" t="s">
        <v>273</v>
      </c>
      <c r="X290" s="470" t="s">
        <v>273</v>
      </c>
      <c r="Y290" s="470" t="s">
        <v>273</v>
      </c>
      <c r="Z290" s="470" t="s">
        <v>273</v>
      </c>
      <c r="AA290" s="470" t="s">
        <v>273</v>
      </c>
      <c r="AB290" s="470" t="s">
        <v>273</v>
      </c>
      <c r="AC290" s="470" t="s">
        <v>273</v>
      </c>
      <c r="AD290" s="470" t="s">
        <v>273</v>
      </c>
      <c r="AE290" s="470" t="s">
        <v>273</v>
      </c>
      <c r="AF290" s="470" t="s">
        <v>273</v>
      </c>
      <c r="AG290" s="470" t="s">
        <v>273</v>
      </c>
      <c r="AH290" s="470" t="s">
        <v>273</v>
      </c>
      <c r="AI290" s="470" t="s">
        <v>273</v>
      </c>
      <c r="AJ290" s="470" t="s">
        <v>273</v>
      </c>
      <c r="AK290" s="470" t="s">
        <v>273</v>
      </c>
      <c r="AL290" s="470" t="s">
        <v>273</v>
      </c>
    </row>
    <row r="291" spans="1:38">
      <c r="A291" s="470" t="s">
        <v>1375</v>
      </c>
      <c r="B291" s="470" t="s">
        <v>306</v>
      </c>
      <c r="C291" s="470" t="s">
        <v>306</v>
      </c>
      <c r="D291" s="470" t="s">
        <v>306</v>
      </c>
      <c r="E291" s="470" t="s">
        <v>306</v>
      </c>
      <c r="F291" s="470" t="s">
        <v>306</v>
      </c>
      <c r="G291" s="470" t="s">
        <v>306</v>
      </c>
      <c r="H291" s="470" t="s">
        <v>306</v>
      </c>
      <c r="I291" s="470" t="s">
        <v>273</v>
      </c>
      <c r="J291" s="470" t="s">
        <v>273</v>
      </c>
      <c r="K291" s="470" t="s">
        <v>273</v>
      </c>
      <c r="L291" s="470" t="s">
        <v>273</v>
      </c>
      <c r="M291" s="470" t="s">
        <v>273</v>
      </c>
      <c r="N291" s="470" t="s">
        <v>273</v>
      </c>
      <c r="O291" s="470" t="s">
        <v>273</v>
      </c>
      <c r="P291" s="470" t="s">
        <v>273</v>
      </c>
      <c r="Q291" s="470" t="s">
        <v>273</v>
      </c>
      <c r="R291" s="470" t="s">
        <v>273</v>
      </c>
      <c r="S291" s="470" t="s">
        <v>273</v>
      </c>
      <c r="T291" s="470" t="s">
        <v>273</v>
      </c>
      <c r="U291" s="470" t="s">
        <v>273</v>
      </c>
      <c r="V291" s="470" t="s">
        <v>273</v>
      </c>
      <c r="W291" s="470" t="s">
        <v>273</v>
      </c>
      <c r="X291" s="470" t="s">
        <v>273</v>
      </c>
      <c r="Y291" s="470" t="s">
        <v>273</v>
      </c>
      <c r="Z291" s="470" t="s">
        <v>273</v>
      </c>
      <c r="AA291" s="470" t="s">
        <v>273</v>
      </c>
      <c r="AB291" s="470" t="s">
        <v>273</v>
      </c>
      <c r="AC291" s="470" t="s">
        <v>273</v>
      </c>
      <c r="AD291" s="470" t="s">
        <v>273</v>
      </c>
      <c r="AE291" s="470" t="s">
        <v>273</v>
      </c>
      <c r="AF291" s="470" t="s">
        <v>273</v>
      </c>
      <c r="AG291" s="470" t="s">
        <v>273</v>
      </c>
      <c r="AH291" s="470" t="s">
        <v>273</v>
      </c>
      <c r="AI291" s="470" t="s">
        <v>273</v>
      </c>
      <c r="AJ291" s="470" t="s">
        <v>273</v>
      </c>
      <c r="AK291" s="470" t="s">
        <v>273</v>
      </c>
      <c r="AL291" s="470" t="s">
        <v>273</v>
      </c>
    </row>
    <row r="292" spans="1:38">
      <c r="A292" s="470" t="s">
        <v>1374</v>
      </c>
      <c r="B292" s="470">
        <v>1</v>
      </c>
      <c r="C292" s="470">
        <v>1</v>
      </c>
      <c r="D292" s="470">
        <v>1</v>
      </c>
      <c r="E292" s="470">
        <v>1</v>
      </c>
      <c r="F292" s="470">
        <v>1</v>
      </c>
      <c r="G292" s="470" t="s">
        <v>306</v>
      </c>
      <c r="H292" s="470" t="s">
        <v>306</v>
      </c>
      <c r="I292" s="470" t="s">
        <v>273</v>
      </c>
      <c r="J292" s="470" t="s">
        <v>273</v>
      </c>
      <c r="K292" s="470" t="s">
        <v>273</v>
      </c>
      <c r="L292" s="470" t="s">
        <v>273</v>
      </c>
      <c r="M292" s="470" t="s">
        <v>273</v>
      </c>
      <c r="N292" s="470" t="s">
        <v>273</v>
      </c>
      <c r="O292" s="470" t="s">
        <v>273</v>
      </c>
      <c r="P292" s="470" t="s">
        <v>273</v>
      </c>
      <c r="Q292" s="470" t="s">
        <v>273</v>
      </c>
      <c r="R292" s="470" t="s">
        <v>273</v>
      </c>
      <c r="S292" s="470" t="s">
        <v>273</v>
      </c>
      <c r="T292" s="470" t="s">
        <v>273</v>
      </c>
      <c r="U292" s="470" t="s">
        <v>273</v>
      </c>
      <c r="V292" s="470" t="s">
        <v>273</v>
      </c>
      <c r="W292" s="470" t="s">
        <v>273</v>
      </c>
      <c r="X292" s="470" t="s">
        <v>273</v>
      </c>
      <c r="Y292" s="470" t="s">
        <v>273</v>
      </c>
      <c r="Z292" s="470" t="s">
        <v>273</v>
      </c>
      <c r="AA292" s="470" t="s">
        <v>273</v>
      </c>
      <c r="AB292" s="470" t="s">
        <v>273</v>
      </c>
      <c r="AC292" s="470" t="s">
        <v>273</v>
      </c>
      <c r="AD292" s="470" t="s">
        <v>273</v>
      </c>
      <c r="AE292" s="470" t="s">
        <v>273</v>
      </c>
      <c r="AF292" s="470" t="s">
        <v>273</v>
      </c>
      <c r="AG292" s="470" t="s">
        <v>273</v>
      </c>
      <c r="AH292" s="470" t="s">
        <v>273</v>
      </c>
      <c r="AI292" s="470" t="s">
        <v>273</v>
      </c>
      <c r="AJ292" s="470" t="s">
        <v>273</v>
      </c>
      <c r="AK292" s="470" t="s">
        <v>273</v>
      </c>
      <c r="AL292" s="470" t="s">
        <v>273</v>
      </c>
    </row>
    <row r="293" spans="1:38">
      <c r="A293" s="470" t="s">
        <v>1373</v>
      </c>
      <c r="B293" s="470">
        <v>0</v>
      </c>
      <c r="C293" s="470">
        <v>0</v>
      </c>
      <c r="D293" s="470">
        <v>0</v>
      </c>
      <c r="E293" s="470">
        <v>0</v>
      </c>
      <c r="F293" s="470">
        <v>0</v>
      </c>
      <c r="G293" s="470">
        <v>0</v>
      </c>
      <c r="H293" s="470">
        <v>0</v>
      </c>
      <c r="I293" s="470" t="s">
        <v>273</v>
      </c>
      <c r="J293" s="470" t="s">
        <v>273</v>
      </c>
      <c r="K293" s="470" t="s">
        <v>273</v>
      </c>
      <c r="L293" s="470" t="s">
        <v>273</v>
      </c>
      <c r="M293" s="470" t="s">
        <v>273</v>
      </c>
      <c r="N293" s="470" t="s">
        <v>273</v>
      </c>
      <c r="O293" s="470" t="s">
        <v>273</v>
      </c>
      <c r="P293" s="470" t="s">
        <v>273</v>
      </c>
      <c r="Q293" s="470" t="s">
        <v>273</v>
      </c>
      <c r="R293" s="470" t="s">
        <v>273</v>
      </c>
      <c r="S293" s="470" t="s">
        <v>273</v>
      </c>
      <c r="T293" s="470" t="s">
        <v>273</v>
      </c>
      <c r="U293" s="470" t="s">
        <v>273</v>
      </c>
      <c r="V293" s="470" t="s">
        <v>273</v>
      </c>
      <c r="W293" s="470" t="s">
        <v>273</v>
      </c>
      <c r="X293" s="470" t="s">
        <v>273</v>
      </c>
      <c r="Y293" s="470" t="s">
        <v>273</v>
      </c>
      <c r="Z293" s="470" t="s">
        <v>273</v>
      </c>
      <c r="AA293" s="470" t="s">
        <v>273</v>
      </c>
      <c r="AB293" s="470" t="s">
        <v>273</v>
      </c>
      <c r="AC293" s="470" t="s">
        <v>273</v>
      </c>
      <c r="AD293" s="470" t="s">
        <v>273</v>
      </c>
      <c r="AE293" s="470" t="s">
        <v>273</v>
      </c>
      <c r="AF293" s="470" t="s">
        <v>273</v>
      </c>
      <c r="AG293" s="470" t="s">
        <v>273</v>
      </c>
      <c r="AH293" s="470" t="s">
        <v>273</v>
      </c>
      <c r="AI293" s="470" t="s">
        <v>273</v>
      </c>
      <c r="AJ293" s="470" t="s">
        <v>273</v>
      </c>
      <c r="AK293" s="470" t="s">
        <v>273</v>
      </c>
      <c r="AL293" s="470" t="s">
        <v>273</v>
      </c>
    </row>
    <row r="294" spans="1:38">
      <c r="A294" s="470" t="s">
        <v>1372</v>
      </c>
      <c r="B294" s="470">
        <v>0</v>
      </c>
      <c r="C294" s="470">
        <v>0</v>
      </c>
      <c r="D294" s="470">
        <v>0</v>
      </c>
      <c r="E294" s="470">
        <v>0</v>
      </c>
      <c r="F294" s="470">
        <v>0</v>
      </c>
      <c r="G294" s="470">
        <v>0</v>
      </c>
      <c r="H294" s="470">
        <v>0</v>
      </c>
      <c r="I294" s="470" t="s">
        <v>273</v>
      </c>
      <c r="J294" s="470" t="s">
        <v>273</v>
      </c>
      <c r="K294" s="470" t="s">
        <v>273</v>
      </c>
      <c r="L294" s="470" t="s">
        <v>273</v>
      </c>
      <c r="M294" s="470" t="s">
        <v>273</v>
      </c>
      <c r="N294" s="470" t="s">
        <v>273</v>
      </c>
      <c r="O294" s="470" t="s">
        <v>273</v>
      </c>
      <c r="P294" s="470" t="s">
        <v>273</v>
      </c>
      <c r="Q294" s="470" t="s">
        <v>273</v>
      </c>
      <c r="R294" s="470" t="s">
        <v>273</v>
      </c>
      <c r="S294" s="470" t="s">
        <v>273</v>
      </c>
      <c r="T294" s="470" t="s">
        <v>273</v>
      </c>
      <c r="U294" s="470" t="s">
        <v>273</v>
      </c>
      <c r="V294" s="470" t="s">
        <v>273</v>
      </c>
      <c r="W294" s="470" t="s">
        <v>273</v>
      </c>
      <c r="X294" s="470" t="s">
        <v>273</v>
      </c>
      <c r="Y294" s="470" t="s">
        <v>273</v>
      </c>
      <c r="Z294" s="470" t="s">
        <v>273</v>
      </c>
      <c r="AA294" s="470" t="s">
        <v>273</v>
      </c>
      <c r="AB294" s="470" t="s">
        <v>273</v>
      </c>
      <c r="AC294" s="470" t="s">
        <v>273</v>
      </c>
      <c r="AD294" s="470" t="s">
        <v>273</v>
      </c>
      <c r="AE294" s="470" t="s">
        <v>273</v>
      </c>
      <c r="AF294" s="470" t="s">
        <v>273</v>
      </c>
      <c r="AG294" s="470" t="s">
        <v>273</v>
      </c>
      <c r="AH294" s="470" t="s">
        <v>273</v>
      </c>
      <c r="AI294" s="470" t="s">
        <v>273</v>
      </c>
      <c r="AJ294" s="470" t="s">
        <v>273</v>
      </c>
      <c r="AK294" s="470" t="s">
        <v>273</v>
      </c>
      <c r="AL294" s="470" t="s">
        <v>273</v>
      </c>
    </row>
    <row r="295" spans="1:38">
      <c r="A295" s="470" t="s">
        <v>1371</v>
      </c>
      <c r="B295" s="470" t="s">
        <v>306</v>
      </c>
      <c r="C295" s="470" t="s">
        <v>306</v>
      </c>
      <c r="D295" s="470" t="s">
        <v>306</v>
      </c>
      <c r="E295" s="470" t="s">
        <v>306</v>
      </c>
      <c r="F295" s="470" t="s">
        <v>306</v>
      </c>
      <c r="G295" s="470" t="s">
        <v>306</v>
      </c>
      <c r="H295" s="470" t="s">
        <v>306</v>
      </c>
      <c r="I295" s="470" t="s">
        <v>273</v>
      </c>
      <c r="J295" s="470" t="s">
        <v>273</v>
      </c>
      <c r="K295" s="470" t="s">
        <v>273</v>
      </c>
      <c r="L295" s="470" t="s">
        <v>273</v>
      </c>
      <c r="M295" s="470" t="s">
        <v>273</v>
      </c>
      <c r="N295" s="470" t="s">
        <v>273</v>
      </c>
      <c r="O295" s="470" t="s">
        <v>273</v>
      </c>
      <c r="P295" s="470" t="s">
        <v>273</v>
      </c>
      <c r="Q295" s="470" t="s">
        <v>273</v>
      </c>
      <c r="R295" s="470" t="s">
        <v>273</v>
      </c>
      <c r="S295" s="470" t="s">
        <v>273</v>
      </c>
      <c r="T295" s="470" t="s">
        <v>273</v>
      </c>
      <c r="U295" s="470" t="s">
        <v>273</v>
      </c>
      <c r="V295" s="470" t="s">
        <v>273</v>
      </c>
      <c r="W295" s="470" t="s">
        <v>273</v>
      </c>
      <c r="X295" s="470" t="s">
        <v>273</v>
      </c>
      <c r="Y295" s="470" t="s">
        <v>273</v>
      </c>
      <c r="Z295" s="470" t="s">
        <v>273</v>
      </c>
      <c r="AA295" s="470" t="s">
        <v>273</v>
      </c>
      <c r="AB295" s="470" t="s">
        <v>273</v>
      </c>
      <c r="AC295" s="470" t="s">
        <v>273</v>
      </c>
      <c r="AD295" s="470" t="s">
        <v>273</v>
      </c>
      <c r="AE295" s="470" t="s">
        <v>273</v>
      </c>
      <c r="AF295" s="470" t="s">
        <v>273</v>
      </c>
      <c r="AG295" s="470" t="s">
        <v>273</v>
      </c>
      <c r="AH295" s="470" t="s">
        <v>273</v>
      </c>
      <c r="AI295" s="470" t="s">
        <v>273</v>
      </c>
      <c r="AJ295" s="470" t="s">
        <v>273</v>
      </c>
      <c r="AK295" s="470" t="s">
        <v>273</v>
      </c>
      <c r="AL295" s="470" t="s">
        <v>273</v>
      </c>
    </row>
    <row r="296" spans="1:38">
      <c r="A296" s="470" t="s">
        <v>1370</v>
      </c>
      <c r="B296" s="470" t="s">
        <v>291</v>
      </c>
      <c r="C296" s="470" t="s">
        <v>291</v>
      </c>
      <c r="D296" s="470" t="s">
        <v>291</v>
      </c>
      <c r="E296" s="470" t="s">
        <v>291</v>
      </c>
      <c r="F296" s="470" t="s">
        <v>291</v>
      </c>
      <c r="G296" s="470" t="s">
        <v>291</v>
      </c>
      <c r="H296" s="470" t="s">
        <v>291</v>
      </c>
      <c r="I296" s="470" t="s">
        <v>273</v>
      </c>
      <c r="J296" s="470" t="s">
        <v>273</v>
      </c>
      <c r="K296" s="470" t="s">
        <v>273</v>
      </c>
      <c r="L296" s="470" t="s">
        <v>273</v>
      </c>
      <c r="M296" s="470" t="s">
        <v>273</v>
      </c>
      <c r="N296" s="470" t="s">
        <v>273</v>
      </c>
      <c r="O296" s="470" t="s">
        <v>273</v>
      </c>
      <c r="P296" s="470" t="s">
        <v>273</v>
      </c>
      <c r="Q296" s="470" t="s">
        <v>273</v>
      </c>
      <c r="R296" s="470" t="s">
        <v>273</v>
      </c>
      <c r="S296" s="470" t="s">
        <v>273</v>
      </c>
      <c r="T296" s="470" t="s">
        <v>273</v>
      </c>
      <c r="U296" s="470" t="s">
        <v>273</v>
      </c>
      <c r="V296" s="470" t="s">
        <v>273</v>
      </c>
      <c r="W296" s="470" t="s">
        <v>273</v>
      </c>
      <c r="X296" s="470" t="s">
        <v>273</v>
      </c>
      <c r="Y296" s="470" t="s">
        <v>273</v>
      </c>
      <c r="Z296" s="470" t="s">
        <v>273</v>
      </c>
      <c r="AA296" s="470" t="s">
        <v>273</v>
      </c>
      <c r="AB296" s="470" t="s">
        <v>273</v>
      </c>
      <c r="AC296" s="470" t="s">
        <v>273</v>
      </c>
      <c r="AD296" s="470" t="s">
        <v>273</v>
      </c>
      <c r="AE296" s="470" t="s">
        <v>273</v>
      </c>
      <c r="AF296" s="470" t="s">
        <v>273</v>
      </c>
      <c r="AG296" s="470" t="s">
        <v>273</v>
      </c>
      <c r="AH296" s="470" t="s">
        <v>273</v>
      </c>
      <c r="AI296" s="470" t="s">
        <v>273</v>
      </c>
      <c r="AJ296" s="470" t="s">
        <v>273</v>
      </c>
      <c r="AK296" s="470" t="s">
        <v>273</v>
      </c>
      <c r="AL296" s="470" t="s">
        <v>273</v>
      </c>
    </row>
    <row r="297" spans="1:38">
      <c r="A297" s="470" t="s">
        <v>1369</v>
      </c>
      <c r="B297" s="470">
        <v>-1</v>
      </c>
      <c r="C297" s="470">
        <v>-10</v>
      </c>
      <c r="D297" s="470" t="s">
        <v>306</v>
      </c>
      <c r="E297" s="470" t="s">
        <v>306</v>
      </c>
      <c r="F297" s="470" t="s">
        <v>306</v>
      </c>
      <c r="G297" s="470" t="s">
        <v>306</v>
      </c>
      <c r="H297" s="470" t="s">
        <v>306</v>
      </c>
      <c r="I297" s="470" t="s">
        <v>273</v>
      </c>
      <c r="J297" s="470" t="s">
        <v>273</v>
      </c>
      <c r="K297" s="470" t="s">
        <v>273</v>
      </c>
      <c r="L297" s="470" t="s">
        <v>273</v>
      </c>
      <c r="M297" s="470" t="s">
        <v>273</v>
      </c>
      <c r="N297" s="470" t="s">
        <v>273</v>
      </c>
      <c r="O297" s="470" t="s">
        <v>273</v>
      </c>
      <c r="P297" s="470" t="s">
        <v>273</v>
      </c>
      <c r="Q297" s="470" t="s">
        <v>273</v>
      </c>
      <c r="R297" s="470" t="s">
        <v>273</v>
      </c>
      <c r="S297" s="470" t="s">
        <v>273</v>
      </c>
      <c r="T297" s="470" t="s">
        <v>273</v>
      </c>
      <c r="U297" s="470" t="s">
        <v>273</v>
      </c>
      <c r="V297" s="470" t="s">
        <v>273</v>
      </c>
      <c r="W297" s="470" t="s">
        <v>273</v>
      </c>
      <c r="X297" s="470" t="s">
        <v>273</v>
      </c>
      <c r="Y297" s="470" t="s">
        <v>273</v>
      </c>
      <c r="Z297" s="470" t="s">
        <v>273</v>
      </c>
      <c r="AA297" s="470" t="s">
        <v>273</v>
      </c>
      <c r="AB297" s="470" t="s">
        <v>273</v>
      </c>
      <c r="AC297" s="470" t="s">
        <v>273</v>
      </c>
      <c r="AD297" s="470" t="s">
        <v>273</v>
      </c>
      <c r="AE297" s="470" t="s">
        <v>273</v>
      </c>
      <c r="AF297" s="470" t="s">
        <v>273</v>
      </c>
      <c r="AG297" s="470" t="s">
        <v>273</v>
      </c>
      <c r="AH297" s="470" t="s">
        <v>273</v>
      </c>
      <c r="AI297" s="470" t="s">
        <v>273</v>
      </c>
      <c r="AJ297" s="470" t="s">
        <v>273</v>
      </c>
      <c r="AK297" s="470" t="s">
        <v>273</v>
      </c>
      <c r="AL297" s="470" t="s">
        <v>273</v>
      </c>
    </row>
    <row r="298" spans="1:38">
      <c r="A298" s="470" t="s">
        <v>1368</v>
      </c>
      <c r="B298" s="470">
        <v>0</v>
      </c>
      <c r="C298" s="470">
        <v>0</v>
      </c>
      <c r="D298" s="470">
        <v>0</v>
      </c>
      <c r="E298" s="470">
        <v>0</v>
      </c>
      <c r="F298" s="470">
        <v>0</v>
      </c>
      <c r="G298" s="470">
        <v>0</v>
      </c>
      <c r="H298" s="470" t="s">
        <v>306</v>
      </c>
      <c r="I298" s="470" t="s">
        <v>273</v>
      </c>
      <c r="J298" s="470" t="s">
        <v>273</v>
      </c>
      <c r="K298" s="470" t="s">
        <v>273</v>
      </c>
      <c r="L298" s="470" t="s">
        <v>273</v>
      </c>
      <c r="M298" s="470" t="s">
        <v>273</v>
      </c>
      <c r="N298" s="470" t="s">
        <v>273</v>
      </c>
      <c r="O298" s="470" t="s">
        <v>273</v>
      </c>
      <c r="P298" s="470" t="s">
        <v>273</v>
      </c>
      <c r="Q298" s="470" t="s">
        <v>273</v>
      </c>
      <c r="R298" s="470" t="s">
        <v>273</v>
      </c>
      <c r="S298" s="470" t="s">
        <v>273</v>
      </c>
      <c r="T298" s="470" t="s">
        <v>273</v>
      </c>
      <c r="U298" s="470" t="s">
        <v>273</v>
      </c>
      <c r="V298" s="470" t="s">
        <v>273</v>
      </c>
      <c r="W298" s="470" t="s">
        <v>273</v>
      </c>
      <c r="X298" s="470" t="s">
        <v>273</v>
      </c>
      <c r="Y298" s="470" t="s">
        <v>273</v>
      </c>
      <c r="Z298" s="470" t="s">
        <v>273</v>
      </c>
      <c r="AA298" s="470" t="s">
        <v>273</v>
      </c>
      <c r="AB298" s="470" t="s">
        <v>273</v>
      </c>
      <c r="AC298" s="470" t="s">
        <v>273</v>
      </c>
      <c r="AD298" s="470" t="s">
        <v>273</v>
      </c>
      <c r="AE298" s="470" t="s">
        <v>273</v>
      </c>
      <c r="AF298" s="470" t="s">
        <v>273</v>
      </c>
      <c r="AG298" s="470" t="s">
        <v>273</v>
      </c>
      <c r="AH298" s="470" t="s">
        <v>273</v>
      </c>
      <c r="AI298" s="470" t="s">
        <v>273</v>
      </c>
      <c r="AJ298" s="470" t="s">
        <v>273</v>
      </c>
      <c r="AK298" s="470" t="s">
        <v>273</v>
      </c>
      <c r="AL298" s="470" t="s">
        <v>273</v>
      </c>
    </row>
    <row r="299" spans="1:38">
      <c r="A299" s="470" t="s">
        <v>31</v>
      </c>
      <c r="B299" s="470" t="s">
        <v>0</v>
      </c>
      <c r="C299" s="470" t="s">
        <v>0</v>
      </c>
      <c r="D299" s="470" t="s">
        <v>0</v>
      </c>
      <c r="E299" s="470" t="s">
        <v>0</v>
      </c>
      <c r="F299" s="470" t="s">
        <v>0</v>
      </c>
      <c r="G299" s="470" t="s">
        <v>0</v>
      </c>
      <c r="H299" s="470" t="s">
        <v>0</v>
      </c>
      <c r="I299" s="470" t="s">
        <v>0</v>
      </c>
      <c r="J299" s="470" t="s">
        <v>0</v>
      </c>
      <c r="K299" s="470" t="s">
        <v>0</v>
      </c>
      <c r="L299" s="470" t="s">
        <v>0</v>
      </c>
      <c r="M299" s="470" t="s">
        <v>0</v>
      </c>
      <c r="N299" s="470" t="s">
        <v>0</v>
      </c>
      <c r="O299" s="470" t="s">
        <v>0</v>
      </c>
      <c r="P299" s="470" t="s">
        <v>0</v>
      </c>
      <c r="Q299" s="470" t="s">
        <v>0</v>
      </c>
      <c r="R299" s="470" t="s">
        <v>0</v>
      </c>
      <c r="S299" s="470" t="s">
        <v>0</v>
      </c>
      <c r="T299" s="470" t="s">
        <v>0</v>
      </c>
      <c r="U299" s="470" t="s">
        <v>0</v>
      </c>
      <c r="V299" s="470" t="s">
        <v>0</v>
      </c>
      <c r="W299" s="470" t="s">
        <v>0</v>
      </c>
      <c r="X299" s="470" t="s">
        <v>0</v>
      </c>
      <c r="Y299" s="470" t="s">
        <v>0</v>
      </c>
      <c r="Z299" s="470" t="s">
        <v>0</v>
      </c>
      <c r="AA299" s="470" t="s">
        <v>0</v>
      </c>
      <c r="AB299" s="470" t="s">
        <v>0</v>
      </c>
      <c r="AC299" s="470" t="s">
        <v>0</v>
      </c>
      <c r="AD299" s="470" t="s">
        <v>0</v>
      </c>
      <c r="AE299" s="470" t="s">
        <v>0</v>
      </c>
      <c r="AF299" s="470" t="s">
        <v>0</v>
      </c>
      <c r="AG299" s="470" t="s">
        <v>0</v>
      </c>
      <c r="AH299" s="470" t="s">
        <v>0</v>
      </c>
      <c r="AI299" s="470" t="s">
        <v>0</v>
      </c>
      <c r="AJ299" s="470" t="s">
        <v>0</v>
      </c>
      <c r="AK299" s="470" t="s">
        <v>0</v>
      </c>
      <c r="AL299" s="470" t="s">
        <v>0</v>
      </c>
    </row>
    <row r="300" spans="1:38">
      <c r="A300" s="470" t="s">
        <v>1367</v>
      </c>
      <c r="B300" s="470">
        <v>47107</v>
      </c>
      <c r="C300" s="470">
        <v>64145</v>
      </c>
      <c r="D300" s="470">
        <v>74012</v>
      </c>
      <c r="E300" s="470">
        <v>82286</v>
      </c>
      <c r="F300" s="470">
        <v>96555</v>
      </c>
      <c r="G300" s="470">
        <v>107105</v>
      </c>
      <c r="H300" s="470">
        <v>126853</v>
      </c>
      <c r="I300" s="470" t="s">
        <v>273</v>
      </c>
      <c r="J300" s="470" t="s">
        <v>273</v>
      </c>
      <c r="K300" s="470" t="s">
        <v>273</v>
      </c>
      <c r="L300" s="470" t="s">
        <v>273</v>
      </c>
      <c r="M300" s="470" t="s">
        <v>273</v>
      </c>
      <c r="N300" s="470" t="s">
        <v>273</v>
      </c>
      <c r="O300" s="470" t="s">
        <v>273</v>
      </c>
      <c r="P300" s="470" t="s">
        <v>273</v>
      </c>
      <c r="Q300" s="470" t="s">
        <v>273</v>
      </c>
      <c r="R300" s="470" t="s">
        <v>273</v>
      </c>
      <c r="S300" s="470" t="s">
        <v>273</v>
      </c>
      <c r="T300" s="470" t="s">
        <v>273</v>
      </c>
      <c r="U300" s="470" t="s">
        <v>273</v>
      </c>
      <c r="V300" s="470" t="s">
        <v>273</v>
      </c>
      <c r="W300" s="470" t="s">
        <v>273</v>
      </c>
      <c r="X300" s="470" t="s">
        <v>273</v>
      </c>
      <c r="Y300" s="470" t="s">
        <v>273</v>
      </c>
      <c r="Z300" s="470" t="s">
        <v>273</v>
      </c>
      <c r="AA300" s="470" t="s">
        <v>273</v>
      </c>
      <c r="AB300" s="470" t="s">
        <v>273</v>
      </c>
      <c r="AC300" s="470" t="s">
        <v>273</v>
      </c>
      <c r="AD300" s="470" t="s">
        <v>273</v>
      </c>
      <c r="AE300" s="470" t="s">
        <v>273</v>
      </c>
      <c r="AF300" s="470" t="s">
        <v>273</v>
      </c>
      <c r="AG300" s="470" t="s">
        <v>273</v>
      </c>
      <c r="AH300" s="470" t="s">
        <v>273</v>
      </c>
      <c r="AI300" s="470" t="s">
        <v>273</v>
      </c>
      <c r="AJ300" s="470" t="s">
        <v>273</v>
      </c>
      <c r="AK300" s="470" t="s">
        <v>273</v>
      </c>
      <c r="AL300" s="470" t="s">
        <v>273</v>
      </c>
    </row>
    <row r="301" spans="1:38">
      <c r="A301" s="470" t="s">
        <v>1366</v>
      </c>
      <c r="B301" s="470" t="s">
        <v>579</v>
      </c>
      <c r="C301" s="470" t="s">
        <v>579</v>
      </c>
      <c r="D301" s="470" t="s">
        <v>579</v>
      </c>
      <c r="E301" s="470" t="s">
        <v>579</v>
      </c>
      <c r="F301" s="470" t="s">
        <v>579</v>
      </c>
      <c r="G301" s="470" t="s">
        <v>579</v>
      </c>
      <c r="H301" s="470">
        <v>127221</v>
      </c>
      <c r="I301" s="470" t="s">
        <v>273</v>
      </c>
      <c r="J301" s="470" t="s">
        <v>273</v>
      </c>
      <c r="K301" s="470" t="s">
        <v>273</v>
      </c>
      <c r="L301" s="470" t="s">
        <v>273</v>
      </c>
      <c r="M301" s="470" t="s">
        <v>273</v>
      </c>
      <c r="N301" s="470" t="s">
        <v>273</v>
      </c>
      <c r="O301" s="470" t="s">
        <v>273</v>
      </c>
      <c r="P301" s="470" t="s">
        <v>273</v>
      </c>
      <c r="Q301" s="470" t="s">
        <v>273</v>
      </c>
      <c r="R301" s="470" t="s">
        <v>273</v>
      </c>
      <c r="S301" s="470" t="s">
        <v>273</v>
      </c>
      <c r="T301" s="470" t="s">
        <v>273</v>
      </c>
      <c r="U301" s="470" t="s">
        <v>273</v>
      </c>
      <c r="V301" s="470" t="s">
        <v>273</v>
      </c>
      <c r="W301" s="470" t="s">
        <v>273</v>
      </c>
      <c r="X301" s="470" t="s">
        <v>273</v>
      </c>
      <c r="Y301" s="470" t="s">
        <v>273</v>
      </c>
      <c r="Z301" s="470" t="s">
        <v>273</v>
      </c>
      <c r="AA301" s="470" t="s">
        <v>273</v>
      </c>
      <c r="AB301" s="470" t="s">
        <v>273</v>
      </c>
      <c r="AC301" s="470" t="s">
        <v>273</v>
      </c>
      <c r="AD301" s="470" t="s">
        <v>273</v>
      </c>
      <c r="AE301" s="470" t="s">
        <v>273</v>
      </c>
      <c r="AF301" s="470" t="s">
        <v>273</v>
      </c>
      <c r="AG301" s="470" t="s">
        <v>273</v>
      </c>
      <c r="AH301" s="470" t="s">
        <v>273</v>
      </c>
      <c r="AI301" s="470" t="s">
        <v>273</v>
      </c>
      <c r="AJ301" s="470" t="s">
        <v>273</v>
      </c>
      <c r="AK301" s="470" t="s">
        <v>273</v>
      </c>
      <c r="AL301" s="470" t="s">
        <v>273</v>
      </c>
    </row>
    <row r="302" spans="1:38">
      <c r="A302" s="470" t="s">
        <v>522</v>
      </c>
      <c r="B302" s="470">
        <v>642</v>
      </c>
      <c r="C302" s="470">
        <v>3336</v>
      </c>
      <c r="D302" s="470">
        <v>4045</v>
      </c>
      <c r="E302" s="470">
        <v>4039</v>
      </c>
      <c r="F302" s="470">
        <v>4892</v>
      </c>
      <c r="G302" s="470">
        <v>4607</v>
      </c>
      <c r="H302" s="470">
        <v>4787</v>
      </c>
      <c r="I302" s="470" t="s">
        <v>273</v>
      </c>
      <c r="J302" s="470" t="s">
        <v>273</v>
      </c>
      <c r="K302" s="470" t="s">
        <v>273</v>
      </c>
      <c r="L302" s="470" t="s">
        <v>273</v>
      </c>
      <c r="M302" s="470" t="s">
        <v>273</v>
      </c>
      <c r="N302" s="470" t="s">
        <v>273</v>
      </c>
      <c r="O302" s="470" t="s">
        <v>273</v>
      </c>
      <c r="P302" s="470" t="s">
        <v>273</v>
      </c>
      <c r="Q302" s="470" t="s">
        <v>273</v>
      </c>
      <c r="R302" s="470" t="s">
        <v>273</v>
      </c>
      <c r="S302" s="470" t="s">
        <v>273</v>
      </c>
      <c r="T302" s="470" t="s">
        <v>273</v>
      </c>
      <c r="U302" s="470" t="s">
        <v>273</v>
      </c>
      <c r="V302" s="470" t="s">
        <v>273</v>
      </c>
      <c r="W302" s="470" t="s">
        <v>273</v>
      </c>
      <c r="X302" s="470" t="s">
        <v>273</v>
      </c>
      <c r="Y302" s="470" t="s">
        <v>273</v>
      </c>
      <c r="Z302" s="470" t="s">
        <v>273</v>
      </c>
      <c r="AA302" s="470" t="s">
        <v>273</v>
      </c>
      <c r="AB302" s="470" t="s">
        <v>273</v>
      </c>
      <c r="AC302" s="470" t="s">
        <v>273</v>
      </c>
      <c r="AD302" s="470" t="s">
        <v>273</v>
      </c>
      <c r="AE302" s="470" t="s">
        <v>273</v>
      </c>
      <c r="AF302" s="470" t="s">
        <v>273</v>
      </c>
      <c r="AG302" s="470" t="s">
        <v>273</v>
      </c>
      <c r="AH302" s="470" t="s">
        <v>273</v>
      </c>
      <c r="AI302" s="470" t="s">
        <v>273</v>
      </c>
      <c r="AJ302" s="470" t="s">
        <v>273</v>
      </c>
      <c r="AK302" s="470" t="s">
        <v>273</v>
      </c>
      <c r="AL302" s="470" t="s">
        <v>273</v>
      </c>
    </row>
    <row r="303" spans="1:38" ht="13">
      <c r="A303" s="1944" t="s">
        <v>7</v>
      </c>
      <c r="B303" s="1976"/>
      <c r="C303" s="1976"/>
      <c r="D303" s="1976"/>
      <c r="E303" s="1976"/>
      <c r="F303" s="1976"/>
      <c r="G303" s="1976"/>
      <c r="H303" s="1976"/>
      <c r="I303" s="1976"/>
      <c r="J303" s="1976"/>
      <c r="K303" s="1976"/>
      <c r="L303" s="1976"/>
      <c r="M303" s="1976"/>
      <c r="N303" s="1976"/>
      <c r="O303" s="1976"/>
      <c r="P303" s="1976"/>
      <c r="Q303" s="1976"/>
      <c r="R303" s="1976"/>
      <c r="S303" s="1976"/>
      <c r="T303" s="1976"/>
      <c r="U303" s="1976"/>
      <c r="V303" s="1976"/>
      <c r="W303" s="1976"/>
      <c r="X303" s="1976"/>
      <c r="Y303" s="1976"/>
      <c r="Z303" s="1976"/>
      <c r="AA303" s="1976"/>
      <c r="AB303" s="1976"/>
      <c r="AC303" s="1976"/>
      <c r="AD303" s="1976"/>
      <c r="AE303" s="1976"/>
      <c r="AF303" s="1976"/>
      <c r="AG303" s="1976"/>
      <c r="AH303" s="1976"/>
      <c r="AI303" s="1976"/>
      <c r="AJ303" s="1976"/>
      <c r="AK303" s="1976"/>
      <c r="AL303" s="1976"/>
    </row>
    <row r="304" spans="1:38">
      <c r="A304" s="1943" t="s">
        <v>272</v>
      </c>
      <c r="B304" s="1976"/>
      <c r="C304" s="1976"/>
      <c r="D304" s="1976"/>
      <c r="E304" s="1976"/>
      <c r="F304" s="1976"/>
      <c r="G304" s="1976"/>
      <c r="H304" s="1976"/>
      <c r="I304" s="1976"/>
      <c r="J304" s="1976"/>
      <c r="K304" s="1976"/>
      <c r="L304" s="1976"/>
      <c r="M304" s="1976"/>
      <c r="N304" s="1976"/>
      <c r="O304" s="1976"/>
      <c r="P304" s="1976"/>
      <c r="Q304" s="1976"/>
      <c r="R304" s="1976"/>
      <c r="S304" s="1976"/>
      <c r="T304" s="1976"/>
      <c r="U304" s="1976"/>
      <c r="V304" s="1976"/>
      <c r="W304" s="1976"/>
      <c r="X304" s="1976"/>
      <c r="Y304" s="1976"/>
      <c r="Z304" s="1976"/>
      <c r="AA304" s="1976"/>
      <c r="AB304" s="1976"/>
      <c r="AC304" s="1976"/>
      <c r="AD304" s="1976"/>
      <c r="AE304" s="1976"/>
      <c r="AF304" s="1976"/>
      <c r="AG304" s="1976"/>
      <c r="AH304" s="1976"/>
      <c r="AI304" s="1976"/>
      <c r="AJ304" s="1976"/>
      <c r="AK304" s="1976"/>
      <c r="AL304" s="1976"/>
    </row>
    <row r="305" spans="1:38">
      <c r="A305" s="1943" t="s">
        <v>1031</v>
      </c>
      <c r="B305" s="1976"/>
      <c r="C305" s="1976"/>
      <c r="D305" s="1976"/>
      <c r="E305" s="1976"/>
      <c r="F305" s="1976"/>
      <c r="G305" s="1976"/>
      <c r="H305" s="1976"/>
      <c r="I305" s="1976"/>
      <c r="J305" s="1976"/>
      <c r="K305" s="1976"/>
      <c r="L305" s="1976"/>
      <c r="M305" s="1976"/>
      <c r="N305" s="1976"/>
      <c r="O305" s="1976"/>
      <c r="P305" s="1976"/>
      <c r="Q305" s="1976"/>
      <c r="R305" s="1976"/>
      <c r="S305" s="1976"/>
      <c r="T305" s="1976"/>
      <c r="U305" s="1976"/>
      <c r="V305" s="1976"/>
      <c r="W305" s="1976"/>
      <c r="X305" s="1976"/>
      <c r="Y305" s="1976"/>
      <c r="Z305" s="1976"/>
      <c r="AA305" s="1976"/>
      <c r="AB305" s="1976"/>
      <c r="AC305" s="1976"/>
      <c r="AD305" s="1976"/>
      <c r="AE305" s="1976"/>
      <c r="AF305" s="1976"/>
      <c r="AG305" s="1976"/>
      <c r="AH305" s="1976"/>
      <c r="AI305" s="1976"/>
      <c r="AJ305" s="1976"/>
      <c r="AK305" s="1976"/>
      <c r="AL305" s="1976"/>
    </row>
    <row r="306" spans="1:38">
      <c r="A306" s="1943" t="s">
        <v>1032</v>
      </c>
      <c r="B306" s="1976"/>
      <c r="C306" s="1976"/>
      <c r="D306" s="1976"/>
      <c r="E306" s="1976"/>
      <c r="F306" s="1976"/>
      <c r="G306" s="1976"/>
      <c r="H306" s="1976"/>
      <c r="I306" s="1976"/>
      <c r="J306" s="1976"/>
      <c r="K306" s="1976"/>
      <c r="L306" s="1976"/>
      <c r="M306" s="1976"/>
      <c r="N306" s="1976"/>
      <c r="O306" s="1976"/>
      <c r="P306" s="1976"/>
      <c r="Q306" s="1976"/>
      <c r="R306" s="1976"/>
      <c r="S306" s="1976"/>
      <c r="T306" s="1976"/>
      <c r="U306" s="1976"/>
      <c r="V306" s="1976"/>
      <c r="W306" s="1976"/>
      <c r="X306" s="1976"/>
      <c r="Y306" s="1976"/>
      <c r="Z306" s="1976"/>
      <c r="AA306" s="1976"/>
      <c r="AB306" s="1976"/>
      <c r="AC306" s="1976"/>
      <c r="AD306" s="1976"/>
      <c r="AE306" s="1976"/>
      <c r="AF306" s="1976"/>
      <c r="AG306" s="1976"/>
      <c r="AH306" s="1976"/>
      <c r="AI306" s="1976"/>
      <c r="AJ306" s="1976"/>
      <c r="AK306" s="1976"/>
      <c r="AL306" s="1976"/>
    </row>
    <row r="307" spans="1:38">
      <c r="A307" s="1943" t="s">
        <v>1033</v>
      </c>
      <c r="B307" s="1976"/>
      <c r="C307" s="1976"/>
      <c r="D307" s="1976"/>
      <c r="E307" s="1976"/>
      <c r="F307" s="1976"/>
      <c r="G307" s="1976"/>
      <c r="H307" s="1976"/>
      <c r="I307" s="1976"/>
      <c r="J307" s="1976"/>
      <c r="K307" s="1976"/>
      <c r="L307" s="1976"/>
      <c r="M307" s="1976"/>
      <c r="N307" s="1976"/>
      <c r="O307" s="1976"/>
      <c r="P307" s="1976"/>
      <c r="Q307" s="1976"/>
      <c r="R307" s="1976"/>
      <c r="S307" s="1976"/>
      <c r="T307" s="1976"/>
      <c r="U307" s="1976"/>
      <c r="V307" s="1976"/>
      <c r="W307" s="1976"/>
      <c r="X307" s="1976"/>
      <c r="Y307" s="1976"/>
      <c r="Z307" s="1976"/>
      <c r="AA307" s="1976"/>
      <c r="AB307" s="1976"/>
      <c r="AC307" s="1976"/>
      <c r="AD307" s="1976"/>
      <c r="AE307" s="1976"/>
      <c r="AF307" s="1976"/>
      <c r="AG307" s="1976"/>
      <c r="AH307" s="1976"/>
      <c r="AI307" s="1976"/>
      <c r="AJ307" s="1976"/>
      <c r="AK307" s="1976"/>
      <c r="AL307" s="1976"/>
    </row>
    <row r="308" spans="1:38">
      <c r="A308" s="1943" t="s">
        <v>268</v>
      </c>
      <c r="B308" s="1976"/>
      <c r="C308" s="1976"/>
      <c r="D308" s="1976"/>
      <c r="E308" s="1976"/>
      <c r="F308" s="1976"/>
      <c r="G308" s="1976"/>
      <c r="H308" s="1976"/>
      <c r="I308" s="1976"/>
      <c r="J308" s="1976"/>
      <c r="K308" s="1976"/>
      <c r="L308" s="1976"/>
      <c r="M308" s="1976"/>
      <c r="N308" s="1976"/>
      <c r="O308" s="1976"/>
      <c r="P308" s="1976"/>
      <c r="Q308" s="1976"/>
      <c r="R308" s="1976"/>
      <c r="S308" s="1976"/>
      <c r="T308" s="1976"/>
      <c r="U308" s="1976"/>
      <c r="V308" s="1976"/>
      <c r="W308" s="1976"/>
      <c r="X308" s="1976"/>
      <c r="Y308" s="1976"/>
      <c r="Z308" s="1976"/>
      <c r="AA308" s="1976"/>
      <c r="AB308" s="1976"/>
      <c r="AC308" s="1976"/>
      <c r="AD308" s="1976"/>
      <c r="AE308" s="1976"/>
      <c r="AF308" s="1976"/>
      <c r="AG308" s="1976"/>
      <c r="AH308" s="1976"/>
      <c r="AI308" s="1976"/>
      <c r="AJ308" s="1976"/>
      <c r="AK308" s="1976"/>
      <c r="AL308" s="1976"/>
    </row>
    <row r="309" spans="1:38">
      <c r="A309" s="1943" t="s">
        <v>267</v>
      </c>
      <c r="B309" s="1976"/>
      <c r="C309" s="1976"/>
      <c r="D309" s="1976"/>
      <c r="E309" s="1976"/>
      <c r="F309" s="1976"/>
      <c r="G309" s="1976"/>
      <c r="H309" s="1976"/>
      <c r="I309" s="1976"/>
      <c r="J309" s="1976"/>
      <c r="K309" s="1976"/>
      <c r="L309" s="1976"/>
      <c r="M309" s="1976"/>
      <c r="N309" s="1976"/>
      <c r="O309" s="1976"/>
      <c r="P309" s="1976"/>
      <c r="Q309" s="1976"/>
      <c r="R309" s="1976"/>
      <c r="S309" s="1976"/>
      <c r="T309" s="1976"/>
      <c r="U309" s="1976"/>
      <c r="V309" s="1976"/>
      <c r="W309" s="1976"/>
      <c r="X309" s="1976"/>
      <c r="Y309" s="1976"/>
      <c r="Z309" s="1976"/>
      <c r="AA309" s="1976"/>
      <c r="AB309" s="1976"/>
      <c r="AC309" s="1976"/>
      <c r="AD309" s="1976"/>
      <c r="AE309" s="1976"/>
      <c r="AF309" s="1976"/>
      <c r="AG309" s="1976"/>
      <c r="AH309" s="1976"/>
      <c r="AI309" s="1976"/>
      <c r="AJ309" s="1976"/>
      <c r="AK309" s="1976"/>
      <c r="AL309" s="1976"/>
    </row>
    <row r="310" spans="1:38">
      <c r="A310" s="1943" t="s">
        <v>1365</v>
      </c>
      <c r="B310" s="1976"/>
      <c r="C310" s="1976"/>
      <c r="D310" s="1976"/>
      <c r="E310" s="1976"/>
      <c r="F310" s="1976"/>
      <c r="G310" s="1976"/>
      <c r="H310" s="1976"/>
      <c r="I310" s="1976"/>
      <c r="J310" s="1976"/>
      <c r="K310" s="1976"/>
      <c r="L310" s="1976"/>
      <c r="M310" s="1976"/>
      <c r="N310" s="1976"/>
      <c r="O310" s="1976"/>
      <c r="P310" s="1976"/>
      <c r="Q310" s="1976"/>
      <c r="R310" s="1976"/>
      <c r="S310" s="1976"/>
      <c r="T310" s="1976"/>
      <c r="U310" s="1976"/>
      <c r="V310" s="1976"/>
      <c r="W310" s="1976"/>
      <c r="X310" s="1976"/>
      <c r="Y310" s="1976"/>
      <c r="Z310" s="1976"/>
      <c r="AA310" s="1976"/>
      <c r="AB310" s="1976"/>
      <c r="AC310" s="1976"/>
      <c r="AD310" s="1976"/>
      <c r="AE310" s="1976"/>
      <c r="AF310" s="1976"/>
      <c r="AG310" s="1976"/>
      <c r="AH310" s="1976"/>
      <c r="AI310" s="1976"/>
      <c r="AJ310" s="1976"/>
      <c r="AK310" s="1976"/>
      <c r="AL310" s="1976"/>
    </row>
    <row r="311" spans="1:38">
      <c r="A311" s="1943" t="s">
        <v>1364</v>
      </c>
      <c r="B311" s="1976"/>
      <c r="C311" s="1976"/>
      <c r="D311" s="1976"/>
      <c r="E311" s="1976"/>
      <c r="F311" s="1976"/>
      <c r="G311" s="1976"/>
      <c r="H311" s="1976"/>
      <c r="I311" s="1976"/>
      <c r="J311" s="1976"/>
      <c r="K311" s="1976"/>
      <c r="L311" s="1976"/>
      <c r="M311" s="1976"/>
      <c r="N311" s="1976"/>
      <c r="O311" s="1976"/>
      <c r="P311" s="1976"/>
      <c r="Q311" s="1976"/>
      <c r="R311" s="1976"/>
      <c r="S311" s="1976"/>
      <c r="T311" s="1976"/>
      <c r="U311" s="1976"/>
      <c r="V311" s="1976"/>
      <c r="W311" s="1976"/>
      <c r="X311" s="1976"/>
      <c r="Y311" s="1976"/>
      <c r="Z311" s="1976"/>
      <c r="AA311" s="1976"/>
      <c r="AB311" s="1976"/>
      <c r="AC311" s="1976"/>
      <c r="AD311" s="1976"/>
      <c r="AE311" s="1976"/>
      <c r="AF311" s="1976"/>
      <c r="AG311" s="1976"/>
      <c r="AH311" s="1976"/>
      <c r="AI311" s="1976"/>
      <c r="AJ311" s="1976"/>
      <c r="AK311" s="1976"/>
      <c r="AL311" s="1976"/>
    </row>
    <row r="312" spans="1:38">
      <c r="A312" s="1943" t="s">
        <v>520</v>
      </c>
      <c r="B312" s="1976"/>
      <c r="C312" s="1976"/>
      <c r="D312" s="1976"/>
      <c r="E312" s="1976"/>
      <c r="F312" s="1976"/>
      <c r="G312" s="1976"/>
      <c r="H312" s="1976"/>
      <c r="I312" s="1976"/>
      <c r="J312" s="1976"/>
      <c r="K312" s="1976"/>
      <c r="L312" s="1976"/>
      <c r="M312" s="1976"/>
      <c r="N312" s="1976"/>
      <c r="O312" s="1976"/>
      <c r="P312" s="1976"/>
      <c r="Q312" s="1976"/>
      <c r="R312" s="1976"/>
      <c r="S312" s="1976"/>
      <c r="T312" s="1976"/>
      <c r="U312" s="1976"/>
      <c r="V312" s="1976"/>
      <c r="W312" s="1976"/>
      <c r="X312" s="1976"/>
      <c r="Y312" s="1976"/>
      <c r="Z312" s="1976"/>
      <c r="AA312" s="1976"/>
      <c r="AB312" s="1976"/>
      <c r="AC312" s="1976"/>
      <c r="AD312" s="1976"/>
      <c r="AE312" s="1976"/>
      <c r="AF312" s="1976"/>
      <c r="AG312" s="1976"/>
      <c r="AH312" s="1976"/>
      <c r="AI312" s="1976"/>
      <c r="AJ312" s="1976"/>
      <c r="AK312" s="1976"/>
      <c r="AL312" s="1976"/>
    </row>
    <row r="313" spans="1:38">
      <c r="A313" s="1943" t="s">
        <v>1363</v>
      </c>
      <c r="B313" s="1976"/>
      <c r="C313" s="1976"/>
      <c r="D313" s="1976"/>
      <c r="E313" s="1976"/>
      <c r="F313" s="1976"/>
      <c r="G313" s="1976"/>
      <c r="H313" s="1976"/>
      <c r="I313" s="1976"/>
      <c r="J313" s="1976"/>
      <c r="K313" s="1976"/>
      <c r="L313" s="1976"/>
      <c r="M313" s="1976"/>
      <c r="N313" s="1976"/>
      <c r="O313" s="1976"/>
      <c r="P313" s="1976"/>
      <c r="Q313" s="1976"/>
      <c r="R313" s="1976"/>
      <c r="S313" s="1976"/>
      <c r="T313" s="1976"/>
      <c r="U313" s="1976"/>
      <c r="V313" s="1976"/>
      <c r="W313" s="1976"/>
      <c r="X313" s="1976"/>
      <c r="Y313" s="1976"/>
      <c r="Z313" s="1976"/>
      <c r="AA313" s="1976"/>
      <c r="AB313" s="1976"/>
      <c r="AC313" s="1976"/>
      <c r="AD313" s="1976"/>
      <c r="AE313" s="1976"/>
      <c r="AF313" s="1976"/>
      <c r="AG313" s="1976"/>
      <c r="AH313" s="1976"/>
      <c r="AI313" s="1976"/>
      <c r="AJ313" s="1976"/>
      <c r="AK313" s="1976"/>
      <c r="AL313" s="1976"/>
    </row>
    <row r="314" spans="1:38">
      <c r="A314" s="1943" t="s">
        <v>264</v>
      </c>
      <c r="B314" s="1976"/>
      <c r="C314" s="1976"/>
      <c r="D314" s="1976"/>
      <c r="E314" s="1976"/>
      <c r="F314" s="1976"/>
      <c r="G314" s="1976"/>
      <c r="H314" s="1976"/>
      <c r="I314" s="1976"/>
      <c r="J314" s="1976"/>
      <c r="K314" s="1976"/>
      <c r="L314" s="1976"/>
      <c r="M314" s="1976"/>
      <c r="N314" s="1976"/>
      <c r="O314" s="1976"/>
      <c r="P314" s="1976"/>
      <c r="Q314" s="1976"/>
      <c r="R314" s="1976"/>
      <c r="S314" s="1976"/>
      <c r="T314" s="1976"/>
      <c r="U314" s="1976"/>
      <c r="V314" s="1976"/>
      <c r="W314" s="1976"/>
      <c r="X314" s="1976"/>
      <c r="Y314" s="1976"/>
      <c r="Z314" s="1976"/>
      <c r="AA314" s="1976"/>
      <c r="AB314" s="1976"/>
      <c r="AC314" s="1976"/>
      <c r="AD314" s="1976"/>
      <c r="AE314" s="1976"/>
      <c r="AF314" s="1976"/>
      <c r="AG314" s="1976"/>
      <c r="AH314" s="1976"/>
      <c r="AI314" s="1976"/>
      <c r="AJ314" s="1976"/>
      <c r="AK314" s="1976"/>
      <c r="AL314" s="1976"/>
    </row>
    <row r="315" spans="1:38">
      <c r="A315" s="1943" t="s">
        <v>262</v>
      </c>
      <c r="B315" s="1976"/>
      <c r="C315" s="1976"/>
      <c r="D315" s="1976"/>
      <c r="E315" s="1976"/>
      <c r="F315" s="1976"/>
      <c r="G315" s="1976"/>
      <c r="H315" s="1976"/>
      <c r="I315" s="1976"/>
      <c r="J315" s="1976"/>
      <c r="K315" s="1976"/>
      <c r="L315" s="1976"/>
      <c r="M315" s="1976"/>
      <c r="N315" s="1976"/>
      <c r="O315" s="1976"/>
      <c r="P315" s="1976"/>
      <c r="Q315" s="1976"/>
      <c r="R315" s="1976"/>
      <c r="S315" s="1976"/>
      <c r="T315" s="1976"/>
      <c r="U315" s="1976"/>
      <c r="V315" s="1976"/>
      <c r="W315" s="1976"/>
      <c r="X315" s="1976"/>
      <c r="Y315" s="1976"/>
      <c r="Z315" s="1976"/>
      <c r="AA315" s="1976"/>
      <c r="AB315" s="1976"/>
      <c r="AC315" s="1976"/>
      <c r="AD315" s="1976"/>
      <c r="AE315" s="1976"/>
      <c r="AF315" s="1976"/>
      <c r="AG315" s="1976"/>
      <c r="AH315" s="1976"/>
      <c r="AI315" s="1976"/>
      <c r="AJ315" s="1976"/>
      <c r="AK315" s="1976"/>
      <c r="AL315" s="1976"/>
    </row>
    <row r="316" spans="1:38">
      <c r="A316" s="1943" t="s">
        <v>1362</v>
      </c>
      <c r="B316" s="1976"/>
      <c r="C316" s="1976"/>
      <c r="D316" s="1976"/>
      <c r="E316" s="1976"/>
      <c r="F316" s="1976"/>
      <c r="G316" s="1976"/>
      <c r="H316" s="1976"/>
      <c r="I316" s="1976"/>
      <c r="J316" s="1976"/>
      <c r="K316" s="1976"/>
      <c r="L316" s="1976"/>
      <c r="M316" s="1976"/>
      <c r="N316" s="1976"/>
      <c r="O316" s="1976"/>
      <c r="P316" s="1976"/>
      <c r="Q316" s="1976"/>
      <c r="R316" s="1976"/>
      <c r="S316" s="1976"/>
      <c r="T316" s="1976"/>
      <c r="U316" s="1976"/>
      <c r="V316" s="1976"/>
      <c r="W316" s="1976"/>
      <c r="X316" s="1976"/>
      <c r="Y316" s="1976"/>
      <c r="Z316" s="1976"/>
      <c r="AA316" s="1976"/>
      <c r="AB316" s="1976"/>
      <c r="AC316" s="1976"/>
      <c r="AD316" s="1976"/>
      <c r="AE316" s="1976"/>
      <c r="AF316" s="1976"/>
      <c r="AG316" s="1976"/>
      <c r="AH316" s="1976"/>
      <c r="AI316" s="1976"/>
      <c r="AJ316" s="1976"/>
      <c r="AK316" s="1976"/>
      <c r="AL316" s="1976"/>
    </row>
    <row r="317" spans="1:38">
      <c r="A317" s="1943" t="s">
        <v>1361</v>
      </c>
      <c r="B317" s="1976"/>
      <c r="C317" s="1976"/>
      <c r="D317" s="1976"/>
      <c r="E317" s="1976"/>
      <c r="F317" s="1976"/>
      <c r="G317" s="1976"/>
      <c r="H317" s="1976"/>
      <c r="I317" s="1976"/>
      <c r="J317" s="1976"/>
      <c r="K317" s="1976"/>
      <c r="L317" s="1976"/>
      <c r="M317" s="1976"/>
      <c r="N317" s="1976"/>
      <c r="O317" s="1976"/>
      <c r="P317" s="1976"/>
      <c r="Q317" s="1976"/>
      <c r="R317" s="1976"/>
      <c r="S317" s="1976"/>
      <c r="T317" s="1976"/>
      <c r="U317" s="1976"/>
      <c r="V317" s="1976"/>
      <c r="W317" s="1976"/>
      <c r="X317" s="1976"/>
      <c r="Y317" s="1976"/>
      <c r="Z317" s="1976"/>
      <c r="AA317" s="1976"/>
      <c r="AB317" s="1976"/>
      <c r="AC317" s="1976"/>
      <c r="AD317" s="1976"/>
      <c r="AE317" s="1976"/>
      <c r="AF317" s="1976"/>
      <c r="AG317" s="1976"/>
      <c r="AH317" s="1976"/>
      <c r="AI317" s="1976"/>
      <c r="AJ317" s="1976"/>
      <c r="AK317" s="1976"/>
      <c r="AL317" s="1976"/>
    </row>
    <row r="318" spans="1:38">
      <c r="A318" s="1943" t="s">
        <v>1360</v>
      </c>
      <c r="B318" s="1976"/>
      <c r="C318" s="1976"/>
      <c r="D318" s="1976"/>
      <c r="E318" s="1976"/>
      <c r="F318" s="1976"/>
      <c r="G318" s="1976"/>
      <c r="H318" s="1976"/>
      <c r="I318" s="1976"/>
      <c r="J318" s="1976"/>
      <c r="K318" s="1976"/>
      <c r="L318" s="1976"/>
      <c r="M318" s="1976"/>
      <c r="N318" s="1976"/>
      <c r="O318" s="1976"/>
      <c r="P318" s="1976"/>
      <c r="Q318" s="1976"/>
      <c r="R318" s="1976"/>
      <c r="S318" s="1976"/>
      <c r="T318" s="1976"/>
      <c r="U318" s="1976"/>
      <c r="V318" s="1976"/>
      <c r="W318" s="1976"/>
      <c r="X318" s="1976"/>
      <c r="Y318" s="1976"/>
      <c r="Z318" s="1976"/>
      <c r="AA318" s="1976"/>
      <c r="AB318" s="1976"/>
      <c r="AC318" s="1976"/>
      <c r="AD318" s="1976"/>
      <c r="AE318" s="1976"/>
      <c r="AF318" s="1976"/>
      <c r="AG318" s="1976"/>
      <c r="AH318" s="1976"/>
      <c r="AI318" s="1976"/>
      <c r="AJ318" s="1976"/>
      <c r="AK318" s="1976"/>
      <c r="AL318" s="1976"/>
    </row>
    <row r="319" spans="1:38">
      <c r="A319" s="1943" t="s">
        <v>1359</v>
      </c>
      <c r="B319" s="1976"/>
      <c r="C319" s="1976"/>
      <c r="D319" s="1976"/>
      <c r="E319" s="1976"/>
      <c r="F319" s="1976"/>
      <c r="G319" s="1976"/>
      <c r="H319" s="1976"/>
      <c r="I319" s="1976"/>
      <c r="J319" s="1976"/>
      <c r="K319" s="1976"/>
      <c r="L319" s="1976"/>
      <c r="M319" s="1976"/>
      <c r="N319" s="1976"/>
      <c r="O319" s="1976"/>
      <c r="P319" s="1976"/>
      <c r="Q319" s="1976"/>
      <c r="R319" s="1976"/>
      <c r="S319" s="1976"/>
      <c r="T319" s="1976"/>
      <c r="U319" s="1976"/>
      <c r="V319" s="1976"/>
      <c r="W319" s="1976"/>
      <c r="X319" s="1976"/>
      <c r="Y319" s="1976"/>
      <c r="Z319" s="1976"/>
      <c r="AA319" s="1976"/>
      <c r="AB319" s="1976"/>
      <c r="AC319" s="1976"/>
      <c r="AD319" s="1976"/>
      <c r="AE319" s="1976"/>
      <c r="AF319" s="1976"/>
      <c r="AG319" s="1976"/>
      <c r="AH319" s="1976"/>
      <c r="AI319" s="1976"/>
      <c r="AJ319" s="1976"/>
      <c r="AK319" s="1976"/>
      <c r="AL319" s="1976"/>
    </row>
    <row r="320" spans="1:38">
      <c r="A320" s="1943" t="s">
        <v>1358</v>
      </c>
      <c r="B320" s="1976"/>
      <c r="C320" s="1976"/>
      <c r="D320" s="1976"/>
      <c r="E320" s="1976"/>
      <c r="F320" s="1976"/>
      <c r="G320" s="1976"/>
      <c r="H320" s="1976"/>
      <c r="I320" s="1976"/>
      <c r="J320" s="1976"/>
      <c r="K320" s="1976"/>
      <c r="L320" s="1976"/>
      <c r="M320" s="1976"/>
      <c r="N320" s="1976"/>
      <c r="O320" s="1976"/>
      <c r="P320" s="1976"/>
      <c r="Q320" s="1976"/>
      <c r="R320" s="1976"/>
      <c r="S320" s="1976"/>
      <c r="T320" s="1976"/>
      <c r="U320" s="1976"/>
      <c r="V320" s="1976"/>
      <c r="W320" s="1976"/>
      <c r="X320" s="1976"/>
      <c r="Y320" s="1976"/>
      <c r="Z320" s="1976"/>
      <c r="AA320" s="1976"/>
      <c r="AB320" s="1976"/>
      <c r="AC320" s="1976"/>
      <c r="AD320" s="1976"/>
      <c r="AE320" s="1976"/>
      <c r="AF320" s="1976"/>
      <c r="AG320" s="1976"/>
      <c r="AH320" s="1976"/>
      <c r="AI320" s="1976"/>
      <c r="AJ320" s="1976"/>
      <c r="AK320" s="1976"/>
      <c r="AL320" s="1976"/>
    </row>
    <row r="321" spans="1:38">
      <c r="A321" s="1943" t="s">
        <v>1357</v>
      </c>
      <c r="B321" s="1976"/>
      <c r="C321" s="1976"/>
      <c r="D321" s="1976"/>
      <c r="E321" s="1976"/>
      <c r="F321" s="1976"/>
      <c r="G321" s="1976"/>
      <c r="H321" s="1976"/>
      <c r="I321" s="1976"/>
      <c r="J321" s="1976"/>
      <c r="K321" s="1976"/>
      <c r="L321" s="1976"/>
      <c r="M321" s="1976"/>
      <c r="N321" s="1976"/>
      <c r="O321" s="1976"/>
      <c r="P321" s="1976"/>
      <c r="Q321" s="1976"/>
      <c r="R321" s="1976"/>
      <c r="S321" s="1976"/>
      <c r="T321" s="1976"/>
      <c r="U321" s="1976"/>
      <c r="V321" s="1976"/>
      <c r="W321" s="1976"/>
      <c r="X321" s="1976"/>
      <c r="Y321" s="1976"/>
      <c r="Z321" s="1976"/>
      <c r="AA321" s="1976"/>
      <c r="AB321" s="1976"/>
      <c r="AC321" s="1976"/>
      <c r="AD321" s="1976"/>
      <c r="AE321" s="1976"/>
      <c r="AF321" s="1976"/>
      <c r="AG321" s="1976"/>
      <c r="AH321" s="1976"/>
      <c r="AI321" s="1976"/>
      <c r="AJ321" s="1976"/>
      <c r="AK321" s="1976"/>
      <c r="AL321" s="1976"/>
    </row>
    <row r="322" spans="1:38">
      <c r="A322" s="1943" t="s">
        <v>263</v>
      </c>
      <c r="B322" s="1976"/>
      <c r="C322" s="1976"/>
      <c r="D322" s="1976"/>
      <c r="E322" s="1976"/>
      <c r="F322" s="1976"/>
      <c r="G322" s="1976"/>
      <c r="H322" s="1976"/>
      <c r="I322" s="1976"/>
      <c r="J322" s="1976"/>
      <c r="K322" s="1976"/>
      <c r="L322" s="1976"/>
      <c r="M322" s="1976"/>
      <c r="N322" s="1976"/>
      <c r="O322" s="1976"/>
      <c r="P322" s="1976"/>
      <c r="Q322" s="1976"/>
      <c r="R322" s="1976"/>
      <c r="S322" s="1976"/>
      <c r="T322" s="1976"/>
      <c r="U322" s="1976"/>
      <c r="V322" s="1976"/>
      <c r="W322" s="1976"/>
      <c r="X322" s="1976"/>
      <c r="Y322" s="1976"/>
      <c r="Z322" s="1976"/>
      <c r="AA322" s="1976"/>
      <c r="AB322" s="1976"/>
      <c r="AC322" s="1976"/>
      <c r="AD322" s="1976"/>
      <c r="AE322" s="1976"/>
      <c r="AF322" s="1976"/>
      <c r="AG322" s="1976"/>
      <c r="AH322" s="1976"/>
      <c r="AI322" s="1976"/>
      <c r="AJ322" s="1976"/>
      <c r="AK322" s="1976"/>
      <c r="AL322" s="1976"/>
    </row>
  </sheetData>
  <mergeCells count="63">
    <mergeCell ref="A1:AL1"/>
    <mergeCell ref="A2:AL2"/>
    <mergeCell ref="A3:AL3"/>
    <mergeCell ref="A4:AL4"/>
    <mergeCell ref="A6:A7"/>
    <mergeCell ref="B6:AL6"/>
    <mergeCell ref="B7"/>
    <mergeCell ref="C7"/>
    <mergeCell ref="D7"/>
    <mergeCell ref="E7"/>
    <mergeCell ref="F7"/>
    <mergeCell ref="G7"/>
    <mergeCell ref="H7"/>
    <mergeCell ref="I7"/>
    <mergeCell ref="J7"/>
    <mergeCell ref="K7"/>
    <mergeCell ref="L7"/>
    <mergeCell ref="M7"/>
    <mergeCell ref="N7"/>
    <mergeCell ref="O7"/>
    <mergeCell ref="P7"/>
    <mergeCell ref="Z7"/>
    <mergeCell ref="AA7"/>
    <mergeCell ref="AB7"/>
    <mergeCell ref="AC7"/>
    <mergeCell ref="Q7"/>
    <mergeCell ref="R7"/>
    <mergeCell ref="S7"/>
    <mergeCell ref="T7"/>
    <mergeCell ref="U7"/>
    <mergeCell ref="A305:AL305"/>
    <mergeCell ref="AD7"/>
    <mergeCell ref="AE7"/>
    <mergeCell ref="AF7"/>
    <mergeCell ref="AG7"/>
    <mergeCell ref="AJ7"/>
    <mergeCell ref="AK7"/>
    <mergeCell ref="AL7"/>
    <mergeCell ref="A303:AL303"/>
    <mergeCell ref="A304:AL304"/>
    <mergeCell ref="V7"/>
    <mergeCell ref="W7"/>
    <mergeCell ref="AH7"/>
    <mergeCell ref="AI7"/>
    <mergeCell ref="X7"/>
    <mergeCell ref="Y7"/>
    <mergeCell ref="A317:AL317"/>
    <mergeCell ref="A306:AL306"/>
    <mergeCell ref="A307:AL307"/>
    <mergeCell ref="A308:AL308"/>
    <mergeCell ref="A309:AL309"/>
    <mergeCell ref="A310:AL310"/>
    <mergeCell ref="A311:AL311"/>
    <mergeCell ref="A312:AL312"/>
    <mergeCell ref="A313:AL313"/>
    <mergeCell ref="A314:AL314"/>
    <mergeCell ref="A315:AL315"/>
    <mergeCell ref="A316:AL316"/>
    <mergeCell ref="A318:AL318"/>
    <mergeCell ref="A319:AL319"/>
    <mergeCell ref="A320:AL320"/>
    <mergeCell ref="A321:AL321"/>
    <mergeCell ref="A322:AL322"/>
  </mergeCells>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0.14999847407452621"/>
  </sheetPr>
  <dimension ref="A1"/>
  <sheetViews>
    <sheetView workbookViewId="0">
      <selection activeCell="X67" sqref="X67"/>
    </sheetView>
  </sheetViews>
  <sheetFormatPr baseColWidth="10" defaultRowHeight="15" x14ac:dyDescent="0"/>
  <sheetData/>
  <pageMargins left="0.7" right="0.7" top="0.75" bottom="0.75" header="0.3" footer="0.3"/>
  <extLst>
    <ext xmlns:mx="http://schemas.microsoft.com/office/mac/excel/2008/main" uri="{64002731-A6B0-56B0-2670-7721B7C09600}">
      <mx:PLV Mode="0" OnePage="0" WScale="0"/>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K66"/>
  <sheetViews>
    <sheetView zoomScale="80" zoomScaleNormal="80" zoomScalePageLayoutView="80" workbookViewId="0">
      <pane xSplit="5" ySplit="8" topLeftCell="ER50" activePane="bottomRight" state="frozen"/>
      <selection activeCell="X67" sqref="X67"/>
      <selection pane="topRight" activeCell="X67" sqref="X67"/>
      <selection pane="bottomLeft" activeCell="X67" sqref="X67"/>
      <selection pane="bottomRight" activeCell="X67" sqref="X67"/>
    </sheetView>
  </sheetViews>
  <sheetFormatPr baseColWidth="10" defaultColWidth="9" defaultRowHeight="15" x14ac:dyDescent="0"/>
  <cols>
    <col min="1" max="4" width="9" style="1267"/>
    <col min="5" max="5" width="14.140625" style="1267" customWidth="1"/>
    <col min="6" max="8" width="23.5703125" style="1267" customWidth="1"/>
    <col min="9" max="11" width="15.85546875" style="1267" customWidth="1"/>
    <col min="12" max="14" width="15.7109375" style="1267" customWidth="1"/>
    <col min="15" max="15" width="23" style="1267" customWidth="1"/>
    <col min="16" max="29" width="21.85546875" style="1267" customWidth="1"/>
    <col min="30" max="31" width="19.5703125" style="1267" customWidth="1"/>
    <col min="32" max="36" width="20" style="1267" customWidth="1"/>
    <col min="37" max="39" width="16.140625" style="1267" customWidth="1"/>
    <col min="40" max="42" width="16.5703125" style="1267" customWidth="1"/>
    <col min="43" max="45" width="15.42578125" style="1267" customWidth="1"/>
    <col min="46" max="48" width="17.5703125" style="1267" customWidth="1"/>
    <col min="49" max="51" width="15.85546875" style="1267" customWidth="1"/>
    <col min="52" max="53" width="14.85546875" style="1267" customWidth="1"/>
    <col min="54" max="55" width="24.28515625" style="1267" customWidth="1"/>
    <col min="56" max="58" width="12.85546875" style="1267" customWidth="1"/>
    <col min="59" max="61" width="15" style="1267" customWidth="1"/>
    <col min="62" max="64" width="15.7109375" style="1267" customWidth="1"/>
    <col min="65" max="65" width="18" style="1267" customWidth="1"/>
    <col min="66" max="75" width="15.7109375" style="1267" customWidth="1"/>
    <col min="76" max="77" width="18" style="1267" customWidth="1"/>
    <col min="78" max="78" width="13.85546875" style="1267" customWidth="1"/>
    <col min="79" max="79" width="10.5703125" style="1267" customWidth="1"/>
    <col min="80" max="80" width="9.85546875" style="1267" customWidth="1"/>
    <col min="81" max="81" width="17.140625" style="1267" customWidth="1"/>
    <col min="82" max="97" width="9" style="1267"/>
    <col min="98" max="100" width="15" style="1267" customWidth="1"/>
    <col min="101" max="101" width="14.5703125" style="1267" customWidth="1"/>
    <col min="102" max="102" width="9" style="1267"/>
    <col min="103" max="103" width="10.5703125" style="1267" customWidth="1"/>
    <col min="104" max="104" width="13.28515625" style="1267" customWidth="1"/>
    <col min="105" max="105" width="11.85546875" style="1267" customWidth="1"/>
    <col min="106" max="106" width="12" style="1267" customWidth="1"/>
    <col min="107" max="107" width="11.140625" style="1267" customWidth="1"/>
    <col min="108" max="108" width="16.28515625" style="1267" customWidth="1"/>
    <col min="109" max="109" width="9" style="1267"/>
    <col min="110" max="110" width="13.28515625" style="1267" customWidth="1"/>
    <col min="111" max="111" width="16.140625" style="1267" customWidth="1"/>
    <col min="112" max="112" width="13.28515625" style="1267" customWidth="1"/>
    <col min="113" max="114" width="12" style="1267" customWidth="1"/>
    <col min="115" max="115" width="11" style="1267" customWidth="1"/>
    <col min="116" max="116" width="10.28515625" style="1267" customWidth="1"/>
    <col min="117" max="118" width="9" style="1267"/>
    <col min="119" max="121" width="14.85546875" style="1267" customWidth="1"/>
    <col min="122" max="122" width="9" style="1267"/>
    <col min="123" max="124" width="12" style="1267" customWidth="1"/>
    <col min="125" max="125" width="19.140625" style="1267" customWidth="1"/>
    <col min="126" max="126" width="12.85546875" style="1267" customWidth="1"/>
    <col min="127" max="127" width="14" style="1267" customWidth="1"/>
    <col min="128" max="128" width="10.140625" style="1267" bestFit="1" customWidth="1"/>
    <col min="129" max="129" width="9" style="1267"/>
    <col min="130" max="130" width="11.140625" style="1267" customWidth="1"/>
    <col min="131" max="132" width="9" style="1267"/>
    <col min="133" max="133" width="11.5703125" style="1267" customWidth="1"/>
    <col min="134" max="135" width="9" style="1267"/>
    <col min="136" max="136" width="16.5703125" style="1267" customWidth="1"/>
    <col min="137" max="137" width="18.85546875" style="1267" customWidth="1"/>
    <col min="138" max="138" width="9" style="1267"/>
    <col min="139" max="139" width="12.85546875" style="1267" bestFit="1" customWidth="1"/>
    <col min="140" max="140" width="10.5703125" style="1267" bestFit="1" customWidth="1"/>
    <col min="141" max="141" width="13.7109375" style="1267" customWidth="1"/>
    <col min="142" max="142" width="10" style="1267" bestFit="1" customWidth="1"/>
    <col min="143" max="143" width="12.7109375" style="1267" bestFit="1" customWidth="1"/>
    <col min="144" max="144" width="9" style="1267"/>
    <col min="145" max="145" width="11" style="1267" bestFit="1" customWidth="1"/>
    <col min="146" max="146" width="9" style="1267"/>
    <col min="147" max="147" width="16.7109375" style="1267" customWidth="1"/>
    <col min="148" max="148" width="13.28515625" style="1267" customWidth="1"/>
    <col min="149" max="149" width="22.28515625" style="1267" customWidth="1"/>
    <col min="150" max="150" width="10.7109375" style="1267" bestFit="1" customWidth="1"/>
    <col min="151" max="151" width="13.7109375" style="1267" customWidth="1"/>
    <col min="152" max="152" width="10.7109375" style="1267" bestFit="1" customWidth="1"/>
    <col min="153" max="153" width="11.28515625" style="1267" bestFit="1" customWidth="1"/>
    <col min="154" max="154" width="16.28515625" style="1267" customWidth="1"/>
    <col min="155" max="155" width="11" style="1267" bestFit="1" customWidth="1"/>
    <col min="156" max="159" width="9" style="1267"/>
    <col min="160" max="160" width="20.5703125" style="1267" customWidth="1"/>
    <col min="161" max="161" width="11.7109375" style="1267" customWidth="1"/>
    <col min="162" max="166" width="9" style="1267"/>
    <col min="167" max="167" width="11.5703125" style="1267" customWidth="1"/>
    <col min="168" max="168" width="12.7109375" style="1267" customWidth="1"/>
    <col min="169" max="183" width="15.28515625" style="1267" customWidth="1"/>
    <col min="184" max="184" width="12.85546875" style="1267" customWidth="1"/>
    <col min="185" max="185" width="9" style="1267"/>
    <col min="186" max="186" width="12.42578125" style="1267" customWidth="1"/>
    <col min="187" max="191" width="9" style="1267"/>
    <col min="192" max="192" width="14.5703125" style="1267" customWidth="1"/>
    <col min="193" max="193" width="19.7109375" style="1267" customWidth="1"/>
    <col min="194" max="194" width="9" style="1267"/>
    <col min="195" max="195" width="14.140625" style="1267" customWidth="1"/>
    <col min="196" max="199" width="9" style="1267"/>
    <col min="200" max="200" width="16.28515625" style="1267" customWidth="1"/>
    <col min="201" max="203" width="9" style="1267"/>
    <col min="204" max="204" width="18" style="1267" customWidth="1"/>
    <col min="205" max="205" width="21.42578125" style="1267" customWidth="1"/>
    <col min="206" max="207" width="9" style="1267"/>
    <col min="208" max="208" width="12.42578125" style="1267" customWidth="1"/>
    <col min="209" max="209" width="12.85546875" style="1267" customWidth="1"/>
    <col min="210" max="213" width="9" style="1267"/>
    <col min="214" max="214" width="12.85546875" style="1267" customWidth="1"/>
    <col min="215" max="217" width="9" style="1267"/>
    <col min="218" max="220" width="15" style="1267" customWidth="1"/>
    <col min="221" max="223" width="9" style="1267"/>
    <col min="224" max="224" width="13.7109375" style="1267" customWidth="1"/>
    <col min="225" max="228" width="9" style="1267"/>
    <col min="229" max="229" width="14.5703125" style="1267" customWidth="1"/>
    <col min="230" max="236" width="9" style="1267"/>
    <col min="237" max="237" width="13.7109375" style="1267" customWidth="1"/>
    <col min="238" max="238" width="14.140625" style="1267" customWidth="1"/>
    <col min="239" max="239" width="16.28515625" style="1267" customWidth="1"/>
    <col min="240" max="240" width="11.140625" style="1267" customWidth="1"/>
    <col min="241" max="242" width="12.7109375" style="1267" customWidth="1"/>
    <col min="243" max="243" width="12" style="1267" customWidth="1"/>
    <col min="244" max="244" width="9" style="1267"/>
    <col min="245" max="245" width="11.5703125" style="1267" customWidth="1"/>
    <col min="246" max="16384" width="9" style="1267"/>
  </cols>
  <sheetData>
    <row r="1" spans="1:245" ht="42" customHeight="1">
      <c r="F1" s="1268" t="s">
        <v>2826</v>
      </c>
      <c r="G1" s="1268"/>
      <c r="H1" s="1268"/>
      <c r="R1" s="1267" t="s">
        <v>2827</v>
      </c>
      <c r="CT1" s="1267" t="s">
        <v>2828</v>
      </c>
      <c r="GJ1" s="1267" t="s">
        <v>2829</v>
      </c>
    </row>
    <row r="2" spans="1:245" s="1269" customFormat="1" ht="106" customHeight="1">
      <c r="F2" s="1269" t="s">
        <v>1483</v>
      </c>
      <c r="R2" s="1269" t="s">
        <v>2830</v>
      </c>
      <c r="AD2" s="1269" t="s">
        <v>194</v>
      </c>
      <c r="AQ2" s="1306" t="s">
        <v>2831</v>
      </c>
      <c r="AR2" s="1306"/>
      <c r="AS2" s="1306"/>
      <c r="BB2" s="1269" t="s">
        <v>2832</v>
      </c>
      <c r="BM2" s="1269" t="s">
        <v>2833</v>
      </c>
      <c r="BX2" s="1269" t="s">
        <v>2834</v>
      </c>
      <c r="CH2" s="1269" t="s">
        <v>2835</v>
      </c>
      <c r="CT2" s="1269" t="s">
        <v>1483</v>
      </c>
      <c r="DF2" s="1306" t="s">
        <v>2830</v>
      </c>
      <c r="DG2" s="1306"/>
      <c r="DS2" s="1269" t="s">
        <v>192</v>
      </c>
      <c r="EF2" s="1274" t="s">
        <v>2831</v>
      </c>
      <c r="EG2" s="1274"/>
      <c r="EH2" s="1274"/>
      <c r="EI2" s="1307"/>
      <c r="EJ2" s="1307"/>
      <c r="EK2" s="1307"/>
      <c r="EL2" s="1307"/>
      <c r="EM2" s="1307"/>
      <c r="EN2" s="1307"/>
      <c r="EQ2" s="1269" t="s">
        <v>2832</v>
      </c>
      <c r="FD2" s="1269" t="s">
        <v>2833</v>
      </c>
      <c r="FO2" s="1269" t="s">
        <v>2834</v>
      </c>
      <c r="FY2" s="1269" t="s">
        <v>2835</v>
      </c>
      <c r="GJ2" s="1269" t="s">
        <v>1483</v>
      </c>
      <c r="GV2" s="1269" t="s">
        <v>192</v>
      </c>
      <c r="HL2" s="1306" t="s">
        <v>2836</v>
      </c>
      <c r="HU2" s="1269" t="s">
        <v>2837</v>
      </c>
      <c r="IC2" s="1306" t="s">
        <v>2835</v>
      </c>
    </row>
    <row r="3" spans="1:245" s="1269" customFormat="1" ht="100" customHeight="1">
      <c r="A3" s="1269" t="s">
        <v>525</v>
      </c>
      <c r="I3" s="1269" t="s">
        <v>2838</v>
      </c>
      <c r="S3" s="1269" t="s">
        <v>2839</v>
      </c>
      <c r="AF3" s="1269" t="s">
        <v>2840</v>
      </c>
      <c r="BY3" s="1269" t="s">
        <v>2841</v>
      </c>
      <c r="CC3" s="1269" t="s">
        <v>2842</v>
      </c>
      <c r="CW3" s="1269" t="s">
        <v>2838</v>
      </c>
      <c r="DU3" s="1269" t="s">
        <v>2840</v>
      </c>
      <c r="EF3" s="1307"/>
      <c r="EG3" s="1307"/>
      <c r="EH3" s="1307"/>
      <c r="EI3" s="1307"/>
      <c r="EJ3" s="1307"/>
      <c r="EK3" s="1307"/>
      <c r="EL3" s="1307"/>
      <c r="EM3" s="1307"/>
      <c r="EN3" s="1307"/>
      <c r="ES3" s="1269" t="s">
        <v>2843</v>
      </c>
      <c r="EU3" s="1269" t="s">
        <v>2844</v>
      </c>
      <c r="EW3" s="1269" t="s">
        <v>2845</v>
      </c>
      <c r="EY3" s="1269" t="s">
        <v>2846</v>
      </c>
      <c r="EZ3" s="1269" t="s">
        <v>2847</v>
      </c>
      <c r="FP3" s="1269" t="s">
        <v>2841</v>
      </c>
      <c r="FT3" s="1269" t="s">
        <v>2842</v>
      </c>
      <c r="GA3" s="1269" t="s">
        <v>2848</v>
      </c>
      <c r="GK3" s="1269" t="s">
        <v>2838</v>
      </c>
      <c r="GW3" s="1269" t="s">
        <v>2840</v>
      </c>
    </row>
    <row r="4" spans="1:245" s="1308" customFormat="1" ht="86.25" customHeight="1">
      <c r="D4" s="1269"/>
      <c r="E4" s="1269" t="s">
        <v>2849</v>
      </c>
      <c r="F4" s="1269" t="s">
        <v>2850</v>
      </c>
      <c r="G4" s="1269" t="s">
        <v>2851</v>
      </c>
      <c r="H4" s="1307" t="s">
        <v>2852</v>
      </c>
      <c r="I4" s="1269" t="s">
        <v>2853</v>
      </c>
      <c r="J4" s="1269" t="s">
        <v>2854</v>
      </c>
      <c r="K4" s="1269" t="s">
        <v>2855</v>
      </c>
      <c r="L4" s="1269" t="s">
        <v>2856</v>
      </c>
      <c r="M4" s="1269" t="s">
        <v>2857</v>
      </c>
      <c r="N4" s="1269" t="s">
        <v>2858</v>
      </c>
      <c r="O4" s="1269" t="s">
        <v>2859</v>
      </c>
      <c r="P4" s="1307" t="s">
        <v>2860</v>
      </c>
      <c r="Q4" s="1307"/>
      <c r="R4" s="1307" t="s">
        <v>2850</v>
      </c>
      <c r="S4" s="1307" t="s">
        <v>2861</v>
      </c>
      <c r="T4" s="1307" t="s">
        <v>2852</v>
      </c>
      <c r="U4" s="1269" t="s">
        <v>2853</v>
      </c>
      <c r="V4" s="1269" t="s">
        <v>2854</v>
      </c>
      <c r="W4" s="1269" t="s">
        <v>2855</v>
      </c>
      <c r="X4" s="1269" t="s">
        <v>2856</v>
      </c>
      <c r="Y4" s="1269" t="s">
        <v>2857</v>
      </c>
      <c r="Z4" s="1269" t="s">
        <v>2858</v>
      </c>
      <c r="AA4" s="1269" t="s">
        <v>2859</v>
      </c>
      <c r="AB4" s="1307" t="s">
        <v>2860</v>
      </c>
      <c r="AC4" s="1307"/>
      <c r="AD4" s="1269" t="s">
        <v>2862</v>
      </c>
      <c r="AE4" s="1269" t="s">
        <v>2863</v>
      </c>
      <c r="AF4" s="1269" t="s">
        <v>2864</v>
      </c>
      <c r="AG4" s="1269" t="s">
        <v>2865</v>
      </c>
      <c r="AH4" s="1269" t="s">
        <v>2866</v>
      </c>
      <c r="AI4" s="1269" t="s">
        <v>2867</v>
      </c>
      <c r="AJ4" s="1269" t="s">
        <v>2868</v>
      </c>
      <c r="AK4" s="1269" t="s">
        <v>2869</v>
      </c>
      <c r="AL4" s="1269" t="s">
        <v>2870</v>
      </c>
      <c r="AM4" s="1269" t="s">
        <v>2871</v>
      </c>
      <c r="AN4" s="1269" t="s">
        <v>2872</v>
      </c>
      <c r="AO4" s="1307" t="s">
        <v>2873</v>
      </c>
      <c r="AP4" s="1307"/>
      <c r="AQ4" s="1269" t="s">
        <v>2874</v>
      </c>
      <c r="AR4" s="1269" t="s">
        <v>2875</v>
      </c>
      <c r="AS4" s="1309" t="s">
        <v>2876</v>
      </c>
      <c r="AT4" s="1269" t="s">
        <v>2877</v>
      </c>
      <c r="AU4" s="1269" t="s">
        <v>2854</v>
      </c>
      <c r="AV4" s="1269" t="s">
        <v>2855</v>
      </c>
      <c r="AW4" s="1269" t="s">
        <v>2878</v>
      </c>
      <c r="AX4" s="1269" t="s">
        <v>2870</v>
      </c>
      <c r="AY4" s="1269" t="s">
        <v>2631</v>
      </c>
      <c r="AZ4" s="1269" t="s">
        <v>2859</v>
      </c>
      <c r="BA4" s="1307"/>
      <c r="BB4" s="1269" t="s">
        <v>2874</v>
      </c>
      <c r="BC4" s="1269" t="s">
        <v>2875</v>
      </c>
      <c r="BD4" s="1269" t="s">
        <v>2877</v>
      </c>
      <c r="BE4" s="1269" t="s">
        <v>2630</v>
      </c>
      <c r="BF4" s="1269" t="s">
        <v>2631</v>
      </c>
      <c r="BG4" s="1269" t="s">
        <v>2878</v>
      </c>
      <c r="BH4" s="1269" t="s">
        <v>2630</v>
      </c>
      <c r="BI4" s="1269" t="s">
        <v>2631</v>
      </c>
      <c r="BJ4" s="1269" t="s">
        <v>2859</v>
      </c>
      <c r="BK4" s="1307" t="s">
        <v>2879</v>
      </c>
      <c r="BL4" s="1307"/>
      <c r="BM4" s="1269" t="s">
        <v>2874</v>
      </c>
      <c r="BN4" s="1307" t="s">
        <v>2875</v>
      </c>
      <c r="BO4" s="1307" t="s">
        <v>2877</v>
      </c>
      <c r="BP4" s="1307" t="s">
        <v>2630</v>
      </c>
      <c r="BQ4" s="1307" t="s">
        <v>2631</v>
      </c>
      <c r="BR4" s="1269" t="s">
        <v>2878</v>
      </c>
      <c r="BS4" s="1269" t="s">
        <v>2630</v>
      </c>
      <c r="BT4" s="1269" t="s">
        <v>2631</v>
      </c>
      <c r="BU4" s="1269" t="s">
        <v>2859</v>
      </c>
      <c r="BV4" s="1307" t="s">
        <v>2880</v>
      </c>
      <c r="BW4" s="1307"/>
      <c r="BX4" s="1269" t="s">
        <v>2881</v>
      </c>
      <c r="BY4" s="1307" t="s">
        <v>2882</v>
      </c>
      <c r="BZ4" s="1269" t="s">
        <v>2853</v>
      </c>
      <c r="CA4" s="1269" t="s">
        <v>2854</v>
      </c>
      <c r="CB4" s="1269" t="s">
        <v>2855</v>
      </c>
      <c r="CC4" s="1269" t="s">
        <v>2856</v>
      </c>
      <c r="CD4" s="1269" t="s">
        <v>2857</v>
      </c>
      <c r="CE4" s="1269" t="s">
        <v>2858</v>
      </c>
      <c r="CF4" s="1269" t="s">
        <v>2859</v>
      </c>
      <c r="CH4" s="1269" t="s">
        <v>2881</v>
      </c>
      <c r="CI4" s="1307" t="s">
        <v>2882</v>
      </c>
      <c r="CJ4" s="1269" t="s">
        <v>2853</v>
      </c>
      <c r="CK4" s="1269" t="s">
        <v>2854</v>
      </c>
      <c r="CL4" s="1269" t="s">
        <v>2855</v>
      </c>
      <c r="CM4" s="1269" t="s">
        <v>2856</v>
      </c>
      <c r="CN4" s="1269" t="s">
        <v>2857</v>
      </c>
      <c r="CO4" s="1269" t="s">
        <v>2858</v>
      </c>
      <c r="CP4" s="1269" t="s">
        <v>2859</v>
      </c>
      <c r="CQ4" s="1269"/>
      <c r="CR4" s="1269"/>
      <c r="CS4" s="1269"/>
      <c r="CT4" s="1269" t="s">
        <v>2883</v>
      </c>
      <c r="CU4" s="1307" t="s">
        <v>2884</v>
      </c>
      <c r="CV4" s="1307" t="s">
        <v>2885</v>
      </c>
      <c r="CW4" s="1269" t="s">
        <v>2853</v>
      </c>
      <c r="CX4" s="1269" t="s">
        <v>2854</v>
      </c>
      <c r="CY4" s="1269" t="s">
        <v>2855</v>
      </c>
      <c r="CZ4" s="1269" t="s">
        <v>2856</v>
      </c>
      <c r="DA4" s="1269" t="s">
        <v>2857</v>
      </c>
      <c r="DB4" s="1269" t="s">
        <v>2858</v>
      </c>
      <c r="DC4" s="1269" t="s">
        <v>2859</v>
      </c>
      <c r="DD4" s="1307"/>
      <c r="DE4" s="1307"/>
      <c r="DF4" s="1269" t="s">
        <v>2886</v>
      </c>
      <c r="DG4" s="1269" t="s">
        <v>2861</v>
      </c>
      <c r="DH4" s="1307" t="s">
        <v>2887</v>
      </c>
      <c r="DI4" s="1269" t="s">
        <v>2853</v>
      </c>
      <c r="DJ4" s="1269" t="s">
        <v>2854</v>
      </c>
      <c r="DK4" s="1269" t="s">
        <v>2855</v>
      </c>
      <c r="DL4" s="1269" t="s">
        <v>2856</v>
      </c>
      <c r="DM4" s="1269" t="s">
        <v>2857</v>
      </c>
      <c r="DN4" s="1269" t="s">
        <v>2858</v>
      </c>
      <c r="DO4" s="1269" t="s">
        <v>2859</v>
      </c>
      <c r="DP4" s="1310" t="s">
        <v>2888</v>
      </c>
      <c r="DQ4" s="1307"/>
      <c r="DR4" s="1307"/>
      <c r="DS4" s="1269" t="s">
        <v>2889</v>
      </c>
      <c r="DT4" s="1269"/>
      <c r="DU4" s="1269" t="s">
        <v>2864</v>
      </c>
      <c r="DV4" s="1269" t="s">
        <v>2865</v>
      </c>
      <c r="DW4" s="1269" t="s">
        <v>2866</v>
      </c>
      <c r="DX4" s="1269" t="s">
        <v>2867</v>
      </c>
      <c r="DY4" s="1269" t="s">
        <v>2868</v>
      </c>
      <c r="DZ4" s="1269" t="s">
        <v>2869</v>
      </c>
      <c r="EA4" s="1269" t="s">
        <v>2870</v>
      </c>
      <c r="EB4" s="1269" t="s">
        <v>2871</v>
      </c>
      <c r="EC4" s="1269" t="s">
        <v>2872</v>
      </c>
      <c r="ED4" s="1269"/>
      <c r="EE4" s="1269"/>
      <c r="EF4" s="1307" t="s">
        <v>2890</v>
      </c>
      <c r="EG4" s="1307" t="s">
        <v>2891</v>
      </c>
      <c r="EH4" s="1307" t="s">
        <v>2876</v>
      </c>
      <c r="EI4" s="1307" t="s">
        <v>2877</v>
      </c>
      <c r="EJ4" s="1307" t="s">
        <v>2854</v>
      </c>
      <c r="EK4" s="1307" t="s">
        <v>2855</v>
      </c>
      <c r="EL4" s="1307" t="s">
        <v>2878</v>
      </c>
      <c r="EM4" s="1307" t="s">
        <v>2870</v>
      </c>
      <c r="EN4" s="1307" t="s">
        <v>2631</v>
      </c>
      <c r="EO4" s="1307" t="s">
        <v>2859</v>
      </c>
      <c r="EP4" s="1307"/>
      <c r="EQ4" s="1269" t="s">
        <v>2890</v>
      </c>
      <c r="ER4" s="1269" t="s">
        <v>2973</v>
      </c>
      <c r="ES4" s="1269" t="s">
        <v>2877</v>
      </c>
      <c r="ET4" s="1269" t="s">
        <v>2630</v>
      </c>
      <c r="EU4" s="1269" t="s">
        <v>2631</v>
      </c>
      <c r="EV4" s="1269" t="s">
        <v>2878</v>
      </c>
      <c r="EW4" s="1269" t="s">
        <v>2630</v>
      </c>
      <c r="EX4" s="1269" t="s">
        <v>2631</v>
      </c>
      <c r="EY4" s="1269" t="s">
        <v>2859</v>
      </c>
      <c r="EZ4" s="1307" t="s">
        <v>2879</v>
      </c>
      <c r="FA4" s="1307"/>
      <c r="FB4" s="1307"/>
      <c r="FC4" s="1307"/>
      <c r="FD4" s="1269" t="s">
        <v>2890</v>
      </c>
      <c r="FE4" s="1269" t="s">
        <v>2973</v>
      </c>
      <c r="FF4" s="1269" t="s">
        <v>2877</v>
      </c>
      <c r="FG4" s="1269" t="s">
        <v>2630</v>
      </c>
      <c r="FH4" s="1269" t="s">
        <v>2631</v>
      </c>
      <c r="FI4" s="1269" t="s">
        <v>2878</v>
      </c>
      <c r="FJ4" s="1269" t="s">
        <v>2630</v>
      </c>
      <c r="FK4" s="1269" t="s">
        <v>2631</v>
      </c>
      <c r="FL4" s="1269" t="s">
        <v>2859</v>
      </c>
      <c r="FM4" s="1307" t="s">
        <v>2879</v>
      </c>
      <c r="FN4" s="1307"/>
      <c r="FO4" s="1269" t="s">
        <v>2971</v>
      </c>
      <c r="FP4" s="1307" t="s">
        <v>2972</v>
      </c>
      <c r="FQ4" s="1269" t="s">
        <v>2853</v>
      </c>
      <c r="FR4" s="1269" t="s">
        <v>2854</v>
      </c>
      <c r="FS4" s="1269" t="s">
        <v>2855</v>
      </c>
      <c r="FT4" s="1269" t="s">
        <v>2856</v>
      </c>
      <c r="FU4" s="1269" t="s">
        <v>2857</v>
      </c>
      <c r="FV4" s="1269" t="s">
        <v>2858</v>
      </c>
      <c r="FW4" s="1269" t="s">
        <v>2859</v>
      </c>
      <c r="FY4" s="1269" t="s">
        <v>2971</v>
      </c>
      <c r="FZ4" s="1307" t="s">
        <v>2972</v>
      </c>
      <c r="GA4" s="1269" t="s">
        <v>2853</v>
      </c>
      <c r="GB4" s="1269" t="s">
        <v>2854</v>
      </c>
      <c r="GC4" s="1269" t="s">
        <v>2855</v>
      </c>
      <c r="GD4" s="1269" t="s">
        <v>2856</v>
      </c>
      <c r="GE4" s="1269" t="s">
        <v>2857</v>
      </c>
      <c r="GF4" s="1269" t="s">
        <v>2858</v>
      </c>
      <c r="GG4" s="1269" t="s">
        <v>2859</v>
      </c>
      <c r="GH4" s="1269"/>
      <c r="GJ4" s="1269" t="s">
        <v>2892</v>
      </c>
      <c r="GK4" s="1269" t="s">
        <v>2853</v>
      </c>
      <c r="GL4" s="1269" t="s">
        <v>2854</v>
      </c>
      <c r="GM4" s="1269" t="s">
        <v>2855</v>
      </c>
      <c r="GN4" s="1269" t="s">
        <v>2856</v>
      </c>
      <c r="GO4" s="1269" t="s">
        <v>2857</v>
      </c>
      <c r="GP4" s="1269" t="s">
        <v>2858</v>
      </c>
      <c r="GQ4" s="1269" t="s">
        <v>2859</v>
      </c>
      <c r="GR4" s="1269" t="s">
        <v>2893</v>
      </c>
      <c r="GS4" s="1269" t="s">
        <v>2894</v>
      </c>
      <c r="GT4" s="1269"/>
      <c r="GU4" s="1269"/>
      <c r="GV4" s="1269" t="s">
        <v>2970</v>
      </c>
      <c r="GW4" s="1269" t="s">
        <v>2864</v>
      </c>
      <c r="GX4" s="1269" t="s">
        <v>2865</v>
      </c>
      <c r="GY4" s="1269" t="s">
        <v>2866</v>
      </c>
      <c r="GZ4" s="1269" t="s">
        <v>2867</v>
      </c>
      <c r="HA4" s="1269" t="s">
        <v>2868</v>
      </c>
      <c r="HB4" s="1269" t="s">
        <v>2869</v>
      </c>
      <c r="HC4" s="1269" t="s">
        <v>2870</v>
      </c>
      <c r="HD4" s="1269" t="s">
        <v>2871</v>
      </c>
      <c r="HE4" s="1269" t="s">
        <v>2872</v>
      </c>
      <c r="HF4" s="1269"/>
      <c r="HG4" s="1269"/>
      <c r="HH4" s="1269"/>
      <c r="HI4" s="1269"/>
      <c r="HJ4" s="1269"/>
      <c r="HL4" s="1269" t="s">
        <v>2895</v>
      </c>
      <c r="HM4" s="1269" t="s">
        <v>2853</v>
      </c>
      <c r="HN4" s="1269" t="s">
        <v>2854</v>
      </c>
      <c r="HO4" s="1269" t="s">
        <v>2855</v>
      </c>
      <c r="HP4" s="1269" t="s">
        <v>2856</v>
      </c>
      <c r="HQ4" s="1269" t="s">
        <v>2857</v>
      </c>
      <c r="HR4" s="1269" t="s">
        <v>2858</v>
      </c>
      <c r="HS4" s="1269" t="s">
        <v>2859</v>
      </c>
      <c r="HU4" s="1269" t="s">
        <v>2895</v>
      </c>
      <c r="HV4" s="1269" t="s">
        <v>2896</v>
      </c>
      <c r="HW4" s="1269" t="s">
        <v>2897</v>
      </c>
      <c r="HX4" s="1269"/>
      <c r="HY4" s="1269"/>
      <c r="HZ4" s="1269"/>
      <c r="IA4" s="1269"/>
      <c r="IB4" s="1269"/>
      <c r="IC4" s="1269" t="s">
        <v>2969</v>
      </c>
      <c r="ID4" s="1307" t="s">
        <v>2882</v>
      </c>
      <c r="IE4" s="1269" t="s">
        <v>2853</v>
      </c>
      <c r="IF4" s="1269" t="s">
        <v>2854</v>
      </c>
      <c r="IG4" s="1269" t="s">
        <v>2855</v>
      </c>
      <c r="IH4" s="1269" t="s">
        <v>2856</v>
      </c>
      <c r="II4" s="1269" t="s">
        <v>2857</v>
      </c>
      <c r="IJ4" s="1269" t="s">
        <v>2858</v>
      </c>
      <c r="IK4" s="1269" t="s">
        <v>2859</v>
      </c>
    </row>
    <row r="5" spans="1:245">
      <c r="D5" s="1267" t="s">
        <v>2898</v>
      </c>
      <c r="T5" s="1267">
        <f>'BEA int transactions'!D8*1000000</f>
        <v>4099000000</v>
      </c>
      <c r="U5" s="1267">
        <f>'BEA int transactions'!E8*1000000</f>
        <v>2940000000</v>
      </c>
      <c r="X5" s="1267">
        <f>1000000*'BEA int transactions'!F8</f>
        <v>663000000</v>
      </c>
      <c r="AA5" s="1267">
        <f>1000000*'BEA int transactions'!G8</f>
        <v>2641000000</v>
      </c>
      <c r="AB5" s="1267">
        <f>1000000*'BEA int transactions'!H8</f>
        <v>-2145000000</v>
      </c>
      <c r="DH5" s="1267">
        <f>1000000*'BEA int transactions'!I8</f>
        <v>2294000000</v>
      </c>
      <c r="DI5" s="1267">
        <f>1000000*'BEA int transactions'!J8</f>
        <v>315000000</v>
      </c>
      <c r="DL5" s="1267">
        <f>1000000*'BEA int transactions'!K8</f>
        <v>573000000</v>
      </c>
      <c r="DO5" s="1267">
        <f>1000000*'BEA int transactions'!L8</f>
        <v>1406000000</v>
      </c>
    </row>
    <row r="6" spans="1:245">
      <c r="D6" s="1267" t="s">
        <v>2899</v>
      </c>
      <c r="T6" s="1267">
        <f>'BEA int transactions'!D9*1000000</f>
        <v>5538000000</v>
      </c>
      <c r="U6" s="1267">
        <f>'BEA int transactions'!E9*1000000</f>
        <v>2654000000</v>
      </c>
      <c r="X6" s="1267">
        <f>1000000*'BEA int transactions'!F9</f>
        <v>762000000</v>
      </c>
      <c r="AA6" s="1267">
        <f>1000000*'BEA int transactions'!G9</f>
        <v>2729000000</v>
      </c>
      <c r="AB6" s="1267">
        <f>1000000*'BEA int transactions'!H9</f>
        <v>-607000000</v>
      </c>
      <c r="DH6" s="1267">
        <f>1000000*'BEA int transactions'!I9</f>
        <v>2705000000</v>
      </c>
      <c r="DI6" s="1267">
        <f>1000000*'BEA int transactions'!J9</f>
        <v>311000000</v>
      </c>
      <c r="DL6" s="1267">
        <f>1000000*'BEA int transactions'!K9</f>
        <v>709000000</v>
      </c>
      <c r="DO6" s="1267">
        <f>1000000*'BEA int transactions'!L9</f>
        <v>1685000000</v>
      </c>
    </row>
    <row r="7" spans="1:245">
      <c r="D7" s="1267" t="s">
        <v>2900</v>
      </c>
      <c r="T7" s="1267">
        <f>'BEA int transactions'!D10*1000000</f>
        <v>4174000000</v>
      </c>
      <c r="U7" s="1267">
        <f>'BEA int transactions'!E10*1000000</f>
        <v>2851000000</v>
      </c>
      <c r="X7" s="1267">
        <f>1000000*'BEA int transactions'!F10</f>
        <v>969000000</v>
      </c>
      <c r="AA7" s="1267">
        <f>1000000*'BEA int transactions'!G10</f>
        <v>1889000000</v>
      </c>
      <c r="AB7" s="1267">
        <f>1000000*'BEA int transactions'!H10</f>
        <v>-1535000000</v>
      </c>
      <c r="DH7" s="1267">
        <f>1000000*'BEA int transactions'!I10</f>
        <v>1912000000</v>
      </c>
      <c r="DI7" s="1267">
        <f>1000000*'BEA int transactions'!J10</f>
        <v>346000000</v>
      </c>
      <c r="DL7" s="1267">
        <f>1000000*'BEA int transactions'!K10</f>
        <v>1478000000</v>
      </c>
      <c r="DO7" s="1267">
        <f>1000000*'BEA int transactions'!L10</f>
        <v>88000000</v>
      </c>
    </row>
    <row r="8" spans="1:245">
      <c r="D8" s="1267" t="s">
        <v>2901</v>
      </c>
      <c r="T8" s="1267">
        <f>'BEA int transactions'!D11*1000000</f>
        <v>7270000000</v>
      </c>
      <c r="U8" s="1267">
        <f>'BEA int transactions'!E11*1000000</f>
        <v>3483000000</v>
      </c>
      <c r="X8" s="1267">
        <f>1000000*'BEA int transactions'!F11</f>
        <v>1105000000</v>
      </c>
      <c r="AA8" s="1267">
        <f>1000000*'BEA int transactions'!G11</f>
        <v>3060000000</v>
      </c>
      <c r="AB8" s="1267">
        <f>1000000*'BEA int transactions'!H11</f>
        <v>-378000000</v>
      </c>
      <c r="DH8" s="1267">
        <f>1000000*'BEA int transactions'!I11</f>
        <v>3217000000</v>
      </c>
      <c r="DI8" s="1267">
        <f>1000000*'BEA int transactions'!J11</f>
        <v>231000000</v>
      </c>
      <c r="DL8" s="1267">
        <f>1000000*'BEA int transactions'!K11</f>
        <v>953000000</v>
      </c>
      <c r="DO8" s="1267">
        <f>1000000*'BEA int transactions'!L11</f>
        <v>2033000000</v>
      </c>
    </row>
    <row r="9" spans="1:245">
      <c r="D9" s="1267" t="s">
        <v>2902</v>
      </c>
      <c r="T9" s="1267">
        <f>'BEA int transactions'!D12*1000000</f>
        <v>9560000000</v>
      </c>
      <c r="U9" s="1267">
        <f>'BEA int transactions'!E12*1000000</f>
        <v>3759000000</v>
      </c>
      <c r="X9" s="1267">
        <f>1000000*'BEA int transactions'!F12</f>
        <v>678000000</v>
      </c>
      <c r="AA9" s="1267">
        <f>1000000*'BEA int transactions'!G12</f>
        <v>5294000000</v>
      </c>
      <c r="AB9" s="1267">
        <f>1000000*'BEA int transactions'!H12</f>
        <v>-171000000</v>
      </c>
      <c r="DH9" s="1267">
        <f>1000000*'BEA int transactions'!I12</f>
        <v>3643000000</v>
      </c>
      <c r="DI9" s="1267">
        <f>1000000*'BEA int transactions'!J12</f>
        <v>322000000</v>
      </c>
      <c r="DL9" s="1267">
        <f>1000000*'BEA int transactions'!K12</f>
        <v>201000000</v>
      </c>
      <c r="DO9" s="1267">
        <f>1000000*'BEA int transactions'!L12</f>
        <v>3120000000</v>
      </c>
    </row>
    <row r="10" spans="1:245">
      <c r="D10" s="1267" t="s">
        <v>2903</v>
      </c>
      <c r="T10" s="1267">
        <f>'BEA int transactions'!D13*1000000</f>
        <v>5715000000</v>
      </c>
      <c r="U10" s="1267">
        <f>'BEA int transactions'!E13*1000000</f>
        <v>5011000000</v>
      </c>
      <c r="X10" s="1267">
        <f>1000000*'BEA int transactions'!F13</f>
        <v>759000000</v>
      </c>
      <c r="AA10" s="1267">
        <f>1000000*'BEA int transactions'!G13</f>
        <v>1170000000</v>
      </c>
      <c r="AB10" s="1267">
        <f>1000000*'BEA int transactions'!H13</f>
        <v>-1225000000</v>
      </c>
      <c r="DH10" s="1267">
        <f>1000000*'BEA int transactions'!I13</f>
        <v>741000000</v>
      </c>
      <c r="DI10" s="1267">
        <f>1000000*'BEA int transactions'!J13</f>
        <v>414000000</v>
      </c>
      <c r="DL10" s="1267">
        <f>1000000*'BEA int transactions'!K13</f>
        <v>-630000000</v>
      </c>
      <c r="DO10" s="1267">
        <f>1000000*'BEA int transactions'!L13</f>
        <v>957000000</v>
      </c>
    </row>
    <row r="11" spans="1:245">
      <c r="D11" s="1267" t="s">
        <v>2904</v>
      </c>
      <c r="T11" s="1267">
        <f>'BEA int transactions'!D14*1000000</f>
        <v>7321000000</v>
      </c>
      <c r="U11" s="1267">
        <f>'BEA int transactions'!E14*1000000</f>
        <v>5419000000</v>
      </c>
      <c r="X11" s="1267">
        <f>1000000*'BEA int transactions'!F14</f>
        <v>720000000</v>
      </c>
      <c r="AA11" s="1267">
        <f>1000000*'BEA int transactions'!G14</f>
        <v>1752000000</v>
      </c>
      <c r="AB11" s="1267">
        <f>1000000*'BEA int transactions'!H14</f>
        <v>-570000000</v>
      </c>
      <c r="DH11" s="1267">
        <f>1000000*'BEA int transactions'!I14</f>
        <v>3661000000</v>
      </c>
      <c r="DI11" s="1267">
        <f>1000000*'BEA int transactions'!J14</f>
        <v>426000000</v>
      </c>
      <c r="DL11" s="1267">
        <f>1000000*'BEA int transactions'!K14</f>
        <v>-977000000</v>
      </c>
      <c r="DO11" s="1267">
        <f>1000000*'BEA int transactions'!L14</f>
        <v>4212000000</v>
      </c>
    </row>
    <row r="12" spans="1:245">
      <c r="D12" s="1267" t="s">
        <v>2905</v>
      </c>
      <c r="T12" s="1267">
        <f>'BEA int transactions'!D15*1000000</f>
        <v>9757000000</v>
      </c>
      <c r="U12" s="1267">
        <f>'BEA int transactions'!E15*1000000</f>
        <v>4806000000</v>
      </c>
      <c r="X12" s="1267">
        <f>1000000*'BEA int transactions'!F15</f>
        <v>1308000000</v>
      </c>
      <c r="AA12" s="1267">
        <f>1000000*'BEA int transactions'!G15</f>
        <v>3696000000</v>
      </c>
      <c r="AB12" s="1267">
        <f>1000000*'BEA int transactions'!H15</f>
        <v>-53000000</v>
      </c>
      <c r="DH12" s="1267">
        <f>1000000*'BEA int transactions'!I15</f>
        <v>7379000000</v>
      </c>
      <c r="DI12" s="1267">
        <f>1000000*'BEA int transactions'!J15</f>
        <v>698000000</v>
      </c>
      <c r="DL12" s="1267">
        <f>1000000*'BEA int transactions'!K15</f>
        <v>3144000000</v>
      </c>
      <c r="DO12" s="1267">
        <f>1000000*'BEA int transactions'!L15</f>
        <v>3537000000</v>
      </c>
    </row>
    <row r="13" spans="1:245">
      <c r="D13" s="1267" t="s">
        <v>2906</v>
      </c>
      <c r="T13" s="1267">
        <f>'BEA int transactions'!D16*1000000</f>
        <v>10977000000</v>
      </c>
      <c r="U13" s="1267">
        <f>'BEA int transactions'!E16*1000000</f>
        <v>5294000000</v>
      </c>
      <c r="X13" s="1267">
        <f>1000000*'BEA int transactions'!F16</f>
        <v>1569000000</v>
      </c>
      <c r="AA13" s="1267">
        <f>1000000*'BEA int transactions'!G16</f>
        <v>3244000000</v>
      </c>
      <c r="AB13" s="1267">
        <f>1000000*'BEA int transactions'!H16</f>
        <v>870000000</v>
      </c>
      <c r="DH13" s="1267">
        <f>1000000*'BEA int transactions'!I16</f>
        <v>9928000000</v>
      </c>
      <c r="DI13" s="1267">
        <f>1000000*'BEA int transactions'!J16</f>
        <v>808000000</v>
      </c>
      <c r="DL13" s="1267">
        <f>1000000*'BEA int transactions'!K16</f>
        <v>3780000000</v>
      </c>
      <c r="DO13" s="1267">
        <f>1000000*'BEA int transactions'!L16</f>
        <v>5340000000</v>
      </c>
      <c r="EI13" s="1279"/>
    </row>
    <row r="14" spans="1:245">
      <c r="D14" s="1267" t="s">
        <v>2907</v>
      </c>
      <c r="T14" s="1267">
        <f>'BEA int transactions'!D17*1000000</f>
        <v>11584000000</v>
      </c>
      <c r="U14" s="1267">
        <f>'BEA int transactions'!E17*1000000</f>
        <v>5960000000</v>
      </c>
      <c r="X14" s="1267">
        <f>1000000*'BEA int transactions'!F17</f>
        <v>1549000000</v>
      </c>
      <c r="AA14" s="1267">
        <f>1000000*'BEA int transactions'!G17</f>
        <v>2896000000</v>
      </c>
      <c r="AB14" s="1267">
        <f>1000000*'BEA int transactions'!H17</f>
        <v>1179000000</v>
      </c>
      <c r="DH14" s="1267">
        <f>1000000*'BEA int transactions'!I17</f>
        <v>12702000000</v>
      </c>
      <c r="DI14" s="1267">
        <f>1000000*'BEA int transactions'!J17</f>
        <v>1263000000</v>
      </c>
      <c r="DL14" s="1267">
        <f>1000000*'BEA int transactions'!K17</f>
        <v>719000000</v>
      </c>
      <c r="DO14" s="1267">
        <f>1000000*'BEA int transactions'!L17</f>
        <v>10720000000</v>
      </c>
      <c r="EI14" s="1279"/>
    </row>
    <row r="15" spans="1:245">
      <c r="D15" s="1267" t="s">
        <v>2908</v>
      </c>
      <c r="R15" s="1311"/>
      <c r="T15" s="1267">
        <f>'BEA int transactions'!D18*1000000</f>
        <v>9336000000</v>
      </c>
      <c r="U15" s="1267">
        <f>'BEA int transactions'!E18*1000000</f>
        <v>7590000000</v>
      </c>
      <c r="V15" s="1267">
        <v>5490000000</v>
      </c>
      <c r="W15" s="1267">
        <v>1000000000</v>
      </c>
      <c r="X15" s="1267">
        <f>1000000*'BEA int transactions'!F18</f>
        <v>1076000000</v>
      </c>
      <c r="Y15" s="1267">
        <v>90000000</v>
      </c>
      <c r="Z15" s="1267">
        <v>990000000</v>
      </c>
      <c r="AA15" s="1267">
        <f>1000000*'BEA int transactions'!G18</f>
        <v>3151000000</v>
      </c>
      <c r="AB15" s="1267">
        <f>1000000*'BEA int transactions'!H18</f>
        <v>-2481000000</v>
      </c>
      <c r="AD15" s="1267">
        <v>11750000000</v>
      </c>
      <c r="AF15" s="1267">
        <v>8180000000</v>
      </c>
      <c r="AG15" s="1267">
        <v>8180000000</v>
      </c>
      <c r="AH15" s="1267">
        <v>4990000000</v>
      </c>
      <c r="AI15" s="1267">
        <v>3190000000</v>
      </c>
      <c r="AN15" s="1267">
        <v>3570000000</v>
      </c>
      <c r="DH15" s="1267">
        <f>1000000*'BEA int transactions'!I18</f>
        <v>7226000000</v>
      </c>
      <c r="DI15" s="1267">
        <f>1000000*'BEA int transactions'!J18</f>
        <v>1464000000</v>
      </c>
      <c r="DJ15" s="1267">
        <v>1220000000</v>
      </c>
      <c r="DL15" s="1267">
        <f>1000000*'BEA int transactions'!K18</f>
        <v>11710000000</v>
      </c>
      <c r="DM15" s="1267">
        <v>700000000</v>
      </c>
      <c r="DN15" s="1267">
        <v>1550000000</v>
      </c>
      <c r="DO15" s="1267">
        <f>1000000*'BEA int transactions'!L18</f>
        <v>-5948000000</v>
      </c>
      <c r="DS15" s="1267">
        <v>5070000000</v>
      </c>
      <c r="DU15" s="1267">
        <v>430000000</v>
      </c>
      <c r="DV15" s="1267">
        <v>430000000</v>
      </c>
      <c r="DX15" s="1267">
        <v>430000000</v>
      </c>
      <c r="EC15" s="1267">
        <v>4640000000</v>
      </c>
      <c r="EF15" s="1279"/>
      <c r="EG15" s="1279"/>
      <c r="EH15" s="1279"/>
      <c r="EI15" s="1279"/>
      <c r="EJ15" s="1279"/>
      <c r="EK15" s="1279"/>
      <c r="EL15" s="1279"/>
      <c r="EM15" s="1279"/>
      <c r="EN15" s="1279"/>
      <c r="EO15" s="1279"/>
      <c r="GV15" s="1267">
        <f t="shared" ref="GV15:GV61" si="0">AD15-DS15</f>
        <v>6680000000</v>
      </c>
      <c r="GW15" s="1267">
        <f t="shared" ref="GW15:HD54" si="1">AF15-DU15</f>
        <v>7750000000</v>
      </c>
      <c r="GX15" s="1267">
        <f t="shared" si="1"/>
        <v>7750000000</v>
      </c>
      <c r="GY15" s="1267">
        <f t="shared" si="1"/>
        <v>4990000000</v>
      </c>
      <c r="GZ15" s="1267">
        <f t="shared" si="1"/>
        <v>2760000000</v>
      </c>
      <c r="HE15" s="1267">
        <f t="shared" ref="HE15:HE61" si="2">AN15-EC15</f>
        <v>-1070000000</v>
      </c>
    </row>
    <row r="16" spans="1:245">
      <c r="D16" s="1267" t="s">
        <v>2909</v>
      </c>
      <c r="R16" s="1311"/>
      <c r="T16" s="1267">
        <f>'BEA int transactions'!D19*1000000</f>
        <v>12474000000</v>
      </c>
      <c r="U16" s="1267">
        <f>'BEA int transactions'!E19*1000000</f>
        <v>7618000000</v>
      </c>
      <c r="V16" s="1267">
        <v>4980000000</v>
      </c>
      <c r="W16" s="1267">
        <v>640000000</v>
      </c>
      <c r="X16" s="1267">
        <f>1000000*'BEA int transactions'!F19</f>
        <v>1113000000</v>
      </c>
      <c r="Y16" s="1267">
        <v>220000000</v>
      </c>
      <c r="Z16" s="1267">
        <v>880000000</v>
      </c>
      <c r="AA16" s="1267">
        <f>1000000*'BEA int transactions'!G19</f>
        <v>6092000000</v>
      </c>
      <c r="AB16" s="1267">
        <f>1000000*'BEA int transactions'!H19</f>
        <v>-2349000000</v>
      </c>
      <c r="AD16" s="1267">
        <v>12710000000</v>
      </c>
      <c r="AF16" s="1267">
        <v>9160000000</v>
      </c>
      <c r="AG16" s="1267">
        <v>9160000000</v>
      </c>
      <c r="AH16" s="1267">
        <v>5980000000</v>
      </c>
      <c r="AI16" s="1267">
        <v>3180000000</v>
      </c>
      <c r="AN16" s="1267">
        <v>3550000000</v>
      </c>
      <c r="DH16" s="1267">
        <f>1000000*'BEA int transactions'!I19</f>
        <v>23687000000</v>
      </c>
      <c r="DI16" s="1267">
        <f>1000000*'BEA int transactions'!J19</f>
        <v>368000000</v>
      </c>
      <c r="DJ16" s="1267">
        <v>770000000</v>
      </c>
      <c r="DL16" s="1267">
        <f>1000000*'BEA int transactions'!K19</f>
        <v>28835000000</v>
      </c>
      <c r="DM16" s="1267">
        <v>840000000</v>
      </c>
      <c r="DN16" s="1267">
        <v>9090000000</v>
      </c>
      <c r="DO16" s="1267">
        <f>1000000*'BEA int transactions'!L19</f>
        <v>-5516000000</v>
      </c>
      <c r="DS16" s="1267">
        <v>4810000000</v>
      </c>
      <c r="DU16" s="1267">
        <v>540000000</v>
      </c>
      <c r="DV16" s="1267">
        <v>540000000</v>
      </c>
      <c r="DX16" s="1267">
        <v>540000000</v>
      </c>
      <c r="EC16" s="1267">
        <v>4270000000</v>
      </c>
      <c r="EF16" s="1279"/>
      <c r="EG16" s="1279"/>
      <c r="EH16" s="1279"/>
      <c r="EI16" s="1279"/>
      <c r="EJ16" s="1279"/>
      <c r="EK16" s="1279"/>
      <c r="EL16" s="1279"/>
      <c r="EM16" s="1279"/>
      <c r="EN16" s="1279"/>
      <c r="EO16" s="1279"/>
      <c r="GV16" s="1267">
        <f t="shared" si="0"/>
        <v>7900000000</v>
      </c>
      <c r="GW16" s="1267">
        <f t="shared" si="1"/>
        <v>8620000000</v>
      </c>
      <c r="GX16" s="1267">
        <f t="shared" si="1"/>
        <v>8620000000</v>
      </c>
      <c r="GY16" s="1267">
        <f t="shared" si="1"/>
        <v>5980000000</v>
      </c>
      <c r="GZ16" s="1267">
        <f t="shared" si="1"/>
        <v>2640000000</v>
      </c>
      <c r="HE16" s="1267">
        <f t="shared" si="2"/>
        <v>-720000000</v>
      </c>
    </row>
    <row r="17" spans="2:231">
      <c r="D17" s="1267" t="s">
        <v>2910</v>
      </c>
      <c r="R17" s="1311"/>
      <c r="T17" s="1267">
        <f>'BEA int transactions'!D20*1000000</f>
        <v>14497000000</v>
      </c>
      <c r="U17" s="1267">
        <f>'BEA int transactions'!E20*1000000</f>
        <v>7747000000</v>
      </c>
      <c r="V17" s="1267">
        <v>6420000000</v>
      </c>
      <c r="W17" s="1267">
        <v>910000000</v>
      </c>
      <c r="X17" s="1267">
        <f>1000000*'BEA int transactions'!F20</f>
        <v>619000000</v>
      </c>
      <c r="Y17" s="1267">
        <v>-410000000</v>
      </c>
      <c r="Z17" s="1267">
        <v>1030000000</v>
      </c>
      <c r="AA17" s="1267">
        <f>1000000*'BEA int transactions'!G20</f>
        <v>6127000000</v>
      </c>
      <c r="AB17" s="1267">
        <f>1000000*'BEA int transactions'!H20</f>
        <v>4000000</v>
      </c>
      <c r="AD17" s="1267">
        <v>14770000000</v>
      </c>
      <c r="AF17" s="1267">
        <v>10950000000</v>
      </c>
      <c r="AG17" s="1267">
        <v>10950000000</v>
      </c>
      <c r="AH17" s="1267">
        <v>6420000000</v>
      </c>
      <c r="AI17" s="1267">
        <v>4530000000</v>
      </c>
      <c r="AN17" s="1267">
        <v>3820000000</v>
      </c>
      <c r="DH17" s="1267">
        <f>1000000*'BEA int transactions'!I20</f>
        <v>22171000000</v>
      </c>
      <c r="DI17" s="1267">
        <f>1000000*'BEA int transactions'!J20</f>
        <v>948000000</v>
      </c>
      <c r="DJ17" s="1267">
        <v>1270000000</v>
      </c>
      <c r="DL17" s="1267">
        <f>1000000*'BEA int transactions'!K20</f>
        <v>13123000000</v>
      </c>
      <c r="DM17" s="1267">
        <v>2430000000</v>
      </c>
      <c r="DN17" s="1267">
        <v>11640000000</v>
      </c>
      <c r="DO17" s="1267">
        <f>1000000*'BEA int transactions'!L20</f>
        <v>8100000000</v>
      </c>
      <c r="DS17" s="1267">
        <v>5850000000</v>
      </c>
      <c r="DU17" s="1267">
        <v>570000000</v>
      </c>
      <c r="DV17" s="1267">
        <v>570000000</v>
      </c>
      <c r="DX17" s="1267">
        <v>570000000</v>
      </c>
      <c r="EC17" s="1267">
        <v>5280000000</v>
      </c>
      <c r="EF17" s="1279"/>
      <c r="EG17" s="1279"/>
      <c r="EH17" s="1279"/>
      <c r="EI17" s="1279"/>
      <c r="EJ17" s="1279"/>
      <c r="EK17" s="1279"/>
      <c r="EL17" s="1279"/>
      <c r="EM17" s="1279"/>
      <c r="EN17" s="1279"/>
      <c r="EO17" s="1279"/>
      <c r="GV17" s="1267">
        <f t="shared" si="0"/>
        <v>8920000000</v>
      </c>
      <c r="GW17" s="1267">
        <f t="shared" si="1"/>
        <v>10380000000</v>
      </c>
      <c r="GX17" s="1267">
        <f t="shared" si="1"/>
        <v>10380000000</v>
      </c>
      <c r="GY17" s="1267">
        <f t="shared" si="1"/>
        <v>6420000000</v>
      </c>
      <c r="GZ17" s="1267">
        <f t="shared" si="1"/>
        <v>3960000000</v>
      </c>
      <c r="HE17" s="1267">
        <f t="shared" si="2"/>
        <v>-1460000000</v>
      </c>
    </row>
    <row r="18" spans="2:231">
      <c r="D18" s="1267" t="s">
        <v>2911</v>
      </c>
      <c r="R18" s="1311"/>
      <c r="T18" s="1267">
        <f>'BEA int transactions'!D21*1000000</f>
        <v>22874000000</v>
      </c>
      <c r="U18" s="1267">
        <f>'BEA int transactions'!E21*1000000</f>
        <v>11353000000</v>
      </c>
      <c r="V18" s="1267">
        <v>10030000000</v>
      </c>
      <c r="W18" s="1267">
        <v>-690000000</v>
      </c>
      <c r="X18" s="1267">
        <f>1000000*'BEA int transactions'!F21</f>
        <v>672000000</v>
      </c>
      <c r="Y18" s="1267">
        <v>-210000000</v>
      </c>
      <c r="Z18" s="1267">
        <v>880000000</v>
      </c>
      <c r="AA18" s="1267">
        <f>1000000*'BEA int transactions'!G21</f>
        <v>11007000000</v>
      </c>
      <c r="AB18" s="1267">
        <f>1000000*'BEA int transactions'!H21</f>
        <v>-158000000</v>
      </c>
      <c r="AD18" s="1267">
        <v>21780000000</v>
      </c>
      <c r="AF18" s="1267">
        <v>16530000000</v>
      </c>
      <c r="AG18" s="1267">
        <v>16530000000</v>
      </c>
      <c r="AH18" s="1267">
        <v>8380000000</v>
      </c>
      <c r="AI18" s="1267">
        <v>8150000000</v>
      </c>
      <c r="AN18" s="1267">
        <v>5250000000</v>
      </c>
      <c r="DH18" s="1267">
        <f>1000000*'BEA int transactions'!I21</f>
        <v>18388000000</v>
      </c>
      <c r="DI18" s="1267">
        <f>1000000*'BEA int transactions'!J21</f>
        <v>2800000000</v>
      </c>
      <c r="DJ18" s="1267">
        <v>1930000000</v>
      </c>
      <c r="DL18" s="1267">
        <f>1000000*'BEA int transactions'!K21</f>
        <v>4790000000</v>
      </c>
      <c r="DM18" s="1267">
        <v>2760000000</v>
      </c>
      <c r="DN18" s="1267">
        <v>2060000000</v>
      </c>
      <c r="DO18" s="1267">
        <f>1000000*'BEA int transactions'!L21</f>
        <v>10798000000</v>
      </c>
      <c r="DS18" s="1267">
        <v>8950000000</v>
      </c>
      <c r="DU18" s="1267">
        <v>910000000</v>
      </c>
      <c r="DV18" s="1267">
        <v>910000000</v>
      </c>
      <c r="DX18" s="1267">
        <v>910000000</v>
      </c>
      <c r="EC18" s="1267">
        <v>8040000000</v>
      </c>
      <c r="EF18" s="1279"/>
      <c r="EG18" s="1279"/>
      <c r="EH18" s="1279"/>
      <c r="EI18" s="1279"/>
      <c r="EJ18" s="1279"/>
      <c r="EK18" s="1279"/>
      <c r="EL18" s="1279"/>
      <c r="EM18" s="1279"/>
      <c r="EN18" s="1279"/>
      <c r="EO18" s="1279"/>
      <c r="GV18" s="1267">
        <f t="shared" si="0"/>
        <v>12830000000</v>
      </c>
      <c r="GW18" s="1267">
        <f t="shared" si="1"/>
        <v>15620000000</v>
      </c>
      <c r="GX18" s="1267">
        <f t="shared" si="1"/>
        <v>15620000000</v>
      </c>
      <c r="GY18" s="1267">
        <f t="shared" si="1"/>
        <v>8380000000</v>
      </c>
      <c r="GZ18" s="1267">
        <f t="shared" si="1"/>
        <v>7240000000</v>
      </c>
      <c r="HE18" s="1267">
        <f t="shared" si="2"/>
        <v>-2790000000</v>
      </c>
    </row>
    <row r="19" spans="2:231">
      <c r="D19" s="1267" t="s">
        <v>2912</v>
      </c>
      <c r="R19" s="1311"/>
      <c r="T19" s="1267">
        <f>'BEA int transactions'!D22*1000000</f>
        <v>34745000000</v>
      </c>
      <c r="U19" s="1267">
        <f>'BEA int transactions'!E22*1000000</f>
        <v>9052000000</v>
      </c>
      <c r="V19" s="1267">
        <v>9510000000</v>
      </c>
      <c r="W19" s="1267">
        <v>-4350000000</v>
      </c>
      <c r="X19" s="1267">
        <f>1000000*'BEA int transactions'!F22</f>
        <v>1853000000</v>
      </c>
      <c r="Y19" s="1267">
        <v>-260000000</v>
      </c>
      <c r="Z19" s="1267">
        <v>2080000000</v>
      </c>
      <c r="AA19" s="1267">
        <f>1000000*'BEA int transactions'!G22</f>
        <v>22373000000</v>
      </c>
      <c r="AB19" s="1267">
        <f>1000000*'BEA int transactions'!H22</f>
        <v>1467000000</v>
      </c>
      <c r="AD19" s="1267">
        <v>27630000000</v>
      </c>
      <c r="AF19" s="1267">
        <v>19170000000</v>
      </c>
      <c r="AG19" s="1267">
        <v>19170000000</v>
      </c>
      <c r="AH19" s="1267">
        <v>11390000000</v>
      </c>
      <c r="AI19" s="1267">
        <v>7780000000</v>
      </c>
      <c r="AN19" s="1267">
        <v>8460000000</v>
      </c>
      <c r="DH19" s="1267">
        <f>1000000*'BEA int transactions'!I22</f>
        <v>35228000000</v>
      </c>
      <c r="DI19" s="1267">
        <f>1000000*'BEA int transactions'!J22</f>
        <v>4761000000</v>
      </c>
      <c r="DJ19" s="1267">
        <v>3540000000</v>
      </c>
      <c r="DL19" s="1267">
        <f>1000000*'BEA int transactions'!K22</f>
        <v>5500000000</v>
      </c>
      <c r="DM19" s="1267">
        <v>250000000</v>
      </c>
      <c r="DN19" s="1267">
        <v>1460000000</v>
      </c>
      <c r="DO19" s="1267">
        <f>1000000*'BEA int transactions'!L22</f>
        <v>24967000000</v>
      </c>
      <c r="DS19" s="1267">
        <v>12110000000</v>
      </c>
      <c r="DU19" s="1267">
        <v>1340000000</v>
      </c>
      <c r="DV19" s="1267">
        <v>1340000000</v>
      </c>
      <c r="DW19" s="1267">
        <v>270000000</v>
      </c>
      <c r="DX19" s="1267">
        <v>1070000000</v>
      </c>
      <c r="EC19" s="1267">
        <v>10770000000</v>
      </c>
      <c r="EF19" s="1279"/>
      <c r="EG19" s="1279"/>
      <c r="EH19" s="1279"/>
      <c r="EI19" s="1279"/>
      <c r="EJ19" s="1279"/>
      <c r="EK19" s="1279"/>
      <c r="EL19" s="1279"/>
      <c r="EM19" s="1279"/>
      <c r="EN19" s="1279"/>
      <c r="EO19" s="1279"/>
      <c r="GV19" s="1267">
        <f t="shared" si="0"/>
        <v>15520000000</v>
      </c>
      <c r="GW19" s="1267">
        <f t="shared" si="1"/>
        <v>17830000000</v>
      </c>
      <c r="GX19" s="1267">
        <f t="shared" si="1"/>
        <v>17830000000</v>
      </c>
      <c r="GY19" s="1267">
        <f t="shared" si="1"/>
        <v>11120000000</v>
      </c>
      <c r="GZ19" s="1267">
        <f t="shared" si="1"/>
        <v>6710000000</v>
      </c>
      <c r="HE19" s="1267">
        <f t="shared" si="2"/>
        <v>-2310000000</v>
      </c>
    </row>
    <row r="20" spans="2:231">
      <c r="D20" s="1267" t="s">
        <v>2913</v>
      </c>
      <c r="R20" s="1311"/>
      <c r="T20" s="1267">
        <f>'BEA int transactions'!D23*1000000</f>
        <v>39703000000</v>
      </c>
      <c r="U20" s="1267">
        <f>'BEA int transactions'!E23*1000000</f>
        <v>14244000000</v>
      </c>
      <c r="V20" s="1267">
        <v>9550000000</v>
      </c>
      <c r="W20" s="1267">
        <v>4180000000</v>
      </c>
      <c r="X20" s="1267">
        <f>1000000*'BEA int transactions'!F23</f>
        <v>6247000000</v>
      </c>
      <c r="Y20" s="1267">
        <v>20000000</v>
      </c>
      <c r="Z20" s="1267">
        <v>6210000000</v>
      </c>
      <c r="AA20" s="1267">
        <f>1000000*'BEA int transactions'!G23</f>
        <v>18363000000</v>
      </c>
      <c r="AB20" s="1267">
        <f>1000000*'BEA int transactions'!H23</f>
        <v>849000000</v>
      </c>
      <c r="AD20" s="1267">
        <v>25370000000</v>
      </c>
      <c r="AF20" s="1267">
        <v>16610000000</v>
      </c>
      <c r="AG20" s="1267">
        <v>16610000000</v>
      </c>
      <c r="AH20" s="1267">
        <v>8550000000</v>
      </c>
      <c r="AI20" s="1267">
        <v>8060000000</v>
      </c>
      <c r="AN20" s="1267">
        <v>8760000000</v>
      </c>
      <c r="DH20" s="1267">
        <f>1000000*'BEA int transactions'!I23</f>
        <v>16870000000</v>
      </c>
      <c r="DI20" s="1267">
        <f>1000000*'BEA int transactions'!J23</f>
        <v>2603000000</v>
      </c>
      <c r="DJ20" s="1267">
        <v>2310000000</v>
      </c>
      <c r="DL20" s="1267">
        <f>1000000*'BEA int transactions'!K23</f>
        <v>12761000000</v>
      </c>
      <c r="DM20" s="1267">
        <v>3050000000</v>
      </c>
      <c r="DN20" s="1267">
        <v>8080000000</v>
      </c>
      <c r="DO20" s="1267">
        <f>1000000*'BEA int transactions'!L23</f>
        <v>1506000000</v>
      </c>
      <c r="DS20" s="1267">
        <v>12580000000</v>
      </c>
      <c r="DU20" s="1267">
        <v>2250000000</v>
      </c>
      <c r="DV20" s="1267">
        <v>2250000000</v>
      </c>
      <c r="DW20" s="1267">
        <v>1060000000</v>
      </c>
      <c r="DX20" s="1267">
        <v>1190000000</v>
      </c>
      <c r="EC20" s="1267">
        <v>10330000000</v>
      </c>
      <c r="EF20" s="1279"/>
      <c r="EG20" s="1279"/>
      <c r="EH20" s="1279"/>
      <c r="EI20" s="1279"/>
      <c r="EJ20" s="1279"/>
      <c r="EK20" s="1279"/>
      <c r="EL20" s="1279"/>
      <c r="EM20" s="1279"/>
      <c r="EN20" s="1279"/>
      <c r="EO20" s="1279"/>
      <c r="GV20" s="1267">
        <f t="shared" si="0"/>
        <v>12790000000</v>
      </c>
      <c r="GW20" s="1267">
        <f t="shared" si="1"/>
        <v>14360000000</v>
      </c>
      <c r="GX20" s="1267">
        <f t="shared" si="1"/>
        <v>14360000000</v>
      </c>
      <c r="GY20" s="1267">
        <f t="shared" si="1"/>
        <v>7490000000</v>
      </c>
      <c r="GZ20" s="1267">
        <f t="shared" si="1"/>
        <v>6870000000</v>
      </c>
      <c r="HE20" s="1267">
        <f t="shared" si="2"/>
        <v>-1570000000</v>
      </c>
    </row>
    <row r="21" spans="2:231">
      <c r="D21" s="1267" t="s">
        <v>2914</v>
      </c>
      <c r="F21" s="1267">
        <v>371424000000</v>
      </c>
      <c r="H21" s="1267">
        <f>F21-G21</f>
        <v>371424000000</v>
      </c>
      <c r="I21" s="1267">
        <v>136743000000</v>
      </c>
      <c r="L21" s="1267">
        <v>44157000000</v>
      </c>
      <c r="M21" s="1267">
        <v>9453000000</v>
      </c>
      <c r="N21" s="1267">
        <v>34704000000</v>
      </c>
      <c r="O21" s="1267">
        <v>146430000000</v>
      </c>
      <c r="P21" s="1267">
        <v>44094000000</v>
      </c>
      <c r="R21" s="1311"/>
      <c r="T21" s="1267">
        <f>'BEA int transactions'!D24*1000000</f>
        <v>51269000000</v>
      </c>
      <c r="U21" s="1267">
        <f>'BEA int transactions'!E24*1000000</f>
        <v>11949000000</v>
      </c>
      <c r="V21" s="1267">
        <v>8730000000</v>
      </c>
      <c r="W21" s="1267">
        <v>2590000000</v>
      </c>
      <c r="X21" s="1267">
        <f>1000000*'BEA int transactions'!F24</f>
        <v>8885000000</v>
      </c>
      <c r="Y21" s="1267">
        <v>320000000</v>
      </c>
      <c r="Z21" s="1267">
        <v>8550000000</v>
      </c>
      <c r="AA21" s="1267">
        <f>1000000*'BEA int transactions'!G24</f>
        <v>27877000000</v>
      </c>
      <c r="AB21" s="1267">
        <f>1000000*'BEA int transactions'!H24</f>
        <v>2558000000</v>
      </c>
      <c r="AD21" s="1267">
        <v>29290000000</v>
      </c>
      <c r="AF21" s="1267">
        <v>19020000000</v>
      </c>
      <c r="AG21" s="1267">
        <v>19020000000</v>
      </c>
      <c r="AH21" s="1267">
        <v>11320000000</v>
      </c>
      <c r="AI21" s="1267">
        <v>7700000000</v>
      </c>
      <c r="AN21" s="1267">
        <v>10270000000</v>
      </c>
      <c r="CT21" s="1267">
        <v>290885218253.146</v>
      </c>
      <c r="CV21" s="1267">
        <f>CT21-CU21</f>
        <v>290885218253.146</v>
      </c>
      <c r="CW21" s="1267">
        <v>44158000000</v>
      </c>
      <c r="CZ21" s="1267">
        <v>153067000000</v>
      </c>
      <c r="DA21" s="1267">
        <v>47475000000</v>
      </c>
      <c r="DB21" s="1267">
        <v>105592000000</v>
      </c>
      <c r="DC21" s="1267">
        <v>93660000000</v>
      </c>
      <c r="DH21" s="1267">
        <f>1000000*'BEA int transactions'!I24</f>
        <v>37840000000</v>
      </c>
      <c r="DI21" s="1267">
        <f>1000000*'BEA int transactions'!J24</f>
        <v>4347000000</v>
      </c>
      <c r="DJ21" s="1267">
        <v>2910000000</v>
      </c>
      <c r="DL21" s="1267">
        <f>1000000*'BEA int transactions'!K24</f>
        <v>16165000000</v>
      </c>
      <c r="DM21" s="1267">
        <v>860000000</v>
      </c>
      <c r="DN21" s="1267">
        <v>11980000000</v>
      </c>
      <c r="DO21" s="1267">
        <f>1000000*'BEA int transactions'!L24</f>
        <v>17328000000</v>
      </c>
      <c r="DS21" s="1267">
        <v>13320000000</v>
      </c>
      <c r="DU21" s="1267">
        <v>3100000000</v>
      </c>
      <c r="DV21" s="1267">
        <v>3100000000</v>
      </c>
      <c r="DW21" s="1267">
        <v>1440000000</v>
      </c>
      <c r="DX21" s="1267">
        <v>1660000000</v>
      </c>
      <c r="EC21" s="1267">
        <v>10220000000</v>
      </c>
      <c r="EF21" s="1279"/>
      <c r="EG21" s="1279"/>
      <c r="EH21" s="1279"/>
      <c r="EI21" s="1279"/>
      <c r="EJ21" s="1279"/>
      <c r="EK21" s="1279"/>
      <c r="EL21" s="1279"/>
      <c r="EM21" s="1279"/>
      <c r="EN21" s="1279"/>
      <c r="EO21" s="1279"/>
      <c r="GJ21" s="1267">
        <f t="shared" ref="GJ21:GJ61" si="3">F21-CT21</f>
        <v>80538781746.854004</v>
      </c>
      <c r="GK21" s="1267">
        <f t="shared" ref="GK21:GM61" si="4">I21-CW21</f>
        <v>92585000000</v>
      </c>
      <c r="GN21" s="1267">
        <f t="shared" ref="GN21:GQ61" si="5">L21-CZ21</f>
        <v>-108910000000</v>
      </c>
      <c r="GO21" s="1267">
        <f t="shared" si="5"/>
        <v>-38022000000</v>
      </c>
      <c r="GP21" s="1267">
        <f t="shared" si="5"/>
        <v>-70888000000</v>
      </c>
      <c r="GQ21" s="1267">
        <f t="shared" si="5"/>
        <v>52770000000</v>
      </c>
      <c r="GV21" s="1267">
        <f t="shared" si="0"/>
        <v>15970000000</v>
      </c>
      <c r="GW21" s="1267">
        <f t="shared" si="1"/>
        <v>15920000000</v>
      </c>
      <c r="GX21" s="1267">
        <f t="shared" si="1"/>
        <v>15920000000</v>
      </c>
      <c r="GY21" s="1267">
        <f t="shared" si="1"/>
        <v>9880000000</v>
      </c>
      <c r="GZ21" s="1267">
        <f t="shared" si="1"/>
        <v>6040000000</v>
      </c>
      <c r="HE21" s="1267">
        <f t="shared" si="2"/>
        <v>50000000</v>
      </c>
    </row>
    <row r="22" spans="2:231">
      <c r="D22" s="1267" t="s">
        <v>2915</v>
      </c>
      <c r="F22" s="1267">
        <v>429060000000</v>
      </c>
      <c r="H22" s="1267">
        <f t="shared" ref="H22:H62" si="6">F22-G22</f>
        <v>429060000000</v>
      </c>
      <c r="I22" s="1267">
        <v>162860000000</v>
      </c>
      <c r="L22" s="1267">
        <v>49439000000</v>
      </c>
      <c r="M22" s="1267">
        <v>10110000000</v>
      </c>
      <c r="N22" s="1267">
        <v>39329000000</v>
      </c>
      <c r="O22" s="1267">
        <v>163385000000</v>
      </c>
      <c r="P22" s="1267">
        <v>53376000000</v>
      </c>
      <c r="R22" s="1311"/>
      <c r="T22" s="1267">
        <f>'BEA int transactions'!D25*1000000</f>
        <v>34785000000</v>
      </c>
      <c r="U22" s="1267">
        <f>'BEA int transactions'!E25*1000000</f>
        <v>11891000000</v>
      </c>
      <c r="V22" s="1267">
        <v>8460000000</v>
      </c>
      <c r="W22" s="1267">
        <v>2820000000</v>
      </c>
      <c r="X22" s="1267">
        <f>1000000*'BEA int transactions'!F25</f>
        <v>5459000000</v>
      </c>
      <c r="Y22" s="1267">
        <v>410000000</v>
      </c>
      <c r="Z22" s="1267">
        <v>5040000000</v>
      </c>
      <c r="AA22" s="1267">
        <f>1000000*'BEA int transactions'!G25</f>
        <v>17060000000</v>
      </c>
      <c r="AB22" s="1267">
        <f>1000000*'BEA int transactions'!H25</f>
        <v>375000000</v>
      </c>
      <c r="AD22" s="1267">
        <v>32400000000</v>
      </c>
      <c r="AF22" s="1267">
        <v>19690000000</v>
      </c>
      <c r="AG22" s="1267">
        <v>19690000000</v>
      </c>
      <c r="AH22" s="1267">
        <v>13290000000</v>
      </c>
      <c r="AI22" s="1267">
        <v>6400000000</v>
      </c>
      <c r="AN22" s="1267">
        <v>12510000000</v>
      </c>
      <c r="AR22" s="1267">
        <f t="shared" ref="AR22:AR62" si="7">H22-H21-T22</f>
        <v>22851000000</v>
      </c>
      <c r="AT22" s="1267">
        <f t="shared" ref="AT22:AZ62" si="8">I22-I21-U22</f>
        <v>14226000000</v>
      </c>
      <c r="AW22" s="1267">
        <f t="shared" ref="AW22:AZ61" si="9">L22-L21-X22</f>
        <v>-177000000</v>
      </c>
      <c r="AX22" s="1267">
        <f t="shared" si="9"/>
        <v>247000000</v>
      </c>
      <c r="AY22" s="1267">
        <f t="shared" si="9"/>
        <v>-415000000</v>
      </c>
      <c r="AZ22" s="1267">
        <f t="shared" si="9"/>
        <v>-105000000</v>
      </c>
      <c r="BX22" s="1267">
        <f t="shared" ref="BX22:BX61" si="10">AD22/F21</f>
        <v>8.7231842853450509E-2</v>
      </c>
      <c r="BY22" s="1267">
        <f t="shared" ref="BY22:BY61" si="11">AD22/H21</f>
        <v>8.7231842853450509E-2</v>
      </c>
      <c r="BZ22" s="1267">
        <f>AF22/I21</f>
        <v>0.14399274551530974</v>
      </c>
      <c r="CF22" s="1267">
        <f t="shared" ref="CF22:CF61" si="12">AN22/O21</f>
        <v>8.5433312845728332E-2</v>
      </c>
      <c r="CT22" s="1267">
        <v>330474526411.237</v>
      </c>
      <c r="CV22" s="1267">
        <f t="shared" ref="CV22:CV62" si="13">CT22-CU22</f>
        <v>330474526411.237</v>
      </c>
      <c r="CW22" s="1267">
        <v>43218000000</v>
      </c>
      <c r="CZ22" s="1267">
        <v>185303000000</v>
      </c>
      <c r="DA22" s="1267">
        <v>45129000000</v>
      </c>
      <c r="DB22" s="1267">
        <v>140174000000</v>
      </c>
      <c r="DC22" s="1267">
        <v>101954000000</v>
      </c>
      <c r="DH22" s="1267">
        <f>1000000*'BEA int transactions'!I25</f>
        <v>52770000000</v>
      </c>
      <c r="DI22" s="1267">
        <f>1000000*'BEA int transactions'!J25</f>
        <v>3728000000</v>
      </c>
      <c r="DJ22" s="1267">
        <v>2920000000</v>
      </c>
      <c r="DL22" s="1267">
        <f>1000000*'BEA int transactions'!K25</f>
        <v>37615000000</v>
      </c>
      <c r="DM22" s="1267">
        <v>1320000000</v>
      </c>
      <c r="DN22" s="1267">
        <v>28170000000</v>
      </c>
      <c r="DO22" s="1267">
        <f>1000000*'BEA int transactions'!L25</f>
        <v>11427000000</v>
      </c>
      <c r="DS22" s="1267">
        <v>14230000000</v>
      </c>
      <c r="DU22" s="1267">
        <v>2850000000</v>
      </c>
      <c r="DV22" s="1267">
        <v>2850000000</v>
      </c>
      <c r="DW22" s="1267">
        <v>1260000000</v>
      </c>
      <c r="DX22" s="1267">
        <v>1590000000</v>
      </c>
      <c r="EC22" s="1267">
        <v>11380000000</v>
      </c>
      <c r="EF22" s="1279"/>
      <c r="EG22" s="1279">
        <f>CV22-CV21-DH22</f>
        <v>-13180691841.908997</v>
      </c>
      <c r="EH22" s="1279"/>
      <c r="EI22" s="1279">
        <f>CW22-CW21-DI22</f>
        <v>-4668000000</v>
      </c>
      <c r="EJ22" s="1279"/>
      <c r="EK22" s="1279"/>
      <c r="EL22" s="1279">
        <f>CZ22-CZ21-DL22</f>
        <v>-5379000000</v>
      </c>
      <c r="EM22" s="1279">
        <f>DA22-DA21-DM22</f>
        <v>-3666000000</v>
      </c>
      <c r="EN22" s="1279">
        <f t="shared" ref="EJ22:EO37" si="14">DB22-DB21-DN22</f>
        <v>6412000000</v>
      </c>
      <c r="EO22" s="1279">
        <f>DC22-DC21-DO22</f>
        <v>-3133000000</v>
      </c>
      <c r="FP22" s="1267">
        <f>DS22/CV21</f>
        <v>4.8919639455918276E-2</v>
      </c>
      <c r="FQ22" s="1267">
        <f>DU22/CW21</f>
        <v>6.4540966529281221E-2</v>
      </c>
      <c r="FW22" s="1267">
        <f>EC22/DC21</f>
        <v>0.12150330984411702</v>
      </c>
      <c r="GJ22" s="1267">
        <f t="shared" si="3"/>
        <v>98585473588.763</v>
      </c>
      <c r="GK22" s="1267">
        <f t="shared" si="4"/>
        <v>119642000000</v>
      </c>
      <c r="GN22" s="1267">
        <f t="shared" si="5"/>
        <v>-135864000000</v>
      </c>
      <c r="GO22" s="1267">
        <f t="shared" si="5"/>
        <v>-35019000000</v>
      </c>
      <c r="GP22" s="1267">
        <f t="shared" si="5"/>
        <v>-100845000000</v>
      </c>
      <c r="GQ22" s="1267">
        <f t="shared" si="5"/>
        <v>61431000000</v>
      </c>
      <c r="GV22" s="1267">
        <f t="shared" si="0"/>
        <v>18170000000</v>
      </c>
      <c r="GW22" s="1267">
        <f t="shared" si="1"/>
        <v>16840000000</v>
      </c>
      <c r="GX22" s="1267">
        <f t="shared" si="1"/>
        <v>16840000000</v>
      </c>
      <c r="GY22" s="1267">
        <f t="shared" si="1"/>
        <v>12030000000</v>
      </c>
      <c r="GZ22" s="1267">
        <f t="shared" si="1"/>
        <v>4810000000</v>
      </c>
      <c r="HE22" s="1267">
        <f t="shared" si="2"/>
        <v>1130000000</v>
      </c>
      <c r="HL22" s="1267">
        <f>BY22-FP22</f>
        <v>3.8312203397532232E-2</v>
      </c>
      <c r="HM22" s="1267">
        <f t="shared" ref="HM22:HR37" si="15">BZ22-FQ22</f>
        <v>7.9451778986028523E-2</v>
      </c>
      <c r="HS22" s="1267">
        <f>CF22-FW22</f>
        <v>-3.6069996998388684E-2</v>
      </c>
      <c r="HU22" s="1267">
        <v>3.7773698527006412E-2</v>
      </c>
      <c r="HV22" s="1267">
        <f>((AD22-AF22)/(H21-I21))-((DS22-DU22)/(CV21-CW21))</f>
        <v>8.0348111449993695E-3</v>
      </c>
    </row>
    <row r="23" spans="2:231">
      <c r="D23" s="1267" t="s">
        <v>2916</v>
      </c>
      <c r="F23" s="1267">
        <v>526090000000</v>
      </c>
      <c r="H23" s="1267">
        <f t="shared" si="6"/>
        <v>526090000000</v>
      </c>
      <c r="I23" s="1267">
        <v>189868000000</v>
      </c>
      <c r="L23" s="1267">
        <v>58780000000</v>
      </c>
      <c r="M23" s="1267">
        <v>11236000000</v>
      </c>
      <c r="N23" s="1267">
        <v>47544000000</v>
      </c>
      <c r="O23" s="1267">
        <v>207992000000</v>
      </c>
      <c r="P23" s="1267">
        <v>69450000000</v>
      </c>
      <c r="R23" s="1311"/>
      <c r="T23" s="1267">
        <f>'BEA int transactions'!D26*1000000</f>
        <v>61130000000</v>
      </c>
      <c r="U23" s="1267">
        <f>'BEA int transactions'!E26*1000000</f>
        <v>16057000000</v>
      </c>
      <c r="V23" s="1267">
        <v>12020000000</v>
      </c>
      <c r="W23" s="1267">
        <v>2350000000</v>
      </c>
      <c r="X23" s="1267">
        <f>1000000*'BEA int transactions'!F26</f>
        <v>3626000000</v>
      </c>
      <c r="Y23" s="1267">
        <v>-520000000</v>
      </c>
      <c r="Z23" s="1267">
        <v>4150000000</v>
      </c>
      <c r="AA23" s="1267">
        <f>1000000*'BEA int transactions'!G26</f>
        <v>42179000000</v>
      </c>
      <c r="AB23" s="1267">
        <f>1000000*'BEA int transactions'!H26</f>
        <v>-732000000</v>
      </c>
      <c r="AD23" s="1267">
        <v>42470000000</v>
      </c>
      <c r="AF23" s="1267">
        <v>25480000000</v>
      </c>
      <c r="AG23" s="1267">
        <v>25480000000</v>
      </c>
      <c r="AH23" s="1267">
        <v>14130000000</v>
      </c>
      <c r="AI23" s="1267">
        <v>11350000000</v>
      </c>
      <c r="AN23" s="1267">
        <v>16770000000</v>
      </c>
      <c r="AR23" s="1267">
        <f t="shared" si="7"/>
        <v>35900000000</v>
      </c>
      <c r="AT23" s="1267">
        <f t="shared" si="8"/>
        <v>10951000000</v>
      </c>
      <c r="AW23" s="1267">
        <f t="shared" si="9"/>
        <v>5715000000</v>
      </c>
      <c r="AX23" s="1267">
        <f t="shared" si="9"/>
        <v>1646000000</v>
      </c>
      <c r="AY23" s="1267">
        <f t="shared" si="9"/>
        <v>4065000000</v>
      </c>
      <c r="AZ23" s="1267">
        <f t="shared" si="9"/>
        <v>2428000000</v>
      </c>
      <c r="BX23" s="1267">
        <f t="shared" si="10"/>
        <v>9.8983825106045781E-2</v>
      </c>
      <c r="BY23" s="1267">
        <f t="shared" si="11"/>
        <v>9.8983825106045781E-2</v>
      </c>
      <c r="BZ23" s="1267">
        <f t="shared" ref="BZ23:CA61" si="16">AF23/I22</f>
        <v>0.15645339555446397</v>
      </c>
      <c r="CF23" s="1267">
        <f t="shared" si="12"/>
        <v>0.10264100131591028</v>
      </c>
      <c r="CT23" s="1267">
        <v>397816587512.68701</v>
      </c>
      <c r="CV23" s="1267">
        <f t="shared" si="13"/>
        <v>397816587512.68701</v>
      </c>
      <c r="CW23" s="1267">
        <v>50629000000</v>
      </c>
      <c r="CZ23" s="1267">
        <v>216917000000</v>
      </c>
      <c r="DA23" s="1267">
        <v>47859000000</v>
      </c>
      <c r="DB23" s="1267">
        <v>169058000000</v>
      </c>
      <c r="DC23" s="1267">
        <v>130271000000</v>
      </c>
      <c r="DH23" s="1267">
        <f>1000000*'BEA int transactions'!I26</f>
        <v>66275000000</v>
      </c>
      <c r="DI23" s="1267">
        <f>1000000*'BEA int transactions'!J26</f>
        <v>7896000000</v>
      </c>
      <c r="DJ23" s="1267">
        <v>5500000000</v>
      </c>
      <c r="DL23" s="1267">
        <f>1000000*'BEA int transactions'!K26</f>
        <v>30083000000</v>
      </c>
      <c r="DM23" s="1267">
        <v>1310000000</v>
      </c>
      <c r="DN23" s="1267">
        <v>9420000000</v>
      </c>
      <c r="DO23" s="1267">
        <f>1000000*'BEA int transactions'!L26</f>
        <v>28296000000</v>
      </c>
      <c r="DS23" s="1267">
        <v>21680000000</v>
      </c>
      <c r="DU23" s="1267">
        <v>4210000000</v>
      </c>
      <c r="DV23" s="1267">
        <v>4210000000</v>
      </c>
      <c r="DW23" s="1267">
        <v>1620000000</v>
      </c>
      <c r="DX23" s="1267">
        <v>2590000000</v>
      </c>
      <c r="EC23" s="1267">
        <v>17470000000</v>
      </c>
      <c r="EF23" s="1279"/>
      <c r="EG23" s="1279">
        <f t="shared" ref="EG23:EG62" si="17">CV23-CV22-DH23</f>
        <v>1067061101.4500122</v>
      </c>
      <c r="EH23" s="1279"/>
      <c r="EI23" s="1279">
        <f t="shared" ref="EI23:EO60" si="18">CW23-CW22-DI23</f>
        <v>-485000000</v>
      </c>
      <c r="EJ23" s="1279"/>
      <c r="EK23" s="1279"/>
      <c r="EL23" s="1279">
        <f t="shared" si="14"/>
        <v>1531000000</v>
      </c>
      <c r="EM23" s="1279">
        <f t="shared" si="14"/>
        <v>1420000000</v>
      </c>
      <c r="EN23" s="1279">
        <f t="shared" si="14"/>
        <v>19464000000</v>
      </c>
      <c r="EO23" s="1279">
        <f t="shared" si="14"/>
        <v>21000000</v>
      </c>
      <c r="FP23" s="1267">
        <f t="shared" ref="FP23:FP62" si="19">DS23/CV22</f>
        <v>6.5602635808067605E-2</v>
      </c>
      <c r="FQ23" s="1267">
        <f t="shared" ref="FQ23:FR62" si="20">DU23/CW22</f>
        <v>9.741311490582627E-2</v>
      </c>
      <c r="FW23" s="1267">
        <f t="shared" ref="FW23:FW62" si="21">EC23/DC22</f>
        <v>0.17135178609961355</v>
      </c>
      <c r="GJ23" s="1267">
        <f t="shared" si="3"/>
        <v>128273412487.31299</v>
      </c>
      <c r="GK23" s="1267">
        <f t="shared" si="4"/>
        <v>139239000000</v>
      </c>
      <c r="GN23" s="1267">
        <f t="shared" si="5"/>
        <v>-158137000000</v>
      </c>
      <c r="GO23" s="1267">
        <f t="shared" si="5"/>
        <v>-36623000000</v>
      </c>
      <c r="GP23" s="1267">
        <f t="shared" si="5"/>
        <v>-121514000000</v>
      </c>
      <c r="GQ23" s="1267">
        <f t="shared" si="5"/>
        <v>77721000000</v>
      </c>
      <c r="GV23" s="1267">
        <f t="shared" si="0"/>
        <v>20790000000</v>
      </c>
      <c r="GW23" s="1267">
        <f t="shared" si="1"/>
        <v>21270000000</v>
      </c>
      <c r="GX23" s="1267">
        <f t="shared" si="1"/>
        <v>21270000000</v>
      </c>
      <c r="GY23" s="1267">
        <f t="shared" si="1"/>
        <v>12510000000</v>
      </c>
      <c r="GZ23" s="1267">
        <f t="shared" si="1"/>
        <v>8760000000</v>
      </c>
      <c r="HE23" s="1267">
        <f t="shared" si="2"/>
        <v>-700000000</v>
      </c>
      <c r="HL23" s="1267">
        <f t="shared" ref="HL23:HR61" si="22">BY23-FP23</f>
        <v>3.3381189297978175E-2</v>
      </c>
      <c r="HM23" s="1267">
        <f t="shared" si="15"/>
        <v>5.90402806486377E-2</v>
      </c>
      <c r="HS23" s="1267">
        <f t="shared" ref="HS23:HS61" si="23">CF23-FW23</f>
        <v>-6.8710784783703266E-2</v>
      </c>
      <c r="HU23" s="1267">
        <v>3.2868534510444261E-2</v>
      </c>
      <c r="HV23" s="1267">
        <f t="shared" ref="HV23:HV61" si="24">((AD23-AF23)/(H22-I22))-((DS23-DU23)/(CV22-CW22))</f>
        <v>3.0074714138068892E-3</v>
      </c>
    </row>
    <row r="24" spans="2:231">
      <c r="D24" s="1267" t="s">
        <v>2917</v>
      </c>
      <c r="F24" s="1267">
        <v>680460000000</v>
      </c>
      <c r="H24" s="1267">
        <f t="shared" si="6"/>
        <v>680460000000</v>
      </c>
      <c r="I24" s="1267">
        <v>230060000000</v>
      </c>
      <c r="L24" s="1267">
        <v>69869000000</v>
      </c>
      <c r="M24" s="1267">
        <v>14803000000</v>
      </c>
      <c r="N24" s="1267">
        <v>55066000000</v>
      </c>
      <c r="O24" s="1267">
        <v>237271000000</v>
      </c>
      <c r="P24" s="1267">
        <v>143260000000</v>
      </c>
      <c r="R24" s="1311"/>
      <c r="T24" s="1267">
        <f>'BEA int transactions'!D27*1000000</f>
        <v>66053000000</v>
      </c>
      <c r="U24" s="1267">
        <f>'BEA int transactions'!E27*1000000</f>
        <v>25223000000</v>
      </c>
      <c r="V24" s="1267">
        <v>21650000000</v>
      </c>
      <c r="W24" s="1267">
        <v>3070000000</v>
      </c>
      <c r="X24" s="1267">
        <f>1000000*'BEA int transactions'!F27</f>
        <v>12430000000</v>
      </c>
      <c r="Y24" s="1267">
        <v>870000000</v>
      </c>
      <c r="Z24" s="1267">
        <v>3830000000</v>
      </c>
      <c r="AA24" s="1267">
        <f>1000000*'BEA int transactions'!G27</f>
        <v>27267000000</v>
      </c>
      <c r="AB24" s="1267">
        <f>1000000*'BEA int transactions'!H27</f>
        <v>1133000000</v>
      </c>
      <c r="AD24" s="1267">
        <v>64370000000</v>
      </c>
      <c r="AF24" s="1267">
        <v>38190000000</v>
      </c>
      <c r="AG24" s="1267">
        <v>38190000000</v>
      </c>
      <c r="AH24" s="1267">
        <v>19220000000</v>
      </c>
      <c r="AI24" s="1267">
        <v>18970000000</v>
      </c>
      <c r="AN24" s="1267">
        <v>25950000000</v>
      </c>
      <c r="AR24" s="1267">
        <f t="shared" si="7"/>
        <v>88317000000</v>
      </c>
      <c r="AT24" s="1267">
        <f t="shared" si="8"/>
        <v>14969000000</v>
      </c>
      <c r="AW24" s="1267">
        <f t="shared" si="9"/>
        <v>-1341000000</v>
      </c>
      <c r="AX24" s="1267">
        <f t="shared" si="9"/>
        <v>2697000000</v>
      </c>
      <c r="AY24" s="1267">
        <f t="shared" si="9"/>
        <v>3692000000</v>
      </c>
      <c r="AZ24" s="1267">
        <f t="shared" si="9"/>
        <v>2012000000</v>
      </c>
      <c r="BX24" s="1267">
        <f t="shared" si="10"/>
        <v>0.12235549050542682</v>
      </c>
      <c r="BY24" s="1267">
        <f t="shared" si="11"/>
        <v>0.12235549050542682</v>
      </c>
      <c r="BZ24" s="1267">
        <f t="shared" si="16"/>
        <v>0.2011397391872248</v>
      </c>
      <c r="CF24" s="1267">
        <f t="shared" si="12"/>
        <v>0.12476441401592368</v>
      </c>
      <c r="CT24" s="1267">
        <v>448210439954.91199</v>
      </c>
      <c r="CV24" s="1267">
        <f t="shared" si="13"/>
        <v>448210439954.91199</v>
      </c>
      <c r="CW24" s="1267">
        <v>65751000000</v>
      </c>
      <c r="CZ24" s="1267">
        <v>208756000000</v>
      </c>
      <c r="DA24" s="1267">
        <v>55434000000</v>
      </c>
      <c r="DB24" s="1267">
        <v>153322000000</v>
      </c>
      <c r="DC24" s="1267">
        <v>173703000000</v>
      </c>
      <c r="DH24" s="1267">
        <f>1000000*'BEA int transactions'!I27</f>
        <v>40693000000</v>
      </c>
      <c r="DI24" s="1267">
        <f>1000000*'BEA int transactions'!J27</f>
        <v>11876000000</v>
      </c>
      <c r="DJ24" s="1267">
        <v>8050000000</v>
      </c>
      <c r="DL24" s="1267">
        <f>1000000*'BEA int transactions'!K27</f>
        <v>-13502000000</v>
      </c>
      <c r="DM24" s="1267">
        <v>1050000000</v>
      </c>
      <c r="DN24" s="1267">
        <v>4320000000</v>
      </c>
      <c r="DO24" s="1267">
        <f>1000000*'BEA int transactions'!L27</f>
        <v>42319000000</v>
      </c>
      <c r="DS24" s="1267">
        <v>32960000000</v>
      </c>
      <c r="DU24" s="1267">
        <v>6360000000</v>
      </c>
      <c r="DV24" s="1267">
        <v>6360000000</v>
      </c>
      <c r="DW24" s="1267">
        <v>2400000000</v>
      </c>
      <c r="DX24" s="1267">
        <v>3960000000</v>
      </c>
      <c r="EC24" s="1267">
        <v>26600000000</v>
      </c>
      <c r="EF24" s="1279"/>
      <c r="EG24" s="1279">
        <f t="shared" si="17"/>
        <v>9700852442.2249756</v>
      </c>
      <c r="EH24" s="1279"/>
      <c r="EI24" s="1279">
        <f t="shared" si="18"/>
        <v>3246000000</v>
      </c>
      <c r="EJ24" s="1279"/>
      <c r="EK24" s="1279"/>
      <c r="EL24" s="1279">
        <f t="shared" si="14"/>
        <v>5341000000</v>
      </c>
      <c r="EM24" s="1279">
        <f t="shared" si="14"/>
        <v>6525000000</v>
      </c>
      <c r="EN24" s="1279">
        <f t="shared" si="14"/>
        <v>-20056000000</v>
      </c>
      <c r="EO24" s="1279">
        <f t="shared" si="14"/>
        <v>1113000000</v>
      </c>
      <c r="FP24" s="1267">
        <f t="shared" si="19"/>
        <v>8.2852251601873816E-2</v>
      </c>
      <c r="FQ24" s="1267">
        <f t="shared" si="20"/>
        <v>0.12561970412214343</v>
      </c>
      <c r="FW24" s="1267">
        <f t="shared" si="21"/>
        <v>0.20418972756791612</v>
      </c>
      <c r="GJ24" s="1267">
        <f t="shared" si="3"/>
        <v>232249560045.08801</v>
      </c>
      <c r="GK24" s="1267">
        <f t="shared" si="4"/>
        <v>164309000000</v>
      </c>
      <c r="GN24" s="1267">
        <f t="shared" si="5"/>
        <v>-138887000000</v>
      </c>
      <c r="GO24" s="1267">
        <f t="shared" si="5"/>
        <v>-40631000000</v>
      </c>
      <c r="GP24" s="1267">
        <f t="shared" si="5"/>
        <v>-98256000000</v>
      </c>
      <c r="GQ24" s="1267">
        <f t="shared" si="5"/>
        <v>63568000000</v>
      </c>
      <c r="GV24" s="1267">
        <f t="shared" si="0"/>
        <v>31410000000</v>
      </c>
      <c r="GW24" s="1267">
        <f t="shared" si="1"/>
        <v>31830000000</v>
      </c>
      <c r="GX24" s="1267">
        <f t="shared" si="1"/>
        <v>31830000000</v>
      </c>
      <c r="GY24" s="1267">
        <f t="shared" si="1"/>
        <v>16820000000</v>
      </c>
      <c r="GZ24" s="1267">
        <f t="shared" si="1"/>
        <v>15010000000</v>
      </c>
      <c r="HE24" s="1267">
        <f t="shared" si="2"/>
        <v>-650000000</v>
      </c>
      <c r="HL24" s="1267">
        <f t="shared" si="22"/>
        <v>3.9503238903553006E-2</v>
      </c>
      <c r="HM24" s="1267">
        <f t="shared" si="15"/>
        <v>7.552003506508137E-2</v>
      </c>
      <c r="HS24" s="1267">
        <f t="shared" si="23"/>
        <v>-7.9425313551992435E-2</v>
      </c>
      <c r="HU24" s="1267">
        <v>3.906613725768987E-2</v>
      </c>
      <c r="HV24" s="1267">
        <f t="shared" si="24"/>
        <v>1.2495777491659532E-3</v>
      </c>
    </row>
    <row r="25" spans="2:231">
      <c r="B25" s="1267">
        <f>(I25+L25+O25)/F25</f>
        <v>0.79571508420501902</v>
      </c>
      <c r="D25" s="1267" t="s">
        <v>2918</v>
      </c>
      <c r="F25" s="1267">
        <v>839083000000</v>
      </c>
      <c r="H25" s="1267">
        <f t="shared" si="6"/>
        <v>839083000000</v>
      </c>
      <c r="I25" s="1267">
        <v>297349000000</v>
      </c>
      <c r="L25" s="1267">
        <v>78028000000</v>
      </c>
      <c r="M25" s="1267">
        <v>18930000000</v>
      </c>
      <c r="N25" s="1267">
        <v>59098000000</v>
      </c>
      <c r="O25" s="1267">
        <v>292294000000</v>
      </c>
      <c r="P25" s="1267">
        <v>171412000000</v>
      </c>
      <c r="R25" s="1311"/>
      <c r="T25" s="1267">
        <f>'BEA int transactions'!D28*1000000</f>
        <v>86968000000</v>
      </c>
      <c r="U25" s="1267">
        <f>'BEA int transactions'!E28*1000000</f>
        <v>19222000000</v>
      </c>
      <c r="V25" s="1267">
        <v>20090000000</v>
      </c>
      <c r="W25" s="1267">
        <v>-1050000000</v>
      </c>
      <c r="X25" s="1267">
        <f>1000000*'BEA int transactions'!F28</f>
        <v>6042000000</v>
      </c>
      <c r="Y25" s="1267">
        <v>2450000000</v>
      </c>
      <c r="Z25" s="1267">
        <v>1120000000</v>
      </c>
      <c r="AA25" s="1267">
        <f>1000000*'BEA int transactions'!G28</f>
        <v>53550000000</v>
      </c>
      <c r="AB25" s="1267">
        <f>1000000*'BEA int transactions'!H28</f>
        <v>8154000000</v>
      </c>
      <c r="AD25" s="1267">
        <v>72670000000</v>
      </c>
      <c r="AF25" s="1267">
        <v>37140000000</v>
      </c>
      <c r="AG25" s="1267">
        <v>37140000000</v>
      </c>
      <c r="AH25" s="1267">
        <v>20130000000</v>
      </c>
      <c r="AI25" s="1267">
        <v>17010000000</v>
      </c>
      <c r="AN25" s="1267">
        <v>35450000000</v>
      </c>
      <c r="AR25" s="1267">
        <f t="shared" si="7"/>
        <v>71655000000</v>
      </c>
      <c r="AT25" s="1267">
        <f t="shared" si="8"/>
        <v>48067000000</v>
      </c>
      <c r="AW25" s="1267">
        <f t="shared" si="9"/>
        <v>2117000000</v>
      </c>
      <c r="AX25" s="1267">
        <f t="shared" si="9"/>
        <v>1677000000</v>
      </c>
      <c r="AY25" s="1267">
        <f t="shared" si="9"/>
        <v>2912000000</v>
      </c>
      <c r="AZ25" s="1267">
        <f t="shared" si="9"/>
        <v>1473000000</v>
      </c>
      <c r="BX25" s="1267">
        <f t="shared" si="10"/>
        <v>0.10679540310966111</v>
      </c>
      <c r="BY25" s="1267">
        <f t="shared" si="11"/>
        <v>0.10679540310966111</v>
      </c>
      <c r="BZ25" s="1267">
        <f t="shared" si="16"/>
        <v>0.16143614709206294</v>
      </c>
      <c r="CF25" s="1267">
        <f t="shared" si="12"/>
        <v>0.14940721790695027</v>
      </c>
      <c r="CT25" s="1267">
        <v>542221498310.27698</v>
      </c>
      <c r="CV25" s="1267">
        <f t="shared" si="13"/>
        <v>542221498310.27698</v>
      </c>
      <c r="CW25" s="1267">
        <v>99867000000</v>
      </c>
      <c r="CZ25" s="1267">
        <v>242620000000</v>
      </c>
      <c r="DA25" s="1267">
        <v>74586000000</v>
      </c>
      <c r="DB25" s="1267">
        <v>168034000000</v>
      </c>
      <c r="DC25" s="1267">
        <v>199734000000</v>
      </c>
      <c r="DH25" s="1267">
        <f>1000000*'BEA int transactions'!I28</f>
        <v>62036000000</v>
      </c>
      <c r="DI25" s="1267">
        <f>1000000*'BEA int transactions'!J28</f>
        <v>16918000000</v>
      </c>
      <c r="DJ25" s="1267">
        <v>14210000000</v>
      </c>
      <c r="DK25" s="1267">
        <v>2530000000</v>
      </c>
      <c r="DL25" s="1267">
        <f>1000000*'BEA int transactions'!K28</f>
        <v>23825000000</v>
      </c>
      <c r="DM25" s="1267">
        <v>4240000000</v>
      </c>
      <c r="DN25" s="1267">
        <v>9910000000</v>
      </c>
      <c r="DO25" s="1267">
        <f>1000000*'BEA int transactions'!L28</f>
        <v>21293000000</v>
      </c>
      <c r="DS25" s="1267">
        <v>42540000000</v>
      </c>
      <c r="DU25" s="1267">
        <v>8640000000</v>
      </c>
      <c r="DV25" s="1267">
        <v>8640000000</v>
      </c>
      <c r="DW25" s="1267">
        <v>3460000000</v>
      </c>
      <c r="DX25" s="1267">
        <v>5180000000</v>
      </c>
      <c r="EC25" s="1267">
        <v>33900000000</v>
      </c>
      <c r="EF25" s="1279"/>
      <c r="EG25" s="1279">
        <f t="shared" si="17"/>
        <v>31975058355.36499</v>
      </c>
      <c r="EH25" s="1279"/>
      <c r="EI25" s="1279">
        <f t="shared" si="18"/>
        <v>17198000000</v>
      </c>
      <c r="EJ25" s="1279"/>
      <c r="EK25" s="1279"/>
      <c r="EL25" s="1279">
        <f t="shared" si="14"/>
        <v>10039000000</v>
      </c>
      <c r="EM25" s="1279">
        <f t="shared" si="14"/>
        <v>14912000000</v>
      </c>
      <c r="EN25" s="1279">
        <f t="shared" si="14"/>
        <v>4802000000</v>
      </c>
      <c r="EO25" s="1279">
        <f t="shared" si="14"/>
        <v>4738000000</v>
      </c>
      <c r="FP25" s="1267">
        <f t="shared" si="19"/>
        <v>9.4910774510917992E-2</v>
      </c>
      <c r="FQ25" s="1267">
        <f t="shared" si="20"/>
        <v>0.13140484555367979</v>
      </c>
      <c r="FW25" s="1267">
        <f t="shared" si="21"/>
        <v>0.19516070534187666</v>
      </c>
      <c r="GJ25" s="1267">
        <f t="shared" si="3"/>
        <v>296861501689.72302</v>
      </c>
      <c r="GK25" s="1267">
        <f t="shared" si="4"/>
        <v>197482000000</v>
      </c>
      <c r="GN25" s="1267">
        <f t="shared" si="5"/>
        <v>-164592000000</v>
      </c>
      <c r="GO25" s="1267">
        <f t="shared" si="5"/>
        <v>-55656000000</v>
      </c>
      <c r="GP25" s="1267">
        <f t="shared" si="5"/>
        <v>-108936000000</v>
      </c>
      <c r="GQ25" s="1267">
        <f t="shared" si="5"/>
        <v>92560000000</v>
      </c>
      <c r="GV25" s="1267">
        <f t="shared" si="0"/>
        <v>30130000000</v>
      </c>
      <c r="GW25" s="1267">
        <f t="shared" si="1"/>
        <v>28500000000</v>
      </c>
      <c r="GX25" s="1267">
        <f t="shared" si="1"/>
        <v>28500000000</v>
      </c>
      <c r="GY25" s="1267">
        <f t="shared" si="1"/>
        <v>16670000000</v>
      </c>
      <c r="GZ25" s="1267">
        <f t="shared" si="1"/>
        <v>11830000000</v>
      </c>
      <c r="HE25" s="1267">
        <f t="shared" si="2"/>
        <v>1550000000</v>
      </c>
      <c r="HL25" s="1267">
        <f t="shared" si="22"/>
        <v>1.1884628598743119E-2</v>
      </c>
      <c r="HM25" s="1267">
        <f t="shared" si="15"/>
        <v>3.0031301538383154E-2</v>
      </c>
      <c r="HS25" s="1267">
        <f t="shared" si="23"/>
        <v>-4.5753487434926382E-2</v>
      </c>
      <c r="HU25" s="1267">
        <v>1.1766967908177176E-2</v>
      </c>
      <c r="HV25" s="1267">
        <f t="shared" si="24"/>
        <v>-9.7514148041535492E-3</v>
      </c>
    </row>
    <row r="26" spans="2:231">
      <c r="D26" s="1267" t="s">
        <v>2919</v>
      </c>
      <c r="F26" s="1267">
        <v>832943000000</v>
      </c>
      <c r="H26" s="1267">
        <f t="shared" si="6"/>
        <v>832943000000</v>
      </c>
      <c r="I26" s="1267">
        <v>239080000000</v>
      </c>
      <c r="L26" s="1267">
        <v>88494000000</v>
      </c>
      <c r="M26" s="1267">
        <v>16467000000</v>
      </c>
      <c r="N26" s="1267">
        <v>72027000000</v>
      </c>
      <c r="O26" s="1267">
        <v>380801000000</v>
      </c>
      <c r="P26" s="1267">
        <v>124568000000</v>
      </c>
      <c r="R26" s="1311"/>
      <c r="T26" s="1267">
        <f>'BEA int transactions'!D29*1000000</f>
        <v>114147000000</v>
      </c>
      <c r="U26" s="1267">
        <f>'BEA int transactions'!E29*1000000</f>
        <v>9624000000</v>
      </c>
      <c r="V26" s="1267">
        <v>13560000000</v>
      </c>
      <c r="W26" s="1267">
        <v>-3450000000</v>
      </c>
      <c r="X26" s="1267">
        <f>1000000*'BEA int transactions'!F29</f>
        <v>15650000000</v>
      </c>
      <c r="Y26" s="1267">
        <v>190000000</v>
      </c>
      <c r="Z26" s="1267">
        <v>5510000000</v>
      </c>
      <c r="AA26" s="1267">
        <f>1000000*'BEA int transactions'!G29</f>
        <v>83697000000</v>
      </c>
      <c r="AB26" s="1267">
        <f>1000000*'BEA int transactions'!H29</f>
        <v>5176000000</v>
      </c>
      <c r="AD26" s="1267">
        <v>86650000000</v>
      </c>
      <c r="AF26" s="1267">
        <v>32570000000</v>
      </c>
      <c r="AG26" s="1267">
        <v>32570000000</v>
      </c>
      <c r="AH26" s="1267">
        <v>19030000000</v>
      </c>
      <c r="AI26" s="1267">
        <v>13540000000</v>
      </c>
      <c r="AN26" s="1267">
        <v>54000000000</v>
      </c>
      <c r="AR26" s="1267">
        <f t="shared" si="7"/>
        <v>-120287000000</v>
      </c>
      <c r="AT26" s="1267">
        <f t="shared" si="8"/>
        <v>-67893000000</v>
      </c>
      <c r="AW26" s="1267">
        <f t="shared" si="9"/>
        <v>-5184000000</v>
      </c>
      <c r="AX26" s="1267">
        <f t="shared" si="9"/>
        <v>-2653000000</v>
      </c>
      <c r="AY26" s="1267">
        <f t="shared" si="9"/>
        <v>7419000000</v>
      </c>
      <c r="AZ26" s="1267">
        <f t="shared" si="9"/>
        <v>4810000000</v>
      </c>
      <c r="BX26" s="1267">
        <f t="shared" si="10"/>
        <v>0.10326749558744487</v>
      </c>
      <c r="BY26" s="1267">
        <f t="shared" si="11"/>
        <v>0.10326749558744487</v>
      </c>
      <c r="BZ26" s="1267">
        <f t="shared" si="16"/>
        <v>0.10953458730313537</v>
      </c>
      <c r="CF26" s="1267">
        <f t="shared" si="12"/>
        <v>0.18474549597323242</v>
      </c>
      <c r="CT26" s="1267">
        <v>605950830744.35205</v>
      </c>
      <c r="CV26" s="1267">
        <f t="shared" si="13"/>
        <v>605950830744.35205</v>
      </c>
      <c r="CW26" s="1267">
        <v>109292000000</v>
      </c>
      <c r="CZ26" s="1267">
        <v>253037000000</v>
      </c>
      <c r="DA26" s="1267">
        <v>74683000000</v>
      </c>
      <c r="DB26" s="1267">
        <v>178354000000</v>
      </c>
      <c r="DC26" s="1267">
        <v>243622000000</v>
      </c>
      <c r="DH26" s="1267">
        <f>1000000*'BEA int transactions'!I29</f>
        <v>85684000000</v>
      </c>
      <c r="DI26" s="1267">
        <f>1000000*'BEA int transactions'!J29</f>
        <v>25196000000</v>
      </c>
      <c r="DJ26" s="1267">
        <v>17740000000</v>
      </c>
      <c r="DK26" s="1267">
        <v>7940000000</v>
      </c>
      <c r="DL26" s="1267">
        <f>1000000*'BEA int transactions'!K29</f>
        <v>17509000000</v>
      </c>
      <c r="DM26" s="1267">
        <v>4820000000</v>
      </c>
      <c r="DN26" s="1267">
        <v>16330000000</v>
      </c>
      <c r="DO26" s="1267">
        <f>1000000*'BEA int transactions'!L29</f>
        <v>42979000000</v>
      </c>
      <c r="DS26" s="1267">
        <v>53610000000</v>
      </c>
      <c r="DU26" s="1267">
        <v>6870000000</v>
      </c>
      <c r="DV26" s="1267">
        <v>6870000000</v>
      </c>
      <c r="DW26" s="1267">
        <v>3930000000</v>
      </c>
      <c r="DX26" s="1267">
        <v>2940000000</v>
      </c>
      <c r="EC26" s="1267">
        <v>46740000000</v>
      </c>
      <c r="EF26" s="1279"/>
      <c r="EG26" s="1279">
        <f t="shared" si="17"/>
        <v>-21954667565.924927</v>
      </c>
      <c r="EH26" s="1279"/>
      <c r="EI26" s="1279">
        <f>CW26-CW25-DI26</f>
        <v>-15771000000</v>
      </c>
      <c r="EJ26" s="1279"/>
      <c r="EK26" s="1279"/>
      <c r="EL26" s="1279">
        <f t="shared" si="14"/>
        <v>-7092000000</v>
      </c>
      <c r="EM26" s="1279">
        <f t="shared" si="14"/>
        <v>-4723000000</v>
      </c>
      <c r="EN26" s="1279">
        <f t="shared" si="14"/>
        <v>-6010000000</v>
      </c>
      <c r="EO26" s="1279">
        <f t="shared" si="14"/>
        <v>909000000</v>
      </c>
      <c r="FP26" s="1267">
        <f t="shared" si="19"/>
        <v>9.8871033640430456E-2</v>
      </c>
      <c r="FQ26" s="1267">
        <f t="shared" si="20"/>
        <v>6.8791492685271405E-2</v>
      </c>
      <c r="FW26" s="1267">
        <f t="shared" si="21"/>
        <v>0.2340112349424735</v>
      </c>
      <c r="GJ26" s="1267">
        <f t="shared" si="3"/>
        <v>226992169255.64795</v>
      </c>
      <c r="GK26" s="1267">
        <f t="shared" si="4"/>
        <v>129788000000</v>
      </c>
      <c r="GN26" s="1267">
        <f t="shared" si="5"/>
        <v>-164543000000</v>
      </c>
      <c r="GO26" s="1267">
        <f t="shared" si="5"/>
        <v>-58216000000</v>
      </c>
      <c r="GP26" s="1267">
        <f t="shared" si="5"/>
        <v>-106327000000</v>
      </c>
      <c r="GQ26" s="1267">
        <f t="shared" si="5"/>
        <v>137179000000</v>
      </c>
      <c r="GV26" s="1267">
        <f t="shared" si="0"/>
        <v>33040000000</v>
      </c>
      <c r="GW26" s="1267">
        <f t="shared" si="1"/>
        <v>25700000000</v>
      </c>
      <c r="GX26" s="1267">
        <f t="shared" si="1"/>
        <v>25700000000</v>
      </c>
      <c r="GY26" s="1267">
        <f t="shared" si="1"/>
        <v>15100000000</v>
      </c>
      <c r="GZ26" s="1267">
        <f t="shared" si="1"/>
        <v>10600000000</v>
      </c>
      <c r="HE26" s="1267">
        <f t="shared" si="2"/>
        <v>7260000000</v>
      </c>
      <c r="HL26" s="1267">
        <f t="shared" si="22"/>
        <v>4.3964619470144156E-3</v>
      </c>
      <c r="HM26" s="1267">
        <f t="shared" si="15"/>
        <v>4.0743094617863962E-2</v>
      </c>
      <c r="HS26" s="1267">
        <f t="shared" si="23"/>
        <v>-4.926573896924108E-2</v>
      </c>
      <c r="HU26" s="1267">
        <v>4.3010289057461709E-3</v>
      </c>
      <c r="HV26" s="1267">
        <f t="shared" si="24"/>
        <v>-5.8342714379321647E-3</v>
      </c>
    </row>
    <row r="27" spans="2:231">
      <c r="D27" s="1267" t="s">
        <v>2920</v>
      </c>
      <c r="F27" s="1267">
        <v>1030358000000</v>
      </c>
      <c r="H27" s="1267">
        <f t="shared" si="6"/>
        <v>1030358000000</v>
      </c>
      <c r="I27" s="1267">
        <v>295981000000</v>
      </c>
      <c r="J27" s="1267">
        <v>227369000000</v>
      </c>
      <c r="K27" s="1267">
        <v>68612000000</v>
      </c>
      <c r="L27" s="1267">
        <v>104809000000</v>
      </c>
      <c r="M27" s="1267">
        <v>17442000000</v>
      </c>
      <c r="N27" s="1267">
        <v>87367000000</v>
      </c>
      <c r="O27" s="1267">
        <v>486123000000</v>
      </c>
      <c r="P27" s="1267">
        <v>143445000000</v>
      </c>
      <c r="R27" s="1311"/>
      <c r="T27" s="1267">
        <f>'BEA int transactions'!D30*1000000</f>
        <v>142722000000</v>
      </c>
      <c r="U27" s="1267">
        <f>'BEA int transactions'!E30*1000000</f>
        <v>19397000000</v>
      </c>
      <c r="V27" s="1267">
        <v>12450000000</v>
      </c>
      <c r="W27" s="1267">
        <v>-4676000000</v>
      </c>
      <c r="X27" s="1267">
        <f>1000000*'BEA int transactions'!F30</f>
        <v>12395000000</v>
      </c>
      <c r="Y27" s="1267">
        <v>1370000000</v>
      </c>
      <c r="Z27" s="1267">
        <v>6610000000</v>
      </c>
      <c r="AA27" s="1267">
        <f>1000000*'BEA int transactions'!G30</f>
        <v>105965000000</v>
      </c>
      <c r="AB27" s="1267">
        <f>1000000*'BEA int transactions'!H30</f>
        <v>4965000000</v>
      </c>
      <c r="AD27" s="1267">
        <v>86320000000</v>
      </c>
      <c r="AF27" s="1267">
        <v>23940000000</v>
      </c>
      <c r="AG27" s="1267">
        <v>23940000000</v>
      </c>
      <c r="AH27" s="1267">
        <v>21200000000</v>
      </c>
      <c r="AI27" s="1267">
        <v>2740000000</v>
      </c>
      <c r="AN27" s="1267">
        <v>62300000000</v>
      </c>
      <c r="AR27" s="1267">
        <f t="shared" si="7"/>
        <v>54693000000</v>
      </c>
      <c r="AT27" s="1267">
        <f t="shared" si="8"/>
        <v>37504000000</v>
      </c>
      <c r="AW27" s="1267">
        <f t="shared" si="9"/>
        <v>3920000000</v>
      </c>
      <c r="AX27" s="1267">
        <f t="shared" si="9"/>
        <v>-395000000</v>
      </c>
      <c r="AY27" s="1267">
        <f t="shared" si="9"/>
        <v>8730000000</v>
      </c>
      <c r="AZ27" s="1267">
        <f t="shared" si="9"/>
        <v>-643000000</v>
      </c>
      <c r="BX27" s="1267">
        <f t="shared" si="10"/>
        <v>0.10363254148243037</v>
      </c>
      <c r="BY27" s="1267">
        <f t="shared" si="11"/>
        <v>0.10363254148243037</v>
      </c>
      <c r="BZ27" s="1267">
        <f t="shared" si="16"/>
        <v>0.10013384641124309</v>
      </c>
      <c r="CF27" s="1267">
        <f t="shared" si="12"/>
        <v>0.16360251154802641</v>
      </c>
      <c r="CT27" s="1267">
        <v>791991708068.57397</v>
      </c>
      <c r="CV27" s="1267">
        <f t="shared" si="13"/>
        <v>791991708068.57397</v>
      </c>
      <c r="CW27" s="1267">
        <v>199771000000</v>
      </c>
      <c r="CX27" s="1267">
        <v>99192000000</v>
      </c>
      <c r="CY27" s="1267">
        <v>100579000000</v>
      </c>
      <c r="CZ27" s="1267">
        <v>289863000000</v>
      </c>
      <c r="DA27" s="1267">
        <v>88324000000</v>
      </c>
      <c r="DB27" s="1267">
        <v>201539000000</v>
      </c>
      <c r="DC27" s="1267">
        <v>302358000000</v>
      </c>
      <c r="DH27" s="1267">
        <f>1000000*'BEA int transactions'!I30</f>
        <v>109897000000</v>
      </c>
      <c r="DI27" s="1267">
        <f>1000000*'BEA int transactions'!J30</f>
        <v>27475000000</v>
      </c>
      <c r="DJ27" s="1267">
        <v>6030000000</v>
      </c>
      <c r="DK27" s="1267">
        <v>15200000000</v>
      </c>
      <c r="DL27" s="1267">
        <f>1000000*'BEA int transactions'!K30</f>
        <v>19695000000</v>
      </c>
      <c r="DM27" s="1267">
        <v>3310000000</v>
      </c>
      <c r="DN27" s="1267">
        <v>14180000000</v>
      </c>
      <c r="DO27" s="1267">
        <f>1000000*'BEA int transactions'!L30</f>
        <v>62727000000</v>
      </c>
      <c r="DS27" s="1267">
        <v>56420000000</v>
      </c>
      <c r="DU27" s="1267">
        <v>1950000000</v>
      </c>
      <c r="DV27" s="1267">
        <v>1950000000</v>
      </c>
      <c r="DW27" s="1267">
        <v>5650000000</v>
      </c>
      <c r="DX27" s="1267">
        <v>-3700000000</v>
      </c>
      <c r="EC27" s="1267">
        <v>54470000000</v>
      </c>
      <c r="EF27" s="1279"/>
      <c r="EG27" s="1279">
        <f t="shared" si="17"/>
        <v>76143877324.221924</v>
      </c>
      <c r="EH27" s="1279"/>
      <c r="EI27" s="1279">
        <f t="shared" si="18"/>
        <v>63004000000</v>
      </c>
      <c r="EJ27" s="1279"/>
      <c r="EK27" s="1279"/>
      <c r="EL27" s="1279">
        <f t="shared" si="14"/>
        <v>17131000000</v>
      </c>
      <c r="EM27" s="1279">
        <f t="shared" si="14"/>
        <v>10331000000</v>
      </c>
      <c r="EN27" s="1279">
        <f t="shared" si="14"/>
        <v>9005000000</v>
      </c>
      <c r="EO27" s="1279">
        <f t="shared" si="14"/>
        <v>-3991000000</v>
      </c>
      <c r="FP27" s="1267">
        <f t="shared" si="19"/>
        <v>9.3109864922032506E-2</v>
      </c>
      <c r="FQ27" s="1267">
        <f t="shared" si="20"/>
        <v>1.7842111041979285E-2</v>
      </c>
      <c r="FW27" s="1267">
        <f t="shared" si="21"/>
        <v>0.22358407697170207</v>
      </c>
      <c r="GJ27" s="1267">
        <f t="shared" si="3"/>
        <v>238366291931.42603</v>
      </c>
      <c r="GK27" s="1267">
        <f t="shared" si="4"/>
        <v>96210000000</v>
      </c>
      <c r="GL27" s="1267">
        <f t="shared" si="4"/>
        <v>128177000000</v>
      </c>
      <c r="GM27" s="1267">
        <f t="shared" si="4"/>
        <v>-31967000000</v>
      </c>
      <c r="GN27" s="1267">
        <f t="shared" si="5"/>
        <v>-185054000000</v>
      </c>
      <c r="GO27" s="1267">
        <f t="shared" si="5"/>
        <v>-70882000000</v>
      </c>
      <c r="GP27" s="1267">
        <f t="shared" si="5"/>
        <v>-114172000000</v>
      </c>
      <c r="GQ27" s="1267">
        <f t="shared" si="5"/>
        <v>183765000000</v>
      </c>
      <c r="GV27" s="1267">
        <f t="shared" si="0"/>
        <v>29900000000</v>
      </c>
      <c r="GW27" s="1267">
        <f t="shared" si="1"/>
        <v>21990000000</v>
      </c>
      <c r="GX27" s="1267">
        <f t="shared" si="1"/>
        <v>21990000000</v>
      </c>
      <c r="GY27" s="1267">
        <f t="shared" si="1"/>
        <v>15550000000</v>
      </c>
      <c r="GZ27" s="1267">
        <f t="shared" si="1"/>
        <v>6440000000</v>
      </c>
      <c r="HE27" s="1267">
        <f t="shared" si="2"/>
        <v>7830000000</v>
      </c>
      <c r="HL27" s="1267">
        <f t="shared" si="22"/>
        <v>1.0522676560397862E-2</v>
      </c>
      <c r="HM27" s="1267">
        <f t="shared" si="15"/>
        <v>8.2291735369263805E-2</v>
      </c>
      <c r="HS27" s="1267">
        <f t="shared" si="23"/>
        <v>-5.9981565423675665E-2</v>
      </c>
      <c r="HU27" s="1267">
        <v>1.0426657580590568E-2</v>
      </c>
      <c r="HV27" s="1267">
        <f t="shared" si="24"/>
        <v>-4.6318095922041752E-3</v>
      </c>
    </row>
    <row r="28" spans="2:231">
      <c r="D28" s="1267" t="s">
        <v>2921</v>
      </c>
      <c r="F28" s="1267">
        <v>1206656000000</v>
      </c>
      <c r="H28" s="1267">
        <f t="shared" si="6"/>
        <v>1206656000000</v>
      </c>
      <c r="I28" s="1267">
        <v>351325000000</v>
      </c>
      <c r="J28" s="1267">
        <v>285799000000</v>
      </c>
      <c r="K28" s="1267">
        <v>65526000000</v>
      </c>
      <c r="L28" s="1267">
        <v>110787000000</v>
      </c>
      <c r="M28" s="1267">
        <v>26154000000</v>
      </c>
      <c r="N28" s="1267">
        <v>84633000000</v>
      </c>
      <c r="O28" s="1267">
        <v>621434000000</v>
      </c>
      <c r="P28" s="1267">
        <v>123110000000</v>
      </c>
      <c r="R28" s="1311"/>
      <c r="T28" s="1267">
        <f>'BEA int transactions'!D31*1000000</f>
        <v>74690000000</v>
      </c>
      <c r="U28" s="1267">
        <f>'BEA int transactions'!E31*1000000</f>
        <v>20844000000</v>
      </c>
      <c r="V28" s="1267">
        <v>19130000000</v>
      </c>
      <c r="W28" s="1267">
        <v>-10360000000</v>
      </c>
      <c r="X28" s="1267">
        <f>1000000*'BEA int transactions'!F31</f>
        <v>2063000000</v>
      </c>
      <c r="Y28" s="1267">
        <v>3690000000</v>
      </c>
      <c r="Z28" s="1267">
        <v>3090000000</v>
      </c>
      <c r="AA28" s="1267">
        <f>1000000*'BEA int transactions'!G31</f>
        <v>50588000000</v>
      </c>
      <c r="AB28" s="1267">
        <f>1000000*'BEA int transactions'!H31</f>
        <v>1195000000</v>
      </c>
      <c r="AD28" s="1267">
        <v>85263000000</v>
      </c>
      <c r="AF28" s="1267">
        <v>26950000000</v>
      </c>
      <c r="AG28" s="1267">
        <v>26950000000</v>
      </c>
      <c r="AH28" s="1267">
        <v>15070000000</v>
      </c>
      <c r="AI28" s="1267">
        <v>11880000000</v>
      </c>
      <c r="AN28" s="1267">
        <v>58233000000</v>
      </c>
      <c r="AR28" s="1267">
        <f t="shared" si="7"/>
        <v>101608000000</v>
      </c>
      <c r="AT28" s="1267">
        <f t="shared" si="8"/>
        <v>34500000000</v>
      </c>
      <c r="AU28" s="1267">
        <f t="shared" si="8"/>
        <v>39300000000</v>
      </c>
      <c r="AV28" s="1267">
        <f t="shared" si="8"/>
        <v>7274000000</v>
      </c>
      <c r="AW28" s="1267">
        <f t="shared" si="9"/>
        <v>3915000000</v>
      </c>
      <c r="AX28" s="1267">
        <f t="shared" si="9"/>
        <v>5022000000</v>
      </c>
      <c r="AY28" s="1267">
        <f t="shared" si="9"/>
        <v>-5824000000</v>
      </c>
      <c r="AZ28" s="1267">
        <f t="shared" si="9"/>
        <v>84723000000</v>
      </c>
      <c r="BX28" s="1267">
        <f t="shared" si="10"/>
        <v>8.2750849704665758E-2</v>
      </c>
      <c r="BY28" s="1267">
        <f t="shared" si="11"/>
        <v>8.2750849704665758E-2</v>
      </c>
      <c r="BZ28" s="1267">
        <f t="shared" si="16"/>
        <v>9.1053141924650569E-2</v>
      </c>
      <c r="CA28" s="1267">
        <f t="shared" si="16"/>
        <v>0.11852979078062532</v>
      </c>
      <c r="CB28" s="1267">
        <f t="shared" ref="CB28:CB58" si="25">AJ31/K30</f>
        <v>-4.4041450777202069E-2</v>
      </c>
      <c r="CF28" s="1267">
        <f t="shared" si="12"/>
        <v>0.11979067026246444</v>
      </c>
      <c r="CT28" s="1267">
        <v>945161592216.01794</v>
      </c>
      <c r="CV28" s="1267">
        <f t="shared" si="13"/>
        <v>945161592216.01794</v>
      </c>
      <c r="CW28" s="1267">
        <v>230300000000</v>
      </c>
      <c r="CX28" s="1267">
        <v>118923000000</v>
      </c>
      <c r="CY28" s="1267">
        <v>111377000000</v>
      </c>
      <c r="CZ28" s="1267">
        <v>319827000000</v>
      </c>
      <c r="DA28" s="1267">
        <v>109555000000</v>
      </c>
      <c r="DB28" s="1267">
        <v>210272000000</v>
      </c>
      <c r="DC28" s="1267">
        <v>395035000000</v>
      </c>
      <c r="DH28" s="1267">
        <f>1000000*'BEA int transactions'!I31</f>
        <v>95715000000</v>
      </c>
      <c r="DI28" s="1267">
        <f>1000000*'BEA int transactions'!J31</f>
        <v>18688000000</v>
      </c>
      <c r="DJ28" s="1267">
        <v>7300000000</v>
      </c>
      <c r="DK28" s="1267">
        <v>4200000000</v>
      </c>
      <c r="DL28" s="1267">
        <f>1000000*'BEA int transactions'!K31</f>
        <v>18382000000</v>
      </c>
      <c r="DM28" s="1267">
        <v>5985000000</v>
      </c>
      <c r="DN28" s="1267">
        <v>2540000000</v>
      </c>
      <c r="DO28" s="1267">
        <f>1000000*'BEA int transactions'!L31</f>
        <v>58645000000</v>
      </c>
      <c r="DS28" s="1267">
        <v>53710000000</v>
      </c>
      <c r="DU28" s="1267">
        <v>4200000000</v>
      </c>
      <c r="DV28" s="1267">
        <v>4200000000</v>
      </c>
      <c r="DW28" s="1267">
        <v>5600000000</v>
      </c>
      <c r="DX28" s="1267">
        <v>-1400000000</v>
      </c>
      <c r="EC28" s="1267">
        <v>49510000000</v>
      </c>
      <c r="EF28" s="1279"/>
      <c r="EG28" s="1279">
        <f t="shared" si="17"/>
        <v>57454884147.44397</v>
      </c>
      <c r="EH28" s="1279"/>
      <c r="EI28" s="1279">
        <f t="shared" si="18"/>
        <v>11841000000</v>
      </c>
      <c r="EJ28" s="1279">
        <f t="shared" si="14"/>
        <v>12431000000</v>
      </c>
      <c r="EK28" s="1279">
        <f t="shared" si="14"/>
        <v>6598000000</v>
      </c>
      <c r="EL28" s="1279">
        <f t="shared" si="14"/>
        <v>11582000000</v>
      </c>
      <c r="EM28" s="1279">
        <f t="shared" si="14"/>
        <v>15246000000</v>
      </c>
      <c r="EN28" s="1279">
        <f t="shared" si="14"/>
        <v>6193000000</v>
      </c>
      <c r="EO28" s="1279">
        <f t="shared" si="14"/>
        <v>34032000000</v>
      </c>
      <c r="FP28" s="1267">
        <f t="shared" si="19"/>
        <v>6.7816366576592443E-2</v>
      </c>
      <c r="FQ28" s="1267">
        <f t="shared" si="20"/>
        <v>2.1024072563084733E-2</v>
      </c>
      <c r="FR28" s="1267">
        <f>DV28/CX27</f>
        <v>4.2342124364868138E-2</v>
      </c>
      <c r="FW28" s="1267">
        <f t="shared" si="21"/>
        <v>0.16374628751347739</v>
      </c>
      <c r="GJ28" s="1267">
        <f t="shared" si="3"/>
        <v>261494407783.98206</v>
      </c>
      <c r="GK28" s="1267">
        <f t="shared" si="4"/>
        <v>121025000000</v>
      </c>
      <c r="GL28" s="1267">
        <f t="shared" si="4"/>
        <v>166876000000</v>
      </c>
      <c r="GM28" s="1267">
        <f t="shared" si="4"/>
        <v>-45851000000</v>
      </c>
      <c r="GN28" s="1267">
        <f t="shared" si="5"/>
        <v>-209040000000</v>
      </c>
      <c r="GO28" s="1267">
        <f t="shared" si="5"/>
        <v>-83401000000</v>
      </c>
      <c r="GP28" s="1267">
        <f t="shared" si="5"/>
        <v>-125639000000</v>
      </c>
      <c r="GQ28" s="1267">
        <f t="shared" si="5"/>
        <v>226399000000</v>
      </c>
      <c r="GV28" s="1267">
        <f t="shared" si="0"/>
        <v>31553000000</v>
      </c>
      <c r="GW28" s="1267">
        <f t="shared" si="1"/>
        <v>22750000000</v>
      </c>
      <c r="GX28" s="1267">
        <f t="shared" si="1"/>
        <v>22750000000</v>
      </c>
      <c r="GY28" s="1267">
        <f t="shared" si="1"/>
        <v>9470000000</v>
      </c>
      <c r="GZ28" s="1267">
        <f t="shared" si="1"/>
        <v>13280000000</v>
      </c>
      <c r="HE28" s="1267">
        <f t="shared" si="2"/>
        <v>8723000000</v>
      </c>
      <c r="HL28" s="1267">
        <f t="shared" si="22"/>
        <v>1.4934483128073314E-2</v>
      </c>
      <c r="HM28" s="1267">
        <f t="shared" si="15"/>
        <v>7.0029069361565832E-2</v>
      </c>
      <c r="HN28" s="1267">
        <f t="shared" si="15"/>
        <v>7.6187666415757194E-2</v>
      </c>
      <c r="HO28" s="1267">
        <f t="shared" si="15"/>
        <v>-4.4041450777202069E-2</v>
      </c>
      <c r="HS28" s="1267">
        <f t="shared" si="23"/>
        <v>-4.3955617251012949E-2</v>
      </c>
      <c r="HU28" s="1267">
        <v>1.4856865209112308E-2</v>
      </c>
      <c r="HV28" s="1267">
        <f t="shared" si="24"/>
        <v>-4.1958690597819759E-3</v>
      </c>
    </row>
    <row r="29" spans="2:231">
      <c r="D29" s="1267" t="s">
        <v>2922</v>
      </c>
      <c r="F29" s="1267">
        <v>1214478000000</v>
      </c>
      <c r="H29" s="1267">
        <f t="shared" si="6"/>
        <v>1214478000000</v>
      </c>
      <c r="I29" s="1267">
        <v>357920000000</v>
      </c>
      <c r="J29" s="1267">
        <v>288987000000</v>
      </c>
      <c r="K29" s="1267">
        <v>68933000000</v>
      </c>
      <c r="L29" s="1267">
        <v>112609000000</v>
      </c>
      <c r="M29" s="1267">
        <v>25994000000</v>
      </c>
      <c r="N29" s="1267">
        <v>86615000000</v>
      </c>
      <c r="O29" s="1267">
        <v>638909000000</v>
      </c>
      <c r="P29" s="1267">
        <v>105040000000</v>
      </c>
      <c r="R29" s="1311"/>
      <c r="T29" s="1267">
        <f>'BEA int transactions'!D32*1000000</f>
        <v>50740000000</v>
      </c>
      <c r="U29" s="1267">
        <f>'BEA int transactions'!E32*1000000</f>
        <v>26770000000</v>
      </c>
      <c r="V29" s="1267">
        <v>19300000000</v>
      </c>
      <c r="W29" s="1267">
        <v>-6480000000</v>
      </c>
      <c r="X29" s="1267">
        <f>1000000*'BEA int transactions'!F32</f>
        <v>3498000000</v>
      </c>
      <c r="Y29" s="1267">
        <v>950000000</v>
      </c>
      <c r="Z29" s="1267">
        <v>3820000000</v>
      </c>
      <c r="AA29" s="1267">
        <f>1000000*'BEA int transactions'!G32</f>
        <v>17340000000</v>
      </c>
      <c r="AB29" s="1267">
        <f>1000000*'BEA int transactions'!H32</f>
        <v>3132000000</v>
      </c>
      <c r="AD29" s="1267">
        <v>104857000000</v>
      </c>
      <c r="AF29" s="1267">
        <v>31270000000</v>
      </c>
      <c r="AG29" s="1267">
        <v>31270000000</v>
      </c>
      <c r="AH29" s="1267">
        <v>14360000000</v>
      </c>
      <c r="AI29" s="1267">
        <v>16910000000</v>
      </c>
      <c r="AN29" s="1267">
        <v>73507000000</v>
      </c>
      <c r="AR29" s="1267">
        <f t="shared" si="7"/>
        <v>-42918000000</v>
      </c>
      <c r="AT29" s="1267">
        <f t="shared" si="8"/>
        <v>-20175000000</v>
      </c>
      <c r="AU29" s="1267">
        <f t="shared" si="8"/>
        <v>-16112000000</v>
      </c>
      <c r="AV29" s="1267">
        <f t="shared" si="8"/>
        <v>9887000000</v>
      </c>
      <c r="AW29" s="1267">
        <f t="shared" si="9"/>
        <v>-1676000000</v>
      </c>
      <c r="AX29" s="1267">
        <f t="shared" si="9"/>
        <v>-1110000000</v>
      </c>
      <c r="AY29" s="1267">
        <f t="shared" si="9"/>
        <v>-1838000000</v>
      </c>
      <c r="AZ29" s="1267">
        <f t="shared" si="9"/>
        <v>135000000</v>
      </c>
      <c r="BX29" s="1267">
        <f t="shared" si="10"/>
        <v>8.6898834464835054E-2</v>
      </c>
      <c r="BY29" s="1267">
        <f t="shared" si="11"/>
        <v>8.6898834464835054E-2</v>
      </c>
      <c r="BZ29" s="1267">
        <f t="shared" si="16"/>
        <v>8.9005906212196687E-2</v>
      </c>
      <c r="CA29" s="1267">
        <f t="shared" si="16"/>
        <v>0.10941255917620425</v>
      </c>
      <c r="CB29" s="1267">
        <f t="shared" si="25"/>
        <v>-3.0146818923327896E-2</v>
      </c>
      <c r="CF29" s="1267">
        <f t="shared" si="12"/>
        <v>0.11828609313297953</v>
      </c>
      <c r="CT29" s="1267">
        <v>1074337566193.36</v>
      </c>
      <c r="CV29" s="1267">
        <f t="shared" si="13"/>
        <v>1074337566193.36</v>
      </c>
      <c r="CW29" s="1267">
        <v>259723000000</v>
      </c>
      <c r="CX29" s="1267">
        <v>130564000000</v>
      </c>
      <c r="CY29" s="1267">
        <v>129159000000</v>
      </c>
      <c r="CZ29" s="1267">
        <v>367974000000</v>
      </c>
      <c r="DA29" s="1267">
        <v>104852000000</v>
      </c>
      <c r="DB29" s="1267">
        <v>263122000000</v>
      </c>
      <c r="DC29" s="1267">
        <v>446641000000</v>
      </c>
      <c r="DH29" s="1267">
        <f>1000000*'BEA int transactions'!I32</f>
        <v>126413000000</v>
      </c>
      <c r="DI29" s="1267">
        <f>1000000*'BEA int transactions'!J32</f>
        <v>34832000000</v>
      </c>
      <c r="DJ29" s="1267">
        <v>17330000000</v>
      </c>
      <c r="DK29" s="1267">
        <v>7900000000</v>
      </c>
      <c r="DL29" s="1267">
        <f>1000000*'BEA int transactions'!K32</f>
        <v>38695000000</v>
      </c>
      <c r="DM29" s="1267">
        <v>-1280000000</v>
      </c>
      <c r="DN29" s="1267">
        <v>31010000000</v>
      </c>
      <c r="DO29" s="1267">
        <f>1000000*'BEA int transactions'!L32</f>
        <v>52886000000</v>
      </c>
      <c r="DS29" s="1267">
        <v>74038000000</v>
      </c>
      <c r="DU29" s="1267">
        <v>8720000000</v>
      </c>
      <c r="DV29" s="1267">
        <v>8720000000</v>
      </c>
      <c r="DW29" s="1267">
        <v>6440000000</v>
      </c>
      <c r="DX29" s="1267">
        <v>2280000000</v>
      </c>
      <c r="EC29" s="1267">
        <v>65318000000</v>
      </c>
      <c r="EF29" s="1279"/>
      <c r="EG29" s="1279">
        <f t="shared" si="17"/>
        <v>2762973977.342041</v>
      </c>
      <c r="EH29" s="1279"/>
      <c r="EI29" s="1279">
        <f t="shared" si="18"/>
        <v>-5409000000</v>
      </c>
      <c r="EJ29" s="1279">
        <f t="shared" si="14"/>
        <v>-5689000000</v>
      </c>
      <c r="EK29" s="1279">
        <f t="shared" si="14"/>
        <v>9882000000</v>
      </c>
      <c r="EL29" s="1279">
        <f t="shared" si="14"/>
        <v>9452000000</v>
      </c>
      <c r="EM29" s="1279">
        <f t="shared" si="14"/>
        <v>-3423000000</v>
      </c>
      <c r="EN29" s="1279">
        <f t="shared" si="14"/>
        <v>21840000000</v>
      </c>
      <c r="EO29" s="1279">
        <f t="shared" si="14"/>
        <v>-1280000000</v>
      </c>
      <c r="FP29" s="1267">
        <f t="shared" si="19"/>
        <v>7.8333695115997179E-2</v>
      </c>
      <c r="FQ29" s="1267">
        <f t="shared" si="20"/>
        <v>3.786365610073817E-2</v>
      </c>
      <c r="FR29" s="1267">
        <f t="shared" si="20"/>
        <v>7.3324756354952364E-2</v>
      </c>
      <c r="FW29" s="1267">
        <f t="shared" si="21"/>
        <v>0.16534737428329135</v>
      </c>
      <c r="GJ29" s="1267">
        <f t="shared" si="3"/>
        <v>140140433806.64001</v>
      </c>
      <c r="GK29" s="1267">
        <f t="shared" si="4"/>
        <v>98197000000</v>
      </c>
      <c r="GL29" s="1267">
        <f t="shared" si="4"/>
        <v>158423000000</v>
      </c>
      <c r="GM29" s="1267">
        <f t="shared" si="4"/>
        <v>-60226000000</v>
      </c>
      <c r="GN29" s="1267">
        <f t="shared" si="5"/>
        <v>-255365000000</v>
      </c>
      <c r="GO29" s="1267">
        <f t="shared" si="5"/>
        <v>-78858000000</v>
      </c>
      <c r="GP29" s="1267">
        <f t="shared" si="5"/>
        <v>-176507000000</v>
      </c>
      <c r="GQ29" s="1267">
        <f t="shared" si="5"/>
        <v>192268000000</v>
      </c>
      <c r="GV29" s="1267">
        <f t="shared" si="0"/>
        <v>30819000000</v>
      </c>
      <c r="GW29" s="1267">
        <f t="shared" si="1"/>
        <v>22550000000</v>
      </c>
      <c r="GX29" s="1267">
        <f t="shared" si="1"/>
        <v>22550000000</v>
      </c>
      <c r="GY29" s="1267">
        <f t="shared" si="1"/>
        <v>7920000000</v>
      </c>
      <c r="GZ29" s="1267">
        <f t="shared" si="1"/>
        <v>14630000000</v>
      </c>
      <c r="HE29" s="1267">
        <f t="shared" si="2"/>
        <v>8189000000</v>
      </c>
      <c r="HL29" s="1267">
        <f t="shared" si="22"/>
        <v>8.5651393488378746E-3</v>
      </c>
      <c r="HM29" s="1267">
        <f t="shared" si="15"/>
        <v>5.1142250111458516E-2</v>
      </c>
      <c r="HN29" s="1267">
        <f t="shared" si="15"/>
        <v>3.6087802821251888E-2</v>
      </c>
      <c r="HO29" s="1267">
        <f t="shared" si="15"/>
        <v>-3.0146818923327896E-2</v>
      </c>
      <c r="HS29" s="1267">
        <f t="shared" si="23"/>
        <v>-4.7061281150311829E-2</v>
      </c>
      <c r="HU29" s="1267">
        <v>8.4988742167905473E-3</v>
      </c>
      <c r="HV29" s="1267">
        <f t="shared" si="24"/>
        <v>-5.3381734259332764E-3</v>
      </c>
    </row>
    <row r="30" spans="2:231">
      <c r="D30" s="1267" t="s">
        <v>2923</v>
      </c>
      <c r="F30" s="1267">
        <v>1392053000000</v>
      </c>
      <c r="H30" s="1267">
        <f t="shared" si="6"/>
        <v>1392053000000</v>
      </c>
      <c r="I30" s="1267">
        <v>475693000000</v>
      </c>
      <c r="J30" s="1267">
        <v>403897000000</v>
      </c>
      <c r="K30" s="1267">
        <v>71796000000</v>
      </c>
      <c r="L30" s="1267">
        <v>138735000000</v>
      </c>
      <c r="M30" s="1267">
        <v>44383000000</v>
      </c>
      <c r="N30" s="1267">
        <v>94352000000</v>
      </c>
      <c r="O30" s="1267">
        <v>659695000000</v>
      </c>
      <c r="P30" s="1267">
        <v>117930000000</v>
      </c>
      <c r="R30" s="1311"/>
      <c r="T30" s="1267">
        <f>'BEA int transactions'!D33*1000000</f>
        <v>47064000000</v>
      </c>
      <c r="U30" s="1267">
        <f>'BEA int transactions'!E33*1000000</f>
        <v>21241000000</v>
      </c>
      <c r="V30" s="1267">
        <v>13160000000</v>
      </c>
      <c r="W30" s="1267">
        <v>-9480000000</v>
      </c>
      <c r="X30" s="1267">
        <f>1000000*'BEA int transactions'!F33</f>
        <v>3008000000</v>
      </c>
      <c r="Y30" s="1267">
        <v>3700000000</v>
      </c>
      <c r="Z30" s="1267">
        <v>3800000000</v>
      </c>
      <c r="AA30" s="1267">
        <f>1000000*'BEA int transactions'!G33</f>
        <v>18957000000</v>
      </c>
      <c r="AB30" s="1267">
        <f>1000000*'BEA int transactions'!H33</f>
        <v>3858000000</v>
      </c>
      <c r="AD30" s="1267">
        <v>93731000000</v>
      </c>
      <c r="AF30" s="1267">
        <v>30530000000</v>
      </c>
      <c r="AG30" s="1267">
        <v>30530000000</v>
      </c>
      <c r="AH30" s="1267">
        <v>15700000000</v>
      </c>
      <c r="AI30" s="1267">
        <v>14830000000</v>
      </c>
      <c r="AN30" s="1267">
        <v>63121000000</v>
      </c>
      <c r="AR30" s="1267">
        <f t="shared" si="7"/>
        <v>130511000000</v>
      </c>
      <c r="AT30" s="1267">
        <f t="shared" si="8"/>
        <v>96532000000</v>
      </c>
      <c r="AU30" s="1267">
        <f t="shared" si="8"/>
        <v>101750000000</v>
      </c>
      <c r="AV30" s="1267">
        <f t="shared" si="8"/>
        <v>12343000000</v>
      </c>
      <c r="AW30" s="1267">
        <f t="shared" si="9"/>
        <v>23118000000</v>
      </c>
      <c r="AX30" s="1267">
        <f t="shared" si="9"/>
        <v>14689000000</v>
      </c>
      <c r="AY30" s="1267">
        <f t="shared" si="9"/>
        <v>3937000000</v>
      </c>
      <c r="AZ30" s="1267">
        <f t="shared" si="9"/>
        <v>1829000000</v>
      </c>
      <c r="BX30" s="1267">
        <f t="shared" si="10"/>
        <v>7.7178013928617895E-2</v>
      </c>
      <c r="BY30" s="1267">
        <f t="shared" si="11"/>
        <v>7.7178013928617895E-2</v>
      </c>
      <c r="BZ30" s="1267">
        <f t="shared" si="16"/>
        <v>8.5298390701832816E-2</v>
      </c>
      <c r="CA30" s="1267">
        <f t="shared" si="16"/>
        <v>0.10564489060061526</v>
      </c>
      <c r="CB30" s="1267">
        <f t="shared" si="25"/>
        <v>-1.4482597523943003E-2</v>
      </c>
      <c r="CF30" s="1267">
        <f t="shared" si="12"/>
        <v>9.8794977062461167E-2</v>
      </c>
      <c r="CT30" s="1267">
        <v>1287771733304.04</v>
      </c>
      <c r="CV30" s="1267">
        <f t="shared" si="13"/>
        <v>1287771733304.04</v>
      </c>
      <c r="CW30" s="1267">
        <v>309338000000</v>
      </c>
      <c r="CX30" s="1267">
        <v>172997000000</v>
      </c>
      <c r="CY30" s="1267">
        <v>136341000000</v>
      </c>
      <c r="CZ30" s="1267">
        <v>473731000000</v>
      </c>
      <c r="DA30" s="1267">
        <v>136791000000</v>
      </c>
      <c r="DB30" s="1267">
        <v>336940000000</v>
      </c>
      <c r="DC30" s="1267">
        <v>504703000000</v>
      </c>
      <c r="DH30" s="1267">
        <f>1000000*'BEA int transactions'!I33</f>
        <v>146544000000</v>
      </c>
      <c r="DI30" s="1267">
        <f>1000000*'BEA int transactions'!J33</f>
        <v>22057000000</v>
      </c>
      <c r="DJ30" s="1267">
        <v>14830000000</v>
      </c>
      <c r="DK30" s="1267">
        <v>-5200000000</v>
      </c>
      <c r="DL30" s="1267">
        <f>1000000*'BEA int transactions'!K33</f>
        <v>68004000000</v>
      </c>
      <c r="DM30" s="1267">
        <v>4330000000</v>
      </c>
      <c r="DN30" s="1267">
        <v>71710000000</v>
      </c>
      <c r="DO30" s="1267">
        <f>1000000*'BEA int transactions'!L33</f>
        <v>56483000000</v>
      </c>
      <c r="DS30" s="1267">
        <v>73094000000</v>
      </c>
      <c r="DU30" s="1267">
        <v>7210000000</v>
      </c>
      <c r="DV30" s="1267">
        <v>7210000000</v>
      </c>
      <c r="DW30" s="1267">
        <v>7600000000</v>
      </c>
      <c r="DX30" s="1267">
        <v>-390000000</v>
      </c>
      <c r="EC30" s="1267">
        <v>65884000000</v>
      </c>
      <c r="EF30" s="1279"/>
      <c r="EG30" s="1279">
        <f t="shared" si="17"/>
        <v>66890167110.680054</v>
      </c>
      <c r="EH30" s="1279"/>
      <c r="EI30" s="1279">
        <f t="shared" si="18"/>
        <v>27558000000</v>
      </c>
      <c r="EJ30" s="1279">
        <f t="shared" si="14"/>
        <v>27603000000</v>
      </c>
      <c r="EK30" s="1279">
        <f t="shared" si="14"/>
        <v>12382000000</v>
      </c>
      <c r="EL30" s="1279">
        <f t="shared" si="14"/>
        <v>37753000000</v>
      </c>
      <c r="EM30" s="1279">
        <f t="shared" si="14"/>
        <v>27609000000</v>
      </c>
      <c r="EN30" s="1279">
        <f t="shared" si="14"/>
        <v>2108000000</v>
      </c>
      <c r="EO30" s="1279">
        <f t="shared" si="14"/>
        <v>1579000000</v>
      </c>
      <c r="FP30" s="1267">
        <f t="shared" si="19"/>
        <v>6.803634378995968E-2</v>
      </c>
      <c r="FQ30" s="1267">
        <f t="shared" si="20"/>
        <v>2.7760344674903646E-2</v>
      </c>
      <c r="FR30" s="1267">
        <f t="shared" si="20"/>
        <v>5.5221960111516193E-2</v>
      </c>
      <c r="FW30" s="1267">
        <f t="shared" si="21"/>
        <v>0.14750996885641937</v>
      </c>
      <c r="GJ30" s="1267">
        <f t="shared" si="3"/>
        <v>104281266695.95996</v>
      </c>
      <c r="GK30" s="1267">
        <f t="shared" si="4"/>
        <v>166355000000</v>
      </c>
      <c r="GL30" s="1267">
        <f t="shared" si="4"/>
        <v>230900000000</v>
      </c>
      <c r="GM30" s="1267">
        <f t="shared" si="4"/>
        <v>-64545000000</v>
      </c>
      <c r="GN30" s="1267">
        <f t="shared" si="5"/>
        <v>-334996000000</v>
      </c>
      <c r="GO30" s="1267">
        <f t="shared" si="5"/>
        <v>-92408000000</v>
      </c>
      <c r="GP30" s="1267">
        <f t="shared" si="5"/>
        <v>-242588000000</v>
      </c>
      <c r="GQ30" s="1267">
        <f t="shared" si="5"/>
        <v>154992000000</v>
      </c>
      <c r="GV30" s="1267">
        <f t="shared" si="0"/>
        <v>20637000000</v>
      </c>
      <c r="GW30" s="1267">
        <f t="shared" si="1"/>
        <v>23320000000</v>
      </c>
      <c r="GX30" s="1267">
        <f t="shared" si="1"/>
        <v>23320000000</v>
      </c>
      <c r="GY30" s="1267">
        <f t="shared" si="1"/>
        <v>8100000000</v>
      </c>
      <c r="GZ30" s="1267">
        <f t="shared" si="1"/>
        <v>15220000000</v>
      </c>
      <c r="HE30" s="1267">
        <f t="shared" si="2"/>
        <v>-2763000000</v>
      </c>
      <c r="HL30" s="1267">
        <f t="shared" si="22"/>
        <v>9.1416701386582144E-3</v>
      </c>
      <c r="HM30" s="1267">
        <f t="shared" si="15"/>
        <v>5.753804602692917E-2</v>
      </c>
      <c r="HN30" s="1267">
        <f t="shared" si="15"/>
        <v>5.0422930489099065E-2</v>
      </c>
      <c r="HO30" s="1267">
        <f t="shared" si="15"/>
        <v>-1.4482597523943003E-2</v>
      </c>
      <c r="HS30" s="1267">
        <f t="shared" si="23"/>
        <v>-4.8714991793958204E-2</v>
      </c>
      <c r="HU30" s="1267">
        <v>9.0758256891058237E-3</v>
      </c>
      <c r="HV30" s="1267">
        <f t="shared" si="24"/>
        <v>-7.0926669348105736E-3</v>
      </c>
    </row>
    <row r="31" spans="2:231">
      <c r="D31" s="1267" t="s">
        <v>2924</v>
      </c>
      <c r="F31" s="1267">
        <v>1679716000000</v>
      </c>
      <c r="H31" s="1267">
        <f t="shared" si="6"/>
        <v>1679716000000</v>
      </c>
      <c r="I31" s="1267">
        <v>615138000000</v>
      </c>
      <c r="J31" s="1267">
        <v>538513000000</v>
      </c>
      <c r="K31" s="1267">
        <v>76625000000</v>
      </c>
      <c r="L31" s="1267">
        <v>182167000000</v>
      </c>
      <c r="M31" s="1267">
        <v>72399000000</v>
      </c>
      <c r="N31" s="1267">
        <v>109768000000</v>
      </c>
      <c r="O31" s="1267">
        <v>742536000000</v>
      </c>
      <c r="P31" s="1267">
        <v>139875000000</v>
      </c>
      <c r="R31" s="1311"/>
      <c r="T31" s="1267">
        <f>'BEA int transactions'!D34*1000000</f>
        <v>107252000000</v>
      </c>
      <c r="U31" s="1267">
        <f>'BEA int transactions'!E34*1000000</f>
        <v>19524000000</v>
      </c>
      <c r="V31" s="1267">
        <v>15170000000</v>
      </c>
      <c r="W31" s="1267">
        <v>4354000000</v>
      </c>
      <c r="X31" s="1267">
        <f>1000000*'BEA int transactions'!F34</f>
        <v>8984000000</v>
      </c>
      <c r="Y31" s="1267">
        <v>1153000000</v>
      </c>
      <c r="Z31" s="1267">
        <v>3118000000</v>
      </c>
      <c r="AA31" s="1267">
        <f>1000000*'BEA int transactions'!G34</f>
        <v>79057000000</v>
      </c>
      <c r="AB31" s="1267">
        <f>1000000*'BEA int transactions'!H34</f>
        <v>-313000000</v>
      </c>
      <c r="AD31" s="1267">
        <v>97064000000</v>
      </c>
      <c r="AF31" s="1267">
        <v>36938000000</v>
      </c>
      <c r="AG31" s="1267">
        <v>40100000000</v>
      </c>
      <c r="AH31" s="1267">
        <v>26077000000</v>
      </c>
      <c r="AI31" s="1267">
        <v>14023000000</v>
      </c>
      <c r="AJ31" s="1267">
        <v>-3162000000</v>
      </c>
      <c r="AK31" s="1267">
        <v>9059000000</v>
      </c>
      <c r="AL31" s="1267">
        <v>1768000000</v>
      </c>
      <c r="AM31" s="1267">
        <v>7291000000</v>
      </c>
      <c r="AN31" s="1267">
        <v>50159000000</v>
      </c>
      <c r="AR31" s="1267">
        <f t="shared" si="7"/>
        <v>180411000000</v>
      </c>
      <c r="AT31" s="1267">
        <f t="shared" si="8"/>
        <v>119921000000</v>
      </c>
      <c r="AU31" s="1267">
        <f t="shared" si="8"/>
        <v>119446000000</v>
      </c>
      <c r="AV31" s="1267">
        <f t="shared" si="8"/>
        <v>475000000</v>
      </c>
      <c r="AW31" s="1267">
        <f t="shared" si="9"/>
        <v>34448000000</v>
      </c>
      <c r="AX31" s="1267">
        <f t="shared" si="9"/>
        <v>26863000000</v>
      </c>
      <c r="AY31" s="1267">
        <f t="shared" si="9"/>
        <v>12298000000</v>
      </c>
      <c r="AZ31" s="1267">
        <f t="shared" si="9"/>
        <v>3784000000</v>
      </c>
      <c r="BX31" s="1267">
        <f t="shared" si="10"/>
        <v>6.9727230213217459E-2</v>
      </c>
      <c r="BY31" s="1267">
        <f t="shared" si="11"/>
        <v>6.9727230213217459E-2</v>
      </c>
      <c r="BZ31" s="1267">
        <f t="shared" si="16"/>
        <v>7.7650921918127863E-2</v>
      </c>
      <c r="CA31" s="1267">
        <f t="shared" si="16"/>
        <v>9.9282737925758299E-2</v>
      </c>
      <c r="CB31" s="1267">
        <f t="shared" si="25"/>
        <v>1.79908246794135E-3</v>
      </c>
      <c r="CC31" s="1278">
        <f t="shared" ref="CC31:CE61" si="26">AK31/L30</f>
        <v>6.5297149241359431E-2</v>
      </c>
      <c r="CD31" s="1278">
        <f t="shared" si="26"/>
        <v>3.9835071987022061E-2</v>
      </c>
      <c r="CE31" s="1278">
        <f t="shared" si="26"/>
        <v>7.7274461590639304E-2</v>
      </c>
      <c r="CF31" s="1267">
        <f t="shared" si="12"/>
        <v>7.6033621597859619E-2</v>
      </c>
      <c r="CT31" s="1267">
        <v>1570484088938.6299</v>
      </c>
      <c r="CV31" s="1267">
        <f t="shared" si="13"/>
        <v>1570484088938.6299</v>
      </c>
      <c r="CW31" s="1267">
        <v>358030000000</v>
      </c>
      <c r="CX31" s="1267">
        <v>214669000000</v>
      </c>
      <c r="CY31" s="1267">
        <v>143361000000</v>
      </c>
      <c r="CZ31" s="1267">
        <v>616611000000</v>
      </c>
      <c r="DA31" s="1267">
        <v>183172000000</v>
      </c>
      <c r="DB31" s="1267">
        <v>433439000000</v>
      </c>
      <c r="DC31" s="1267">
        <v>595843000000</v>
      </c>
      <c r="DH31" s="1267">
        <f>1000000*'BEA int transactions'!I34</f>
        <v>223854000000</v>
      </c>
      <c r="DI31" s="1267">
        <f>1000000*'BEA int transactions'!J34</f>
        <v>30946000000</v>
      </c>
      <c r="DJ31" s="1267">
        <v>24122000000</v>
      </c>
      <c r="DK31" s="1267">
        <v>6824000000</v>
      </c>
      <c r="DL31" s="1267">
        <f>1000000*'BEA int transactions'!K34</f>
        <v>104497000000</v>
      </c>
      <c r="DM31" s="1267">
        <v>17898000000</v>
      </c>
      <c r="DN31" s="1267">
        <v>67879000000</v>
      </c>
      <c r="DO31" s="1267">
        <f>1000000*'BEA int transactions'!L34</f>
        <v>88411000000</v>
      </c>
      <c r="DS31" s="1267">
        <v>78905000000</v>
      </c>
      <c r="DU31" s="1267">
        <v>6855000000</v>
      </c>
      <c r="DV31" s="1267">
        <v>3735000000</v>
      </c>
      <c r="DW31" s="1267">
        <v>4699000000</v>
      </c>
      <c r="DX31" s="1267">
        <v>-964000000</v>
      </c>
      <c r="DY31" s="1267">
        <v>3120000000</v>
      </c>
      <c r="DZ31" s="1267">
        <v>34745000000</v>
      </c>
      <c r="EA31" s="1267">
        <v>5289000000</v>
      </c>
      <c r="EB31" s="1267">
        <v>34745000000</v>
      </c>
      <c r="EC31" s="1267">
        <v>37305000000</v>
      </c>
      <c r="EF31" s="1279"/>
      <c r="EG31" s="1279">
        <f t="shared" si="17"/>
        <v>58858355634.589844</v>
      </c>
      <c r="EH31" s="1279"/>
      <c r="EI31" s="1279">
        <f t="shared" si="18"/>
        <v>17746000000</v>
      </c>
      <c r="EJ31" s="1279">
        <f t="shared" si="14"/>
        <v>17550000000</v>
      </c>
      <c r="EK31" s="1279">
        <f t="shared" si="14"/>
        <v>196000000</v>
      </c>
      <c r="EL31" s="1279">
        <f t="shared" si="14"/>
        <v>38383000000</v>
      </c>
      <c r="EM31" s="1279">
        <f t="shared" si="14"/>
        <v>28483000000</v>
      </c>
      <c r="EN31" s="1279">
        <f t="shared" si="14"/>
        <v>28620000000</v>
      </c>
      <c r="EO31" s="1279">
        <f t="shared" si="14"/>
        <v>2729000000</v>
      </c>
      <c r="FP31" s="1267">
        <f t="shared" si="19"/>
        <v>6.1272505025058432E-2</v>
      </c>
      <c r="FQ31" s="1267">
        <f t="shared" si="20"/>
        <v>2.2160226031072806E-2</v>
      </c>
      <c r="FR31" s="1267">
        <f t="shared" si="20"/>
        <v>2.1589969768261878E-2</v>
      </c>
      <c r="FS31" s="1267">
        <f t="shared" ref="FS31:FV62" si="27">DY31/CY30</f>
        <v>2.2883798710585958E-2</v>
      </c>
      <c r="FT31" s="1267">
        <f>DZ31/CZ30</f>
        <v>7.3343310866293324E-2</v>
      </c>
      <c r="FU31" s="1267">
        <f t="shared" ref="FU31:FV46" si="28">EA31/DA30</f>
        <v>3.8664824440204401E-2</v>
      </c>
      <c r="FV31" s="1267">
        <f>EB31/DB30</f>
        <v>0.1031192497180507</v>
      </c>
      <c r="FW31" s="1267">
        <f t="shared" si="21"/>
        <v>7.3914757788243773E-2</v>
      </c>
      <c r="GJ31" s="1267">
        <f t="shared" si="3"/>
        <v>109231911061.37012</v>
      </c>
      <c r="GK31" s="1267">
        <f t="shared" si="4"/>
        <v>257108000000</v>
      </c>
      <c r="GL31" s="1267">
        <f t="shared" si="4"/>
        <v>323844000000</v>
      </c>
      <c r="GM31" s="1267">
        <f t="shared" si="4"/>
        <v>-66736000000</v>
      </c>
      <c r="GN31" s="1267">
        <f t="shared" si="5"/>
        <v>-434444000000</v>
      </c>
      <c r="GO31" s="1267">
        <f t="shared" si="5"/>
        <v>-110773000000</v>
      </c>
      <c r="GP31" s="1267">
        <f t="shared" si="5"/>
        <v>-323671000000</v>
      </c>
      <c r="GQ31" s="1267">
        <f t="shared" si="5"/>
        <v>146693000000</v>
      </c>
      <c r="GV31" s="1267">
        <f t="shared" si="0"/>
        <v>18159000000</v>
      </c>
      <c r="GW31" s="1267">
        <f t="shared" si="1"/>
        <v>30083000000</v>
      </c>
      <c r="GX31" s="1267">
        <f t="shared" si="1"/>
        <v>36365000000</v>
      </c>
      <c r="GY31" s="1267">
        <f t="shared" si="1"/>
        <v>21378000000</v>
      </c>
      <c r="GZ31" s="1267">
        <f t="shared" si="1"/>
        <v>14987000000</v>
      </c>
      <c r="HA31" s="1267">
        <f t="shared" si="1"/>
        <v>-6282000000</v>
      </c>
      <c r="HB31" s="1267">
        <f t="shared" si="1"/>
        <v>-25686000000</v>
      </c>
      <c r="HC31" s="1267">
        <f t="shared" si="1"/>
        <v>-3521000000</v>
      </c>
      <c r="HD31" s="1267">
        <f t="shared" si="1"/>
        <v>-27454000000</v>
      </c>
      <c r="HE31" s="1267">
        <f t="shared" si="2"/>
        <v>12854000000</v>
      </c>
      <c r="HL31" s="1267">
        <f t="shared" si="22"/>
        <v>8.4547251881590263E-3</v>
      </c>
      <c r="HM31" s="1267">
        <f t="shared" si="15"/>
        <v>5.5490695887055061E-2</v>
      </c>
      <c r="HN31" s="1267">
        <f t="shared" si="15"/>
        <v>7.7692768157496428E-2</v>
      </c>
      <c r="HO31" s="1267">
        <f t="shared" si="15"/>
        <v>-2.1084716242644609E-2</v>
      </c>
      <c r="HP31" s="1267">
        <f t="shared" si="15"/>
        <v>-8.0461616249338924E-3</v>
      </c>
      <c r="HQ31" s="1267">
        <f t="shared" si="15"/>
        <v>1.1702475468176599E-3</v>
      </c>
      <c r="HR31" s="1267">
        <f t="shared" si="15"/>
        <v>-2.5844788127411394E-2</v>
      </c>
      <c r="HS31" s="1267">
        <f t="shared" si="23"/>
        <v>2.1188638096158452E-3</v>
      </c>
      <c r="HU31" s="1267">
        <v>7.8024638621886633E-3</v>
      </c>
      <c r="HV31" s="1267">
        <f t="shared" si="24"/>
        <v>-8.0241480304056728E-3</v>
      </c>
      <c r="HW31" s="1267">
        <f>((AD31-AG31)/(H30-J30))-((DS31-DV31)/(CV30-CX30))</f>
        <v>-9.7838952479784927E-3</v>
      </c>
    </row>
    <row r="32" spans="2:231">
      <c r="D32" s="1267" t="s">
        <v>2925</v>
      </c>
      <c r="F32" s="1267">
        <v>1850216000000</v>
      </c>
      <c r="H32" s="1267">
        <f t="shared" si="6"/>
        <v>1850216000000</v>
      </c>
      <c r="I32" s="1267">
        <v>681751000000</v>
      </c>
      <c r="J32" s="1267">
        <v>591850000000</v>
      </c>
      <c r="K32" s="1267">
        <v>89901000000</v>
      </c>
      <c r="L32" s="1267">
        <v>215285000000</v>
      </c>
      <c r="M32" s="1267">
        <v>94700000000</v>
      </c>
      <c r="N32" s="1267">
        <v>120585000000</v>
      </c>
      <c r="O32" s="1267">
        <v>790810000000</v>
      </c>
      <c r="P32" s="1267">
        <v>162370000000</v>
      </c>
      <c r="R32" s="1311"/>
      <c r="T32" s="1267">
        <f>'BEA int transactions'!D35*1000000</f>
        <v>84058000000</v>
      </c>
      <c r="U32" s="1267">
        <f>'BEA int transactions'!E35*1000000</f>
        <v>39795000000</v>
      </c>
      <c r="V32" s="1267">
        <v>28201000000</v>
      </c>
      <c r="W32" s="1267">
        <v>11596000000</v>
      </c>
      <c r="X32" s="1267">
        <f>1000000*'BEA int transactions'!F35</f>
        <v>7903000000</v>
      </c>
      <c r="Y32" s="1267">
        <v>-2130000000</v>
      </c>
      <c r="Z32" s="1267">
        <v>7381000000</v>
      </c>
      <c r="AA32" s="1267">
        <f>1000000*'BEA int transactions'!G35</f>
        <v>45508000000</v>
      </c>
      <c r="AB32" s="1267">
        <f>1000000*'BEA int transactions'!H35</f>
        <v>-9148000000</v>
      </c>
      <c r="AD32" s="1267">
        <v>108184000000</v>
      </c>
      <c r="AF32" s="1267">
        <v>46287000000</v>
      </c>
      <c r="AG32" s="1267">
        <v>48597000000</v>
      </c>
      <c r="AH32" s="1267">
        <v>25264000000</v>
      </c>
      <c r="AI32" s="1267">
        <v>23333000000</v>
      </c>
      <c r="AJ32" s="1267">
        <v>-2310000000</v>
      </c>
      <c r="AK32" s="1267">
        <v>10678000000</v>
      </c>
      <c r="AL32" s="1267">
        <v>2543000000</v>
      </c>
      <c r="AM32" s="1267">
        <v>8135000000</v>
      </c>
      <c r="AN32" s="1267">
        <v>50225000000</v>
      </c>
      <c r="AR32" s="1267">
        <f t="shared" si="7"/>
        <v>86442000000</v>
      </c>
      <c r="AT32" s="1267">
        <f t="shared" si="8"/>
        <v>26818000000</v>
      </c>
      <c r="AU32" s="1267">
        <f t="shared" si="8"/>
        <v>25136000000</v>
      </c>
      <c r="AV32" s="1267">
        <f t="shared" si="8"/>
        <v>1680000000</v>
      </c>
      <c r="AW32" s="1267">
        <f t="shared" si="9"/>
        <v>25215000000</v>
      </c>
      <c r="AX32" s="1267">
        <f t="shared" si="9"/>
        <v>24431000000</v>
      </c>
      <c r="AY32" s="1267">
        <f t="shared" si="9"/>
        <v>3436000000</v>
      </c>
      <c r="AZ32" s="1267">
        <f t="shared" si="9"/>
        <v>2766000000</v>
      </c>
      <c r="BX32" s="1267">
        <f t="shared" si="10"/>
        <v>6.4406125797456235E-2</v>
      </c>
      <c r="BY32" s="1267">
        <f t="shared" si="11"/>
        <v>6.4406125797456235E-2</v>
      </c>
      <c r="BZ32" s="1267">
        <f t="shared" si="16"/>
        <v>7.5246530046916296E-2</v>
      </c>
      <c r="CA32" s="1267">
        <f t="shared" si="16"/>
        <v>9.0242946781229044E-2</v>
      </c>
      <c r="CB32" s="1267">
        <f t="shared" si="25"/>
        <v>1.4165433159846568E-2</v>
      </c>
      <c r="CC32" s="1267">
        <f t="shared" si="26"/>
        <v>5.8616544160028983E-2</v>
      </c>
      <c r="CD32" s="1267">
        <f t="shared" si="26"/>
        <v>3.5124794541361068E-2</v>
      </c>
      <c r="CE32" s="1267">
        <f t="shared" si="26"/>
        <v>7.411085197871875E-2</v>
      </c>
      <c r="CF32" s="1267">
        <f t="shared" si="12"/>
        <v>6.7639818136763744E-2</v>
      </c>
      <c r="CT32" s="1267">
        <v>1790599772460.95</v>
      </c>
      <c r="CV32" s="1267">
        <f t="shared" si="13"/>
        <v>1790599772460.95</v>
      </c>
      <c r="CW32" s="1267">
        <v>407706000000</v>
      </c>
      <c r="CX32" s="1267">
        <v>240520000000</v>
      </c>
      <c r="CY32" s="1267">
        <v>167186000000</v>
      </c>
      <c r="CZ32" s="1267">
        <v>676649000000</v>
      </c>
      <c r="DA32" s="1267">
        <v>189006000000</v>
      </c>
      <c r="DB32" s="1267">
        <v>487643000000</v>
      </c>
      <c r="DC32" s="1267">
        <v>706245000000</v>
      </c>
      <c r="DH32" s="1267">
        <f>1000000*'BEA int transactions'!I35</f>
        <v>251863000000</v>
      </c>
      <c r="DI32" s="1267">
        <f>1000000*'BEA int transactions'!J35</f>
        <v>63232000000</v>
      </c>
      <c r="DJ32" s="1267">
        <v>33790000000</v>
      </c>
      <c r="DK32" s="1267">
        <v>29445000000</v>
      </c>
      <c r="DL32" s="1267">
        <f>1000000*'BEA int transactions'!K35</f>
        <v>79631000000</v>
      </c>
      <c r="DM32" s="1267">
        <v>15025000000</v>
      </c>
      <c r="DN32" s="1267">
        <v>51901000000</v>
      </c>
      <c r="DO32" s="1267">
        <f>1000000*'BEA int transactions'!L35</f>
        <v>109000000000</v>
      </c>
      <c r="DS32" s="1267">
        <v>91553000000</v>
      </c>
      <c r="DU32" s="1267">
        <v>7675000000</v>
      </c>
      <c r="DV32" s="1267">
        <v>4251000000</v>
      </c>
      <c r="DW32" s="1267">
        <v>4784000000</v>
      </c>
      <c r="DX32" s="1267">
        <v>-533000000</v>
      </c>
      <c r="DY32" s="1267">
        <v>3424000000</v>
      </c>
      <c r="DZ32" s="1267">
        <v>41521000000</v>
      </c>
      <c r="EA32" s="1267">
        <v>6420000000</v>
      </c>
      <c r="EB32" s="1267">
        <v>41521000000</v>
      </c>
      <c r="EC32" s="1267">
        <v>42357000000</v>
      </c>
      <c r="EF32" s="1279"/>
      <c r="EG32" s="1279">
        <f t="shared" si="17"/>
        <v>-31747316477.679932</v>
      </c>
      <c r="EH32" s="1279"/>
      <c r="EI32" s="1279">
        <f t="shared" si="18"/>
        <v>-13556000000</v>
      </c>
      <c r="EJ32" s="1279">
        <f t="shared" si="14"/>
        <v>-7939000000</v>
      </c>
      <c r="EK32" s="1279">
        <f t="shared" si="14"/>
        <v>-5620000000</v>
      </c>
      <c r="EL32" s="1279">
        <f t="shared" si="14"/>
        <v>-19593000000</v>
      </c>
      <c r="EM32" s="1279">
        <f t="shared" si="14"/>
        <v>-9191000000</v>
      </c>
      <c r="EN32" s="1279">
        <f t="shared" si="14"/>
        <v>2303000000</v>
      </c>
      <c r="EO32" s="1279">
        <f t="shared" si="14"/>
        <v>1402000000</v>
      </c>
      <c r="FP32" s="1267">
        <f t="shared" si="19"/>
        <v>5.8296037919030222E-2</v>
      </c>
      <c r="FQ32" s="1267">
        <f t="shared" si="20"/>
        <v>2.143675111024216E-2</v>
      </c>
      <c r="FR32" s="1267">
        <f t="shared" si="20"/>
        <v>1.9802579785623449E-2</v>
      </c>
      <c r="FS32" s="1267">
        <f t="shared" si="27"/>
        <v>2.3883761971526425E-2</v>
      </c>
      <c r="FT32" s="1267">
        <f>DZ32/CZ31</f>
        <v>6.7337429919349476E-2</v>
      </c>
      <c r="FU32" s="1267">
        <f t="shared" si="28"/>
        <v>3.5049024960146745E-2</v>
      </c>
      <c r="FV32" s="1267">
        <f t="shared" si="28"/>
        <v>9.5794333227974413E-2</v>
      </c>
      <c r="FW32" s="1267">
        <f t="shared" si="21"/>
        <v>7.1087518020686663E-2</v>
      </c>
      <c r="GJ32" s="1267">
        <f t="shared" si="3"/>
        <v>59616227539.050049</v>
      </c>
      <c r="GK32" s="1267">
        <f t="shared" si="4"/>
        <v>274045000000</v>
      </c>
      <c r="GL32" s="1267">
        <f t="shared" si="4"/>
        <v>351330000000</v>
      </c>
      <c r="GM32" s="1267">
        <f t="shared" si="4"/>
        <v>-77285000000</v>
      </c>
      <c r="GN32" s="1267">
        <f t="shared" si="5"/>
        <v>-461364000000</v>
      </c>
      <c r="GO32" s="1267">
        <f t="shared" si="5"/>
        <v>-94306000000</v>
      </c>
      <c r="GP32" s="1267">
        <f t="shared" si="5"/>
        <v>-367058000000</v>
      </c>
      <c r="GQ32" s="1267">
        <f t="shared" si="5"/>
        <v>84565000000</v>
      </c>
      <c r="GV32" s="1267">
        <f t="shared" si="0"/>
        <v>16631000000</v>
      </c>
      <c r="GW32" s="1267">
        <f t="shared" si="1"/>
        <v>38612000000</v>
      </c>
      <c r="GX32" s="1267">
        <f t="shared" si="1"/>
        <v>44346000000</v>
      </c>
      <c r="GY32" s="1267">
        <f t="shared" si="1"/>
        <v>20480000000</v>
      </c>
      <c r="GZ32" s="1267">
        <f t="shared" si="1"/>
        <v>23866000000</v>
      </c>
      <c r="HA32" s="1267">
        <f t="shared" si="1"/>
        <v>-5734000000</v>
      </c>
      <c r="HB32" s="1267">
        <f t="shared" si="1"/>
        <v>-30843000000</v>
      </c>
      <c r="HC32" s="1267">
        <f t="shared" si="1"/>
        <v>-3877000000</v>
      </c>
      <c r="HD32" s="1267">
        <f t="shared" si="1"/>
        <v>-33386000000</v>
      </c>
      <c r="HE32" s="1267">
        <f t="shared" si="2"/>
        <v>7868000000</v>
      </c>
      <c r="HL32" s="1267">
        <f t="shared" si="22"/>
        <v>6.1100878784260126E-3</v>
      </c>
      <c r="HM32" s="1267">
        <f t="shared" si="15"/>
        <v>5.3809778936674137E-2</v>
      </c>
      <c r="HN32" s="1267">
        <f t="shared" si="15"/>
        <v>7.0440366995605602E-2</v>
      </c>
      <c r="HO32" s="1267">
        <f t="shared" si="15"/>
        <v>-9.718328811679857E-3</v>
      </c>
      <c r="HP32" s="1267">
        <f t="shared" si="15"/>
        <v>-8.720885759320493E-3</v>
      </c>
      <c r="HQ32" s="1267">
        <f t="shared" si="15"/>
        <v>7.5769581214323034E-5</v>
      </c>
      <c r="HR32" s="1267">
        <f t="shared" si="15"/>
        <v>-2.1683481249255662E-2</v>
      </c>
      <c r="HS32" s="1267">
        <f t="shared" si="23"/>
        <v>-3.4476998839229195E-3</v>
      </c>
      <c r="HU32" s="1267">
        <v>5.5183178736237445E-3</v>
      </c>
      <c r="HV32" s="1267">
        <f t="shared" si="24"/>
        <v>-1.1038064091992983E-2</v>
      </c>
      <c r="HW32" s="1267">
        <f t="shared" ref="HW32:HW60" si="29">((AD32-AG32)/(H31-J31))-((DS32-DV32)/(CV31-CX31))</f>
        <v>-1.2176588029485985E-2</v>
      </c>
    </row>
    <row r="33" spans="4:245">
      <c r="D33" s="1267" t="s">
        <v>2926</v>
      </c>
      <c r="F33" s="1267">
        <v>2098851000000</v>
      </c>
      <c r="H33" s="1267">
        <f t="shared" si="6"/>
        <v>2098851000000</v>
      </c>
      <c r="I33" s="1267">
        <v>782947000000</v>
      </c>
      <c r="J33" s="1267">
        <v>682896000000</v>
      </c>
      <c r="K33" s="1267">
        <v>100051000000</v>
      </c>
      <c r="L33" s="1267">
        <v>305186000000</v>
      </c>
      <c r="M33" s="1267">
        <v>128662000000</v>
      </c>
      <c r="N33" s="1267">
        <v>176524000000</v>
      </c>
      <c r="O33" s="1267">
        <v>866539000000</v>
      </c>
      <c r="P33" s="1267">
        <v>144179000000</v>
      </c>
      <c r="R33" s="1311"/>
      <c r="T33" s="1267">
        <f>'BEA int transactions'!D36*1000000</f>
        <v>105747000000</v>
      </c>
      <c r="U33" s="1267">
        <f>'BEA int transactions'!E36*1000000</f>
        <v>21701000000</v>
      </c>
      <c r="V33" s="1267">
        <v>11339000000</v>
      </c>
      <c r="W33" s="1267">
        <v>10362000000</v>
      </c>
      <c r="X33" s="1267">
        <f>1000000*'BEA int transactions'!F36</f>
        <v>4589000000</v>
      </c>
      <c r="Y33" s="1267">
        <v>1102000000</v>
      </c>
      <c r="Z33" s="1267">
        <v>6878000000</v>
      </c>
      <c r="AA33" s="1267">
        <f>1000000*'BEA int transactions'!G36</f>
        <v>75544000000</v>
      </c>
      <c r="AB33" s="1267">
        <f>1000000*'BEA int transactions'!H36</f>
        <v>3913000000</v>
      </c>
      <c r="AD33" s="1267">
        <v>136712000000</v>
      </c>
      <c r="AF33" s="1267">
        <v>58444000000</v>
      </c>
      <c r="AG33" s="1267">
        <v>59746000000</v>
      </c>
      <c r="AH33" s="1267">
        <v>41744000000</v>
      </c>
      <c r="AI33" s="1267">
        <v>18002000000</v>
      </c>
      <c r="AJ33" s="1267">
        <v>-1302000000</v>
      </c>
      <c r="AK33" s="1267">
        <v>12413000000</v>
      </c>
      <c r="AL33" s="1267">
        <v>3246000000</v>
      </c>
      <c r="AM33" s="1267">
        <v>9167000000</v>
      </c>
      <c r="AN33" s="1267">
        <v>64860000000</v>
      </c>
      <c r="AR33" s="1267">
        <f t="shared" si="7"/>
        <v>142888000000</v>
      </c>
      <c r="AT33" s="1267">
        <f t="shared" si="8"/>
        <v>79495000000</v>
      </c>
      <c r="AU33" s="1267">
        <f t="shared" si="8"/>
        <v>79707000000</v>
      </c>
      <c r="AV33" s="1267">
        <f t="shared" si="8"/>
        <v>-212000000</v>
      </c>
      <c r="AW33" s="1267">
        <f t="shared" si="9"/>
        <v>85312000000</v>
      </c>
      <c r="AX33" s="1267">
        <f t="shared" si="9"/>
        <v>32860000000</v>
      </c>
      <c r="AY33" s="1267">
        <f t="shared" si="9"/>
        <v>49061000000</v>
      </c>
      <c r="AZ33" s="1267">
        <f t="shared" si="9"/>
        <v>185000000</v>
      </c>
      <c r="BX33" s="1267">
        <f t="shared" si="10"/>
        <v>7.3889751250664784E-2</v>
      </c>
      <c r="BY33" s="1267">
        <f t="shared" si="11"/>
        <v>7.3889751250664784E-2</v>
      </c>
      <c r="BZ33" s="1267">
        <f t="shared" si="16"/>
        <v>8.572631356609671E-2</v>
      </c>
      <c r="CA33" s="1267">
        <f t="shared" si="16"/>
        <v>0.10094787530624313</v>
      </c>
      <c r="CB33" s="1267">
        <f t="shared" si="25"/>
        <v>8.3782968598143364E-3</v>
      </c>
      <c r="CC33" s="1267">
        <f t="shared" si="26"/>
        <v>5.7658452748681976E-2</v>
      </c>
      <c r="CD33" s="1267">
        <f t="shared" si="26"/>
        <v>3.4276663146779303E-2</v>
      </c>
      <c r="CE33" s="1267">
        <f t="shared" si="26"/>
        <v>7.602106397976531E-2</v>
      </c>
      <c r="CF33" s="1267">
        <f t="shared" si="12"/>
        <v>8.2017172266410393E-2</v>
      </c>
      <c r="CT33" s="1267">
        <v>2077372276903.8201</v>
      </c>
      <c r="CV33" s="1267">
        <f t="shared" si="13"/>
        <v>2077372276903.8201</v>
      </c>
      <c r="CW33" s="1267">
        <v>482015000000</v>
      </c>
      <c r="CX33" s="1267">
        <v>304288000000</v>
      </c>
      <c r="CY33" s="1267">
        <v>177727000000</v>
      </c>
      <c r="CZ33" s="1267">
        <v>784911000000</v>
      </c>
      <c r="DA33" s="1267">
        <v>213813000000</v>
      </c>
      <c r="DB33" s="1267">
        <v>571098000000</v>
      </c>
      <c r="DC33" s="1267">
        <v>810446000000</v>
      </c>
      <c r="DH33" s="1267">
        <f>1000000*'BEA int transactions'!I36</f>
        <v>244008000000</v>
      </c>
      <c r="DI33" s="1267">
        <f>1000000*'BEA int transactions'!J36</f>
        <v>56910000000</v>
      </c>
      <c r="DJ33" s="1267">
        <v>46174000000</v>
      </c>
      <c r="DK33" s="1267">
        <v>10736000000</v>
      </c>
      <c r="DL33" s="1267">
        <f>1000000*'BEA int transactions'!K36</f>
        <v>86786000000</v>
      </c>
      <c r="DM33" s="1267">
        <v>-2877000000</v>
      </c>
      <c r="DN33" s="1267">
        <v>76730000000</v>
      </c>
      <c r="DO33" s="1267">
        <f>1000000*'BEA int transactions'!L36</f>
        <v>100312000000</v>
      </c>
      <c r="DS33" s="1267">
        <v>116190000000</v>
      </c>
      <c r="DU33" s="1267">
        <v>12153000000</v>
      </c>
      <c r="DV33" s="1267">
        <v>7242000000</v>
      </c>
      <c r="DW33" s="1267">
        <v>6114000000</v>
      </c>
      <c r="DX33" s="1267">
        <v>1128000000</v>
      </c>
      <c r="DY33" s="1267">
        <v>4911000000</v>
      </c>
      <c r="DZ33" s="1267">
        <v>47592000000</v>
      </c>
      <c r="EA33" s="1267">
        <v>7122000000</v>
      </c>
      <c r="EB33" s="1267">
        <v>47592000000</v>
      </c>
      <c r="EC33" s="1267">
        <v>56445000000</v>
      </c>
      <c r="EF33" s="1279"/>
      <c r="EG33" s="1279">
        <f t="shared" si="17"/>
        <v>42764504442.870117</v>
      </c>
      <c r="EH33" s="1279"/>
      <c r="EI33" s="1279">
        <f t="shared" si="18"/>
        <v>17399000000</v>
      </c>
      <c r="EJ33" s="1279">
        <f t="shared" si="14"/>
        <v>17594000000</v>
      </c>
      <c r="EK33" s="1279">
        <f t="shared" si="14"/>
        <v>-195000000</v>
      </c>
      <c r="EL33" s="1279">
        <f t="shared" si="14"/>
        <v>21476000000</v>
      </c>
      <c r="EM33" s="1279">
        <f t="shared" si="14"/>
        <v>27684000000</v>
      </c>
      <c r="EN33" s="1279">
        <f t="shared" si="14"/>
        <v>6725000000</v>
      </c>
      <c r="EO33" s="1279">
        <f t="shared" si="14"/>
        <v>3889000000</v>
      </c>
      <c r="FP33" s="1267">
        <f t="shared" si="19"/>
        <v>6.488887231361129E-2</v>
      </c>
      <c r="FQ33" s="1267">
        <f t="shared" si="20"/>
        <v>2.9808244175950318E-2</v>
      </c>
      <c r="FR33" s="1267">
        <f t="shared" si="20"/>
        <v>3.0109762181939132E-2</v>
      </c>
      <c r="FS33" s="1267">
        <f t="shared" si="27"/>
        <v>2.9374469154115776E-2</v>
      </c>
      <c r="FT33" s="1267">
        <f t="shared" si="27"/>
        <v>7.0334841254476102E-2</v>
      </c>
      <c r="FU33" s="1267">
        <f t="shared" si="28"/>
        <v>3.7681343449414303E-2</v>
      </c>
      <c r="FV33" s="1267">
        <f t="shared" si="28"/>
        <v>9.7595987228361727E-2</v>
      </c>
      <c r="FW33" s="1267">
        <f t="shared" si="21"/>
        <v>7.9922689718157303E-2</v>
      </c>
      <c r="GJ33" s="1267">
        <f t="shared" si="3"/>
        <v>21478723096.179932</v>
      </c>
      <c r="GK33" s="1267">
        <f t="shared" si="4"/>
        <v>300932000000</v>
      </c>
      <c r="GL33" s="1267">
        <f t="shared" si="4"/>
        <v>378608000000</v>
      </c>
      <c r="GM33" s="1267">
        <f t="shared" si="4"/>
        <v>-77676000000</v>
      </c>
      <c r="GN33" s="1267">
        <f t="shared" si="5"/>
        <v>-479725000000</v>
      </c>
      <c r="GO33" s="1267">
        <f t="shared" si="5"/>
        <v>-85151000000</v>
      </c>
      <c r="GP33" s="1267">
        <f t="shared" si="5"/>
        <v>-394574000000</v>
      </c>
      <c r="GQ33" s="1267">
        <f t="shared" si="5"/>
        <v>56093000000</v>
      </c>
      <c r="GV33" s="1267">
        <f t="shared" si="0"/>
        <v>20522000000</v>
      </c>
      <c r="GW33" s="1267">
        <f t="shared" si="1"/>
        <v>46291000000</v>
      </c>
      <c r="GX33" s="1267">
        <f t="shared" si="1"/>
        <v>52504000000</v>
      </c>
      <c r="GY33" s="1267">
        <f t="shared" si="1"/>
        <v>35630000000</v>
      </c>
      <c r="GZ33" s="1267">
        <f t="shared" si="1"/>
        <v>16874000000</v>
      </c>
      <c r="HA33" s="1267">
        <f t="shared" si="1"/>
        <v>-6213000000</v>
      </c>
      <c r="HB33" s="1267">
        <f t="shared" si="1"/>
        <v>-35179000000</v>
      </c>
      <c r="HC33" s="1267">
        <f t="shared" si="1"/>
        <v>-3876000000</v>
      </c>
      <c r="HD33" s="1267">
        <f t="shared" si="1"/>
        <v>-38425000000</v>
      </c>
      <c r="HE33" s="1267">
        <f t="shared" si="2"/>
        <v>8415000000</v>
      </c>
      <c r="HL33" s="1267">
        <f t="shared" si="22"/>
        <v>9.0008789370534942E-3</v>
      </c>
      <c r="HM33" s="1267">
        <f t="shared" si="15"/>
        <v>5.5918069390146388E-2</v>
      </c>
      <c r="HN33" s="1267">
        <f t="shared" si="15"/>
        <v>7.0838113124304006E-2</v>
      </c>
      <c r="HO33" s="1267">
        <f t="shared" si="15"/>
        <v>-2.0996172294301438E-2</v>
      </c>
      <c r="HP33" s="1267">
        <f t="shared" si="15"/>
        <v>-1.2676388505794126E-2</v>
      </c>
      <c r="HQ33" s="1267">
        <f t="shared" si="15"/>
        <v>-3.4046803026350006E-3</v>
      </c>
      <c r="HR33" s="1267">
        <f t="shared" si="15"/>
        <v>-2.1574923248596417E-2</v>
      </c>
      <c r="HS33" s="1267">
        <f t="shared" si="23"/>
        <v>2.0944825482530904E-3</v>
      </c>
      <c r="HU33" s="1267">
        <v>8.4631121337873372E-3</v>
      </c>
      <c r="HV33" s="1267">
        <f t="shared" si="24"/>
        <v>-8.2477683159371817E-3</v>
      </c>
      <c r="HW33" s="1267">
        <f t="shared" si="29"/>
        <v>-9.1219696482600574E-3</v>
      </c>
    </row>
    <row r="34" spans="4:245">
      <c r="D34" s="1267" t="s">
        <v>2927</v>
      </c>
      <c r="F34" s="1267">
        <v>2447740000000</v>
      </c>
      <c r="H34" s="1267">
        <f t="shared" si="6"/>
        <v>2447740000000</v>
      </c>
      <c r="I34" s="1267">
        <v>929965000000</v>
      </c>
      <c r="J34" s="1267">
        <v>804307000000</v>
      </c>
      <c r="K34" s="1267">
        <v>125658000000</v>
      </c>
      <c r="L34" s="1267">
        <v>395727000000</v>
      </c>
      <c r="M34" s="1267">
        <v>197345000000</v>
      </c>
      <c r="N34" s="1267">
        <v>198382000000</v>
      </c>
      <c r="O34" s="1267">
        <v>953334000000</v>
      </c>
      <c r="P34" s="1267">
        <v>168714000000</v>
      </c>
      <c r="R34" s="1311"/>
      <c r="T34" s="1267">
        <f>'BEA int transactions'!D37*1000000</f>
        <v>182908000000</v>
      </c>
      <c r="U34" s="1267">
        <f>'BEA int transactions'!E37*1000000</f>
        <v>50973000000</v>
      </c>
      <c r="V34" s="1267">
        <v>24930000000</v>
      </c>
      <c r="W34" s="1267">
        <v>26050000000</v>
      </c>
      <c r="X34" s="1267">
        <f>1000000*'BEA int transactions'!F37</f>
        <v>31166000000</v>
      </c>
      <c r="Y34" s="1267">
        <v>17220000000</v>
      </c>
      <c r="Z34" s="1267">
        <v>4857000000</v>
      </c>
      <c r="AA34" s="1267">
        <f>1000000*'BEA int transactions'!G37</f>
        <v>75476000000</v>
      </c>
      <c r="AB34" s="1267">
        <f>1000000*'BEA int transactions'!H37</f>
        <v>25293000000</v>
      </c>
      <c r="AD34" s="1267">
        <v>161290000000</v>
      </c>
      <c r="AF34" s="1267">
        <v>61970000000</v>
      </c>
      <c r="AG34" s="1267">
        <v>61790000000</v>
      </c>
      <c r="AH34" s="1267">
        <v>43260000000</v>
      </c>
      <c r="AI34" s="1267">
        <v>18530000000</v>
      </c>
      <c r="AJ34" s="1267">
        <v>180000000</v>
      </c>
      <c r="AK34" s="1267">
        <v>14810000000</v>
      </c>
      <c r="AL34" s="1267">
        <v>4470000000</v>
      </c>
      <c r="AM34" s="1267">
        <v>10340000000</v>
      </c>
      <c r="AN34" s="1267">
        <v>83490000000</v>
      </c>
      <c r="AR34" s="1267">
        <f t="shared" si="7"/>
        <v>165981000000</v>
      </c>
      <c r="AT34" s="1267">
        <f t="shared" si="8"/>
        <v>96045000000</v>
      </c>
      <c r="AU34" s="1267">
        <f t="shared" si="8"/>
        <v>96481000000</v>
      </c>
      <c r="AV34" s="1267">
        <f t="shared" si="8"/>
        <v>-443000000</v>
      </c>
      <c r="AW34" s="1267">
        <f t="shared" si="9"/>
        <v>59375000000</v>
      </c>
      <c r="AX34" s="1267">
        <f t="shared" si="9"/>
        <v>51463000000</v>
      </c>
      <c r="AY34" s="1267">
        <f t="shared" si="9"/>
        <v>17001000000</v>
      </c>
      <c r="AZ34" s="1267">
        <f t="shared" si="9"/>
        <v>11319000000</v>
      </c>
      <c r="BX34" s="1267">
        <f t="shared" si="10"/>
        <v>7.6846808086900878E-2</v>
      </c>
      <c r="BY34" s="1267">
        <f t="shared" si="11"/>
        <v>7.6846808086900878E-2</v>
      </c>
      <c r="BZ34" s="1267">
        <f t="shared" si="16"/>
        <v>7.9149674243595036E-2</v>
      </c>
      <c r="CA34" s="1267">
        <f t="shared" si="16"/>
        <v>9.0482298915208176E-2</v>
      </c>
      <c r="CB34" s="1267">
        <f t="shared" si="25"/>
        <v>7.4783504895491624E-3</v>
      </c>
      <c r="CC34" s="1267">
        <f t="shared" si="26"/>
        <v>4.8527783056889894E-2</v>
      </c>
      <c r="CD34" s="1267">
        <f t="shared" si="26"/>
        <v>3.4742192722015827E-2</v>
      </c>
      <c r="CE34" s="1267">
        <f t="shared" si="26"/>
        <v>5.857560445038635E-2</v>
      </c>
      <c r="CF34" s="1267">
        <f t="shared" si="12"/>
        <v>9.6348808305223424E-2</v>
      </c>
      <c r="CT34" s="1267">
        <v>2481452786238.0698</v>
      </c>
      <c r="CV34" s="1267">
        <f t="shared" si="13"/>
        <v>2481452786238.0698</v>
      </c>
      <c r="CW34" s="1267">
        <v>632239000000</v>
      </c>
      <c r="CX34" s="1267">
        <v>422868000000</v>
      </c>
      <c r="CY34" s="1267">
        <v>209371000000</v>
      </c>
      <c r="CZ34" s="1267">
        <v>958808000000</v>
      </c>
      <c r="DA34" s="1267">
        <v>276100000000</v>
      </c>
      <c r="DB34" s="1267">
        <v>682708000000</v>
      </c>
      <c r="DC34" s="1267">
        <v>890406000000</v>
      </c>
      <c r="DH34" s="1267">
        <f>1000000*'BEA int transactions'!I37</f>
        <v>230302000000</v>
      </c>
      <c r="DI34" s="1267">
        <f>1000000*'BEA int transactions'!J37</f>
        <v>75801000000</v>
      </c>
      <c r="DJ34" s="1267">
        <v>43640000000</v>
      </c>
      <c r="DK34" s="1267">
        <v>32140000000</v>
      </c>
      <c r="DL34" s="1267">
        <f>1000000*'BEA int transactions'!K37</f>
        <v>74852000000</v>
      </c>
      <c r="DM34" s="1267">
        <v>8990000000</v>
      </c>
      <c r="DN34" s="1267">
        <v>86730000000</v>
      </c>
      <c r="DO34" s="1267">
        <f>1000000*'BEA int transactions'!L37</f>
        <v>79649000000</v>
      </c>
      <c r="DS34" s="1267">
        <v>139190000000</v>
      </c>
      <c r="DU34" s="1267">
        <v>7050000000</v>
      </c>
      <c r="DV34" s="1267">
        <v>-170000000</v>
      </c>
      <c r="DW34" s="1267">
        <v>7960000000</v>
      </c>
      <c r="DX34" s="1267">
        <v>-8130000000</v>
      </c>
      <c r="DY34" s="1267">
        <v>7220000000</v>
      </c>
      <c r="DZ34" s="1267">
        <v>57030000000</v>
      </c>
      <c r="EA34" s="1267">
        <v>8320000000</v>
      </c>
      <c r="EB34" s="1267">
        <v>57030000000</v>
      </c>
      <c r="EC34" s="1267">
        <v>75110000000</v>
      </c>
      <c r="EF34" s="1279"/>
      <c r="EG34" s="1279">
        <f t="shared" si="17"/>
        <v>173778509334.24976</v>
      </c>
      <c r="EH34" s="1279"/>
      <c r="EI34" s="1279">
        <f t="shared" si="18"/>
        <v>74423000000</v>
      </c>
      <c r="EJ34" s="1279">
        <f t="shared" si="14"/>
        <v>74940000000</v>
      </c>
      <c r="EK34" s="1279">
        <f t="shared" si="14"/>
        <v>-496000000</v>
      </c>
      <c r="EL34" s="1279">
        <f t="shared" si="14"/>
        <v>99045000000</v>
      </c>
      <c r="EM34" s="1279">
        <f t="shared" si="14"/>
        <v>53297000000</v>
      </c>
      <c r="EN34" s="1279">
        <f t="shared" si="14"/>
        <v>24880000000</v>
      </c>
      <c r="EO34" s="1279">
        <f t="shared" si="14"/>
        <v>311000000</v>
      </c>
      <c r="FP34" s="1267">
        <f t="shared" si="19"/>
        <v>6.7002915918110292E-2</v>
      </c>
      <c r="FQ34" s="1267">
        <f t="shared" si="20"/>
        <v>1.4626100847483999E-2</v>
      </c>
      <c r="FR34" s="1267">
        <f t="shared" si="20"/>
        <v>-5.5868124934272789E-4</v>
      </c>
      <c r="FS34" s="1267">
        <f t="shared" si="27"/>
        <v>4.0624103259493491E-2</v>
      </c>
      <c r="FT34" s="1267">
        <f t="shared" si="27"/>
        <v>7.2657919178097899E-2</v>
      </c>
      <c r="FU34" s="1267">
        <f t="shared" si="28"/>
        <v>3.8912507658561454E-2</v>
      </c>
      <c r="FV34" s="1267">
        <f t="shared" si="28"/>
        <v>9.9860269165712362E-2</v>
      </c>
      <c r="FW34" s="1267">
        <f t="shared" si="21"/>
        <v>9.2677365302561793E-2</v>
      </c>
      <c r="GJ34" s="1267">
        <f t="shared" si="3"/>
        <v>-33712786238.069824</v>
      </c>
      <c r="GK34" s="1267">
        <f t="shared" si="4"/>
        <v>297726000000</v>
      </c>
      <c r="GL34" s="1267">
        <f t="shared" si="4"/>
        <v>381439000000</v>
      </c>
      <c r="GM34" s="1267">
        <f t="shared" si="4"/>
        <v>-83713000000</v>
      </c>
      <c r="GN34" s="1267">
        <f t="shared" si="5"/>
        <v>-563081000000</v>
      </c>
      <c r="GO34" s="1267">
        <f t="shared" si="5"/>
        <v>-78755000000</v>
      </c>
      <c r="GP34" s="1267">
        <f t="shared" si="5"/>
        <v>-484326000000</v>
      </c>
      <c r="GQ34" s="1267">
        <f t="shared" si="5"/>
        <v>62928000000</v>
      </c>
      <c r="GV34" s="1267">
        <f t="shared" si="0"/>
        <v>22100000000</v>
      </c>
      <c r="GW34" s="1267">
        <f t="shared" si="1"/>
        <v>54920000000</v>
      </c>
      <c r="GX34" s="1267">
        <f t="shared" si="1"/>
        <v>61960000000</v>
      </c>
      <c r="GY34" s="1267">
        <f t="shared" si="1"/>
        <v>35300000000</v>
      </c>
      <c r="GZ34" s="1267">
        <f t="shared" si="1"/>
        <v>26660000000</v>
      </c>
      <c r="HA34" s="1267">
        <f t="shared" si="1"/>
        <v>-7040000000</v>
      </c>
      <c r="HB34" s="1267">
        <f t="shared" si="1"/>
        <v>-42220000000</v>
      </c>
      <c r="HC34" s="1267">
        <f t="shared" si="1"/>
        <v>-3850000000</v>
      </c>
      <c r="HD34" s="1267">
        <f t="shared" si="1"/>
        <v>-46690000000</v>
      </c>
      <c r="HE34" s="1267">
        <f t="shared" si="2"/>
        <v>8380000000</v>
      </c>
      <c r="HL34" s="1267">
        <f t="shared" si="22"/>
        <v>9.8438921687905856E-3</v>
      </c>
      <c r="HM34" s="1267">
        <f t="shared" si="15"/>
        <v>6.4523573396111034E-2</v>
      </c>
      <c r="HN34" s="1267">
        <f t="shared" si="15"/>
        <v>9.1040980164550908E-2</v>
      </c>
      <c r="HO34" s="1267">
        <f t="shared" si="15"/>
        <v>-3.3145752769944331E-2</v>
      </c>
      <c r="HP34" s="1267">
        <f t="shared" si="15"/>
        <v>-2.4130136121208005E-2</v>
      </c>
      <c r="HQ34" s="1267">
        <f t="shared" si="15"/>
        <v>-4.1703149365456271E-3</v>
      </c>
      <c r="HR34" s="1267">
        <f t="shared" si="15"/>
        <v>-4.1284664715326012E-2</v>
      </c>
      <c r="HS34" s="1267">
        <f t="shared" si="23"/>
        <v>3.6714430026616313E-3</v>
      </c>
      <c r="HU34" s="1267">
        <v>9.3579030513182282E-3</v>
      </c>
      <c r="HV34" s="1267">
        <f t="shared" si="24"/>
        <v>-7.3512111944868813E-3</v>
      </c>
      <c r="HW34" s="1267">
        <f t="shared" si="29"/>
        <v>-8.3269100622774261E-3</v>
      </c>
    </row>
    <row r="35" spans="4:245">
      <c r="D35" s="1267" t="s">
        <v>2928</v>
      </c>
      <c r="F35" s="1267">
        <v>2415654000000</v>
      </c>
      <c r="H35" s="1267">
        <f t="shared" si="6"/>
        <v>2415654000000</v>
      </c>
      <c r="I35" s="1267">
        <v>853331000000</v>
      </c>
      <c r="J35" s="1267">
        <v>704136000000</v>
      </c>
      <c r="K35" s="1267">
        <v>149195000000</v>
      </c>
      <c r="L35" s="1267">
        <v>425538000000</v>
      </c>
      <c r="M35" s="1267">
        <v>197596000000</v>
      </c>
      <c r="N35" s="1267">
        <v>227942000000</v>
      </c>
      <c r="O35" s="1267">
        <v>962121000000</v>
      </c>
      <c r="P35" s="1267">
        <v>174664000000</v>
      </c>
      <c r="R35" s="1311"/>
      <c r="T35" s="1267">
        <f>'BEA int transactions'!D38*1000000</f>
        <v>103985000000</v>
      </c>
      <c r="U35" s="1267">
        <f>'BEA int transactions'!E38*1000000</f>
        <v>59934000000</v>
      </c>
      <c r="V35" s="1267">
        <v>36380000000</v>
      </c>
      <c r="W35" s="1267">
        <v>23560000000</v>
      </c>
      <c r="X35" s="1267">
        <f>1000000*'BEA int transactions'!F38</f>
        <v>30557000000</v>
      </c>
      <c r="Y35" s="1267">
        <v>7410000000</v>
      </c>
      <c r="Z35" s="1267">
        <v>21361000000</v>
      </c>
      <c r="AA35" s="1267">
        <f>1000000*'BEA int transactions'!G38</f>
        <v>11336000000</v>
      </c>
      <c r="AB35" s="1267">
        <f>1000000*'BEA int transactions'!H38</f>
        <v>2158000000</v>
      </c>
      <c r="AD35" s="1267">
        <v>171750000000</v>
      </c>
      <c r="AF35" s="1267">
        <v>65980000000</v>
      </c>
      <c r="AG35" s="1267">
        <v>64200000000</v>
      </c>
      <c r="AH35" s="1267">
        <v>36560000000</v>
      </c>
      <c r="AI35" s="1267">
        <v>27640000000</v>
      </c>
      <c r="AJ35" s="1267">
        <v>1780000000</v>
      </c>
      <c r="AK35" s="1267">
        <v>18980000000</v>
      </c>
      <c r="AL35" s="1267">
        <v>6950000000</v>
      </c>
      <c r="AM35" s="1267">
        <v>12030000000</v>
      </c>
      <c r="AN35" s="1267">
        <v>85620000000</v>
      </c>
      <c r="AR35" s="1267">
        <f t="shared" si="7"/>
        <v>-136071000000</v>
      </c>
      <c r="AT35" s="1267">
        <f t="shared" si="8"/>
        <v>-136568000000</v>
      </c>
      <c r="AU35" s="1267">
        <f t="shared" si="8"/>
        <v>-136551000000</v>
      </c>
      <c r="AV35" s="1267">
        <f t="shared" si="8"/>
        <v>-23000000</v>
      </c>
      <c r="AW35" s="1267">
        <f t="shared" si="9"/>
        <v>-746000000</v>
      </c>
      <c r="AX35" s="1267">
        <f t="shared" si="9"/>
        <v>-7159000000</v>
      </c>
      <c r="AY35" s="1267">
        <f t="shared" si="9"/>
        <v>8199000000</v>
      </c>
      <c r="AZ35" s="1267">
        <f t="shared" si="9"/>
        <v>-2549000000</v>
      </c>
      <c r="BX35" s="1267">
        <f t="shared" si="10"/>
        <v>7.0166766078096535E-2</v>
      </c>
      <c r="BY35" s="1267">
        <f t="shared" si="11"/>
        <v>7.0166766078096535E-2</v>
      </c>
      <c r="BZ35" s="1267">
        <f t="shared" si="16"/>
        <v>7.0948906679283635E-2</v>
      </c>
      <c r="CA35" s="1267">
        <f t="shared" si="16"/>
        <v>7.9820267634124781E-2</v>
      </c>
      <c r="CB35" s="1267">
        <f t="shared" si="25"/>
        <v>9.3291821232997698E-3</v>
      </c>
      <c r="CC35" s="1267">
        <f t="shared" si="26"/>
        <v>4.7962357888140059E-2</v>
      </c>
      <c r="CD35" s="1267">
        <f t="shared" si="26"/>
        <v>3.521751247814741E-2</v>
      </c>
      <c r="CE35" s="1267">
        <f t="shared" si="26"/>
        <v>6.0640582310895141E-2</v>
      </c>
      <c r="CF35" s="1267">
        <f t="shared" si="12"/>
        <v>8.9811126006205597E-2</v>
      </c>
      <c r="CT35" s="1267">
        <v>2565177351823.1401</v>
      </c>
      <c r="CV35" s="1267">
        <f t="shared" si="13"/>
        <v>2565177351823.1401</v>
      </c>
      <c r="CW35" s="1267">
        <v>661170000000</v>
      </c>
      <c r="CX35" s="1267">
        <v>421396000000</v>
      </c>
      <c r="CY35" s="1267">
        <v>239774000000</v>
      </c>
      <c r="CZ35" s="1267">
        <v>946844000000</v>
      </c>
      <c r="DA35" s="1267">
        <v>243789000000</v>
      </c>
      <c r="DB35" s="1267">
        <v>703055000000</v>
      </c>
      <c r="DC35" s="1267">
        <v>957163000000</v>
      </c>
      <c r="DH35" s="1267">
        <f>1000000*'BEA int transactions'!I38</f>
        <v>162109000000</v>
      </c>
      <c r="DI35" s="1267">
        <f>1000000*'BEA int transactions'!J38</f>
        <v>71247000000</v>
      </c>
      <c r="DJ35" s="1267">
        <v>42150000000</v>
      </c>
      <c r="DK35" s="1267">
        <v>29080000000</v>
      </c>
      <c r="DL35" s="1267">
        <f>1000000*'BEA int transactions'!K38</f>
        <v>25767000000</v>
      </c>
      <c r="DM35" s="1267">
        <v>-15960000000</v>
      </c>
      <c r="DN35" s="1267">
        <v>37970000000</v>
      </c>
      <c r="DO35" s="1267">
        <f>1000000*'BEA int transactions'!L38</f>
        <v>65095000000</v>
      </c>
      <c r="DS35" s="1267">
        <v>139730000000</v>
      </c>
      <c r="DU35" s="1267">
        <v>3450000000</v>
      </c>
      <c r="DV35" s="1267">
        <v>-4720000000</v>
      </c>
      <c r="DW35" s="1267">
        <v>9370000000</v>
      </c>
      <c r="DX35" s="1267">
        <v>-14090000000</v>
      </c>
      <c r="DY35" s="1267">
        <v>8170000000</v>
      </c>
      <c r="DZ35" s="1267">
        <v>63020000000</v>
      </c>
      <c r="EA35" s="1267">
        <v>9310000000</v>
      </c>
      <c r="EB35" s="1267">
        <v>63020000000</v>
      </c>
      <c r="EC35" s="1267">
        <v>73260000000</v>
      </c>
      <c r="EF35" s="1279"/>
      <c r="EG35" s="1279">
        <f t="shared" si="17"/>
        <v>-78384434414.929688</v>
      </c>
      <c r="EH35" s="1279"/>
      <c r="EI35" s="1279">
        <f t="shared" si="18"/>
        <v>-42316000000</v>
      </c>
      <c r="EJ35" s="1279">
        <f t="shared" si="14"/>
        <v>-43622000000</v>
      </c>
      <c r="EK35" s="1279">
        <f t="shared" si="14"/>
        <v>1323000000</v>
      </c>
      <c r="EL35" s="1279">
        <f t="shared" si="14"/>
        <v>-37731000000</v>
      </c>
      <c r="EM35" s="1279">
        <f t="shared" si="14"/>
        <v>-16351000000</v>
      </c>
      <c r="EN35" s="1279">
        <f t="shared" si="14"/>
        <v>-17623000000</v>
      </c>
      <c r="EO35" s="1279">
        <f t="shared" si="14"/>
        <v>1662000000</v>
      </c>
      <c r="FP35" s="1267">
        <f t="shared" si="19"/>
        <v>5.6309755629819325E-2</v>
      </c>
      <c r="FQ35" s="1267">
        <f t="shared" si="20"/>
        <v>5.4567971922010504E-3</v>
      </c>
      <c r="FR35" s="1267">
        <f t="shared" si="20"/>
        <v>-1.1161875573465006E-2</v>
      </c>
      <c r="FS35" s="1267">
        <f t="shared" si="27"/>
        <v>3.9021641010455126E-2</v>
      </c>
      <c r="FT35" s="1267">
        <f t="shared" si="27"/>
        <v>6.5727444910764196E-2</v>
      </c>
      <c r="FU35" s="1267">
        <f t="shared" si="28"/>
        <v>3.3719666787395873E-2</v>
      </c>
      <c r="FV35" s="1267">
        <f t="shared" si="28"/>
        <v>9.230886411174323E-2</v>
      </c>
      <c r="FW35" s="1267">
        <f t="shared" si="21"/>
        <v>8.22770736046253E-2</v>
      </c>
      <c r="GJ35" s="1267">
        <f t="shared" si="3"/>
        <v>-149523351823.14014</v>
      </c>
      <c r="GK35" s="1267">
        <f t="shared" si="4"/>
        <v>192161000000</v>
      </c>
      <c r="GL35" s="1267">
        <f t="shared" si="4"/>
        <v>282740000000</v>
      </c>
      <c r="GM35" s="1267">
        <f t="shared" si="4"/>
        <v>-90579000000</v>
      </c>
      <c r="GN35" s="1267">
        <f t="shared" si="5"/>
        <v>-521306000000</v>
      </c>
      <c r="GO35" s="1267">
        <f t="shared" si="5"/>
        <v>-46193000000</v>
      </c>
      <c r="GP35" s="1267">
        <f t="shared" si="5"/>
        <v>-475113000000</v>
      </c>
      <c r="GQ35" s="1267">
        <f t="shared" si="5"/>
        <v>4958000000</v>
      </c>
      <c r="GV35" s="1267">
        <f t="shared" si="0"/>
        <v>32020000000</v>
      </c>
      <c r="GW35" s="1267">
        <f t="shared" si="1"/>
        <v>62530000000</v>
      </c>
      <c r="GX35" s="1267">
        <f t="shared" si="1"/>
        <v>68920000000</v>
      </c>
      <c r="GY35" s="1267">
        <f t="shared" si="1"/>
        <v>27190000000</v>
      </c>
      <c r="GZ35" s="1267">
        <f t="shared" si="1"/>
        <v>41730000000</v>
      </c>
      <c r="HA35" s="1267">
        <f t="shared" si="1"/>
        <v>-6390000000</v>
      </c>
      <c r="HB35" s="1267">
        <f t="shared" si="1"/>
        <v>-44040000000</v>
      </c>
      <c r="HC35" s="1267">
        <f t="shared" si="1"/>
        <v>-2360000000</v>
      </c>
      <c r="HD35" s="1267">
        <f t="shared" si="1"/>
        <v>-50990000000</v>
      </c>
      <c r="HE35" s="1267">
        <f t="shared" si="2"/>
        <v>12360000000</v>
      </c>
      <c r="HL35" s="1267">
        <f t="shared" si="22"/>
        <v>1.385701044827721E-2</v>
      </c>
      <c r="HM35" s="1267">
        <f t="shared" si="15"/>
        <v>6.5492109487082589E-2</v>
      </c>
      <c r="HN35" s="1267">
        <f t="shared" si="15"/>
        <v>9.0982143207589794E-2</v>
      </c>
      <c r="HO35" s="1267">
        <f t="shared" si="15"/>
        <v>-2.9692458887155354E-2</v>
      </c>
      <c r="HP35" s="1267">
        <f t="shared" si="15"/>
        <v>-1.7765087022624138E-2</v>
      </c>
      <c r="HQ35" s="1267">
        <f t="shared" si="15"/>
        <v>1.497845690751537E-3</v>
      </c>
      <c r="HR35" s="1267">
        <f t="shared" si="15"/>
        <v>-3.1668281800848089E-2</v>
      </c>
      <c r="HS35" s="1267">
        <f t="shared" si="23"/>
        <v>7.5340524015802962E-3</v>
      </c>
      <c r="HU35" s="1267">
        <v>1.3379023355427913E-2</v>
      </c>
      <c r="HV35" s="1267">
        <f t="shared" si="24"/>
        <v>-4.0086482682588909E-3</v>
      </c>
      <c r="HW35" s="1267">
        <f t="shared" si="29"/>
        <v>-4.7272870522649529E-3</v>
      </c>
    </row>
    <row r="36" spans="4:245">
      <c r="D36" s="1267" t="s">
        <v>2929</v>
      </c>
      <c r="F36" s="1267">
        <v>2605674000000</v>
      </c>
      <c r="H36" s="1267">
        <f t="shared" si="6"/>
        <v>2605674000000</v>
      </c>
      <c r="I36" s="1267">
        <v>962582000000</v>
      </c>
      <c r="J36" s="1267">
        <v>803456000000</v>
      </c>
      <c r="K36" s="1267">
        <v>159126000000</v>
      </c>
      <c r="L36" s="1267">
        <v>525355000000</v>
      </c>
      <c r="M36" s="1267">
        <v>278976000000</v>
      </c>
      <c r="N36" s="1267">
        <v>246379000000</v>
      </c>
      <c r="O36" s="1267">
        <v>958514000000</v>
      </c>
      <c r="P36" s="1267">
        <v>159223000000</v>
      </c>
      <c r="R36" s="1311"/>
      <c r="T36" s="1267">
        <f>'BEA int transactions'!D39*1000000</f>
        <v>75753000000</v>
      </c>
      <c r="U36" s="1267">
        <f>'BEA int transactions'!E39*1000000</f>
        <v>49253000000</v>
      </c>
      <c r="V36" s="1267">
        <v>41210000000</v>
      </c>
      <c r="W36" s="1267">
        <v>8060000000</v>
      </c>
      <c r="X36" s="1267">
        <f>1000000*'BEA int transactions'!F39</f>
        <v>32053000000</v>
      </c>
      <c r="Y36" s="1267">
        <v>30660000000</v>
      </c>
      <c r="Z36" s="1267">
        <v>15017000000</v>
      </c>
      <c r="AA36" s="1267">
        <f>1000000*'BEA int transactions'!G39</f>
        <v>210000000</v>
      </c>
      <c r="AB36" s="1267">
        <f>1000000*'BEA int transactions'!H39</f>
        <v>-5763000000</v>
      </c>
      <c r="AD36" s="1267">
        <v>149240000000</v>
      </c>
      <c r="AF36" s="1267">
        <v>58720000000</v>
      </c>
      <c r="AG36" s="1267">
        <v>57470000000</v>
      </c>
      <c r="AH36" s="1267">
        <v>33950000000</v>
      </c>
      <c r="AI36" s="1267">
        <v>23520000000</v>
      </c>
      <c r="AJ36" s="1267">
        <v>1250000000</v>
      </c>
      <c r="AK36" s="1267">
        <v>22400000000</v>
      </c>
      <c r="AL36" s="1267">
        <v>7340000000</v>
      </c>
      <c r="AM36" s="1267">
        <v>15060000000</v>
      </c>
      <c r="AN36" s="1267">
        <v>66820000000</v>
      </c>
      <c r="AR36" s="1267">
        <f t="shared" si="7"/>
        <v>114267000000</v>
      </c>
      <c r="AT36" s="1267">
        <f t="shared" si="8"/>
        <v>59998000000</v>
      </c>
      <c r="AU36" s="1267">
        <f t="shared" si="8"/>
        <v>58110000000</v>
      </c>
      <c r="AV36" s="1267">
        <f t="shared" si="8"/>
        <v>1871000000</v>
      </c>
      <c r="AW36" s="1267">
        <f t="shared" si="9"/>
        <v>67764000000</v>
      </c>
      <c r="AX36" s="1267">
        <f t="shared" si="9"/>
        <v>50720000000</v>
      </c>
      <c r="AY36" s="1267">
        <f t="shared" si="9"/>
        <v>3420000000</v>
      </c>
      <c r="AZ36" s="1267">
        <f t="shared" si="9"/>
        <v>-3817000000</v>
      </c>
      <c r="BX36" s="1267">
        <f t="shared" si="10"/>
        <v>6.1780370864370479E-2</v>
      </c>
      <c r="BY36" s="1267">
        <f t="shared" si="11"/>
        <v>6.1780370864370479E-2</v>
      </c>
      <c r="BZ36" s="1267">
        <f t="shared" si="16"/>
        <v>6.8812688159694185E-2</v>
      </c>
      <c r="CA36" s="1267">
        <f t="shared" si="16"/>
        <v>8.1617755660838245E-2</v>
      </c>
      <c r="CB36" s="1267">
        <f t="shared" si="25"/>
        <v>1.1368579224168611E-2</v>
      </c>
      <c r="CC36" s="1267">
        <f t="shared" si="26"/>
        <v>5.2639247258764198E-2</v>
      </c>
      <c r="CD36" s="1267">
        <f t="shared" si="26"/>
        <v>3.7146500941314602E-2</v>
      </c>
      <c r="CE36" s="1267">
        <f t="shared" si="26"/>
        <v>6.6069438716866574E-2</v>
      </c>
      <c r="CF36" s="1267">
        <f t="shared" si="12"/>
        <v>6.9450723973387959E-2</v>
      </c>
      <c r="CT36" s="1267">
        <v>2848988439542.8301</v>
      </c>
      <c r="CV36" s="1267">
        <f t="shared" si="13"/>
        <v>2848988439542.8301</v>
      </c>
      <c r="CW36" s="1267">
        <v>804182000000</v>
      </c>
      <c r="CX36" s="1267">
        <v>555259000000</v>
      </c>
      <c r="CY36" s="1267">
        <v>248923000000</v>
      </c>
      <c r="CZ36" s="1267">
        <v>1076499000000</v>
      </c>
      <c r="DA36" s="1267">
        <v>298957000000</v>
      </c>
      <c r="DB36" s="1267">
        <v>777542000000</v>
      </c>
      <c r="DC36" s="1267">
        <v>968307000000</v>
      </c>
      <c r="DH36" s="1267">
        <f>1000000*'BEA int transactions'!I39</f>
        <v>119586000000</v>
      </c>
      <c r="DI36" s="1267">
        <f>1000000*'BEA int transactions'!J39</f>
        <v>34535000000</v>
      </c>
      <c r="DJ36" s="1267">
        <v>27510000000</v>
      </c>
      <c r="DK36" s="1267">
        <v>7040000000</v>
      </c>
      <c r="DL36" s="1267">
        <f>1000000*'BEA int transactions'!K39</f>
        <v>72562000000</v>
      </c>
      <c r="DM36" s="1267">
        <v>10420000000</v>
      </c>
      <c r="DN36" s="1267">
        <v>47120000000</v>
      </c>
      <c r="DO36" s="1267">
        <f>1000000*'BEA int transactions'!L39</f>
        <v>12489000000</v>
      </c>
      <c r="DS36" s="1267">
        <v>121090000000</v>
      </c>
      <c r="DU36" s="1267">
        <v>-2250000000</v>
      </c>
      <c r="DV36" s="1267">
        <v>-10710000000</v>
      </c>
      <c r="DW36" s="1267">
        <v>7600000000</v>
      </c>
      <c r="DX36" s="1267">
        <v>-18310000000</v>
      </c>
      <c r="DY36" s="1267">
        <v>8460000000</v>
      </c>
      <c r="DZ36" s="1267">
        <v>63880000000</v>
      </c>
      <c r="EA36" s="1267">
        <v>9520000000</v>
      </c>
      <c r="EB36" s="1267">
        <v>63880000000</v>
      </c>
      <c r="EC36" s="1267">
        <v>59460000000</v>
      </c>
      <c r="EF36" s="1279"/>
      <c r="EG36" s="1279">
        <f t="shared" si="17"/>
        <v>164225087719.68994</v>
      </c>
      <c r="EH36" s="1279"/>
      <c r="EI36" s="1279">
        <f t="shared" si="18"/>
        <v>108477000000</v>
      </c>
      <c r="EJ36" s="1279">
        <f t="shared" si="14"/>
        <v>106353000000</v>
      </c>
      <c r="EK36" s="1279">
        <f t="shared" si="14"/>
        <v>2109000000</v>
      </c>
      <c r="EL36" s="1279">
        <f t="shared" si="14"/>
        <v>57093000000</v>
      </c>
      <c r="EM36" s="1279">
        <f t="shared" si="14"/>
        <v>44748000000</v>
      </c>
      <c r="EN36" s="1279">
        <f t="shared" si="14"/>
        <v>27367000000</v>
      </c>
      <c r="EO36" s="1279">
        <f t="shared" si="14"/>
        <v>-1345000000</v>
      </c>
      <c r="FP36" s="1267">
        <f t="shared" si="19"/>
        <v>4.7205313080570473E-2</v>
      </c>
      <c r="FQ36" s="1267">
        <f t="shared" si="20"/>
        <v>-3.4030582149825309E-3</v>
      </c>
      <c r="FR36" s="1267">
        <f t="shared" si="20"/>
        <v>-2.5415523640471196E-2</v>
      </c>
      <c r="FS36" s="1267">
        <f t="shared" si="27"/>
        <v>3.5283225036909754E-2</v>
      </c>
      <c r="FT36" s="1267">
        <f t="shared" si="27"/>
        <v>6.7466235198195265E-2</v>
      </c>
      <c r="FU36" s="1267">
        <f t="shared" si="28"/>
        <v>3.9050162230453385E-2</v>
      </c>
      <c r="FV36" s="1267">
        <f t="shared" si="28"/>
        <v>9.0860601233189439E-2</v>
      </c>
      <c r="FW36" s="1267">
        <f t="shared" si="21"/>
        <v>6.2121080735465121E-2</v>
      </c>
      <c r="GJ36" s="1267">
        <f t="shared" si="3"/>
        <v>-243314439542.83008</v>
      </c>
      <c r="GK36" s="1267">
        <f t="shared" si="4"/>
        <v>158400000000</v>
      </c>
      <c r="GL36" s="1267">
        <f t="shared" si="4"/>
        <v>248197000000</v>
      </c>
      <c r="GM36" s="1267">
        <f t="shared" si="4"/>
        <v>-89797000000</v>
      </c>
      <c r="GN36" s="1267">
        <f t="shared" si="5"/>
        <v>-551144000000</v>
      </c>
      <c r="GO36" s="1267">
        <f t="shared" si="5"/>
        <v>-19981000000</v>
      </c>
      <c r="GP36" s="1267">
        <f t="shared" si="5"/>
        <v>-531163000000</v>
      </c>
      <c r="GQ36" s="1267">
        <f t="shared" si="5"/>
        <v>-9793000000</v>
      </c>
      <c r="GV36" s="1267">
        <f t="shared" si="0"/>
        <v>28150000000</v>
      </c>
      <c r="GW36" s="1267">
        <f t="shared" si="1"/>
        <v>60970000000</v>
      </c>
      <c r="GX36" s="1267">
        <f t="shared" si="1"/>
        <v>68180000000</v>
      </c>
      <c r="GY36" s="1267">
        <f t="shared" si="1"/>
        <v>26350000000</v>
      </c>
      <c r="GZ36" s="1267">
        <f t="shared" si="1"/>
        <v>41830000000</v>
      </c>
      <c r="HA36" s="1267">
        <f t="shared" si="1"/>
        <v>-7210000000</v>
      </c>
      <c r="HB36" s="1267">
        <f t="shared" si="1"/>
        <v>-41480000000</v>
      </c>
      <c r="HC36" s="1267">
        <f t="shared" si="1"/>
        <v>-2180000000</v>
      </c>
      <c r="HD36" s="1267">
        <f t="shared" si="1"/>
        <v>-48820000000</v>
      </c>
      <c r="HE36" s="1267">
        <f t="shared" si="2"/>
        <v>7360000000</v>
      </c>
      <c r="HL36" s="1267">
        <f t="shared" si="22"/>
        <v>1.4575057783800006E-2</v>
      </c>
      <c r="HM36" s="1267">
        <f t="shared" si="15"/>
        <v>7.2215746374676718E-2</v>
      </c>
      <c r="HN36" s="1267">
        <f t="shared" si="15"/>
        <v>0.10703327930130944</v>
      </c>
      <c r="HO36" s="1267">
        <f t="shared" si="15"/>
        <v>-2.3914645812741143E-2</v>
      </c>
      <c r="HP36" s="1267">
        <f t="shared" si="15"/>
        <v>-1.4826987939431067E-2</v>
      </c>
      <c r="HQ36" s="1267">
        <f t="shared" si="15"/>
        <v>-1.9036612891387833E-3</v>
      </c>
      <c r="HR36" s="1267">
        <f t="shared" si="15"/>
        <v>-2.4791162516322865E-2</v>
      </c>
      <c r="HS36" s="1267">
        <f t="shared" si="23"/>
        <v>7.329643237922838E-3</v>
      </c>
      <c r="HU36" s="1267">
        <v>1.4036894768793183E-2</v>
      </c>
      <c r="HV36" s="1267">
        <f t="shared" si="24"/>
        <v>-6.8397982649784986E-3</v>
      </c>
      <c r="HW36" s="1267">
        <f t="shared" si="29"/>
        <v>-7.8610824451504288E-3</v>
      </c>
    </row>
    <row r="37" spans="4:245">
      <c r="D37" s="1267" t="s">
        <v>2930</v>
      </c>
      <c r="F37" s="1267">
        <v>2611230000000</v>
      </c>
      <c r="H37" s="1267">
        <f t="shared" si="6"/>
        <v>2611230000000</v>
      </c>
      <c r="I37" s="1267">
        <v>943364000000</v>
      </c>
      <c r="J37" s="1267">
        <v>762212000000</v>
      </c>
      <c r="K37" s="1267">
        <v>181152000000</v>
      </c>
      <c r="L37" s="1267">
        <v>586206000000</v>
      </c>
      <c r="M37" s="1267">
        <v>314266000000</v>
      </c>
      <c r="N37" s="1267">
        <v>271940000000</v>
      </c>
      <c r="O37" s="1267">
        <v>934225000000</v>
      </c>
      <c r="P37" s="1267">
        <v>147435000000</v>
      </c>
      <c r="R37" s="1311"/>
      <c r="T37" s="1267">
        <f>'BEA int transactions'!D40*1000000</f>
        <v>84899000000</v>
      </c>
      <c r="U37" s="1267">
        <f>'BEA int transactions'!E40*1000000</f>
        <v>58755000000</v>
      </c>
      <c r="V37" s="1267">
        <v>36560000000</v>
      </c>
      <c r="W37" s="1267">
        <v>22210000000</v>
      </c>
      <c r="X37" s="1267">
        <f>1000000*'BEA int transactions'!F40</f>
        <v>50684000000</v>
      </c>
      <c r="Y37" s="1267">
        <v>32400000000</v>
      </c>
      <c r="Z37" s="1267">
        <v>16770000000</v>
      </c>
      <c r="AA37" s="1267">
        <f>1000000*'BEA int transactions'!G40</f>
        <v>-20639000000</v>
      </c>
      <c r="AB37" s="1267">
        <f>1000000*'BEA int transactions'!H40</f>
        <v>-3901000000</v>
      </c>
      <c r="AD37" s="1267">
        <v>133757000000</v>
      </c>
      <c r="AF37" s="1267">
        <v>57530000000</v>
      </c>
      <c r="AG37" s="1267">
        <v>56340000000</v>
      </c>
      <c r="AH37" s="1267">
        <v>34430000000</v>
      </c>
      <c r="AI37" s="1267">
        <v>21910000000</v>
      </c>
      <c r="AJ37" s="1267">
        <v>1190000000</v>
      </c>
      <c r="AK37" s="1267">
        <v>27519000000</v>
      </c>
      <c r="AL37" s="1267">
        <v>10079000000</v>
      </c>
      <c r="AM37" s="1267">
        <v>17440000000</v>
      </c>
      <c r="AN37" s="1267">
        <v>46912000000</v>
      </c>
      <c r="AR37" s="1267">
        <f t="shared" si="7"/>
        <v>-79343000000</v>
      </c>
      <c r="AT37" s="1267">
        <f t="shared" si="8"/>
        <v>-77973000000</v>
      </c>
      <c r="AU37" s="1267">
        <f t="shared" si="8"/>
        <v>-77804000000</v>
      </c>
      <c r="AV37" s="1267">
        <f t="shared" si="8"/>
        <v>-184000000</v>
      </c>
      <c r="AW37" s="1267">
        <f t="shared" si="9"/>
        <v>10167000000</v>
      </c>
      <c r="AX37" s="1267">
        <f t="shared" si="9"/>
        <v>2890000000</v>
      </c>
      <c r="AY37" s="1267">
        <f t="shared" si="9"/>
        <v>8791000000</v>
      </c>
      <c r="AZ37" s="1267">
        <f t="shared" si="9"/>
        <v>-3650000000</v>
      </c>
      <c r="BX37" s="1267">
        <f t="shared" si="10"/>
        <v>5.1332975652364804E-2</v>
      </c>
      <c r="BY37" s="1267">
        <f t="shared" si="11"/>
        <v>5.1332975652364804E-2</v>
      </c>
      <c r="BZ37" s="1267">
        <f t="shared" si="16"/>
        <v>5.9766336790008541E-2</v>
      </c>
      <c r="CA37" s="1267">
        <f t="shared" si="16"/>
        <v>7.0122072646168557E-2</v>
      </c>
      <c r="CB37" s="1267">
        <f t="shared" si="25"/>
        <v>1.3663933879890688E-2</v>
      </c>
      <c r="CC37" s="1267">
        <f t="shared" si="26"/>
        <v>5.2381722835035359E-2</v>
      </c>
      <c r="CD37" s="1267">
        <f t="shared" si="26"/>
        <v>3.612855586143611E-2</v>
      </c>
      <c r="CE37" s="1267">
        <f t="shared" si="26"/>
        <v>7.0785253613335555E-2</v>
      </c>
      <c r="CF37" s="1267">
        <f t="shared" si="12"/>
        <v>4.8942425462747546E-2</v>
      </c>
      <c r="CT37" s="1267">
        <v>3043358879013.2998</v>
      </c>
      <c r="CV37" s="1267">
        <f t="shared" si="13"/>
        <v>3043358879013.2998</v>
      </c>
      <c r="CW37" s="1267">
        <v>840912000000</v>
      </c>
      <c r="CX37" s="1267">
        <v>580997000000</v>
      </c>
      <c r="CY37" s="1267">
        <v>259915000000</v>
      </c>
      <c r="CZ37" s="1267">
        <v>1180655000000</v>
      </c>
      <c r="DA37" s="1267">
        <v>328988000000</v>
      </c>
      <c r="DB37" s="1267">
        <v>851667000000</v>
      </c>
      <c r="DC37" s="1267">
        <v>1021792000000</v>
      </c>
      <c r="DH37" s="1267">
        <f>1000000*'BEA int transactions'!I40</f>
        <v>178842000000</v>
      </c>
      <c r="DI37" s="1267">
        <f>1000000*'BEA int transactions'!J40</f>
        <v>30315000000</v>
      </c>
      <c r="DJ37" s="1267">
        <v>20010000000</v>
      </c>
      <c r="DK37" s="1267">
        <v>10300000000</v>
      </c>
      <c r="DL37" s="1267">
        <f>1000000*'BEA int transactions'!K40</f>
        <v>92199000000</v>
      </c>
      <c r="DM37" s="1267">
        <v>-5610000000</v>
      </c>
      <c r="DN37" s="1267">
        <v>77590000000</v>
      </c>
      <c r="DO37" s="1267">
        <f>1000000*'BEA int transactions'!L40</f>
        <v>56328000000</v>
      </c>
      <c r="DS37" s="1267">
        <v>104769000000</v>
      </c>
      <c r="DU37" s="1267">
        <v>2170000000</v>
      </c>
      <c r="DV37" s="1267">
        <v>-4580000000</v>
      </c>
      <c r="DW37" s="1267">
        <v>7030000000</v>
      </c>
      <c r="DX37" s="1267">
        <v>-11610000000</v>
      </c>
      <c r="DY37" s="1267">
        <v>6750000000</v>
      </c>
      <c r="DZ37" s="1267">
        <v>62130000000</v>
      </c>
      <c r="EA37" s="1267">
        <v>9612000000</v>
      </c>
      <c r="EB37" s="1267">
        <v>62130000000</v>
      </c>
      <c r="EC37" s="1267">
        <v>40469000000</v>
      </c>
      <c r="EF37" s="1279"/>
      <c r="EG37" s="1279">
        <f t="shared" si="17"/>
        <v>15528439470.469727</v>
      </c>
      <c r="EH37" s="1279"/>
      <c r="EI37" s="1279">
        <f t="shared" si="18"/>
        <v>6415000000</v>
      </c>
      <c r="EJ37" s="1279">
        <f t="shared" si="14"/>
        <v>5728000000</v>
      </c>
      <c r="EK37" s="1279">
        <f t="shared" si="14"/>
        <v>692000000</v>
      </c>
      <c r="EL37" s="1279">
        <f t="shared" si="14"/>
        <v>11957000000</v>
      </c>
      <c r="EM37" s="1279">
        <f t="shared" si="14"/>
        <v>35641000000</v>
      </c>
      <c r="EN37" s="1279">
        <f t="shared" si="14"/>
        <v>-3465000000</v>
      </c>
      <c r="EO37" s="1279">
        <f t="shared" si="14"/>
        <v>-2843000000</v>
      </c>
      <c r="FP37" s="1267">
        <f t="shared" si="19"/>
        <v>3.6774104993143465E-2</v>
      </c>
      <c r="FQ37" s="1267">
        <f t="shared" si="20"/>
        <v>2.6983941446090563E-3</v>
      </c>
      <c r="FR37" s="1267">
        <f t="shared" si="20"/>
        <v>-8.2484029975200754E-3</v>
      </c>
      <c r="FS37" s="1267">
        <f t="shared" si="27"/>
        <v>2.7116819257360709E-2</v>
      </c>
      <c r="FT37" s="1267">
        <f t="shared" si="27"/>
        <v>5.7714870148509193E-2</v>
      </c>
      <c r="FU37" s="1267">
        <f t="shared" si="28"/>
        <v>3.2151781025364853E-2</v>
      </c>
      <c r="FV37" s="1267">
        <f t="shared" si="28"/>
        <v>7.9905651398895494E-2</v>
      </c>
      <c r="FW37" s="1267">
        <f t="shared" si="21"/>
        <v>4.1793563404994488E-2</v>
      </c>
      <c r="GJ37" s="1267">
        <f t="shared" si="3"/>
        <v>-432128879013.2998</v>
      </c>
      <c r="GK37" s="1267">
        <f t="shared" si="4"/>
        <v>102452000000</v>
      </c>
      <c r="GL37" s="1267">
        <f t="shared" si="4"/>
        <v>181215000000</v>
      </c>
      <c r="GM37" s="1267">
        <f t="shared" si="4"/>
        <v>-78763000000</v>
      </c>
      <c r="GN37" s="1267">
        <f t="shared" si="5"/>
        <v>-594449000000</v>
      </c>
      <c r="GO37" s="1267">
        <f t="shared" si="5"/>
        <v>-14722000000</v>
      </c>
      <c r="GP37" s="1267">
        <f t="shared" si="5"/>
        <v>-579727000000</v>
      </c>
      <c r="GQ37" s="1267">
        <f t="shared" si="5"/>
        <v>-87567000000</v>
      </c>
      <c r="GV37" s="1267">
        <f t="shared" si="0"/>
        <v>28988000000</v>
      </c>
      <c r="GW37" s="1267">
        <f t="shared" si="1"/>
        <v>55360000000</v>
      </c>
      <c r="GX37" s="1267">
        <f t="shared" si="1"/>
        <v>60920000000</v>
      </c>
      <c r="GY37" s="1267">
        <f t="shared" si="1"/>
        <v>27400000000</v>
      </c>
      <c r="GZ37" s="1267">
        <f t="shared" si="1"/>
        <v>33520000000</v>
      </c>
      <c r="HA37" s="1267">
        <f t="shared" si="1"/>
        <v>-5560000000</v>
      </c>
      <c r="HB37" s="1267">
        <f t="shared" si="1"/>
        <v>-34611000000</v>
      </c>
      <c r="HC37" s="1267">
        <f t="shared" si="1"/>
        <v>467000000</v>
      </c>
      <c r="HD37" s="1267">
        <f t="shared" si="1"/>
        <v>-44690000000</v>
      </c>
      <c r="HE37" s="1267">
        <f t="shared" si="2"/>
        <v>6443000000</v>
      </c>
      <c r="HL37" s="1267">
        <f t="shared" si="22"/>
        <v>1.4558870659221339E-2</v>
      </c>
      <c r="HM37" s="1267">
        <f t="shared" si="15"/>
        <v>5.7067942645399487E-2</v>
      </c>
      <c r="HN37" s="1267">
        <f t="shared" si="15"/>
        <v>7.8370475643688625E-2</v>
      </c>
      <c r="HO37" s="1267">
        <f t="shared" si="15"/>
        <v>-1.3452885377470022E-2</v>
      </c>
      <c r="HP37" s="1267">
        <f t="shared" si="15"/>
        <v>-5.3331473134738336E-3</v>
      </c>
      <c r="HQ37" s="1267">
        <f t="shared" si="15"/>
        <v>3.9767748360712563E-3</v>
      </c>
      <c r="HR37" s="1267">
        <f t="shared" si="15"/>
        <v>-9.1203977855599389E-3</v>
      </c>
      <c r="HS37" s="1267">
        <f t="shared" si="23"/>
        <v>7.1488620577530582E-3</v>
      </c>
      <c r="HU37" s="1267">
        <v>1.3869599943334768E-2</v>
      </c>
      <c r="HV37" s="1267">
        <f t="shared" si="24"/>
        <v>-3.7829978983113799E-3</v>
      </c>
      <c r="HW37" s="1267">
        <f t="shared" si="29"/>
        <v>-4.7165034066700209E-3</v>
      </c>
    </row>
    <row r="38" spans="4:245">
      <c r="D38" s="1267" t="s">
        <v>2931</v>
      </c>
      <c r="F38" s="1267">
        <v>3234733000000</v>
      </c>
      <c r="H38" s="1267">
        <f t="shared" si="6"/>
        <v>3234733000000</v>
      </c>
      <c r="I38" s="1267">
        <v>1204611000000</v>
      </c>
      <c r="J38" s="1267">
        <v>1002299000000</v>
      </c>
      <c r="K38" s="1267">
        <v>202312000000</v>
      </c>
      <c r="L38" s="1267">
        <v>916315000000</v>
      </c>
      <c r="M38" s="1267">
        <v>543862000000</v>
      </c>
      <c r="N38" s="1267">
        <v>372453000000</v>
      </c>
      <c r="O38" s="1267">
        <v>948862000000</v>
      </c>
      <c r="P38" s="1267">
        <v>164945000000</v>
      </c>
      <c r="R38" s="1311"/>
      <c r="T38" s="1267">
        <f>'BEA int transactions'!D41*1000000</f>
        <v>199399000000</v>
      </c>
      <c r="U38" s="1267">
        <f>'BEA int transactions'!E41*1000000</f>
        <v>82799000000</v>
      </c>
      <c r="V38" s="1267">
        <v>61290000000</v>
      </c>
      <c r="W38" s="1267">
        <v>21510000000</v>
      </c>
      <c r="X38" s="1267">
        <f>1000000*'BEA int transactions'!F41</f>
        <v>137917000000</v>
      </c>
      <c r="Y38" s="1267">
        <v>63370000000</v>
      </c>
      <c r="Z38" s="1267">
        <v>82877000000</v>
      </c>
      <c r="AA38" s="1267">
        <f>1000000*'BEA int transactions'!G41</f>
        <v>-22696000000</v>
      </c>
      <c r="AB38" s="1267">
        <f>1000000*'BEA int transactions'!H41</f>
        <v>1379000000</v>
      </c>
      <c r="AD38" s="1267">
        <v>136081000000</v>
      </c>
      <c r="AF38" s="1267">
        <v>67270000000</v>
      </c>
      <c r="AG38" s="1267">
        <v>65580000000</v>
      </c>
      <c r="AH38" s="1267">
        <v>28860000000</v>
      </c>
      <c r="AI38" s="1267">
        <v>36720000000</v>
      </c>
      <c r="AJ38" s="1267">
        <v>1690000000</v>
      </c>
      <c r="AK38" s="1267">
        <v>31056000000</v>
      </c>
      <c r="AL38" s="1267">
        <v>10461000000</v>
      </c>
      <c r="AM38" s="1267">
        <v>20595000000</v>
      </c>
      <c r="AN38" s="1267">
        <v>35935000000</v>
      </c>
      <c r="AR38" s="1267">
        <f t="shared" si="7"/>
        <v>424104000000</v>
      </c>
      <c r="AT38" s="1267">
        <f t="shared" si="8"/>
        <v>178448000000</v>
      </c>
      <c r="AU38" s="1267">
        <f t="shared" si="8"/>
        <v>178797000000</v>
      </c>
      <c r="AV38" s="1267">
        <f t="shared" si="8"/>
        <v>-350000000</v>
      </c>
      <c r="AW38" s="1267">
        <f t="shared" si="9"/>
        <v>192192000000</v>
      </c>
      <c r="AX38" s="1267">
        <f t="shared" si="9"/>
        <v>166226000000</v>
      </c>
      <c r="AY38" s="1267">
        <f t="shared" si="9"/>
        <v>17636000000</v>
      </c>
      <c r="AZ38" s="1267">
        <f t="shared" si="9"/>
        <v>37333000000</v>
      </c>
      <c r="BX38" s="1267">
        <f t="shared" si="10"/>
        <v>5.2113754820525195E-2</v>
      </c>
      <c r="BY38" s="1267">
        <f t="shared" si="11"/>
        <v>5.2113754820525195E-2</v>
      </c>
      <c r="BZ38" s="1267">
        <f t="shared" si="16"/>
        <v>7.1308635903002446E-2</v>
      </c>
      <c r="CA38" s="1267">
        <f t="shared" si="16"/>
        <v>8.6039054751171587E-2</v>
      </c>
      <c r="CB38" s="1267">
        <f t="shared" si="25"/>
        <v>1.1704244384622751E-2</v>
      </c>
      <c r="CC38" s="1267">
        <f t="shared" si="26"/>
        <v>5.297796337806164E-2</v>
      </c>
      <c r="CD38" s="1267">
        <f t="shared" si="26"/>
        <v>3.3287088008247791E-2</v>
      </c>
      <c r="CE38" s="1267">
        <f t="shared" si="26"/>
        <v>7.5733617709788925E-2</v>
      </c>
      <c r="CF38" s="1267">
        <f t="shared" si="12"/>
        <v>3.8465037865610535E-2</v>
      </c>
      <c r="CT38" s="1267">
        <v>3356504790926.96</v>
      </c>
      <c r="CV38" s="1267">
        <f t="shared" si="13"/>
        <v>3356504790926.96</v>
      </c>
      <c r="CW38" s="1267">
        <v>911710000000</v>
      </c>
      <c r="CX38" s="1267">
        <v>624467000000</v>
      </c>
      <c r="CY38" s="1267">
        <v>287243000000</v>
      </c>
      <c r="CZ38" s="1267">
        <v>1371827000000</v>
      </c>
      <c r="DA38" s="1267">
        <v>373521000000</v>
      </c>
      <c r="DB38" s="1267">
        <v>998306000000</v>
      </c>
      <c r="DC38" s="1267">
        <v>1072968000000</v>
      </c>
      <c r="DH38" s="1267">
        <f>1000000*'BEA int transactions'!I41</f>
        <v>278607000000</v>
      </c>
      <c r="DI38" s="1267">
        <f>1000000*'BEA int transactions'!J41</f>
        <v>50211000000</v>
      </c>
      <c r="DJ38" s="1267">
        <v>22620000000</v>
      </c>
      <c r="DK38" s="1267">
        <v>27610000000</v>
      </c>
      <c r="DL38" s="1267">
        <f>1000000*'BEA int transactions'!K41</f>
        <v>174387000000</v>
      </c>
      <c r="DM38" s="1267">
        <v>20940000000</v>
      </c>
      <c r="DN38" s="1267">
        <v>90060000000</v>
      </c>
      <c r="DO38" s="1267">
        <f>1000000*'BEA int transactions'!L41</f>
        <v>54009000000</v>
      </c>
      <c r="DS38" s="1267">
        <v>105610000000</v>
      </c>
      <c r="DU38" s="1267">
        <v>7940000000</v>
      </c>
      <c r="DV38" s="1267">
        <v>1810000000</v>
      </c>
      <c r="DW38" s="1267">
        <v>8870000000</v>
      </c>
      <c r="DX38" s="1267">
        <v>-7060000000</v>
      </c>
      <c r="DY38" s="1267">
        <v>6130000000</v>
      </c>
      <c r="DZ38" s="1267">
        <v>62835000000</v>
      </c>
      <c r="EA38" s="1267">
        <v>10011000000</v>
      </c>
      <c r="EB38" s="1267">
        <v>62835000000</v>
      </c>
      <c r="EC38" s="1267">
        <v>34835000000</v>
      </c>
      <c r="EF38" s="1279"/>
      <c r="EG38" s="1279">
        <f t="shared" si="17"/>
        <v>34538911913.660156</v>
      </c>
      <c r="EH38" s="1279"/>
      <c r="EI38" s="1279">
        <f t="shared" si="18"/>
        <v>20587000000</v>
      </c>
      <c r="EJ38" s="1279">
        <f t="shared" si="18"/>
        <v>20850000000</v>
      </c>
      <c r="EK38" s="1279">
        <f t="shared" si="18"/>
        <v>-282000000</v>
      </c>
      <c r="EL38" s="1279">
        <f t="shared" si="18"/>
        <v>16785000000</v>
      </c>
      <c r="EM38" s="1279">
        <f t="shared" si="18"/>
        <v>23593000000</v>
      </c>
      <c r="EN38" s="1279">
        <f t="shared" si="18"/>
        <v>56579000000</v>
      </c>
      <c r="EO38" s="1279">
        <f t="shared" si="18"/>
        <v>-2833000000</v>
      </c>
      <c r="FP38" s="1267">
        <f t="shared" si="19"/>
        <v>3.4701789765339885E-2</v>
      </c>
      <c r="FQ38" s="1267">
        <f t="shared" si="20"/>
        <v>9.4421294974979548E-3</v>
      </c>
      <c r="FR38" s="1267">
        <f t="shared" si="20"/>
        <v>3.115334502587793E-3</v>
      </c>
      <c r="FS38" s="1267">
        <f t="shared" si="27"/>
        <v>2.3584633437854684E-2</v>
      </c>
      <c r="FT38" s="1267">
        <f t="shared" si="27"/>
        <v>5.3220458135526463E-2</v>
      </c>
      <c r="FU38" s="1267">
        <f t="shared" si="28"/>
        <v>3.0429681325762643E-2</v>
      </c>
      <c r="FV38" s="1267">
        <f t="shared" si="28"/>
        <v>7.3778836094389011E-2</v>
      </c>
      <c r="FW38" s="1267">
        <f t="shared" si="21"/>
        <v>3.4092065704174626E-2</v>
      </c>
      <c r="GJ38" s="1267">
        <f t="shared" si="3"/>
        <v>-121771790926.95996</v>
      </c>
      <c r="GK38" s="1267">
        <f t="shared" si="4"/>
        <v>292901000000</v>
      </c>
      <c r="GL38" s="1267">
        <f t="shared" si="4"/>
        <v>377832000000</v>
      </c>
      <c r="GM38" s="1267">
        <f t="shared" si="4"/>
        <v>-84931000000</v>
      </c>
      <c r="GN38" s="1267">
        <f t="shared" si="5"/>
        <v>-455512000000</v>
      </c>
      <c r="GO38" s="1267">
        <f t="shared" si="5"/>
        <v>170341000000</v>
      </c>
      <c r="GP38" s="1267">
        <f t="shared" si="5"/>
        <v>-625853000000</v>
      </c>
      <c r="GQ38" s="1267">
        <f t="shared" si="5"/>
        <v>-124106000000</v>
      </c>
      <c r="GV38" s="1267">
        <f t="shared" si="0"/>
        <v>30471000000</v>
      </c>
      <c r="GW38" s="1267">
        <f t="shared" si="1"/>
        <v>59330000000</v>
      </c>
      <c r="GX38" s="1267">
        <f t="shared" si="1"/>
        <v>63770000000</v>
      </c>
      <c r="GY38" s="1267">
        <f t="shared" si="1"/>
        <v>19990000000</v>
      </c>
      <c r="GZ38" s="1267">
        <f t="shared" si="1"/>
        <v>43780000000</v>
      </c>
      <c r="HA38" s="1267">
        <f t="shared" si="1"/>
        <v>-4440000000</v>
      </c>
      <c r="HB38" s="1267">
        <f t="shared" si="1"/>
        <v>-31779000000</v>
      </c>
      <c r="HC38" s="1267">
        <f t="shared" si="1"/>
        <v>450000000</v>
      </c>
      <c r="HD38" s="1267">
        <f t="shared" si="1"/>
        <v>-42240000000</v>
      </c>
      <c r="HE38" s="1267">
        <f t="shared" si="2"/>
        <v>1100000000</v>
      </c>
      <c r="HL38" s="1267">
        <f t="shared" si="22"/>
        <v>1.7411965055185309E-2</v>
      </c>
      <c r="HM38" s="1267">
        <f t="shared" si="22"/>
        <v>6.1866506405504493E-2</v>
      </c>
      <c r="HN38" s="1267">
        <f t="shared" si="22"/>
        <v>8.2923720248583799E-2</v>
      </c>
      <c r="HO38" s="1267">
        <f t="shared" si="22"/>
        <v>-1.1880389053231933E-2</v>
      </c>
      <c r="HP38" s="1267">
        <f t="shared" si="22"/>
        <v>-2.4249475746482285E-4</v>
      </c>
      <c r="HQ38" s="1267">
        <f t="shared" si="22"/>
        <v>2.8574066824851481E-3</v>
      </c>
      <c r="HR38" s="1267">
        <f t="shared" si="22"/>
        <v>1.9547816153999142E-3</v>
      </c>
      <c r="HS38" s="1267">
        <f t="shared" si="23"/>
        <v>4.3729721614359091E-3</v>
      </c>
      <c r="HU38" s="1267">
        <v>1.6714976893404461E-2</v>
      </c>
      <c r="HV38" s="1267">
        <f t="shared" si="24"/>
        <v>-3.0892204645844856E-3</v>
      </c>
      <c r="HW38" s="1267">
        <f t="shared" si="29"/>
        <v>-4.0257608327419134E-3</v>
      </c>
    </row>
    <row r="39" spans="4:245">
      <c r="D39" s="1267" t="s">
        <v>2932</v>
      </c>
      <c r="F39" s="1267">
        <v>3434637000000</v>
      </c>
      <c r="H39" s="1267">
        <f t="shared" si="6"/>
        <v>3434637000000</v>
      </c>
      <c r="I39" s="1267">
        <v>1234084000000</v>
      </c>
      <c r="J39" s="1267">
        <v>1054048000000</v>
      </c>
      <c r="K39" s="1267">
        <v>180036000000</v>
      </c>
      <c r="L39" s="1267">
        <v>990838000000</v>
      </c>
      <c r="M39" s="1267">
        <v>626762000000</v>
      </c>
      <c r="N39" s="1267">
        <v>364076000000</v>
      </c>
      <c r="O39" s="1267">
        <v>1046321000000</v>
      </c>
      <c r="P39" s="1267">
        <v>163394000000</v>
      </c>
      <c r="R39" s="1311"/>
      <c r="T39" s="1267">
        <f>'BEA int transactions'!D42*1000000</f>
        <v>188758000000</v>
      </c>
      <c r="U39" s="1267">
        <f>'BEA int transactions'!E42*1000000</f>
        <v>89988000000</v>
      </c>
      <c r="V39" s="1267">
        <v>64670000000</v>
      </c>
      <c r="W39" s="1267">
        <v>25320000000</v>
      </c>
      <c r="X39" s="1267">
        <f>1000000*'BEA int transactions'!F42</f>
        <v>54088000000</v>
      </c>
      <c r="Y39" s="1267">
        <v>48288000000</v>
      </c>
      <c r="Z39" s="1267">
        <v>14902000000</v>
      </c>
      <c r="AA39" s="1267">
        <f>1000000*'BEA int transactions'!G42</f>
        <v>50028000000</v>
      </c>
      <c r="AB39" s="1267">
        <f>1000000*'BEA int transactions'!H42</f>
        <v>-5346000000</v>
      </c>
      <c r="AD39" s="1267">
        <v>166517000000</v>
      </c>
      <c r="AF39" s="1267">
        <v>77340000000</v>
      </c>
      <c r="AG39" s="1267">
        <v>75040000000</v>
      </c>
      <c r="AH39" s="1267">
        <v>44030000000</v>
      </c>
      <c r="AI39" s="1267">
        <v>31010000000</v>
      </c>
      <c r="AJ39" s="1267">
        <v>2300000000</v>
      </c>
      <c r="AK39" s="1267">
        <v>39367000000</v>
      </c>
      <c r="AL39" s="1267">
        <v>15465000000</v>
      </c>
      <c r="AM39" s="1267">
        <v>23902000000</v>
      </c>
      <c r="AN39" s="1267">
        <v>47867000000</v>
      </c>
      <c r="AR39" s="1267">
        <f t="shared" si="7"/>
        <v>11146000000</v>
      </c>
      <c r="AT39" s="1267">
        <f t="shared" si="8"/>
        <v>-60515000000</v>
      </c>
      <c r="AU39" s="1267">
        <f t="shared" si="8"/>
        <v>-12921000000</v>
      </c>
      <c r="AV39" s="1267">
        <f t="shared" si="8"/>
        <v>-47596000000</v>
      </c>
      <c r="AW39" s="1267">
        <f t="shared" si="9"/>
        <v>20435000000</v>
      </c>
      <c r="AX39" s="1267">
        <f t="shared" si="9"/>
        <v>34612000000</v>
      </c>
      <c r="AY39" s="1267">
        <f t="shared" si="9"/>
        <v>-23279000000</v>
      </c>
      <c r="AZ39" s="1267">
        <f t="shared" si="9"/>
        <v>47431000000</v>
      </c>
      <c r="BX39" s="1267">
        <f t="shared" si="10"/>
        <v>5.1477819034832242E-2</v>
      </c>
      <c r="BY39" s="1267">
        <f t="shared" si="11"/>
        <v>5.1477819034832242E-2</v>
      </c>
      <c r="BZ39" s="1267">
        <f t="shared" si="16"/>
        <v>6.4203298824267757E-2</v>
      </c>
      <c r="CA39" s="1267">
        <f t="shared" si="16"/>
        <v>7.4867878746761193E-2</v>
      </c>
      <c r="CB39" s="1267">
        <f t="shared" si="25"/>
        <v>1.0154764356777108E-2</v>
      </c>
      <c r="CC39" s="1267">
        <f t="shared" si="26"/>
        <v>4.2962300082395245E-2</v>
      </c>
      <c r="CD39" s="1267">
        <f t="shared" si="26"/>
        <v>2.8435522246452224E-2</v>
      </c>
      <c r="CE39" s="1267">
        <f t="shared" si="26"/>
        <v>6.4174540143320094E-2</v>
      </c>
      <c r="CF39" s="1267">
        <f t="shared" si="12"/>
        <v>5.0446745680615308E-2</v>
      </c>
      <c r="CT39" s="1267">
        <v>3544947567423.8701</v>
      </c>
      <c r="CV39" s="1267">
        <f t="shared" si="13"/>
        <v>3544947567423.8701</v>
      </c>
      <c r="CW39" s="1267">
        <v>877354000000</v>
      </c>
      <c r="CX39" s="1267">
        <v>623868000000</v>
      </c>
      <c r="CY39" s="1267">
        <v>253486000000</v>
      </c>
      <c r="CZ39" s="1267">
        <v>1456081000000</v>
      </c>
      <c r="DA39" s="1267">
        <v>397720000000</v>
      </c>
      <c r="DB39" s="1267">
        <v>1058361000000</v>
      </c>
      <c r="DC39" s="1267">
        <v>1211513000000</v>
      </c>
      <c r="DH39" s="1267">
        <f>1000000*'BEA int transactions'!I42</f>
        <v>312995000000</v>
      </c>
      <c r="DI39" s="1267">
        <f>1000000*'BEA int transactions'!J42</f>
        <v>55942000000</v>
      </c>
      <c r="DJ39" s="1267">
        <v>42090000000</v>
      </c>
      <c r="DK39" s="1267">
        <v>13850000000</v>
      </c>
      <c r="DL39" s="1267">
        <f>1000000*'BEA int transactions'!K42</f>
        <v>131849000000</v>
      </c>
      <c r="DM39" s="1267">
        <v>890000000</v>
      </c>
      <c r="DN39" s="1267">
        <v>138520000000</v>
      </c>
      <c r="DO39" s="1267">
        <f>1000000*'BEA int transactions'!L42</f>
        <v>125204000000</v>
      </c>
      <c r="DS39" s="1267">
        <v>143431000000</v>
      </c>
      <c r="DU39" s="1267">
        <v>22150000000</v>
      </c>
      <c r="DV39" s="1267">
        <v>15150000000</v>
      </c>
      <c r="DW39" s="1267">
        <v>10270000000</v>
      </c>
      <c r="DX39" s="1267">
        <v>4880000000</v>
      </c>
      <c r="DY39" s="1267">
        <v>7000000000</v>
      </c>
      <c r="DZ39" s="1267">
        <v>69407000000</v>
      </c>
      <c r="EA39" s="1267">
        <v>11215000000</v>
      </c>
      <c r="EB39" s="1267">
        <v>69407000000</v>
      </c>
      <c r="EC39" s="1267">
        <v>51874000000</v>
      </c>
      <c r="EF39" s="1279"/>
      <c r="EG39" s="1279">
        <f t="shared" si="17"/>
        <v>-124552223503.08984</v>
      </c>
      <c r="EH39" s="1279"/>
      <c r="EI39" s="1279">
        <f t="shared" si="18"/>
        <v>-90298000000</v>
      </c>
      <c r="EJ39" s="1279">
        <f t="shared" si="18"/>
        <v>-42689000000</v>
      </c>
      <c r="EK39" s="1279">
        <f t="shared" si="18"/>
        <v>-47607000000</v>
      </c>
      <c r="EL39" s="1279">
        <f t="shared" si="18"/>
        <v>-47595000000</v>
      </c>
      <c r="EM39" s="1279">
        <f t="shared" si="18"/>
        <v>23309000000</v>
      </c>
      <c r="EN39" s="1279">
        <f t="shared" si="18"/>
        <v>-78465000000</v>
      </c>
      <c r="EO39" s="1279">
        <f t="shared" si="18"/>
        <v>13341000000</v>
      </c>
      <c r="FP39" s="1267">
        <f t="shared" si="19"/>
        <v>4.2732249448209164E-2</v>
      </c>
      <c r="FQ39" s="1267">
        <f t="shared" si="20"/>
        <v>2.4295006087462021E-2</v>
      </c>
      <c r="FR39" s="1267">
        <f t="shared" si="20"/>
        <v>2.4260689516019261E-2</v>
      </c>
      <c r="FS39" s="1267">
        <f t="shared" si="27"/>
        <v>2.4369610399557168E-2</v>
      </c>
      <c r="FT39" s="1267">
        <f t="shared" si="27"/>
        <v>5.059457205609745E-2</v>
      </c>
      <c r="FU39" s="1267">
        <f t="shared" si="28"/>
        <v>3.0025085604289986E-2</v>
      </c>
      <c r="FV39" s="1267">
        <f t="shared" si="28"/>
        <v>6.9524774968797137E-2</v>
      </c>
      <c r="FW39" s="1267">
        <f t="shared" si="21"/>
        <v>4.8346269413440106E-2</v>
      </c>
      <c r="GJ39" s="1267">
        <f t="shared" si="3"/>
        <v>-110310567423.87012</v>
      </c>
      <c r="GK39" s="1267">
        <f t="shared" si="4"/>
        <v>356730000000</v>
      </c>
      <c r="GL39" s="1267">
        <f t="shared" si="4"/>
        <v>430180000000</v>
      </c>
      <c r="GM39" s="1267">
        <f t="shared" si="4"/>
        <v>-73450000000</v>
      </c>
      <c r="GN39" s="1267">
        <f t="shared" si="5"/>
        <v>-465243000000</v>
      </c>
      <c r="GO39" s="1267">
        <f t="shared" si="5"/>
        <v>229042000000</v>
      </c>
      <c r="GP39" s="1267">
        <f t="shared" si="5"/>
        <v>-694285000000</v>
      </c>
      <c r="GQ39" s="1267">
        <f t="shared" si="5"/>
        <v>-165192000000</v>
      </c>
      <c r="GV39" s="1267">
        <f t="shared" si="0"/>
        <v>23086000000</v>
      </c>
      <c r="GW39" s="1267">
        <f t="shared" si="1"/>
        <v>55190000000</v>
      </c>
      <c r="GX39" s="1267">
        <f t="shared" si="1"/>
        <v>59890000000</v>
      </c>
      <c r="GY39" s="1267">
        <f t="shared" si="1"/>
        <v>33760000000</v>
      </c>
      <c r="GZ39" s="1267">
        <f t="shared" si="1"/>
        <v>26130000000</v>
      </c>
      <c r="HA39" s="1267">
        <f t="shared" si="1"/>
        <v>-4700000000</v>
      </c>
      <c r="HB39" s="1267">
        <f t="shared" si="1"/>
        <v>-30040000000</v>
      </c>
      <c r="HC39" s="1267">
        <f t="shared" si="1"/>
        <v>4250000000</v>
      </c>
      <c r="HD39" s="1267">
        <f t="shared" si="1"/>
        <v>-45505000000</v>
      </c>
      <c r="HE39" s="1267">
        <f t="shared" si="2"/>
        <v>-4007000000</v>
      </c>
      <c r="HL39" s="1267">
        <f t="shared" si="22"/>
        <v>8.7455695866230782E-3</v>
      </c>
      <c r="HM39" s="1267">
        <f t="shared" si="22"/>
        <v>3.9908292736805739E-2</v>
      </c>
      <c r="HN39" s="1267">
        <f t="shared" si="22"/>
        <v>5.0607189230741936E-2</v>
      </c>
      <c r="HO39" s="1267">
        <f t="shared" si="22"/>
        <v>-1.421484604278006E-2</v>
      </c>
      <c r="HP39" s="1267">
        <f t="shared" si="22"/>
        <v>-7.6322719737022052E-3</v>
      </c>
      <c r="HQ39" s="1267">
        <f t="shared" si="22"/>
        <v>-1.5895633578377616E-3</v>
      </c>
      <c r="HR39" s="1267">
        <f t="shared" si="22"/>
        <v>-5.3502348254770432E-3</v>
      </c>
      <c r="HS39" s="1267">
        <f t="shared" si="23"/>
        <v>2.1004762671752025E-3</v>
      </c>
      <c r="HU39" s="1267">
        <v>8.1449044343632968E-3</v>
      </c>
      <c r="HV39" s="1267">
        <f t="shared" si="24"/>
        <v>-5.6809278650466269E-3</v>
      </c>
      <c r="HW39" s="1267">
        <f t="shared" si="29"/>
        <v>-5.977977160551512E-3</v>
      </c>
    </row>
    <row r="40" spans="4:245">
      <c r="D40" s="1267" t="s">
        <v>2933</v>
      </c>
      <c r="F40" s="1267">
        <v>4094375000000</v>
      </c>
      <c r="H40" s="1267">
        <f t="shared" si="6"/>
        <v>4094375000000</v>
      </c>
      <c r="I40" s="1267">
        <v>1493609000000</v>
      </c>
      <c r="J40" s="1267">
        <v>1305643000000</v>
      </c>
      <c r="K40" s="1267">
        <v>187966000000</v>
      </c>
      <c r="L40" s="1267">
        <v>1278722000000</v>
      </c>
      <c r="M40" s="1267">
        <v>790615000000</v>
      </c>
      <c r="N40" s="1267">
        <v>488107000000</v>
      </c>
      <c r="O40" s="1267">
        <v>1145983000000</v>
      </c>
      <c r="P40" s="1267">
        <v>176061000000</v>
      </c>
      <c r="R40" s="1311"/>
      <c r="T40" s="1267">
        <f>'BEA int transactions'!D43*1000000</f>
        <v>363555000000</v>
      </c>
      <c r="U40" s="1267">
        <f>'BEA int transactions'!E43*1000000</f>
        <v>110041000000</v>
      </c>
      <c r="V40" s="1267">
        <v>94400000000</v>
      </c>
      <c r="W40" s="1267">
        <v>15660000000</v>
      </c>
      <c r="X40" s="1267">
        <f>1000000*'BEA int transactions'!F43</f>
        <v>143506000000</v>
      </c>
      <c r="Y40" s="1267">
        <v>65509000000</v>
      </c>
      <c r="Z40" s="1267">
        <v>56885000000</v>
      </c>
      <c r="AA40" s="1267">
        <f>1000000*'BEA int transactions'!G43</f>
        <v>100266000000</v>
      </c>
      <c r="AB40" s="1267">
        <f>1000000*'BEA int transactions'!H43</f>
        <v>9742000000</v>
      </c>
      <c r="AD40" s="1267">
        <v>210264000000</v>
      </c>
      <c r="AF40" s="1267">
        <v>95280000000</v>
      </c>
      <c r="AG40" s="1267">
        <v>92820000000</v>
      </c>
      <c r="AH40" s="1267">
        <v>38900000000</v>
      </c>
      <c r="AI40" s="1267">
        <v>53920000000</v>
      </c>
      <c r="AJ40" s="1267">
        <v>2460000000</v>
      </c>
      <c r="AK40" s="1267">
        <v>44132000000</v>
      </c>
      <c r="AL40" s="1267">
        <v>19510000000</v>
      </c>
      <c r="AM40" s="1267">
        <v>24622000000</v>
      </c>
      <c r="AN40" s="1267">
        <v>68673000000</v>
      </c>
      <c r="AR40" s="1267">
        <f t="shared" si="7"/>
        <v>296183000000</v>
      </c>
      <c r="AT40" s="1267">
        <f t="shared" si="8"/>
        <v>149484000000</v>
      </c>
      <c r="AU40" s="1267">
        <f t="shared" si="8"/>
        <v>157195000000</v>
      </c>
      <c r="AV40" s="1267">
        <f t="shared" si="8"/>
        <v>-7730000000</v>
      </c>
      <c r="AW40" s="1267">
        <f t="shared" si="9"/>
        <v>144378000000</v>
      </c>
      <c r="AX40" s="1267">
        <f t="shared" si="9"/>
        <v>98344000000</v>
      </c>
      <c r="AY40" s="1267">
        <f t="shared" si="9"/>
        <v>67146000000</v>
      </c>
      <c r="AZ40" s="1267">
        <f t="shared" si="9"/>
        <v>-604000000</v>
      </c>
      <c r="BX40" s="1267">
        <f t="shared" si="10"/>
        <v>6.121869647360114E-2</v>
      </c>
      <c r="BY40" s="1267">
        <f t="shared" si="11"/>
        <v>6.121869647360114E-2</v>
      </c>
      <c r="BZ40" s="1267">
        <f t="shared" si="16"/>
        <v>7.7207062080052902E-2</v>
      </c>
      <c r="CA40" s="1267">
        <f t="shared" si="16"/>
        <v>8.8060505783417828E-2</v>
      </c>
      <c r="CB40" s="1267">
        <f t="shared" si="25"/>
        <v>1.3236038358558223E-2</v>
      </c>
      <c r="CC40" s="1267">
        <f t="shared" si="26"/>
        <v>4.4540076177942305E-2</v>
      </c>
      <c r="CD40" s="1267">
        <f t="shared" si="26"/>
        <v>3.1128243256610962E-2</v>
      </c>
      <c r="CE40" s="1267">
        <f t="shared" si="26"/>
        <v>6.7628736857139715E-2</v>
      </c>
      <c r="CF40" s="1267">
        <f t="shared" si="12"/>
        <v>6.5632822049829828E-2</v>
      </c>
      <c r="CT40" s="1267">
        <v>4371942077261.54</v>
      </c>
      <c r="CV40" s="1267">
        <f t="shared" si="13"/>
        <v>4371942077261.54</v>
      </c>
      <c r="CW40" s="1267">
        <v>1135542000000</v>
      </c>
      <c r="CX40" s="1267">
        <v>870280000000</v>
      </c>
      <c r="CY40" s="1267">
        <v>265262000000</v>
      </c>
      <c r="CZ40" s="1267">
        <v>1900950000000</v>
      </c>
      <c r="DA40" s="1267">
        <v>549513000000</v>
      </c>
      <c r="DB40" s="1267">
        <v>1351437000000</v>
      </c>
      <c r="DC40" s="1267">
        <v>1335450000000</v>
      </c>
      <c r="DH40" s="1267">
        <f>1000000*'BEA int transactions'!I43</f>
        <v>446393000000</v>
      </c>
      <c r="DI40" s="1267">
        <f>1000000*'BEA int transactions'!J43</f>
        <v>69067000000</v>
      </c>
      <c r="DJ40" s="1267">
        <v>56330000000</v>
      </c>
      <c r="DK40" s="1267">
        <v>12750000000</v>
      </c>
      <c r="DL40" s="1267">
        <f>1000000*'BEA int transactions'!K43</f>
        <v>254431000000</v>
      </c>
      <c r="DM40" s="1267">
        <v>16523000000</v>
      </c>
      <c r="DN40" s="1267">
        <v>193828800000</v>
      </c>
      <c r="DO40" s="1267">
        <f>1000000*'BEA int transactions'!L43</f>
        <v>122895000000</v>
      </c>
      <c r="DS40" s="1267">
        <v>183101700000</v>
      </c>
      <c r="DU40" s="1267">
        <v>30330000000</v>
      </c>
      <c r="DV40" s="1267">
        <v>22190000000</v>
      </c>
      <c r="DW40" s="1267">
        <v>13760000000</v>
      </c>
      <c r="DX40" s="1267">
        <v>8430000000</v>
      </c>
      <c r="DY40" s="1267">
        <v>8140000000</v>
      </c>
      <c r="DZ40" s="1267">
        <v>78403700000</v>
      </c>
      <c r="EA40" s="1267">
        <v>12030700000</v>
      </c>
      <c r="EB40" s="1267">
        <v>78403700000</v>
      </c>
      <c r="EC40" s="1267">
        <v>74368000000</v>
      </c>
      <c r="EF40" s="1279"/>
      <c r="EG40" s="1279">
        <f t="shared" si="17"/>
        <v>380601509837.66992</v>
      </c>
      <c r="EH40" s="1279"/>
      <c r="EI40" s="1279">
        <f t="shared" si="18"/>
        <v>189121000000</v>
      </c>
      <c r="EJ40" s="1279">
        <f t="shared" si="18"/>
        <v>190082000000</v>
      </c>
      <c r="EK40" s="1279">
        <f t="shared" si="18"/>
        <v>-974000000</v>
      </c>
      <c r="EL40" s="1279">
        <f t="shared" si="18"/>
        <v>190438000000</v>
      </c>
      <c r="EM40" s="1279">
        <f t="shared" si="18"/>
        <v>135270000000</v>
      </c>
      <c r="EN40" s="1279">
        <f t="shared" si="18"/>
        <v>99247200000</v>
      </c>
      <c r="EO40" s="1279">
        <f t="shared" si="18"/>
        <v>1042000000</v>
      </c>
      <c r="FP40" s="1267">
        <f t="shared" si="19"/>
        <v>5.1651455068787058E-2</v>
      </c>
      <c r="FQ40" s="1267">
        <f t="shared" si="20"/>
        <v>3.4569854357534131E-2</v>
      </c>
      <c r="FR40" s="1267">
        <f t="shared" si="20"/>
        <v>3.5568421525066202E-2</v>
      </c>
      <c r="FS40" s="1267">
        <f t="shared" si="27"/>
        <v>3.2112227105244473E-2</v>
      </c>
      <c r="FT40" s="1267">
        <f t="shared" si="27"/>
        <v>5.3845699518089998E-2</v>
      </c>
      <c r="FU40" s="1267">
        <f t="shared" si="28"/>
        <v>3.0249170270542091E-2</v>
      </c>
      <c r="FV40" s="1267">
        <f t="shared" si="28"/>
        <v>7.4080299633111954E-2</v>
      </c>
      <c r="FW40" s="1267">
        <f t="shared" si="21"/>
        <v>6.1384401157891004E-2</v>
      </c>
      <c r="GJ40" s="1267">
        <f t="shared" si="3"/>
        <v>-277567077261.54004</v>
      </c>
      <c r="GK40" s="1267">
        <f t="shared" si="4"/>
        <v>358067000000</v>
      </c>
      <c r="GL40" s="1267">
        <f t="shared" si="4"/>
        <v>435363000000</v>
      </c>
      <c r="GM40" s="1267">
        <f t="shared" si="4"/>
        <v>-77296000000</v>
      </c>
      <c r="GN40" s="1267">
        <f t="shared" si="5"/>
        <v>-622228000000</v>
      </c>
      <c r="GO40" s="1267">
        <f t="shared" si="5"/>
        <v>241102000000</v>
      </c>
      <c r="GP40" s="1267">
        <f t="shared" si="5"/>
        <v>-863330000000</v>
      </c>
      <c r="GQ40" s="1267">
        <f t="shared" si="5"/>
        <v>-189467000000</v>
      </c>
      <c r="GV40" s="1267">
        <f t="shared" si="0"/>
        <v>27162300000</v>
      </c>
      <c r="GW40" s="1267">
        <f t="shared" si="1"/>
        <v>64950000000</v>
      </c>
      <c r="GX40" s="1267">
        <f t="shared" si="1"/>
        <v>70630000000</v>
      </c>
      <c r="GY40" s="1267">
        <f t="shared" si="1"/>
        <v>25140000000</v>
      </c>
      <c r="GZ40" s="1267">
        <f t="shared" si="1"/>
        <v>45490000000</v>
      </c>
      <c r="HA40" s="1267">
        <f t="shared" si="1"/>
        <v>-5680000000</v>
      </c>
      <c r="HB40" s="1267">
        <f t="shared" si="1"/>
        <v>-34271700000</v>
      </c>
      <c r="HC40" s="1267">
        <f t="shared" si="1"/>
        <v>7479300000</v>
      </c>
      <c r="HD40" s="1267">
        <f t="shared" si="1"/>
        <v>-53781700000</v>
      </c>
      <c r="HE40" s="1267">
        <f t="shared" si="2"/>
        <v>-5695000000</v>
      </c>
      <c r="HL40" s="1267">
        <f t="shared" si="22"/>
        <v>9.5672414048140822E-3</v>
      </c>
      <c r="HM40" s="1267">
        <f t="shared" si="22"/>
        <v>4.263720772251877E-2</v>
      </c>
      <c r="HN40" s="1267">
        <f t="shared" si="22"/>
        <v>5.2492084258351626E-2</v>
      </c>
      <c r="HO40" s="1267">
        <f t="shared" si="22"/>
        <v>-1.887618874668625E-2</v>
      </c>
      <c r="HP40" s="1267">
        <f t="shared" si="22"/>
        <v>-9.3056233401476937E-3</v>
      </c>
      <c r="HQ40" s="1267">
        <f t="shared" si="22"/>
        <v>8.7907298606887049E-4</v>
      </c>
      <c r="HR40" s="1267">
        <f t="shared" si="22"/>
        <v>-6.4515627759722388E-3</v>
      </c>
      <c r="HS40" s="1267">
        <f t="shared" si="23"/>
        <v>4.2484208919388242E-3</v>
      </c>
      <c r="HU40" s="1267">
        <v>8.9328284080157708E-3</v>
      </c>
      <c r="HV40" s="1267">
        <f t="shared" si="24"/>
        <v>-5.0171611156596407E-3</v>
      </c>
      <c r="HW40" s="1267">
        <f t="shared" si="29"/>
        <v>-5.7523709648297366E-3</v>
      </c>
    </row>
    <row r="41" spans="4:245">
      <c r="D41" s="1267" t="s">
        <v>2934</v>
      </c>
      <c r="F41" s="1267">
        <v>4791796000000</v>
      </c>
      <c r="H41" s="1267">
        <f t="shared" si="6"/>
        <v>4791796000000</v>
      </c>
      <c r="I41" s="1267">
        <v>1749299000000</v>
      </c>
      <c r="J41" s="1267">
        <v>1540530000000</v>
      </c>
      <c r="K41" s="1267">
        <v>208769000000</v>
      </c>
      <c r="L41" s="1267">
        <v>1573208000000</v>
      </c>
      <c r="M41" s="1267">
        <v>1006135000000</v>
      </c>
      <c r="N41" s="1267">
        <v>567073000000</v>
      </c>
      <c r="O41" s="1267">
        <v>1308550000000</v>
      </c>
      <c r="P41" s="1267">
        <v>160739000000</v>
      </c>
      <c r="R41" s="1311"/>
      <c r="T41" s="1267">
        <f>'BEA int transactions'!D44*1000000</f>
        <v>424548000000</v>
      </c>
      <c r="U41" s="1267">
        <f>'BEA int transactions'!E44*1000000</f>
        <v>103024000000</v>
      </c>
      <c r="V41" s="1267">
        <v>82230000000</v>
      </c>
      <c r="W41" s="1267">
        <v>20790000000</v>
      </c>
      <c r="X41" s="1267">
        <f>1000000*'BEA int transactions'!F44</f>
        <v>160179000000</v>
      </c>
      <c r="Y41" s="1267">
        <v>82706000000</v>
      </c>
      <c r="Z41" s="1267">
        <v>66609000000</v>
      </c>
      <c r="AA41" s="1267">
        <f>1000000*'BEA int transactions'!G44</f>
        <v>168013000000</v>
      </c>
      <c r="AB41" s="1267">
        <f>1000000*'BEA int transactions'!H44</f>
        <v>-6668000000</v>
      </c>
      <c r="AD41" s="1267">
        <v>226133700000</v>
      </c>
      <c r="AF41" s="1267">
        <v>102510000000</v>
      </c>
      <c r="AG41" s="1267">
        <v>100310000000</v>
      </c>
      <c r="AH41" s="1267">
        <v>45620000000</v>
      </c>
      <c r="AI41" s="1267">
        <v>54690000000</v>
      </c>
      <c r="AJ41" s="1267">
        <v>2200000000</v>
      </c>
      <c r="AK41" s="1267">
        <v>51457000000</v>
      </c>
      <c r="AL41" s="1267">
        <v>23260000000</v>
      </c>
      <c r="AM41" s="1267">
        <v>28197000000</v>
      </c>
      <c r="AN41" s="1267">
        <v>69985700000</v>
      </c>
      <c r="AR41" s="1267">
        <f t="shared" si="7"/>
        <v>272873000000</v>
      </c>
      <c r="AT41" s="1267">
        <f t="shared" si="8"/>
        <v>152666000000</v>
      </c>
      <c r="AU41" s="1267">
        <f t="shared" si="8"/>
        <v>152657000000</v>
      </c>
      <c r="AV41" s="1267">
        <f t="shared" si="8"/>
        <v>13000000</v>
      </c>
      <c r="AW41" s="1267">
        <f t="shared" si="9"/>
        <v>134307000000</v>
      </c>
      <c r="AX41" s="1267">
        <f t="shared" si="9"/>
        <v>132814000000</v>
      </c>
      <c r="AY41" s="1267">
        <f t="shared" si="9"/>
        <v>12357000000</v>
      </c>
      <c r="AZ41" s="1267">
        <f t="shared" si="9"/>
        <v>-5446000000</v>
      </c>
      <c r="BX41" s="1267">
        <f t="shared" si="10"/>
        <v>5.5230334300106855E-2</v>
      </c>
      <c r="BY41" s="1267">
        <f t="shared" si="11"/>
        <v>5.5230334300106855E-2</v>
      </c>
      <c r="BZ41" s="1267">
        <f t="shared" si="16"/>
        <v>6.8632419863565358E-2</v>
      </c>
      <c r="CA41" s="1267">
        <f t="shared" si="16"/>
        <v>7.6828045644942763E-2</v>
      </c>
      <c r="CB41" s="1267">
        <f t="shared" si="25"/>
        <v>3.2241226735986284E-2</v>
      </c>
      <c r="CC41" s="1267">
        <f t="shared" si="26"/>
        <v>4.0240959332833878E-2</v>
      </c>
      <c r="CD41" s="1267">
        <f t="shared" si="26"/>
        <v>2.9420134958228719E-2</v>
      </c>
      <c r="CE41" s="1267">
        <f t="shared" si="26"/>
        <v>5.7768071345012467E-2</v>
      </c>
      <c r="CF41" s="1267">
        <f t="shared" si="12"/>
        <v>6.1070452179482593E-2</v>
      </c>
      <c r="CT41" s="1267">
        <v>5120102304112.4805</v>
      </c>
      <c r="CV41" s="1267">
        <f t="shared" si="13"/>
        <v>5120102304112.4805</v>
      </c>
      <c r="CW41" s="1267">
        <v>1370076000000</v>
      </c>
      <c r="CX41" s="1267">
        <v>1079410000000</v>
      </c>
      <c r="CY41" s="1267">
        <v>290666000000</v>
      </c>
      <c r="CZ41" s="1267">
        <v>2356160000000</v>
      </c>
      <c r="DA41" s="1267">
        <v>672397000000</v>
      </c>
      <c r="DB41" s="1267">
        <v>1683763000000</v>
      </c>
      <c r="DC41" s="1267">
        <v>1393866000000</v>
      </c>
      <c r="DH41" s="1267">
        <f>1000000*'BEA int transactions'!I44</f>
        <v>559027000000</v>
      </c>
      <c r="DI41" s="1267">
        <f>1000000*'BEA int transactions'!J44</f>
        <v>97644000000</v>
      </c>
      <c r="DJ41" s="1267">
        <v>72240000000</v>
      </c>
      <c r="DK41" s="1267">
        <v>25420000000</v>
      </c>
      <c r="DL41" s="1267">
        <f>1000000*'BEA int transactions'!K44</f>
        <v>392107000000</v>
      </c>
      <c r="DM41" s="1267">
        <v>11057000000</v>
      </c>
      <c r="DN41" s="1267">
        <v>321722600000</v>
      </c>
      <c r="DO41" s="1267">
        <f>1000000*'BEA int transactions'!L44</f>
        <v>69276000000</v>
      </c>
      <c r="DS41" s="1267">
        <v>197508900000</v>
      </c>
      <c r="DU41" s="1267">
        <v>33090000000</v>
      </c>
      <c r="DV41" s="1267">
        <v>24000000000</v>
      </c>
      <c r="DW41" s="1267">
        <v>15490000000</v>
      </c>
      <c r="DX41" s="1267">
        <v>8510000000</v>
      </c>
      <c r="DY41" s="1267">
        <v>9090000000</v>
      </c>
      <c r="DZ41" s="1267">
        <v>92260900000</v>
      </c>
      <c r="EA41" s="1267">
        <v>13194400000</v>
      </c>
      <c r="EB41" s="1267">
        <v>92260900000</v>
      </c>
      <c r="EC41" s="1267">
        <v>72158000000</v>
      </c>
      <c r="EF41" s="1279"/>
      <c r="EG41" s="1279">
        <f t="shared" si="17"/>
        <v>189133226850.94043</v>
      </c>
      <c r="EH41" s="1279"/>
      <c r="EI41" s="1279">
        <f t="shared" si="18"/>
        <v>136890000000</v>
      </c>
      <c r="EJ41" s="1279">
        <f t="shared" si="18"/>
        <v>136890000000</v>
      </c>
      <c r="EK41" s="1279">
        <f t="shared" si="18"/>
        <v>-16000000</v>
      </c>
      <c r="EL41" s="1279">
        <f t="shared" si="18"/>
        <v>63103000000</v>
      </c>
      <c r="EM41" s="1279">
        <f t="shared" si="18"/>
        <v>111827000000</v>
      </c>
      <c r="EN41" s="1279">
        <f t="shared" si="18"/>
        <v>10603400000</v>
      </c>
      <c r="EO41" s="1279">
        <f t="shared" si="18"/>
        <v>-10860000000</v>
      </c>
      <c r="FP41" s="1267">
        <f t="shared" si="19"/>
        <v>4.5176467690924656E-2</v>
      </c>
      <c r="FQ41" s="1267">
        <f t="shared" si="20"/>
        <v>2.9140269580517499E-2</v>
      </c>
      <c r="FR41" s="1267">
        <f t="shared" si="20"/>
        <v>2.7577331433561614E-2</v>
      </c>
      <c r="FS41" s="1267">
        <f t="shared" si="27"/>
        <v>3.4268006725426181E-2</v>
      </c>
      <c r="FT41" s="1267">
        <f t="shared" si="27"/>
        <v>4.8534101370367448E-2</v>
      </c>
      <c r="FU41" s="1267">
        <f t="shared" si="28"/>
        <v>2.4011078900772139E-2</v>
      </c>
      <c r="FV41" s="1267">
        <f t="shared" si="28"/>
        <v>6.8268739127314113E-2</v>
      </c>
      <c r="FW41" s="1267">
        <f t="shared" si="21"/>
        <v>5.4032723052154702E-2</v>
      </c>
      <c r="GJ41" s="1267">
        <f t="shared" si="3"/>
        <v>-328306304112.48047</v>
      </c>
      <c r="GK41" s="1267">
        <f t="shared" si="4"/>
        <v>379223000000</v>
      </c>
      <c r="GL41" s="1267">
        <f t="shared" si="4"/>
        <v>461120000000</v>
      </c>
      <c r="GM41" s="1267">
        <f t="shared" si="4"/>
        <v>-81897000000</v>
      </c>
      <c r="GN41" s="1267">
        <f t="shared" si="5"/>
        <v>-782952000000</v>
      </c>
      <c r="GO41" s="1267">
        <f t="shared" si="5"/>
        <v>333738000000</v>
      </c>
      <c r="GP41" s="1267">
        <f t="shared" si="5"/>
        <v>-1116690000000</v>
      </c>
      <c r="GQ41" s="1267">
        <f t="shared" si="5"/>
        <v>-85316000000</v>
      </c>
      <c r="GV41" s="1267">
        <f t="shared" si="0"/>
        <v>28624800000</v>
      </c>
      <c r="GW41" s="1267">
        <f t="shared" si="1"/>
        <v>69420000000</v>
      </c>
      <c r="GX41" s="1267">
        <f t="shared" si="1"/>
        <v>76310000000</v>
      </c>
      <c r="GY41" s="1267">
        <f t="shared" si="1"/>
        <v>30130000000</v>
      </c>
      <c r="GZ41" s="1267">
        <f t="shared" si="1"/>
        <v>46180000000</v>
      </c>
      <c r="HA41" s="1267">
        <f t="shared" si="1"/>
        <v>-6890000000</v>
      </c>
      <c r="HB41" s="1267">
        <f t="shared" si="1"/>
        <v>-40803900000</v>
      </c>
      <c r="HC41" s="1267">
        <f t="shared" si="1"/>
        <v>10065600000</v>
      </c>
      <c r="HD41" s="1267">
        <f t="shared" si="1"/>
        <v>-64063900000</v>
      </c>
      <c r="HE41" s="1267">
        <f t="shared" si="2"/>
        <v>-2172300000</v>
      </c>
      <c r="HL41" s="1267">
        <f t="shared" si="22"/>
        <v>1.0053866609182199E-2</v>
      </c>
      <c r="HM41" s="1267">
        <f t="shared" si="22"/>
        <v>3.949215028304786E-2</v>
      </c>
      <c r="HN41" s="1267">
        <f t="shared" si="22"/>
        <v>4.925071421138115E-2</v>
      </c>
      <c r="HO41" s="1267">
        <f t="shared" si="22"/>
        <v>-2.0267799894398975E-3</v>
      </c>
      <c r="HP41" s="1267">
        <f t="shared" si="22"/>
        <v>-8.2931420375335699E-3</v>
      </c>
      <c r="HQ41" s="1267">
        <f t="shared" si="22"/>
        <v>5.4090560574565801E-3</v>
      </c>
      <c r="HR41" s="1267">
        <f t="shared" si="22"/>
        <v>-1.0500667782301645E-2</v>
      </c>
      <c r="HS41" s="1267">
        <f t="shared" si="23"/>
        <v>7.0377291273278908E-3</v>
      </c>
      <c r="HU41" s="1267">
        <v>9.5211837775402916E-3</v>
      </c>
      <c r="HV41" s="1267">
        <f t="shared" si="24"/>
        <v>-3.2694478621105236E-3</v>
      </c>
      <c r="HW41" s="1267">
        <f t="shared" si="29"/>
        <v>-4.4318350785819277E-3</v>
      </c>
    </row>
    <row r="42" spans="4:245">
      <c r="D42" s="1267" t="s">
        <v>2935</v>
      </c>
      <c r="F42" s="1267">
        <v>5536514000000</v>
      </c>
      <c r="H42" s="1267">
        <f t="shared" si="6"/>
        <v>5536514000000</v>
      </c>
      <c r="I42" s="1267">
        <v>2036671000000</v>
      </c>
      <c r="J42" s="1267">
        <v>1805484000000</v>
      </c>
      <c r="K42" s="1267">
        <v>231187000000</v>
      </c>
      <c r="L42" s="1267">
        <v>1841029000000</v>
      </c>
      <c r="M42" s="1267">
        <v>1207787000000</v>
      </c>
      <c r="N42" s="1267">
        <v>633242000000</v>
      </c>
      <c r="O42" s="1267">
        <v>1523978000000</v>
      </c>
      <c r="P42" s="1267">
        <v>134836000000</v>
      </c>
      <c r="R42" s="1311"/>
      <c r="T42" s="1267">
        <f>'BEA int transactions'!D45*1000000</f>
        <v>502024000000</v>
      </c>
      <c r="U42" s="1267">
        <f>'BEA int transactions'!E45*1000000</f>
        <v>121352000000</v>
      </c>
      <c r="V42" s="1267">
        <v>98820000000</v>
      </c>
      <c r="W42" s="1267">
        <v>22560000000</v>
      </c>
      <c r="X42" s="1267">
        <f>1000000*'BEA int transactions'!F45</f>
        <v>121036000000</v>
      </c>
      <c r="Y42" s="1267">
        <v>57286000000</v>
      </c>
      <c r="Z42" s="1267">
        <v>59566000000</v>
      </c>
      <c r="AA42" s="1267">
        <f>1000000*'BEA int transactions'!G45</f>
        <v>258626000000</v>
      </c>
      <c r="AB42" s="1267">
        <f>1000000*'BEA int transactions'!H45</f>
        <v>1010000000</v>
      </c>
      <c r="AD42" s="1267">
        <v>256820100000</v>
      </c>
      <c r="AF42" s="1267">
        <v>115340000000</v>
      </c>
      <c r="AG42" s="1267">
        <v>113220000000</v>
      </c>
      <c r="AH42" s="1267">
        <v>55200000000</v>
      </c>
      <c r="AI42" s="1267">
        <v>58020000000</v>
      </c>
      <c r="AJ42" s="1267">
        <v>2120000000</v>
      </c>
      <c r="AK42" s="1267">
        <v>55697000000</v>
      </c>
      <c r="AL42" s="1267">
        <v>24589000000</v>
      </c>
      <c r="AM42" s="1267">
        <v>31108000000</v>
      </c>
      <c r="AN42" s="1267">
        <v>83513100000</v>
      </c>
      <c r="AR42" s="1267">
        <f t="shared" si="7"/>
        <v>242694000000</v>
      </c>
      <c r="AT42" s="1267">
        <f t="shared" si="8"/>
        <v>166020000000</v>
      </c>
      <c r="AU42" s="1267">
        <f t="shared" si="8"/>
        <v>166134000000</v>
      </c>
      <c r="AV42" s="1267">
        <f t="shared" si="8"/>
        <v>-142000000</v>
      </c>
      <c r="AW42" s="1267">
        <f t="shared" si="9"/>
        <v>146785000000</v>
      </c>
      <c r="AX42" s="1267">
        <f t="shared" si="9"/>
        <v>144366000000</v>
      </c>
      <c r="AY42" s="1267">
        <f t="shared" si="9"/>
        <v>6603000000</v>
      </c>
      <c r="AZ42" s="1267">
        <f t="shared" si="9"/>
        <v>-43198000000</v>
      </c>
      <c r="BX42" s="1267">
        <f t="shared" si="10"/>
        <v>5.3595791640545634E-2</v>
      </c>
      <c r="BY42" s="1267">
        <f t="shared" si="11"/>
        <v>5.3595791640545634E-2</v>
      </c>
      <c r="BZ42" s="1267">
        <f t="shared" si="16"/>
        <v>6.5934983098944203E-2</v>
      </c>
      <c r="CA42" s="1267">
        <f t="shared" si="16"/>
        <v>7.3494187065490449E-2</v>
      </c>
      <c r="CB42" s="1267">
        <f t="shared" si="25"/>
        <v>3.0144361217046379E-2</v>
      </c>
      <c r="CC42" s="1267">
        <f t="shared" si="26"/>
        <v>3.5403455868518341E-2</v>
      </c>
      <c r="CD42" s="1267">
        <f t="shared" si="26"/>
        <v>2.4439066328077245E-2</v>
      </c>
      <c r="CE42" s="1267">
        <f t="shared" si="26"/>
        <v>5.4857134795696497E-2</v>
      </c>
      <c r="CF42" s="1267">
        <f t="shared" si="12"/>
        <v>6.382109969049711E-2</v>
      </c>
      <c r="CT42" s="1267">
        <v>6324738695331.2002</v>
      </c>
      <c r="CV42" s="1267">
        <f t="shared" si="13"/>
        <v>6324738695331.2002</v>
      </c>
      <c r="CW42" s="1267">
        <v>1794795000000</v>
      </c>
      <c r="CX42" s="1267">
        <v>1457942000000</v>
      </c>
      <c r="CY42" s="1267">
        <v>336852000000</v>
      </c>
      <c r="CZ42" s="1267">
        <v>2861123000000</v>
      </c>
      <c r="DA42" s="1267">
        <v>952893000000</v>
      </c>
      <c r="DB42" s="1267">
        <v>1908230000000</v>
      </c>
      <c r="DC42" s="1267">
        <v>1668821000000</v>
      </c>
      <c r="DH42" s="1267">
        <f>1000000*'BEA int transactions'!I45</f>
        <v>720999000000</v>
      </c>
      <c r="DI42" s="1267">
        <f>1000000*'BEA int transactions'!J45</f>
        <v>122150000000</v>
      </c>
      <c r="DJ42" s="1267">
        <v>74470000000</v>
      </c>
      <c r="DK42" s="1267">
        <v>47680000000</v>
      </c>
      <c r="DL42" s="1267">
        <f>1000000*'BEA int transactions'!K45</f>
        <v>311105000000</v>
      </c>
      <c r="DM42" s="1267">
        <v>67033000000</v>
      </c>
      <c r="DN42" s="1267">
        <v>266076900000</v>
      </c>
      <c r="DO42" s="1267">
        <f>1000000*'BEA int transactions'!L45</f>
        <v>287744000000</v>
      </c>
      <c r="DS42" s="1267">
        <v>237529300000</v>
      </c>
      <c r="DU42" s="1267">
        <v>42950000000</v>
      </c>
      <c r="DV42" s="1267">
        <v>33770000000</v>
      </c>
      <c r="DW42" s="1267">
        <v>18800000000</v>
      </c>
      <c r="DX42" s="1267">
        <v>14970000000</v>
      </c>
      <c r="DY42" s="1267">
        <v>9180000000</v>
      </c>
      <c r="DZ42" s="1267">
        <v>112205800000</v>
      </c>
      <c r="EA42" s="1267">
        <v>13976300000</v>
      </c>
      <c r="EB42" s="1267">
        <v>112205800000</v>
      </c>
      <c r="EC42" s="1267">
        <v>82373500000</v>
      </c>
      <c r="EF42" s="1279"/>
      <c r="EG42" s="1279">
        <f t="shared" si="17"/>
        <v>483637391218.71973</v>
      </c>
      <c r="EH42" s="1279"/>
      <c r="EI42" s="1279">
        <f t="shared" si="18"/>
        <v>302569000000</v>
      </c>
      <c r="EJ42" s="1279">
        <f t="shared" si="18"/>
        <v>304062000000</v>
      </c>
      <c r="EK42" s="1279">
        <f t="shared" si="18"/>
        <v>-1494000000</v>
      </c>
      <c r="EL42" s="1279">
        <f t="shared" si="18"/>
        <v>193858000000</v>
      </c>
      <c r="EM42" s="1279">
        <f t="shared" si="18"/>
        <v>213463000000</v>
      </c>
      <c r="EN42" s="1279">
        <f t="shared" si="18"/>
        <v>-41609900000</v>
      </c>
      <c r="EO42" s="1279">
        <f t="shared" si="18"/>
        <v>-12789000000</v>
      </c>
      <c r="FP42" s="1267">
        <f t="shared" si="19"/>
        <v>4.639151444478283E-2</v>
      </c>
      <c r="FQ42" s="1267">
        <f t="shared" si="20"/>
        <v>3.1348625915642636E-2</v>
      </c>
      <c r="FR42" s="1267">
        <f t="shared" si="20"/>
        <v>3.1285609731242066E-2</v>
      </c>
      <c r="FS42" s="1267">
        <f t="shared" si="27"/>
        <v>3.158264124459001E-2</v>
      </c>
      <c r="FT42" s="1267">
        <f t="shared" si="27"/>
        <v>4.7622317669428225E-2</v>
      </c>
      <c r="FU42" s="1267">
        <f t="shared" si="28"/>
        <v>2.078578577834226E-2</v>
      </c>
      <c r="FV42" s="1267">
        <f t="shared" si="28"/>
        <v>6.6639901221252629E-2</v>
      </c>
      <c r="FW42" s="1267">
        <f t="shared" si="21"/>
        <v>5.9097144201809927E-2</v>
      </c>
      <c r="GJ42" s="1267">
        <f t="shared" si="3"/>
        <v>-788224695331.2002</v>
      </c>
      <c r="GK42" s="1267">
        <f t="shared" si="4"/>
        <v>241876000000</v>
      </c>
      <c r="GL42" s="1267">
        <f t="shared" si="4"/>
        <v>347542000000</v>
      </c>
      <c r="GM42" s="1267">
        <f t="shared" si="4"/>
        <v>-105665000000</v>
      </c>
      <c r="GN42" s="1267">
        <f t="shared" si="5"/>
        <v>-1020094000000</v>
      </c>
      <c r="GO42" s="1267">
        <f t="shared" si="5"/>
        <v>254894000000</v>
      </c>
      <c r="GP42" s="1267">
        <f t="shared" si="5"/>
        <v>-1274988000000</v>
      </c>
      <c r="GQ42" s="1267">
        <f t="shared" si="5"/>
        <v>-144843000000</v>
      </c>
      <c r="GV42" s="1267">
        <f t="shared" si="0"/>
        <v>19290800000</v>
      </c>
      <c r="GW42" s="1267">
        <f t="shared" si="1"/>
        <v>72390000000</v>
      </c>
      <c r="GX42" s="1267">
        <f t="shared" si="1"/>
        <v>79450000000</v>
      </c>
      <c r="GY42" s="1267">
        <f t="shared" si="1"/>
        <v>36400000000</v>
      </c>
      <c r="GZ42" s="1267">
        <f t="shared" si="1"/>
        <v>43050000000</v>
      </c>
      <c r="HA42" s="1267">
        <f t="shared" si="1"/>
        <v>-7060000000</v>
      </c>
      <c r="HB42" s="1267">
        <f t="shared" si="1"/>
        <v>-56508800000</v>
      </c>
      <c r="HC42" s="1267">
        <f t="shared" si="1"/>
        <v>10612700000</v>
      </c>
      <c r="HD42" s="1267">
        <f t="shared" si="1"/>
        <v>-81097800000</v>
      </c>
      <c r="HE42" s="1267">
        <f t="shared" si="2"/>
        <v>1139600000</v>
      </c>
      <c r="HL42" s="1267">
        <f t="shared" si="22"/>
        <v>7.2042771957628038E-3</v>
      </c>
      <c r="HM42" s="1267">
        <f t="shared" si="22"/>
        <v>3.4586357183301566E-2</v>
      </c>
      <c r="HN42" s="1267">
        <f t="shared" si="22"/>
        <v>4.2208577334248383E-2</v>
      </c>
      <c r="HO42" s="1267">
        <f t="shared" si="22"/>
        <v>-1.4382800275436307E-3</v>
      </c>
      <c r="HP42" s="1267">
        <f t="shared" si="22"/>
        <v>-1.2218861800909885E-2</v>
      </c>
      <c r="HQ42" s="1267">
        <f t="shared" si="22"/>
        <v>3.653280549734985E-3</v>
      </c>
      <c r="HR42" s="1267">
        <f t="shared" si="22"/>
        <v>-1.1782766425556132E-2</v>
      </c>
      <c r="HS42" s="1267">
        <f t="shared" si="23"/>
        <v>4.7239554886871829E-3</v>
      </c>
      <c r="HU42" s="1267">
        <v>6.7305480963595066E-3</v>
      </c>
      <c r="HV42" s="1267">
        <f t="shared" si="24"/>
        <v>-5.3861381139693465E-3</v>
      </c>
      <c r="HW42" s="1267">
        <f t="shared" si="29"/>
        <v>-6.2593877976395637E-3</v>
      </c>
    </row>
    <row r="43" spans="4:245">
      <c r="D43" s="1267" t="s">
        <v>2936</v>
      </c>
      <c r="F43" s="1267">
        <v>6368620000000</v>
      </c>
      <c r="H43" s="1267">
        <f t="shared" si="6"/>
        <v>6368620000000</v>
      </c>
      <c r="I43" s="1267">
        <v>2469095000000</v>
      </c>
      <c r="J43" s="1267">
        <v>2179807000000</v>
      </c>
      <c r="K43" s="1267">
        <v>289288000000</v>
      </c>
      <c r="L43" s="1267">
        <v>2149431000000</v>
      </c>
      <c r="M43" s="1267">
        <v>1474983000000</v>
      </c>
      <c r="N43" s="1267">
        <v>674448000000</v>
      </c>
      <c r="O43" s="1267">
        <v>1604088000000</v>
      </c>
      <c r="P43" s="1267">
        <v>146006000000</v>
      </c>
      <c r="R43" s="1311"/>
      <c r="T43" s="1267">
        <f>'BEA int transactions'!D46*1000000</f>
        <v>385936000000</v>
      </c>
      <c r="U43" s="1267">
        <f>'BEA int transactions'!E46*1000000</f>
        <v>174751000000</v>
      </c>
      <c r="V43" s="1267">
        <v>116610000000</v>
      </c>
      <c r="W43" s="1267">
        <v>58150000000</v>
      </c>
      <c r="X43" s="1267">
        <f>1000000*'BEA int transactions'!F46</f>
        <v>132186000000</v>
      </c>
      <c r="Y43" s="1267">
        <v>101362000000</v>
      </c>
      <c r="Z43" s="1267">
        <v>28842000000</v>
      </c>
      <c r="AA43" s="1267">
        <f>1000000*'BEA int transactions'!G46</f>
        <v>72216000000</v>
      </c>
      <c r="AB43" s="1267">
        <f>1000000*'BEA int transactions'!H46</f>
        <v>6783000000</v>
      </c>
      <c r="AD43" s="1267">
        <v>261826200000</v>
      </c>
      <c r="AF43" s="1267">
        <v>103970000000</v>
      </c>
      <c r="AG43" s="1267">
        <v>100910000000</v>
      </c>
      <c r="AH43" s="1267">
        <v>56740000000</v>
      </c>
      <c r="AI43" s="1267">
        <v>44170000000</v>
      </c>
      <c r="AJ43" s="1267">
        <v>3060000000</v>
      </c>
      <c r="AK43" s="1267">
        <v>62004800000</v>
      </c>
      <c r="AL43" s="1267">
        <v>26506500000</v>
      </c>
      <c r="AM43" s="1267">
        <v>35498300000</v>
      </c>
      <c r="AN43" s="1267">
        <v>93414400000</v>
      </c>
      <c r="AR43" s="1267">
        <f t="shared" si="7"/>
        <v>446170000000</v>
      </c>
      <c r="AT43" s="1267">
        <f t="shared" si="8"/>
        <v>257673000000</v>
      </c>
      <c r="AU43" s="1267">
        <f t="shared" si="8"/>
        <v>257713000000</v>
      </c>
      <c r="AV43" s="1267">
        <f t="shared" si="8"/>
        <v>-49000000</v>
      </c>
      <c r="AW43" s="1267">
        <f t="shared" si="9"/>
        <v>176216000000</v>
      </c>
      <c r="AX43" s="1267">
        <f t="shared" si="9"/>
        <v>165834000000</v>
      </c>
      <c r="AY43" s="1267">
        <f t="shared" si="9"/>
        <v>12364000000</v>
      </c>
      <c r="AZ43" s="1267">
        <f t="shared" si="9"/>
        <v>7894000000</v>
      </c>
      <c r="BX43" s="1267">
        <f t="shared" si="10"/>
        <v>4.7290804285873747E-2</v>
      </c>
      <c r="BY43" s="1267">
        <f t="shared" si="11"/>
        <v>4.7290804285873747E-2</v>
      </c>
      <c r="BZ43" s="1267">
        <f t="shared" si="16"/>
        <v>5.1048991221458936E-2</v>
      </c>
      <c r="CA43" s="1267">
        <f t="shared" si="16"/>
        <v>5.5890830381216339E-2</v>
      </c>
      <c r="CB43" s="1267">
        <f t="shared" si="25"/>
        <v>2.8161772078351119E-2</v>
      </c>
      <c r="CC43" s="1267">
        <f t="shared" si="26"/>
        <v>3.3679426016646127E-2</v>
      </c>
      <c r="CD43" s="1267">
        <f t="shared" si="26"/>
        <v>2.1946336564311421E-2</v>
      </c>
      <c r="CE43" s="1267">
        <f t="shared" si="26"/>
        <v>5.6058031526651737E-2</v>
      </c>
      <c r="CF43" s="1267">
        <f t="shared" si="12"/>
        <v>6.1296422914241547E-2</v>
      </c>
      <c r="CT43" s="1267">
        <v>7402394657740.21</v>
      </c>
      <c r="CV43" s="1267">
        <f t="shared" si="13"/>
        <v>7402394657740.21</v>
      </c>
      <c r="CW43" s="1267">
        <v>2368530000000</v>
      </c>
      <c r="CX43" s="1267">
        <v>1970457000000</v>
      </c>
      <c r="CY43" s="1267">
        <v>398073000000</v>
      </c>
      <c r="CZ43" s="1267">
        <v>3340370000000</v>
      </c>
      <c r="DA43" s="1267">
        <v>1250342000000</v>
      </c>
      <c r="DB43" s="1267">
        <v>2090028000000</v>
      </c>
      <c r="DC43" s="1267">
        <v>1693495000000</v>
      </c>
      <c r="DH43" s="1267">
        <f>1000000*'BEA int transactions'!I46</f>
        <v>452901000000</v>
      </c>
      <c r="DI43" s="1267">
        <f>1000000*'BEA int transactions'!J46</f>
        <v>211152000000</v>
      </c>
      <c r="DJ43" s="1267">
        <v>149930000000</v>
      </c>
      <c r="DK43" s="1267">
        <v>61220000000</v>
      </c>
      <c r="DL43" s="1267">
        <f>1000000*'BEA int transactions'!K46</f>
        <v>225878000000</v>
      </c>
      <c r="DM43" s="1267">
        <v>41958000000</v>
      </c>
      <c r="DN43" s="1267">
        <v>145607000000</v>
      </c>
      <c r="DO43" s="1267">
        <f>1000000*'BEA int transactions'!L46</f>
        <v>15871000000</v>
      </c>
      <c r="DS43" s="1267">
        <v>250552100000</v>
      </c>
      <c r="DU43" s="1267">
        <v>38410000000</v>
      </c>
      <c r="DV43" s="1267">
        <v>28050000000</v>
      </c>
      <c r="DW43" s="1267">
        <v>25210000000</v>
      </c>
      <c r="DX43" s="1267">
        <v>2840000000</v>
      </c>
      <c r="DY43" s="1267">
        <v>10360000000</v>
      </c>
      <c r="DZ43" s="1267">
        <v>120884200000</v>
      </c>
      <c r="EA43" s="1267">
        <v>15764800000</v>
      </c>
      <c r="EB43" s="1267">
        <v>120884200000</v>
      </c>
      <c r="EC43" s="1267">
        <v>91257900000</v>
      </c>
      <c r="EF43" s="1279"/>
      <c r="EG43" s="1279">
        <f t="shared" si="17"/>
        <v>624754962409.00977</v>
      </c>
      <c r="EH43" s="1279"/>
      <c r="EI43" s="1279">
        <f t="shared" si="18"/>
        <v>362583000000</v>
      </c>
      <c r="EJ43" s="1279">
        <f t="shared" si="18"/>
        <v>362585000000</v>
      </c>
      <c r="EK43" s="1279">
        <f t="shared" si="18"/>
        <v>1000000</v>
      </c>
      <c r="EL43" s="1279">
        <f t="shared" si="18"/>
        <v>253369000000</v>
      </c>
      <c r="EM43" s="1279">
        <f t="shared" si="18"/>
        <v>255491000000</v>
      </c>
      <c r="EN43" s="1279">
        <f t="shared" si="18"/>
        <v>36191000000</v>
      </c>
      <c r="EO43" s="1279">
        <f t="shared" si="18"/>
        <v>8803000000</v>
      </c>
      <c r="FP43" s="1267">
        <f t="shared" si="19"/>
        <v>3.9614616835467485E-2</v>
      </c>
      <c r="FQ43" s="1267">
        <f t="shared" si="20"/>
        <v>2.1400772790207238E-2</v>
      </c>
      <c r="FR43" s="1267">
        <f t="shared" si="20"/>
        <v>1.9239448482861458E-2</v>
      </c>
      <c r="FS43" s="1267">
        <f t="shared" si="27"/>
        <v>3.0755346561694749E-2</v>
      </c>
      <c r="FT43" s="1267">
        <f t="shared" si="27"/>
        <v>4.2250612783861441E-2</v>
      </c>
      <c r="FU43" s="1267">
        <f t="shared" si="28"/>
        <v>1.6544145040419019E-2</v>
      </c>
      <c r="FV43" s="1267">
        <f t="shared" si="28"/>
        <v>6.3348862558496616E-2</v>
      </c>
      <c r="FW43" s="1267">
        <f t="shared" si="21"/>
        <v>5.4684055390002879E-2</v>
      </c>
      <c r="GJ43" s="1267">
        <f t="shared" si="3"/>
        <v>-1033774657740.21</v>
      </c>
      <c r="GK43" s="1267">
        <f t="shared" si="4"/>
        <v>100565000000</v>
      </c>
      <c r="GL43" s="1267">
        <f t="shared" si="4"/>
        <v>209350000000</v>
      </c>
      <c r="GM43" s="1267">
        <f t="shared" si="4"/>
        <v>-108785000000</v>
      </c>
      <c r="GN43" s="1267">
        <f t="shared" si="5"/>
        <v>-1190939000000</v>
      </c>
      <c r="GO43" s="1267">
        <f t="shared" si="5"/>
        <v>224641000000</v>
      </c>
      <c r="GP43" s="1267">
        <f t="shared" si="5"/>
        <v>-1415580000000</v>
      </c>
      <c r="GQ43" s="1267">
        <f t="shared" si="5"/>
        <v>-89407000000</v>
      </c>
      <c r="GV43" s="1267">
        <f t="shared" si="0"/>
        <v>11274100000</v>
      </c>
      <c r="GW43" s="1267">
        <f t="shared" si="1"/>
        <v>65560000000</v>
      </c>
      <c r="GX43" s="1267">
        <f t="shared" si="1"/>
        <v>72860000000</v>
      </c>
      <c r="GY43" s="1267">
        <f t="shared" si="1"/>
        <v>31530000000</v>
      </c>
      <c r="GZ43" s="1267">
        <f t="shared" si="1"/>
        <v>41330000000</v>
      </c>
      <c r="HA43" s="1267">
        <f t="shared" si="1"/>
        <v>-7300000000</v>
      </c>
      <c r="HB43" s="1267">
        <f t="shared" si="1"/>
        <v>-58879400000</v>
      </c>
      <c r="HC43" s="1267">
        <f t="shared" si="1"/>
        <v>10741700000</v>
      </c>
      <c r="HD43" s="1267">
        <f t="shared" si="1"/>
        <v>-85385900000</v>
      </c>
      <c r="HE43" s="1267">
        <f t="shared" si="2"/>
        <v>2156500000</v>
      </c>
      <c r="HL43" s="1267">
        <f t="shared" si="22"/>
        <v>7.6761874504062619E-3</v>
      </c>
      <c r="HM43" s="1267">
        <f t="shared" si="22"/>
        <v>2.9648218431251698E-2</v>
      </c>
      <c r="HN43" s="1267">
        <f t="shared" si="22"/>
        <v>3.665138189835488E-2</v>
      </c>
      <c r="HO43" s="1267">
        <f t="shared" si="22"/>
        <v>-2.5935744833436303E-3</v>
      </c>
      <c r="HP43" s="1267">
        <f t="shared" si="22"/>
        <v>-8.5711867672153136E-3</v>
      </c>
      <c r="HQ43" s="1267">
        <f t="shared" si="22"/>
        <v>5.4021915238924023E-3</v>
      </c>
      <c r="HR43" s="1267">
        <f t="shared" si="22"/>
        <v>-7.2908310318448785E-3</v>
      </c>
      <c r="HS43" s="1267">
        <f t="shared" si="23"/>
        <v>6.6123675242386673E-3</v>
      </c>
      <c r="HU43" s="1267">
        <v>7.2360206893700152E-3</v>
      </c>
      <c r="HV43" s="1267">
        <f t="shared" si="24"/>
        <v>-1.7272730720501867E-3</v>
      </c>
      <c r="HW43" s="1267">
        <f t="shared" si="29"/>
        <v>-2.5892253506457213E-3</v>
      </c>
    </row>
    <row r="44" spans="4:245">
      <c r="D44" s="1267" t="s">
        <v>2937</v>
      </c>
      <c r="F44" s="1267">
        <v>7611443000000</v>
      </c>
      <c r="H44" s="1267">
        <f t="shared" si="6"/>
        <v>7611443000000</v>
      </c>
      <c r="I44" s="1267">
        <v>3051404000000</v>
      </c>
      <c r="J44" s="1267">
        <v>2678797000000</v>
      </c>
      <c r="K44" s="1267">
        <v>372607000000</v>
      </c>
      <c r="L44" s="1267">
        <v>2650768000000</v>
      </c>
      <c r="M44" s="1267">
        <v>2003716000000</v>
      </c>
      <c r="N44" s="1267">
        <v>647052000000</v>
      </c>
      <c r="O44" s="1267">
        <v>1772853000000</v>
      </c>
      <c r="P44" s="1267">
        <v>136418000000</v>
      </c>
      <c r="R44" s="1311"/>
      <c r="T44" s="1267">
        <f>'BEA int transactions'!D47*1000000</f>
        <v>526612000000</v>
      </c>
      <c r="U44" s="1267">
        <f>'BEA int transactions'!E47*1000000</f>
        <v>247484000000</v>
      </c>
      <c r="V44" s="1267">
        <v>162384000000</v>
      </c>
      <c r="W44" s="1267">
        <v>85101000000</v>
      </c>
      <c r="X44" s="1267">
        <f>1000000*'BEA int transactions'!F47</f>
        <v>141007000000</v>
      </c>
      <c r="Y44" s="1267">
        <v>114311000000</v>
      </c>
      <c r="Z44" s="1267">
        <v>26696000000</v>
      </c>
      <c r="AA44" s="1267">
        <f>1000000*'BEA int transactions'!G47</f>
        <v>146868000000</v>
      </c>
      <c r="AB44" s="1267">
        <f>1000000*'BEA int transactions'!H47</f>
        <v>-8747000000</v>
      </c>
      <c r="AD44" s="1267">
        <v>299115000000</v>
      </c>
      <c r="AF44" s="1267">
        <v>135318000000</v>
      </c>
      <c r="AG44" s="1267">
        <v>125991000000</v>
      </c>
      <c r="AH44" s="1267">
        <v>62536000000</v>
      </c>
      <c r="AI44" s="1267">
        <v>63455000000</v>
      </c>
      <c r="AJ44" s="1267">
        <v>9327000000</v>
      </c>
      <c r="AK44" s="1267">
        <v>72170000000</v>
      </c>
      <c r="AL44" s="1267">
        <v>30122000000</v>
      </c>
      <c r="AM44" s="1267">
        <v>42048000000</v>
      </c>
      <c r="AN44" s="1267">
        <v>86145000000</v>
      </c>
      <c r="AO44" s="1267">
        <v>1236000000</v>
      </c>
      <c r="AR44" s="1267">
        <f t="shared" si="7"/>
        <v>716211000000</v>
      </c>
      <c r="AT44" s="1267">
        <f t="shared" si="8"/>
        <v>334825000000</v>
      </c>
      <c r="AU44" s="1267">
        <f t="shared" si="8"/>
        <v>336606000000</v>
      </c>
      <c r="AV44" s="1267">
        <f t="shared" si="8"/>
        <v>-1782000000</v>
      </c>
      <c r="AW44" s="1267">
        <f t="shared" si="9"/>
        <v>360330000000</v>
      </c>
      <c r="AX44" s="1267">
        <f t="shared" si="9"/>
        <v>414422000000</v>
      </c>
      <c r="AY44" s="1267">
        <f t="shared" si="9"/>
        <v>-54092000000</v>
      </c>
      <c r="AZ44" s="1267">
        <f t="shared" si="9"/>
        <v>21897000000</v>
      </c>
      <c r="BX44" s="1267">
        <f t="shared" si="10"/>
        <v>4.6967003840706463E-2</v>
      </c>
      <c r="BY44" s="1267">
        <f t="shared" si="11"/>
        <v>4.6967003840706463E-2</v>
      </c>
      <c r="BZ44" s="1267">
        <f t="shared" si="16"/>
        <v>5.4804695647595575E-2</v>
      </c>
      <c r="CA44" s="1267">
        <f t="shared" si="16"/>
        <v>5.7799153778293214E-2</v>
      </c>
      <c r="CB44" s="1267">
        <f t="shared" si="25"/>
        <v>2.5566802847666048E-2</v>
      </c>
      <c r="CC44" s="1267">
        <f t="shared" si="26"/>
        <v>3.3576327874679394E-2</v>
      </c>
      <c r="CD44" s="1267">
        <f t="shared" si="26"/>
        <v>2.042193028665415E-2</v>
      </c>
      <c r="CE44" s="1267">
        <f t="shared" si="26"/>
        <v>6.2344317130453346E-2</v>
      </c>
      <c r="CF44" s="1267">
        <f t="shared" si="12"/>
        <v>5.3703412780346217E-2</v>
      </c>
      <c r="CT44" s="1267">
        <v>8613710673684.79</v>
      </c>
      <c r="CV44" s="1267">
        <f t="shared" si="13"/>
        <v>8613710673684.79</v>
      </c>
      <c r="CW44" s="1267">
        <v>3009958000000</v>
      </c>
      <c r="CX44" s="1267">
        <v>2525861000000</v>
      </c>
      <c r="CY44" s="1267">
        <v>484097000000</v>
      </c>
      <c r="CZ44" s="1267">
        <v>3715693000000</v>
      </c>
      <c r="DA44" s="1267">
        <v>1611534000000</v>
      </c>
      <c r="DB44" s="1267">
        <v>2104159000000</v>
      </c>
      <c r="DC44" s="1267">
        <v>1888060000000</v>
      </c>
      <c r="DH44" s="1267">
        <f>1000000*'BEA int transactions'!I47</f>
        <v>765215000000</v>
      </c>
      <c r="DI44" s="1267">
        <f>1000000*'BEA int transactions'!J47</f>
        <v>312449000000</v>
      </c>
      <c r="DJ44" s="1267">
        <v>225351000000</v>
      </c>
      <c r="DK44" s="1267">
        <v>87098000000</v>
      </c>
      <c r="DL44" s="1267">
        <f>1000000*'BEA int transactions'!K47</f>
        <v>278697000000</v>
      </c>
      <c r="DM44" s="1267">
        <v>112289000000</v>
      </c>
      <c r="DN44" s="1267">
        <v>166408000000</v>
      </c>
      <c r="DO44" s="1267">
        <f>1000000*'BEA int transactions'!L47</f>
        <v>174069000000</v>
      </c>
      <c r="DS44" s="1267">
        <v>276573000000</v>
      </c>
      <c r="DU44" s="1267">
        <v>57928000000</v>
      </c>
      <c r="DV44" s="1267">
        <v>37695000000</v>
      </c>
      <c r="DW44" s="1267">
        <v>33906000000</v>
      </c>
      <c r="DX44" s="1267">
        <v>3789000000</v>
      </c>
      <c r="DY44" s="1267">
        <v>20233000000</v>
      </c>
      <c r="DZ44" s="1267">
        <v>145305000000</v>
      </c>
      <c r="EA44" s="1267">
        <v>17058000000</v>
      </c>
      <c r="EB44" s="1267">
        <v>145305000000</v>
      </c>
      <c r="EC44" s="1267">
        <v>73340000000</v>
      </c>
      <c r="EF44" s="1279"/>
      <c r="EG44" s="1279">
        <f t="shared" si="17"/>
        <v>446101015944.58008</v>
      </c>
      <c r="EH44" s="1279"/>
      <c r="EI44" s="1279">
        <f t="shared" si="18"/>
        <v>328979000000</v>
      </c>
      <c r="EJ44" s="1279">
        <f t="shared" si="18"/>
        <v>330053000000</v>
      </c>
      <c r="EK44" s="1279">
        <f t="shared" si="18"/>
        <v>-1074000000</v>
      </c>
      <c r="EL44" s="1279">
        <f t="shared" si="18"/>
        <v>96626000000</v>
      </c>
      <c r="EM44" s="1279">
        <f t="shared" si="18"/>
        <v>248903000000</v>
      </c>
      <c r="EN44" s="1279">
        <f t="shared" si="18"/>
        <v>-152277000000</v>
      </c>
      <c r="EO44" s="1279">
        <f t="shared" si="18"/>
        <v>20496000000</v>
      </c>
      <c r="FP44" s="1267">
        <f t="shared" si="19"/>
        <v>3.7362639090149745E-2</v>
      </c>
      <c r="FQ44" s="1267">
        <f t="shared" si="20"/>
        <v>2.4457363850151782E-2</v>
      </c>
      <c r="FR44" s="1267">
        <f t="shared" si="20"/>
        <v>1.9130079976370964E-2</v>
      </c>
      <c r="FS44" s="1267">
        <f t="shared" si="27"/>
        <v>5.0827360810705574E-2</v>
      </c>
      <c r="FT44" s="1267">
        <f t="shared" si="27"/>
        <v>4.3499672192002681E-2</v>
      </c>
      <c r="FU44" s="1267">
        <f t="shared" si="28"/>
        <v>1.3642667366208606E-2</v>
      </c>
      <c r="FV44" s="1267">
        <f t="shared" si="28"/>
        <v>6.9522992036470319E-2</v>
      </c>
      <c r="FW44" s="1267">
        <f t="shared" si="21"/>
        <v>4.3306889007643956E-2</v>
      </c>
      <c r="GJ44" s="1267">
        <f t="shared" si="3"/>
        <v>-1002267673684.79</v>
      </c>
      <c r="GK44" s="1267">
        <f t="shared" si="4"/>
        <v>41446000000</v>
      </c>
      <c r="GL44" s="1267">
        <f t="shared" si="4"/>
        <v>152936000000</v>
      </c>
      <c r="GM44" s="1267">
        <f t="shared" si="4"/>
        <v>-111490000000</v>
      </c>
      <c r="GN44" s="1267">
        <f t="shared" si="5"/>
        <v>-1064925000000</v>
      </c>
      <c r="GO44" s="1267">
        <f t="shared" si="5"/>
        <v>392182000000</v>
      </c>
      <c r="GP44" s="1267">
        <f t="shared" si="5"/>
        <v>-1457107000000</v>
      </c>
      <c r="GQ44" s="1267">
        <f t="shared" si="5"/>
        <v>-115207000000</v>
      </c>
      <c r="GV44" s="1267">
        <f t="shared" si="0"/>
        <v>22542000000</v>
      </c>
      <c r="GW44" s="1267">
        <f t="shared" si="1"/>
        <v>77390000000</v>
      </c>
      <c r="GX44" s="1267">
        <f t="shared" si="1"/>
        <v>88296000000</v>
      </c>
      <c r="GY44" s="1267">
        <f t="shared" si="1"/>
        <v>28630000000</v>
      </c>
      <c r="GZ44" s="1267">
        <f t="shared" si="1"/>
        <v>59666000000</v>
      </c>
      <c r="HA44" s="1267">
        <f t="shared" si="1"/>
        <v>-10906000000</v>
      </c>
      <c r="HB44" s="1267">
        <f t="shared" si="1"/>
        <v>-73135000000</v>
      </c>
      <c r="HC44" s="1267">
        <f t="shared" si="1"/>
        <v>13064000000</v>
      </c>
      <c r="HD44" s="1267">
        <f t="shared" si="1"/>
        <v>-103257000000</v>
      </c>
      <c r="HE44" s="1267">
        <f t="shared" si="2"/>
        <v>12805000000</v>
      </c>
      <c r="HL44" s="1267">
        <f t="shared" si="22"/>
        <v>9.6043647505567181E-3</v>
      </c>
      <c r="HM44" s="1267">
        <f t="shared" si="22"/>
        <v>3.0347331797443793E-2</v>
      </c>
      <c r="HN44" s="1267">
        <f t="shared" si="22"/>
        <v>3.8669073801922249E-2</v>
      </c>
      <c r="HO44" s="1267">
        <f t="shared" si="22"/>
        <v>-2.5260557963039526E-2</v>
      </c>
      <c r="HP44" s="1267">
        <f t="shared" si="22"/>
        <v>-9.9233443173232863E-3</v>
      </c>
      <c r="HQ44" s="1267">
        <f t="shared" si="22"/>
        <v>6.7792629204455439E-3</v>
      </c>
      <c r="HR44" s="1267">
        <f t="shared" si="22"/>
        <v>-7.1786749060169727E-3</v>
      </c>
      <c r="HS44" s="1267">
        <f t="shared" si="23"/>
        <v>1.0396523772702261E-2</v>
      </c>
      <c r="HU44" s="1267">
        <v>8.9376600330307726E-3</v>
      </c>
      <c r="HV44" s="1267">
        <f t="shared" si="24"/>
        <v>-1.4304722612375059E-3</v>
      </c>
      <c r="HW44" s="1267">
        <f t="shared" si="29"/>
        <v>-2.646486824059234E-3</v>
      </c>
    </row>
    <row r="45" spans="4:245">
      <c r="D45" s="1267" t="s">
        <v>2938</v>
      </c>
      <c r="F45" s="1267">
        <v>7641748000000</v>
      </c>
      <c r="H45" s="1267">
        <f t="shared" si="6"/>
        <v>7641748000000</v>
      </c>
      <c r="I45" s="1267">
        <v>2934570000000</v>
      </c>
      <c r="J45" s="1267">
        <v>2545603000000</v>
      </c>
      <c r="K45" s="1267">
        <v>388967000000</v>
      </c>
      <c r="L45" s="1267">
        <v>2556158000000</v>
      </c>
      <c r="M45" s="1267">
        <v>1852842000000</v>
      </c>
      <c r="N45" s="1267">
        <v>703316000000</v>
      </c>
      <c r="O45" s="1267">
        <v>2022620000000</v>
      </c>
      <c r="P45" s="1267">
        <v>128400000000</v>
      </c>
      <c r="R45" s="1311"/>
      <c r="T45" s="1267">
        <f>'BEA int transactions'!D48*1000000</f>
        <v>587682000000</v>
      </c>
      <c r="U45" s="1267">
        <f>'BEA int transactions'!E48*1000000</f>
        <v>186371000000</v>
      </c>
      <c r="V45" s="1267">
        <v>170010000000</v>
      </c>
      <c r="W45" s="1267">
        <v>16360000000</v>
      </c>
      <c r="X45" s="1267">
        <f>1000000*'BEA int transactions'!F48</f>
        <v>159713000000</v>
      </c>
      <c r="Y45" s="1267">
        <v>106714000000</v>
      </c>
      <c r="Z45" s="1267">
        <v>52999000000</v>
      </c>
      <c r="AA45" s="1267">
        <f>1000000*'BEA int transactions'!G48</f>
        <v>241308000000</v>
      </c>
      <c r="AB45" s="1267">
        <f>1000000*'BEA int transactions'!H48</f>
        <v>290000000</v>
      </c>
      <c r="AD45" s="1267">
        <v>356704000000</v>
      </c>
      <c r="AF45" s="1267">
        <v>156065000000</v>
      </c>
      <c r="AG45" s="1267">
        <v>144833000000</v>
      </c>
      <c r="AH45" s="1267">
        <v>52863000000</v>
      </c>
      <c r="AI45" s="1267">
        <v>91970000000</v>
      </c>
      <c r="AJ45" s="1267">
        <v>11232000000</v>
      </c>
      <c r="AK45" s="1267">
        <v>78402000000</v>
      </c>
      <c r="AL45" s="1267">
        <v>33472000000</v>
      </c>
      <c r="AM45" s="1267">
        <v>44930000000</v>
      </c>
      <c r="AN45" s="1267">
        <v>116572000000</v>
      </c>
      <c r="AO45" s="1267">
        <v>1270000000</v>
      </c>
      <c r="AR45" s="1267">
        <f t="shared" si="7"/>
        <v>-557377000000</v>
      </c>
      <c r="AT45" s="1267">
        <f t="shared" si="8"/>
        <v>-303205000000</v>
      </c>
      <c r="AU45" s="1267">
        <f t="shared" si="8"/>
        <v>-303204000000</v>
      </c>
      <c r="AV45" s="1267">
        <f t="shared" si="8"/>
        <v>0</v>
      </c>
      <c r="AW45" s="1267">
        <f t="shared" si="9"/>
        <v>-254323000000</v>
      </c>
      <c r="AX45" s="1267">
        <f t="shared" si="9"/>
        <v>-257588000000</v>
      </c>
      <c r="AY45" s="1267">
        <f t="shared" si="9"/>
        <v>3265000000</v>
      </c>
      <c r="AZ45" s="1267">
        <f t="shared" si="9"/>
        <v>8459000000</v>
      </c>
      <c r="BX45" s="1267">
        <f t="shared" si="10"/>
        <v>4.6864175426394178E-2</v>
      </c>
      <c r="BY45" s="1267">
        <f t="shared" si="11"/>
        <v>4.6864175426394178E-2</v>
      </c>
      <c r="BZ45" s="1267">
        <f t="shared" si="16"/>
        <v>5.1145308847992593E-2</v>
      </c>
      <c r="CA45" s="1267">
        <f t="shared" si="16"/>
        <v>5.4066433552075799E-2</v>
      </c>
      <c r="CB45" s="1267">
        <f t="shared" si="25"/>
        <v>2.2964532955933106E-2</v>
      </c>
      <c r="CC45" s="1267">
        <f t="shared" si="26"/>
        <v>2.9577088602246594E-2</v>
      </c>
      <c r="CD45" s="1267">
        <f t="shared" si="26"/>
        <v>1.670496218026906E-2</v>
      </c>
      <c r="CE45" s="1267">
        <f t="shared" si="26"/>
        <v>6.9438004982598001E-2</v>
      </c>
      <c r="CF45" s="1267">
        <f t="shared" si="12"/>
        <v>6.5753900633611473E-2</v>
      </c>
      <c r="CT45" s="1267">
        <v>9178573669268.1504</v>
      </c>
      <c r="CV45" s="1267">
        <f t="shared" si="13"/>
        <v>9178573669268.1504</v>
      </c>
      <c r="CW45" s="1267">
        <v>3023792000000</v>
      </c>
      <c r="CX45" s="1267">
        <v>2449008000000</v>
      </c>
      <c r="CY45" s="1267">
        <v>574784000000</v>
      </c>
      <c r="CZ45" s="1267">
        <v>4008473000000</v>
      </c>
      <c r="DA45" s="1267">
        <v>1643205000000</v>
      </c>
      <c r="DB45" s="1267">
        <v>2365268000000</v>
      </c>
      <c r="DC45" s="1267">
        <v>2146309000000</v>
      </c>
      <c r="DH45" s="1267">
        <f>1000000*'BEA int transactions'!I48</f>
        <v>1066074000000</v>
      </c>
      <c r="DI45" s="1267">
        <f>1000000*'BEA int transactions'!J48</f>
        <v>349124000000</v>
      </c>
      <c r="DJ45" s="1267">
        <v>258439000000</v>
      </c>
      <c r="DK45" s="1267">
        <v>90686000000</v>
      </c>
      <c r="DL45" s="1267">
        <f>1000000*'BEA int transactions'!K48</f>
        <v>441966000000</v>
      </c>
      <c r="DM45" s="1267">
        <v>193600000000</v>
      </c>
      <c r="DN45" s="1267">
        <v>248366000000</v>
      </c>
      <c r="DO45" s="1267">
        <f>1000000*'BEA int transactions'!L48</f>
        <v>274984000000</v>
      </c>
      <c r="DS45" s="1267">
        <v>327684000000</v>
      </c>
      <c r="DU45" s="1267">
        <v>62248000000</v>
      </c>
      <c r="DV45" s="1267">
        <v>36072000000</v>
      </c>
      <c r="DW45" s="1267">
        <v>37274000000</v>
      </c>
      <c r="DX45" s="1267">
        <v>-1202000000</v>
      </c>
      <c r="DY45" s="1267">
        <v>26176000000</v>
      </c>
      <c r="DZ45" s="1267">
        <v>164758000000</v>
      </c>
      <c r="EA45" s="1267">
        <v>19645000000</v>
      </c>
      <c r="EB45" s="1267">
        <v>164758000000</v>
      </c>
      <c r="EC45" s="1267">
        <v>100678000000</v>
      </c>
      <c r="EF45" s="1279"/>
      <c r="EG45" s="1279">
        <f t="shared" si="17"/>
        <v>-501211004416.63965</v>
      </c>
      <c r="EH45" s="1279"/>
      <c r="EI45" s="1279">
        <f t="shared" si="18"/>
        <v>-335290000000</v>
      </c>
      <c r="EJ45" s="1279">
        <f t="shared" si="18"/>
        <v>-335292000000</v>
      </c>
      <c r="EK45" s="1279">
        <f t="shared" si="18"/>
        <v>1000000</v>
      </c>
      <c r="EL45" s="1279">
        <f t="shared" si="18"/>
        <v>-149186000000</v>
      </c>
      <c r="EM45" s="1279">
        <f t="shared" si="18"/>
        <v>-161929000000</v>
      </c>
      <c r="EN45" s="1279">
        <f t="shared" si="18"/>
        <v>12743000000</v>
      </c>
      <c r="EO45" s="1279">
        <f t="shared" si="18"/>
        <v>-16735000000</v>
      </c>
      <c r="FP45" s="1267">
        <f t="shared" si="19"/>
        <v>3.804214146652115E-2</v>
      </c>
      <c r="FQ45" s="1267">
        <f t="shared" si="20"/>
        <v>2.0680687238825258E-2</v>
      </c>
      <c r="FR45" s="1267">
        <f t="shared" si="20"/>
        <v>1.4281070890282561E-2</v>
      </c>
      <c r="FS45" s="1267">
        <f t="shared" si="27"/>
        <v>5.4071807922792335E-2</v>
      </c>
      <c r="FT45" s="1267">
        <f t="shared" si="27"/>
        <v>4.43411229076245E-2</v>
      </c>
      <c r="FU45" s="1267">
        <f t="shared" si="28"/>
        <v>1.2190248545795496E-2</v>
      </c>
      <c r="FV45" s="1267">
        <f t="shared" si="28"/>
        <v>7.8301116978327215E-2</v>
      </c>
      <c r="FW45" s="1267">
        <f t="shared" si="21"/>
        <v>5.3323517261103993E-2</v>
      </c>
      <c r="GJ45" s="1267">
        <f t="shared" si="3"/>
        <v>-1536825669268.1504</v>
      </c>
      <c r="GK45" s="1267">
        <f t="shared" si="4"/>
        <v>-89222000000</v>
      </c>
      <c r="GL45" s="1267">
        <f t="shared" si="4"/>
        <v>96595000000</v>
      </c>
      <c r="GM45" s="1267">
        <f t="shared" si="4"/>
        <v>-185817000000</v>
      </c>
      <c r="GN45" s="1267">
        <f t="shared" si="5"/>
        <v>-1452315000000</v>
      </c>
      <c r="GO45" s="1267">
        <f t="shared" si="5"/>
        <v>209637000000</v>
      </c>
      <c r="GP45" s="1267">
        <f t="shared" si="5"/>
        <v>-1661952000000</v>
      </c>
      <c r="GQ45" s="1267">
        <f t="shared" si="5"/>
        <v>-123689000000</v>
      </c>
      <c r="GV45" s="1267">
        <f t="shared" si="0"/>
        <v>29020000000</v>
      </c>
      <c r="GW45" s="1267">
        <f t="shared" si="1"/>
        <v>93817000000</v>
      </c>
      <c r="GX45" s="1267">
        <f t="shared" si="1"/>
        <v>108761000000</v>
      </c>
      <c r="GY45" s="1267">
        <f t="shared" si="1"/>
        <v>15589000000</v>
      </c>
      <c r="GZ45" s="1267">
        <f t="shared" si="1"/>
        <v>93172000000</v>
      </c>
      <c r="HA45" s="1267">
        <f t="shared" si="1"/>
        <v>-14944000000</v>
      </c>
      <c r="HB45" s="1267">
        <f t="shared" si="1"/>
        <v>-86356000000</v>
      </c>
      <c r="HC45" s="1267">
        <f t="shared" si="1"/>
        <v>13827000000</v>
      </c>
      <c r="HD45" s="1267">
        <f t="shared" si="1"/>
        <v>-119828000000</v>
      </c>
      <c r="HE45" s="1267">
        <f t="shared" si="2"/>
        <v>15894000000</v>
      </c>
      <c r="HL45" s="1267">
        <f t="shared" si="22"/>
        <v>8.8220339598730282E-3</v>
      </c>
      <c r="HM45" s="1267">
        <f t="shared" si="22"/>
        <v>3.0464621609167335E-2</v>
      </c>
      <c r="HN45" s="1267">
        <f t="shared" si="22"/>
        <v>3.9785362661793236E-2</v>
      </c>
      <c r="HO45" s="1267">
        <f t="shared" si="22"/>
        <v>-3.1107274966859229E-2</v>
      </c>
      <c r="HP45" s="1267">
        <f t="shared" si="22"/>
        <v>-1.4764034305377906E-2</v>
      </c>
      <c r="HQ45" s="1267">
        <f t="shared" si="22"/>
        <v>4.514713634473564E-3</v>
      </c>
      <c r="HR45" s="1267">
        <f t="shared" si="22"/>
        <v>-8.8631119957292143E-3</v>
      </c>
      <c r="HS45" s="1267">
        <f t="shared" si="23"/>
        <v>1.2430383372507479E-2</v>
      </c>
      <c r="HU45" s="1267">
        <v>8.2446153244449746E-3</v>
      </c>
      <c r="HV45" s="1267">
        <f t="shared" si="24"/>
        <v>-3.3681393705504714E-3</v>
      </c>
      <c r="HW45" s="1267">
        <f t="shared" si="29"/>
        <v>-4.9478484546403995E-3</v>
      </c>
    </row>
    <row r="46" spans="4:245">
      <c r="D46" s="1267" t="s">
        <v>2939</v>
      </c>
      <c r="F46" s="1267">
        <v>7170013000000</v>
      </c>
      <c r="H46" s="1267">
        <f t="shared" si="6"/>
        <v>7170013000000</v>
      </c>
      <c r="I46" s="1267">
        <v>2554463000000</v>
      </c>
      <c r="J46" s="1267">
        <v>2158911000000</v>
      </c>
      <c r="K46" s="1267">
        <v>395552000000</v>
      </c>
      <c r="L46" s="1267">
        <v>2316634000000</v>
      </c>
      <c r="M46" s="1267">
        <v>1612673000000</v>
      </c>
      <c r="N46" s="1267">
        <v>703961000000</v>
      </c>
      <c r="O46" s="1267">
        <v>2168955000000</v>
      </c>
      <c r="P46" s="1267">
        <v>129961000000</v>
      </c>
      <c r="R46" s="1311"/>
      <c r="T46" s="1267">
        <f>'BEA int transactions'!D49*1000000</f>
        <v>386308000000</v>
      </c>
      <c r="U46" s="1267">
        <f>'BEA int transactions'!E49*1000000</f>
        <v>146041000000</v>
      </c>
      <c r="V46" s="1267">
        <v>129965000000</v>
      </c>
      <c r="W46" s="1267">
        <v>16076000000</v>
      </c>
      <c r="X46" s="1267">
        <f>1000000*'BEA int transactions'!F49</f>
        <v>106919000000</v>
      </c>
      <c r="Y46" s="1267">
        <v>109119000000</v>
      </c>
      <c r="Z46" s="1267">
        <v>-2200000000</v>
      </c>
      <c r="AA46" s="1267">
        <f>1000000*'BEA int transactions'!G49</f>
        <v>128437000000</v>
      </c>
      <c r="AB46" s="1267">
        <f>1000000*'BEA int transactions'!H49</f>
        <v>4911000000</v>
      </c>
      <c r="AD46" s="1267">
        <v>296980000000</v>
      </c>
      <c r="AF46" s="1267">
        <v>133212000000</v>
      </c>
      <c r="AG46" s="1267">
        <v>122258000000</v>
      </c>
      <c r="AH46" s="1267">
        <v>53235000000</v>
      </c>
      <c r="AI46" s="1267">
        <v>69023000000</v>
      </c>
      <c r="AJ46" s="1267">
        <v>10954000000</v>
      </c>
      <c r="AK46" s="1267">
        <v>73915000000</v>
      </c>
      <c r="AL46" s="1267">
        <v>34165000000</v>
      </c>
      <c r="AM46" s="1267">
        <v>39750000000</v>
      </c>
      <c r="AN46" s="1267">
        <v>84029000000</v>
      </c>
      <c r="AO46" s="1267">
        <v>1311000000</v>
      </c>
      <c r="AR46" s="1267">
        <f t="shared" si="7"/>
        <v>-858043000000</v>
      </c>
      <c r="AT46" s="1267">
        <f t="shared" si="8"/>
        <v>-526148000000</v>
      </c>
      <c r="AU46" s="1267">
        <f t="shared" si="8"/>
        <v>-516657000000</v>
      </c>
      <c r="AV46" s="1267">
        <f t="shared" si="8"/>
        <v>-9491000000</v>
      </c>
      <c r="AW46" s="1267">
        <f t="shared" si="9"/>
        <v>-346443000000</v>
      </c>
      <c r="AX46" s="1267">
        <f t="shared" si="9"/>
        <v>-349288000000</v>
      </c>
      <c r="AY46" s="1267">
        <f t="shared" si="9"/>
        <v>2845000000</v>
      </c>
      <c r="AZ46" s="1267">
        <f t="shared" si="9"/>
        <v>17898000000</v>
      </c>
      <c r="BX46" s="1267">
        <f t="shared" si="10"/>
        <v>3.8862836094568941E-2</v>
      </c>
      <c r="BY46" s="1267">
        <f t="shared" si="11"/>
        <v>3.8862836094568941E-2</v>
      </c>
      <c r="BZ46" s="1267">
        <f t="shared" si="16"/>
        <v>4.5394044101861604E-2</v>
      </c>
      <c r="CA46" s="1267">
        <f t="shared" si="16"/>
        <v>4.8027127560739048E-2</v>
      </c>
      <c r="CB46" s="1267">
        <f t="shared" si="25"/>
        <v>2.1612798311231661E-2</v>
      </c>
      <c r="CC46" s="1267">
        <f t="shared" si="26"/>
        <v>2.8916444132170233E-2</v>
      </c>
      <c r="CD46" s="1267">
        <f t="shared" si="26"/>
        <v>1.8439240906672021E-2</v>
      </c>
      <c r="CE46" s="1267">
        <f t="shared" si="26"/>
        <v>5.6517980537908991E-2</v>
      </c>
      <c r="CF46" s="1267">
        <f t="shared" si="12"/>
        <v>4.1544630232075226E-2</v>
      </c>
      <c r="CT46" s="1267">
        <v>9465063354345.75</v>
      </c>
      <c r="CV46" s="1267">
        <f t="shared" si="13"/>
        <v>9465063354345.75</v>
      </c>
      <c r="CW46" s="1267">
        <v>2799823000000</v>
      </c>
      <c r="CX46" s="1267">
        <v>2166097000000</v>
      </c>
      <c r="CY46" s="1267">
        <v>633726000000</v>
      </c>
      <c r="CZ46" s="1267">
        <v>4324590000000</v>
      </c>
      <c r="DA46" s="1267">
        <v>1572681000000</v>
      </c>
      <c r="DB46" s="1267">
        <v>2751909000000</v>
      </c>
      <c r="DC46" s="1267">
        <v>2340650000000</v>
      </c>
      <c r="DH46" s="1267">
        <f>1000000*'BEA int transactions'!I49</f>
        <v>788345000000</v>
      </c>
      <c r="DI46" s="1267">
        <f>1000000*'BEA int transactions'!J49</f>
        <v>172496000000</v>
      </c>
      <c r="DJ46" s="1267">
        <v>108076000000</v>
      </c>
      <c r="DK46" s="1267">
        <v>64420000000</v>
      </c>
      <c r="DL46" s="1267">
        <f>1000000*'BEA int transactions'!K49</f>
        <v>431492000000</v>
      </c>
      <c r="DM46" s="1267">
        <v>121464000000</v>
      </c>
      <c r="DN46" s="1267">
        <v>310028000000</v>
      </c>
      <c r="DO46" s="1267">
        <f>1000000*'BEA int transactions'!L49</f>
        <v>184357000000</v>
      </c>
      <c r="DS46" s="1267">
        <v>257735000000</v>
      </c>
      <c r="DU46" s="1267">
        <v>19528000000</v>
      </c>
      <c r="DV46" s="1267">
        <v>-7415000000</v>
      </c>
      <c r="DW46" s="1267">
        <v>25410000000</v>
      </c>
      <c r="DX46" s="1267">
        <v>-32825000000</v>
      </c>
      <c r="DY46" s="1267">
        <v>26943000000</v>
      </c>
      <c r="DZ46" s="1267">
        <v>162458000000</v>
      </c>
      <c r="EA46" s="1267">
        <v>21129000000</v>
      </c>
      <c r="EB46" s="1267">
        <v>162458000000</v>
      </c>
      <c r="EC46" s="1267">
        <v>75749000000</v>
      </c>
      <c r="EF46" s="1279"/>
      <c r="EG46" s="1279">
        <f t="shared" si="17"/>
        <v>-501855314922.40039</v>
      </c>
      <c r="EH46" s="1279"/>
      <c r="EI46" s="1279">
        <f t="shared" si="18"/>
        <v>-396465000000</v>
      </c>
      <c r="EJ46" s="1279">
        <f t="shared" si="18"/>
        <v>-390987000000</v>
      </c>
      <c r="EK46" s="1279">
        <f t="shared" si="18"/>
        <v>-5478000000</v>
      </c>
      <c r="EL46" s="1279">
        <f t="shared" si="18"/>
        <v>-115375000000</v>
      </c>
      <c r="EM46" s="1279">
        <f t="shared" si="18"/>
        <v>-191988000000</v>
      </c>
      <c r="EN46" s="1279">
        <f t="shared" si="18"/>
        <v>76613000000</v>
      </c>
      <c r="EO46" s="1279">
        <f t="shared" si="18"/>
        <v>9984000000</v>
      </c>
      <c r="FP46" s="1267">
        <f t="shared" si="19"/>
        <v>2.8080070966031739E-2</v>
      </c>
      <c r="FQ46" s="1267">
        <f t="shared" si="20"/>
        <v>6.4581161667204619E-3</v>
      </c>
      <c r="FR46" s="1267">
        <f t="shared" si="20"/>
        <v>-3.0277565446907482E-3</v>
      </c>
      <c r="FS46" s="1267">
        <f t="shared" si="27"/>
        <v>4.6875E-2</v>
      </c>
      <c r="FT46" s="1267">
        <f t="shared" si="27"/>
        <v>4.0528650186741934E-2</v>
      </c>
      <c r="FU46" s="1267">
        <f t="shared" si="28"/>
        <v>1.2858407806694843E-2</v>
      </c>
      <c r="FV46" s="1267">
        <f t="shared" si="28"/>
        <v>6.8684817111633864E-2</v>
      </c>
      <c r="FW46" s="1267">
        <f t="shared" si="21"/>
        <v>3.5292681529080855E-2</v>
      </c>
      <c r="GJ46" s="1267">
        <f t="shared" si="3"/>
        <v>-2295050354345.75</v>
      </c>
      <c r="GK46" s="1267">
        <f t="shared" si="4"/>
        <v>-245360000000</v>
      </c>
      <c r="GL46" s="1267">
        <f t="shared" si="4"/>
        <v>-7186000000</v>
      </c>
      <c r="GM46" s="1267">
        <f t="shared" si="4"/>
        <v>-238174000000</v>
      </c>
      <c r="GN46" s="1267">
        <f t="shared" si="5"/>
        <v>-2007956000000</v>
      </c>
      <c r="GO46" s="1267">
        <f t="shared" si="5"/>
        <v>39992000000</v>
      </c>
      <c r="GP46" s="1267">
        <f t="shared" si="5"/>
        <v>-2047948000000</v>
      </c>
      <c r="GQ46" s="1267">
        <f t="shared" si="5"/>
        <v>-171695000000</v>
      </c>
      <c r="GV46" s="1267">
        <f t="shared" si="0"/>
        <v>39245000000</v>
      </c>
      <c r="GW46" s="1267">
        <f t="shared" si="1"/>
        <v>113684000000</v>
      </c>
      <c r="GX46" s="1267">
        <f t="shared" si="1"/>
        <v>129673000000</v>
      </c>
      <c r="GY46" s="1267">
        <f t="shared" si="1"/>
        <v>27825000000</v>
      </c>
      <c r="GZ46" s="1267">
        <f t="shared" si="1"/>
        <v>101848000000</v>
      </c>
      <c r="HA46" s="1267">
        <f t="shared" si="1"/>
        <v>-15989000000</v>
      </c>
      <c r="HB46" s="1267">
        <f t="shared" si="1"/>
        <v>-88543000000</v>
      </c>
      <c r="HC46" s="1267">
        <f t="shared" si="1"/>
        <v>13036000000</v>
      </c>
      <c r="HD46" s="1267">
        <f t="shared" si="1"/>
        <v>-122708000000</v>
      </c>
      <c r="HE46" s="1267">
        <f t="shared" si="2"/>
        <v>8280000000</v>
      </c>
      <c r="HL46" s="1267">
        <f t="shared" si="22"/>
        <v>1.0782765128537201E-2</v>
      </c>
      <c r="HM46" s="1267">
        <f t="shared" si="22"/>
        <v>3.893592793514114E-2</v>
      </c>
      <c r="HN46" s="1267">
        <f t="shared" si="22"/>
        <v>5.1054884105429799E-2</v>
      </c>
      <c r="HO46" s="1267">
        <f t="shared" si="22"/>
        <v>-2.5262201688768339E-2</v>
      </c>
      <c r="HP46" s="1267">
        <f t="shared" si="22"/>
        <v>-1.1612206054571701E-2</v>
      </c>
      <c r="HQ46" s="1267">
        <f t="shared" si="22"/>
        <v>5.5808330999771779E-3</v>
      </c>
      <c r="HR46" s="1267">
        <f t="shared" si="22"/>
        <v>-1.2166836573724873E-2</v>
      </c>
      <c r="HS46" s="1267">
        <f t="shared" si="23"/>
        <v>6.2519487029943713E-3</v>
      </c>
      <c r="HU46" s="1267">
        <v>1.0192194454392716E-2</v>
      </c>
      <c r="HV46" s="1267">
        <f t="shared" si="24"/>
        <v>-3.9116327241712281E-3</v>
      </c>
      <c r="HW46" s="1267">
        <f t="shared" si="29"/>
        <v>-5.1156285147914426E-3</v>
      </c>
    </row>
    <row r="47" spans="4:245">
      <c r="D47" s="1267" t="s">
        <v>2940</v>
      </c>
      <c r="F47" s="1267">
        <v>7065177000000</v>
      </c>
      <c r="H47" s="1267">
        <f t="shared" si="6"/>
        <v>7065177000000</v>
      </c>
      <c r="I47" s="1267">
        <v>2283141000000</v>
      </c>
      <c r="J47" s="1267">
        <v>1840110000000</v>
      </c>
      <c r="K47" s="1267">
        <v>443031000000</v>
      </c>
      <c r="L47" s="1267">
        <v>2276589000000</v>
      </c>
      <c r="M47" s="1267">
        <v>1373980000000</v>
      </c>
      <c r="N47" s="1267">
        <v>902609000000</v>
      </c>
      <c r="O47" s="1267">
        <v>2346845000000</v>
      </c>
      <c r="P47" s="1267">
        <v>158602000000</v>
      </c>
      <c r="R47" s="1311"/>
      <c r="T47" s="1267">
        <f>'BEA int transactions'!D50*1000000</f>
        <v>319170000000</v>
      </c>
      <c r="U47" s="1267">
        <f>'BEA int transactions'!E50*1000000</f>
        <v>178984000000</v>
      </c>
      <c r="V47" s="1267">
        <v>127407000000</v>
      </c>
      <c r="W47" s="1267">
        <v>51578000000</v>
      </c>
      <c r="X47" s="1267">
        <f>1000000*'BEA int transactions'!F50</f>
        <v>79532000000</v>
      </c>
      <c r="Y47" s="1267">
        <v>16954000000</v>
      </c>
      <c r="Z47" s="1267">
        <v>62578000000</v>
      </c>
      <c r="AA47" s="1267">
        <f>1000000*'BEA int transactions'!G50</f>
        <v>56973000000</v>
      </c>
      <c r="AB47" s="1267">
        <f>1000000*'BEA int transactions'!H50</f>
        <v>3681000000</v>
      </c>
      <c r="AD47" s="1267">
        <v>286524000000</v>
      </c>
      <c r="AF47" s="1267">
        <v>149414000000</v>
      </c>
      <c r="AG47" s="1267">
        <v>139301000000</v>
      </c>
      <c r="AH47" s="1267">
        <v>54601000000</v>
      </c>
      <c r="AI47" s="1267">
        <v>84700000000</v>
      </c>
      <c r="AJ47" s="1267">
        <v>10113000000</v>
      </c>
      <c r="AK47" s="1267">
        <v>81923000000</v>
      </c>
      <c r="AL47" s="1267">
        <v>38229000000</v>
      </c>
      <c r="AM47" s="1267">
        <v>43694000000</v>
      </c>
      <c r="AN47" s="1267">
        <v>49567000000</v>
      </c>
      <c r="AO47" s="1267">
        <v>1050000000</v>
      </c>
      <c r="AR47" s="1267">
        <f t="shared" si="7"/>
        <v>-424006000000</v>
      </c>
      <c r="AT47" s="1267">
        <f t="shared" si="8"/>
        <v>-450306000000</v>
      </c>
      <c r="AU47" s="1267">
        <f t="shared" si="8"/>
        <v>-446208000000</v>
      </c>
      <c r="AV47" s="1267">
        <f t="shared" si="8"/>
        <v>-4099000000</v>
      </c>
      <c r="AW47" s="1267">
        <f t="shared" si="9"/>
        <v>-119577000000</v>
      </c>
      <c r="AX47" s="1267">
        <f t="shared" si="9"/>
        <v>-255647000000</v>
      </c>
      <c r="AY47" s="1267">
        <f t="shared" si="9"/>
        <v>136070000000</v>
      </c>
      <c r="AZ47" s="1267">
        <f t="shared" si="9"/>
        <v>120917000000</v>
      </c>
      <c r="BX47" s="1267">
        <f t="shared" si="10"/>
        <v>3.9961433821668106E-2</v>
      </c>
      <c r="BY47" s="1267">
        <f t="shared" si="11"/>
        <v>3.9961433821668106E-2</v>
      </c>
      <c r="BZ47" s="1267">
        <f t="shared" si="16"/>
        <v>5.8491354151537917E-2</v>
      </c>
      <c r="CA47" s="1267">
        <f t="shared" si="16"/>
        <v>6.4523734419807022E-2</v>
      </c>
      <c r="CB47" s="1267">
        <f t="shared" si="25"/>
        <v>2.1441287622458435E-2</v>
      </c>
      <c r="CC47" s="1267">
        <f t="shared" si="26"/>
        <v>3.536294468612651E-2</v>
      </c>
      <c r="CD47" s="1267">
        <f t="shared" si="26"/>
        <v>2.3705363703615055E-2</v>
      </c>
      <c r="CE47" s="1267">
        <f t="shared" si="26"/>
        <v>6.2068779378403063E-2</v>
      </c>
      <c r="CF47" s="1267">
        <f t="shared" si="12"/>
        <v>2.285294070185873E-2</v>
      </c>
      <c r="CT47" s="1267">
        <v>9476128042757.1191</v>
      </c>
      <c r="CV47" s="1267">
        <f t="shared" si="13"/>
        <v>9476128042757.1191</v>
      </c>
      <c r="CW47" s="1267">
        <v>2282370000000</v>
      </c>
      <c r="CX47" s="1267">
        <v>1658552000000</v>
      </c>
      <c r="CY47" s="1267">
        <v>623818000000</v>
      </c>
      <c r="CZ47" s="1267">
        <v>4571348000000</v>
      </c>
      <c r="DA47" s="1267">
        <v>1335792000000</v>
      </c>
      <c r="DB47" s="1267">
        <v>3235556000000</v>
      </c>
      <c r="DC47" s="1267">
        <v>2622410000000</v>
      </c>
      <c r="DH47" s="1267">
        <f>1000000*'BEA int transactions'!I50</f>
        <v>821844000000</v>
      </c>
      <c r="DI47" s="1267">
        <f>1000000*'BEA int transactions'!J50</f>
        <v>111056000000</v>
      </c>
      <c r="DJ47" s="1267">
        <v>108516000000</v>
      </c>
      <c r="DK47" s="1267">
        <v>2539000000</v>
      </c>
      <c r="DL47" s="1267">
        <f>1000000*'BEA int transactions'!K50</f>
        <v>504155000000</v>
      </c>
      <c r="DM47" s="1267">
        <v>54067000000</v>
      </c>
      <c r="DN47" s="1267">
        <v>450088000000</v>
      </c>
      <c r="DO47" s="1267">
        <f>1000000*'BEA int transactions'!L50</f>
        <v>206634000000</v>
      </c>
      <c r="DS47" s="1267">
        <v>251501000000</v>
      </c>
      <c r="DU47" s="1267">
        <v>49578000000</v>
      </c>
      <c r="DV47" s="1267">
        <v>24364000000</v>
      </c>
      <c r="DW47" s="1267">
        <v>21191000000</v>
      </c>
      <c r="DX47" s="1267">
        <v>3173000000</v>
      </c>
      <c r="DY47" s="1267">
        <v>25214000000</v>
      </c>
      <c r="DZ47" s="1267">
        <v>159829000000</v>
      </c>
      <c r="EA47" s="1267">
        <v>23560000000</v>
      </c>
      <c r="EB47" s="1267">
        <v>159829000000</v>
      </c>
      <c r="EC47" s="1267">
        <v>42094000000</v>
      </c>
      <c r="EF47" s="1279"/>
      <c r="EG47" s="1279">
        <f t="shared" si="17"/>
        <v>-810779311588.63086</v>
      </c>
      <c r="EH47" s="1279"/>
      <c r="EI47" s="1279">
        <f t="shared" si="18"/>
        <v>-628509000000</v>
      </c>
      <c r="EJ47" s="1279">
        <f t="shared" si="18"/>
        <v>-616061000000</v>
      </c>
      <c r="EK47" s="1279">
        <f t="shared" si="18"/>
        <v>-12447000000</v>
      </c>
      <c r="EL47" s="1279">
        <f t="shared" si="18"/>
        <v>-257397000000</v>
      </c>
      <c r="EM47" s="1279">
        <f t="shared" si="18"/>
        <v>-290956000000</v>
      </c>
      <c r="EN47" s="1279">
        <f t="shared" si="18"/>
        <v>33559000000</v>
      </c>
      <c r="EO47" s="1279">
        <f t="shared" si="18"/>
        <v>75126000000</v>
      </c>
      <c r="FP47" s="1267">
        <f t="shared" si="19"/>
        <v>2.6571507298419388E-2</v>
      </c>
      <c r="FQ47" s="1267">
        <f t="shared" si="20"/>
        <v>1.770754794142344E-2</v>
      </c>
      <c r="FR47" s="1267">
        <f t="shared" si="20"/>
        <v>1.1247880404247824E-2</v>
      </c>
      <c r="FS47" s="1267">
        <f t="shared" si="27"/>
        <v>3.9786911062509665E-2</v>
      </c>
      <c r="FT47" s="1267">
        <f t="shared" si="27"/>
        <v>3.6958185631470269E-2</v>
      </c>
      <c r="FU47" s="1267">
        <f t="shared" si="27"/>
        <v>1.4980787585022011E-2</v>
      </c>
      <c r="FV47" s="1267">
        <f t="shared" si="27"/>
        <v>5.8079318756543187E-2</v>
      </c>
      <c r="FW47" s="1267">
        <f t="shared" si="21"/>
        <v>1.7983893362954737E-2</v>
      </c>
      <c r="GJ47" s="1267">
        <f t="shared" si="3"/>
        <v>-2410951042757.1191</v>
      </c>
      <c r="GK47" s="1267">
        <f t="shared" si="4"/>
        <v>771000000</v>
      </c>
      <c r="GL47" s="1267">
        <f t="shared" si="4"/>
        <v>181558000000</v>
      </c>
      <c r="GM47" s="1267">
        <f t="shared" si="4"/>
        <v>-180787000000</v>
      </c>
      <c r="GN47" s="1267">
        <f t="shared" si="5"/>
        <v>-2294759000000</v>
      </c>
      <c r="GO47" s="1267">
        <f t="shared" si="5"/>
        <v>38188000000</v>
      </c>
      <c r="GP47" s="1267">
        <f t="shared" si="5"/>
        <v>-2332947000000</v>
      </c>
      <c r="GQ47" s="1267">
        <f t="shared" si="5"/>
        <v>-275565000000</v>
      </c>
      <c r="GV47" s="1267">
        <f t="shared" si="0"/>
        <v>35023000000</v>
      </c>
      <c r="GW47" s="1267">
        <f t="shared" si="1"/>
        <v>99836000000</v>
      </c>
      <c r="GX47" s="1267">
        <f t="shared" si="1"/>
        <v>114937000000</v>
      </c>
      <c r="GY47" s="1267">
        <f t="shared" si="1"/>
        <v>33410000000</v>
      </c>
      <c r="GZ47" s="1267">
        <f t="shared" si="1"/>
        <v>81527000000</v>
      </c>
      <c r="HA47" s="1267">
        <f t="shared" si="1"/>
        <v>-15101000000</v>
      </c>
      <c r="HB47" s="1267">
        <f t="shared" si="1"/>
        <v>-77906000000</v>
      </c>
      <c r="HC47" s="1267">
        <f t="shared" si="1"/>
        <v>14669000000</v>
      </c>
      <c r="HD47" s="1267">
        <f t="shared" si="1"/>
        <v>-116135000000</v>
      </c>
      <c r="HE47" s="1267">
        <f t="shared" si="2"/>
        <v>7473000000</v>
      </c>
      <c r="HL47" s="1267">
        <f t="shared" si="22"/>
        <v>1.3389926523248719E-2</v>
      </c>
      <c r="HM47" s="1267">
        <f t="shared" si="22"/>
        <v>4.0783806210114473E-2</v>
      </c>
      <c r="HN47" s="1267">
        <f t="shared" si="22"/>
        <v>5.3275854015559197E-2</v>
      </c>
      <c r="HO47" s="1267">
        <f t="shared" si="22"/>
        <v>-1.834562344005123E-2</v>
      </c>
      <c r="HP47" s="1267">
        <f t="shared" si="22"/>
        <v>-1.5952409453437594E-3</v>
      </c>
      <c r="HQ47" s="1267">
        <f t="shared" si="22"/>
        <v>8.7245761185930446E-3</v>
      </c>
      <c r="HR47" s="1267">
        <f t="shared" si="22"/>
        <v>3.9894606218598763E-3</v>
      </c>
      <c r="HS47" s="1267">
        <f t="shared" si="23"/>
        <v>4.869047338903993E-3</v>
      </c>
      <c r="HU47" s="1267">
        <v>1.2752548720381642E-2</v>
      </c>
      <c r="HV47" s="1267">
        <f t="shared" si="24"/>
        <v>-5.8882930710548592E-4</v>
      </c>
      <c r="HW47" s="1267">
        <f t="shared" si="29"/>
        <v>-1.7396977916652283E-3</v>
      </c>
    </row>
    <row r="48" spans="4:245">
      <c r="D48" s="1267" t="s">
        <v>2941</v>
      </c>
      <c r="F48" s="1267">
        <v>8620934000000</v>
      </c>
      <c r="H48" s="1267">
        <f t="shared" si="6"/>
        <v>8620934000000</v>
      </c>
      <c r="I48" s="1267">
        <v>3037312000000</v>
      </c>
      <c r="J48" s="1267">
        <v>2548435000000</v>
      </c>
      <c r="K48" s="1267">
        <v>488877000000</v>
      </c>
      <c r="L48" s="1267">
        <v>3176287000000</v>
      </c>
      <c r="M48" s="1267">
        <v>2079422000000</v>
      </c>
      <c r="N48" s="1267">
        <v>1096865000000</v>
      </c>
      <c r="O48" s="1267">
        <v>2223758000000</v>
      </c>
      <c r="P48" s="1267">
        <v>183577000000</v>
      </c>
      <c r="R48" s="1311"/>
      <c r="T48" s="1267">
        <f>'BEA int transactions'!D51*1000000</f>
        <v>371074000000</v>
      </c>
      <c r="U48" s="1267">
        <f>'BEA int transactions'!E51*1000000</f>
        <v>195218000000</v>
      </c>
      <c r="V48" s="1267">
        <v>154231000000</v>
      </c>
      <c r="W48" s="1267">
        <v>40987000000</v>
      </c>
      <c r="X48" s="1267">
        <f>1000000*'BEA int transactions'!F51</f>
        <v>133059000000</v>
      </c>
      <c r="Y48" s="1267">
        <v>118002000000</v>
      </c>
      <c r="Z48" s="1267">
        <v>15057000000</v>
      </c>
      <c r="AA48" s="1267">
        <f>1000000*'BEA int transactions'!G51</f>
        <v>44321000000</v>
      </c>
      <c r="AB48" s="1267">
        <f>1000000*'BEA int transactions'!H51</f>
        <v>-1524000000</v>
      </c>
      <c r="AD48" s="1267">
        <v>324374000000</v>
      </c>
      <c r="AF48" s="1267">
        <v>188380000000</v>
      </c>
      <c r="AG48" s="1267">
        <v>178206000000</v>
      </c>
      <c r="AH48" s="1267">
        <v>59459000000</v>
      </c>
      <c r="AI48" s="1267">
        <v>118747000000</v>
      </c>
      <c r="AJ48" s="1267">
        <v>10174000000</v>
      </c>
      <c r="AK48" s="1267">
        <v>90651000000</v>
      </c>
      <c r="AL48" s="1267">
        <v>41554000000</v>
      </c>
      <c r="AM48" s="1267">
        <v>49097000000</v>
      </c>
      <c r="AN48" s="1267">
        <v>39587000000</v>
      </c>
      <c r="AO48" s="1267">
        <v>1084000000</v>
      </c>
      <c r="AR48" s="1267">
        <f t="shared" si="7"/>
        <v>1184683000000</v>
      </c>
      <c r="AT48" s="1267">
        <f t="shared" si="8"/>
        <v>558953000000</v>
      </c>
      <c r="AU48" s="1267">
        <f t="shared" si="8"/>
        <v>554094000000</v>
      </c>
      <c r="AV48" s="1267">
        <f t="shared" si="8"/>
        <v>4859000000</v>
      </c>
      <c r="AW48" s="1267">
        <f t="shared" si="9"/>
        <v>766639000000</v>
      </c>
      <c r="AX48" s="1267">
        <f t="shared" si="9"/>
        <v>587440000000</v>
      </c>
      <c r="AY48" s="1267">
        <f t="shared" si="9"/>
        <v>179199000000</v>
      </c>
      <c r="AZ48" s="1267">
        <f t="shared" si="9"/>
        <v>-167408000000</v>
      </c>
      <c r="BC48" s="1267">
        <f>1000000*('Changes in position data'!E52+'Changes in position data'!F52)</f>
        <v>1251113000000</v>
      </c>
      <c r="BD48" s="1267">
        <f>1000000*('Changes in position data'!J52+'Changes in position data'!K52)</f>
        <v>562758000000</v>
      </c>
      <c r="BE48" s="1267">
        <f>1000000*('Changes in position data'!N52+'Changes in position data'!O52)</f>
        <v>562758000000</v>
      </c>
      <c r="BF48" s="1267">
        <f>0</f>
        <v>0</v>
      </c>
      <c r="BG48" s="1267">
        <f>1000000*('Changes in position data'!W52+'Changes in position data'!X52)</f>
        <v>631503000000</v>
      </c>
      <c r="BH48" s="1267">
        <f>1000000*('Changes in position data'!AA52+'Changes in position data'!AB52)</f>
        <v>587439000000</v>
      </c>
      <c r="BI48" s="1267">
        <f>1000000*('Changes in position data'!AE52+'Changes in position data'!AF52)</f>
        <v>44064000000</v>
      </c>
      <c r="BJ48" s="1267">
        <f>1000000*('Changes in position data'!AK52)</f>
        <v>30354000000</v>
      </c>
      <c r="BK48" s="1267">
        <f>1000000*('Changes in position data'!AO52+'Changes in position data'!AP52)</f>
        <v>26498000000</v>
      </c>
      <c r="BN48" s="1267">
        <f>BC48-BD48+BO48</f>
        <v>1247308000000</v>
      </c>
      <c r="BO48" s="1267">
        <f>1000000*('Changes in position data'!J52+'Changes in position data'!K52+'Changes in position data'!L52)</f>
        <v>558953000000</v>
      </c>
      <c r="BP48" s="1267">
        <f>1000000*('Changes in position data'!N52+'Changes in position data'!O52+'Changes in position data'!P52)</f>
        <v>554094000000</v>
      </c>
      <c r="BQ48" s="1267">
        <f>1000000*('Changes in position data'!Q52)</f>
        <v>4859000000</v>
      </c>
      <c r="BR48" s="1267">
        <v>631503000000</v>
      </c>
      <c r="BS48" s="1267">
        <v>587439000000</v>
      </c>
      <c r="BT48" s="1267">
        <v>44064000000</v>
      </c>
      <c r="BU48" s="1267">
        <v>30354000000</v>
      </c>
      <c r="BV48" s="1267">
        <v>26498000000</v>
      </c>
      <c r="BX48" s="1267">
        <f t="shared" si="10"/>
        <v>4.5911659396502026E-2</v>
      </c>
      <c r="BY48" s="1267">
        <f t="shared" si="11"/>
        <v>4.5911659396502026E-2</v>
      </c>
      <c r="BZ48" s="1267">
        <f t="shared" si="16"/>
        <v>8.25091398209747E-2</v>
      </c>
      <c r="CA48" s="1267">
        <f t="shared" si="16"/>
        <v>9.6845297292009719E-2</v>
      </c>
      <c r="CB48" s="1267">
        <f t="shared" si="25"/>
        <v>2.3761097767400163E-2</v>
      </c>
      <c r="CC48" s="1267">
        <f t="shared" si="26"/>
        <v>3.9818781519193845E-2</v>
      </c>
      <c r="CD48" s="1267">
        <f t="shared" si="26"/>
        <v>3.0243526106639107E-2</v>
      </c>
      <c r="CE48" s="1267">
        <f t="shared" si="26"/>
        <v>5.4394538498951372E-2</v>
      </c>
      <c r="CF48" s="1267">
        <f t="shared" si="12"/>
        <v>1.686817834156069E-2</v>
      </c>
      <c r="CI48" s="1267">
        <f>(AD48+BC48)/H47</f>
        <v>0.22299328098928023</v>
      </c>
      <c r="CJ48" s="1267">
        <f>(AF48+BD48)/I47</f>
        <v>0.32899325972421328</v>
      </c>
      <c r="CK48" s="1267">
        <f>(AG48+BE48)/J47</f>
        <v>0.40267375319953697</v>
      </c>
      <c r="CL48" s="1267">
        <f>(AJ48+BF48)/K47</f>
        <v>2.2964532955933106E-2</v>
      </c>
      <c r="CM48" s="1267">
        <f>(BG48+AK48)/L47</f>
        <v>0.31720877154374372</v>
      </c>
      <c r="CN48" s="1267">
        <f>(BH48+AL48)/M47</f>
        <v>0.45778905078676546</v>
      </c>
      <c r="CO48" s="1267">
        <f>(BI48+AM48)/N47</f>
        <v>0.10321301914782591</v>
      </c>
      <c r="CP48" s="1267">
        <f>(BJ48+AN48)/O47</f>
        <v>2.9802138615886434E-2</v>
      </c>
      <c r="CT48" s="1267">
        <v>10913946566452.699</v>
      </c>
      <c r="CV48" s="1267">
        <f t="shared" si="13"/>
        <v>10913946566452.699</v>
      </c>
      <c r="CW48" s="1267">
        <v>2763061000000</v>
      </c>
      <c r="CX48" s="1267">
        <v>2136541000000</v>
      </c>
      <c r="CY48" s="1267">
        <v>626520000000</v>
      </c>
      <c r="CZ48" s="1267">
        <v>5546317000000</v>
      </c>
      <c r="DA48" s="1267">
        <v>1839509000000</v>
      </c>
      <c r="DB48" s="1267">
        <v>3706808000000</v>
      </c>
      <c r="DC48" s="1267">
        <v>2604569000000</v>
      </c>
      <c r="DH48" s="1267">
        <f>1000000*'BEA int transactions'!I51</f>
        <v>911660000000</v>
      </c>
      <c r="DI48" s="1267">
        <f>1000000*'BEA int transactions'!J51</f>
        <v>117107000000</v>
      </c>
      <c r="DJ48" s="1267">
        <v>113467000000</v>
      </c>
      <c r="DK48" s="1267">
        <v>3639000000</v>
      </c>
      <c r="DL48" s="1267">
        <f>1000000*'BEA int transactions'!K51</f>
        <v>550163000000</v>
      </c>
      <c r="DM48" s="1267">
        <v>33982000000</v>
      </c>
      <c r="DN48" s="1267">
        <v>516182000000</v>
      </c>
      <c r="DO48" s="1267">
        <f>1000000*'BEA int transactions'!L51</f>
        <v>244390000000</v>
      </c>
      <c r="DS48" s="1267">
        <v>276747000000</v>
      </c>
      <c r="DU48" s="1267">
        <v>83757000000</v>
      </c>
      <c r="DV48" s="1267">
        <v>63302000000</v>
      </c>
      <c r="DW48" s="1267">
        <v>43255000000</v>
      </c>
      <c r="DX48" s="1267">
        <v>20047000000</v>
      </c>
      <c r="DY48" s="1267">
        <v>20455000000</v>
      </c>
      <c r="DZ48" s="1267">
        <v>163524000000</v>
      </c>
      <c r="EA48" s="1267">
        <v>25660000000</v>
      </c>
      <c r="EB48" s="1267">
        <v>163524000000</v>
      </c>
      <c r="EC48" s="1267">
        <v>29466000000</v>
      </c>
      <c r="EF48" s="1279"/>
      <c r="EG48" s="1279">
        <f t="shared" si="17"/>
        <v>526158523695.58008</v>
      </c>
      <c r="EH48" s="1279"/>
      <c r="EI48" s="1279">
        <f t="shared" si="18"/>
        <v>363584000000</v>
      </c>
      <c r="EJ48" s="1279">
        <f t="shared" si="18"/>
        <v>364522000000</v>
      </c>
      <c r="EK48" s="1279">
        <f t="shared" si="18"/>
        <v>-937000000</v>
      </c>
      <c r="EL48" s="1279">
        <f t="shared" si="18"/>
        <v>424806000000</v>
      </c>
      <c r="EM48" s="1279">
        <f t="shared" si="18"/>
        <v>469735000000</v>
      </c>
      <c r="EN48" s="1279">
        <f t="shared" si="18"/>
        <v>-44930000000</v>
      </c>
      <c r="EO48" s="1279">
        <f t="shared" si="18"/>
        <v>-262231000000</v>
      </c>
      <c r="ER48" s="1267">
        <f>1000000*('Changes in position data'!AV52+'Changes in position data'!AW52)</f>
        <v>844144000000</v>
      </c>
      <c r="ES48" s="1267">
        <f>1000000*('Changes in position data'!BA52)</f>
        <v>381665000000</v>
      </c>
      <c r="ET48" s="1267">
        <f>1000000*('Changes in position data'!BE52)</f>
        <v>381665000000</v>
      </c>
      <c r="EV48" s="1267">
        <f>1000000*('Changes in position data'!BN52+'Changes in position data'!BO52)</f>
        <v>441713000000</v>
      </c>
      <c r="EW48" s="1267">
        <f>1000000*('Changes in position data'!BR52+'Changes in position data'!BS52)</f>
        <v>406726000000</v>
      </c>
      <c r="EX48" s="1267">
        <f>1000000*('Changes in position data'!BV52+'Changes in position data'!BW52)</f>
        <v>34987000000</v>
      </c>
      <c r="EY48" s="1267">
        <f>1000000*('Changes in position data'!CB52)</f>
        <v>20766000000</v>
      </c>
      <c r="FP48" s="1267">
        <f t="shared" si="19"/>
        <v>2.9204649699887265E-2</v>
      </c>
      <c r="FQ48" s="1267">
        <f t="shared" si="20"/>
        <v>3.6697380354631368E-2</v>
      </c>
      <c r="FR48" s="1267">
        <f t="shared" si="20"/>
        <v>3.8167027624096198E-2</v>
      </c>
      <c r="FS48" s="1267">
        <f t="shared" si="27"/>
        <v>3.2790012471586263E-2</v>
      </c>
      <c r="FT48" s="1267">
        <f t="shared" si="27"/>
        <v>3.577150547278396E-2</v>
      </c>
      <c r="FU48" s="1267">
        <f t="shared" si="27"/>
        <v>1.9209577539018051E-2</v>
      </c>
      <c r="FV48" s="1267">
        <f t="shared" si="27"/>
        <v>5.0539690859932575E-2</v>
      </c>
      <c r="FW48" s="1267">
        <f t="shared" si="21"/>
        <v>1.1236229270022612E-2</v>
      </c>
      <c r="FZ48" s="1267">
        <f>(ER48+DS48)/CV47</f>
        <v>0.11828575921963504</v>
      </c>
      <c r="GA48" s="1267">
        <f>(ES48+DU48)/CW47</f>
        <v>0.20392048616131478</v>
      </c>
      <c r="GB48" s="1267">
        <f>(ET48+DV48)/CY47</f>
        <v>0.71329618574648379</v>
      </c>
      <c r="GD48" s="1267">
        <f>(EV48+DZ48)/DA47</f>
        <v>0.45309224789488184</v>
      </c>
      <c r="GE48" s="1267">
        <f>(EW48+EA48)/DB47</f>
        <v>0.13363576461047189</v>
      </c>
      <c r="GF48" s="1267">
        <f>(EX48+EB48)/DC47</f>
        <v>7.569792671626481E-2</v>
      </c>
      <c r="GG48" s="1267">
        <f>(EY48+EC48)/DC47</f>
        <v>1.915489950084083E-2</v>
      </c>
      <c r="GJ48" s="1267">
        <f t="shared" si="3"/>
        <v>-2293012566452.6992</v>
      </c>
      <c r="GK48" s="1267">
        <f t="shared" si="4"/>
        <v>274251000000</v>
      </c>
      <c r="GL48" s="1267">
        <f t="shared" si="4"/>
        <v>411894000000</v>
      </c>
      <c r="GM48" s="1267">
        <f t="shared" si="4"/>
        <v>-137643000000</v>
      </c>
      <c r="GN48" s="1267">
        <f t="shared" si="5"/>
        <v>-2370030000000</v>
      </c>
      <c r="GO48" s="1267">
        <f t="shared" si="5"/>
        <v>239913000000</v>
      </c>
      <c r="GP48" s="1267">
        <f t="shared" si="5"/>
        <v>-2609943000000</v>
      </c>
      <c r="GQ48" s="1267">
        <f t="shared" si="5"/>
        <v>-380811000000</v>
      </c>
      <c r="GV48" s="1267">
        <f t="shared" si="0"/>
        <v>47627000000</v>
      </c>
      <c r="GW48" s="1267">
        <f t="shared" si="1"/>
        <v>104623000000</v>
      </c>
      <c r="GX48" s="1267">
        <f t="shared" si="1"/>
        <v>114904000000</v>
      </c>
      <c r="GY48" s="1267">
        <f t="shared" si="1"/>
        <v>16204000000</v>
      </c>
      <c r="GZ48" s="1267">
        <f t="shared" si="1"/>
        <v>98700000000</v>
      </c>
      <c r="HA48" s="1267">
        <f t="shared" si="1"/>
        <v>-10281000000</v>
      </c>
      <c r="HB48" s="1267">
        <f t="shared" si="1"/>
        <v>-72873000000</v>
      </c>
      <c r="HC48" s="1267">
        <f t="shared" si="1"/>
        <v>15894000000</v>
      </c>
      <c r="HD48" s="1267">
        <f t="shared" si="1"/>
        <v>-114427000000</v>
      </c>
      <c r="HE48" s="1267">
        <f t="shared" si="2"/>
        <v>10121000000</v>
      </c>
      <c r="HL48" s="1267">
        <f t="shared" si="22"/>
        <v>1.6707009696614761E-2</v>
      </c>
      <c r="HM48" s="1267">
        <f t="shared" si="22"/>
        <v>4.5811759466343333E-2</v>
      </c>
      <c r="HN48" s="1267">
        <f t="shared" si="22"/>
        <v>5.8678269667913521E-2</v>
      </c>
      <c r="HO48" s="1267">
        <f t="shared" si="22"/>
        <v>-9.0289147041861008E-3</v>
      </c>
      <c r="HP48" s="1267">
        <f t="shared" si="22"/>
        <v>4.0472760464098853E-3</v>
      </c>
      <c r="HQ48" s="1267">
        <f t="shared" si="22"/>
        <v>1.1033948567621056E-2</v>
      </c>
      <c r="HR48" s="1267">
        <f t="shared" si="22"/>
        <v>3.8548476390187977E-3</v>
      </c>
      <c r="HS48" s="1267">
        <f t="shared" si="23"/>
        <v>5.6319490715380782E-3</v>
      </c>
      <c r="HU48" s="1267">
        <v>1.6045738092094992E-2</v>
      </c>
      <c r="HV48" s="1267">
        <f t="shared" si="24"/>
        <v>1.6110900798620049E-3</v>
      </c>
      <c r="HW48" s="1267">
        <f t="shared" si="29"/>
        <v>6.7115794366323644E-4</v>
      </c>
      <c r="ID48" s="1267">
        <f>CI48-FZ48</f>
        <v>0.10470752176964519</v>
      </c>
      <c r="IE48" s="1267">
        <f t="shared" ref="IE48:IK61" si="30">CJ48-GA48</f>
        <v>0.1250727735628985</v>
      </c>
      <c r="IH48" s="1267">
        <f>CM48-GD48</f>
        <v>-0.13588347635113812</v>
      </c>
      <c r="IK48" s="1267">
        <f t="shared" si="30"/>
        <v>1.0647239115045604E-2</v>
      </c>
    </row>
    <row r="49" spans="4:245">
      <c r="D49" s="1267" t="s">
        <v>2942</v>
      </c>
      <c r="F49" s="1267">
        <v>10589003000000</v>
      </c>
      <c r="H49" s="1267">
        <f>F49-G49</f>
        <v>10589003000000</v>
      </c>
      <c r="I49" s="1267">
        <v>3746863000000</v>
      </c>
      <c r="J49" s="1267">
        <v>3170545000000</v>
      </c>
      <c r="K49" s="1267">
        <v>576318000000</v>
      </c>
      <c r="L49" s="1267">
        <v>3828305000000</v>
      </c>
      <c r="M49" s="1267">
        <v>2560418000000</v>
      </c>
      <c r="N49" s="1267">
        <v>1267887000000</v>
      </c>
      <c r="O49" s="1267">
        <v>2824244000000</v>
      </c>
      <c r="P49" s="1267">
        <v>189591000000</v>
      </c>
      <c r="R49" s="1311"/>
      <c r="T49" s="1267">
        <f>'BEA int transactions'!D52*1000000</f>
        <v>1058654000000</v>
      </c>
      <c r="U49" s="1267">
        <f>'BEA int transactions'!E52*1000000</f>
        <v>374006000000</v>
      </c>
      <c r="V49" s="1267">
        <v>292054000000</v>
      </c>
      <c r="W49" s="1267">
        <v>81950000000</v>
      </c>
      <c r="X49" s="1267">
        <f>1000000*'BEA int transactions'!F52</f>
        <v>191956000000</v>
      </c>
      <c r="Y49" s="1267">
        <v>84753000000</v>
      </c>
      <c r="Z49" s="1267">
        <v>107203000000</v>
      </c>
      <c r="AA49" s="1267">
        <f>1000000*'BEA int transactions'!G52</f>
        <v>495498000000</v>
      </c>
      <c r="AB49" s="1267">
        <f>1000000*'BEA int transactions'!H52</f>
        <v>-2806000000</v>
      </c>
      <c r="AD49" s="1267">
        <v>416086000000</v>
      </c>
      <c r="AF49" s="1267">
        <v>250900000000</v>
      </c>
      <c r="AG49" s="1267">
        <v>240334000000</v>
      </c>
      <c r="AH49" s="1267">
        <v>81556000000</v>
      </c>
      <c r="AI49" s="1267">
        <v>158778000000</v>
      </c>
      <c r="AJ49" s="1267">
        <v>10566000000</v>
      </c>
      <c r="AK49" s="1267">
        <v>108649000000</v>
      </c>
      <c r="AL49" s="1267">
        <v>54087000000</v>
      </c>
      <c r="AM49" s="1267">
        <v>54562000000</v>
      </c>
      <c r="AN49" s="1267">
        <v>50638000000</v>
      </c>
      <c r="AO49" s="1267">
        <v>1165000000</v>
      </c>
      <c r="AR49" s="1267">
        <f t="shared" si="7"/>
        <v>909415000000</v>
      </c>
      <c r="AT49" s="1267">
        <f t="shared" si="8"/>
        <v>335545000000</v>
      </c>
      <c r="AU49" s="1267">
        <f t="shared" si="8"/>
        <v>330056000000</v>
      </c>
      <c r="AV49" s="1267">
        <f t="shared" si="8"/>
        <v>5491000000</v>
      </c>
      <c r="AW49" s="1267">
        <f t="shared" si="9"/>
        <v>460062000000</v>
      </c>
      <c r="AX49" s="1267">
        <f t="shared" si="9"/>
        <v>396243000000</v>
      </c>
      <c r="AY49" s="1267">
        <f t="shared" si="9"/>
        <v>63819000000</v>
      </c>
      <c r="AZ49" s="1267">
        <f t="shared" si="9"/>
        <v>104988000000</v>
      </c>
      <c r="BC49" s="1267">
        <f>1000000*('Changes in position data'!E53+'Changes in position data'!F53)</f>
        <v>777736000000</v>
      </c>
      <c r="BD49" s="1267">
        <f>1000000*('Changes in position data'!J53+'Changes in position data'!K53)</f>
        <v>333012000000</v>
      </c>
      <c r="BE49" s="1267">
        <f>1000000*('Changes in position data'!N53+'Changes in position data'!O53)</f>
        <v>333012000000</v>
      </c>
      <c r="BF49" s="1267">
        <f>0</f>
        <v>0</v>
      </c>
      <c r="BG49" s="1267">
        <f>1000000*('Changes in position data'!W53+'Changes in position data'!X53)</f>
        <v>422623000000</v>
      </c>
      <c r="BH49" s="1267">
        <f>1000000*('Changes in position data'!AA53+'Changes in position data'!AB53)</f>
        <v>396243000000</v>
      </c>
      <c r="BI49" s="1267">
        <f>1000000*('Changes in position data'!AE53+'Changes in position data'!AF53)</f>
        <v>26380000000</v>
      </c>
      <c r="BJ49" s="1267">
        <f>1000000*('Changes in position data'!AK53)</f>
        <v>13302000000</v>
      </c>
      <c r="BK49" s="1267">
        <f>1000000*('Changes in position data'!AO53+'Changes in position data'!AP53)</f>
        <v>8799000000</v>
      </c>
      <c r="BN49" s="1267">
        <f t="shared" ref="BN49:BN61" si="31">BC49-BD49+BO49</f>
        <v>780269000000</v>
      </c>
      <c r="BO49" s="1267">
        <f>1000000*('Changes in position data'!J53+'Changes in position data'!K53+'Changes in position data'!L53)</f>
        <v>335545000000</v>
      </c>
      <c r="BP49" s="1267">
        <f>1000000*('Changes in position data'!N53+'Changes in position data'!O53+'Changes in position data'!P53)</f>
        <v>330055000000</v>
      </c>
      <c r="BQ49" s="1267">
        <f>1000000*('Changes in position data'!Q53)</f>
        <v>5490000000</v>
      </c>
      <c r="BR49" s="1267">
        <v>422623000000</v>
      </c>
      <c r="BS49" s="1267">
        <v>396243000000</v>
      </c>
      <c r="BT49" s="1267">
        <v>26380000000</v>
      </c>
      <c r="BU49" s="1267">
        <v>13302000000</v>
      </c>
      <c r="BV49" s="1267">
        <v>8799000000</v>
      </c>
      <c r="BX49" s="1267">
        <f t="shared" si="10"/>
        <v>4.8264607987951187E-2</v>
      </c>
      <c r="BY49" s="1267">
        <f t="shared" si="11"/>
        <v>4.8264607987951187E-2</v>
      </c>
      <c r="BZ49" s="1267">
        <f t="shared" si="16"/>
        <v>8.2605935774790334E-2</v>
      </c>
      <c r="CA49" s="1267">
        <f t="shared" si="16"/>
        <v>9.430650575745507E-2</v>
      </c>
      <c r="CB49" s="1267">
        <f t="shared" si="25"/>
        <v>2.7506682756678429E-2</v>
      </c>
      <c r="CC49" s="1267">
        <f t="shared" si="26"/>
        <v>3.4206291811791564E-2</v>
      </c>
      <c r="CD49" s="1267">
        <f t="shared" si="26"/>
        <v>2.6010593328338355E-2</v>
      </c>
      <c r="CE49" s="1267">
        <f t="shared" si="26"/>
        <v>4.974358740592507E-2</v>
      </c>
      <c r="CF49" s="1267">
        <f t="shared" si="12"/>
        <v>2.2771362711230269E-2</v>
      </c>
      <c r="CI49" s="1267">
        <f t="shared" ref="CI49:CI61" si="32">(AD49+BC49)/H48</f>
        <v>0.13847942693912282</v>
      </c>
      <c r="CJ49" s="1267">
        <f t="shared" ref="CJ49:CK61" si="33">(AF49+BD49)/I48</f>
        <v>0.19224630199334147</v>
      </c>
      <c r="CK49" s="1267">
        <f t="shared" si="33"/>
        <v>0.22497964436997608</v>
      </c>
      <c r="CL49" s="1267">
        <f t="shared" ref="CL49:CL61" si="34">(AJ49+BF49)/K48</f>
        <v>2.1612798311231661E-2</v>
      </c>
      <c r="CM49" s="1267">
        <f t="shared" ref="CM49:CP61" si="35">(BG49+AK49)/L48</f>
        <v>0.16726196341829311</v>
      </c>
      <c r="CN49" s="1267">
        <f t="shared" si="35"/>
        <v>0.21656498777064012</v>
      </c>
      <c r="CO49" s="1267">
        <f t="shared" si="35"/>
        <v>7.3793949118624441E-2</v>
      </c>
      <c r="CP49" s="1267">
        <f t="shared" si="35"/>
        <v>2.8753128712746621E-2</v>
      </c>
      <c r="CT49" s="1267">
        <v>12952395029212.199</v>
      </c>
      <c r="CV49" s="1267">
        <f t="shared" si="13"/>
        <v>12952395029212.199</v>
      </c>
      <c r="CW49" s="1267">
        <v>3101450000000</v>
      </c>
      <c r="CX49" s="1267">
        <v>2398717000000</v>
      </c>
      <c r="CY49" s="1267">
        <v>702734000000</v>
      </c>
      <c r="CZ49" s="1267">
        <v>6621226000000</v>
      </c>
      <c r="DA49" s="1267">
        <v>2123259000000</v>
      </c>
      <c r="DB49" s="1267">
        <v>4497967000000</v>
      </c>
      <c r="DC49" s="1267">
        <v>3229719000000</v>
      </c>
      <c r="DH49" s="1267">
        <f>1000000*'BEA int transactions'!I52</f>
        <v>1600881000000</v>
      </c>
      <c r="DI49" s="1267">
        <f>1000000*'BEA int transactions'!J52</f>
        <v>213642000000</v>
      </c>
      <c r="DJ49" s="1267">
        <v>148197000000</v>
      </c>
      <c r="DK49" s="1267">
        <v>65444000000</v>
      </c>
      <c r="DL49" s="1267">
        <f>1000000*'BEA int transactions'!K52</f>
        <v>867340000000</v>
      </c>
      <c r="DM49" s="1267">
        <v>61787000000</v>
      </c>
      <c r="DN49" s="1267">
        <v>805553000000</v>
      </c>
      <c r="DO49" s="1267">
        <f>1000000*'BEA int transactions'!L52</f>
        <v>519899000000</v>
      </c>
      <c r="DS49" s="1267">
        <v>348205000000</v>
      </c>
      <c r="DU49" s="1267">
        <v>110270000000</v>
      </c>
      <c r="DV49" s="1267">
        <v>91580000000</v>
      </c>
      <c r="DW49" s="1267">
        <v>36287000000</v>
      </c>
      <c r="DX49" s="1267">
        <v>55293000000</v>
      </c>
      <c r="DY49" s="1267">
        <v>18690000000</v>
      </c>
      <c r="DZ49" s="1267">
        <v>195793000000</v>
      </c>
      <c r="EA49" s="1267">
        <v>37037000000</v>
      </c>
      <c r="EB49" s="1267">
        <v>195793000000</v>
      </c>
      <c r="EC49" s="1267">
        <v>42142000000</v>
      </c>
      <c r="EF49" s="1279"/>
      <c r="EG49" s="1279">
        <f t="shared" si="17"/>
        <v>437567462759.5</v>
      </c>
      <c r="EH49" s="1279"/>
      <c r="EI49" s="1279">
        <f t="shared" si="18"/>
        <v>124747000000</v>
      </c>
      <c r="EJ49" s="1279">
        <f t="shared" si="18"/>
        <v>113979000000</v>
      </c>
      <c r="EK49" s="1279">
        <f t="shared" si="18"/>
        <v>10770000000</v>
      </c>
      <c r="EL49" s="1279">
        <f t="shared" si="18"/>
        <v>207569000000</v>
      </c>
      <c r="EM49" s="1279">
        <f t="shared" si="18"/>
        <v>221963000000</v>
      </c>
      <c r="EN49" s="1279">
        <f t="shared" si="18"/>
        <v>-14394000000</v>
      </c>
      <c r="EO49" s="1279">
        <f t="shared" si="18"/>
        <v>105251000000</v>
      </c>
      <c r="ER49" s="1267">
        <f>1000000*('Changes in position data'!AV53+'Changes in position data'!AW53)</f>
        <v>318001000000</v>
      </c>
      <c r="ES49" s="1267">
        <f>1000000*('Changes in position data'!BA53)</f>
        <v>117593000000</v>
      </c>
      <c r="ET49" s="1267">
        <f>1000000*('Changes in position data'!BE53)</f>
        <v>117593000000</v>
      </c>
      <c r="EV49" s="1267">
        <f>1000000*('Changes in position data'!BN53+'Changes in position data'!BO53)</f>
        <v>189398000000</v>
      </c>
      <c r="EW49" s="1267">
        <f>1000000*('Changes in position data'!BR53)</f>
        <v>182564000000</v>
      </c>
      <c r="EX49" s="1267">
        <f>1000000*('Changes in position data'!BV53+'Changes in position data'!BW53)</f>
        <v>6834000000</v>
      </c>
      <c r="EY49" s="1267">
        <f>1000000*('Changes in position data'!CB53)</f>
        <v>11010000000</v>
      </c>
      <c r="FP49" s="1267">
        <f t="shared" si="19"/>
        <v>3.1904590871858665E-2</v>
      </c>
      <c r="FQ49" s="1267">
        <f t="shared" si="20"/>
        <v>3.9908637558128464E-2</v>
      </c>
      <c r="FR49" s="1267">
        <f t="shared" si="20"/>
        <v>4.2863675445498121E-2</v>
      </c>
      <c r="FS49" s="1267">
        <f t="shared" si="27"/>
        <v>2.9831449913809614E-2</v>
      </c>
      <c r="FT49" s="1267">
        <f t="shared" si="27"/>
        <v>3.5301444183590658E-2</v>
      </c>
      <c r="FU49" s="1267">
        <f t="shared" si="27"/>
        <v>2.0134177109217732E-2</v>
      </c>
      <c r="FV49" s="1267">
        <f t="shared" si="27"/>
        <v>5.2819838524142605E-2</v>
      </c>
      <c r="FW49" s="1267">
        <f t="shared" si="21"/>
        <v>1.6180028250355433E-2</v>
      </c>
      <c r="FZ49" s="1267">
        <f t="shared" ref="FZ49:FZ61" si="36">(ER49+DS49)/CV48</f>
        <v>6.1041713549137643E-2</v>
      </c>
      <c r="GA49" s="1267">
        <f t="shared" ref="GA49:GA60" si="37">(ES49+DU49)/CW48</f>
        <v>8.246759662562643E-2</v>
      </c>
      <c r="GB49" s="1267">
        <f t="shared" ref="GB49:GB61" si="38">(ET49+DV49)/CY48</f>
        <v>0.33386484070739958</v>
      </c>
      <c r="GD49" s="1267">
        <f t="shared" ref="GD49:GF61" si="39">(EV49+DZ49)/DA48</f>
        <v>0.20939881240048294</v>
      </c>
      <c r="GE49" s="1267">
        <f t="shared" si="39"/>
        <v>5.924261520963589E-2</v>
      </c>
      <c r="GF49" s="1267">
        <f t="shared" si="39"/>
        <v>7.7796748713510763E-2</v>
      </c>
      <c r="GG49" s="1267">
        <f t="shared" ref="GG49:GG61" si="40">(EY49+EC49)/DC48</f>
        <v>2.0407215166885578E-2</v>
      </c>
      <c r="GJ49" s="1267">
        <f t="shared" si="3"/>
        <v>-2363392029212.1992</v>
      </c>
      <c r="GK49" s="1267">
        <f t="shared" si="4"/>
        <v>645413000000</v>
      </c>
      <c r="GL49" s="1267">
        <f t="shared" si="4"/>
        <v>771828000000</v>
      </c>
      <c r="GM49" s="1267">
        <f t="shared" si="4"/>
        <v>-126416000000</v>
      </c>
      <c r="GN49" s="1267">
        <f t="shared" si="5"/>
        <v>-2792921000000</v>
      </c>
      <c r="GO49" s="1267">
        <f t="shared" si="5"/>
        <v>437159000000</v>
      </c>
      <c r="GP49" s="1267">
        <f t="shared" si="5"/>
        <v>-3230080000000</v>
      </c>
      <c r="GQ49" s="1267">
        <f t="shared" si="5"/>
        <v>-405475000000</v>
      </c>
      <c r="GV49" s="1267">
        <f t="shared" si="0"/>
        <v>67881000000</v>
      </c>
      <c r="GW49" s="1267">
        <f t="shared" si="1"/>
        <v>140630000000</v>
      </c>
      <c r="GX49" s="1267">
        <f t="shared" si="1"/>
        <v>148754000000</v>
      </c>
      <c r="GY49" s="1267">
        <f t="shared" si="1"/>
        <v>45269000000</v>
      </c>
      <c r="GZ49" s="1267">
        <f t="shared" si="1"/>
        <v>103485000000</v>
      </c>
      <c r="HA49" s="1267">
        <f t="shared" si="1"/>
        <v>-8124000000</v>
      </c>
      <c r="HB49" s="1267">
        <f t="shared" si="1"/>
        <v>-87144000000</v>
      </c>
      <c r="HC49" s="1267">
        <f t="shared" si="1"/>
        <v>17050000000</v>
      </c>
      <c r="HD49" s="1267">
        <f t="shared" si="1"/>
        <v>-141231000000</v>
      </c>
      <c r="HE49" s="1267">
        <f t="shared" si="2"/>
        <v>8496000000</v>
      </c>
      <c r="HL49" s="1267">
        <f t="shared" si="22"/>
        <v>1.6360017116092522E-2</v>
      </c>
      <c r="HM49" s="1267">
        <f t="shared" si="22"/>
        <v>4.2697298216661871E-2</v>
      </c>
      <c r="HN49" s="1267">
        <f t="shared" si="22"/>
        <v>5.1442830311956948E-2</v>
      </c>
      <c r="HO49" s="1267">
        <f t="shared" si="22"/>
        <v>-2.324767157131185E-3</v>
      </c>
      <c r="HP49" s="1267">
        <f t="shared" si="22"/>
        <v>-1.0951523717990935E-3</v>
      </c>
      <c r="HQ49" s="1267">
        <f t="shared" si="22"/>
        <v>5.8764162191206233E-3</v>
      </c>
      <c r="HR49" s="1267">
        <f t="shared" si="22"/>
        <v>-3.0762511182175351E-3</v>
      </c>
      <c r="HS49" s="1267">
        <f t="shared" si="23"/>
        <v>6.5913344608748356E-3</v>
      </c>
      <c r="HU49" s="1267">
        <v>1.5810889947971751E-2</v>
      </c>
      <c r="HV49" s="1267">
        <f t="shared" si="24"/>
        <v>3.9271605550842553E-4</v>
      </c>
      <c r="HW49" s="1267">
        <f t="shared" si="29"/>
        <v>-2.9471371407386801E-4</v>
      </c>
      <c r="ID49" s="1267">
        <f t="shared" ref="ID49:ID60" si="41">CI49-FZ49</f>
        <v>7.7437713389985174E-2</v>
      </c>
      <c r="IE49" s="1267">
        <f t="shared" si="30"/>
        <v>0.10977870536771504</v>
      </c>
      <c r="IH49" s="1267">
        <f t="shared" ref="IH49:IH60" si="42">CM49-GD49</f>
        <v>-4.2136848982189834E-2</v>
      </c>
      <c r="IK49" s="1267">
        <f t="shared" si="30"/>
        <v>8.3459135458610438E-3</v>
      </c>
    </row>
    <row r="50" spans="4:245" ht="19" customHeight="1">
      <c r="D50" s="1267" t="s">
        <v>2943</v>
      </c>
      <c r="F50" s="1267">
        <v>13357001000000</v>
      </c>
      <c r="G50" s="1267">
        <v>1190029000000</v>
      </c>
      <c r="H50" s="1267">
        <f t="shared" si="6"/>
        <v>12166972000000</v>
      </c>
      <c r="I50" s="1267">
        <v>4047170000000</v>
      </c>
      <c r="J50" s="1267">
        <v>3449302000000</v>
      </c>
      <c r="K50" s="1267">
        <v>597868000000</v>
      </c>
      <c r="L50" s="1267">
        <v>4628978000000</v>
      </c>
      <c r="M50" s="1267">
        <v>3317705000000</v>
      </c>
      <c r="N50" s="1267">
        <v>1311273000000</v>
      </c>
      <c r="O50" s="1267">
        <v>3302781000000</v>
      </c>
      <c r="P50" s="1267">
        <v>188043000000</v>
      </c>
      <c r="R50" s="1311"/>
      <c r="T50" s="1267">
        <f>'BEA int transactions'!D53*1000000</f>
        <v>562983000000</v>
      </c>
      <c r="U50" s="1267">
        <f>'BEA int transactions'!E53*1000000</f>
        <v>52591000000</v>
      </c>
      <c r="V50" s="1267">
        <v>42286000000</v>
      </c>
      <c r="W50" s="1267">
        <v>10305000000</v>
      </c>
      <c r="X50" s="1267">
        <f>1000000*'BEA int transactions'!F53</f>
        <v>267290000000</v>
      </c>
      <c r="Y50" s="1267">
        <v>186684000000</v>
      </c>
      <c r="Z50" s="1267">
        <v>80605000000</v>
      </c>
      <c r="AA50" s="1267">
        <f>1000000*'BEA int transactions'!G53</f>
        <v>257196000000</v>
      </c>
      <c r="AB50" s="1267">
        <f>1000000*'BEA int transactions'!H53</f>
        <v>-14094000000</v>
      </c>
      <c r="AD50" s="1267">
        <v>534214000000</v>
      </c>
      <c r="AF50" s="1267">
        <v>291418000000</v>
      </c>
      <c r="AG50" s="1267">
        <v>279061000000</v>
      </c>
      <c r="AH50" s="1267">
        <v>298712000000</v>
      </c>
      <c r="AI50" s="1267">
        <v>-19651000000</v>
      </c>
      <c r="AJ50" s="1267">
        <v>12357000000</v>
      </c>
      <c r="AK50" s="1267">
        <v>129692000000</v>
      </c>
      <c r="AL50" s="1267">
        <v>64628000000</v>
      </c>
      <c r="AM50" s="1267">
        <v>65064000000</v>
      </c>
      <c r="AN50" s="1267">
        <v>107125000000</v>
      </c>
      <c r="AO50" s="1267">
        <v>1184000000</v>
      </c>
      <c r="AR50" s="1267">
        <f t="shared" si="7"/>
        <v>1014986000000</v>
      </c>
      <c r="AT50" s="1267">
        <f t="shared" si="8"/>
        <v>247716000000</v>
      </c>
      <c r="AU50" s="1267">
        <f t="shared" si="8"/>
        <v>236471000000</v>
      </c>
      <c r="AV50" s="1267">
        <f t="shared" si="8"/>
        <v>11245000000</v>
      </c>
      <c r="AW50" s="1267">
        <f t="shared" si="9"/>
        <v>533383000000</v>
      </c>
      <c r="AX50" s="1267">
        <f t="shared" si="9"/>
        <v>570603000000</v>
      </c>
      <c r="AY50" s="1267">
        <f t="shared" si="9"/>
        <v>-37219000000</v>
      </c>
      <c r="AZ50" s="1267">
        <f t="shared" si="9"/>
        <v>221341000000</v>
      </c>
      <c r="BC50" s="1267">
        <f>1000000*('Changes in position data'!E54+'Changes in position data'!F54)</f>
        <v>637494000000</v>
      </c>
      <c r="BD50" s="1267">
        <f>1000000*('Changes in position data'!J54+'Changes in position data'!K54)</f>
        <v>231888000000</v>
      </c>
      <c r="BE50" s="1267">
        <f>1000000*('Changes in position data'!N54+'Changes in position data'!O54)</f>
        <v>231888000000</v>
      </c>
      <c r="BF50" s="1267">
        <f>0</f>
        <v>0</v>
      </c>
      <c r="BG50" s="1267">
        <f>1000000*('Changes in position data'!W54+'Changes in position data'!X54)</f>
        <v>416144000000</v>
      </c>
      <c r="BH50" s="1267">
        <f>1000000*('Changes in position data'!AA54+'Changes in position data'!AB54)</f>
        <v>468425000000</v>
      </c>
      <c r="BI50" s="1267">
        <f>1000000*('Changes in position data'!AE54+'Changes in position data'!AF54)</f>
        <v>-52281000000</v>
      </c>
      <c r="BJ50" s="1267">
        <f>1000000*('Changes in position data'!AK54)</f>
        <v>-23097000000</v>
      </c>
      <c r="BK50" s="1267">
        <f>1000000*('Changes in position data'!AO54+'Changes in position data'!AP54)</f>
        <v>12559000000</v>
      </c>
      <c r="BN50" s="1267">
        <f t="shared" si="31"/>
        <v>653322000000</v>
      </c>
      <c r="BO50" s="1267">
        <f>1000000*('Changes in position data'!J54+'Changes in position data'!K54+'Changes in position data'!L54)</f>
        <v>247716000000</v>
      </c>
      <c r="BP50" s="1267">
        <f>1000000*('Changes in position data'!N54+'Changes in position data'!O54+'Changes in position data'!P54)</f>
        <v>236470000000</v>
      </c>
      <c r="BQ50" s="1267">
        <f>1000000*('Changes in position data'!Q54)</f>
        <v>11246000000</v>
      </c>
      <c r="BR50" s="1267">
        <v>416144000000</v>
      </c>
      <c r="BS50" s="1267">
        <v>468425000000</v>
      </c>
      <c r="BT50" s="1267">
        <v>-52281000000</v>
      </c>
      <c r="BU50" s="1267">
        <v>-23097000000</v>
      </c>
      <c r="BV50" s="1267">
        <v>12559000000</v>
      </c>
      <c r="BX50" s="1267">
        <f>AD50/F49</f>
        <v>5.044988654739261E-2</v>
      </c>
      <c r="BY50" s="1267">
        <f t="shared" si="11"/>
        <v>5.044988654739261E-2</v>
      </c>
      <c r="BZ50" s="1267">
        <f t="shared" si="16"/>
        <v>7.7776529325998836E-2</v>
      </c>
      <c r="CA50" s="1267">
        <f t="shared" si="16"/>
        <v>8.8016728985079853E-2</v>
      </c>
      <c r="CB50" s="1267">
        <f t="shared" si="25"/>
        <v>2.3242563122999393E-2</v>
      </c>
      <c r="CC50" s="1267">
        <f t="shared" si="26"/>
        <v>3.3877133613962315E-2</v>
      </c>
      <c r="CD50" s="1267">
        <f t="shared" si="26"/>
        <v>2.5241191086767863E-2</v>
      </c>
      <c r="CE50" s="1267">
        <f t="shared" si="26"/>
        <v>5.1316876030750372E-2</v>
      </c>
      <c r="CF50" s="1267">
        <f t="shared" si="12"/>
        <v>3.7930504588130486E-2</v>
      </c>
      <c r="CI50" s="1267">
        <f t="shared" si="32"/>
        <v>0.11065328813298098</v>
      </c>
      <c r="CJ50" s="1267">
        <f t="shared" si="33"/>
        <v>0.13966510117930653</v>
      </c>
      <c r="CK50" s="1267">
        <f t="shared" si="33"/>
        <v>0.16115494339301287</v>
      </c>
      <c r="CL50" s="1267">
        <f t="shared" si="34"/>
        <v>2.1441287622458435E-2</v>
      </c>
      <c r="CM50" s="1267">
        <f t="shared" si="35"/>
        <v>0.1425790264882239</v>
      </c>
      <c r="CN50" s="1267">
        <f t="shared" si="35"/>
        <v>0.20818983462856455</v>
      </c>
      <c r="CO50" s="1267">
        <f t="shared" si="35"/>
        <v>1.0082128770150653E-2</v>
      </c>
      <c r="CP50" s="1267">
        <f t="shared" si="35"/>
        <v>2.9752386833432239E-2</v>
      </c>
      <c r="CT50" s="1267">
        <v>15214865729897.4</v>
      </c>
      <c r="CU50" s="1267">
        <v>1132114000000</v>
      </c>
      <c r="CV50" s="1267">
        <f t="shared" si="13"/>
        <v>14082751729897.4</v>
      </c>
      <c r="CW50" s="1267">
        <v>3227144000000</v>
      </c>
      <c r="CX50" s="1267">
        <v>2483696000000</v>
      </c>
      <c r="CY50" s="1267">
        <v>743448000000</v>
      </c>
      <c r="CZ50" s="1267">
        <v>7337835000000</v>
      </c>
      <c r="DA50" s="1267">
        <v>2304013000000</v>
      </c>
      <c r="DB50" s="1267">
        <v>5033822000000</v>
      </c>
      <c r="DC50" s="1267">
        <v>3517773000000</v>
      </c>
      <c r="DH50" s="1267">
        <f>1000000*'BEA int transactions'!I53</f>
        <v>1277056000000</v>
      </c>
      <c r="DI50" s="1267">
        <f>1000000*'BEA int transactions'!J53</f>
        <v>142345000000</v>
      </c>
      <c r="DJ50" s="1267">
        <v>116476000000</v>
      </c>
      <c r="DK50" s="1267">
        <v>25868000000</v>
      </c>
      <c r="DL50" s="1267">
        <f>1000000*'BEA int transactions'!K53</f>
        <v>832037000000</v>
      </c>
      <c r="DM50" s="1267">
        <v>89258000000</v>
      </c>
      <c r="DN50" s="1267">
        <v>742779000000</v>
      </c>
      <c r="DO50" s="1267">
        <f>1000000*'BEA int transactions'!L53</f>
        <v>302673000000</v>
      </c>
      <c r="DS50" s="1267">
        <v>464410000000</v>
      </c>
      <c r="DU50" s="1267">
        <v>131947000000</v>
      </c>
      <c r="DV50" s="1267">
        <v>110146000000</v>
      </c>
      <c r="DW50" s="1267">
        <v>64395000000</v>
      </c>
      <c r="DX50" s="1267">
        <v>45751000000</v>
      </c>
      <c r="DY50" s="1267">
        <v>21801000000</v>
      </c>
      <c r="DZ50" s="1267">
        <v>238558000000</v>
      </c>
      <c r="EA50" s="1267">
        <v>38083000000</v>
      </c>
      <c r="EB50" s="1267">
        <v>238558000000</v>
      </c>
      <c r="EC50" s="1267">
        <v>93905000000</v>
      </c>
      <c r="EF50" s="1279"/>
      <c r="EG50" s="1279">
        <f t="shared" si="17"/>
        <v>-146699299314.79883</v>
      </c>
      <c r="EH50" s="1279"/>
      <c r="EI50" s="1279">
        <f t="shared" si="18"/>
        <v>-16651000000</v>
      </c>
      <c r="EJ50" s="1279">
        <f t="shared" si="18"/>
        <v>-31497000000</v>
      </c>
      <c r="EK50" s="1279">
        <f t="shared" si="18"/>
        <v>14846000000</v>
      </c>
      <c r="EL50" s="1279">
        <f t="shared" si="18"/>
        <v>-115428000000</v>
      </c>
      <c r="EM50" s="1279">
        <f t="shared" si="18"/>
        <v>91496000000</v>
      </c>
      <c r="EN50" s="1279">
        <f t="shared" si="18"/>
        <v>-206924000000</v>
      </c>
      <c r="EO50" s="1279">
        <f t="shared" si="18"/>
        <v>-14619000000</v>
      </c>
      <c r="ER50" s="1267">
        <f>1000000*('Changes in position data'!AV54+'Changes in position data'!AW54)</f>
        <v>-117373000000</v>
      </c>
      <c r="ES50" s="1267">
        <f>1000000*('Changes in position data'!BA54)</f>
        <v>-22756000000</v>
      </c>
      <c r="ET50" s="1267">
        <f>1000000*('Changes in position data'!BE54)</f>
        <v>-22756000000</v>
      </c>
      <c r="EV50" s="1267">
        <f>1000000*('Changes in position data'!BN54+'Changes in position data'!BO54)</f>
        <v>-75443000000</v>
      </c>
      <c r="EW50" s="1267">
        <f>1000000*('Changes in position data'!BR54)</f>
        <v>67959000000</v>
      </c>
      <c r="EX50" s="1267">
        <f>1000000*('Changes in position data'!BV54+'Changes in position data'!BW54)</f>
        <v>-143402000000</v>
      </c>
      <c r="EY50" s="1267">
        <f>1000000*('Changes in position data'!CB54)</f>
        <v>-19174000000</v>
      </c>
      <c r="FP50" s="1267">
        <f t="shared" si="19"/>
        <v>3.5855144855649661E-2</v>
      </c>
      <c r="FQ50" s="1267">
        <f t="shared" si="20"/>
        <v>4.2543648938399778E-2</v>
      </c>
      <c r="FR50" s="1267">
        <f t="shared" si="20"/>
        <v>4.5918714045883692E-2</v>
      </c>
      <c r="FS50" s="1267">
        <f t="shared" si="27"/>
        <v>3.1023118278039771E-2</v>
      </c>
      <c r="FT50" s="1267">
        <f t="shared" si="27"/>
        <v>3.6029279169748928E-2</v>
      </c>
      <c r="FU50" s="1267">
        <f t="shared" si="27"/>
        <v>1.7936106711428045E-2</v>
      </c>
      <c r="FV50" s="1267">
        <f t="shared" si="27"/>
        <v>5.3036849759013349E-2</v>
      </c>
      <c r="FW50" s="1267">
        <f t="shared" si="21"/>
        <v>2.9075284877724657E-2</v>
      </c>
      <c r="FZ50" s="1267">
        <f t="shared" si="36"/>
        <v>2.6793268674813398E-2</v>
      </c>
      <c r="GA50" s="1267">
        <f t="shared" si="37"/>
        <v>3.520643569943091E-2</v>
      </c>
      <c r="GB50" s="1267">
        <f t="shared" si="38"/>
        <v>0.12435715363138826</v>
      </c>
      <c r="GD50" s="1267">
        <f t="shared" si="39"/>
        <v>7.6822940583320259E-2</v>
      </c>
      <c r="GE50" s="1267">
        <f t="shared" si="39"/>
        <v>2.3575539793866875E-2</v>
      </c>
      <c r="GF50" s="1267">
        <f t="shared" si="39"/>
        <v>2.9462625076670756E-2</v>
      </c>
      <c r="GG50" s="1267">
        <f t="shared" si="40"/>
        <v>2.3138545489561166E-2</v>
      </c>
      <c r="GJ50" s="1267">
        <f t="shared" si="3"/>
        <v>-1857864729897.4004</v>
      </c>
      <c r="GK50" s="1267">
        <f t="shared" si="4"/>
        <v>820026000000</v>
      </c>
      <c r="GL50" s="1267">
        <f t="shared" si="4"/>
        <v>965606000000</v>
      </c>
      <c r="GM50" s="1267">
        <f t="shared" si="4"/>
        <v>-145580000000</v>
      </c>
      <c r="GN50" s="1267">
        <f t="shared" si="5"/>
        <v>-2708857000000</v>
      </c>
      <c r="GO50" s="1267">
        <f t="shared" si="5"/>
        <v>1013692000000</v>
      </c>
      <c r="GP50" s="1267">
        <f t="shared" si="5"/>
        <v>-3722549000000</v>
      </c>
      <c r="GQ50" s="1267">
        <f t="shared" si="5"/>
        <v>-214992000000</v>
      </c>
      <c r="GV50" s="1267">
        <f t="shared" si="0"/>
        <v>69804000000</v>
      </c>
      <c r="GW50" s="1267">
        <f t="shared" si="1"/>
        <v>159471000000</v>
      </c>
      <c r="GX50" s="1267">
        <f t="shared" si="1"/>
        <v>168915000000</v>
      </c>
      <c r="GY50" s="1267">
        <f t="shared" si="1"/>
        <v>234317000000</v>
      </c>
      <c r="GZ50" s="1267">
        <f t="shared" si="1"/>
        <v>-65402000000</v>
      </c>
      <c r="HA50" s="1267">
        <f t="shared" si="1"/>
        <v>-9444000000</v>
      </c>
      <c r="HB50" s="1267">
        <f t="shared" si="1"/>
        <v>-108866000000</v>
      </c>
      <c r="HC50" s="1267">
        <f t="shared" si="1"/>
        <v>26545000000</v>
      </c>
      <c r="HD50" s="1267">
        <f t="shared" si="1"/>
        <v>-173494000000</v>
      </c>
      <c r="HE50" s="1267">
        <f t="shared" si="2"/>
        <v>13220000000</v>
      </c>
      <c r="HL50" s="1267">
        <f t="shared" si="22"/>
        <v>1.4594741691742949E-2</v>
      </c>
      <c r="HM50" s="1267">
        <f t="shared" si="22"/>
        <v>3.5232880387599058E-2</v>
      </c>
      <c r="HN50" s="1267">
        <f t="shared" si="22"/>
        <v>4.2098014939196161E-2</v>
      </c>
      <c r="HO50" s="1267">
        <f t="shared" si="22"/>
        <v>-7.7805551550403779E-3</v>
      </c>
      <c r="HP50" s="1267">
        <f t="shared" si="22"/>
        <v>-2.1521455557866123E-3</v>
      </c>
      <c r="HQ50" s="1267">
        <f t="shared" si="22"/>
        <v>7.3050843753398181E-3</v>
      </c>
      <c r="HR50" s="1267">
        <f t="shared" si="22"/>
        <v>-1.7199737282629773E-3</v>
      </c>
      <c r="HS50" s="1267">
        <f t="shared" si="23"/>
        <v>8.8552197104058289E-3</v>
      </c>
      <c r="HU50" s="1267">
        <v>1.4141913332331807E-2</v>
      </c>
      <c r="HV50" s="1267">
        <f t="shared" si="24"/>
        <v>1.7360382236654981E-3</v>
      </c>
      <c r="HW50" s="1267">
        <f t="shared" si="29"/>
        <v>8.2652111397194666E-4</v>
      </c>
      <c r="ID50" s="1267">
        <f t="shared" si="41"/>
        <v>8.3860019458167581E-2</v>
      </c>
      <c r="IE50" s="1267">
        <f t="shared" si="30"/>
        <v>0.10445866547987562</v>
      </c>
      <c r="IH50" s="1267">
        <f t="shared" si="42"/>
        <v>6.5756085904903644E-2</v>
      </c>
      <c r="IK50" s="1267">
        <f t="shared" si="30"/>
        <v>6.6138413438710728E-3</v>
      </c>
    </row>
    <row r="51" spans="4:245">
      <c r="D51" s="1267" t="s">
        <v>2944</v>
      </c>
      <c r="F51" s="1267">
        <v>16409857000000</v>
      </c>
      <c r="G51" s="1267">
        <v>1238995000000</v>
      </c>
      <c r="H51" s="1267">
        <f t="shared" si="6"/>
        <v>15170862000000</v>
      </c>
      <c r="I51" s="1267">
        <v>4929892000000</v>
      </c>
      <c r="J51" s="1267">
        <v>4294301000000</v>
      </c>
      <c r="K51" s="1267">
        <v>635591000000</v>
      </c>
      <c r="L51" s="1267">
        <v>6017080000000</v>
      </c>
      <c r="M51" s="1267">
        <v>4328960000000</v>
      </c>
      <c r="N51" s="1267">
        <v>1688120000000</v>
      </c>
      <c r="O51" s="1267">
        <v>4004037000000</v>
      </c>
      <c r="P51" s="1267">
        <v>219853000000</v>
      </c>
      <c r="R51" s="1311"/>
      <c r="T51" s="1267">
        <f>'BEA int transactions'!D54*1000000</f>
        <v>1324607000000</v>
      </c>
      <c r="U51" s="1267">
        <f>'BEA int transactions'!E54*1000000</f>
        <v>283800000000</v>
      </c>
      <c r="V51" s="1267">
        <v>254053000000</v>
      </c>
      <c r="W51" s="1267">
        <v>29748000000</v>
      </c>
      <c r="X51" s="1267">
        <f>1000000*'BEA int transactions'!F54</f>
        <v>493366000000</v>
      </c>
      <c r="Y51" s="1267">
        <v>137331000000</v>
      </c>
      <c r="Z51" s="1267">
        <v>356036000000</v>
      </c>
      <c r="AA51" s="1267">
        <f>1000000*'BEA int transactions'!G54</f>
        <v>549814000000</v>
      </c>
      <c r="AB51" s="1267">
        <f>1000000*'BEA int transactions'!H54</f>
        <v>-2373000000</v>
      </c>
      <c r="AD51" s="1267">
        <v>680828000000</v>
      </c>
      <c r="AF51" s="1267">
        <v>320974000000</v>
      </c>
      <c r="AG51" s="1267">
        <v>306768000000</v>
      </c>
      <c r="AH51" s="1267">
        <v>101685000000</v>
      </c>
      <c r="AI51" s="1267">
        <v>205083000000</v>
      </c>
      <c r="AJ51" s="1267">
        <v>14206000000</v>
      </c>
      <c r="AK51" s="1267">
        <v>166147000000</v>
      </c>
      <c r="AL51" s="1267">
        <v>84330000000</v>
      </c>
      <c r="AM51" s="1267">
        <v>81817000000</v>
      </c>
      <c r="AN51" s="1267">
        <v>187413000000</v>
      </c>
      <c r="AO51" s="1267">
        <v>1226000000</v>
      </c>
      <c r="AR51" s="1267">
        <f t="shared" si="7"/>
        <v>1679283000000</v>
      </c>
      <c r="AT51" s="1267">
        <f t="shared" si="8"/>
        <v>598922000000</v>
      </c>
      <c r="AU51" s="1267">
        <f t="shared" si="8"/>
        <v>590946000000</v>
      </c>
      <c r="AV51" s="1267">
        <f t="shared" si="8"/>
        <v>7975000000</v>
      </c>
      <c r="AW51" s="1267">
        <f t="shared" si="9"/>
        <v>894736000000</v>
      </c>
      <c r="AX51" s="1267">
        <f t="shared" si="9"/>
        <v>873924000000</v>
      </c>
      <c r="AY51" s="1267">
        <f t="shared" si="9"/>
        <v>20811000000</v>
      </c>
      <c r="AZ51" s="1267">
        <f t="shared" si="9"/>
        <v>151442000000</v>
      </c>
      <c r="BC51" s="1267">
        <f>1000000*('Changes in position data'!E55+'Changes in position data'!F55)</f>
        <v>1524159000000</v>
      </c>
      <c r="BD51" s="1267">
        <f>1000000*('Changes in position data'!J55+'Changes in position data'!K55)</f>
        <v>585014000000</v>
      </c>
      <c r="BE51" s="1267">
        <f>1000000*('Changes in position data'!N55+'Changes in position data'!O55)</f>
        <v>585014000000</v>
      </c>
      <c r="BF51" s="1267">
        <f>0</f>
        <v>0</v>
      </c>
      <c r="BG51" s="1267">
        <f>1000000*('Changes in position data'!W55+'Changes in position data'!X55)</f>
        <v>881782000000</v>
      </c>
      <c r="BH51" s="1267">
        <f>1000000*('Changes in position data'!AA55+'Changes in position data'!AB55)</f>
        <v>873924000000</v>
      </c>
      <c r="BI51" s="1267">
        <f>1000000*('Changes in position data'!AE55+'Changes in position data'!AF55)</f>
        <v>7858000000</v>
      </c>
      <c r="BJ51" s="1267">
        <f>1000000*('Changes in position data'!AK55)</f>
        <v>23149000000</v>
      </c>
      <c r="BK51" s="1267">
        <f>1000000*('Changes in position data'!AO55+'Changes in position data'!AP55)</f>
        <v>34214000000</v>
      </c>
      <c r="BN51" s="1267">
        <f t="shared" si="31"/>
        <v>1538067000000</v>
      </c>
      <c r="BO51" s="1267">
        <f>1000000*('Changes in position data'!J55+'Changes in position data'!K55+'Changes in position data'!L55)</f>
        <v>598922000000</v>
      </c>
      <c r="BP51" s="1267">
        <f>1000000*('Changes in position data'!N55+'Changes in position data'!O55+'Changes in position data'!P55)</f>
        <v>590947000000</v>
      </c>
      <c r="BQ51" s="1267">
        <f>1000000*('Changes in position data'!Q55)</f>
        <v>7975000000</v>
      </c>
      <c r="BR51" s="1267">
        <v>881782000000</v>
      </c>
      <c r="BS51" s="1267">
        <v>873924000000</v>
      </c>
      <c r="BT51" s="1267">
        <v>7858000000</v>
      </c>
      <c r="BU51" s="1267">
        <v>23149000000</v>
      </c>
      <c r="BV51" s="1267">
        <v>34214000000</v>
      </c>
      <c r="BX51" s="1267">
        <f t="shared" si="10"/>
        <v>5.0971621548879124E-2</v>
      </c>
      <c r="BY51" s="1267">
        <f t="shared" si="11"/>
        <v>5.5957061461142509E-2</v>
      </c>
      <c r="BZ51" s="1267">
        <f t="shared" si="16"/>
        <v>7.9308257374906418E-2</v>
      </c>
      <c r="CA51" s="1267">
        <f t="shared" si="16"/>
        <v>8.8936254349430699E-2</v>
      </c>
      <c r="CB51" s="1267">
        <f t="shared" si="25"/>
        <v>1.8377180822114744E-2</v>
      </c>
      <c r="CC51" s="1267">
        <f t="shared" si="26"/>
        <v>3.5892803983946349E-2</v>
      </c>
      <c r="CD51" s="1267">
        <f t="shared" si="26"/>
        <v>2.541817310460092E-2</v>
      </c>
      <c r="CE51" s="1267">
        <f t="shared" si="26"/>
        <v>6.2395092402573682E-2</v>
      </c>
      <c r="CF51" s="1267">
        <f t="shared" si="12"/>
        <v>5.6743998466746659E-2</v>
      </c>
      <c r="CI51" s="1267">
        <f t="shared" si="32"/>
        <v>0.18122726015971763</v>
      </c>
      <c r="CJ51" s="1267">
        <f t="shared" si="33"/>
        <v>0.22385716438894337</v>
      </c>
      <c r="CK51" s="1267">
        <f t="shared" si="33"/>
        <v>0.25853984371330779</v>
      </c>
      <c r="CL51" s="1267">
        <f t="shared" si="34"/>
        <v>2.3761097767400163E-2</v>
      </c>
      <c r="CM51" s="1267">
        <f t="shared" si="35"/>
        <v>0.22638452807509563</v>
      </c>
      <c r="CN51" s="1267">
        <f t="shared" si="35"/>
        <v>0.28883038124245525</v>
      </c>
      <c r="CO51" s="1267">
        <f t="shared" si="35"/>
        <v>6.8387742293176179E-2</v>
      </c>
      <c r="CP51" s="1267">
        <f t="shared" si="35"/>
        <v>6.3752940325138119E-2</v>
      </c>
      <c r="CT51" s="1267">
        <v>18218330817787.898</v>
      </c>
      <c r="CU51" s="1267">
        <v>1179159000000</v>
      </c>
      <c r="CV51" s="1267">
        <f t="shared" si="13"/>
        <v>17039171817787.898</v>
      </c>
      <c r="CW51" s="1267">
        <v>3752602000000</v>
      </c>
      <c r="CX51" s="1267">
        <v>2895531000000</v>
      </c>
      <c r="CY51" s="1267">
        <v>857071000000</v>
      </c>
      <c r="CZ51" s="1267">
        <v>8843523000000</v>
      </c>
      <c r="DA51" s="1267">
        <v>2791893000000</v>
      </c>
      <c r="DB51" s="1267">
        <v>6051630000000</v>
      </c>
      <c r="DC51" s="1267">
        <v>4443047000000</v>
      </c>
      <c r="DH51" s="1267">
        <f>1000000*'BEA int transactions'!I54</f>
        <v>2120480000000</v>
      </c>
      <c r="DI51" s="1267">
        <f>1000000*'BEA int transactions'!J54</f>
        <v>298464000000</v>
      </c>
      <c r="DJ51" s="1267">
        <v>188318000000</v>
      </c>
      <c r="DK51" s="1267">
        <v>110145000000</v>
      </c>
      <c r="DL51" s="1267">
        <f>1000000*'BEA int transactions'!K54</f>
        <v>1126735000000</v>
      </c>
      <c r="DM51" s="1267">
        <v>145481000000</v>
      </c>
      <c r="DN51" s="1267">
        <v>981253000000</v>
      </c>
      <c r="DO51" s="1267">
        <f>1000000*'BEA int transactions'!L54</f>
        <v>695280000000</v>
      </c>
      <c r="DS51" s="1267">
        <v>637500000000</v>
      </c>
      <c r="DU51" s="1267">
        <v>163362000000</v>
      </c>
      <c r="DV51" s="1267">
        <v>136521000000</v>
      </c>
      <c r="DW51" s="1267">
        <v>63230000000</v>
      </c>
      <c r="DX51" s="1267">
        <v>73291000000</v>
      </c>
      <c r="DY51" s="1267">
        <v>26841000000</v>
      </c>
      <c r="DZ51" s="1267">
        <v>304934000000</v>
      </c>
      <c r="EA51" s="1267">
        <v>44883000000</v>
      </c>
      <c r="EB51" s="1267">
        <v>304934000000</v>
      </c>
      <c r="EC51" s="1267">
        <v>169204000000</v>
      </c>
      <c r="EF51" s="1279"/>
      <c r="EG51" s="1279">
        <f t="shared" si="17"/>
        <v>835940087890.49805</v>
      </c>
      <c r="EH51" s="1279"/>
      <c r="EI51" s="1279">
        <f t="shared" si="18"/>
        <v>226994000000</v>
      </c>
      <c r="EJ51" s="1279">
        <f t="shared" si="18"/>
        <v>223517000000</v>
      </c>
      <c r="EK51" s="1279">
        <f t="shared" si="18"/>
        <v>3478000000</v>
      </c>
      <c r="EL51" s="1279">
        <f t="shared" si="18"/>
        <v>378953000000</v>
      </c>
      <c r="EM51" s="1279">
        <f t="shared" si="18"/>
        <v>342399000000</v>
      </c>
      <c r="EN51" s="1279">
        <f t="shared" si="18"/>
        <v>36555000000</v>
      </c>
      <c r="EO51" s="1279">
        <f t="shared" si="18"/>
        <v>229994000000</v>
      </c>
      <c r="ER51" s="1267">
        <f>1000000*('Changes in position data'!AV55+'Changes in position data'!AW55)</f>
        <v>573442000000</v>
      </c>
      <c r="ES51" s="1267">
        <f>1000000*('Changes in position data'!BA55)</f>
        <v>227080000000</v>
      </c>
      <c r="ET51" s="1267">
        <f>1000000*('Changes in position data'!BE55)</f>
        <v>227080000000</v>
      </c>
      <c r="EV51" s="1267">
        <f>1000000*('Changes in position data'!BN55+'Changes in position data'!BO55)</f>
        <v>328970000000</v>
      </c>
      <c r="EW51" s="1267">
        <f>1000000*('Changes in position data'!BR55)</f>
        <v>330709000000</v>
      </c>
      <c r="EX51" s="1267">
        <f>1000000*('Changes in position data'!BV55+'Changes in position data'!BW55)</f>
        <v>-1739000000</v>
      </c>
      <c r="EY51" s="1267">
        <f>1000000*('Changes in position data'!CB55)</f>
        <v>17392000000</v>
      </c>
      <c r="FP51" s="1267">
        <f t="shared" si="19"/>
        <v>4.5268141640713598E-2</v>
      </c>
      <c r="FQ51" s="1267">
        <f t="shared" si="20"/>
        <v>5.0621230413021544E-2</v>
      </c>
      <c r="FR51" s="1267">
        <f t="shared" si="20"/>
        <v>5.4966871952122964E-2</v>
      </c>
      <c r="FS51" s="1267">
        <f t="shared" si="27"/>
        <v>3.6103399296252059E-2</v>
      </c>
      <c r="FT51" s="1267">
        <f t="shared" si="27"/>
        <v>4.1556399128625812E-2</v>
      </c>
      <c r="FU51" s="1267">
        <f t="shared" si="27"/>
        <v>1.948035883478088E-2</v>
      </c>
      <c r="FV51" s="1267">
        <f t="shared" si="27"/>
        <v>6.0577032719869715E-2</v>
      </c>
      <c r="FW51" s="1267">
        <f t="shared" si="21"/>
        <v>4.8099749472180271E-2</v>
      </c>
      <c r="FZ51" s="1267">
        <f t="shared" si="36"/>
        <v>8.5987598391669029E-2</v>
      </c>
      <c r="GA51" s="1267">
        <f t="shared" si="37"/>
        <v>0.12098685401085293</v>
      </c>
      <c r="GB51" s="1267">
        <f t="shared" si="38"/>
        <v>0.48907388277324038</v>
      </c>
      <c r="GD51" s="1267">
        <f t="shared" si="39"/>
        <v>0.2751303920594198</v>
      </c>
      <c r="GE51" s="1267">
        <f t="shared" si="39"/>
        <v>7.4613683201352768E-2</v>
      </c>
      <c r="GF51" s="1267">
        <f t="shared" si="39"/>
        <v>8.6189472714697624E-2</v>
      </c>
      <c r="GG51" s="1267">
        <f t="shared" si="40"/>
        <v>5.3043786509248889E-2</v>
      </c>
      <c r="GJ51" s="1267">
        <f t="shared" si="3"/>
        <v>-1808473817787.8984</v>
      </c>
      <c r="GK51" s="1267">
        <f t="shared" si="4"/>
        <v>1177290000000</v>
      </c>
      <c r="GL51" s="1267">
        <f t="shared" si="4"/>
        <v>1398770000000</v>
      </c>
      <c r="GM51" s="1267">
        <f t="shared" si="4"/>
        <v>-221480000000</v>
      </c>
      <c r="GN51" s="1267">
        <f t="shared" si="5"/>
        <v>-2826443000000</v>
      </c>
      <c r="GO51" s="1267">
        <f t="shared" si="5"/>
        <v>1537067000000</v>
      </c>
      <c r="GP51" s="1267">
        <f t="shared" si="5"/>
        <v>-4363510000000</v>
      </c>
      <c r="GQ51" s="1267">
        <f t="shared" si="5"/>
        <v>-439010000000</v>
      </c>
      <c r="GV51" s="1267">
        <f t="shared" si="0"/>
        <v>43328000000</v>
      </c>
      <c r="GW51" s="1267">
        <f t="shared" si="1"/>
        <v>157612000000</v>
      </c>
      <c r="GX51" s="1267">
        <f t="shared" si="1"/>
        <v>170247000000</v>
      </c>
      <c r="GY51" s="1267">
        <f t="shared" si="1"/>
        <v>38455000000</v>
      </c>
      <c r="GZ51" s="1267">
        <f t="shared" si="1"/>
        <v>131792000000</v>
      </c>
      <c r="HA51" s="1267">
        <f t="shared" si="1"/>
        <v>-12635000000</v>
      </c>
      <c r="HB51" s="1267">
        <f t="shared" si="1"/>
        <v>-138787000000</v>
      </c>
      <c r="HC51" s="1267">
        <f t="shared" si="1"/>
        <v>39447000000</v>
      </c>
      <c r="HD51" s="1267">
        <f t="shared" si="1"/>
        <v>-223117000000</v>
      </c>
      <c r="HE51" s="1267">
        <f t="shared" si="2"/>
        <v>18209000000</v>
      </c>
      <c r="HL51" s="1267">
        <f t="shared" si="22"/>
        <v>1.068891982042891E-2</v>
      </c>
      <c r="HM51" s="1267">
        <f t="shared" si="22"/>
        <v>2.8687026961884875E-2</v>
      </c>
      <c r="HN51" s="1267">
        <f t="shared" si="22"/>
        <v>3.3969382397307735E-2</v>
      </c>
      <c r="HO51" s="1267">
        <f t="shared" si="22"/>
        <v>-1.7726218474137315E-2</v>
      </c>
      <c r="HP51" s="1267">
        <f t="shared" si="22"/>
        <v>-5.6635951446794633E-3</v>
      </c>
      <c r="HQ51" s="1267">
        <f t="shared" si="22"/>
        <v>5.9378142698200409E-3</v>
      </c>
      <c r="HR51" s="1267">
        <f t="shared" si="22"/>
        <v>1.8180596827039666E-3</v>
      </c>
      <c r="HS51" s="1267">
        <f t="shared" si="23"/>
        <v>8.6442489945663878E-3</v>
      </c>
      <c r="HU51" s="1267">
        <v>8.6923847028260795E-3</v>
      </c>
      <c r="HV51" s="1267">
        <f t="shared" si="24"/>
        <v>6.4129486903844596E-4</v>
      </c>
      <c r="HW51" s="1267">
        <f t="shared" si="29"/>
        <v>-2.8310656136567441E-4</v>
      </c>
      <c r="ID51" s="1267">
        <f t="shared" si="41"/>
        <v>9.52396617680486E-2</v>
      </c>
      <c r="IE51" s="1267">
        <f t="shared" si="30"/>
        <v>0.10287031037809044</v>
      </c>
      <c r="IH51" s="1267">
        <f t="shared" si="42"/>
        <v>-4.8745863984324178E-2</v>
      </c>
      <c r="IK51" s="1267">
        <f t="shared" si="30"/>
        <v>1.070915381588923E-2</v>
      </c>
    </row>
    <row r="52" spans="4:245">
      <c r="D52" s="1267" t="s">
        <v>2945</v>
      </c>
      <c r="F52" s="1267">
        <v>20704503000000</v>
      </c>
      <c r="G52" s="1267">
        <v>2559332000000</v>
      </c>
      <c r="H52" s="1267">
        <f t="shared" si="6"/>
        <v>18145171000000</v>
      </c>
      <c r="I52" s="1267">
        <v>5857923000000</v>
      </c>
      <c r="J52" s="1267">
        <v>5090968000000</v>
      </c>
      <c r="K52" s="1267">
        <v>766955000000</v>
      </c>
      <c r="L52" s="1267">
        <v>7262045000000</v>
      </c>
      <c r="M52" s="1267">
        <v>5247990000000</v>
      </c>
      <c r="N52" s="1267">
        <v>2014055000000</v>
      </c>
      <c r="O52" s="1267">
        <v>4747993000000</v>
      </c>
      <c r="P52" s="1267">
        <v>277211000000</v>
      </c>
      <c r="R52" s="1311"/>
      <c r="T52" s="1267">
        <f>'BEA int transactions'!D55*1000000</f>
        <v>1563459000000</v>
      </c>
      <c r="U52" s="1267">
        <f>'BEA int transactions'!E55*1000000</f>
        <v>523889000000</v>
      </c>
      <c r="V52" s="1267">
        <v>422328000000</v>
      </c>
      <c r="W52" s="1267">
        <v>101562000000</v>
      </c>
      <c r="X52" s="1267">
        <f>1000000*'BEA int transactions'!F55</f>
        <v>380807000000</v>
      </c>
      <c r="Y52" s="1267">
        <v>147781000000</v>
      </c>
      <c r="Z52" s="1267">
        <v>233025000000</v>
      </c>
      <c r="AA52" s="1267">
        <f>1000000*'BEA int transactions'!G55</f>
        <v>658641000000</v>
      </c>
      <c r="AB52" s="1267">
        <f>1000000*'BEA int transactions'!H55</f>
        <v>122000000</v>
      </c>
      <c r="AD52" s="1267">
        <v>834980000000</v>
      </c>
      <c r="AF52" s="1267">
        <v>371794000000</v>
      </c>
      <c r="AG52" s="1267">
        <v>354311000000</v>
      </c>
      <c r="AH52" s="1267">
        <v>132833000000</v>
      </c>
      <c r="AI52" s="1267">
        <v>221478000000</v>
      </c>
      <c r="AJ52" s="1267">
        <v>17483000000</v>
      </c>
      <c r="AK52" s="1267">
        <v>221607000000</v>
      </c>
      <c r="AL52" s="1267">
        <v>116146000000</v>
      </c>
      <c r="AM52" s="1267">
        <v>105461000000</v>
      </c>
      <c r="AN52" s="1267">
        <v>234911000000</v>
      </c>
      <c r="AO52" s="1267">
        <v>1449000000</v>
      </c>
      <c r="AR52" s="1267">
        <f t="shared" si="7"/>
        <v>1410850000000</v>
      </c>
      <c r="AT52" s="1267">
        <f t="shared" si="8"/>
        <v>404142000000</v>
      </c>
      <c r="AU52" s="1267">
        <f t="shared" si="8"/>
        <v>374339000000</v>
      </c>
      <c r="AV52" s="1267">
        <f t="shared" si="8"/>
        <v>29802000000</v>
      </c>
      <c r="AW52" s="1267">
        <f t="shared" si="9"/>
        <v>864158000000</v>
      </c>
      <c r="AX52" s="1267">
        <f t="shared" si="9"/>
        <v>771249000000</v>
      </c>
      <c r="AY52" s="1267">
        <f t="shared" si="9"/>
        <v>92910000000</v>
      </c>
      <c r="AZ52" s="1267">
        <f t="shared" si="9"/>
        <v>85315000000</v>
      </c>
      <c r="BC52" s="1267">
        <f>1000000*('Changes in position data'!E56+'Changes in position data'!F56)</f>
        <v>1280614000000</v>
      </c>
      <c r="BD52" s="1267">
        <f>1000000*('Changes in position data'!J56+'Changes in position data'!K56)</f>
        <v>380156000000</v>
      </c>
      <c r="BE52" s="1267">
        <f>1000000*('Changes in position data'!N56+'Changes in position data'!O56)</f>
        <v>380156000000</v>
      </c>
      <c r="BF52" s="1267">
        <f>0</f>
        <v>0</v>
      </c>
      <c r="BG52" s="1267">
        <f>1000000*('Changes in position data'!W56+'Changes in position data'!X56)</f>
        <v>817008000000</v>
      </c>
      <c r="BH52" s="1267">
        <f>1000000*('Changes in position data'!AA56+'Changes in position data'!AB56)</f>
        <v>771248000000</v>
      </c>
      <c r="BI52" s="1267">
        <f>1000000*('Changes in position data'!AE56+'Changes in position data'!AF56)</f>
        <v>45760000000</v>
      </c>
      <c r="BJ52" s="1267">
        <f>1000000*('Changes in position data'!AK56)</f>
        <v>26214000000</v>
      </c>
      <c r="BK52" s="1267">
        <f>1000000*('Changes in position data'!AO56+'Changes in position data'!AP56)</f>
        <v>57236000000</v>
      </c>
      <c r="BN52" s="1267">
        <f t="shared" si="31"/>
        <v>1304600000000</v>
      </c>
      <c r="BO52" s="1267">
        <f>1000000*('Changes in position data'!J56+'Changes in position data'!K56+'Changes in position data'!L56)</f>
        <v>404142000000</v>
      </c>
      <c r="BP52" s="1267">
        <f>1000000*('Changes in position data'!N56+'Changes in position data'!O56+'Changes in position data'!P56)</f>
        <v>374339000000</v>
      </c>
      <c r="BQ52" s="1267">
        <f>1000000*('Changes in position data'!Q56)</f>
        <v>29803000000</v>
      </c>
      <c r="BR52" s="1267">
        <v>817008000000</v>
      </c>
      <c r="BS52" s="1267">
        <v>771248000000</v>
      </c>
      <c r="BT52" s="1267">
        <v>45760000000</v>
      </c>
      <c r="BU52" s="1267">
        <v>26214000000</v>
      </c>
      <c r="BV52" s="1267">
        <v>57236000000</v>
      </c>
      <c r="BX52" s="1267">
        <f t="shared" si="10"/>
        <v>5.088283219043286E-2</v>
      </c>
      <c r="BY52" s="1267">
        <f t="shared" si="11"/>
        <v>5.5038401904914831E-2</v>
      </c>
      <c r="BZ52" s="1267">
        <f t="shared" si="16"/>
        <v>7.5416256583308514E-2</v>
      </c>
      <c r="CA52" s="1267">
        <f t="shared" si="16"/>
        <v>8.2507257875030188E-2</v>
      </c>
      <c r="CB52" s="1267">
        <f t="shared" si="25"/>
        <v>1.4935509772872247E-2</v>
      </c>
      <c r="CC52" s="1267">
        <f t="shared" si="26"/>
        <v>3.682965823954476E-2</v>
      </c>
      <c r="CD52" s="1267">
        <f t="shared" si="26"/>
        <v>2.683000073920757E-2</v>
      </c>
      <c r="CE52" s="1267">
        <f t="shared" si="26"/>
        <v>6.2472454564841365E-2</v>
      </c>
      <c r="CF52" s="1267">
        <f t="shared" si="12"/>
        <v>5.8668538777239071E-2</v>
      </c>
      <c r="CI52" s="1267">
        <f t="shared" si="32"/>
        <v>0.13945113995500058</v>
      </c>
      <c r="CJ52" s="1267">
        <f t="shared" si="33"/>
        <v>0.15252869636900768</v>
      </c>
      <c r="CK52" s="1267">
        <f t="shared" si="33"/>
        <v>0.17103295740098332</v>
      </c>
      <c r="CL52" s="1267">
        <f t="shared" si="34"/>
        <v>2.7506682756678429E-2</v>
      </c>
      <c r="CM52" s="1267">
        <f t="shared" si="35"/>
        <v>0.17261113363957267</v>
      </c>
      <c r="CN52" s="1267">
        <f t="shared" si="35"/>
        <v>0.20499011309875814</v>
      </c>
      <c r="CO52" s="1267">
        <f t="shared" si="35"/>
        <v>8.9579532260739753E-2</v>
      </c>
      <c r="CP52" s="1267">
        <f t="shared" si="35"/>
        <v>6.5215431325934298E-2</v>
      </c>
      <c r="CT52" s="1267">
        <v>21983996497748.102</v>
      </c>
      <c r="CU52" s="1267">
        <v>2487860000000</v>
      </c>
      <c r="CV52" s="1267">
        <f t="shared" si="13"/>
        <v>19496136497748.102</v>
      </c>
      <c r="CW52" s="1267">
        <v>4134239000000</v>
      </c>
      <c r="CX52" s="1267">
        <v>3097513000000</v>
      </c>
      <c r="CY52" s="1267">
        <v>1036726000000</v>
      </c>
      <c r="CZ52" s="1267">
        <v>10326974000000</v>
      </c>
      <c r="DA52" s="1267">
        <v>3231651000000</v>
      </c>
      <c r="DB52" s="1267">
        <v>7095323000000</v>
      </c>
      <c r="DC52" s="1267">
        <v>5034923000000</v>
      </c>
      <c r="DH52" s="1267">
        <f>1000000*'BEA int transactions'!I55</f>
        <v>2190087000000</v>
      </c>
      <c r="DI52" s="1267">
        <f>1000000*'BEA int transactions'!J55</f>
        <v>346615000000</v>
      </c>
      <c r="DJ52" s="1267">
        <v>196966000000</v>
      </c>
      <c r="DK52" s="1267">
        <v>149647000000</v>
      </c>
      <c r="DL52" s="1267">
        <f>1000000*'BEA int transactions'!K55</f>
        <v>1156612000000</v>
      </c>
      <c r="DM52" s="1267">
        <v>275617000000</v>
      </c>
      <c r="DN52" s="1267">
        <v>880995000000</v>
      </c>
      <c r="DO52" s="1267">
        <f>1000000*'BEA int transactions'!L55</f>
        <v>686860000000</v>
      </c>
      <c r="DS52" s="1267">
        <v>734255000000</v>
      </c>
      <c r="DU52" s="1267">
        <v>142809000000</v>
      </c>
      <c r="DV52" s="1267">
        <v>108339000000</v>
      </c>
      <c r="DW52" s="1267">
        <v>53626000000</v>
      </c>
      <c r="DX52" s="1267">
        <v>54713000000</v>
      </c>
      <c r="DY52" s="1267">
        <v>34470000000</v>
      </c>
      <c r="DZ52" s="1267">
        <v>381787000000</v>
      </c>
      <c r="EA52" s="1267">
        <v>54924000000</v>
      </c>
      <c r="EB52" s="1267">
        <v>381787000000</v>
      </c>
      <c r="EC52" s="1267">
        <v>209659000000</v>
      </c>
      <c r="EF52" s="1279"/>
      <c r="EG52" s="1279">
        <f t="shared" si="17"/>
        <v>266877679960.20312</v>
      </c>
      <c r="EH52" s="1279"/>
      <c r="EI52" s="1279">
        <f t="shared" si="18"/>
        <v>35022000000</v>
      </c>
      <c r="EJ52" s="1279">
        <f t="shared" si="18"/>
        <v>5016000000</v>
      </c>
      <c r="EK52" s="1279">
        <f t="shared" si="18"/>
        <v>30008000000</v>
      </c>
      <c r="EL52" s="1279">
        <f t="shared" si="18"/>
        <v>326839000000</v>
      </c>
      <c r="EM52" s="1279">
        <f t="shared" si="18"/>
        <v>164141000000</v>
      </c>
      <c r="EN52" s="1279">
        <f t="shared" si="18"/>
        <v>162698000000</v>
      </c>
      <c r="EO52" s="1279">
        <f t="shared" si="18"/>
        <v>-94984000000</v>
      </c>
      <c r="ER52" s="1267">
        <f>1000000*('Changes in position data'!AV56+'Changes in position data'!AW56)</f>
        <v>323490000000</v>
      </c>
      <c r="ES52" s="1267">
        <f>1000000*('Changes in position data'!BA56)</f>
        <v>22840000000</v>
      </c>
      <c r="ET52" s="1267">
        <f>1000000*('Changes in position data'!BE56)</f>
        <v>22840000000</v>
      </c>
      <c r="EV52" s="1267">
        <f>1000000*('Changes in position data'!BN56+'Changes in position data'!BO56)</f>
        <v>274988000000</v>
      </c>
      <c r="EW52" s="1267">
        <f>1000000*('Changes in position data'!BR56)</f>
        <v>130538000000</v>
      </c>
      <c r="EX52" s="1267">
        <f>1000000*('Changes in position data'!BV56+'Changes in position data'!BW56)</f>
        <v>144450000000</v>
      </c>
      <c r="EY52" s="1267">
        <f>1000000*('Changes in position data'!CB56)</f>
        <v>25662000000</v>
      </c>
      <c r="FP52" s="1267">
        <f t="shared" si="19"/>
        <v>4.3092176536038022E-2</v>
      </c>
      <c r="FQ52" s="1267">
        <f t="shared" si="20"/>
        <v>3.8055994214147945E-2</v>
      </c>
      <c r="FR52" s="1267">
        <f t="shared" si="20"/>
        <v>3.7415935108275476E-2</v>
      </c>
      <c r="FS52" s="1267">
        <f t="shared" si="27"/>
        <v>4.0218371640155834E-2</v>
      </c>
      <c r="FT52" s="1267">
        <f t="shared" si="27"/>
        <v>4.3171369600101678E-2</v>
      </c>
      <c r="FU52" s="1267">
        <f t="shared" si="27"/>
        <v>1.9672673702036576E-2</v>
      </c>
      <c r="FV52" s="1267">
        <f t="shared" si="27"/>
        <v>6.308829191474033E-2</v>
      </c>
      <c r="FW52" s="1267">
        <f t="shared" si="21"/>
        <v>4.7188112122154006E-2</v>
      </c>
      <c r="FZ52" s="1267">
        <f t="shared" si="36"/>
        <v>6.2077254182963053E-2</v>
      </c>
      <c r="GA52" s="1267">
        <f t="shared" si="37"/>
        <v>4.4142437700560838E-2</v>
      </c>
      <c r="GB52" s="1267">
        <f t="shared" si="38"/>
        <v>0.15305499777731366</v>
      </c>
      <c r="GD52" s="1267">
        <f t="shared" si="39"/>
        <v>0.23524361427891399</v>
      </c>
      <c r="GE52" s="1267">
        <f t="shared" si="39"/>
        <v>3.0646619175329622E-2</v>
      </c>
      <c r="GF52" s="1267">
        <f t="shared" si="39"/>
        <v>0.11844056567486232</v>
      </c>
      <c r="GG52" s="1267">
        <f t="shared" si="40"/>
        <v>5.2963878167392779E-2</v>
      </c>
      <c r="GJ52" s="1267">
        <f t="shared" si="3"/>
        <v>-1279493497748.1016</v>
      </c>
      <c r="GK52" s="1267">
        <f t="shared" si="4"/>
        <v>1723684000000</v>
      </c>
      <c r="GL52" s="1267">
        <f t="shared" si="4"/>
        <v>1993455000000</v>
      </c>
      <c r="GM52" s="1267">
        <f t="shared" si="4"/>
        <v>-269771000000</v>
      </c>
      <c r="GN52" s="1267">
        <f t="shared" si="5"/>
        <v>-3064929000000</v>
      </c>
      <c r="GO52" s="1267">
        <f t="shared" si="5"/>
        <v>2016339000000</v>
      </c>
      <c r="GP52" s="1267">
        <f t="shared" si="5"/>
        <v>-5081268000000</v>
      </c>
      <c r="GQ52" s="1267">
        <f t="shared" si="5"/>
        <v>-286930000000</v>
      </c>
      <c r="GV52" s="1267">
        <f t="shared" si="0"/>
        <v>100725000000</v>
      </c>
      <c r="GW52" s="1267">
        <f t="shared" si="1"/>
        <v>228985000000</v>
      </c>
      <c r="GX52" s="1267">
        <f t="shared" si="1"/>
        <v>245972000000</v>
      </c>
      <c r="GY52" s="1267">
        <f t="shared" si="1"/>
        <v>79207000000</v>
      </c>
      <c r="GZ52" s="1267">
        <f t="shared" si="1"/>
        <v>166765000000</v>
      </c>
      <c r="HA52" s="1267">
        <f t="shared" si="1"/>
        <v>-16987000000</v>
      </c>
      <c r="HB52" s="1267">
        <f t="shared" si="1"/>
        <v>-160180000000</v>
      </c>
      <c r="HC52" s="1267">
        <f t="shared" si="1"/>
        <v>61222000000</v>
      </c>
      <c r="HD52" s="1267">
        <f t="shared" si="1"/>
        <v>-276326000000</v>
      </c>
      <c r="HE52" s="1267">
        <f t="shared" si="2"/>
        <v>25252000000</v>
      </c>
      <c r="HL52" s="1267">
        <f t="shared" si="22"/>
        <v>1.1946225368876809E-2</v>
      </c>
      <c r="HM52" s="1267">
        <f t="shared" si="22"/>
        <v>3.7360262369160568E-2</v>
      </c>
      <c r="HN52" s="1267">
        <f t="shared" si="22"/>
        <v>4.5091322766754711E-2</v>
      </c>
      <c r="HO52" s="1267">
        <f t="shared" si="22"/>
        <v>-2.5282861867283589E-2</v>
      </c>
      <c r="HP52" s="1267">
        <f t="shared" si="22"/>
        <v>-6.3417113605569175E-3</v>
      </c>
      <c r="HQ52" s="1267">
        <f t="shared" si="22"/>
        <v>7.1573270371709935E-3</v>
      </c>
      <c r="HR52" s="1267">
        <f t="shared" si="22"/>
        <v>-6.1583734989896499E-4</v>
      </c>
      <c r="HS52" s="1267">
        <f t="shared" si="23"/>
        <v>1.1480426655085064E-2</v>
      </c>
      <c r="HU52" s="1267">
        <v>1.0261703500235898E-2</v>
      </c>
      <c r="HV52" s="1267">
        <f t="shared" si="24"/>
        <v>7.1414910178286412E-4</v>
      </c>
      <c r="HW52" s="1267">
        <f t="shared" si="29"/>
        <v>-6.1129893971612059E-5</v>
      </c>
      <c r="ID52" s="1267">
        <f t="shared" si="41"/>
        <v>7.7373885772037521E-2</v>
      </c>
      <c r="IE52" s="1267">
        <f t="shared" si="30"/>
        <v>0.10838625866844684</v>
      </c>
      <c r="IH52" s="1267">
        <f t="shared" si="42"/>
        <v>-6.263248063934132E-2</v>
      </c>
      <c r="IK52" s="1267">
        <f t="shared" si="30"/>
        <v>1.2251553158541519E-2</v>
      </c>
    </row>
    <row r="53" spans="4:245">
      <c r="D53" s="1267" t="s">
        <v>2946</v>
      </c>
      <c r="F53" s="1267">
        <v>19423416000000</v>
      </c>
      <c r="G53" s="1267">
        <v>6127450000000</v>
      </c>
      <c r="H53" s="1267">
        <f t="shared" si="6"/>
        <v>13295966000000</v>
      </c>
      <c r="I53" s="1267">
        <v>3707211000000</v>
      </c>
      <c r="J53" s="1267">
        <v>2928147000000</v>
      </c>
      <c r="K53" s="1267">
        <v>779064000000</v>
      </c>
      <c r="L53" s="1267">
        <v>4320819000000</v>
      </c>
      <c r="M53" s="1267">
        <v>2748428000000</v>
      </c>
      <c r="N53" s="1267">
        <v>1572391000000</v>
      </c>
      <c r="O53" s="1267">
        <v>4974204000000</v>
      </c>
      <c r="P53" s="1267">
        <v>293732000000</v>
      </c>
      <c r="R53" s="1311"/>
      <c r="T53" s="1267">
        <f>'BEA int transactions'!D56*1000000</f>
        <v>-317607000000</v>
      </c>
      <c r="U53" s="1267">
        <f>'BEA int transactions'!E56*1000000</f>
        <v>343584000000</v>
      </c>
      <c r="V53" s="1267">
        <v>351991000000</v>
      </c>
      <c r="W53" s="1267">
        <v>-8408000000</v>
      </c>
      <c r="X53" s="1267">
        <f>1000000*'BEA int transactions'!F56</f>
        <v>-284269000000</v>
      </c>
      <c r="Y53" s="1267">
        <v>-38550000000</v>
      </c>
      <c r="Z53" s="1267">
        <v>-245720000000</v>
      </c>
      <c r="AA53" s="1267">
        <f>1000000*'BEA int transactions'!G56</f>
        <v>-381770000000</v>
      </c>
      <c r="AB53" s="1267">
        <f>1000000*'BEA int transactions'!H56</f>
        <v>4848000000</v>
      </c>
      <c r="AD53" s="1267">
        <v>815569000000</v>
      </c>
      <c r="AF53" s="1267">
        <v>415227000000</v>
      </c>
      <c r="AG53" s="1267">
        <v>397401000000</v>
      </c>
      <c r="AH53" s="1267">
        <v>172448000000</v>
      </c>
      <c r="AI53" s="1267">
        <v>224953000000</v>
      </c>
      <c r="AJ53" s="1267">
        <v>17826000000</v>
      </c>
      <c r="AK53" s="1267">
        <v>241329000000</v>
      </c>
      <c r="AL53" s="1267">
        <v>143917000000</v>
      </c>
      <c r="AM53" s="1267">
        <v>97412000000</v>
      </c>
      <c r="AN53" s="1267">
        <v>152076000000</v>
      </c>
      <c r="AO53" s="1267">
        <v>1573000000</v>
      </c>
      <c r="AR53" s="1267">
        <f t="shared" si="7"/>
        <v>-4531598000000</v>
      </c>
      <c r="AT53" s="1267">
        <f t="shared" si="8"/>
        <v>-2494296000000</v>
      </c>
      <c r="AU53" s="1267">
        <f t="shared" si="8"/>
        <v>-2514812000000</v>
      </c>
      <c r="AV53" s="1267">
        <f t="shared" si="8"/>
        <v>20517000000</v>
      </c>
      <c r="AW53" s="1267">
        <f t="shared" si="9"/>
        <v>-2656957000000</v>
      </c>
      <c r="AX53" s="1267">
        <f t="shared" si="9"/>
        <v>-2461012000000</v>
      </c>
      <c r="AY53" s="1267">
        <f t="shared" si="9"/>
        <v>-195944000000</v>
      </c>
      <c r="AZ53" s="1267">
        <f t="shared" si="9"/>
        <v>607981000000</v>
      </c>
      <c r="BC53" s="1267">
        <f>1000000*('Changes in position data'!E57+'Changes in position data'!F57)</f>
        <v>-5120541000000</v>
      </c>
      <c r="BD53" s="1267">
        <f>1000000*('Changes in position data'!J57+'Changes in position data'!K57)</f>
        <v>-2458873000000</v>
      </c>
      <c r="BE53" s="1267">
        <f>1000000*('Changes in position data'!N57+'Changes in position data'!O57)</f>
        <v>-2458873000000</v>
      </c>
      <c r="BF53" s="1267">
        <f>0</f>
        <v>0</v>
      </c>
      <c r="BG53" s="1267">
        <f>1000000*('Changes in position data'!W57+'Changes in position data'!X57)</f>
        <v>-2641316000000</v>
      </c>
      <c r="BH53" s="1267">
        <f>1000000*('Changes in position data'!AA57+'Changes in position data'!AB57)</f>
        <v>-2461012000000</v>
      </c>
      <c r="BI53" s="1267">
        <f>1000000*('Changes in position data'!AE57+'Changes in position data'!AF57)</f>
        <v>-180303000000</v>
      </c>
      <c r="BJ53" s="1267">
        <f>1000000*('Changes in position data'!AK57)</f>
        <v>-32025000000</v>
      </c>
      <c r="BK53" s="1267">
        <f>1000000*('Changes in position data'!AO57+'Changes in position data'!AP57)</f>
        <v>11673000000</v>
      </c>
      <c r="BN53" s="1267">
        <f t="shared" si="31"/>
        <v>-5155964000000</v>
      </c>
      <c r="BO53" s="1267">
        <f>1000000*('Changes in position data'!J57+'Changes in position data'!K57+'Changes in position data'!L57)</f>
        <v>-2494296000000</v>
      </c>
      <c r="BP53" s="1267">
        <f>1000000*('Changes in position data'!N57+'Changes in position data'!O57+'Changes in position data'!P57)</f>
        <v>-2514811000000</v>
      </c>
      <c r="BQ53" s="1267">
        <f>1000000*('Changes in position data'!Q57)</f>
        <v>20515000000</v>
      </c>
      <c r="BR53" s="1267">
        <v>-2641316000000</v>
      </c>
      <c r="BS53" s="1267">
        <v>-2461012000000</v>
      </c>
      <c r="BT53" s="1267">
        <v>-180303000000</v>
      </c>
      <c r="BU53" s="1267">
        <v>-32025000000</v>
      </c>
      <c r="BV53" s="1267">
        <v>11673000000</v>
      </c>
      <c r="BX53" s="1267">
        <f t="shared" si="10"/>
        <v>3.939089965115318E-2</v>
      </c>
      <c r="BY53" s="1267">
        <f t="shared" si="11"/>
        <v>4.4946889726197675E-2</v>
      </c>
      <c r="BZ53" s="1267">
        <f t="shared" si="16"/>
        <v>7.0882973367864338E-2</v>
      </c>
      <c r="CA53" s="1267">
        <f t="shared" si="16"/>
        <v>7.8060007448485236E-2</v>
      </c>
      <c r="CB53" s="1267">
        <f t="shared" si="25"/>
        <v>1.6044300616608571E-2</v>
      </c>
      <c r="CC53" s="1267">
        <f t="shared" si="26"/>
        <v>3.3231548413704404E-2</v>
      </c>
      <c r="CD53" s="1267">
        <f t="shared" si="26"/>
        <v>2.7423261096153003E-2</v>
      </c>
      <c r="CE53" s="1267">
        <f t="shared" si="26"/>
        <v>4.8366107181780041E-2</v>
      </c>
      <c r="CF53" s="1267">
        <f t="shared" si="12"/>
        <v>3.2029533320710457E-2</v>
      </c>
      <c r="CI53" s="1267">
        <f t="shared" si="32"/>
        <v>-0.23725166326622107</v>
      </c>
      <c r="CJ53" s="1267">
        <f t="shared" si="33"/>
        <v>-0.34886870312224999</v>
      </c>
      <c r="CK53" s="1267">
        <f t="shared" si="33"/>
        <v>-0.40492731441250468</v>
      </c>
      <c r="CL53" s="1267">
        <f t="shared" si="34"/>
        <v>2.3242563122999393E-2</v>
      </c>
      <c r="CM53" s="1267">
        <f t="shared" si="35"/>
        <v>-0.33048363098824091</v>
      </c>
      <c r="CN53" s="1267">
        <f t="shared" si="35"/>
        <v>-0.44152046783625731</v>
      </c>
      <c r="CO53" s="1267">
        <f t="shared" si="35"/>
        <v>-4.1156274282479872E-2</v>
      </c>
      <c r="CP53" s="1267">
        <f t="shared" si="35"/>
        <v>2.5284578136488406E-2</v>
      </c>
      <c r="CT53" s="1267">
        <v>23418717562134.199</v>
      </c>
      <c r="CU53" s="1267">
        <v>5967815000000</v>
      </c>
      <c r="CV53" s="1267">
        <f t="shared" si="13"/>
        <v>17450902562134.199</v>
      </c>
      <c r="CW53" s="1267">
        <v>3091240000000</v>
      </c>
      <c r="CX53" s="1267">
        <v>2000508000000</v>
      </c>
      <c r="CY53" s="1267">
        <v>1090732000000</v>
      </c>
      <c r="CZ53" s="1267">
        <v>9475873000000</v>
      </c>
      <c r="DA53" s="1267">
        <v>2132433000000</v>
      </c>
      <c r="DB53" s="1267">
        <v>7343440000000</v>
      </c>
      <c r="DC53" s="1267">
        <v>4883790000000</v>
      </c>
      <c r="DH53" s="1267">
        <f>1000000*'BEA int transactions'!I56</f>
        <v>462408000000</v>
      </c>
      <c r="DI53" s="1267">
        <f>1000000*'BEA int transactions'!J56</f>
        <v>341091000000</v>
      </c>
      <c r="DJ53" s="1267">
        <v>303219000000</v>
      </c>
      <c r="DK53" s="1267">
        <v>37873000000</v>
      </c>
      <c r="DL53" s="1267">
        <f>1000000*'BEA int transactions'!K56</f>
        <v>523683000000</v>
      </c>
      <c r="DM53" s="1267">
        <v>126805000000</v>
      </c>
      <c r="DN53" s="1267">
        <v>396879000000</v>
      </c>
      <c r="DO53" s="1267">
        <f>1000000*'BEA int transactions'!L56</f>
        <v>-402367000000</v>
      </c>
      <c r="DS53" s="1267">
        <v>668858000000</v>
      </c>
      <c r="DU53" s="1267">
        <v>147431000000</v>
      </c>
      <c r="DV53" s="1267">
        <v>113211000000</v>
      </c>
      <c r="DW53" s="1267">
        <v>65716000000</v>
      </c>
      <c r="DX53" s="1267">
        <v>47495000000</v>
      </c>
      <c r="DY53" s="1267">
        <v>34220000000</v>
      </c>
      <c r="DZ53" s="1267">
        <v>400032000000</v>
      </c>
      <c r="EA53" s="1267">
        <v>70136000000</v>
      </c>
      <c r="EB53" s="1267">
        <v>400032000000</v>
      </c>
      <c r="EC53" s="1267">
        <v>121395000000</v>
      </c>
      <c r="EF53" s="1279"/>
      <c r="EG53" s="1279">
        <f t="shared" si="17"/>
        <v>-2507641935613.9023</v>
      </c>
      <c r="EH53" s="1279"/>
      <c r="EI53" s="1279">
        <f t="shared" si="18"/>
        <v>-1384090000000</v>
      </c>
      <c r="EJ53" s="1279">
        <f t="shared" si="18"/>
        <v>-1400224000000</v>
      </c>
      <c r="EK53" s="1279">
        <f t="shared" si="18"/>
        <v>16133000000</v>
      </c>
      <c r="EL53" s="1279">
        <f t="shared" si="18"/>
        <v>-1374784000000</v>
      </c>
      <c r="EM53" s="1279">
        <f t="shared" si="18"/>
        <v>-1226023000000</v>
      </c>
      <c r="EN53" s="1279">
        <f t="shared" si="18"/>
        <v>-148762000000</v>
      </c>
      <c r="EO53" s="1279">
        <f t="shared" si="18"/>
        <v>251234000000</v>
      </c>
      <c r="ER53" s="1267">
        <f>1000000*('Changes in position data'!AV57+'Changes in position data'!AW57)</f>
        <v>-2590294000000</v>
      </c>
      <c r="ES53" s="1267">
        <f>1000000*('Changes in position data'!BA57)</f>
        <v>-1188331000000</v>
      </c>
      <c r="ET53" s="1267">
        <f>1000000*('Changes in position data'!BE57)</f>
        <v>-1188331000000</v>
      </c>
      <c r="EV53" s="1267">
        <f>1000000*('Changes in position data'!BN57+'Changes in position data'!BO57)</f>
        <v>-1378589000000</v>
      </c>
      <c r="EW53" s="1267">
        <f>1000000*('Changes in position data'!BR57)</f>
        <v>-1226022000000</v>
      </c>
      <c r="EX53" s="1267">
        <f>1000000*('Changes in position data'!BV57+'Changes in position data'!BW57)</f>
        <v>-152567000000</v>
      </c>
      <c r="EY53" s="1267">
        <f>1000000*('Changes in position data'!CB57)</f>
        <v>-23374000000</v>
      </c>
      <c r="FP53" s="1267">
        <f t="shared" si="19"/>
        <v>3.4307207485814242E-2</v>
      </c>
      <c r="FQ53" s="1267">
        <f t="shared" si="20"/>
        <v>3.5660976542478552E-2</v>
      </c>
      <c r="FR53" s="1267">
        <f t="shared" si="20"/>
        <v>3.6548999148671851E-2</v>
      </c>
      <c r="FS53" s="1267">
        <f t="shared" si="27"/>
        <v>3.3007757112293895E-2</v>
      </c>
      <c r="FT53" s="1267">
        <f t="shared" si="27"/>
        <v>3.873661345520963E-2</v>
      </c>
      <c r="FU53" s="1267">
        <f t="shared" si="27"/>
        <v>2.1702838580032312E-2</v>
      </c>
      <c r="FV53" s="1267">
        <f t="shared" si="27"/>
        <v>5.6379674329132018E-2</v>
      </c>
      <c r="FW53" s="1267">
        <f t="shared" si="21"/>
        <v>2.4110597123332373E-2</v>
      </c>
      <c r="FZ53" s="1267">
        <f t="shared" si="36"/>
        <v>-9.8554705965560679E-2</v>
      </c>
      <c r="GA53" s="1267">
        <f t="shared" si="37"/>
        <v>-0.25177547790536542</v>
      </c>
      <c r="GB53" s="1267">
        <f t="shared" si="38"/>
        <v>-1.0370338932369787</v>
      </c>
      <c r="GD53" s="1267">
        <f t="shared" si="39"/>
        <v>-0.30280404660032906</v>
      </c>
      <c r="GE53" s="1267">
        <f t="shared" si="39"/>
        <v>-0.16290815795137162</v>
      </c>
      <c r="GF53" s="1267">
        <f t="shared" si="39"/>
        <v>4.91497089429173E-2</v>
      </c>
      <c r="GG53" s="1267">
        <f t="shared" si="40"/>
        <v>1.9468222254838852E-2</v>
      </c>
      <c r="GJ53" s="1267">
        <f t="shared" si="3"/>
        <v>-3995301562134.1992</v>
      </c>
      <c r="GK53" s="1267">
        <f t="shared" si="4"/>
        <v>615971000000</v>
      </c>
      <c r="GL53" s="1267">
        <f t="shared" si="4"/>
        <v>927639000000</v>
      </c>
      <c r="GM53" s="1267">
        <f t="shared" si="4"/>
        <v>-311668000000</v>
      </c>
      <c r="GN53" s="1267">
        <f t="shared" si="5"/>
        <v>-5155054000000</v>
      </c>
      <c r="GO53" s="1267">
        <f t="shared" si="5"/>
        <v>615995000000</v>
      </c>
      <c r="GP53" s="1267">
        <f t="shared" si="5"/>
        <v>-5771049000000</v>
      </c>
      <c r="GQ53" s="1267">
        <f t="shared" si="5"/>
        <v>90414000000</v>
      </c>
      <c r="GV53" s="1267">
        <f t="shared" si="0"/>
        <v>146711000000</v>
      </c>
      <c r="GW53" s="1267">
        <f t="shared" si="1"/>
        <v>267796000000</v>
      </c>
      <c r="GX53" s="1267">
        <f t="shared" si="1"/>
        <v>284190000000</v>
      </c>
      <c r="GY53" s="1267">
        <f t="shared" si="1"/>
        <v>106732000000</v>
      </c>
      <c r="GZ53" s="1267">
        <f t="shared" si="1"/>
        <v>177458000000</v>
      </c>
      <c r="HA53" s="1267">
        <f t="shared" si="1"/>
        <v>-16394000000</v>
      </c>
      <c r="HB53" s="1267">
        <f t="shared" si="1"/>
        <v>-158703000000</v>
      </c>
      <c r="HC53" s="1267">
        <f t="shared" si="1"/>
        <v>73781000000</v>
      </c>
      <c r="HD53" s="1267">
        <f t="shared" si="1"/>
        <v>-302620000000</v>
      </c>
      <c r="HE53" s="1267">
        <f t="shared" si="2"/>
        <v>30681000000</v>
      </c>
      <c r="HL53" s="1267">
        <f t="shared" si="22"/>
        <v>1.0639682240383433E-2</v>
      </c>
      <c r="HM53" s="1267">
        <f t="shared" si="22"/>
        <v>3.5221996825385786E-2</v>
      </c>
      <c r="HN53" s="1267">
        <f t="shared" si="22"/>
        <v>4.1511008299813384E-2</v>
      </c>
      <c r="HO53" s="1267">
        <f t="shared" si="22"/>
        <v>-1.6963456495685324E-2</v>
      </c>
      <c r="HP53" s="1267">
        <f t="shared" si="22"/>
        <v>-5.5050650415052263E-3</v>
      </c>
      <c r="HQ53" s="1267">
        <f t="shared" si="22"/>
        <v>5.7204225161206906E-3</v>
      </c>
      <c r="HR53" s="1267">
        <f t="shared" si="22"/>
        <v>-8.0135671473519771E-3</v>
      </c>
      <c r="HS53" s="1267">
        <f t="shared" si="23"/>
        <v>7.918936197378084E-3</v>
      </c>
      <c r="HU53" s="1267">
        <v>8.7070565742290926E-3</v>
      </c>
      <c r="HV53" s="1267">
        <f t="shared" si="24"/>
        <v>-1.3609678692863281E-3</v>
      </c>
      <c r="HW53" s="1267">
        <f t="shared" si="29"/>
        <v>-1.8505505997792396E-3</v>
      </c>
      <c r="ID53" s="1267">
        <f t="shared" si="41"/>
        <v>-0.1386969573006604</v>
      </c>
      <c r="IE53" s="1267">
        <f t="shared" si="30"/>
        <v>-9.7093225216884571E-2</v>
      </c>
      <c r="IH53" s="1267">
        <f t="shared" si="42"/>
        <v>-2.7679584387911849E-2</v>
      </c>
      <c r="IK53" s="1267">
        <f t="shared" si="30"/>
        <v>5.8163558816495542E-3</v>
      </c>
    </row>
    <row r="54" spans="4:245">
      <c r="D54" s="1267" t="s">
        <v>2947</v>
      </c>
      <c r="F54" s="1267">
        <v>19426459000000</v>
      </c>
      <c r="G54" s="1267">
        <v>3489779000000</v>
      </c>
      <c r="H54" s="1267">
        <f t="shared" si="6"/>
        <v>15936680000000</v>
      </c>
      <c r="I54" s="1267">
        <v>4945292000000</v>
      </c>
      <c r="J54" s="1267">
        <v>4097179000000</v>
      </c>
      <c r="K54" s="1267">
        <v>848113000000</v>
      </c>
      <c r="L54" s="1267">
        <v>6058554000000</v>
      </c>
      <c r="M54" s="1267">
        <v>3995295000000</v>
      </c>
      <c r="N54" s="1267">
        <v>2063259000000</v>
      </c>
      <c r="O54" s="1267">
        <v>4529030000000</v>
      </c>
      <c r="P54" s="1267">
        <v>403804000000</v>
      </c>
      <c r="R54" s="1311"/>
      <c r="T54" s="1267">
        <f>'BEA int transactions'!D57*1000000</f>
        <v>131074000000</v>
      </c>
      <c r="U54" s="1267">
        <f>'BEA int transactions'!E57*1000000</f>
        <v>312597000000</v>
      </c>
      <c r="V54" s="1267">
        <v>260928000000</v>
      </c>
      <c r="W54" s="1267">
        <v>51669000000</v>
      </c>
      <c r="X54" s="1267">
        <f>1000000*'BEA int transactions'!F57</f>
        <v>375883000000</v>
      </c>
      <c r="Y54" s="1267">
        <v>63696000000</v>
      </c>
      <c r="Z54" s="1267">
        <v>312186000000</v>
      </c>
      <c r="AA54" s="1267">
        <f>1000000*'BEA int transactions'!G57</f>
        <v>-609662000000</v>
      </c>
      <c r="AB54" s="1267">
        <f>1000000*'BEA int transactions'!H57</f>
        <v>52256000000</v>
      </c>
      <c r="AD54" s="1267">
        <v>613250000000</v>
      </c>
      <c r="AF54" s="1267">
        <v>369172000000</v>
      </c>
      <c r="AG54" s="1267">
        <v>354855000000</v>
      </c>
      <c r="AH54" s="1267">
        <v>128562000000</v>
      </c>
      <c r="AI54" s="1267">
        <v>226293000000</v>
      </c>
      <c r="AJ54" s="1267">
        <v>14317000000</v>
      </c>
      <c r="AK54" s="1267">
        <v>184417000000</v>
      </c>
      <c r="AL54" s="1267">
        <v>108592000000</v>
      </c>
      <c r="AM54" s="1267">
        <v>75825000000</v>
      </c>
      <c r="AN54" s="1267">
        <v>53140000000</v>
      </c>
      <c r="AO54" s="1267">
        <v>781000000</v>
      </c>
      <c r="AR54" s="1267">
        <f t="shared" si="7"/>
        <v>2509640000000</v>
      </c>
      <c r="AT54" s="1267">
        <f t="shared" si="8"/>
        <v>925484000000</v>
      </c>
      <c r="AU54" s="1267">
        <f t="shared" si="8"/>
        <v>908104000000</v>
      </c>
      <c r="AV54" s="1267">
        <f t="shared" si="8"/>
        <v>17380000000</v>
      </c>
      <c r="AW54" s="1267">
        <f t="shared" si="9"/>
        <v>1361852000000</v>
      </c>
      <c r="AX54" s="1267">
        <f t="shared" si="9"/>
        <v>1183171000000</v>
      </c>
      <c r="AY54" s="1267">
        <f t="shared" si="9"/>
        <v>178682000000</v>
      </c>
      <c r="AZ54" s="1267">
        <f t="shared" si="9"/>
        <v>164488000000</v>
      </c>
      <c r="BC54" s="1267">
        <f>1000000*('Changes in position data'!E58+'Changes in position data'!F58)</f>
        <v>2362082000000</v>
      </c>
      <c r="BD54" s="1267">
        <f>1000000*('Changes in position data'!J58+'Changes in position data'!K58)</f>
        <v>928751000000</v>
      </c>
      <c r="BE54" s="1267">
        <f>1000000*('Changes in position data'!N58+'Changes in position data'!O58)</f>
        <v>928751000000</v>
      </c>
      <c r="BF54" s="1267">
        <f>0</f>
        <v>0</v>
      </c>
      <c r="BG54" s="1267">
        <f>1000000*('Changes in position data'!W58+'Changes in position data'!X58)</f>
        <v>1361296000000</v>
      </c>
      <c r="BH54" s="1267">
        <f>1000000*('Changes in position data'!AA58+'Changes in position data'!AB58)</f>
        <v>1183171000000</v>
      </c>
      <c r="BI54" s="1267">
        <f>1000000*('Changes in position data'!AE58+'Changes in position data'!AF58)</f>
        <v>178126000000</v>
      </c>
      <c r="BJ54" s="1267">
        <f>1000000*('Changes in position data'!AK58)</f>
        <v>14219000000</v>
      </c>
      <c r="BK54" s="1267">
        <f>1000000*('Changes in position data'!AO58+'Changes in position data'!AP58)</f>
        <v>57816000000</v>
      </c>
      <c r="BN54" s="1267">
        <f t="shared" si="31"/>
        <v>2358814000000</v>
      </c>
      <c r="BO54" s="1267">
        <f>1000000*('Changes in position data'!J58+'Changes in position data'!K58+'Changes in position data'!L58)</f>
        <v>925483000000</v>
      </c>
      <c r="BP54" s="1267">
        <f>1000000*('Changes in position data'!N58+'Changes in position data'!O58+'Changes in position data'!P58)</f>
        <v>908104000000</v>
      </c>
      <c r="BQ54" s="1267">
        <f>1000000*('Changes in position data'!Q58)</f>
        <v>17380000000</v>
      </c>
      <c r="BR54" s="1267">
        <v>1361296000000</v>
      </c>
      <c r="BS54" s="1267">
        <v>1183171000000</v>
      </c>
      <c r="BT54" s="1267">
        <v>178126000000</v>
      </c>
      <c r="BU54" s="1267">
        <v>14219000000</v>
      </c>
      <c r="BV54" s="1267">
        <v>57816000000</v>
      </c>
      <c r="BX54" s="1267">
        <f t="shared" si="10"/>
        <v>3.157271614838502E-2</v>
      </c>
      <c r="BY54" s="1267">
        <f t="shared" si="11"/>
        <v>4.6123012047413481E-2</v>
      </c>
      <c r="BZ54" s="1267">
        <f t="shared" si="16"/>
        <v>9.9582138702113257E-2</v>
      </c>
      <c r="CA54" s="1267">
        <f t="shared" si="16"/>
        <v>0.12118756332930007</v>
      </c>
      <c r="CB54" s="1267">
        <f t="shared" si="25"/>
        <v>1.7817907091623137E-2</v>
      </c>
      <c r="CC54" s="1267">
        <f t="shared" si="26"/>
        <v>4.2681028758668207E-2</v>
      </c>
      <c r="CD54" s="1267">
        <f t="shared" si="26"/>
        <v>3.9510585687527564E-2</v>
      </c>
      <c r="CE54" s="1267">
        <f t="shared" si="26"/>
        <v>4.8222738491889107E-2</v>
      </c>
      <c r="CF54" s="1267">
        <f t="shared" si="12"/>
        <v>1.0683116333789286E-2</v>
      </c>
      <c r="CI54" s="1267">
        <f t="shared" si="32"/>
        <v>0.22377704636127979</v>
      </c>
      <c r="CJ54" s="1267">
        <f t="shared" si="33"/>
        <v>0.35010766854112163</v>
      </c>
      <c r="CK54" s="1267">
        <f t="shared" si="33"/>
        <v>0.43836801909193768</v>
      </c>
      <c r="CL54" s="1267">
        <f t="shared" si="34"/>
        <v>1.8377180822114744E-2</v>
      </c>
      <c r="CM54" s="1267">
        <f>(BG54+AK54)/L53</f>
        <v>0.35773611438016728</v>
      </c>
      <c r="CN54" s="1267">
        <f t="shared" si="35"/>
        <v>0.47000066947360453</v>
      </c>
      <c r="CO54" s="1267">
        <f t="shared" si="35"/>
        <v>0.16150626657110095</v>
      </c>
      <c r="CP54" s="1267">
        <f t="shared" si="35"/>
        <v>1.3541664153701779E-2</v>
      </c>
      <c r="CT54" s="1267">
        <v>22054085039653.699</v>
      </c>
      <c r="CU54" s="1267">
        <v>3363444000000</v>
      </c>
      <c r="CV54" s="1267">
        <f t="shared" si="13"/>
        <v>18690641039653.699</v>
      </c>
      <c r="CW54" s="1267">
        <v>3618630000000</v>
      </c>
      <c r="CX54" s="1267">
        <v>2513901000000</v>
      </c>
      <c r="CY54" s="1267">
        <v>1104729000000</v>
      </c>
      <c r="CZ54" s="1267">
        <v>10463234000000</v>
      </c>
      <c r="DA54" s="1267">
        <v>2917681000000</v>
      </c>
      <c r="DB54" s="1267">
        <v>7545553000000</v>
      </c>
      <c r="DC54" s="1267">
        <v>4608777000000</v>
      </c>
      <c r="DH54" s="1267">
        <f>1000000*'BEA int transactions'!I57</f>
        <v>325644000000</v>
      </c>
      <c r="DI54" s="1267">
        <f>1000000*'BEA int transactions'!J57</f>
        <v>161082000000</v>
      </c>
      <c r="DJ54" s="1267">
        <v>155761000000</v>
      </c>
      <c r="DK54" s="1267">
        <v>5322000000</v>
      </c>
      <c r="DL54" s="1267">
        <f>1000000*'BEA int transactions'!K57</f>
        <v>357352000000</v>
      </c>
      <c r="DM54" s="1267">
        <v>219303000000</v>
      </c>
      <c r="DN54" s="1267">
        <v>138049000000</v>
      </c>
      <c r="DO54" s="1267">
        <f>1000000*'BEA int transactions'!L57</f>
        <v>-192789000000</v>
      </c>
      <c r="DS54" s="1267">
        <v>483669000000</v>
      </c>
      <c r="DU54" s="1267">
        <v>119903000000</v>
      </c>
      <c r="DV54" s="1267">
        <v>88218000000</v>
      </c>
      <c r="DW54" s="1267">
        <v>59271000000</v>
      </c>
      <c r="DX54" s="1267">
        <v>28947000000</v>
      </c>
      <c r="DY54" s="1267">
        <v>31685000000</v>
      </c>
      <c r="DZ54" s="1267">
        <v>332495000000</v>
      </c>
      <c r="EA54" s="1267">
        <v>59744000000</v>
      </c>
      <c r="EB54" s="1267">
        <v>332495000000</v>
      </c>
      <c r="EC54" s="1267">
        <v>31271000000</v>
      </c>
      <c r="EF54" s="1279"/>
      <c r="EG54" s="1279">
        <f t="shared" si="17"/>
        <v>914094477519.5</v>
      </c>
      <c r="EH54" s="1279"/>
      <c r="EI54" s="1279">
        <f t="shared" si="18"/>
        <v>366308000000</v>
      </c>
      <c r="EJ54" s="1279">
        <f t="shared" si="18"/>
        <v>357632000000</v>
      </c>
      <c r="EK54" s="1279">
        <f t="shared" si="18"/>
        <v>8675000000</v>
      </c>
      <c r="EL54" s="1279">
        <f t="shared" si="18"/>
        <v>630009000000</v>
      </c>
      <c r="EM54" s="1279">
        <f t="shared" si="18"/>
        <v>565945000000</v>
      </c>
      <c r="EN54" s="1279">
        <f t="shared" si="18"/>
        <v>64064000000</v>
      </c>
      <c r="EO54" s="1279">
        <f t="shared" si="18"/>
        <v>-82224000000</v>
      </c>
      <c r="ER54" s="1267">
        <f>1000000*('Changes in position data'!AV58+'Changes in position data'!AW58)</f>
        <v>1070347000000</v>
      </c>
      <c r="ES54" s="1267">
        <f>1000000*('Changes in position data'!BA58)</f>
        <v>409229000000</v>
      </c>
      <c r="ET54" s="1267">
        <f>1000000*('Changes in position data'!BE58)</f>
        <v>409229000000</v>
      </c>
      <c r="EV54" s="1267">
        <f>1000000*('Changes in position data'!BN58+'Changes in position data'!BO58)</f>
        <v>638569000000</v>
      </c>
      <c r="EW54" s="1267">
        <f>1000000*('Changes in position data'!BR58)</f>
        <v>565946000000</v>
      </c>
      <c r="EX54" s="1267">
        <f>1000000*('Changes in position data'!BV58+'Changes in position data'!BW58)</f>
        <v>72623000000</v>
      </c>
      <c r="EY54" s="1267">
        <f>1000000*('Changes in position data'!CB58)</f>
        <v>22549000000</v>
      </c>
      <c r="FP54" s="1267">
        <f t="shared" si="19"/>
        <v>2.7715987656104852E-2</v>
      </c>
      <c r="FQ54" s="1267">
        <f t="shared" si="20"/>
        <v>3.8787994461769386E-2</v>
      </c>
      <c r="FR54" s="1267">
        <f t="shared" si="20"/>
        <v>4.4097799159013608E-2</v>
      </c>
      <c r="FS54" s="1267">
        <f>DY54/CY53</f>
        <v>2.9049299002871468E-2</v>
      </c>
      <c r="FT54" s="1267">
        <f t="shared" si="27"/>
        <v>3.5088587616148928E-2</v>
      </c>
      <c r="FU54" s="1267">
        <f t="shared" si="27"/>
        <v>2.8016823975243303E-2</v>
      </c>
      <c r="FV54" s="1267">
        <f t="shared" si="27"/>
        <v>4.5277826195897292E-2</v>
      </c>
      <c r="FW54" s="1267">
        <f t="shared" si="21"/>
        <v>6.4030189668269934E-3</v>
      </c>
      <c r="FZ54" s="1267">
        <f t="shared" si="36"/>
        <v>8.9050752215646317E-2</v>
      </c>
      <c r="GA54" s="1267">
        <f t="shared" si="37"/>
        <v>0.17117143929296982</v>
      </c>
      <c r="GB54" s="1267">
        <f t="shared" si="38"/>
        <v>0.45606711822885915</v>
      </c>
      <c r="GD54" s="1267">
        <f t="shared" si="39"/>
        <v>0.4553784339296944</v>
      </c>
      <c r="GE54" s="1267">
        <f t="shared" si="39"/>
        <v>8.5203937119388187E-2</v>
      </c>
      <c r="GF54" s="1267">
        <f t="shared" si="39"/>
        <v>8.2951560161268201E-2</v>
      </c>
      <c r="GG54" s="1267">
        <f t="shared" si="40"/>
        <v>1.1020129858163434E-2</v>
      </c>
      <c r="GJ54" s="1267">
        <f t="shared" si="3"/>
        <v>-2627626039653.6992</v>
      </c>
      <c r="GK54" s="1267">
        <f t="shared" si="4"/>
        <v>1326662000000</v>
      </c>
      <c r="GL54" s="1267">
        <f t="shared" si="4"/>
        <v>1583278000000</v>
      </c>
      <c r="GM54" s="1267">
        <f t="shared" si="4"/>
        <v>-256616000000</v>
      </c>
      <c r="GN54" s="1267">
        <f t="shared" si="5"/>
        <v>-4404680000000</v>
      </c>
      <c r="GO54" s="1267">
        <f t="shared" si="5"/>
        <v>1077614000000</v>
      </c>
      <c r="GP54" s="1267">
        <f t="shared" si="5"/>
        <v>-5482294000000</v>
      </c>
      <c r="GQ54" s="1267">
        <f t="shared" si="5"/>
        <v>-79747000000</v>
      </c>
      <c r="GV54" s="1267">
        <f t="shared" si="0"/>
        <v>129581000000</v>
      </c>
      <c r="GW54" s="1267">
        <f t="shared" si="1"/>
        <v>249269000000</v>
      </c>
      <c r="GX54" s="1267">
        <f t="shared" si="1"/>
        <v>266637000000</v>
      </c>
      <c r="GY54" s="1267">
        <f t="shared" si="1"/>
        <v>69291000000</v>
      </c>
      <c r="GZ54" s="1267">
        <f t="shared" si="1"/>
        <v>197346000000</v>
      </c>
      <c r="HA54" s="1267">
        <f t="shared" si="1"/>
        <v>-17368000000</v>
      </c>
      <c r="HB54" s="1267">
        <f t="shared" si="1"/>
        <v>-148078000000</v>
      </c>
      <c r="HC54" s="1267">
        <f t="shared" si="1"/>
        <v>48848000000</v>
      </c>
      <c r="HD54" s="1267">
        <f t="shared" ref="HD54:HD61" si="43">AM54-EB54</f>
        <v>-256670000000</v>
      </c>
      <c r="HE54" s="1267">
        <f t="shared" si="2"/>
        <v>21869000000</v>
      </c>
      <c r="HL54" s="1267">
        <f t="shared" si="22"/>
        <v>1.8407024391308629E-2</v>
      </c>
      <c r="HM54" s="1267">
        <f t="shared" si="22"/>
        <v>6.0794144240343871E-2</v>
      </c>
      <c r="HN54" s="1267">
        <f t="shared" si="22"/>
        <v>7.7089764170286457E-2</v>
      </c>
      <c r="HO54" s="1267">
        <f t="shared" si="22"/>
        <v>-1.1231391911248331E-2</v>
      </c>
      <c r="HP54" s="1267">
        <f t="shared" si="22"/>
        <v>7.5924411425192795E-3</v>
      </c>
      <c r="HQ54" s="1267">
        <f t="shared" si="22"/>
        <v>1.1493761712284261E-2</v>
      </c>
      <c r="HR54" s="1267">
        <f t="shared" si="22"/>
        <v>2.9449122959918153E-3</v>
      </c>
      <c r="HS54" s="1267">
        <f t="shared" si="23"/>
        <v>4.2800973669622922E-3</v>
      </c>
      <c r="HU54" s="1267">
        <v>1.0624101880823255E-2</v>
      </c>
      <c r="HV54" s="1267">
        <f t="shared" si="24"/>
        <v>1.2211860296859611E-4</v>
      </c>
      <c r="HW54" s="1267">
        <f t="shared" si="29"/>
        <v>-6.7208799419957166E-4</v>
      </c>
      <c r="ID54" s="1267">
        <f t="shared" si="41"/>
        <v>0.13472629414563347</v>
      </c>
      <c r="IE54" s="1267">
        <f t="shared" si="30"/>
        <v>0.17893622924815181</v>
      </c>
      <c r="IH54" s="1267">
        <f t="shared" si="42"/>
        <v>-9.7642319549527123E-2</v>
      </c>
      <c r="IK54" s="1267">
        <f t="shared" si="30"/>
        <v>2.5215342955383444E-3</v>
      </c>
    </row>
    <row r="55" spans="4:245">
      <c r="D55" s="1267" t="s">
        <v>2948</v>
      </c>
      <c r="F55" s="1267">
        <v>21767827000000</v>
      </c>
      <c r="G55" s="1267">
        <v>3652313000000</v>
      </c>
      <c r="H55" s="1267">
        <f t="shared" si="6"/>
        <v>18115514000000</v>
      </c>
      <c r="I55" s="1267">
        <v>5486391000000</v>
      </c>
      <c r="J55" s="1267">
        <v>4620850000000</v>
      </c>
      <c r="K55" s="1267">
        <v>865541000000</v>
      </c>
      <c r="L55" s="1267">
        <v>7160366000000</v>
      </c>
      <c r="M55" s="1267">
        <v>4900246000000</v>
      </c>
      <c r="N55" s="1267">
        <v>2260120000000</v>
      </c>
      <c r="O55" s="1267">
        <v>4980084000000</v>
      </c>
      <c r="P55" s="1267">
        <v>488673000000</v>
      </c>
      <c r="R55" s="1311"/>
      <c r="T55" s="1267">
        <f>'BEA int transactions'!D58*1000000</f>
        <v>958703000000</v>
      </c>
      <c r="U55" s="1267">
        <f>'BEA int transactions'!E58*1000000</f>
        <v>349829000000</v>
      </c>
      <c r="V55" s="1267">
        <v>338293000000</v>
      </c>
      <c r="W55" s="1267">
        <v>11535000000</v>
      </c>
      <c r="X55" s="1267">
        <f>1000000*'BEA int transactions'!F58</f>
        <v>199620000000</v>
      </c>
      <c r="Y55" s="1267">
        <v>79150000000</v>
      </c>
      <c r="Z55" s="1267">
        <v>120469000000</v>
      </c>
      <c r="AA55" s="1267">
        <f>1000000*'BEA int transactions'!G58</f>
        <v>407420000000</v>
      </c>
      <c r="AB55" s="1267">
        <f>1000000*'BEA int transactions'!H58</f>
        <v>1835000000</v>
      </c>
      <c r="AD55" s="1267">
        <v>680166000000</v>
      </c>
      <c r="AF55" s="1267">
        <v>443026000000</v>
      </c>
      <c r="AG55" s="1267">
        <v>430359000000</v>
      </c>
      <c r="AH55" s="1267">
        <v>132616000000</v>
      </c>
      <c r="AI55" s="1267">
        <v>297743000000</v>
      </c>
      <c r="AJ55" s="1267">
        <v>12667000000</v>
      </c>
      <c r="AK55" s="1267">
        <v>194852000000</v>
      </c>
      <c r="AL55" s="1267">
        <v>115377000000</v>
      </c>
      <c r="AM55" s="1267">
        <v>79475000000</v>
      </c>
      <c r="AN55" s="1267">
        <v>35659000000</v>
      </c>
      <c r="AO55" s="1267">
        <v>699000000</v>
      </c>
      <c r="AR55" s="1267">
        <f t="shared" si="7"/>
        <v>1220131000000</v>
      </c>
      <c r="AT55" s="1267">
        <f t="shared" si="8"/>
        <v>191270000000</v>
      </c>
      <c r="AU55" s="1267">
        <f t="shared" si="8"/>
        <v>185378000000</v>
      </c>
      <c r="AV55" s="1267">
        <f t="shared" si="8"/>
        <v>5893000000</v>
      </c>
      <c r="AW55" s="1267">
        <f t="shared" si="9"/>
        <v>902192000000</v>
      </c>
      <c r="AX55" s="1267">
        <f t="shared" si="9"/>
        <v>825801000000</v>
      </c>
      <c r="AY55" s="1267">
        <f t="shared" si="9"/>
        <v>76392000000</v>
      </c>
      <c r="AZ55" s="1267">
        <f t="shared" si="9"/>
        <v>43634000000</v>
      </c>
      <c r="BC55" s="1267">
        <f>1000000*('Changes in position data'!E59+'Changes in position data'!F59)</f>
        <v>868491000000</v>
      </c>
      <c r="BD55" s="1267">
        <f>1000000*('Changes in position data'!J59+'Changes in position data'!K59)</f>
        <v>183522000000</v>
      </c>
      <c r="BE55" s="1267">
        <f>1000000*('Changes in position data'!N59+'Changes in position data'!O59)</f>
        <v>183522000000</v>
      </c>
      <c r="BF55" s="1267">
        <f>0</f>
        <v>0</v>
      </c>
      <c r="BG55" s="1267">
        <f>1000000*('Changes in position data'!W59+'Changes in position data'!X59)</f>
        <v>612608000000</v>
      </c>
      <c r="BH55" s="1267">
        <f>1000000*('Changes in position data'!AA59+'Changes in position data'!AB59)</f>
        <v>569954000000</v>
      </c>
      <c r="BI55" s="1267">
        <f>1000000*('Changes in position data'!AE59+'Changes in position data'!AF59)</f>
        <v>42654000000</v>
      </c>
      <c r="BJ55" s="1267">
        <f>1000000*('Changes in position data'!AK59)</f>
        <v>-10673000000</v>
      </c>
      <c r="BK55" s="1267">
        <f>1000000*('Changes in position data'!AO59+'Changes in position data'!AP59)</f>
        <v>83034000000</v>
      </c>
      <c r="BN55" s="1267">
        <f t="shared" si="31"/>
        <v>876239000000</v>
      </c>
      <c r="BO55" s="1267">
        <f>1000000*('Changes in position data'!J59+'Changes in position data'!K59+'Changes in position data'!L59)</f>
        <v>191270000000</v>
      </c>
      <c r="BP55" s="1267">
        <f>1000000*('Changes in position data'!N59+'Changes in position data'!O59+'Changes in position data'!P59)</f>
        <v>185377000000</v>
      </c>
      <c r="BQ55" s="1267">
        <f>1000000*('Changes in position data'!Q59)</f>
        <v>5893000000</v>
      </c>
      <c r="BR55" s="1267">
        <v>612608000000</v>
      </c>
      <c r="BS55" s="1267">
        <v>569954000000</v>
      </c>
      <c r="BT55" s="1267">
        <v>42654000000</v>
      </c>
      <c r="BU55" s="1267">
        <v>-10673000000</v>
      </c>
      <c r="BV55" s="1267">
        <v>83034000000</v>
      </c>
      <c r="BX55" s="1267">
        <f t="shared" si="10"/>
        <v>3.5012350938480347E-2</v>
      </c>
      <c r="BY55" s="1267">
        <f t="shared" si="11"/>
        <v>4.2679278243649241E-2</v>
      </c>
      <c r="BZ55" s="1267">
        <f t="shared" si="16"/>
        <v>8.9585407696855912E-2</v>
      </c>
      <c r="CA55" s="1267">
        <f t="shared" si="16"/>
        <v>0.10503788094198471</v>
      </c>
      <c r="CB55" s="1267">
        <f t="shared" si="25"/>
        <v>1.7317247138058069E-2</v>
      </c>
      <c r="CC55" s="1267">
        <f t="shared" si="26"/>
        <v>3.2161469551975602E-2</v>
      </c>
      <c r="CD55" s="1267">
        <f t="shared" si="26"/>
        <v>2.887821800392712E-2</v>
      </c>
      <c r="CE55" s="1267">
        <f t="shared" si="26"/>
        <v>3.8519158283085157E-2</v>
      </c>
      <c r="CF55" s="1267">
        <f t="shared" si="12"/>
        <v>7.87342985142514E-3</v>
      </c>
      <c r="CI55" s="1267">
        <f t="shared" si="32"/>
        <v>9.7175635075812533E-2</v>
      </c>
      <c r="CJ55" s="1267">
        <f t="shared" si="33"/>
        <v>0.12669585537112873</v>
      </c>
      <c r="CK55" s="1267">
        <f t="shared" si="33"/>
        <v>0.14983016363209906</v>
      </c>
      <c r="CL55" s="1267">
        <f t="shared" si="34"/>
        <v>1.4935509772872247E-2</v>
      </c>
      <c r="CM55" s="1267">
        <f t="shared" si="35"/>
        <v>0.13327602592961951</v>
      </c>
      <c r="CN55" s="1267">
        <f t="shared" si="35"/>
        <v>0.17153451747618137</v>
      </c>
      <c r="CO55" s="1267">
        <f t="shared" si="35"/>
        <v>5.9192277847812613E-2</v>
      </c>
      <c r="CP55" s="1267">
        <f t="shared" si="35"/>
        <v>5.516854602420386E-3</v>
      </c>
      <c r="CT55" s="1267">
        <v>24279615207922.398</v>
      </c>
      <c r="CU55" s="1267">
        <v>3541931000000</v>
      </c>
      <c r="CV55" s="1267">
        <f t="shared" si="13"/>
        <v>20737684207922.398</v>
      </c>
      <c r="CW55" s="1267">
        <v>4099097000000</v>
      </c>
      <c r="CX55" s="1267">
        <v>2927753000000</v>
      </c>
      <c r="CY55" s="1267">
        <v>1171344000000</v>
      </c>
      <c r="CZ55" s="1267">
        <v>11869262000000</v>
      </c>
      <c r="DA55" s="1267">
        <v>3545769000000</v>
      </c>
      <c r="DB55" s="1267">
        <v>8323493000000</v>
      </c>
      <c r="DC55" s="1267">
        <v>4769325000000</v>
      </c>
      <c r="DH55" s="1267">
        <f>1000000*'BEA int transactions'!I58</f>
        <v>1391039000000</v>
      </c>
      <c r="DI55" s="1267">
        <f>1000000*'BEA int transactions'!J58</f>
        <v>264039000000</v>
      </c>
      <c r="DJ55" s="1267">
        <v>207843000000</v>
      </c>
      <c r="DK55" s="1267">
        <v>56196000000</v>
      </c>
      <c r="DL55" s="1267">
        <f>1000000*'BEA int transactions'!K58</f>
        <v>820434000000</v>
      </c>
      <c r="DM55" s="1267">
        <v>178953000000</v>
      </c>
      <c r="DN55" s="1267">
        <v>641481000000</v>
      </c>
      <c r="DO55" s="1267">
        <f>1000000*'BEA int transactions'!L58</f>
        <v>306566000000</v>
      </c>
      <c r="DS55" s="1267">
        <v>497985000000</v>
      </c>
      <c r="DU55" s="1267">
        <v>164451000000</v>
      </c>
      <c r="DV55" s="1267">
        <v>133917000000</v>
      </c>
      <c r="DW55" s="1267">
        <v>66549000000</v>
      </c>
      <c r="DX55" s="1267">
        <v>67368000000</v>
      </c>
      <c r="DY55" s="1267">
        <v>30534000000</v>
      </c>
      <c r="DZ55" s="1267">
        <v>313525000000</v>
      </c>
      <c r="EA55" s="1267">
        <v>60027000000</v>
      </c>
      <c r="EB55" s="1267">
        <v>313525000000</v>
      </c>
      <c r="EC55" s="1267">
        <v>20009000000</v>
      </c>
      <c r="EF55" s="1279"/>
      <c r="EG55" s="1279">
        <f t="shared" si="17"/>
        <v>656004168268.69922</v>
      </c>
      <c r="EH55" s="1279"/>
      <c r="EI55" s="1279">
        <f t="shared" si="18"/>
        <v>216428000000</v>
      </c>
      <c r="EJ55" s="1279">
        <f t="shared" si="18"/>
        <v>206009000000</v>
      </c>
      <c r="EK55" s="1279">
        <f t="shared" si="18"/>
        <v>10419000000</v>
      </c>
      <c r="EL55" s="1279">
        <f t="shared" si="18"/>
        <v>585594000000</v>
      </c>
      <c r="EM55" s="1279">
        <f t="shared" si="18"/>
        <v>449135000000</v>
      </c>
      <c r="EN55" s="1279">
        <f t="shared" si="18"/>
        <v>136459000000</v>
      </c>
      <c r="EO55" s="1279">
        <f t="shared" si="18"/>
        <v>-146018000000</v>
      </c>
      <c r="ER55" s="1267">
        <f>1000000*('Changes in position data'!AV59+'Changes in position data'!AW59)</f>
        <v>810855000000</v>
      </c>
      <c r="ES55" s="1267">
        <f>1000000*('Changes in position data'!BA59)</f>
        <v>217550000000</v>
      </c>
      <c r="ET55" s="1267">
        <f>1000000*('Changes in position data'!BE59)</f>
        <v>217550000000</v>
      </c>
      <c r="EV55" s="1267">
        <f>1000000*('Changes in position data'!BN59+'Changes in position data'!BO59)</f>
        <v>596732000000</v>
      </c>
      <c r="EW55" s="1267">
        <f>1000000*('Changes in position data'!BR59)</f>
        <v>449136000000</v>
      </c>
      <c r="EX55" s="1267">
        <f>1000000*('Changes in position data'!BV59+'Changes in position data'!BW59)</f>
        <v>147596000000</v>
      </c>
      <c r="EY55" s="1267">
        <f>1000000*('Changes in position data'!CB59)</f>
        <v>-3427000000</v>
      </c>
      <c r="FP55" s="1267">
        <f t="shared" si="19"/>
        <v>2.6643548444565637E-2</v>
      </c>
      <c r="FQ55" s="1267">
        <f t="shared" si="20"/>
        <v>4.5445652083799672E-2</v>
      </c>
      <c r="FR55" s="1267">
        <f t="shared" si="20"/>
        <v>5.3270594188076621E-2</v>
      </c>
      <c r="FS55" s="1267">
        <f t="shared" si="27"/>
        <v>2.7639357706731697E-2</v>
      </c>
      <c r="FT55" s="1267">
        <f t="shared" si="27"/>
        <v>2.9964445027225808E-2</v>
      </c>
      <c r="FU55" s="1267">
        <f t="shared" si="27"/>
        <v>2.0573530828078876E-2</v>
      </c>
      <c r="FV55" s="1267">
        <f t="shared" si="27"/>
        <v>4.1550963859110127E-2</v>
      </c>
      <c r="FW55" s="1267">
        <f t="shared" si="21"/>
        <v>4.3414988401478307E-3</v>
      </c>
      <c r="FZ55" s="1267">
        <f t="shared" si="36"/>
        <v>7.0026490649688827E-2</v>
      </c>
      <c r="GA55" s="1267">
        <f t="shared" si="37"/>
        <v>0.10556508955046523</v>
      </c>
      <c r="GB55" s="1267">
        <f t="shared" si="38"/>
        <v>0.3181477086235629</v>
      </c>
      <c r="GD55" s="1267">
        <f>(EV55+DZ55)/DA54</f>
        <v>0.31197961668873325</v>
      </c>
      <c r="GE55" s="1267">
        <f t="shared" si="39"/>
        <v>6.7478553261768881E-2</v>
      </c>
      <c r="GF55" s="1267">
        <f t="shared" si="39"/>
        <v>0.10005279057763046</v>
      </c>
      <c r="GG55" s="1267">
        <f t="shared" si="40"/>
        <v>3.5979176254351207E-3</v>
      </c>
      <c r="GJ55" s="1267">
        <f t="shared" si="3"/>
        <v>-2511788207922.3984</v>
      </c>
      <c r="GK55" s="1267">
        <f t="shared" si="4"/>
        <v>1387294000000</v>
      </c>
      <c r="GL55" s="1267">
        <f t="shared" si="4"/>
        <v>1693097000000</v>
      </c>
      <c r="GM55" s="1267">
        <f t="shared" si="4"/>
        <v>-305803000000</v>
      </c>
      <c r="GN55" s="1267">
        <f t="shared" si="5"/>
        <v>-4708896000000</v>
      </c>
      <c r="GO55" s="1267">
        <f t="shared" si="5"/>
        <v>1354477000000</v>
      </c>
      <c r="GP55" s="1267">
        <f t="shared" si="5"/>
        <v>-6063373000000</v>
      </c>
      <c r="GQ55" s="1267">
        <f t="shared" si="5"/>
        <v>210759000000</v>
      </c>
      <c r="GV55" s="1267">
        <f t="shared" si="0"/>
        <v>182181000000</v>
      </c>
      <c r="GW55" s="1267">
        <f t="shared" ref="GW55:HC61" si="44">AF55-DU55</f>
        <v>278575000000</v>
      </c>
      <c r="GX55" s="1267">
        <f t="shared" si="44"/>
        <v>296442000000</v>
      </c>
      <c r="GY55" s="1267">
        <f t="shared" si="44"/>
        <v>66067000000</v>
      </c>
      <c r="GZ55" s="1267">
        <f t="shared" si="44"/>
        <v>230375000000</v>
      </c>
      <c r="HA55" s="1267">
        <f t="shared" si="44"/>
        <v>-17867000000</v>
      </c>
      <c r="HB55" s="1267">
        <f t="shared" si="44"/>
        <v>-118673000000</v>
      </c>
      <c r="HC55" s="1267">
        <f t="shared" si="44"/>
        <v>55350000000</v>
      </c>
      <c r="HD55" s="1267">
        <f t="shared" si="43"/>
        <v>-234050000000</v>
      </c>
      <c r="HE55" s="1267">
        <f t="shared" si="2"/>
        <v>15650000000</v>
      </c>
      <c r="HL55" s="1267">
        <f t="shared" si="22"/>
        <v>1.6035729799083603E-2</v>
      </c>
      <c r="HM55" s="1267">
        <f t="shared" si="22"/>
        <v>4.413975561305624E-2</v>
      </c>
      <c r="HN55" s="1267">
        <f t="shared" si="22"/>
        <v>5.1767286753908091E-2</v>
      </c>
      <c r="HO55" s="1267">
        <f t="shared" si="22"/>
        <v>-1.0322110568673628E-2</v>
      </c>
      <c r="HP55" s="1267">
        <f t="shared" si="22"/>
        <v>2.1970245247497945E-3</v>
      </c>
      <c r="HQ55" s="1267">
        <f t="shared" si="22"/>
        <v>8.3046871758482438E-3</v>
      </c>
      <c r="HR55" s="1267">
        <f t="shared" si="22"/>
        <v>-3.0318055760249693E-3</v>
      </c>
      <c r="HS55" s="1267">
        <f t="shared" si="23"/>
        <v>3.5319310112773093E-3</v>
      </c>
      <c r="HU55" s="1267">
        <v>1.212692663893325E-2</v>
      </c>
      <c r="HV55" s="1267">
        <f t="shared" si="24"/>
        <v>-5.5428963291489011E-4</v>
      </c>
      <c r="HW55" s="1267">
        <f t="shared" si="29"/>
        <v>-1.4061935103367035E-3</v>
      </c>
      <c r="ID55" s="1267">
        <f t="shared" si="41"/>
        <v>2.7149144426123706E-2</v>
      </c>
      <c r="IE55" s="1267">
        <f t="shared" si="30"/>
        <v>2.1130765820663505E-2</v>
      </c>
      <c r="IH55" s="1267">
        <f>CM55-GD55</f>
        <v>-0.17870359075911374</v>
      </c>
      <c r="IK55" s="1267">
        <f t="shared" si="30"/>
        <v>1.9189369769852653E-3</v>
      </c>
    </row>
    <row r="56" spans="4:245">
      <c r="D56" s="1267" t="s">
        <v>2949</v>
      </c>
      <c r="F56" s="1267">
        <v>22208896000000</v>
      </c>
      <c r="G56" s="1267">
        <v>4716578000000</v>
      </c>
      <c r="H56" s="1267">
        <f t="shared" si="6"/>
        <v>17492318000000</v>
      </c>
      <c r="I56" s="1267">
        <v>5214826000000</v>
      </c>
      <c r="J56" s="1267">
        <v>4320052000000</v>
      </c>
      <c r="K56" s="1267">
        <v>894774000000</v>
      </c>
      <c r="L56" s="1267">
        <v>6871732000000</v>
      </c>
      <c r="M56" s="1267">
        <v>4501438000000</v>
      </c>
      <c r="N56" s="1267">
        <v>2370294000000</v>
      </c>
      <c r="O56" s="1267">
        <v>4868723000000</v>
      </c>
      <c r="P56" s="1267">
        <v>537037000000</v>
      </c>
      <c r="R56" s="1311"/>
      <c r="T56" s="1267">
        <f>'BEA int transactions'!D59*1000000</f>
        <v>492530000000</v>
      </c>
      <c r="U56" s="1267">
        <f>'BEA int transactions'!E59*1000000</f>
        <v>436615000000</v>
      </c>
      <c r="V56" s="1267">
        <v>397744000000</v>
      </c>
      <c r="W56" s="1267">
        <v>38872000000</v>
      </c>
      <c r="X56" s="1267">
        <f>1000000*'BEA int transactions'!F59</f>
        <v>85365000000</v>
      </c>
      <c r="Y56" s="1267">
        <v>6950000000</v>
      </c>
      <c r="Z56" s="1267">
        <v>78413000000</v>
      </c>
      <c r="AA56" s="1267">
        <f>1000000*'BEA int transactions'!G59</f>
        <v>-45327000000</v>
      </c>
      <c r="AB56" s="1267">
        <f>1000000*'BEA int transactions'!H59</f>
        <v>15877000000</v>
      </c>
      <c r="AD56" s="1267">
        <v>755938000000</v>
      </c>
      <c r="AF56" s="1267">
        <v>473626000000</v>
      </c>
      <c r="AG56" s="1267">
        <v>459739000000</v>
      </c>
      <c r="AH56" s="1267">
        <v>151122000000</v>
      </c>
      <c r="AI56" s="1267">
        <v>308617000000</v>
      </c>
      <c r="AJ56" s="1267">
        <v>13887000000</v>
      </c>
      <c r="AK56" s="1267">
        <v>237344000000</v>
      </c>
      <c r="AL56" s="1267">
        <v>147475000000</v>
      </c>
      <c r="AM56" s="1267">
        <v>89869000000</v>
      </c>
      <c r="AN56" s="1267">
        <v>38018000000</v>
      </c>
      <c r="AO56" s="1267">
        <v>846000000</v>
      </c>
      <c r="AR56" s="1267">
        <f t="shared" si="7"/>
        <v>-1115726000000</v>
      </c>
      <c r="AT56" s="1267">
        <f t="shared" si="8"/>
        <v>-708180000000</v>
      </c>
      <c r="AU56" s="1267">
        <f t="shared" si="8"/>
        <v>-698542000000</v>
      </c>
      <c r="AV56" s="1267">
        <f t="shared" si="8"/>
        <v>-9639000000</v>
      </c>
      <c r="AW56" s="1267">
        <f t="shared" si="9"/>
        <v>-373999000000</v>
      </c>
      <c r="AX56" s="1267">
        <f t="shared" si="9"/>
        <v>-405758000000</v>
      </c>
      <c r="AY56" s="1267">
        <f t="shared" si="9"/>
        <v>31761000000</v>
      </c>
      <c r="AZ56" s="1267">
        <f t="shared" si="9"/>
        <v>-66034000000</v>
      </c>
      <c r="BC56" s="1267">
        <f>1000000*('Changes in position data'!E60+'Changes in position data'!F60)</f>
        <v>-1284385000000</v>
      </c>
      <c r="BD56" s="1267">
        <f>1000000*('Changes in position data'!J60+'Changes in position data'!K60)</f>
        <v>-686054000000</v>
      </c>
      <c r="BE56" s="1267">
        <f>1000000*('Changes in position data'!N60+'Changes in position data'!O60)</f>
        <v>-686054000000</v>
      </c>
      <c r="BF56" s="1267">
        <f>0</f>
        <v>0</v>
      </c>
      <c r="BG56" s="1267">
        <f>1000000*('Changes in position data'!W60+'Changes in position data'!X60)</f>
        <v>-624742000000</v>
      </c>
      <c r="BH56" s="1267">
        <f>1000000*('Changes in position data'!AA60+'Changes in position data'!AB60)</f>
        <v>-647270000000</v>
      </c>
      <c r="BI56" s="1267">
        <f>1000000*('Changes in position data'!AE60+'Changes in position data'!AF60)</f>
        <v>22528000000</v>
      </c>
      <c r="BJ56" s="1267">
        <f>1000000*('Changes in position data'!AK60)</f>
        <v>-6076000000</v>
      </c>
      <c r="BK56" s="1267">
        <f>1000000*('Changes in position data'!AO60+'Changes in position data'!AP60)</f>
        <v>32487000000</v>
      </c>
      <c r="BN56" s="1267">
        <f t="shared" si="31"/>
        <v>-1306511000000</v>
      </c>
      <c r="BO56" s="1267">
        <f>1000000*('Changes in position data'!J60+'Changes in position data'!K60+'Changes in position data'!L60)</f>
        <v>-708180000000</v>
      </c>
      <c r="BP56" s="1267">
        <f>1000000*('Changes in position data'!N60+'Changes in position data'!O60+'Changes in position data'!P60)</f>
        <v>-698541000000</v>
      </c>
      <c r="BQ56" s="1267">
        <f>1000000*('Changes in position data'!Q60)</f>
        <v>-9639000000</v>
      </c>
      <c r="BR56" s="1267">
        <v>-624742000000</v>
      </c>
      <c r="BS56" s="1267">
        <v>-647270000000</v>
      </c>
      <c r="BT56" s="1267">
        <v>22528000000</v>
      </c>
      <c r="BU56" s="1267">
        <v>-6076000000</v>
      </c>
      <c r="BV56" s="1267">
        <v>32487000000</v>
      </c>
      <c r="BX56" s="1267">
        <f t="shared" si="10"/>
        <v>3.4727306496877247E-2</v>
      </c>
      <c r="BY56" s="1267">
        <f t="shared" si="11"/>
        <v>4.1728763533841765E-2</v>
      </c>
      <c r="BZ56" s="1267">
        <f t="shared" si="16"/>
        <v>8.6327423619643587E-2</v>
      </c>
      <c r="CA56" s="1267">
        <f t="shared" si="16"/>
        <v>9.9492301199995678E-2</v>
      </c>
      <c r="CB56" s="1267">
        <f t="shared" si="25"/>
        <v>1.8038165483782342E-2</v>
      </c>
      <c r="CC56" s="1267">
        <f t="shared" si="26"/>
        <v>3.3146908970854282E-2</v>
      </c>
      <c r="CD56" s="1267">
        <f t="shared" si="26"/>
        <v>3.009542786219304E-2</v>
      </c>
      <c r="CE56" s="1267">
        <f t="shared" si="26"/>
        <v>3.9762932941613718E-2</v>
      </c>
      <c r="CF56" s="1267">
        <f t="shared" si="12"/>
        <v>7.6340077797884534E-3</v>
      </c>
      <c r="CI56" s="1267">
        <f t="shared" si="32"/>
        <v>-2.9170963628191836E-2</v>
      </c>
      <c r="CJ56" s="1267">
        <f t="shared" si="33"/>
        <v>-3.8719077805428014E-2</v>
      </c>
      <c r="CK56" s="1267">
        <f t="shared" si="33"/>
        <v>-4.8976919830767067E-2</v>
      </c>
      <c r="CL56" s="1267">
        <f t="shared" si="34"/>
        <v>1.6044300616608571E-2</v>
      </c>
      <c r="CM56" s="1267">
        <f t="shared" si="35"/>
        <v>-5.4103100316380479E-2</v>
      </c>
      <c r="CN56" s="1267">
        <f t="shared" si="35"/>
        <v>-0.10199385908380926</v>
      </c>
      <c r="CO56" s="1267">
        <f t="shared" si="35"/>
        <v>4.9730545280781552E-2</v>
      </c>
      <c r="CP56" s="1267">
        <f t="shared" si="35"/>
        <v>6.413948037824262E-3</v>
      </c>
      <c r="CT56" s="1267">
        <v>26663893105281.801</v>
      </c>
      <c r="CU56" s="1267">
        <v>4630539000000</v>
      </c>
      <c r="CV56" s="1267">
        <f t="shared" si="13"/>
        <v>22033354105281.801</v>
      </c>
      <c r="CW56" s="1267">
        <v>4199225000000</v>
      </c>
      <c r="CX56" s="1267">
        <v>2968362000000</v>
      </c>
      <c r="CY56" s="1267">
        <v>1230863000000</v>
      </c>
      <c r="CZ56" s="1267">
        <v>12647243000000</v>
      </c>
      <c r="DA56" s="1267">
        <v>3841901000000</v>
      </c>
      <c r="DB56" s="1267">
        <v>8805342000000</v>
      </c>
      <c r="DC56" s="1267">
        <v>5186886000000</v>
      </c>
      <c r="DH56" s="1267">
        <f>1000000*'BEA int transactions'!I59</f>
        <v>983160000000</v>
      </c>
      <c r="DI56" s="1267">
        <f>1000000*'BEA int transactions'!J59</f>
        <v>263499000000</v>
      </c>
      <c r="DJ56" s="1267">
        <v>191137000000</v>
      </c>
      <c r="DK56" s="1267">
        <v>72360000000</v>
      </c>
      <c r="DL56" s="1267">
        <f>1000000*'BEA int transactions'!K59</f>
        <v>311626000000</v>
      </c>
      <c r="DM56" s="1267">
        <v>123357000000</v>
      </c>
      <c r="DN56" s="1267">
        <v>188269000000</v>
      </c>
      <c r="DO56" s="1267">
        <f>1000000*'BEA int transactions'!L59</f>
        <v>408036000000</v>
      </c>
      <c r="DS56" s="1267">
        <v>530671000000</v>
      </c>
      <c r="DU56" s="1267">
        <v>184948000000</v>
      </c>
      <c r="DV56" s="1267">
        <v>153825000000</v>
      </c>
      <c r="DW56" s="1267">
        <v>69149000000</v>
      </c>
      <c r="DX56" s="1267">
        <v>84676000000</v>
      </c>
      <c r="DY56" s="1267">
        <v>31123000000</v>
      </c>
      <c r="DZ56" s="1267">
        <v>324946000000</v>
      </c>
      <c r="EA56" s="1267">
        <v>74535000000</v>
      </c>
      <c r="EB56" s="1267">
        <v>324946000000</v>
      </c>
      <c r="EC56" s="1267">
        <v>20777000000</v>
      </c>
      <c r="EF56" s="1279"/>
      <c r="EG56" s="1279">
        <f t="shared" si="17"/>
        <v>312509897359.40234</v>
      </c>
      <c r="EH56" s="1279"/>
      <c r="EI56" s="1279">
        <f t="shared" si="18"/>
        <v>-163371000000</v>
      </c>
      <c r="EJ56" s="1279">
        <f t="shared" si="18"/>
        <v>-150528000000</v>
      </c>
      <c r="EK56" s="1279">
        <f t="shared" si="18"/>
        <v>-12841000000</v>
      </c>
      <c r="EL56" s="1279">
        <f t="shared" si="18"/>
        <v>466355000000</v>
      </c>
      <c r="EM56" s="1279">
        <f t="shared" si="18"/>
        <v>172775000000</v>
      </c>
      <c r="EN56" s="1279">
        <f t="shared" si="18"/>
        <v>293580000000</v>
      </c>
      <c r="EO56" s="1279">
        <f t="shared" si="18"/>
        <v>9525000000</v>
      </c>
      <c r="ER56" s="1267">
        <f>1000000*('Changes in position data'!AV60+'Changes in position data'!AW60)</f>
        <v>12486000000</v>
      </c>
      <c r="ES56" s="1267">
        <f>1000000*('Changes in position data'!BA60)</f>
        <v>-143326000000</v>
      </c>
      <c r="ET56" s="1267">
        <f>1000000*('Changes in position data'!BE60)</f>
        <v>-143326000000</v>
      </c>
      <c r="EV56" s="1267">
        <f>1000000*('Changes in position data'!BN60+'Changes in position data'!BO60)</f>
        <v>159625000000</v>
      </c>
      <c r="EW56" s="1267">
        <f>1000000*('Changes in position data'!BR60)</f>
        <v>-65079000000</v>
      </c>
      <c r="EX56" s="1267">
        <f>1000000*('Changes in position data'!BV60+'Changes in position data'!BW60)</f>
        <v>224704000000</v>
      </c>
      <c r="EY56" s="1267">
        <f>1000000*('Changes in position data'!CB60)</f>
        <v>-3813000000</v>
      </c>
      <c r="FP56" s="1267">
        <f t="shared" si="19"/>
        <v>2.5589694330347083E-2</v>
      </c>
      <c r="FQ56" s="1267">
        <f t="shared" si="20"/>
        <v>4.5119205522582168E-2</v>
      </c>
      <c r="FR56" s="1267">
        <f t="shared" si="20"/>
        <v>5.2540292845742111E-2</v>
      </c>
      <c r="FS56" s="1267">
        <f t="shared" si="27"/>
        <v>2.6570332882569082E-2</v>
      </c>
      <c r="FT56" s="1267">
        <f t="shared" si="27"/>
        <v>2.7377102300041905E-2</v>
      </c>
      <c r="FU56" s="1267">
        <f t="shared" si="27"/>
        <v>2.1020827921954307E-2</v>
      </c>
      <c r="FV56" s="1267">
        <f t="shared" si="27"/>
        <v>3.9039619544342742E-2</v>
      </c>
      <c r="FW56" s="1267">
        <f t="shared" si="21"/>
        <v>4.3563816682654251E-3</v>
      </c>
      <c r="FZ56" s="1267">
        <f t="shared" si="36"/>
        <v>2.6191786631242955E-2</v>
      </c>
      <c r="GA56" s="1267">
        <f t="shared" si="37"/>
        <v>1.015394366125027E-2</v>
      </c>
      <c r="GB56" s="1267">
        <f t="shared" si="38"/>
        <v>8.9632080755098417E-3</v>
      </c>
      <c r="GD56" s="1267">
        <f t="shared" si="39"/>
        <v>0.13666175094880686</v>
      </c>
      <c r="GE56" s="1267">
        <f t="shared" si="39"/>
        <v>1.1360615068697721E-3</v>
      </c>
      <c r="GF56" s="1267">
        <f t="shared" si="39"/>
        <v>0.11524691649237576</v>
      </c>
      <c r="GG56" s="1267">
        <f t="shared" si="40"/>
        <v>3.5568974645259024E-3</v>
      </c>
      <c r="GJ56" s="1267">
        <f t="shared" si="3"/>
        <v>-4454997105281.8008</v>
      </c>
      <c r="GK56" s="1267">
        <f t="shared" si="4"/>
        <v>1015601000000</v>
      </c>
      <c r="GL56" s="1267">
        <f t="shared" si="4"/>
        <v>1351690000000</v>
      </c>
      <c r="GM56" s="1267">
        <f t="shared" si="4"/>
        <v>-336089000000</v>
      </c>
      <c r="GN56" s="1267">
        <f t="shared" si="5"/>
        <v>-5775511000000</v>
      </c>
      <c r="GO56" s="1267">
        <f t="shared" si="5"/>
        <v>659537000000</v>
      </c>
      <c r="GP56" s="1267">
        <f t="shared" si="5"/>
        <v>-6435048000000</v>
      </c>
      <c r="GQ56" s="1267">
        <f t="shared" si="5"/>
        <v>-318163000000</v>
      </c>
      <c r="GV56" s="1267">
        <f t="shared" si="0"/>
        <v>225267000000</v>
      </c>
      <c r="GW56" s="1267">
        <f t="shared" si="44"/>
        <v>288678000000</v>
      </c>
      <c r="GX56" s="1267">
        <f t="shared" si="44"/>
        <v>305914000000</v>
      </c>
      <c r="GY56" s="1267">
        <f t="shared" si="44"/>
        <v>81973000000</v>
      </c>
      <c r="GZ56" s="1267">
        <f t="shared" si="44"/>
        <v>223941000000</v>
      </c>
      <c r="HA56" s="1267">
        <f t="shared" si="44"/>
        <v>-17236000000</v>
      </c>
      <c r="HB56" s="1267">
        <f t="shared" si="44"/>
        <v>-87602000000</v>
      </c>
      <c r="HC56" s="1267">
        <f t="shared" si="44"/>
        <v>72940000000</v>
      </c>
      <c r="HD56" s="1267">
        <f t="shared" si="43"/>
        <v>-235077000000</v>
      </c>
      <c r="HE56" s="1267">
        <f t="shared" si="2"/>
        <v>17241000000</v>
      </c>
      <c r="HL56" s="1267">
        <f t="shared" si="22"/>
        <v>1.6139069203494682E-2</v>
      </c>
      <c r="HM56" s="1267">
        <f t="shared" si="22"/>
        <v>4.1208218097061419E-2</v>
      </c>
      <c r="HN56" s="1267">
        <f t="shared" si="22"/>
        <v>4.6952008354253567E-2</v>
      </c>
      <c r="HO56" s="1267">
        <f t="shared" si="22"/>
        <v>-8.53216739878674E-3</v>
      </c>
      <c r="HP56" s="1267">
        <f t="shared" si="22"/>
        <v>5.7698066708123767E-3</v>
      </c>
      <c r="HQ56" s="1267">
        <f t="shared" si="22"/>
        <v>9.0745999402387333E-3</v>
      </c>
      <c r="HR56" s="1267">
        <f t="shared" si="22"/>
        <v>7.2331339727097627E-4</v>
      </c>
      <c r="HS56" s="1267">
        <f t="shared" si="23"/>
        <v>3.2776261115230283E-3</v>
      </c>
      <c r="HU56" s="1267">
        <v>1.259024459852149E-2</v>
      </c>
      <c r="HV56" s="1267">
        <f t="shared" si="24"/>
        <v>1.5756595273763857E-3</v>
      </c>
      <c r="HW56" s="1267">
        <f t="shared" si="29"/>
        <v>7.9002423441229541E-4</v>
      </c>
      <c r="ID56" s="1267">
        <f t="shared" si="41"/>
        <v>-5.5362750259434795E-2</v>
      </c>
      <c r="IE56" s="1267">
        <f t="shared" si="30"/>
        <v>-4.8873021466678282E-2</v>
      </c>
      <c r="IH56" s="1267">
        <f t="shared" si="42"/>
        <v>-0.19076485126518733</v>
      </c>
      <c r="IK56" s="1267">
        <f t="shared" si="30"/>
        <v>2.8570505732983596E-3</v>
      </c>
    </row>
    <row r="57" spans="4:245">
      <c r="D57" s="1267" t="s">
        <v>2950</v>
      </c>
      <c r="F57" s="1267">
        <v>22562162000000</v>
      </c>
      <c r="G57" s="1267">
        <v>3619761000000</v>
      </c>
      <c r="H57" s="1267">
        <f t="shared" si="6"/>
        <v>18942401000000</v>
      </c>
      <c r="I57" s="1267">
        <v>5969502000000</v>
      </c>
      <c r="J57" s="1267">
        <v>4983895000000</v>
      </c>
      <c r="K57" s="1267">
        <v>985607000000</v>
      </c>
      <c r="L57" s="1267">
        <v>7983961000000</v>
      </c>
      <c r="M57" s="1267">
        <v>5321857000000</v>
      </c>
      <c r="N57" s="1267">
        <v>2662104000000</v>
      </c>
      <c r="O57" s="1267">
        <v>4416570000000</v>
      </c>
      <c r="P57" s="1267">
        <v>572368000000</v>
      </c>
      <c r="R57" s="1311"/>
      <c r="T57" s="1267">
        <f>'BEA int transactions'!D60*1000000</f>
        <v>176764000000</v>
      </c>
      <c r="U57" s="1267">
        <f>'BEA int transactions'!E60*1000000</f>
        <v>377239000000</v>
      </c>
      <c r="V57" s="1267">
        <v>321228000000</v>
      </c>
      <c r="W57" s="1267">
        <v>56012000000</v>
      </c>
      <c r="X57" s="1267">
        <f>1000000*'BEA int transactions'!F60</f>
        <v>248760000000</v>
      </c>
      <c r="Y57" s="1267">
        <v>103973000000</v>
      </c>
      <c r="Z57" s="1267">
        <v>144789000000</v>
      </c>
      <c r="AA57" s="1267">
        <f>1000000*'BEA int transactions'!G60</f>
        <v>-453695000000</v>
      </c>
      <c r="AB57" s="1267">
        <f>1000000*'BEA int transactions'!H60</f>
        <v>4460000000</v>
      </c>
      <c r="AD57" s="1267">
        <v>767973000000</v>
      </c>
      <c r="AF57" s="1267">
        <v>464813000000</v>
      </c>
      <c r="AG57" s="1267">
        <v>448870000000</v>
      </c>
      <c r="AH57" s="1267">
        <v>164883000000</v>
      </c>
      <c r="AI57" s="1267">
        <v>283987000000</v>
      </c>
      <c r="AJ57" s="1267">
        <v>15943000000</v>
      </c>
      <c r="AK57" s="1267">
        <v>260428000000</v>
      </c>
      <c r="AL57" s="1267">
        <v>166705000000</v>
      </c>
      <c r="AM57" s="1267">
        <v>93723000000</v>
      </c>
      <c r="AN57" s="1267">
        <v>35954000000</v>
      </c>
      <c r="AO57" s="1267">
        <v>475000000</v>
      </c>
      <c r="AR57" s="1267">
        <f t="shared" si="7"/>
        <v>1273319000000</v>
      </c>
      <c r="AT57" s="1267">
        <f t="shared" si="8"/>
        <v>377437000000</v>
      </c>
      <c r="AU57" s="1267">
        <f t="shared" si="8"/>
        <v>342615000000</v>
      </c>
      <c r="AV57" s="1267">
        <f t="shared" si="8"/>
        <v>34821000000</v>
      </c>
      <c r="AW57" s="1267">
        <f t="shared" si="9"/>
        <v>863469000000</v>
      </c>
      <c r="AX57" s="1267">
        <f t="shared" si="9"/>
        <v>716446000000</v>
      </c>
      <c r="AY57" s="1267">
        <f t="shared" si="9"/>
        <v>147021000000</v>
      </c>
      <c r="AZ57" s="1267">
        <f t="shared" si="9"/>
        <v>1542000000</v>
      </c>
      <c r="BC57" s="1267">
        <f>1000000*('Changes in position data'!E61+'Changes in position data'!F61)</f>
        <v>1204807000000</v>
      </c>
      <c r="BD57" s="1267">
        <f>1000000*('Changes in position data'!J61+'Changes in position data'!K61)</f>
        <v>348757000000</v>
      </c>
      <c r="BE57" s="1267">
        <f>1000000*('Changes in position data'!N61+'Changes in position data'!O61)</f>
        <v>348757000000</v>
      </c>
      <c r="BF57" s="1267">
        <f>0</f>
        <v>0</v>
      </c>
      <c r="BG57" s="1267">
        <f>1000000*('Changes in position data'!W61+'Changes in position data'!X61)</f>
        <v>822890000000</v>
      </c>
      <c r="BH57" s="1267">
        <f>1000000*('Changes in position data'!AA61+'Changes in position data'!AB61)</f>
        <v>675700000000</v>
      </c>
      <c r="BI57" s="1267">
        <f>1000000*('Changes in position data'!AE61+'Changes in position data'!AF61)</f>
        <v>147190000000</v>
      </c>
      <c r="BJ57" s="1267">
        <f>1000000*('Changes in position data'!AK61)</f>
        <v>2290000000</v>
      </c>
      <c r="BK57" s="1267">
        <f>1000000*('Changes in position data'!AO61+'Changes in position data'!AP61)</f>
        <v>30871000000</v>
      </c>
      <c r="BN57" s="1267">
        <f t="shared" si="31"/>
        <v>1233487000000</v>
      </c>
      <c r="BO57" s="1267">
        <f>1000000*('Changes in position data'!J61+'Changes in position data'!K61+'Changes in position data'!L61)</f>
        <v>377437000000</v>
      </c>
      <c r="BP57" s="1267">
        <f>1000000*('Changes in position data'!N61+'Changes in position data'!O61+'Changes in position data'!P61)</f>
        <v>342615000000</v>
      </c>
      <c r="BQ57" s="1267">
        <f>1000000*('Changes in position data'!Q61)</f>
        <v>34822000000</v>
      </c>
      <c r="BR57" s="1267">
        <v>822890000000</v>
      </c>
      <c r="BS57" s="1267">
        <v>675700000000</v>
      </c>
      <c r="BT57" s="1267">
        <v>147190000000</v>
      </c>
      <c r="BU57" s="1267">
        <v>2290000000</v>
      </c>
      <c r="BV57" s="1267">
        <v>30871000000</v>
      </c>
      <c r="BX57" s="1267">
        <f>AD57/F56</f>
        <v>3.4579521647541599E-2</v>
      </c>
      <c r="BY57" s="1267">
        <f t="shared" si="11"/>
        <v>4.3903443786009376E-2</v>
      </c>
      <c r="BZ57" s="1267">
        <f t="shared" si="16"/>
        <v>8.9132983535788149E-2</v>
      </c>
      <c r="CA57" s="1267">
        <f t="shared" si="16"/>
        <v>0.10390384189819937</v>
      </c>
      <c r="CB57" s="1267">
        <f t="shared" si="25"/>
        <v>1.7824902483357132E-2</v>
      </c>
      <c r="CC57" s="1267">
        <f t="shared" si="26"/>
        <v>3.7898451220158176E-2</v>
      </c>
      <c r="CD57" s="1267">
        <f t="shared" si="26"/>
        <v>3.7033721224195466E-2</v>
      </c>
      <c r="CE57" s="1267">
        <f t="shared" si="26"/>
        <v>3.9540664575786803E-2</v>
      </c>
      <c r="CF57" s="1267">
        <f t="shared" si="12"/>
        <v>7.3846879356250089E-3</v>
      </c>
      <c r="CI57" s="1267">
        <f t="shared" si="32"/>
        <v>0.11277979282105437</v>
      </c>
      <c r="CJ57" s="1267">
        <f t="shared" si="33"/>
        <v>0.15601095798785999</v>
      </c>
      <c r="CK57" s="1267">
        <f t="shared" si="33"/>
        <v>0.18463365718745978</v>
      </c>
      <c r="CL57" s="1267">
        <f t="shared" si="34"/>
        <v>1.7817907091623137E-2</v>
      </c>
      <c r="CM57" s="1267">
        <f t="shared" si="35"/>
        <v>0.1576484647538641</v>
      </c>
      <c r="CN57" s="1267">
        <f t="shared" si="35"/>
        <v>0.18714130906612508</v>
      </c>
      <c r="CO57" s="1267">
        <f t="shared" si="35"/>
        <v>0.10163844653869941</v>
      </c>
      <c r="CP57" s="1267">
        <f t="shared" si="35"/>
        <v>7.8550371421828684E-3</v>
      </c>
      <c r="CT57" s="1267">
        <v>27080461376155.102</v>
      </c>
      <c r="CU57" s="1267">
        <v>3561985000000</v>
      </c>
      <c r="CV57" s="1267">
        <f t="shared" si="13"/>
        <v>23518476376155.102</v>
      </c>
      <c r="CW57" s="1267">
        <v>4662434000000</v>
      </c>
      <c r="CX57" s="1267">
        <v>3415843000000</v>
      </c>
      <c r="CY57" s="1267">
        <v>1246591000000</v>
      </c>
      <c r="CZ57" s="1267">
        <v>13978865000000</v>
      </c>
      <c r="DA57" s="1267">
        <v>4545361000000</v>
      </c>
      <c r="DB57" s="1267">
        <v>9433504000000</v>
      </c>
      <c r="DC57" s="1267">
        <v>4877177000000</v>
      </c>
      <c r="DH57" s="1267">
        <f>1000000*'BEA int transactions'!I60</f>
        <v>632685000000</v>
      </c>
      <c r="DI57" s="1267">
        <f>1000000*'BEA int transactions'!J60</f>
        <v>250343000000</v>
      </c>
      <c r="DJ57" s="1267">
        <v>211420000000</v>
      </c>
      <c r="DK57" s="1267">
        <v>38925000000</v>
      </c>
      <c r="DL57" s="1267">
        <f>1000000*'BEA int transactions'!K60</f>
        <v>747017000000</v>
      </c>
      <c r="DM57" s="1267">
        <v>239064000000</v>
      </c>
      <c r="DN57" s="1267">
        <v>507950000000</v>
      </c>
      <c r="DO57" s="1267">
        <f>1000000*'BEA int transactions'!L60</f>
        <v>-364675000000</v>
      </c>
      <c r="DS57" s="1267">
        <v>545554000000</v>
      </c>
      <c r="DU57" s="1267">
        <v>179320000000</v>
      </c>
      <c r="DV57" s="1267">
        <v>146522000000</v>
      </c>
      <c r="DW57" s="1267">
        <v>54878000000</v>
      </c>
      <c r="DX57" s="1267">
        <v>91644000000</v>
      </c>
      <c r="DY57" s="1267">
        <v>32798000000</v>
      </c>
      <c r="DZ57" s="1267">
        <v>345249000000</v>
      </c>
      <c r="EA57" s="1267">
        <v>96786000000</v>
      </c>
      <c r="EB57" s="1267">
        <v>345249000000</v>
      </c>
      <c r="EC57" s="1267">
        <v>20985000000</v>
      </c>
      <c r="EF57" s="1279"/>
      <c r="EG57" s="1279">
        <f t="shared" si="17"/>
        <v>852437270873.30078</v>
      </c>
      <c r="EH57" s="1279"/>
      <c r="EI57" s="1279">
        <f t="shared" si="18"/>
        <v>212866000000</v>
      </c>
      <c r="EJ57" s="1279">
        <f t="shared" si="18"/>
        <v>236061000000</v>
      </c>
      <c r="EK57" s="1279">
        <f t="shared" si="18"/>
        <v>-23197000000</v>
      </c>
      <c r="EL57" s="1279">
        <f t="shared" si="18"/>
        <v>584605000000</v>
      </c>
      <c r="EM57" s="1279">
        <f t="shared" si="18"/>
        <v>464396000000</v>
      </c>
      <c r="EN57" s="1279">
        <f t="shared" si="18"/>
        <v>120212000000</v>
      </c>
      <c r="EO57" s="1279">
        <f t="shared" si="18"/>
        <v>54966000000</v>
      </c>
      <c r="ER57" s="1267">
        <f>1000000*('Changes in position data'!AV61+'Changes in position data'!AW61)</f>
        <v>732363000000</v>
      </c>
      <c r="ES57" s="1267">
        <f>1000000*('Changes in position data'!BA61)</f>
        <v>260376000000</v>
      </c>
      <c r="ET57" s="1267">
        <f>1000000*('Changes in position data'!BE61)</f>
        <v>260376000000</v>
      </c>
      <c r="EV57" s="1267">
        <f>1000000*('Changes in position data'!BN61+'Changes in position data'!BO61)</f>
        <v>469311000000</v>
      </c>
      <c r="EW57" s="1267">
        <f>1000000*('Changes in position data'!BR61)</f>
        <v>363773000000</v>
      </c>
      <c r="EX57" s="1267">
        <f>1000000*('Changes in position data'!BV61+'Changes in position data'!BW61)</f>
        <v>105538000000</v>
      </c>
      <c r="EY57" s="1267">
        <f>1000000*('Changes in position data'!CB61)</f>
        <v>2676000000</v>
      </c>
      <c r="FP57" s="1267">
        <f t="shared" si="19"/>
        <v>2.4760370000553873E-2</v>
      </c>
      <c r="FQ57" s="1267">
        <f t="shared" si="20"/>
        <v>4.2703117837219966E-2</v>
      </c>
      <c r="FR57" s="1267">
        <f t="shared" si="20"/>
        <v>4.9361230200359658E-2</v>
      </c>
      <c r="FS57" s="1267">
        <f t="shared" si="27"/>
        <v>2.6646344881599334E-2</v>
      </c>
      <c r="FT57" s="1267">
        <f t="shared" si="27"/>
        <v>2.7298360599223088E-2</v>
      </c>
      <c r="FU57" s="1267">
        <f t="shared" si="27"/>
        <v>2.5192216040965137E-2</v>
      </c>
      <c r="FV57" s="1267">
        <f t="shared" si="27"/>
        <v>3.9209039240043146E-2</v>
      </c>
      <c r="FW57" s="1267">
        <f t="shared" si="21"/>
        <v>4.0457800691975883E-3</v>
      </c>
      <c r="FZ57" s="1267">
        <f t="shared" si="36"/>
        <v>5.7999204020129633E-2</v>
      </c>
      <c r="GA57" s="1267">
        <f t="shared" si="37"/>
        <v>0.10470884508450964</v>
      </c>
      <c r="GB57" s="1267">
        <f t="shared" si="38"/>
        <v>0.33057943897899278</v>
      </c>
      <c r="GD57" s="1267">
        <f t="shared" si="39"/>
        <v>0.21202003903796585</v>
      </c>
      <c r="GE57" s="1267">
        <f t="shared" si="39"/>
        <v>5.2304498791756186E-2</v>
      </c>
      <c r="GF57" s="1267">
        <f t="shared" si="39"/>
        <v>8.6908985468352296E-2</v>
      </c>
      <c r="GG57" s="1267">
        <f t="shared" si="40"/>
        <v>4.5616965555055579E-3</v>
      </c>
      <c r="GJ57" s="1267">
        <f t="shared" si="3"/>
        <v>-4518299376155.1016</v>
      </c>
      <c r="GK57" s="1267">
        <f t="shared" si="4"/>
        <v>1307068000000</v>
      </c>
      <c r="GL57" s="1267">
        <f t="shared" si="4"/>
        <v>1568052000000</v>
      </c>
      <c r="GM57" s="1267">
        <f t="shared" si="4"/>
        <v>-260984000000</v>
      </c>
      <c r="GN57" s="1267">
        <f t="shared" si="5"/>
        <v>-5994904000000</v>
      </c>
      <c r="GO57" s="1267">
        <f t="shared" si="5"/>
        <v>776496000000</v>
      </c>
      <c r="GP57" s="1267">
        <f t="shared" si="5"/>
        <v>-6771400000000</v>
      </c>
      <c r="GQ57" s="1267">
        <f t="shared" si="5"/>
        <v>-460607000000</v>
      </c>
      <c r="GV57" s="1267">
        <f t="shared" si="0"/>
        <v>222419000000</v>
      </c>
      <c r="GW57" s="1267">
        <f t="shared" si="44"/>
        <v>285493000000</v>
      </c>
      <c r="GX57" s="1267">
        <f t="shared" si="44"/>
        <v>302348000000</v>
      </c>
      <c r="GY57" s="1267">
        <f t="shared" si="44"/>
        <v>110005000000</v>
      </c>
      <c r="GZ57" s="1267">
        <f t="shared" si="44"/>
        <v>192343000000</v>
      </c>
      <c r="HA57" s="1267">
        <f t="shared" si="44"/>
        <v>-16855000000</v>
      </c>
      <c r="HB57" s="1267">
        <f t="shared" si="44"/>
        <v>-84821000000</v>
      </c>
      <c r="HC57" s="1267">
        <f t="shared" si="44"/>
        <v>69919000000</v>
      </c>
      <c r="HD57" s="1267">
        <f t="shared" si="43"/>
        <v>-251526000000</v>
      </c>
      <c r="HE57" s="1267">
        <f t="shared" si="2"/>
        <v>14969000000</v>
      </c>
      <c r="HL57" s="1267">
        <f t="shared" si="22"/>
        <v>1.9143073785455503E-2</v>
      </c>
      <c r="HM57" s="1267">
        <f t="shared" si="22"/>
        <v>4.6429865698568183E-2</v>
      </c>
      <c r="HN57" s="1267">
        <f t="shared" si="22"/>
        <v>5.4542611697839714E-2</v>
      </c>
      <c r="HO57" s="1267">
        <f t="shared" si="22"/>
        <v>-8.8214423982422019E-3</v>
      </c>
      <c r="HP57" s="1267">
        <f t="shared" si="22"/>
        <v>1.0600090620935088E-2</v>
      </c>
      <c r="HQ57" s="1267">
        <f t="shared" si="22"/>
        <v>1.1841505183230329E-2</v>
      </c>
      <c r="HR57" s="1267">
        <f t="shared" si="22"/>
        <v>3.3162533574365716E-4</v>
      </c>
      <c r="HS57" s="1267">
        <f t="shared" si="23"/>
        <v>3.3389078664274206E-3</v>
      </c>
      <c r="HU57" s="1267">
        <v>1.3835313317562523E-2</v>
      </c>
      <c r="HV57" s="1267">
        <f t="shared" si="24"/>
        <v>4.1567698170122507E-3</v>
      </c>
      <c r="HW57" s="1267">
        <f t="shared" si="29"/>
        <v>3.2952786968831263E-3</v>
      </c>
      <c r="ID57" s="1267">
        <f t="shared" si="41"/>
        <v>5.4780588800924734E-2</v>
      </c>
      <c r="IE57" s="1267">
        <f t="shared" si="30"/>
        <v>5.130211290335035E-2</v>
      </c>
      <c r="IH57" s="1267">
        <f t="shared" si="42"/>
        <v>-5.4371574284101748E-2</v>
      </c>
      <c r="IK57" s="1267">
        <f t="shared" si="30"/>
        <v>3.2933405866773105E-3</v>
      </c>
    </row>
    <row r="58" spans="4:245">
      <c r="D58" s="1267" t="s">
        <v>2951</v>
      </c>
      <c r="F58" s="1267">
        <v>24144775000000</v>
      </c>
      <c r="G58" s="1267">
        <v>3017100000000</v>
      </c>
      <c r="H58" s="1267">
        <f t="shared" si="6"/>
        <v>21127675000000</v>
      </c>
      <c r="I58" s="1267">
        <v>7120688000000</v>
      </c>
      <c r="J58" s="1267">
        <v>6054227000000</v>
      </c>
      <c r="K58" s="1267">
        <v>1066461000000</v>
      </c>
      <c r="L58" s="1267">
        <v>9206105000000</v>
      </c>
      <c r="M58" s="1267">
        <v>6472877000000</v>
      </c>
      <c r="N58" s="1267">
        <v>2733228000000</v>
      </c>
      <c r="O58" s="1267">
        <v>4352549000000</v>
      </c>
      <c r="P58" s="1267">
        <v>448333000000</v>
      </c>
      <c r="R58" s="1311"/>
      <c r="T58" s="1267">
        <f>'BEA int transactions'!D61*1000000</f>
        <v>649587000000</v>
      </c>
      <c r="U58" s="1267">
        <f>'BEA int transactions'!E61*1000000</f>
        <v>392796000000</v>
      </c>
      <c r="V58" s="1267">
        <v>334705000000</v>
      </c>
      <c r="W58" s="1267">
        <v>58091000000</v>
      </c>
      <c r="X58" s="1267">
        <f>1000000*'BEA int transactions'!F61</f>
        <v>481298000000</v>
      </c>
      <c r="Y58" s="1267">
        <v>287434000000</v>
      </c>
      <c r="Z58" s="1267">
        <v>193864000000</v>
      </c>
      <c r="AA58" s="1267">
        <f>1000000*'BEA int transactions'!G61</f>
        <v>-221408000000</v>
      </c>
      <c r="AB58" s="1267">
        <f>1000000*'BEA int transactions'!H61</f>
        <v>-3099000000</v>
      </c>
      <c r="AD58" s="1267">
        <v>792818000000</v>
      </c>
      <c r="AF58" s="1267">
        <v>476212000000</v>
      </c>
      <c r="AG58" s="1267">
        <v>459144000000</v>
      </c>
      <c r="AH58" s="1267">
        <v>144080000000</v>
      </c>
      <c r="AI58" s="1267">
        <v>315064000000</v>
      </c>
      <c r="AJ58" s="1267">
        <v>17068000000</v>
      </c>
      <c r="AK58" s="1267">
        <v>278440000000</v>
      </c>
      <c r="AL58" s="1267">
        <v>173877000000</v>
      </c>
      <c r="AM58" s="1267">
        <v>104563000000</v>
      </c>
      <c r="AN58" s="1267">
        <v>31179000000</v>
      </c>
      <c r="AO58" s="1267">
        <v>374000000</v>
      </c>
      <c r="AR58" s="1267">
        <f t="shared" si="7"/>
        <v>1535687000000</v>
      </c>
      <c r="AT58" s="1267">
        <f t="shared" si="8"/>
        <v>758390000000</v>
      </c>
      <c r="AU58" s="1267">
        <f t="shared" si="8"/>
        <v>735627000000</v>
      </c>
      <c r="AV58" s="1267">
        <f t="shared" si="8"/>
        <v>22763000000</v>
      </c>
      <c r="AW58" s="1267">
        <f t="shared" si="9"/>
        <v>740846000000</v>
      </c>
      <c r="AX58" s="1267">
        <f t="shared" si="9"/>
        <v>863586000000</v>
      </c>
      <c r="AY58" s="1267">
        <f t="shared" si="9"/>
        <v>-122740000000</v>
      </c>
      <c r="AZ58" s="1267">
        <f t="shared" si="9"/>
        <v>157387000000</v>
      </c>
      <c r="BC58" s="1267">
        <f>1000000*('Changes in position data'!E62+'Changes in position data'!F62)</f>
        <v>1423196000000</v>
      </c>
      <c r="BD58" s="1267">
        <f>1000000*('Changes in position data'!J62+'Changes in position data'!K62)</f>
        <v>759312000000</v>
      </c>
      <c r="BE58" s="1267">
        <f>1000000*('Changes in position data'!N62+'Changes in position data'!O62)</f>
        <v>759312000000</v>
      </c>
      <c r="BF58" s="1267">
        <f>0</f>
        <v>0</v>
      </c>
      <c r="BG58" s="1267">
        <f>1000000*('Changes in position data'!W62+'Changes in position data'!X62)</f>
        <v>793690000000</v>
      </c>
      <c r="BH58" s="1267">
        <f>1000000*('Changes in position data'!AA62+'Changes in position data'!AB62)</f>
        <v>908292000000</v>
      </c>
      <c r="BI58" s="1267">
        <f>1000000*('Changes in position data'!AE62+'Changes in position data'!AF62)</f>
        <v>-114603000000</v>
      </c>
      <c r="BJ58" s="1267">
        <f>1000000*('Changes in position data'!AK62)</f>
        <v>-8870000000</v>
      </c>
      <c r="BK58" s="1267">
        <f>1000000*('Changes in position data'!AO62+'Changes in position data'!AP62)</f>
        <v>-120936000000</v>
      </c>
      <c r="BN58" s="1267">
        <f t="shared" si="31"/>
        <v>1422274000000</v>
      </c>
      <c r="BO58" s="1267">
        <f>1000000*('Changes in position data'!J62+'Changes in position data'!K62+'Changes in position data'!L62)</f>
        <v>758390000000</v>
      </c>
      <c r="BP58" s="1267">
        <f>1000000*('Changes in position data'!N62+'Changes in position data'!O62+'Changes in position data'!P62)</f>
        <v>735626000000</v>
      </c>
      <c r="BQ58" s="1267">
        <f>1000000*('Changes in position data'!Q62)</f>
        <v>22764000000</v>
      </c>
      <c r="BR58" s="1267">
        <v>793690000000</v>
      </c>
      <c r="BS58" s="1267">
        <v>908292000000</v>
      </c>
      <c r="BT58" s="1267">
        <v>-114603000000</v>
      </c>
      <c r="BU58" s="1267">
        <v>-8870000000</v>
      </c>
      <c r="BV58" s="1267">
        <v>-120936000000</v>
      </c>
      <c r="BX58" s="1267">
        <f t="shared" si="10"/>
        <v>3.5139274330181658E-2</v>
      </c>
      <c r="BY58" s="1267">
        <f t="shared" si="11"/>
        <v>4.1854145100190837E-2</v>
      </c>
      <c r="BZ58" s="1267">
        <f t="shared" si="16"/>
        <v>7.9774158715417126E-2</v>
      </c>
      <c r="CA58" s="1267">
        <f t="shared" si="16"/>
        <v>9.21255363525917E-2</v>
      </c>
      <c r="CB58" s="1267">
        <f t="shared" si="25"/>
        <v>2.0266102522053412E-2</v>
      </c>
      <c r="CC58" s="1267">
        <f t="shared" si="26"/>
        <v>3.4874919854944182E-2</v>
      </c>
      <c r="CD58" s="1267">
        <f t="shared" si="26"/>
        <v>3.2672242038822165E-2</v>
      </c>
      <c r="CE58" s="1267">
        <f t="shared" si="26"/>
        <v>3.9278330223011575E-2</v>
      </c>
      <c r="CF58" s="1267">
        <f t="shared" si="12"/>
        <v>7.0595507373368924E-3</v>
      </c>
      <c r="CI58" s="1267">
        <f t="shared" si="32"/>
        <v>0.11698696485202695</v>
      </c>
      <c r="CJ58" s="1267">
        <f t="shared" si="33"/>
        <v>0.2069727089462404</v>
      </c>
      <c r="CK58" s="1267">
        <f t="shared" si="33"/>
        <v>0.24447866578248539</v>
      </c>
      <c r="CL58" s="1267">
        <f t="shared" si="34"/>
        <v>1.7317247138058069E-2</v>
      </c>
      <c r="CM58" s="1267">
        <f t="shared" si="35"/>
        <v>0.13428547559287926</v>
      </c>
      <c r="CN58" s="1267">
        <f t="shared" si="35"/>
        <v>0.20334424619075633</v>
      </c>
      <c r="CO58" s="1267">
        <f t="shared" si="35"/>
        <v>-3.7714529560077294E-3</v>
      </c>
      <c r="CP58" s="1267">
        <f t="shared" si="35"/>
        <v>5.0512048942957999E-3</v>
      </c>
      <c r="CT58" s="1267">
        <v>29517429148452</v>
      </c>
      <c r="CU58" s="1267">
        <v>2939543000000</v>
      </c>
      <c r="CV58" s="1267">
        <f t="shared" si="13"/>
        <v>26577886148452</v>
      </c>
      <c r="CW58" s="1267">
        <v>5814935000000</v>
      </c>
      <c r="CX58" s="1267">
        <v>4443216000000</v>
      </c>
      <c r="CY58" s="1267">
        <v>1371719000000</v>
      </c>
      <c r="CZ58" s="1267">
        <v>15541251000000</v>
      </c>
      <c r="DA58" s="1267">
        <v>5864600000000</v>
      </c>
      <c r="DB58" s="1267">
        <v>9676651000000</v>
      </c>
      <c r="DC58" s="1267">
        <v>5221699000000</v>
      </c>
      <c r="DH58" s="1267">
        <f>1000000*'BEA int transactions'!I61</f>
        <v>1055789000000</v>
      </c>
      <c r="DI58" s="1267">
        <f>1000000*'BEA int transactions'!J61</f>
        <v>288131000000</v>
      </c>
      <c r="DJ58" s="1267">
        <v>211769000000</v>
      </c>
      <c r="DK58" s="1267">
        <v>76362000000</v>
      </c>
      <c r="DL58" s="1267">
        <f>1000000*'BEA int transactions'!K61</f>
        <v>511987000000</v>
      </c>
      <c r="DM58" s="1267">
        <v>-62641000000</v>
      </c>
      <c r="DN58" s="1267">
        <v>574625000000</v>
      </c>
      <c r="DO58" s="1267">
        <f>1000000*'BEA int transactions'!L61</f>
        <v>255670000000</v>
      </c>
      <c r="DS58" s="1267">
        <v>570816000000</v>
      </c>
      <c r="DU58" s="1267">
        <v>192930000000</v>
      </c>
      <c r="DV58" s="1267">
        <v>157631000000</v>
      </c>
      <c r="DW58" s="1267">
        <v>69965000000</v>
      </c>
      <c r="DX58" s="1267">
        <v>87666000000</v>
      </c>
      <c r="DY58" s="1267">
        <v>35299000000</v>
      </c>
      <c r="DZ58" s="1267">
        <v>361751000000</v>
      </c>
      <c r="EA58" s="1267">
        <v>109568000000</v>
      </c>
      <c r="EB58" s="1267">
        <v>361751000000</v>
      </c>
      <c r="EC58" s="1267">
        <v>16135000000</v>
      </c>
      <c r="EF58" s="1279"/>
      <c r="EG58" s="1279">
        <f t="shared" si="17"/>
        <v>2003620772296.8984</v>
      </c>
      <c r="EH58" s="1279"/>
      <c r="EI58" s="1279">
        <f t="shared" si="18"/>
        <v>864370000000</v>
      </c>
      <c r="EJ58" s="1279">
        <f t="shared" si="18"/>
        <v>815604000000</v>
      </c>
      <c r="EK58" s="1279">
        <f t="shared" si="18"/>
        <v>48766000000</v>
      </c>
      <c r="EL58" s="1279">
        <f t="shared" si="18"/>
        <v>1050399000000</v>
      </c>
      <c r="EM58" s="1279">
        <f t="shared" si="18"/>
        <v>1381880000000</v>
      </c>
      <c r="EN58" s="1279">
        <f t="shared" si="18"/>
        <v>-331478000000</v>
      </c>
      <c r="EO58" s="1279">
        <f t="shared" si="18"/>
        <v>88852000000</v>
      </c>
      <c r="ER58" s="1267">
        <f>1000000*('Changes in position data'!AV62+'Changes in position data'!AW62)</f>
        <v>1794710000000</v>
      </c>
      <c r="ES58" s="1267">
        <f>1000000*('Changes in position data'!BA62)</f>
        <v>870982000000</v>
      </c>
      <c r="ET58" s="1267">
        <f>1000000*('Changes in position data'!BE62)</f>
        <v>870982000000</v>
      </c>
      <c r="EV58" s="1267">
        <f>1000000*('Changes in position data'!BN62+'Changes in position data'!BO62)</f>
        <v>929065000000</v>
      </c>
      <c r="EW58" s="1267">
        <f>1000000*('Changes in position data'!BR62)</f>
        <v>1309770000000</v>
      </c>
      <c r="EX58" s="1267">
        <f>1000000*('Changes in position data'!BV62+'Changes in position data'!BW62)</f>
        <v>-380705000000</v>
      </c>
      <c r="EY58" s="1267">
        <f>1000000*('Changes in position data'!CB62)</f>
        <v>-5337000000</v>
      </c>
      <c r="FP58" s="1267">
        <f t="shared" si="19"/>
        <v>2.4270960026081392E-2</v>
      </c>
      <c r="FQ58" s="1267">
        <f t="shared" si="20"/>
        <v>4.1379674221661902E-2</v>
      </c>
      <c r="FR58" s="1267">
        <f t="shared" si="20"/>
        <v>4.61470272492032E-2</v>
      </c>
      <c r="FS58" s="1267">
        <f t="shared" si="27"/>
        <v>2.8316424553041054E-2</v>
      </c>
      <c r="FT58" s="1267">
        <f t="shared" si="27"/>
        <v>2.5878424321287886E-2</v>
      </c>
      <c r="FU58" s="1267">
        <f t="shared" si="27"/>
        <v>2.4105456090286338E-2</v>
      </c>
      <c r="FV58" s="1267">
        <f t="shared" si="27"/>
        <v>3.8347468766642807E-2</v>
      </c>
      <c r="FW58" s="1267">
        <f t="shared" si="21"/>
        <v>3.30826623680051E-3</v>
      </c>
      <c r="FZ58" s="1267">
        <f t="shared" si="36"/>
        <v>0.10058160070260155</v>
      </c>
      <c r="GA58" s="1267">
        <f t="shared" si="37"/>
        <v>0.22818810947243434</v>
      </c>
      <c r="GB58" s="1267">
        <f t="shared" si="38"/>
        <v>0.82514072378189796</v>
      </c>
      <c r="GD58" s="1267">
        <f t="shared" si="39"/>
        <v>0.28398536441879974</v>
      </c>
      <c r="GE58" s="1267">
        <f t="shared" si="39"/>
        <v>0.15045713660586776</v>
      </c>
      <c r="GF58" s="1267">
        <f t="shared" si="39"/>
        <v>-3.8862645337661519E-3</v>
      </c>
      <c r="GG58" s="1267">
        <f t="shared" si="40"/>
        <v>2.2139856724494519E-3</v>
      </c>
      <c r="GJ58" s="1267">
        <f t="shared" si="3"/>
        <v>-5372654148452</v>
      </c>
      <c r="GK58" s="1267">
        <f t="shared" si="4"/>
        <v>1305753000000</v>
      </c>
      <c r="GL58" s="1267">
        <f t="shared" si="4"/>
        <v>1611011000000</v>
      </c>
      <c r="GM58" s="1267">
        <f t="shared" si="4"/>
        <v>-305258000000</v>
      </c>
      <c r="GN58" s="1267">
        <f t="shared" si="5"/>
        <v>-6335146000000</v>
      </c>
      <c r="GO58" s="1267">
        <f t="shared" si="5"/>
        <v>608277000000</v>
      </c>
      <c r="GP58" s="1267">
        <f t="shared" si="5"/>
        <v>-6943423000000</v>
      </c>
      <c r="GQ58" s="1267">
        <f t="shared" si="5"/>
        <v>-869150000000</v>
      </c>
      <c r="GV58" s="1267">
        <f t="shared" si="0"/>
        <v>222002000000</v>
      </c>
      <c r="GW58" s="1267">
        <f t="shared" si="44"/>
        <v>283282000000</v>
      </c>
      <c r="GX58" s="1267">
        <f t="shared" si="44"/>
        <v>301513000000</v>
      </c>
      <c r="GY58" s="1267">
        <f t="shared" si="44"/>
        <v>74115000000</v>
      </c>
      <c r="GZ58" s="1267">
        <f t="shared" si="44"/>
        <v>227398000000</v>
      </c>
      <c r="HA58" s="1267">
        <f t="shared" si="44"/>
        <v>-18231000000</v>
      </c>
      <c r="HB58" s="1267">
        <f t="shared" si="44"/>
        <v>-83311000000</v>
      </c>
      <c r="HC58" s="1267">
        <f t="shared" si="44"/>
        <v>64309000000</v>
      </c>
      <c r="HD58" s="1267">
        <f t="shared" si="43"/>
        <v>-257188000000</v>
      </c>
      <c r="HE58" s="1267">
        <f t="shared" si="2"/>
        <v>15044000000</v>
      </c>
      <c r="HL58" s="1267">
        <f t="shared" si="22"/>
        <v>1.7583185074109445E-2</v>
      </c>
      <c r="HM58" s="1267">
        <f t="shared" si="22"/>
        <v>3.8394484493755224E-2</v>
      </c>
      <c r="HN58" s="1267">
        <f t="shared" si="22"/>
        <v>4.59785091033885E-2</v>
      </c>
      <c r="HO58" s="1267">
        <f t="shared" si="22"/>
        <v>-8.0503220309876417E-3</v>
      </c>
      <c r="HP58" s="1267">
        <f t="shared" si="22"/>
        <v>8.9964955336562964E-3</v>
      </c>
      <c r="HQ58" s="1267">
        <f t="shared" si="22"/>
        <v>8.5667859485358266E-3</v>
      </c>
      <c r="HR58" s="1267">
        <f t="shared" si="22"/>
        <v>9.3086145636876727E-4</v>
      </c>
      <c r="HS58" s="1267">
        <f t="shared" si="23"/>
        <v>3.7512845005363824E-3</v>
      </c>
      <c r="HU58" s="1267">
        <v>1.3767654419119459E-2</v>
      </c>
      <c r="HV58" s="1267">
        <f t="shared" si="24"/>
        <v>4.3646063578955188E-3</v>
      </c>
      <c r="HW58" s="1267">
        <f t="shared" si="29"/>
        <v>3.3509324454790608E-3</v>
      </c>
      <c r="ID58" s="1267">
        <f t="shared" si="41"/>
        <v>1.6405364149425394E-2</v>
      </c>
      <c r="IE58" s="1267">
        <f t="shared" si="30"/>
        <v>-2.1215400526193945E-2</v>
      </c>
      <c r="IH58" s="1267">
        <f t="shared" si="42"/>
        <v>-0.14969988882592047</v>
      </c>
      <c r="IK58" s="1267">
        <f t="shared" si="30"/>
        <v>2.8372192218463479E-3</v>
      </c>
    </row>
    <row r="59" spans="4:245">
      <c r="D59" s="1267" t="s">
        <v>2952</v>
      </c>
      <c r="F59" s="1267">
        <v>24832583000000</v>
      </c>
      <c r="G59" s="1267">
        <v>3252308000000</v>
      </c>
      <c r="H59" s="1267">
        <f t="shared" si="6"/>
        <v>21580275000000</v>
      </c>
      <c r="I59" s="1267">
        <v>7189420000000</v>
      </c>
      <c r="J59" s="1267">
        <v>6040129000000</v>
      </c>
      <c r="K59" s="1267">
        <v>1149291000000</v>
      </c>
      <c r="L59" s="1267">
        <v>9704248000000</v>
      </c>
      <c r="M59" s="1267">
        <v>6770629000000</v>
      </c>
      <c r="N59" s="1267">
        <v>2933619000000</v>
      </c>
      <c r="O59" s="1267">
        <v>4252356000000</v>
      </c>
      <c r="P59" s="1267">
        <v>434251000000</v>
      </c>
      <c r="R59" s="1311"/>
      <c r="T59" s="1267">
        <f>'BEA int transactions'!D62*1000000</f>
        <v>818784000000</v>
      </c>
      <c r="U59" s="1267">
        <f>'BEA int transactions'!E62*1000000</f>
        <v>338853000000</v>
      </c>
      <c r="V59" s="1267">
        <v>330363000000</v>
      </c>
      <c r="W59" s="1267">
        <v>8488000000</v>
      </c>
      <c r="X59" s="1267">
        <f>1000000*'BEA int transactions'!F62</f>
        <v>582677000000</v>
      </c>
      <c r="Y59" s="1267">
        <v>431626000000</v>
      </c>
      <c r="Z59" s="1267">
        <v>151051000000</v>
      </c>
      <c r="AA59" s="1267">
        <f>1000000*'BEA int transactions'!G62</f>
        <v>-99162000000</v>
      </c>
      <c r="AB59" s="1267">
        <f>1000000*'BEA int transactions'!H62</f>
        <v>-3583000000</v>
      </c>
      <c r="AD59" s="1267">
        <v>817349000000</v>
      </c>
      <c r="AF59" s="1267">
        <v>474804000000</v>
      </c>
      <c r="AG59" s="1267">
        <v>455567000000</v>
      </c>
      <c r="AH59" s="1267">
        <v>143994000000</v>
      </c>
      <c r="AI59" s="1267">
        <v>311573000000</v>
      </c>
      <c r="AJ59" s="1267">
        <v>19237000000</v>
      </c>
      <c r="AK59" s="1267">
        <v>304985000000</v>
      </c>
      <c r="AL59" s="1267">
        <v>197748000000</v>
      </c>
      <c r="AM59" s="1267">
        <v>107237000000</v>
      </c>
      <c r="AN59" s="1267">
        <v>30742000000</v>
      </c>
      <c r="AO59" s="1267">
        <v>315000000</v>
      </c>
      <c r="AR59" s="1267">
        <f t="shared" si="7"/>
        <v>-366184000000</v>
      </c>
      <c r="AT59" s="1267">
        <f t="shared" si="8"/>
        <v>-270121000000</v>
      </c>
      <c r="AU59" s="1267">
        <f t="shared" si="8"/>
        <v>-344461000000</v>
      </c>
      <c r="AV59" s="1267">
        <f t="shared" si="8"/>
        <v>74342000000</v>
      </c>
      <c r="AW59" s="1267">
        <f t="shared" si="9"/>
        <v>-84534000000</v>
      </c>
      <c r="AX59" s="1267">
        <f t="shared" si="9"/>
        <v>-133874000000</v>
      </c>
      <c r="AY59" s="1267">
        <f t="shared" si="9"/>
        <v>49340000000</v>
      </c>
      <c r="AZ59" s="1267">
        <f t="shared" si="9"/>
        <v>-1031000000</v>
      </c>
      <c r="BC59" s="1267">
        <f>1000000*('Changes in position data'!E63+'Changes in position data'!F63)</f>
        <v>-603906000000</v>
      </c>
      <c r="BD59" s="1267">
        <f>1000000*('Changes in position data'!J63+'Changes in position data'!K63)</f>
        <v>-338511000000</v>
      </c>
      <c r="BE59" s="1267">
        <f>1000000*('Changes in position data'!N63+'Changes in position data'!O63)</f>
        <v>-338511000000</v>
      </c>
      <c r="BF59" s="1267">
        <f>0</f>
        <v>0</v>
      </c>
      <c r="BG59" s="1267">
        <f>1000000*('Changes in position data'!W63+'Changes in position data'!X63)</f>
        <v>-214712000000</v>
      </c>
      <c r="BH59" s="1267">
        <f>1000000*('Changes in position data'!AA63+'Changes in position data'!AB63)</f>
        <v>-230055000000</v>
      </c>
      <c r="BI59" s="1267">
        <f>1000000*('Changes in position data'!AE63+'Changes in position data'!AF63)</f>
        <v>15343000000</v>
      </c>
      <c r="BJ59" s="1267">
        <f>1000000*('Changes in position data'!AK63)</f>
        <v>-40183000000</v>
      </c>
      <c r="BK59" s="1267">
        <f>1000000*('Changes in position data'!AO63+'Changes in position data'!AP63)</f>
        <v>-10499000000</v>
      </c>
      <c r="BN59" s="1267">
        <f t="shared" si="31"/>
        <v>-535516000000</v>
      </c>
      <c r="BO59" s="1267">
        <f>1000000*('Changes in position data'!J63+'Changes in position data'!K63+'Changes in position data'!L63)</f>
        <v>-270121000000</v>
      </c>
      <c r="BP59" s="1267">
        <f>1000000*('Changes in position data'!N63+'Changes in position data'!O63+'Changes in position data'!P63)</f>
        <v>-344462000000</v>
      </c>
      <c r="BQ59" s="1267">
        <f>1000000*('Changes in position data'!Q63)</f>
        <v>74342000000</v>
      </c>
      <c r="BR59" s="1267">
        <v>-214712000000</v>
      </c>
      <c r="BS59" s="1267">
        <v>-230055000000</v>
      </c>
      <c r="BT59" s="1267">
        <v>15343000000</v>
      </c>
      <c r="BU59" s="1267">
        <v>-40183000000</v>
      </c>
      <c r="BV59" s="1267">
        <v>-10499000000</v>
      </c>
      <c r="BX59" s="1267">
        <f t="shared" si="10"/>
        <v>3.3852003176670732E-2</v>
      </c>
      <c r="BY59" s="1267">
        <f t="shared" si="11"/>
        <v>3.8686178199920249E-2</v>
      </c>
      <c r="BZ59" s="1267">
        <f t="shared" si="16"/>
        <v>6.6679511867392585E-2</v>
      </c>
      <c r="CA59" s="1267">
        <f t="shared" si="16"/>
        <v>7.5247756650023201E-2</v>
      </c>
      <c r="CC59" s="1267">
        <f t="shared" si="26"/>
        <v>3.3128559798090505E-2</v>
      </c>
      <c r="CD59" s="1267">
        <f t="shared" si="26"/>
        <v>3.0550248367148022E-2</v>
      </c>
      <c r="CE59" s="1267">
        <f t="shared" si="26"/>
        <v>3.9234560746487304E-2</v>
      </c>
      <c r="CF59" s="1267">
        <f t="shared" si="12"/>
        <v>7.0629876883637607E-3</v>
      </c>
      <c r="CI59" s="1267">
        <f t="shared" si="32"/>
        <v>1.0102531395432768E-2</v>
      </c>
      <c r="CJ59" s="1267">
        <f t="shared" si="33"/>
        <v>1.9140425756612282E-2</v>
      </c>
      <c r="CK59" s="1267">
        <f t="shared" si="33"/>
        <v>1.9334590526585805E-2</v>
      </c>
      <c r="CL59" s="1267">
        <f t="shared" si="34"/>
        <v>1.8038165483782342E-2</v>
      </c>
      <c r="CM59" s="1267">
        <f t="shared" si="35"/>
        <v>9.805775623893058E-3</v>
      </c>
      <c r="CN59" s="1267">
        <f t="shared" si="35"/>
        <v>-4.9911345449635451E-3</v>
      </c>
      <c r="CO59" s="1267">
        <f t="shared" si="35"/>
        <v>4.4848069754883237E-2</v>
      </c>
      <c r="CP59" s="1267">
        <f t="shared" si="35"/>
        <v>-2.1690738002030532E-3</v>
      </c>
      <c r="CT59" s="1267">
        <v>31812827711518.699</v>
      </c>
      <c r="CU59" s="1267">
        <v>3166776000000</v>
      </c>
      <c r="CV59" s="1267">
        <f t="shared" si="13"/>
        <v>28646051711518.699</v>
      </c>
      <c r="CW59" s="1267">
        <v>6369524000000</v>
      </c>
      <c r="CX59" s="1267">
        <v>4895752000000</v>
      </c>
      <c r="CY59" s="1267">
        <v>1473772000000</v>
      </c>
      <c r="CZ59" s="1267">
        <v>16921415000000</v>
      </c>
      <c r="DA59" s="1267">
        <v>6642507000000</v>
      </c>
      <c r="DB59" s="1267">
        <v>10278908000000</v>
      </c>
      <c r="DC59" s="1267">
        <v>5355113000000</v>
      </c>
      <c r="DH59" s="1267">
        <f>1000000*'BEA int transactions'!I62</f>
        <v>1091350000000</v>
      </c>
      <c r="DI59" s="1267">
        <f>1000000*'BEA int transactions'!J62</f>
        <v>237655000000</v>
      </c>
      <c r="DJ59" s="1267">
        <v>146414000000</v>
      </c>
      <c r="DK59" s="1267">
        <v>91241000000</v>
      </c>
      <c r="DL59" s="1267">
        <f>1000000*'BEA int transactions'!K62</f>
        <v>703480000000</v>
      </c>
      <c r="DM59" s="1267">
        <v>154311000000</v>
      </c>
      <c r="DN59" s="1267">
        <v>549169000000</v>
      </c>
      <c r="DO59" s="1267">
        <f>1000000*'BEA int transactions'!L62</f>
        <v>150214000000</v>
      </c>
      <c r="DS59" s="1267">
        <v>589512000000</v>
      </c>
      <c r="DU59" s="1267">
        <v>198108000000</v>
      </c>
      <c r="DV59" s="1267">
        <v>162438000000</v>
      </c>
      <c r="DW59" s="1267">
        <v>67595000000</v>
      </c>
      <c r="DX59" s="1267">
        <v>94843000000</v>
      </c>
      <c r="DY59" s="1267">
        <v>35670000000</v>
      </c>
      <c r="DZ59" s="1267">
        <v>377537000000</v>
      </c>
      <c r="EA59" s="1267">
        <v>126288000000</v>
      </c>
      <c r="EB59" s="1267">
        <v>377537000000</v>
      </c>
      <c r="EC59" s="1267">
        <v>13867000000</v>
      </c>
      <c r="EF59" s="1279"/>
      <c r="EG59" s="1279">
        <f t="shared" si="17"/>
        <v>976815563066.69922</v>
      </c>
      <c r="EH59" s="1279"/>
      <c r="EI59" s="1279">
        <f t="shared" si="18"/>
        <v>316934000000</v>
      </c>
      <c r="EJ59" s="1279">
        <f t="shared" si="18"/>
        <v>306122000000</v>
      </c>
      <c r="EK59" s="1279">
        <f t="shared" si="18"/>
        <v>10812000000</v>
      </c>
      <c r="EL59" s="1279">
        <f t="shared" si="18"/>
        <v>676684000000</v>
      </c>
      <c r="EM59" s="1279">
        <f t="shared" si="18"/>
        <v>623596000000</v>
      </c>
      <c r="EN59" s="1279">
        <f t="shared" si="18"/>
        <v>53088000000</v>
      </c>
      <c r="EO59" s="1279">
        <f t="shared" si="18"/>
        <v>-16800000000</v>
      </c>
      <c r="ER59" s="1267">
        <f>1000000*('Changes in position data'!AV63+'Changes in position data'!AW63)</f>
        <v>1010188000000</v>
      </c>
      <c r="ES59" s="1267">
        <f>1000000*('Changes in position data'!BA63)</f>
        <v>343815000000</v>
      </c>
      <c r="ET59" s="1267">
        <f>1000000*('Changes in position data'!BE63)</f>
        <v>343815000000</v>
      </c>
      <c r="EV59" s="1267">
        <f>1000000*('Changes in position data'!BN63+'Changes in position data'!BO63)</f>
        <v>713379000000</v>
      </c>
      <c r="EW59" s="1267">
        <f>1000000*('Changes in position data'!BR63)</f>
        <v>626595000000</v>
      </c>
      <c r="EX59" s="1267">
        <f>1000000*('Changes in position data'!BV63+'Changes in position data'!BW63)</f>
        <v>86784000000</v>
      </c>
      <c r="EY59" s="1267">
        <f>1000000*('Changes in position data'!CB63)</f>
        <v>-47006000000</v>
      </c>
      <c r="FP59" s="1267">
        <f t="shared" si="19"/>
        <v>2.2180545010511886E-2</v>
      </c>
      <c r="FQ59" s="1267">
        <f t="shared" si="20"/>
        <v>3.4068824501047736E-2</v>
      </c>
      <c r="FR59" s="1267">
        <f t="shared" si="20"/>
        <v>3.6558654812190089E-2</v>
      </c>
      <c r="FS59" s="1267">
        <f t="shared" si="27"/>
        <v>2.6003868139174276E-2</v>
      </c>
      <c r="FT59" s="1267">
        <f t="shared" si="27"/>
        <v>2.4292574645374428E-2</v>
      </c>
      <c r="FU59" s="1267">
        <f t="shared" si="27"/>
        <v>2.1533949459468675E-2</v>
      </c>
      <c r="FV59" s="1267">
        <f t="shared" si="27"/>
        <v>3.9015254347811036E-2</v>
      </c>
      <c r="FW59" s="1267">
        <f t="shared" si="21"/>
        <v>2.6556490521571618E-3</v>
      </c>
      <c r="FZ59" s="1267">
        <f t="shared" si="36"/>
        <v>6.0189135850187724E-2</v>
      </c>
      <c r="GA59" s="1267">
        <f t="shared" si="37"/>
        <v>9.3195022816248155E-2</v>
      </c>
      <c r="GB59" s="1267">
        <f t="shared" si="38"/>
        <v>0.36906465537037836</v>
      </c>
      <c r="GD59" s="1267">
        <f t="shared" si="39"/>
        <v>0.18601711966715548</v>
      </c>
      <c r="GE59" s="1267">
        <f t="shared" si="39"/>
        <v>7.7804087385191428E-2</v>
      </c>
      <c r="GF59" s="1267">
        <f t="shared" si="39"/>
        <v>8.892144108651226E-2</v>
      </c>
      <c r="GG59" s="1267">
        <f t="shared" si="40"/>
        <v>-6.3464018128965302E-3</v>
      </c>
      <c r="GJ59" s="1267">
        <f t="shared" si="3"/>
        <v>-6980244711518.6992</v>
      </c>
      <c r="GK59" s="1267">
        <f t="shared" si="4"/>
        <v>819896000000</v>
      </c>
      <c r="GL59" s="1267">
        <f t="shared" si="4"/>
        <v>1144377000000</v>
      </c>
      <c r="GM59" s="1267">
        <f t="shared" si="4"/>
        <v>-324481000000</v>
      </c>
      <c r="GN59" s="1267">
        <f t="shared" si="5"/>
        <v>-7217167000000</v>
      </c>
      <c r="GO59" s="1267">
        <f t="shared" si="5"/>
        <v>128122000000</v>
      </c>
      <c r="GP59" s="1267">
        <f t="shared" si="5"/>
        <v>-7345289000000</v>
      </c>
      <c r="GQ59" s="1267">
        <f t="shared" si="5"/>
        <v>-1102757000000</v>
      </c>
      <c r="GV59" s="1267">
        <f t="shared" si="0"/>
        <v>227837000000</v>
      </c>
      <c r="GW59" s="1267">
        <f t="shared" si="44"/>
        <v>276696000000</v>
      </c>
      <c r="GX59" s="1267">
        <f t="shared" si="44"/>
        <v>293129000000</v>
      </c>
      <c r="GY59" s="1267">
        <f t="shared" si="44"/>
        <v>76399000000</v>
      </c>
      <c r="GZ59" s="1267">
        <f t="shared" si="44"/>
        <v>216730000000</v>
      </c>
      <c r="HA59" s="1267">
        <f t="shared" si="44"/>
        <v>-16433000000</v>
      </c>
      <c r="HB59" s="1267">
        <f t="shared" si="44"/>
        <v>-72552000000</v>
      </c>
      <c r="HC59" s="1267">
        <f t="shared" si="44"/>
        <v>71460000000</v>
      </c>
      <c r="HD59" s="1267">
        <f t="shared" si="43"/>
        <v>-270300000000</v>
      </c>
      <c r="HE59" s="1267">
        <f t="shared" si="2"/>
        <v>16875000000</v>
      </c>
      <c r="HL59" s="1267">
        <f t="shared" si="22"/>
        <v>1.6505633189408363E-2</v>
      </c>
      <c r="HM59" s="1267">
        <f t="shared" si="22"/>
        <v>3.261068736634485E-2</v>
      </c>
      <c r="HN59" s="1267">
        <f t="shared" si="22"/>
        <v>3.8689101837833112E-2</v>
      </c>
      <c r="HO59" s="1267">
        <f t="shared" si="22"/>
        <v>-2.6003868139174276E-2</v>
      </c>
      <c r="HP59" s="1267">
        <f t="shared" si="22"/>
        <v>8.835985152716077E-3</v>
      </c>
      <c r="HQ59" s="1267">
        <f t="shared" si="22"/>
        <v>9.0162989076793473E-3</v>
      </c>
      <c r="HR59" s="1267">
        <f t="shared" si="22"/>
        <v>2.1930639867626806E-4</v>
      </c>
      <c r="HS59" s="1267">
        <f t="shared" si="23"/>
        <v>4.4073386362065989E-3</v>
      </c>
      <c r="HU59" s="1267">
        <v>1.3611011441664513E-2</v>
      </c>
      <c r="HV59" s="1267">
        <f t="shared" si="24"/>
        <v>5.6042176201103987E-3</v>
      </c>
      <c r="HW59" s="1267">
        <f t="shared" si="29"/>
        <v>4.7069302444196839E-3</v>
      </c>
      <c r="ID59" s="1267">
        <f t="shared" si="41"/>
        <v>-5.0086604454754956E-2</v>
      </c>
      <c r="IE59" s="1267">
        <f t="shared" si="30"/>
        <v>-7.4054597059635879E-2</v>
      </c>
      <c r="IH59" s="1267">
        <f>CM59-GD59</f>
        <v>-0.17621134404326241</v>
      </c>
      <c r="IK59" s="1267">
        <f t="shared" si="30"/>
        <v>4.1773280126934775E-3</v>
      </c>
    </row>
    <row r="60" spans="4:245">
      <c r="D60" s="1267" t="s">
        <v>2953</v>
      </c>
      <c r="F60" s="1267">
        <v>23352371000000</v>
      </c>
      <c r="G60" s="1267">
        <v>2428241000000</v>
      </c>
      <c r="H60" s="1267">
        <f t="shared" si="6"/>
        <v>20924130000000</v>
      </c>
      <c r="I60" s="1267">
        <v>6998949000000</v>
      </c>
      <c r="J60" s="1267">
        <v>5787912000000</v>
      </c>
      <c r="K60" s="1267">
        <v>1211037000000</v>
      </c>
      <c r="L60" s="1267">
        <v>9570185000000</v>
      </c>
      <c r="M60" s="1267">
        <v>6756163000000</v>
      </c>
      <c r="N60" s="1267">
        <v>2814022000000</v>
      </c>
      <c r="O60" s="1267">
        <v>3971396000000</v>
      </c>
      <c r="P60" s="1267">
        <v>383601000000</v>
      </c>
      <c r="R60" s="1311"/>
      <c r="T60" s="1267">
        <f>'BEA int transactions'!D63*1000000</f>
        <v>194205000000</v>
      </c>
      <c r="U60" s="1267">
        <f>'BEA int transactions'!E63*1000000</f>
        <v>311139000000</v>
      </c>
      <c r="V60" s="1267">
        <v>296487000000</v>
      </c>
      <c r="W60" s="1267">
        <v>14650000000</v>
      </c>
      <c r="X60" s="1267">
        <f>1000000*'BEA int transactions'!F63</f>
        <v>160410000000</v>
      </c>
      <c r="Y60" s="1267">
        <v>196922000000</v>
      </c>
      <c r="Z60" s="1267">
        <v>-36511000000</v>
      </c>
      <c r="AA60" s="1267">
        <f>1000000*'BEA int transactions'!G63</f>
        <v>-271052000000</v>
      </c>
      <c r="AB60" s="1267">
        <f>1000000*'BEA int transactions'!H63</f>
        <v>-6292000000</v>
      </c>
      <c r="AD60" s="1267">
        <v>782985000000</v>
      </c>
      <c r="AF60" s="1267">
        <v>436908000000</v>
      </c>
      <c r="AG60" s="1267">
        <v>416422000000</v>
      </c>
      <c r="AH60" s="1267">
        <v>125507000000</v>
      </c>
      <c r="AI60" s="1267">
        <v>290915000000</v>
      </c>
      <c r="AJ60" s="1267">
        <v>20486000000</v>
      </c>
      <c r="AK60" s="1267">
        <v>307963000000</v>
      </c>
      <c r="AL60" s="1267">
        <v>203053000000</v>
      </c>
      <c r="AM60" s="1267">
        <v>104910000000</v>
      </c>
      <c r="AN60" s="1267">
        <v>31332000000</v>
      </c>
      <c r="AO60" s="1267">
        <v>220000000</v>
      </c>
      <c r="AR60" s="1267">
        <f t="shared" si="7"/>
        <v>-850350000000</v>
      </c>
      <c r="AT60" s="1267">
        <f t="shared" si="8"/>
        <v>-501610000000</v>
      </c>
      <c r="AU60" s="1267">
        <f t="shared" si="8"/>
        <v>-548704000000</v>
      </c>
      <c r="AV60" s="1267">
        <f t="shared" si="8"/>
        <v>47096000000</v>
      </c>
      <c r="AW60" s="1267">
        <f t="shared" si="9"/>
        <v>-294473000000</v>
      </c>
      <c r="AX60" s="1267">
        <f t="shared" si="9"/>
        <v>-211388000000</v>
      </c>
      <c r="AY60" s="1267">
        <f t="shared" si="9"/>
        <v>-83086000000</v>
      </c>
      <c r="AZ60" s="1267">
        <f t="shared" si="9"/>
        <v>-9908000000</v>
      </c>
      <c r="BC60" s="1267">
        <f>1000000*('Changes in position data'!E64+'Changes in position data'!F64)</f>
        <v>-944097000000</v>
      </c>
      <c r="BD60" s="1267">
        <f>1000000*('Changes in position data'!J64+'Changes in position data'!K64)</f>
        <v>-513540000000</v>
      </c>
      <c r="BE60" s="1267">
        <f>1000000*('Changes in position data'!N64+'Changes in position data'!O64)</f>
        <v>-513540000000</v>
      </c>
      <c r="BF60" s="1267">
        <f>0</f>
        <v>0</v>
      </c>
      <c r="BG60" s="1267">
        <f>1000000*('Changes in position data'!W64+'Changes in position data'!X64)</f>
        <v>-331553000000</v>
      </c>
      <c r="BH60" s="1267">
        <f>1000000*('Changes in position data'!AA64+'Changes in position data'!AB64)</f>
        <v>-229493000000</v>
      </c>
      <c r="BI60" s="1267">
        <f>1000000*('Changes in position data'!AE64+'Changes in position data'!AF64)</f>
        <v>-102060000000</v>
      </c>
      <c r="BJ60" s="1267">
        <f>1000000*('Changes in position data'!AK64)</f>
        <v>-54646000000</v>
      </c>
      <c r="BK60" s="1267">
        <f>1000000*('Changes in position data'!AO64+'Changes in position data'!AP64)</f>
        <v>-44358000000</v>
      </c>
      <c r="BN60" s="1267">
        <f t="shared" si="31"/>
        <v>-932167000000</v>
      </c>
      <c r="BO60" s="1267">
        <f>1000000*('Changes in position data'!J64+'Changes in position data'!K64+'Changes in position data'!L64)</f>
        <v>-501610000000</v>
      </c>
      <c r="BP60" s="1267">
        <f>1000000*('Changes in position data'!N64+'Changes in position data'!O64+'Changes in position data'!P64)</f>
        <v>-548704000000</v>
      </c>
      <c r="BQ60" s="1267">
        <f>1000000*('Changes in position data'!Q64)</f>
        <v>47095000000</v>
      </c>
      <c r="BR60" s="1267">
        <v>-331553000000</v>
      </c>
      <c r="BS60" s="1267">
        <v>-229493000000</v>
      </c>
      <c r="BT60" s="1267">
        <v>-102060000000</v>
      </c>
      <c r="BU60" s="1267">
        <v>-54646000000</v>
      </c>
      <c r="BV60" s="1267">
        <v>-44358000000</v>
      </c>
      <c r="BX60" s="1267">
        <f t="shared" si="10"/>
        <v>3.1530550003598098E-2</v>
      </c>
      <c r="BY60" s="1267">
        <f t="shared" si="11"/>
        <v>3.6282438476803472E-2</v>
      </c>
      <c r="BZ60" s="1267">
        <f t="shared" si="16"/>
        <v>6.0770966225370059E-2</v>
      </c>
      <c r="CA60" s="1267">
        <f t="shared" si="16"/>
        <v>6.8942567286228496E-2</v>
      </c>
      <c r="CC60" s="1267">
        <f t="shared" si="26"/>
        <v>3.1734864978718601E-2</v>
      </c>
      <c r="CD60" s="1267">
        <f t="shared" si="26"/>
        <v>2.9990271214092517E-2</v>
      </c>
      <c r="CE60" s="1267">
        <f t="shared" si="26"/>
        <v>3.5761290065274322E-2</v>
      </c>
      <c r="CF60" s="1267">
        <f t="shared" si="12"/>
        <v>7.3681507380849581E-3</v>
      </c>
      <c r="CI60" s="1267">
        <f t="shared" si="32"/>
        <v>-7.4657065306165003E-3</v>
      </c>
      <c r="CJ60" s="1267">
        <f t="shared" si="33"/>
        <v>-1.0658996135988717E-2</v>
      </c>
      <c r="CK60" s="1267">
        <f t="shared" si="33"/>
        <v>-1.6078795668105765E-2</v>
      </c>
      <c r="CL60" s="1267">
        <f t="shared" si="34"/>
        <v>1.7824902483357132E-2</v>
      </c>
      <c r="CM60" s="1267">
        <f t="shared" si="35"/>
        <v>-2.4308941815996458E-3</v>
      </c>
      <c r="CN60" s="1267">
        <f t="shared" si="35"/>
        <v>-3.9051024653691704E-3</v>
      </c>
      <c r="CO60" s="1267">
        <f t="shared" si="35"/>
        <v>9.7149629859910234E-4</v>
      </c>
      <c r="CP60" s="1267">
        <f t="shared" si="35"/>
        <v>-5.482607759086963E-3</v>
      </c>
      <c r="CT60" s="1267">
        <v>30845849998373</v>
      </c>
      <c r="CU60" s="1267">
        <v>2371927000000</v>
      </c>
      <c r="CV60" s="1267">
        <f t="shared" si="13"/>
        <v>28473922998373</v>
      </c>
      <c r="CW60" s="1267">
        <v>6700834000000</v>
      </c>
      <c r="CX60" s="1267">
        <v>5076420000000</v>
      </c>
      <c r="CY60" s="1267">
        <v>1624414000000</v>
      </c>
      <c r="CZ60" s="1267">
        <v>16645846000000</v>
      </c>
      <c r="DA60" s="1267">
        <v>6209080000000</v>
      </c>
      <c r="DB60" s="1267">
        <v>10436766000000</v>
      </c>
      <c r="DC60" s="1267">
        <v>5127243000000</v>
      </c>
      <c r="DH60" s="1267">
        <f>1000000*'BEA int transactions'!I63</f>
        <v>502112000000</v>
      </c>
      <c r="DI60" s="1267">
        <f>1000000*'BEA int transactions'!J63</f>
        <v>506161000000</v>
      </c>
      <c r="DJ60" s="1267">
        <v>390160000000</v>
      </c>
      <c r="DK60" s="1267">
        <v>116001000000</v>
      </c>
      <c r="DL60" s="1267">
        <f>1000000*'BEA int transactions'!K63</f>
        <v>213977000000</v>
      </c>
      <c r="DM60" s="1267">
        <v>-187306000000</v>
      </c>
      <c r="DN60" s="1267">
        <v>401286000000</v>
      </c>
      <c r="DO60" s="1267">
        <f>1000000*'BEA int transactions'!L63</f>
        <v>-218027000000</v>
      </c>
      <c r="DS60" s="1267">
        <v>583728000000</v>
      </c>
      <c r="DU60" s="1267">
        <v>170381000000</v>
      </c>
      <c r="DV60" s="1267">
        <v>131237000000</v>
      </c>
      <c r="DW60" s="1267">
        <v>50490000000</v>
      </c>
      <c r="DX60" s="1267">
        <v>80747000000</v>
      </c>
      <c r="DY60" s="1267">
        <v>39144000000</v>
      </c>
      <c r="DZ60" s="1267">
        <v>398380000000</v>
      </c>
      <c r="EA60" s="1267">
        <v>136767000000</v>
      </c>
      <c r="EB60" s="1267">
        <v>398380000000</v>
      </c>
      <c r="EC60" s="1267">
        <v>14967000000</v>
      </c>
      <c r="EF60" s="1279"/>
      <c r="EG60" s="1279">
        <f t="shared" si="17"/>
        <v>-674240713145.69922</v>
      </c>
      <c r="EH60" s="1279"/>
      <c r="EI60" s="1279">
        <f t="shared" si="18"/>
        <v>-174851000000</v>
      </c>
      <c r="EJ60" s="1279">
        <f t="shared" si="18"/>
        <v>-209492000000</v>
      </c>
      <c r="EK60" s="1279">
        <f t="shared" si="18"/>
        <v>34641000000</v>
      </c>
      <c r="EL60" s="1279">
        <f t="shared" si="18"/>
        <v>-489546000000</v>
      </c>
      <c r="EM60" s="1279">
        <f t="shared" si="18"/>
        <v>-246121000000</v>
      </c>
      <c r="EN60" s="1279">
        <f t="shared" si="18"/>
        <v>-243428000000</v>
      </c>
      <c r="EO60" s="1279">
        <f t="shared" si="18"/>
        <v>-9843000000</v>
      </c>
      <c r="ER60" s="1267">
        <f>1000000*('Changes in position data'!AV64+'Changes in position data'!AW64)</f>
        <v>-654716000000</v>
      </c>
      <c r="ES60" s="1267">
        <f>1000000*('Changes in position data'!BA64)</f>
        <v>-161625000000</v>
      </c>
      <c r="ET60" s="1267">
        <f>1000000*('Changes in position data'!BE64)</f>
        <v>-161625000000</v>
      </c>
      <c r="EV60" s="1267">
        <f>1000000*('Changes in position data'!BN64+'Changes in position data'!BO64)</f>
        <v>-457513000000</v>
      </c>
      <c r="EW60" s="1267">
        <f>1000000*('Changes in position data'!BR64)</f>
        <v>-188078000000</v>
      </c>
      <c r="EX60" s="1267">
        <f>1000000*('Changes in position data'!BV64+'Changes in position data'!BW64)</f>
        <v>-269435000000</v>
      </c>
      <c r="EY60" s="1267">
        <f>1000000*('Changes in position data'!CB64)</f>
        <v>-35578000000</v>
      </c>
      <c r="FP60" s="1267">
        <f t="shared" si="19"/>
        <v>2.0377258474517119E-2</v>
      </c>
      <c r="FQ60" s="1267">
        <f t="shared" si="20"/>
        <v>2.6749408590029649E-2</v>
      </c>
      <c r="FR60" s="1267">
        <f t="shared" si="20"/>
        <v>2.6806300645947752E-2</v>
      </c>
      <c r="FS60" s="1267">
        <f t="shared" si="27"/>
        <v>2.6560417757970703E-2</v>
      </c>
      <c r="FT60" s="1267">
        <f t="shared" si="27"/>
        <v>2.3542948388181485E-2</v>
      </c>
      <c r="FU60" s="1267">
        <f t="shared" si="27"/>
        <v>2.0589665919810096E-2</v>
      </c>
      <c r="FV60" s="1267">
        <f t="shared" si="27"/>
        <v>3.8757035280401378E-2</v>
      </c>
      <c r="FW60" s="1267">
        <f t="shared" si="21"/>
        <v>2.7948990058659826E-3</v>
      </c>
      <c r="FZ60" s="1267">
        <f t="shared" si="36"/>
        <v>-2.4781076538884913E-3</v>
      </c>
      <c r="GA60" s="1267">
        <f t="shared" si="37"/>
        <v>1.3746710115229962E-3</v>
      </c>
      <c r="GB60" s="1267">
        <f t="shared" si="38"/>
        <v>-2.0619200256213308E-2</v>
      </c>
      <c r="GD60" s="1267">
        <f t="shared" si="39"/>
        <v>-8.902211168162864E-3</v>
      </c>
      <c r="GE60" s="1267">
        <f t="shared" si="39"/>
        <v>-4.9918726775256671E-3</v>
      </c>
      <c r="GF60" s="1267">
        <f t="shared" si="39"/>
        <v>2.4078856972766027E-2</v>
      </c>
      <c r="GG60" s="1267">
        <f t="shared" si="40"/>
        <v>-3.848845019703599E-3</v>
      </c>
      <c r="GJ60" s="1267">
        <f t="shared" si="3"/>
        <v>-7493478998373</v>
      </c>
      <c r="GK60" s="1267">
        <f t="shared" si="4"/>
        <v>298115000000</v>
      </c>
      <c r="GL60" s="1267">
        <f t="shared" si="4"/>
        <v>711492000000</v>
      </c>
      <c r="GM60" s="1267">
        <f t="shared" si="4"/>
        <v>-413377000000</v>
      </c>
      <c r="GN60" s="1267">
        <f t="shared" si="5"/>
        <v>-7075661000000</v>
      </c>
      <c r="GO60" s="1267">
        <f t="shared" si="5"/>
        <v>547083000000</v>
      </c>
      <c r="GP60" s="1267">
        <f t="shared" si="5"/>
        <v>-7622744000000</v>
      </c>
      <c r="GQ60" s="1267">
        <f t="shared" si="5"/>
        <v>-1155847000000</v>
      </c>
      <c r="GV60" s="1267">
        <f t="shared" si="0"/>
        <v>199257000000</v>
      </c>
      <c r="GW60" s="1267">
        <f t="shared" si="44"/>
        <v>266527000000</v>
      </c>
      <c r="GX60" s="1267">
        <f t="shared" si="44"/>
        <v>285185000000</v>
      </c>
      <c r="GY60" s="1267">
        <f t="shared" si="44"/>
        <v>75017000000</v>
      </c>
      <c r="GZ60" s="1267">
        <f t="shared" si="44"/>
        <v>210168000000</v>
      </c>
      <c r="HA60" s="1267">
        <f t="shared" si="44"/>
        <v>-18658000000</v>
      </c>
      <c r="HB60" s="1267">
        <f t="shared" si="44"/>
        <v>-90417000000</v>
      </c>
      <c r="HC60" s="1267">
        <f t="shared" si="44"/>
        <v>66286000000</v>
      </c>
      <c r="HD60" s="1267">
        <f t="shared" si="43"/>
        <v>-293470000000</v>
      </c>
      <c r="HE60" s="1267">
        <f t="shared" si="2"/>
        <v>16365000000</v>
      </c>
      <c r="HL60" s="1267">
        <f t="shared" si="22"/>
        <v>1.5905180002286353E-2</v>
      </c>
      <c r="HM60" s="1267">
        <f t="shared" si="22"/>
        <v>3.4021557635340413E-2</v>
      </c>
      <c r="HN60" s="1267">
        <f t="shared" si="22"/>
        <v>4.2136266640280744E-2</v>
      </c>
      <c r="HO60" s="1267">
        <f t="shared" si="22"/>
        <v>-2.6560417757970703E-2</v>
      </c>
      <c r="HP60" s="1267">
        <f t="shared" si="22"/>
        <v>8.1919165905371162E-3</v>
      </c>
      <c r="HQ60" s="1267">
        <f t="shared" si="22"/>
        <v>9.4006052942824207E-3</v>
      </c>
      <c r="HR60" s="1267">
        <f t="shared" si="22"/>
        <v>-2.9957452151270561E-3</v>
      </c>
      <c r="HS60" s="1267">
        <f t="shared" si="23"/>
        <v>4.5732517322189751E-3</v>
      </c>
      <c r="HU60" s="1267">
        <v>1.2917475840116144E-2</v>
      </c>
      <c r="HV60" s="1267">
        <f t="shared" si="24"/>
        <v>5.4931267896125742E-3</v>
      </c>
      <c r="HW60" s="1267">
        <f t="shared" si="29"/>
        <v>4.5361188192817592E-3</v>
      </c>
      <c r="ID60" s="1267">
        <f t="shared" si="41"/>
        <v>-4.987598876728009E-3</v>
      </c>
      <c r="IE60" s="1267">
        <f t="shared" si="30"/>
        <v>-1.2033667147511713E-2</v>
      </c>
      <c r="IH60" s="1267">
        <f t="shared" si="42"/>
        <v>6.4713169865632178E-3</v>
      </c>
      <c r="IK60" s="1267">
        <f t="shared" si="30"/>
        <v>-1.633762739383364E-3</v>
      </c>
    </row>
    <row r="61" spans="4:245">
      <c r="D61" s="1267" t="s">
        <v>2954</v>
      </c>
      <c r="F61" s="1267">
        <v>23849445000000</v>
      </c>
      <c r="G61" s="1267">
        <v>2208980000000</v>
      </c>
      <c r="H61" s="1267">
        <f t="shared" si="6"/>
        <v>21640465000000</v>
      </c>
      <c r="I61" s="1267">
        <v>7375049000000</v>
      </c>
      <c r="J61" s="1267">
        <v>6172334000000</v>
      </c>
      <c r="K61" s="1267">
        <v>1202715000000</v>
      </c>
      <c r="L61" s="1267">
        <v>9879246000000</v>
      </c>
      <c r="M61" s="1267">
        <v>6997004000000</v>
      </c>
      <c r="N61" s="1267">
        <v>2882242000000</v>
      </c>
      <c r="O61" s="1267">
        <v>3978948000000</v>
      </c>
      <c r="P61" s="1267">
        <v>407223000000</v>
      </c>
      <c r="R61" s="1311"/>
      <c r="T61" s="1267">
        <f>'BEA int transactions'!D64*1000000</f>
        <v>347891000000</v>
      </c>
      <c r="U61" s="1267">
        <f>'BEA int transactions'!E64*1000000</f>
        <v>311581000000</v>
      </c>
      <c r="V61" s="1267">
        <v>329732000000</v>
      </c>
      <c r="W61" s="1267">
        <v>-18150000000</v>
      </c>
      <c r="X61" s="1267">
        <f>1000000*'BEA int transactions'!F64</f>
        <v>40638000000</v>
      </c>
      <c r="Y61" s="1267">
        <v>14421000000</v>
      </c>
      <c r="Z61" s="1267">
        <v>26215000000</v>
      </c>
      <c r="AA61" s="1267">
        <f>1000000*'BEA int transactions'!G64</f>
        <v>-6418000000</v>
      </c>
      <c r="AB61" s="1267">
        <f>1000000*'BEA int transactions'!H64</f>
        <v>2090000000</v>
      </c>
      <c r="AD61" s="1267">
        <v>813972000000</v>
      </c>
      <c r="AF61" s="1267">
        <v>444036000000</v>
      </c>
      <c r="AG61" s="1267">
        <v>419493000000</v>
      </c>
      <c r="AH61" s="1267">
        <v>120899000000</v>
      </c>
      <c r="AI61" s="1267">
        <v>298594000000</v>
      </c>
      <c r="AJ61" s="1267">
        <v>24543000000</v>
      </c>
      <c r="AK61" s="1267">
        <v>324049000000</v>
      </c>
      <c r="AL61" s="1267">
        <v>217629000000</v>
      </c>
      <c r="AM61" s="1267">
        <v>106420000000</v>
      </c>
      <c r="AN61" s="1267">
        <v>39233000000</v>
      </c>
      <c r="AO61" s="1267">
        <v>107000000</v>
      </c>
      <c r="AR61" s="1267">
        <f t="shared" si="7"/>
        <v>368444000000</v>
      </c>
      <c r="AT61" s="1267">
        <f t="shared" si="8"/>
        <v>64519000000</v>
      </c>
      <c r="AU61" s="1267">
        <f t="shared" si="8"/>
        <v>54690000000</v>
      </c>
      <c r="AV61" s="1267">
        <f t="shared" si="8"/>
        <v>9828000000</v>
      </c>
      <c r="AW61" s="1267">
        <f t="shared" si="9"/>
        <v>268423000000</v>
      </c>
      <c r="AX61" s="1267">
        <f t="shared" si="9"/>
        <v>226420000000</v>
      </c>
      <c r="AY61" s="1267">
        <f t="shared" si="9"/>
        <v>42005000000</v>
      </c>
      <c r="AZ61" s="1267">
        <f t="shared" si="9"/>
        <v>13970000000</v>
      </c>
      <c r="BC61" s="1267">
        <f>1000000*('Changes in position data'!E65+'Changes in position data'!F65)</f>
        <v>335764000000</v>
      </c>
      <c r="BD61" s="1267">
        <f>1000000*('Changes in position data'!J65+'Changes in position data'!K65)</f>
        <v>63562000000</v>
      </c>
      <c r="BE61" s="1267">
        <f>1000000*('Changes in position data'!N65+'Changes in position data'!O65)</f>
        <v>63562000000</v>
      </c>
      <c r="BF61" s="1267">
        <f>0</f>
        <v>0</v>
      </c>
      <c r="BG61" s="1267">
        <f>1000000*('Changes in position data'!W65+'Changes in position data'!X65)</f>
        <v>274736000000</v>
      </c>
      <c r="BH61" s="1267">
        <f>1000000*('Changes in position data'!AA65+'Changes in position data'!AB65)</f>
        <v>226521000000</v>
      </c>
      <c r="BI61" s="1267">
        <f>1000000*('Changes in position data'!AE65+'Changes in position data'!AF65)</f>
        <v>48215000000</v>
      </c>
      <c r="BJ61" s="1267">
        <f>1000000*('Changes in position data'!AK65)</f>
        <v>-24066000000</v>
      </c>
      <c r="BK61" s="1267">
        <f>1000000*('Changes in position data'!AO65+'Changes in position data'!AP65)</f>
        <v>21532000000</v>
      </c>
      <c r="BN61" s="1267">
        <f t="shared" si="31"/>
        <v>336721000000</v>
      </c>
      <c r="BO61" s="1267">
        <f>1000000*('Changes in position data'!J65+'Changes in position data'!K65+'Changes in position data'!L65)</f>
        <v>64519000000</v>
      </c>
      <c r="BP61" s="1267">
        <f>1000000*('Changes in position data'!N65+'Changes in position data'!O65+'Changes in position data'!P65)</f>
        <v>54690000000</v>
      </c>
      <c r="BQ61" s="1267">
        <f>1000000*('Changes in position data'!Q65)</f>
        <v>9829000000</v>
      </c>
      <c r="BR61" s="1267">
        <v>274736000000</v>
      </c>
      <c r="BS61" s="1267">
        <v>226521000000</v>
      </c>
      <c r="BT61" s="1267">
        <v>48215000000</v>
      </c>
      <c r="BU61" s="1267">
        <v>-24066000000</v>
      </c>
      <c r="BV61" s="1267">
        <v>21532000000</v>
      </c>
      <c r="BX61" s="1267">
        <f t="shared" si="10"/>
        <v>3.4856075213947228E-2</v>
      </c>
      <c r="BY61" s="1267">
        <f t="shared" si="11"/>
        <v>3.8901115601939006E-2</v>
      </c>
      <c r="BZ61" s="1267">
        <f t="shared" si="16"/>
        <v>6.3443239835009518E-2</v>
      </c>
      <c r="CA61" s="1267">
        <f t="shared" si="16"/>
        <v>7.2477432276095419E-2</v>
      </c>
      <c r="CC61" s="1267">
        <f>AK61/L60</f>
        <v>3.3860264979203643E-2</v>
      </c>
      <c r="CD61" s="1267">
        <f t="shared" si="26"/>
        <v>3.2211922654915223E-2</v>
      </c>
      <c r="CE61" s="1267">
        <f t="shared" si="26"/>
        <v>3.7817756932959301E-2</v>
      </c>
      <c r="CF61" s="1267">
        <f t="shared" si="12"/>
        <v>9.878893970785084E-3</v>
      </c>
      <c r="CI61" s="1267">
        <f t="shared" si="32"/>
        <v>5.4947852073180578E-2</v>
      </c>
      <c r="CJ61" s="1267">
        <f t="shared" si="33"/>
        <v>7.2524889094062545E-2</v>
      </c>
      <c r="CK61" s="1267">
        <f t="shared" si="33"/>
        <v>8.3459285490173313E-2</v>
      </c>
      <c r="CL61" s="1267">
        <f t="shared" si="34"/>
        <v>2.0266102522053412E-2</v>
      </c>
      <c r="CM61" s="1267">
        <f t="shared" si="35"/>
        <v>6.2567756004716729E-2</v>
      </c>
      <c r="CN61" s="1267">
        <f t="shared" si="35"/>
        <v>6.5739976966215877E-2</v>
      </c>
      <c r="CO61" s="1267">
        <f t="shared" si="35"/>
        <v>5.4951595971886501E-2</v>
      </c>
      <c r="CP61" s="1267">
        <f>(BJ61+AN61)/O60</f>
        <v>3.8190600987662777E-3</v>
      </c>
      <c r="CT61" s="1267">
        <v>32167822929187.301</v>
      </c>
      <c r="CU61" s="1267">
        <v>2147674000000</v>
      </c>
      <c r="CV61" s="1267">
        <f t="shared" si="13"/>
        <v>30020148929187.301</v>
      </c>
      <c r="CW61" s="1267">
        <v>7569251000000</v>
      </c>
      <c r="CX61" s="1267">
        <v>5783500000000</v>
      </c>
      <c r="CY61" s="1267">
        <v>1785751000000</v>
      </c>
      <c r="CZ61" s="1267">
        <v>17352317000000</v>
      </c>
      <c r="DA61" s="1267">
        <v>6563950000000</v>
      </c>
      <c r="DB61" s="1267">
        <v>10788367000000</v>
      </c>
      <c r="DC61" s="1267">
        <v>5098581000000</v>
      </c>
      <c r="DH61" s="1267">
        <f>1000000*'BEA int transactions'!I64</f>
        <v>741393000000</v>
      </c>
      <c r="DI61" s="1267">
        <f>1000000*'BEA int transactions'!J64</f>
        <v>479415000000</v>
      </c>
      <c r="DJ61" s="1267">
        <v>351769000000</v>
      </c>
      <c r="DK61" s="1267">
        <v>127646000000</v>
      </c>
      <c r="DL61" s="1267">
        <f>1000000*'BEA int transactions'!K64</f>
        <v>237367000000</v>
      </c>
      <c r="DM61" s="1267">
        <v>-141078000000</v>
      </c>
      <c r="DN61" s="1267">
        <v>378444000000</v>
      </c>
      <c r="DO61" s="1267">
        <f>1000000*'BEA int transactions'!L64</f>
        <v>24612000000</v>
      </c>
      <c r="DS61" s="1267">
        <v>620610000000</v>
      </c>
      <c r="DU61" s="1267">
        <v>185211000000</v>
      </c>
      <c r="DV61" s="1267">
        <v>138109000000</v>
      </c>
      <c r="DW61" s="1267">
        <v>40437000000</v>
      </c>
      <c r="DX61" s="1267">
        <v>97672000000</v>
      </c>
      <c r="DY61" s="1267">
        <v>47102000000</v>
      </c>
      <c r="DZ61" s="1267">
        <v>409152000000</v>
      </c>
      <c r="EA61" s="1267">
        <v>138487000000</v>
      </c>
      <c r="EB61" s="1267">
        <v>409152000000</v>
      </c>
      <c r="EC61" s="1267">
        <v>26247000000</v>
      </c>
      <c r="EF61" s="1279"/>
      <c r="EG61" s="1279">
        <f t="shared" si="17"/>
        <v>804832930814.30078</v>
      </c>
      <c r="EH61" s="1279"/>
      <c r="EI61" s="1279">
        <f>CW61-CW60-DI61</f>
        <v>389002000000</v>
      </c>
      <c r="EJ61" s="1279">
        <f t="shared" ref="EJ61:EO62" si="45">CX61-CX60-DJ61</f>
        <v>355311000000</v>
      </c>
      <c r="EK61" s="1279">
        <f t="shared" si="45"/>
        <v>33691000000</v>
      </c>
      <c r="EL61" s="1279">
        <f t="shared" si="45"/>
        <v>469104000000</v>
      </c>
      <c r="EM61" s="1279">
        <f t="shared" si="45"/>
        <v>495948000000</v>
      </c>
      <c r="EN61" s="1279">
        <f t="shared" si="45"/>
        <v>-26843000000</v>
      </c>
      <c r="EO61" s="1279">
        <f t="shared" si="45"/>
        <v>-53274000000</v>
      </c>
      <c r="ER61" s="1267">
        <f>1000000*('Changes in position data'!AV65+'Changes in position data'!AW65)</f>
        <v>771500000000</v>
      </c>
      <c r="ES61" s="1267">
        <f>1000000*('Changes in position data'!BA65)</f>
        <v>386222000000</v>
      </c>
      <c r="ET61" s="1267">
        <f>1000000*('Changes in position data'!BE65)</f>
        <v>386222000000</v>
      </c>
      <c r="EV61" s="1267">
        <f>1000000*('Changes in position data'!BN65+'Changes in position data'!BO65)</f>
        <v>401353000000</v>
      </c>
      <c r="EW61" s="1267">
        <f>1000000*('Changes in position data'!BR65)</f>
        <v>471485000000</v>
      </c>
      <c r="EX61" s="1267">
        <f>1000000*('Changes in position data'!BV65+'Changes in position data'!BW65)</f>
        <v>-70132000000</v>
      </c>
      <c r="EY61" s="1267">
        <f>1000000*('Changes in position data'!CB65)</f>
        <v>-16075000000</v>
      </c>
      <c r="FP61" s="1267">
        <f t="shared" si="19"/>
        <v>2.1795732187498775E-2</v>
      </c>
      <c r="FQ61" s="1267">
        <f t="shared" si="20"/>
        <v>2.7639992275588381E-2</v>
      </c>
      <c r="FR61" s="1267">
        <f t="shared" si="20"/>
        <v>2.7205983744449828E-2</v>
      </c>
      <c r="FS61" s="1267">
        <f t="shared" si="27"/>
        <v>2.8996302666684723E-2</v>
      </c>
      <c r="FT61" s="1267">
        <f t="shared" si="27"/>
        <v>2.4579826101959613E-2</v>
      </c>
      <c r="FU61" s="1267">
        <f t="shared" si="27"/>
        <v>2.230394841103674E-2</v>
      </c>
      <c r="FV61" s="1267">
        <f t="shared" si="27"/>
        <v>3.9202948499563947E-2</v>
      </c>
      <c r="FW61" s="1267">
        <f t="shared" si="21"/>
        <v>5.1191254247165583E-3</v>
      </c>
      <c r="FZ61" s="1267">
        <f t="shared" si="36"/>
        <v>4.8890699046968175E-2</v>
      </c>
      <c r="GA61" s="1267">
        <f>(ES61+DU61)/CW60</f>
        <v>8.5277892274304962E-2</v>
      </c>
      <c r="GB61" s="1267">
        <f t="shared" si="38"/>
        <v>0.32278163079116529</v>
      </c>
      <c r="GD61" s="1267">
        <f>(EV61+DZ61)/DA60</f>
        <v>0.13053544164352851</v>
      </c>
      <c r="GE61" s="1267">
        <f t="shared" si="39"/>
        <v>5.8444541153840186E-2</v>
      </c>
      <c r="GF61" s="1267">
        <f t="shared" si="39"/>
        <v>6.6121305348703002E-2</v>
      </c>
      <c r="GG61" s="1267">
        <f t="shared" si="40"/>
        <v>1.983912211689596E-3</v>
      </c>
      <c r="GJ61" s="1267">
        <f t="shared" si="3"/>
        <v>-8318377929187.3008</v>
      </c>
      <c r="GK61" s="1267">
        <f t="shared" si="4"/>
        <v>-194202000000</v>
      </c>
      <c r="GL61" s="1267">
        <f t="shared" si="4"/>
        <v>388834000000</v>
      </c>
      <c r="GM61" s="1267">
        <f t="shared" si="4"/>
        <v>-583036000000</v>
      </c>
      <c r="GN61" s="1267">
        <f t="shared" si="5"/>
        <v>-7473071000000</v>
      </c>
      <c r="GO61" s="1267">
        <f t="shared" si="5"/>
        <v>433054000000</v>
      </c>
      <c r="GP61" s="1267">
        <f t="shared" si="5"/>
        <v>-7906125000000</v>
      </c>
      <c r="GQ61" s="1267">
        <f t="shared" si="5"/>
        <v>-1119633000000</v>
      </c>
      <c r="GV61" s="1267">
        <f t="shared" si="0"/>
        <v>193362000000</v>
      </c>
      <c r="GW61" s="1267">
        <f t="shared" si="44"/>
        <v>258825000000</v>
      </c>
      <c r="GX61" s="1267">
        <f t="shared" si="44"/>
        <v>281384000000</v>
      </c>
      <c r="GY61" s="1267">
        <f t="shared" si="44"/>
        <v>80462000000</v>
      </c>
      <c r="GZ61" s="1267">
        <f t="shared" si="44"/>
        <v>200922000000</v>
      </c>
      <c r="HA61" s="1267">
        <f t="shared" si="44"/>
        <v>-22559000000</v>
      </c>
      <c r="HB61" s="1267">
        <f t="shared" si="44"/>
        <v>-85103000000</v>
      </c>
      <c r="HC61" s="1267">
        <f t="shared" si="44"/>
        <v>79142000000</v>
      </c>
      <c r="HD61" s="1267">
        <f t="shared" si="43"/>
        <v>-302732000000</v>
      </c>
      <c r="HE61" s="1267">
        <f t="shared" si="2"/>
        <v>12986000000</v>
      </c>
      <c r="HL61" s="1267">
        <f t="shared" si="22"/>
        <v>1.710538341444023E-2</v>
      </c>
      <c r="HM61" s="1267">
        <f t="shared" si="22"/>
        <v>3.5803247559421138E-2</v>
      </c>
      <c r="HN61" s="1267">
        <f t="shared" si="22"/>
        <v>4.5271448531645594E-2</v>
      </c>
      <c r="HO61" s="1267">
        <f t="shared" si="22"/>
        <v>-2.8996302666684723E-2</v>
      </c>
      <c r="HP61" s="1267">
        <f>CC61-FT61</f>
        <v>9.2804388772440294E-3</v>
      </c>
      <c r="HQ61" s="1267">
        <f t="shared" si="22"/>
        <v>9.9079742438784833E-3</v>
      </c>
      <c r="HR61" s="1267">
        <f t="shared" si="22"/>
        <v>-1.385191566604646E-3</v>
      </c>
      <c r="HS61" s="1267">
        <f t="shared" si="23"/>
        <v>4.7597685460685256E-3</v>
      </c>
      <c r="HU61" s="1267">
        <v>1.4455993871564387E-2</v>
      </c>
      <c r="HV61" s="1267">
        <f t="shared" si="24"/>
        <v>6.5688576335511881E-3</v>
      </c>
      <c r="HW61" s="1267">
        <f>((AD61-AG61)/(H60-J60))-((DS61-DV61)/(CV60-CX60))</f>
        <v>5.4400250267746149E-3</v>
      </c>
      <c r="ID61" s="1267">
        <f>CI61-FZ61</f>
        <v>6.0571530262124029E-3</v>
      </c>
      <c r="IE61" s="1267">
        <f t="shared" si="30"/>
        <v>-1.2753003180242417E-2</v>
      </c>
      <c r="IH61" s="1267">
        <f>CM61-GD61</f>
        <v>-6.7967685638811781E-2</v>
      </c>
      <c r="IK61" s="1267">
        <f t="shared" si="30"/>
        <v>1.8351478870766817E-3</v>
      </c>
    </row>
    <row r="62" spans="4:245" ht="14.5" customHeight="1">
      <c r="D62" s="1267" t="s">
        <v>2955</v>
      </c>
      <c r="F62" s="1267">
        <v>27632835000000</v>
      </c>
      <c r="G62" s="1267">
        <v>1622483000000</v>
      </c>
      <c r="H62" s="1267">
        <f t="shared" si="6"/>
        <v>26010352000000</v>
      </c>
      <c r="I62" s="1267">
        <v>8863392000000</v>
      </c>
      <c r="J62" s="1267">
        <v>7623152000000</v>
      </c>
      <c r="K62" s="1267">
        <v>1240240000000</v>
      </c>
      <c r="L62" s="1267">
        <v>12443150000000</v>
      </c>
      <c r="M62" s="1267">
        <v>9027042000000</v>
      </c>
      <c r="N62" s="1267">
        <v>3416108000000</v>
      </c>
      <c r="O62" s="1267">
        <v>4254107000000</v>
      </c>
      <c r="P62" s="1267">
        <v>449703000000</v>
      </c>
      <c r="R62" s="1311"/>
      <c r="T62" s="1267">
        <f>'BEA int transactions'!D65*1000000</f>
        <v>1212361000000</v>
      </c>
      <c r="U62" s="1267">
        <f>'BEA int transactions'!E65*1000000</f>
        <v>424418000000</v>
      </c>
      <c r="V62" s="1267">
        <v>374917000000</v>
      </c>
      <c r="W62" s="1267">
        <v>49504000000</v>
      </c>
      <c r="X62" s="1267">
        <f>1000000*'BEA int transactions'!F65</f>
        <v>589516000000</v>
      </c>
      <c r="Y62" s="1267">
        <v>193795000000</v>
      </c>
      <c r="Z62" s="1267">
        <v>395722000000</v>
      </c>
      <c r="AA62" s="1267">
        <f>1000000*'BEA int transactions'!G65</f>
        <v>200117000000</v>
      </c>
      <c r="AB62" s="1267">
        <f>1000000*'BEA int transactions'!H65</f>
        <v>-1690000000</v>
      </c>
      <c r="AD62" s="1267">
        <v>926861000000</v>
      </c>
      <c r="AF62" s="1267">
        <v>507029000000</v>
      </c>
      <c r="AG62" s="1267">
        <v>479053000000</v>
      </c>
      <c r="AH62" s="1267">
        <v>134468000000</v>
      </c>
      <c r="AI62" s="1267">
        <v>344585000000</v>
      </c>
      <c r="AJ62" s="1267">
        <v>27976000000</v>
      </c>
      <c r="AK62" s="1267">
        <v>351419000000</v>
      </c>
      <c r="AL62" s="1267">
        <v>233137000000</v>
      </c>
      <c r="AM62" s="1267">
        <v>118282000000</v>
      </c>
      <c r="AN62" s="1267">
        <v>61393000000</v>
      </c>
      <c r="AO62" s="1267">
        <v>399000000</v>
      </c>
      <c r="AR62" s="1267">
        <f t="shared" si="7"/>
        <v>3157526000000</v>
      </c>
      <c r="AT62" s="1267">
        <f t="shared" si="8"/>
        <v>1063925000000</v>
      </c>
      <c r="AU62" s="1267">
        <f t="shared" si="8"/>
        <v>1075901000000</v>
      </c>
      <c r="AV62" s="1267">
        <f t="shared" si="8"/>
        <v>-11979000000</v>
      </c>
      <c r="AW62" s="1267">
        <f t="shared" si="8"/>
        <v>1974388000000</v>
      </c>
      <c r="AX62" s="1267">
        <f t="shared" si="8"/>
        <v>1836243000000</v>
      </c>
      <c r="AY62" s="1267">
        <f t="shared" si="8"/>
        <v>138144000000</v>
      </c>
      <c r="AZ62" s="1267">
        <f t="shared" si="8"/>
        <v>75042000000</v>
      </c>
      <c r="CT62" s="1267">
        <v>35478644270014.398</v>
      </c>
      <c r="CU62" s="1267">
        <v>1594223000000</v>
      </c>
      <c r="CV62" s="1267">
        <f t="shared" si="13"/>
        <v>33884421270014.398</v>
      </c>
      <c r="CW62" s="1267">
        <v>8871379000000</v>
      </c>
      <c r="CX62" s="1267">
        <v>7055518000000</v>
      </c>
      <c r="CY62" s="1267">
        <v>1815861000000</v>
      </c>
      <c r="CZ62" s="1267">
        <v>19504173000000</v>
      </c>
      <c r="DA62" s="1267">
        <v>7958613000000</v>
      </c>
      <c r="DB62" s="1267">
        <v>11545560000000</v>
      </c>
      <c r="DC62" s="1267">
        <v>5508869000000</v>
      </c>
      <c r="DH62" s="1267">
        <f>1000000*'BEA int transactions'!I65</f>
        <v>1587915000000</v>
      </c>
      <c r="DI62" s="1267">
        <f>1000000*'BEA int transactions'!J65</f>
        <v>348674000000</v>
      </c>
      <c r="DJ62" s="1267">
        <v>293685000000</v>
      </c>
      <c r="DK62" s="1267">
        <v>54989000000</v>
      </c>
      <c r="DL62" s="1267">
        <f>1000000*'BEA int transactions'!K65</f>
        <v>837051000000</v>
      </c>
      <c r="DM62" s="1267">
        <v>166825000000</v>
      </c>
      <c r="DN62" s="1267">
        <v>670225000000</v>
      </c>
      <c r="DO62" s="1267">
        <f>1000000*'BEA int transactions'!L65</f>
        <v>402191000000</v>
      </c>
      <c r="DS62" s="1267">
        <v>688831000000</v>
      </c>
      <c r="DU62" s="1267">
        <v>201970000000</v>
      </c>
      <c r="DV62" s="1267">
        <v>149941000000</v>
      </c>
      <c r="DW62" s="1267">
        <v>41466000000</v>
      </c>
      <c r="DX62" s="1267">
        <v>108475000000</v>
      </c>
      <c r="DY62" s="1267">
        <v>52029000000</v>
      </c>
      <c r="DZ62" s="1267">
        <v>438865000000</v>
      </c>
      <c r="EA62" s="1267">
        <v>144681000000</v>
      </c>
      <c r="EB62" s="1267">
        <v>438865000000</v>
      </c>
      <c r="EC62" s="1267">
        <v>47996000000</v>
      </c>
      <c r="EG62" s="1279">
        <f t="shared" si="17"/>
        <v>2276357340827.0977</v>
      </c>
      <c r="EI62" s="1279">
        <f>CW62-CW61-DI62</f>
        <v>953454000000</v>
      </c>
      <c r="EJ62" s="1279">
        <f t="shared" si="45"/>
        <v>978333000000</v>
      </c>
      <c r="EK62" s="1279">
        <f t="shared" si="45"/>
        <v>-24879000000</v>
      </c>
      <c r="EL62" s="1279">
        <f t="shared" si="45"/>
        <v>1314805000000</v>
      </c>
      <c r="EM62" s="1279">
        <f t="shared" si="45"/>
        <v>1227838000000</v>
      </c>
      <c r="EN62" s="1279">
        <f t="shared" si="45"/>
        <v>86968000000</v>
      </c>
      <c r="EO62" s="1279">
        <f>DC62-DC61-DO62</f>
        <v>8097000000</v>
      </c>
      <c r="FP62" s="1267">
        <f t="shared" si="19"/>
        <v>2.2945622342675297E-2</v>
      </c>
      <c r="FQ62" s="1267">
        <f t="shared" si="20"/>
        <v>2.6682957138031226E-2</v>
      </c>
      <c r="FR62" s="1267">
        <f t="shared" si="20"/>
        <v>2.5925650557620819E-2</v>
      </c>
      <c r="FS62" s="1267">
        <f t="shared" si="27"/>
        <v>2.9135640971221632E-2</v>
      </c>
      <c r="FT62" s="1267">
        <f t="shared" si="27"/>
        <v>2.5291435143790883E-2</v>
      </c>
      <c r="FU62" s="1267">
        <f t="shared" si="27"/>
        <v>2.2041758392431388E-2</v>
      </c>
      <c r="FV62" s="1267">
        <f t="shared" si="27"/>
        <v>4.0679465205438414E-2</v>
      </c>
      <c r="FW62" s="1267">
        <f t="shared" si="21"/>
        <v>9.4135995878068812E-3</v>
      </c>
    </row>
    <row r="63" spans="4:245">
      <c r="BG63" s="1267">
        <f>AVERAGE(BG48:BG61)</f>
        <v>230139785714.28571</v>
      </c>
      <c r="HP63" s="1267">
        <f>AVERAGE(HP48:HP61)</f>
        <v>3.1967004060894735E-3</v>
      </c>
    </row>
    <row r="65" spans="60:241" ht="57.75" customHeight="1">
      <c r="BH65" s="1312">
        <f>BG48</f>
        <v>631503000000</v>
      </c>
      <c r="ID65" s="1274" t="s">
        <v>2956</v>
      </c>
      <c r="IE65" s="1306" t="s">
        <v>2853</v>
      </c>
      <c r="IF65" s="1306" t="s">
        <v>2856</v>
      </c>
      <c r="IG65" s="1306" t="s">
        <v>2859</v>
      </c>
    </row>
    <row r="66" spans="60:241">
      <c r="IC66" s="1267" t="s">
        <v>2957</v>
      </c>
      <c r="ID66" s="1267">
        <f>AVERAGE(ID48:ID61)</f>
        <v>3.0614531129616117E-2</v>
      </c>
      <c r="IE66" s="1267">
        <f>AVERAGE(IE48:IE61)</f>
        <v>3.827949334514609E-2</v>
      </c>
      <c r="IF66" s="1267">
        <f>AVERAGE(IH48:IH61)</f>
        <v>-8.2872293272811662E-2</v>
      </c>
      <c r="IG66" s="1267">
        <f>AVERAGE(IK48:IK61)</f>
        <v>5.1564894053993185E-3</v>
      </c>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P65"/>
  <sheetViews>
    <sheetView zoomScale="70" zoomScaleNormal="70" zoomScalePageLayoutView="70" workbookViewId="0">
      <selection activeCell="X67" sqref="X67"/>
    </sheetView>
  </sheetViews>
  <sheetFormatPr baseColWidth="10" defaultColWidth="7.5703125" defaultRowHeight="15" x14ac:dyDescent="0"/>
  <cols>
    <col min="1" max="2" width="7.5703125" style="1267"/>
    <col min="3" max="3" width="11.28515625" style="1267" customWidth="1"/>
    <col min="4" max="4" width="16.7109375" style="1267" customWidth="1"/>
    <col min="5" max="5" width="9.42578125" style="1267" customWidth="1"/>
    <col min="6" max="6" width="9.7109375" style="1267" customWidth="1"/>
    <col min="7" max="8" width="9.42578125" style="1267" customWidth="1"/>
    <col min="9" max="9" width="18.7109375" style="1267" customWidth="1"/>
    <col min="10" max="10" width="10.140625" style="1267" customWidth="1"/>
    <col min="11" max="12" width="9.28515625" style="1267" customWidth="1"/>
    <col min="13" max="13" width="9.42578125" style="1267" customWidth="1"/>
    <col min="14" max="14" width="10.5703125" style="1267" customWidth="1"/>
    <col min="15" max="15" width="10.140625" style="1267" customWidth="1"/>
    <col min="16" max="16" width="9" style="1267" customWidth="1"/>
    <col min="17" max="16384" width="7.5703125" style="1267"/>
  </cols>
  <sheetData>
    <row r="6" spans="2:16">
      <c r="B6" s="1267" t="s">
        <v>159</v>
      </c>
      <c r="C6" s="1267" t="s">
        <v>2958</v>
      </c>
      <c r="D6" s="1267">
        <v>19</v>
      </c>
      <c r="E6" s="1267">
        <v>20</v>
      </c>
      <c r="F6" s="1267">
        <v>21</v>
      </c>
      <c r="G6" s="1267">
        <v>22</v>
      </c>
      <c r="H6" s="1267">
        <v>23</v>
      </c>
      <c r="I6" s="1267">
        <v>24</v>
      </c>
      <c r="J6" s="1267">
        <v>25</v>
      </c>
      <c r="K6" s="1267">
        <v>26</v>
      </c>
      <c r="L6" s="1267">
        <v>27</v>
      </c>
      <c r="M6" s="1267">
        <v>28</v>
      </c>
      <c r="N6" s="1267" t="s">
        <v>2958</v>
      </c>
      <c r="O6" s="1267">
        <v>29</v>
      </c>
      <c r="P6" s="1267" t="s">
        <v>1284</v>
      </c>
    </row>
    <row r="7" spans="2:16" s="1269" customFormat="1" ht="124.5" customHeight="1">
      <c r="B7" s="1269" t="s">
        <v>2958</v>
      </c>
      <c r="C7" s="1269" t="s">
        <v>623</v>
      </c>
      <c r="D7" s="1269" t="s">
        <v>1296</v>
      </c>
      <c r="E7" s="1269" t="s">
        <v>1295</v>
      </c>
      <c r="F7" s="1269" t="s">
        <v>1294</v>
      </c>
      <c r="G7" s="1269" t="s">
        <v>1293</v>
      </c>
      <c r="H7" s="1269" t="s">
        <v>1292</v>
      </c>
      <c r="I7" s="1269" t="s">
        <v>1291</v>
      </c>
      <c r="J7" s="1269" t="s">
        <v>1290</v>
      </c>
      <c r="K7" s="1269" t="s">
        <v>1289</v>
      </c>
      <c r="L7" s="1269" t="s">
        <v>1288</v>
      </c>
      <c r="M7" s="1269" t="s">
        <v>1287</v>
      </c>
      <c r="N7" s="1269" t="s">
        <v>1286</v>
      </c>
      <c r="O7" s="1269" t="s">
        <v>1285</v>
      </c>
      <c r="P7" s="1269" t="s">
        <v>580</v>
      </c>
    </row>
    <row r="8" spans="2:16">
      <c r="B8" s="1267">
        <v>1960</v>
      </c>
      <c r="C8" s="1267" t="s">
        <v>2958</v>
      </c>
      <c r="D8" s="1267">
        <v>4099</v>
      </c>
      <c r="E8" s="1267">
        <v>2940</v>
      </c>
      <c r="F8" s="1267">
        <v>663</v>
      </c>
      <c r="G8" s="1267">
        <v>2641</v>
      </c>
      <c r="H8" s="1267">
        <v>-2145</v>
      </c>
      <c r="I8" s="1267">
        <v>2294</v>
      </c>
      <c r="J8" s="1267">
        <v>315</v>
      </c>
      <c r="K8" s="1267">
        <v>573</v>
      </c>
      <c r="L8" s="1267">
        <v>1406</v>
      </c>
      <c r="M8" s="1267" t="s">
        <v>583</v>
      </c>
      <c r="N8" s="1267" t="s">
        <v>2958</v>
      </c>
      <c r="O8" s="1267">
        <v>-1019</v>
      </c>
      <c r="P8" s="1267" t="s">
        <v>579</v>
      </c>
    </row>
    <row r="9" spans="2:16">
      <c r="B9" s="1267">
        <v>1961</v>
      </c>
      <c r="C9" s="1267" t="s">
        <v>2958</v>
      </c>
      <c r="D9" s="1267">
        <v>5538</v>
      </c>
      <c r="E9" s="1267">
        <v>2654</v>
      </c>
      <c r="F9" s="1267">
        <v>762</v>
      </c>
      <c r="G9" s="1267">
        <v>2729</v>
      </c>
      <c r="H9" s="1267">
        <v>-607</v>
      </c>
      <c r="I9" s="1267">
        <v>2705</v>
      </c>
      <c r="J9" s="1267">
        <v>311</v>
      </c>
      <c r="K9" s="1267">
        <v>709</v>
      </c>
      <c r="L9" s="1267">
        <v>1685</v>
      </c>
      <c r="M9" s="1267" t="s">
        <v>583</v>
      </c>
      <c r="N9" s="1267" t="s">
        <v>2958</v>
      </c>
      <c r="O9" s="1267">
        <v>-989</v>
      </c>
      <c r="P9" s="1267" t="s">
        <v>579</v>
      </c>
    </row>
    <row r="10" spans="2:16">
      <c r="B10" s="1267">
        <v>1962</v>
      </c>
      <c r="C10" s="1267" t="s">
        <v>2958</v>
      </c>
      <c r="D10" s="1267">
        <v>4174</v>
      </c>
      <c r="E10" s="1267">
        <v>2851</v>
      </c>
      <c r="F10" s="1267">
        <v>969</v>
      </c>
      <c r="G10" s="1267">
        <v>1889</v>
      </c>
      <c r="H10" s="1267">
        <v>-1535</v>
      </c>
      <c r="I10" s="1267">
        <v>1912</v>
      </c>
      <c r="J10" s="1267">
        <v>346</v>
      </c>
      <c r="K10" s="1267">
        <v>1478</v>
      </c>
      <c r="L10" s="1267">
        <v>88</v>
      </c>
      <c r="M10" s="1267" t="s">
        <v>583</v>
      </c>
      <c r="N10" s="1267" t="s">
        <v>2958</v>
      </c>
      <c r="O10" s="1267">
        <v>-1123</v>
      </c>
      <c r="P10" s="1267" t="s">
        <v>579</v>
      </c>
    </row>
    <row r="11" spans="2:16">
      <c r="B11" s="1267">
        <v>1963</v>
      </c>
      <c r="C11" s="1267" t="s">
        <v>2958</v>
      </c>
      <c r="D11" s="1267">
        <v>7270</v>
      </c>
      <c r="E11" s="1267">
        <v>3483</v>
      </c>
      <c r="F11" s="1267">
        <v>1105</v>
      </c>
      <c r="G11" s="1267">
        <v>3060</v>
      </c>
      <c r="H11" s="1267">
        <v>-378</v>
      </c>
      <c r="I11" s="1267">
        <v>3217</v>
      </c>
      <c r="J11" s="1267">
        <v>231</v>
      </c>
      <c r="K11" s="1267">
        <v>953</v>
      </c>
      <c r="L11" s="1267">
        <v>2033</v>
      </c>
      <c r="M11" s="1267" t="s">
        <v>583</v>
      </c>
      <c r="N11" s="1267" t="s">
        <v>2958</v>
      </c>
      <c r="O11" s="1267">
        <v>-361</v>
      </c>
      <c r="P11" s="1267" t="s">
        <v>579</v>
      </c>
    </row>
    <row r="12" spans="2:16">
      <c r="B12" s="1267">
        <v>1964</v>
      </c>
      <c r="C12" s="1267" t="s">
        <v>2958</v>
      </c>
      <c r="D12" s="1267">
        <v>9560</v>
      </c>
      <c r="E12" s="1267">
        <v>3759</v>
      </c>
      <c r="F12" s="1267">
        <v>678</v>
      </c>
      <c r="G12" s="1267">
        <v>5294</v>
      </c>
      <c r="H12" s="1267">
        <v>-171</v>
      </c>
      <c r="I12" s="1267">
        <v>3643</v>
      </c>
      <c r="J12" s="1267">
        <v>322</v>
      </c>
      <c r="K12" s="1267">
        <v>201</v>
      </c>
      <c r="L12" s="1267">
        <v>3120</v>
      </c>
      <c r="M12" s="1267" t="s">
        <v>583</v>
      </c>
      <c r="N12" s="1267" t="s">
        <v>2958</v>
      </c>
      <c r="O12" s="1267">
        <v>-907</v>
      </c>
      <c r="P12" s="1267" t="s">
        <v>579</v>
      </c>
    </row>
    <row r="13" spans="2:16">
      <c r="B13" s="1267">
        <v>1965</v>
      </c>
      <c r="C13" s="1267" t="s">
        <v>2958</v>
      </c>
      <c r="D13" s="1267">
        <v>5715</v>
      </c>
      <c r="E13" s="1267">
        <v>5011</v>
      </c>
      <c r="F13" s="1267">
        <v>759</v>
      </c>
      <c r="G13" s="1267">
        <v>1170</v>
      </c>
      <c r="H13" s="1267">
        <v>-1225</v>
      </c>
      <c r="I13" s="1267">
        <v>741</v>
      </c>
      <c r="J13" s="1267">
        <v>414</v>
      </c>
      <c r="K13" s="1267">
        <v>-630</v>
      </c>
      <c r="L13" s="1267">
        <v>957</v>
      </c>
      <c r="M13" s="1267" t="s">
        <v>583</v>
      </c>
      <c r="N13" s="1267" t="s">
        <v>2958</v>
      </c>
      <c r="O13" s="1267">
        <v>-457</v>
      </c>
      <c r="P13" s="1267" t="s">
        <v>579</v>
      </c>
    </row>
    <row r="14" spans="2:16">
      <c r="B14" s="1267">
        <v>1966</v>
      </c>
      <c r="C14" s="1267" t="s">
        <v>2958</v>
      </c>
      <c r="D14" s="1267">
        <v>7321</v>
      </c>
      <c r="E14" s="1267">
        <v>5419</v>
      </c>
      <c r="F14" s="1267">
        <v>720</v>
      </c>
      <c r="G14" s="1267">
        <v>1752</v>
      </c>
      <c r="H14" s="1267">
        <v>-570</v>
      </c>
      <c r="I14" s="1267">
        <v>3661</v>
      </c>
      <c r="J14" s="1267">
        <v>426</v>
      </c>
      <c r="K14" s="1267">
        <v>-977</v>
      </c>
      <c r="L14" s="1267">
        <v>4212</v>
      </c>
      <c r="M14" s="1267" t="s">
        <v>583</v>
      </c>
      <c r="N14" s="1267" t="s">
        <v>2958</v>
      </c>
      <c r="O14" s="1267">
        <v>629</v>
      </c>
      <c r="P14" s="1267" t="s">
        <v>579</v>
      </c>
    </row>
    <row r="15" spans="2:16">
      <c r="B15" s="1267">
        <v>1967</v>
      </c>
      <c r="C15" s="1267" t="s">
        <v>2958</v>
      </c>
      <c r="D15" s="1267">
        <v>9757</v>
      </c>
      <c r="E15" s="1267">
        <v>4806</v>
      </c>
      <c r="F15" s="1267">
        <v>1308</v>
      </c>
      <c r="G15" s="1267">
        <v>3696</v>
      </c>
      <c r="H15" s="1267">
        <v>-53</v>
      </c>
      <c r="I15" s="1267">
        <v>7379</v>
      </c>
      <c r="J15" s="1267">
        <v>698</v>
      </c>
      <c r="K15" s="1267">
        <v>3144</v>
      </c>
      <c r="L15" s="1267">
        <v>3537</v>
      </c>
      <c r="M15" s="1267" t="s">
        <v>583</v>
      </c>
      <c r="N15" s="1267" t="s">
        <v>2958</v>
      </c>
      <c r="O15" s="1267">
        <v>-205</v>
      </c>
      <c r="P15" s="1267" t="s">
        <v>579</v>
      </c>
    </row>
    <row r="16" spans="2:16">
      <c r="B16" s="1267">
        <v>1968</v>
      </c>
      <c r="C16" s="1267" t="s">
        <v>2958</v>
      </c>
      <c r="D16" s="1267">
        <v>10977</v>
      </c>
      <c r="E16" s="1267">
        <v>5294</v>
      </c>
      <c r="F16" s="1267">
        <v>1569</v>
      </c>
      <c r="G16" s="1267">
        <v>3244</v>
      </c>
      <c r="H16" s="1267">
        <v>870</v>
      </c>
      <c r="I16" s="1267">
        <v>9928</v>
      </c>
      <c r="J16" s="1267">
        <v>808</v>
      </c>
      <c r="K16" s="1267">
        <v>3780</v>
      </c>
      <c r="L16" s="1267">
        <v>5340</v>
      </c>
      <c r="M16" s="1267" t="s">
        <v>583</v>
      </c>
      <c r="N16" s="1267" t="s">
        <v>2958</v>
      </c>
      <c r="O16" s="1267">
        <v>438</v>
      </c>
      <c r="P16" s="1267" t="s">
        <v>579</v>
      </c>
    </row>
    <row r="17" spans="2:16">
      <c r="B17" s="1267">
        <v>1969</v>
      </c>
      <c r="C17" s="1267" t="s">
        <v>2958</v>
      </c>
      <c r="D17" s="1267">
        <v>11584</v>
      </c>
      <c r="E17" s="1267">
        <v>5960</v>
      </c>
      <c r="F17" s="1267">
        <v>1549</v>
      </c>
      <c r="G17" s="1267">
        <v>2896</v>
      </c>
      <c r="H17" s="1267">
        <v>1179</v>
      </c>
      <c r="I17" s="1267">
        <v>12702</v>
      </c>
      <c r="J17" s="1267">
        <v>1263</v>
      </c>
      <c r="K17" s="1267">
        <v>719</v>
      </c>
      <c r="L17" s="1267">
        <v>10720</v>
      </c>
      <c r="M17" s="1267" t="s">
        <v>583</v>
      </c>
      <c r="N17" s="1267" t="s">
        <v>2958</v>
      </c>
      <c r="O17" s="1267">
        <v>-1517</v>
      </c>
      <c r="P17" s="1267" t="s">
        <v>579</v>
      </c>
    </row>
    <row r="18" spans="2:16">
      <c r="B18" s="1267">
        <v>1970</v>
      </c>
      <c r="C18" s="1267" t="s">
        <v>2958</v>
      </c>
      <c r="D18" s="1267">
        <v>9336</v>
      </c>
      <c r="E18" s="1267">
        <v>7590</v>
      </c>
      <c r="F18" s="1267">
        <v>1076</v>
      </c>
      <c r="G18" s="1267">
        <v>3151</v>
      </c>
      <c r="H18" s="1267">
        <v>-2481</v>
      </c>
      <c r="I18" s="1267">
        <v>7226</v>
      </c>
      <c r="J18" s="1267">
        <v>1464</v>
      </c>
      <c r="K18" s="1267">
        <v>11710</v>
      </c>
      <c r="L18" s="1267">
        <v>-5948</v>
      </c>
      <c r="M18" s="1267" t="s">
        <v>583</v>
      </c>
      <c r="N18" s="1267" t="s">
        <v>2958</v>
      </c>
      <c r="O18" s="1267">
        <v>-219</v>
      </c>
      <c r="P18" s="1267" t="s">
        <v>579</v>
      </c>
    </row>
    <row r="19" spans="2:16">
      <c r="B19" s="1267">
        <v>1971</v>
      </c>
      <c r="C19" s="1267" t="s">
        <v>2958</v>
      </c>
      <c r="D19" s="1267">
        <v>12474</v>
      </c>
      <c r="E19" s="1267">
        <v>7618</v>
      </c>
      <c r="F19" s="1267">
        <v>1113</v>
      </c>
      <c r="G19" s="1267">
        <v>6092</v>
      </c>
      <c r="H19" s="1267">
        <v>-2349</v>
      </c>
      <c r="I19" s="1267">
        <v>23687</v>
      </c>
      <c r="J19" s="1267">
        <v>368</v>
      </c>
      <c r="K19" s="1267">
        <v>28835</v>
      </c>
      <c r="L19" s="1267">
        <v>-5516</v>
      </c>
      <c r="M19" s="1267" t="s">
        <v>583</v>
      </c>
      <c r="N19" s="1267" t="s">
        <v>2958</v>
      </c>
      <c r="O19" s="1267">
        <v>-9779</v>
      </c>
      <c r="P19" s="1267" t="s">
        <v>579</v>
      </c>
    </row>
    <row r="20" spans="2:16">
      <c r="B20" s="1267">
        <v>1972</v>
      </c>
      <c r="C20" s="1267" t="s">
        <v>2958</v>
      </c>
      <c r="D20" s="1267">
        <v>14497</v>
      </c>
      <c r="E20" s="1267">
        <v>7747</v>
      </c>
      <c r="F20" s="1267">
        <v>619</v>
      </c>
      <c r="G20" s="1267">
        <v>6127</v>
      </c>
      <c r="H20" s="1267">
        <v>4</v>
      </c>
      <c r="I20" s="1267">
        <v>22171</v>
      </c>
      <c r="J20" s="1267">
        <v>948</v>
      </c>
      <c r="K20" s="1267">
        <v>13123</v>
      </c>
      <c r="L20" s="1267">
        <v>8100</v>
      </c>
      <c r="M20" s="1267" t="s">
        <v>583</v>
      </c>
      <c r="N20" s="1267" t="s">
        <v>2958</v>
      </c>
      <c r="O20" s="1267">
        <v>-1879</v>
      </c>
      <c r="P20" s="1267" t="s">
        <v>579</v>
      </c>
    </row>
    <row r="21" spans="2:16">
      <c r="B21" s="1267">
        <v>1973</v>
      </c>
      <c r="C21" s="1267" t="s">
        <v>2958</v>
      </c>
      <c r="D21" s="1267">
        <v>22874</v>
      </c>
      <c r="E21" s="1267">
        <v>11353</v>
      </c>
      <c r="F21" s="1267">
        <v>672</v>
      </c>
      <c r="G21" s="1267">
        <v>11007</v>
      </c>
      <c r="H21" s="1267">
        <v>-158</v>
      </c>
      <c r="I21" s="1267">
        <v>18388</v>
      </c>
      <c r="J21" s="1267">
        <v>2800</v>
      </c>
      <c r="K21" s="1267">
        <v>4790</v>
      </c>
      <c r="L21" s="1267">
        <v>10798</v>
      </c>
      <c r="M21" s="1267" t="s">
        <v>583</v>
      </c>
      <c r="N21" s="1267" t="s">
        <v>2958</v>
      </c>
      <c r="O21" s="1267">
        <v>-2654</v>
      </c>
      <c r="P21" s="1267" t="s">
        <v>579</v>
      </c>
    </row>
    <row r="22" spans="2:16">
      <c r="B22" s="1267">
        <v>1974</v>
      </c>
      <c r="C22" s="1267" t="s">
        <v>2958</v>
      </c>
      <c r="D22" s="1267">
        <v>34745</v>
      </c>
      <c r="E22" s="1267">
        <v>9052</v>
      </c>
      <c r="F22" s="1267">
        <v>1853</v>
      </c>
      <c r="G22" s="1267">
        <v>22373</v>
      </c>
      <c r="H22" s="1267">
        <v>1467</v>
      </c>
      <c r="I22" s="1267">
        <v>35228</v>
      </c>
      <c r="J22" s="1267">
        <v>4761</v>
      </c>
      <c r="K22" s="1267">
        <v>5500</v>
      </c>
      <c r="L22" s="1267">
        <v>24967</v>
      </c>
      <c r="M22" s="1267" t="s">
        <v>583</v>
      </c>
      <c r="N22" s="1267" t="s">
        <v>2958</v>
      </c>
      <c r="O22" s="1267">
        <v>-2444</v>
      </c>
      <c r="P22" s="1267" t="s">
        <v>579</v>
      </c>
    </row>
    <row r="23" spans="2:16">
      <c r="B23" s="1267">
        <v>1975</v>
      </c>
      <c r="C23" s="1267" t="s">
        <v>2958</v>
      </c>
      <c r="D23" s="1267">
        <v>39703</v>
      </c>
      <c r="E23" s="1267">
        <v>14244</v>
      </c>
      <c r="F23" s="1267">
        <v>6247</v>
      </c>
      <c r="G23" s="1267">
        <v>18363</v>
      </c>
      <c r="H23" s="1267">
        <v>849</v>
      </c>
      <c r="I23" s="1267">
        <v>16870</v>
      </c>
      <c r="J23" s="1267">
        <v>2603</v>
      </c>
      <c r="K23" s="1267">
        <v>12761</v>
      </c>
      <c r="L23" s="1267">
        <v>1506</v>
      </c>
      <c r="M23" s="1267" t="s">
        <v>583</v>
      </c>
      <c r="N23" s="1267" t="s">
        <v>2958</v>
      </c>
      <c r="O23" s="1267">
        <v>4717</v>
      </c>
      <c r="P23" s="1267" t="s">
        <v>579</v>
      </c>
    </row>
    <row r="24" spans="2:16">
      <c r="B24" s="1267">
        <v>1976</v>
      </c>
      <c r="C24" s="1267" t="s">
        <v>2958</v>
      </c>
      <c r="D24" s="1267">
        <v>51269</v>
      </c>
      <c r="E24" s="1267">
        <v>11949</v>
      </c>
      <c r="F24" s="1267">
        <v>8885</v>
      </c>
      <c r="G24" s="1267">
        <v>27877</v>
      </c>
      <c r="H24" s="1267">
        <v>2558</v>
      </c>
      <c r="I24" s="1267">
        <v>37840</v>
      </c>
      <c r="J24" s="1267">
        <v>4347</v>
      </c>
      <c r="K24" s="1267">
        <v>16165</v>
      </c>
      <c r="L24" s="1267">
        <v>17328</v>
      </c>
      <c r="M24" s="1267" t="s">
        <v>583</v>
      </c>
      <c r="N24" s="1267" t="s">
        <v>2958</v>
      </c>
      <c r="O24" s="1267">
        <v>9134</v>
      </c>
      <c r="P24" s="1267" t="s">
        <v>579</v>
      </c>
    </row>
    <row r="25" spans="2:16">
      <c r="B25" s="1267">
        <v>1977</v>
      </c>
      <c r="C25" s="1267" t="s">
        <v>2958</v>
      </c>
      <c r="D25" s="1267">
        <v>34785</v>
      </c>
      <c r="E25" s="1267">
        <v>11891</v>
      </c>
      <c r="F25" s="1267">
        <v>5459</v>
      </c>
      <c r="G25" s="1267">
        <v>17060</v>
      </c>
      <c r="H25" s="1267">
        <v>375</v>
      </c>
      <c r="I25" s="1267">
        <v>52770</v>
      </c>
      <c r="J25" s="1267">
        <v>3728</v>
      </c>
      <c r="K25" s="1267">
        <v>37615</v>
      </c>
      <c r="L25" s="1267">
        <v>11427</v>
      </c>
      <c r="M25" s="1267" t="s">
        <v>583</v>
      </c>
      <c r="N25" s="1267" t="s">
        <v>2958</v>
      </c>
      <c r="O25" s="1267">
        <v>-3651</v>
      </c>
      <c r="P25" s="1267" t="s">
        <v>579</v>
      </c>
    </row>
    <row r="26" spans="2:16">
      <c r="B26" s="1267">
        <v>1978</v>
      </c>
      <c r="C26" s="1267" t="s">
        <v>2958</v>
      </c>
      <c r="D26" s="1267">
        <v>61130</v>
      </c>
      <c r="E26" s="1267">
        <v>16057</v>
      </c>
      <c r="F26" s="1267">
        <v>3626</v>
      </c>
      <c r="G26" s="1267">
        <v>42179</v>
      </c>
      <c r="H26" s="1267">
        <v>-732</v>
      </c>
      <c r="I26" s="1267">
        <v>66275</v>
      </c>
      <c r="J26" s="1267">
        <v>7896</v>
      </c>
      <c r="K26" s="1267">
        <v>30083</v>
      </c>
      <c r="L26" s="1267">
        <v>28296</v>
      </c>
      <c r="M26" s="1267" t="s">
        <v>583</v>
      </c>
      <c r="N26" s="1267" t="s">
        <v>2958</v>
      </c>
      <c r="O26" s="1267">
        <v>9997</v>
      </c>
      <c r="P26" s="1267" t="s">
        <v>579</v>
      </c>
    </row>
    <row r="27" spans="2:16">
      <c r="B27" s="1267">
        <v>1979</v>
      </c>
      <c r="C27" s="1267" t="s">
        <v>2958</v>
      </c>
      <c r="D27" s="1267">
        <v>66053</v>
      </c>
      <c r="E27" s="1267">
        <v>25223</v>
      </c>
      <c r="F27" s="1267">
        <v>12430</v>
      </c>
      <c r="G27" s="1267">
        <v>27267</v>
      </c>
      <c r="H27" s="1267">
        <v>1133</v>
      </c>
      <c r="I27" s="1267">
        <v>40693</v>
      </c>
      <c r="J27" s="1267">
        <v>11876</v>
      </c>
      <c r="K27" s="1267">
        <v>-13502</v>
      </c>
      <c r="L27" s="1267">
        <v>42319</v>
      </c>
      <c r="M27" s="1267" t="s">
        <v>583</v>
      </c>
      <c r="N27" s="1267" t="s">
        <v>2958</v>
      </c>
      <c r="O27" s="1267">
        <v>25647</v>
      </c>
      <c r="P27" s="1267" t="s">
        <v>579</v>
      </c>
    </row>
    <row r="28" spans="2:16">
      <c r="B28" s="1267">
        <v>1980</v>
      </c>
      <c r="C28" s="1267" t="s">
        <v>2958</v>
      </c>
      <c r="D28" s="1267">
        <v>86968</v>
      </c>
      <c r="E28" s="1267">
        <v>19222</v>
      </c>
      <c r="F28" s="1267">
        <v>6042</v>
      </c>
      <c r="G28" s="1267">
        <v>53550</v>
      </c>
      <c r="H28" s="1267">
        <v>8154</v>
      </c>
      <c r="I28" s="1267">
        <v>62036</v>
      </c>
      <c r="J28" s="1267">
        <v>16918</v>
      </c>
      <c r="K28" s="1267">
        <v>23825</v>
      </c>
      <c r="L28" s="1267">
        <v>21293</v>
      </c>
      <c r="M28" s="1267" t="s">
        <v>583</v>
      </c>
      <c r="N28" s="1267" t="s">
        <v>2958</v>
      </c>
      <c r="O28" s="1267">
        <v>22614</v>
      </c>
      <c r="P28" s="1267" t="s">
        <v>579</v>
      </c>
    </row>
    <row r="29" spans="2:16">
      <c r="B29" s="1267">
        <v>1981</v>
      </c>
      <c r="C29" s="1267" t="s">
        <v>2958</v>
      </c>
      <c r="D29" s="1267">
        <v>114147</v>
      </c>
      <c r="E29" s="1267">
        <v>9624</v>
      </c>
      <c r="F29" s="1267">
        <v>15650</v>
      </c>
      <c r="G29" s="1267">
        <v>83697</v>
      </c>
      <c r="H29" s="1267">
        <v>5176</v>
      </c>
      <c r="I29" s="1267">
        <v>85684</v>
      </c>
      <c r="J29" s="1267">
        <v>25196</v>
      </c>
      <c r="K29" s="1267">
        <v>17509</v>
      </c>
      <c r="L29" s="1267">
        <v>42979</v>
      </c>
      <c r="M29" s="1267" t="s">
        <v>583</v>
      </c>
      <c r="N29" s="1267" t="s">
        <v>2958</v>
      </c>
      <c r="O29" s="1267">
        <v>23433</v>
      </c>
      <c r="P29" s="1267" t="s">
        <v>579</v>
      </c>
    </row>
    <row r="30" spans="2:16">
      <c r="B30" s="1267">
        <v>1982</v>
      </c>
      <c r="C30" s="1267" t="s">
        <v>2958</v>
      </c>
      <c r="D30" s="1267">
        <v>142722</v>
      </c>
      <c r="E30" s="1267">
        <v>19397</v>
      </c>
      <c r="F30" s="1267">
        <v>12395</v>
      </c>
      <c r="G30" s="1267">
        <v>105965</v>
      </c>
      <c r="H30" s="1267">
        <v>4965</v>
      </c>
      <c r="I30" s="1267">
        <v>109897</v>
      </c>
      <c r="J30" s="1267">
        <v>27475</v>
      </c>
      <c r="K30" s="1267">
        <v>19695</v>
      </c>
      <c r="L30" s="1267">
        <v>62727</v>
      </c>
      <c r="M30" s="1267" t="s">
        <v>583</v>
      </c>
      <c r="N30" s="1267" t="s">
        <v>2958</v>
      </c>
      <c r="O30" s="1267">
        <v>38362</v>
      </c>
      <c r="P30" s="1267" t="s">
        <v>579</v>
      </c>
    </row>
    <row r="31" spans="2:16">
      <c r="B31" s="1267">
        <v>1983</v>
      </c>
      <c r="C31" s="1267" t="s">
        <v>2958</v>
      </c>
      <c r="D31" s="1267">
        <v>74690</v>
      </c>
      <c r="E31" s="1267">
        <v>20844</v>
      </c>
      <c r="F31" s="1267">
        <v>2063</v>
      </c>
      <c r="G31" s="1267">
        <v>50588</v>
      </c>
      <c r="H31" s="1267">
        <v>1195</v>
      </c>
      <c r="I31" s="1267">
        <v>95715</v>
      </c>
      <c r="J31" s="1267">
        <v>18688</v>
      </c>
      <c r="K31" s="1267">
        <v>18382</v>
      </c>
      <c r="L31" s="1267">
        <v>58645</v>
      </c>
      <c r="M31" s="1267" t="s">
        <v>583</v>
      </c>
      <c r="N31" s="1267" t="s">
        <v>2958</v>
      </c>
      <c r="O31" s="1267">
        <v>17666</v>
      </c>
      <c r="P31" s="1267" t="s">
        <v>579</v>
      </c>
    </row>
    <row r="32" spans="2:16">
      <c r="B32" s="1267">
        <v>1984</v>
      </c>
      <c r="C32" s="1267" t="s">
        <v>2958</v>
      </c>
      <c r="D32" s="1267">
        <v>50740</v>
      </c>
      <c r="E32" s="1267">
        <v>26770</v>
      </c>
      <c r="F32" s="1267">
        <v>3498</v>
      </c>
      <c r="G32" s="1267">
        <v>17340</v>
      </c>
      <c r="H32" s="1267">
        <v>3132</v>
      </c>
      <c r="I32" s="1267">
        <v>126413</v>
      </c>
      <c r="J32" s="1267">
        <v>34832</v>
      </c>
      <c r="K32" s="1267">
        <v>38695</v>
      </c>
      <c r="L32" s="1267">
        <v>52886</v>
      </c>
      <c r="M32" s="1267" t="s">
        <v>583</v>
      </c>
      <c r="N32" s="1267" t="s">
        <v>2958</v>
      </c>
      <c r="O32" s="1267">
        <v>18673</v>
      </c>
      <c r="P32" s="1267" t="s">
        <v>579</v>
      </c>
    </row>
    <row r="33" spans="2:16">
      <c r="B33" s="1267">
        <v>1985</v>
      </c>
      <c r="C33" s="1267" t="s">
        <v>2958</v>
      </c>
      <c r="D33" s="1267">
        <v>47064</v>
      </c>
      <c r="E33" s="1267">
        <v>21241</v>
      </c>
      <c r="F33" s="1267">
        <v>3008</v>
      </c>
      <c r="G33" s="1267">
        <v>18957</v>
      </c>
      <c r="H33" s="1267">
        <v>3858</v>
      </c>
      <c r="I33" s="1267">
        <v>146544</v>
      </c>
      <c r="J33" s="1267">
        <v>22057</v>
      </c>
      <c r="K33" s="1267">
        <v>68004</v>
      </c>
      <c r="L33" s="1267">
        <v>56483</v>
      </c>
      <c r="M33" s="1267" t="s">
        <v>583</v>
      </c>
      <c r="N33" s="1267" t="s">
        <v>2958</v>
      </c>
      <c r="O33" s="1267">
        <v>18677</v>
      </c>
      <c r="P33" s="1267" t="s">
        <v>579</v>
      </c>
    </row>
    <row r="34" spans="2:16">
      <c r="B34" s="1267">
        <v>1986</v>
      </c>
      <c r="C34" s="1267" t="s">
        <v>2958</v>
      </c>
      <c r="D34" s="1267">
        <v>107252</v>
      </c>
      <c r="E34" s="1267">
        <v>19524</v>
      </c>
      <c r="F34" s="1267">
        <v>8984</v>
      </c>
      <c r="G34" s="1267">
        <v>79057</v>
      </c>
      <c r="H34" s="1267">
        <v>-313</v>
      </c>
      <c r="I34" s="1267">
        <v>223854</v>
      </c>
      <c r="J34" s="1267">
        <v>30946</v>
      </c>
      <c r="K34" s="1267">
        <v>104497</v>
      </c>
      <c r="L34" s="1267">
        <v>88411</v>
      </c>
      <c r="M34" s="1267" t="s">
        <v>583</v>
      </c>
      <c r="N34" s="1267" t="s">
        <v>2958</v>
      </c>
      <c r="O34" s="1267">
        <v>30570</v>
      </c>
      <c r="P34" s="1267" t="s">
        <v>579</v>
      </c>
    </row>
    <row r="35" spans="2:16">
      <c r="B35" s="1267">
        <v>1987</v>
      </c>
      <c r="C35" s="1267" t="s">
        <v>2958</v>
      </c>
      <c r="D35" s="1267">
        <v>84058</v>
      </c>
      <c r="E35" s="1267">
        <v>39795</v>
      </c>
      <c r="F35" s="1267">
        <v>7903</v>
      </c>
      <c r="G35" s="1267">
        <v>45508</v>
      </c>
      <c r="H35" s="1267">
        <v>-9148</v>
      </c>
      <c r="I35" s="1267">
        <v>251863</v>
      </c>
      <c r="J35" s="1267">
        <v>63232</v>
      </c>
      <c r="K35" s="1267">
        <v>79631</v>
      </c>
      <c r="L35" s="1267">
        <v>109000</v>
      </c>
      <c r="M35" s="1267" t="s">
        <v>583</v>
      </c>
      <c r="N35" s="1267" t="s">
        <v>2958</v>
      </c>
      <c r="O35" s="1267">
        <v>-7149</v>
      </c>
      <c r="P35" s="1267" t="s">
        <v>579</v>
      </c>
    </row>
    <row r="36" spans="2:16">
      <c r="B36" s="1267">
        <v>1988</v>
      </c>
      <c r="C36" s="1267" t="s">
        <v>2958</v>
      </c>
      <c r="D36" s="1267">
        <v>105747</v>
      </c>
      <c r="E36" s="1267">
        <v>21701</v>
      </c>
      <c r="F36" s="1267">
        <v>4589</v>
      </c>
      <c r="G36" s="1267">
        <v>75544</v>
      </c>
      <c r="H36" s="1267">
        <v>3913</v>
      </c>
      <c r="I36" s="1267">
        <v>244008</v>
      </c>
      <c r="J36" s="1267">
        <v>56910</v>
      </c>
      <c r="K36" s="1267">
        <v>86786</v>
      </c>
      <c r="L36" s="1267">
        <v>100312</v>
      </c>
      <c r="M36" s="1267" t="s">
        <v>583</v>
      </c>
      <c r="N36" s="1267" t="s">
        <v>2958</v>
      </c>
      <c r="O36" s="1267">
        <v>-17108</v>
      </c>
      <c r="P36" s="1267" t="s">
        <v>579</v>
      </c>
    </row>
    <row r="37" spans="2:16">
      <c r="B37" s="1267">
        <v>1989</v>
      </c>
      <c r="C37" s="1267" t="s">
        <v>2958</v>
      </c>
      <c r="D37" s="1267">
        <v>182908</v>
      </c>
      <c r="E37" s="1267">
        <v>50973</v>
      </c>
      <c r="F37" s="1267">
        <v>31166</v>
      </c>
      <c r="G37" s="1267">
        <v>75476</v>
      </c>
      <c r="H37" s="1267">
        <v>25293</v>
      </c>
      <c r="I37" s="1267">
        <v>230302</v>
      </c>
      <c r="J37" s="1267">
        <v>75801</v>
      </c>
      <c r="K37" s="1267">
        <v>74852</v>
      </c>
      <c r="L37" s="1267">
        <v>79649</v>
      </c>
      <c r="M37" s="1267" t="s">
        <v>583</v>
      </c>
      <c r="N37" s="1267" t="s">
        <v>2958</v>
      </c>
      <c r="O37" s="1267">
        <v>52299</v>
      </c>
      <c r="P37" s="1267" t="s">
        <v>579</v>
      </c>
    </row>
    <row r="38" spans="2:16">
      <c r="B38" s="1267">
        <v>1990</v>
      </c>
      <c r="C38" s="1267" t="s">
        <v>2958</v>
      </c>
      <c r="D38" s="1267">
        <v>103985</v>
      </c>
      <c r="E38" s="1267">
        <v>59934</v>
      </c>
      <c r="F38" s="1267">
        <v>30557</v>
      </c>
      <c r="G38" s="1267">
        <v>11336</v>
      </c>
      <c r="H38" s="1267">
        <v>2158</v>
      </c>
      <c r="I38" s="1267">
        <v>162109</v>
      </c>
      <c r="J38" s="1267">
        <v>71247</v>
      </c>
      <c r="K38" s="1267">
        <v>25767</v>
      </c>
      <c r="L38" s="1267">
        <v>65095</v>
      </c>
      <c r="M38" s="1267" t="s">
        <v>583</v>
      </c>
      <c r="N38" s="1267" t="s">
        <v>2958</v>
      </c>
      <c r="O38" s="1267">
        <v>28066</v>
      </c>
      <c r="P38" s="1267" t="s">
        <v>579</v>
      </c>
    </row>
    <row r="39" spans="2:16">
      <c r="B39" s="1267">
        <v>1991</v>
      </c>
      <c r="C39" s="1267" t="s">
        <v>2958</v>
      </c>
      <c r="D39" s="1267">
        <v>75753</v>
      </c>
      <c r="E39" s="1267">
        <v>49253</v>
      </c>
      <c r="F39" s="1267">
        <v>32053</v>
      </c>
      <c r="G39" s="1267">
        <v>210</v>
      </c>
      <c r="H39" s="1267">
        <v>-5763</v>
      </c>
      <c r="I39" s="1267">
        <v>119586</v>
      </c>
      <c r="J39" s="1267">
        <v>34535</v>
      </c>
      <c r="K39" s="1267">
        <v>72562</v>
      </c>
      <c r="L39" s="1267">
        <v>12489</v>
      </c>
      <c r="M39" s="1267" t="s">
        <v>583</v>
      </c>
      <c r="N39" s="1267" t="s">
        <v>2958</v>
      </c>
      <c r="O39" s="1267">
        <v>-41601</v>
      </c>
      <c r="P39" s="1267" t="s">
        <v>579</v>
      </c>
    </row>
    <row r="40" spans="2:16">
      <c r="B40" s="1267">
        <v>1992</v>
      </c>
      <c r="C40" s="1267" t="s">
        <v>2958</v>
      </c>
      <c r="D40" s="1267">
        <v>84899</v>
      </c>
      <c r="E40" s="1267">
        <v>58755</v>
      </c>
      <c r="F40" s="1267">
        <v>50684</v>
      </c>
      <c r="G40" s="1267">
        <v>-20639</v>
      </c>
      <c r="H40" s="1267">
        <v>-3901</v>
      </c>
      <c r="I40" s="1267">
        <v>178842</v>
      </c>
      <c r="J40" s="1267">
        <v>30315</v>
      </c>
      <c r="K40" s="1267">
        <v>92199</v>
      </c>
      <c r="L40" s="1267">
        <v>56328</v>
      </c>
      <c r="M40" s="1267" t="s">
        <v>583</v>
      </c>
      <c r="N40" s="1267" t="s">
        <v>2958</v>
      </c>
      <c r="O40" s="1267">
        <v>-43776</v>
      </c>
      <c r="P40" s="1267" t="s">
        <v>579</v>
      </c>
    </row>
    <row r="41" spans="2:16">
      <c r="B41" s="1267">
        <v>1993</v>
      </c>
      <c r="C41" s="1267" t="s">
        <v>2958</v>
      </c>
      <c r="D41" s="1267">
        <v>199399</v>
      </c>
      <c r="E41" s="1267">
        <v>82799</v>
      </c>
      <c r="F41" s="1267">
        <v>137917</v>
      </c>
      <c r="G41" s="1267">
        <v>-22696</v>
      </c>
      <c r="H41" s="1267">
        <v>1379</v>
      </c>
      <c r="I41" s="1267">
        <v>278607</v>
      </c>
      <c r="J41" s="1267">
        <v>50211</v>
      </c>
      <c r="K41" s="1267">
        <v>174387</v>
      </c>
      <c r="L41" s="1267">
        <v>54009</v>
      </c>
      <c r="M41" s="1267" t="s">
        <v>583</v>
      </c>
      <c r="N41" s="1267" t="s">
        <v>2958</v>
      </c>
      <c r="O41" s="1267">
        <v>6313</v>
      </c>
      <c r="P41" s="1267" t="s">
        <v>579</v>
      </c>
    </row>
    <row r="42" spans="2:16">
      <c r="B42" s="1267">
        <v>1994</v>
      </c>
      <c r="C42" s="1267" t="s">
        <v>2958</v>
      </c>
      <c r="D42" s="1267">
        <v>188758</v>
      </c>
      <c r="E42" s="1267">
        <v>89988</v>
      </c>
      <c r="F42" s="1267">
        <v>54088</v>
      </c>
      <c r="G42" s="1267">
        <v>50028</v>
      </c>
      <c r="H42" s="1267">
        <v>-5346</v>
      </c>
      <c r="I42" s="1267">
        <v>312995</v>
      </c>
      <c r="J42" s="1267">
        <v>55942</v>
      </c>
      <c r="K42" s="1267">
        <v>131849</v>
      </c>
      <c r="L42" s="1267">
        <v>125204</v>
      </c>
      <c r="M42" s="1267" t="s">
        <v>583</v>
      </c>
      <c r="N42" s="1267" t="s">
        <v>2958</v>
      </c>
      <c r="O42" s="1267">
        <v>-1514</v>
      </c>
      <c r="P42" s="1267" t="s">
        <v>579</v>
      </c>
    </row>
    <row r="43" spans="2:16">
      <c r="B43" s="1267">
        <v>1995</v>
      </c>
      <c r="C43" s="1267" t="s">
        <v>2958</v>
      </c>
      <c r="D43" s="1267">
        <v>363555</v>
      </c>
      <c r="E43" s="1267">
        <v>110041</v>
      </c>
      <c r="F43" s="1267">
        <v>143506</v>
      </c>
      <c r="G43" s="1267">
        <v>100266</v>
      </c>
      <c r="H43" s="1267">
        <v>9742</v>
      </c>
      <c r="I43" s="1267">
        <v>446393</v>
      </c>
      <c r="J43" s="1267">
        <v>69067</v>
      </c>
      <c r="K43" s="1267">
        <v>254431</v>
      </c>
      <c r="L43" s="1267">
        <v>122895</v>
      </c>
      <c r="M43" s="1267" t="s">
        <v>583</v>
      </c>
      <c r="N43" s="1267" t="s">
        <v>2958</v>
      </c>
      <c r="O43" s="1267">
        <v>30951</v>
      </c>
      <c r="P43" s="1267" t="s">
        <v>579</v>
      </c>
    </row>
    <row r="44" spans="2:16">
      <c r="B44" s="1267">
        <v>1996</v>
      </c>
      <c r="C44" s="1267" t="s">
        <v>2958</v>
      </c>
      <c r="D44" s="1267">
        <v>424548</v>
      </c>
      <c r="E44" s="1267">
        <v>103024</v>
      </c>
      <c r="F44" s="1267">
        <v>160179</v>
      </c>
      <c r="G44" s="1267">
        <v>168013</v>
      </c>
      <c r="H44" s="1267">
        <v>-6668</v>
      </c>
      <c r="I44" s="1267">
        <v>559027</v>
      </c>
      <c r="J44" s="1267">
        <v>97644</v>
      </c>
      <c r="K44" s="1267">
        <v>392107</v>
      </c>
      <c r="L44" s="1267">
        <v>69276</v>
      </c>
      <c r="M44" s="1267" t="s">
        <v>583</v>
      </c>
      <c r="N44" s="1267" t="s">
        <v>2958</v>
      </c>
      <c r="O44" s="1267">
        <v>-9706</v>
      </c>
      <c r="P44" s="1267" t="s">
        <v>579</v>
      </c>
    </row>
    <row r="45" spans="2:16">
      <c r="B45" s="1267">
        <v>1997</v>
      </c>
      <c r="C45" s="1267" t="s">
        <v>2958</v>
      </c>
      <c r="D45" s="1267">
        <v>502024</v>
      </c>
      <c r="E45" s="1267">
        <v>121352</v>
      </c>
      <c r="F45" s="1267">
        <v>121036</v>
      </c>
      <c r="G45" s="1267">
        <v>258626</v>
      </c>
      <c r="H45" s="1267">
        <v>1010</v>
      </c>
      <c r="I45" s="1267">
        <v>720999</v>
      </c>
      <c r="J45" s="1267">
        <v>122150</v>
      </c>
      <c r="K45" s="1267">
        <v>311105</v>
      </c>
      <c r="L45" s="1267">
        <v>287744</v>
      </c>
      <c r="M45" s="1267" t="s">
        <v>583</v>
      </c>
      <c r="N45" s="1267" t="s">
        <v>2958</v>
      </c>
      <c r="O45" s="1267">
        <v>-77995</v>
      </c>
      <c r="P45" s="1267" t="s">
        <v>579</v>
      </c>
    </row>
    <row r="46" spans="2:16">
      <c r="B46" s="1267">
        <v>1998</v>
      </c>
      <c r="C46" s="1267" t="s">
        <v>2958</v>
      </c>
      <c r="D46" s="1267">
        <v>385936</v>
      </c>
      <c r="E46" s="1267">
        <v>174751</v>
      </c>
      <c r="F46" s="1267">
        <v>132186</v>
      </c>
      <c r="G46" s="1267">
        <v>72216</v>
      </c>
      <c r="H46" s="1267">
        <v>6783</v>
      </c>
      <c r="I46" s="1267">
        <v>452901</v>
      </c>
      <c r="J46" s="1267">
        <v>211152</v>
      </c>
      <c r="K46" s="1267">
        <v>225878</v>
      </c>
      <c r="L46" s="1267">
        <v>15871</v>
      </c>
      <c r="M46" s="1267" t="s">
        <v>583</v>
      </c>
      <c r="N46" s="1267" t="s">
        <v>2958</v>
      </c>
      <c r="O46" s="1267">
        <v>148106</v>
      </c>
      <c r="P46" s="1267" t="s">
        <v>579</v>
      </c>
    </row>
    <row r="47" spans="2:16">
      <c r="B47" s="1267">
        <v>1999</v>
      </c>
      <c r="C47" s="1267" t="s">
        <v>2958</v>
      </c>
      <c r="D47" s="1267">
        <v>526612</v>
      </c>
      <c r="E47" s="1267">
        <v>247484</v>
      </c>
      <c r="F47" s="1267">
        <v>141007</v>
      </c>
      <c r="G47" s="1267">
        <v>146868</v>
      </c>
      <c r="H47" s="1267">
        <v>-8747</v>
      </c>
      <c r="I47" s="1267">
        <v>765215</v>
      </c>
      <c r="J47" s="1267">
        <v>312449</v>
      </c>
      <c r="K47" s="1267">
        <v>278697</v>
      </c>
      <c r="L47" s="1267">
        <v>174069</v>
      </c>
      <c r="M47" s="1267" t="s">
        <v>583</v>
      </c>
      <c r="N47" s="1267" t="s">
        <v>2958</v>
      </c>
      <c r="O47" s="1267">
        <v>53938</v>
      </c>
      <c r="P47" s="1267" t="s">
        <v>579</v>
      </c>
    </row>
    <row r="48" spans="2:16">
      <c r="B48" s="1267">
        <v>2000</v>
      </c>
      <c r="C48" s="1267" t="s">
        <v>2958</v>
      </c>
      <c r="D48" s="1267">
        <v>587682</v>
      </c>
      <c r="E48" s="1267">
        <v>186371</v>
      </c>
      <c r="F48" s="1267">
        <v>159713</v>
      </c>
      <c r="G48" s="1267">
        <v>241308</v>
      </c>
      <c r="H48" s="1267">
        <v>290</v>
      </c>
      <c r="I48" s="1267">
        <v>1066074</v>
      </c>
      <c r="J48" s="1267">
        <v>349124</v>
      </c>
      <c r="K48" s="1267">
        <v>441966</v>
      </c>
      <c r="L48" s="1267">
        <v>274984</v>
      </c>
      <c r="M48" s="1267" t="s">
        <v>583</v>
      </c>
      <c r="N48" s="1267" t="s">
        <v>2958</v>
      </c>
      <c r="O48" s="1267">
        <v>-74941</v>
      </c>
      <c r="P48" s="1267" t="s">
        <v>579</v>
      </c>
    </row>
    <row r="49" spans="2:16">
      <c r="B49" s="1267">
        <v>2001</v>
      </c>
      <c r="C49" s="1267" t="s">
        <v>2958</v>
      </c>
      <c r="D49" s="1267">
        <v>386308</v>
      </c>
      <c r="E49" s="1267">
        <v>146041</v>
      </c>
      <c r="F49" s="1267">
        <v>106919</v>
      </c>
      <c r="G49" s="1267">
        <v>128437</v>
      </c>
      <c r="H49" s="1267">
        <v>4911</v>
      </c>
      <c r="I49" s="1267">
        <v>788345</v>
      </c>
      <c r="J49" s="1267">
        <v>172496</v>
      </c>
      <c r="K49" s="1267">
        <v>431492</v>
      </c>
      <c r="L49" s="1267">
        <v>184357</v>
      </c>
      <c r="M49" s="1267" t="s">
        <v>583</v>
      </c>
      <c r="N49" s="1267" t="s">
        <v>2958</v>
      </c>
      <c r="O49" s="1267">
        <v>-25546</v>
      </c>
      <c r="P49" s="1267" t="s">
        <v>579</v>
      </c>
    </row>
    <row r="50" spans="2:16">
      <c r="B50" s="1267">
        <v>2002</v>
      </c>
      <c r="C50" s="1267" t="s">
        <v>2958</v>
      </c>
      <c r="D50" s="1267">
        <v>319170</v>
      </c>
      <c r="E50" s="1267">
        <v>178984</v>
      </c>
      <c r="F50" s="1267">
        <v>79532</v>
      </c>
      <c r="G50" s="1267">
        <v>56973</v>
      </c>
      <c r="H50" s="1267">
        <v>3681</v>
      </c>
      <c r="I50" s="1267">
        <v>821844</v>
      </c>
      <c r="J50" s="1267">
        <v>111056</v>
      </c>
      <c r="K50" s="1267">
        <v>504155</v>
      </c>
      <c r="L50" s="1267">
        <v>206634</v>
      </c>
      <c r="M50" s="1267" t="s">
        <v>583</v>
      </c>
      <c r="N50" s="1267" t="s">
        <v>2958</v>
      </c>
      <c r="O50" s="1267">
        <v>-51735</v>
      </c>
      <c r="P50" s="1267" t="s">
        <v>579</v>
      </c>
    </row>
    <row r="51" spans="2:16">
      <c r="B51" s="1267">
        <v>2003</v>
      </c>
      <c r="C51" s="1267" t="s">
        <v>2958</v>
      </c>
      <c r="D51" s="1267">
        <v>371074</v>
      </c>
      <c r="E51" s="1267">
        <v>195218</v>
      </c>
      <c r="F51" s="1267">
        <v>133059</v>
      </c>
      <c r="G51" s="1267">
        <v>44321</v>
      </c>
      <c r="H51" s="1267">
        <v>-1524</v>
      </c>
      <c r="I51" s="1267">
        <v>911660</v>
      </c>
      <c r="J51" s="1267">
        <v>117107</v>
      </c>
      <c r="K51" s="1267">
        <v>550163</v>
      </c>
      <c r="L51" s="1267">
        <v>244390</v>
      </c>
      <c r="M51" s="1267" t="s">
        <v>583</v>
      </c>
      <c r="N51" s="1267" t="s">
        <v>2958</v>
      </c>
      <c r="O51" s="1267">
        <v>-20021</v>
      </c>
      <c r="P51" s="1267" t="s">
        <v>579</v>
      </c>
    </row>
    <row r="52" spans="2:16">
      <c r="B52" s="1267">
        <v>2004</v>
      </c>
      <c r="C52" s="1267" t="s">
        <v>2958</v>
      </c>
      <c r="D52" s="1267">
        <v>1058654</v>
      </c>
      <c r="E52" s="1267">
        <v>374006</v>
      </c>
      <c r="F52" s="1267">
        <v>191956</v>
      </c>
      <c r="G52" s="1267">
        <v>495498</v>
      </c>
      <c r="H52" s="1267">
        <v>-2806</v>
      </c>
      <c r="I52" s="1267">
        <v>1600881</v>
      </c>
      <c r="J52" s="1267">
        <v>213642</v>
      </c>
      <c r="K52" s="1267">
        <v>867340</v>
      </c>
      <c r="L52" s="1267">
        <v>519899</v>
      </c>
      <c r="M52" s="1267" t="s">
        <v>583</v>
      </c>
      <c r="N52" s="1267" t="s">
        <v>2958</v>
      </c>
      <c r="O52" s="1267">
        <v>86316</v>
      </c>
      <c r="P52" s="1267" t="s">
        <v>579</v>
      </c>
    </row>
    <row r="53" spans="2:16">
      <c r="B53" s="1267">
        <v>2005</v>
      </c>
      <c r="C53" s="1267" t="s">
        <v>2958</v>
      </c>
      <c r="D53" s="1267">
        <v>562983</v>
      </c>
      <c r="E53" s="1267">
        <v>52591</v>
      </c>
      <c r="F53" s="1267">
        <v>267290</v>
      </c>
      <c r="G53" s="1267">
        <v>257196</v>
      </c>
      <c r="H53" s="1267">
        <v>-14094</v>
      </c>
      <c r="I53" s="1267">
        <v>1277056</v>
      </c>
      <c r="J53" s="1267">
        <v>142345</v>
      </c>
      <c r="K53" s="1267">
        <v>832037</v>
      </c>
      <c r="L53" s="1267">
        <v>302673</v>
      </c>
      <c r="M53" s="1267" t="s">
        <v>583</v>
      </c>
      <c r="N53" s="1267" t="s">
        <v>2958</v>
      </c>
      <c r="O53" s="1267">
        <v>18045</v>
      </c>
      <c r="P53" s="1267" t="s">
        <v>579</v>
      </c>
    </row>
    <row r="54" spans="2:16">
      <c r="B54" s="1267">
        <v>2006</v>
      </c>
      <c r="C54" s="1267" t="s">
        <v>2958</v>
      </c>
      <c r="D54" s="1267">
        <v>1324607</v>
      </c>
      <c r="E54" s="1267">
        <v>283800</v>
      </c>
      <c r="F54" s="1267">
        <v>493366</v>
      </c>
      <c r="G54" s="1267">
        <v>549814</v>
      </c>
      <c r="H54" s="1267">
        <v>-2373</v>
      </c>
      <c r="I54" s="1267">
        <v>2120480</v>
      </c>
      <c r="J54" s="1267">
        <v>298464</v>
      </c>
      <c r="K54" s="1267">
        <v>1126735</v>
      </c>
      <c r="L54" s="1267">
        <v>695280</v>
      </c>
      <c r="M54" s="1267">
        <v>-29710</v>
      </c>
      <c r="N54" s="1267" t="s">
        <v>2958</v>
      </c>
      <c r="O54" s="1267">
        <v>-17832</v>
      </c>
      <c r="P54" s="1267" t="s">
        <v>579</v>
      </c>
    </row>
    <row r="55" spans="2:16">
      <c r="B55" s="1267">
        <v>2007</v>
      </c>
      <c r="C55" s="1267" t="s">
        <v>2958</v>
      </c>
      <c r="D55" s="1267">
        <v>1563459</v>
      </c>
      <c r="E55" s="1267">
        <v>523889</v>
      </c>
      <c r="F55" s="1267">
        <v>380807</v>
      </c>
      <c r="G55" s="1267">
        <v>658641</v>
      </c>
      <c r="H55" s="1267">
        <v>122</v>
      </c>
      <c r="I55" s="1267">
        <v>2190087</v>
      </c>
      <c r="J55" s="1267">
        <v>346615</v>
      </c>
      <c r="K55" s="1267">
        <v>1156612</v>
      </c>
      <c r="L55" s="1267">
        <v>686860</v>
      </c>
      <c r="M55" s="1267">
        <v>-6222</v>
      </c>
      <c r="N55" s="1267" t="s">
        <v>2958</v>
      </c>
      <c r="O55" s="1267">
        <v>77801</v>
      </c>
      <c r="P55" s="1267" t="s">
        <v>579</v>
      </c>
    </row>
    <row r="56" spans="2:16">
      <c r="B56" s="1267">
        <v>2008</v>
      </c>
      <c r="C56" s="1267" t="s">
        <v>2958</v>
      </c>
      <c r="D56" s="1267">
        <v>-317607</v>
      </c>
      <c r="E56" s="1267">
        <v>343584</v>
      </c>
      <c r="F56" s="1267">
        <v>-284269</v>
      </c>
      <c r="G56" s="1267">
        <v>-381770</v>
      </c>
      <c r="H56" s="1267">
        <v>4848</v>
      </c>
      <c r="I56" s="1267">
        <v>462408</v>
      </c>
      <c r="J56" s="1267">
        <v>341091</v>
      </c>
      <c r="K56" s="1267">
        <v>523683</v>
      </c>
      <c r="L56" s="1267">
        <v>-402367</v>
      </c>
      <c r="M56" s="1267">
        <v>32947</v>
      </c>
      <c r="N56" s="1267" t="s">
        <v>2958</v>
      </c>
      <c r="O56" s="1267">
        <v>-71690</v>
      </c>
      <c r="P56" s="1267" t="s">
        <v>579</v>
      </c>
    </row>
    <row r="57" spans="2:16">
      <c r="B57" s="1267">
        <v>2009</v>
      </c>
      <c r="C57" s="1267" t="s">
        <v>2958</v>
      </c>
      <c r="D57" s="1267">
        <v>131074</v>
      </c>
      <c r="E57" s="1267">
        <v>312597</v>
      </c>
      <c r="F57" s="1267">
        <v>375883</v>
      </c>
      <c r="G57" s="1267">
        <v>-609662</v>
      </c>
      <c r="H57" s="1267">
        <v>52256</v>
      </c>
      <c r="I57" s="1267">
        <v>325644</v>
      </c>
      <c r="J57" s="1267">
        <v>161082</v>
      </c>
      <c r="K57" s="1267">
        <v>357352</v>
      </c>
      <c r="L57" s="1267">
        <v>-192789</v>
      </c>
      <c r="M57" s="1267">
        <v>-44816</v>
      </c>
      <c r="N57" s="1267" t="s">
        <v>2958</v>
      </c>
      <c r="O57" s="1267">
        <v>133275</v>
      </c>
      <c r="P57" s="1267" t="s">
        <v>579</v>
      </c>
    </row>
    <row r="58" spans="2:16">
      <c r="B58" s="1267">
        <v>2010</v>
      </c>
      <c r="C58" s="1267" t="s">
        <v>2958</v>
      </c>
      <c r="D58" s="1267">
        <v>958703</v>
      </c>
      <c r="E58" s="1267">
        <v>349829</v>
      </c>
      <c r="F58" s="1267">
        <v>199620</v>
      </c>
      <c r="G58" s="1267">
        <v>407420</v>
      </c>
      <c r="H58" s="1267">
        <v>1835</v>
      </c>
      <c r="I58" s="1267">
        <v>1391039</v>
      </c>
      <c r="J58" s="1267">
        <v>264039</v>
      </c>
      <c r="K58" s="1267">
        <v>820434</v>
      </c>
      <c r="L58" s="1267">
        <v>306566</v>
      </c>
      <c r="M58" s="1267">
        <v>-14076</v>
      </c>
      <c r="N58" s="1267" t="s">
        <v>2958</v>
      </c>
      <c r="O58" s="1267">
        <v>-15557</v>
      </c>
      <c r="P58" s="1267" t="s">
        <v>579</v>
      </c>
    </row>
    <row r="59" spans="2:16">
      <c r="B59" s="1267">
        <v>2011</v>
      </c>
      <c r="C59" s="1267" t="s">
        <v>2958</v>
      </c>
      <c r="D59" s="1267">
        <v>492530</v>
      </c>
      <c r="E59" s="1267">
        <v>436615</v>
      </c>
      <c r="F59" s="1267">
        <v>85365</v>
      </c>
      <c r="G59" s="1267">
        <v>-45327</v>
      </c>
      <c r="H59" s="1267">
        <v>15877</v>
      </c>
      <c r="I59" s="1267">
        <v>983160</v>
      </c>
      <c r="J59" s="1267">
        <v>263499</v>
      </c>
      <c r="K59" s="1267">
        <v>311626</v>
      </c>
      <c r="L59" s="1267">
        <v>408036</v>
      </c>
      <c r="M59" s="1267">
        <v>-35006</v>
      </c>
      <c r="N59" s="1267" t="s">
        <v>2958</v>
      </c>
      <c r="O59" s="1267">
        <v>-79862</v>
      </c>
      <c r="P59" s="1267" t="s">
        <v>579</v>
      </c>
    </row>
    <row r="60" spans="2:16">
      <c r="B60" s="1267">
        <v>2012</v>
      </c>
      <c r="C60" s="1267" t="s">
        <v>2958</v>
      </c>
      <c r="D60" s="1267">
        <v>176764</v>
      </c>
      <c r="E60" s="1267">
        <v>377239</v>
      </c>
      <c r="F60" s="1267">
        <v>248760</v>
      </c>
      <c r="G60" s="1267">
        <v>-453695</v>
      </c>
      <c r="H60" s="1267">
        <v>4460</v>
      </c>
      <c r="I60" s="1267">
        <v>632685</v>
      </c>
      <c r="J60" s="1267">
        <v>250343</v>
      </c>
      <c r="K60" s="1267">
        <v>747017</v>
      </c>
      <c r="L60" s="1267">
        <v>-364675</v>
      </c>
      <c r="M60" s="1267">
        <v>7064</v>
      </c>
      <c r="N60" s="1267" t="s">
        <v>2958</v>
      </c>
      <c r="O60" s="1267">
        <v>-29563</v>
      </c>
      <c r="P60" s="1267" t="s">
        <v>579</v>
      </c>
    </row>
    <row r="61" spans="2:16">
      <c r="B61" s="1267">
        <v>2013</v>
      </c>
      <c r="C61" s="1267" t="s">
        <v>2958</v>
      </c>
      <c r="D61" s="1267">
        <v>649587</v>
      </c>
      <c r="E61" s="1267">
        <v>392796</v>
      </c>
      <c r="F61" s="1267">
        <v>481298</v>
      </c>
      <c r="G61" s="1267">
        <v>-221408</v>
      </c>
      <c r="H61" s="1267">
        <v>-3099</v>
      </c>
      <c r="I61" s="1267">
        <v>1055789</v>
      </c>
      <c r="J61" s="1267">
        <v>288131</v>
      </c>
      <c r="K61" s="1267">
        <v>511987</v>
      </c>
      <c r="L61" s="1267">
        <v>255670</v>
      </c>
      <c r="M61" s="1267">
        <v>2222</v>
      </c>
      <c r="N61" s="1267" t="s">
        <v>2958</v>
      </c>
      <c r="O61" s="1267">
        <v>-54025</v>
      </c>
      <c r="P61" s="1267" t="s">
        <v>579</v>
      </c>
    </row>
    <row r="62" spans="2:16">
      <c r="B62" s="1267">
        <v>2014</v>
      </c>
      <c r="C62" s="1267" t="s">
        <v>2958</v>
      </c>
      <c r="D62" s="1267">
        <v>818784</v>
      </c>
      <c r="E62" s="1267">
        <v>338853</v>
      </c>
      <c r="F62" s="1267">
        <v>582677</v>
      </c>
      <c r="G62" s="1267">
        <v>-99162</v>
      </c>
      <c r="H62" s="1267">
        <v>-3583</v>
      </c>
      <c r="I62" s="1267">
        <v>1091350</v>
      </c>
      <c r="J62" s="1267">
        <v>237655</v>
      </c>
      <c r="K62" s="1267">
        <v>703480</v>
      </c>
      <c r="L62" s="1267">
        <v>150214</v>
      </c>
      <c r="M62" s="1267">
        <v>-54270</v>
      </c>
      <c r="N62" s="1267" t="s">
        <v>2958</v>
      </c>
      <c r="O62" s="1267">
        <v>47009</v>
      </c>
      <c r="P62" s="1267" t="s">
        <v>579</v>
      </c>
    </row>
    <row r="63" spans="2:16">
      <c r="B63" s="1267">
        <v>2015</v>
      </c>
      <c r="C63" s="1267" t="s">
        <v>2958</v>
      </c>
      <c r="D63" s="1267">
        <v>194205</v>
      </c>
      <c r="E63" s="1267">
        <v>311139</v>
      </c>
      <c r="F63" s="1267">
        <v>160410</v>
      </c>
      <c r="G63" s="1267">
        <v>-271052</v>
      </c>
      <c r="H63" s="1267">
        <v>-6292</v>
      </c>
      <c r="I63" s="1267">
        <v>502112</v>
      </c>
      <c r="J63" s="1267">
        <v>506161</v>
      </c>
      <c r="K63" s="1267">
        <v>213977</v>
      </c>
      <c r="L63" s="1267">
        <v>-218027</v>
      </c>
      <c r="M63" s="1267">
        <v>-25248</v>
      </c>
      <c r="N63" s="1267" t="s">
        <v>2958</v>
      </c>
      <c r="O63" s="1267">
        <v>101486</v>
      </c>
      <c r="P63" s="1267" t="s">
        <v>579</v>
      </c>
    </row>
    <row r="64" spans="2:16">
      <c r="B64" s="1267">
        <v>2016</v>
      </c>
      <c r="C64" s="1267" t="s">
        <v>2958</v>
      </c>
      <c r="D64" s="1267">
        <v>347891</v>
      </c>
      <c r="E64" s="1267">
        <v>311581</v>
      </c>
      <c r="F64" s="1267">
        <v>40638</v>
      </c>
      <c r="G64" s="1267">
        <v>-6418</v>
      </c>
      <c r="H64" s="1267">
        <v>2090</v>
      </c>
      <c r="I64" s="1267">
        <v>741393</v>
      </c>
      <c r="J64" s="1267">
        <v>479415</v>
      </c>
      <c r="K64" s="1267">
        <v>237367</v>
      </c>
      <c r="L64" s="1267">
        <v>24612</v>
      </c>
      <c r="M64" s="1267">
        <v>15817</v>
      </c>
      <c r="N64" s="1267" t="s">
        <v>2958</v>
      </c>
      <c r="O64" s="1267">
        <v>74059</v>
      </c>
      <c r="P64" s="1267" t="s">
        <v>579</v>
      </c>
    </row>
    <row r="65" spans="2:16">
      <c r="B65" s="1267">
        <v>2017</v>
      </c>
      <c r="C65" s="1267" t="s">
        <v>2958</v>
      </c>
      <c r="D65" s="1267">
        <v>1212361</v>
      </c>
      <c r="E65" s="1267">
        <v>424418</v>
      </c>
      <c r="F65" s="1267">
        <v>589516</v>
      </c>
      <c r="G65" s="1267">
        <v>200117</v>
      </c>
      <c r="H65" s="1267">
        <v>-1690</v>
      </c>
      <c r="I65" s="1267">
        <v>1587915</v>
      </c>
      <c r="J65" s="1267">
        <v>348674</v>
      </c>
      <c r="K65" s="1267">
        <v>837051</v>
      </c>
      <c r="L65" s="1267">
        <v>402191</v>
      </c>
      <c r="M65" s="1267">
        <v>26363</v>
      </c>
      <c r="N65" s="1267" t="s">
        <v>2958</v>
      </c>
      <c r="O65" s="1267">
        <v>92208</v>
      </c>
      <c r="P65" s="1267" t="s">
        <v>579</v>
      </c>
    </row>
  </sheetData>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CH66"/>
  <sheetViews>
    <sheetView zoomScale="70" zoomScaleNormal="70" zoomScalePageLayoutView="70" workbookViewId="0">
      <pane xSplit="5" ySplit="11" topLeftCell="BD45" activePane="bottomRight" state="frozen"/>
      <selection activeCell="X67" sqref="X67"/>
      <selection pane="topRight" activeCell="X67" sqref="X67"/>
      <selection pane="bottomLeft" activeCell="X67" sqref="X67"/>
      <selection pane="bottomRight" activeCell="X67" sqref="X67"/>
    </sheetView>
  </sheetViews>
  <sheetFormatPr baseColWidth="10" defaultColWidth="9" defaultRowHeight="15" x14ac:dyDescent="0"/>
  <cols>
    <col min="1" max="1" width="12.28515625" style="1267" customWidth="1"/>
    <col min="2" max="3" width="9" style="1267"/>
    <col min="4" max="4" width="15.85546875" style="1267" customWidth="1"/>
    <col min="5" max="5" width="17" style="1267" customWidth="1"/>
    <col min="6" max="6" width="23.140625" style="1267" customWidth="1"/>
    <col min="7" max="7" width="23.5703125" style="1267" customWidth="1"/>
    <col min="8" max="46" width="9" style="1267"/>
    <col min="47" max="47" width="19.28515625" style="1267" customWidth="1"/>
    <col min="48" max="48" width="10.5703125" style="1267" customWidth="1"/>
    <col min="49" max="49" width="13.5703125" style="1267" customWidth="1"/>
    <col min="50" max="16384" width="9" style="1267"/>
  </cols>
  <sheetData>
    <row r="4" spans="1:86" ht="38.25" customHeight="1">
      <c r="A4" s="1268" t="s">
        <v>2975</v>
      </c>
      <c r="D4" s="1267" t="s">
        <v>2476</v>
      </c>
      <c r="AU4" s="1267" t="s">
        <v>2477</v>
      </c>
    </row>
    <row r="6" spans="1:86" s="1269" customFormat="1" ht="48" customHeight="1">
      <c r="D6" s="1269" t="s">
        <v>2959</v>
      </c>
      <c r="G6" s="1269" t="s">
        <v>2960</v>
      </c>
      <c r="I6" s="1269" t="s">
        <v>2877</v>
      </c>
      <c r="V6" s="1269" t="s">
        <v>2856</v>
      </c>
      <c r="AI6" s="1269" t="s">
        <v>2859</v>
      </c>
      <c r="AN6" s="1269" t="s">
        <v>2860</v>
      </c>
      <c r="AU6" s="1269" t="s">
        <v>2961</v>
      </c>
      <c r="AZ6" s="1269" t="s">
        <v>2877</v>
      </c>
      <c r="BM6" s="1269" t="s">
        <v>2856</v>
      </c>
      <c r="BZ6" s="1269" t="s">
        <v>2859</v>
      </c>
      <c r="CE6" s="1269" t="s">
        <v>2860</v>
      </c>
    </row>
    <row r="7" spans="1:86">
      <c r="I7" s="1267" t="s">
        <v>1</v>
      </c>
      <c r="M7" s="1267" t="s">
        <v>2962</v>
      </c>
      <c r="Q7" s="1267" t="s">
        <v>2963</v>
      </c>
      <c r="V7" s="1267" t="s">
        <v>1</v>
      </c>
      <c r="Z7" s="1267" t="s">
        <v>2962</v>
      </c>
      <c r="AD7" s="1267" t="s">
        <v>2963</v>
      </c>
      <c r="AZ7" s="1267" t="s">
        <v>1</v>
      </c>
      <c r="BD7" s="1267" t="s">
        <v>2962</v>
      </c>
      <c r="BH7" s="1267" t="s">
        <v>2963</v>
      </c>
      <c r="BM7" s="1267" t="s">
        <v>1</v>
      </c>
      <c r="BQ7" s="1267" t="s">
        <v>2962</v>
      </c>
      <c r="BU7" s="1267" t="s">
        <v>2963</v>
      </c>
    </row>
    <row r="8" spans="1:86">
      <c r="D8" s="1267" t="s">
        <v>2964</v>
      </c>
      <c r="E8" s="1267" t="s">
        <v>2965</v>
      </c>
      <c r="F8" s="1267" t="s">
        <v>2966</v>
      </c>
      <c r="G8" s="1267" t="s">
        <v>2967</v>
      </c>
      <c r="I8" s="1267" t="s">
        <v>1</v>
      </c>
      <c r="J8" s="1267" t="s">
        <v>2965</v>
      </c>
      <c r="K8" s="1267" t="s">
        <v>2966</v>
      </c>
      <c r="L8" s="1267" t="s">
        <v>2967</v>
      </c>
      <c r="M8" s="1267" t="s">
        <v>1</v>
      </c>
      <c r="N8" s="1267" t="s">
        <v>2965</v>
      </c>
      <c r="O8" s="1267" t="s">
        <v>2966</v>
      </c>
      <c r="P8" s="1267" t="s">
        <v>2967</v>
      </c>
      <c r="Q8" s="1267" t="s">
        <v>1</v>
      </c>
      <c r="R8" s="1267" t="s">
        <v>2965</v>
      </c>
      <c r="S8" s="1267" t="s">
        <v>2966</v>
      </c>
      <c r="T8" s="1267" t="s">
        <v>2967</v>
      </c>
      <c r="V8" s="1267" t="s">
        <v>1</v>
      </c>
      <c r="W8" s="1267" t="s">
        <v>2965</v>
      </c>
      <c r="X8" s="1267" t="s">
        <v>2966</v>
      </c>
      <c r="Y8" s="1267" t="s">
        <v>2967</v>
      </c>
      <c r="Z8" s="1267" t="s">
        <v>1</v>
      </c>
      <c r="AA8" s="1267" t="s">
        <v>2965</v>
      </c>
      <c r="AB8" s="1267" t="s">
        <v>2966</v>
      </c>
      <c r="AC8" s="1267" t="s">
        <v>2967</v>
      </c>
      <c r="AD8" s="1267" t="s">
        <v>1</v>
      </c>
      <c r="AE8" s="1267" t="s">
        <v>2965</v>
      </c>
      <c r="AF8" s="1267" t="s">
        <v>2966</v>
      </c>
      <c r="AG8" s="1267" t="s">
        <v>2967</v>
      </c>
      <c r="AI8" s="1267" t="s">
        <v>1</v>
      </c>
      <c r="AJ8" s="1267" t="s">
        <v>2965</v>
      </c>
      <c r="AK8" s="1267" t="s">
        <v>2966</v>
      </c>
      <c r="AL8" s="1267" t="s">
        <v>2967</v>
      </c>
      <c r="AN8" s="1267" t="s">
        <v>1</v>
      </c>
      <c r="AO8" s="1267" t="s">
        <v>2965</v>
      </c>
      <c r="AP8" s="1267" t="s">
        <v>2966</v>
      </c>
      <c r="AQ8" s="1267" t="s">
        <v>2967</v>
      </c>
      <c r="AU8" s="1267" t="s">
        <v>2964</v>
      </c>
      <c r="AV8" s="1267" t="s">
        <v>2965</v>
      </c>
      <c r="AW8" s="1267" t="s">
        <v>2966</v>
      </c>
      <c r="AX8" s="1267" t="s">
        <v>2967</v>
      </c>
      <c r="AZ8" s="1267" t="s">
        <v>1</v>
      </c>
      <c r="BA8" s="1267" t="s">
        <v>2965</v>
      </c>
      <c r="BB8" s="1267" t="s">
        <v>2966</v>
      </c>
      <c r="BC8" s="1267" t="s">
        <v>2967</v>
      </c>
      <c r="BD8" s="1267" t="s">
        <v>1</v>
      </c>
      <c r="BE8" s="1267" t="s">
        <v>2965</v>
      </c>
      <c r="BF8" s="1267" t="s">
        <v>2966</v>
      </c>
      <c r="BG8" s="1267" t="s">
        <v>2967</v>
      </c>
      <c r="BH8" s="1267" t="s">
        <v>1</v>
      </c>
      <c r="BI8" s="1267" t="s">
        <v>2965</v>
      </c>
      <c r="BJ8" s="1267" t="s">
        <v>2966</v>
      </c>
      <c r="BK8" s="1267" t="s">
        <v>2967</v>
      </c>
      <c r="BM8" s="1267" t="s">
        <v>1</v>
      </c>
      <c r="BN8" s="1267" t="s">
        <v>2965</v>
      </c>
      <c r="BO8" s="1267" t="s">
        <v>2966</v>
      </c>
      <c r="BP8" s="1267" t="s">
        <v>2967</v>
      </c>
      <c r="BQ8" s="1267" t="s">
        <v>1</v>
      </c>
      <c r="BR8" s="1267" t="s">
        <v>2965</v>
      </c>
      <c r="BS8" s="1267" t="s">
        <v>2966</v>
      </c>
      <c r="BT8" s="1267" t="s">
        <v>2967</v>
      </c>
      <c r="BU8" s="1267" t="s">
        <v>1</v>
      </c>
      <c r="BV8" s="1267" t="s">
        <v>2965</v>
      </c>
      <c r="BW8" s="1267" t="s">
        <v>2966</v>
      </c>
      <c r="BX8" s="1267" t="s">
        <v>2967</v>
      </c>
      <c r="BZ8" s="1267" t="s">
        <v>1</v>
      </c>
      <c r="CA8" s="1267" t="s">
        <v>2965</v>
      </c>
      <c r="CB8" s="1267" t="s">
        <v>2966</v>
      </c>
      <c r="CC8" s="1267" t="s">
        <v>2967</v>
      </c>
      <c r="CE8" s="1267" t="s">
        <v>1</v>
      </c>
      <c r="CF8" s="1267" t="s">
        <v>2965</v>
      </c>
      <c r="CG8" s="1267" t="s">
        <v>2966</v>
      </c>
      <c r="CH8" s="1267" t="s">
        <v>2967</v>
      </c>
    </row>
    <row r="9" spans="1:86">
      <c r="C9" s="1267" t="s">
        <v>2898</v>
      </c>
    </row>
    <row r="10" spans="1:86">
      <c r="C10" s="1267" t="s">
        <v>2899</v>
      </c>
    </row>
    <row r="11" spans="1:86">
      <c r="C11" s="1267" t="s">
        <v>2900</v>
      </c>
    </row>
    <row r="12" spans="1:86">
      <c r="C12" s="1267" t="s">
        <v>2901</v>
      </c>
    </row>
    <row r="13" spans="1:86">
      <c r="C13" s="1267" t="s">
        <v>2902</v>
      </c>
    </row>
    <row r="14" spans="1:86">
      <c r="C14" s="1267" t="s">
        <v>2903</v>
      </c>
    </row>
    <row r="15" spans="1:86">
      <c r="C15" s="1267" t="s">
        <v>2904</v>
      </c>
    </row>
    <row r="16" spans="1:86">
      <c r="C16" s="1267" t="s">
        <v>2905</v>
      </c>
    </row>
    <row r="17" spans="3:3">
      <c r="C17" s="1267" t="s">
        <v>2906</v>
      </c>
    </row>
    <row r="18" spans="3:3">
      <c r="C18" s="1267" t="s">
        <v>2907</v>
      </c>
    </row>
    <row r="19" spans="3:3">
      <c r="C19" s="1267" t="s">
        <v>2908</v>
      </c>
    </row>
    <row r="20" spans="3:3">
      <c r="C20" s="1267" t="s">
        <v>2909</v>
      </c>
    </row>
    <row r="21" spans="3:3">
      <c r="C21" s="1267" t="s">
        <v>2910</v>
      </c>
    </row>
    <row r="22" spans="3:3">
      <c r="C22" s="1267" t="s">
        <v>2911</v>
      </c>
    </row>
    <row r="23" spans="3:3">
      <c r="C23" s="1267" t="s">
        <v>2912</v>
      </c>
    </row>
    <row r="24" spans="3:3">
      <c r="C24" s="1267" t="s">
        <v>2913</v>
      </c>
    </row>
    <row r="25" spans="3:3">
      <c r="C25" s="1267" t="s">
        <v>2914</v>
      </c>
    </row>
    <row r="26" spans="3:3">
      <c r="C26" s="1267" t="s">
        <v>2915</v>
      </c>
    </row>
    <row r="27" spans="3:3">
      <c r="C27" s="1267" t="s">
        <v>2916</v>
      </c>
    </row>
    <row r="28" spans="3:3">
      <c r="C28" s="1267" t="s">
        <v>2917</v>
      </c>
    </row>
    <row r="29" spans="3:3">
      <c r="C29" s="1267" t="s">
        <v>2918</v>
      </c>
    </row>
    <row r="30" spans="3:3">
      <c r="C30" s="1267" t="s">
        <v>2919</v>
      </c>
    </row>
    <row r="31" spans="3:3">
      <c r="C31" s="1267" t="s">
        <v>2920</v>
      </c>
    </row>
    <row r="32" spans="3:3">
      <c r="C32" s="1267" t="s">
        <v>2921</v>
      </c>
    </row>
    <row r="33" spans="3:3">
      <c r="C33" s="1267" t="s">
        <v>2922</v>
      </c>
    </row>
    <row r="34" spans="3:3">
      <c r="C34" s="1267" t="s">
        <v>2923</v>
      </c>
    </row>
    <row r="35" spans="3:3">
      <c r="C35" s="1267" t="s">
        <v>2924</v>
      </c>
    </row>
    <row r="36" spans="3:3">
      <c r="C36" s="1267" t="s">
        <v>2925</v>
      </c>
    </row>
    <row r="37" spans="3:3">
      <c r="C37" s="1267" t="s">
        <v>2926</v>
      </c>
    </row>
    <row r="38" spans="3:3">
      <c r="C38" s="1267" t="s">
        <v>2927</v>
      </c>
    </row>
    <row r="39" spans="3:3">
      <c r="C39" s="1267" t="s">
        <v>2928</v>
      </c>
    </row>
    <row r="40" spans="3:3">
      <c r="C40" s="1267" t="s">
        <v>2929</v>
      </c>
    </row>
    <row r="41" spans="3:3">
      <c r="C41" s="1267" t="s">
        <v>2930</v>
      </c>
    </row>
    <row r="42" spans="3:3">
      <c r="C42" s="1267" t="s">
        <v>2931</v>
      </c>
    </row>
    <row r="43" spans="3:3">
      <c r="C43" s="1267" t="s">
        <v>2932</v>
      </c>
    </row>
    <row r="44" spans="3:3">
      <c r="C44" s="1267" t="s">
        <v>2933</v>
      </c>
    </row>
    <row r="45" spans="3:3">
      <c r="C45" s="1267" t="s">
        <v>2934</v>
      </c>
    </row>
    <row r="46" spans="3:3">
      <c r="C46" s="1267" t="s">
        <v>2935</v>
      </c>
    </row>
    <row r="47" spans="3:3">
      <c r="C47" s="1267" t="s">
        <v>2936</v>
      </c>
    </row>
    <row r="48" spans="3:3">
      <c r="C48" s="1267" t="s">
        <v>2937</v>
      </c>
    </row>
    <row r="49" spans="3:81">
      <c r="C49" s="1267" t="s">
        <v>2938</v>
      </c>
    </row>
    <row r="50" spans="3:81">
      <c r="C50" s="1267" t="s">
        <v>2939</v>
      </c>
    </row>
    <row r="51" spans="3:81">
      <c r="C51" s="1267" t="s">
        <v>2940</v>
      </c>
    </row>
    <row r="52" spans="3:81">
      <c r="C52" s="1267" t="s">
        <v>2941</v>
      </c>
      <c r="D52" s="1267">
        <v>1184683</v>
      </c>
      <c r="E52" s="1267">
        <v>767451</v>
      </c>
      <c r="F52" s="1267">
        <v>483662</v>
      </c>
      <c r="G52" s="1267">
        <v>-66430</v>
      </c>
      <c r="I52" s="1267">
        <v>558953</v>
      </c>
      <c r="J52" s="1267">
        <v>362690</v>
      </c>
      <c r="K52" s="1267">
        <v>200068</v>
      </c>
      <c r="L52" s="1267">
        <v>-3805</v>
      </c>
      <c r="M52" s="1267">
        <v>554094</v>
      </c>
      <c r="N52" s="1267">
        <v>362690</v>
      </c>
      <c r="O52" s="1267">
        <v>200068</v>
      </c>
      <c r="P52" s="1267">
        <v>-8664</v>
      </c>
      <c r="Q52" s="1267">
        <v>4859</v>
      </c>
      <c r="R52" s="1267" t="s">
        <v>579</v>
      </c>
      <c r="S52" s="1267" t="s">
        <v>579</v>
      </c>
      <c r="T52" s="1267">
        <v>4859</v>
      </c>
      <c r="V52" s="1267">
        <v>766639</v>
      </c>
      <c r="W52" s="1267">
        <v>386732</v>
      </c>
      <c r="X52" s="1267">
        <v>244771</v>
      </c>
      <c r="Y52" s="1267">
        <v>135135</v>
      </c>
      <c r="Z52" s="1267">
        <v>587439</v>
      </c>
      <c r="AA52" s="1267">
        <v>381342</v>
      </c>
      <c r="AB52" s="1267">
        <v>206097</v>
      </c>
      <c r="AC52" s="1267">
        <v>0</v>
      </c>
      <c r="AD52" s="1267">
        <v>179199</v>
      </c>
      <c r="AE52" s="1267">
        <v>5390</v>
      </c>
      <c r="AF52" s="1267">
        <v>38674</v>
      </c>
      <c r="AG52" s="1267">
        <v>135134</v>
      </c>
      <c r="AI52" s="1267">
        <v>-167408</v>
      </c>
      <c r="AJ52" s="1267" t="s">
        <v>579</v>
      </c>
      <c r="AK52" s="1267">
        <v>30354</v>
      </c>
      <c r="AL52" s="1267">
        <v>-197761</v>
      </c>
      <c r="AN52" s="1267">
        <v>26499</v>
      </c>
      <c r="AO52" s="1267">
        <v>18029</v>
      </c>
      <c r="AP52" s="1267">
        <v>8469</v>
      </c>
      <c r="AQ52" s="1267">
        <v>1</v>
      </c>
      <c r="AU52" s="1267">
        <v>526159</v>
      </c>
      <c r="AV52" s="1267">
        <v>775363</v>
      </c>
      <c r="AW52" s="1267">
        <v>68781</v>
      </c>
      <c r="AX52" s="1267">
        <v>-317985</v>
      </c>
      <c r="AZ52" s="1267">
        <v>363584</v>
      </c>
      <c r="BA52" s="1267">
        <v>381665</v>
      </c>
      <c r="BB52" s="1267" t="s">
        <v>579</v>
      </c>
      <c r="BC52" s="1267">
        <v>-18081</v>
      </c>
      <c r="BD52" s="1267">
        <v>364521</v>
      </c>
      <c r="BE52" s="1267">
        <v>381665</v>
      </c>
      <c r="BF52" s="1267" t="s">
        <v>579</v>
      </c>
      <c r="BG52" s="1267">
        <v>-17144</v>
      </c>
      <c r="BH52" s="1267">
        <v>-936</v>
      </c>
      <c r="BI52" s="1267" t="s">
        <v>579</v>
      </c>
      <c r="BJ52" s="1267" t="s">
        <v>579</v>
      </c>
      <c r="BK52" s="1267">
        <v>-936</v>
      </c>
      <c r="BM52" s="1267">
        <v>424806</v>
      </c>
      <c r="BN52" s="1267">
        <v>393698</v>
      </c>
      <c r="BO52" s="1267">
        <v>48015</v>
      </c>
      <c r="BP52" s="1267">
        <v>-16907</v>
      </c>
      <c r="BQ52" s="1267">
        <v>469736</v>
      </c>
      <c r="BR52" s="1267">
        <v>406726</v>
      </c>
      <c r="BS52" s="1267">
        <v>0</v>
      </c>
      <c r="BT52" s="1267">
        <v>63010</v>
      </c>
      <c r="BU52" s="1267">
        <v>-44930</v>
      </c>
      <c r="BV52" s="1267">
        <v>-13028</v>
      </c>
      <c r="BW52" s="1267">
        <v>48015</v>
      </c>
      <c r="BX52" s="1267">
        <v>-79917</v>
      </c>
      <c r="BZ52" s="1267">
        <v>-262231</v>
      </c>
      <c r="CA52" s="1267" t="s">
        <v>579</v>
      </c>
      <c r="CB52" s="1267">
        <v>20766</v>
      </c>
      <c r="CC52" s="1267">
        <v>-282997</v>
      </c>
    </row>
    <row r="53" spans="3:81">
      <c r="C53" s="1267" t="s">
        <v>2942</v>
      </c>
      <c r="D53" s="1267">
        <v>909415</v>
      </c>
      <c r="E53" s="1267">
        <v>468623</v>
      </c>
      <c r="F53" s="1267">
        <v>309113</v>
      </c>
      <c r="G53" s="1267">
        <v>131678</v>
      </c>
      <c r="I53" s="1267">
        <v>335545</v>
      </c>
      <c r="J53" s="1267">
        <v>215781</v>
      </c>
      <c r="K53" s="1267">
        <v>117231</v>
      </c>
      <c r="L53" s="1267">
        <v>2533</v>
      </c>
      <c r="M53" s="1267">
        <v>330055</v>
      </c>
      <c r="N53" s="1267">
        <v>215781</v>
      </c>
      <c r="O53" s="1267">
        <v>117231</v>
      </c>
      <c r="P53" s="1267">
        <v>-2957</v>
      </c>
      <c r="Q53" s="1267">
        <v>5490</v>
      </c>
      <c r="R53" s="1267" t="s">
        <v>579</v>
      </c>
      <c r="S53" s="1267" t="s">
        <v>579</v>
      </c>
      <c r="T53" s="1267">
        <v>5490</v>
      </c>
      <c r="V53" s="1267">
        <v>460063</v>
      </c>
      <c r="W53" s="1267">
        <v>247908</v>
      </c>
      <c r="X53" s="1267">
        <v>174715</v>
      </c>
      <c r="Y53" s="1267">
        <v>37439</v>
      </c>
      <c r="Z53" s="1267">
        <v>396243</v>
      </c>
      <c r="AA53" s="1267">
        <v>248874</v>
      </c>
      <c r="AB53" s="1267">
        <v>147369</v>
      </c>
      <c r="AC53" s="1267">
        <v>0</v>
      </c>
      <c r="AD53" s="1267">
        <v>63819</v>
      </c>
      <c r="AE53" s="1267">
        <v>-966</v>
      </c>
      <c r="AF53" s="1267">
        <v>27346</v>
      </c>
      <c r="AG53" s="1267">
        <v>37439</v>
      </c>
      <c r="AI53" s="1267">
        <v>104988</v>
      </c>
      <c r="AJ53" s="1267" t="s">
        <v>579</v>
      </c>
      <c r="AK53" s="1267">
        <v>13302</v>
      </c>
      <c r="AL53" s="1267">
        <v>91686</v>
      </c>
      <c r="AN53" s="1267">
        <v>8820</v>
      </c>
      <c r="AO53" s="1267">
        <v>4934</v>
      </c>
      <c r="AP53" s="1267">
        <v>3865</v>
      </c>
      <c r="AQ53" s="1267">
        <v>20</v>
      </c>
      <c r="AU53" s="1267">
        <v>437567</v>
      </c>
      <c r="AV53" s="1267">
        <v>278469</v>
      </c>
      <c r="AW53" s="1267">
        <v>39532</v>
      </c>
      <c r="AX53" s="1267">
        <v>119566</v>
      </c>
      <c r="AZ53" s="1267">
        <v>124747</v>
      </c>
      <c r="BA53" s="1267">
        <v>117593</v>
      </c>
      <c r="BB53" s="1267" t="s">
        <v>579</v>
      </c>
      <c r="BC53" s="1267">
        <v>7154</v>
      </c>
      <c r="BD53" s="1267">
        <v>113978</v>
      </c>
      <c r="BE53" s="1267">
        <v>117593</v>
      </c>
      <c r="BF53" s="1267" t="s">
        <v>579</v>
      </c>
      <c r="BG53" s="1267">
        <v>-3615</v>
      </c>
      <c r="BH53" s="1267">
        <v>10769</v>
      </c>
      <c r="BI53" s="1267" t="s">
        <v>579</v>
      </c>
      <c r="BJ53" s="1267" t="s">
        <v>579</v>
      </c>
      <c r="BK53" s="1267">
        <v>10769</v>
      </c>
      <c r="BM53" s="1267">
        <v>207569</v>
      </c>
      <c r="BN53" s="1267">
        <v>160876</v>
      </c>
      <c r="BO53" s="1267">
        <v>28522</v>
      </c>
      <c r="BP53" s="1267">
        <v>18171</v>
      </c>
      <c r="BQ53" s="1267">
        <v>221964</v>
      </c>
      <c r="BR53" s="1267">
        <v>182564</v>
      </c>
      <c r="BS53" s="1267">
        <v>0</v>
      </c>
      <c r="BT53" s="1267">
        <v>39400</v>
      </c>
      <c r="BU53" s="1267">
        <v>-14395</v>
      </c>
      <c r="BV53" s="1267">
        <v>-21688</v>
      </c>
      <c r="BW53" s="1267">
        <v>28522</v>
      </c>
      <c r="BX53" s="1267">
        <v>-21229</v>
      </c>
      <c r="BZ53" s="1267">
        <v>105251</v>
      </c>
      <c r="CA53" s="1267" t="s">
        <v>579</v>
      </c>
      <c r="CB53" s="1267">
        <v>11010</v>
      </c>
      <c r="CC53" s="1267">
        <v>94241</v>
      </c>
    </row>
    <row r="54" spans="3:81">
      <c r="C54" s="1267" t="s">
        <v>2943</v>
      </c>
      <c r="D54" s="1267">
        <v>1014986</v>
      </c>
      <c r="E54" s="1267">
        <v>1079110</v>
      </c>
      <c r="F54" s="1267">
        <v>-441616</v>
      </c>
      <c r="G54" s="1267">
        <v>377492</v>
      </c>
      <c r="I54" s="1267">
        <v>247716</v>
      </c>
      <c r="J54" s="1267">
        <v>435627</v>
      </c>
      <c r="K54" s="1267">
        <v>-203739</v>
      </c>
      <c r="L54" s="1267">
        <v>15828</v>
      </c>
      <c r="M54" s="1267">
        <v>236470</v>
      </c>
      <c r="N54" s="1267">
        <v>435627</v>
      </c>
      <c r="O54" s="1267">
        <v>-203739</v>
      </c>
      <c r="P54" s="1267">
        <v>4582</v>
      </c>
      <c r="Q54" s="1267">
        <v>11246</v>
      </c>
      <c r="R54" s="1267" t="s">
        <v>579</v>
      </c>
      <c r="S54" s="1267" t="s">
        <v>579</v>
      </c>
      <c r="T54" s="1267">
        <v>11246</v>
      </c>
      <c r="V54" s="1267">
        <v>533383</v>
      </c>
      <c r="W54" s="1267">
        <v>623312</v>
      </c>
      <c r="X54" s="1267">
        <v>-207168</v>
      </c>
      <c r="Y54" s="1267">
        <v>117239</v>
      </c>
      <c r="Z54" s="1267">
        <v>570603</v>
      </c>
      <c r="AA54" s="1267">
        <v>645836</v>
      </c>
      <c r="AB54" s="1267">
        <v>-177411</v>
      </c>
      <c r="AC54" s="1267">
        <v>102178</v>
      </c>
      <c r="AD54" s="1267">
        <v>-37220</v>
      </c>
      <c r="AE54" s="1267">
        <v>-22524</v>
      </c>
      <c r="AF54" s="1267">
        <v>-29757</v>
      </c>
      <c r="AG54" s="1267">
        <v>15061</v>
      </c>
      <c r="AI54" s="1267">
        <v>221341</v>
      </c>
      <c r="AJ54" s="1267" t="s">
        <v>579</v>
      </c>
      <c r="AK54" s="1267">
        <v>-23097</v>
      </c>
      <c r="AL54" s="1267">
        <v>244438</v>
      </c>
      <c r="AN54" s="1267">
        <v>12546</v>
      </c>
      <c r="AO54" s="1267">
        <v>20171</v>
      </c>
      <c r="AP54" s="1267">
        <v>-7612</v>
      </c>
      <c r="AQ54" s="1267">
        <v>-13</v>
      </c>
      <c r="AU54" s="1267">
        <v>-146698</v>
      </c>
      <c r="AV54" s="1267">
        <v>-66777</v>
      </c>
      <c r="AW54" s="1267">
        <v>-50596</v>
      </c>
      <c r="AX54" s="1267">
        <v>-29325</v>
      </c>
      <c r="AZ54" s="1267">
        <v>-16651</v>
      </c>
      <c r="BA54" s="1267">
        <v>-22756</v>
      </c>
      <c r="BB54" s="1267" t="s">
        <v>579</v>
      </c>
      <c r="BC54" s="1267">
        <v>6105</v>
      </c>
      <c r="BD54" s="1267">
        <v>-31497</v>
      </c>
      <c r="BE54" s="1267">
        <v>-22756</v>
      </c>
      <c r="BF54" s="1267" t="s">
        <v>579</v>
      </c>
      <c r="BG54" s="1267">
        <v>-8741</v>
      </c>
      <c r="BH54" s="1267">
        <v>14846</v>
      </c>
      <c r="BI54" s="1267" t="s">
        <v>579</v>
      </c>
      <c r="BJ54" s="1267" t="s">
        <v>579</v>
      </c>
      <c r="BK54" s="1267">
        <v>14846</v>
      </c>
      <c r="BM54" s="1267">
        <v>-115428</v>
      </c>
      <c r="BN54" s="1267">
        <v>-44021</v>
      </c>
      <c r="BO54" s="1267">
        <v>-31422</v>
      </c>
      <c r="BP54" s="1267">
        <v>-39985</v>
      </c>
      <c r="BQ54" s="1267">
        <v>91496</v>
      </c>
      <c r="BR54" s="1267">
        <v>67959</v>
      </c>
      <c r="BS54" s="1267">
        <v>0</v>
      </c>
      <c r="BT54" s="1267">
        <v>23537</v>
      </c>
      <c r="BU54" s="1267">
        <v>-206924</v>
      </c>
      <c r="BV54" s="1267">
        <v>-111980</v>
      </c>
      <c r="BW54" s="1267">
        <v>-31422</v>
      </c>
      <c r="BX54" s="1267">
        <v>-63522</v>
      </c>
      <c r="BZ54" s="1267">
        <v>-14619</v>
      </c>
      <c r="CA54" s="1267" t="s">
        <v>579</v>
      </c>
      <c r="CB54" s="1267">
        <v>-19174</v>
      </c>
      <c r="CC54" s="1267">
        <v>4555</v>
      </c>
    </row>
    <row r="55" spans="3:81">
      <c r="C55" s="1267" t="s">
        <v>2944</v>
      </c>
      <c r="D55" s="1267">
        <v>1679282</v>
      </c>
      <c r="E55" s="1267">
        <v>1111577</v>
      </c>
      <c r="F55" s="1267">
        <v>412582</v>
      </c>
      <c r="G55" s="1267">
        <v>155123</v>
      </c>
      <c r="I55" s="1267">
        <v>598922</v>
      </c>
      <c r="J55" s="1267">
        <v>401692</v>
      </c>
      <c r="K55" s="1267">
        <v>183322</v>
      </c>
      <c r="L55" s="1267">
        <v>13908</v>
      </c>
      <c r="M55" s="1267">
        <v>590947</v>
      </c>
      <c r="N55" s="1267">
        <v>401692</v>
      </c>
      <c r="O55" s="1267">
        <v>183322</v>
      </c>
      <c r="P55" s="1267">
        <v>5933</v>
      </c>
      <c r="Q55" s="1267">
        <v>7975</v>
      </c>
      <c r="R55" s="1267" t="s">
        <v>579</v>
      </c>
      <c r="S55" s="1267" t="s">
        <v>579</v>
      </c>
      <c r="T55" s="1267">
        <v>7975</v>
      </c>
      <c r="V55" s="1267">
        <v>894737</v>
      </c>
      <c r="W55" s="1267">
        <v>678818</v>
      </c>
      <c r="X55" s="1267">
        <v>202964</v>
      </c>
      <c r="Y55" s="1267">
        <v>12955</v>
      </c>
      <c r="Z55" s="1267">
        <v>873924</v>
      </c>
      <c r="AA55" s="1267">
        <v>689469</v>
      </c>
      <c r="AB55" s="1267">
        <v>184455</v>
      </c>
      <c r="AC55" s="1267">
        <v>0</v>
      </c>
      <c r="AD55" s="1267">
        <v>20813</v>
      </c>
      <c r="AE55" s="1267">
        <v>-10651</v>
      </c>
      <c r="AF55" s="1267">
        <v>18509</v>
      </c>
      <c r="AG55" s="1267">
        <v>12955</v>
      </c>
      <c r="AI55" s="1267">
        <v>151441</v>
      </c>
      <c r="AJ55" s="1267" t="s">
        <v>579</v>
      </c>
      <c r="AK55" s="1267">
        <v>23149</v>
      </c>
      <c r="AL55" s="1267">
        <v>128292</v>
      </c>
      <c r="AN55" s="1267">
        <v>34183</v>
      </c>
      <c r="AO55" s="1267">
        <v>31067</v>
      </c>
      <c r="AP55" s="1267">
        <v>3147</v>
      </c>
      <c r="AQ55" s="1267">
        <v>-31</v>
      </c>
      <c r="AU55" s="1267">
        <v>835940</v>
      </c>
      <c r="AV55" s="1267">
        <v>529069</v>
      </c>
      <c r="AW55" s="1267">
        <v>44373</v>
      </c>
      <c r="AX55" s="1267">
        <v>262499</v>
      </c>
      <c r="AZ55" s="1267">
        <v>226994</v>
      </c>
      <c r="BA55" s="1267">
        <v>227080</v>
      </c>
      <c r="BB55" s="1267" t="s">
        <v>579</v>
      </c>
      <c r="BC55" s="1267">
        <v>-86</v>
      </c>
      <c r="BD55" s="1267">
        <v>223516</v>
      </c>
      <c r="BE55" s="1267">
        <v>227080</v>
      </c>
      <c r="BF55" s="1267" t="s">
        <v>579</v>
      </c>
      <c r="BG55" s="1267">
        <v>-3564</v>
      </c>
      <c r="BH55" s="1267">
        <v>3477</v>
      </c>
      <c r="BI55" s="1267" t="s">
        <v>579</v>
      </c>
      <c r="BJ55" s="1267" t="s">
        <v>579</v>
      </c>
      <c r="BK55" s="1267">
        <v>3477</v>
      </c>
      <c r="BM55" s="1267">
        <v>378953</v>
      </c>
      <c r="BN55" s="1267">
        <v>301989</v>
      </c>
      <c r="BO55" s="1267">
        <v>26981</v>
      </c>
      <c r="BP55" s="1267">
        <v>49983</v>
      </c>
      <c r="BQ55" s="1267">
        <v>342399</v>
      </c>
      <c r="BR55" s="1267">
        <v>330709</v>
      </c>
      <c r="BS55" s="1267">
        <v>0</v>
      </c>
      <c r="BT55" s="1267">
        <v>11690</v>
      </c>
      <c r="BU55" s="1267">
        <v>36554</v>
      </c>
      <c r="BV55" s="1267">
        <v>-28720</v>
      </c>
      <c r="BW55" s="1267">
        <v>26981</v>
      </c>
      <c r="BX55" s="1267">
        <v>38293</v>
      </c>
      <c r="BZ55" s="1267">
        <v>229994</v>
      </c>
      <c r="CA55" s="1267" t="s">
        <v>579</v>
      </c>
      <c r="CB55" s="1267">
        <v>17392</v>
      </c>
      <c r="CC55" s="1267">
        <v>212602</v>
      </c>
    </row>
    <row r="56" spans="3:81">
      <c r="C56" s="1267" t="s">
        <v>2945</v>
      </c>
      <c r="D56" s="1267">
        <v>1410850</v>
      </c>
      <c r="E56" s="1267">
        <v>559376</v>
      </c>
      <c r="F56" s="1267">
        <v>721238</v>
      </c>
      <c r="G56" s="1267">
        <v>130236</v>
      </c>
      <c r="I56" s="1267">
        <v>404142</v>
      </c>
      <c r="J56" s="1267">
        <v>112574</v>
      </c>
      <c r="K56" s="1267">
        <v>267582</v>
      </c>
      <c r="L56" s="1267">
        <v>23986</v>
      </c>
      <c r="M56" s="1267">
        <v>374339</v>
      </c>
      <c r="N56" s="1267">
        <v>112574</v>
      </c>
      <c r="O56" s="1267">
        <v>267582</v>
      </c>
      <c r="P56" s="1267">
        <v>-5817</v>
      </c>
      <c r="Q56" s="1267">
        <v>29803</v>
      </c>
      <c r="R56" s="1267" t="s">
        <v>579</v>
      </c>
      <c r="S56" s="1267" t="s">
        <v>579</v>
      </c>
      <c r="T56" s="1267">
        <v>29803</v>
      </c>
      <c r="V56" s="1267">
        <v>864157</v>
      </c>
      <c r="W56" s="1267">
        <v>394060</v>
      </c>
      <c r="X56" s="1267">
        <v>422948</v>
      </c>
      <c r="Y56" s="1267">
        <v>47150</v>
      </c>
      <c r="Z56" s="1267">
        <v>771248</v>
      </c>
      <c r="AA56" s="1267">
        <v>385958</v>
      </c>
      <c r="AB56" s="1267">
        <v>385290</v>
      </c>
      <c r="AC56" s="1267">
        <v>0</v>
      </c>
      <c r="AD56" s="1267">
        <v>92909</v>
      </c>
      <c r="AE56" s="1267">
        <v>8102</v>
      </c>
      <c r="AF56" s="1267">
        <v>37658</v>
      </c>
      <c r="AG56" s="1267">
        <v>47150</v>
      </c>
      <c r="AI56" s="1267">
        <v>85315</v>
      </c>
      <c r="AJ56" s="1267" t="s">
        <v>579</v>
      </c>
      <c r="AK56" s="1267">
        <v>26214</v>
      </c>
      <c r="AL56" s="1267">
        <v>59100</v>
      </c>
      <c r="AN56" s="1267">
        <v>57236</v>
      </c>
      <c r="AO56" s="1267">
        <v>52742</v>
      </c>
      <c r="AP56" s="1267">
        <v>4494</v>
      </c>
      <c r="AQ56" s="1267">
        <v>0</v>
      </c>
      <c r="AU56" s="1267">
        <v>266877</v>
      </c>
      <c r="AV56" s="1267">
        <v>243346</v>
      </c>
      <c r="AW56" s="1267">
        <v>80144</v>
      </c>
      <c r="AX56" s="1267">
        <v>-56613</v>
      </c>
      <c r="AZ56" s="1267">
        <v>35022</v>
      </c>
      <c r="BA56" s="1267">
        <v>22840</v>
      </c>
      <c r="BB56" s="1267" t="s">
        <v>579</v>
      </c>
      <c r="BC56" s="1267">
        <v>12182</v>
      </c>
      <c r="BD56" s="1267">
        <v>5015</v>
      </c>
      <c r="BE56" s="1267">
        <v>22840</v>
      </c>
      <c r="BF56" s="1267" t="s">
        <v>579</v>
      </c>
      <c r="BG56" s="1267">
        <v>-17825</v>
      </c>
      <c r="BH56" s="1267">
        <v>30007</v>
      </c>
      <c r="BI56" s="1267" t="s">
        <v>579</v>
      </c>
      <c r="BJ56" s="1267" t="s">
        <v>579</v>
      </c>
      <c r="BK56" s="1267">
        <v>30007</v>
      </c>
      <c r="BM56" s="1267">
        <v>326839</v>
      </c>
      <c r="BN56" s="1267">
        <v>220506</v>
      </c>
      <c r="BO56" s="1267">
        <v>54482</v>
      </c>
      <c r="BP56" s="1267">
        <v>51851</v>
      </c>
      <c r="BQ56" s="1267">
        <v>164141</v>
      </c>
      <c r="BR56" s="1267">
        <v>130538</v>
      </c>
      <c r="BS56" s="1267">
        <v>0</v>
      </c>
      <c r="BT56" s="1267">
        <v>33603</v>
      </c>
      <c r="BU56" s="1267">
        <v>162698</v>
      </c>
      <c r="BV56" s="1267">
        <v>89968</v>
      </c>
      <c r="BW56" s="1267">
        <v>54482</v>
      </c>
      <c r="BX56" s="1267">
        <v>18248</v>
      </c>
      <c r="BZ56" s="1267">
        <v>-94984</v>
      </c>
      <c r="CA56" s="1267" t="s">
        <v>579</v>
      </c>
      <c r="CB56" s="1267">
        <v>25662</v>
      </c>
      <c r="CC56" s="1267">
        <v>-120646</v>
      </c>
    </row>
    <row r="57" spans="3:81">
      <c r="C57" s="1267" t="s">
        <v>2946</v>
      </c>
      <c r="D57" s="1267">
        <v>-4531599</v>
      </c>
      <c r="E57" s="1267">
        <v>-4329718</v>
      </c>
      <c r="F57" s="1267">
        <v>-790823</v>
      </c>
      <c r="G57" s="1267">
        <v>588942</v>
      </c>
      <c r="I57" s="1267">
        <v>-2494296</v>
      </c>
      <c r="J57" s="1267">
        <v>-2253184</v>
      </c>
      <c r="K57" s="1267">
        <v>-205689</v>
      </c>
      <c r="L57" s="1267">
        <v>-35423</v>
      </c>
      <c r="M57" s="1267">
        <v>-2514811</v>
      </c>
      <c r="N57" s="1267">
        <v>-2253184</v>
      </c>
      <c r="O57" s="1267">
        <v>-205689</v>
      </c>
      <c r="P57" s="1267">
        <v>-55938</v>
      </c>
      <c r="Q57" s="1267">
        <v>20515</v>
      </c>
      <c r="R57" s="1267" t="s">
        <v>579</v>
      </c>
      <c r="S57" s="1267" t="s">
        <v>579</v>
      </c>
      <c r="T57" s="1267">
        <v>20515</v>
      </c>
      <c r="V57" s="1267">
        <v>-2656957</v>
      </c>
      <c r="W57" s="1267">
        <v>-2085853</v>
      </c>
      <c r="X57" s="1267">
        <v>-555463</v>
      </c>
      <c r="Y57" s="1267">
        <v>-15641</v>
      </c>
      <c r="Z57" s="1267">
        <v>-2461012</v>
      </c>
      <c r="AA57" s="1267">
        <v>-1962852</v>
      </c>
      <c r="AB57" s="1267">
        <v>-498160</v>
      </c>
      <c r="AC57" s="1267">
        <v>0</v>
      </c>
      <c r="AD57" s="1267">
        <v>-195944</v>
      </c>
      <c r="AE57" s="1267">
        <v>-123000</v>
      </c>
      <c r="AF57" s="1267">
        <v>-57303</v>
      </c>
      <c r="AG57" s="1267">
        <v>-15641</v>
      </c>
      <c r="AI57" s="1267">
        <v>607981</v>
      </c>
      <c r="AJ57" s="1267" t="s">
        <v>579</v>
      </c>
      <c r="AK57" s="1267">
        <v>-32025</v>
      </c>
      <c r="AL57" s="1267">
        <v>640006</v>
      </c>
      <c r="AN57" s="1267">
        <v>11673</v>
      </c>
      <c r="AO57" s="1267">
        <v>9319</v>
      </c>
      <c r="AP57" s="1267">
        <v>2354</v>
      </c>
      <c r="AQ57" s="1267">
        <v>0</v>
      </c>
      <c r="AU57" s="1267">
        <v>-2507641</v>
      </c>
      <c r="AV57" s="1267">
        <v>-2498164</v>
      </c>
      <c r="AW57" s="1267">
        <v>-92130</v>
      </c>
      <c r="AX57" s="1267">
        <v>82653</v>
      </c>
      <c r="AZ57" s="1267">
        <v>-1384091</v>
      </c>
      <c r="BA57" s="1267">
        <v>-1188331</v>
      </c>
      <c r="BB57" s="1267" t="s">
        <v>579</v>
      </c>
      <c r="BC57" s="1267">
        <v>-195760</v>
      </c>
      <c r="BD57" s="1267">
        <v>-1400223</v>
      </c>
      <c r="BE57" s="1267">
        <v>-1188331</v>
      </c>
      <c r="BF57" s="1267" t="s">
        <v>579</v>
      </c>
      <c r="BG57" s="1267">
        <v>-211892</v>
      </c>
      <c r="BH57" s="1267">
        <v>16132</v>
      </c>
      <c r="BI57" s="1267" t="s">
        <v>579</v>
      </c>
      <c r="BJ57" s="1267" t="s">
        <v>579</v>
      </c>
      <c r="BK57" s="1267">
        <v>16132</v>
      </c>
      <c r="BM57" s="1267">
        <v>-1374784</v>
      </c>
      <c r="BN57" s="1267">
        <v>-1309833</v>
      </c>
      <c r="BO57" s="1267">
        <v>-68756</v>
      </c>
      <c r="BP57" s="1267">
        <v>3805</v>
      </c>
      <c r="BQ57" s="1267">
        <v>-1226022</v>
      </c>
      <c r="BR57" s="1267">
        <v>-1226022</v>
      </c>
      <c r="BS57" s="1267">
        <v>0</v>
      </c>
      <c r="BT57" s="1267">
        <v>0</v>
      </c>
      <c r="BU57" s="1267">
        <v>-148762</v>
      </c>
      <c r="BV57" s="1267">
        <v>-83811</v>
      </c>
      <c r="BW57" s="1267">
        <v>-68756</v>
      </c>
      <c r="BX57" s="1267">
        <v>3805</v>
      </c>
      <c r="BZ57" s="1267">
        <v>251234</v>
      </c>
      <c r="CA57" s="1267" t="s">
        <v>579</v>
      </c>
      <c r="CB57" s="1267">
        <v>-23374</v>
      </c>
      <c r="CC57" s="1267">
        <v>274608</v>
      </c>
    </row>
    <row r="58" spans="3:81">
      <c r="C58" s="1267" t="s">
        <v>2947</v>
      </c>
      <c r="D58" s="1267">
        <v>2509640</v>
      </c>
      <c r="E58" s="1267">
        <v>1869617</v>
      </c>
      <c r="F58" s="1267">
        <v>492465</v>
      </c>
      <c r="G58" s="1267">
        <v>147557</v>
      </c>
      <c r="I58" s="1267">
        <v>925484</v>
      </c>
      <c r="J58" s="1267">
        <v>749015</v>
      </c>
      <c r="K58" s="1267">
        <v>179736</v>
      </c>
      <c r="L58" s="1267">
        <v>-3268</v>
      </c>
      <c r="M58" s="1267">
        <v>908104</v>
      </c>
      <c r="N58" s="1267">
        <v>749015</v>
      </c>
      <c r="O58" s="1267">
        <v>179736</v>
      </c>
      <c r="P58" s="1267">
        <v>-20647</v>
      </c>
      <c r="Q58" s="1267">
        <v>17380</v>
      </c>
      <c r="R58" s="1267" t="s">
        <v>579</v>
      </c>
      <c r="S58" s="1267" t="s">
        <v>579</v>
      </c>
      <c r="T58" s="1267">
        <v>17380</v>
      </c>
      <c r="V58" s="1267">
        <v>1361852</v>
      </c>
      <c r="W58" s="1267">
        <v>1063827</v>
      </c>
      <c r="X58" s="1267">
        <v>297469</v>
      </c>
      <c r="Y58" s="1267">
        <v>556</v>
      </c>
      <c r="Z58" s="1267">
        <v>1183171</v>
      </c>
      <c r="AA58" s="1267">
        <v>925638</v>
      </c>
      <c r="AB58" s="1267">
        <v>257533</v>
      </c>
      <c r="AC58" s="1267">
        <v>0</v>
      </c>
      <c r="AD58" s="1267">
        <v>178682</v>
      </c>
      <c r="AE58" s="1267">
        <v>138189</v>
      </c>
      <c r="AF58" s="1267">
        <v>39937</v>
      </c>
      <c r="AG58" s="1267">
        <v>556</v>
      </c>
      <c r="AI58" s="1267">
        <v>164488</v>
      </c>
      <c r="AJ58" s="1267" t="s">
        <v>579</v>
      </c>
      <c r="AK58" s="1267">
        <v>14219</v>
      </c>
      <c r="AL58" s="1267">
        <v>150269</v>
      </c>
      <c r="AN58" s="1267">
        <v>57816</v>
      </c>
      <c r="AO58" s="1267">
        <v>56775</v>
      </c>
      <c r="AP58" s="1267">
        <v>1041</v>
      </c>
      <c r="AQ58" s="1267">
        <v>0</v>
      </c>
      <c r="AU58" s="1267">
        <v>914093</v>
      </c>
      <c r="AV58" s="1267">
        <v>984204</v>
      </c>
      <c r="AW58" s="1267">
        <v>86143</v>
      </c>
      <c r="AX58" s="1267">
        <v>-156255</v>
      </c>
      <c r="AZ58" s="1267">
        <v>366308</v>
      </c>
      <c r="BA58" s="1267">
        <v>409229</v>
      </c>
      <c r="BB58" s="1267" t="s">
        <v>579</v>
      </c>
      <c r="BC58" s="1267">
        <v>-42921</v>
      </c>
      <c r="BD58" s="1267">
        <v>357633</v>
      </c>
      <c r="BE58" s="1267">
        <v>409229</v>
      </c>
      <c r="BF58" s="1267" t="s">
        <v>579</v>
      </c>
      <c r="BG58" s="1267">
        <v>-51596</v>
      </c>
      <c r="BH58" s="1267">
        <v>8675</v>
      </c>
      <c r="BI58" s="1267" t="s">
        <v>579</v>
      </c>
      <c r="BJ58" s="1267" t="s">
        <v>579</v>
      </c>
      <c r="BK58" s="1267">
        <v>8675</v>
      </c>
      <c r="BM58" s="1267">
        <v>630009</v>
      </c>
      <c r="BN58" s="1267">
        <v>574975</v>
      </c>
      <c r="BO58" s="1267">
        <v>63594</v>
      </c>
      <c r="BP58" s="1267">
        <v>-8560</v>
      </c>
      <c r="BQ58" s="1267">
        <v>565946</v>
      </c>
      <c r="BR58" s="1267">
        <v>565946</v>
      </c>
      <c r="BS58" s="1267">
        <v>0</v>
      </c>
      <c r="BT58" s="1267">
        <v>0</v>
      </c>
      <c r="BU58" s="1267">
        <v>64063</v>
      </c>
      <c r="BV58" s="1267">
        <v>9029</v>
      </c>
      <c r="BW58" s="1267">
        <v>63594</v>
      </c>
      <c r="BX58" s="1267">
        <v>-8560</v>
      </c>
      <c r="BZ58" s="1267">
        <v>-82225</v>
      </c>
      <c r="CA58" s="1267" t="s">
        <v>579</v>
      </c>
      <c r="CB58" s="1267">
        <v>22549</v>
      </c>
      <c r="CC58" s="1267">
        <v>-104773</v>
      </c>
    </row>
    <row r="59" spans="3:81">
      <c r="C59" s="1267" t="s">
        <v>2948</v>
      </c>
      <c r="D59" s="1267">
        <v>1220130</v>
      </c>
      <c r="E59" s="1267">
        <v>891472</v>
      </c>
      <c r="F59" s="1267">
        <v>-22981</v>
      </c>
      <c r="G59" s="1267">
        <v>351639</v>
      </c>
      <c r="I59" s="1267">
        <v>191270</v>
      </c>
      <c r="J59" s="1267">
        <v>164062</v>
      </c>
      <c r="K59" s="1267">
        <v>19460</v>
      </c>
      <c r="L59" s="1267">
        <v>7748</v>
      </c>
      <c r="M59" s="1267">
        <v>185377</v>
      </c>
      <c r="N59" s="1267">
        <v>164062</v>
      </c>
      <c r="O59" s="1267">
        <v>19460</v>
      </c>
      <c r="P59" s="1267">
        <v>1855</v>
      </c>
      <c r="Q59" s="1267">
        <v>5893</v>
      </c>
      <c r="R59" s="1267" t="s">
        <v>579</v>
      </c>
      <c r="S59" s="1267" t="s">
        <v>579</v>
      </c>
      <c r="T59" s="1267">
        <v>5893</v>
      </c>
      <c r="V59" s="1267">
        <v>902192</v>
      </c>
      <c r="W59" s="1267">
        <v>644349</v>
      </c>
      <c r="X59" s="1267">
        <v>-31741</v>
      </c>
      <c r="Y59" s="1267">
        <v>289584</v>
      </c>
      <c r="Z59" s="1267">
        <v>825801</v>
      </c>
      <c r="AA59" s="1267">
        <v>595199</v>
      </c>
      <c r="AB59" s="1267">
        <v>-25245</v>
      </c>
      <c r="AC59" s="1267">
        <v>255847</v>
      </c>
      <c r="AD59" s="1267">
        <v>76392</v>
      </c>
      <c r="AE59" s="1267">
        <v>49150</v>
      </c>
      <c r="AF59" s="1267">
        <v>-6496</v>
      </c>
      <c r="AG59" s="1267">
        <v>33738</v>
      </c>
      <c r="AI59" s="1267">
        <v>43634</v>
      </c>
      <c r="AJ59" s="1267" t="s">
        <v>579</v>
      </c>
      <c r="AK59" s="1267">
        <v>-10673</v>
      </c>
      <c r="AL59" s="1267">
        <v>54307</v>
      </c>
      <c r="AN59" s="1267">
        <v>83034</v>
      </c>
      <c r="AO59" s="1267">
        <v>83061</v>
      </c>
      <c r="AP59" s="1267">
        <v>-27</v>
      </c>
      <c r="AQ59" s="1267">
        <v>0</v>
      </c>
      <c r="AU59" s="1267">
        <v>656004</v>
      </c>
      <c r="AV59" s="1267">
        <v>819634</v>
      </c>
      <c r="AW59" s="1267">
        <v>-8779</v>
      </c>
      <c r="AX59" s="1267">
        <v>-154851</v>
      </c>
      <c r="AZ59" s="1267">
        <v>216428</v>
      </c>
      <c r="BA59" s="1267">
        <v>217550</v>
      </c>
      <c r="BB59" s="1267" t="s">
        <v>579</v>
      </c>
      <c r="BC59" s="1267">
        <v>-1122</v>
      </c>
      <c r="BD59" s="1267">
        <v>206010</v>
      </c>
      <c r="BE59" s="1267">
        <v>217550</v>
      </c>
      <c r="BF59" s="1267" t="s">
        <v>579</v>
      </c>
      <c r="BG59" s="1267">
        <v>-11540</v>
      </c>
      <c r="BH59" s="1267">
        <v>10418</v>
      </c>
      <c r="BI59" s="1267" t="s">
        <v>579</v>
      </c>
      <c r="BJ59" s="1267" t="s">
        <v>579</v>
      </c>
      <c r="BK59" s="1267">
        <v>10418</v>
      </c>
      <c r="BM59" s="1267">
        <v>585594</v>
      </c>
      <c r="BN59" s="1267">
        <v>602084</v>
      </c>
      <c r="BO59" s="1267">
        <v>-5352</v>
      </c>
      <c r="BP59" s="1267">
        <v>-11138</v>
      </c>
      <c r="BQ59" s="1267">
        <v>449136</v>
      </c>
      <c r="BR59" s="1267">
        <v>449136</v>
      </c>
      <c r="BS59" s="1267">
        <v>0</v>
      </c>
      <c r="BT59" s="1267">
        <v>0</v>
      </c>
      <c r="BU59" s="1267">
        <v>136458</v>
      </c>
      <c r="BV59" s="1267">
        <v>152948</v>
      </c>
      <c r="BW59" s="1267">
        <v>-5352</v>
      </c>
      <c r="BX59" s="1267">
        <v>-11138</v>
      </c>
      <c r="BZ59" s="1267">
        <v>-146018</v>
      </c>
      <c r="CA59" s="1267" t="s">
        <v>579</v>
      </c>
      <c r="CB59" s="1267">
        <v>-3427</v>
      </c>
      <c r="CC59" s="1267">
        <v>-142591</v>
      </c>
    </row>
    <row r="60" spans="3:81">
      <c r="C60" s="1267" t="s">
        <v>2949</v>
      </c>
      <c r="D60" s="1267">
        <v>-1115726</v>
      </c>
      <c r="E60" s="1267">
        <v>-1259746</v>
      </c>
      <c r="F60" s="1267">
        <v>-24639</v>
      </c>
      <c r="G60" s="1267">
        <v>168659</v>
      </c>
      <c r="I60" s="1267">
        <v>-708180</v>
      </c>
      <c r="J60" s="1267">
        <v>-674175</v>
      </c>
      <c r="K60" s="1267">
        <v>-11879</v>
      </c>
      <c r="L60" s="1267">
        <v>-22126</v>
      </c>
      <c r="M60" s="1267">
        <v>-698541</v>
      </c>
      <c r="N60" s="1267">
        <v>-674175</v>
      </c>
      <c r="O60" s="1267">
        <v>-11879</v>
      </c>
      <c r="P60" s="1267">
        <v>-12487</v>
      </c>
      <c r="Q60" s="1267">
        <v>-9639</v>
      </c>
      <c r="R60" s="1267" t="s">
        <v>579</v>
      </c>
      <c r="S60" s="1267" t="s">
        <v>579</v>
      </c>
      <c r="T60" s="1267">
        <v>-9639</v>
      </c>
      <c r="V60" s="1267">
        <v>-373999</v>
      </c>
      <c r="W60" s="1267">
        <v>-618288</v>
      </c>
      <c r="X60" s="1267">
        <v>-6454</v>
      </c>
      <c r="Y60" s="1267">
        <v>250743</v>
      </c>
      <c r="Z60" s="1267">
        <v>-405758</v>
      </c>
      <c r="AA60" s="1267">
        <v>-637202</v>
      </c>
      <c r="AB60" s="1267">
        <v>-10068</v>
      </c>
      <c r="AC60" s="1267">
        <v>241512</v>
      </c>
      <c r="AD60" s="1267">
        <v>31760</v>
      </c>
      <c r="AE60" s="1267">
        <v>18914</v>
      </c>
      <c r="AF60" s="1267">
        <v>3614</v>
      </c>
      <c r="AG60" s="1267">
        <v>9231</v>
      </c>
      <c r="AI60" s="1267">
        <v>-66034</v>
      </c>
      <c r="AJ60" s="1267" t="s">
        <v>579</v>
      </c>
      <c r="AK60" s="1267">
        <v>-6076</v>
      </c>
      <c r="AL60" s="1267">
        <v>-59958</v>
      </c>
      <c r="AN60" s="1267">
        <v>32487</v>
      </c>
      <c r="AO60" s="1267">
        <v>32717</v>
      </c>
      <c r="AP60" s="1267">
        <v>-230</v>
      </c>
      <c r="AQ60" s="1267">
        <v>0</v>
      </c>
      <c r="AU60" s="1267">
        <v>312509</v>
      </c>
      <c r="AV60" s="1267">
        <v>18025</v>
      </c>
      <c r="AW60" s="1267">
        <v>-5539</v>
      </c>
      <c r="AX60" s="1267">
        <v>300023</v>
      </c>
      <c r="AZ60" s="1267">
        <v>-163371</v>
      </c>
      <c r="BA60" s="1267">
        <v>-143326</v>
      </c>
      <c r="BB60" s="1267" t="s">
        <v>579</v>
      </c>
      <c r="BC60" s="1267">
        <v>-20045</v>
      </c>
      <c r="BD60" s="1267">
        <v>-150529</v>
      </c>
      <c r="BE60" s="1267">
        <v>-143326</v>
      </c>
      <c r="BF60" s="1267" t="s">
        <v>579</v>
      </c>
      <c r="BG60" s="1267">
        <v>-7203</v>
      </c>
      <c r="BH60" s="1267">
        <v>-12842</v>
      </c>
      <c r="BI60" s="1267" t="s">
        <v>579</v>
      </c>
      <c r="BJ60" s="1267" t="s">
        <v>579</v>
      </c>
      <c r="BK60" s="1267">
        <v>-12842</v>
      </c>
      <c r="BM60" s="1267">
        <v>466355</v>
      </c>
      <c r="BN60" s="1267">
        <v>161351</v>
      </c>
      <c r="BO60" s="1267">
        <v>-1726</v>
      </c>
      <c r="BP60" s="1267">
        <v>306730</v>
      </c>
      <c r="BQ60" s="1267">
        <v>172775</v>
      </c>
      <c r="BR60" s="1267">
        <v>-65079</v>
      </c>
      <c r="BS60" s="1267">
        <v>0</v>
      </c>
      <c r="BT60" s="1267">
        <v>237854</v>
      </c>
      <c r="BU60" s="1267">
        <v>293580</v>
      </c>
      <c r="BV60" s="1267">
        <v>226430</v>
      </c>
      <c r="BW60" s="1267">
        <v>-1726</v>
      </c>
      <c r="BX60" s="1267">
        <v>68876</v>
      </c>
      <c r="BZ60" s="1267">
        <v>9525</v>
      </c>
      <c r="CA60" s="1267" t="s">
        <v>579</v>
      </c>
      <c r="CB60" s="1267">
        <v>-3813</v>
      </c>
      <c r="CC60" s="1267">
        <v>13339</v>
      </c>
    </row>
    <row r="61" spans="3:81">
      <c r="C61" s="1267" t="s">
        <v>2950</v>
      </c>
      <c r="D61" s="1267">
        <v>1273319</v>
      </c>
      <c r="E61" s="1267">
        <v>1176447</v>
      </c>
      <c r="F61" s="1267">
        <v>28360</v>
      </c>
      <c r="G61" s="1267">
        <v>68512</v>
      </c>
      <c r="I61" s="1267">
        <v>377437</v>
      </c>
      <c r="J61" s="1267">
        <v>294808</v>
      </c>
      <c r="K61" s="1267">
        <v>53949</v>
      </c>
      <c r="L61" s="1267">
        <v>28680</v>
      </c>
      <c r="M61" s="1267">
        <v>342615</v>
      </c>
      <c r="N61" s="1267">
        <v>294808</v>
      </c>
      <c r="O61" s="1267">
        <v>53949</v>
      </c>
      <c r="P61" s="1267">
        <v>-6142</v>
      </c>
      <c r="Q61" s="1267">
        <v>34822</v>
      </c>
      <c r="R61" s="1267" t="s">
        <v>579</v>
      </c>
      <c r="S61" s="1267" t="s">
        <v>579</v>
      </c>
      <c r="T61" s="1267">
        <v>34822</v>
      </c>
      <c r="V61" s="1267">
        <v>863469</v>
      </c>
      <c r="W61" s="1267">
        <v>848560</v>
      </c>
      <c r="X61" s="1267">
        <v>-25670</v>
      </c>
      <c r="Y61" s="1267">
        <v>40579</v>
      </c>
      <c r="Z61" s="1267">
        <v>716445</v>
      </c>
      <c r="AA61" s="1267">
        <v>698280</v>
      </c>
      <c r="AB61" s="1267">
        <v>-22580</v>
      </c>
      <c r="AC61" s="1267">
        <v>40745</v>
      </c>
      <c r="AD61" s="1267">
        <v>147024</v>
      </c>
      <c r="AE61" s="1267">
        <v>150280</v>
      </c>
      <c r="AF61" s="1267">
        <v>-3090</v>
      </c>
      <c r="AG61" s="1267">
        <v>-166</v>
      </c>
      <c r="AI61" s="1267">
        <v>1542</v>
      </c>
      <c r="AJ61" s="1267" t="s">
        <v>579</v>
      </c>
      <c r="AK61" s="1267">
        <v>2290</v>
      </c>
      <c r="AL61" s="1267">
        <v>-748</v>
      </c>
      <c r="AN61" s="1267">
        <v>30871</v>
      </c>
      <c r="AO61" s="1267">
        <v>33079</v>
      </c>
      <c r="AP61" s="1267">
        <v>-2208</v>
      </c>
      <c r="AQ61" s="1267">
        <v>0</v>
      </c>
      <c r="AU61" s="1267">
        <v>852437</v>
      </c>
      <c r="AV61" s="1267">
        <v>731444</v>
      </c>
      <c r="AW61" s="1267">
        <v>919</v>
      </c>
      <c r="AX61" s="1267">
        <v>120074</v>
      </c>
      <c r="AZ61" s="1267">
        <v>212866</v>
      </c>
      <c r="BA61" s="1267">
        <v>260376</v>
      </c>
      <c r="BB61" s="1267" t="s">
        <v>579</v>
      </c>
      <c r="BC61" s="1267">
        <v>-47510</v>
      </c>
      <c r="BD61" s="1267">
        <v>236062</v>
      </c>
      <c r="BE61" s="1267">
        <v>260376</v>
      </c>
      <c r="BF61" s="1267" t="s">
        <v>579</v>
      </c>
      <c r="BG61" s="1267">
        <v>-24314</v>
      </c>
      <c r="BH61" s="1267">
        <v>-23197</v>
      </c>
      <c r="BI61" s="1267" t="s">
        <v>579</v>
      </c>
      <c r="BJ61" s="1267" t="s">
        <v>579</v>
      </c>
      <c r="BK61" s="1267">
        <v>-23197</v>
      </c>
      <c r="BM61" s="1267">
        <v>584605</v>
      </c>
      <c r="BN61" s="1267">
        <v>471068</v>
      </c>
      <c r="BO61" s="1267">
        <v>-1757</v>
      </c>
      <c r="BP61" s="1267">
        <v>115294</v>
      </c>
      <c r="BQ61" s="1267">
        <v>464395</v>
      </c>
      <c r="BR61" s="1267">
        <v>363773</v>
      </c>
      <c r="BS61" s="1267">
        <v>0</v>
      </c>
      <c r="BT61" s="1267">
        <v>100622</v>
      </c>
      <c r="BU61" s="1267">
        <v>120210</v>
      </c>
      <c r="BV61" s="1267">
        <v>107295</v>
      </c>
      <c r="BW61" s="1267">
        <v>-1757</v>
      </c>
      <c r="BX61" s="1267">
        <v>14672</v>
      </c>
      <c r="BZ61" s="1267">
        <v>54966</v>
      </c>
      <c r="CA61" s="1267" t="s">
        <v>579</v>
      </c>
      <c r="CB61" s="1267">
        <v>2676</v>
      </c>
      <c r="CC61" s="1267">
        <v>52290</v>
      </c>
    </row>
    <row r="62" spans="3:81">
      <c r="C62" s="1267" t="s">
        <v>2951</v>
      </c>
      <c r="D62" s="1267">
        <v>1535686</v>
      </c>
      <c r="E62" s="1267">
        <v>1694780</v>
      </c>
      <c r="F62" s="1267">
        <v>-271584</v>
      </c>
      <c r="G62" s="1267">
        <v>112491</v>
      </c>
      <c r="I62" s="1267">
        <v>758390</v>
      </c>
      <c r="J62" s="1267">
        <v>804643</v>
      </c>
      <c r="K62" s="1267">
        <v>-45331</v>
      </c>
      <c r="L62" s="1267">
        <v>-922</v>
      </c>
      <c r="M62" s="1267">
        <v>735626</v>
      </c>
      <c r="N62" s="1267">
        <v>804643</v>
      </c>
      <c r="O62" s="1267">
        <v>-45331</v>
      </c>
      <c r="P62" s="1267">
        <v>-23686</v>
      </c>
      <c r="Q62" s="1267">
        <v>22764</v>
      </c>
      <c r="R62" s="1267" t="s">
        <v>579</v>
      </c>
      <c r="S62" s="1267" t="s">
        <v>579</v>
      </c>
      <c r="T62" s="1267">
        <v>22764</v>
      </c>
      <c r="V62" s="1267">
        <v>740846</v>
      </c>
      <c r="W62" s="1267">
        <v>1008595</v>
      </c>
      <c r="X62" s="1267">
        <v>-214905</v>
      </c>
      <c r="Y62" s="1267">
        <v>-52844</v>
      </c>
      <c r="Z62" s="1267">
        <v>863588</v>
      </c>
      <c r="AA62" s="1267">
        <v>1096865</v>
      </c>
      <c r="AB62" s="1267">
        <v>-188573</v>
      </c>
      <c r="AC62" s="1267">
        <v>-44704</v>
      </c>
      <c r="AD62" s="1267">
        <v>-122742</v>
      </c>
      <c r="AE62" s="1267">
        <v>-88270</v>
      </c>
      <c r="AF62" s="1267">
        <v>-26333</v>
      </c>
      <c r="AG62" s="1267">
        <v>-8140</v>
      </c>
      <c r="AI62" s="1267">
        <v>157387</v>
      </c>
      <c r="AJ62" s="1267" t="s">
        <v>579</v>
      </c>
      <c r="AK62" s="1267">
        <v>-8870</v>
      </c>
      <c r="AL62" s="1267">
        <v>166257</v>
      </c>
      <c r="AN62" s="1267">
        <v>-120936</v>
      </c>
      <c r="AO62" s="1267">
        <v>-118459</v>
      </c>
      <c r="AP62" s="1267">
        <v>-2477</v>
      </c>
      <c r="AQ62" s="1267">
        <v>0</v>
      </c>
      <c r="AU62" s="1267">
        <v>2003622</v>
      </c>
      <c r="AV62" s="1267">
        <v>1823698</v>
      </c>
      <c r="AW62" s="1267">
        <v>-28988</v>
      </c>
      <c r="AX62" s="1267">
        <v>208912</v>
      </c>
      <c r="AZ62" s="1267">
        <v>864370</v>
      </c>
      <c r="BA62" s="1267">
        <v>870982</v>
      </c>
      <c r="BB62" s="1267" t="s">
        <v>579</v>
      </c>
      <c r="BC62" s="1267">
        <v>-6612</v>
      </c>
      <c r="BD62" s="1267">
        <v>815604</v>
      </c>
      <c r="BE62" s="1267">
        <v>870982</v>
      </c>
      <c r="BF62" s="1267" t="s">
        <v>579</v>
      </c>
      <c r="BG62" s="1267">
        <v>-55378</v>
      </c>
      <c r="BH62" s="1267">
        <v>48766</v>
      </c>
      <c r="BI62" s="1267" t="s">
        <v>579</v>
      </c>
      <c r="BJ62" s="1267" t="s">
        <v>579</v>
      </c>
      <c r="BK62" s="1267">
        <v>48766</v>
      </c>
      <c r="BM62" s="1267">
        <v>1050399</v>
      </c>
      <c r="BN62" s="1267">
        <v>952716</v>
      </c>
      <c r="BO62" s="1267">
        <v>-23651</v>
      </c>
      <c r="BP62" s="1267">
        <v>121334</v>
      </c>
      <c r="BQ62" s="1267">
        <v>1381881</v>
      </c>
      <c r="BR62" s="1267">
        <v>1309770</v>
      </c>
      <c r="BS62" s="1267">
        <v>0</v>
      </c>
      <c r="BT62" s="1267">
        <v>72111</v>
      </c>
      <c r="BU62" s="1267">
        <v>-331482</v>
      </c>
      <c r="BV62" s="1267">
        <v>-357054</v>
      </c>
      <c r="BW62" s="1267">
        <v>-23651</v>
      </c>
      <c r="BX62" s="1267">
        <v>49223</v>
      </c>
      <c r="BZ62" s="1267">
        <v>88852</v>
      </c>
      <c r="CA62" s="1267" t="s">
        <v>579</v>
      </c>
      <c r="CB62" s="1267">
        <v>-5337</v>
      </c>
      <c r="CC62" s="1267">
        <v>94189</v>
      </c>
    </row>
    <row r="63" spans="3:81">
      <c r="C63" s="1267" t="s">
        <v>2952</v>
      </c>
      <c r="D63" s="1267">
        <v>-366185</v>
      </c>
      <c r="E63" s="1267">
        <v>654662</v>
      </c>
      <c r="F63" s="1267">
        <v>-1258568</v>
      </c>
      <c r="G63" s="1267">
        <v>237721</v>
      </c>
      <c r="I63" s="1267">
        <v>-270121</v>
      </c>
      <c r="J63" s="1267">
        <v>104480</v>
      </c>
      <c r="K63" s="1267">
        <v>-442991</v>
      </c>
      <c r="L63" s="1267">
        <v>68390</v>
      </c>
      <c r="M63" s="1267">
        <v>-344462</v>
      </c>
      <c r="N63" s="1267">
        <v>104480</v>
      </c>
      <c r="O63" s="1267">
        <v>-442991</v>
      </c>
      <c r="P63" s="1267">
        <v>-5951</v>
      </c>
      <c r="Q63" s="1267">
        <v>74342</v>
      </c>
      <c r="R63" s="1267" t="s">
        <v>579</v>
      </c>
      <c r="S63" s="1267" t="s">
        <v>579</v>
      </c>
      <c r="T63" s="1267">
        <v>74342</v>
      </c>
      <c r="V63" s="1267">
        <v>-84534</v>
      </c>
      <c r="W63" s="1267">
        <v>549789</v>
      </c>
      <c r="X63" s="1267">
        <v>-764501</v>
      </c>
      <c r="Y63" s="1267">
        <v>130178</v>
      </c>
      <c r="Z63" s="1267">
        <v>-133873</v>
      </c>
      <c r="AA63" s="1267">
        <v>458532</v>
      </c>
      <c r="AB63" s="1267">
        <v>-688587</v>
      </c>
      <c r="AC63" s="1267">
        <v>96182</v>
      </c>
      <c r="AD63" s="1267">
        <v>49339</v>
      </c>
      <c r="AE63" s="1267">
        <v>91258</v>
      </c>
      <c r="AF63" s="1267">
        <v>-75915</v>
      </c>
      <c r="AG63" s="1267">
        <v>33996</v>
      </c>
      <c r="AI63" s="1267">
        <v>-1031</v>
      </c>
      <c r="AJ63" s="1267" t="s">
        <v>579</v>
      </c>
      <c r="AK63" s="1267">
        <v>-40183</v>
      </c>
      <c r="AL63" s="1267">
        <v>39152</v>
      </c>
      <c r="AN63" s="1267">
        <v>-10499</v>
      </c>
      <c r="AO63" s="1267">
        <v>393</v>
      </c>
      <c r="AP63" s="1267">
        <v>-10892</v>
      </c>
      <c r="AQ63" s="1267">
        <v>0</v>
      </c>
      <c r="AU63" s="1267">
        <v>976817</v>
      </c>
      <c r="AV63" s="1267">
        <v>1117999</v>
      </c>
      <c r="AW63" s="1267">
        <v>-107811</v>
      </c>
      <c r="AX63" s="1267">
        <v>-33371</v>
      </c>
      <c r="AZ63" s="1267">
        <v>316934</v>
      </c>
      <c r="BA63" s="1267">
        <v>343815</v>
      </c>
      <c r="BB63" s="1267" t="s">
        <v>579</v>
      </c>
      <c r="BC63" s="1267">
        <v>-26881</v>
      </c>
      <c r="BD63" s="1267">
        <v>306123</v>
      </c>
      <c r="BE63" s="1267">
        <v>343815</v>
      </c>
      <c r="BF63" s="1267" t="s">
        <v>579</v>
      </c>
      <c r="BG63" s="1267">
        <v>-37692</v>
      </c>
      <c r="BH63" s="1267">
        <v>10811</v>
      </c>
      <c r="BI63" s="1267" t="s">
        <v>579</v>
      </c>
      <c r="BJ63" s="1267" t="s">
        <v>579</v>
      </c>
      <c r="BK63" s="1267">
        <v>10811</v>
      </c>
      <c r="BM63" s="1267">
        <v>676684</v>
      </c>
      <c r="BN63" s="1267">
        <v>774184</v>
      </c>
      <c r="BO63" s="1267">
        <v>-60805</v>
      </c>
      <c r="BP63" s="1267">
        <v>-36696</v>
      </c>
      <c r="BQ63" s="1267">
        <v>623596</v>
      </c>
      <c r="BR63" s="1267">
        <v>626595</v>
      </c>
      <c r="BS63" s="1267" t="s">
        <v>579</v>
      </c>
      <c r="BT63" s="1267">
        <v>-2999</v>
      </c>
      <c r="BU63" s="1267">
        <v>53087</v>
      </c>
      <c r="BV63" s="1267">
        <v>147589</v>
      </c>
      <c r="BW63" s="1267">
        <v>-60805</v>
      </c>
      <c r="BX63" s="1267">
        <v>-33697</v>
      </c>
      <c r="BZ63" s="1267">
        <v>-16800</v>
      </c>
      <c r="CA63" s="1267" t="s">
        <v>579</v>
      </c>
      <c r="CB63" s="1267">
        <v>-47006</v>
      </c>
      <c r="CC63" s="1267">
        <v>30206</v>
      </c>
    </row>
    <row r="64" spans="3:81">
      <c r="C64" s="1267" t="s">
        <v>2953</v>
      </c>
      <c r="D64" s="1267">
        <v>-850349</v>
      </c>
      <c r="E64" s="1267">
        <v>193414</v>
      </c>
      <c r="F64" s="1267">
        <v>-1137511</v>
      </c>
      <c r="G64" s="1267">
        <v>93749</v>
      </c>
      <c r="I64" s="1267">
        <v>-501610</v>
      </c>
      <c r="J64" s="1267">
        <v>-65519</v>
      </c>
      <c r="K64" s="1267">
        <v>-448021</v>
      </c>
      <c r="L64" s="1267">
        <v>11930</v>
      </c>
      <c r="M64" s="1267">
        <v>-548704</v>
      </c>
      <c r="N64" s="1267">
        <v>-65519</v>
      </c>
      <c r="O64" s="1267">
        <v>-448021</v>
      </c>
      <c r="P64" s="1267">
        <v>-35164</v>
      </c>
      <c r="Q64" s="1267">
        <v>47095</v>
      </c>
      <c r="R64" s="1267" t="s">
        <v>579</v>
      </c>
      <c r="S64" s="1267" t="s">
        <v>579</v>
      </c>
      <c r="T64" s="1267">
        <v>47095</v>
      </c>
      <c r="V64" s="1267">
        <v>-294473</v>
      </c>
      <c r="W64" s="1267">
        <v>297110</v>
      </c>
      <c r="X64" s="1267">
        <v>-628663</v>
      </c>
      <c r="Y64" s="1267">
        <v>37080</v>
      </c>
      <c r="Z64" s="1267">
        <v>-211388</v>
      </c>
      <c r="AA64" s="1267">
        <v>331805</v>
      </c>
      <c r="AB64" s="1267">
        <v>-561298</v>
      </c>
      <c r="AC64" s="1267">
        <v>18106</v>
      </c>
      <c r="AD64" s="1267">
        <v>-83086</v>
      </c>
      <c r="AE64" s="1267">
        <v>-34695</v>
      </c>
      <c r="AF64" s="1267">
        <v>-67365</v>
      </c>
      <c r="AG64" s="1267">
        <v>18975</v>
      </c>
      <c r="AI64" s="1267">
        <v>-9908</v>
      </c>
      <c r="AJ64" s="1267" t="s">
        <v>579</v>
      </c>
      <c r="AK64" s="1267">
        <v>-54646</v>
      </c>
      <c r="AL64" s="1267">
        <v>44738</v>
      </c>
      <c r="AN64" s="1267">
        <v>-44358</v>
      </c>
      <c r="AO64" s="1267">
        <v>-38178</v>
      </c>
      <c r="AP64" s="1267">
        <v>-6180</v>
      </c>
      <c r="AQ64" s="1267">
        <v>0</v>
      </c>
      <c r="AU64" s="1267">
        <v>-674240</v>
      </c>
      <c r="AV64" s="1267">
        <v>-562160</v>
      </c>
      <c r="AW64" s="1267">
        <v>-92556</v>
      </c>
      <c r="AX64" s="1267">
        <v>-19524</v>
      </c>
      <c r="AZ64" s="1267">
        <v>-174851</v>
      </c>
      <c r="BA64" s="1267">
        <v>-161625</v>
      </c>
      <c r="BB64" s="1267" t="s">
        <v>579</v>
      </c>
      <c r="BC64" s="1267">
        <v>-13226</v>
      </c>
      <c r="BD64" s="1267">
        <v>-209492</v>
      </c>
      <c r="BE64" s="1267">
        <v>-161625</v>
      </c>
      <c r="BF64" s="1267" t="s">
        <v>579</v>
      </c>
      <c r="BG64" s="1267">
        <v>-47867</v>
      </c>
      <c r="BH64" s="1267">
        <v>34641</v>
      </c>
      <c r="BI64" s="1267" t="s">
        <v>579</v>
      </c>
      <c r="BJ64" s="1267" t="s">
        <v>579</v>
      </c>
      <c r="BK64" s="1267">
        <v>34641</v>
      </c>
      <c r="BM64" s="1267">
        <v>-489546</v>
      </c>
      <c r="BN64" s="1267">
        <v>-400535</v>
      </c>
      <c r="BO64" s="1267">
        <v>-56978</v>
      </c>
      <c r="BP64" s="1267">
        <v>-32033</v>
      </c>
      <c r="BQ64" s="1267">
        <v>-246121</v>
      </c>
      <c r="BR64" s="1267">
        <v>-188078</v>
      </c>
      <c r="BS64" s="1267">
        <v>0</v>
      </c>
      <c r="BT64" s="1267">
        <v>-58043</v>
      </c>
      <c r="BU64" s="1267">
        <v>-243426</v>
      </c>
      <c r="BV64" s="1267">
        <v>-212457</v>
      </c>
      <c r="BW64" s="1267">
        <v>-56978</v>
      </c>
      <c r="BX64" s="1267">
        <v>26009</v>
      </c>
      <c r="BZ64" s="1267">
        <v>-9843</v>
      </c>
      <c r="CA64" s="1267" t="s">
        <v>579</v>
      </c>
      <c r="CB64" s="1267">
        <v>-35578</v>
      </c>
      <c r="CC64" s="1267">
        <v>25735</v>
      </c>
    </row>
    <row r="65" spans="3:81">
      <c r="C65" s="1267" t="s">
        <v>2954</v>
      </c>
      <c r="D65" s="1267">
        <v>368444</v>
      </c>
      <c r="E65" s="1267">
        <v>833675</v>
      </c>
      <c r="F65" s="1267">
        <v>-497911</v>
      </c>
      <c r="G65" s="1267">
        <v>32680</v>
      </c>
      <c r="I65" s="1267">
        <v>64519</v>
      </c>
      <c r="J65" s="1267">
        <v>243476</v>
      </c>
      <c r="K65" s="1267">
        <v>-179914</v>
      </c>
      <c r="L65" s="1267">
        <v>957</v>
      </c>
      <c r="M65" s="1267">
        <v>54690</v>
      </c>
      <c r="N65" s="1267">
        <v>243476</v>
      </c>
      <c r="O65" s="1267">
        <v>-179914</v>
      </c>
      <c r="P65" s="1267">
        <v>-8872</v>
      </c>
      <c r="Q65" s="1267">
        <v>9829</v>
      </c>
      <c r="R65" s="1267" t="s">
        <v>579</v>
      </c>
      <c r="S65" s="1267" t="s">
        <v>579</v>
      </c>
      <c r="T65" s="1267">
        <v>9829</v>
      </c>
      <c r="V65" s="1267">
        <v>268423</v>
      </c>
      <c r="W65" s="1267">
        <v>566298</v>
      </c>
      <c r="X65" s="1267">
        <v>-291562</v>
      </c>
      <c r="Y65" s="1267">
        <v>-6313</v>
      </c>
      <c r="Z65" s="1267">
        <v>226418</v>
      </c>
      <c r="AA65" s="1267">
        <v>507375</v>
      </c>
      <c r="AB65" s="1267">
        <v>-280854</v>
      </c>
      <c r="AC65" s="1267">
        <v>-103</v>
      </c>
      <c r="AD65" s="1267">
        <v>42005</v>
      </c>
      <c r="AE65" s="1267">
        <v>58923</v>
      </c>
      <c r="AF65" s="1267">
        <v>-10708</v>
      </c>
      <c r="AG65" s="1267">
        <v>-6210</v>
      </c>
      <c r="AI65" s="1267">
        <v>13970</v>
      </c>
      <c r="AJ65" s="1267" t="s">
        <v>579</v>
      </c>
      <c r="AK65" s="1267">
        <v>-24066</v>
      </c>
      <c r="AL65" s="1267">
        <v>38036</v>
      </c>
      <c r="AN65" s="1267">
        <v>21532</v>
      </c>
      <c r="AO65" s="1267">
        <v>23901</v>
      </c>
      <c r="AP65" s="1267">
        <v>-2369</v>
      </c>
      <c r="AQ65" s="1267">
        <v>0</v>
      </c>
      <c r="AU65" s="1267">
        <v>804832</v>
      </c>
      <c r="AV65" s="1267">
        <v>796388</v>
      </c>
      <c r="AW65" s="1267">
        <v>-24888</v>
      </c>
      <c r="AX65" s="1267">
        <v>33332</v>
      </c>
      <c r="AZ65" s="1267">
        <v>389002</v>
      </c>
      <c r="BA65" s="1267">
        <v>386222</v>
      </c>
      <c r="BB65" s="1267" t="s">
        <v>579</v>
      </c>
      <c r="BC65" s="1267">
        <v>2780</v>
      </c>
      <c r="BD65" s="1267">
        <v>355311</v>
      </c>
      <c r="BE65" s="1267">
        <v>386222</v>
      </c>
      <c r="BF65" s="1267" t="s">
        <v>579</v>
      </c>
      <c r="BG65" s="1267">
        <v>-30911</v>
      </c>
      <c r="BH65" s="1267">
        <v>33692</v>
      </c>
      <c r="BI65" s="1267" t="s">
        <v>579</v>
      </c>
      <c r="BJ65" s="1267" t="s">
        <v>579</v>
      </c>
      <c r="BK65" s="1267">
        <v>33692</v>
      </c>
      <c r="BM65" s="1267">
        <v>469104</v>
      </c>
      <c r="BN65" s="1267">
        <v>410166</v>
      </c>
      <c r="BO65" s="1267">
        <v>-8813</v>
      </c>
      <c r="BP65" s="1267">
        <v>67751</v>
      </c>
      <c r="BQ65" s="1267">
        <v>495948</v>
      </c>
      <c r="BR65" s="1267">
        <v>471485</v>
      </c>
      <c r="BS65" s="1267">
        <v>0</v>
      </c>
      <c r="BT65" s="1267">
        <v>24463</v>
      </c>
      <c r="BU65" s="1267">
        <v>-26844</v>
      </c>
      <c r="BV65" s="1267">
        <v>-61319</v>
      </c>
      <c r="BW65" s="1267">
        <v>-8813</v>
      </c>
      <c r="BX65" s="1267">
        <v>43288</v>
      </c>
      <c r="BZ65" s="1267">
        <v>-53274</v>
      </c>
      <c r="CA65" s="1267" t="s">
        <v>579</v>
      </c>
      <c r="CB65" s="1267">
        <v>-16075</v>
      </c>
      <c r="CC65" s="1267">
        <v>-37199</v>
      </c>
    </row>
    <row r="66" spans="3:81">
      <c r="C66" s="1267" t="s">
        <v>2955</v>
      </c>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AO96"/>
  <sheetViews>
    <sheetView topLeftCell="AE80" workbookViewId="0">
      <selection activeCell="X67" sqref="X67"/>
    </sheetView>
  </sheetViews>
  <sheetFormatPr baseColWidth="10" defaultRowHeight="15" x14ac:dyDescent="0"/>
  <cols>
    <col min="1" max="25" width="10.7109375" style="1267"/>
    <col min="26" max="26" width="12.42578125" style="1267" customWidth="1"/>
    <col min="27" max="27" width="13.5703125" style="1267" customWidth="1"/>
    <col min="28" max="28" width="11.85546875" style="1267" customWidth="1"/>
    <col min="29" max="29" width="12.140625" style="1267" customWidth="1"/>
    <col min="30" max="30" width="11.5703125" style="1267" customWidth="1"/>
    <col min="31" max="38" width="10.7109375" style="1267"/>
    <col min="39" max="39" width="15" style="1267" customWidth="1"/>
    <col min="40" max="40" width="15.7109375" style="1267" customWidth="1"/>
    <col min="41" max="41" width="14.85546875" style="1267" customWidth="1"/>
    <col min="42" max="16384" width="10.7109375" style="1267"/>
  </cols>
  <sheetData>
    <row r="6" spans="3:41" ht="75" customHeight="1">
      <c r="C6" s="1267" t="s">
        <v>2785</v>
      </c>
      <c r="D6" s="1267" t="s">
        <v>2786</v>
      </c>
      <c r="E6" s="1267" t="s">
        <v>2787</v>
      </c>
      <c r="F6" s="1267" t="s">
        <v>2788</v>
      </c>
      <c r="G6" s="1267" t="s">
        <v>2789</v>
      </c>
      <c r="H6" s="1267" t="s">
        <v>2790</v>
      </c>
      <c r="I6" s="1267" t="s">
        <v>2791</v>
      </c>
      <c r="J6" s="1267" t="s">
        <v>2792</v>
      </c>
      <c r="K6" s="1267" t="s">
        <v>2793</v>
      </c>
      <c r="L6" s="1267" t="s">
        <v>2794</v>
      </c>
      <c r="M6" s="1267" t="s">
        <v>2795</v>
      </c>
      <c r="N6" s="1267" t="s">
        <v>2796</v>
      </c>
      <c r="O6" s="1267" t="s">
        <v>2797</v>
      </c>
      <c r="P6" s="1267" t="s">
        <v>2798</v>
      </c>
      <c r="Q6" s="1267" t="s">
        <v>2799</v>
      </c>
      <c r="R6" s="1267" t="s">
        <v>2800</v>
      </c>
      <c r="S6" s="1267" t="s">
        <v>2801</v>
      </c>
      <c r="T6" s="1267" t="s">
        <v>2802</v>
      </c>
      <c r="U6" s="1267" t="s">
        <v>2803</v>
      </c>
      <c r="V6" s="1267" t="s">
        <v>2804</v>
      </c>
      <c r="W6" s="1267" t="s">
        <v>2805</v>
      </c>
      <c r="X6" s="1267" t="s">
        <v>2806</v>
      </c>
      <c r="Y6" s="1267" t="s">
        <v>2807</v>
      </c>
      <c r="Z6" s="1267" t="s">
        <v>2808</v>
      </c>
      <c r="AA6" s="1267" t="s">
        <v>2809</v>
      </c>
      <c r="AB6" s="1267" t="s">
        <v>2810</v>
      </c>
      <c r="AC6" s="1267" t="s">
        <v>2811</v>
      </c>
      <c r="AD6" s="1267" t="s">
        <v>2812</v>
      </c>
      <c r="AE6" s="1267" t="s">
        <v>2813</v>
      </c>
      <c r="AF6" s="1267" t="s">
        <v>2814</v>
      </c>
      <c r="AG6" s="1267" t="s">
        <v>2815</v>
      </c>
      <c r="AH6" s="1267" t="s">
        <v>2816</v>
      </c>
      <c r="AI6" s="1267" t="s">
        <v>2817</v>
      </c>
      <c r="AJ6" s="1268" t="s">
        <v>2818</v>
      </c>
      <c r="AK6" s="1268" t="s">
        <v>2819</v>
      </c>
      <c r="AL6" s="1267" t="s">
        <v>2820</v>
      </c>
      <c r="AM6" s="1267" t="s">
        <v>2821</v>
      </c>
      <c r="AN6" s="1269" t="s">
        <v>2822</v>
      </c>
      <c r="AO6" s="1269" t="s">
        <v>2823</v>
      </c>
    </row>
    <row r="7" spans="3:41">
      <c r="C7" s="1267" t="s">
        <v>1948</v>
      </c>
      <c r="D7" s="1267">
        <v>193</v>
      </c>
      <c r="E7" s="1267">
        <v>2014</v>
      </c>
      <c r="F7" s="1305">
        <v>480000000000</v>
      </c>
      <c r="G7" s="1305">
        <v>420000000000</v>
      </c>
      <c r="H7" s="1305">
        <v>59000000000</v>
      </c>
      <c r="I7" s="1305">
        <v>600000000000</v>
      </c>
      <c r="J7" s="1305">
        <v>400000000000</v>
      </c>
      <c r="K7" s="1305">
        <v>200000000000</v>
      </c>
      <c r="L7" s="1305">
        <v>620000000000</v>
      </c>
      <c r="M7" s="1305">
        <v>400000000000</v>
      </c>
      <c r="N7" s="1305">
        <v>1300000000000</v>
      </c>
      <c r="O7" s="1305">
        <v>370000000000</v>
      </c>
      <c r="P7" s="1305">
        <v>20000000000</v>
      </c>
      <c r="Q7" s="1305">
        <v>18000000000</v>
      </c>
      <c r="R7" s="1305">
        <v>1200000000</v>
      </c>
      <c r="S7" s="1305">
        <v>30000000000</v>
      </c>
      <c r="T7" s="1305">
        <v>25000000000</v>
      </c>
      <c r="U7" s="1305">
        <v>5400000000</v>
      </c>
      <c r="V7" s="1305">
        <v>20000000000</v>
      </c>
      <c r="W7" s="1305">
        <v>13000000000</v>
      </c>
      <c r="X7" s="1305">
        <v>38000000000</v>
      </c>
      <c r="Y7" s="1305">
        <v>16000000000</v>
      </c>
      <c r="Z7" s="1267">
        <v>4.0008099999999998E-2</v>
      </c>
      <c r="AA7" s="1267">
        <v>4.2794600000000002E-2</v>
      </c>
      <c r="AB7" s="1267">
        <v>2.0096099999999999E-2</v>
      </c>
      <c r="AC7" s="1267">
        <v>5.0090999999999997E-2</v>
      </c>
      <c r="AD7" s="1267">
        <v>6.1050399999999998E-2</v>
      </c>
      <c r="AE7" s="1267">
        <v>2.74053E-2</v>
      </c>
      <c r="AF7" s="1267">
        <v>3.4638000000000002E-2</v>
      </c>
      <c r="AG7" s="1267">
        <v>3.4426600000000002E-2</v>
      </c>
      <c r="AH7" s="1267">
        <v>3.0308399999999999E-2</v>
      </c>
      <c r="AI7" s="1267">
        <v>4.1235099999999997E-2</v>
      </c>
      <c r="AJ7" s="1267">
        <f>Z7-AC7</f>
        <v>-1.0082899999999999E-2</v>
      </c>
      <c r="AK7" s="1267">
        <f>AA7-AD7</f>
        <v>-1.8255799999999996E-2</v>
      </c>
      <c r="AL7" s="1267">
        <v>0</v>
      </c>
      <c r="AM7" s="1267">
        <v>44318.9</v>
      </c>
      <c r="AN7" s="1267">
        <v>29.329000000000001</v>
      </c>
      <c r="AO7" s="1267">
        <v>30</v>
      </c>
    </row>
    <row r="8" spans="3:41">
      <c r="C8" s="1267" t="s">
        <v>1948</v>
      </c>
      <c r="D8" s="1267">
        <v>193</v>
      </c>
      <c r="E8" s="1267">
        <v>2015</v>
      </c>
      <c r="F8" s="1305">
        <v>430000000000</v>
      </c>
      <c r="G8" s="1305">
        <v>390000000000</v>
      </c>
      <c r="H8" s="1305">
        <v>43000000000</v>
      </c>
      <c r="I8" s="1305">
        <v>580000000000</v>
      </c>
      <c r="J8" s="1305">
        <v>390000000000</v>
      </c>
      <c r="K8" s="1305">
        <v>190000000000</v>
      </c>
      <c r="L8" s="1305">
        <v>600000000000</v>
      </c>
      <c r="M8" s="1305">
        <v>380000000000</v>
      </c>
      <c r="N8" s="1305">
        <v>1200000000000</v>
      </c>
      <c r="O8" s="1305">
        <v>340000000000</v>
      </c>
      <c r="P8" s="1305">
        <v>14000000000</v>
      </c>
      <c r="Q8" s="1305">
        <v>13000000000</v>
      </c>
      <c r="R8" s="1305">
        <v>690000000</v>
      </c>
      <c r="S8" s="1305">
        <v>24000000000</v>
      </c>
      <c r="T8" s="1305">
        <v>20000000000</v>
      </c>
      <c r="U8" s="1305">
        <v>4500000000</v>
      </c>
      <c r="V8" s="1305">
        <v>19000000000</v>
      </c>
      <c r="W8" s="1305">
        <v>13000000000</v>
      </c>
      <c r="X8" s="1305">
        <v>33000000000</v>
      </c>
      <c r="Y8" s="1305">
        <v>15000000000</v>
      </c>
      <c r="Z8" s="1267">
        <v>2.8895500000000001E-2</v>
      </c>
      <c r="AA8" s="1267">
        <v>3.1306100000000003E-2</v>
      </c>
      <c r="AB8" s="1267">
        <v>1.16796E-2</v>
      </c>
      <c r="AC8" s="1267">
        <v>4.0663499999999998E-2</v>
      </c>
      <c r="AD8" s="1267">
        <v>4.9117599999999997E-2</v>
      </c>
      <c r="AE8" s="1267">
        <v>2.32371E-2</v>
      </c>
      <c r="AF8" s="1267">
        <v>2.99869E-2</v>
      </c>
      <c r="AG8" s="1267">
        <v>3.1515500000000002E-2</v>
      </c>
      <c r="AH8" s="1267">
        <v>2.6580599999999999E-2</v>
      </c>
      <c r="AI8" s="1267">
        <v>4.0781999999999999E-2</v>
      </c>
      <c r="AJ8" s="1267">
        <f t="shared" ref="AJ8:AK71" si="0">Z8-AC8</f>
        <v>-1.1767999999999997E-2</v>
      </c>
      <c r="AK8" s="1267">
        <f t="shared" si="0"/>
        <v>-1.7811499999999994E-2</v>
      </c>
      <c r="AL8" s="1267">
        <v>0</v>
      </c>
      <c r="AM8" s="1267">
        <v>44934</v>
      </c>
      <c r="AN8" s="1267">
        <v>29.329000000000001</v>
      </c>
      <c r="AO8" s="1267">
        <v>30</v>
      </c>
    </row>
    <row r="9" spans="3:41">
      <c r="C9" s="1267" t="s">
        <v>1948</v>
      </c>
      <c r="D9" s="1267">
        <v>193</v>
      </c>
      <c r="E9" s="1267">
        <v>2016</v>
      </c>
      <c r="F9" s="1305">
        <v>440000000000</v>
      </c>
      <c r="G9" s="1305">
        <v>400000000000</v>
      </c>
      <c r="H9" s="1305">
        <v>40000000000</v>
      </c>
      <c r="I9" s="1305">
        <v>620000000000</v>
      </c>
      <c r="J9" s="1305">
        <v>420000000000</v>
      </c>
      <c r="K9" s="1305">
        <v>200000000000</v>
      </c>
      <c r="L9" s="1305">
        <v>630000000000</v>
      </c>
      <c r="M9" s="1305">
        <v>400000000000</v>
      </c>
      <c r="N9" s="1305">
        <v>1200000000000</v>
      </c>
      <c r="O9" s="1305">
        <v>380000000000</v>
      </c>
      <c r="P9" s="1305">
        <v>21000000000</v>
      </c>
      <c r="Q9" s="1305">
        <v>20000000000</v>
      </c>
      <c r="R9" s="1305">
        <v>440000000</v>
      </c>
      <c r="S9" s="1305">
        <v>27000000000</v>
      </c>
      <c r="T9" s="1305">
        <v>23000000000</v>
      </c>
      <c r="U9" s="1305">
        <v>4100000000</v>
      </c>
      <c r="V9" s="1305">
        <v>19000000000</v>
      </c>
      <c r="W9" s="1305">
        <v>14000000000</v>
      </c>
      <c r="X9" s="1305">
        <v>31000000000</v>
      </c>
      <c r="Y9" s="1305">
        <v>14000000000</v>
      </c>
      <c r="Z9" s="1267">
        <v>4.7428999999999999E-2</v>
      </c>
      <c r="AA9" s="1267">
        <v>5.1523899999999997E-2</v>
      </c>
      <c r="AB9" s="1267">
        <v>1.0293E-2</v>
      </c>
      <c r="AC9" s="1267">
        <v>4.6260299999999997E-2</v>
      </c>
      <c r="AD9" s="1267">
        <v>5.8779699999999997E-2</v>
      </c>
      <c r="AE9" s="1267">
        <v>2.1258900000000001E-2</v>
      </c>
      <c r="AF9" s="1267">
        <v>3.1996299999999998E-2</v>
      </c>
      <c r="AG9" s="1267">
        <v>3.5919899999999998E-2</v>
      </c>
      <c r="AH9" s="1267">
        <v>2.5874500000000002E-2</v>
      </c>
      <c r="AI9" s="1267">
        <v>4.13269E-2</v>
      </c>
      <c r="AJ9" s="1267">
        <f t="shared" si="0"/>
        <v>1.1687000000000017E-3</v>
      </c>
      <c r="AK9" s="1267">
        <f t="shared" si="0"/>
        <v>-7.2557999999999997E-3</v>
      </c>
      <c r="AL9" s="1267">
        <v>0</v>
      </c>
      <c r="AM9" s="1267">
        <v>45147.3</v>
      </c>
      <c r="AN9" s="1267">
        <v>29.329000000000001</v>
      </c>
      <c r="AO9" s="1267">
        <v>30</v>
      </c>
    </row>
    <row r="10" spans="3:41">
      <c r="C10" s="1267" t="s">
        <v>1947</v>
      </c>
      <c r="D10" s="1267">
        <v>122</v>
      </c>
      <c r="E10" s="1267">
        <v>2014</v>
      </c>
      <c r="F10" s="1305">
        <v>370000000000</v>
      </c>
      <c r="G10" s="1305">
        <v>300000000000</v>
      </c>
      <c r="H10" s="1305">
        <v>70000000000</v>
      </c>
      <c r="I10" s="1305">
        <v>310000000000</v>
      </c>
      <c r="J10" s="1305">
        <v>260000000000</v>
      </c>
      <c r="K10" s="1305">
        <v>53000000000</v>
      </c>
      <c r="L10" s="1305">
        <v>340000000000</v>
      </c>
      <c r="M10" s="1305">
        <v>100000000000</v>
      </c>
      <c r="N10" s="1305">
        <v>490000000000</v>
      </c>
      <c r="O10" s="1305">
        <v>55000000000</v>
      </c>
      <c r="P10" s="1305">
        <v>12000000000</v>
      </c>
      <c r="Q10" s="1305">
        <v>10000000000</v>
      </c>
      <c r="R10" s="1305">
        <v>1700000000</v>
      </c>
      <c r="S10" s="1305">
        <v>6600000000</v>
      </c>
      <c r="T10" s="1305">
        <v>4100000000</v>
      </c>
      <c r="U10" s="1305">
        <v>2500000000</v>
      </c>
      <c r="V10" s="1305">
        <v>9900000000</v>
      </c>
      <c r="W10" s="1305">
        <v>2200000000</v>
      </c>
      <c r="X10" s="1305">
        <v>15000000000</v>
      </c>
      <c r="Y10" s="1305">
        <v>1400000000</v>
      </c>
      <c r="Z10" s="1267">
        <v>3.0512500000000001E-2</v>
      </c>
      <c r="AA10" s="1267">
        <v>3.1744700000000001E-2</v>
      </c>
      <c r="AB10" s="1267">
        <v>2.4781999999999998E-2</v>
      </c>
      <c r="AC10" s="1267">
        <v>1.9510400000000001E-2</v>
      </c>
      <c r="AD10" s="1267">
        <v>1.4655E-2</v>
      </c>
      <c r="AE10" s="1267">
        <v>4.2502199999999997E-2</v>
      </c>
      <c r="AF10" s="1267">
        <v>2.7935600000000001E-2</v>
      </c>
      <c r="AG10" s="1267">
        <v>2.18239E-2</v>
      </c>
      <c r="AH10" s="1267">
        <v>2.7173099999999999E-2</v>
      </c>
      <c r="AI10" s="1267">
        <v>2.0928800000000001E-2</v>
      </c>
      <c r="AJ10" s="1267">
        <f t="shared" si="0"/>
        <v>1.1002100000000001E-2</v>
      </c>
      <c r="AK10" s="1267">
        <f t="shared" si="0"/>
        <v>1.7089699999999999E-2</v>
      </c>
      <c r="AL10" s="1267">
        <v>1</v>
      </c>
      <c r="AM10" s="1267">
        <v>42999.199999999997</v>
      </c>
      <c r="AN10" s="1267">
        <v>43.915100000000002</v>
      </c>
      <c r="AO10" s="1267">
        <v>25</v>
      </c>
    </row>
    <row r="11" spans="3:41">
      <c r="C11" s="1267" t="s">
        <v>1947</v>
      </c>
      <c r="D11" s="1267">
        <v>122</v>
      </c>
      <c r="E11" s="1267">
        <v>2015</v>
      </c>
      <c r="F11" s="1305">
        <v>330000000000</v>
      </c>
      <c r="G11" s="1305">
        <v>260000000000</v>
      </c>
      <c r="H11" s="1305">
        <v>66000000000</v>
      </c>
      <c r="I11" s="1305">
        <v>280000000000</v>
      </c>
      <c r="J11" s="1305">
        <v>240000000000</v>
      </c>
      <c r="K11" s="1305">
        <v>46000000000</v>
      </c>
      <c r="L11" s="1305">
        <v>310000000000</v>
      </c>
      <c r="M11" s="1305">
        <v>98000000000</v>
      </c>
      <c r="N11" s="1305">
        <v>420000000000</v>
      </c>
      <c r="O11" s="1305">
        <v>55000000000</v>
      </c>
      <c r="P11" s="1305">
        <v>2900000000</v>
      </c>
      <c r="Q11" s="1305">
        <v>1200000000</v>
      </c>
      <c r="R11" s="1305">
        <v>1700000000</v>
      </c>
      <c r="S11" s="1305">
        <v>1800000000</v>
      </c>
      <c r="T11" s="1305">
        <v>48000000</v>
      </c>
      <c r="U11" s="1305">
        <v>1800000000</v>
      </c>
      <c r="V11" s="1305">
        <v>8100000000</v>
      </c>
      <c r="W11" s="1305">
        <v>2100000000</v>
      </c>
      <c r="X11" s="1305">
        <v>11000000000</v>
      </c>
      <c r="Y11" s="1305">
        <v>1100000000</v>
      </c>
      <c r="Z11" s="1267">
        <v>7.8723999999999999E-3</v>
      </c>
      <c r="AA11" s="1267">
        <v>4.0340000000000003E-3</v>
      </c>
      <c r="AB11" s="1267">
        <v>2.4058400000000001E-2</v>
      </c>
      <c r="AC11" s="1267">
        <v>5.7251999999999997E-3</v>
      </c>
      <c r="AD11" s="1267">
        <v>1.8220000000000001E-4</v>
      </c>
      <c r="AE11" s="1267">
        <v>3.2860199999999999E-2</v>
      </c>
      <c r="AF11" s="1267">
        <v>2.3907000000000001E-2</v>
      </c>
      <c r="AG11" s="1267">
        <v>2.1445200000000001E-2</v>
      </c>
      <c r="AH11" s="1267">
        <v>2.3584600000000001E-2</v>
      </c>
      <c r="AI11" s="1267">
        <v>1.9703600000000002E-2</v>
      </c>
      <c r="AJ11" s="1267">
        <f t="shared" si="0"/>
        <v>2.1472000000000002E-3</v>
      </c>
      <c r="AK11" s="1267">
        <f t="shared" si="0"/>
        <v>3.8518000000000003E-3</v>
      </c>
      <c r="AL11" s="1267">
        <v>1</v>
      </c>
      <c r="AM11" s="1267">
        <v>42982.7</v>
      </c>
      <c r="AN11" s="1267">
        <v>43.915100000000002</v>
      </c>
      <c r="AO11" s="1267">
        <v>25</v>
      </c>
    </row>
    <row r="12" spans="3:41">
      <c r="C12" s="1267" t="s">
        <v>1947</v>
      </c>
      <c r="D12" s="1267">
        <v>122</v>
      </c>
      <c r="E12" s="1267">
        <v>2016</v>
      </c>
      <c r="F12" s="1305">
        <v>300000000000</v>
      </c>
      <c r="G12" s="1305">
        <v>230000000000</v>
      </c>
      <c r="H12" s="1305">
        <v>68000000000</v>
      </c>
      <c r="I12" s="1305">
        <v>250000000000</v>
      </c>
      <c r="J12" s="1305">
        <v>200000000000</v>
      </c>
      <c r="K12" s="1305">
        <v>50000000000</v>
      </c>
      <c r="L12" s="1305">
        <v>310000000000</v>
      </c>
      <c r="M12" s="1305">
        <v>110000000000</v>
      </c>
      <c r="N12" s="1305">
        <v>400000000000</v>
      </c>
      <c r="O12" s="1305">
        <v>57000000000</v>
      </c>
      <c r="P12" s="1305">
        <v>15000000000</v>
      </c>
      <c r="Q12" s="1305">
        <v>13000000000</v>
      </c>
      <c r="R12" s="1305">
        <v>2200000000</v>
      </c>
      <c r="S12" s="1305">
        <v>13000000000</v>
      </c>
      <c r="T12" s="1305">
        <v>11000000000</v>
      </c>
      <c r="U12" s="1305">
        <v>1900000000</v>
      </c>
      <c r="V12" s="1305">
        <v>7600000000</v>
      </c>
      <c r="W12" s="1305">
        <v>2100000000</v>
      </c>
      <c r="X12" s="1305">
        <v>10000000000</v>
      </c>
      <c r="Y12" s="1305">
        <v>930000000</v>
      </c>
      <c r="Z12" s="1267">
        <v>4.69358E-2</v>
      </c>
      <c r="AA12" s="1267">
        <v>5.05467E-2</v>
      </c>
      <c r="AB12" s="1267">
        <v>3.2659100000000003E-2</v>
      </c>
      <c r="AC12" s="1267">
        <v>4.6422199999999997E-2</v>
      </c>
      <c r="AD12" s="1267">
        <v>4.7373999999999999E-2</v>
      </c>
      <c r="AE12" s="1267">
        <v>4.15156E-2</v>
      </c>
      <c r="AF12" s="1267">
        <v>2.4700099999999999E-2</v>
      </c>
      <c r="AG12" s="1267">
        <v>2.1356900000000002E-2</v>
      </c>
      <c r="AH12" s="1267">
        <v>2.4798199999999999E-2</v>
      </c>
      <c r="AI12" s="1267">
        <v>1.6994200000000001E-2</v>
      </c>
      <c r="AJ12" s="1267">
        <f t="shared" si="0"/>
        <v>5.1360000000000294E-4</v>
      </c>
      <c r="AK12" s="1267">
        <f t="shared" si="0"/>
        <v>3.1727000000000005E-3</v>
      </c>
      <c r="AL12" s="1267">
        <v>1</v>
      </c>
      <c r="AM12" s="1267">
        <v>43068.800000000003</v>
      </c>
      <c r="AN12" s="1267">
        <v>43.915100000000002</v>
      </c>
      <c r="AO12" s="1267">
        <v>25</v>
      </c>
    </row>
    <row r="13" spans="3:41">
      <c r="C13" s="1267" t="s">
        <v>1895</v>
      </c>
      <c r="D13" s="1267">
        <v>124</v>
      </c>
      <c r="E13" s="1267">
        <v>2014</v>
      </c>
      <c r="F13" s="1305">
        <v>1000000000000</v>
      </c>
      <c r="G13" s="1305">
        <v>400000000000</v>
      </c>
      <c r="H13" s="1305">
        <v>620000000000</v>
      </c>
      <c r="I13" s="1305">
        <v>1100000000000</v>
      </c>
      <c r="J13" s="1305">
        <v>700000000000</v>
      </c>
      <c r="K13" s="1305">
        <v>350000000000</v>
      </c>
      <c r="L13" s="1305">
        <v>700000000000</v>
      </c>
      <c r="M13" s="1305">
        <v>290000000000</v>
      </c>
      <c r="N13" s="1305">
        <v>540000000000</v>
      </c>
      <c r="O13" s="1305">
        <v>110000000000</v>
      </c>
      <c r="P13" s="1305">
        <v>32000000000</v>
      </c>
      <c r="Q13" s="1305">
        <v>18000000000</v>
      </c>
      <c r="R13" s="1305">
        <v>13000000000</v>
      </c>
      <c r="S13" s="1305">
        <v>38000000000</v>
      </c>
      <c r="T13" s="1305">
        <v>33000000000</v>
      </c>
      <c r="U13" s="1305">
        <v>5600000000</v>
      </c>
      <c r="V13" s="1305">
        <v>20000000000</v>
      </c>
      <c r="W13" s="1305">
        <v>6600000000</v>
      </c>
      <c r="X13" s="1305">
        <v>17000000000</v>
      </c>
      <c r="Y13" s="1305">
        <v>4400000000</v>
      </c>
      <c r="Z13" s="1267">
        <v>2.7968699999999999E-2</v>
      </c>
      <c r="AA13" s="1267">
        <v>4.4322599999999997E-2</v>
      </c>
      <c r="AB13" s="1267">
        <v>1.8566200000000001E-2</v>
      </c>
      <c r="AC13" s="1267">
        <v>3.2253200000000003E-2</v>
      </c>
      <c r="AD13" s="1267">
        <v>4.18853E-2</v>
      </c>
      <c r="AE13" s="1267">
        <v>1.3685900000000001E-2</v>
      </c>
      <c r="AF13" s="1267">
        <v>2.8596300000000002E-2</v>
      </c>
      <c r="AG13" s="1267">
        <v>2.3321000000000001E-2</v>
      </c>
      <c r="AH13" s="1267">
        <v>3.22992E-2</v>
      </c>
      <c r="AI13" s="1267">
        <v>3.6956700000000002E-2</v>
      </c>
      <c r="AJ13" s="1267">
        <f t="shared" si="0"/>
        <v>-4.2845000000000036E-3</v>
      </c>
      <c r="AK13" s="1267">
        <f t="shared" si="0"/>
        <v>2.4372999999999964E-3</v>
      </c>
      <c r="AL13" s="1267">
        <v>1</v>
      </c>
      <c r="AM13" s="1267">
        <v>40525.699999999997</v>
      </c>
      <c r="AN13" s="1267">
        <v>23.309000000000001</v>
      </c>
      <c r="AO13" s="1267">
        <v>33.99</v>
      </c>
    </row>
    <row r="14" spans="3:41">
      <c r="C14" s="1267" t="s">
        <v>1895</v>
      </c>
      <c r="D14" s="1267">
        <v>124</v>
      </c>
      <c r="E14" s="1267">
        <v>2015</v>
      </c>
      <c r="F14" s="1305">
        <v>940000000000</v>
      </c>
      <c r="G14" s="1305">
        <v>410000000000</v>
      </c>
      <c r="H14" s="1305">
        <v>530000000000</v>
      </c>
      <c r="I14" s="1305">
        <v>950000000000</v>
      </c>
      <c r="J14" s="1305">
        <v>620000000000</v>
      </c>
      <c r="K14" s="1305">
        <v>330000000000</v>
      </c>
      <c r="L14" s="1305">
        <v>640000000000</v>
      </c>
      <c r="M14" s="1305">
        <v>280000000000</v>
      </c>
      <c r="N14" s="1305">
        <v>520000000000</v>
      </c>
      <c r="O14" s="1305">
        <v>130000000000</v>
      </c>
      <c r="P14" s="1305">
        <v>23000000000</v>
      </c>
      <c r="Q14" s="1305">
        <v>12000000000</v>
      </c>
      <c r="R14" s="1305">
        <v>11000000000</v>
      </c>
      <c r="S14" s="1305">
        <v>30000000000</v>
      </c>
      <c r="T14" s="1305">
        <v>25000000000</v>
      </c>
      <c r="U14" s="1305">
        <v>5100000000</v>
      </c>
      <c r="V14" s="1305">
        <v>16000000000</v>
      </c>
      <c r="W14" s="1305">
        <v>5100000000</v>
      </c>
      <c r="X14" s="1305">
        <v>16000000000</v>
      </c>
      <c r="Y14" s="1305">
        <v>5700000000</v>
      </c>
      <c r="Z14" s="1267">
        <v>2.23287E-2</v>
      </c>
      <c r="AA14" s="1267">
        <v>2.9805100000000001E-2</v>
      </c>
      <c r="AB14" s="1267">
        <v>1.7514499999999999E-2</v>
      </c>
      <c r="AC14" s="1267">
        <v>2.81269E-2</v>
      </c>
      <c r="AD14" s="1267">
        <v>3.4939199999999997E-2</v>
      </c>
      <c r="AE14" s="1267">
        <v>1.44981E-2</v>
      </c>
      <c r="AF14" s="1267">
        <v>2.2984899999999999E-2</v>
      </c>
      <c r="AG14" s="1267">
        <v>1.7293900000000001E-2</v>
      </c>
      <c r="AH14" s="1267">
        <v>3.0328999999999998E-2</v>
      </c>
      <c r="AI14" s="1267">
        <v>5.0163399999999997E-2</v>
      </c>
      <c r="AJ14" s="1267">
        <f t="shared" si="0"/>
        <v>-5.7981999999999999E-3</v>
      </c>
      <c r="AK14" s="1267">
        <f t="shared" si="0"/>
        <v>-5.1340999999999956E-3</v>
      </c>
      <c r="AL14" s="1267">
        <v>1</v>
      </c>
      <c r="AM14" s="1267">
        <v>40882.800000000003</v>
      </c>
      <c r="AN14" s="1267">
        <v>23.309000000000001</v>
      </c>
      <c r="AO14" s="1267">
        <v>33.99</v>
      </c>
    </row>
    <row r="15" spans="3:41">
      <c r="C15" s="1267" t="s">
        <v>1895</v>
      </c>
      <c r="D15" s="1267">
        <v>124</v>
      </c>
      <c r="E15" s="1267">
        <v>2016</v>
      </c>
      <c r="F15" s="1305">
        <v>920000000000</v>
      </c>
      <c r="G15" s="1305">
        <v>430000000000</v>
      </c>
      <c r="H15" s="1305">
        <v>490000000000</v>
      </c>
      <c r="I15" s="1305">
        <v>940000000000</v>
      </c>
      <c r="J15" s="1305">
        <v>600000000000</v>
      </c>
      <c r="K15" s="1305">
        <v>350000000000</v>
      </c>
      <c r="L15" s="1305">
        <v>670000000000</v>
      </c>
      <c r="M15" s="1305">
        <v>310000000000</v>
      </c>
      <c r="N15" s="1305">
        <v>570000000000</v>
      </c>
      <c r="O15" s="1305">
        <v>150000000000</v>
      </c>
      <c r="P15" s="1305">
        <v>28000000000</v>
      </c>
      <c r="Q15" s="1305">
        <v>19000000000</v>
      </c>
      <c r="R15" s="1305">
        <v>8600000000</v>
      </c>
      <c r="S15" s="1305">
        <v>29000000000</v>
      </c>
      <c r="T15" s="1305">
        <v>24000000000</v>
      </c>
      <c r="U15" s="1305">
        <v>5600000000</v>
      </c>
      <c r="V15" s="1305">
        <v>15000000000</v>
      </c>
      <c r="W15" s="1305">
        <v>5200000000</v>
      </c>
      <c r="X15" s="1305">
        <v>16000000000</v>
      </c>
      <c r="Y15" s="1305">
        <v>6100000000</v>
      </c>
      <c r="Z15" s="1267">
        <v>2.9282099999999998E-2</v>
      </c>
      <c r="AA15" s="1267">
        <v>4.5977799999999999E-2</v>
      </c>
      <c r="AB15" s="1267">
        <v>1.6201E-2</v>
      </c>
      <c r="AC15" s="1267">
        <v>3.0963299999999999E-2</v>
      </c>
      <c r="AD15" s="1267">
        <v>3.8243199999999998E-2</v>
      </c>
      <c r="AE15" s="1267">
        <v>1.70825E-2</v>
      </c>
      <c r="AF15" s="1267">
        <v>2.3153199999999999E-2</v>
      </c>
      <c r="AG15" s="1267">
        <v>1.82767E-2</v>
      </c>
      <c r="AH15" s="1267">
        <v>2.9681900000000001E-2</v>
      </c>
      <c r="AI15" s="1267">
        <v>4.8250700000000001E-2</v>
      </c>
      <c r="AJ15" s="1267">
        <f t="shared" si="0"/>
        <v>-1.6812000000000007E-3</v>
      </c>
      <c r="AK15" s="1267">
        <f t="shared" si="0"/>
        <v>7.7346000000000012E-3</v>
      </c>
      <c r="AL15" s="1267">
        <v>1</v>
      </c>
      <c r="AM15" s="1267">
        <v>41272.800000000003</v>
      </c>
      <c r="AN15" s="1267">
        <v>23.309000000000001</v>
      </c>
      <c r="AO15" s="1267">
        <v>33.99</v>
      </c>
    </row>
    <row r="16" spans="3:41">
      <c r="C16" s="1267" t="s">
        <v>510</v>
      </c>
      <c r="D16" s="1267">
        <v>156</v>
      </c>
      <c r="E16" s="1267">
        <v>2014</v>
      </c>
      <c r="F16" s="1305">
        <v>1100000000000</v>
      </c>
      <c r="G16" s="1305">
        <v>1000000000000</v>
      </c>
      <c r="H16" s="1305">
        <v>100000000000</v>
      </c>
      <c r="I16" s="1305">
        <v>1000000000000</v>
      </c>
      <c r="J16" s="1305">
        <v>840000000000</v>
      </c>
      <c r="K16" s="1305">
        <v>170000000000</v>
      </c>
      <c r="L16" s="1305">
        <v>1200000000000</v>
      </c>
      <c r="M16" s="1305">
        <v>950000000000</v>
      </c>
      <c r="N16" s="1305">
        <v>1400000000000</v>
      </c>
      <c r="O16" s="1305">
        <v>450000000000</v>
      </c>
      <c r="P16" s="1305">
        <v>47000000000</v>
      </c>
      <c r="Q16" s="1305">
        <v>43000000000</v>
      </c>
      <c r="R16" s="1305">
        <v>3900000000</v>
      </c>
      <c r="S16" s="1305">
        <v>48000000000</v>
      </c>
      <c r="T16" s="1305">
        <v>43000000000</v>
      </c>
      <c r="U16" s="1305">
        <v>4400000000</v>
      </c>
      <c r="V16" s="1305">
        <v>23000000000</v>
      </c>
      <c r="W16" s="1305">
        <v>17000000000</v>
      </c>
      <c r="X16" s="1305">
        <v>42000000000</v>
      </c>
      <c r="Y16" s="1305">
        <v>12000000000</v>
      </c>
      <c r="Z16" s="1267">
        <v>3.97478E-2</v>
      </c>
      <c r="AA16" s="1267">
        <v>3.9760700000000003E-2</v>
      </c>
      <c r="AB16" s="1267">
        <v>3.9608200000000003E-2</v>
      </c>
      <c r="AC16" s="1267">
        <v>4.6097399999999997E-2</v>
      </c>
      <c r="AD16" s="1267">
        <v>5.0884899999999997E-2</v>
      </c>
      <c r="AE16" s="1267">
        <v>2.4041199999999999E-2</v>
      </c>
      <c r="AF16" s="1267">
        <v>2.1677600000000002E-2</v>
      </c>
      <c r="AG16" s="1267">
        <v>1.9382900000000002E-2</v>
      </c>
      <c r="AH16" s="1267">
        <v>3.1995200000000001E-2</v>
      </c>
      <c r="AI16" s="1267">
        <v>2.7372899999999999E-2</v>
      </c>
      <c r="AJ16" s="1267">
        <f t="shared" si="0"/>
        <v>-6.3495999999999969E-3</v>
      </c>
      <c r="AK16" s="1267">
        <f t="shared" si="0"/>
        <v>-1.1124199999999994E-2</v>
      </c>
      <c r="AL16" s="1267">
        <v>0</v>
      </c>
      <c r="AM16" s="1267">
        <v>42356.7</v>
      </c>
      <c r="AN16" s="1267">
        <v>21.246500000000001</v>
      </c>
      <c r="AO16" s="1267">
        <v>26.2</v>
      </c>
    </row>
    <row r="17" spans="3:41">
      <c r="C17" s="1267" t="s">
        <v>510</v>
      </c>
      <c r="D17" s="1267">
        <v>156</v>
      </c>
      <c r="E17" s="1267">
        <v>2015</v>
      </c>
      <c r="F17" s="1305">
        <v>1100000000000</v>
      </c>
      <c r="G17" s="1305">
        <v>1000000000000</v>
      </c>
      <c r="H17" s="1305">
        <v>110000000000</v>
      </c>
      <c r="I17" s="1305">
        <v>820000000000</v>
      </c>
      <c r="J17" s="1305">
        <v>680000000000</v>
      </c>
      <c r="K17" s="1305">
        <v>140000000000</v>
      </c>
      <c r="L17" s="1305">
        <v>1200000000000</v>
      </c>
      <c r="M17" s="1305">
        <v>940000000000</v>
      </c>
      <c r="N17" s="1305">
        <v>1200000000000</v>
      </c>
      <c r="O17" s="1305">
        <v>340000000000</v>
      </c>
      <c r="P17" s="1305">
        <v>40000000000</v>
      </c>
      <c r="Q17" s="1305">
        <v>36000000000</v>
      </c>
      <c r="R17" s="1305">
        <v>3900000000</v>
      </c>
      <c r="S17" s="1305">
        <v>35000000000</v>
      </c>
      <c r="T17" s="1305">
        <v>31000000000</v>
      </c>
      <c r="U17" s="1305">
        <v>3800000000</v>
      </c>
      <c r="V17" s="1305">
        <v>23000000000</v>
      </c>
      <c r="W17" s="1305">
        <v>16000000000</v>
      </c>
      <c r="X17" s="1305">
        <v>40000000000</v>
      </c>
      <c r="Y17" s="1305">
        <v>11000000000</v>
      </c>
      <c r="Z17" s="1267">
        <v>3.5149199999999999E-2</v>
      </c>
      <c r="AA17" s="1267">
        <v>3.4758499999999998E-2</v>
      </c>
      <c r="AB17" s="1267">
        <v>3.9181000000000001E-2</v>
      </c>
      <c r="AC17" s="1267">
        <v>3.4261399999999997E-2</v>
      </c>
      <c r="AD17" s="1267">
        <v>3.6591100000000001E-2</v>
      </c>
      <c r="AE17" s="1267">
        <v>2.2556900000000001E-2</v>
      </c>
      <c r="AF17" s="1267">
        <v>1.9126199999999999E-2</v>
      </c>
      <c r="AG17" s="1267">
        <v>1.6735099999999999E-2</v>
      </c>
      <c r="AH17" s="1267">
        <v>2.97188E-2</v>
      </c>
      <c r="AI17" s="1267">
        <v>2.35462E-2</v>
      </c>
      <c r="AJ17" s="1267">
        <f t="shared" si="0"/>
        <v>8.8780000000000109E-4</v>
      </c>
      <c r="AK17" s="1267">
        <f t="shared" si="0"/>
        <v>-1.8326000000000037E-3</v>
      </c>
      <c r="AL17" s="1267">
        <v>0</v>
      </c>
      <c r="AM17" s="1267">
        <v>42417.8</v>
      </c>
      <c r="AN17" s="1267">
        <v>21.746500000000001</v>
      </c>
      <c r="AO17" s="1267">
        <v>26.7</v>
      </c>
    </row>
    <row r="18" spans="3:41">
      <c r="C18" s="1267" t="s">
        <v>510</v>
      </c>
      <c r="D18" s="1267">
        <v>156</v>
      </c>
      <c r="E18" s="1267">
        <v>2016</v>
      </c>
      <c r="F18" s="1305">
        <v>1300000000000</v>
      </c>
      <c r="G18" s="1305">
        <v>1200000000000</v>
      </c>
      <c r="H18" s="1305">
        <v>110000000000</v>
      </c>
      <c r="I18" s="1305">
        <v>1000000000000</v>
      </c>
      <c r="J18" s="1305">
        <v>860000000000</v>
      </c>
      <c r="K18" s="1305">
        <v>150000000000</v>
      </c>
      <c r="L18" s="1305">
        <v>1300000000000</v>
      </c>
      <c r="M18" s="1305">
        <v>1000000000000</v>
      </c>
      <c r="N18" s="1305">
        <v>1500000000000</v>
      </c>
      <c r="O18" s="1305">
        <v>460000000000</v>
      </c>
      <c r="P18" s="1305">
        <v>41000000000</v>
      </c>
      <c r="Q18" s="1305">
        <v>36000000000</v>
      </c>
      <c r="R18" s="1305">
        <v>4500000000</v>
      </c>
      <c r="S18" s="1305">
        <v>31000000000</v>
      </c>
      <c r="T18" s="1305">
        <v>28000000000</v>
      </c>
      <c r="U18" s="1305">
        <v>3300000000</v>
      </c>
      <c r="V18" s="1305">
        <v>24000000000</v>
      </c>
      <c r="W18" s="1305">
        <v>16000000000</v>
      </c>
      <c r="X18" s="1305">
        <v>40000000000</v>
      </c>
      <c r="Y18" s="1305">
        <v>10000000000</v>
      </c>
      <c r="Z18" s="1267">
        <v>3.6203199999999998E-2</v>
      </c>
      <c r="AA18" s="1267">
        <v>3.56654E-2</v>
      </c>
      <c r="AB18" s="1267">
        <v>4.1181000000000002E-2</v>
      </c>
      <c r="AC18" s="1267">
        <v>3.8347800000000001E-2</v>
      </c>
      <c r="AD18" s="1267">
        <v>4.16838E-2</v>
      </c>
      <c r="AE18" s="1267">
        <v>2.2649200000000001E-2</v>
      </c>
      <c r="AF18" s="1267">
        <v>1.9697699999999999E-2</v>
      </c>
      <c r="AG18" s="1267">
        <v>1.69646E-2</v>
      </c>
      <c r="AH18" s="1267">
        <v>3.2705100000000001E-2</v>
      </c>
      <c r="AI18" s="1267">
        <v>3.0431799999999998E-2</v>
      </c>
      <c r="AJ18" s="1267">
        <f t="shared" si="0"/>
        <v>-2.1446000000000034E-3</v>
      </c>
      <c r="AK18" s="1267">
        <f t="shared" si="0"/>
        <v>-6.0184000000000001E-3</v>
      </c>
      <c r="AL18" s="1267">
        <v>0</v>
      </c>
      <c r="AM18" s="1267">
        <v>42498.6</v>
      </c>
      <c r="AN18" s="1267">
        <v>21.746500000000001</v>
      </c>
      <c r="AO18" s="1267">
        <v>26.7</v>
      </c>
    </row>
    <row r="19" spans="3:41">
      <c r="C19" s="1267" t="s">
        <v>1944</v>
      </c>
      <c r="D19" s="1267">
        <v>228</v>
      </c>
      <c r="E19" s="1267">
        <v>2014</v>
      </c>
      <c r="F19" s="1305">
        <v>120000000000</v>
      </c>
      <c r="G19" s="1305">
        <v>90000000000</v>
      </c>
      <c r="H19" s="1305">
        <v>26000000000</v>
      </c>
      <c r="I19" s="1305">
        <v>230000000000</v>
      </c>
      <c r="J19" s="1305">
        <v>190000000000</v>
      </c>
      <c r="K19" s="1305">
        <v>44000000000</v>
      </c>
      <c r="L19" s="1305">
        <v>150000000000</v>
      </c>
      <c r="M19" s="1305">
        <v>120000000000</v>
      </c>
      <c r="N19" s="1305">
        <v>77000000000</v>
      </c>
      <c r="O19" s="1305">
        <v>25000000000</v>
      </c>
      <c r="P19" s="1305">
        <v>6400000000</v>
      </c>
      <c r="Q19" s="1305">
        <v>6200000000</v>
      </c>
      <c r="R19" s="1305">
        <v>200000000</v>
      </c>
      <c r="S19" s="1305">
        <v>16000000000</v>
      </c>
      <c r="T19" s="1305">
        <v>14000000000</v>
      </c>
      <c r="U19" s="1305">
        <v>1700000000</v>
      </c>
      <c r="V19" s="1305">
        <v>3200000000</v>
      </c>
      <c r="W19" s="1305">
        <v>2300000000</v>
      </c>
      <c r="X19" s="1305">
        <v>2800000000</v>
      </c>
      <c r="Y19" s="1305">
        <v>760000000</v>
      </c>
      <c r="Z19" s="1267">
        <v>5.7770500000000002E-2</v>
      </c>
      <c r="AA19" s="1267">
        <v>7.1592900000000001E-2</v>
      </c>
      <c r="AB19" s="1267">
        <v>8.3709000000000006E-3</v>
      </c>
      <c r="AC19" s="1267">
        <v>7.1981100000000006E-2</v>
      </c>
      <c r="AD19" s="1267">
        <v>7.6888700000000004E-2</v>
      </c>
      <c r="AE19" s="1267">
        <v>4.7043799999999997E-2</v>
      </c>
      <c r="AF19" s="1267">
        <v>2.2237699999999999E-2</v>
      </c>
      <c r="AG19" s="1267">
        <v>2.1087600000000001E-2</v>
      </c>
      <c r="AH19" s="1267">
        <v>4.0844900000000003E-2</v>
      </c>
      <c r="AI19" s="1267">
        <v>2.8480100000000001E-2</v>
      </c>
      <c r="AJ19" s="1267">
        <f t="shared" si="0"/>
        <v>-1.4210600000000004E-2</v>
      </c>
      <c r="AK19" s="1267">
        <f t="shared" si="0"/>
        <v>-5.2958000000000033E-3</v>
      </c>
      <c r="AL19" s="1267">
        <v>0</v>
      </c>
      <c r="AM19" s="1267">
        <v>20724</v>
      </c>
      <c r="AN19" s="1267">
        <v>25.351099999999999</v>
      </c>
      <c r="AO19" s="1267">
        <v>21</v>
      </c>
    </row>
    <row r="20" spans="3:41">
      <c r="C20" s="1267" t="s">
        <v>1944</v>
      </c>
      <c r="D20" s="1267">
        <v>228</v>
      </c>
      <c r="E20" s="1267">
        <v>2015</v>
      </c>
      <c r="F20" s="1305">
        <v>120000000000</v>
      </c>
      <c r="G20" s="1305">
        <v>83000000000</v>
      </c>
      <c r="H20" s="1305">
        <v>35000000000</v>
      </c>
      <c r="I20" s="1305">
        <v>240000000000</v>
      </c>
      <c r="J20" s="1305">
        <v>180000000000</v>
      </c>
      <c r="K20" s="1305">
        <v>54000000000</v>
      </c>
      <c r="L20" s="1305">
        <v>150000000000</v>
      </c>
      <c r="M20" s="1305">
        <v>110000000000</v>
      </c>
      <c r="N20" s="1305">
        <v>72000000000</v>
      </c>
      <c r="O20" s="1305">
        <v>20000000000</v>
      </c>
      <c r="P20" s="1305">
        <v>4600000000</v>
      </c>
      <c r="Q20" s="1305">
        <v>4200000000</v>
      </c>
      <c r="R20" s="1305">
        <v>410000000</v>
      </c>
      <c r="S20" s="1305">
        <v>11000000000</v>
      </c>
      <c r="T20" s="1305">
        <v>8900000000</v>
      </c>
      <c r="U20" s="1305">
        <v>2000000000</v>
      </c>
      <c r="V20" s="1305">
        <v>3300000000</v>
      </c>
      <c r="W20" s="1305">
        <v>2500000000</v>
      </c>
      <c r="X20" s="1305">
        <v>3200000000</v>
      </c>
      <c r="Y20" s="1305">
        <v>780000000</v>
      </c>
      <c r="Z20" s="1267">
        <v>3.99119E-2</v>
      </c>
      <c r="AA20" s="1267">
        <v>4.6755600000000001E-2</v>
      </c>
      <c r="AB20" s="1267">
        <v>1.58902E-2</v>
      </c>
      <c r="AC20" s="1267">
        <v>4.7413299999999999E-2</v>
      </c>
      <c r="AD20" s="1267">
        <v>4.7725499999999997E-2</v>
      </c>
      <c r="AE20" s="1267">
        <v>4.60968E-2</v>
      </c>
      <c r="AF20" s="1267">
        <v>2.1571799999999999E-2</v>
      </c>
      <c r="AG20" s="1267">
        <v>2.1220699999999999E-2</v>
      </c>
      <c r="AH20" s="1267">
        <v>4.0929599999999997E-2</v>
      </c>
      <c r="AI20" s="1267">
        <v>3.1309999999999998E-2</v>
      </c>
      <c r="AJ20" s="1267">
        <f t="shared" si="0"/>
        <v>-7.5013999999999983E-3</v>
      </c>
      <c r="AK20" s="1267">
        <f t="shared" si="0"/>
        <v>-9.6989999999999577E-4</v>
      </c>
      <c r="AL20" s="1267">
        <v>0</v>
      </c>
      <c r="AM20" s="1267">
        <v>20946</v>
      </c>
      <c r="AN20" s="1267">
        <v>26.851099999999999</v>
      </c>
      <c r="AO20" s="1267">
        <v>22.5</v>
      </c>
    </row>
    <row r="21" spans="3:41">
      <c r="C21" s="1267" t="s">
        <v>1944</v>
      </c>
      <c r="D21" s="1267">
        <v>228</v>
      </c>
      <c r="E21" s="1267">
        <v>2016</v>
      </c>
      <c r="F21" s="1305">
        <v>130000000000</v>
      </c>
      <c r="G21" s="1305">
        <v>91000000000</v>
      </c>
      <c r="H21" s="1305">
        <v>37000000000</v>
      </c>
      <c r="I21" s="1305">
        <v>260000000000</v>
      </c>
      <c r="J21" s="1305">
        <v>200000000000</v>
      </c>
      <c r="K21" s="1305">
        <v>56000000000</v>
      </c>
      <c r="L21" s="1305">
        <v>150000000000</v>
      </c>
      <c r="M21" s="1305">
        <v>110000000000</v>
      </c>
      <c r="N21" s="1305">
        <v>80000000000</v>
      </c>
      <c r="O21" s="1305">
        <v>25000000000</v>
      </c>
      <c r="P21" s="1305">
        <v>4200000000</v>
      </c>
      <c r="Q21" s="1305">
        <v>3900000000</v>
      </c>
      <c r="R21" s="1305">
        <v>350000000</v>
      </c>
      <c r="S21" s="1305">
        <v>11000000000</v>
      </c>
      <c r="T21" s="1305">
        <v>8700000000</v>
      </c>
      <c r="U21" s="1305">
        <v>2300000000</v>
      </c>
      <c r="V21" s="1305">
        <v>3400000000</v>
      </c>
      <c r="W21" s="1305">
        <v>2300000000</v>
      </c>
      <c r="X21" s="1305">
        <v>3200000000</v>
      </c>
      <c r="Y21" s="1305">
        <v>790000000</v>
      </c>
      <c r="Z21" s="1267">
        <v>3.5914500000000002E-2</v>
      </c>
      <c r="AA21" s="1267">
        <v>4.6616999999999999E-2</v>
      </c>
      <c r="AB21" s="1267">
        <v>1.0196800000000001E-2</v>
      </c>
      <c r="AC21" s="1267">
        <v>4.6396300000000001E-2</v>
      </c>
      <c r="AD21" s="1267">
        <v>4.7351200000000003E-2</v>
      </c>
      <c r="AE21" s="1267">
        <v>4.3116700000000001E-2</v>
      </c>
      <c r="AF21" s="1267">
        <v>2.2765299999999999E-2</v>
      </c>
      <c r="AG21" s="1267">
        <v>2.0700900000000001E-2</v>
      </c>
      <c r="AH21" s="1267">
        <v>4.49921E-2</v>
      </c>
      <c r="AI21" s="1267">
        <v>3.9010499999999997E-2</v>
      </c>
      <c r="AJ21" s="1267">
        <f t="shared" si="0"/>
        <v>-1.0481799999999999E-2</v>
      </c>
      <c r="AK21" s="1267">
        <f t="shared" si="0"/>
        <v>-7.3420000000000429E-4</v>
      </c>
      <c r="AL21" s="1267">
        <v>0</v>
      </c>
      <c r="AM21" s="1267">
        <v>21007.3</v>
      </c>
      <c r="AN21" s="1267">
        <v>28.351099999999999</v>
      </c>
      <c r="AO21" s="1267">
        <v>24</v>
      </c>
    </row>
    <row r="22" spans="3:41">
      <c r="C22" s="1267" t="s">
        <v>1943</v>
      </c>
      <c r="D22" s="1267">
        <v>935</v>
      </c>
      <c r="E22" s="1267">
        <v>2014</v>
      </c>
      <c r="F22" s="1305">
        <v>43000000000</v>
      </c>
      <c r="G22" s="1305">
        <v>18000000000</v>
      </c>
      <c r="H22" s="1305">
        <v>25000000000</v>
      </c>
      <c r="I22" s="1305">
        <v>150000000000</v>
      </c>
      <c r="J22" s="1305">
        <v>110000000000</v>
      </c>
      <c r="K22" s="1305">
        <v>36000000000</v>
      </c>
      <c r="L22" s="1305">
        <v>28000000000</v>
      </c>
      <c r="M22" s="1305">
        <v>12000000000</v>
      </c>
      <c r="N22" s="1305">
        <v>44000000000</v>
      </c>
      <c r="O22" s="1305">
        <v>7300000000</v>
      </c>
      <c r="P22" s="1305">
        <v>1800000000</v>
      </c>
      <c r="Q22" s="1305">
        <v>1600000000</v>
      </c>
      <c r="R22" s="1305">
        <v>210000000</v>
      </c>
      <c r="S22" s="1305">
        <v>16000000000</v>
      </c>
      <c r="T22" s="1305">
        <v>16000000000</v>
      </c>
      <c r="U22" s="1305">
        <v>790000000</v>
      </c>
      <c r="V22" s="1305">
        <v>490000000</v>
      </c>
      <c r="W22" s="1305">
        <v>24000000</v>
      </c>
      <c r="X22" s="1305">
        <v>1700000000</v>
      </c>
      <c r="Y22" s="1305">
        <v>240000000</v>
      </c>
      <c r="Z22" s="1267">
        <v>3.8375699999999999E-2</v>
      </c>
      <c r="AA22" s="1267">
        <v>8.0874299999999996E-2</v>
      </c>
      <c r="AB22" s="1267">
        <v>7.8449000000000001E-3</v>
      </c>
      <c r="AC22" s="1267">
        <v>0.10272489999999999</v>
      </c>
      <c r="AD22" s="1267">
        <v>0.12614030000000001</v>
      </c>
      <c r="AE22" s="1267">
        <v>2.1966800000000002E-2</v>
      </c>
      <c r="AF22" s="1267">
        <v>1.8438400000000001E-2</v>
      </c>
      <c r="AG22" s="1267">
        <v>2.0864999999999998E-3</v>
      </c>
      <c r="AH22" s="1267">
        <v>3.47902E-2</v>
      </c>
      <c r="AI22" s="1267">
        <v>3.0287499999999998E-2</v>
      </c>
      <c r="AJ22" s="1267">
        <f t="shared" si="0"/>
        <v>-6.4349199999999995E-2</v>
      </c>
      <c r="AK22" s="1267">
        <f t="shared" si="0"/>
        <v>-4.5266000000000015E-2</v>
      </c>
      <c r="AL22" s="1267">
        <v>1</v>
      </c>
      <c r="AM22" s="1267">
        <v>28472</v>
      </c>
      <c r="AN22" s="1267">
        <v>17.089400000000001</v>
      </c>
      <c r="AO22" s="1267">
        <v>19</v>
      </c>
    </row>
    <row r="23" spans="3:41">
      <c r="C23" s="1267" t="s">
        <v>1943</v>
      </c>
      <c r="D23" s="1267">
        <v>935</v>
      </c>
      <c r="E23" s="1267">
        <v>2015</v>
      </c>
      <c r="F23" s="1305">
        <v>42000000000</v>
      </c>
      <c r="G23" s="1305">
        <v>18000000000</v>
      </c>
      <c r="H23" s="1305">
        <v>25000000000</v>
      </c>
      <c r="I23" s="1305">
        <v>140000000000</v>
      </c>
      <c r="J23" s="1305">
        <v>110000000000</v>
      </c>
      <c r="K23" s="1305">
        <v>31000000000</v>
      </c>
      <c r="L23" s="1305">
        <v>29000000000</v>
      </c>
      <c r="M23" s="1305">
        <v>13000000000</v>
      </c>
      <c r="N23" s="1305">
        <v>50000000000</v>
      </c>
      <c r="O23" s="1305">
        <v>6700000000</v>
      </c>
      <c r="P23" s="1305">
        <v>2000000000</v>
      </c>
      <c r="Q23" s="1305">
        <v>1900000000</v>
      </c>
      <c r="R23" s="1305">
        <v>120000000</v>
      </c>
      <c r="S23" s="1305">
        <v>15000000000</v>
      </c>
      <c r="T23" s="1305">
        <v>14000000000</v>
      </c>
      <c r="U23" s="1305">
        <v>600000000</v>
      </c>
      <c r="V23" s="1305">
        <v>460000000</v>
      </c>
      <c r="W23" s="1305">
        <v>47000000</v>
      </c>
      <c r="X23" s="1305">
        <v>1400000000</v>
      </c>
      <c r="Y23" s="1305">
        <v>390000000</v>
      </c>
      <c r="Z23" s="1267">
        <v>4.6306300000000002E-2</v>
      </c>
      <c r="AA23" s="1267">
        <v>0.10315340000000001</v>
      </c>
      <c r="AB23" s="1267">
        <v>5.0263E-3</v>
      </c>
      <c r="AC23" s="1267">
        <v>9.9960800000000002E-2</v>
      </c>
      <c r="AD23" s="1267">
        <v>0.12670029999999999</v>
      </c>
      <c r="AE23" s="1267">
        <v>1.67729E-2</v>
      </c>
      <c r="AF23" s="1267">
        <v>1.66175E-2</v>
      </c>
      <c r="AG23" s="1267">
        <v>3.8045000000000002E-3</v>
      </c>
      <c r="AH23" s="1267">
        <v>3.2598299999999997E-2</v>
      </c>
      <c r="AI23" s="1267">
        <v>5.3847300000000001E-2</v>
      </c>
      <c r="AJ23" s="1267">
        <f t="shared" si="0"/>
        <v>-5.3654500000000001E-2</v>
      </c>
      <c r="AK23" s="1267">
        <f t="shared" si="0"/>
        <v>-2.3546899999999982E-2</v>
      </c>
      <c r="AL23" s="1267">
        <v>1</v>
      </c>
      <c r="AM23" s="1267">
        <v>29932</v>
      </c>
      <c r="AN23" s="1267">
        <v>17.089400000000001</v>
      </c>
      <c r="AO23" s="1267">
        <v>19</v>
      </c>
    </row>
    <row r="24" spans="3:41">
      <c r="C24" s="1267" t="s">
        <v>1943</v>
      </c>
      <c r="D24" s="1267">
        <v>935</v>
      </c>
      <c r="E24" s="1267">
        <v>2016</v>
      </c>
      <c r="F24" s="1305">
        <v>43000000000</v>
      </c>
      <c r="G24" s="1305">
        <v>19000000000</v>
      </c>
      <c r="H24" s="1305">
        <v>24000000000</v>
      </c>
      <c r="I24" s="1305">
        <v>140000000000</v>
      </c>
      <c r="J24" s="1305">
        <v>110000000000</v>
      </c>
      <c r="K24" s="1305">
        <v>30000000000</v>
      </c>
      <c r="L24" s="1305">
        <v>29000000000</v>
      </c>
      <c r="M24" s="1305">
        <v>14000000000</v>
      </c>
      <c r="N24" s="1305">
        <v>53000000000</v>
      </c>
      <c r="O24" s="1305">
        <v>6000000000</v>
      </c>
      <c r="P24" s="1305">
        <v>1700000000</v>
      </c>
      <c r="Q24" s="1305">
        <v>1500000000</v>
      </c>
      <c r="R24" s="1305">
        <v>220000000</v>
      </c>
      <c r="S24" s="1305">
        <v>16000000000</v>
      </c>
      <c r="T24" s="1305">
        <v>15000000000</v>
      </c>
      <c r="U24" s="1305">
        <v>670000000</v>
      </c>
      <c r="V24" s="1305">
        <v>500000000</v>
      </c>
      <c r="W24" s="1305">
        <v>43000000</v>
      </c>
      <c r="X24" s="1305">
        <v>1300000000</v>
      </c>
      <c r="Y24" s="1305">
        <v>810000000</v>
      </c>
      <c r="Z24" s="1267">
        <v>4.0150999999999999E-2</v>
      </c>
      <c r="AA24" s="1267">
        <v>8.3172200000000002E-2</v>
      </c>
      <c r="AB24" s="1267">
        <v>9.0723999999999996E-3</v>
      </c>
      <c r="AC24" s="1267">
        <v>0.1128251</v>
      </c>
      <c r="AD24" s="1267">
        <v>0.13843230000000001</v>
      </c>
      <c r="AE24" s="1267">
        <v>2.1869699999999999E-2</v>
      </c>
      <c r="AF24" s="1267">
        <v>1.7563599999999999E-2</v>
      </c>
      <c r="AG24" s="1267">
        <v>3.2142999999999998E-3</v>
      </c>
      <c r="AH24" s="1267">
        <v>2.5968700000000001E-2</v>
      </c>
      <c r="AI24" s="1267">
        <v>0.1207461</v>
      </c>
      <c r="AJ24" s="1267">
        <f t="shared" si="0"/>
        <v>-7.2674099999999991E-2</v>
      </c>
      <c r="AK24" s="1267">
        <f t="shared" si="0"/>
        <v>-5.5260100000000006E-2</v>
      </c>
      <c r="AL24" s="1267">
        <v>1</v>
      </c>
      <c r="AM24" s="1267">
        <v>30643.3</v>
      </c>
      <c r="AN24" s="1267">
        <v>17.089400000000001</v>
      </c>
      <c r="AO24" s="1267">
        <v>19</v>
      </c>
    </row>
    <row r="25" spans="3:41">
      <c r="C25" s="1267" t="s">
        <v>1942</v>
      </c>
      <c r="D25" s="1267">
        <v>128</v>
      </c>
      <c r="E25" s="1267">
        <v>2014</v>
      </c>
      <c r="F25" s="1305">
        <v>250000000000</v>
      </c>
      <c r="G25" s="1305">
        <v>180000000000</v>
      </c>
      <c r="H25" s="1305">
        <v>70000000000</v>
      </c>
      <c r="I25" s="1305">
        <v>160000000000</v>
      </c>
      <c r="J25" s="1305">
        <v>110000000000</v>
      </c>
      <c r="K25" s="1305">
        <v>54000000000</v>
      </c>
      <c r="L25" s="1305">
        <v>430000000000</v>
      </c>
      <c r="M25" s="1305">
        <v>220000000000</v>
      </c>
      <c r="N25" s="1305">
        <v>430000000000</v>
      </c>
      <c r="O25" s="1305">
        <v>170000000000</v>
      </c>
      <c r="P25" s="1305">
        <v>15000000000</v>
      </c>
      <c r="Q25" s="1305">
        <v>13000000000</v>
      </c>
      <c r="R25" s="1305">
        <v>1500000000</v>
      </c>
      <c r="S25" s="1305">
        <v>6700000000</v>
      </c>
      <c r="T25" s="1305">
        <v>6000000000</v>
      </c>
      <c r="U25" s="1305">
        <v>650000000</v>
      </c>
      <c r="V25" s="1305">
        <v>13000000000</v>
      </c>
      <c r="W25" s="1305">
        <v>5200000000</v>
      </c>
      <c r="X25" s="1305">
        <v>9100000000</v>
      </c>
      <c r="Y25" s="1305">
        <v>3300000000</v>
      </c>
      <c r="Z25" s="1267">
        <v>5.7435800000000002E-2</v>
      </c>
      <c r="AA25" s="1267">
        <v>7.4424100000000007E-2</v>
      </c>
      <c r="AB25" s="1267">
        <v>1.8685E-2</v>
      </c>
      <c r="AC25" s="1267">
        <v>4.48647E-2</v>
      </c>
      <c r="AD25" s="1267">
        <v>6.3530799999999998E-2</v>
      </c>
      <c r="AE25" s="1267">
        <v>1.21058E-2</v>
      </c>
      <c r="AF25" s="1267">
        <v>3.2435800000000001E-2</v>
      </c>
      <c r="AG25" s="1267">
        <v>2.5307300000000001E-2</v>
      </c>
      <c r="AH25" s="1267">
        <v>2.1524399999999999E-2</v>
      </c>
      <c r="AI25" s="1267">
        <v>2.2386799999999998E-2</v>
      </c>
      <c r="AJ25" s="1267">
        <f t="shared" si="0"/>
        <v>1.2571100000000002E-2</v>
      </c>
      <c r="AK25" s="1267">
        <f t="shared" si="0"/>
        <v>1.0893300000000009E-2</v>
      </c>
      <c r="AL25" s="1267">
        <v>1</v>
      </c>
      <c r="AM25" s="1267">
        <v>44123.1</v>
      </c>
      <c r="AN25" s="1267">
        <v>61.478099999999998</v>
      </c>
      <c r="AO25" s="1267">
        <v>24.5</v>
      </c>
    </row>
    <row r="26" spans="3:41">
      <c r="C26" s="1267" t="s">
        <v>1942</v>
      </c>
      <c r="D26" s="1267">
        <v>128</v>
      </c>
      <c r="E26" s="1267">
        <v>2015</v>
      </c>
      <c r="F26" s="1305">
        <v>240000000000</v>
      </c>
      <c r="G26" s="1305">
        <v>170000000000</v>
      </c>
      <c r="H26" s="1305">
        <v>64000000000</v>
      </c>
      <c r="I26" s="1305">
        <v>140000000000</v>
      </c>
      <c r="J26" s="1305">
        <v>96000000000</v>
      </c>
      <c r="K26" s="1305">
        <v>49000000000</v>
      </c>
      <c r="L26" s="1305">
        <v>400000000000</v>
      </c>
      <c r="M26" s="1305">
        <v>210000000000</v>
      </c>
      <c r="N26" s="1305">
        <v>450000000000</v>
      </c>
      <c r="O26" s="1305">
        <v>200000000000</v>
      </c>
      <c r="P26" s="1305">
        <v>13000000000</v>
      </c>
      <c r="Q26" s="1305">
        <v>12000000000</v>
      </c>
      <c r="R26" s="1305">
        <v>1200000000</v>
      </c>
      <c r="S26" s="1305">
        <v>5600000000</v>
      </c>
      <c r="T26" s="1305">
        <v>5000000000</v>
      </c>
      <c r="U26" s="1305">
        <v>520000000</v>
      </c>
      <c r="V26" s="1305">
        <v>11000000000</v>
      </c>
      <c r="W26" s="1305">
        <v>5400000000</v>
      </c>
      <c r="X26" s="1305">
        <v>9900000000</v>
      </c>
      <c r="Y26" s="1305">
        <v>4800000000</v>
      </c>
      <c r="Z26" s="1267">
        <v>5.31458E-2</v>
      </c>
      <c r="AA26" s="1267">
        <v>6.7012100000000005E-2</v>
      </c>
      <c r="AB26" s="1267">
        <v>1.7744699999999999E-2</v>
      </c>
      <c r="AC26" s="1267">
        <v>3.44823E-2</v>
      </c>
      <c r="AD26" s="1267">
        <v>4.7040899999999997E-2</v>
      </c>
      <c r="AE26" s="1267">
        <v>9.6825999999999995E-3</v>
      </c>
      <c r="AF26" s="1267">
        <v>2.62779E-2</v>
      </c>
      <c r="AG26" s="1267">
        <v>2.5008599999999999E-2</v>
      </c>
      <c r="AH26" s="1267">
        <v>2.2888700000000001E-2</v>
      </c>
      <c r="AI26" s="1267">
        <v>2.9285599999999998E-2</v>
      </c>
      <c r="AJ26" s="1267">
        <f t="shared" si="0"/>
        <v>1.86635E-2</v>
      </c>
      <c r="AK26" s="1267">
        <f t="shared" si="0"/>
        <v>1.9971200000000008E-2</v>
      </c>
      <c r="AL26" s="1267">
        <v>1</v>
      </c>
      <c r="AM26" s="1267">
        <v>44524.2</v>
      </c>
      <c r="AN26" s="1267">
        <v>60.478099999999998</v>
      </c>
      <c r="AO26" s="1267">
        <v>23.5</v>
      </c>
    </row>
    <row r="27" spans="3:41">
      <c r="C27" s="1267" t="s">
        <v>1942</v>
      </c>
      <c r="D27" s="1267">
        <v>128</v>
      </c>
      <c r="E27" s="1267">
        <v>2016</v>
      </c>
      <c r="F27" s="1305">
        <v>250000000000</v>
      </c>
      <c r="G27" s="1305">
        <v>180000000000</v>
      </c>
      <c r="H27" s="1305">
        <v>66000000000</v>
      </c>
      <c r="I27" s="1305">
        <v>150000000000</v>
      </c>
      <c r="J27" s="1305">
        <v>110000000000</v>
      </c>
      <c r="K27" s="1305">
        <v>47000000000</v>
      </c>
      <c r="L27" s="1305">
        <v>410000000000</v>
      </c>
      <c r="M27" s="1305">
        <v>230000000000</v>
      </c>
      <c r="N27" s="1305">
        <v>420000000000</v>
      </c>
      <c r="O27" s="1305">
        <v>170000000000</v>
      </c>
      <c r="P27" s="1305">
        <v>12000000000</v>
      </c>
      <c r="Q27" s="1305">
        <v>11000000000</v>
      </c>
      <c r="R27" s="1305">
        <v>1200000000</v>
      </c>
      <c r="S27" s="1305">
        <v>5800000000</v>
      </c>
      <c r="T27" s="1305">
        <v>5300000000</v>
      </c>
      <c r="U27" s="1305">
        <v>550000000</v>
      </c>
      <c r="V27" s="1305">
        <v>10000000000</v>
      </c>
      <c r="W27" s="1305">
        <v>4800000000</v>
      </c>
      <c r="X27" s="1305">
        <v>8800000000</v>
      </c>
      <c r="Y27" s="1305">
        <v>4500000000</v>
      </c>
      <c r="Z27" s="1267">
        <v>5.2118699999999997E-2</v>
      </c>
      <c r="AA27" s="1267">
        <v>6.4761399999999997E-2</v>
      </c>
      <c r="AB27" s="1267">
        <v>1.8364100000000001E-2</v>
      </c>
      <c r="AC27" s="1267">
        <v>4.0421699999999998E-2</v>
      </c>
      <c r="AD27" s="1267">
        <v>5.5207600000000003E-2</v>
      </c>
      <c r="AE27" s="1267">
        <v>1.12686E-2</v>
      </c>
      <c r="AF27" s="1267">
        <v>2.62002E-2</v>
      </c>
      <c r="AG27" s="1267">
        <v>2.2617100000000001E-2</v>
      </c>
      <c r="AH27" s="1267">
        <v>1.9620499999999999E-2</v>
      </c>
      <c r="AI27" s="1267">
        <v>2.2103600000000001E-2</v>
      </c>
      <c r="AJ27" s="1267">
        <f t="shared" si="0"/>
        <v>1.1696999999999999E-2</v>
      </c>
      <c r="AK27" s="1267">
        <f t="shared" si="0"/>
        <v>9.5537999999999942E-3</v>
      </c>
      <c r="AL27" s="1267">
        <v>1</v>
      </c>
      <c r="AM27" s="1267">
        <v>45026.3</v>
      </c>
      <c r="AN27" s="1267">
        <v>58.978099999999998</v>
      </c>
      <c r="AO27" s="1267">
        <v>22</v>
      </c>
    </row>
    <row r="28" spans="3:41">
      <c r="C28" s="1267" t="s">
        <v>1940</v>
      </c>
      <c r="D28" s="1267">
        <v>939</v>
      </c>
      <c r="E28" s="1267">
        <v>2014</v>
      </c>
      <c r="F28" s="1305">
        <v>11000000000</v>
      </c>
      <c r="G28" s="1305">
        <v>4300000000</v>
      </c>
      <c r="H28" s="1305">
        <v>6400000000</v>
      </c>
      <c r="I28" s="1305">
        <v>25000000000</v>
      </c>
      <c r="J28" s="1305">
        <v>21000000000</v>
      </c>
      <c r="K28" s="1305">
        <v>4500000000</v>
      </c>
      <c r="L28" s="1305">
        <v>7400000000</v>
      </c>
      <c r="M28" s="1305">
        <v>3100000000</v>
      </c>
      <c r="N28" s="1305">
        <v>2500000000</v>
      </c>
      <c r="O28" s="1305">
        <v>890000000</v>
      </c>
      <c r="P28" s="1305">
        <v>620000000</v>
      </c>
      <c r="Q28" s="1305">
        <v>510000000</v>
      </c>
      <c r="R28" s="1305">
        <v>110000000</v>
      </c>
      <c r="S28" s="1305">
        <v>1900000000</v>
      </c>
      <c r="T28" s="1305">
        <v>1800000000</v>
      </c>
      <c r="U28" s="1305">
        <v>65000000</v>
      </c>
      <c r="V28" s="1305">
        <v>140000000</v>
      </c>
      <c r="W28" s="1305">
        <v>47000000</v>
      </c>
      <c r="X28" s="1305">
        <v>110000000</v>
      </c>
      <c r="Y28" s="1305">
        <v>39000000</v>
      </c>
      <c r="Z28" s="1267">
        <v>5.8442000000000001E-2</v>
      </c>
      <c r="AA28" s="1267">
        <v>0.1152729</v>
      </c>
      <c r="AB28" s="1267">
        <v>1.7539800000000001E-2</v>
      </c>
      <c r="AC28" s="1267">
        <v>7.3228500000000002E-2</v>
      </c>
      <c r="AD28" s="1267">
        <v>8.5887099999999994E-2</v>
      </c>
      <c r="AE28" s="1267">
        <v>1.4187399999999999E-2</v>
      </c>
      <c r="AF28" s="1267">
        <v>1.87779E-2</v>
      </c>
      <c r="AG28" s="1267">
        <v>1.43079E-2</v>
      </c>
      <c r="AH28" s="1267">
        <v>3.8883399999999999E-2</v>
      </c>
      <c r="AI28" s="1267">
        <v>3.3926499999999998E-2</v>
      </c>
      <c r="AJ28" s="1267">
        <f t="shared" si="0"/>
        <v>-1.4786500000000001E-2</v>
      </c>
      <c r="AK28" s="1267">
        <f t="shared" si="0"/>
        <v>2.9385800000000004E-2</v>
      </c>
      <c r="AL28" s="1267">
        <v>1</v>
      </c>
      <c r="AM28" s="1267">
        <v>25756.7</v>
      </c>
      <c r="AO28" s="1267">
        <v>21</v>
      </c>
    </row>
    <row r="29" spans="3:41">
      <c r="C29" s="1267" t="s">
        <v>1940</v>
      </c>
      <c r="D29" s="1267">
        <v>939</v>
      </c>
      <c r="E29" s="1267">
        <v>2015</v>
      </c>
      <c r="F29" s="1305">
        <v>9300000000</v>
      </c>
      <c r="G29" s="1305">
        <v>4400000000</v>
      </c>
      <c r="H29" s="1305">
        <v>4900000000</v>
      </c>
      <c r="I29" s="1305">
        <v>22000000000</v>
      </c>
      <c r="J29" s="1305">
        <v>18000000000</v>
      </c>
      <c r="K29" s="1305">
        <v>3800000000</v>
      </c>
      <c r="L29" s="1305">
        <v>7200000000</v>
      </c>
      <c r="M29" s="1305">
        <v>3100000000</v>
      </c>
      <c r="N29" s="1305">
        <v>2200000000</v>
      </c>
      <c r="O29" s="1305">
        <v>820000000</v>
      </c>
      <c r="P29" s="1305">
        <v>370000000</v>
      </c>
      <c r="Q29" s="1305">
        <v>280000000</v>
      </c>
      <c r="R29" s="1305">
        <v>86000000</v>
      </c>
      <c r="S29" s="1305">
        <v>1400000000</v>
      </c>
      <c r="T29" s="1305">
        <v>1300000000</v>
      </c>
      <c r="U29" s="1305">
        <v>47000000</v>
      </c>
      <c r="V29" s="1305">
        <v>140000000</v>
      </c>
      <c r="W29" s="1305">
        <v>50000000</v>
      </c>
      <c r="X29" s="1305">
        <v>77000000</v>
      </c>
      <c r="Y29" s="1305">
        <v>23000000</v>
      </c>
      <c r="Z29" s="1267">
        <v>3.42996E-2</v>
      </c>
      <c r="AA29" s="1267">
        <v>6.50279E-2</v>
      </c>
      <c r="AB29" s="1267">
        <v>1.3495999999999999E-2</v>
      </c>
      <c r="AC29" s="1267">
        <v>5.3796700000000003E-2</v>
      </c>
      <c r="AD29" s="1267">
        <v>6.32553E-2</v>
      </c>
      <c r="AE29" s="1267">
        <v>1.04969E-2</v>
      </c>
      <c r="AF29" s="1267">
        <v>1.8518E-2</v>
      </c>
      <c r="AG29" s="1267">
        <v>1.5959899999999999E-2</v>
      </c>
      <c r="AH29" s="1267">
        <v>3.0927199999999998E-2</v>
      </c>
      <c r="AI29" s="1267">
        <v>2.5409500000000002E-2</v>
      </c>
      <c r="AJ29" s="1267">
        <f t="shared" si="0"/>
        <v>-1.9497100000000003E-2</v>
      </c>
      <c r="AK29" s="1267">
        <f t="shared" si="0"/>
        <v>1.7725999999999992E-3</v>
      </c>
      <c r="AL29" s="1267">
        <v>1</v>
      </c>
      <c r="AM29" s="1267">
        <v>26237.8</v>
      </c>
      <c r="AO29" s="1267">
        <v>20</v>
      </c>
    </row>
    <row r="30" spans="3:41">
      <c r="C30" s="1267" t="s">
        <v>1940</v>
      </c>
      <c r="D30" s="1267">
        <v>939</v>
      </c>
      <c r="E30" s="1267">
        <v>2016</v>
      </c>
      <c r="F30" s="1305">
        <v>9400000000</v>
      </c>
      <c r="G30" s="1305">
        <v>4800000000</v>
      </c>
      <c r="H30" s="1305">
        <v>4600000000</v>
      </c>
      <c r="I30" s="1305">
        <v>22000000000</v>
      </c>
      <c r="J30" s="1305">
        <v>18000000000</v>
      </c>
      <c r="K30" s="1305">
        <v>3800000000</v>
      </c>
      <c r="L30" s="1305">
        <v>9700000000</v>
      </c>
      <c r="M30" s="1305">
        <v>3400000000</v>
      </c>
      <c r="N30" s="1305">
        <v>2300000000</v>
      </c>
      <c r="O30" s="1305">
        <v>920000000</v>
      </c>
      <c r="P30" s="1305">
        <v>410000000</v>
      </c>
      <c r="Q30" s="1305">
        <v>330000000</v>
      </c>
      <c r="R30" s="1305">
        <v>82000000</v>
      </c>
      <c r="S30" s="1305">
        <v>1400000000</v>
      </c>
      <c r="T30" s="1305">
        <v>1400000000</v>
      </c>
      <c r="U30" s="1305">
        <v>47000000</v>
      </c>
      <c r="V30" s="1305">
        <v>170000000</v>
      </c>
      <c r="W30" s="1305">
        <v>79000000</v>
      </c>
      <c r="X30" s="1305">
        <v>82000000</v>
      </c>
      <c r="Y30" s="1305">
        <v>32000000</v>
      </c>
      <c r="Z30" s="1267">
        <v>4.4152299999999998E-2</v>
      </c>
      <c r="AA30" s="1267">
        <v>7.4443599999999999E-2</v>
      </c>
      <c r="AB30" s="1267">
        <v>1.6823100000000001E-2</v>
      </c>
      <c r="AC30" s="1267">
        <v>6.6074400000000005E-2</v>
      </c>
      <c r="AD30" s="1267">
        <v>7.7516699999999994E-2</v>
      </c>
      <c r="AE30" s="1267">
        <v>1.2297300000000001E-2</v>
      </c>
      <c r="AF30" s="1267">
        <v>2.4100900000000001E-2</v>
      </c>
      <c r="AG30" s="1267">
        <v>2.56639E-2</v>
      </c>
      <c r="AH30" s="1267">
        <v>3.7450799999999999E-2</v>
      </c>
      <c r="AI30" s="1267">
        <v>3.94423E-2</v>
      </c>
      <c r="AJ30" s="1267">
        <f t="shared" si="0"/>
        <v>-2.1922100000000007E-2</v>
      </c>
      <c r="AK30" s="1267">
        <f t="shared" si="0"/>
        <v>-3.0730999999999953E-3</v>
      </c>
      <c r="AL30" s="1267">
        <v>1</v>
      </c>
      <c r="AM30" s="1267">
        <v>26726.2</v>
      </c>
      <c r="AO30" s="1267">
        <v>20</v>
      </c>
    </row>
    <row r="31" spans="3:41">
      <c r="C31" s="1267" t="s">
        <v>1936</v>
      </c>
      <c r="D31" s="1267">
        <v>172</v>
      </c>
      <c r="E31" s="1267">
        <v>2014</v>
      </c>
      <c r="F31" s="1305">
        <v>150000000000</v>
      </c>
      <c r="G31" s="1305">
        <v>110000000000</v>
      </c>
      <c r="H31" s="1305">
        <v>41000000000</v>
      </c>
      <c r="I31" s="1305">
        <v>130000000000</v>
      </c>
      <c r="J31" s="1305">
        <v>75000000000</v>
      </c>
      <c r="K31" s="1305">
        <v>56000000000</v>
      </c>
      <c r="L31" s="1305">
        <v>350000000000</v>
      </c>
      <c r="M31" s="1305">
        <v>170000000000</v>
      </c>
      <c r="N31" s="1305">
        <v>350000000000</v>
      </c>
      <c r="O31" s="1305">
        <v>110000000000</v>
      </c>
      <c r="P31" s="1305">
        <v>11000000000</v>
      </c>
      <c r="Q31" s="1305">
        <v>10000000000</v>
      </c>
      <c r="U31" s="1305">
        <v>1300000000</v>
      </c>
      <c r="V31" s="1305">
        <v>8100000000</v>
      </c>
      <c r="W31" s="1305">
        <v>3300000000</v>
      </c>
      <c r="X31" s="1305">
        <v>11000000000</v>
      </c>
      <c r="Y31" s="1305">
        <v>4400000000</v>
      </c>
      <c r="Z31" s="1267">
        <v>6.0577499999999999E-2</v>
      </c>
      <c r="AA31" s="1267">
        <v>7.5416800000000006E-2</v>
      </c>
      <c r="AE31" s="1267">
        <v>2.3611799999999999E-2</v>
      </c>
      <c r="AF31" s="1267">
        <v>2.3288300000000001E-2</v>
      </c>
      <c r="AG31" s="1267">
        <v>1.98021E-2</v>
      </c>
      <c r="AH31" s="1267">
        <v>2.9999100000000001E-2</v>
      </c>
      <c r="AI31" s="1267">
        <v>3.9141799999999997E-2</v>
      </c>
      <c r="AJ31" s="1267">
        <f t="shared" si="0"/>
        <v>6.0577499999999999E-2</v>
      </c>
      <c r="AK31" s="1267">
        <f t="shared" si="0"/>
        <v>7.5416800000000006E-2</v>
      </c>
      <c r="AL31" s="1267">
        <v>1</v>
      </c>
      <c r="AM31" s="1267">
        <v>37996.400000000001</v>
      </c>
      <c r="AO31" s="1267">
        <v>20</v>
      </c>
    </row>
    <row r="32" spans="3:41">
      <c r="C32" s="1267" t="s">
        <v>1936</v>
      </c>
      <c r="D32" s="1267">
        <v>172</v>
      </c>
      <c r="E32" s="1267">
        <v>2015</v>
      </c>
      <c r="F32" s="1305">
        <v>140000000000</v>
      </c>
      <c r="G32" s="1305">
        <v>100000000000</v>
      </c>
      <c r="H32" s="1305">
        <v>38000000000</v>
      </c>
      <c r="I32" s="1305">
        <v>130000000000</v>
      </c>
      <c r="J32" s="1305">
        <v>65000000000</v>
      </c>
      <c r="K32" s="1305">
        <v>66000000000</v>
      </c>
      <c r="L32" s="1305">
        <v>320000000000</v>
      </c>
      <c r="M32" s="1305">
        <v>160000000000</v>
      </c>
      <c r="N32" s="1305">
        <v>320000000000</v>
      </c>
      <c r="O32" s="1305">
        <v>110000000000</v>
      </c>
      <c r="P32" s="1305">
        <v>7700000000</v>
      </c>
      <c r="Q32" s="1305">
        <v>6900000000</v>
      </c>
      <c r="U32" s="1305">
        <v>1000000000</v>
      </c>
      <c r="V32" s="1305">
        <v>6600000000</v>
      </c>
      <c r="W32" s="1305">
        <v>3000000000</v>
      </c>
      <c r="X32" s="1305">
        <v>8800000000</v>
      </c>
      <c r="Y32" s="1305">
        <v>3700000000</v>
      </c>
      <c r="Z32" s="1267">
        <v>4.9946699999999997E-2</v>
      </c>
      <c r="AA32" s="1267">
        <v>6.1311600000000001E-2</v>
      </c>
      <c r="AE32" s="1267">
        <v>1.8433100000000001E-2</v>
      </c>
      <c r="AF32" s="1267">
        <v>1.9077400000000001E-2</v>
      </c>
      <c r="AG32" s="1267">
        <v>1.7509799999999999E-2</v>
      </c>
      <c r="AH32" s="1267">
        <v>2.4745400000000001E-2</v>
      </c>
      <c r="AI32" s="1267">
        <v>3.36341E-2</v>
      </c>
      <c r="AJ32" s="1267">
        <f t="shared" si="0"/>
        <v>4.9946699999999997E-2</v>
      </c>
      <c r="AK32" s="1267">
        <f t="shared" si="0"/>
        <v>6.1311600000000001E-2</v>
      </c>
      <c r="AL32" s="1267">
        <v>1</v>
      </c>
      <c r="AM32" s="1267">
        <v>37868.400000000001</v>
      </c>
      <c r="AO32" s="1267">
        <v>20</v>
      </c>
    </row>
    <row r="33" spans="3:41">
      <c r="C33" s="1267" t="s">
        <v>1936</v>
      </c>
      <c r="D33" s="1267">
        <v>172</v>
      </c>
      <c r="E33" s="1267">
        <v>2016</v>
      </c>
      <c r="F33" s="1305">
        <v>150000000000</v>
      </c>
      <c r="G33" s="1305">
        <v>120000000000</v>
      </c>
      <c r="H33" s="1305">
        <v>32000000000</v>
      </c>
      <c r="I33" s="1305">
        <v>110000000000</v>
      </c>
      <c r="J33" s="1305">
        <v>64000000000</v>
      </c>
      <c r="K33" s="1305">
        <v>51000000000</v>
      </c>
      <c r="L33" s="1305">
        <v>320000000000</v>
      </c>
      <c r="M33" s="1305">
        <v>170000000000</v>
      </c>
      <c r="N33" s="1305">
        <v>320000000000</v>
      </c>
      <c r="O33" s="1305">
        <v>120000000000</v>
      </c>
      <c r="P33" s="1305">
        <v>7700000000</v>
      </c>
      <c r="Q33" s="1305">
        <v>7000000000</v>
      </c>
      <c r="U33" s="1305">
        <v>730000000</v>
      </c>
      <c r="V33" s="1305">
        <v>7200000000</v>
      </c>
      <c r="W33" s="1305">
        <v>3400000000</v>
      </c>
      <c r="X33" s="1305">
        <v>9200000000</v>
      </c>
      <c r="Y33" s="1305">
        <v>4700000000</v>
      </c>
      <c r="Z33" s="1267">
        <v>5.4221999999999999E-2</v>
      </c>
      <c r="AA33" s="1267">
        <v>6.6639699999999996E-2</v>
      </c>
      <c r="AE33" s="1267">
        <v>1.1045900000000001E-2</v>
      </c>
      <c r="AF33" s="1267">
        <v>2.25623E-2</v>
      </c>
      <c r="AG33" s="1267">
        <v>2.0624199999999999E-2</v>
      </c>
      <c r="AH33" s="1267">
        <v>2.8231699999999998E-2</v>
      </c>
      <c r="AI33" s="1267">
        <v>4.2923299999999998E-2</v>
      </c>
      <c r="AJ33" s="1267">
        <f t="shared" si="0"/>
        <v>5.4221999999999999E-2</v>
      </c>
      <c r="AK33" s="1267">
        <f t="shared" si="0"/>
        <v>6.6639699999999996E-2</v>
      </c>
      <c r="AL33" s="1267">
        <v>1</v>
      </c>
      <c r="AM33" s="1267">
        <v>38494.199999999997</v>
      </c>
      <c r="AO33" s="1267">
        <v>20</v>
      </c>
    </row>
    <row r="34" spans="3:41">
      <c r="C34" s="1267" t="s">
        <v>1890</v>
      </c>
      <c r="D34" s="1267">
        <v>132</v>
      </c>
      <c r="E34" s="1267">
        <v>2014</v>
      </c>
      <c r="F34" s="1305">
        <v>1700000000000</v>
      </c>
      <c r="G34" s="1305">
        <v>1200000000000</v>
      </c>
      <c r="H34" s="1305">
        <v>460000000000</v>
      </c>
      <c r="I34" s="1305">
        <v>1100000000000</v>
      </c>
      <c r="J34" s="1305">
        <v>640000000000</v>
      </c>
      <c r="K34" s="1305">
        <v>460000000000</v>
      </c>
      <c r="L34" s="1305">
        <v>2800000000000</v>
      </c>
      <c r="M34" s="1305">
        <v>770000000000</v>
      </c>
      <c r="N34" s="1305">
        <v>3700000000000</v>
      </c>
      <c r="O34" s="1305">
        <v>900000000000</v>
      </c>
      <c r="P34" s="1305">
        <v>83000000000</v>
      </c>
      <c r="Q34" s="1305">
        <v>76000000000</v>
      </c>
      <c r="R34" s="1305">
        <v>6800000000</v>
      </c>
      <c r="S34" s="1305">
        <v>29000000000</v>
      </c>
      <c r="T34" s="1305">
        <v>21000000000</v>
      </c>
      <c r="U34" s="1305">
        <v>7800000000</v>
      </c>
      <c r="V34" s="1305">
        <v>72000000000</v>
      </c>
      <c r="W34" s="1305">
        <v>15000000000</v>
      </c>
      <c r="X34" s="1305">
        <v>99000000000</v>
      </c>
      <c r="Y34" s="1305">
        <v>29000000000</v>
      </c>
      <c r="Z34" s="1267">
        <v>4.6719799999999999E-2</v>
      </c>
      <c r="AA34" s="1267">
        <v>5.8564199999999997E-2</v>
      </c>
      <c r="AB34" s="1267">
        <v>1.43366E-2</v>
      </c>
      <c r="AC34" s="1267">
        <v>2.4259800000000002E-2</v>
      </c>
      <c r="AD34" s="1267">
        <v>3.1022399999999999E-2</v>
      </c>
      <c r="AE34" s="1267">
        <v>1.5162800000000001E-2</v>
      </c>
      <c r="AF34" s="1267">
        <v>2.5198399999999999E-2</v>
      </c>
      <c r="AG34" s="1267">
        <v>1.8923499999999999E-2</v>
      </c>
      <c r="AH34" s="1267">
        <v>2.5614700000000001E-2</v>
      </c>
      <c r="AI34" s="1267">
        <v>2.8837399999999999E-2</v>
      </c>
      <c r="AJ34" s="1267">
        <f t="shared" si="0"/>
        <v>2.2459999999999997E-2</v>
      </c>
      <c r="AK34" s="1267">
        <f t="shared" si="0"/>
        <v>2.7541799999999998E-2</v>
      </c>
      <c r="AL34" s="1267">
        <v>1</v>
      </c>
      <c r="AM34" s="1267">
        <v>36694.300000000003</v>
      </c>
      <c r="AN34" s="1267">
        <v>56.009810000000002</v>
      </c>
      <c r="AO34" s="1267">
        <v>37.996200000000002</v>
      </c>
    </row>
    <row r="35" spans="3:41">
      <c r="C35" s="1267" t="s">
        <v>1890</v>
      </c>
      <c r="D35" s="1267">
        <v>132</v>
      </c>
      <c r="E35" s="1267">
        <v>2015</v>
      </c>
      <c r="F35" s="1305">
        <v>1600000000000</v>
      </c>
      <c r="G35" s="1305">
        <v>1200000000000</v>
      </c>
      <c r="H35" s="1305">
        <v>450000000000</v>
      </c>
      <c r="I35" s="1305">
        <v>1100000000000</v>
      </c>
      <c r="J35" s="1305">
        <v>630000000000</v>
      </c>
      <c r="K35" s="1305">
        <v>420000000000</v>
      </c>
      <c r="L35" s="1305">
        <v>2500000000000</v>
      </c>
      <c r="M35" s="1305">
        <v>720000000000</v>
      </c>
      <c r="N35" s="1305">
        <v>3400000000000</v>
      </c>
      <c r="O35" s="1305">
        <v>850000000000</v>
      </c>
      <c r="P35" s="1305">
        <v>74000000000</v>
      </c>
      <c r="Q35" s="1305">
        <v>68000000000</v>
      </c>
      <c r="R35" s="1305">
        <v>5500000000</v>
      </c>
      <c r="S35" s="1305">
        <v>29000000000</v>
      </c>
      <c r="T35" s="1305">
        <v>23000000000</v>
      </c>
      <c r="U35" s="1305">
        <v>6300000000</v>
      </c>
      <c r="V35" s="1305">
        <v>60000000000</v>
      </c>
      <c r="W35" s="1305">
        <v>15000000000</v>
      </c>
      <c r="X35" s="1305">
        <v>80000000000</v>
      </c>
      <c r="Y35" s="1305">
        <v>24000000000</v>
      </c>
      <c r="Z35" s="1267">
        <v>4.3747300000000003E-2</v>
      </c>
      <c r="AA35" s="1267">
        <v>5.5681599999999998E-2</v>
      </c>
      <c r="AB35" s="1267">
        <v>1.1991E-2</v>
      </c>
      <c r="AC35" s="1267">
        <v>2.67435E-2</v>
      </c>
      <c r="AD35" s="1267">
        <v>3.5982899999999998E-2</v>
      </c>
      <c r="AE35" s="1267">
        <v>1.37217E-2</v>
      </c>
      <c r="AF35" s="1267">
        <v>2.1913999999999999E-2</v>
      </c>
      <c r="AG35" s="1267">
        <v>1.92528E-2</v>
      </c>
      <c r="AH35" s="1267">
        <v>2.16265E-2</v>
      </c>
      <c r="AI35" s="1267">
        <v>2.6753800000000001E-2</v>
      </c>
      <c r="AJ35" s="1267">
        <f t="shared" si="0"/>
        <v>1.7003800000000003E-2</v>
      </c>
      <c r="AK35" s="1267">
        <f t="shared" si="0"/>
        <v>1.96987E-2</v>
      </c>
      <c r="AL35" s="1267">
        <v>1</v>
      </c>
      <c r="AM35" s="1267">
        <v>36918.9</v>
      </c>
      <c r="AN35" s="1267">
        <v>56.009810000000002</v>
      </c>
      <c r="AO35" s="1267">
        <v>37.996200000000002</v>
      </c>
    </row>
    <row r="36" spans="3:41">
      <c r="C36" s="1267" t="s">
        <v>1890</v>
      </c>
      <c r="D36" s="1267">
        <v>132</v>
      </c>
      <c r="E36" s="1267">
        <v>2016</v>
      </c>
      <c r="F36" s="1305">
        <v>1600000000000</v>
      </c>
      <c r="G36" s="1305">
        <v>1200000000000</v>
      </c>
      <c r="H36" s="1305">
        <v>450000000000</v>
      </c>
      <c r="I36" s="1305">
        <v>1100000000000</v>
      </c>
      <c r="J36" s="1305">
        <v>650000000000</v>
      </c>
      <c r="K36" s="1305">
        <v>410000000000</v>
      </c>
      <c r="L36" s="1305">
        <v>2500000000000</v>
      </c>
      <c r="M36" s="1305">
        <v>740000000000</v>
      </c>
      <c r="N36" s="1305">
        <v>3300000000000</v>
      </c>
      <c r="O36" s="1305">
        <v>870000000000</v>
      </c>
      <c r="P36" s="1305">
        <v>77000000000</v>
      </c>
      <c r="Q36" s="1305">
        <v>71000000000</v>
      </c>
      <c r="R36" s="1305">
        <v>5700000000</v>
      </c>
      <c r="S36" s="1305">
        <v>30000000000</v>
      </c>
      <c r="T36" s="1305">
        <v>24000000000</v>
      </c>
      <c r="U36" s="1305">
        <v>6000000000</v>
      </c>
      <c r="V36" s="1305">
        <v>55000000000</v>
      </c>
      <c r="W36" s="1305">
        <v>13000000000</v>
      </c>
      <c r="X36" s="1305">
        <v>72000000000</v>
      </c>
      <c r="Y36" s="1305">
        <v>21000000000</v>
      </c>
      <c r="Z36" s="1267">
        <v>4.7598099999999997E-2</v>
      </c>
      <c r="AA36" s="1267">
        <v>6.08601E-2</v>
      </c>
      <c r="AB36" s="1267">
        <v>1.27557E-2</v>
      </c>
      <c r="AC36" s="1267">
        <v>2.8238800000000001E-2</v>
      </c>
      <c r="AD36" s="1267">
        <v>3.7824799999999999E-2</v>
      </c>
      <c r="AE36" s="1267">
        <v>1.40584E-2</v>
      </c>
      <c r="AF36" s="1267">
        <v>2.2003100000000001E-2</v>
      </c>
      <c r="AG36" s="1267">
        <v>1.8253700000000001E-2</v>
      </c>
      <c r="AH36" s="1267">
        <v>2.1414599999999999E-2</v>
      </c>
      <c r="AI36" s="1267">
        <v>2.5064800000000002E-2</v>
      </c>
      <c r="AJ36" s="1267">
        <f t="shared" si="0"/>
        <v>1.9359299999999996E-2</v>
      </c>
      <c r="AK36" s="1267">
        <f t="shared" si="0"/>
        <v>2.3035300000000002E-2</v>
      </c>
      <c r="AL36" s="1267">
        <v>1</v>
      </c>
      <c r="AM36" s="1267">
        <v>37207.599999999999</v>
      </c>
      <c r="AN36" s="1267">
        <v>52.44361</v>
      </c>
      <c r="AO36" s="1267">
        <v>34.43</v>
      </c>
    </row>
    <row r="37" spans="3:41">
      <c r="C37" s="1267" t="s">
        <v>1891</v>
      </c>
      <c r="D37" s="1267">
        <v>134</v>
      </c>
      <c r="E37" s="1267">
        <v>2014</v>
      </c>
      <c r="F37" s="1305">
        <v>2000000000000</v>
      </c>
      <c r="G37" s="1305">
        <v>1500000000000</v>
      </c>
      <c r="H37" s="1305">
        <v>490000000000</v>
      </c>
      <c r="I37" s="1305">
        <v>1500000000000</v>
      </c>
      <c r="J37" s="1305">
        <v>640000000000</v>
      </c>
      <c r="K37" s="1305">
        <v>830000000000</v>
      </c>
      <c r="L37" s="1305">
        <v>3100000000000</v>
      </c>
      <c r="M37" s="1305">
        <v>940000000000</v>
      </c>
      <c r="N37" s="1305">
        <v>3200000000000</v>
      </c>
      <c r="O37" s="1305">
        <v>760000000000</v>
      </c>
      <c r="P37" s="1305">
        <v>100000000000</v>
      </c>
      <c r="Q37" s="1305">
        <v>92000000000</v>
      </c>
      <c r="R37" s="1305">
        <v>8800000000</v>
      </c>
      <c r="S37" s="1305">
        <v>53000000000</v>
      </c>
      <c r="T37" s="1305">
        <v>31000000000</v>
      </c>
      <c r="U37" s="1305">
        <v>22000000000</v>
      </c>
      <c r="V37" s="1305">
        <v>86000000000</v>
      </c>
      <c r="W37" s="1305">
        <v>20000000000</v>
      </c>
      <c r="X37" s="1305">
        <v>79000000000</v>
      </c>
      <c r="Y37" s="1305">
        <v>28000000000</v>
      </c>
      <c r="Z37" s="1267">
        <v>4.81141E-2</v>
      </c>
      <c r="AA37" s="1267">
        <v>5.80016E-2</v>
      </c>
      <c r="AB37" s="1267">
        <v>1.7283900000000001E-2</v>
      </c>
      <c r="AC37" s="1267">
        <v>3.3361399999999999E-2</v>
      </c>
      <c r="AD37" s="1267">
        <v>4.6953099999999998E-2</v>
      </c>
      <c r="AE37" s="1267">
        <v>2.3552400000000001E-2</v>
      </c>
      <c r="AF37" s="1267">
        <v>2.77646E-2</v>
      </c>
      <c r="AG37" s="1267">
        <v>2.1871100000000001E-2</v>
      </c>
      <c r="AH37" s="1267">
        <v>2.3163699999999999E-2</v>
      </c>
      <c r="AI37" s="1267">
        <v>3.2879100000000001E-2</v>
      </c>
      <c r="AJ37" s="1267">
        <f t="shared" si="0"/>
        <v>1.4752700000000001E-2</v>
      </c>
      <c r="AK37" s="1267">
        <f t="shared" si="0"/>
        <v>1.1048500000000003E-2</v>
      </c>
      <c r="AL37" s="1267">
        <v>1</v>
      </c>
      <c r="AM37" s="1267">
        <v>42304.5</v>
      </c>
      <c r="AN37" s="1267">
        <v>34.201999999999998</v>
      </c>
      <c r="AO37" s="1267">
        <v>30.175000000000001</v>
      </c>
    </row>
    <row r="38" spans="3:41">
      <c r="C38" s="1267" t="s">
        <v>1891</v>
      </c>
      <c r="D38" s="1267">
        <v>134</v>
      </c>
      <c r="E38" s="1267">
        <v>2015</v>
      </c>
      <c r="F38" s="1305">
        <v>1900000000000</v>
      </c>
      <c r="G38" s="1305">
        <v>1400000000000</v>
      </c>
      <c r="H38" s="1305">
        <v>480000000000</v>
      </c>
      <c r="I38" s="1305">
        <v>1400000000000</v>
      </c>
      <c r="J38" s="1305">
        <v>590000000000</v>
      </c>
      <c r="K38" s="1305">
        <v>780000000000</v>
      </c>
      <c r="L38" s="1305">
        <v>2900000000000</v>
      </c>
      <c r="M38" s="1305">
        <v>950000000000</v>
      </c>
      <c r="N38" s="1305">
        <v>2800000000000</v>
      </c>
      <c r="O38" s="1305">
        <v>730000000000</v>
      </c>
      <c r="P38" s="1305">
        <v>84000000000</v>
      </c>
      <c r="Q38" s="1305">
        <v>76000000000</v>
      </c>
      <c r="R38" s="1305">
        <v>8000000000</v>
      </c>
      <c r="S38" s="1305">
        <v>44000000000</v>
      </c>
      <c r="T38" s="1305">
        <v>27000000000</v>
      </c>
      <c r="U38" s="1305">
        <v>17000000000</v>
      </c>
      <c r="V38" s="1305">
        <v>74000000000</v>
      </c>
      <c r="W38" s="1305">
        <v>19000000000</v>
      </c>
      <c r="X38" s="1305">
        <v>67000000000</v>
      </c>
      <c r="Y38" s="1305">
        <v>28000000000</v>
      </c>
      <c r="Z38" s="1267">
        <v>4.2197999999999999E-2</v>
      </c>
      <c r="AA38" s="1267">
        <v>5.0617599999999999E-2</v>
      </c>
      <c r="AB38" s="1267">
        <v>1.6302799999999999E-2</v>
      </c>
      <c r="AC38" s="1267">
        <v>2.97627E-2</v>
      </c>
      <c r="AD38" s="1267">
        <v>4.1901500000000001E-2</v>
      </c>
      <c r="AE38" s="1267">
        <v>2.0356900000000001E-2</v>
      </c>
      <c r="AF38" s="1267">
        <v>2.4142299999999998E-2</v>
      </c>
      <c r="AG38" s="1267">
        <v>1.9931999999999998E-2</v>
      </c>
      <c r="AH38" s="1267">
        <v>2.0793900000000001E-2</v>
      </c>
      <c r="AI38" s="1267">
        <v>3.6752E-2</v>
      </c>
      <c r="AJ38" s="1267">
        <f t="shared" si="0"/>
        <v>1.24353E-2</v>
      </c>
      <c r="AK38" s="1267">
        <f t="shared" si="0"/>
        <v>8.7160999999999975E-3</v>
      </c>
      <c r="AL38" s="1267">
        <v>1</v>
      </c>
      <c r="AM38" s="1267">
        <v>42671</v>
      </c>
      <c r="AN38" s="1267">
        <v>34.201999999999998</v>
      </c>
      <c r="AO38" s="1267">
        <v>30.175000000000001</v>
      </c>
    </row>
    <row r="39" spans="3:41">
      <c r="C39" s="1267" t="s">
        <v>1891</v>
      </c>
      <c r="D39" s="1267">
        <v>134</v>
      </c>
      <c r="E39" s="1267">
        <v>2016</v>
      </c>
      <c r="F39" s="1305">
        <v>1900000000000</v>
      </c>
      <c r="G39" s="1305">
        <v>1500000000000</v>
      </c>
      <c r="H39" s="1305">
        <v>480000000000</v>
      </c>
      <c r="I39" s="1305">
        <v>1400000000000</v>
      </c>
      <c r="J39" s="1305">
        <v>590000000000</v>
      </c>
      <c r="K39" s="1305">
        <v>790000000000</v>
      </c>
      <c r="L39" s="1305">
        <v>3000000000000</v>
      </c>
      <c r="M39" s="1305">
        <v>1000000000000</v>
      </c>
      <c r="N39" s="1305">
        <v>2600000000000</v>
      </c>
      <c r="O39" s="1305">
        <v>720000000000</v>
      </c>
      <c r="P39" s="1305">
        <v>85000000000</v>
      </c>
      <c r="Q39" s="1305">
        <v>77000000000</v>
      </c>
      <c r="R39" s="1305">
        <v>7800000000</v>
      </c>
      <c r="S39" s="1305">
        <v>43000000000</v>
      </c>
      <c r="T39" s="1305">
        <v>27000000000</v>
      </c>
      <c r="U39" s="1305">
        <v>16000000000</v>
      </c>
      <c r="V39" s="1305">
        <v>71000000000</v>
      </c>
      <c r="W39" s="1305">
        <v>20000000000</v>
      </c>
      <c r="X39" s="1305">
        <v>65000000000</v>
      </c>
      <c r="Y39" s="1305">
        <v>28000000000</v>
      </c>
      <c r="Z39" s="1267">
        <v>4.40305E-2</v>
      </c>
      <c r="AA39" s="1267">
        <v>5.3455500000000003E-2</v>
      </c>
      <c r="AB39" s="1267">
        <v>1.6099700000000002E-2</v>
      </c>
      <c r="AC39" s="1267">
        <v>3.1531200000000002E-2</v>
      </c>
      <c r="AD39" s="1267">
        <v>4.5621599999999998E-2</v>
      </c>
      <c r="AE39" s="1267">
        <v>2.0917499999999999E-2</v>
      </c>
      <c r="AF39" s="1267">
        <v>2.45107E-2</v>
      </c>
      <c r="AG39" s="1267">
        <v>2.1362599999999999E-2</v>
      </c>
      <c r="AH39" s="1267">
        <v>2.3472900000000001E-2</v>
      </c>
      <c r="AI39" s="1267">
        <v>3.8281500000000003E-2</v>
      </c>
      <c r="AJ39" s="1267">
        <f t="shared" si="0"/>
        <v>1.2499299999999998E-2</v>
      </c>
      <c r="AK39" s="1267">
        <f t="shared" si="0"/>
        <v>7.8339000000000047E-3</v>
      </c>
      <c r="AL39" s="1267">
        <v>1</v>
      </c>
      <c r="AM39" s="1267">
        <v>43113.1</v>
      </c>
      <c r="AN39" s="1267">
        <v>34.201999999999998</v>
      </c>
      <c r="AO39" s="1267">
        <v>30.175000000000001</v>
      </c>
    </row>
    <row r="40" spans="3:41">
      <c r="C40" s="1267" t="s">
        <v>1932</v>
      </c>
      <c r="D40" s="1267">
        <v>944</v>
      </c>
      <c r="E40" s="1267">
        <v>2014</v>
      </c>
      <c r="F40" s="1305">
        <v>220000000000</v>
      </c>
      <c r="G40" s="1305">
        <v>170000000000</v>
      </c>
      <c r="H40" s="1305">
        <v>49000000000</v>
      </c>
      <c r="I40" s="1305">
        <v>270000000000</v>
      </c>
      <c r="J40" s="1305">
        <v>200000000000</v>
      </c>
      <c r="K40" s="1305">
        <v>78000000000</v>
      </c>
      <c r="L40" s="1305">
        <v>9500000000</v>
      </c>
      <c r="M40" s="1305">
        <v>6800000000</v>
      </c>
      <c r="N40" s="1305">
        <v>61000000000</v>
      </c>
      <c r="O40" s="1305">
        <v>7900000000</v>
      </c>
      <c r="P40" s="1305">
        <v>7100000000</v>
      </c>
      <c r="Q40" s="1305">
        <v>5600000000</v>
      </c>
      <c r="R40" s="1305">
        <v>1500000000</v>
      </c>
      <c r="S40" s="1305">
        <v>15000000000</v>
      </c>
      <c r="T40" s="1305">
        <v>13000000000</v>
      </c>
      <c r="U40" s="1305">
        <v>1700000000</v>
      </c>
      <c r="V40" s="1305">
        <v>180000000</v>
      </c>
      <c r="W40" s="1305">
        <v>130000000</v>
      </c>
      <c r="X40" s="1305">
        <v>3300000000</v>
      </c>
      <c r="Y40" s="1305">
        <v>360000000</v>
      </c>
      <c r="Z40" s="1267">
        <v>2.98018E-2</v>
      </c>
      <c r="AA40" s="1267">
        <v>2.9221500000000001E-2</v>
      </c>
      <c r="AB40" s="1267">
        <v>3.2129999999999999E-2</v>
      </c>
      <c r="AC40" s="1267">
        <v>4.9787400000000002E-2</v>
      </c>
      <c r="AD40" s="1267">
        <v>6.0151000000000003E-2</v>
      </c>
      <c r="AE40" s="1267">
        <v>2.1224099999999999E-2</v>
      </c>
      <c r="AF40" s="1267">
        <v>2.2426100000000001E-2</v>
      </c>
      <c r="AG40" s="1267">
        <v>2.00199E-2</v>
      </c>
      <c r="AH40" s="1267">
        <v>4.7859400000000003E-2</v>
      </c>
      <c r="AI40" s="1267">
        <v>3.2139899999999999E-2</v>
      </c>
      <c r="AJ40" s="1267">
        <f t="shared" si="0"/>
        <v>-1.9985600000000003E-2</v>
      </c>
      <c r="AK40" s="1267">
        <f t="shared" si="0"/>
        <v>-3.0929500000000002E-2</v>
      </c>
      <c r="AL40" s="1267">
        <v>1</v>
      </c>
      <c r="AM40" s="1267">
        <v>23268.799999999999</v>
      </c>
      <c r="AO40" s="1267">
        <v>19</v>
      </c>
    </row>
    <row r="41" spans="3:41">
      <c r="C41" s="1267" t="s">
        <v>1932</v>
      </c>
      <c r="D41" s="1267">
        <v>944</v>
      </c>
      <c r="E41" s="1267">
        <v>2015</v>
      </c>
      <c r="F41" s="1305">
        <v>220000000000</v>
      </c>
      <c r="G41" s="1305">
        <v>150000000000</v>
      </c>
      <c r="H41" s="1305">
        <v>69000000000</v>
      </c>
      <c r="I41" s="1305">
        <v>270000000000</v>
      </c>
      <c r="J41" s="1305">
        <v>200000000000</v>
      </c>
      <c r="K41" s="1305">
        <v>68000000000</v>
      </c>
      <c r="L41" s="1305">
        <v>9100000000</v>
      </c>
      <c r="M41" s="1305">
        <v>6600000000</v>
      </c>
      <c r="N41" s="1305">
        <v>54000000000</v>
      </c>
      <c r="O41" s="1305">
        <v>11000000000</v>
      </c>
      <c r="P41" s="1305">
        <v>5400000000</v>
      </c>
      <c r="Q41" s="1305">
        <v>4000000000</v>
      </c>
      <c r="R41" s="1305">
        <v>1400000000</v>
      </c>
      <c r="S41" s="1305">
        <v>13000000000</v>
      </c>
      <c r="T41" s="1305">
        <v>12000000000</v>
      </c>
      <c r="U41" s="1305">
        <v>1300000000</v>
      </c>
      <c r="V41" s="1305">
        <v>180000000</v>
      </c>
      <c r="W41" s="1305">
        <v>110000000</v>
      </c>
      <c r="X41" s="1305">
        <v>2500000000</v>
      </c>
      <c r="Y41" s="1305">
        <v>240000000</v>
      </c>
      <c r="Z41" s="1267">
        <v>2.4944600000000001E-2</v>
      </c>
      <c r="AA41" s="1267">
        <v>2.3845100000000001E-2</v>
      </c>
      <c r="AB41" s="1267">
        <v>2.87199E-2</v>
      </c>
      <c r="AC41" s="1267">
        <v>4.7672199999999998E-2</v>
      </c>
      <c r="AD41" s="1267">
        <v>5.9874799999999999E-2</v>
      </c>
      <c r="AE41" s="1267">
        <v>1.7045399999999999E-2</v>
      </c>
      <c r="AF41" s="1267">
        <v>1.8492600000000001E-2</v>
      </c>
      <c r="AG41" s="1267">
        <v>1.6156799999999999E-2</v>
      </c>
      <c r="AH41" s="1267">
        <v>4.088E-2</v>
      </c>
      <c r="AI41" s="1267">
        <v>3.1061800000000001E-2</v>
      </c>
      <c r="AJ41" s="1267">
        <f t="shared" si="0"/>
        <v>-2.2727599999999997E-2</v>
      </c>
      <c r="AK41" s="1267">
        <f t="shared" si="0"/>
        <v>-3.6029699999999998E-2</v>
      </c>
      <c r="AL41" s="1267">
        <v>1</v>
      </c>
      <c r="AM41" s="1267">
        <v>24118.7</v>
      </c>
      <c r="AO41" s="1267">
        <v>19</v>
      </c>
    </row>
    <row r="42" spans="3:41">
      <c r="C42" s="1267" t="s">
        <v>1932</v>
      </c>
      <c r="D42" s="1267">
        <v>944</v>
      </c>
      <c r="E42" s="1267">
        <v>2016</v>
      </c>
      <c r="F42" s="1305">
        <v>260000000000</v>
      </c>
      <c r="G42" s="1305">
        <v>190000000000</v>
      </c>
      <c r="H42" s="1305">
        <v>74000000000</v>
      </c>
      <c r="I42" s="1305">
        <v>310000000000</v>
      </c>
      <c r="J42" s="1305">
        <v>250000000000</v>
      </c>
      <c r="K42" s="1305">
        <v>63000000000</v>
      </c>
      <c r="L42" s="1305">
        <v>10000000000</v>
      </c>
      <c r="M42" s="1305">
        <v>6600000000</v>
      </c>
      <c r="N42" s="1305">
        <v>52000000000</v>
      </c>
      <c r="O42" s="1305">
        <v>14000000000</v>
      </c>
      <c r="P42" s="1305">
        <v>8600000000</v>
      </c>
      <c r="Q42" s="1305">
        <v>6600000000</v>
      </c>
      <c r="R42" s="1305">
        <v>1900000000</v>
      </c>
      <c r="S42" s="1305">
        <v>14000000000</v>
      </c>
      <c r="T42" s="1305">
        <v>13000000000</v>
      </c>
      <c r="U42" s="1305">
        <v>1200000000</v>
      </c>
      <c r="V42" s="1305">
        <v>210000000</v>
      </c>
      <c r="W42" s="1305">
        <v>130000000</v>
      </c>
      <c r="X42" s="1305">
        <v>2100000000</v>
      </c>
      <c r="Y42" s="1305">
        <v>300000000</v>
      </c>
      <c r="Z42" s="1267">
        <v>3.9609600000000002E-2</v>
      </c>
      <c r="AA42" s="1267">
        <v>4.4970400000000001E-2</v>
      </c>
      <c r="AB42" s="1267">
        <v>2.8179900000000001E-2</v>
      </c>
      <c r="AC42" s="1267">
        <v>5.3512400000000002E-2</v>
      </c>
      <c r="AD42" s="1267">
        <v>6.6001900000000002E-2</v>
      </c>
      <c r="AE42" s="1267">
        <v>1.7122399999999999E-2</v>
      </c>
      <c r="AF42" s="1267">
        <v>2.3479400000000001E-2</v>
      </c>
      <c r="AG42" s="1267">
        <v>2.0032100000000001E-2</v>
      </c>
      <c r="AH42" s="1267">
        <v>3.9121400000000001E-2</v>
      </c>
      <c r="AI42" s="1267">
        <v>2.7563600000000001E-2</v>
      </c>
      <c r="AJ42" s="1267">
        <f t="shared" si="0"/>
        <v>-1.39028E-2</v>
      </c>
      <c r="AK42" s="1267">
        <f t="shared" si="0"/>
        <v>-2.1031500000000002E-2</v>
      </c>
      <c r="AL42" s="1267">
        <v>1</v>
      </c>
      <c r="AM42" s="1267">
        <v>24716</v>
      </c>
      <c r="AO42" s="1267">
        <v>19</v>
      </c>
    </row>
    <row r="43" spans="3:41">
      <c r="C43" s="1267" t="s">
        <v>693</v>
      </c>
      <c r="D43" s="1267">
        <v>178</v>
      </c>
      <c r="E43" s="1267">
        <v>2014</v>
      </c>
      <c r="F43" s="1305">
        <v>1100000000000</v>
      </c>
      <c r="G43" s="1305">
        <v>540000000000</v>
      </c>
      <c r="H43" s="1305">
        <v>580000000000</v>
      </c>
      <c r="I43" s="1305">
        <v>910000000000</v>
      </c>
      <c r="J43" s="1305">
        <v>460000000000</v>
      </c>
      <c r="K43" s="1305">
        <v>450000000000</v>
      </c>
      <c r="L43" s="1305">
        <v>2400000000000</v>
      </c>
      <c r="M43" s="1305">
        <v>900000000000</v>
      </c>
      <c r="N43" s="1305">
        <v>2900000000000</v>
      </c>
      <c r="O43" s="1305">
        <v>2400000000000</v>
      </c>
      <c r="P43" s="1305">
        <v>26000000000</v>
      </c>
      <c r="Q43" s="1305">
        <v>22000000000</v>
      </c>
      <c r="R43" s="1305">
        <v>4300000000</v>
      </c>
      <c r="S43" s="1305">
        <v>54000000000</v>
      </c>
      <c r="T43" s="1305">
        <v>47000000000</v>
      </c>
      <c r="U43" s="1305">
        <v>6800000000</v>
      </c>
      <c r="V43" s="1305">
        <v>44000000000</v>
      </c>
      <c r="W43" s="1305">
        <v>12000000000</v>
      </c>
      <c r="X43" s="1305">
        <v>50000000000</v>
      </c>
      <c r="Y43" s="1305">
        <v>38000000000</v>
      </c>
      <c r="Z43" s="1267">
        <v>2.6252299999999999E-2</v>
      </c>
      <c r="AA43" s="1267">
        <v>4.5847300000000001E-2</v>
      </c>
      <c r="AB43" s="1267">
        <v>8.3035000000000001E-3</v>
      </c>
      <c r="AC43" s="1267">
        <v>6.2774200000000002E-2</v>
      </c>
      <c r="AD43" s="1267">
        <v>0.1103186</v>
      </c>
      <c r="AE43" s="1267">
        <v>1.58773E-2</v>
      </c>
      <c r="AF43" s="1267">
        <v>1.94316E-2</v>
      </c>
      <c r="AG43" s="1267">
        <v>1.4635799999999999E-2</v>
      </c>
      <c r="AH43" s="1267">
        <v>1.95129E-2</v>
      </c>
      <c r="AI43" s="1267">
        <v>1.82475E-2</v>
      </c>
      <c r="AJ43" s="1267">
        <f t="shared" si="0"/>
        <v>-3.6521900000000003E-2</v>
      </c>
      <c r="AK43" s="1267">
        <f t="shared" si="0"/>
        <v>-6.4471300000000009E-2</v>
      </c>
      <c r="AL43" s="1267">
        <v>1</v>
      </c>
      <c r="AM43" s="1267">
        <v>48532.800000000003</v>
      </c>
      <c r="AN43" s="1267">
        <v>5.2141000000000002</v>
      </c>
      <c r="AO43" s="1267">
        <v>12.5</v>
      </c>
    </row>
    <row r="44" spans="3:41">
      <c r="C44" s="1267" t="s">
        <v>693</v>
      </c>
      <c r="D44" s="1267">
        <v>178</v>
      </c>
      <c r="E44" s="1267">
        <v>2015</v>
      </c>
      <c r="F44" s="1305">
        <v>1400000000000</v>
      </c>
      <c r="G44" s="1305">
        <v>820000000000</v>
      </c>
      <c r="H44" s="1305">
        <v>620000000000</v>
      </c>
      <c r="I44" s="1305">
        <v>1400000000000</v>
      </c>
      <c r="J44" s="1305">
        <v>650000000000</v>
      </c>
      <c r="K44" s="1305">
        <v>780000000000</v>
      </c>
      <c r="L44" s="1305">
        <v>2300000000000</v>
      </c>
      <c r="M44" s="1305">
        <v>920000000000</v>
      </c>
      <c r="N44" s="1305">
        <v>3100000000000</v>
      </c>
      <c r="O44" s="1305">
        <v>2500000000000</v>
      </c>
      <c r="P44" s="1305">
        <v>17000000000</v>
      </c>
      <c r="Q44" s="1305">
        <v>13000000000</v>
      </c>
      <c r="R44" s="1305">
        <v>4000000000</v>
      </c>
      <c r="S44" s="1305">
        <v>66000000000</v>
      </c>
      <c r="T44" s="1305">
        <v>60000000000</v>
      </c>
      <c r="U44" s="1305">
        <v>6400000000</v>
      </c>
      <c r="V44" s="1305">
        <v>40000000000</v>
      </c>
      <c r="W44" s="1305">
        <v>11000000000</v>
      </c>
      <c r="X44" s="1305">
        <v>49000000000</v>
      </c>
      <c r="Y44" s="1305">
        <v>40000000000</v>
      </c>
      <c r="Z44" s="1267">
        <v>1.56998E-2</v>
      </c>
      <c r="AA44" s="1267">
        <v>2.50551E-2</v>
      </c>
      <c r="AB44" s="1267">
        <v>6.9865999999999999E-3</v>
      </c>
      <c r="AC44" s="1267">
        <v>7.2802400000000003E-2</v>
      </c>
      <c r="AD44" s="1267">
        <v>0.1307151</v>
      </c>
      <c r="AE44" s="1267">
        <v>1.41318E-2</v>
      </c>
      <c r="AF44" s="1267">
        <v>1.70587E-2</v>
      </c>
      <c r="AG44" s="1267">
        <v>1.27014E-2</v>
      </c>
      <c r="AH44" s="1267">
        <v>1.69096E-2</v>
      </c>
      <c r="AI44" s="1267">
        <v>1.68554E-2</v>
      </c>
      <c r="AJ44" s="1267">
        <f t="shared" si="0"/>
        <v>-5.7102600000000003E-2</v>
      </c>
      <c r="AK44" s="1267">
        <f t="shared" si="0"/>
        <v>-0.10566</v>
      </c>
      <c r="AL44" s="1267">
        <v>1</v>
      </c>
      <c r="AM44" s="1267">
        <v>60576.7</v>
      </c>
      <c r="AN44" s="1267">
        <v>5.2141000000000002</v>
      </c>
      <c r="AO44" s="1267">
        <v>12.5</v>
      </c>
    </row>
    <row r="45" spans="3:41">
      <c r="C45" s="1267" t="s">
        <v>693</v>
      </c>
      <c r="D45" s="1267">
        <v>178</v>
      </c>
      <c r="E45" s="1267">
        <v>2016</v>
      </c>
      <c r="F45" s="1305">
        <v>1400000000000</v>
      </c>
      <c r="G45" s="1305">
        <v>760000000000</v>
      </c>
      <c r="H45" s="1305">
        <v>650000000000</v>
      </c>
      <c r="I45" s="1305">
        <v>1400000000000</v>
      </c>
      <c r="J45" s="1305">
        <v>710000000000</v>
      </c>
      <c r="K45" s="1305">
        <v>700000000000</v>
      </c>
      <c r="L45" s="1305">
        <v>2500000000000</v>
      </c>
      <c r="M45" s="1305">
        <v>970000000000</v>
      </c>
      <c r="N45" s="1305">
        <v>3100000000000</v>
      </c>
      <c r="O45" s="1305">
        <v>2600000000000</v>
      </c>
      <c r="P45" s="1305">
        <v>21000000000</v>
      </c>
      <c r="Q45" s="1305">
        <v>17000000000</v>
      </c>
      <c r="R45" s="1305">
        <v>3600000000</v>
      </c>
      <c r="S45" s="1305">
        <v>61000000000</v>
      </c>
      <c r="T45" s="1305">
        <v>57000000000</v>
      </c>
      <c r="U45" s="1305">
        <v>3800000000</v>
      </c>
      <c r="V45" s="1305">
        <v>45000000000</v>
      </c>
      <c r="W45" s="1305">
        <v>14000000000</v>
      </c>
      <c r="X45" s="1305">
        <v>54000000000</v>
      </c>
      <c r="Y45" s="1305">
        <v>45000000000</v>
      </c>
      <c r="Z45" s="1267">
        <v>1.4356000000000001E-2</v>
      </c>
      <c r="AA45" s="1267">
        <v>2.08747E-2</v>
      </c>
      <c r="AB45" s="1267">
        <v>5.7508999999999998E-3</v>
      </c>
      <c r="AC45" s="1267">
        <v>4.28609E-2</v>
      </c>
      <c r="AD45" s="1267">
        <v>8.8235800000000003E-2</v>
      </c>
      <c r="AE45" s="1267">
        <v>4.8900999999999997E-3</v>
      </c>
      <c r="AF45" s="1267">
        <v>1.8969900000000001E-2</v>
      </c>
      <c r="AG45" s="1267">
        <v>1.54466E-2</v>
      </c>
      <c r="AH45" s="1267">
        <v>1.7369900000000001E-2</v>
      </c>
      <c r="AI45" s="1267">
        <v>1.77936E-2</v>
      </c>
      <c r="AJ45" s="1267">
        <f t="shared" si="0"/>
        <v>-2.85049E-2</v>
      </c>
      <c r="AK45" s="1267">
        <f t="shared" si="0"/>
        <v>-6.7361100000000007E-2</v>
      </c>
      <c r="AL45" s="1267">
        <v>1</v>
      </c>
      <c r="AM45" s="1267">
        <v>63131.3</v>
      </c>
      <c r="AN45" s="1267">
        <v>5.2141000000000002</v>
      </c>
      <c r="AO45" s="1267">
        <v>12.5</v>
      </c>
    </row>
    <row r="46" spans="3:41">
      <c r="C46" s="1267" t="s">
        <v>1896</v>
      </c>
      <c r="D46" s="1267">
        <v>136</v>
      </c>
      <c r="E46" s="1267">
        <v>2014</v>
      </c>
      <c r="F46" s="1305">
        <v>630000000000</v>
      </c>
      <c r="G46" s="1305">
        <v>500000000000</v>
      </c>
      <c r="H46" s="1305">
        <v>130000000000</v>
      </c>
      <c r="I46" s="1305">
        <v>490000000000</v>
      </c>
      <c r="J46" s="1305">
        <v>310000000000</v>
      </c>
      <c r="K46" s="1305">
        <v>180000000000</v>
      </c>
      <c r="L46" s="1305">
        <v>1300000000000</v>
      </c>
      <c r="M46" s="1305">
        <v>740000000000</v>
      </c>
      <c r="N46" s="1305">
        <v>1600000000000</v>
      </c>
      <c r="O46" s="1305">
        <v>240000000000</v>
      </c>
      <c r="P46" s="1305">
        <v>32000000000</v>
      </c>
      <c r="Q46" s="1305">
        <v>27000000000</v>
      </c>
      <c r="R46" s="1305">
        <v>4700000000</v>
      </c>
      <c r="S46" s="1305">
        <v>17000000000</v>
      </c>
      <c r="T46" s="1305">
        <v>9200000000</v>
      </c>
      <c r="U46" s="1305">
        <v>7600000000</v>
      </c>
      <c r="V46" s="1305">
        <v>30000000000</v>
      </c>
      <c r="W46" s="1305">
        <v>12000000000</v>
      </c>
      <c r="X46" s="1305">
        <v>56000000000</v>
      </c>
      <c r="Y46" s="1305">
        <v>8300000000</v>
      </c>
      <c r="Z46" s="1267">
        <v>4.58263E-2</v>
      </c>
      <c r="AA46" s="1267">
        <v>4.87731E-2</v>
      </c>
      <c r="AB46" s="1267">
        <v>3.3969399999999997E-2</v>
      </c>
      <c r="AC46" s="1267">
        <v>3.1941700000000003E-2</v>
      </c>
      <c r="AD46" s="1267">
        <v>2.98748E-2</v>
      </c>
      <c r="AE46" s="1267">
        <v>3.48937E-2</v>
      </c>
      <c r="AF46" s="1267">
        <v>2.3597E-2</v>
      </c>
      <c r="AG46" s="1267">
        <v>1.7421300000000001E-2</v>
      </c>
      <c r="AH46" s="1267">
        <v>3.4613999999999999E-2</v>
      </c>
      <c r="AI46" s="1267">
        <v>3.2395199999999999E-2</v>
      </c>
      <c r="AJ46" s="1267">
        <f t="shared" si="0"/>
        <v>1.3884599999999997E-2</v>
      </c>
      <c r="AK46" s="1267">
        <f t="shared" si="0"/>
        <v>1.88983E-2</v>
      </c>
      <c r="AL46" s="1267">
        <v>1</v>
      </c>
      <c r="AM46" s="1267">
        <v>32890.6</v>
      </c>
      <c r="AN46" s="1267">
        <v>50.1965</v>
      </c>
      <c r="AO46" s="1267">
        <v>31.2927</v>
      </c>
    </row>
    <row r="47" spans="3:41">
      <c r="C47" s="1267" t="s">
        <v>1896</v>
      </c>
      <c r="D47" s="1267">
        <v>136</v>
      </c>
      <c r="E47" s="1267">
        <v>2015</v>
      </c>
      <c r="F47" s="1305">
        <v>590000000000</v>
      </c>
      <c r="G47" s="1305">
        <v>470000000000</v>
      </c>
      <c r="H47" s="1305">
        <v>120000000000</v>
      </c>
      <c r="I47" s="1305">
        <v>460000000000</v>
      </c>
      <c r="J47" s="1305">
        <v>310000000000</v>
      </c>
      <c r="K47" s="1305">
        <v>150000000000</v>
      </c>
      <c r="L47" s="1305">
        <v>1300000000000</v>
      </c>
      <c r="M47" s="1305">
        <v>770000000000</v>
      </c>
      <c r="N47" s="1305">
        <v>1500000000000</v>
      </c>
      <c r="O47" s="1305">
        <v>270000000000</v>
      </c>
      <c r="P47" s="1305">
        <v>15000000000</v>
      </c>
      <c r="Q47" s="1305">
        <v>12000000000</v>
      </c>
      <c r="R47" s="1305">
        <v>2800000000</v>
      </c>
      <c r="S47" s="1305">
        <v>15000000000</v>
      </c>
      <c r="T47" s="1305">
        <v>11000000000</v>
      </c>
      <c r="U47" s="1305">
        <v>3900000000</v>
      </c>
      <c r="V47" s="1305">
        <v>28000000000</v>
      </c>
      <c r="W47" s="1305">
        <v>13000000000</v>
      </c>
      <c r="X47" s="1305">
        <v>46000000000</v>
      </c>
      <c r="Y47" s="1305">
        <v>7600000000</v>
      </c>
      <c r="Z47" s="1267">
        <v>2.4217700000000002E-2</v>
      </c>
      <c r="AA47" s="1267">
        <v>2.4757500000000002E-2</v>
      </c>
      <c r="AB47" s="1267">
        <v>2.2096899999999999E-2</v>
      </c>
      <c r="AC47" s="1267">
        <v>3.0000700000000002E-2</v>
      </c>
      <c r="AD47" s="1267">
        <v>3.4889000000000003E-2</v>
      </c>
      <c r="AE47" s="1267">
        <v>2.16457E-2</v>
      </c>
      <c r="AF47" s="1267">
        <v>2.20471E-2</v>
      </c>
      <c r="AG47" s="1267">
        <v>1.6865000000000002E-2</v>
      </c>
      <c r="AH47" s="1267">
        <v>2.8474599999999999E-2</v>
      </c>
      <c r="AI47" s="1267">
        <v>3.1814799999999997E-2</v>
      </c>
      <c r="AJ47" s="1267">
        <f t="shared" si="0"/>
        <v>-5.7829999999999999E-3</v>
      </c>
      <c r="AK47" s="1267">
        <f t="shared" si="0"/>
        <v>-1.0131500000000002E-2</v>
      </c>
      <c r="AL47" s="1267">
        <v>1</v>
      </c>
      <c r="AM47" s="1267">
        <v>33250.699999999997</v>
      </c>
      <c r="AN47" s="1267">
        <v>50.1965</v>
      </c>
      <c r="AO47" s="1267">
        <v>31.2927</v>
      </c>
    </row>
    <row r="48" spans="3:41">
      <c r="C48" s="1267" t="s">
        <v>1896</v>
      </c>
      <c r="D48" s="1267">
        <v>136</v>
      </c>
      <c r="E48" s="1267">
        <v>2016</v>
      </c>
      <c r="F48" s="1305">
        <v>590000000000</v>
      </c>
      <c r="G48" s="1305">
        <v>460000000000</v>
      </c>
      <c r="H48" s="1305">
        <v>120000000000</v>
      </c>
      <c r="I48" s="1305">
        <v>460000000000</v>
      </c>
      <c r="J48" s="1305">
        <v>310000000000</v>
      </c>
      <c r="K48" s="1305">
        <v>150000000000</v>
      </c>
      <c r="L48" s="1305">
        <v>1400000000000</v>
      </c>
      <c r="M48" s="1305">
        <v>810000000000</v>
      </c>
      <c r="N48" s="1305">
        <v>1300000000000</v>
      </c>
      <c r="O48" s="1305">
        <v>220000000000</v>
      </c>
      <c r="P48" s="1305">
        <v>21000000000</v>
      </c>
      <c r="Q48" s="1305">
        <v>18000000000</v>
      </c>
      <c r="R48" s="1305">
        <v>2900000000</v>
      </c>
      <c r="S48" s="1305">
        <v>17000000000</v>
      </c>
      <c r="T48" s="1305">
        <v>13000000000</v>
      </c>
      <c r="U48" s="1305">
        <v>3700000000</v>
      </c>
      <c r="V48" s="1305">
        <v>32000000000</v>
      </c>
      <c r="W48" s="1305">
        <v>17000000000</v>
      </c>
      <c r="X48" s="1305">
        <v>40000000000</v>
      </c>
      <c r="Y48" s="1305">
        <v>6400000000</v>
      </c>
      <c r="Z48" s="1267">
        <v>3.55124E-2</v>
      </c>
      <c r="AA48" s="1267">
        <v>3.8699499999999998E-2</v>
      </c>
      <c r="AB48" s="1267">
        <v>2.34573E-2</v>
      </c>
      <c r="AC48" s="1267">
        <v>3.7167600000000002E-2</v>
      </c>
      <c r="AD48" s="1267">
        <v>4.3943000000000003E-2</v>
      </c>
      <c r="AE48" s="1267">
        <v>2.3741100000000001E-2</v>
      </c>
      <c r="AF48" s="1267">
        <v>2.5127400000000001E-2</v>
      </c>
      <c r="AG48" s="1267">
        <v>2.2369300000000002E-2</v>
      </c>
      <c r="AH48" s="1267">
        <v>2.6165899999999999E-2</v>
      </c>
      <c r="AI48" s="1267">
        <v>2.3894200000000001E-2</v>
      </c>
      <c r="AJ48" s="1267">
        <f t="shared" si="0"/>
        <v>-1.6552000000000025E-3</v>
      </c>
      <c r="AK48" s="1267">
        <f t="shared" si="0"/>
        <v>-5.2435000000000051E-3</v>
      </c>
      <c r="AL48" s="1267">
        <v>1</v>
      </c>
      <c r="AM48" s="1267">
        <v>33621.1</v>
      </c>
      <c r="AN48" s="1267">
        <v>50.1965</v>
      </c>
      <c r="AO48" s="1267">
        <v>31.2927</v>
      </c>
    </row>
    <row r="49" spans="3:41">
      <c r="C49" s="1267" t="s">
        <v>1436</v>
      </c>
      <c r="D49" s="1267">
        <v>158</v>
      </c>
      <c r="E49" s="1267">
        <v>2014</v>
      </c>
      <c r="F49" s="1305">
        <v>1200000000000</v>
      </c>
      <c r="G49" s="1305">
        <v>1100000000000</v>
      </c>
      <c r="H49" s="1305">
        <v>100000000000</v>
      </c>
      <c r="I49" s="1305">
        <v>200000000000</v>
      </c>
      <c r="J49" s="1305">
        <v>170000000000</v>
      </c>
      <c r="K49" s="1305">
        <v>26000000000</v>
      </c>
      <c r="L49" s="1305">
        <v>3400000000000</v>
      </c>
      <c r="M49" s="1305">
        <v>1200000000000</v>
      </c>
      <c r="N49" s="1305">
        <v>2400000000000</v>
      </c>
      <c r="O49" s="1305">
        <v>1400000000000</v>
      </c>
      <c r="P49" s="1305">
        <v>100000000000</v>
      </c>
      <c r="Q49" s="1305">
        <v>99000000000</v>
      </c>
      <c r="R49" s="1305">
        <v>1300000000</v>
      </c>
      <c r="S49" s="1305">
        <v>26000000000</v>
      </c>
      <c r="T49" s="1305">
        <v>25000000000</v>
      </c>
      <c r="U49" s="1305">
        <v>750000000</v>
      </c>
      <c r="V49" s="1305">
        <v>140000000000</v>
      </c>
      <c r="W49" s="1305">
        <v>54000000000</v>
      </c>
      <c r="X49" s="1305">
        <v>39000000000</v>
      </c>
      <c r="Y49" s="1305">
        <v>27000000000</v>
      </c>
      <c r="Z49" s="1267">
        <v>8.8365100000000002E-2</v>
      </c>
      <c r="AA49" s="1267">
        <v>9.2362600000000003E-2</v>
      </c>
      <c r="AB49" s="1267">
        <v>2.0126399999999999E-2</v>
      </c>
      <c r="AC49" s="1267">
        <v>0.1411211</v>
      </c>
      <c r="AD49" s="1267">
        <v>0.1557026</v>
      </c>
      <c r="AE49" s="1267">
        <v>3.36464E-2</v>
      </c>
      <c r="AF49" s="1267">
        <v>4.1786400000000001E-2</v>
      </c>
      <c r="AG49" s="1267">
        <v>4.5221799999999999E-2</v>
      </c>
      <c r="AH49" s="1267">
        <v>1.6234499999999999E-2</v>
      </c>
      <c r="AI49" s="1267">
        <v>1.8478100000000001E-2</v>
      </c>
      <c r="AJ49" s="1267">
        <f t="shared" si="0"/>
        <v>-5.2755999999999997E-2</v>
      </c>
      <c r="AK49" s="1267">
        <f t="shared" si="0"/>
        <v>-6.3339999999999994E-2</v>
      </c>
      <c r="AL49" s="1267">
        <v>0</v>
      </c>
      <c r="AM49" s="1267">
        <v>36581.1</v>
      </c>
      <c r="AN49" s="1267">
        <v>25.225999999999999</v>
      </c>
      <c r="AO49" s="1267">
        <v>36.99</v>
      </c>
    </row>
    <row r="50" spans="3:41">
      <c r="C50" s="1267" t="s">
        <v>1436</v>
      </c>
      <c r="D50" s="1267">
        <v>158</v>
      </c>
      <c r="E50" s="1267">
        <v>2015</v>
      </c>
      <c r="F50" s="1305">
        <v>1300000000000</v>
      </c>
      <c r="G50" s="1305">
        <v>1100000000000</v>
      </c>
      <c r="H50" s="1305">
        <v>110000000000</v>
      </c>
      <c r="I50" s="1305">
        <v>210000000000</v>
      </c>
      <c r="J50" s="1305">
        <v>180000000000</v>
      </c>
      <c r="K50" s="1305">
        <v>29000000000</v>
      </c>
      <c r="L50" s="1305">
        <v>3500000000000</v>
      </c>
      <c r="M50" s="1305">
        <v>1300000000000</v>
      </c>
      <c r="N50" s="1305">
        <v>2700000000000</v>
      </c>
      <c r="O50" s="1305">
        <v>1600000000000</v>
      </c>
      <c r="P50" s="1305">
        <v>94000000000</v>
      </c>
      <c r="Q50" s="1305">
        <v>93000000000</v>
      </c>
      <c r="R50" s="1305">
        <v>1400000000</v>
      </c>
      <c r="S50" s="1305">
        <v>24000000000</v>
      </c>
      <c r="T50" s="1305">
        <v>24000000000</v>
      </c>
      <c r="U50" s="1305">
        <v>510000000</v>
      </c>
      <c r="V50" s="1305">
        <v>140000000000</v>
      </c>
      <c r="W50" s="1305">
        <v>54000000000</v>
      </c>
      <c r="X50" s="1305">
        <v>40000000000</v>
      </c>
      <c r="Y50" s="1305">
        <v>29000000000</v>
      </c>
      <c r="Z50" s="1267">
        <v>8.0045000000000005E-2</v>
      </c>
      <c r="AA50" s="1267">
        <v>8.6334499999999995E-2</v>
      </c>
      <c r="AB50" s="1267">
        <v>1.3468600000000001E-2</v>
      </c>
      <c r="AC50" s="1267">
        <v>0.1227395</v>
      </c>
      <c r="AD50" s="1267">
        <v>0.13884959999999999</v>
      </c>
      <c r="AE50" s="1267">
        <v>1.9075100000000001E-2</v>
      </c>
      <c r="AF50" s="1267">
        <v>4.1298500000000002E-2</v>
      </c>
      <c r="AG50" s="1267">
        <v>4.5205799999999997E-2</v>
      </c>
      <c r="AH50" s="1267">
        <v>1.70219E-2</v>
      </c>
      <c r="AI50" s="1267">
        <v>2.0523400000000001E-2</v>
      </c>
      <c r="AJ50" s="1267">
        <f t="shared" si="0"/>
        <v>-4.2694499999999996E-2</v>
      </c>
      <c r="AK50" s="1267">
        <f t="shared" si="0"/>
        <v>-5.2515099999999995E-2</v>
      </c>
      <c r="AL50" s="1267">
        <v>0</v>
      </c>
      <c r="AM50" s="1267">
        <v>37067.699999999997</v>
      </c>
      <c r="AN50" s="1267">
        <v>20.346</v>
      </c>
      <c r="AO50" s="1267">
        <v>32.11</v>
      </c>
    </row>
    <row r="51" spans="3:41">
      <c r="C51" s="1267" t="s">
        <v>1436</v>
      </c>
      <c r="D51" s="1267">
        <v>158</v>
      </c>
      <c r="E51" s="1267">
        <v>2016</v>
      </c>
      <c r="F51" s="1305">
        <v>1400000000000</v>
      </c>
      <c r="G51" s="1305">
        <v>1200000000000</v>
      </c>
      <c r="H51" s="1305">
        <v>120000000000</v>
      </c>
      <c r="I51" s="1305">
        <v>240000000000</v>
      </c>
      <c r="J51" s="1305">
        <v>190000000000</v>
      </c>
      <c r="K51" s="1305">
        <v>46000000000</v>
      </c>
      <c r="L51" s="1305">
        <v>3900000000000</v>
      </c>
      <c r="M51" s="1305">
        <v>1400000000000</v>
      </c>
      <c r="N51" s="1305">
        <v>2800000000000</v>
      </c>
      <c r="O51" s="1305">
        <v>1600000000000</v>
      </c>
      <c r="P51" s="1305">
        <v>96000000000</v>
      </c>
      <c r="Q51" s="1305">
        <v>95000000000</v>
      </c>
      <c r="R51" s="1305">
        <v>1600000000</v>
      </c>
      <c r="S51" s="1305">
        <v>29000000000</v>
      </c>
      <c r="T51" s="1305">
        <v>29000000000</v>
      </c>
      <c r="U51" s="1305">
        <v>420000000</v>
      </c>
      <c r="V51" s="1305">
        <v>140000000000</v>
      </c>
      <c r="W51" s="1305">
        <v>48000000000</v>
      </c>
      <c r="X51" s="1305">
        <v>44000000000</v>
      </c>
      <c r="Y51" s="1305">
        <v>32000000000</v>
      </c>
      <c r="Z51" s="1267">
        <v>7.6468700000000001E-2</v>
      </c>
      <c r="AA51" s="1267">
        <v>8.2512799999999997E-2</v>
      </c>
      <c r="AB51" s="1267">
        <v>1.44887E-2</v>
      </c>
      <c r="AC51" s="1267">
        <v>0.1423074</v>
      </c>
      <c r="AD51" s="1267">
        <v>0.16360920000000001</v>
      </c>
      <c r="AE51" s="1267">
        <v>1.44402E-2</v>
      </c>
      <c r="AF51" s="1267">
        <v>3.9620200000000001E-2</v>
      </c>
      <c r="AG51" s="1267">
        <v>3.7846499999999998E-2</v>
      </c>
      <c r="AH51" s="1267">
        <v>1.66508E-2</v>
      </c>
      <c r="AI51" s="1267">
        <v>2.07256E-2</v>
      </c>
      <c r="AJ51" s="1267">
        <f t="shared" si="0"/>
        <v>-6.58387E-2</v>
      </c>
      <c r="AK51" s="1267">
        <f t="shared" si="0"/>
        <v>-8.1096400000000013E-2</v>
      </c>
      <c r="AL51" s="1267">
        <v>0</v>
      </c>
      <c r="AM51" s="1267">
        <v>37504.1</v>
      </c>
      <c r="AN51" s="1267">
        <v>18.206</v>
      </c>
      <c r="AO51" s="1267">
        <v>29.97</v>
      </c>
    </row>
    <row r="52" spans="3:41">
      <c r="C52" s="1267" t="s">
        <v>1928</v>
      </c>
      <c r="D52" s="1267">
        <v>542</v>
      </c>
      <c r="E52" s="1267">
        <v>2014</v>
      </c>
      <c r="F52" s="1305">
        <v>260000000000</v>
      </c>
      <c r="G52" s="1305">
        <v>220000000000</v>
      </c>
      <c r="H52" s="1305">
        <v>39000000000</v>
      </c>
      <c r="I52" s="1305">
        <v>180000000000</v>
      </c>
      <c r="J52" s="1305">
        <v>160000000000</v>
      </c>
      <c r="K52" s="1305">
        <v>16000000000</v>
      </c>
      <c r="L52" s="1305">
        <v>200000000000</v>
      </c>
      <c r="M52" s="1305">
        <v>140000000000</v>
      </c>
      <c r="N52" s="1305">
        <v>590000000000</v>
      </c>
      <c r="O52" s="1305">
        <v>370000000000</v>
      </c>
      <c r="P52" s="1305">
        <v>14000000000</v>
      </c>
      <c r="Q52" s="1305">
        <v>13000000000</v>
      </c>
      <c r="R52" s="1305">
        <v>280000000</v>
      </c>
      <c r="S52" s="1305">
        <v>12000000000</v>
      </c>
      <c r="T52" s="1305">
        <v>12000000000</v>
      </c>
      <c r="U52" s="1305">
        <v>120000000</v>
      </c>
      <c r="V52" s="1305">
        <v>3500000000</v>
      </c>
      <c r="W52" s="1305">
        <v>1500000000</v>
      </c>
      <c r="X52" s="1305">
        <v>8500000000</v>
      </c>
      <c r="Y52" s="1305">
        <v>2600000000</v>
      </c>
      <c r="Z52" s="1267">
        <v>5.7663800000000001E-2</v>
      </c>
      <c r="AA52" s="1267">
        <v>6.5761200000000006E-2</v>
      </c>
      <c r="AB52" s="1267">
        <v>8.3538999999999992E-3</v>
      </c>
      <c r="AC52" s="1267">
        <v>6.5959299999999998E-2</v>
      </c>
      <c r="AD52" s="1267">
        <v>7.1301400000000001E-2</v>
      </c>
      <c r="AE52" s="1267">
        <v>7.8131999999999993E-3</v>
      </c>
      <c r="AF52" s="1267">
        <v>2.0515499999999999E-2</v>
      </c>
      <c r="AG52" s="1267">
        <v>1.22472E-2</v>
      </c>
      <c r="AH52" s="1267">
        <v>1.3736E-2</v>
      </c>
      <c r="AI52" s="1267">
        <v>6.7819999999999998E-3</v>
      </c>
      <c r="AJ52" s="1267">
        <f t="shared" si="0"/>
        <v>-8.2954999999999973E-3</v>
      </c>
      <c r="AK52" s="1267">
        <f t="shared" si="0"/>
        <v>-5.5401999999999951E-3</v>
      </c>
      <c r="AL52" s="1267">
        <v>0</v>
      </c>
      <c r="AM52" s="1267">
        <v>33452.699999999997</v>
      </c>
      <c r="AN52" s="1267">
        <v>22.021000000000001</v>
      </c>
      <c r="AO52" s="1267">
        <v>24.2</v>
      </c>
    </row>
    <row r="53" spans="3:41">
      <c r="C53" s="1267" t="s">
        <v>1928</v>
      </c>
      <c r="D53" s="1267">
        <v>542</v>
      </c>
      <c r="E53" s="1267">
        <v>2015</v>
      </c>
      <c r="F53" s="1305">
        <v>290000000000</v>
      </c>
      <c r="G53" s="1305">
        <v>240000000000</v>
      </c>
      <c r="H53" s="1305">
        <v>49000000000</v>
      </c>
      <c r="I53" s="1305">
        <v>180000000000</v>
      </c>
      <c r="J53" s="1305">
        <v>160000000000</v>
      </c>
      <c r="K53" s="1305">
        <v>18000000000</v>
      </c>
      <c r="L53" s="1305">
        <v>240000000000</v>
      </c>
      <c r="M53" s="1305">
        <v>150000000000</v>
      </c>
      <c r="N53" s="1305">
        <v>550000000000</v>
      </c>
      <c r="O53" s="1305">
        <v>340000000000</v>
      </c>
      <c r="P53" s="1305">
        <v>11000000000</v>
      </c>
      <c r="Q53" s="1305">
        <v>10000000000</v>
      </c>
      <c r="R53" s="1305">
        <v>780000000</v>
      </c>
      <c r="S53" s="1305">
        <v>11000000000</v>
      </c>
      <c r="T53" s="1305">
        <v>10000000000</v>
      </c>
      <c r="U53" s="1305">
        <v>220000000</v>
      </c>
      <c r="V53" s="1305">
        <v>4300000000</v>
      </c>
      <c r="W53" s="1305">
        <v>1600000000</v>
      </c>
      <c r="X53" s="1305">
        <v>7400000000</v>
      </c>
      <c r="Y53" s="1305">
        <v>3300000000</v>
      </c>
      <c r="Z53" s="1267">
        <v>4.1367399999999999E-2</v>
      </c>
      <c r="AA53" s="1267">
        <v>4.5240599999999999E-2</v>
      </c>
      <c r="AB53" s="1267">
        <v>1.9687900000000001E-2</v>
      </c>
      <c r="AC53" s="1267">
        <v>5.89837E-2</v>
      </c>
      <c r="AD53" s="1267">
        <v>6.3287700000000002E-2</v>
      </c>
      <c r="AE53" s="1267">
        <v>1.4071E-2</v>
      </c>
      <c r="AF53" s="1267">
        <v>2.1195100000000001E-2</v>
      </c>
      <c r="AG53" s="1267">
        <v>1.14264E-2</v>
      </c>
      <c r="AH53" s="1267">
        <v>1.25063E-2</v>
      </c>
      <c r="AI53" s="1267">
        <v>8.8555000000000005E-3</v>
      </c>
      <c r="AJ53" s="1267">
        <f t="shared" si="0"/>
        <v>-1.7616300000000001E-2</v>
      </c>
      <c r="AK53" s="1267">
        <f t="shared" si="0"/>
        <v>-1.8047100000000003E-2</v>
      </c>
      <c r="AL53" s="1267">
        <v>0</v>
      </c>
      <c r="AM53" s="1267">
        <v>34205.5</v>
      </c>
      <c r="AN53" s="1267">
        <v>22.021000000000001</v>
      </c>
      <c r="AO53" s="1267">
        <v>24.2</v>
      </c>
    </row>
    <row r="54" spans="3:41">
      <c r="C54" s="1267" t="s">
        <v>1928</v>
      </c>
      <c r="D54" s="1267">
        <v>542</v>
      </c>
      <c r="E54" s="1267">
        <v>2016</v>
      </c>
      <c r="F54" s="1305">
        <v>310000000000</v>
      </c>
      <c r="G54" s="1305">
        <v>250000000000</v>
      </c>
      <c r="H54" s="1305">
        <v>53000000000</v>
      </c>
      <c r="I54" s="1305">
        <v>180000000000</v>
      </c>
      <c r="J54" s="1305">
        <v>160000000000</v>
      </c>
      <c r="K54" s="1305">
        <v>22000000000</v>
      </c>
      <c r="L54" s="1305">
        <v>300000000000</v>
      </c>
      <c r="M54" s="1305">
        <v>180000000000</v>
      </c>
      <c r="N54" s="1305">
        <v>570000000000</v>
      </c>
      <c r="O54" s="1305">
        <v>380000000000</v>
      </c>
      <c r="P54" s="1305">
        <v>11000000000</v>
      </c>
      <c r="Q54" s="1305">
        <v>10000000000</v>
      </c>
      <c r="R54" s="1305">
        <v>1100000000</v>
      </c>
      <c r="S54" s="1305">
        <v>12000000000</v>
      </c>
      <c r="T54" s="1305">
        <v>11000000000</v>
      </c>
      <c r="U54" s="1305">
        <v>580000000</v>
      </c>
      <c r="V54" s="1305">
        <v>5700000000</v>
      </c>
      <c r="W54" s="1305">
        <v>2200000000</v>
      </c>
      <c r="X54" s="1305">
        <v>7200000000</v>
      </c>
      <c r="Y54" s="1305">
        <v>3500000000</v>
      </c>
      <c r="Z54" s="1267">
        <v>4.0116199999999998E-2</v>
      </c>
      <c r="AA54" s="1267">
        <v>4.3890100000000001E-2</v>
      </c>
      <c r="AB54" s="1267">
        <v>2.1763899999999999E-2</v>
      </c>
      <c r="AC54" s="1267">
        <v>6.4604800000000004E-2</v>
      </c>
      <c r="AD54" s="1267">
        <v>6.8214200000000003E-2</v>
      </c>
      <c r="AE54" s="1267">
        <v>3.2160800000000003E-2</v>
      </c>
      <c r="AF54" s="1267">
        <v>2.4215400000000002E-2</v>
      </c>
      <c r="AG54" s="1267">
        <v>1.41393E-2</v>
      </c>
      <c r="AH54" s="1267">
        <v>1.2992999999999999E-2</v>
      </c>
      <c r="AI54" s="1267">
        <v>1.0075300000000001E-2</v>
      </c>
      <c r="AJ54" s="1267">
        <f t="shared" si="0"/>
        <v>-2.4488600000000006E-2</v>
      </c>
      <c r="AK54" s="1267">
        <f t="shared" si="0"/>
        <v>-2.4324100000000001E-2</v>
      </c>
      <c r="AL54" s="1267">
        <v>0</v>
      </c>
      <c r="AM54" s="1267">
        <v>35014.199999999997</v>
      </c>
      <c r="AN54" s="1267">
        <v>22.021000000000001</v>
      </c>
      <c r="AO54" s="1267">
        <v>24.2</v>
      </c>
    </row>
    <row r="55" spans="3:41">
      <c r="C55" s="1267" t="s">
        <v>1926</v>
      </c>
      <c r="D55" s="1267">
        <v>941</v>
      </c>
      <c r="E55" s="1267">
        <v>2014</v>
      </c>
      <c r="F55" s="1305">
        <v>2500000000</v>
      </c>
      <c r="G55" s="1305">
        <v>990000000</v>
      </c>
      <c r="H55" s="1305">
        <v>1500000000</v>
      </c>
      <c r="I55" s="1305">
        <v>16000000000</v>
      </c>
      <c r="J55" s="1305">
        <v>12000000000</v>
      </c>
      <c r="K55" s="1305">
        <v>4200000000</v>
      </c>
      <c r="L55" s="1305">
        <v>9600000000</v>
      </c>
      <c r="M55" s="1305">
        <v>1700000000</v>
      </c>
      <c r="N55" s="1305">
        <v>6800000000</v>
      </c>
      <c r="O55" s="1305">
        <v>380000000</v>
      </c>
      <c r="P55" s="1305">
        <v>68000000</v>
      </c>
      <c r="Q55" s="1305">
        <v>45000000</v>
      </c>
      <c r="R55" s="1305">
        <v>24000000</v>
      </c>
      <c r="S55" s="1305">
        <v>1100000000</v>
      </c>
      <c r="T55" s="1305">
        <v>990000000</v>
      </c>
      <c r="U55" s="1305">
        <v>83000000</v>
      </c>
      <c r="V55" s="1305">
        <v>180000000</v>
      </c>
      <c r="W55" s="1305">
        <v>11000000</v>
      </c>
      <c r="X55" s="1305">
        <v>240000000</v>
      </c>
      <c r="Y55" s="1305">
        <v>16000000</v>
      </c>
      <c r="Z55" s="1267">
        <v>2.5668300000000002E-2</v>
      </c>
      <c r="AA55" s="1267">
        <v>3.8424600000000003E-2</v>
      </c>
      <c r="AB55" s="1267">
        <v>1.58703E-2</v>
      </c>
      <c r="AC55" s="1267">
        <v>6.2919600000000006E-2</v>
      </c>
      <c r="AD55" s="1267">
        <v>8.1515900000000002E-2</v>
      </c>
      <c r="AE55" s="1267">
        <v>1.69914E-2</v>
      </c>
      <c r="AF55" s="1267">
        <v>3.0743800000000002E-2</v>
      </c>
      <c r="AG55" s="1267">
        <v>6.3312999999999998E-3</v>
      </c>
      <c r="AH55" s="1267">
        <v>5.2297000000000003E-2</v>
      </c>
      <c r="AI55" s="1267">
        <v>4.8347000000000001E-2</v>
      </c>
      <c r="AJ55" s="1267">
        <f t="shared" si="0"/>
        <v>-3.7251300000000001E-2</v>
      </c>
      <c r="AK55" s="1267">
        <f t="shared" si="0"/>
        <v>-4.3091299999999999E-2</v>
      </c>
      <c r="AL55" s="1267">
        <v>1</v>
      </c>
      <c r="AM55" s="1267">
        <v>21409</v>
      </c>
      <c r="AO55" s="1267">
        <v>15</v>
      </c>
    </row>
    <row r="56" spans="3:41">
      <c r="C56" s="1267" t="s">
        <v>1926</v>
      </c>
      <c r="D56" s="1267">
        <v>941</v>
      </c>
      <c r="E56" s="1267">
        <v>2015</v>
      </c>
      <c r="F56" s="1305">
        <v>2500000000</v>
      </c>
      <c r="G56" s="1305">
        <v>1000000000</v>
      </c>
      <c r="H56" s="1305">
        <v>1500000000</v>
      </c>
      <c r="I56" s="1305">
        <v>16000000000</v>
      </c>
      <c r="J56" s="1305">
        <v>12000000000</v>
      </c>
      <c r="K56" s="1305">
        <v>3900000000</v>
      </c>
      <c r="L56" s="1305">
        <v>12000000000</v>
      </c>
      <c r="M56" s="1305">
        <v>1600000000</v>
      </c>
      <c r="N56" s="1305">
        <v>6700000000</v>
      </c>
      <c r="O56" s="1305">
        <v>560000000</v>
      </c>
      <c r="P56" s="1305">
        <v>170000000</v>
      </c>
      <c r="Q56" s="1305">
        <v>150000000</v>
      </c>
      <c r="R56" s="1305">
        <v>27000000</v>
      </c>
      <c r="S56" s="1305">
        <v>1200000000</v>
      </c>
      <c r="T56" s="1305">
        <v>1100000000</v>
      </c>
      <c r="U56" s="1305">
        <v>70000000</v>
      </c>
      <c r="V56" s="1305">
        <v>190000000</v>
      </c>
      <c r="W56" s="1305">
        <v>6700000</v>
      </c>
      <c r="X56" s="1305">
        <v>200000000</v>
      </c>
      <c r="Y56" s="1305">
        <v>9000000</v>
      </c>
      <c r="Z56" s="1267">
        <v>6.9929500000000006E-2</v>
      </c>
      <c r="AA56" s="1267">
        <v>0.14920539999999999</v>
      </c>
      <c r="AB56" s="1267">
        <v>1.7720199999999998E-2</v>
      </c>
      <c r="AC56" s="1267">
        <v>7.2098400000000007E-2</v>
      </c>
      <c r="AD56" s="1267">
        <v>9.1700100000000007E-2</v>
      </c>
      <c r="AE56" s="1267">
        <v>1.6537900000000001E-2</v>
      </c>
      <c r="AF56" s="1267">
        <v>1.9732599999999999E-2</v>
      </c>
      <c r="AG56" s="1267">
        <v>3.9056999999999998E-3</v>
      </c>
      <c r="AH56" s="1267">
        <v>2.99923E-2</v>
      </c>
      <c r="AI56" s="1267">
        <v>2.3405800000000001E-2</v>
      </c>
      <c r="AJ56" s="1267">
        <f t="shared" si="0"/>
        <v>-2.1689000000000014E-3</v>
      </c>
      <c r="AK56" s="1267">
        <f t="shared" si="0"/>
        <v>5.7505299999999981E-2</v>
      </c>
      <c r="AL56" s="1267">
        <v>1</v>
      </c>
      <c r="AM56" s="1267">
        <v>22204.9</v>
      </c>
      <c r="AO56" s="1267">
        <v>15</v>
      </c>
    </row>
    <row r="57" spans="3:41">
      <c r="C57" s="1267" t="s">
        <v>1926</v>
      </c>
      <c r="D57" s="1267">
        <v>941</v>
      </c>
      <c r="E57" s="1267">
        <v>2016</v>
      </c>
      <c r="F57" s="1305">
        <v>2600000000</v>
      </c>
      <c r="G57" s="1305">
        <v>1100000000</v>
      </c>
      <c r="H57" s="1305">
        <v>1500000000</v>
      </c>
      <c r="I57" s="1305">
        <v>15000000000</v>
      </c>
      <c r="J57" s="1305">
        <v>11000000000</v>
      </c>
      <c r="K57" s="1305">
        <v>4200000000</v>
      </c>
      <c r="L57" s="1305">
        <v>14000000000</v>
      </c>
      <c r="M57" s="1305">
        <v>1900000000</v>
      </c>
      <c r="N57" s="1305">
        <v>7600000000</v>
      </c>
      <c r="O57" s="1305">
        <v>580000000</v>
      </c>
      <c r="P57" s="1305">
        <v>130000000</v>
      </c>
      <c r="Q57" s="1305">
        <v>100000000</v>
      </c>
      <c r="R57" s="1305">
        <v>26000000</v>
      </c>
      <c r="S57" s="1305">
        <v>1200000000</v>
      </c>
      <c r="T57" s="1305">
        <v>1100000000</v>
      </c>
      <c r="U57" s="1305">
        <v>58000000</v>
      </c>
      <c r="V57" s="1305">
        <v>210000000</v>
      </c>
      <c r="W57" s="1305">
        <v>13000000</v>
      </c>
      <c r="X57" s="1305">
        <v>190000000</v>
      </c>
      <c r="Y57" s="1305">
        <v>10000000</v>
      </c>
      <c r="Z57" s="1267">
        <v>5.1670199999999999E-2</v>
      </c>
      <c r="AA57" s="1267">
        <v>9.9906099999999998E-2</v>
      </c>
      <c r="AB57" s="1267">
        <v>1.7791899999999999E-2</v>
      </c>
      <c r="AC57" s="1267">
        <v>7.5119000000000005E-2</v>
      </c>
      <c r="AD57" s="1267">
        <v>9.5038399999999995E-2</v>
      </c>
      <c r="AE57" s="1267">
        <v>1.48539E-2</v>
      </c>
      <c r="AF57" s="1267">
        <v>1.7718100000000001E-2</v>
      </c>
      <c r="AG57" s="1267">
        <v>8.3061000000000003E-3</v>
      </c>
      <c r="AH57" s="1267">
        <v>2.86445E-2</v>
      </c>
      <c r="AI57" s="1267">
        <v>1.79274E-2</v>
      </c>
      <c r="AJ57" s="1267">
        <f t="shared" si="0"/>
        <v>-2.3448800000000006E-2</v>
      </c>
      <c r="AK57" s="1267">
        <f t="shared" si="0"/>
        <v>4.8677000000000026E-3</v>
      </c>
      <c r="AL57" s="1267">
        <v>1</v>
      </c>
      <c r="AM57" s="1267">
        <v>22858.1</v>
      </c>
      <c r="AO57" s="1267">
        <v>15</v>
      </c>
    </row>
    <row r="58" spans="3:41">
      <c r="C58" s="1267" t="s">
        <v>697</v>
      </c>
      <c r="D58" s="1267">
        <v>137</v>
      </c>
      <c r="E58" s="1267">
        <v>2014</v>
      </c>
      <c r="F58" s="1305">
        <v>5400000000000</v>
      </c>
      <c r="G58" s="1305">
        <v>3600000000000</v>
      </c>
      <c r="H58" s="1305">
        <v>1700000000000</v>
      </c>
      <c r="I58" s="1305">
        <v>4700000000000</v>
      </c>
      <c r="J58" s="1305">
        <v>2900000000000</v>
      </c>
      <c r="K58" s="1305">
        <v>1800000000000</v>
      </c>
      <c r="L58" s="1305">
        <v>3600000000000</v>
      </c>
      <c r="M58" s="1305">
        <v>1600000000000</v>
      </c>
      <c r="N58" s="1305">
        <v>4600000000000</v>
      </c>
      <c r="O58" s="1305">
        <v>3500000000000</v>
      </c>
      <c r="P58" s="1305">
        <v>130000000000</v>
      </c>
      <c r="Q58" s="1305">
        <v>70000000000</v>
      </c>
      <c r="R58" s="1305">
        <v>60000000000</v>
      </c>
      <c r="S58" s="1305">
        <v>120000000000</v>
      </c>
      <c r="T58" s="1305">
        <v>74000000000</v>
      </c>
      <c r="U58" s="1305">
        <v>46000000000</v>
      </c>
      <c r="V58" s="1305">
        <v>100000000000</v>
      </c>
      <c r="W58" s="1305">
        <v>38000000000</v>
      </c>
      <c r="X58" s="1305">
        <v>120000000000</v>
      </c>
      <c r="Y58" s="1305">
        <v>96000000000</v>
      </c>
      <c r="Z58" s="1267">
        <v>2.7836099999999999E-2</v>
      </c>
      <c r="AA58" s="1267">
        <v>2.3046400000000002E-2</v>
      </c>
      <c r="AB58" s="1267">
        <v>3.6733200000000001E-2</v>
      </c>
      <c r="AC58" s="1267">
        <v>2.8982299999999999E-2</v>
      </c>
      <c r="AD58" s="1267">
        <v>2.88927E-2</v>
      </c>
      <c r="AE58" s="1267">
        <v>2.9125999999999999E-2</v>
      </c>
      <c r="AF58" s="1267">
        <v>2.8983499999999999E-2</v>
      </c>
      <c r="AG58" s="1267">
        <v>2.4044200000000002E-2</v>
      </c>
      <c r="AH58" s="1267">
        <v>2.7953200000000001E-2</v>
      </c>
      <c r="AI58" s="1267">
        <v>2.8077100000000001E-2</v>
      </c>
      <c r="AJ58" s="1267">
        <f t="shared" si="0"/>
        <v>-1.1462E-3</v>
      </c>
      <c r="AK58" s="1267">
        <f t="shared" si="0"/>
        <v>-5.8462999999999987E-3</v>
      </c>
      <c r="AL58" s="1267">
        <v>1</v>
      </c>
      <c r="AM58" s="1267">
        <v>87252.2</v>
      </c>
      <c r="AN58" s="1267">
        <v>19.704799999999999</v>
      </c>
      <c r="AO58" s="1267">
        <v>29.22</v>
      </c>
    </row>
    <row r="59" spans="3:41">
      <c r="C59" s="1267" t="s">
        <v>697</v>
      </c>
      <c r="D59" s="1267">
        <v>137</v>
      </c>
      <c r="E59" s="1267">
        <v>2015</v>
      </c>
      <c r="F59" s="1305">
        <v>5900000000000</v>
      </c>
      <c r="G59" s="1305">
        <v>4200000000000</v>
      </c>
      <c r="H59" s="1305">
        <v>1700000000000</v>
      </c>
      <c r="I59" s="1305">
        <v>5200000000000</v>
      </c>
      <c r="J59" s="1305">
        <v>3400000000000</v>
      </c>
      <c r="K59" s="1305">
        <v>1800000000000</v>
      </c>
      <c r="L59" s="1305">
        <v>3700000000000</v>
      </c>
      <c r="M59" s="1305">
        <v>1700000000000</v>
      </c>
      <c r="N59" s="1305">
        <v>4600000000000</v>
      </c>
      <c r="O59" s="1305">
        <v>3500000000000</v>
      </c>
      <c r="P59" s="1305">
        <v>130000000000</v>
      </c>
      <c r="Q59" s="1305">
        <v>78000000000</v>
      </c>
      <c r="R59" s="1305">
        <v>56000000000</v>
      </c>
      <c r="S59" s="1305">
        <v>110000000000</v>
      </c>
      <c r="T59" s="1305">
        <v>68000000000</v>
      </c>
      <c r="U59" s="1305">
        <v>41000000000</v>
      </c>
      <c r="V59" s="1305">
        <v>100000000000</v>
      </c>
      <c r="W59" s="1305">
        <v>38000000000</v>
      </c>
      <c r="X59" s="1305">
        <v>130000000000</v>
      </c>
      <c r="Y59" s="1305">
        <v>98000000000</v>
      </c>
      <c r="Z59" s="1267">
        <v>2.4996299999999999E-2</v>
      </c>
      <c r="AA59" s="1267">
        <v>2.14904E-2</v>
      </c>
      <c r="AB59" s="1267">
        <v>3.2280099999999999E-2</v>
      </c>
      <c r="AC59" s="1267">
        <v>2.2933800000000001E-2</v>
      </c>
      <c r="AD59" s="1267">
        <v>2.30139E-2</v>
      </c>
      <c r="AE59" s="1267">
        <v>2.28042E-2</v>
      </c>
      <c r="AF59" s="1267">
        <v>2.7526700000000001E-2</v>
      </c>
      <c r="AG59" s="1267">
        <v>2.37612E-2</v>
      </c>
      <c r="AH59" s="1267">
        <v>2.9406999999999999E-2</v>
      </c>
      <c r="AI59" s="1267">
        <v>2.8055900000000002E-2</v>
      </c>
      <c r="AJ59" s="1267">
        <f t="shared" si="0"/>
        <v>2.0624999999999984E-3</v>
      </c>
      <c r="AK59" s="1267">
        <f t="shared" si="0"/>
        <v>-1.5235000000000005E-3</v>
      </c>
      <c r="AL59" s="1267">
        <v>1</v>
      </c>
      <c r="AM59" s="1267">
        <v>88003.4</v>
      </c>
      <c r="AN59" s="1267">
        <v>19.704799999999999</v>
      </c>
      <c r="AO59" s="1267">
        <v>29.22</v>
      </c>
    </row>
    <row r="60" spans="3:41">
      <c r="C60" s="1267" t="s">
        <v>697</v>
      </c>
      <c r="D60" s="1267">
        <v>137</v>
      </c>
      <c r="E60" s="1267">
        <v>2016</v>
      </c>
      <c r="F60" s="1305">
        <v>5800000000000</v>
      </c>
      <c r="G60" s="1305">
        <v>4200000000000</v>
      </c>
      <c r="H60" s="1305">
        <v>1600000000000</v>
      </c>
      <c r="I60" s="1305">
        <v>5000000000000</v>
      </c>
      <c r="J60" s="1305">
        <v>3300000000000</v>
      </c>
      <c r="K60" s="1305">
        <v>1700000000000</v>
      </c>
      <c r="L60" s="1305">
        <v>3800000000000</v>
      </c>
      <c r="M60" s="1305">
        <v>1700000000000</v>
      </c>
      <c r="N60" s="1305">
        <v>4900000000000</v>
      </c>
      <c r="O60" s="1305">
        <v>3600000000000</v>
      </c>
      <c r="P60" s="1305">
        <v>120000000000</v>
      </c>
      <c r="Q60" s="1305">
        <v>80000000000</v>
      </c>
      <c r="R60" s="1305">
        <v>41000000000</v>
      </c>
      <c r="S60" s="1305">
        <v>95000000000</v>
      </c>
      <c r="T60" s="1305">
        <v>60000000000</v>
      </c>
      <c r="U60" s="1305">
        <v>35000000000</v>
      </c>
      <c r="V60" s="1305">
        <v>93000000000</v>
      </c>
      <c r="W60" s="1305">
        <v>37000000000</v>
      </c>
      <c r="X60" s="1305">
        <v>130000000000</v>
      </c>
      <c r="Y60" s="1305">
        <v>89000000000</v>
      </c>
      <c r="Z60" s="1267">
        <v>2.04055E-2</v>
      </c>
      <c r="AA60" s="1267">
        <v>1.9067500000000001E-2</v>
      </c>
      <c r="AB60" s="1267">
        <v>2.3643899999999999E-2</v>
      </c>
      <c r="AC60" s="1267">
        <v>1.8249000000000001E-2</v>
      </c>
      <c r="AD60" s="1267">
        <v>1.7515599999999999E-2</v>
      </c>
      <c r="AE60" s="1267">
        <v>1.9638900000000001E-2</v>
      </c>
      <c r="AF60" s="1267">
        <v>2.53285E-2</v>
      </c>
      <c r="AG60" s="1267">
        <v>2.2334799999999998E-2</v>
      </c>
      <c r="AH60" s="1267">
        <v>2.7019100000000001E-2</v>
      </c>
      <c r="AI60" s="1267">
        <v>2.5051400000000001E-2</v>
      </c>
      <c r="AJ60" s="1267">
        <f t="shared" si="0"/>
        <v>2.1564999999999987E-3</v>
      </c>
      <c r="AK60" s="1267">
        <f t="shared" si="0"/>
        <v>1.5519000000000019E-3</v>
      </c>
      <c r="AL60" s="1267">
        <v>1</v>
      </c>
      <c r="AM60" s="1267">
        <v>88429.4</v>
      </c>
      <c r="AN60" s="1267">
        <v>19.704799999999999</v>
      </c>
      <c r="AO60" s="1267">
        <v>29.22</v>
      </c>
    </row>
    <row r="61" spans="3:41">
      <c r="C61" s="1267" t="s">
        <v>694</v>
      </c>
      <c r="D61" s="1267">
        <v>138</v>
      </c>
      <c r="E61" s="1267">
        <v>2014</v>
      </c>
      <c r="F61" s="1305">
        <v>5400000000000</v>
      </c>
      <c r="G61" s="1305">
        <v>3600000000000</v>
      </c>
      <c r="H61" s="1305">
        <v>1700000000000</v>
      </c>
      <c r="I61" s="1305">
        <v>4600000000000</v>
      </c>
      <c r="J61" s="1305">
        <v>3200000000000</v>
      </c>
      <c r="K61" s="1305">
        <v>1400000000000</v>
      </c>
      <c r="L61" s="1305">
        <v>1800000000000</v>
      </c>
      <c r="M61" s="1305">
        <v>870000000000</v>
      </c>
      <c r="N61" s="1305">
        <v>2400000000000</v>
      </c>
      <c r="O61" s="1305">
        <v>630000000000</v>
      </c>
      <c r="P61" s="1305">
        <v>280000000000</v>
      </c>
      <c r="Q61" s="1305">
        <v>220000000000</v>
      </c>
      <c r="R61" s="1305">
        <v>58000000000</v>
      </c>
      <c r="S61" s="1305">
        <v>250000000000</v>
      </c>
      <c r="T61" s="1305">
        <v>210000000000</v>
      </c>
      <c r="U61" s="1305">
        <v>34000000000</v>
      </c>
      <c r="V61" s="1305">
        <v>49000000000</v>
      </c>
      <c r="W61" s="1305">
        <v>18000000000</v>
      </c>
      <c r="X61" s="1305">
        <v>72000000000</v>
      </c>
      <c r="Y61" s="1305">
        <v>21000000000</v>
      </c>
      <c r="Z61" s="1267">
        <v>4.77483E-2</v>
      </c>
      <c r="AA61" s="1267">
        <v>5.6450599999999997E-2</v>
      </c>
      <c r="AB61" s="1267">
        <v>3.01669E-2</v>
      </c>
      <c r="AC61" s="1267">
        <v>5.0413899999999998E-2</v>
      </c>
      <c r="AD61" s="1267">
        <v>6.1697299999999997E-2</v>
      </c>
      <c r="AE61" s="1267">
        <v>2.3658800000000001E-2</v>
      </c>
      <c r="AF61" s="1267">
        <v>2.7249099999999998E-2</v>
      </c>
      <c r="AG61" s="1267">
        <v>2.20856E-2</v>
      </c>
      <c r="AH61" s="1267">
        <v>2.8515599999999999E-2</v>
      </c>
      <c r="AI61" s="1267">
        <v>3.3778500000000003E-2</v>
      </c>
      <c r="AJ61" s="1267">
        <f t="shared" si="0"/>
        <v>-2.6655999999999971E-3</v>
      </c>
      <c r="AK61" s="1267">
        <f t="shared" si="0"/>
        <v>-5.2467E-3</v>
      </c>
      <c r="AL61" s="1267">
        <v>1</v>
      </c>
      <c r="AM61" s="1267">
        <v>44731.6</v>
      </c>
      <c r="AN61" s="1267">
        <v>31.500399999999999</v>
      </c>
      <c r="AO61" s="1267">
        <v>25</v>
      </c>
    </row>
    <row r="62" spans="3:41">
      <c r="C62" s="1267" t="s">
        <v>694</v>
      </c>
      <c r="D62" s="1267">
        <v>138</v>
      </c>
      <c r="E62" s="1267">
        <v>2015</v>
      </c>
      <c r="F62" s="1305">
        <v>5300000000000</v>
      </c>
      <c r="G62" s="1305">
        <v>3600000000000</v>
      </c>
      <c r="H62" s="1305">
        <v>1600000000000</v>
      </c>
      <c r="I62" s="1305">
        <v>4400000000000</v>
      </c>
      <c r="J62" s="1305">
        <v>3000000000000</v>
      </c>
      <c r="K62" s="1305">
        <v>1300000000000</v>
      </c>
      <c r="L62" s="1305">
        <v>1700000000000</v>
      </c>
      <c r="M62" s="1305">
        <v>780000000000</v>
      </c>
      <c r="N62" s="1305">
        <v>2300000000000</v>
      </c>
      <c r="O62" s="1305">
        <v>710000000000</v>
      </c>
      <c r="P62" s="1305">
        <v>220000000000</v>
      </c>
      <c r="Q62" s="1305">
        <v>170000000000</v>
      </c>
      <c r="R62" s="1305">
        <v>51000000000</v>
      </c>
      <c r="S62" s="1305">
        <v>190000000000</v>
      </c>
      <c r="T62" s="1305">
        <v>160000000000</v>
      </c>
      <c r="U62" s="1305">
        <v>30000000000</v>
      </c>
      <c r="V62" s="1305">
        <v>41000000000</v>
      </c>
      <c r="W62" s="1305">
        <v>16000000000</v>
      </c>
      <c r="X62" s="1305">
        <v>65000000000</v>
      </c>
      <c r="Y62" s="1305">
        <v>23000000000</v>
      </c>
      <c r="Z62" s="1267">
        <v>4.1719300000000001E-2</v>
      </c>
      <c r="AA62" s="1267">
        <v>4.7341399999999999E-2</v>
      </c>
      <c r="AB62" s="1267">
        <v>2.9797400000000002E-2</v>
      </c>
      <c r="AC62" s="1267">
        <v>4.1975199999999997E-2</v>
      </c>
      <c r="AD62" s="1267">
        <v>5.0498899999999999E-2</v>
      </c>
      <c r="AE62" s="1267">
        <v>2.1985000000000001E-2</v>
      </c>
      <c r="AF62" s="1267">
        <v>2.23702E-2</v>
      </c>
      <c r="AG62" s="1267">
        <v>1.8291999999999999E-2</v>
      </c>
      <c r="AH62" s="1267">
        <v>2.67254E-2</v>
      </c>
      <c r="AI62" s="1267">
        <v>3.6577499999999999E-2</v>
      </c>
      <c r="AJ62" s="1267">
        <f t="shared" si="0"/>
        <v>-2.5589999999999641E-4</v>
      </c>
      <c r="AK62" s="1267">
        <f t="shared" si="0"/>
        <v>-3.1575000000000006E-3</v>
      </c>
      <c r="AL62" s="1267">
        <v>1</v>
      </c>
      <c r="AM62" s="1267">
        <v>45556.5</v>
      </c>
      <c r="AN62" s="1267">
        <v>31.500399999999999</v>
      </c>
      <c r="AO62" s="1267">
        <v>25</v>
      </c>
    </row>
    <row r="63" spans="3:41">
      <c r="C63" s="1267" t="s">
        <v>694</v>
      </c>
      <c r="D63" s="1267">
        <v>138</v>
      </c>
      <c r="E63" s="1267">
        <v>2016</v>
      </c>
      <c r="F63" s="1305">
        <v>5500000000000</v>
      </c>
      <c r="G63" s="1305">
        <v>3800000000000</v>
      </c>
      <c r="H63" s="1305">
        <v>1600000000000</v>
      </c>
      <c r="I63" s="1305">
        <v>4500000000000</v>
      </c>
      <c r="J63" s="1305">
        <v>3200000000000</v>
      </c>
      <c r="K63" s="1305">
        <v>1300000000000</v>
      </c>
      <c r="L63" s="1305">
        <v>1700000000000</v>
      </c>
      <c r="M63" s="1305">
        <v>840000000000</v>
      </c>
      <c r="N63" s="1305">
        <v>2400000000000</v>
      </c>
      <c r="O63" s="1305">
        <v>810000000000</v>
      </c>
      <c r="P63" s="1305">
        <v>230000000000</v>
      </c>
      <c r="Q63" s="1305">
        <v>180000000000</v>
      </c>
      <c r="R63" s="1305">
        <v>45000000000</v>
      </c>
      <c r="S63" s="1305">
        <v>200000000000</v>
      </c>
      <c r="T63" s="1305">
        <v>180000000000</v>
      </c>
      <c r="U63" s="1305">
        <v>26000000000</v>
      </c>
      <c r="V63" s="1305">
        <v>38000000000</v>
      </c>
      <c r="W63" s="1305">
        <v>14000000000</v>
      </c>
      <c r="X63" s="1305">
        <v>65000000000</v>
      </c>
      <c r="Y63" s="1305">
        <v>28000000000</v>
      </c>
      <c r="Z63" s="1267">
        <v>4.32634E-2</v>
      </c>
      <c r="AA63" s="1267">
        <v>5.0299099999999999E-2</v>
      </c>
      <c r="AB63" s="1267">
        <v>2.76163E-2</v>
      </c>
      <c r="AC63" s="1267">
        <v>4.6209199999999999E-2</v>
      </c>
      <c r="AD63" s="1267">
        <v>5.7866399999999998E-2</v>
      </c>
      <c r="AE63" s="1267">
        <v>1.9745499999999999E-2</v>
      </c>
      <c r="AF63" s="1267">
        <v>2.2515299999999999E-2</v>
      </c>
      <c r="AG63" s="1267">
        <v>1.85682E-2</v>
      </c>
      <c r="AH63" s="1267">
        <v>2.80761E-2</v>
      </c>
      <c r="AI63" s="1267">
        <v>3.89971E-2</v>
      </c>
      <c r="AJ63" s="1267">
        <f t="shared" si="0"/>
        <v>-2.9457999999999984E-3</v>
      </c>
      <c r="AK63" s="1267">
        <f t="shared" si="0"/>
        <v>-7.567299999999999E-3</v>
      </c>
      <c r="AL63" s="1267">
        <v>1</v>
      </c>
      <c r="AM63" s="1267">
        <v>46295.3</v>
      </c>
      <c r="AN63" s="1267">
        <v>31.500399999999999</v>
      </c>
      <c r="AO63" s="1267">
        <v>25</v>
      </c>
    </row>
    <row r="64" spans="3:41">
      <c r="C64" s="1267" t="s">
        <v>1923</v>
      </c>
      <c r="D64" s="1267">
        <v>196</v>
      </c>
      <c r="E64" s="1267">
        <v>2014</v>
      </c>
      <c r="F64" s="1305">
        <v>27000000000</v>
      </c>
      <c r="G64" s="1305">
        <v>14000000000</v>
      </c>
      <c r="H64" s="1305">
        <v>13000000000</v>
      </c>
      <c r="I64" s="1305">
        <v>86000000000</v>
      </c>
      <c r="J64" s="1305">
        <v>49000000000</v>
      </c>
      <c r="K64" s="1305">
        <v>36000000000</v>
      </c>
      <c r="L64" s="1305">
        <v>77000000000</v>
      </c>
      <c r="M64" s="1305">
        <v>47000000000</v>
      </c>
      <c r="N64" s="1305">
        <v>110000000000</v>
      </c>
      <c r="O64" s="1305">
        <v>22000000000</v>
      </c>
      <c r="P64" s="1305">
        <v>930000000</v>
      </c>
      <c r="Q64" s="1305">
        <v>690000000</v>
      </c>
      <c r="R64" s="1305">
        <v>250000000</v>
      </c>
      <c r="S64" s="1305">
        <v>7600000000</v>
      </c>
      <c r="T64" s="1305">
        <v>6600000000</v>
      </c>
      <c r="U64" s="1305">
        <v>980000000</v>
      </c>
      <c r="V64" s="1305">
        <v>1900000000</v>
      </c>
      <c r="W64" s="1305">
        <v>1100000000</v>
      </c>
      <c r="X64" s="1305">
        <v>3300000000</v>
      </c>
      <c r="Y64" s="1305">
        <v>1000000000</v>
      </c>
      <c r="Z64" s="1267">
        <v>3.44205E-2</v>
      </c>
      <c r="AA64" s="1267">
        <v>4.7433099999999999E-2</v>
      </c>
      <c r="AB64" s="1267">
        <v>1.9599399999999999E-2</v>
      </c>
      <c r="AC64" s="1267">
        <v>8.9988700000000005E-2</v>
      </c>
      <c r="AD64" s="1267">
        <v>0.14234140000000001</v>
      </c>
      <c r="AE64" s="1267">
        <v>2.5894E-2</v>
      </c>
      <c r="AF64" s="1267">
        <v>2.9046700000000002E-2</v>
      </c>
      <c r="AG64" s="1267">
        <v>2.5508800000000002E-2</v>
      </c>
      <c r="AH64" s="1267">
        <v>3.3984199999999999E-2</v>
      </c>
      <c r="AI64" s="1267">
        <v>6.04185E-2</v>
      </c>
      <c r="AJ64" s="1267">
        <f t="shared" si="0"/>
        <v>-5.5568200000000005E-2</v>
      </c>
      <c r="AK64" s="1267">
        <f t="shared" si="0"/>
        <v>-9.4908300000000001E-2</v>
      </c>
      <c r="AL64" s="1267">
        <v>0</v>
      </c>
      <c r="AM64" s="1267">
        <v>33159.699999999997</v>
      </c>
      <c r="AN64" s="1267">
        <v>17.5657</v>
      </c>
      <c r="AO64" s="1267">
        <v>28</v>
      </c>
    </row>
    <row r="65" spans="3:41">
      <c r="C65" s="1267" t="s">
        <v>1923</v>
      </c>
      <c r="D65" s="1267">
        <v>196</v>
      </c>
      <c r="E65" s="1267">
        <v>2015</v>
      </c>
      <c r="F65" s="1305">
        <v>25000000000</v>
      </c>
      <c r="G65" s="1305">
        <v>14000000000</v>
      </c>
      <c r="H65" s="1305">
        <v>11000000000</v>
      </c>
      <c r="I65" s="1305">
        <v>74000000000</v>
      </c>
      <c r="J65" s="1305">
        <v>45000000000</v>
      </c>
      <c r="K65" s="1305">
        <v>29000000000</v>
      </c>
      <c r="L65" s="1305">
        <v>74000000000</v>
      </c>
      <c r="M65" s="1305">
        <v>46000000000</v>
      </c>
      <c r="N65" s="1305">
        <v>120000000000</v>
      </c>
      <c r="O65" s="1305">
        <v>23000000000</v>
      </c>
      <c r="P65" s="1305">
        <v>720000000</v>
      </c>
      <c r="Q65" s="1305">
        <v>500000000</v>
      </c>
      <c r="R65" s="1305">
        <v>220000000</v>
      </c>
      <c r="S65" s="1305">
        <v>6100000000</v>
      </c>
      <c r="T65" s="1305">
        <v>5300000000</v>
      </c>
      <c r="U65" s="1305">
        <v>850000000</v>
      </c>
      <c r="V65" s="1305">
        <v>2100000000</v>
      </c>
      <c r="W65" s="1305">
        <v>1300000000</v>
      </c>
      <c r="X65" s="1305">
        <v>3000000000</v>
      </c>
      <c r="Y65" s="1305">
        <v>1000000000</v>
      </c>
      <c r="Z65" s="1267">
        <v>2.6901499999999998E-2</v>
      </c>
      <c r="AA65" s="1267">
        <v>3.5520799999999998E-2</v>
      </c>
      <c r="AB65" s="1267">
        <v>1.7374299999999999E-2</v>
      </c>
      <c r="AC65" s="1267">
        <v>7.1564500000000003E-2</v>
      </c>
      <c r="AD65" s="1267">
        <v>0.10654569999999999</v>
      </c>
      <c r="AE65" s="1267">
        <v>2.3626500000000002E-2</v>
      </c>
      <c r="AF65" s="1267">
        <v>2.7204699999999998E-2</v>
      </c>
      <c r="AG65" s="1267">
        <v>2.84237E-2</v>
      </c>
      <c r="AH65" s="1267">
        <v>2.6663699999999999E-2</v>
      </c>
      <c r="AI65" s="1267">
        <v>4.7214600000000002E-2</v>
      </c>
      <c r="AJ65" s="1267">
        <f t="shared" si="0"/>
        <v>-4.4663000000000008E-2</v>
      </c>
      <c r="AK65" s="1267">
        <f t="shared" si="0"/>
        <v>-7.1024900000000002E-2</v>
      </c>
      <c r="AL65" s="1267">
        <v>0</v>
      </c>
      <c r="AM65" s="1267">
        <v>33602.699999999997</v>
      </c>
      <c r="AN65" s="1267">
        <v>17.5657</v>
      </c>
      <c r="AO65" s="1267">
        <v>28</v>
      </c>
    </row>
    <row r="66" spans="3:41">
      <c r="C66" s="1267" t="s">
        <v>1923</v>
      </c>
      <c r="D66" s="1267">
        <v>196</v>
      </c>
      <c r="E66" s="1267">
        <v>2016</v>
      </c>
      <c r="F66" s="1305">
        <v>24000000000</v>
      </c>
      <c r="G66" s="1305">
        <v>14000000000</v>
      </c>
      <c r="H66" s="1305">
        <v>9900000000</v>
      </c>
      <c r="I66" s="1305">
        <v>77000000000</v>
      </c>
      <c r="J66" s="1305">
        <v>48000000000</v>
      </c>
      <c r="K66" s="1305">
        <v>29000000000</v>
      </c>
      <c r="L66" s="1305">
        <v>85000000000</v>
      </c>
      <c r="M66" s="1305">
        <v>53000000000</v>
      </c>
      <c r="N66" s="1305">
        <v>130000000000</v>
      </c>
      <c r="O66" s="1305">
        <v>27000000000</v>
      </c>
      <c r="P66" s="1305">
        <v>920000000</v>
      </c>
      <c r="Q66" s="1305">
        <v>760000000</v>
      </c>
      <c r="R66" s="1305">
        <v>160000000</v>
      </c>
      <c r="S66" s="1305">
        <v>5600000000</v>
      </c>
      <c r="T66" s="1305">
        <v>4900000000</v>
      </c>
      <c r="U66" s="1305">
        <v>710000000</v>
      </c>
      <c r="V66" s="1305">
        <v>2200000000</v>
      </c>
      <c r="W66" s="1305">
        <v>1400000000</v>
      </c>
      <c r="X66" s="1305">
        <v>3100000000</v>
      </c>
      <c r="Y66" s="1305">
        <v>1300000000</v>
      </c>
      <c r="Z66" s="1267">
        <v>3.7367699999999997E-2</v>
      </c>
      <c r="AA66" s="1267">
        <v>5.6329700000000003E-2</v>
      </c>
      <c r="AB66" s="1267">
        <v>1.4459400000000001E-2</v>
      </c>
      <c r="AC66" s="1267">
        <v>7.5856900000000005E-2</v>
      </c>
      <c r="AD66" s="1267">
        <v>0.1095436</v>
      </c>
      <c r="AE66" s="1267">
        <v>2.4240500000000002E-2</v>
      </c>
      <c r="AF66" s="1267">
        <v>2.97089E-2</v>
      </c>
      <c r="AG66" s="1267">
        <v>2.94782E-2</v>
      </c>
      <c r="AH66" s="1267">
        <v>2.6120600000000001E-2</v>
      </c>
      <c r="AI66" s="1267">
        <v>5.5560499999999999E-2</v>
      </c>
      <c r="AJ66" s="1267">
        <f t="shared" si="0"/>
        <v>-3.8489200000000008E-2</v>
      </c>
      <c r="AK66" s="1267">
        <f t="shared" si="0"/>
        <v>-5.3213900000000001E-2</v>
      </c>
      <c r="AL66" s="1267">
        <v>0</v>
      </c>
      <c r="AM66" s="1267">
        <v>33917.300000000003</v>
      </c>
      <c r="AN66" s="1267">
        <v>17.5657</v>
      </c>
      <c r="AO66" s="1267">
        <v>28</v>
      </c>
    </row>
    <row r="67" spans="3:41">
      <c r="C67" s="1267" t="s">
        <v>1897</v>
      </c>
      <c r="D67" s="1267">
        <v>142</v>
      </c>
      <c r="E67" s="1267">
        <v>2014</v>
      </c>
      <c r="F67" s="1305">
        <v>230000000000</v>
      </c>
      <c r="G67" s="1305">
        <v>160000000000</v>
      </c>
      <c r="H67" s="1305">
        <v>67000000000</v>
      </c>
      <c r="I67" s="1305">
        <v>230000000000</v>
      </c>
      <c r="J67" s="1305">
        <v>110000000000</v>
      </c>
      <c r="K67" s="1305">
        <v>120000000000</v>
      </c>
      <c r="L67" s="1305">
        <v>1100000000000</v>
      </c>
      <c r="M67" s="1305">
        <v>620000000000</v>
      </c>
      <c r="N67" s="1305">
        <v>380000000000</v>
      </c>
      <c r="O67" s="1305">
        <v>86000000000</v>
      </c>
      <c r="P67" s="1305">
        <v>15000000000</v>
      </c>
      <c r="Q67" s="1305">
        <v>13000000000</v>
      </c>
      <c r="R67" s="1305">
        <v>1900000000</v>
      </c>
      <c r="S67" s="1305">
        <v>10000000000</v>
      </c>
      <c r="T67" s="1305">
        <v>5200000000</v>
      </c>
      <c r="U67" s="1305">
        <v>4900000000</v>
      </c>
      <c r="V67" s="1305">
        <v>16000000000</v>
      </c>
      <c r="W67" s="1305">
        <v>16000000000</v>
      </c>
      <c r="X67" s="1305">
        <v>4100000000</v>
      </c>
      <c r="Y67" s="1305">
        <v>4100000000</v>
      </c>
      <c r="Z67" s="1267">
        <v>5.74888E-2</v>
      </c>
      <c r="AA67" s="1267">
        <v>6.7339899999999994E-2</v>
      </c>
      <c r="AB67" s="1267">
        <v>2.8637300000000001E-2</v>
      </c>
      <c r="AC67" s="1267">
        <v>3.9010400000000001E-2</v>
      </c>
      <c r="AD67" s="1267">
        <v>4.2770000000000002E-2</v>
      </c>
      <c r="AE67" s="1267">
        <v>3.5673499999999997E-2</v>
      </c>
      <c r="AF67" s="1267">
        <v>1.5447000000000001E-2</v>
      </c>
      <c r="AG67" s="1267">
        <v>2.6734000000000001E-2</v>
      </c>
      <c r="AH67" s="1267">
        <v>1.01324E-2</v>
      </c>
      <c r="AI67" s="1267">
        <v>4.0563399999999999E-2</v>
      </c>
      <c r="AJ67" s="1267">
        <f t="shared" si="0"/>
        <v>1.8478399999999999E-2</v>
      </c>
      <c r="AK67" s="1267">
        <f t="shared" si="0"/>
        <v>2.4569899999999992E-2</v>
      </c>
      <c r="AL67" s="1267">
        <v>0</v>
      </c>
      <c r="AM67" s="1267">
        <v>59075.9</v>
      </c>
      <c r="AN67" s="1267">
        <v>57.706499999999998</v>
      </c>
      <c r="AO67" s="1267">
        <v>27</v>
      </c>
    </row>
    <row r="68" spans="3:41">
      <c r="C68" s="1267" t="s">
        <v>1897</v>
      </c>
      <c r="D68" s="1267">
        <v>142</v>
      </c>
      <c r="E68" s="1267">
        <v>2015</v>
      </c>
      <c r="F68" s="1305">
        <v>210000000000</v>
      </c>
      <c r="G68" s="1305">
        <v>160000000000</v>
      </c>
      <c r="H68" s="1305">
        <v>54000000000</v>
      </c>
      <c r="I68" s="1305">
        <v>200000000000</v>
      </c>
      <c r="J68" s="1305">
        <v>100000000000</v>
      </c>
      <c r="K68" s="1305">
        <v>100000000000</v>
      </c>
      <c r="L68" s="1305">
        <v>1000000000000</v>
      </c>
      <c r="M68" s="1305">
        <v>600000000000</v>
      </c>
      <c r="N68" s="1305">
        <v>340000000000</v>
      </c>
      <c r="O68" s="1305">
        <v>77000000000</v>
      </c>
      <c r="P68" s="1305">
        <v>11000000000</v>
      </c>
      <c r="Q68" s="1305">
        <v>9200000000</v>
      </c>
      <c r="R68" s="1305">
        <v>1900000000</v>
      </c>
      <c r="S68" s="1305">
        <v>9100000000</v>
      </c>
      <c r="T68" s="1305">
        <v>5500000000</v>
      </c>
      <c r="U68" s="1305">
        <v>3600000000</v>
      </c>
      <c r="V68" s="1305">
        <v>15000000000</v>
      </c>
      <c r="W68" s="1305">
        <v>15000000000</v>
      </c>
      <c r="X68" s="1305">
        <v>3000000000</v>
      </c>
      <c r="Y68" s="1305">
        <v>3000000000</v>
      </c>
      <c r="Z68" s="1267">
        <v>4.8347800000000003E-2</v>
      </c>
      <c r="AA68" s="1267">
        <v>5.6532699999999998E-2</v>
      </c>
      <c r="AB68" s="1267">
        <v>2.8258100000000001E-2</v>
      </c>
      <c r="AC68" s="1267">
        <v>3.9853800000000002E-2</v>
      </c>
      <c r="AD68" s="1267">
        <v>5.1191100000000003E-2</v>
      </c>
      <c r="AE68" s="1267">
        <v>2.99203E-2</v>
      </c>
      <c r="AF68" s="1267">
        <v>1.4402099999999999E-2</v>
      </c>
      <c r="AG68" s="1267">
        <v>2.47297E-2</v>
      </c>
      <c r="AH68" s="1267">
        <v>8.0234E-3</v>
      </c>
      <c r="AI68" s="1267">
        <v>3.5144300000000003E-2</v>
      </c>
      <c r="AJ68" s="1267">
        <f t="shared" si="0"/>
        <v>8.4940000000000015E-3</v>
      </c>
      <c r="AK68" s="1267">
        <f t="shared" si="0"/>
        <v>5.341599999999995E-3</v>
      </c>
      <c r="AL68" s="1267">
        <v>0</v>
      </c>
      <c r="AM68" s="1267">
        <v>59613.1</v>
      </c>
      <c r="AN68" s="1267">
        <v>57.706499999999998</v>
      </c>
      <c r="AO68" s="1267">
        <v>27</v>
      </c>
    </row>
    <row r="69" spans="3:41">
      <c r="C69" s="1267" t="s">
        <v>1897</v>
      </c>
      <c r="D69" s="1267">
        <v>142</v>
      </c>
      <c r="E69" s="1267">
        <v>2016</v>
      </c>
      <c r="F69" s="1305">
        <v>220000000000</v>
      </c>
      <c r="G69" s="1305">
        <v>150000000000</v>
      </c>
      <c r="H69" s="1305">
        <v>66000000000</v>
      </c>
      <c r="I69" s="1305">
        <v>190000000000</v>
      </c>
      <c r="J69" s="1305">
        <v>99000000000</v>
      </c>
      <c r="K69" s="1305">
        <v>89000000000</v>
      </c>
      <c r="L69" s="1305">
        <v>1100000000000</v>
      </c>
      <c r="M69" s="1305">
        <v>640000000000</v>
      </c>
      <c r="N69" s="1305">
        <v>350000000000</v>
      </c>
      <c r="O69" s="1305">
        <v>87000000000</v>
      </c>
      <c r="P69" s="1305">
        <v>11000000000</v>
      </c>
      <c r="Q69" s="1305">
        <v>8900000000</v>
      </c>
      <c r="R69" s="1305">
        <v>2000000000</v>
      </c>
      <c r="S69" s="1305">
        <v>8300000000</v>
      </c>
      <c r="T69" s="1305">
        <v>4400000000</v>
      </c>
      <c r="U69" s="1305">
        <v>4000000000</v>
      </c>
      <c r="V69" s="1305">
        <v>16000000000</v>
      </c>
      <c r="W69" s="1305">
        <v>16000000000</v>
      </c>
      <c r="X69" s="1305">
        <v>3100000000</v>
      </c>
      <c r="Y69" s="1305">
        <v>3100000000</v>
      </c>
      <c r="Z69" s="1267">
        <v>5.12998E-2</v>
      </c>
      <c r="AA69" s="1267">
        <v>5.6104399999999999E-2</v>
      </c>
      <c r="AB69" s="1267">
        <v>3.7249499999999998E-2</v>
      </c>
      <c r="AC69" s="1267">
        <v>4.09932E-2</v>
      </c>
      <c r="AD69" s="1267">
        <v>4.2542999999999997E-2</v>
      </c>
      <c r="AE69" s="1267">
        <v>3.9418399999999999E-2</v>
      </c>
      <c r="AF69" s="1267">
        <v>1.5378599999999999E-2</v>
      </c>
      <c r="AG69" s="1267">
        <v>2.6226800000000002E-2</v>
      </c>
      <c r="AH69" s="1267">
        <v>9.0784999999999998E-3</v>
      </c>
      <c r="AI69" s="1267">
        <v>4.0083500000000001E-2</v>
      </c>
      <c r="AJ69" s="1267">
        <f t="shared" si="0"/>
        <v>1.0306599999999999E-2</v>
      </c>
      <c r="AK69" s="1267">
        <f t="shared" si="0"/>
        <v>1.3561400000000001E-2</v>
      </c>
      <c r="AL69" s="1267">
        <v>0</v>
      </c>
      <c r="AM69" s="1267">
        <v>59745.8</v>
      </c>
      <c r="AN69" s="1267">
        <v>55.706499999999998</v>
      </c>
      <c r="AO69" s="1267">
        <v>25</v>
      </c>
    </row>
    <row r="70" spans="3:41">
      <c r="C70" s="1267" t="s">
        <v>1919</v>
      </c>
      <c r="D70" s="1267">
        <v>964</v>
      </c>
      <c r="E70" s="1267">
        <v>2014</v>
      </c>
      <c r="F70" s="1305">
        <v>66000000000</v>
      </c>
      <c r="G70" s="1305">
        <v>31000000000</v>
      </c>
      <c r="H70" s="1305">
        <v>35000000000</v>
      </c>
      <c r="I70" s="1305">
        <v>250000000000</v>
      </c>
      <c r="J70" s="1305">
        <v>170000000000</v>
      </c>
      <c r="K70" s="1305">
        <v>87000000000</v>
      </c>
      <c r="L70" s="1305">
        <v>20000000000</v>
      </c>
      <c r="M70" s="1305">
        <v>12000000000</v>
      </c>
      <c r="N70" s="1305">
        <v>160000000000</v>
      </c>
      <c r="O70" s="1305">
        <v>38000000000</v>
      </c>
      <c r="P70" s="1305">
        <v>2300000000</v>
      </c>
      <c r="Q70" s="1305">
        <v>1600000000</v>
      </c>
      <c r="R70" s="1305">
        <v>630000000</v>
      </c>
      <c r="S70" s="1305">
        <v>22000000000</v>
      </c>
      <c r="T70" s="1305">
        <v>19000000000</v>
      </c>
      <c r="U70" s="1305">
        <v>3300000000</v>
      </c>
      <c r="V70" s="1305">
        <v>490000000</v>
      </c>
      <c r="W70" s="1305">
        <v>210000000</v>
      </c>
      <c r="X70" s="1305">
        <v>6700000000</v>
      </c>
      <c r="Y70" s="1305">
        <v>1400000000</v>
      </c>
      <c r="Z70" s="1267">
        <v>3.17541E-2</v>
      </c>
      <c r="AA70" s="1267">
        <v>4.9099999999999998E-2</v>
      </c>
      <c r="AB70" s="1267">
        <v>1.6586400000000001E-2</v>
      </c>
      <c r="AC70" s="1267">
        <v>8.2105200000000003E-2</v>
      </c>
      <c r="AD70" s="1267">
        <v>0.1045476</v>
      </c>
      <c r="AE70" s="1267">
        <v>3.7036600000000003E-2</v>
      </c>
      <c r="AF70" s="1267">
        <v>3.0212599999999999E-2</v>
      </c>
      <c r="AG70" s="1267">
        <v>1.8611800000000001E-2</v>
      </c>
      <c r="AH70" s="1267">
        <v>3.7855899999999998E-2</v>
      </c>
      <c r="AI70" s="1267">
        <v>3.3240100000000002E-2</v>
      </c>
      <c r="AJ70" s="1267">
        <f t="shared" si="0"/>
        <v>-5.0351100000000003E-2</v>
      </c>
      <c r="AK70" s="1267">
        <f t="shared" si="0"/>
        <v>-5.5447600000000007E-2</v>
      </c>
      <c r="AL70" s="1267">
        <v>1</v>
      </c>
      <c r="AM70" s="1267">
        <v>23295.4</v>
      </c>
      <c r="AN70" s="1267">
        <v>17.535</v>
      </c>
      <c r="AO70" s="1267">
        <v>19</v>
      </c>
    </row>
    <row r="71" spans="3:41">
      <c r="C71" s="1267" t="s">
        <v>1919</v>
      </c>
      <c r="D71" s="1267">
        <v>964</v>
      </c>
      <c r="E71" s="1267">
        <v>2015</v>
      </c>
      <c r="F71" s="1305">
        <v>62000000000</v>
      </c>
      <c r="G71" s="1305">
        <v>29000000000</v>
      </c>
      <c r="H71" s="1305">
        <v>33000000000</v>
      </c>
      <c r="I71" s="1305">
        <v>220000000000</v>
      </c>
      <c r="J71" s="1305">
        <v>140000000000</v>
      </c>
      <c r="K71" s="1305">
        <v>81000000000</v>
      </c>
      <c r="L71" s="1305">
        <v>31000000000</v>
      </c>
      <c r="M71" s="1305">
        <v>23000000000</v>
      </c>
      <c r="N71" s="1305">
        <v>150000000000</v>
      </c>
      <c r="O71" s="1305">
        <v>37000000000</v>
      </c>
      <c r="P71" s="1305">
        <v>1400000000</v>
      </c>
      <c r="Q71" s="1305">
        <v>870000000</v>
      </c>
      <c r="R71" s="1305">
        <v>570000000</v>
      </c>
      <c r="S71" s="1305">
        <v>19000000000</v>
      </c>
      <c r="T71" s="1305">
        <v>16000000000</v>
      </c>
      <c r="U71" s="1305">
        <v>2700000000</v>
      </c>
      <c r="V71" s="1305">
        <v>510000000</v>
      </c>
      <c r="W71" s="1305">
        <v>230000000</v>
      </c>
      <c r="X71" s="1305">
        <v>5300000000</v>
      </c>
      <c r="Y71" s="1305">
        <v>1100000000</v>
      </c>
      <c r="Z71" s="1267">
        <v>2.1874299999999999E-2</v>
      </c>
      <c r="AA71" s="1267">
        <v>2.8073899999999999E-2</v>
      </c>
      <c r="AB71" s="1267">
        <v>1.6386399999999999E-2</v>
      </c>
      <c r="AC71" s="1267">
        <v>7.4135999999999994E-2</v>
      </c>
      <c r="AD71" s="1267">
        <v>9.6630999999999995E-2</v>
      </c>
      <c r="AE71" s="1267">
        <v>3.1040600000000002E-2</v>
      </c>
      <c r="AF71" s="1267">
        <v>2.5136200000000001E-2</v>
      </c>
      <c r="AG71" s="1267">
        <v>1.85915E-2</v>
      </c>
      <c r="AH71" s="1267">
        <v>3.2647200000000001E-2</v>
      </c>
      <c r="AI71" s="1267">
        <v>2.7375500000000001E-2</v>
      </c>
      <c r="AJ71" s="1267">
        <f t="shared" si="0"/>
        <v>-5.2261699999999994E-2</v>
      </c>
      <c r="AK71" s="1267">
        <f t="shared" si="0"/>
        <v>-6.8557099999999996E-2</v>
      </c>
      <c r="AL71" s="1267">
        <v>1</v>
      </c>
      <c r="AM71" s="1267">
        <v>24209.200000000001</v>
      </c>
      <c r="AN71" s="1267">
        <v>17.535</v>
      </c>
      <c r="AO71" s="1267">
        <v>19</v>
      </c>
    </row>
    <row r="72" spans="3:41">
      <c r="C72" s="1267" t="s">
        <v>1919</v>
      </c>
      <c r="D72" s="1267">
        <v>964</v>
      </c>
      <c r="E72" s="1267">
        <v>2016</v>
      </c>
      <c r="F72" s="1305">
        <v>65000000000</v>
      </c>
      <c r="G72" s="1305">
        <v>31000000000</v>
      </c>
      <c r="H72" s="1305">
        <v>35000000000</v>
      </c>
      <c r="I72" s="1305">
        <v>220000000000</v>
      </c>
      <c r="J72" s="1305">
        <v>140000000000</v>
      </c>
      <c r="K72" s="1305">
        <v>83000000000</v>
      </c>
      <c r="L72" s="1305">
        <v>25000000000</v>
      </c>
      <c r="M72" s="1305">
        <v>17000000000</v>
      </c>
      <c r="N72" s="1305">
        <v>140000000000</v>
      </c>
      <c r="O72" s="1305">
        <v>35000000000</v>
      </c>
      <c r="P72" s="1305">
        <v>1900000000</v>
      </c>
      <c r="Q72" s="1305">
        <v>1300000000</v>
      </c>
      <c r="R72" s="1305">
        <v>580000000</v>
      </c>
      <c r="S72" s="1305">
        <v>21000000000</v>
      </c>
      <c r="T72" s="1305">
        <v>18000000000</v>
      </c>
      <c r="U72" s="1305">
        <v>2700000000</v>
      </c>
      <c r="V72" s="1305">
        <v>530000000</v>
      </c>
      <c r="W72" s="1305">
        <v>270000000</v>
      </c>
      <c r="X72" s="1305">
        <v>4500000000</v>
      </c>
      <c r="Y72" s="1305">
        <v>760000000</v>
      </c>
      <c r="Z72" s="1267">
        <v>3.1038799999999998E-2</v>
      </c>
      <c r="AA72" s="1267">
        <v>4.6077600000000003E-2</v>
      </c>
      <c r="AB72" s="1267">
        <v>1.76633E-2</v>
      </c>
      <c r="AC72" s="1267">
        <v>9.3684699999999996E-2</v>
      </c>
      <c r="AD72" s="1267">
        <v>0.1282693</v>
      </c>
      <c r="AE72" s="1267">
        <v>3.34466E-2</v>
      </c>
      <c r="AF72" s="1267">
        <v>1.7097899999999999E-2</v>
      </c>
      <c r="AG72" s="1267">
        <v>1.1607599999999999E-2</v>
      </c>
      <c r="AH72" s="1267">
        <v>2.9615200000000001E-2</v>
      </c>
      <c r="AI72" s="1267">
        <v>2.0464799999999998E-2</v>
      </c>
      <c r="AJ72" s="1267">
        <f t="shared" ref="AJ72:AK96" si="1">Z72-AC72</f>
        <v>-6.2645900000000004E-2</v>
      </c>
      <c r="AK72" s="1267">
        <f t="shared" si="1"/>
        <v>-8.2191700000000006E-2</v>
      </c>
      <c r="AL72" s="1267">
        <v>1</v>
      </c>
      <c r="AM72" s="1267">
        <v>24920.799999999999</v>
      </c>
      <c r="AN72" s="1267">
        <v>17.535</v>
      </c>
      <c r="AO72" s="1267">
        <v>19</v>
      </c>
    </row>
    <row r="73" spans="3:41">
      <c r="C73" s="1267" t="s">
        <v>1918</v>
      </c>
      <c r="D73" s="1267">
        <v>182</v>
      </c>
      <c r="E73" s="1267">
        <v>2014</v>
      </c>
      <c r="F73" s="1305">
        <v>90000000000</v>
      </c>
      <c r="G73" s="1305">
        <v>65000000000</v>
      </c>
      <c r="H73" s="1305">
        <v>25000000000</v>
      </c>
      <c r="I73" s="1305">
        <v>160000000000</v>
      </c>
      <c r="J73" s="1305">
        <v>110000000000</v>
      </c>
      <c r="K73" s="1305">
        <v>45000000000</v>
      </c>
      <c r="L73" s="1305">
        <v>140000000000</v>
      </c>
      <c r="M73" s="1305">
        <v>36000000000</v>
      </c>
      <c r="N73" s="1305">
        <v>170000000000</v>
      </c>
      <c r="O73" s="1305">
        <v>37000000000</v>
      </c>
      <c r="P73" s="1305">
        <v>2100000000</v>
      </c>
      <c r="Q73" s="1305">
        <v>1700000000</v>
      </c>
      <c r="R73" s="1305">
        <v>420000000</v>
      </c>
      <c r="S73" s="1305">
        <v>4500000000</v>
      </c>
      <c r="T73" s="1305">
        <v>3600000000</v>
      </c>
      <c r="U73" s="1305">
        <v>910000000</v>
      </c>
      <c r="V73" s="1305">
        <v>5400000000</v>
      </c>
      <c r="W73" s="1305">
        <v>1100000000</v>
      </c>
      <c r="X73" s="1305">
        <v>6500000000</v>
      </c>
      <c r="Y73" s="1305">
        <v>1200000000</v>
      </c>
      <c r="Z73" s="1267">
        <v>2.0975000000000001E-2</v>
      </c>
      <c r="AA73" s="1267">
        <v>2.2245999999999998E-2</v>
      </c>
      <c r="AB73" s="1267">
        <v>1.7130599999999999E-2</v>
      </c>
      <c r="AC73" s="1267">
        <v>2.7553600000000001E-2</v>
      </c>
      <c r="AD73" s="1267">
        <v>3.1028699999999999E-2</v>
      </c>
      <c r="AE73" s="1267">
        <v>1.9080099999999999E-2</v>
      </c>
      <c r="AF73" s="1267">
        <v>3.55556E-2</v>
      </c>
      <c r="AG73" s="1267">
        <v>3.0169600000000001E-2</v>
      </c>
      <c r="AH73" s="1267">
        <v>3.7050399999999997E-2</v>
      </c>
      <c r="AI73" s="1267">
        <v>2.3789600000000001E-2</v>
      </c>
      <c r="AJ73" s="1267">
        <f t="shared" si="1"/>
        <v>-6.5786000000000004E-3</v>
      </c>
      <c r="AK73" s="1267">
        <f t="shared" si="1"/>
        <v>-8.7827000000000009E-3</v>
      </c>
      <c r="AL73" s="1267">
        <v>1</v>
      </c>
      <c r="AM73" s="1267">
        <v>26140.7</v>
      </c>
      <c r="AO73" s="1267">
        <v>31.5</v>
      </c>
    </row>
    <row r="74" spans="3:41">
      <c r="C74" s="1267" t="s">
        <v>1918</v>
      </c>
      <c r="D74" s="1267">
        <v>182</v>
      </c>
      <c r="E74" s="1267">
        <v>2015</v>
      </c>
      <c r="F74" s="1305">
        <v>83000000000</v>
      </c>
      <c r="G74" s="1305">
        <v>61000000000</v>
      </c>
      <c r="H74" s="1305">
        <v>22000000000</v>
      </c>
      <c r="I74" s="1305">
        <v>140000000000</v>
      </c>
      <c r="J74" s="1305">
        <v>100000000000</v>
      </c>
      <c r="K74" s="1305">
        <v>39000000000</v>
      </c>
      <c r="L74" s="1305">
        <v>130000000000</v>
      </c>
      <c r="M74" s="1305">
        <v>36000000000</v>
      </c>
      <c r="N74" s="1305">
        <v>150000000000</v>
      </c>
      <c r="O74" s="1305">
        <v>34000000000</v>
      </c>
      <c r="P74" s="1305">
        <v>2300000000</v>
      </c>
      <c r="Q74" s="1305">
        <v>2100000000</v>
      </c>
      <c r="R74" s="1305">
        <v>210000000</v>
      </c>
      <c r="S74" s="1305">
        <v>5200000000</v>
      </c>
      <c r="T74" s="1305">
        <v>4100000000</v>
      </c>
      <c r="U74" s="1305">
        <v>1100000000</v>
      </c>
      <c r="V74" s="1305">
        <v>3800000000</v>
      </c>
      <c r="W74" s="1305">
        <v>600000000</v>
      </c>
      <c r="X74" s="1305">
        <v>5300000000</v>
      </c>
      <c r="Y74" s="1305">
        <v>1100000000</v>
      </c>
      <c r="Z74" s="1267">
        <v>2.5587700000000001E-2</v>
      </c>
      <c r="AA74" s="1267">
        <v>3.20849E-2</v>
      </c>
      <c r="AB74" s="1267">
        <v>8.5758999999999991E-3</v>
      </c>
      <c r="AC74" s="1267">
        <v>3.36703E-2</v>
      </c>
      <c r="AD74" s="1267">
        <v>3.7518500000000003E-2</v>
      </c>
      <c r="AE74" s="1267">
        <v>2.4276499999999999E-2</v>
      </c>
      <c r="AF74" s="1267">
        <v>2.6193600000000001E-2</v>
      </c>
      <c r="AG74" s="1267">
        <v>1.67495E-2</v>
      </c>
      <c r="AH74" s="1267">
        <v>3.1861E-2</v>
      </c>
      <c r="AI74" s="1267">
        <v>2.9173000000000001E-2</v>
      </c>
      <c r="AJ74" s="1267">
        <f t="shared" si="1"/>
        <v>-8.0825999999999988E-3</v>
      </c>
      <c r="AK74" s="1267">
        <f t="shared" si="1"/>
        <v>-5.4336000000000037E-3</v>
      </c>
      <c r="AL74" s="1267">
        <v>1</v>
      </c>
      <c r="AM74" s="1267">
        <v>26727.5</v>
      </c>
      <c r="AO74" s="1267">
        <v>29.5</v>
      </c>
    </row>
    <row r="75" spans="3:41">
      <c r="C75" s="1267" t="s">
        <v>1918</v>
      </c>
      <c r="D75" s="1267">
        <v>182</v>
      </c>
      <c r="E75" s="1267">
        <v>2016</v>
      </c>
      <c r="F75" s="1305">
        <v>87000000000</v>
      </c>
      <c r="G75" s="1305">
        <v>62000000000</v>
      </c>
      <c r="H75" s="1305">
        <v>26000000000</v>
      </c>
      <c r="I75" s="1305">
        <v>150000000000</v>
      </c>
      <c r="J75" s="1305">
        <v>100000000000</v>
      </c>
      <c r="K75" s="1305">
        <v>44000000000</v>
      </c>
      <c r="L75" s="1305">
        <v>130000000000</v>
      </c>
      <c r="M75" s="1305">
        <v>35000000000</v>
      </c>
      <c r="N75" s="1305">
        <v>130000000000</v>
      </c>
      <c r="O75" s="1305">
        <v>31000000000</v>
      </c>
      <c r="P75" s="1305">
        <v>2600000000</v>
      </c>
      <c r="Q75" s="1305">
        <v>2400000000</v>
      </c>
      <c r="R75" s="1305">
        <v>200000000</v>
      </c>
      <c r="S75" s="1305">
        <v>5800000000</v>
      </c>
      <c r="T75" s="1305">
        <v>4600000000</v>
      </c>
      <c r="U75" s="1305">
        <v>1200000000</v>
      </c>
      <c r="V75" s="1305">
        <v>3200000000</v>
      </c>
      <c r="W75" s="1305">
        <v>710000000</v>
      </c>
      <c r="X75" s="1305">
        <v>4800000000</v>
      </c>
      <c r="Y75" s="1305">
        <v>990000000</v>
      </c>
      <c r="Z75" s="1267">
        <v>3.1575100000000002E-2</v>
      </c>
      <c r="AA75" s="1267">
        <v>3.9533499999999999E-2</v>
      </c>
      <c r="AB75" s="1267">
        <v>9.2499000000000001E-3</v>
      </c>
      <c r="AC75" s="1267">
        <v>4.0431599999999998E-2</v>
      </c>
      <c r="AD75" s="1267">
        <v>4.3787199999999998E-2</v>
      </c>
      <c r="AE75" s="1267">
        <v>3.1453799999999997E-2</v>
      </c>
      <c r="AF75" s="1267">
        <v>2.46286E-2</v>
      </c>
      <c r="AG75" s="1267">
        <v>1.9646299999999998E-2</v>
      </c>
      <c r="AH75" s="1267">
        <v>3.1985899999999998E-2</v>
      </c>
      <c r="AI75" s="1267">
        <v>2.93268E-2</v>
      </c>
      <c r="AJ75" s="1267">
        <f t="shared" si="1"/>
        <v>-8.8564999999999963E-3</v>
      </c>
      <c r="AK75" s="1267">
        <f t="shared" si="1"/>
        <v>-4.2536999999999991E-3</v>
      </c>
      <c r="AL75" s="1267">
        <v>1</v>
      </c>
      <c r="AM75" s="1267">
        <v>27224.5</v>
      </c>
      <c r="AO75" s="1267">
        <v>29.5</v>
      </c>
    </row>
    <row r="76" spans="3:41">
      <c r="C76" s="1267" t="s">
        <v>1915</v>
      </c>
      <c r="D76" s="1267">
        <v>936</v>
      </c>
      <c r="E76" s="1267">
        <v>2014</v>
      </c>
      <c r="F76" s="1305">
        <v>10000000000</v>
      </c>
      <c r="G76" s="1305">
        <v>2300000000</v>
      </c>
      <c r="H76" s="1305">
        <v>8200000000</v>
      </c>
      <c r="I76" s="1305">
        <v>57000000000</v>
      </c>
      <c r="J76" s="1305">
        <v>41000000000</v>
      </c>
      <c r="K76" s="1305">
        <v>16000000000</v>
      </c>
      <c r="L76" s="1305">
        <v>27000000000</v>
      </c>
      <c r="M76" s="1305">
        <v>4000000000</v>
      </c>
      <c r="N76" s="1305">
        <v>36000000000</v>
      </c>
      <c r="O76" s="1305">
        <v>370000000</v>
      </c>
      <c r="P76" s="1305">
        <v>940000000</v>
      </c>
      <c r="Q76" s="1305">
        <v>800000000</v>
      </c>
      <c r="R76" s="1305">
        <v>140000000</v>
      </c>
      <c r="S76" s="1305">
        <v>4100000000</v>
      </c>
      <c r="T76" s="1305">
        <v>3500000000</v>
      </c>
      <c r="U76" s="1305">
        <v>550000000</v>
      </c>
      <c r="V76" s="1305">
        <v>770000000</v>
      </c>
      <c r="W76" s="1305">
        <v>8100000</v>
      </c>
      <c r="X76" s="1305">
        <v>1200000000</v>
      </c>
      <c r="Y76" s="1305">
        <v>5200000</v>
      </c>
      <c r="Z76" s="1267">
        <v>7.18892E-2</v>
      </c>
      <c r="AA76" s="1267">
        <v>0.17333999999999999</v>
      </c>
      <c r="AB76" s="1267">
        <v>1.6562500000000001E-2</v>
      </c>
      <c r="AC76" s="1267">
        <v>6.1584800000000002E-2</v>
      </c>
      <c r="AD76" s="1267">
        <v>7.2546899999999997E-2</v>
      </c>
      <c r="AE76" s="1267">
        <v>3.1374800000000001E-2</v>
      </c>
      <c r="AF76" s="1267">
        <v>2.64806E-2</v>
      </c>
      <c r="AG76" s="1267">
        <v>2.3386000000000001E-3</v>
      </c>
      <c r="AH76" s="1267">
        <v>3.5137099999999998E-2</v>
      </c>
      <c r="AI76" s="1267">
        <v>1.6684899999999999E-2</v>
      </c>
      <c r="AJ76" s="1267">
        <f t="shared" si="1"/>
        <v>1.0304399999999998E-2</v>
      </c>
      <c r="AK76" s="1267">
        <f t="shared" si="1"/>
        <v>0.1007931</v>
      </c>
      <c r="AL76" s="1267">
        <v>1</v>
      </c>
      <c r="AM76" s="1267">
        <v>27124.7</v>
      </c>
      <c r="AO76" s="1267">
        <v>22</v>
      </c>
    </row>
    <row r="77" spans="3:41">
      <c r="C77" s="1267" t="s">
        <v>1915</v>
      </c>
      <c r="D77" s="1267">
        <v>936</v>
      </c>
      <c r="E77" s="1267">
        <v>2015</v>
      </c>
      <c r="F77" s="1305">
        <v>11000000000</v>
      </c>
      <c r="G77" s="1305">
        <v>1900000000</v>
      </c>
      <c r="H77" s="1305">
        <v>9100000000</v>
      </c>
      <c r="I77" s="1305">
        <v>55000000000</v>
      </c>
      <c r="J77" s="1305">
        <v>39000000000</v>
      </c>
      <c r="K77" s="1305">
        <v>15000000000</v>
      </c>
      <c r="L77" s="1305">
        <v>24000000000</v>
      </c>
      <c r="M77" s="1305">
        <v>4700000000</v>
      </c>
      <c r="N77" s="1305">
        <v>30000000000</v>
      </c>
      <c r="O77" s="1305">
        <v>410000000</v>
      </c>
      <c r="P77" s="1305">
        <v>430000000</v>
      </c>
      <c r="Q77" s="1305">
        <v>340000000</v>
      </c>
      <c r="R77" s="1305">
        <v>99000000</v>
      </c>
      <c r="S77" s="1305">
        <v>4500000000</v>
      </c>
      <c r="T77" s="1305">
        <v>4100000000</v>
      </c>
      <c r="U77" s="1305">
        <v>390000000</v>
      </c>
      <c r="V77" s="1305">
        <v>610000000</v>
      </c>
      <c r="W77" s="1305">
        <v>16000000</v>
      </c>
      <c r="X77" s="1305">
        <v>920000000</v>
      </c>
      <c r="Y77" s="1305">
        <v>10000000</v>
      </c>
      <c r="Z77" s="1267">
        <v>4.1433600000000001E-2</v>
      </c>
      <c r="AA77" s="1267">
        <v>0.14842140000000001</v>
      </c>
      <c r="AB77" s="1267">
        <v>1.2059800000000001E-2</v>
      </c>
      <c r="AC77" s="1267">
        <v>7.8469899999999995E-2</v>
      </c>
      <c r="AD77" s="1267">
        <v>9.9541299999999999E-2</v>
      </c>
      <c r="AE77" s="1267">
        <v>2.4351100000000001E-2</v>
      </c>
      <c r="AF77" s="1267">
        <v>2.2255299999999999E-2</v>
      </c>
      <c r="AG77" s="1267">
        <v>3.8716000000000002E-3</v>
      </c>
      <c r="AH77" s="1267">
        <v>2.5706199999999998E-2</v>
      </c>
      <c r="AI77" s="1267">
        <v>2.7985900000000001E-2</v>
      </c>
      <c r="AJ77" s="1267">
        <f t="shared" si="1"/>
        <v>-3.7036299999999994E-2</v>
      </c>
      <c r="AK77" s="1267">
        <f t="shared" si="1"/>
        <v>4.888010000000001E-2</v>
      </c>
      <c r="AL77" s="1267">
        <v>1</v>
      </c>
      <c r="AM77" s="1267">
        <v>28149.3</v>
      </c>
      <c r="AO77" s="1267">
        <v>22</v>
      </c>
    </row>
    <row r="78" spans="3:41">
      <c r="C78" s="1267" t="s">
        <v>1915</v>
      </c>
      <c r="D78" s="1267">
        <v>936</v>
      </c>
      <c r="E78" s="1267">
        <v>2016</v>
      </c>
      <c r="F78" s="1305">
        <v>15000000000</v>
      </c>
      <c r="G78" s="1305">
        <v>2100000000</v>
      </c>
      <c r="H78" s="1305">
        <v>13000000000</v>
      </c>
      <c r="I78" s="1305">
        <v>56000000000</v>
      </c>
      <c r="J78" s="1305">
        <v>39000000000</v>
      </c>
      <c r="K78" s="1305">
        <v>17000000000</v>
      </c>
      <c r="L78" s="1305">
        <v>28000000000</v>
      </c>
      <c r="M78" s="1305">
        <v>5800000000</v>
      </c>
      <c r="N78" s="1305">
        <v>29000000000</v>
      </c>
      <c r="O78" s="1305">
        <v>360000000</v>
      </c>
      <c r="P78" s="1305">
        <v>320000000</v>
      </c>
      <c r="Q78" s="1305">
        <v>190000000</v>
      </c>
      <c r="R78" s="1305">
        <v>130000000</v>
      </c>
      <c r="S78" s="1305">
        <v>3900000000</v>
      </c>
      <c r="T78" s="1305">
        <v>3500000000</v>
      </c>
      <c r="U78" s="1305">
        <v>330000000</v>
      </c>
      <c r="V78" s="1305">
        <v>600000000</v>
      </c>
      <c r="W78" s="1305">
        <v>150000000</v>
      </c>
      <c r="X78" s="1305">
        <v>850000000</v>
      </c>
      <c r="Y78" s="1305">
        <v>11000000</v>
      </c>
      <c r="Z78" s="1267">
        <v>2.8883900000000001E-2</v>
      </c>
      <c r="AA78" s="1267">
        <v>9.8486099999999993E-2</v>
      </c>
      <c r="AB78" s="1267">
        <v>1.4396600000000001E-2</v>
      </c>
      <c r="AC78" s="1267">
        <v>7.1116499999999999E-2</v>
      </c>
      <c r="AD78" s="1267">
        <v>9.0570300000000006E-2</v>
      </c>
      <c r="AE78" s="1267">
        <v>2.1731799999999999E-2</v>
      </c>
      <c r="AF78" s="1267">
        <v>2.5463800000000002E-2</v>
      </c>
      <c r="AG78" s="1267">
        <v>3.3309800000000001E-2</v>
      </c>
      <c r="AH78" s="1267">
        <v>2.869E-2</v>
      </c>
      <c r="AI78" s="1267">
        <v>2.7325800000000001E-2</v>
      </c>
      <c r="AJ78" s="1267">
        <f t="shared" si="1"/>
        <v>-4.2232599999999995E-2</v>
      </c>
      <c r="AK78" s="1267">
        <f t="shared" si="1"/>
        <v>7.9157999999999867E-3</v>
      </c>
      <c r="AL78" s="1267">
        <v>1</v>
      </c>
      <c r="AM78" s="1267">
        <v>29039.9</v>
      </c>
      <c r="AO78" s="1267">
        <v>22</v>
      </c>
    </row>
    <row r="79" spans="3:41">
      <c r="C79" s="1267" t="s">
        <v>1941</v>
      </c>
      <c r="D79" s="1267">
        <v>184</v>
      </c>
      <c r="E79" s="1267">
        <v>2014</v>
      </c>
      <c r="F79" s="1305">
        <v>670000000000</v>
      </c>
      <c r="G79" s="1305">
        <v>560000000000</v>
      </c>
      <c r="H79" s="1305">
        <v>100000000000</v>
      </c>
      <c r="I79" s="1305">
        <v>750000000000</v>
      </c>
      <c r="J79" s="1305">
        <v>480000000000</v>
      </c>
      <c r="K79" s="1305">
        <v>270000000000</v>
      </c>
      <c r="L79" s="1305">
        <v>500000000000</v>
      </c>
      <c r="M79" s="1305">
        <v>210000000000</v>
      </c>
      <c r="N79" s="1305">
        <v>1200000000000</v>
      </c>
      <c r="O79" s="1305">
        <v>330000000000</v>
      </c>
      <c r="P79" s="1305">
        <v>39000000000</v>
      </c>
      <c r="Q79" s="1305">
        <v>37000000000</v>
      </c>
      <c r="R79" s="1305">
        <v>2100000000</v>
      </c>
      <c r="S79" s="1305">
        <v>28000000000</v>
      </c>
      <c r="T79" s="1305">
        <v>20000000000</v>
      </c>
      <c r="U79" s="1305">
        <v>8200000000</v>
      </c>
      <c r="V79" s="1305">
        <v>17000000000</v>
      </c>
      <c r="W79" s="1305">
        <v>6800000000</v>
      </c>
      <c r="X79" s="1305">
        <v>35000000000</v>
      </c>
      <c r="Y79" s="1305">
        <v>6000000000</v>
      </c>
      <c r="Z79" s="1267">
        <v>5.4092700000000001E-2</v>
      </c>
      <c r="AA79" s="1267">
        <v>6.0736900000000003E-2</v>
      </c>
      <c r="AB79" s="1267">
        <v>1.8830099999999999E-2</v>
      </c>
      <c r="AC79" s="1267">
        <v>3.5108800000000003E-2</v>
      </c>
      <c r="AD79" s="1267">
        <v>3.8689399999999999E-2</v>
      </c>
      <c r="AE79" s="1267">
        <v>2.8722999999999999E-2</v>
      </c>
      <c r="AF79" s="1267">
        <v>3.5851300000000003E-2</v>
      </c>
      <c r="AG79" s="1267">
        <v>3.5324099999999997E-2</v>
      </c>
      <c r="AH79" s="1267">
        <v>2.8472299999999999E-2</v>
      </c>
      <c r="AI79" s="1267">
        <v>1.8059700000000001E-2</v>
      </c>
      <c r="AJ79" s="1267">
        <f t="shared" si="1"/>
        <v>1.8983899999999998E-2</v>
      </c>
      <c r="AK79" s="1267">
        <f t="shared" si="1"/>
        <v>2.2047500000000005E-2</v>
      </c>
      <c r="AL79" s="1267">
        <v>1</v>
      </c>
      <c r="AM79" s="1267">
        <v>30711.200000000001</v>
      </c>
      <c r="AN79" s="1267">
        <v>34.6524</v>
      </c>
      <c r="AO79" s="1267">
        <v>30</v>
      </c>
    </row>
    <row r="80" spans="3:41">
      <c r="C80" s="1267" t="s">
        <v>1941</v>
      </c>
      <c r="D80" s="1267">
        <v>184</v>
      </c>
      <c r="E80" s="1267">
        <v>2015</v>
      </c>
      <c r="F80" s="1305">
        <v>640000000000</v>
      </c>
      <c r="G80" s="1305">
        <v>530000000000</v>
      </c>
      <c r="H80" s="1305">
        <v>110000000000</v>
      </c>
      <c r="I80" s="1305">
        <v>690000000000</v>
      </c>
      <c r="J80" s="1305">
        <v>450000000000</v>
      </c>
      <c r="K80" s="1305">
        <v>240000000000</v>
      </c>
      <c r="L80" s="1305">
        <v>530000000000</v>
      </c>
      <c r="M80" s="1305">
        <v>240000000000</v>
      </c>
      <c r="N80" s="1305">
        <v>1100000000000</v>
      </c>
      <c r="O80" s="1305">
        <v>310000000000</v>
      </c>
      <c r="P80" s="1305">
        <v>33000000000</v>
      </c>
      <c r="Q80" s="1305">
        <v>32000000000</v>
      </c>
      <c r="R80" s="1305">
        <v>1600000000</v>
      </c>
      <c r="S80" s="1305">
        <v>25000000000</v>
      </c>
      <c r="T80" s="1305">
        <v>18000000000</v>
      </c>
      <c r="U80" s="1305">
        <v>6000000000</v>
      </c>
      <c r="V80" s="1305">
        <v>16000000000</v>
      </c>
      <c r="W80" s="1305">
        <v>5900000000</v>
      </c>
      <c r="X80" s="1305">
        <v>28000000000</v>
      </c>
      <c r="Y80" s="1305">
        <v>5500000000</v>
      </c>
      <c r="Z80" s="1267">
        <v>4.9845899999999999E-2</v>
      </c>
      <c r="AA80" s="1267">
        <v>5.6238999999999997E-2</v>
      </c>
      <c r="AB80" s="1267">
        <v>1.54276E-2</v>
      </c>
      <c r="AC80" s="1267">
        <v>3.27637E-2</v>
      </c>
      <c r="AD80" s="1267">
        <v>3.8295799999999998E-2</v>
      </c>
      <c r="AE80" s="1267">
        <v>2.2726400000000001E-2</v>
      </c>
      <c r="AF80" s="1267">
        <v>3.1026399999999999E-2</v>
      </c>
      <c r="AG80" s="1267">
        <v>2.7856200000000001E-2</v>
      </c>
      <c r="AH80" s="1267">
        <v>2.3059E-2</v>
      </c>
      <c r="AI80" s="1267">
        <v>1.6545199999999999E-2</v>
      </c>
      <c r="AJ80" s="1267">
        <f t="shared" si="1"/>
        <v>1.7082199999999999E-2</v>
      </c>
      <c r="AK80" s="1267">
        <f t="shared" si="1"/>
        <v>1.7943199999999999E-2</v>
      </c>
      <c r="AL80" s="1267">
        <v>1</v>
      </c>
      <c r="AM80" s="1267">
        <v>31798.1</v>
      </c>
      <c r="AN80" s="1267">
        <v>32.6524</v>
      </c>
      <c r="AO80" s="1267">
        <v>28</v>
      </c>
    </row>
    <row r="81" spans="3:41">
      <c r="C81" s="1267" t="s">
        <v>1941</v>
      </c>
      <c r="D81" s="1267">
        <v>184</v>
      </c>
      <c r="E81" s="1267">
        <v>2016</v>
      </c>
      <c r="F81" s="1305">
        <v>670000000000</v>
      </c>
      <c r="G81" s="1305">
        <v>560000000000</v>
      </c>
      <c r="H81" s="1305">
        <v>120000000000</v>
      </c>
      <c r="I81" s="1305">
        <v>700000000000</v>
      </c>
      <c r="J81" s="1305">
        <v>470000000000</v>
      </c>
      <c r="K81" s="1305">
        <v>240000000000</v>
      </c>
      <c r="L81" s="1305">
        <v>550000000000</v>
      </c>
      <c r="M81" s="1305">
        <v>250000000000</v>
      </c>
      <c r="N81" s="1305">
        <v>1100000000000</v>
      </c>
      <c r="O81" s="1305">
        <v>310000000000</v>
      </c>
      <c r="P81" s="1305">
        <v>32000000000</v>
      </c>
      <c r="Q81" s="1305">
        <v>31000000000</v>
      </c>
      <c r="R81" s="1305">
        <v>1500000000</v>
      </c>
      <c r="S81" s="1305">
        <v>24000000000</v>
      </c>
      <c r="T81" s="1305">
        <v>18000000000</v>
      </c>
      <c r="U81" s="1305">
        <v>5900000000</v>
      </c>
      <c r="V81" s="1305">
        <v>15000000000</v>
      </c>
      <c r="W81" s="1305">
        <v>6300000000</v>
      </c>
      <c r="X81" s="1305">
        <v>27000000000</v>
      </c>
      <c r="Y81" s="1305">
        <v>7000000000</v>
      </c>
      <c r="Z81" s="1267">
        <v>5.0097200000000001E-2</v>
      </c>
      <c r="AA81" s="1267">
        <v>5.7696999999999998E-2</v>
      </c>
      <c r="AB81" s="1267">
        <v>1.3568200000000001E-2</v>
      </c>
      <c r="AC81" s="1267">
        <v>3.4245499999999998E-2</v>
      </c>
      <c r="AD81" s="1267">
        <v>3.9782600000000001E-2</v>
      </c>
      <c r="AE81" s="1267">
        <v>2.4051599999999999E-2</v>
      </c>
      <c r="AF81" s="1267">
        <v>2.7514400000000001E-2</v>
      </c>
      <c r="AG81" s="1267">
        <v>2.5944999999999999E-2</v>
      </c>
      <c r="AH81" s="1267">
        <v>2.3390600000000001E-2</v>
      </c>
      <c r="AI81" s="1267">
        <v>2.2703000000000001E-2</v>
      </c>
      <c r="AJ81" s="1267">
        <f t="shared" si="1"/>
        <v>1.5851700000000003E-2</v>
      </c>
      <c r="AK81" s="1267">
        <f t="shared" si="1"/>
        <v>1.7914399999999997E-2</v>
      </c>
      <c r="AL81" s="1267">
        <v>1</v>
      </c>
      <c r="AM81" s="1267">
        <v>32796.300000000003</v>
      </c>
      <c r="AN81" s="1267">
        <v>29.6524</v>
      </c>
      <c r="AO81" s="1267">
        <v>25</v>
      </c>
    </row>
    <row r="82" spans="3:41">
      <c r="C82" s="1267" t="s">
        <v>1913</v>
      </c>
      <c r="D82" s="1267">
        <v>144</v>
      </c>
      <c r="E82" s="1267">
        <v>2014</v>
      </c>
      <c r="F82" s="1305">
        <v>510000000000</v>
      </c>
      <c r="G82" s="1305">
        <v>370000000000</v>
      </c>
      <c r="H82" s="1305">
        <v>140000000000</v>
      </c>
      <c r="I82" s="1305">
        <v>430000000000</v>
      </c>
      <c r="J82" s="1305">
        <v>250000000000</v>
      </c>
      <c r="K82" s="1305">
        <v>180000000000</v>
      </c>
      <c r="L82" s="1305">
        <v>560000000000</v>
      </c>
      <c r="M82" s="1305">
        <v>400000000000</v>
      </c>
      <c r="N82" s="1305">
        <v>800000000000</v>
      </c>
      <c r="O82" s="1305">
        <v>260000000000</v>
      </c>
      <c r="P82" s="1305">
        <v>37000000000</v>
      </c>
      <c r="Q82" s="1305">
        <v>35000000000</v>
      </c>
      <c r="R82" s="1305">
        <v>2400000000</v>
      </c>
      <c r="S82" s="1305">
        <v>25000000000</v>
      </c>
      <c r="T82" s="1305">
        <v>21000000000</v>
      </c>
      <c r="U82" s="1305">
        <v>4000000000</v>
      </c>
      <c r="V82" s="1305">
        <v>17000000000</v>
      </c>
      <c r="W82" s="1305">
        <v>12000000000</v>
      </c>
      <c r="X82" s="1305">
        <v>22000000000</v>
      </c>
      <c r="Y82" s="1305">
        <v>10000000000</v>
      </c>
      <c r="Z82" s="1267">
        <v>6.4925099999999999E-2</v>
      </c>
      <c r="AA82" s="1267">
        <v>8.6107199999999995E-2</v>
      </c>
      <c r="AB82" s="1267">
        <v>1.3914299999999999E-2</v>
      </c>
      <c r="AC82" s="1267">
        <v>4.7141599999999999E-2</v>
      </c>
      <c r="AD82" s="1267">
        <v>6.6363099999999994E-2</v>
      </c>
      <c r="AE82" s="1267">
        <v>1.8840200000000001E-2</v>
      </c>
      <c r="AF82" s="1267">
        <v>2.9202200000000001E-2</v>
      </c>
      <c r="AG82" s="1267">
        <v>2.9201299999999999E-2</v>
      </c>
      <c r="AH82" s="1267">
        <v>2.5763299999999999E-2</v>
      </c>
      <c r="AI82" s="1267">
        <v>3.7320600000000002E-2</v>
      </c>
      <c r="AJ82" s="1267">
        <f t="shared" si="1"/>
        <v>1.7783500000000001E-2</v>
      </c>
      <c r="AK82" s="1267">
        <f t="shared" si="1"/>
        <v>1.9744100000000001E-2</v>
      </c>
      <c r="AL82" s="1267">
        <v>1</v>
      </c>
      <c r="AM82" s="1267">
        <v>42856.6</v>
      </c>
      <c r="AO82" s="1267">
        <v>22</v>
      </c>
    </row>
    <row r="83" spans="3:41">
      <c r="C83" s="1267" t="s">
        <v>1913</v>
      </c>
      <c r="D83" s="1267">
        <v>144</v>
      </c>
      <c r="E83" s="1267">
        <v>2015</v>
      </c>
      <c r="F83" s="1305">
        <v>480000000000</v>
      </c>
      <c r="G83" s="1305">
        <v>340000000000</v>
      </c>
      <c r="H83" s="1305">
        <v>140000000000</v>
      </c>
      <c r="I83" s="1305">
        <v>410000000000</v>
      </c>
      <c r="J83" s="1305">
        <v>240000000000</v>
      </c>
      <c r="K83" s="1305">
        <v>170000000000</v>
      </c>
      <c r="L83" s="1305">
        <v>530000000000</v>
      </c>
      <c r="M83" s="1305">
        <v>400000000000</v>
      </c>
      <c r="N83" s="1305">
        <v>740000000000</v>
      </c>
      <c r="O83" s="1305">
        <v>260000000000</v>
      </c>
      <c r="P83" s="1305">
        <v>29000000000</v>
      </c>
      <c r="Q83" s="1305">
        <v>27000000000</v>
      </c>
      <c r="R83" s="1305">
        <v>2100000000</v>
      </c>
      <c r="S83" s="1305">
        <v>21000000000</v>
      </c>
      <c r="T83" s="1305">
        <v>19000000000</v>
      </c>
      <c r="U83" s="1305">
        <v>2200000000</v>
      </c>
      <c r="V83" s="1305">
        <v>14000000000</v>
      </c>
      <c r="W83" s="1305">
        <v>11000000000</v>
      </c>
      <c r="X83" s="1305">
        <v>18000000000</v>
      </c>
      <c r="Y83" s="1305">
        <v>9300000000</v>
      </c>
      <c r="Z83" s="1267">
        <v>5.7377299999999999E-2</v>
      </c>
      <c r="AA83" s="1267">
        <v>7.2934899999999997E-2</v>
      </c>
      <c r="AB83" s="1267">
        <v>1.5066700000000001E-2</v>
      </c>
      <c r="AC83" s="1267">
        <v>4.9944299999999997E-2</v>
      </c>
      <c r="AD83" s="1267">
        <v>7.6345999999999997E-2</v>
      </c>
      <c r="AE83" s="1267">
        <v>1.25275E-2</v>
      </c>
      <c r="AF83" s="1267">
        <v>2.52258E-2</v>
      </c>
      <c r="AG83" s="1267">
        <v>2.68306E-2</v>
      </c>
      <c r="AH83" s="1267">
        <v>2.2659700000000001E-2</v>
      </c>
      <c r="AI83" s="1267">
        <v>3.5364E-2</v>
      </c>
      <c r="AJ83" s="1267">
        <f t="shared" si="1"/>
        <v>7.4330000000000021E-3</v>
      </c>
      <c r="AK83" s="1267">
        <f t="shared" si="1"/>
        <v>-3.4111000000000002E-3</v>
      </c>
      <c r="AL83" s="1267">
        <v>1</v>
      </c>
      <c r="AM83" s="1267">
        <v>44323.199999999997</v>
      </c>
      <c r="AO83" s="1267">
        <v>22</v>
      </c>
    </row>
    <row r="84" spans="3:41">
      <c r="C84" s="1267" t="s">
        <v>1913</v>
      </c>
      <c r="D84" s="1267">
        <v>144</v>
      </c>
      <c r="E84" s="1267">
        <v>2016</v>
      </c>
      <c r="F84" s="1305">
        <v>480000000000</v>
      </c>
      <c r="G84" s="1305">
        <v>350000000000</v>
      </c>
      <c r="H84" s="1305">
        <v>130000000000</v>
      </c>
      <c r="I84" s="1305">
        <v>390000000000</v>
      </c>
      <c r="J84" s="1305">
        <v>240000000000</v>
      </c>
      <c r="K84" s="1305">
        <v>150000000000</v>
      </c>
      <c r="L84" s="1305">
        <v>520000000000</v>
      </c>
      <c r="M84" s="1305">
        <v>400000000000</v>
      </c>
      <c r="N84" s="1305">
        <v>710000000000</v>
      </c>
      <c r="O84" s="1305">
        <v>250000000000</v>
      </c>
      <c r="P84" s="1305">
        <v>29000000000</v>
      </c>
      <c r="Q84" s="1305">
        <v>27000000000</v>
      </c>
      <c r="R84" s="1305">
        <v>1900000000</v>
      </c>
      <c r="S84" s="1305">
        <v>20000000000</v>
      </c>
      <c r="T84" s="1305">
        <v>19000000000</v>
      </c>
      <c r="U84" s="1305">
        <v>1500000000</v>
      </c>
      <c r="V84" s="1305">
        <v>15000000000</v>
      </c>
      <c r="W84" s="1305">
        <v>12000000000</v>
      </c>
      <c r="X84" s="1305">
        <v>17000000000</v>
      </c>
      <c r="Y84" s="1305">
        <v>11000000000</v>
      </c>
      <c r="Z84" s="1267">
        <v>5.9396699999999997E-2</v>
      </c>
      <c r="AA84" s="1267">
        <v>7.7820399999999998E-2</v>
      </c>
      <c r="AB84" s="1267">
        <v>1.3965099999999999E-2</v>
      </c>
      <c r="AC84" s="1267">
        <v>4.9549099999999999E-2</v>
      </c>
      <c r="AD84" s="1267">
        <v>7.7280100000000004E-2</v>
      </c>
      <c r="AE84" s="1267">
        <v>9.1710000000000003E-3</v>
      </c>
      <c r="AF84" s="1267">
        <v>2.8362100000000001E-2</v>
      </c>
      <c r="AG84" s="1267">
        <v>3.0959400000000002E-2</v>
      </c>
      <c r="AH84" s="1267">
        <v>2.3295099999999999E-2</v>
      </c>
      <c r="AI84" s="1267">
        <v>4.1267100000000001E-2</v>
      </c>
      <c r="AJ84" s="1267">
        <f t="shared" si="1"/>
        <v>9.847599999999998E-3</v>
      </c>
      <c r="AK84" s="1267">
        <f t="shared" si="1"/>
        <v>5.4029999999999356E-4</v>
      </c>
      <c r="AL84" s="1267">
        <v>1</v>
      </c>
      <c r="AM84" s="1267">
        <v>45185.8</v>
      </c>
      <c r="AO84" s="1267">
        <v>22</v>
      </c>
    </row>
    <row r="85" spans="3:41">
      <c r="C85" s="1267" t="s">
        <v>695</v>
      </c>
      <c r="D85" s="1267">
        <v>146</v>
      </c>
      <c r="E85" s="1267">
        <v>2014</v>
      </c>
      <c r="F85" s="1305">
        <v>1500000000000</v>
      </c>
      <c r="G85" s="1305">
        <v>990000000000</v>
      </c>
      <c r="H85" s="1305">
        <v>460000000000</v>
      </c>
      <c r="I85" s="1305">
        <v>1200000000000</v>
      </c>
      <c r="J85" s="1305">
        <v>780000000000</v>
      </c>
      <c r="K85" s="1305">
        <v>390000000000</v>
      </c>
      <c r="L85" s="1305">
        <v>1300000000000</v>
      </c>
      <c r="M85" s="1305">
        <v>570000000000</v>
      </c>
      <c r="N85" s="1305">
        <v>1200000000000</v>
      </c>
      <c r="O85" s="1305">
        <v>1000000000000</v>
      </c>
      <c r="P85" s="1305">
        <v>97000000000</v>
      </c>
      <c r="Q85" s="1305">
        <v>87000000000</v>
      </c>
      <c r="R85" s="1305">
        <v>9700000000</v>
      </c>
      <c r="S85" s="1305">
        <v>80000000000</v>
      </c>
      <c r="T85" s="1305">
        <v>71000000000</v>
      </c>
      <c r="U85" s="1305">
        <v>8900000000</v>
      </c>
      <c r="V85" s="1305">
        <v>33000000000</v>
      </c>
      <c r="X85" s="1305">
        <v>33000000000</v>
      </c>
      <c r="Z85" s="1267">
        <v>6.6541100000000006E-2</v>
      </c>
      <c r="AA85" s="1267">
        <v>7.9611399999999999E-2</v>
      </c>
      <c r="AB85" s="1267">
        <v>2.6929700000000001E-2</v>
      </c>
      <c r="AC85" s="1267">
        <v>7.3913699999999999E-2</v>
      </c>
      <c r="AD85" s="1267">
        <v>8.8564900000000002E-2</v>
      </c>
      <c r="AE85" s="1267">
        <v>3.1803900000000003E-2</v>
      </c>
      <c r="AF85" s="1267">
        <v>2.5722700000000001E-2</v>
      </c>
      <c r="AH85" s="1267">
        <v>2.8499400000000001E-2</v>
      </c>
      <c r="AJ85" s="1267">
        <f t="shared" si="1"/>
        <v>-7.372599999999993E-3</v>
      </c>
      <c r="AK85" s="1267">
        <f t="shared" si="1"/>
        <v>-8.9535000000000031E-3</v>
      </c>
      <c r="AL85" s="1267">
        <v>1</v>
      </c>
      <c r="AM85" s="1267">
        <v>54456.800000000003</v>
      </c>
      <c r="AN85" s="1267">
        <v>31.79194</v>
      </c>
      <c r="AO85" s="1267">
        <v>21.148599999999998</v>
      </c>
    </row>
    <row r="86" spans="3:41">
      <c r="C86" s="1267" t="s">
        <v>695</v>
      </c>
      <c r="D86" s="1267">
        <v>146</v>
      </c>
      <c r="E86" s="1267">
        <v>2015</v>
      </c>
      <c r="F86" s="1305">
        <v>1500000000000</v>
      </c>
      <c r="G86" s="1305">
        <v>1000000000000</v>
      </c>
      <c r="H86" s="1305">
        <v>500000000000</v>
      </c>
      <c r="I86" s="1305">
        <v>1300000000000</v>
      </c>
      <c r="J86" s="1305">
        <v>860000000000</v>
      </c>
      <c r="K86" s="1305">
        <v>400000000000</v>
      </c>
      <c r="L86" s="1305">
        <v>1200000000000</v>
      </c>
      <c r="M86" s="1305">
        <v>580000000000</v>
      </c>
      <c r="N86" s="1305">
        <v>1100000000000</v>
      </c>
      <c r="O86" s="1305">
        <v>1000000000000</v>
      </c>
      <c r="P86" s="1305">
        <v>97000000000</v>
      </c>
      <c r="Q86" s="1305">
        <v>86000000000</v>
      </c>
      <c r="R86" s="1305">
        <v>11000000000</v>
      </c>
      <c r="S86" s="1305">
        <v>67000000000</v>
      </c>
      <c r="T86" s="1305">
        <v>59000000000</v>
      </c>
      <c r="U86" s="1305">
        <v>7500000000</v>
      </c>
      <c r="V86" s="1305">
        <v>30000000000</v>
      </c>
      <c r="X86" s="1305">
        <v>33000000000</v>
      </c>
      <c r="Z86" s="1267">
        <v>6.6964200000000002E-2</v>
      </c>
      <c r="AA86" s="1267">
        <v>8.6894600000000002E-2</v>
      </c>
      <c r="AB86" s="1267">
        <v>2.4033700000000002E-2</v>
      </c>
      <c r="AC86" s="1267">
        <v>5.7072699999999997E-2</v>
      </c>
      <c r="AD86" s="1267">
        <v>7.5811500000000004E-2</v>
      </c>
      <c r="AE86" s="1267">
        <v>1.9349499999999999E-2</v>
      </c>
      <c r="AF86" s="1267">
        <v>2.4205500000000001E-2</v>
      </c>
      <c r="AH86" s="1267">
        <v>2.8400000000000002E-2</v>
      </c>
      <c r="AJ86" s="1267">
        <f t="shared" si="1"/>
        <v>9.8915000000000045E-3</v>
      </c>
      <c r="AK86" s="1267">
        <f t="shared" si="1"/>
        <v>1.1083099999999999E-2</v>
      </c>
      <c r="AL86" s="1267">
        <v>1</v>
      </c>
      <c r="AM86" s="1267">
        <v>54500.7</v>
      </c>
      <c r="AN86" s="1267">
        <v>31.79194</v>
      </c>
      <c r="AO86" s="1267">
        <v>21.148599999999998</v>
      </c>
    </row>
    <row r="87" spans="3:41">
      <c r="C87" s="1267" t="s">
        <v>695</v>
      </c>
      <c r="D87" s="1267">
        <v>146</v>
      </c>
      <c r="E87" s="1267">
        <v>2016</v>
      </c>
      <c r="F87" s="1305">
        <v>1600000000000</v>
      </c>
      <c r="G87" s="1305">
        <v>1000000000000</v>
      </c>
      <c r="H87" s="1305">
        <v>560000000000</v>
      </c>
      <c r="I87" s="1305">
        <v>1400000000000</v>
      </c>
      <c r="J87" s="1305">
        <v>960000000000</v>
      </c>
      <c r="K87" s="1305">
        <v>420000000000</v>
      </c>
      <c r="L87" s="1305">
        <v>1300000000000</v>
      </c>
      <c r="M87" s="1305">
        <v>620000000000</v>
      </c>
      <c r="N87" s="1305">
        <v>1000000000000</v>
      </c>
      <c r="O87" s="1305">
        <v>940000000000</v>
      </c>
      <c r="P87" s="1305">
        <v>89000000000</v>
      </c>
      <c r="Q87" s="1305">
        <v>78000000000</v>
      </c>
      <c r="R87" s="1305">
        <v>12000000000</v>
      </c>
      <c r="S87" s="1305">
        <v>69000000000</v>
      </c>
      <c r="T87" s="1305">
        <v>61000000000</v>
      </c>
      <c r="U87" s="1305">
        <v>8100000000</v>
      </c>
      <c r="V87" s="1305">
        <v>29000000000</v>
      </c>
      <c r="X87" s="1305">
        <v>33000000000</v>
      </c>
      <c r="Z87" s="1267">
        <v>5.8994400000000002E-2</v>
      </c>
      <c r="AA87" s="1267">
        <v>7.6753000000000002E-2</v>
      </c>
      <c r="AB87" s="1267">
        <v>2.3115199999999999E-2</v>
      </c>
      <c r="AC87" s="1267">
        <v>5.4746900000000001E-2</v>
      </c>
      <c r="AD87" s="1267">
        <v>7.0741799999999994E-2</v>
      </c>
      <c r="AE87" s="1267">
        <v>2.02425E-2</v>
      </c>
      <c r="AF87" s="1267">
        <v>2.3881400000000001E-2</v>
      </c>
      <c r="AH87" s="1267">
        <v>2.85737E-2</v>
      </c>
      <c r="AJ87" s="1267">
        <f t="shared" si="1"/>
        <v>4.2475000000000013E-3</v>
      </c>
      <c r="AK87" s="1267">
        <f t="shared" si="1"/>
        <v>6.0112000000000082E-3</v>
      </c>
      <c r="AL87" s="1267">
        <v>1</v>
      </c>
      <c r="AM87" s="1267">
        <v>54656.5</v>
      </c>
      <c r="AN87" s="1267">
        <v>31.79194</v>
      </c>
      <c r="AO87" s="1267">
        <v>21.148599999999998</v>
      </c>
    </row>
    <row r="88" spans="3:41">
      <c r="C88" s="1267" t="s">
        <v>1911</v>
      </c>
      <c r="D88" s="1267">
        <v>186</v>
      </c>
      <c r="E88" s="1267">
        <v>2014</v>
      </c>
      <c r="F88" s="1305">
        <v>40000000000</v>
      </c>
      <c r="G88" s="1305">
        <v>34000000000</v>
      </c>
      <c r="H88" s="1305">
        <v>6000000000</v>
      </c>
      <c r="I88" s="1305">
        <v>180000000000</v>
      </c>
      <c r="J88" s="1305">
        <v>170000000000</v>
      </c>
      <c r="K88" s="1305">
        <v>7700000000</v>
      </c>
      <c r="L88" s="1305">
        <v>1500000000</v>
      </c>
      <c r="M88" s="1305">
        <v>490000000</v>
      </c>
      <c r="N88" s="1305">
        <v>190000000000</v>
      </c>
      <c r="O88" s="1305">
        <v>62000000000</v>
      </c>
      <c r="P88" s="1305">
        <v>310000000</v>
      </c>
      <c r="Q88" s="1305">
        <v>310000000</v>
      </c>
      <c r="R88" s="1305">
        <v>5000000</v>
      </c>
      <c r="S88" s="1305">
        <v>2300000000</v>
      </c>
      <c r="T88" s="1305">
        <v>2200000000</v>
      </c>
      <c r="U88" s="1305">
        <v>130000000</v>
      </c>
      <c r="V88" s="1305">
        <v>2200000000</v>
      </c>
      <c r="W88" s="1267">
        <v>0</v>
      </c>
      <c r="X88" s="1305">
        <v>4300000000</v>
      </c>
      <c r="Y88" s="1305">
        <v>1000000</v>
      </c>
      <c r="Z88" s="1267">
        <v>9.3285999999999994E-3</v>
      </c>
      <c r="AA88" s="1267">
        <v>1.0328199999999999E-2</v>
      </c>
      <c r="AB88" s="1267">
        <v>1.3362000000000001E-3</v>
      </c>
      <c r="AC88" s="1267">
        <v>1.54976E-2</v>
      </c>
      <c r="AD88" s="1267">
        <v>1.5480000000000001E-2</v>
      </c>
      <c r="AE88" s="1267">
        <v>1.5807600000000002E-2</v>
      </c>
      <c r="AF88" s="1267">
        <v>2.2402790000000001</v>
      </c>
      <c r="AG88" s="1267">
        <v>0</v>
      </c>
      <c r="AH88" s="1267">
        <v>2.5245799999999999E-2</v>
      </c>
      <c r="AI88" s="1267">
        <v>1.91E-5</v>
      </c>
      <c r="AJ88" s="1267">
        <f t="shared" si="1"/>
        <v>-6.1690000000000009E-3</v>
      </c>
      <c r="AK88" s="1267">
        <f t="shared" si="1"/>
        <v>-5.1518000000000015E-3</v>
      </c>
      <c r="AL88" s="1267">
        <v>1</v>
      </c>
      <c r="AM88" s="1267">
        <v>21895.599999999999</v>
      </c>
      <c r="AN88" s="1267">
        <v>34.717799999999997</v>
      </c>
      <c r="AO88" s="1267">
        <v>20</v>
      </c>
    </row>
    <row r="89" spans="3:41">
      <c r="C89" s="1267" t="s">
        <v>1911</v>
      </c>
      <c r="D89" s="1267">
        <v>186</v>
      </c>
      <c r="E89" s="1267">
        <v>2015</v>
      </c>
      <c r="F89" s="1305">
        <v>36000000000</v>
      </c>
      <c r="G89" s="1305">
        <v>28000000000</v>
      </c>
      <c r="H89" s="1305">
        <v>8600000000</v>
      </c>
      <c r="I89" s="1305">
        <v>150000000000</v>
      </c>
      <c r="J89" s="1305">
        <v>140000000000</v>
      </c>
      <c r="K89" s="1305">
        <v>8900000000</v>
      </c>
      <c r="L89" s="1305">
        <v>1600000000</v>
      </c>
      <c r="M89" s="1305">
        <v>600000000</v>
      </c>
      <c r="N89" s="1305">
        <v>150000000000</v>
      </c>
      <c r="O89" s="1305">
        <v>40000000000</v>
      </c>
      <c r="P89" s="1305">
        <v>230000000</v>
      </c>
      <c r="Q89" s="1305">
        <v>220000000</v>
      </c>
      <c r="R89" s="1305">
        <v>4000000</v>
      </c>
      <c r="S89" s="1305">
        <v>3500000000</v>
      </c>
      <c r="T89" s="1305">
        <v>3400000000</v>
      </c>
      <c r="U89" s="1305">
        <v>150000000</v>
      </c>
      <c r="V89" s="1305">
        <v>2100000000</v>
      </c>
      <c r="W89" s="1267">
        <v>0</v>
      </c>
      <c r="X89" s="1305">
        <v>4600000000</v>
      </c>
      <c r="Y89" s="1305">
        <v>130000000</v>
      </c>
      <c r="Z89" s="1267">
        <v>5.6344000000000003E-3</v>
      </c>
      <c r="AA89" s="1267">
        <v>6.5119000000000002E-3</v>
      </c>
      <c r="AB89" s="1267">
        <v>6.6719999999999995E-4</v>
      </c>
      <c r="AC89" s="1267">
        <v>1.9415499999999999E-2</v>
      </c>
      <c r="AD89" s="1267">
        <v>1.9439100000000001E-2</v>
      </c>
      <c r="AE89" s="1267">
        <v>1.8878599999999999E-2</v>
      </c>
      <c r="AF89" s="1267">
        <v>1.3827240000000001</v>
      </c>
      <c r="AG89" s="1267">
        <v>0</v>
      </c>
      <c r="AH89" s="1267">
        <v>2.3678500000000002E-2</v>
      </c>
      <c r="AI89" s="1267">
        <v>2.0999E-3</v>
      </c>
      <c r="AJ89" s="1267">
        <f t="shared" si="1"/>
        <v>-1.3781099999999998E-2</v>
      </c>
      <c r="AK89" s="1267">
        <f t="shared" si="1"/>
        <v>-1.29272E-2</v>
      </c>
      <c r="AL89" s="1267">
        <v>1</v>
      </c>
      <c r="AM89" s="1267">
        <v>22982</v>
      </c>
      <c r="AN89" s="1267">
        <v>34.717799999999997</v>
      </c>
      <c r="AO89" s="1267">
        <v>20</v>
      </c>
    </row>
    <row r="90" spans="3:41">
      <c r="C90" s="1267" t="s">
        <v>1911</v>
      </c>
      <c r="D90" s="1267">
        <v>186</v>
      </c>
      <c r="E90" s="1267">
        <v>2016</v>
      </c>
      <c r="F90" s="1305">
        <v>40000000000</v>
      </c>
      <c r="G90" s="1305">
        <v>31000000000</v>
      </c>
      <c r="H90" s="1305">
        <v>8500000000</v>
      </c>
      <c r="I90" s="1305">
        <v>140000000000</v>
      </c>
      <c r="J90" s="1305">
        <v>130000000000</v>
      </c>
      <c r="K90" s="1305">
        <v>11000000000</v>
      </c>
      <c r="L90" s="1305">
        <v>1300000000</v>
      </c>
      <c r="M90" s="1305">
        <v>500000000</v>
      </c>
      <c r="N90" s="1305">
        <v>140000000000</v>
      </c>
      <c r="O90" s="1305">
        <v>36000000000</v>
      </c>
      <c r="P90" s="1305">
        <v>200000000</v>
      </c>
      <c r="Q90" s="1305">
        <v>200000000</v>
      </c>
      <c r="R90" s="1267">
        <v>0</v>
      </c>
      <c r="S90" s="1305">
        <v>3100000000</v>
      </c>
      <c r="T90" s="1305">
        <v>2900000000</v>
      </c>
      <c r="U90" s="1305">
        <v>230000000</v>
      </c>
      <c r="V90" s="1305">
        <v>2500000000</v>
      </c>
      <c r="W90" s="1267">
        <v>0</v>
      </c>
      <c r="X90" s="1305">
        <v>4600000000</v>
      </c>
      <c r="Y90" s="1305">
        <v>72000000</v>
      </c>
      <c r="Z90" s="1267">
        <v>5.5726999999999999E-3</v>
      </c>
      <c r="AA90" s="1267">
        <v>7.3001000000000003E-3</v>
      </c>
      <c r="AB90" s="1267">
        <v>0</v>
      </c>
      <c r="AC90" s="1267">
        <v>2.0458799999999999E-2</v>
      </c>
      <c r="AD90" s="1267">
        <v>2.0108600000000001E-2</v>
      </c>
      <c r="AE90" s="1267">
        <v>2.6086600000000001E-2</v>
      </c>
      <c r="AF90" s="1267">
        <v>1.612452</v>
      </c>
      <c r="AG90" s="1267">
        <v>0</v>
      </c>
      <c r="AH90" s="1267">
        <v>3.16361E-2</v>
      </c>
      <c r="AI90" s="1267">
        <v>1.7906E-3</v>
      </c>
      <c r="AJ90" s="1267">
        <f t="shared" si="1"/>
        <v>-1.4886099999999999E-2</v>
      </c>
      <c r="AK90" s="1267">
        <f t="shared" si="1"/>
        <v>-1.28085E-2</v>
      </c>
      <c r="AL90" s="1267">
        <v>1</v>
      </c>
      <c r="AM90" s="1267">
        <v>23469</v>
      </c>
      <c r="AN90" s="1267">
        <v>34.717799999999997</v>
      </c>
      <c r="AO90" s="1267">
        <v>20</v>
      </c>
    </row>
    <row r="91" spans="3:41">
      <c r="C91" s="1267" t="s">
        <v>1892</v>
      </c>
      <c r="D91" s="1267">
        <v>112</v>
      </c>
      <c r="E91" s="1267">
        <v>2014</v>
      </c>
      <c r="F91" s="1305">
        <v>2200000000000</v>
      </c>
      <c r="G91" s="1305">
        <v>1700000000000</v>
      </c>
      <c r="H91" s="1305">
        <v>480000000000</v>
      </c>
      <c r="I91" s="1305">
        <v>2100000000000</v>
      </c>
      <c r="J91" s="1305">
        <v>1300000000000</v>
      </c>
      <c r="K91" s="1305">
        <v>720000000000</v>
      </c>
      <c r="L91" s="1305">
        <v>3500000000000</v>
      </c>
      <c r="M91" s="1305">
        <v>2000000000000</v>
      </c>
      <c r="N91" s="1305">
        <v>4500000000000</v>
      </c>
      <c r="O91" s="1305">
        <v>1900000000000</v>
      </c>
      <c r="P91" s="1305">
        <v>120000000000</v>
      </c>
      <c r="Q91" s="1305">
        <v>110000000000</v>
      </c>
      <c r="R91" s="1305">
        <v>11000000000</v>
      </c>
      <c r="S91" s="1305">
        <v>88000000000</v>
      </c>
      <c r="T91" s="1305">
        <v>74000000000</v>
      </c>
      <c r="U91" s="1305">
        <v>14000000000</v>
      </c>
      <c r="V91" s="1305">
        <v>72000000000</v>
      </c>
      <c r="W91" s="1305">
        <v>42000000000</v>
      </c>
      <c r="X91" s="1305">
        <v>160000000000</v>
      </c>
      <c r="Y91" s="1305">
        <v>64000000000</v>
      </c>
      <c r="Z91" s="1267">
        <v>5.1626199999999997E-2</v>
      </c>
      <c r="AA91" s="1267">
        <v>6.1045000000000002E-2</v>
      </c>
      <c r="AB91" s="1267">
        <v>2.0612800000000001E-2</v>
      </c>
      <c r="AC91" s="1267">
        <v>4.2338000000000001E-2</v>
      </c>
      <c r="AD91" s="1267">
        <v>5.7954499999999999E-2</v>
      </c>
      <c r="AE91" s="1267">
        <v>1.7588699999999999E-2</v>
      </c>
      <c r="AF91" s="1267">
        <v>2.1347100000000001E-2</v>
      </c>
      <c r="AG91" s="1267">
        <v>2.20606E-2</v>
      </c>
      <c r="AH91" s="1267">
        <v>3.4484599999999997E-2</v>
      </c>
      <c r="AI91" s="1267">
        <v>3.2440400000000001E-2</v>
      </c>
      <c r="AJ91" s="1267">
        <f t="shared" si="1"/>
        <v>9.2881999999999965E-3</v>
      </c>
      <c r="AK91" s="1267">
        <f t="shared" si="1"/>
        <v>3.090500000000003E-3</v>
      </c>
      <c r="AL91" s="1267">
        <v>1</v>
      </c>
      <c r="AM91" s="1267">
        <v>37780.400000000001</v>
      </c>
      <c r="AN91" s="1267">
        <v>26.602</v>
      </c>
      <c r="AO91" s="1267">
        <v>21</v>
      </c>
    </row>
    <row r="92" spans="3:41">
      <c r="C92" s="1267" t="s">
        <v>1892</v>
      </c>
      <c r="D92" s="1267">
        <v>112</v>
      </c>
      <c r="E92" s="1267">
        <v>2015</v>
      </c>
      <c r="F92" s="1305">
        <v>2000000000000</v>
      </c>
      <c r="G92" s="1305">
        <v>1700000000000</v>
      </c>
      <c r="H92" s="1305">
        <v>380000000000</v>
      </c>
      <c r="I92" s="1305">
        <v>1900000000000</v>
      </c>
      <c r="J92" s="1305">
        <v>1200000000000</v>
      </c>
      <c r="K92" s="1305">
        <v>660000000000</v>
      </c>
      <c r="L92" s="1305">
        <v>3300000000000</v>
      </c>
      <c r="M92" s="1305">
        <v>1900000000000</v>
      </c>
      <c r="N92" s="1305">
        <v>4400000000000</v>
      </c>
      <c r="O92" s="1305">
        <v>1900000000000</v>
      </c>
      <c r="P92" s="1305">
        <v>94000000000</v>
      </c>
      <c r="Q92" s="1305">
        <v>84000000000</v>
      </c>
      <c r="R92" s="1305">
        <v>9900000000</v>
      </c>
      <c r="S92" s="1305">
        <v>80000000000</v>
      </c>
      <c r="T92" s="1305">
        <v>69000000000</v>
      </c>
      <c r="U92" s="1305">
        <v>11000000000</v>
      </c>
      <c r="V92" s="1305">
        <v>73000000000</v>
      </c>
      <c r="W92" s="1305">
        <v>41000000000</v>
      </c>
      <c r="X92" s="1305">
        <v>140000000000</v>
      </c>
      <c r="Y92" s="1305">
        <v>66000000000</v>
      </c>
      <c r="Z92" s="1267">
        <v>4.3585899999999997E-2</v>
      </c>
      <c r="AA92" s="1267">
        <v>5.0049099999999999E-2</v>
      </c>
      <c r="AB92" s="1267">
        <v>2.0791400000000002E-2</v>
      </c>
      <c r="AC92" s="1267">
        <v>3.8876500000000001E-2</v>
      </c>
      <c r="AD92" s="1267">
        <v>5.1470299999999997E-2</v>
      </c>
      <c r="AE92" s="1267">
        <v>1.5383300000000001E-2</v>
      </c>
      <c r="AF92" s="1267">
        <v>2.0936E-2</v>
      </c>
      <c r="AG92" s="1267">
        <v>2.1162799999999999E-2</v>
      </c>
      <c r="AH92" s="1267">
        <v>3.1348800000000003E-2</v>
      </c>
      <c r="AI92" s="1267">
        <v>3.4736099999999999E-2</v>
      </c>
      <c r="AJ92" s="1267">
        <f t="shared" si="1"/>
        <v>4.7093999999999955E-3</v>
      </c>
      <c r="AK92" s="1267">
        <f t="shared" si="1"/>
        <v>-1.4211999999999975E-3</v>
      </c>
      <c r="AL92" s="1267">
        <v>1</v>
      </c>
      <c r="AM92" s="1267">
        <v>38362</v>
      </c>
      <c r="AN92" s="1267">
        <v>25.602</v>
      </c>
      <c r="AO92" s="1267">
        <v>20</v>
      </c>
    </row>
    <row r="93" spans="3:41">
      <c r="C93" s="1267" t="s">
        <v>1892</v>
      </c>
      <c r="D93" s="1267">
        <v>112</v>
      </c>
      <c r="E93" s="1267">
        <v>2016</v>
      </c>
      <c r="F93" s="1305">
        <v>1900000000000</v>
      </c>
      <c r="G93" s="1305">
        <v>1500000000000</v>
      </c>
      <c r="H93" s="1305">
        <v>390000000000</v>
      </c>
      <c r="I93" s="1305">
        <v>1900000000000</v>
      </c>
      <c r="J93" s="1305">
        <v>1300000000000</v>
      </c>
      <c r="K93" s="1305">
        <v>610000000000</v>
      </c>
      <c r="L93" s="1305">
        <v>3000000000000</v>
      </c>
      <c r="M93" s="1305">
        <v>1800000000000</v>
      </c>
      <c r="N93" s="1305">
        <v>3900000000000</v>
      </c>
      <c r="O93" s="1305">
        <v>1600000000000</v>
      </c>
      <c r="P93" s="1305">
        <v>78000000000</v>
      </c>
      <c r="Q93" s="1305">
        <v>69000000000</v>
      </c>
      <c r="R93" s="1305">
        <v>9700000000</v>
      </c>
      <c r="S93" s="1305">
        <v>81000000000</v>
      </c>
      <c r="T93" s="1305">
        <v>67000000000</v>
      </c>
      <c r="U93" s="1305">
        <v>14000000000</v>
      </c>
      <c r="V93" s="1305">
        <v>67000000000</v>
      </c>
      <c r="W93" s="1305">
        <v>39000000000</v>
      </c>
      <c r="X93" s="1305">
        <v>120000000000</v>
      </c>
      <c r="Y93" s="1305">
        <v>58000000000</v>
      </c>
      <c r="Z93" s="1267">
        <v>3.8423699999999998E-2</v>
      </c>
      <c r="AA93" s="1267">
        <v>4.1354399999999999E-2</v>
      </c>
      <c r="AB93" s="1267">
        <v>2.56073E-2</v>
      </c>
      <c r="AC93" s="1267">
        <v>4.3012599999999998E-2</v>
      </c>
      <c r="AD93" s="1267">
        <v>5.4734999999999999E-2</v>
      </c>
      <c r="AE93" s="1267">
        <v>2.1242799999999999E-2</v>
      </c>
      <c r="AF93" s="1267">
        <v>2.0202700000000001E-2</v>
      </c>
      <c r="AG93" s="1267">
        <v>2.0720100000000002E-2</v>
      </c>
      <c r="AH93" s="1267">
        <v>2.8123700000000001E-2</v>
      </c>
      <c r="AI93" s="1267">
        <v>3.12956E-2</v>
      </c>
      <c r="AJ93" s="1267">
        <f t="shared" si="1"/>
        <v>-4.5888999999999999E-3</v>
      </c>
      <c r="AK93" s="1267">
        <f t="shared" si="1"/>
        <v>-1.3380599999999999E-2</v>
      </c>
      <c r="AL93" s="1267">
        <v>1</v>
      </c>
      <c r="AM93" s="1267">
        <v>38747</v>
      </c>
      <c r="AN93" s="1267">
        <v>25.602</v>
      </c>
      <c r="AO93" s="1267">
        <v>20</v>
      </c>
    </row>
    <row r="94" spans="3:41">
      <c r="C94" s="1267" t="s">
        <v>1900</v>
      </c>
      <c r="D94" s="1267">
        <v>111</v>
      </c>
      <c r="E94" s="1267">
        <v>2014</v>
      </c>
      <c r="F94" s="1305">
        <v>7200000000000</v>
      </c>
      <c r="G94" s="1305">
        <v>6000000000000</v>
      </c>
      <c r="H94" s="1305">
        <v>1100000000000</v>
      </c>
      <c r="I94" s="1305">
        <v>6400000000000</v>
      </c>
      <c r="J94" s="1305">
        <v>4900000000000</v>
      </c>
      <c r="K94" s="1305">
        <v>1500000000000</v>
      </c>
      <c r="L94" s="1305">
        <v>9700000000000</v>
      </c>
      <c r="M94" s="1305">
        <v>6800000000000</v>
      </c>
      <c r="N94" s="1305">
        <v>17000000000000</v>
      </c>
      <c r="O94" s="1305">
        <v>6600000000000</v>
      </c>
      <c r="P94" s="1305">
        <v>470000000000</v>
      </c>
      <c r="Q94" s="1305">
        <v>460000000000</v>
      </c>
      <c r="R94" s="1305">
        <v>19000000000</v>
      </c>
      <c r="S94" s="1305">
        <v>200000000000</v>
      </c>
      <c r="T94" s="1305">
        <v>160000000000</v>
      </c>
      <c r="U94" s="1305">
        <v>36000000000</v>
      </c>
      <c r="V94" s="1305">
        <v>300000000000</v>
      </c>
      <c r="W94" s="1305">
        <v>200000000000</v>
      </c>
      <c r="X94" s="1305">
        <v>380000000000</v>
      </c>
      <c r="Y94" s="1305">
        <v>130000000000</v>
      </c>
      <c r="Z94" s="1267">
        <v>6.6679500000000003E-2</v>
      </c>
      <c r="AA94" s="1267">
        <v>8.9380000000000001E-2</v>
      </c>
      <c r="AB94" s="1267">
        <v>1.8038200000000001E-2</v>
      </c>
      <c r="AC94" s="1267">
        <v>3.4068800000000003E-2</v>
      </c>
      <c r="AD94" s="1267">
        <v>5.7690600000000002E-2</v>
      </c>
      <c r="AE94" s="1267">
        <v>2.6003800000000001E-2</v>
      </c>
      <c r="AF94" s="1267">
        <v>3.3128499999999998E-2</v>
      </c>
      <c r="AG94" s="1267">
        <v>3.05502E-2</v>
      </c>
      <c r="AH94" s="1267">
        <v>2.4292500000000002E-2</v>
      </c>
      <c r="AI94" s="1267">
        <v>2.1533900000000002E-2</v>
      </c>
      <c r="AJ94" s="1267">
        <f t="shared" si="1"/>
        <v>3.2610699999999999E-2</v>
      </c>
      <c r="AK94" s="1267">
        <f t="shared" si="1"/>
        <v>3.16894E-2</v>
      </c>
      <c r="AL94" s="1267">
        <v>0</v>
      </c>
      <c r="AM94" s="1267">
        <v>50829.5</v>
      </c>
      <c r="AN94" s="1267">
        <v>26.976500000000001</v>
      </c>
      <c r="AO94" s="1267">
        <v>39.075499999999998</v>
      </c>
    </row>
    <row r="95" spans="3:41">
      <c r="C95" s="1267" t="s">
        <v>1900</v>
      </c>
      <c r="D95" s="1267">
        <v>111</v>
      </c>
      <c r="E95" s="1267">
        <v>2015</v>
      </c>
      <c r="F95" s="1305">
        <v>7000000000000</v>
      </c>
      <c r="G95" s="1305">
        <v>5800000000000</v>
      </c>
      <c r="H95" s="1305">
        <v>1200000000000</v>
      </c>
      <c r="I95" s="1305">
        <v>6700000000000</v>
      </c>
      <c r="J95" s="1305">
        <v>5100000000000</v>
      </c>
      <c r="K95" s="1305">
        <v>1600000000000</v>
      </c>
      <c r="L95" s="1305">
        <v>9600000000000</v>
      </c>
      <c r="M95" s="1305">
        <v>6800000000000</v>
      </c>
      <c r="N95" s="1305">
        <v>17000000000000</v>
      </c>
      <c r="O95" s="1305">
        <v>6200000000000</v>
      </c>
      <c r="P95" s="1305">
        <v>440000000000</v>
      </c>
      <c r="Q95" s="1305">
        <v>420000000000</v>
      </c>
      <c r="R95" s="1305">
        <v>20000000000</v>
      </c>
      <c r="S95" s="1305">
        <v>170000000000</v>
      </c>
      <c r="T95" s="1305">
        <v>130000000000</v>
      </c>
      <c r="U95" s="1305">
        <v>39000000000</v>
      </c>
      <c r="V95" s="1305">
        <v>310000000000</v>
      </c>
      <c r="W95" s="1305">
        <v>200000000000</v>
      </c>
      <c r="X95" s="1305">
        <v>400000000000</v>
      </c>
      <c r="Y95" s="1305">
        <v>140000000000</v>
      </c>
      <c r="Z95" s="1267">
        <v>6.0770999999999999E-2</v>
      </c>
      <c r="AA95" s="1267">
        <v>7.7164999999999997E-2</v>
      </c>
      <c r="AB95" s="1267">
        <v>1.7824900000000001E-2</v>
      </c>
      <c r="AC95" s="1267">
        <v>2.67494E-2</v>
      </c>
      <c r="AD95" s="1267">
        <v>4.4040000000000003E-2</v>
      </c>
      <c r="AE95" s="1267">
        <v>2.6560500000000001E-2</v>
      </c>
      <c r="AF95" s="1267">
        <v>3.1734900000000003E-2</v>
      </c>
      <c r="AG95" s="1267">
        <v>2.9990300000000001E-2</v>
      </c>
      <c r="AH95" s="1267">
        <v>2.3543000000000001E-2</v>
      </c>
      <c r="AI95" s="1267">
        <v>2.0589699999999999E-2</v>
      </c>
      <c r="AJ95" s="1267">
        <f t="shared" si="1"/>
        <v>3.4021599999999999E-2</v>
      </c>
      <c r="AK95" s="1267">
        <f t="shared" si="1"/>
        <v>3.3124999999999995E-2</v>
      </c>
      <c r="AL95" s="1267">
        <v>0</v>
      </c>
      <c r="AM95" s="1267">
        <v>51911.9</v>
      </c>
      <c r="AN95" s="1267">
        <v>26.898499999999999</v>
      </c>
      <c r="AO95" s="1267">
        <v>38.997500000000002</v>
      </c>
    </row>
    <row r="96" spans="3:41">
      <c r="C96" s="1267" t="s">
        <v>1900</v>
      </c>
      <c r="D96" s="1267">
        <v>111</v>
      </c>
      <c r="E96" s="1267">
        <v>2016</v>
      </c>
      <c r="F96" s="1305">
        <v>7400000000000</v>
      </c>
      <c r="G96" s="1305">
        <v>6200000000000</v>
      </c>
      <c r="H96" s="1305">
        <v>1200000000000</v>
      </c>
      <c r="I96" s="1305">
        <v>7600000000000</v>
      </c>
      <c r="J96" s="1305">
        <v>5800000000000</v>
      </c>
      <c r="K96" s="1305">
        <v>1800000000000</v>
      </c>
      <c r="L96" s="1305">
        <v>9900000000000</v>
      </c>
      <c r="M96" s="1305">
        <v>7000000000000</v>
      </c>
      <c r="N96" s="1305">
        <v>17000000000000</v>
      </c>
      <c r="O96" s="1305">
        <v>6600000000000</v>
      </c>
      <c r="P96" s="1305">
        <v>440000000000</v>
      </c>
      <c r="Q96" s="1305">
        <v>420000000000</v>
      </c>
      <c r="R96" s="1305">
        <v>25000000000</v>
      </c>
      <c r="S96" s="1305">
        <v>190000000000</v>
      </c>
      <c r="T96" s="1305">
        <v>140000000000</v>
      </c>
      <c r="U96" s="1305">
        <v>47000000000</v>
      </c>
      <c r="V96" s="1305">
        <v>320000000000</v>
      </c>
      <c r="W96" s="1305">
        <v>220000000000</v>
      </c>
      <c r="X96" s="1305">
        <v>410000000000</v>
      </c>
      <c r="Y96" s="1305">
        <v>140000000000</v>
      </c>
      <c r="Z96" s="1267">
        <v>6.3443200000000005E-2</v>
      </c>
      <c r="AA96" s="1267">
        <v>7.5395000000000004E-2</v>
      </c>
      <c r="AB96" s="1267">
        <v>2.0266099999999999E-2</v>
      </c>
      <c r="AC96" s="1267">
        <v>2.7640000000000001E-2</v>
      </c>
      <c r="AD96" s="1267">
        <v>4.1895399999999999E-2</v>
      </c>
      <c r="AE96" s="1267">
        <v>2.8996399999999999E-2</v>
      </c>
      <c r="AF96" s="1267">
        <v>3.3860300000000003E-2</v>
      </c>
      <c r="AG96" s="1267">
        <v>3.2211900000000002E-2</v>
      </c>
      <c r="AH96" s="1267">
        <v>2.4579899999999998E-2</v>
      </c>
      <c r="AI96" s="1267">
        <v>2.2304000000000001E-2</v>
      </c>
      <c r="AJ96" s="1267">
        <f t="shared" si="1"/>
        <v>3.5803200000000007E-2</v>
      </c>
      <c r="AK96" s="1267">
        <f t="shared" si="1"/>
        <v>3.3499600000000004E-2</v>
      </c>
      <c r="AL96" s="1267">
        <v>0</v>
      </c>
      <c r="AM96" s="1267">
        <v>52321.599999999999</v>
      </c>
      <c r="AN96" s="1267">
        <v>26.824929999999998</v>
      </c>
      <c r="AO96" s="1267">
        <v>38.923900000000003</v>
      </c>
    </row>
  </sheetData>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6:K75"/>
  <sheetViews>
    <sheetView topLeftCell="A8" zoomScale="80" zoomScaleNormal="80" zoomScalePageLayoutView="80" workbookViewId="0">
      <selection activeCell="X67" sqref="X67"/>
    </sheetView>
  </sheetViews>
  <sheetFormatPr baseColWidth="10" defaultColWidth="7.5703125" defaultRowHeight="15" x14ac:dyDescent="0"/>
  <cols>
    <col min="1" max="1" width="31.5703125" style="1267" customWidth="1"/>
    <col min="2" max="3" width="22.42578125" style="1267" customWidth="1"/>
    <col min="4" max="4" width="7.5703125" style="1267"/>
    <col min="5" max="5" width="10" style="1267" customWidth="1"/>
    <col min="6" max="6" width="7.5703125" style="1267"/>
    <col min="7" max="7" width="10.5703125" style="1267" customWidth="1"/>
    <col min="8" max="8" width="10.7109375" style="1267" customWidth="1"/>
    <col min="9" max="9" width="8.7109375" style="1267" customWidth="1"/>
    <col min="10" max="10" width="9.7109375" style="1267" customWidth="1"/>
    <col min="11" max="11" width="10.5703125" style="1267" customWidth="1"/>
    <col min="12" max="16384" width="7.5703125" style="1267"/>
  </cols>
  <sheetData>
    <row r="6" spans="2:11" ht="63" customHeight="1">
      <c r="B6" s="1269" t="s">
        <v>2773</v>
      </c>
      <c r="C6" s="1269"/>
      <c r="D6" s="1267" t="s">
        <v>2772</v>
      </c>
    </row>
    <row r="7" spans="2:11" ht="46" customHeight="1">
      <c r="B7" s="1268" t="s">
        <v>2750</v>
      </c>
      <c r="C7" s="1268"/>
      <c r="D7" s="1267" t="s">
        <v>1907</v>
      </c>
      <c r="E7" s="1267" t="s">
        <v>2771</v>
      </c>
      <c r="F7" s="1267" t="s">
        <v>693</v>
      </c>
      <c r="G7" s="1267" t="s">
        <v>697</v>
      </c>
      <c r="H7" s="1267" t="s">
        <v>2770</v>
      </c>
      <c r="I7" s="1267" t="s">
        <v>696</v>
      </c>
      <c r="J7" s="1267" t="s">
        <v>695</v>
      </c>
      <c r="K7" s="1267" t="s">
        <v>2763</v>
      </c>
    </row>
    <row r="8" spans="2:11">
      <c r="B8" s="1267" t="s">
        <v>1948</v>
      </c>
    </row>
    <row r="9" spans="2:11">
      <c r="B9" s="1267" t="s">
        <v>1947</v>
      </c>
    </row>
    <row r="10" spans="2:11">
      <c r="B10" s="1267" t="s">
        <v>1895</v>
      </c>
      <c r="D10" s="1267">
        <f>SUM(outw!F53:F55)</f>
        <v>53497.677208334004</v>
      </c>
      <c r="E10" s="1267">
        <f>SUM(outw!F38:F52)</f>
        <v>29422.962234882551</v>
      </c>
      <c r="K10" s="1267">
        <f t="shared" ref="K10:K49" si="0">E10/D10</f>
        <v>0.54998578948207055</v>
      </c>
    </row>
    <row r="11" spans="2:11">
      <c r="B11" s="1267" t="s">
        <v>510</v>
      </c>
      <c r="K11" s="1267" t="e">
        <f t="shared" si="0"/>
        <v>#DIV/0!</v>
      </c>
    </row>
    <row r="12" spans="2:11">
      <c r="B12" s="1267" t="s">
        <v>1944</v>
      </c>
      <c r="K12" s="1267" t="e">
        <f t="shared" si="0"/>
        <v>#DIV/0!</v>
      </c>
    </row>
    <row r="13" spans="2:11">
      <c r="B13" s="1278" t="s">
        <v>1933</v>
      </c>
      <c r="C13" s="1278"/>
      <c r="K13" s="1267" t="e">
        <f t="shared" si="0"/>
        <v>#DIV/0!</v>
      </c>
    </row>
    <row r="14" spans="2:11">
      <c r="B14" s="1267" t="s">
        <v>1943</v>
      </c>
      <c r="K14" s="1267" t="e">
        <f t="shared" si="0"/>
        <v>#DIV/0!</v>
      </c>
    </row>
    <row r="15" spans="2:11">
      <c r="B15" s="1267" t="s">
        <v>1942</v>
      </c>
      <c r="D15" s="1267">
        <f>SUM(outw!F110:F112)</f>
        <v>39568.240199528998</v>
      </c>
      <c r="E15" s="1267">
        <f>SUM(outw!F95:F109)</f>
        <v>9631.7306899695523</v>
      </c>
      <c r="K15" s="1267">
        <f t="shared" si="0"/>
        <v>0.24342074960625124</v>
      </c>
    </row>
    <row r="16" spans="2:11">
      <c r="B16" s="1267" t="s">
        <v>1940</v>
      </c>
      <c r="D16" s="1267">
        <f>SUM(outw!F128:F130)</f>
        <v>1287.4684116650201</v>
      </c>
      <c r="E16" s="1267">
        <f>SUM(outw!F113:F127)</f>
        <v>53.724557182755326</v>
      </c>
      <c r="K16" s="1267">
        <f t="shared" si="0"/>
        <v>4.1728835205576791E-2</v>
      </c>
    </row>
    <row r="17" spans="2:11">
      <c r="B17" s="1267" t="s">
        <v>1936</v>
      </c>
      <c r="K17" s="1267" t="e">
        <f t="shared" si="0"/>
        <v>#DIV/0!</v>
      </c>
    </row>
    <row r="18" spans="2:11">
      <c r="B18" s="1267" t="s">
        <v>1890</v>
      </c>
      <c r="D18" s="1267">
        <f>SUM(outw!F164:F166)</f>
        <v>223272.34488754801</v>
      </c>
      <c r="E18" s="1267">
        <f>SUM(outw!F149:F163)</f>
        <v>53488.116328871503</v>
      </c>
      <c r="K18" s="1267">
        <f t="shared" si="0"/>
        <v>0.23956444921923045</v>
      </c>
    </row>
    <row r="19" spans="2:11">
      <c r="B19" s="1267" t="s">
        <v>1891</v>
      </c>
      <c r="D19" s="1267">
        <f>SUM(outw!F182:F184)</f>
        <v>237232.37077789198</v>
      </c>
      <c r="E19" s="1267">
        <f>SUM(outw!F167:F181)</f>
        <v>45050.474668042989</v>
      </c>
      <c r="K19" s="1267">
        <f t="shared" si="0"/>
        <v>0.18990020004572372</v>
      </c>
    </row>
    <row r="20" spans="2:11">
      <c r="B20" s="1267" t="s">
        <v>1935</v>
      </c>
      <c r="D20" s="1267">
        <f>SUM(outw!F200:F202)</f>
        <v>5729.8973246318201</v>
      </c>
      <c r="E20" s="1267">
        <f>SUM(outw!F185:F199)</f>
        <v>115.77555524607384</v>
      </c>
      <c r="K20" s="1267">
        <f t="shared" si="0"/>
        <v>2.0205520044552124E-2</v>
      </c>
    </row>
    <row r="21" spans="2:11">
      <c r="B21" s="1267" t="s">
        <v>1932</v>
      </c>
      <c r="D21" s="1267">
        <f>SUM(outw!F218:F220)</f>
        <v>16059.379936218702</v>
      </c>
      <c r="E21" s="1267">
        <f>SUM(outw!F203:F217)</f>
        <v>9722.7626862743127</v>
      </c>
      <c r="K21" s="1267">
        <f t="shared" si="0"/>
        <v>0.60542578386520252</v>
      </c>
    </row>
    <row r="22" spans="2:11">
      <c r="B22" s="1267" t="s">
        <v>1930</v>
      </c>
      <c r="D22" s="1267">
        <f>SUM(outw!F236:F238)</f>
        <v>816.62366053814003</v>
      </c>
      <c r="E22" s="1267">
        <f>SUM(outw!F221:F235)</f>
        <v>240.19952321464564</v>
      </c>
      <c r="K22" s="1267">
        <f t="shared" si="0"/>
        <v>0.2941373546002311</v>
      </c>
    </row>
    <row r="23" spans="2:11">
      <c r="B23" s="1267" t="s">
        <v>693</v>
      </c>
      <c r="K23" s="1267" t="e">
        <f t="shared" si="0"/>
        <v>#DIV/0!</v>
      </c>
    </row>
    <row r="24" spans="2:11">
      <c r="B24" s="1267" t="s">
        <v>1929</v>
      </c>
      <c r="K24" s="1267" t="e">
        <f t="shared" si="0"/>
        <v>#DIV/0!</v>
      </c>
    </row>
    <row r="25" spans="2:11">
      <c r="B25" s="1267" t="s">
        <v>1896</v>
      </c>
      <c r="D25" s="1267">
        <f>SUM(outw!F272:F274)</f>
        <v>56569.045266282003</v>
      </c>
      <c r="E25" s="1267">
        <f>SUM(outw!F257:F271)</f>
        <v>17280.92424545659</v>
      </c>
      <c r="K25" s="1267">
        <f t="shared" si="0"/>
        <v>0.30548375289191754</v>
      </c>
    </row>
    <row r="26" spans="2:11">
      <c r="B26" s="1267" t="s">
        <v>1436</v>
      </c>
      <c r="D26" s="1267">
        <f>SUM(outw!F287:F289)</f>
        <v>290628.56279475399</v>
      </c>
      <c r="E26" s="1267">
        <f>SUM(outw!F275:F286)</f>
        <v>42230.240473814978</v>
      </c>
      <c r="K26" s="1267">
        <f t="shared" si="0"/>
        <v>0.1453065729937858</v>
      </c>
    </row>
    <row r="27" spans="2:11">
      <c r="B27" s="1267" t="s">
        <v>2748</v>
      </c>
      <c r="D27" s="1267">
        <f>SUM(outw!F305:F307)</f>
        <v>15236.645636999998</v>
      </c>
      <c r="E27" s="1267">
        <f>SUM(outw!F290:F304)</f>
        <v>2140.6319209999992</v>
      </c>
      <c r="K27" s="1267">
        <f t="shared" si="0"/>
        <v>0.14049233486153823</v>
      </c>
    </row>
    <row r="28" spans="2:11">
      <c r="B28" s="1267" t="s">
        <v>1926</v>
      </c>
      <c r="K28" s="1267" t="e">
        <f t="shared" si="0"/>
        <v>#DIV/0!</v>
      </c>
    </row>
    <row r="29" spans="2:11">
      <c r="B29" s="1267" t="s">
        <v>697</v>
      </c>
      <c r="K29" s="1267" t="e">
        <f t="shared" si="0"/>
        <v>#DIV/0!</v>
      </c>
    </row>
    <row r="30" spans="2:11">
      <c r="B30" s="1267" t="s">
        <v>1894</v>
      </c>
      <c r="K30" s="1267" t="e">
        <f t="shared" si="0"/>
        <v>#DIV/0!</v>
      </c>
    </row>
    <row r="31" spans="2:11">
      <c r="B31" s="1267" t="s">
        <v>694</v>
      </c>
      <c r="K31" s="1267" t="e">
        <f t="shared" si="0"/>
        <v>#DIV/0!</v>
      </c>
    </row>
    <row r="32" spans="2:11">
      <c r="B32" s="1278" t="s">
        <v>1923</v>
      </c>
      <c r="C32" s="1278"/>
      <c r="K32" s="1267" t="e">
        <f t="shared" si="0"/>
        <v>#DIV/0!</v>
      </c>
    </row>
    <row r="33" spans="2:11">
      <c r="B33" s="1267" t="s">
        <v>1897</v>
      </c>
      <c r="D33" s="1267">
        <f>SUM(outw!F392:F394)</f>
        <v>28798.358685359002</v>
      </c>
      <c r="E33" s="1267">
        <f>SUM(outw!F377:F391)</f>
        <v>4282.5277937833707</v>
      </c>
      <c r="K33" s="1267">
        <f t="shared" si="0"/>
        <v>0.14870735657447709</v>
      </c>
    </row>
    <row r="34" spans="2:11">
      <c r="B34" s="1304" t="s">
        <v>2769</v>
      </c>
      <c r="C34" s="1304"/>
      <c r="K34" s="1267" t="e">
        <f t="shared" si="0"/>
        <v>#DIV/0!</v>
      </c>
    </row>
    <row r="35" spans="2:11">
      <c r="B35" s="1267" t="s">
        <v>1919</v>
      </c>
      <c r="D35" s="1267">
        <f>SUM(outw!F410:F412)</f>
        <v>4060.4997365617601</v>
      </c>
      <c r="E35" s="1267">
        <f>SUM(outw!F395:F409)</f>
        <v>995.62211105586209</v>
      </c>
      <c r="K35" s="1267">
        <f t="shared" si="0"/>
        <v>0.24519694019212226</v>
      </c>
    </row>
    <row r="36" spans="2:11">
      <c r="B36" s="1267" t="s">
        <v>1915</v>
      </c>
      <c r="D36" s="1267">
        <f>(3/2)*(SUM(outw!F441:F442))</f>
        <v>777.10543456146002</v>
      </c>
      <c r="E36" s="1267">
        <f>(3/2)*(SUM(outw!F431:F440))</f>
        <v>153.4874523180583</v>
      </c>
      <c r="K36" s="1267">
        <f t="shared" si="0"/>
        <v>0.19751174743061101</v>
      </c>
    </row>
    <row r="37" spans="2:11">
      <c r="B37" s="1267" t="s">
        <v>1914</v>
      </c>
      <c r="D37" s="1267">
        <f>SUM(outw!F458:F460)</f>
        <v>147.28639121905201</v>
      </c>
      <c r="E37" s="1267">
        <f>SUM(outw!F443:F457)</f>
        <v>-8.1164233909853607</v>
      </c>
      <c r="K37" s="1267">
        <f t="shared" si="0"/>
        <v>-5.5106404086676226E-2</v>
      </c>
    </row>
    <row r="38" spans="2:11">
      <c r="B38" s="1267" t="s">
        <v>1941</v>
      </c>
      <c r="K38" s="1267" t="e">
        <f t="shared" si="0"/>
        <v>#DIV/0!</v>
      </c>
    </row>
    <row r="39" spans="2:11">
      <c r="B39" s="1267" t="s">
        <v>1913</v>
      </c>
      <c r="D39" s="1267">
        <f>SUM(outw!F494:F496)</f>
        <v>92908.871284777997</v>
      </c>
      <c r="E39" s="1267">
        <f>SUM(outw!F479:F493)</f>
        <v>19855.882128493155</v>
      </c>
      <c r="K39" s="1267">
        <f t="shared" si="0"/>
        <v>0.21371352222795006</v>
      </c>
    </row>
    <row r="40" spans="2:11">
      <c r="B40" s="1267" t="s">
        <v>695</v>
      </c>
      <c r="K40" s="1267" t="e">
        <f>E40/D40</f>
        <v>#DIV/0!</v>
      </c>
    </row>
    <row r="41" spans="2:11">
      <c r="B41" s="1267" t="s">
        <v>1911</v>
      </c>
      <c r="K41" s="1267" t="e">
        <f t="shared" si="0"/>
        <v>#DIV/0!</v>
      </c>
    </row>
    <row r="42" spans="2:11">
      <c r="B42" s="1267" t="s">
        <v>1892</v>
      </c>
      <c r="D42" s="1267">
        <f>SUM(outw!F538:F540)</f>
        <v>267696.42911469901</v>
      </c>
      <c r="E42" s="1267">
        <f>SUM(outw!F523:F537)</f>
        <v>52829.415160086988</v>
      </c>
      <c r="K42" s="1267">
        <f t="shared" si="0"/>
        <v>0.19734822513247399</v>
      </c>
    </row>
    <row r="43" spans="2:11">
      <c r="B43" s="1267" t="s">
        <v>1900</v>
      </c>
      <c r="D43" s="1267">
        <f>SUM(outw!F556:F558)</f>
        <v>1262472</v>
      </c>
      <c r="E43" s="1267">
        <f>SUM(outw!F541:F555)</f>
        <v>600183</v>
      </c>
      <c r="K43" s="1267">
        <f t="shared" si="0"/>
        <v>0.4754030188392297</v>
      </c>
    </row>
    <row r="44" spans="2:11">
      <c r="B44" s="1267" t="s">
        <v>1907</v>
      </c>
      <c r="K44" s="1267" t="e">
        <f t="shared" si="0"/>
        <v>#DIV/0!</v>
      </c>
    </row>
    <row r="45" spans="2:11">
      <c r="K45" s="1267" t="e">
        <f t="shared" si="0"/>
        <v>#DIV/0!</v>
      </c>
    </row>
    <row r="46" spans="2:11">
      <c r="B46" s="1267" t="s">
        <v>2768</v>
      </c>
      <c r="D46" s="1267">
        <f>SUM(D37,D36,D35,D16,D21)</f>
        <v>22331.739910225995</v>
      </c>
      <c r="E46" s="1267">
        <f>SUM(E37,E36,E35,E16,E21)</f>
        <v>10917.480383440003</v>
      </c>
      <c r="K46" s="1267">
        <f t="shared" si="0"/>
        <v>0.48887728530461461</v>
      </c>
    </row>
    <row r="47" spans="2:11">
      <c r="K47" s="1267" t="e">
        <f t="shared" si="0"/>
        <v>#DIV/0!</v>
      </c>
    </row>
    <row r="48" spans="2:11">
      <c r="B48" s="1267" t="s">
        <v>2</v>
      </c>
      <c r="D48" s="1267">
        <f>D46+D42+D39+D33+D25+D22+D20+D19+D18+D15</f>
        <v>974923.92111148289</v>
      </c>
      <c r="E48" s="1267">
        <f>E46+E42+E39+E33+E25+E22+E20+E19+E18+E15</f>
        <v>213692.52647660486</v>
      </c>
      <c r="K48" s="1267">
        <f t="shared" si="0"/>
        <v>0.21918892525786024</v>
      </c>
    </row>
    <row r="49" spans="1:11">
      <c r="B49" s="1267" t="s">
        <v>2751</v>
      </c>
      <c r="D49" s="1267">
        <f>D27+D26</f>
        <v>305865.20843175397</v>
      </c>
      <c r="E49" s="1267">
        <f>E27+E26</f>
        <v>44370.872394814978</v>
      </c>
      <c r="K49" s="1267">
        <f t="shared" si="0"/>
        <v>0.14506675218902906</v>
      </c>
    </row>
    <row r="53" spans="1:11">
      <c r="B53" s="1267" t="s">
        <v>2750</v>
      </c>
      <c r="C53" s="1267" t="s">
        <v>2747</v>
      </c>
    </row>
    <row r="54" spans="1:11" ht="45" customHeight="1">
      <c r="A54" s="1269" t="s">
        <v>2767</v>
      </c>
      <c r="B54" s="1278" t="s">
        <v>1895</v>
      </c>
      <c r="C54" s="1267">
        <v>0.54998578948207055</v>
      </c>
    </row>
    <row r="55" spans="1:11">
      <c r="B55" s="1267" t="s">
        <v>1942</v>
      </c>
      <c r="C55" s="1267">
        <v>0.24342074960625124</v>
      </c>
    </row>
    <row r="56" spans="1:11">
      <c r="B56" s="1267" t="s">
        <v>1890</v>
      </c>
      <c r="C56" s="1267">
        <v>0.23956444921923045</v>
      </c>
    </row>
    <row r="57" spans="1:11">
      <c r="B57" s="1267" t="s">
        <v>1891</v>
      </c>
      <c r="C57" s="1267">
        <v>0.18990020004572372</v>
      </c>
    </row>
    <row r="58" spans="1:11" ht="15" customHeight="1">
      <c r="B58" s="1267" t="s">
        <v>1935</v>
      </c>
      <c r="C58" s="1267">
        <v>2.0205520044552124E-2</v>
      </c>
    </row>
    <row r="59" spans="1:11">
      <c r="B59" s="1267" t="s">
        <v>1930</v>
      </c>
      <c r="C59" s="1267">
        <v>0.2941373546002311</v>
      </c>
    </row>
    <row r="60" spans="1:11">
      <c r="B60" s="1267" t="s">
        <v>1896</v>
      </c>
      <c r="C60" s="1267">
        <v>0.30548375289191754</v>
      </c>
    </row>
    <row r="61" spans="1:11">
      <c r="B61" s="1267" t="s">
        <v>1436</v>
      </c>
      <c r="C61" s="1267">
        <v>0.1453065729937858</v>
      </c>
    </row>
    <row r="62" spans="1:11">
      <c r="B62" s="1267" t="s">
        <v>2748</v>
      </c>
      <c r="C62" s="1267">
        <v>0.14049233486153823</v>
      </c>
    </row>
    <row r="63" spans="1:11">
      <c r="B63" s="1267" t="s">
        <v>1897</v>
      </c>
      <c r="C63" s="1267">
        <v>0.14870735657447709</v>
      </c>
    </row>
    <row r="64" spans="1:11">
      <c r="B64" s="1267" t="s">
        <v>1913</v>
      </c>
      <c r="C64" s="1267">
        <v>0.21371352222795006</v>
      </c>
    </row>
    <row r="65" spans="1:3">
      <c r="B65" s="1267" t="s">
        <v>1892</v>
      </c>
      <c r="C65" s="1267">
        <v>0.19734822513247399</v>
      </c>
    </row>
    <row r="66" spans="1:3">
      <c r="B66" s="1267" t="s">
        <v>1900</v>
      </c>
      <c r="C66" s="1267">
        <v>0.4754030188392297</v>
      </c>
    </row>
    <row r="67" spans="1:3" ht="77.25" customHeight="1">
      <c r="A67" s="1267" t="s">
        <v>2824</v>
      </c>
      <c r="B67" s="1278" t="s">
        <v>2766</v>
      </c>
      <c r="C67" s="1267">
        <f>K46</f>
        <v>0.48887728530461461</v>
      </c>
    </row>
    <row r="72" spans="1:3">
      <c r="B72" s="1267" t="s">
        <v>2750</v>
      </c>
      <c r="C72" s="1267" t="s">
        <v>2747</v>
      </c>
    </row>
    <row r="73" spans="1:3">
      <c r="B73" s="1267" t="s">
        <v>2</v>
      </c>
      <c r="C73" s="1267">
        <v>0.21918892525786024</v>
      </c>
    </row>
    <row r="74" spans="1:3">
      <c r="B74" s="1267" t="s">
        <v>2751</v>
      </c>
      <c r="C74" s="1267">
        <v>0.14506675218902906</v>
      </c>
    </row>
    <row r="75" spans="1:3">
      <c r="B75" s="1267" t="s">
        <v>1900</v>
      </c>
      <c r="C75" s="1267">
        <v>0.4754030188392297</v>
      </c>
    </row>
  </sheetData>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8"/>
  <sheetViews>
    <sheetView workbookViewId="0">
      <selection activeCell="X67" sqref="X67"/>
    </sheetView>
  </sheetViews>
  <sheetFormatPr baseColWidth="10" defaultColWidth="9" defaultRowHeight="15" x14ac:dyDescent="0"/>
  <cols>
    <col min="1" max="16384" width="9" style="1267"/>
  </cols>
  <sheetData>
    <row r="1" spans="1:6">
      <c r="A1" s="1267" t="s">
        <v>2781</v>
      </c>
      <c r="B1" s="1267" t="s">
        <v>2780</v>
      </c>
      <c r="C1" s="1267" t="s">
        <v>2779</v>
      </c>
      <c r="D1" s="1267" t="s">
        <v>791</v>
      </c>
      <c r="E1" s="1267" t="s">
        <v>2778</v>
      </c>
      <c r="F1" s="1267" t="s">
        <v>2777</v>
      </c>
    </row>
    <row r="2" spans="1:6">
      <c r="A2" s="1267" t="s">
        <v>1948</v>
      </c>
      <c r="B2" s="1267" t="s">
        <v>2776</v>
      </c>
      <c r="C2" s="1267" t="s">
        <v>693</v>
      </c>
      <c r="D2" s="1267">
        <v>2014</v>
      </c>
      <c r="E2" s="1267" t="s">
        <v>2774</v>
      </c>
      <c r="F2" s="1278">
        <v>-30.647196682892002</v>
      </c>
    </row>
    <row r="3" spans="1:6">
      <c r="A3" s="1267" t="s">
        <v>1948</v>
      </c>
      <c r="B3" s="1267" t="s">
        <v>2776</v>
      </c>
      <c r="C3" s="1267" t="s">
        <v>693</v>
      </c>
      <c r="D3" s="1267">
        <v>2015</v>
      </c>
      <c r="E3" s="1267" t="s">
        <v>2774</v>
      </c>
      <c r="F3" s="1267">
        <f>AVERAGE(F2,F4)</f>
        <v>-23.500213222885002</v>
      </c>
    </row>
    <row r="4" spans="1:6">
      <c r="A4" s="1267" t="s">
        <v>1948</v>
      </c>
      <c r="B4" s="1267" t="s">
        <v>2776</v>
      </c>
      <c r="C4" s="1267" t="s">
        <v>693</v>
      </c>
      <c r="D4" s="1267">
        <v>2016</v>
      </c>
      <c r="E4" s="1267" t="s">
        <v>2774</v>
      </c>
      <c r="F4" s="1278">
        <v>-16.353229762878001</v>
      </c>
    </row>
    <row r="5" spans="1:6">
      <c r="A5" s="1267" t="s">
        <v>1948</v>
      </c>
      <c r="B5" s="1267" t="s">
        <v>2776</v>
      </c>
      <c r="C5" s="1267" t="s">
        <v>697</v>
      </c>
      <c r="D5" s="1267">
        <v>2014</v>
      </c>
      <c r="E5" s="1267" t="s">
        <v>2774</v>
      </c>
    </row>
    <row r="6" spans="1:6">
      <c r="A6" s="1267" t="s">
        <v>1948</v>
      </c>
      <c r="B6" s="1267" t="s">
        <v>2776</v>
      </c>
      <c r="C6" s="1267" t="s">
        <v>697</v>
      </c>
      <c r="D6" s="1267">
        <v>2015</v>
      </c>
      <c r="E6" s="1267" t="s">
        <v>2774</v>
      </c>
    </row>
    <row r="7" spans="1:6">
      <c r="A7" s="1267" t="s">
        <v>1948</v>
      </c>
      <c r="B7" s="1267" t="s">
        <v>2776</v>
      </c>
      <c r="C7" s="1267" t="s">
        <v>697</v>
      </c>
      <c r="D7" s="1267">
        <v>2016</v>
      </c>
      <c r="E7" s="1267" t="s">
        <v>2774</v>
      </c>
    </row>
    <row r="8" spans="1:6">
      <c r="A8" s="1267" t="s">
        <v>1948</v>
      </c>
      <c r="B8" s="1267" t="s">
        <v>2776</v>
      </c>
      <c r="C8" s="1267" t="s">
        <v>694</v>
      </c>
      <c r="D8" s="1267">
        <v>2014</v>
      </c>
      <c r="E8" s="1267" t="s">
        <v>2774</v>
      </c>
      <c r="F8" s="1278">
        <v>406.49184762190998</v>
      </c>
    </row>
    <row r="9" spans="1:6">
      <c r="A9" s="1267" t="s">
        <v>1948</v>
      </c>
      <c r="B9" s="1267" t="s">
        <v>2776</v>
      </c>
      <c r="C9" s="1267" t="s">
        <v>694</v>
      </c>
      <c r="D9" s="1267">
        <v>2015</v>
      </c>
      <c r="E9" s="1267" t="s">
        <v>2774</v>
      </c>
      <c r="F9" s="1267">
        <v>406.49184762190998</v>
      </c>
    </row>
    <row r="10" spans="1:6">
      <c r="A10" s="1267" t="s">
        <v>1948</v>
      </c>
      <c r="B10" s="1267" t="s">
        <v>2776</v>
      </c>
      <c r="C10" s="1267" t="s">
        <v>694</v>
      </c>
      <c r="D10" s="1267">
        <v>2016</v>
      </c>
      <c r="E10" s="1267" t="s">
        <v>2774</v>
      </c>
      <c r="F10" s="1278">
        <v>406.49184762190998</v>
      </c>
    </row>
    <row r="11" spans="1:6">
      <c r="A11" s="1267" t="s">
        <v>1948</v>
      </c>
      <c r="B11" s="1267" t="s">
        <v>2776</v>
      </c>
      <c r="C11" s="1267" t="s">
        <v>696</v>
      </c>
      <c r="D11" s="1267">
        <v>2014</v>
      </c>
      <c r="E11" s="1267" t="s">
        <v>2774</v>
      </c>
      <c r="F11" s="1267">
        <v>1260.1406165495</v>
      </c>
    </row>
    <row r="12" spans="1:6">
      <c r="A12" s="1267" t="s">
        <v>1948</v>
      </c>
      <c r="B12" s="1267" t="s">
        <v>2776</v>
      </c>
      <c r="C12" s="1267" t="s">
        <v>696</v>
      </c>
      <c r="D12" s="1267">
        <v>2015</v>
      </c>
      <c r="E12" s="1267" t="s">
        <v>2774</v>
      </c>
      <c r="F12" s="1267">
        <v>973.77714328649995</v>
      </c>
    </row>
    <row r="13" spans="1:6">
      <c r="A13" s="1267" t="s">
        <v>1948</v>
      </c>
      <c r="B13" s="1267" t="s">
        <v>2776</v>
      </c>
      <c r="C13" s="1267" t="s">
        <v>696</v>
      </c>
      <c r="D13" s="1267">
        <v>2016</v>
      </c>
      <c r="E13" s="1267" t="s">
        <v>2774</v>
      </c>
      <c r="F13" s="1267">
        <v>692.78227904557002</v>
      </c>
    </row>
    <row r="14" spans="1:6">
      <c r="A14" s="1267" t="s">
        <v>1948</v>
      </c>
      <c r="B14" s="1267" t="s">
        <v>2776</v>
      </c>
      <c r="C14" s="1267" t="s">
        <v>695</v>
      </c>
      <c r="D14" s="1267">
        <v>2014</v>
      </c>
      <c r="E14" s="1267" t="s">
        <v>2774</v>
      </c>
    </row>
    <row r="15" spans="1:6">
      <c r="A15" s="1267" t="s">
        <v>1948</v>
      </c>
      <c r="B15" s="1267" t="s">
        <v>2776</v>
      </c>
      <c r="C15" s="1267" t="s">
        <v>695</v>
      </c>
      <c r="D15" s="1267">
        <v>2015</v>
      </c>
      <c r="E15" s="1267" t="s">
        <v>2774</v>
      </c>
    </row>
    <row r="16" spans="1:6">
      <c r="A16" s="1267" t="s">
        <v>1948</v>
      </c>
      <c r="B16" s="1267" t="s">
        <v>2776</v>
      </c>
      <c r="C16" s="1267" t="s">
        <v>695</v>
      </c>
      <c r="D16" s="1267">
        <v>2016</v>
      </c>
      <c r="E16" s="1267" t="s">
        <v>2774</v>
      </c>
    </row>
    <row r="17" spans="1:6">
      <c r="A17" s="1267" t="s">
        <v>1948</v>
      </c>
      <c r="B17" s="1267" t="s">
        <v>2776</v>
      </c>
      <c r="C17" s="1267" t="s">
        <v>2775</v>
      </c>
      <c r="D17" s="1267">
        <v>2014</v>
      </c>
      <c r="E17" s="1267" t="s">
        <v>2774</v>
      </c>
      <c r="F17" s="1267">
        <v>19155.399314945</v>
      </c>
    </row>
    <row r="18" spans="1:6">
      <c r="A18" s="1267" t="s">
        <v>1948</v>
      </c>
      <c r="B18" s="1267" t="s">
        <v>2776</v>
      </c>
      <c r="C18" s="1267" t="s">
        <v>2775</v>
      </c>
      <c r="D18" s="1267">
        <v>2015</v>
      </c>
      <c r="E18" s="1267" t="s">
        <v>2774</v>
      </c>
      <c r="F18" s="1267">
        <v>13385.678863927</v>
      </c>
    </row>
    <row r="19" spans="1:6">
      <c r="A19" s="1267" t="s">
        <v>1948</v>
      </c>
      <c r="B19" s="1267" t="s">
        <v>2776</v>
      </c>
      <c r="C19" s="1267" t="s">
        <v>2775</v>
      </c>
      <c r="D19" s="1267">
        <v>2016</v>
      </c>
      <c r="E19" s="1267" t="s">
        <v>2774</v>
      </c>
      <c r="F19" s="1267">
        <v>20429.643945587999</v>
      </c>
    </row>
    <row r="20" spans="1:6">
      <c r="A20" s="1267" t="s">
        <v>1947</v>
      </c>
      <c r="B20" s="1267" t="s">
        <v>2776</v>
      </c>
      <c r="C20" s="1267" t="s">
        <v>693</v>
      </c>
      <c r="D20" s="1267">
        <v>2014</v>
      </c>
      <c r="E20" s="1267" t="s">
        <v>2774</v>
      </c>
    </row>
    <row r="21" spans="1:6">
      <c r="A21" s="1267" t="s">
        <v>1947</v>
      </c>
      <c r="B21" s="1267" t="s">
        <v>2776</v>
      </c>
      <c r="C21" s="1267" t="s">
        <v>693</v>
      </c>
      <c r="D21" s="1267">
        <v>2015</v>
      </c>
      <c r="E21" s="1267" t="s">
        <v>2774</v>
      </c>
    </row>
    <row r="22" spans="1:6">
      <c r="A22" s="1267" t="s">
        <v>1947</v>
      </c>
      <c r="B22" s="1267" t="s">
        <v>2776</v>
      </c>
      <c r="C22" s="1267" t="s">
        <v>693</v>
      </c>
      <c r="D22" s="1267">
        <v>2016</v>
      </c>
      <c r="E22" s="1267" t="s">
        <v>2774</v>
      </c>
    </row>
    <row r="23" spans="1:6">
      <c r="A23" s="1267" t="s">
        <v>1947</v>
      </c>
      <c r="B23" s="1267" t="s">
        <v>2776</v>
      </c>
      <c r="C23" s="1267" t="s">
        <v>697</v>
      </c>
      <c r="D23" s="1267">
        <v>2014</v>
      </c>
      <c r="E23" s="1267" t="s">
        <v>2774</v>
      </c>
    </row>
    <row r="24" spans="1:6">
      <c r="A24" s="1267" t="s">
        <v>1947</v>
      </c>
      <c r="B24" s="1267" t="s">
        <v>2776</v>
      </c>
      <c r="C24" s="1267" t="s">
        <v>697</v>
      </c>
      <c r="D24" s="1267">
        <v>2015</v>
      </c>
      <c r="E24" s="1267" t="s">
        <v>2774</v>
      </c>
    </row>
    <row r="25" spans="1:6">
      <c r="A25" s="1267" t="s">
        <v>1947</v>
      </c>
      <c r="B25" s="1267" t="s">
        <v>2776</v>
      </c>
      <c r="C25" s="1267" t="s">
        <v>697</v>
      </c>
      <c r="D25" s="1267">
        <v>2016</v>
      </c>
      <c r="E25" s="1267" t="s">
        <v>2774</v>
      </c>
    </row>
    <row r="26" spans="1:6">
      <c r="A26" s="1267" t="s">
        <v>1947</v>
      </c>
      <c r="B26" s="1267" t="s">
        <v>2776</v>
      </c>
      <c r="C26" s="1267" t="s">
        <v>694</v>
      </c>
      <c r="D26" s="1267">
        <v>2014</v>
      </c>
      <c r="E26" s="1267" t="s">
        <v>2774</v>
      </c>
    </row>
    <row r="27" spans="1:6">
      <c r="A27" s="1267" t="s">
        <v>1947</v>
      </c>
      <c r="B27" s="1267" t="s">
        <v>2776</v>
      </c>
      <c r="C27" s="1267" t="s">
        <v>694</v>
      </c>
      <c r="D27" s="1267">
        <v>2015</v>
      </c>
      <c r="E27" s="1267" t="s">
        <v>2774</v>
      </c>
    </row>
    <row r="28" spans="1:6">
      <c r="A28" s="1267" t="s">
        <v>1947</v>
      </c>
      <c r="B28" s="1267" t="s">
        <v>2776</v>
      </c>
      <c r="C28" s="1267" t="s">
        <v>694</v>
      </c>
      <c r="D28" s="1267">
        <v>2016</v>
      </c>
      <c r="E28" s="1267" t="s">
        <v>2774</v>
      </c>
    </row>
    <row r="29" spans="1:6">
      <c r="A29" s="1267" t="s">
        <v>1947</v>
      </c>
      <c r="B29" s="1267" t="s">
        <v>2776</v>
      </c>
      <c r="C29" s="1267" t="s">
        <v>696</v>
      </c>
      <c r="D29" s="1267">
        <v>2014</v>
      </c>
      <c r="E29" s="1267" t="s">
        <v>2774</v>
      </c>
    </row>
    <row r="30" spans="1:6">
      <c r="A30" s="1267" t="s">
        <v>1947</v>
      </c>
      <c r="B30" s="1267" t="s">
        <v>2776</v>
      </c>
      <c r="C30" s="1267" t="s">
        <v>696</v>
      </c>
      <c r="D30" s="1267">
        <v>2015</v>
      </c>
      <c r="E30" s="1267" t="s">
        <v>2774</v>
      </c>
    </row>
    <row r="31" spans="1:6">
      <c r="A31" s="1267" t="s">
        <v>1947</v>
      </c>
      <c r="B31" s="1267" t="s">
        <v>2776</v>
      </c>
      <c r="C31" s="1267" t="s">
        <v>696</v>
      </c>
      <c r="D31" s="1267">
        <v>2016</v>
      </c>
      <c r="E31" s="1267" t="s">
        <v>2774</v>
      </c>
    </row>
    <row r="32" spans="1:6">
      <c r="A32" s="1267" t="s">
        <v>1947</v>
      </c>
      <c r="B32" s="1267" t="s">
        <v>2776</v>
      </c>
      <c r="C32" s="1267" t="s">
        <v>695</v>
      </c>
      <c r="D32" s="1267">
        <v>2014</v>
      </c>
      <c r="E32" s="1267" t="s">
        <v>2774</v>
      </c>
    </row>
    <row r="33" spans="1:6">
      <c r="A33" s="1267" t="s">
        <v>1947</v>
      </c>
      <c r="B33" s="1267" t="s">
        <v>2776</v>
      </c>
      <c r="C33" s="1267" t="s">
        <v>695</v>
      </c>
      <c r="D33" s="1267">
        <v>2015</v>
      </c>
      <c r="E33" s="1267" t="s">
        <v>2774</v>
      </c>
    </row>
    <row r="34" spans="1:6">
      <c r="A34" s="1267" t="s">
        <v>1947</v>
      </c>
      <c r="B34" s="1267" t="s">
        <v>2776</v>
      </c>
      <c r="C34" s="1267" t="s">
        <v>695</v>
      </c>
      <c r="D34" s="1267">
        <v>2016</v>
      </c>
      <c r="E34" s="1267" t="s">
        <v>2774</v>
      </c>
    </row>
    <row r="35" spans="1:6">
      <c r="A35" s="1267" t="s">
        <v>1947</v>
      </c>
      <c r="B35" s="1267" t="s">
        <v>2776</v>
      </c>
      <c r="C35" s="1267" t="s">
        <v>2775</v>
      </c>
      <c r="D35" s="1267">
        <v>2014</v>
      </c>
      <c r="E35" s="1267" t="s">
        <v>2774</v>
      </c>
    </row>
    <row r="36" spans="1:6">
      <c r="A36" s="1267" t="s">
        <v>1947</v>
      </c>
      <c r="B36" s="1267" t="s">
        <v>2776</v>
      </c>
      <c r="C36" s="1267" t="s">
        <v>2775</v>
      </c>
      <c r="D36" s="1267">
        <v>2015</v>
      </c>
      <c r="E36" s="1267" t="s">
        <v>2774</v>
      </c>
    </row>
    <row r="37" spans="1:6">
      <c r="A37" s="1267" t="s">
        <v>1947</v>
      </c>
      <c r="B37" s="1267" t="s">
        <v>2776</v>
      </c>
      <c r="C37" s="1267" t="s">
        <v>2775</v>
      </c>
      <c r="D37" s="1267">
        <v>2016</v>
      </c>
      <c r="E37" s="1267" t="s">
        <v>2774</v>
      </c>
    </row>
    <row r="38" spans="1:6">
      <c r="A38" s="1267" t="s">
        <v>1895</v>
      </c>
      <c r="B38" s="1267" t="s">
        <v>2776</v>
      </c>
      <c r="C38" s="1267" t="s">
        <v>693</v>
      </c>
      <c r="D38" s="1267">
        <v>2014</v>
      </c>
      <c r="E38" s="1267" t="s">
        <v>2774</v>
      </c>
      <c r="F38" s="1267">
        <v>647.47246915218</v>
      </c>
    </row>
    <row r="39" spans="1:6">
      <c r="A39" s="1267" t="s">
        <v>1895</v>
      </c>
      <c r="B39" s="1267" t="s">
        <v>2776</v>
      </c>
      <c r="C39" s="1267" t="s">
        <v>693</v>
      </c>
      <c r="D39" s="1267">
        <v>2015</v>
      </c>
      <c r="E39" s="1267" t="s">
        <v>2774</v>
      </c>
      <c r="F39" s="1267">
        <v>933.99889073765996</v>
      </c>
    </row>
    <row r="40" spans="1:6">
      <c r="A40" s="1267" t="s">
        <v>1895</v>
      </c>
      <c r="B40" s="1267" t="s">
        <v>2776</v>
      </c>
      <c r="C40" s="1267" t="s">
        <v>693</v>
      </c>
      <c r="D40" s="1267">
        <v>2016</v>
      </c>
      <c r="E40" s="1267" t="s">
        <v>2774</v>
      </c>
      <c r="F40" s="1267">
        <v>513.10405838769998</v>
      </c>
    </row>
    <row r="41" spans="1:6">
      <c r="A41" s="1267" t="s">
        <v>1895</v>
      </c>
      <c r="B41" s="1267" t="s">
        <v>2776</v>
      </c>
      <c r="C41" s="1267" t="s">
        <v>697</v>
      </c>
      <c r="D41" s="1267">
        <v>2014</v>
      </c>
      <c r="E41" s="1267" t="s">
        <v>2774</v>
      </c>
      <c r="F41" s="1267">
        <v>6368.5816637919997</v>
      </c>
    </row>
    <row r="42" spans="1:6">
      <c r="A42" s="1267" t="s">
        <v>1895</v>
      </c>
      <c r="B42" s="1267" t="s">
        <v>2776</v>
      </c>
      <c r="C42" s="1267" t="s">
        <v>697</v>
      </c>
      <c r="D42" s="1267">
        <v>2015</v>
      </c>
      <c r="E42" s="1267" t="s">
        <v>2774</v>
      </c>
      <c r="F42" s="1267">
        <v>1762.6178591237001</v>
      </c>
    </row>
    <row r="43" spans="1:6">
      <c r="A43" s="1267" t="s">
        <v>1895</v>
      </c>
      <c r="B43" s="1267" t="s">
        <v>2776</v>
      </c>
      <c r="C43" s="1267" t="s">
        <v>697</v>
      </c>
      <c r="D43" s="1267">
        <v>2016</v>
      </c>
      <c r="E43" s="1267" t="s">
        <v>2774</v>
      </c>
      <c r="F43" s="1267">
        <v>-415.79121972796997</v>
      </c>
    </row>
    <row r="44" spans="1:6">
      <c r="A44" s="1267" t="s">
        <v>1895</v>
      </c>
      <c r="B44" s="1267" t="s">
        <v>2776</v>
      </c>
      <c r="C44" s="1267" t="s">
        <v>694</v>
      </c>
      <c r="D44" s="1267">
        <v>2014</v>
      </c>
      <c r="E44" s="1267" t="s">
        <v>2774</v>
      </c>
      <c r="F44" s="1267">
        <v>7029.3220114103997</v>
      </c>
    </row>
    <row r="45" spans="1:6">
      <c r="A45" s="1267" t="s">
        <v>1895</v>
      </c>
      <c r="B45" s="1267" t="s">
        <v>2776</v>
      </c>
      <c r="C45" s="1267" t="s">
        <v>694</v>
      </c>
      <c r="D45" s="1267">
        <v>2015</v>
      </c>
      <c r="E45" s="1267" t="s">
        <v>2774</v>
      </c>
      <c r="F45" s="1267">
        <v>3750.4159733777001</v>
      </c>
    </row>
    <row r="46" spans="1:6">
      <c r="A46" s="1267" t="s">
        <v>1895</v>
      </c>
      <c r="B46" s="1267" t="s">
        <v>2776</v>
      </c>
      <c r="C46" s="1267" t="s">
        <v>694</v>
      </c>
      <c r="D46" s="1267">
        <v>2016</v>
      </c>
      <c r="E46" s="1267" t="s">
        <v>2774</v>
      </c>
      <c r="F46" s="1267">
        <v>7811.5669578679999</v>
      </c>
    </row>
    <row r="47" spans="1:6">
      <c r="A47" s="1267" t="s">
        <v>1895</v>
      </c>
      <c r="B47" s="1267" t="s">
        <v>2776</v>
      </c>
      <c r="C47" s="1267" t="s">
        <v>696</v>
      </c>
      <c r="D47" s="1267">
        <v>2014</v>
      </c>
      <c r="E47" s="1267" t="s">
        <v>2774</v>
      </c>
      <c r="F47" s="1267">
        <v>104.81623988324</v>
      </c>
    </row>
    <row r="48" spans="1:6">
      <c r="A48" s="1267" t="s">
        <v>1895</v>
      </c>
      <c r="B48" s="1267" t="s">
        <v>2776</v>
      </c>
      <c r="C48" s="1267" t="s">
        <v>696</v>
      </c>
      <c r="D48" s="1267">
        <v>2015</v>
      </c>
      <c r="E48" s="1267" t="s">
        <v>2774</v>
      </c>
      <c r="F48" s="1267">
        <v>153.07820299501</v>
      </c>
    </row>
    <row r="49" spans="1:6">
      <c r="A49" s="1267" t="s">
        <v>1895</v>
      </c>
      <c r="B49" s="1267" t="s">
        <v>2776</v>
      </c>
      <c r="C49" s="1267" t="s">
        <v>696</v>
      </c>
      <c r="D49" s="1267">
        <v>2016</v>
      </c>
      <c r="E49" s="1267" t="s">
        <v>2774</v>
      </c>
      <c r="F49" s="1267">
        <v>297.46765453941998</v>
      </c>
    </row>
    <row r="50" spans="1:6">
      <c r="A50" s="1267" t="s">
        <v>1895</v>
      </c>
      <c r="B50" s="1267" t="s">
        <v>2776</v>
      </c>
      <c r="C50" s="1267" t="s">
        <v>695</v>
      </c>
      <c r="D50" s="1267">
        <v>2014</v>
      </c>
      <c r="E50" s="1267" t="s">
        <v>2774</v>
      </c>
      <c r="F50" s="1267">
        <v>201.67175268675001</v>
      </c>
    </row>
    <row r="51" spans="1:6">
      <c r="A51" s="1267" t="s">
        <v>1895</v>
      </c>
      <c r="B51" s="1267" t="s">
        <v>2776</v>
      </c>
      <c r="C51" s="1267" t="s">
        <v>695</v>
      </c>
      <c r="D51" s="1267">
        <v>2015</v>
      </c>
      <c r="E51" s="1267" t="s">
        <v>2774</v>
      </c>
      <c r="F51" s="1267">
        <v>112.03549639489999</v>
      </c>
    </row>
    <row r="52" spans="1:6">
      <c r="A52" s="1267" t="s">
        <v>1895</v>
      </c>
      <c r="B52" s="1267" t="s">
        <v>2776</v>
      </c>
      <c r="C52" s="1267" t="s">
        <v>695</v>
      </c>
      <c r="D52" s="1267">
        <v>2016</v>
      </c>
      <c r="E52" s="1267" t="s">
        <v>2774</v>
      </c>
      <c r="F52" s="1267">
        <v>152.60422426186</v>
      </c>
    </row>
    <row r="53" spans="1:6">
      <c r="A53" s="1267" t="s">
        <v>1895</v>
      </c>
      <c r="B53" s="1267" t="s">
        <v>2776</v>
      </c>
      <c r="C53" s="1267" t="s">
        <v>2775</v>
      </c>
      <c r="D53" s="1267">
        <v>2014</v>
      </c>
      <c r="E53" s="1267" t="s">
        <v>2774</v>
      </c>
      <c r="F53" s="1267">
        <v>20325.063022423001</v>
      </c>
    </row>
    <row r="54" spans="1:6">
      <c r="A54" s="1267" t="s">
        <v>1895</v>
      </c>
      <c r="B54" s="1267" t="s">
        <v>2776</v>
      </c>
      <c r="C54" s="1267" t="s">
        <v>2775</v>
      </c>
      <c r="D54" s="1267">
        <v>2015</v>
      </c>
      <c r="E54" s="1267" t="s">
        <v>2774</v>
      </c>
      <c r="F54" s="1267">
        <v>13926.788685523999</v>
      </c>
    </row>
    <row r="55" spans="1:6">
      <c r="A55" s="1267" t="s">
        <v>1895</v>
      </c>
      <c r="B55" s="1267" t="s">
        <v>2776</v>
      </c>
      <c r="C55" s="1267" t="s">
        <v>2775</v>
      </c>
      <c r="D55" s="1267">
        <v>2016</v>
      </c>
      <c r="E55" s="1267" t="s">
        <v>2774</v>
      </c>
      <c r="F55" s="1267">
        <v>19245.825500387</v>
      </c>
    </row>
    <row r="56" spans="1:6">
      <c r="A56" s="1267" t="s">
        <v>510</v>
      </c>
      <c r="B56" s="1267" t="s">
        <v>2776</v>
      </c>
      <c r="C56" s="1267" t="s">
        <v>2775</v>
      </c>
      <c r="D56" s="1267">
        <v>2014</v>
      </c>
      <c r="E56" s="1267" t="s">
        <v>2774</v>
      </c>
      <c r="F56" s="1267">
        <v>46641.622159862003</v>
      </c>
    </row>
    <row r="57" spans="1:6">
      <c r="A57" s="1267" t="s">
        <v>510</v>
      </c>
      <c r="B57" s="1267" t="s">
        <v>2776</v>
      </c>
      <c r="C57" s="1267" t="s">
        <v>2775</v>
      </c>
      <c r="D57" s="1267">
        <v>2015</v>
      </c>
      <c r="E57" s="1267" t="s">
        <v>2774</v>
      </c>
      <c r="F57" s="1267">
        <v>40494.406633810999</v>
      </c>
    </row>
    <row r="58" spans="1:6">
      <c r="A58" s="1267" t="s">
        <v>510</v>
      </c>
      <c r="B58" s="1267" t="s">
        <v>2776</v>
      </c>
      <c r="C58" s="1267" t="s">
        <v>2775</v>
      </c>
      <c r="D58" s="1267">
        <v>2016</v>
      </c>
      <c r="E58" s="1267" t="s">
        <v>2774</v>
      </c>
      <c r="F58" s="1267">
        <v>38812.433982194001</v>
      </c>
    </row>
    <row r="59" spans="1:6">
      <c r="A59" s="1267" t="s">
        <v>1944</v>
      </c>
      <c r="B59" s="1267" t="s">
        <v>2776</v>
      </c>
      <c r="C59" s="1267" t="s">
        <v>693</v>
      </c>
      <c r="D59" s="1267">
        <v>2014</v>
      </c>
      <c r="E59" s="1267" t="s">
        <v>2774</v>
      </c>
    </row>
    <row r="60" spans="1:6">
      <c r="A60" s="1267" t="s">
        <v>1944</v>
      </c>
      <c r="B60" s="1267" t="s">
        <v>2776</v>
      </c>
      <c r="C60" s="1267" t="s">
        <v>693</v>
      </c>
      <c r="D60" s="1267">
        <v>2015</v>
      </c>
      <c r="E60" s="1267" t="s">
        <v>2774</v>
      </c>
    </row>
    <row r="61" spans="1:6">
      <c r="A61" s="1267" t="s">
        <v>1944</v>
      </c>
      <c r="B61" s="1267" t="s">
        <v>2776</v>
      </c>
      <c r="C61" s="1267" t="s">
        <v>693</v>
      </c>
      <c r="D61" s="1267">
        <v>2016</v>
      </c>
      <c r="E61" s="1267" t="s">
        <v>2774</v>
      </c>
    </row>
    <row r="62" spans="1:6">
      <c r="A62" s="1267" t="s">
        <v>1944</v>
      </c>
      <c r="B62" s="1267" t="s">
        <v>2776</v>
      </c>
      <c r="C62" s="1267" t="s">
        <v>697</v>
      </c>
      <c r="D62" s="1267">
        <v>2014</v>
      </c>
      <c r="E62" s="1267" t="s">
        <v>2774</v>
      </c>
      <c r="F62" s="1267">
        <v>26.411130987707001</v>
      </c>
    </row>
    <row r="63" spans="1:6">
      <c r="A63" s="1267" t="s">
        <v>1944</v>
      </c>
      <c r="B63" s="1267" t="s">
        <v>2776</v>
      </c>
      <c r="C63" s="1267" t="s">
        <v>697</v>
      </c>
      <c r="D63" s="1267">
        <v>2015</v>
      </c>
      <c r="E63" s="1267" t="s">
        <v>2774</v>
      </c>
      <c r="F63" s="1267">
        <v>1.4504840721389001</v>
      </c>
    </row>
    <row r="64" spans="1:6">
      <c r="A64" s="1267" t="s">
        <v>1944</v>
      </c>
      <c r="B64" s="1267" t="s">
        <v>2776</v>
      </c>
      <c r="C64" s="1267" t="s">
        <v>697</v>
      </c>
      <c r="D64" s="1267">
        <v>2016</v>
      </c>
      <c r="E64" s="1267" t="s">
        <v>2774</v>
      </c>
      <c r="F64" s="1267">
        <v>15.067788304374</v>
      </c>
    </row>
    <row r="65" spans="1:6">
      <c r="A65" s="1267" t="s">
        <v>1944</v>
      </c>
      <c r="B65" s="1267" t="s">
        <v>2776</v>
      </c>
      <c r="C65" s="1267" t="s">
        <v>694</v>
      </c>
      <c r="D65" s="1267">
        <v>2014</v>
      </c>
      <c r="E65" s="1267" t="s">
        <v>2774</v>
      </c>
      <c r="F65" s="1267">
        <v>25.363706337638</v>
      </c>
    </row>
    <row r="66" spans="1:6">
      <c r="A66" s="1267" t="s">
        <v>1944</v>
      </c>
      <c r="B66" s="1267" t="s">
        <v>2776</v>
      </c>
      <c r="C66" s="1267" t="s">
        <v>694</v>
      </c>
      <c r="D66" s="1267">
        <v>2015</v>
      </c>
      <c r="E66" s="1267" t="s">
        <v>2774</v>
      </c>
      <c r="F66" s="1267">
        <v>49.478592846905997</v>
      </c>
    </row>
    <row r="67" spans="1:6">
      <c r="A67" s="1267" t="s">
        <v>1944</v>
      </c>
      <c r="B67" s="1267" t="s">
        <v>2776</v>
      </c>
      <c r="C67" s="1267" t="s">
        <v>694</v>
      </c>
      <c r="D67" s="1267">
        <v>2016</v>
      </c>
      <c r="E67" s="1267" t="s">
        <v>2774</v>
      </c>
      <c r="F67" s="1267">
        <v>33.33604236931</v>
      </c>
    </row>
    <row r="68" spans="1:6">
      <c r="A68" s="1267" t="s">
        <v>1944</v>
      </c>
      <c r="B68" s="1267" t="s">
        <v>2776</v>
      </c>
      <c r="C68" s="1267" t="s">
        <v>696</v>
      </c>
      <c r="D68" s="1267">
        <v>2014</v>
      </c>
      <c r="E68" s="1267" t="s">
        <v>2774</v>
      </c>
    </row>
    <row r="69" spans="1:6">
      <c r="A69" s="1267" t="s">
        <v>1944</v>
      </c>
      <c r="B69" s="1267" t="s">
        <v>2776</v>
      </c>
      <c r="C69" s="1267" t="s">
        <v>696</v>
      </c>
      <c r="D69" s="1267">
        <v>2015</v>
      </c>
      <c r="E69" s="1267" t="s">
        <v>2774</v>
      </c>
    </row>
    <row r="70" spans="1:6">
      <c r="A70" s="1267" t="s">
        <v>1944</v>
      </c>
      <c r="B70" s="1267" t="s">
        <v>2776</v>
      </c>
      <c r="C70" s="1267" t="s">
        <v>696</v>
      </c>
      <c r="D70" s="1267">
        <v>2016</v>
      </c>
      <c r="E70" s="1267" t="s">
        <v>2774</v>
      </c>
    </row>
    <row r="71" spans="1:6">
      <c r="A71" s="1267" t="s">
        <v>1944</v>
      </c>
      <c r="B71" s="1267" t="s">
        <v>2776</v>
      </c>
      <c r="C71" s="1267" t="s">
        <v>695</v>
      </c>
      <c r="D71" s="1267">
        <v>2014</v>
      </c>
      <c r="E71" s="1267" t="s">
        <v>2774</v>
      </c>
      <c r="F71" s="1267">
        <v>-0.13438384934120001</v>
      </c>
    </row>
    <row r="72" spans="1:6">
      <c r="A72" s="1267" t="s">
        <v>1944</v>
      </c>
      <c r="B72" s="1267" t="s">
        <v>2776</v>
      </c>
      <c r="C72" s="1267" t="s">
        <v>695</v>
      </c>
      <c r="D72" s="1267">
        <v>2015</v>
      </c>
      <c r="E72" s="1267" t="s">
        <v>2774</v>
      </c>
      <c r="F72" s="1267">
        <v>9.5336390124569999</v>
      </c>
    </row>
    <row r="73" spans="1:6">
      <c r="A73" s="1267" t="s">
        <v>1944</v>
      </c>
      <c r="B73" s="1267" t="s">
        <v>2776</v>
      </c>
      <c r="C73" s="1267" t="s">
        <v>695</v>
      </c>
      <c r="D73" s="1267">
        <v>2016</v>
      </c>
      <c r="E73" s="1267" t="s">
        <v>2774</v>
      </c>
      <c r="F73" s="1267">
        <v>-3.6414593543440001</v>
      </c>
    </row>
    <row r="74" spans="1:6">
      <c r="A74" s="1267" t="s">
        <v>1944</v>
      </c>
      <c r="B74" s="1267" t="s">
        <v>2776</v>
      </c>
      <c r="C74" s="1267" t="s">
        <v>2775</v>
      </c>
      <c r="D74" s="1267">
        <v>2014</v>
      </c>
      <c r="E74" s="1267" t="s">
        <v>2774</v>
      </c>
      <c r="F74" s="1267">
        <v>4946.6800905296004</v>
      </c>
    </row>
    <row r="75" spans="1:6">
      <c r="A75" s="1267" t="s">
        <v>1944</v>
      </c>
      <c r="B75" s="1267" t="s">
        <v>2776</v>
      </c>
      <c r="C75" s="1267" t="s">
        <v>2775</v>
      </c>
      <c r="D75" s="1267">
        <v>2015</v>
      </c>
      <c r="E75" s="1267" t="s">
        <v>2774</v>
      </c>
      <c r="F75" s="1267">
        <v>3882.6249462321998</v>
      </c>
    </row>
    <row r="76" spans="1:6">
      <c r="A76" s="1267" t="s">
        <v>1944</v>
      </c>
      <c r="B76" s="1267" t="s">
        <v>2776</v>
      </c>
      <c r="C76" s="1267" t="s">
        <v>2775</v>
      </c>
      <c r="D76" s="1267">
        <v>2016</v>
      </c>
      <c r="E76" s="1267" t="s">
        <v>2774</v>
      </c>
      <c r="F76" s="1267">
        <v>2605.4044452040998</v>
      </c>
    </row>
    <row r="77" spans="1:6">
      <c r="A77" s="1267" t="s">
        <v>1943</v>
      </c>
      <c r="B77" s="1267" t="s">
        <v>2776</v>
      </c>
      <c r="C77" s="1267" t="s">
        <v>693</v>
      </c>
      <c r="D77" s="1267">
        <v>2014</v>
      </c>
      <c r="E77" s="1267" t="s">
        <v>2774</v>
      </c>
      <c r="F77" s="1267">
        <v>0.19481833334939</v>
      </c>
    </row>
    <row r="78" spans="1:6">
      <c r="A78" s="1267" t="s">
        <v>1943</v>
      </c>
      <c r="B78" s="1267" t="s">
        <v>2776</v>
      </c>
      <c r="C78" s="1267" t="s">
        <v>693</v>
      </c>
      <c r="D78" s="1267">
        <v>2015</v>
      </c>
      <c r="E78" s="1267" t="s">
        <v>2774</v>
      </c>
      <c r="F78" s="1267">
        <v>8.1706176554303998</v>
      </c>
    </row>
    <row r="79" spans="1:6">
      <c r="A79" s="1267" t="s">
        <v>1943</v>
      </c>
      <c r="B79" s="1267" t="s">
        <v>2776</v>
      </c>
      <c r="C79" s="1267" t="s">
        <v>693</v>
      </c>
      <c r="D79" s="1267">
        <v>2016</v>
      </c>
      <c r="E79" s="1267" t="s">
        <v>2774</v>
      </c>
      <c r="F79" s="1267">
        <v>-3.7846861370009997E-2</v>
      </c>
    </row>
    <row r="80" spans="1:6">
      <c r="A80" s="1267" t="s">
        <v>1943</v>
      </c>
      <c r="B80" s="1267" t="s">
        <v>2776</v>
      </c>
      <c r="C80" s="1267" t="s">
        <v>697</v>
      </c>
      <c r="D80" s="1267">
        <v>2014</v>
      </c>
      <c r="E80" s="1267" t="s">
        <v>2774</v>
      </c>
      <c r="F80" s="1267">
        <v>1.235439208394</v>
      </c>
    </row>
    <row r="81" spans="1:6">
      <c r="A81" s="1267" t="s">
        <v>1943</v>
      </c>
      <c r="B81" s="1267" t="s">
        <v>2776</v>
      </c>
      <c r="C81" s="1267" t="s">
        <v>697</v>
      </c>
      <c r="D81" s="1267">
        <v>2015</v>
      </c>
      <c r="E81" s="1267" t="s">
        <v>2774</v>
      </c>
      <c r="F81" s="1267">
        <v>-17.822225836619999</v>
      </c>
    </row>
    <row r="82" spans="1:6">
      <c r="A82" s="1267" t="s">
        <v>1943</v>
      </c>
      <c r="B82" s="1267" t="s">
        <v>2776</v>
      </c>
      <c r="C82" s="1267" t="s">
        <v>697</v>
      </c>
      <c r="D82" s="1267">
        <v>2016</v>
      </c>
      <c r="E82" s="1267" t="s">
        <v>2774</v>
      </c>
      <c r="F82" s="1267">
        <v>38.462721864438997</v>
      </c>
    </row>
    <row r="83" spans="1:6">
      <c r="A83" s="1267" t="s">
        <v>1943</v>
      </c>
      <c r="B83" s="1267" t="s">
        <v>2776</v>
      </c>
      <c r="C83" s="1267" t="s">
        <v>694</v>
      </c>
      <c r="D83" s="1267">
        <v>2014</v>
      </c>
      <c r="E83" s="1267" t="s">
        <v>2774</v>
      </c>
      <c r="F83" s="1267">
        <v>558.55278497720997</v>
      </c>
    </row>
    <row r="84" spans="1:6">
      <c r="A84" s="1267" t="s">
        <v>1943</v>
      </c>
      <c r="B84" s="1267" t="s">
        <v>2776</v>
      </c>
      <c r="C84" s="1267" t="s">
        <v>694</v>
      </c>
      <c r="D84" s="1267">
        <v>2015</v>
      </c>
      <c r="E84" s="1267" t="s">
        <v>2774</v>
      </c>
      <c r="F84" s="1267">
        <v>656.90411905827</v>
      </c>
    </row>
    <row r="85" spans="1:6">
      <c r="A85" s="1267" t="s">
        <v>1943</v>
      </c>
      <c r="B85" s="1267" t="s">
        <v>2776</v>
      </c>
      <c r="C85" s="1267" t="s">
        <v>694</v>
      </c>
      <c r="D85" s="1267">
        <v>2016</v>
      </c>
      <c r="E85" s="1267" t="s">
        <v>2774</v>
      </c>
      <c r="F85" s="1267">
        <v>333.73738778916999</v>
      </c>
    </row>
    <row r="86" spans="1:6">
      <c r="A86" s="1267" t="s">
        <v>1943</v>
      </c>
      <c r="B86" s="1267" t="s">
        <v>2776</v>
      </c>
      <c r="C86" s="1267" t="s">
        <v>696</v>
      </c>
      <c r="D86" s="1267">
        <v>2014</v>
      </c>
      <c r="E86" s="1267" t="s">
        <v>2774</v>
      </c>
    </row>
    <row r="87" spans="1:6">
      <c r="A87" s="1267" t="s">
        <v>1943</v>
      </c>
      <c r="B87" s="1267" t="s">
        <v>2776</v>
      </c>
      <c r="C87" s="1267" t="s">
        <v>696</v>
      </c>
      <c r="D87" s="1267">
        <v>2015</v>
      </c>
      <c r="E87" s="1267" t="s">
        <v>2774</v>
      </c>
    </row>
    <row r="88" spans="1:6">
      <c r="A88" s="1267" t="s">
        <v>1943</v>
      </c>
      <c r="B88" s="1267" t="s">
        <v>2776</v>
      </c>
      <c r="C88" s="1267" t="s">
        <v>696</v>
      </c>
      <c r="D88" s="1267">
        <v>2016</v>
      </c>
      <c r="E88" s="1267" t="s">
        <v>2774</v>
      </c>
    </row>
    <row r="89" spans="1:6">
      <c r="A89" s="1267" t="s">
        <v>1943</v>
      </c>
      <c r="B89" s="1267" t="s">
        <v>2776</v>
      </c>
      <c r="C89" s="1267" t="s">
        <v>695</v>
      </c>
      <c r="D89" s="1267">
        <v>2014</v>
      </c>
      <c r="E89" s="1267" t="s">
        <v>2774</v>
      </c>
      <c r="F89" s="1267">
        <v>0.15565233309887999</v>
      </c>
    </row>
    <row r="90" spans="1:6">
      <c r="A90" s="1267" t="s">
        <v>1943</v>
      </c>
      <c r="B90" s="1267" t="s">
        <v>2776</v>
      </c>
      <c r="C90" s="1267" t="s">
        <v>695</v>
      </c>
      <c r="D90" s="1267">
        <v>2015</v>
      </c>
      <c r="E90" s="1267" t="s">
        <v>2774</v>
      </c>
      <c r="F90" s="1267">
        <v>0.11625259220103</v>
      </c>
    </row>
    <row r="91" spans="1:6">
      <c r="A91" s="1267" t="s">
        <v>1943</v>
      </c>
      <c r="B91" s="1267" t="s">
        <v>2776</v>
      </c>
      <c r="C91" s="1267" t="s">
        <v>695</v>
      </c>
      <c r="D91" s="1267">
        <v>2016</v>
      </c>
      <c r="E91" s="1267" t="s">
        <v>2774</v>
      </c>
      <c r="F91" s="1267">
        <v>0.81974255951163</v>
      </c>
    </row>
    <row r="92" spans="1:6">
      <c r="A92" s="1267" t="s">
        <v>1943</v>
      </c>
      <c r="B92" s="1267" t="s">
        <v>2776</v>
      </c>
      <c r="C92" s="1267" t="s">
        <v>2775</v>
      </c>
      <c r="D92" s="1267">
        <v>2014</v>
      </c>
      <c r="E92" s="1267" t="s">
        <v>2774</v>
      </c>
      <c r="F92" s="1267">
        <v>1588.9362552872001</v>
      </c>
    </row>
    <row r="93" spans="1:6">
      <c r="A93" s="1267" t="s">
        <v>1943</v>
      </c>
      <c r="B93" s="1267" t="s">
        <v>2776</v>
      </c>
      <c r="C93" s="1267" t="s">
        <v>2775</v>
      </c>
      <c r="D93" s="1267">
        <v>2015</v>
      </c>
      <c r="E93" s="1267" t="s">
        <v>2774</v>
      </c>
      <c r="F93" s="1267">
        <v>1860.9017606636</v>
      </c>
    </row>
    <row r="94" spans="1:6">
      <c r="A94" s="1267" t="s">
        <v>1943</v>
      </c>
      <c r="B94" s="1267" t="s">
        <v>2776</v>
      </c>
      <c r="C94" s="1267" t="s">
        <v>2775</v>
      </c>
      <c r="D94" s="1267">
        <v>2016</v>
      </c>
      <c r="E94" s="1267" t="s">
        <v>2774</v>
      </c>
      <c r="F94" s="1267">
        <v>1517.907089024</v>
      </c>
    </row>
    <row r="95" spans="1:6">
      <c r="A95" s="1267" t="s">
        <v>1942</v>
      </c>
      <c r="B95" s="1267" t="s">
        <v>2776</v>
      </c>
      <c r="C95" s="1267" t="s">
        <v>693</v>
      </c>
      <c r="D95" s="1267">
        <v>2014</v>
      </c>
      <c r="E95" s="1267" t="s">
        <v>2774</v>
      </c>
      <c r="F95" s="1267">
        <v>178.51104347981001</v>
      </c>
    </row>
    <row r="96" spans="1:6">
      <c r="A96" s="1267" t="s">
        <v>1942</v>
      </c>
      <c r="B96" s="1267" t="s">
        <v>2776</v>
      </c>
      <c r="C96" s="1267" t="s">
        <v>693</v>
      </c>
      <c r="D96" s="1267">
        <v>2015</v>
      </c>
      <c r="E96" s="1267" t="s">
        <v>2774</v>
      </c>
      <c r="F96" s="1267">
        <v>107.50289945579</v>
      </c>
    </row>
    <row r="97" spans="1:6">
      <c r="A97" s="1267" t="s">
        <v>1942</v>
      </c>
      <c r="B97" s="1267" t="s">
        <v>2776</v>
      </c>
      <c r="C97" s="1267" t="s">
        <v>693</v>
      </c>
      <c r="D97" s="1267">
        <v>2016</v>
      </c>
      <c r="E97" s="1267" t="s">
        <v>2774</v>
      </c>
      <c r="F97" s="1267">
        <v>68.936827717358995</v>
      </c>
    </row>
    <row r="98" spans="1:6">
      <c r="A98" s="1267" t="s">
        <v>1942</v>
      </c>
      <c r="B98" s="1267" t="s">
        <v>2776</v>
      </c>
      <c r="C98" s="1267" t="s">
        <v>697</v>
      </c>
      <c r="D98" s="1267">
        <v>2014</v>
      </c>
      <c r="E98" s="1267" t="s">
        <v>2774</v>
      </c>
      <c r="F98" s="1267">
        <v>152.70436221902</v>
      </c>
    </row>
    <row r="99" spans="1:6">
      <c r="A99" s="1267" t="s">
        <v>1942</v>
      </c>
      <c r="B99" s="1267" t="s">
        <v>2776</v>
      </c>
      <c r="C99" s="1267" t="s">
        <v>697</v>
      </c>
      <c r="D99" s="1267">
        <v>2015</v>
      </c>
      <c r="E99" s="1267" t="s">
        <v>2774</v>
      </c>
      <c r="F99" s="1267">
        <v>53.528414666785999</v>
      </c>
    </row>
    <row r="100" spans="1:6">
      <c r="A100" s="1267" t="s">
        <v>1942</v>
      </c>
      <c r="B100" s="1267" t="s">
        <v>2776</v>
      </c>
      <c r="C100" s="1267" t="s">
        <v>697</v>
      </c>
      <c r="D100" s="1267">
        <v>2016</v>
      </c>
      <c r="E100" s="1267" t="s">
        <v>2774</v>
      </c>
      <c r="F100" s="1267">
        <v>177.24490402329999</v>
      </c>
    </row>
    <row r="101" spans="1:6">
      <c r="A101" s="1267" t="s">
        <v>1942</v>
      </c>
      <c r="B101" s="1267" t="s">
        <v>2776</v>
      </c>
      <c r="C101" s="1267" t="s">
        <v>694</v>
      </c>
      <c r="D101" s="1267">
        <v>2014</v>
      </c>
      <c r="E101" s="1267" t="s">
        <v>2774</v>
      </c>
      <c r="F101" s="1267">
        <v>268.38948511221002</v>
      </c>
    </row>
    <row r="102" spans="1:6">
      <c r="A102" s="1267" t="s">
        <v>1942</v>
      </c>
      <c r="B102" s="1267" t="s">
        <v>2776</v>
      </c>
      <c r="C102" s="1267" t="s">
        <v>694</v>
      </c>
      <c r="D102" s="1267">
        <v>2015</v>
      </c>
      <c r="E102" s="1267" t="s">
        <v>2774</v>
      </c>
      <c r="F102" s="1267">
        <v>45.350462426027001</v>
      </c>
    </row>
    <row r="103" spans="1:6">
      <c r="A103" s="1267" t="s">
        <v>1942</v>
      </c>
      <c r="B103" s="1267" t="s">
        <v>2776</v>
      </c>
      <c r="C103" s="1267" t="s">
        <v>694</v>
      </c>
      <c r="D103" s="1267">
        <v>2016</v>
      </c>
      <c r="E103" s="1267" t="s">
        <v>2774</v>
      </c>
      <c r="F103" s="1267">
        <v>511.97480240089999</v>
      </c>
    </row>
    <row r="104" spans="1:6">
      <c r="A104" s="1267" t="s">
        <v>1942</v>
      </c>
      <c r="B104" s="1267" t="s">
        <v>2776</v>
      </c>
      <c r="C104" s="1267" t="s">
        <v>696</v>
      </c>
      <c r="D104" s="1267">
        <v>2014</v>
      </c>
      <c r="E104" s="1267" t="s">
        <v>2774</v>
      </c>
      <c r="F104" s="1267">
        <v>586.43458451242998</v>
      </c>
    </row>
    <row r="105" spans="1:6">
      <c r="A105" s="1267" t="s">
        <v>1942</v>
      </c>
      <c r="B105" s="1267" t="s">
        <v>2776</v>
      </c>
      <c r="C105" s="1267" t="s">
        <v>696</v>
      </c>
      <c r="D105" s="1267">
        <v>2015</v>
      </c>
      <c r="E105" s="1267" t="s">
        <v>2774</v>
      </c>
      <c r="F105" s="1267">
        <v>435.21574924911999</v>
      </c>
    </row>
    <row r="106" spans="1:6">
      <c r="A106" s="1267" t="s">
        <v>1942</v>
      </c>
      <c r="B106" s="1267" t="s">
        <v>2776</v>
      </c>
      <c r="C106" s="1267" t="s">
        <v>696</v>
      </c>
      <c r="D106" s="1267">
        <v>2016</v>
      </c>
      <c r="E106" s="1267" t="s">
        <v>2774</v>
      </c>
      <c r="F106" s="1267">
        <v>417.78094728709999</v>
      </c>
    </row>
    <row r="107" spans="1:6">
      <c r="A107" s="1267" t="s">
        <v>1942</v>
      </c>
      <c r="B107" s="1267" t="s">
        <v>2776</v>
      </c>
      <c r="C107" s="1267" t="s">
        <v>695</v>
      </c>
      <c r="D107" s="1267">
        <v>2014</v>
      </c>
      <c r="E107" s="1267" t="s">
        <v>2774</v>
      </c>
      <c r="F107" s="1267">
        <v>2035.7022086960001</v>
      </c>
    </row>
    <row r="108" spans="1:6">
      <c r="A108" s="1267" t="s">
        <v>1942</v>
      </c>
      <c r="B108" s="1267" t="s">
        <v>2776</v>
      </c>
      <c r="C108" s="1267" t="s">
        <v>695</v>
      </c>
      <c r="D108" s="1267">
        <v>2015</v>
      </c>
      <c r="E108" s="1267" t="s">
        <v>2774</v>
      </c>
      <c r="F108" s="1267">
        <v>2386.9212240164002</v>
      </c>
    </row>
    <row r="109" spans="1:6">
      <c r="A109" s="1267" t="s">
        <v>1942</v>
      </c>
      <c r="B109" s="1267" t="s">
        <v>2776</v>
      </c>
      <c r="C109" s="1267" t="s">
        <v>695</v>
      </c>
      <c r="D109" s="1267">
        <v>2016</v>
      </c>
      <c r="E109" s="1267" t="s">
        <v>2774</v>
      </c>
      <c r="F109" s="1267">
        <v>2205.5327747073002</v>
      </c>
    </row>
    <row r="110" spans="1:6">
      <c r="A110" s="1267" t="s">
        <v>1942</v>
      </c>
      <c r="B110" s="1267" t="s">
        <v>2776</v>
      </c>
      <c r="C110" s="1267" t="s">
        <v>2775</v>
      </c>
      <c r="D110" s="1267">
        <v>2014</v>
      </c>
      <c r="E110" s="1267" t="s">
        <v>2774</v>
      </c>
      <c r="F110" s="1267">
        <v>14639.151405129</v>
      </c>
    </row>
    <row r="111" spans="1:6">
      <c r="A111" s="1267" t="s">
        <v>1942</v>
      </c>
      <c r="B111" s="1267" t="s">
        <v>2776</v>
      </c>
      <c r="C111" s="1267" t="s">
        <v>2775</v>
      </c>
      <c r="D111" s="1267">
        <v>2015</v>
      </c>
      <c r="E111" s="1267" t="s">
        <v>2774</v>
      </c>
      <c r="F111" s="1267">
        <v>12909.418027181</v>
      </c>
    </row>
    <row r="112" spans="1:6">
      <c r="A112" s="1267" t="s">
        <v>1942</v>
      </c>
      <c r="B112" s="1267" t="s">
        <v>2776</v>
      </c>
      <c r="C112" s="1267" t="s">
        <v>2775</v>
      </c>
      <c r="D112" s="1267">
        <v>2016</v>
      </c>
      <c r="E112" s="1267" t="s">
        <v>2774</v>
      </c>
      <c r="F112" s="1267">
        <v>12019.670767219</v>
      </c>
    </row>
    <row r="113" spans="1:6">
      <c r="A113" s="1267" t="s">
        <v>1940</v>
      </c>
      <c r="B113" s="1267" t="s">
        <v>2776</v>
      </c>
      <c r="C113" s="1267" t="s">
        <v>693</v>
      </c>
      <c r="D113" s="1267">
        <v>2014</v>
      </c>
      <c r="E113" s="1267" t="s">
        <v>2774</v>
      </c>
      <c r="F113" s="1267">
        <v>0.37017380920790999</v>
      </c>
    </row>
    <row r="114" spans="1:6">
      <c r="A114" s="1267" t="s">
        <v>1940</v>
      </c>
      <c r="B114" s="1267" t="s">
        <v>2776</v>
      </c>
      <c r="C114" s="1267" t="s">
        <v>693</v>
      </c>
      <c r="D114" s="1267">
        <v>2015</v>
      </c>
      <c r="E114" s="1267" t="s">
        <v>2774</v>
      </c>
      <c r="F114" s="1267">
        <v>0.63338879645035995</v>
      </c>
    </row>
    <row r="115" spans="1:6">
      <c r="A115" s="1267" t="s">
        <v>1940</v>
      </c>
      <c r="B115" s="1267" t="s">
        <v>2776</v>
      </c>
      <c r="C115" s="1267" t="s">
        <v>693</v>
      </c>
      <c r="D115" s="1267">
        <v>2016</v>
      </c>
      <c r="E115" s="1267" t="s">
        <v>2774</v>
      </c>
      <c r="F115" s="1267">
        <v>0.49098750414685</v>
      </c>
    </row>
    <row r="116" spans="1:6">
      <c r="A116" s="1267" t="s">
        <v>1940</v>
      </c>
      <c r="B116" s="1267" t="s">
        <v>2776</v>
      </c>
      <c r="C116" s="1267" t="s">
        <v>697</v>
      </c>
      <c r="D116" s="1267">
        <v>2014</v>
      </c>
      <c r="E116" s="1267" t="s">
        <v>2774</v>
      </c>
      <c r="F116" s="1267">
        <v>1.1715536685684</v>
      </c>
    </row>
    <row r="117" spans="1:6">
      <c r="A117" s="1267" t="s">
        <v>1940</v>
      </c>
      <c r="B117" s="1267" t="s">
        <v>2776</v>
      </c>
      <c r="C117" s="1267" t="s">
        <v>697</v>
      </c>
      <c r="D117" s="1267">
        <v>2015</v>
      </c>
      <c r="E117" s="1267" t="s">
        <v>2774</v>
      </c>
      <c r="F117" s="1267">
        <v>0.85967831392123994</v>
      </c>
    </row>
    <row r="118" spans="1:6">
      <c r="A118" s="1267" t="s">
        <v>1940</v>
      </c>
      <c r="B118" s="1267" t="s">
        <v>2776</v>
      </c>
      <c r="C118" s="1267" t="s">
        <v>697</v>
      </c>
      <c r="D118" s="1267">
        <v>2016</v>
      </c>
      <c r="E118" s="1267" t="s">
        <v>2774</v>
      </c>
      <c r="F118" s="1267">
        <v>2.3731062700430998</v>
      </c>
    </row>
    <row r="119" spans="1:6">
      <c r="A119" s="1267" t="s">
        <v>1940</v>
      </c>
      <c r="B119" s="1267" t="s">
        <v>2776</v>
      </c>
      <c r="C119" s="1267" t="s">
        <v>694</v>
      </c>
      <c r="D119" s="1267">
        <v>2014</v>
      </c>
      <c r="E119" s="1267" t="s">
        <v>2774</v>
      </c>
      <c r="F119" s="1267">
        <v>-0.94069258325593996</v>
      </c>
    </row>
    <row r="120" spans="1:6">
      <c r="A120" s="1267" t="s">
        <v>1940</v>
      </c>
      <c r="B120" s="1267" t="s">
        <v>2776</v>
      </c>
      <c r="C120" s="1267" t="s">
        <v>694</v>
      </c>
      <c r="D120" s="1267">
        <v>2015</v>
      </c>
      <c r="E120" s="1267" t="s">
        <v>2774</v>
      </c>
      <c r="F120" s="1267">
        <v>26.193011647254998</v>
      </c>
    </row>
    <row r="121" spans="1:6">
      <c r="A121" s="1267" t="s">
        <v>1940</v>
      </c>
      <c r="B121" s="1267" t="s">
        <v>2776</v>
      </c>
      <c r="C121" s="1267" t="s">
        <v>694</v>
      </c>
      <c r="D121" s="1267">
        <v>2016</v>
      </c>
      <c r="E121" s="1267" t="s">
        <v>2774</v>
      </c>
      <c r="F121" s="1267">
        <v>22.467101625567</v>
      </c>
    </row>
    <row r="122" spans="1:6">
      <c r="A122" s="1267" t="s">
        <v>1940</v>
      </c>
      <c r="B122" s="1267" t="s">
        <v>2776</v>
      </c>
      <c r="C122" s="1267" t="s">
        <v>696</v>
      </c>
      <c r="D122" s="1267">
        <v>2014</v>
      </c>
      <c r="E122" s="1267" t="s">
        <v>2774</v>
      </c>
      <c r="F122" s="1278">
        <v>-7.6302112130929994E-2</v>
      </c>
    </row>
    <row r="123" spans="1:6">
      <c r="A123" s="1267" t="s">
        <v>1940</v>
      </c>
      <c r="B123" s="1267" t="s">
        <v>2776</v>
      </c>
      <c r="C123" s="1267" t="s">
        <v>696</v>
      </c>
      <c r="D123" s="1267">
        <v>2015</v>
      </c>
      <c r="E123" s="1267" t="s">
        <v>2774</v>
      </c>
      <c r="F123" s="1278">
        <v>-7.6302112130929994E-2</v>
      </c>
    </row>
    <row r="124" spans="1:6">
      <c r="A124" s="1267" t="s">
        <v>1940</v>
      </c>
      <c r="B124" s="1267" t="s">
        <v>2776</v>
      </c>
      <c r="C124" s="1267" t="s">
        <v>696</v>
      </c>
      <c r="D124" s="1267">
        <v>2016</v>
      </c>
      <c r="E124" s="1267" t="s">
        <v>2774</v>
      </c>
      <c r="F124" s="1267">
        <v>-7.6302112130929994E-2</v>
      </c>
    </row>
    <row r="125" spans="1:6">
      <c r="A125" s="1267" t="s">
        <v>1940</v>
      </c>
      <c r="B125" s="1267" t="s">
        <v>2776</v>
      </c>
      <c r="C125" s="1267" t="s">
        <v>695</v>
      </c>
      <c r="D125" s="1267">
        <v>2014</v>
      </c>
      <c r="E125" s="1267" t="s">
        <v>2774</v>
      </c>
      <c r="F125" s="1267">
        <v>-2.6177524213878001</v>
      </c>
    </row>
    <row r="126" spans="1:6">
      <c r="A126" s="1267" t="s">
        <v>1940</v>
      </c>
      <c r="B126" s="1267" t="s">
        <v>2776</v>
      </c>
      <c r="C126" s="1267" t="s">
        <v>695</v>
      </c>
      <c r="D126" s="1267">
        <v>2015</v>
      </c>
      <c r="E126" s="1267" t="s">
        <v>2774</v>
      </c>
      <c r="F126" s="1267">
        <v>0.1120354963949</v>
      </c>
    </row>
    <row r="127" spans="1:6">
      <c r="A127" s="1267" t="s">
        <v>1940</v>
      </c>
      <c r="B127" s="1267" t="s">
        <v>2776</v>
      </c>
      <c r="C127" s="1267" t="s">
        <v>695</v>
      </c>
      <c r="D127" s="1267">
        <v>2016</v>
      </c>
      <c r="E127" s="1267" t="s">
        <v>2774</v>
      </c>
      <c r="F127" s="1267">
        <v>2.8408713922371001</v>
      </c>
    </row>
    <row r="128" spans="1:6">
      <c r="A128" s="1267" t="s">
        <v>1940</v>
      </c>
      <c r="B128" s="1267" t="s">
        <v>2776</v>
      </c>
      <c r="C128" s="1267" t="s">
        <v>2775</v>
      </c>
      <c r="D128" s="1267">
        <v>2014</v>
      </c>
      <c r="E128" s="1267" t="s">
        <v>2774</v>
      </c>
      <c r="F128" s="1267">
        <v>573.49077882447</v>
      </c>
    </row>
    <row r="129" spans="1:6">
      <c r="A129" s="1267" t="s">
        <v>1940</v>
      </c>
      <c r="B129" s="1267" t="s">
        <v>2776</v>
      </c>
      <c r="C129" s="1267" t="s">
        <v>2775</v>
      </c>
      <c r="D129" s="1267">
        <v>2015</v>
      </c>
      <c r="E129" s="1267" t="s">
        <v>2774</v>
      </c>
      <c r="F129" s="1267">
        <v>334.27620632280002</v>
      </c>
    </row>
    <row r="130" spans="1:6">
      <c r="A130" s="1267" t="s">
        <v>1940</v>
      </c>
      <c r="B130" s="1267" t="s">
        <v>2776</v>
      </c>
      <c r="C130" s="1267" t="s">
        <v>2775</v>
      </c>
      <c r="D130" s="1267">
        <v>2016</v>
      </c>
      <c r="E130" s="1267" t="s">
        <v>2774</v>
      </c>
      <c r="F130" s="1267">
        <v>379.70142651775001</v>
      </c>
    </row>
    <row r="131" spans="1:6">
      <c r="A131" s="1267" t="s">
        <v>1936</v>
      </c>
      <c r="B131" s="1267" t="s">
        <v>2776</v>
      </c>
      <c r="C131" s="1267" t="s">
        <v>693</v>
      </c>
      <c r="D131" s="1267">
        <v>2014</v>
      </c>
      <c r="E131" s="1267" t="s">
        <v>2774</v>
      </c>
    </row>
    <row r="132" spans="1:6">
      <c r="A132" s="1267" t="s">
        <v>1936</v>
      </c>
      <c r="B132" s="1267" t="s">
        <v>2776</v>
      </c>
      <c r="C132" s="1267" t="s">
        <v>693</v>
      </c>
      <c r="D132" s="1267">
        <v>2015</v>
      </c>
      <c r="E132" s="1267" t="s">
        <v>2774</v>
      </c>
    </row>
    <row r="133" spans="1:6">
      <c r="A133" s="1267" t="s">
        <v>1936</v>
      </c>
      <c r="B133" s="1267" t="s">
        <v>2776</v>
      </c>
      <c r="C133" s="1267" t="s">
        <v>693</v>
      </c>
      <c r="D133" s="1267">
        <v>2016</v>
      </c>
      <c r="E133" s="1267" t="s">
        <v>2774</v>
      </c>
    </row>
    <row r="134" spans="1:6">
      <c r="A134" s="1267" t="s">
        <v>1936</v>
      </c>
      <c r="B134" s="1267" t="s">
        <v>2776</v>
      </c>
      <c r="C134" s="1267" t="s">
        <v>697</v>
      </c>
      <c r="D134" s="1267">
        <v>2014</v>
      </c>
      <c r="E134" s="1267" t="s">
        <v>2774</v>
      </c>
    </row>
    <row r="135" spans="1:6">
      <c r="A135" s="1267" t="s">
        <v>1936</v>
      </c>
      <c r="B135" s="1267" t="s">
        <v>2776</v>
      </c>
      <c r="C135" s="1267" t="s">
        <v>697</v>
      </c>
      <c r="D135" s="1267">
        <v>2015</v>
      </c>
      <c r="E135" s="1267" t="s">
        <v>2774</v>
      </c>
    </row>
    <row r="136" spans="1:6">
      <c r="A136" s="1267" t="s">
        <v>1936</v>
      </c>
      <c r="B136" s="1267" t="s">
        <v>2776</v>
      </c>
      <c r="C136" s="1267" t="s">
        <v>697</v>
      </c>
      <c r="D136" s="1267">
        <v>2016</v>
      </c>
      <c r="E136" s="1267" t="s">
        <v>2774</v>
      </c>
    </row>
    <row r="137" spans="1:6">
      <c r="A137" s="1267" t="s">
        <v>1936</v>
      </c>
      <c r="B137" s="1267" t="s">
        <v>2776</v>
      </c>
      <c r="C137" s="1267" t="s">
        <v>694</v>
      </c>
      <c r="D137" s="1267">
        <v>2014</v>
      </c>
      <c r="E137" s="1267" t="s">
        <v>2774</v>
      </c>
    </row>
    <row r="138" spans="1:6">
      <c r="A138" s="1267" t="s">
        <v>1936</v>
      </c>
      <c r="B138" s="1267" t="s">
        <v>2776</v>
      </c>
      <c r="C138" s="1267" t="s">
        <v>694</v>
      </c>
      <c r="D138" s="1267">
        <v>2015</v>
      </c>
      <c r="E138" s="1267" t="s">
        <v>2774</v>
      </c>
    </row>
    <row r="139" spans="1:6">
      <c r="A139" s="1267" t="s">
        <v>1936</v>
      </c>
      <c r="B139" s="1267" t="s">
        <v>2776</v>
      </c>
      <c r="C139" s="1267" t="s">
        <v>694</v>
      </c>
      <c r="D139" s="1267">
        <v>2016</v>
      </c>
      <c r="E139" s="1267" t="s">
        <v>2774</v>
      </c>
    </row>
    <row r="140" spans="1:6">
      <c r="A140" s="1267" t="s">
        <v>1936</v>
      </c>
      <c r="B140" s="1267" t="s">
        <v>2776</v>
      </c>
      <c r="C140" s="1267" t="s">
        <v>696</v>
      </c>
      <c r="D140" s="1267">
        <v>2014</v>
      </c>
      <c r="E140" s="1267" t="s">
        <v>2774</v>
      </c>
    </row>
    <row r="141" spans="1:6">
      <c r="A141" s="1267" t="s">
        <v>1936</v>
      </c>
      <c r="B141" s="1267" t="s">
        <v>2776</v>
      </c>
      <c r="C141" s="1267" t="s">
        <v>696</v>
      </c>
      <c r="D141" s="1267">
        <v>2015</v>
      </c>
      <c r="E141" s="1267" t="s">
        <v>2774</v>
      </c>
    </row>
    <row r="142" spans="1:6">
      <c r="A142" s="1267" t="s">
        <v>1936</v>
      </c>
      <c r="B142" s="1267" t="s">
        <v>2776</v>
      </c>
      <c r="C142" s="1267" t="s">
        <v>696</v>
      </c>
      <c r="D142" s="1267">
        <v>2016</v>
      </c>
      <c r="E142" s="1267" t="s">
        <v>2774</v>
      </c>
    </row>
    <row r="143" spans="1:6">
      <c r="A143" s="1267" t="s">
        <v>1936</v>
      </c>
      <c r="B143" s="1267" t="s">
        <v>2776</v>
      </c>
      <c r="C143" s="1267" t="s">
        <v>695</v>
      </c>
      <c r="D143" s="1267">
        <v>2014</v>
      </c>
      <c r="E143" s="1267" t="s">
        <v>2774</v>
      </c>
    </row>
    <row r="144" spans="1:6">
      <c r="A144" s="1267" t="s">
        <v>1936</v>
      </c>
      <c r="B144" s="1267" t="s">
        <v>2776</v>
      </c>
      <c r="C144" s="1267" t="s">
        <v>695</v>
      </c>
      <c r="D144" s="1267">
        <v>2015</v>
      </c>
      <c r="E144" s="1267" t="s">
        <v>2774</v>
      </c>
    </row>
    <row r="145" spans="1:6">
      <c r="A145" s="1267" t="s">
        <v>1936</v>
      </c>
      <c r="B145" s="1267" t="s">
        <v>2776</v>
      </c>
      <c r="C145" s="1267" t="s">
        <v>695</v>
      </c>
      <c r="D145" s="1267">
        <v>2016</v>
      </c>
      <c r="E145" s="1267" t="s">
        <v>2774</v>
      </c>
    </row>
    <row r="146" spans="1:6">
      <c r="A146" s="1267" t="s">
        <v>1936</v>
      </c>
      <c r="B146" s="1267" t="s">
        <v>2776</v>
      </c>
      <c r="C146" s="1267" t="s">
        <v>2775</v>
      </c>
      <c r="D146" s="1267">
        <v>2014</v>
      </c>
      <c r="E146" s="1267" t="s">
        <v>2774</v>
      </c>
      <c r="F146" s="1267">
        <v>10942.21838928</v>
      </c>
    </row>
    <row r="147" spans="1:6">
      <c r="A147" s="1267" t="s">
        <v>1936</v>
      </c>
      <c r="B147" s="1267" t="s">
        <v>2776</v>
      </c>
      <c r="C147" s="1267" t="s">
        <v>2775</v>
      </c>
      <c r="D147" s="1267">
        <v>2015</v>
      </c>
      <c r="E147" s="1267" t="s">
        <v>2774</v>
      </c>
    </row>
    <row r="148" spans="1:6">
      <c r="A148" s="1267" t="s">
        <v>1936</v>
      </c>
      <c r="B148" s="1267" t="s">
        <v>2776</v>
      </c>
      <c r="C148" s="1267" t="s">
        <v>2775</v>
      </c>
      <c r="D148" s="1267">
        <v>2016</v>
      </c>
      <c r="E148" s="1267" t="s">
        <v>2774</v>
      </c>
    </row>
    <row r="149" spans="1:6">
      <c r="A149" s="1267" t="s">
        <v>1890</v>
      </c>
      <c r="B149" s="1267" t="s">
        <v>2776</v>
      </c>
      <c r="C149" s="1267" t="s">
        <v>693</v>
      </c>
      <c r="D149" s="1267">
        <v>2014</v>
      </c>
      <c r="E149" s="1267" t="s">
        <v>2774</v>
      </c>
      <c r="F149" s="1267">
        <v>1885.3655300517</v>
      </c>
    </row>
    <row r="150" spans="1:6">
      <c r="A150" s="1267" t="s">
        <v>1890</v>
      </c>
      <c r="B150" s="1267" t="s">
        <v>2776</v>
      </c>
      <c r="C150" s="1267" t="s">
        <v>693</v>
      </c>
      <c r="D150" s="1267">
        <v>2015</v>
      </c>
      <c r="E150" s="1267" t="s">
        <v>2774</v>
      </c>
      <c r="F150" s="1267">
        <v>2004.4370493622</v>
      </c>
    </row>
    <row r="151" spans="1:6">
      <c r="A151" s="1267" t="s">
        <v>1890</v>
      </c>
      <c r="B151" s="1267" t="s">
        <v>2776</v>
      </c>
      <c r="C151" s="1267" t="s">
        <v>693</v>
      </c>
      <c r="D151" s="1267">
        <v>2016</v>
      </c>
      <c r="E151" s="1267" t="s">
        <v>2774</v>
      </c>
      <c r="F151" s="1267">
        <v>2038.0404732943</v>
      </c>
    </row>
    <row r="152" spans="1:6">
      <c r="A152" s="1267" t="s">
        <v>1890</v>
      </c>
      <c r="B152" s="1267" t="s">
        <v>2776</v>
      </c>
      <c r="C152" s="1267" t="s">
        <v>697</v>
      </c>
      <c r="D152" s="1267">
        <v>2014</v>
      </c>
      <c r="E152" s="1267" t="s">
        <v>2774</v>
      </c>
      <c r="F152" s="1267">
        <v>2627.0399363142001</v>
      </c>
    </row>
    <row r="153" spans="1:6">
      <c r="A153" s="1267" t="s">
        <v>1890</v>
      </c>
      <c r="B153" s="1267" t="s">
        <v>2776</v>
      </c>
      <c r="C153" s="1267" t="s">
        <v>697</v>
      </c>
      <c r="D153" s="1267">
        <v>2015</v>
      </c>
      <c r="E153" s="1267" t="s">
        <v>2774</v>
      </c>
      <c r="F153" s="1267">
        <v>2116.4725457570999</v>
      </c>
    </row>
    <row r="154" spans="1:6">
      <c r="A154" s="1267" t="s">
        <v>1890</v>
      </c>
      <c r="B154" s="1267" t="s">
        <v>2776</v>
      </c>
      <c r="C154" s="1267" t="s">
        <v>697</v>
      </c>
      <c r="D154" s="1267">
        <v>2016</v>
      </c>
      <c r="E154" s="1267" t="s">
        <v>2774</v>
      </c>
      <c r="F154" s="1267">
        <v>1963.9500165873999</v>
      </c>
    </row>
    <row r="155" spans="1:6">
      <c r="A155" s="1267" t="s">
        <v>1890</v>
      </c>
      <c r="B155" s="1267" t="s">
        <v>2776</v>
      </c>
      <c r="C155" s="1267" t="s">
        <v>694</v>
      </c>
      <c r="D155" s="1267">
        <v>2014</v>
      </c>
      <c r="E155" s="1267" t="s">
        <v>2774</v>
      </c>
      <c r="F155" s="1267">
        <v>7567.9978771393999</v>
      </c>
    </row>
    <row r="156" spans="1:6">
      <c r="A156" s="1267" t="s">
        <v>1890</v>
      </c>
      <c r="B156" s="1267" t="s">
        <v>2776</v>
      </c>
      <c r="C156" s="1267" t="s">
        <v>694</v>
      </c>
      <c r="D156" s="1267">
        <v>2015</v>
      </c>
      <c r="E156" s="1267" t="s">
        <v>2774</v>
      </c>
      <c r="F156" s="1267">
        <v>7696.0621186911003</v>
      </c>
    </row>
    <row r="157" spans="1:6">
      <c r="A157" s="1267" t="s">
        <v>1890</v>
      </c>
      <c r="B157" s="1267" t="s">
        <v>2776</v>
      </c>
      <c r="C157" s="1267" t="s">
        <v>694</v>
      </c>
      <c r="D157" s="1267">
        <v>2016</v>
      </c>
      <c r="E157" s="1267" t="s">
        <v>2774</v>
      </c>
      <c r="F157" s="1267">
        <v>7325.0027645692999</v>
      </c>
    </row>
    <row r="158" spans="1:6">
      <c r="A158" s="1267" t="s">
        <v>1890</v>
      </c>
      <c r="B158" s="1267" t="s">
        <v>2776</v>
      </c>
      <c r="C158" s="1267" t="s">
        <v>696</v>
      </c>
      <c r="D158" s="1267">
        <v>2014</v>
      </c>
      <c r="E158" s="1267" t="s">
        <v>2774</v>
      </c>
      <c r="F158" s="1267">
        <v>2007.4300119411</v>
      </c>
    </row>
    <row r="159" spans="1:6">
      <c r="A159" s="1267" t="s">
        <v>1890</v>
      </c>
      <c r="B159" s="1267" t="s">
        <v>2776</v>
      </c>
      <c r="C159" s="1267" t="s">
        <v>696</v>
      </c>
      <c r="D159" s="1267">
        <v>2015</v>
      </c>
      <c r="E159" s="1267" t="s">
        <v>2774</v>
      </c>
      <c r="F159" s="1267">
        <v>1480.8652246255999</v>
      </c>
    </row>
    <row r="160" spans="1:6">
      <c r="A160" s="1267" t="s">
        <v>1890</v>
      </c>
      <c r="B160" s="1267" t="s">
        <v>2776</v>
      </c>
      <c r="C160" s="1267" t="s">
        <v>696</v>
      </c>
      <c r="D160" s="1267">
        <v>2016</v>
      </c>
      <c r="E160" s="1267" t="s">
        <v>2774</v>
      </c>
      <c r="F160" s="1267">
        <v>1318.1466327546</v>
      </c>
    </row>
    <row r="161" spans="1:6">
      <c r="A161" s="1267" t="s">
        <v>1890</v>
      </c>
      <c r="B161" s="1267" t="s">
        <v>2776</v>
      </c>
      <c r="C161" s="1267" t="s">
        <v>695</v>
      </c>
      <c r="D161" s="1267">
        <v>2014</v>
      </c>
      <c r="E161" s="1267" t="s">
        <v>2774</v>
      </c>
      <c r="F161" s="1267">
        <v>4745.9201273715998</v>
      </c>
    </row>
    <row r="162" spans="1:6">
      <c r="A162" s="1267" t="s">
        <v>1890</v>
      </c>
      <c r="B162" s="1267" t="s">
        <v>2776</v>
      </c>
      <c r="C162" s="1267" t="s">
        <v>695</v>
      </c>
      <c r="D162" s="1267">
        <v>2015</v>
      </c>
      <c r="E162" s="1267" t="s">
        <v>2774</v>
      </c>
      <c r="F162" s="1267">
        <v>4537.9922351635996</v>
      </c>
    </row>
    <row r="163" spans="1:6">
      <c r="A163" s="1267" t="s">
        <v>1890</v>
      </c>
      <c r="B163" s="1267" t="s">
        <v>2776</v>
      </c>
      <c r="C163" s="1267" t="s">
        <v>695</v>
      </c>
      <c r="D163" s="1267">
        <v>2016</v>
      </c>
      <c r="E163" s="1267" t="s">
        <v>2774</v>
      </c>
      <c r="F163" s="1267">
        <v>4173.3937852483004</v>
      </c>
    </row>
    <row r="164" spans="1:6">
      <c r="A164" s="1267" t="s">
        <v>1890</v>
      </c>
      <c r="B164" s="1267" t="s">
        <v>2776</v>
      </c>
      <c r="C164" s="1267" t="s">
        <v>2775</v>
      </c>
      <c r="D164" s="1267">
        <v>2014</v>
      </c>
      <c r="E164" s="1267" t="s">
        <v>2774</v>
      </c>
      <c r="F164" s="1267">
        <v>78585.644155500006</v>
      </c>
    </row>
    <row r="165" spans="1:6">
      <c r="A165" s="1267" t="s">
        <v>1890</v>
      </c>
      <c r="B165" s="1267" t="s">
        <v>2776</v>
      </c>
      <c r="C165" s="1267" t="s">
        <v>2775</v>
      </c>
      <c r="D165" s="1267">
        <v>2015</v>
      </c>
      <c r="E165" s="1267" t="s">
        <v>2774</v>
      </c>
      <c r="F165" s="1267">
        <v>70779.811425402004</v>
      </c>
    </row>
    <row r="166" spans="1:6">
      <c r="A166" s="1267" t="s">
        <v>1890</v>
      </c>
      <c r="B166" s="1267" t="s">
        <v>2776</v>
      </c>
      <c r="C166" s="1267" t="s">
        <v>2775</v>
      </c>
      <c r="D166" s="1267">
        <v>2016</v>
      </c>
      <c r="E166" s="1267" t="s">
        <v>2774</v>
      </c>
      <c r="F166" s="1267">
        <v>73906.889306646</v>
      </c>
    </row>
    <row r="167" spans="1:6">
      <c r="A167" s="1267" t="s">
        <v>1891</v>
      </c>
      <c r="B167" s="1267" t="s">
        <v>2776</v>
      </c>
      <c r="C167" s="1267" t="s">
        <v>693</v>
      </c>
      <c r="D167" s="1267">
        <v>2014</v>
      </c>
      <c r="E167" s="1267" t="s">
        <v>2774</v>
      </c>
      <c r="F167" s="1267">
        <v>741.67440626244002</v>
      </c>
    </row>
    <row r="168" spans="1:6">
      <c r="A168" s="1267" t="s">
        <v>1891</v>
      </c>
      <c r="B168" s="1267" t="s">
        <v>2776</v>
      </c>
      <c r="C168" s="1267" t="s">
        <v>693</v>
      </c>
      <c r="D168" s="1267">
        <v>2015</v>
      </c>
      <c r="E168" s="1267" t="s">
        <v>2774</v>
      </c>
      <c r="F168" s="1267">
        <v>624.51469772601001</v>
      </c>
    </row>
    <row r="169" spans="1:6">
      <c r="A169" s="1267" t="s">
        <v>1891</v>
      </c>
      <c r="B169" s="1267" t="s">
        <v>2776</v>
      </c>
      <c r="C169" s="1267" t="s">
        <v>693</v>
      </c>
      <c r="D169" s="1267">
        <v>2016</v>
      </c>
      <c r="E169" s="1267" t="s">
        <v>2774</v>
      </c>
      <c r="F169" s="1267">
        <v>639.16841756053998</v>
      </c>
    </row>
    <row r="170" spans="1:6">
      <c r="A170" s="1267" t="s">
        <v>1891</v>
      </c>
      <c r="B170" s="1267" t="s">
        <v>2776</v>
      </c>
      <c r="C170" s="1267" t="s">
        <v>697</v>
      </c>
      <c r="D170" s="1267">
        <v>2014</v>
      </c>
      <c r="E170" s="1267" t="s">
        <v>2774</v>
      </c>
      <c r="F170" s="1267">
        <v>4812.2595197028004</v>
      </c>
    </row>
    <row r="171" spans="1:6">
      <c r="A171" s="1267" t="s">
        <v>1891</v>
      </c>
      <c r="B171" s="1267" t="s">
        <v>2776</v>
      </c>
      <c r="C171" s="1267" t="s">
        <v>697</v>
      </c>
      <c r="D171" s="1267">
        <v>2015</v>
      </c>
      <c r="E171" s="1267" t="s">
        <v>2774</v>
      </c>
      <c r="F171" s="1267">
        <v>3988.9073765946</v>
      </c>
    </row>
    <row r="172" spans="1:6">
      <c r="A172" s="1267" t="s">
        <v>1891</v>
      </c>
      <c r="B172" s="1267" t="s">
        <v>2776</v>
      </c>
      <c r="C172" s="1267" t="s">
        <v>697</v>
      </c>
      <c r="D172" s="1267">
        <v>2016</v>
      </c>
      <c r="E172" s="1267" t="s">
        <v>2774</v>
      </c>
      <c r="F172" s="1267">
        <v>4095.9858454053001</v>
      </c>
    </row>
    <row r="173" spans="1:6">
      <c r="A173" s="1267" t="s">
        <v>1891</v>
      </c>
      <c r="B173" s="1267" t="s">
        <v>2776</v>
      </c>
      <c r="C173" s="1267" t="s">
        <v>694</v>
      </c>
      <c r="D173" s="1267">
        <v>2014</v>
      </c>
      <c r="E173" s="1267" t="s">
        <v>2774</v>
      </c>
      <c r="F173" s="1267">
        <v>5453.0980496218999</v>
      </c>
    </row>
    <row r="174" spans="1:6">
      <c r="A174" s="1267" t="s">
        <v>1891</v>
      </c>
      <c r="B174" s="1267" t="s">
        <v>2776</v>
      </c>
      <c r="C174" s="1267" t="s">
        <v>694</v>
      </c>
      <c r="D174" s="1267">
        <v>2015</v>
      </c>
      <c r="E174" s="1267" t="s">
        <v>2774</v>
      </c>
      <c r="F174" s="1267">
        <v>4845.2579034942</v>
      </c>
    </row>
    <row r="175" spans="1:6">
      <c r="A175" s="1267" t="s">
        <v>1891</v>
      </c>
      <c r="B175" s="1267" t="s">
        <v>2776</v>
      </c>
      <c r="C175" s="1267" t="s">
        <v>694</v>
      </c>
      <c r="D175" s="1267">
        <v>2016</v>
      </c>
      <c r="E175" s="1267" t="s">
        <v>2774</v>
      </c>
      <c r="F175" s="1267">
        <v>5133.2522393011004</v>
      </c>
    </row>
    <row r="176" spans="1:6">
      <c r="A176" s="1267" t="s">
        <v>1891</v>
      </c>
      <c r="B176" s="1267" t="s">
        <v>2776</v>
      </c>
      <c r="C176" s="1267" t="s">
        <v>696</v>
      </c>
      <c r="D176" s="1267">
        <v>2014</v>
      </c>
      <c r="E176" s="1267" t="s">
        <v>2774</v>
      </c>
      <c r="F176" s="1267">
        <v>1199.4162133474999</v>
      </c>
    </row>
    <row r="177" spans="1:6">
      <c r="A177" s="1267" t="s">
        <v>1891</v>
      </c>
      <c r="B177" s="1267" t="s">
        <v>2776</v>
      </c>
      <c r="C177" s="1267" t="s">
        <v>696</v>
      </c>
      <c r="D177" s="1267">
        <v>2015</v>
      </c>
      <c r="E177" s="1267" t="s">
        <v>2774</v>
      </c>
      <c r="F177" s="1267">
        <v>1008.3194675541</v>
      </c>
    </row>
    <row r="178" spans="1:6">
      <c r="A178" s="1267" t="s">
        <v>1891</v>
      </c>
      <c r="B178" s="1267" t="s">
        <v>2776</v>
      </c>
      <c r="C178" s="1267" t="s">
        <v>696</v>
      </c>
      <c r="D178" s="1267">
        <v>2016</v>
      </c>
      <c r="E178" s="1267" t="s">
        <v>2774</v>
      </c>
      <c r="F178" s="1267">
        <v>1002.9857348225</v>
      </c>
    </row>
    <row r="179" spans="1:6">
      <c r="A179" s="1267" t="s">
        <v>1891</v>
      </c>
      <c r="B179" s="1267" t="s">
        <v>2776</v>
      </c>
      <c r="C179" s="1267" t="s">
        <v>695</v>
      </c>
      <c r="D179" s="1267">
        <v>2014</v>
      </c>
      <c r="E179" s="1267" t="s">
        <v>2774</v>
      </c>
      <c r="F179" s="1267">
        <v>4252.3550484278003</v>
      </c>
    </row>
    <row r="180" spans="1:6">
      <c r="A180" s="1267" t="s">
        <v>1891</v>
      </c>
      <c r="B180" s="1267" t="s">
        <v>2776</v>
      </c>
      <c r="C180" s="1267" t="s">
        <v>695</v>
      </c>
      <c r="D180" s="1267">
        <v>2015</v>
      </c>
      <c r="E180" s="1267" t="s">
        <v>2774</v>
      </c>
      <c r="F180" s="1267">
        <v>3621.7415418747</v>
      </c>
    </row>
    <row r="181" spans="1:6">
      <c r="A181" s="1267" t="s">
        <v>1891</v>
      </c>
      <c r="B181" s="1267" t="s">
        <v>2776</v>
      </c>
      <c r="C181" s="1267" t="s">
        <v>695</v>
      </c>
      <c r="D181" s="1267">
        <v>2016</v>
      </c>
      <c r="E181" s="1267" t="s">
        <v>2774</v>
      </c>
      <c r="F181" s="1267">
        <v>3631.5382063474999</v>
      </c>
    </row>
    <row r="182" spans="1:6">
      <c r="A182" s="1267" t="s">
        <v>1891</v>
      </c>
      <c r="B182" s="1267" t="s">
        <v>2776</v>
      </c>
      <c r="C182" s="1267" t="s">
        <v>2775</v>
      </c>
      <c r="D182" s="1267">
        <v>2014</v>
      </c>
      <c r="E182" s="1267" t="s">
        <v>2774</v>
      </c>
      <c r="F182" s="1267">
        <v>88110.654106407994</v>
      </c>
    </row>
    <row r="183" spans="1:6">
      <c r="A183" s="1267" t="s">
        <v>1891</v>
      </c>
      <c r="B183" s="1267" t="s">
        <v>2776</v>
      </c>
      <c r="C183" s="1267" t="s">
        <v>2775</v>
      </c>
      <c r="D183" s="1267">
        <v>2015</v>
      </c>
      <c r="E183" s="1267" t="s">
        <v>2774</v>
      </c>
      <c r="F183" s="1267">
        <v>74202.995008319005</v>
      </c>
    </row>
    <row r="184" spans="1:6">
      <c r="A184" s="1267" t="s">
        <v>1891</v>
      </c>
      <c r="B184" s="1267" t="s">
        <v>2776</v>
      </c>
      <c r="C184" s="1267" t="s">
        <v>2775</v>
      </c>
      <c r="D184" s="1267">
        <v>2016</v>
      </c>
      <c r="E184" s="1267" t="s">
        <v>2774</v>
      </c>
      <c r="F184" s="1267">
        <v>74918.721663164994</v>
      </c>
    </row>
    <row r="185" spans="1:6">
      <c r="A185" s="1267" t="s">
        <v>1935</v>
      </c>
      <c r="B185" s="1267" t="s">
        <v>2776</v>
      </c>
      <c r="C185" s="1267" t="s">
        <v>693</v>
      </c>
      <c r="D185" s="1267">
        <v>2014</v>
      </c>
      <c r="E185" s="1267" t="s">
        <v>2774</v>
      </c>
      <c r="F185" s="1267">
        <v>0</v>
      </c>
    </row>
    <row r="186" spans="1:6">
      <c r="A186" s="1267" t="s">
        <v>1935</v>
      </c>
      <c r="B186" s="1267" t="s">
        <v>2776</v>
      </c>
      <c r="C186" s="1267" t="s">
        <v>693</v>
      </c>
      <c r="D186" s="1267">
        <v>2015</v>
      </c>
      <c r="E186" s="1267" t="s">
        <v>2774</v>
      </c>
      <c r="F186" s="1267">
        <v>4.075429839157E-2</v>
      </c>
    </row>
    <row r="187" spans="1:6">
      <c r="A187" s="1267" t="s">
        <v>1935</v>
      </c>
      <c r="B187" s="1267" t="s">
        <v>2776</v>
      </c>
      <c r="C187" s="1267" t="s">
        <v>693</v>
      </c>
      <c r="D187" s="1267">
        <v>2016</v>
      </c>
      <c r="E187" s="1267" t="s">
        <v>2774</v>
      </c>
      <c r="F187" s="1267">
        <v>0.14932433926794</v>
      </c>
    </row>
    <row r="188" spans="1:6">
      <c r="A188" s="1267" t="s">
        <v>1935</v>
      </c>
      <c r="B188" s="1267" t="s">
        <v>2776</v>
      </c>
      <c r="C188" s="1267" t="s">
        <v>697</v>
      </c>
      <c r="D188" s="1267">
        <v>2014</v>
      </c>
      <c r="E188" s="1267" t="s">
        <v>2774</v>
      </c>
      <c r="F188" s="1267">
        <v>20.167175268674999</v>
      </c>
    </row>
    <row r="189" spans="1:6">
      <c r="A189" s="1267" t="s">
        <v>1935</v>
      </c>
      <c r="B189" s="1267" t="s">
        <v>2776</v>
      </c>
      <c r="C189" s="1267" t="s">
        <v>697</v>
      </c>
      <c r="D189" s="1267">
        <v>2015</v>
      </c>
      <c r="E189" s="1267" t="s">
        <v>2774</v>
      </c>
      <c r="F189" s="1267">
        <v>30.548353854687001</v>
      </c>
    </row>
    <row r="190" spans="1:6">
      <c r="A190" s="1267" t="s">
        <v>1935</v>
      </c>
      <c r="B190" s="1267" t="s">
        <v>2776</v>
      </c>
      <c r="C190" s="1267" t="s">
        <v>697</v>
      </c>
      <c r="D190" s="1267">
        <v>2016</v>
      </c>
      <c r="E190" s="1267" t="s">
        <v>2774</v>
      </c>
      <c r="F190" s="1267">
        <v>57.226521066018002</v>
      </c>
    </row>
    <row r="191" spans="1:6">
      <c r="A191" s="1267" t="s">
        <v>1935</v>
      </c>
      <c r="B191" s="1267" t="s">
        <v>2776</v>
      </c>
      <c r="C191" s="1267" t="s">
        <v>694</v>
      </c>
      <c r="D191" s="1267">
        <v>2014</v>
      </c>
      <c r="E191" s="1267" t="s">
        <v>2774</v>
      </c>
      <c r="F191" s="1267">
        <v>-234.58935916146999</v>
      </c>
    </row>
    <row r="192" spans="1:6">
      <c r="A192" s="1267" t="s">
        <v>1935</v>
      </c>
      <c r="B192" s="1267" t="s">
        <v>2776</v>
      </c>
      <c r="C192" s="1267" t="s">
        <v>694</v>
      </c>
      <c r="D192" s="1267">
        <v>2015</v>
      </c>
      <c r="E192" s="1267" t="s">
        <v>2774</v>
      </c>
      <c r="F192" s="1267">
        <v>131.02657127011</v>
      </c>
    </row>
    <row r="193" spans="1:6">
      <c r="A193" s="1267" t="s">
        <v>1935</v>
      </c>
      <c r="B193" s="1267" t="s">
        <v>2776</v>
      </c>
      <c r="C193" s="1267" t="s">
        <v>694</v>
      </c>
      <c r="D193" s="1267">
        <v>2016</v>
      </c>
      <c r="E193" s="1267" t="s">
        <v>2774</v>
      </c>
      <c r="F193" s="1267">
        <v>-60.095192966935997</v>
      </c>
    </row>
    <row r="194" spans="1:6">
      <c r="A194" s="1267" t="s">
        <v>1935</v>
      </c>
      <c r="B194" s="1267" t="s">
        <v>2776</v>
      </c>
      <c r="C194" s="1267" t="s">
        <v>696</v>
      </c>
      <c r="D194" s="1267">
        <v>2014</v>
      </c>
      <c r="E194" s="1267" t="s">
        <v>2774</v>
      </c>
      <c r="F194" s="1267">
        <v>0.26535756932465998</v>
      </c>
    </row>
    <row r="195" spans="1:6">
      <c r="A195" s="1267" t="s">
        <v>1935</v>
      </c>
      <c r="B195" s="1267" t="s">
        <v>2776</v>
      </c>
      <c r="C195" s="1267" t="s">
        <v>696</v>
      </c>
      <c r="D195" s="1267">
        <v>2015</v>
      </c>
      <c r="E195" s="1267" t="s">
        <v>2774</v>
      </c>
      <c r="F195" s="1267">
        <v>0.49399223516362001</v>
      </c>
    </row>
    <row r="196" spans="1:6">
      <c r="A196" s="1267" t="s">
        <v>1935</v>
      </c>
      <c r="B196" s="1267" t="s">
        <v>2776</v>
      </c>
      <c r="C196" s="1267" t="s">
        <v>696</v>
      </c>
      <c r="D196" s="1267">
        <v>2016</v>
      </c>
      <c r="E196" s="1267" t="s">
        <v>2774</v>
      </c>
      <c r="F196" s="1267">
        <v>0.51582550038704</v>
      </c>
    </row>
    <row r="197" spans="1:6">
      <c r="A197" s="1267" t="s">
        <v>1935</v>
      </c>
      <c r="B197" s="1267" t="s">
        <v>2776</v>
      </c>
      <c r="C197" s="1267" t="s">
        <v>695</v>
      </c>
      <c r="D197" s="1267">
        <v>2014</v>
      </c>
      <c r="E197" s="1267" t="s">
        <v>2774</v>
      </c>
      <c r="F197" s="1267">
        <v>70.943346158948998</v>
      </c>
    </row>
    <row r="198" spans="1:6">
      <c r="A198" s="1267" t="s">
        <v>1935</v>
      </c>
      <c r="B198" s="1267" t="s">
        <v>2776</v>
      </c>
      <c r="C198" s="1267" t="s">
        <v>695</v>
      </c>
      <c r="D198" s="1267">
        <v>2015</v>
      </c>
      <c r="E198" s="1267" t="s">
        <v>2774</v>
      </c>
      <c r="F198" s="1267">
        <v>52.124514697725999</v>
      </c>
    </row>
    <row r="199" spans="1:6">
      <c r="A199" s="1267" t="s">
        <v>1935</v>
      </c>
      <c r="B199" s="1267" t="s">
        <v>2776</v>
      </c>
      <c r="C199" s="1267" t="s">
        <v>695</v>
      </c>
      <c r="D199" s="1267">
        <v>2016</v>
      </c>
      <c r="E199" s="1267" t="s">
        <v>2774</v>
      </c>
      <c r="F199" s="1267">
        <v>46.958371115779997</v>
      </c>
    </row>
    <row r="200" spans="1:6">
      <c r="A200" s="1267" t="s">
        <v>1935</v>
      </c>
      <c r="B200" s="1267" t="s">
        <v>2776</v>
      </c>
      <c r="C200" s="1267" t="s">
        <v>2775</v>
      </c>
      <c r="D200" s="1267">
        <v>2014</v>
      </c>
      <c r="E200" s="1267" t="s">
        <v>2774</v>
      </c>
      <c r="F200" s="1267">
        <v>3113.9047366325999</v>
      </c>
    </row>
    <row r="201" spans="1:6">
      <c r="A201" s="1267" t="s">
        <v>1935</v>
      </c>
      <c r="B201" s="1267" t="s">
        <v>2776</v>
      </c>
      <c r="C201" s="1267" t="s">
        <v>2775</v>
      </c>
      <c r="D201" s="1267">
        <v>2015</v>
      </c>
      <c r="E201" s="1267" t="s">
        <v>2774</v>
      </c>
      <c r="F201" s="1267">
        <v>1801.5251170271999</v>
      </c>
    </row>
    <row r="202" spans="1:6">
      <c r="A202" s="1267" t="s">
        <v>1935</v>
      </c>
      <c r="B202" s="1267" t="s">
        <v>2776</v>
      </c>
      <c r="C202" s="1267" t="s">
        <v>2775</v>
      </c>
      <c r="D202" s="1267">
        <v>2016</v>
      </c>
      <c r="E202" s="1267" t="s">
        <v>2774</v>
      </c>
      <c r="F202" s="1267">
        <v>814.46747097202001</v>
      </c>
    </row>
    <row r="203" spans="1:6">
      <c r="A203" s="1267" t="s">
        <v>1932</v>
      </c>
      <c r="B203" s="1267" t="s">
        <v>2776</v>
      </c>
      <c r="C203" s="1267" t="s">
        <v>693</v>
      </c>
      <c r="D203" s="1267">
        <v>2014</v>
      </c>
      <c r="E203" s="1267" t="s">
        <v>2774</v>
      </c>
      <c r="F203" s="1267">
        <v>41.302459686242003</v>
      </c>
    </row>
    <row r="204" spans="1:6">
      <c r="A204" s="1267" t="s">
        <v>1932</v>
      </c>
      <c r="B204" s="1267" t="s">
        <v>2776</v>
      </c>
      <c r="C204" s="1267" t="s">
        <v>693</v>
      </c>
      <c r="D204" s="1267">
        <v>2015</v>
      </c>
      <c r="E204" s="1267" t="s">
        <v>2774</v>
      </c>
      <c r="F204" s="1267">
        <v>26.893722644469001</v>
      </c>
    </row>
    <row r="205" spans="1:6">
      <c r="A205" s="1267" t="s">
        <v>1932</v>
      </c>
      <c r="B205" s="1267" t="s">
        <v>2776</v>
      </c>
      <c r="C205" s="1267" t="s">
        <v>693</v>
      </c>
      <c r="D205" s="1267">
        <v>2016</v>
      </c>
      <c r="E205" s="1267" t="s">
        <v>2774</v>
      </c>
      <c r="F205" s="1267">
        <v>4.3928730005932</v>
      </c>
    </row>
    <row r="206" spans="1:6">
      <c r="A206" s="1267" t="s">
        <v>1932</v>
      </c>
      <c r="B206" s="1267" t="s">
        <v>2776</v>
      </c>
      <c r="C206" s="1267" t="s">
        <v>697</v>
      </c>
      <c r="D206" s="1267">
        <v>2014</v>
      </c>
      <c r="E206" s="1267" t="s">
        <v>2774</v>
      </c>
      <c r="F206" s="1267">
        <v>1014.2426782667</v>
      </c>
    </row>
    <row r="207" spans="1:6">
      <c r="A207" s="1267" t="s">
        <v>1932</v>
      </c>
      <c r="B207" s="1267" t="s">
        <v>2776</v>
      </c>
      <c r="C207" s="1267" t="s">
        <v>697</v>
      </c>
      <c r="D207" s="1267">
        <v>2015</v>
      </c>
      <c r="E207" s="1267" t="s">
        <v>2774</v>
      </c>
      <c r="F207" s="1267">
        <v>391.52850705960998</v>
      </c>
    </row>
    <row r="208" spans="1:6">
      <c r="A208" s="1267" t="s">
        <v>1932</v>
      </c>
      <c r="B208" s="1267" t="s">
        <v>2776</v>
      </c>
      <c r="C208" s="1267" t="s">
        <v>697</v>
      </c>
      <c r="D208" s="1267">
        <v>2016</v>
      </c>
      <c r="E208" s="1267" t="s">
        <v>2774</v>
      </c>
      <c r="F208" s="1267">
        <v>397.22861527203997</v>
      </c>
    </row>
    <row r="209" spans="1:6">
      <c r="A209" s="1267" t="s">
        <v>1932</v>
      </c>
      <c r="B209" s="1267" t="s">
        <v>2776</v>
      </c>
      <c r="C209" s="1267" t="s">
        <v>694</v>
      </c>
      <c r="D209" s="1267">
        <v>2014</v>
      </c>
      <c r="E209" s="1267" t="s">
        <v>2774</v>
      </c>
      <c r="F209" s="1267">
        <v>16.369911155189001</v>
      </c>
    </row>
    <row r="210" spans="1:6">
      <c r="A210" s="1267" t="s">
        <v>1932</v>
      </c>
      <c r="B210" s="1267" t="s">
        <v>2776</v>
      </c>
      <c r="C210" s="1267" t="s">
        <v>694</v>
      </c>
      <c r="D210" s="1267">
        <v>2015</v>
      </c>
      <c r="E210" s="1267" t="s">
        <v>2774</v>
      </c>
      <c r="F210" s="1267">
        <v>-309.90422430281001</v>
      </c>
    </row>
    <row r="211" spans="1:6">
      <c r="A211" s="1267" t="s">
        <v>1932</v>
      </c>
      <c r="B211" s="1267" t="s">
        <v>2776</v>
      </c>
      <c r="C211" s="1267" t="s">
        <v>694</v>
      </c>
      <c r="D211" s="1267">
        <v>2016</v>
      </c>
      <c r="E211" s="1267" t="s">
        <v>2774</v>
      </c>
      <c r="F211" s="1267">
        <v>-96.547763754746995</v>
      </c>
    </row>
    <row r="212" spans="1:6">
      <c r="A212" s="1267" t="s">
        <v>1932</v>
      </c>
      <c r="B212" s="1267" t="s">
        <v>2776</v>
      </c>
      <c r="C212" s="1267" t="s">
        <v>696</v>
      </c>
      <c r="D212" s="1267">
        <v>2014</v>
      </c>
      <c r="E212" s="1267" t="s">
        <v>2774</v>
      </c>
      <c r="F212" s="1267">
        <v>6.6799845756431999</v>
      </c>
    </row>
    <row r="213" spans="1:6">
      <c r="A213" s="1267" t="s">
        <v>1932</v>
      </c>
      <c r="B213" s="1267" t="s">
        <v>2776</v>
      </c>
      <c r="C213" s="1267" t="s">
        <v>696</v>
      </c>
      <c r="D213" s="1267">
        <v>2015</v>
      </c>
      <c r="E213" s="1267" t="s">
        <v>2774</v>
      </c>
      <c r="F213" s="1267">
        <v>4.9417358539223999</v>
      </c>
    </row>
    <row r="214" spans="1:6">
      <c r="A214" s="1267" t="s">
        <v>1932</v>
      </c>
      <c r="B214" s="1267" t="s">
        <v>2776</v>
      </c>
      <c r="C214" s="1267" t="s">
        <v>696</v>
      </c>
      <c r="D214" s="1267">
        <v>2016</v>
      </c>
      <c r="E214" s="1267" t="s">
        <v>2774</v>
      </c>
      <c r="F214" s="1267">
        <v>-2.5431388777391</v>
      </c>
    </row>
    <row r="215" spans="1:6">
      <c r="A215" s="1267" t="s">
        <v>1932</v>
      </c>
      <c r="B215" s="1267" t="s">
        <v>2776</v>
      </c>
      <c r="C215" s="1267" t="s">
        <v>695</v>
      </c>
      <c r="D215" s="1267">
        <v>2014</v>
      </c>
      <c r="E215" s="1267" t="s">
        <v>2774</v>
      </c>
      <c r="F215" s="1267">
        <v>2894.7333559454</v>
      </c>
    </row>
    <row r="216" spans="1:6">
      <c r="A216" s="1267" t="s">
        <v>1932</v>
      </c>
      <c r="B216" s="1267" t="s">
        <v>2776</v>
      </c>
      <c r="C216" s="1267" t="s">
        <v>695</v>
      </c>
      <c r="D216" s="1267">
        <v>2015</v>
      </c>
      <c r="E216" s="1267" t="s">
        <v>2774</v>
      </c>
      <c r="F216" s="1267">
        <v>2553.8250141479002</v>
      </c>
    </row>
    <row r="217" spans="1:6">
      <c r="A217" s="1267" t="s">
        <v>1932</v>
      </c>
      <c r="B217" s="1267" t="s">
        <v>2776</v>
      </c>
      <c r="C217" s="1267" t="s">
        <v>695</v>
      </c>
      <c r="D217" s="1267">
        <v>2016</v>
      </c>
      <c r="E217" s="1267" t="s">
        <v>2774</v>
      </c>
      <c r="F217" s="1267">
        <v>2779.6189556018999</v>
      </c>
    </row>
    <row r="218" spans="1:6">
      <c r="A218" s="1267" t="s">
        <v>1932</v>
      </c>
      <c r="B218" s="1267" t="s">
        <v>2776</v>
      </c>
      <c r="C218" s="1267" t="s">
        <v>2775</v>
      </c>
      <c r="D218" s="1267">
        <v>2014</v>
      </c>
      <c r="E218" s="1267" t="s">
        <v>2774</v>
      </c>
      <c r="F218" s="1267">
        <v>5544.0957384841004</v>
      </c>
    </row>
    <row r="219" spans="1:6">
      <c r="A219" s="1267" t="s">
        <v>1932</v>
      </c>
      <c r="B219" s="1267" t="s">
        <v>2776</v>
      </c>
      <c r="C219" s="1267" t="s">
        <v>2775</v>
      </c>
      <c r="D219" s="1267">
        <v>2015</v>
      </c>
      <c r="E219" s="1267" t="s">
        <v>2774</v>
      </c>
      <c r="F219" s="1267">
        <v>3943.6663646067</v>
      </c>
    </row>
    <row r="220" spans="1:6">
      <c r="A220" s="1267" t="s">
        <v>1932</v>
      </c>
      <c r="B220" s="1267" t="s">
        <v>2776</v>
      </c>
      <c r="C220" s="1267" t="s">
        <v>2775</v>
      </c>
      <c r="D220" s="1267">
        <v>2016</v>
      </c>
      <c r="E220" s="1267" t="s">
        <v>2774</v>
      </c>
      <c r="F220" s="1267">
        <v>6571.6178331278998</v>
      </c>
    </row>
    <row r="221" spans="1:6">
      <c r="A221" s="1267" t="s">
        <v>1930</v>
      </c>
      <c r="B221" s="1267" t="s">
        <v>2776</v>
      </c>
      <c r="C221" s="1267" t="s">
        <v>693</v>
      </c>
      <c r="D221" s="1267">
        <v>2014</v>
      </c>
      <c r="E221" s="1267" t="s">
        <v>2774</v>
      </c>
      <c r="F221" s="1267">
        <v>0.64416636752159995</v>
      </c>
    </row>
    <row r="222" spans="1:6">
      <c r="A222" s="1267" t="s">
        <v>1930</v>
      </c>
      <c r="B222" s="1267" t="s">
        <v>2776</v>
      </c>
      <c r="C222" s="1267" t="s">
        <v>693</v>
      </c>
      <c r="D222" s="1267">
        <v>2015</v>
      </c>
      <c r="E222" s="1267" t="s">
        <v>2774</v>
      </c>
      <c r="F222" s="1267">
        <v>0.49911014218008998</v>
      </c>
    </row>
    <row r="223" spans="1:6">
      <c r="A223" s="1267" t="s">
        <v>1930</v>
      </c>
      <c r="B223" s="1267" t="s">
        <v>2776</v>
      </c>
      <c r="C223" s="1267" t="s">
        <v>693</v>
      </c>
      <c r="D223" s="1267">
        <v>2016</v>
      </c>
      <c r="E223" s="1267" t="s">
        <v>2774</v>
      </c>
      <c r="F223" s="1267">
        <v>0.54489462464491001</v>
      </c>
    </row>
    <row r="224" spans="1:6">
      <c r="A224" s="1267" t="s">
        <v>1930</v>
      </c>
      <c r="B224" s="1267" t="s">
        <v>2776</v>
      </c>
      <c r="C224" s="1267" t="s">
        <v>697</v>
      </c>
      <c r="D224" s="1267">
        <v>2014</v>
      </c>
      <c r="E224" s="1267" t="s">
        <v>2774</v>
      </c>
      <c r="F224" s="1267">
        <v>23.868854380913</v>
      </c>
    </row>
    <row r="225" spans="1:6">
      <c r="A225" s="1267" t="s">
        <v>1930</v>
      </c>
      <c r="B225" s="1267" t="s">
        <v>2776</v>
      </c>
      <c r="C225" s="1267" t="s">
        <v>697</v>
      </c>
      <c r="D225" s="1267">
        <v>2015</v>
      </c>
      <c r="E225" s="1267" t="s">
        <v>2774</v>
      </c>
      <c r="F225" s="1267">
        <v>20.002600531782001</v>
      </c>
    </row>
    <row r="226" spans="1:6">
      <c r="A226" s="1267" t="s">
        <v>1930</v>
      </c>
      <c r="B226" s="1267" t="s">
        <v>2776</v>
      </c>
      <c r="C226" s="1267" t="s">
        <v>697</v>
      </c>
      <c r="D226" s="1267">
        <v>2016</v>
      </c>
      <c r="E226" s="1267" t="s">
        <v>2774</v>
      </c>
      <c r="F226" s="1267">
        <v>16.929581904723999</v>
      </c>
    </row>
    <row r="227" spans="1:6">
      <c r="A227" s="1267" t="s">
        <v>1930</v>
      </c>
      <c r="B227" s="1267" t="s">
        <v>2776</v>
      </c>
      <c r="C227" s="1267" t="s">
        <v>694</v>
      </c>
      <c r="D227" s="1267">
        <v>2014</v>
      </c>
      <c r="E227" s="1267" t="s">
        <v>2774</v>
      </c>
      <c r="F227" s="1267">
        <v>4.0081996469304997</v>
      </c>
    </row>
    <row r="228" spans="1:6">
      <c r="A228" s="1267" t="s">
        <v>1930</v>
      </c>
      <c r="B228" s="1267" t="s">
        <v>2776</v>
      </c>
      <c r="C228" s="1267" t="s">
        <v>694</v>
      </c>
      <c r="D228" s="1267">
        <v>2015</v>
      </c>
      <c r="E228" s="1267" t="s">
        <v>2774</v>
      </c>
      <c r="F228" s="1267">
        <v>62.858645759232999</v>
      </c>
    </row>
    <row r="229" spans="1:6">
      <c r="A229" s="1267" t="s">
        <v>1930</v>
      </c>
      <c r="B229" s="1267" t="s">
        <v>2776</v>
      </c>
      <c r="C229" s="1267" t="s">
        <v>694</v>
      </c>
      <c r="D229" s="1267">
        <v>2016</v>
      </c>
      <c r="E229" s="1267" t="s">
        <v>2774</v>
      </c>
      <c r="F229" s="1267">
        <v>89.458533815324003</v>
      </c>
    </row>
    <row r="230" spans="1:6">
      <c r="A230" s="1267" t="s">
        <v>1930</v>
      </c>
      <c r="B230" s="1267" t="s">
        <v>2776</v>
      </c>
      <c r="C230" s="1267" t="s">
        <v>696</v>
      </c>
      <c r="D230" s="1267">
        <v>2014</v>
      </c>
      <c r="E230" s="1267" t="s">
        <v>2774</v>
      </c>
      <c r="F230" s="1267">
        <v>7.3970845331139998E-2</v>
      </c>
    </row>
    <row r="231" spans="1:6">
      <c r="A231" s="1267" t="s">
        <v>1930</v>
      </c>
      <c r="B231" s="1267" t="s">
        <v>2776</v>
      </c>
      <c r="C231" s="1267" t="s">
        <v>696</v>
      </c>
      <c r="D231" s="1267">
        <v>2015</v>
      </c>
      <c r="E231" s="1267" t="s">
        <v>2774</v>
      </c>
      <c r="F231" s="1267">
        <v>7.4118946655739995E-2</v>
      </c>
    </row>
    <row r="232" spans="1:6">
      <c r="A232" s="1267" t="s">
        <v>1930</v>
      </c>
      <c r="B232" s="1267" t="s">
        <v>2776</v>
      </c>
      <c r="C232" s="1267" t="s">
        <v>696</v>
      </c>
      <c r="D232" s="1267">
        <v>2016</v>
      </c>
      <c r="E232" s="1267" t="s">
        <v>2774</v>
      </c>
      <c r="F232" s="1267">
        <v>5.5829807240239997E-2</v>
      </c>
    </row>
    <row r="233" spans="1:6">
      <c r="A233" s="1267" t="s">
        <v>1930</v>
      </c>
      <c r="B233" s="1267" t="s">
        <v>2776</v>
      </c>
      <c r="C233" s="1267" t="s">
        <v>695</v>
      </c>
      <c r="D233" s="1267">
        <v>2014</v>
      </c>
      <c r="E233" s="1267" t="s">
        <v>2774</v>
      </c>
      <c r="F233" s="1267">
        <v>6.4782507503803997</v>
      </c>
    </row>
    <row r="234" spans="1:6">
      <c r="A234" s="1267" t="s">
        <v>1930</v>
      </c>
      <c r="B234" s="1267" t="s">
        <v>2776</v>
      </c>
      <c r="C234" s="1267" t="s">
        <v>695</v>
      </c>
      <c r="D234" s="1267">
        <v>2015</v>
      </c>
      <c r="E234" s="1267" t="s">
        <v>2774</v>
      </c>
      <c r="F234" s="1267">
        <v>6.9303539250414001</v>
      </c>
    </row>
    <row r="235" spans="1:6">
      <c r="A235" s="1267" t="s">
        <v>1930</v>
      </c>
      <c r="B235" s="1267" t="s">
        <v>2776</v>
      </c>
      <c r="C235" s="1267" t="s">
        <v>695</v>
      </c>
      <c r="D235" s="1267">
        <v>2016</v>
      </c>
      <c r="E235" s="1267" t="s">
        <v>2774</v>
      </c>
      <c r="F235" s="1267">
        <v>7.7724117667436001</v>
      </c>
    </row>
    <row r="236" spans="1:6">
      <c r="A236" s="1267" t="s">
        <v>1930</v>
      </c>
      <c r="B236" s="1267" t="s">
        <v>2776</v>
      </c>
      <c r="C236" s="1267" t="s">
        <v>2775</v>
      </c>
      <c r="D236" s="1267">
        <v>2014</v>
      </c>
      <c r="E236" s="1267" t="s">
        <v>2774</v>
      </c>
      <c r="F236" s="1267">
        <v>170.06230223572999</v>
      </c>
    </row>
    <row r="237" spans="1:6">
      <c r="A237" s="1267" t="s">
        <v>1930</v>
      </c>
      <c r="B237" s="1267" t="s">
        <v>2776</v>
      </c>
      <c r="C237" s="1267" t="s">
        <v>2775</v>
      </c>
      <c r="D237" s="1267">
        <v>2015</v>
      </c>
      <c r="E237" s="1267" t="s">
        <v>2774</v>
      </c>
      <c r="F237" s="1267">
        <v>290.37895851496</v>
      </c>
    </row>
    <row r="238" spans="1:6">
      <c r="A238" s="1267" t="s">
        <v>1930</v>
      </c>
      <c r="B238" s="1267" t="s">
        <v>2776</v>
      </c>
      <c r="C238" s="1267" t="s">
        <v>2775</v>
      </c>
      <c r="D238" s="1267">
        <v>2016</v>
      </c>
      <c r="E238" s="1267" t="s">
        <v>2774</v>
      </c>
      <c r="F238" s="1267">
        <v>356.18239978744998</v>
      </c>
    </row>
    <row r="239" spans="1:6">
      <c r="A239" s="1267" t="s">
        <v>693</v>
      </c>
      <c r="B239" s="1267" t="s">
        <v>2776</v>
      </c>
      <c r="C239" s="1267" t="s">
        <v>693</v>
      </c>
      <c r="D239" s="1267">
        <v>2014</v>
      </c>
      <c r="E239" s="1267" t="s">
        <v>2774</v>
      </c>
    </row>
    <row r="240" spans="1:6">
      <c r="A240" s="1267" t="s">
        <v>693</v>
      </c>
      <c r="B240" s="1267" t="s">
        <v>2776</v>
      </c>
      <c r="C240" s="1267" t="s">
        <v>693</v>
      </c>
      <c r="D240" s="1267">
        <v>2015</v>
      </c>
      <c r="E240" s="1267" t="s">
        <v>2774</v>
      </c>
    </row>
    <row r="241" spans="1:6">
      <c r="A241" s="1267" t="s">
        <v>693</v>
      </c>
      <c r="B241" s="1267" t="s">
        <v>2776</v>
      </c>
      <c r="C241" s="1267" t="s">
        <v>693</v>
      </c>
      <c r="D241" s="1267">
        <v>2016</v>
      </c>
      <c r="E241" s="1267" t="s">
        <v>2774</v>
      </c>
    </row>
    <row r="242" spans="1:6">
      <c r="A242" s="1267" t="s">
        <v>693</v>
      </c>
      <c r="B242" s="1267" t="s">
        <v>2776</v>
      </c>
      <c r="C242" s="1267" t="s">
        <v>697</v>
      </c>
      <c r="D242" s="1267">
        <v>2014</v>
      </c>
      <c r="E242" s="1267" t="s">
        <v>2774</v>
      </c>
      <c r="F242" s="1267">
        <v>6832.9574101100998</v>
      </c>
    </row>
    <row r="243" spans="1:6">
      <c r="A243" s="1267" t="s">
        <v>693</v>
      </c>
      <c r="B243" s="1267" t="s">
        <v>2776</v>
      </c>
      <c r="C243" s="1267" t="s">
        <v>697</v>
      </c>
      <c r="D243" s="1267">
        <v>2015</v>
      </c>
      <c r="E243" s="1267" t="s">
        <v>2774</v>
      </c>
      <c r="F243" s="1267">
        <v>8481.4198557959007</v>
      </c>
    </row>
    <row r="244" spans="1:6">
      <c r="A244" s="1267" t="s">
        <v>693</v>
      </c>
      <c r="B244" s="1267" t="s">
        <v>2776</v>
      </c>
      <c r="C244" s="1267" t="s">
        <v>697</v>
      </c>
      <c r="D244" s="1267">
        <v>2016</v>
      </c>
      <c r="E244" s="1267" t="s">
        <v>2774</v>
      </c>
      <c r="F244" s="1267">
        <v>10257.657856906</v>
      </c>
    </row>
    <row r="245" spans="1:6">
      <c r="A245" s="1267" t="s">
        <v>693</v>
      </c>
      <c r="B245" s="1267" t="s">
        <v>2776</v>
      </c>
      <c r="C245" s="1267" t="s">
        <v>694</v>
      </c>
      <c r="D245" s="1267">
        <v>2014</v>
      </c>
      <c r="E245" s="1267" t="s">
        <v>2774</v>
      </c>
      <c r="F245" s="1267">
        <v>-536.02229003581999</v>
      </c>
    </row>
    <row r="246" spans="1:6">
      <c r="A246" s="1267" t="s">
        <v>693</v>
      </c>
      <c r="B246" s="1267" t="s">
        <v>2776</v>
      </c>
      <c r="C246" s="1267" t="s">
        <v>694</v>
      </c>
      <c r="D246" s="1267">
        <v>2015</v>
      </c>
      <c r="E246" s="1267" t="s">
        <v>2774</v>
      </c>
      <c r="F246" s="1267">
        <v>2141.9855795896001</v>
      </c>
    </row>
    <row r="247" spans="1:6">
      <c r="A247" s="1267" t="s">
        <v>693</v>
      </c>
      <c r="B247" s="1267" t="s">
        <v>2776</v>
      </c>
      <c r="C247" s="1267" t="s">
        <v>694</v>
      </c>
      <c r="D247" s="1267">
        <v>2016</v>
      </c>
      <c r="E247" s="1267" t="s">
        <v>2774</v>
      </c>
      <c r="F247" s="1267">
        <v>2872.9403958862999</v>
      </c>
    </row>
    <row r="248" spans="1:6">
      <c r="A248" s="1267" t="s">
        <v>693</v>
      </c>
      <c r="B248" s="1267" t="s">
        <v>2776</v>
      </c>
      <c r="C248" s="1267" t="s">
        <v>696</v>
      </c>
      <c r="D248" s="1267">
        <v>2014</v>
      </c>
      <c r="E248" s="1267" t="s">
        <v>2774</v>
      </c>
    </row>
    <row r="249" spans="1:6">
      <c r="A249" s="1267" t="s">
        <v>693</v>
      </c>
      <c r="B249" s="1267" t="s">
        <v>2776</v>
      </c>
      <c r="C249" s="1267" t="s">
        <v>696</v>
      </c>
      <c r="D249" s="1267">
        <v>2015</v>
      </c>
      <c r="E249" s="1267" t="s">
        <v>2774</v>
      </c>
    </row>
    <row r="250" spans="1:6">
      <c r="A250" s="1267" t="s">
        <v>693</v>
      </c>
      <c r="B250" s="1267" t="s">
        <v>2776</v>
      </c>
      <c r="C250" s="1267" t="s">
        <v>696</v>
      </c>
      <c r="D250" s="1267">
        <v>2016</v>
      </c>
      <c r="E250" s="1267" t="s">
        <v>2774</v>
      </c>
    </row>
    <row r="251" spans="1:6">
      <c r="A251" s="1267" t="s">
        <v>693</v>
      </c>
      <c r="B251" s="1267" t="s">
        <v>2776</v>
      </c>
      <c r="C251" s="1267" t="s">
        <v>695</v>
      </c>
      <c r="D251" s="1267">
        <v>2014</v>
      </c>
      <c r="E251" s="1267" t="s">
        <v>2774</v>
      </c>
    </row>
    <row r="252" spans="1:6">
      <c r="A252" s="1267" t="s">
        <v>693</v>
      </c>
      <c r="B252" s="1267" t="s">
        <v>2776</v>
      </c>
      <c r="C252" s="1267" t="s">
        <v>695</v>
      </c>
      <c r="D252" s="1267">
        <v>2015</v>
      </c>
      <c r="E252" s="1267" t="s">
        <v>2774</v>
      </c>
      <c r="F252" s="1267">
        <v>-397.11591791459</v>
      </c>
    </row>
    <row r="253" spans="1:6">
      <c r="A253" s="1267" t="s">
        <v>693</v>
      </c>
      <c r="B253" s="1267" t="s">
        <v>2776</v>
      </c>
      <c r="C253" s="1267" t="s">
        <v>695</v>
      </c>
      <c r="D253" s="1267">
        <v>2016</v>
      </c>
      <c r="E253" s="1267" t="s">
        <v>2774</v>
      </c>
      <c r="F253" s="1267">
        <v>-1002.9857348225</v>
      </c>
    </row>
    <row r="254" spans="1:6">
      <c r="A254" s="1267" t="s">
        <v>693</v>
      </c>
      <c r="B254" s="1267" t="s">
        <v>2776</v>
      </c>
      <c r="C254" s="1267" t="s">
        <v>2775</v>
      </c>
      <c r="D254" s="1267">
        <v>2014</v>
      </c>
      <c r="E254" s="1267" t="s">
        <v>2774</v>
      </c>
      <c r="F254" s="1267">
        <v>17674.140904869</v>
      </c>
    </row>
    <row r="255" spans="1:6">
      <c r="A255" s="1267" t="s">
        <v>693</v>
      </c>
      <c r="B255" s="1267" t="s">
        <v>2776</v>
      </c>
      <c r="C255" s="1267" t="s">
        <v>2775</v>
      </c>
      <c r="D255" s="1267">
        <v>2015</v>
      </c>
      <c r="E255" s="1267" t="s">
        <v>2774</v>
      </c>
      <c r="F255" s="1267">
        <v>11762.617859124</v>
      </c>
    </row>
    <row r="256" spans="1:6">
      <c r="A256" s="1267" t="s">
        <v>693</v>
      </c>
      <c r="B256" s="1267" t="s">
        <v>2776</v>
      </c>
      <c r="C256" s="1267" t="s">
        <v>2775</v>
      </c>
      <c r="D256" s="1267">
        <v>2016</v>
      </c>
      <c r="E256" s="1267" t="s">
        <v>2774</v>
      </c>
      <c r="F256" s="1267">
        <v>15322.348778060001</v>
      </c>
    </row>
    <row r="257" spans="1:6">
      <c r="A257" s="1267" t="s">
        <v>1896</v>
      </c>
      <c r="B257" s="1267" t="s">
        <v>2776</v>
      </c>
      <c r="C257" s="1267" t="s">
        <v>693</v>
      </c>
      <c r="D257" s="1267">
        <v>2014</v>
      </c>
      <c r="E257" s="1267" t="s">
        <v>2774</v>
      </c>
      <c r="F257" s="1267">
        <v>1451.4461987528</v>
      </c>
    </row>
    <row r="258" spans="1:6">
      <c r="A258" s="1267" t="s">
        <v>1896</v>
      </c>
      <c r="B258" s="1267" t="s">
        <v>2776</v>
      </c>
      <c r="C258" s="1267" t="s">
        <v>693</v>
      </c>
      <c r="D258" s="1267">
        <v>2015</v>
      </c>
      <c r="E258" s="1267" t="s">
        <v>2774</v>
      </c>
      <c r="F258" s="1267">
        <v>1656.9062673322001</v>
      </c>
    </row>
    <row r="259" spans="1:6">
      <c r="A259" s="1267" t="s">
        <v>1896</v>
      </c>
      <c r="B259" s="1267" t="s">
        <v>2776</v>
      </c>
      <c r="C259" s="1267" t="s">
        <v>693</v>
      </c>
      <c r="D259" s="1267">
        <v>2016</v>
      </c>
      <c r="E259" s="1267" t="s">
        <v>2774</v>
      </c>
      <c r="F259" s="1267">
        <v>1245.9581997124999</v>
      </c>
    </row>
    <row r="260" spans="1:6">
      <c r="A260" s="1267" t="s">
        <v>1896</v>
      </c>
      <c r="B260" s="1267" t="s">
        <v>2776</v>
      </c>
      <c r="C260" s="1267" t="s">
        <v>697</v>
      </c>
      <c r="D260" s="1267">
        <v>2014</v>
      </c>
      <c r="E260" s="1267" t="s">
        <v>2774</v>
      </c>
      <c r="F260" s="1267">
        <v>2089.9973464242998</v>
      </c>
    </row>
    <row r="261" spans="1:6">
      <c r="A261" s="1267" t="s">
        <v>1896</v>
      </c>
      <c r="B261" s="1267" t="s">
        <v>2776</v>
      </c>
      <c r="C261" s="1267" t="s">
        <v>697</v>
      </c>
      <c r="D261" s="1267">
        <v>2015</v>
      </c>
      <c r="E261" s="1267" t="s">
        <v>2774</v>
      </c>
      <c r="F261" s="1267">
        <v>2477.4165280089001</v>
      </c>
    </row>
    <row r="262" spans="1:6">
      <c r="A262" s="1267" t="s">
        <v>1896</v>
      </c>
      <c r="B262" s="1267" t="s">
        <v>2776</v>
      </c>
      <c r="C262" s="1267" t="s">
        <v>697</v>
      </c>
      <c r="D262" s="1267">
        <v>2016</v>
      </c>
      <c r="E262" s="1267" t="s">
        <v>2774</v>
      </c>
      <c r="F262" s="1267">
        <v>1668.9925909543001</v>
      </c>
    </row>
    <row r="263" spans="1:6">
      <c r="A263" s="1267" t="s">
        <v>1896</v>
      </c>
      <c r="B263" s="1267" t="s">
        <v>2776</v>
      </c>
      <c r="C263" s="1267" t="s">
        <v>694</v>
      </c>
      <c r="D263" s="1267">
        <v>2014</v>
      </c>
      <c r="E263" s="1267" t="s">
        <v>2774</v>
      </c>
      <c r="F263" s="1267">
        <v>6072.3975056387999</v>
      </c>
    </row>
    <row r="264" spans="1:6">
      <c r="A264" s="1267" t="s">
        <v>1896</v>
      </c>
      <c r="B264" s="1267" t="s">
        <v>2776</v>
      </c>
      <c r="C264" s="1267" t="s">
        <v>694</v>
      </c>
      <c r="D264" s="1267">
        <v>2015</v>
      </c>
      <c r="E264" s="1267" t="s">
        <v>2774</v>
      </c>
      <c r="F264" s="1267">
        <v>-2106.9107043816002</v>
      </c>
    </row>
    <row r="265" spans="1:6">
      <c r="A265" s="1267" t="s">
        <v>1896</v>
      </c>
      <c r="B265" s="1267" t="s">
        <v>2776</v>
      </c>
      <c r="C265" s="1267" t="s">
        <v>694</v>
      </c>
      <c r="D265" s="1267">
        <v>2016</v>
      </c>
      <c r="E265" s="1267" t="s">
        <v>2774</v>
      </c>
      <c r="F265" s="1267">
        <v>1876.9280106158999</v>
      </c>
    </row>
    <row r="266" spans="1:6">
      <c r="A266" s="1267" t="s">
        <v>1896</v>
      </c>
      <c r="B266" s="1267" t="s">
        <v>2776</v>
      </c>
      <c r="C266" s="1267" t="s">
        <v>696</v>
      </c>
      <c r="D266" s="1267">
        <v>2014</v>
      </c>
      <c r="E266" s="1267" t="s">
        <v>2774</v>
      </c>
      <c r="F266" s="1267">
        <v>72.950776170889995</v>
      </c>
    </row>
    <row r="267" spans="1:6">
      <c r="A267" s="1267" t="s">
        <v>1896</v>
      </c>
      <c r="B267" s="1267" t="s">
        <v>2776</v>
      </c>
      <c r="C267" s="1267" t="s">
        <v>696</v>
      </c>
      <c r="D267" s="1267">
        <v>2015</v>
      </c>
      <c r="E267" s="1267" t="s">
        <v>2774</v>
      </c>
      <c r="F267" s="1267">
        <v>42.382695507488002</v>
      </c>
    </row>
    <row r="268" spans="1:6">
      <c r="A268" s="1267" t="s">
        <v>1896</v>
      </c>
      <c r="B268" s="1267" t="s">
        <v>2776</v>
      </c>
      <c r="C268" s="1267" t="s">
        <v>696</v>
      </c>
      <c r="D268" s="1267">
        <v>2016</v>
      </c>
      <c r="E268" s="1267" t="s">
        <v>2774</v>
      </c>
      <c r="F268" s="1267">
        <v>72.242618600021999</v>
      </c>
    </row>
    <row r="269" spans="1:6">
      <c r="A269" s="1267" t="s">
        <v>1896</v>
      </c>
      <c r="B269" s="1267" t="s">
        <v>2776</v>
      </c>
      <c r="C269" s="1267" t="s">
        <v>695</v>
      </c>
      <c r="D269" s="1267">
        <v>2014</v>
      </c>
      <c r="E269" s="1267" t="s">
        <v>2774</v>
      </c>
      <c r="F269" s="1267">
        <v>190.04643757463</v>
      </c>
    </row>
    <row r="270" spans="1:6">
      <c r="A270" s="1267" t="s">
        <v>1896</v>
      </c>
      <c r="B270" s="1267" t="s">
        <v>2776</v>
      </c>
      <c r="C270" s="1267" t="s">
        <v>695</v>
      </c>
      <c r="D270" s="1267">
        <v>2015</v>
      </c>
      <c r="E270" s="1267" t="s">
        <v>2774</v>
      </c>
      <c r="F270" s="1267">
        <v>157.33111480865</v>
      </c>
    </row>
    <row r="271" spans="1:6">
      <c r="A271" s="1267" t="s">
        <v>1896</v>
      </c>
      <c r="B271" s="1267" t="s">
        <v>2776</v>
      </c>
      <c r="C271" s="1267" t="s">
        <v>695</v>
      </c>
      <c r="D271" s="1267">
        <v>2016</v>
      </c>
      <c r="E271" s="1267" t="s">
        <v>2774</v>
      </c>
      <c r="F271" s="1267">
        <v>312.83865973680997</v>
      </c>
    </row>
    <row r="272" spans="1:6">
      <c r="A272" s="1267" t="s">
        <v>1896</v>
      </c>
      <c r="B272" s="1267" t="s">
        <v>2776</v>
      </c>
      <c r="C272" s="1267" t="s">
        <v>2775</v>
      </c>
      <c r="D272" s="1267">
        <v>2014</v>
      </c>
      <c r="E272" s="1267" t="s">
        <v>2774</v>
      </c>
      <c r="F272" s="1267">
        <v>26374.403608862998</v>
      </c>
    </row>
    <row r="273" spans="1:6">
      <c r="A273" s="1267" t="s">
        <v>1896</v>
      </c>
      <c r="B273" s="1267" t="s">
        <v>2776</v>
      </c>
      <c r="C273" s="1267" t="s">
        <v>2775</v>
      </c>
      <c r="D273" s="1267">
        <v>2015</v>
      </c>
      <c r="E273" s="1267" t="s">
        <v>2774</v>
      </c>
      <c r="F273" s="1267">
        <v>12171.589572934001</v>
      </c>
    </row>
    <row r="274" spans="1:6">
      <c r="A274" s="1267" t="s">
        <v>1896</v>
      </c>
      <c r="B274" s="1267" t="s">
        <v>2776</v>
      </c>
      <c r="C274" s="1267" t="s">
        <v>2775</v>
      </c>
      <c r="D274" s="1267">
        <v>2016</v>
      </c>
      <c r="E274" s="1267" t="s">
        <v>2774</v>
      </c>
      <c r="F274" s="1267">
        <v>18023.052084485</v>
      </c>
    </row>
    <row r="275" spans="1:6">
      <c r="A275" s="1267" t="s">
        <v>1436</v>
      </c>
      <c r="B275" s="1267" t="s">
        <v>2776</v>
      </c>
      <c r="C275" s="1267" t="s">
        <v>697</v>
      </c>
      <c r="D275" s="1267">
        <v>2014</v>
      </c>
      <c r="E275" s="1267" t="s">
        <v>2774</v>
      </c>
      <c r="F275" s="1267">
        <v>302.20069460308002</v>
      </c>
    </row>
    <row r="276" spans="1:6">
      <c r="A276" s="1267" t="s">
        <v>1436</v>
      </c>
      <c r="B276" s="1267" t="s">
        <v>2776</v>
      </c>
      <c r="C276" s="1267" t="s">
        <v>697</v>
      </c>
      <c r="D276" s="1267">
        <v>2015</v>
      </c>
      <c r="E276" s="1267" t="s">
        <v>2774</v>
      </c>
      <c r="F276" s="1267">
        <v>291.26784915658999</v>
      </c>
    </row>
    <row r="277" spans="1:6">
      <c r="A277" s="1267" t="s">
        <v>1436</v>
      </c>
      <c r="B277" s="1267" t="s">
        <v>2776</v>
      </c>
      <c r="C277" s="1267" t="s">
        <v>697</v>
      </c>
      <c r="D277" s="1267">
        <v>2016</v>
      </c>
      <c r="E277" s="1267" t="s">
        <v>2774</v>
      </c>
      <c r="F277" s="1267">
        <v>310.90978159549002</v>
      </c>
    </row>
    <row r="278" spans="1:6">
      <c r="A278" s="1267" t="s">
        <v>1436</v>
      </c>
      <c r="B278" s="1267" t="s">
        <v>2776</v>
      </c>
      <c r="C278" s="1267" t="s">
        <v>694</v>
      </c>
      <c r="D278" s="1267">
        <v>2014</v>
      </c>
      <c r="E278" s="1267" t="s">
        <v>2774</v>
      </c>
      <c r="F278" s="1267">
        <v>8577.1061337963001</v>
      </c>
    </row>
    <row r="279" spans="1:6">
      <c r="A279" s="1267" t="s">
        <v>1436</v>
      </c>
      <c r="B279" s="1267" t="s">
        <v>2776</v>
      </c>
      <c r="C279" s="1267" t="s">
        <v>694</v>
      </c>
      <c r="D279" s="1267">
        <v>2015</v>
      </c>
      <c r="E279" s="1267" t="s">
        <v>2774</v>
      </c>
      <c r="F279" s="1267">
        <v>8840.9437365900994</v>
      </c>
    </row>
    <row r="280" spans="1:6">
      <c r="A280" s="1267" t="s">
        <v>1436</v>
      </c>
      <c r="B280" s="1267" t="s">
        <v>2776</v>
      </c>
      <c r="C280" s="1267" t="s">
        <v>694</v>
      </c>
      <c r="D280" s="1267">
        <v>2016</v>
      </c>
      <c r="E280" s="1267" t="s">
        <v>2774</v>
      </c>
      <c r="F280" s="1267">
        <v>8464.6886563109001</v>
      </c>
    </row>
    <row r="281" spans="1:6">
      <c r="A281" s="1267" t="s">
        <v>1436</v>
      </c>
      <c r="B281" s="1267" t="s">
        <v>2776</v>
      </c>
      <c r="C281" s="1267" t="s">
        <v>696</v>
      </c>
      <c r="D281" s="1267">
        <v>2014</v>
      </c>
      <c r="E281" s="1267" t="s">
        <v>2774</v>
      </c>
      <c r="F281" s="1267">
        <v>4795.0751382223998</v>
      </c>
    </row>
    <row r="282" spans="1:6">
      <c r="A282" s="1267" t="s">
        <v>1436</v>
      </c>
      <c r="B282" s="1267" t="s">
        <v>2776</v>
      </c>
      <c r="C282" s="1267" t="s">
        <v>696</v>
      </c>
      <c r="D282" s="1267">
        <v>2015</v>
      </c>
      <c r="E282" s="1267" t="s">
        <v>2774</v>
      </c>
      <c r="F282" s="1267">
        <v>5015.3016234733004</v>
      </c>
    </row>
    <row r="283" spans="1:6">
      <c r="A283" s="1267" t="s">
        <v>1436</v>
      </c>
      <c r="B283" s="1267" t="s">
        <v>2776</v>
      </c>
      <c r="C283" s="1267" t="s">
        <v>696</v>
      </c>
      <c r="D283" s="1267">
        <v>2016</v>
      </c>
      <c r="E283" s="1267" t="s">
        <v>2774</v>
      </c>
      <c r="F283" s="1267">
        <v>5270.5300850163003</v>
      </c>
    </row>
    <row r="284" spans="1:6">
      <c r="A284" s="1267" t="s">
        <v>1436</v>
      </c>
      <c r="B284" s="1267" t="s">
        <v>2776</v>
      </c>
      <c r="C284" s="1267" t="s">
        <v>695</v>
      </c>
      <c r="D284" s="1267">
        <v>2014</v>
      </c>
      <c r="E284" s="1267" t="s">
        <v>2774</v>
      </c>
      <c r="F284" s="1267">
        <v>219.51048062543001</v>
      </c>
    </row>
    <row r="285" spans="1:6">
      <c r="A285" s="1267" t="s">
        <v>1436</v>
      </c>
      <c r="B285" s="1267" t="s">
        <v>2776</v>
      </c>
      <c r="C285" s="1267" t="s">
        <v>695</v>
      </c>
      <c r="D285" s="1267">
        <v>2015</v>
      </c>
      <c r="E285" s="1267" t="s">
        <v>2774</v>
      </c>
      <c r="F285" s="1267">
        <v>56.330813678748001</v>
      </c>
    </row>
    <row r="286" spans="1:6">
      <c r="A286" s="1267" t="s">
        <v>1436</v>
      </c>
      <c r="B286" s="1267" t="s">
        <v>2776</v>
      </c>
      <c r="C286" s="1267" t="s">
        <v>695</v>
      </c>
      <c r="D286" s="1267">
        <v>2016</v>
      </c>
      <c r="E286" s="1267" t="s">
        <v>2774</v>
      </c>
      <c r="F286" s="1267">
        <v>86.375480746342006</v>
      </c>
    </row>
    <row r="287" spans="1:6">
      <c r="A287" s="1267" t="s">
        <v>1436</v>
      </c>
      <c r="B287" s="1267" t="s">
        <v>2776</v>
      </c>
      <c r="C287" s="1267" t="s">
        <v>2775</v>
      </c>
      <c r="D287" s="1267">
        <v>2014</v>
      </c>
      <c r="E287" s="1267" t="s">
        <v>2774</v>
      </c>
      <c r="F287" s="1267">
        <v>100235.99189205001</v>
      </c>
    </row>
    <row r="288" spans="1:6">
      <c r="A288" s="1267" t="s">
        <v>1436</v>
      </c>
      <c r="B288" s="1267" t="s">
        <v>2776</v>
      </c>
      <c r="C288" s="1267" t="s">
        <v>2775</v>
      </c>
      <c r="D288" s="1267">
        <v>2015</v>
      </c>
      <c r="E288" s="1267" t="s">
        <v>2774</v>
      </c>
      <c r="F288" s="1267">
        <v>94342.367206581999</v>
      </c>
    </row>
    <row r="289" spans="1:6">
      <c r="A289" s="1267" t="s">
        <v>1436</v>
      </c>
      <c r="B289" s="1267" t="s">
        <v>2776</v>
      </c>
      <c r="C289" s="1267" t="s">
        <v>2775</v>
      </c>
      <c r="D289" s="1267">
        <v>2016</v>
      </c>
      <c r="E289" s="1267" t="s">
        <v>2774</v>
      </c>
      <c r="F289" s="1267">
        <v>96050.203696122</v>
      </c>
    </row>
    <row r="290" spans="1:6">
      <c r="A290" s="1267" t="s">
        <v>1928</v>
      </c>
      <c r="B290" s="1267" t="s">
        <v>2776</v>
      </c>
      <c r="C290" s="1267" t="s">
        <v>693</v>
      </c>
      <c r="D290" s="1267">
        <v>2014</v>
      </c>
      <c r="E290" s="1267" t="s">
        <v>2774</v>
      </c>
      <c r="F290" s="1267">
        <v>-117.44041</v>
      </c>
    </row>
    <row r="291" spans="1:6">
      <c r="A291" s="1267" t="s">
        <v>1928</v>
      </c>
      <c r="B291" s="1267" t="s">
        <v>2776</v>
      </c>
      <c r="C291" s="1267" t="s">
        <v>693</v>
      </c>
      <c r="D291" s="1267">
        <v>2015</v>
      </c>
      <c r="E291" s="1267" t="s">
        <v>2774</v>
      </c>
      <c r="F291" s="1278">
        <v>-117.44041</v>
      </c>
    </row>
    <row r="292" spans="1:6">
      <c r="A292" s="1267" t="s">
        <v>1928</v>
      </c>
      <c r="B292" s="1267" t="s">
        <v>2776</v>
      </c>
      <c r="C292" s="1267" t="s">
        <v>693</v>
      </c>
      <c r="D292" s="1267">
        <v>2016</v>
      </c>
      <c r="E292" s="1267" t="s">
        <v>2774</v>
      </c>
      <c r="F292" s="1278">
        <v>-117.44041</v>
      </c>
    </row>
    <row r="293" spans="1:6">
      <c r="A293" s="1267" t="s">
        <v>1928</v>
      </c>
      <c r="B293" s="1267" t="s">
        <v>2776</v>
      </c>
      <c r="C293" s="1267" t="s">
        <v>697</v>
      </c>
      <c r="D293" s="1267">
        <v>2014</v>
      </c>
      <c r="E293" s="1267" t="s">
        <v>2774</v>
      </c>
      <c r="F293" s="1267">
        <v>131.79392999999999</v>
      </c>
    </row>
    <row r="294" spans="1:6">
      <c r="A294" s="1267" t="s">
        <v>1928</v>
      </c>
      <c r="B294" s="1267" t="s">
        <v>2776</v>
      </c>
      <c r="C294" s="1267" t="s">
        <v>697</v>
      </c>
      <c r="D294" s="1267">
        <v>2015</v>
      </c>
      <c r="E294" s="1267" t="s">
        <v>2774</v>
      </c>
      <c r="F294" s="1267">
        <v>138.58175800000001</v>
      </c>
    </row>
    <row r="295" spans="1:6">
      <c r="A295" s="1267" t="s">
        <v>1928</v>
      </c>
      <c r="B295" s="1267" t="s">
        <v>2776</v>
      </c>
      <c r="C295" s="1267" t="s">
        <v>697</v>
      </c>
      <c r="D295" s="1267">
        <v>2016</v>
      </c>
      <c r="E295" s="1267" t="s">
        <v>2774</v>
      </c>
      <c r="F295" s="1267">
        <v>-123.536168</v>
      </c>
    </row>
    <row r="296" spans="1:6">
      <c r="A296" s="1267" t="s">
        <v>1928</v>
      </c>
      <c r="B296" s="1267" t="s">
        <v>2776</v>
      </c>
      <c r="C296" s="1267" t="s">
        <v>694</v>
      </c>
      <c r="D296" s="1267">
        <v>2014</v>
      </c>
      <c r="E296" s="1267" t="s">
        <v>2774</v>
      </c>
      <c r="F296" s="1267">
        <v>-69.637189000000006</v>
      </c>
    </row>
    <row r="297" spans="1:6">
      <c r="A297" s="1267" t="s">
        <v>1928</v>
      </c>
      <c r="B297" s="1267" t="s">
        <v>2776</v>
      </c>
      <c r="C297" s="1267" t="s">
        <v>694</v>
      </c>
      <c r="D297" s="1267">
        <v>2015</v>
      </c>
      <c r="E297" s="1267" t="s">
        <v>2774</v>
      </c>
      <c r="F297" s="1267">
        <v>48.934686999999997</v>
      </c>
    </row>
    <row r="298" spans="1:6">
      <c r="A298" s="1267" t="s">
        <v>1928</v>
      </c>
      <c r="B298" s="1267" t="s">
        <v>2776</v>
      </c>
      <c r="C298" s="1267" t="s">
        <v>694</v>
      </c>
      <c r="D298" s="1267">
        <v>2016</v>
      </c>
      <c r="E298" s="1267" t="s">
        <v>2774</v>
      </c>
      <c r="F298" s="1267">
        <v>-158.923787</v>
      </c>
    </row>
    <row r="299" spans="1:6">
      <c r="A299" s="1267" t="s">
        <v>1928</v>
      </c>
      <c r="B299" s="1267" t="s">
        <v>2776</v>
      </c>
      <c r="C299" s="1267" t="s">
        <v>696</v>
      </c>
      <c r="D299" s="1267">
        <v>2014</v>
      </c>
      <c r="E299" s="1267" t="s">
        <v>2774</v>
      </c>
      <c r="F299" s="1267">
        <v>688.79384400000004</v>
      </c>
    </row>
    <row r="300" spans="1:6">
      <c r="A300" s="1267" t="s">
        <v>1928</v>
      </c>
      <c r="B300" s="1267" t="s">
        <v>2776</v>
      </c>
      <c r="C300" s="1267" t="s">
        <v>696</v>
      </c>
      <c r="D300" s="1267">
        <v>2015</v>
      </c>
      <c r="E300" s="1267" t="s">
        <v>2774</v>
      </c>
      <c r="F300" s="1267">
        <v>889.45113900000001</v>
      </c>
    </row>
    <row r="301" spans="1:6">
      <c r="A301" s="1267" t="s">
        <v>1928</v>
      </c>
      <c r="B301" s="1267" t="s">
        <v>2776</v>
      </c>
      <c r="C301" s="1267" t="s">
        <v>696</v>
      </c>
      <c r="D301" s="1267">
        <v>2016</v>
      </c>
      <c r="E301" s="1267" t="s">
        <v>2774</v>
      </c>
      <c r="F301" s="1267">
        <v>947.01098000000002</v>
      </c>
    </row>
    <row r="302" spans="1:6">
      <c r="A302" s="1267" t="s">
        <v>1928</v>
      </c>
      <c r="B302" s="1267" t="s">
        <v>2776</v>
      </c>
      <c r="C302" s="1267" t="s">
        <v>695</v>
      </c>
      <c r="D302" s="1267">
        <v>2014</v>
      </c>
      <c r="E302" s="1267" t="s">
        <v>2774</v>
      </c>
      <c r="F302" s="1267">
        <v>0.16131899999999999</v>
      </c>
    </row>
    <row r="303" spans="1:6">
      <c r="A303" s="1267" t="s">
        <v>1928</v>
      </c>
      <c r="B303" s="1267" t="s">
        <v>2776</v>
      </c>
      <c r="C303" s="1267" t="s">
        <v>695</v>
      </c>
      <c r="D303" s="1267">
        <v>2015</v>
      </c>
      <c r="E303" s="1267" t="s">
        <v>2774</v>
      </c>
      <c r="F303" s="1278">
        <v>0.16131899999999999</v>
      </c>
    </row>
    <row r="304" spans="1:6">
      <c r="A304" s="1267" t="s">
        <v>1928</v>
      </c>
      <c r="B304" s="1267" t="s">
        <v>2776</v>
      </c>
      <c r="C304" s="1267" t="s">
        <v>695</v>
      </c>
      <c r="D304" s="1267">
        <v>2016</v>
      </c>
      <c r="E304" s="1267" t="s">
        <v>2774</v>
      </c>
      <c r="F304" s="1278">
        <v>0.16131899999999999</v>
      </c>
    </row>
    <row r="305" spans="1:6">
      <c r="A305" s="1267" t="s">
        <v>1928</v>
      </c>
      <c r="B305" s="1267" t="s">
        <v>2776</v>
      </c>
      <c r="C305" s="1267" t="s">
        <v>2775</v>
      </c>
      <c r="D305" s="1267">
        <v>2014</v>
      </c>
      <c r="E305" s="1267" t="s">
        <v>2774</v>
      </c>
      <c r="F305" s="1267">
        <v>6305.4443069999998</v>
      </c>
    </row>
    <row r="306" spans="1:6">
      <c r="A306" s="1267" t="s">
        <v>1928</v>
      </c>
      <c r="B306" s="1267" t="s">
        <v>2776</v>
      </c>
      <c r="C306" s="1267" t="s">
        <v>2775</v>
      </c>
      <c r="D306" s="1267">
        <v>2015</v>
      </c>
      <c r="E306" s="1267" t="s">
        <v>2774</v>
      </c>
      <c r="F306" s="1267">
        <v>-123.834732</v>
      </c>
    </row>
    <row r="307" spans="1:6">
      <c r="A307" s="1267" t="s">
        <v>1928</v>
      </c>
      <c r="B307" s="1267" t="s">
        <v>2776</v>
      </c>
      <c r="C307" s="1267" t="s">
        <v>2775</v>
      </c>
      <c r="D307" s="1267">
        <v>2016</v>
      </c>
      <c r="E307" s="1267" t="s">
        <v>2774</v>
      </c>
      <c r="F307" s="1267">
        <v>9055.0360619999992</v>
      </c>
    </row>
    <row r="308" spans="1:6">
      <c r="A308" s="1267" t="s">
        <v>1926</v>
      </c>
      <c r="B308" s="1267" t="s">
        <v>2776</v>
      </c>
      <c r="C308" s="1267" t="s">
        <v>693</v>
      </c>
      <c r="D308" s="1267">
        <v>2014</v>
      </c>
      <c r="E308" s="1267" t="s">
        <v>2774</v>
      </c>
      <c r="F308" s="1267">
        <v>0</v>
      </c>
    </row>
    <row r="309" spans="1:6">
      <c r="A309" s="1267" t="s">
        <v>1926</v>
      </c>
      <c r="B309" s="1267" t="s">
        <v>2776</v>
      </c>
      <c r="C309" s="1267" t="s">
        <v>693</v>
      </c>
      <c r="D309" s="1267">
        <v>2015</v>
      </c>
      <c r="E309" s="1267" t="s">
        <v>2774</v>
      </c>
      <c r="F309" s="1267">
        <v>0</v>
      </c>
    </row>
    <row r="310" spans="1:6">
      <c r="A310" s="1267" t="s">
        <v>1926</v>
      </c>
      <c r="B310" s="1267" t="s">
        <v>2776</v>
      </c>
      <c r="C310" s="1267" t="s">
        <v>693</v>
      </c>
      <c r="D310" s="1267">
        <v>2016</v>
      </c>
      <c r="E310" s="1267" t="s">
        <v>2774</v>
      </c>
      <c r="F310" s="1267">
        <v>0</v>
      </c>
    </row>
    <row r="311" spans="1:6">
      <c r="A311" s="1267" t="s">
        <v>1926</v>
      </c>
      <c r="B311" s="1267" t="s">
        <v>2776</v>
      </c>
      <c r="C311" s="1267" t="s">
        <v>697</v>
      </c>
      <c r="D311" s="1267">
        <v>2014</v>
      </c>
      <c r="E311" s="1267" t="s">
        <v>2774</v>
      </c>
      <c r="F311" s="1267">
        <v>5.3071513864932998</v>
      </c>
    </row>
    <row r="312" spans="1:6">
      <c r="A312" s="1267" t="s">
        <v>1926</v>
      </c>
      <c r="B312" s="1267" t="s">
        <v>2776</v>
      </c>
      <c r="C312" s="1267" t="s">
        <v>697</v>
      </c>
      <c r="D312" s="1267">
        <v>2015</v>
      </c>
      <c r="E312" s="1267" t="s">
        <v>2774</v>
      </c>
      <c r="F312" s="1267">
        <v>-6.6555740432611996</v>
      </c>
    </row>
    <row r="313" spans="1:6">
      <c r="A313" s="1267" t="s">
        <v>1926</v>
      </c>
      <c r="B313" s="1267" t="s">
        <v>2776</v>
      </c>
      <c r="C313" s="1267" t="s">
        <v>697</v>
      </c>
      <c r="D313" s="1267">
        <v>2016</v>
      </c>
      <c r="E313" s="1267" t="s">
        <v>2774</v>
      </c>
    </row>
    <row r="314" spans="1:6">
      <c r="A314" s="1267" t="s">
        <v>1926</v>
      </c>
      <c r="B314" s="1267" t="s">
        <v>2776</v>
      </c>
      <c r="C314" s="1267" t="s">
        <v>694</v>
      </c>
      <c r="D314" s="1267">
        <v>2014</v>
      </c>
      <c r="E314" s="1267" t="s">
        <v>2774</v>
      </c>
      <c r="F314" s="1267">
        <v>0</v>
      </c>
    </row>
    <row r="315" spans="1:6">
      <c r="A315" s="1267" t="s">
        <v>1926</v>
      </c>
      <c r="B315" s="1267" t="s">
        <v>2776</v>
      </c>
      <c r="C315" s="1267" t="s">
        <v>694</v>
      </c>
      <c r="D315" s="1267">
        <v>2015</v>
      </c>
      <c r="E315" s="1267" t="s">
        <v>2774</v>
      </c>
      <c r="F315" s="1267">
        <v>0</v>
      </c>
    </row>
    <row r="316" spans="1:6">
      <c r="A316" s="1267" t="s">
        <v>1926</v>
      </c>
      <c r="B316" s="1267" t="s">
        <v>2776</v>
      </c>
      <c r="C316" s="1267" t="s">
        <v>694</v>
      </c>
      <c r="D316" s="1267">
        <v>2016</v>
      </c>
      <c r="E316" s="1267" t="s">
        <v>2774</v>
      </c>
      <c r="F316" s="1267">
        <v>0</v>
      </c>
    </row>
    <row r="317" spans="1:6">
      <c r="A317" s="1267" t="s">
        <v>1926</v>
      </c>
      <c r="B317" s="1267" t="s">
        <v>2776</v>
      </c>
      <c r="C317" s="1267" t="s">
        <v>696</v>
      </c>
      <c r="D317" s="1267">
        <v>2014</v>
      </c>
      <c r="E317" s="1267" t="s">
        <v>2774</v>
      </c>
      <c r="F317" s="1267">
        <v>0</v>
      </c>
    </row>
    <row r="318" spans="1:6">
      <c r="A318" s="1267" t="s">
        <v>1926</v>
      </c>
      <c r="B318" s="1267" t="s">
        <v>2776</v>
      </c>
      <c r="C318" s="1267" t="s">
        <v>696</v>
      </c>
      <c r="D318" s="1267">
        <v>2015</v>
      </c>
      <c r="E318" s="1267" t="s">
        <v>2774</v>
      </c>
      <c r="F318" s="1267">
        <v>0</v>
      </c>
    </row>
    <row r="319" spans="1:6">
      <c r="A319" s="1267" t="s">
        <v>1926</v>
      </c>
      <c r="B319" s="1267" t="s">
        <v>2776</v>
      </c>
      <c r="C319" s="1267" t="s">
        <v>696</v>
      </c>
      <c r="D319" s="1267">
        <v>2016</v>
      </c>
      <c r="E319" s="1267" t="s">
        <v>2774</v>
      </c>
      <c r="F319" s="1267">
        <v>0</v>
      </c>
    </row>
    <row r="320" spans="1:6">
      <c r="A320" s="1267" t="s">
        <v>1926</v>
      </c>
      <c r="B320" s="1267" t="s">
        <v>2776</v>
      </c>
      <c r="C320" s="1267" t="s">
        <v>695</v>
      </c>
      <c r="D320" s="1267">
        <v>2014</v>
      </c>
      <c r="E320" s="1267" t="s">
        <v>2774</v>
      </c>
      <c r="F320" s="1267">
        <v>-3.9803635398699999</v>
      </c>
    </row>
    <row r="321" spans="1:6">
      <c r="A321" s="1267" t="s">
        <v>1926</v>
      </c>
      <c r="B321" s="1267" t="s">
        <v>2776</v>
      </c>
      <c r="C321" s="1267" t="s">
        <v>695</v>
      </c>
      <c r="D321" s="1267">
        <v>2015</v>
      </c>
      <c r="E321" s="1267" t="s">
        <v>2774</v>
      </c>
      <c r="F321" s="1267">
        <v>23.294509151414001</v>
      </c>
    </row>
    <row r="322" spans="1:6">
      <c r="A322" s="1267" t="s">
        <v>1926</v>
      </c>
      <c r="B322" s="1267" t="s">
        <v>2776</v>
      </c>
      <c r="C322" s="1267" t="s">
        <v>695</v>
      </c>
      <c r="D322" s="1267">
        <v>2016</v>
      </c>
      <c r="E322" s="1267" t="s">
        <v>2774</v>
      </c>
      <c r="F322" s="1267">
        <v>8.8466216963396995</v>
      </c>
    </row>
    <row r="323" spans="1:6">
      <c r="A323" s="1267" t="s">
        <v>1926</v>
      </c>
      <c r="B323" s="1267" t="s">
        <v>2776</v>
      </c>
      <c r="C323" s="1267" t="s">
        <v>2775</v>
      </c>
      <c r="D323" s="1267">
        <v>2014</v>
      </c>
      <c r="E323" s="1267" t="s">
        <v>2774</v>
      </c>
      <c r="F323" s="1267">
        <v>54.398301711556002</v>
      </c>
    </row>
    <row r="324" spans="1:6">
      <c r="A324" s="1267" t="s">
        <v>1926</v>
      </c>
      <c r="B324" s="1267" t="s">
        <v>2776</v>
      </c>
      <c r="C324" s="1267" t="s">
        <v>2775</v>
      </c>
      <c r="D324" s="1267">
        <v>2015</v>
      </c>
      <c r="E324" s="1267" t="s">
        <v>2774</v>
      </c>
      <c r="F324" s="1267">
        <v>154.18746533555</v>
      </c>
    </row>
    <row r="325" spans="1:6">
      <c r="A325" s="1267" t="s">
        <v>1926</v>
      </c>
      <c r="B325" s="1267" t="s">
        <v>2776</v>
      </c>
      <c r="C325" s="1267" t="s">
        <v>2775</v>
      </c>
      <c r="D325" s="1267">
        <v>2016</v>
      </c>
      <c r="E325" s="1267" t="s">
        <v>2774</v>
      </c>
      <c r="F325" s="1267">
        <v>120.53522061263</v>
      </c>
    </row>
    <row r="326" spans="1:6">
      <c r="A326" s="1267" t="s">
        <v>697</v>
      </c>
      <c r="B326" s="1267" t="s">
        <v>2776</v>
      </c>
      <c r="C326" s="1267" t="s">
        <v>693</v>
      </c>
      <c r="D326" s="1267">
        <v>2014</v>
      </c>
      <c r="E326" s="1267" t="s">
        <v>2774</v>
      </c>
    </row>
    <row r="327" spans="1:6">
      <c r="A327" s="1267" t="s">
        <v>697</v>
      </c>
      <c r="B327" s="1267" t="s">
        <v>2776</v>
      </c>
      <c r="C327" s="1267" t="s">
        <v>693</v>
      </c>
      <c r="D327" s="1267">
        <v>2015</v>
      </c>
      <c r="E327" s="1267" t="s">
        <v>2774</v>
      </c>
    </row>
    <row r="328" spans="1:6">
      <c r="A328" s="1267" t="s">
        <v>697</v>
      </c>
      <c r="B328" s="1267" t="s">
        <v>2776</v>
      </c>
      <c r="C328" s="1267" t="s">
        <v>693</v>
      </c>
      <c r="D328" s="1267">
        <v>2016</v>
      </c>
      <c r="E328" s="1267" t="s">
        <v>2774</v>
      </c>
    </row>
    <row r="329" spans="1:6">
      <c r="A329" s="1267" t="s">
        <v>697</v>
      </c>
      <c r="B329" s="1267" t="s">
        <v>2776</v>
      </c>
      <c r="C329" s="1267" t="s">
        <v>697</v>
      </c>
      <c r="D329" s="1267">
        <v>2014</v>
      </c>
      <c r="E329" s="1267" t="s">
        <v>2774</v>
      </c>
    </row>
    <row r="330" spans="1:6">
      <c r="A330" s="1267" t="s">
        <v>697</v>
      </c>
      <c r="B330" s="1267" t="s">
        <v>2776</v>
      </c>
      <c r="C330" s="1267" t="s">
        <v>697</v>
      </c>
      <c r="D330" s="1267">
        <v>2015</v>
      </c>
      <c r="E330" s="1267" t="s">
        <v>2774</v>
      </c>
    </row>
    <row r="331" spans="1:6">
      <c r="A331" s="1267" t="s">
        <v>697</v>
      </c>
      <c r="B331" s="1267" t="s">
        <v>2776</v>
      </c>
      <c r="C331" s="1267" t="s">
        <v>697</v>
      </c>
      <c r="D331" s="1267">
        <v>2016</v>
      </c>
      <c r="E331" s="1267" t="s">
        <v>2774</v>
      </c>
    </row>
    <row r="332" spans="1:6">
      <c r="A332" s="1267" t="s">
        <v>697</v>
      </c>
      <c r="B332" s="1267" t="s">
        <v>2776</v>
      </c>
      <c r="C332" s="1267" t="s">
        <v>694</v>
      </c>
      <c r="D332" s="1267">
        <v>2014</v>
      </c>
      <c r="E332" s="1267" t="s">
        <v>2774</v>
      </c>
    </row>
    <row r="333" spans="1:6">
      <c r="A333" s="1267" t="s">
        <v>697</v>
      </c>
      <c r="B333" s="1267" t="s">
        <v>2776</v>
      </c>
      <c r="C333" s="1267" t="s">
        <v>694</v>
      </c>
      <c r="D333" s="1267">
        <v>2015</v>
      </c>
      <c r="E333" s="1267" t="s">
        <v>2774</v>
      </c>
    </row>
    <row r="334" spans="1:6">
      <c r="A334" s="1267" t="s">
        <v>697</v>
      </c>
      <c r="B334" s="1267" t="s">
        <v>2776</v>
      </c>
      <c r="C334" s="1267" t="s">
        <v>694</v>
      </c>
      <c r="D334" s="1267">
        <v>2016</v>
      </c>
      <c r="E334" s="1267" t="s">
        <v>2774</v>
      </c>
    </row>
    <row r="335" spans="1:6">
      <c r="A335" s="1267" t="s">
        <v>697</v>
      </c>
      <c r="B335" s="1267" t="s">
        <v>2776</v>
      </c>
      <c r="C335" s="1267" t="s">
        <v>696</v>
      </c>
      <c r="D335" s="1267">
        <v>2014</v>
      </c>
      <c r="E335" s="1267" t="s">
        <v>2774</v>
      </c>
    </row>
    <row r="336" spans="1:6">
      <c r="A336" s="1267" t="s">
        <v>697</v>
      </c>
      <c r="B336" s="1267" t="s">
        <v>2776</v>
      </c>
      <c r="C336" s="1267" t="s">
        <v>696</v>
      </c>
      <c r="D336" s="1267">
        <v>2015</v>
      </c>
      <c r="E336" s="1267" t="s">
        <v>2774</v>
      </c>
    </row>
    <row r="337" spans="1:6">
      <c r="A337" s="1267" t="s">
        <v>697</v>
      </c>
      <c r="B337" s="1267" t="s">
        <v>2776</v>
      </c>
      <c r="C337" s="1267" t="s">
        <v>696</v>
      </c>
      <c r="D337" s="1267">
        <v>2016</v>
      </c>
      <c r="E337" s="1267" t="s">
        <v>2774</v>
      </c>
    </row>
    <row r="338" spans="1:6">
      <c r="A338" s="1267" t="s">
        <v>697</v>
      </c>
      <c r="B338" s="1267" t="s">
        <v>2776</v>
      </c>
      <c r="C338" s="1267" t="s">
        <v>695</v>
      </c>
      <c r="D338" s="1267">
        <v>2014</v>
      </c>
      <c r="E338" s="1267" t="s">
        <v>2774</v>
      </c>
    </row>
    <row r="339" spans="1:6">
      <c r="A339" s="1267" t="s">
        <v>697</v>
      </c>
      <c r="B339" s="1267" t="s">
        <v>2776</v>
      </c>
      <c r="C339" s="1267" t="s">
        <v>695</v>
      </c>
      <c r="D339" s="1267">
        <v>2015</v>
      </c>
      <c r="E339" s="1267" t="s">
        <v>2774</v>
      </c>
    </row>
    <row r="340" spans="1:6">
      <c r="A340" s="1267" t="s">
        <v>697</v>
      </c>
      <c r="B340" s="1267" t="s">
        <v>2776</v>
      </c>
      <c r="C340" s="1267" t="s">
        <v>695</v>
      </c>
      <c r="D340" s="1267">
        <v>2016</v>
      </c>
      <c r="E340" s="1267" t="s">
        <v>2774</v>
      </c>
    </row>
    <row r="341" spans="1:6">
      <c r="A341" s="1267" t="s">
        <v>697</v>
      </c>
      <c r="B341" s="1267" t="s">
        <v>2776</v>
      </c>
      <c r="C341" s="1267" t="s">
        <v>2775</v>
      </c>
      <c r="D341" s="1267">
        <v>2014</v>
      </c>
      <c r="E341" s="1267" t="s">
        <v>2774</v>
      </c>
      <c r="F341" s="1267">
        <v>83006.501260448</v>
      </c>
    </row>
    <row r="342" spans="1:6">
      <c r="A342" s="1267" t="s">
        <v>697</v>
      </c>
      <c r="B342" s="1267" t="s">
        <v>2776</v>
      </c>
      <c r="C342" s="1267" t="s">
        <v>2775</v>
      </c>
      <c r="D342" s="1267">
        <v>2015</v>
      </c>
      <c r="E342" s="1267" t="s">
        <v>2774</v>
      </c>
      <c r="F342" s="1267">
        <v>90364.947310039002</v>
      </c>
    </row>
    <row r="343" spans="1:6">
      <c r="A343" s="1267" t="s">
        <v>697</v>
      </c>
      <c r="B343" s="1267" t="s">
        <v>2776</v>
      </c>
      <c r="C343" s="1267" t="s">
        <v>2775</v>
      </c>
      <c r="D343" s="1267">
        <v>2016</v>
      </c>
      <c r="E343" s="1267" t="s">
        <v>2774</v>
      </c>
      <c r="F343" s="1267">
        <v>84851.26617273</v>
      </c>
    </row>
    <row r="344" spans="1:6">
      <c r="A344" s="1267" t="s">
        <v>694</v>
      </c>
      <c r="B344" s="1267" t="s">
        <v>2776</v>
      </c>
      <c r="C344" s="1267" t="s">
        <v>693</v>
      </c>
      <c r="D344" s="1267">
        <v>2014</v>
      </c>
      <c r="E344" s="1267" t="s">
        <v>2774</v>
      </c>
      <c r="F344" s="1267">
        <v>12300.650126045</v>
      </c>
    </row>
    <row r="345" spans="1:6">
      <c r="A345" s="1267" t="s">
        <v>694</v>
      </c>
      <c r="B345" s="1267" t="s">
        <v>2776</v>
      </c>
      <c r="C345" s="1267" t="s">
        <v>693</v>
      </c>
      <c r="D345" s="1267">
        <v>2015</v>
      </c>
      <c r="E345" s="1267" t="s">
        <v>2774</v>
      </c>
      <c r="F345" s="1267">
        <v>10066.555740432999</v>
      </c>
    </row>
    <row r="346" spans="1:6">
      <c r="A346" s="1267" t="s">
        <v>694</v>
      </c>
      <c r="B346" s="1267" t="s">
        <v>2776</v>
      </c>
      <c r="C346" s="1267" t="s">
        <v>693</v>
      </c>
      <c r="D346" s="1267">
        <v>2016</v>
      </c>
      <c r="E346" s="1267" t="s">
        <v>2774</v>
      </c>
      <c r="F346" s="1267">
        <v>8203.0299679309992</v>
      </c>
    </row>
    <row r="347" spans="1:6">
      <c r="A347" s="1267" t="s">
        <v>694</v>
      </c>
      <c r="B347" s="1267" t="s">
        <v>2776</v>
      </c>
      <c r="C347" s="1267" t="s">
        <v>697</v>
      </c>
      <c r="D347" s="1267">
        <v>2014</v>
      </c>
      <c r="E347" s="1267" t="s">
        <v>2774</v>
      </c>
      <c r="F347" s="1267">
        <v>8771.3944540268003</v>
      </c>
    </row>
    <row r="348" spans="1:6">
      <c r="A348" s="1267" t="s">
        <v>694</v>
      </c>
      <c r="B348" s="1267" t="s">
        <v>2776</v>
      </c>
      <c r="C348" s="1267" t="s">
        <v>697</v>
      </c>
      <c r="D348" s="1267">
        <v>2015</v>
      </c>
      <c r="E348" s="1267" t="s">
        <v>2774</v>
      </c>
      <c r="F348" s="1267">
        <v>11047.143649473001</v>
      </c>
    </row>
    <row r="349" spans="1:6">
      <c r="A349" s="1267" t="s">
        <v>694</v>
      </c>
      <c r="B349" s="1267" t="s">
        <v>2776</v>
      </c>
      <c r="C349" s="1267" t="s">
        <v>697</v>
      </c>
      <c r="D349" s="1267">
        <v>2016</v>
      </c>
      <c r="E349" s="1267" t="s">
        <v>2774</v>
      </c>
      <c r="F349" s="1267">
        <v>15445.095654097</v>
      </c>
    </row>
    <row r="350" spans="1:6">
      <c r="A350" s="1267" t="s">
        <v>694</v>
      </c>
      <c r="B350" s="1267" t="s">
        <v>2776</v>
      </c>
      <c r="C350" s="1267" t="s">
        <v>694</v>
      </c>
      <c r="D350" s="1267">
        <v>2014</v>
      </c>
      <c r="E350" s="1267" t="s">
        <v>2774</v>
      </c>
      <c r="F350" s="1267">
        <v>0</v>
      </c>
    </row>
    <row r="351" spans="1:6">
      <c r="A351" s="1267" t="s">
        <v>694</v>
      </c>
      <c r="B351" s="1267" t="s">
        <v>2776</v>
      </c>
      <c r="C351" s="1267" t="s">
        <v>694</v>
      </c>
      <c r="D351" s="1267">
        <v>2015</v>
      </c>
      <c r="E351" s="1267" t="s">
        <v>2774</v>
      </c>
      <c r="F351" s="1267">
        <v>0</v>
      </c>
    </row>
    <row r="352" spans="1:6">
      <c r="A352" s="1267" t="s">
        <v>694</v>
      </c>
      <c r="B352" s="1267" t="s">
        <v>2776</v>
      </c>
      <c r="C352" s="1267" t="s">
        <v>694</v>
      </c>
      <c r="D352" s="1267">
        <v>2016</v>
      </c>
      <c r="E352" s="1267" t="s">
        <v>2774</v>
      </c>
      <c r="F352" s="1267">
        <v>0</v>
      </c>
    </row>
    <row r="353" spans="1:6">
      <c r="A353" s="1267" t="s">
        <v>694</v>
      </c>
      <c r="B353" s="1267" t="s">
        <v>2776</v>
      </c>
      <c r="C353" s="1267" t="s">
        <v>696</v>
      </c>
      <c r="D353" s="1267">
        <v>2014</v>
      </c>
      <c r="E353" s="1267" t="s">
        <v>2774</v>
      </c>
      <c r="F353" s="1267">
        <v>17046.570253416001</v>
      </c>
    </row>
    <row r="354" spans="1:6">
      <c r="A354" s="1267" t="s">
        <v>694</v>
      </c>
      <c r="B354" s="1267" t="s">
        <v>2776</v>
      </c>
      <c r="C354" s="1267" t="s">
        <v>696</v>
      </c>
      <c r="D354" s="1267">
        <v>2015</v>
      </c>
      <c r="E354" s="1267" t="s">
        <v>2774</v>
      </c>
      <c r="F354" s="1267">
        <v>11860.232945092001</v>
      </c>
    </row>
    <row r="355" spans="1:6">
      <c r="A355" s="1267" t="s">
        <v>694</v>
      </c>
      <c r="B355" s="1267" t="s">
        <v>2776</v>
      </c>
      <c r="C355" s="1267" t="s">
        <v>696</v>
      </c>
      <c r="D355" s="1267">
        <v>2016</v>
      </c>
      <c r="E355" s="1267" t="s">
        <v>2774</v>
      </c>
      <c r="F355" s="1267">
        <v>19886.099745660002</v>
      </c>
    </row>
    <row r="356" spans="1:6">
      <c r="A356" s="1267" t="s">
        <v>694</v>
      </c>
      <c r="B356" s="1267" t="s">
        <v>2776</v>
      </c>
      <c r="C356" s="1267" t="s">
        <v>695</v>
      </c>
      <c r="D356" s="1267">
        <v>2014</v>
      </c>
      <c r="E356" s="1267" t="s">
        <v>2774</v>
      </c>
      <c r="F356" s="1267">
        <v>17167.307947459001</v>
      </c>
    </row>
    <row r="357" spans="1:6">
      <c r="A357" s="1267" t="s">
        <v>694</v>
      </c>
      <c r="B357" s="1267" t="s">
        <v>2776</v>
      </c>
      <c r="C357" s="1267" t="s">
        <v>695</v>
      </c>
      <c r="D357" s="1267">
        <v>2015</v>
      </c>
      <c r="E357" s="1267" t="s">
        <v>2774</v>
      </c>
      <c r="F357" s="1267">
        <v>25428.729894619999</v>
      </c>
    </row>
    <row r="358" spans="1:6">
      <c r="A358" s="1267" t="s">
        <v>694</v>
      </c>
      <c r="B358" s="1267" t="s">
        <v>2776</v>
      </c>
      <c r="C358" s="1267" t="s">
        <v>695</v>
      </c>
      <c r="D358" s="1267">
        <v>2016</v>
      </c>
      <c r="E358" s="1267" t="s">
        <v>2774</v>
      </c>
      <c r="F358" s="1267">
        <v>21686.387260865002</v>
      </c>
    </row>
    <row r="359" spans="1:6">
      <c r="A359" s="1267" t="s">
        <v>694</v>
      </c>
      <c r="B359" s="1267" t="s">
        <v>2776</v>
      </c>
      <c r="C359" s="1267" t="s">
        <v>2775</v>
      </c>
      <c r="D359" s="1267">
        <v>2014</v>
      </c>
      <c r="E359" s="1267" t="s">
        <v>2774</v>
      </c>
      <c r="F359" s="1267">
        <v>263797.26681703998</v>
      </c>
    </row>
    <row r="360" spans="1:6">
      <c r="A360" s="1267" t="s">
        <v>694</v>
      </c>
      <c r="B360" s="1267" t="s">
        <v>2776</v>
      </c>
      <c r="C360" s="1267" t="s">
        <v>2775</v>
      </c>
      <c r="D360" s="1267">
        <v>2015</v>
      </c>
      <c r="E360" s="1267" t="s">
        <v>2774</v>
      </c>
      <c r="F360" s="1267">
        <v>213437.60399333999</v>
      </c>
    </row>
    <row r="361" spans="1:6">
      <c r="A361" s="1267" t="s">
        <v>694</v>
      </c>
      <c r="B361" s="1267" t="s">
        <v>2776</v>
      </c>
      <c r="C361" s="1267" t="s">
        <v>2775</v>
      </c>
      <c r="D361" s="1267">
        <v>2016</v>
      </c>
      <c r="E361" s="1267" t="s">
        <v>2774</v>
      </c>
      <c r="F361" s="1267">
        <v>208938.40539644001</v>
      </c>
    </row>
    <row r="362" spans="1:6">
      <c r="A362" s="1267" t="s">
        <v>1923</v>
      </c>
      <c r="B362" s="1267" t="s">
        <v>2776</v>
      </c>
      <c r="C362" s="1267" t="s">
        <v>693</v>
      </c>
      <c r="D362" s="1267">
        <v>2014</v>
      </c>
      <c r="E362" s="1267" t="s">
        <v>2774</v>
      </c>
      <c r="F362" s="1267">
        <v>-1.1668601758168999</v>
      </c>
    </row>
    <row r="363" spans="1:6">
      <c r="A363" s="1267" t="s">
        <v>1923</v>
      </c>
      <c r="B363" s="1267" t="s">
        <v>2776</v>
      </c>
      <c r="C363" s="1267" t="s">
        <v>693</v>
      </c>
      <c r="D363" s="1267">
        <v>2015</v>
      </c>
      <c r="E363" s="1267" t="s">
        <v>2774</v>
      </c>
    </row>
    <row r="364" spans="1:6">
      <c r="A364" s="1267" t="s">
        <v>1923</v>
      </c>
      <c r="B364" s="1267" t="s">
        <v>2776</v>
      </c>
      <c r="C364" s="1267" t="s">
        <v>693</v>
      </c>
      <c r="D364" s="1267">
        <v>2016</v>
      </c>
      <c r="E364" s="1267" t="s">
        <v>2774</v>
      </c>
    </row>
    <row r="365" spans="1:6">
      <c r="A365" s="1267" t="s">
        <v>1923</v>
      </c>
      <c r="B365" s="1267" t="s">
        <v>2776</v>
      </c>
      <c r="C365" s="1267" t="s">
        <v>697</v>
      </c>
      <c r="D365" s="1267">
        <v>2014</v>
      </c>
      <c r="E365" s="1267" t="s">
        <v>2774</v>
      </c>
    </row>
    <row r="366" spans="1:6">
      <c r="A366" s="1267" t="s">
        <v>1923</v>
      </c>
      <c r="B366" s="1267" t="s">
        <v>2776</v>
      </c>
      <c r="C366" s="1267" t="s">
        <v>697</v>
      </c>
      <c r="D366" s="1267">
        <v>2015</v>
      </c>
      <c r="E366" s="1267" t="s">
        <v>2774</v>
      </c>
    </row>
    <row r="367" spans="1:6">
      <c r="A367" s="1267" t="s">
        <v>1923</v>
      </c>
      <c r="B367" s="1267" t="s">
        <v>2776</v>
      </c>
      <c r="C367" s="1267" t="s">
        <v>697</v>
      </c>
      <c r="D367" s="1267">
        <v>2016</v>
      </c>
      <c r="E367" s="1267" t="s">
        <v>2774</v>
      </c>
    </row>
    <row r="368" spans="1:6">
      <c r="A368" s="1267" t="s">
        <v>1923</v>
      </c>
      <c r="B368" s="1267" t="s">
        <v>2776</v>
      </c>
      <c r="C368" s="1267" t="s">
        <v>694</v>
      </c>
      <c r="D368" s="1267">
        <v>2014</v>
      </c>
      <c r="E368" s="1267" t="s">
        <v>2774</v>
      </c>
    </row>
    <row r="369" spans="1:6">
      <c r="A369" s="1267" t="s">
        <v>1923</v>
      </c>
      <c r="B369" s="1267" t="s">
        <v>2776</v>
      </c>
      <c r="C369" s="1267" t="s">
        <v>694</v>
      </c>
      <c r="D369" s="1267">
        <v>2015</v>
      </c>
      <c r="E369" s="1267" t="s">
        <v>2774</v>
      </c>
      <c r="F369" s="1267">
        <v>4.0294240691674998</v>
      </c>
    </row>
    <row r="370" spans="1:6">
      <c r="A370" s="1267" t="s">
        <v>1923</v>
      </c>
      <c r="B370" s="1267" t="s">
        <v>2776</v>
      </c>
      <c r="C370" s="1267" t="s">
        <v>694</v>
      </c>
      <c r="D370" s="1267">
        <v>2016</v>
      </c>
      <c r="E370" s="1267" t="s">
        <v>2774</v>
      </c>
      <c r="F370" s="1267">
        <v>0.23188304907762</v>
      </c>
    </row>
    <row r="371" spans="1:6">
      <c r="A371" s="1267" t="s">
        <v>1923</v>
      </c>
      <c r="B371" s="1267" t="s">
        <v>2776</v>
      </c>
      <c r="C371" s="1267" t="s">
        <v>696</v>
      </c>
      <c r="D371" s="1267">
        <v>2014</v>
      </c>
      <c r="E371" s="1267" t="s">
        <v>2774</v>
      </c>
      <c r="F371" s="1267">
        <v>36.090396417316001</v>
      </c>
    </row>
    <row r="372" spans="1:6">
      <c r="A372" s="1267" t="s">
        <v>1923</v>
      </c>
      <c r="B372" s="1267" t="s">
        <v>2776</v>
      </c>
      <c r="C372" s="1267" t="s">
        <v>696</v>
      </c>
      <c r="D372" s="1267">
        <v>2015</v>
      </c>
      <c r="E372" s="1267" t="s">
        <v>2774</v>
      </c>
      <c r="F372" s="1267">
        <v>100.13157160787</v>
      </c>
    </row>
    <row r="373" spans="1:6">
      <c r="A373" s="1267" t="s">
        <v>1923</v>
      </c>
      <c r="B373" s="1267" t="s">
        <v>2776</v>
      </c>
      <c r="C373" s="1267" t="s">
        <v>696</v>
      </c>
      <c r="D373" s="1267">
        <v>2016</v>
      </c>
      <c r="E373" s="1267" t="s">
        <v>2774</v>
      </c>
      <c r="F373" s="1267">
        <v>85.422902888965993</v>
      </c>
    </row>
    <row r="374" spans="1:6">
      <c r="A374" s="1267" t="s">
        <v>1923</v>
      </c>
      <c r="B374" s="1267" t="s">
        <v>2776</v>
      </c>
      <c r="C374" s="1267" t="s">
        <v>2775</v>
      </c>
      <c r="D374" s="1267">
        <v>2014</v>
      </c>
      <c r="E374" s="1267" t="s">
        <v>2774</v>
      </c>
      <c r="F374" s="1267">
        <v>707.06999502404994</v>
      </c>
    </row>
    <row r="375" spans="1:6">
      <c r="A375" s="1267" t="s">
        <v>1923</v>
      </c>
      <c r="B375" s="1267" t="s">
        <v>2776</v>
      </c>
      <c r="C375" s="1267" t="s">
        <v>2775</v>
      </c>
      <c r="D375" s="1267">
        <v>2015</v>
      </c>
      <c r="E375" s="1267" t="s">
        <v>2774</v>
      </c>
      <c r="F375" s="1267">
        <v>491.57955654720001</v>
      </c>
    </row>
    <row r="376" spans="1:6">
      <c r="A376" s="1267" t="s">
        <v>1923</v>
      </c>
      <c r="B376" s="1267" t="s">
        <v>2776</v>
      </c>
      <c r="C376" s="1267" t="s">
        <v>2775</v>
      </c>
      <c r="D376" s="1267">
        <v>2016</v>
      </c>
      <c r="E376" s="1267" t="s">
        <v>2774</v>
      </c>
      <c r="F376" s="1267">
        <v>741.91980508179995</v>
      </c>
    </row>
    <row r="377" spans="1:6">
      <c r="A377" s="1267" t="s">
        <v>1897</v>
      </c>
      <c r="B377" s="1267" t="s">
        <v>2776</v>
      </c>
      <c r="C377" s="1267" t="s">
        <v>693</v>
      </c>
      <c r="D377" s="1267">
        <v>2014</v>
      </c>
      <c r="E377" s="1267" t="s">
        <v>2774</v>
      </c>
      <c r="F377" s="1267">
        <v>-57.919040289437</v>
      </c>
    </row>
    <row r="378" spans="1:6">
      <c r="A378" s="1267" t="s">
        <v>1897</v>
      </c>
      <c r="B378" s="1267" t="s">
        <v>2776</v>
      </c>
      <c r="C378" s="1267" t="s">
        <v>693</v>
      </c>
      <c r="D378" s="1267">
        <v>2015</v>
      </c>
      <c r="E378" s="1267" t="s">
        <v>2774</v>
      </c>
      <c r="F378" s="1267">
        <v>-247.13862331510001</v>
      </c>
    </row>
    <row r="379" spans="1:6">
      <c r="A379" s="1267" t="s">
        <v>1897</v>
      </c>
      <c r="B379" s="1267" t="s">
        <v>2776</v>
      </c>
      <c r="C379" s="1267" t="s">
        <v>693</v>
      </c>
      <c r="D379" s="1267">
        <v>2016</v>
      </c>
      <c r="E379" s="1267" t="s">
        <v>2774</v>
      </c>
      <c r="F379" s="1267">
        <v>-30.118330515939999</v>
      </c>
    </row>
    <row r="380" spans="1:6">
      <c r="A380" s="1267" t="s">
        <v>1897</v>
      </c>
      <c r="B380" s="1267" t="s">
        <v>2776</v>
      </c>
      <c r="C380" s="1267" t="s">
        <v>697</v>
      </c>
      <c r="D380" s="1267">
        <v>2014</v>
      </c>
      <c r="E380" s="1267" t="s">
        <v>2774</v>
      </c>
      <c r="F380" s="1267">
        <v>10.155667338422001</v>
      </c>
    </row>
    <row r="381" spans="1:6">
      <c r="A381" s="1267" t="s">
        <v>1897</v>
      </c>
      <c r="B381" s="1267" t="s">
        <v>2776</v>
      </c>
      <c r="C381" s="1267" t="s">
        <v>697</v>
      </c>
      <c r="D381" s="1267">
        <v>2015</v>
      </c>
      <c r="E381" s="1267" t="s">
        <v>2774</v>
      </c>
      <c r="F381" s="1267">
        <v>-16.740448644023999</v>
      </c>
    </row>
    <row r="382" spans="1:6">
      <c r="A382" s="1267" t="s">
        <v>1897</v>
      </c>
      <c r="B382" s="1267" t="s">
        <v>2776</v>
      </c>
      <c r="C382" s="1267" t="s">
        <v>697</v>
      </c>
      <c r="D382" s="1267">
        <v>2016</v>
      </c>
      <c r="E382" s="1267" t="s">
        <v>2774</v>
      </c>
      <c r="F382" s="1267">
        <v>32.975405347492</v>
      </c>
    </row>
    <row r="383" spans="1:6">
      <c r="A383" s="1267" t="s">
        <v>1897</v>
      </c>
      <c r="B383" s="1267" t="s">
        <v>2776</v>
      </c>
      <c r="C383" s="1267" t="s">
        <v>694</v>
      </c>
      <c r="D383" s="1267">
        <v>2014</v>
      </c>
      <c r="E383" s="1267" t="s">
        <v>2774</v>
      </c>
      <c r="F383" s="1267">
        <v>537.6156397277</v>
      </c>
    </row>
    <row r="384" spans="1:6">
      <c r="A384" s="1267" t="s">
        <v>1897</v>
      </c>
      <c r="B384" s="1267" t="s">
        <v>2776</v>
      </c>
      <c r="C384" s="1267" t="s">
        <v>694</v>
      </c>
      <c r="D384" s="1267">
        <v>2015</v>
      </c>
      <c r="E384" s="1267" t="s">
        <v>2774</v>
      </c>
      <c r="F384" s="1267">
        <v>2048.0388874422001</v>
      </c>
    </row>
    <row r="385" spans="1:6">
      <c r="A385" s="1267" t="s">
        <v>1897</v>
      </c>
      <c r="B385" s="1267" t="s">
        <v>2776</v>
      </c>
      <c r="C385" s="1267" t="s">
        <v>694</v>
      </c>
      <c r="D385" s="1267">
        <v>2016</v>
      </c>
      <c r="E385" s="1267" t="s">
        <v>2774</v>
      </c>
      <c r="F385" s="1267">
        <v>1891.3835384872</v>
      </c>
    </row>
    <row r="386" spans="1:6">
      <c r="A386" s="1267" t="s">
        <v>1897</v>
      </c>
      <c r="B386" s="1267" t="s">
        <v>2776</v>
      </c>
      <c r="C386" s="1267" t="s">
        <v>696</v>
      </c>
      <c r="D386" s="1267">
        <v>2014</v>
      </c>
      <c r="E386" s="1267" t="s">
        <v>2774</v>
      </c>
      <c r="F386" s="1267">
        <v>701.53445786191003</v>
      </c>
    </row>
    <row r="387" spans="1:6">
      <c r="A387" s="1267" t="s">
        <v>1897</v>
      </c>
      <c r="B387" s="1267" t="s">
        <v>2776</v>
      </c>
      <c r="C387" s="1267" t="s">
        <v>696</v>
      </c>
      <c r="D387" s="1267">
        <v>2015</v>
      </c>
      <c r="E387" s="1267" t="s">
        <v>2774</v>
      </c>
      <c r="F387" s="1267">
        <v>396.06661458526997</v>
      </c>
    </row>
    <row r="388" spans="1:6">
      <c r="A388" s="1267" t="s">
        <v>1897</v>
      </c>
      <c r="B388" s="1267" t="s">
        <v>2776</v>
      </c>
      <c r="C388" s="1267" t="s">
        <v>696</v>
      </c>
      <c r="D388" s="1267">
        <v>2016</v>
      </c>
      <c r="E388" s="1267" t="s">
        <v>2774</v>
      </c>
      <c r="F388" s="1267">
        <v>-751.88685983667006</v>
      </c>
    </row>
    <row r="389" spans="1:6">
      <c r="A389" s="1267" t="s">
        <v>1897</v>
      </c>
      <c r="B389" s="1267" t="s">
        <v>2776</v>
      </c>
      <c r="C389" s="1267" t="s">
        <v>695</v>
      </c>
      <c r="D389" s="1267">
        <v>2014</v>
      </c>
      <c r="E389" s="1267" t="s">
        <v>2774</v>
      </c>
      <c r="F389" s="1267">
        <v>-301.81373871372</v>
      </c>
    </row>
    <row r="390" spans="1:6">
      <c r="A390" s="1267" t="s">
        <v>1897</v>
      </c>
      <c r="B390" s="1267" t="s">
        <v>2776</v>
      </c>
      <c r="C390" s="1267" t="s">
        <v>695</v>
      </c>
      <c r="D390" s="1267">
        <v>2015</v>
      </c>
      <c r="E390" s="1267" t="s">
        <v>2774</v>
      </c>
      <c r="F390" s="1267">
        <v>51.089369195094001</v>
      </c>
    </row>
    <row r="391" spans="1:6">
      <c r="A391" s="1267" t="s">
        <v>1897</v>
      </c>
      <c r="B391" s="1267" t="s">
        <v>2776</v>
      </c>
      <c r="C391" s="1267" t="s">
        <v>695</v>
      </c>
      <c r="D391" s="1267">
        <v>2016</v>
      </c>
      <c r="E391" s="1267" t="s">
        <v>2774</v>
      </c>
      <c r="F391" s="1267">
        <v>19.285255112973999</v>
      </c>
    </row>
    <row r="392" spans="1:6">
      <c r="A392" s="1267" t="s">
        <v>1897</v>
      </c>
      <c r="B392" s="1267" t="s">
        <v>2776</v>
      </c>
      <c r="C392" s="1267" t="s">
        <v>2775</v>
      </c>
      <c r="D392" s="1267">
        <v>2014</v>
      </c>
      <c r="E392" s="1267" t="s">
        <v>2774</v>
      </c>
      <c r="F392" s="1267">
        <v>13770.450181691</v>
      </c>
    </row>
    <row r="393" spans="1:6">
      <c r="A393" s="1267" t="s">
        <v>1897</v>
      </c>
      <c r="B393" s="1267" t="s">
        <v>2776</v>
      </c>
      <c r="C393" s="1267" t="s">
        <v>2775</v>
      </c>
      <c r="D393" s="1267">
        <v>2015</v>
      </c>
      <c r="E393" s="1267" t="s">
        <v>2774</v>
      </c>
      <c r="F393" s="1267">
        <v>9078.4073013156994</v>
      </c>
    </row>
    <row r="394" spans="1:6">
      <c r="A394" s="1267" t="s">
        <v>1897</v>
      </c>
      <c r="B394" s="1267" t="s">
        <v>2776</v>
      </c>
      <c r="C394" s="1267" t="s">
        <v>2775</v>
      </c>
      <c r="D394" s="1267">
        <v>2016</v>
      </c>
      <c r="E394" s="1267" t="s">
        <v>2774</v>
      </c>
      <c r="F394" s="1267">
        <v>5949.5012023523004</v>
      </c>
    </row>
    <row r="395" spans="1:6">
      <c r="A395" s="1267" t="s">
        <v>1919</v>
      </c>
      <c r="B395" s="1267" t="s">
        <v>2776</v>
      </c>
      <c r="C395" s="1267" t="s">
        <v>693</v>
      </c>
      <c r="D395" s="1267">
        <v>2014</v>
      </c>
      <c r="E395" s="1267" t="s">
        <v>2774</v>
      </c>
      <c r="F395" s="1267">
        <v>-2.9483562121547999</v>
      </c>
    </row>
    <row r="396" spans="1:6">
      <c r="A396" s="1267" t="s">
        <v>1919</v>
      </c>
      <c r="B396" s="1267" t="s">
        <v>2776</v>
      </c>
      <c r="C396" s="1267" t="s">
        <v>693</v>
      </c>
      <c r="D396" s="1267">
        <v>2015</v>
      </c>
      <c r="E396" s="1267" t="s">
        <v>2774</v>
      </c>
      <c r="F396" s="1267">
        <v>-0.82223754707972996</v>
      </c>
    </row>
    <row r="397" spans="1:6">
      <c r="A397" s="1267" t="s">
        <v>1919</v>
      </c>
      <c r="B397" s="1267" t="s">
        <v>2776</v>
      </c>
      <c r="C397" s="1267" t="s">
        <v>693</v>
      </c>
      <c r="D397" s="1267">
        <v>2016</v>
      </c>
      <c r="E397" s="1267" t="s">
        <v>2774</v>
      </c>
      <c r="F397" s="1267">
        <v>-1.0141730686342001</v>
      </c>
    </row>
    <row r="398" spans="1:6">
      <c r="A398" s="1267" t="s">
        <v>1919</v>
      </c>
      <c r="B398" s="1267" t="s">
        <v>2776</v>
      </c>
      <c r="C398" s="1267" t="s">
        <v>697</v>
      </c>
      <c r="D398" s="1267">
        <v>2014</v>
      </c>
      <c r="E398" s="1267" t="s">
        <v>2774</v>
      </c>
      <c r="F398" s="1267">
        <v>382.58884697079998</v>
      </c>
    </row>
    <row r="399" spans="1:6">
      <c r="A399" s="1267" t="s">
        <v>1919</v>
      </c>
      <c r="B399" s="1267" t="s">
        <v>2776</v>
      </c>
      <c r="C399" s="1267" t="s">
        <v>697</v>
      </c>
      <c r="D399" s="1267">
        <v>2015</v>
      </c>
      <c r="E399" s="1267" t="s">
        <v>2774</v>
      </c>
      <c r="F399" s="1267">
        <v>-61.561720863615001</v>
      </c>
    </row>
    <row r="400" spans="1:6">
      <c r="A400" s="1267" t="s">
        <v>1919</v>
      </c>
      <c r="B400" s="1267" t="s">
        <v>2776</v>
      </c>
      <c r="C400" s="1267" t="s">
        <v>697</v>
      </c>
      <c r="D400" s="1267">
        <v>2016</v>
      </c>
      <c r="E400" s="1267" t="s">
        <v>2774</v>
      </c>
      <c r="F400" s="1267">
        <v>235.56704951699999</v>
      </c>
    </row>
    <row r="401" spans="1:6">
      <c r="A401" s="1267" t="s">
        <v>1919</v>
      </c>
      <c r="B401" s="1267" t="s">
        <v>2776</v>
      </c>
      <c r="C401" s="1267" t="s">
        <v>694</v>
      </c>
      <c r="D401" s="1267">
        <v>2014</v>
      </c>
      <c r="E401" s="1267" t="s">
        <v>2774</v>
      </c>
      <c r="F401" s="1267">
        <v>-25.932853564975002</v>
      </c>
    </row>
    <row r="402" spans="1:6">
      <c r="A402" s="1267" t="s">
        <v>1919</v>
      </c>
      <c r="B402" s="1267" t="s">
        <v>2776</v>
      </c>
      <c r="C402" s="1267" t="s">
        <v>694</v>
      </c>
      <c r="D402" s="1267">
        <v>2015</v>
      </c>
      <c r="E402" s="1267" t="s">
        <v>2774</v>
      </c>
      <c r="F402" s="1267">
        <v>112.5669725744</v>
      </c>
    </row>
    <row r="403" spans="1:6">
      <c r="A403" s="1267" t="s">
        <v>1919</v>
      </c>
      <c r="B403" s="1267" t="s">
        <v>2776</v>
      </c>
      <c r="C403" s="1267" t="s">
        <v>694</v>
      </c>
      <c r="D403" s="1267">
        <v>2016</v>
      </c>
      <c r="E403" s="1267" t="s">
        <v>2774</v>
      </c>
      <c r="F403" s="1267">
        <v>152.86123576988001</v>
      </c>
    </row>
    <row r="404" spans="1:6">
      <c r="A404" s="1267" t="s">
        <v>1919</v>
      </c>
      <c r="B404" s="1267" t="s">
        <v>2776</v>
      </c>
      <c r="C404" s="1267" t="s">
        <v>696</v>
      </c>
      <c r="D404" s="1267">
        <v>2014</v>
      </c>
      <c r="E404" s="1267" t="s">
        <v>2774</v>
      </c>
      <c r="F404" s="1267">
        <v>-0.12681101987762999</v>
      </c>
    </row>
    <row r="405" spans="1:6">
      <c r="A405" s="1267" t="s">
        <v>1919</v>
      </c>
      <c r="B405" s="1267" t="s">
        <v>2776</v>
      </c>
      <c r="C405" s="1267" t="s">
        <v>696</v>
      </c>
      <c r="D405" s="1267">
        <v>2015</v>
      </c>
      <c r="E405" s="1267" t="s">
        <v>2774</v>
      </c>
      <c r="F405" s="1267">
        <v>8.6202323484165007</v>
      </c>
    </row>
    <row r="406" spans="1:6">
      <c r="A406" s="1267" t="s">
        <v>1919</v>
      </c>
      <c r="B406" s="1267" t="s">
        <v>2776</v>
      </c>
      <c r="C406" s="1267" t="s">
        <v>696</v>
      </c>
      <c r="D406" s="1267">
        <v>2016</v>
      </c>
      <c r="E406" s="1267" t="s">
        <v>2774</v>
      </c>
      <c r="F406" s="1267">
        <v>10.496691260364001</v>
      </c>
    </row>
    <row r="407" spans="1:6">
      <c r="A407" s="1267" t="s">
        <v>1919</v>
      </c>
      <c r="B407" s="1267" t="s">
        <v>2776</v>
      </c>
      <c r="C407" s="1267" t="s">
        <v>695</v>
      </c>
      <c r="D407" s="1267">
        <v>2014</v>
      </c>
      <c r="E407" s="1267" t="s">
        <v>2774</v>
      </c>
      <c r="F407" s="1267">
        <v>89.243255238879996</v>
      </c>
    </row>
    <row r="408" spans="1:6">
      <c r="A408" s="1267" t="s">
        <v>1919</v>
      </c>
      <c r="B408" s="1267" t="s">
        <v>2776</v>
      </c>
      <c r="C408" s="1267" t="s">
        <v>695</v>
      </c>
      <c r="D408" s="1267">
        <v>2015</v>
      </c>
      <c r="E408" s="1267" t="s">
        <v>2774</v>
      </c>
      <c r="F408" s="1267">
        <v>54.426820858310002</v>
      </c>
    </row>
    <row r="409" spans="1:6">
      <c r="A409" s="1267" t="s">
        <v>1919</v>
      </c>
      <c r="B409" s="1267" t="s">
        <v>2776</v>
      </c>
      <c r="C409" s="1267" t="s">
        <v>695</v>
      </c>
      <c r="D409" s="1267">
        <v>2016</v>
      </c>
      <c r="E409" s="1267" t="s">
        <v>2774</v>
      </c>
      <c r="F409" s="1267">
        <v>41.657158794148003</v>
      </c>
    </row>
    <row r="410" spans="1:6">
      <c r="A410" s="1267" t="s">
        <v>1919</v>
      </c>
      <c r="B410" s="1267" t="s">
        <v>2776</v>
      </c>
      <c r="C410" s="1267" t="s">
        <v>2775</v>
      </c>
      <c r="D410" s="1267">
        <v>2014</v>
      </c>
      <c r="E410" s="1267" t="s">
        <v>2774</v>
      </c>
      <c r="F410" s="1267">
        <v>1747.2022318739</v>
      </c>
    </row>
    <row r="411" spans="1:6">
      <c r="A411" s="1267" t="s">
        <v>1919</v>
      </c>
      <c r="B411" s="1267" t="s">
        <v>2776</v>
      </c>
      <c r="C411" s="1267" t="s">
        <v>2775</v>
      </c>
      <c r="D411" s="1267">
        <v>2015</v>
      </c>
      <c r="E411" s="1267" t="s">
        <v>2774</v>
      </c>
      <c r="F411" s="1267">
        <v>945.81189326825995</v>
      </c>
    </row>
    <row r="412" spans="1:6">
      <c r="A412" s="1267" t="s">
        <v>1919</v>
      </c>
      <c r="B412" s="1267" t="s">
        <v>2776</v>
      </c>
      <c r="C412" s="1267" t="s">
        <v>2775</v>
      </c>
      <c r="D412" s="1267">
        <v>2016</v>
      </c>
      <c r="E412" s="1267" t="s">
        <v>2774</v>
      </c>
      <c r="F412" s="1267">
        <v>1367.4856114196</v>
      </c>
    </row>
    <row r="413" spans="1:6">
      <c r="A413" s="1267" t="s">
        <v>1918</v>
      </c>
      <c r="B413" s="1267" t="s">
        <v>2776</v>
      </c>
      <c r="C413" s="1267" t="s">
        <v>693</v>
      </c>
      <c r="D413" s="1267">
        <v>2014</v>
      </c>
      <c r="E413" s="1267" t="s">
        <v>2774</v>
      </c>
    </row>
    <row r="414" spans="1:6">
      <c r="A414" s="1267" t="s">
        <v>1918</v>
      </c>
      <c r="B414" s="1267" t="s">
        <v>2776</v>
      </c>
      <c r="C414" s="1267" t="s">
        <v>693</v>
      </c>
      <c r="D414" s="1267">
        <v>2015</v>
      </c>
      <c r="E414" s="1267" t="s">
        <v>2774</v>
      </c>
    </row>
    <row r="415" spans="1:6">
      <c r="A415" s="1267" t="s">
        <v>1918</v>
      </c>
      <c r="B415" s="1267" t="s">
        <v>2776</v>
      </c>
      <c r="C415" s="1267" t="s">
        <v>693</v>
      </c>
      <c r="D415" s="1267">
        <v>2016</v>
      </c>
      <c r="E415" s="1267" t="s">
        <v>2774</v>
      </c>
    </row>
    <row r="416" spans="1:6">
      <c r="A416" s="1267" t="s">
        <v>1918</v>
      </c>
      <c r="B416" s="1267" t="s">
        <v>2776</v>
      </c>
      <c r="C416" s="1267" t="s">
        <v>697</v>
      </c>
      <c r="D416" s="1267">
        <v>2014</v>
      </c>
      <c r="E416" s="1267" t="s">
        <v>2774</v>
      </c>
    </row>
    <row r="417" spans="1:6">
      <c r="A417" s="1267" t="s">
        <v>1918</v>
      </c>
      <c r="B417" s="1267" t="s">
        <v>2776</v>
      </c>
      <c r="C417" s="1267" t="s">
        <v>697</v>
      </c>
      <c r="D417" s="1267">
        <v>2015</v>
      </c>
      <c r="E417" s="1267" t="s">
        <v>2774</v>
      </c>
    </row>
    <row r="418" spans="1:6">
      <c r="A418" s="1267" t="s">
        <v>1918</v>
      </c>
      <c r="B418" s="1267" t="s">
        <v>2776</v>
      </c>
      <c r="C418" s="1267" t="s">
        <v>697</v>
      </c>
      <c r="D418" s="1267">
        <v>2016</v>
      </c>
      <c r="E418" s="1267" t="s">
        <v>2774</v>
      </c>
    </row>
    <row r="419" spans="1:6">
      <c r="A419" s="1267" t="s">
        <v>1918</v>
      </c>
      <c r="B419" s="1267" t="s">
        <v>2776</v>
      </c>
      <c r="C419" s="1267" t="s">
        <v>694</v>
      </c>
      <c r="D419" s="1267">
        <v>2014</v>
      </c>
      <c r="E419" s="1267" t="s">
        <v>2774</v>
      </c>
    </row>
    <row r="420" spans="1:6">
      <c r="A420" s="1267" t="s">
        <v>1918</v>
      </c>
      <c r="B420" s="1267" t="s">
        <v>2776</v>
      </c>
      <c r="C420" s="1267" t="s">
        <v>694</v>
      </c>
      <c r="D420" s="1267">
        <v>2015</v>
      </c>
      <c r="E420" s="1267" t="s">
        <v>2774</v>
      </c>
    </row>
    <row r="421" spans="1:6">
      <c r="A421" s="1267" t="s">
        <v>1918</v>
      </c>
      <c r="B421" s="1267" t="s">
        <v>2776</v>
      </c>
      <c r="C421" s="1267" t="s">
        <v>694</v>
      </c>
      <c r="D421" s="1267">
        <v>2016</v>
      </c>
      <c r="E421" s="1267" t="s">
        <v>2774</v>
      </c>
    </row>
    <row r="422" spans="1:6">
      <c r="A422" s="1267" t="s">
        <v>1918</v>
      </c>
      <c r="B422" s="1267" t="s">
        <v>2776</v>
      </c>
      <c r="C422" s="1267" t="s">
        <v>696</v>
      </c>
      <c r="D422" s="1267">
        <v>2014</v>
      </c>
      <c r="E422" s="1267" t="s">
        <v>2774</v>
      </c>
      <c r="F422" s="1267">
        <v>0</v>
      </c>
    </row>
    <row r="423" spans="1:6">
      <c r="A423" s="1267" t="s">
        <v>1918</v>
      </c>
      <c r="B423" s="1267" t="s">
        <v>2776</v>
      </c>
      <c r="C423" s="1267" t="s">
        <v>696</v>
      </c>
      <c r="D423" s="1267">
        <v>2015</v>
      </c>
      <c r="E423" s="1267" t="s">
        <v>2774</v>
      </c>
    </row>
    <row r="424" spans="1:6">
      <c r="A424" s="1267" t="s">
        <v>1918</v>
      </c>
      <c r="B424" s="1267" t="s">
        <v>2776</v>
      </c>
      <c r="C424" s="1267" t="s">
        <v>696</v>
      </c>
      <c r="D424" s="1267">
        <v>2016</v>
      </c>
      <c r="E424" s="1267" t="s">
        <v>2774</v>
      </c>
      <c r="F424" s="1267">
        <v>0</v>
      </c>
    </row>
    <row r="425" spans="1:6">
      <c r="A425" s="1267" t="s">
        <v>1918</v>
      </c>
      <c r="B425" s="1267" t="s">
        <v>2776</v>
      </c>
      <c r="C425" s="1267" t="s">
        <v>695</v>
      </c>
      <c r="D425" s="1267">
        <v>2014</v>
      </c>
      <c r="E425" s="1267" t="s">
        <v>2774</v>
      </c>
    </row>
    <row r="426" spans="1:6">
      <c r="A426" s="1267" t="s">
        <v>1918</v>
      </c>
      <c r="B426" s="1267" t="s">
        <v>2776</v>
      </c>
      <c r="C426" s="1267" t="s">
        <v>695</v>
      </c>
      <c r="D426" s="1267">
        <v>2015</v>
      </c>
      <c r="E426" s="1267" t="s">
        <v>2774</v>
      </c>
    </row>
    <row r="427" spans="1:6">
      <c r="A427" s="1267" t="s">
        <v>1918</v>
      </c>
      <c r="B427" s="1267" t="s">
        <v>2776</v>
      </c>
      <c r="C427" s="1267" t="s">
        <v>695</v>
      </c>
      <c r="D427" s="1267">
        <v>2016</v>
      </c>
      <c r="E427" s="1267" t="s">
        <v>2774</v>
      </c>
    </row>
    <row r="428" spans="1:6">
      <c r="A428" s="1267" t="s">
        <v>1918</v>
      </c>
      <c r="B428" s="1267" t="s">
        <v>2776</v>
      </c>
      <c r="C428" s="1267" t="s">
        <v>2775</v>
      </c>
      <c r="D428" s="1267">
        <v>2014</v>
      </c>
      <c r="E428" s="1267" t="s">
        <v>2774</v>
      </c>
      <c r="F428" s="1267">
        <v>1572.2435982485999</v>
      </c>
    </row>
    <row r="429" spans="1:6">
      <c r="A429" s="1267" t="s">
        <v>1918</v>
      </c>
      <c r="B429" s="1267" t="s">
        <v>2776</v>
      </c>
      <c r="C429" s="1267" t="s">
        <v>2775</v>
      </c>
      <c r="D429" s="1267">
        <v>2015</v>
      </c>
      <c r="E429" s="1267" t="s">
        <v>2774</v>
      </c>
      <c r="F429" s="1267">
        <v>1911.2590127564999</v>
      </c>
    </row>
    <row r="430" spans="1:6">
      <c r="A430" s="1267" t="s">
        <v>1918</v>
      </c>
      <c r="B430" s="1267" t="s">
        <v>2776</v>
      </c>
      <c r="C430" s="1267" t="s">
        <v>2775</v>
      </c>
      <c r="D430" s="1267">
        <v>2016</v>
      </c>
      <c r="E430" s="1267" t="s">
        <v>2774</v>
      </c>
      <c r="F430" s="1267">
        <v>2293.4866747760998</v>
      </c>
    </row>
    <row r="431" spans="1:6">
      <c r="A431" s="1267" t="s">
        <v>1915</v>
      </c>
      <c r="B431" s="1267" t="s">
        <v>2776</v>
      </c>
      <c r="C431" s="1267" t="s">
        <v>693</v>
      </c>
      <c r="D431" s="1267">
        <v>2014</v>
      </c>
      <c r="E431" s="1267" t="s">
        <v>2774</v>
      </c>
      <c r="F431" s="1267">
        <v>0</v>
      </c>
    </row>
    <row r="432" spans="1:6">
      <c r="A432" s="1267" t="s">
        <v>1915</v>
      </c>
      <c r="B432" s="1267" t="s">
        <v>2776</v>
      </c>
      <c r="C432" s="1267" t="s">
        <v>693</v>
      </c>
      <c r="D432" s="1267">
        <v>2016</v>
      </c>
      <c r="E432" s="1267" t="s">
        <v>2774</v>
      </c>
    </row>
    <row r="433" spans="1:6">
      <c r="A433" s="1267" t="s">
        <v>1915</v>
      </c>
      <c r="B433" s="1267" t="s">
        <v>2776</v>
      </c>
      <c r="C433" s="1267" t="s">
        <v>697</v>
      </c>
      <c r="D433" s="1267">
        <v>2014</v>
      </c>
      <c r="E433" s="1267" t="s">
        <v>2774</v>
      </c>
      <c r="F433" s="1267">
        <v>60.923444341249997</v>
      </c>
    </row>
    <row r="434" spans="1:6">
      <c r="A434" s="1267" t="s">
        <v>1915</v>
      </c>
      <c r="B434" s="1267" t="s">
        <v>2776</v>
      </c>
      <c r="C434" s="1267" t="s">
        <v>697</v>
      </c>
      <c r="D434" s="1267">
        <v>2016</v>
      </c>
      <c r="E434" s="1267" t="s">
        <v>2774</v>
      </c>
      <c r="F434" s="1267">
        <v>17.472077850270999</v>
      </c>
    </row>
    <row r="435" spans="1:6">
      <c r="A435" s="1267" t="s">
        <v>1915</v>
      </c>
      <c r="B435" s="1267" t="s">
        <v>2776</v>
      </c>
      <c r="C435" s="1267" t="s">
        <v>694</v>
      </c>
      <c r="D435" s="1267">
        <v>2014</v>
      </c>
      <c r="E435" s="1267" t="s">
        <v>2774</v>
      </c>
      <c r="F435" s="1267">
        <v>12.487727212418999</v>
      </c>
    </row>
    <row r="436" spans="1:6">
      <c r="A436" s="1267" t="s">
        <v>1915</v>
      </c>
      <c r="B436" s="1267" t="s">
        <v>2776</v>
      </c>
      <c r="C436" s="1267" t="s">
        <v>694</v>
      </c>
      <c r="D436" s="1267">
        <v>2016</v>
      </c>
      <c r="E436" s="1267" t="s">
        <v>2774</v>
      </c>
      <c r="F436" s="1267">
        <v>10.726528806812</v>
      </c>
    </row>
    <row r="437" spans="1:6">
      <c r="A437" s="1267" t="s">
        <v>1915</v>
      </c>
      <c r="B437" s="1267" t="s">
        <v>2776</v>
      </c>
      <c r="C437" s="1267" t="s">
        <v>696</v>
      </c>
      <c r="D437" s="1267">
        <v>2014</v>
      </c>
      <c r="E437" s="1267" t="s">
        <v>2774</v>
      </c>
      <c r="F437" s="1267">
        <v>0</v>
      </c>
    </row>
    <row r="438" spans="1:6">
      <c r="A438" s="1267" t="s">
        <v>1915</v>
      </c>
      <c r="B438" s="1267" t="s">
        <v>2776</v>
      </c>
      <c r="C438" s="1267" t="s">
        <v>696</v>
      </c>
      <c r="D438" s="1267">
        <v>2016</v>
      </c>
      <c r="E438" s="1267" t="s">
        <v>2774</v>
      </c>
      <c r="F438" s="1267">
        <v>0</v>
      </c>
    </row>
    <row r="439" spans="1:6">
      <c r="A439" s="1267" t="s">
        <v>1915</v>
      </c>
      <c r="B439" s="1267" t="s">
        <v>2776</v>
      </c>
      <c r="C439" s="1267" t="s">
        <v>695</v>
      </c>
      <c r="D439" s="1267">
        <v>2014</v>
      </c>
      <c r="E439" s="1267" t="s">
        <v>2774</v>
      </c>
      <c r="F439" s="1267">
        <v>0.38344168767414</v>
      </c>
    </row>
    <row r="440" spans="1:6">
      <c r="A440" s="1267" t="s">
        <v>1915</v>
      </c>
      <c r="B440" s="1267" t="s">
        <v>2776</v>
      </c>
      <c r="C440" s="1267" t="s">
        <v>695</v>
      </c>
      <c r="D440" s="1267">
        <v>2016</v>
      </c>
      <c r="E440" s="1267" t="s">
        <v>2774</v>
      </c>
      <c r="F440" s="1267">
        <v>0.33174831361273999</v>
      </c>
    </row>
    <row r="441" spans="1:6">
      <c r="A441" s="1267" t="s">
        <v>1915</v>
      </c>
      <c r="B441" s="1267" t="s">
        <v>2776</v>
      </c>
      <c r="C441" s="1267" t="s">
        <v>2775</v>
      </c>
      <c r="D441" s="1267">
        <v>2014</v>
      </c>
      <c r="E441" s="1267" t="s">
        <v>2774</v>
      </c>
      <c r="F441" s="1267">
        <v>201.69298129229</v>
      </c>
    </row>
    <row r="442" spans="1:6">
      <c r="A442" s="1267" t="s">
        <v>1915</v>
      </c>
      <c r="B442" s="1267" t="s">
        <v>2776</v>
      </c>
      <c r="C442" s="1267" t="s">
        <v>2775</v>
      </c>
      <c r="D442" s="1267">
        <v>2016</v>
      </c>
      <c r="E442" s="1267" t="s">
        <v>2774</v>
      </c>
      <c r="F442" s="1267">
        <v>316.37730841535</v>
      </c>
    </row>
    <row r="443" spans="1:6">
      <c r="A443" s="1267" t="s">
        <v>1914</v>
      </c>
      <c r="B443" s="1267" t="s">
        <v>2776</v>
      </c>
      <c r="C443" s="1267" t="s">
        <v>693</v>
      </c>
      <c r="D443" s="1267">
        <v>2014</v>
      </c>
      <c r="E443" s="1267" t="s">
        <v>2774</v>
      </c>
      <c r="F443" s="1267">
        <v>-9.5528724956880001E-2</v>
      </c>
    </row>
    <row r="444" spans="1:6">
      <c r="A444" s="1267" t="s">
        <v>1914</v>
      </c>
      <c r="B444" s="1267" t="s">
        <v>2776</v>
      </c>
      <c r="C444" s="1267" t="s">
        <v>693</v>
      </c>
      <c r="D444" s="1267">
        <v>2015</v>
      </c>
      <c r="E444" s="1267" t="s">
        <v>2774</v>
      </c>
      <c r="F444" s="1267">
        <v>0.78757626178591</v>
      </c>
    </row>
    <row r="445" spans="1:6">
      <c r="A445" s="1267" t="s">
        <v>1914</v>
      </c>
      <c r="B445" s="1267" t="s">
        <v>2776</v>
      </c>
      <c r="C445" s="1267" t="s">
        <v>693</v>
      </c>
      <c r="D445" s="1267">
        <v>2016</v>
      </c>
      <c r="E445" s="1267" t="s">
        <v>2774</v>
      </c>
      <c r="F445" s="1267">
        <v>0.73316377308415004</v>
      </c>
    </row>
    <row r="446" spans="1:6">
      <c r="A446" s="1267" t="s">
        <v>1914</v>
      </c>
      <c r="B446" s="1267" t="s">
        <v>2776</v>
      </c>
      <c r="C446" s="1267" t="s">
        <v>697</v>
      </c>
      <c r="D446" s="1267">
        <v>2014</v>
      </c>
      <c r="E446" s="1267" t="s">
        <v>2774</v>
      </c>
      <c r="F446" s="1267">
        <v>1.990181769935E-2</v>
      </c>
    </row>
    <row r="447" spans="1:6">
      <c r="A447" s="1267" t="s">
        <v>1914</v>
      </c>
      <c r="B447" s="1267" t="s">
        <v>2776</v>
      </c>
      <c r="C447" s="1267" t="s">
        <v>697</v>
      </c>
      <c r="D447" s="1267">
        <v>2015</v>
      </c>
      <c r="E447" s="1267" t="s">
        <v>2774</v>
      </c>
      <c r="F447" s="1267">
        <v>-0.39378813089296</v>
      </c>
    </row>
    <row r="448" spans="1:6">
      <c r="A448" s="1267" t="s">
        <v>1914</v>
      </c>
      <c r="B448" s="1267" t="s">
        <v>2776</v>
      </c>
      <c r="C448" s="1267" t="s">
        <v>697</v>
      </c>
      <c r="D448" s="1267">
        <v>2016</v>
      </c>
      <c r="E448" s="1267" t="s">
        <v>2774</v>
      </c>
      <c r="F448" s="1267">
        <v>0</v>
      </c>
    </row>
    <row r="449" spans="1:6">
      <c r="A449" s="1267" t="s">
        <v>1914</v>
      </c>
      <c r="B449" s="1267" t="s">
        <v>2776</v>
      </c>
      <c r="C449" s="1267" t="s">
        <v>694</v>
      </c>
      <c r="D449" s="1267">
        <v>2014</v>
      </c>
      <c r="E449" s="1267" t="s">
        <v>2774</v>
      </c>
      <c r="F449" s="1267">
        <v>0.87567997877139003</v>
      </c>
    </row>
    <row r="450" spans="1:6">
      <c r="A450" s="1267" t="s">
        <v>1914</v>
      </c>
      <c r="B450" s="1267" t="s">
        <v>2776</v>
      </c>
      <c r="C450" s="1267" t="s">
        <v>694</v>
      </c>
      <c r="D450" s="1267">
        <v>2015</v>
      </c>
      <c r="E450" s="1267" t="s">
        <v>2774</v>
      </c>
      <c r="F450" s="1267">
        <v>3.5207986688852002</v>
      </c>
    </row>
    <row r="451" spans="1:6">
      <c r="A451" s="1267" t="s">
        <v>1914</v>
      </c>
      <c r="B451" s="1267" t="s">
        <v>2776</v>
      </c>
      <c r="C451" s="1267" t="s">
        <v>694</v>
      </c>
      <c r="D451" s="1267">
        <v>2016</v>
      </c>
      <c r="E451" s="1267" t="s">
        <v>2774</v>
      </c>
      <c r="F451" s="1267">
        <v>3.4767223266615002</v>
      </c>
    </row>
    <row r="452" spans="1:6">
      <c r="A452" s="1267" t="s">
        <v>1914</v>
      </c>
      <c r="B452" s="1267" t="s">
        <v>2776</v>
      </c>
      <c r="C452" s="1267" t="s">
        <v>696</v>
      </c>
      <c r="D452" s="1267">
        <v>2014</v>
      </c>
      <c r="E452" s="1267" t="s">
        <v>2774</v>
      </c>
      <c r="F452" s="1267">
        <v>1.3267878466200001E-3</v>
      </c>
    </row>
    <row r="453" spans="1:6">
      <c r="A453" s="1267" t="s">
        <v>1914</v>
      </c>
      <c r="B453" s="1267" t="s">
        <v>2776</v>
      </c>
      <c r="C453" s="1267" t="s">
        <v>696</v>
      </c>
      <c r="D453" s="1267">
        <v>2015</v>
      </c>
      <c r="E453" s="1267" t="s">
        <v>2774</v>
      </c>
      <c r="F453" s="1267">
        <v>7.2102052135329997E-2</v>
      </c>
    </row>
    <row r="454" spans="1:6">
      <c r="A454" s="1267" t="s">
        <v>1914</v>
      </c>
      <c r="B454" s="1267" t="s">
        <v>2776</v>
      </c>
      <c r="C454" s="1267" t="s">
        <v>696</v>
      </c>
      <c r="D454" s="1267">
        <v>2016</v>
      </c>
      <c r="E454" s="1267" t="s">
        <v>2774</v>
      </c>
      <c r="F454" s="1267">
        <v>3.31748313613E-3</v>
      </c>
    </row>
    <row r="455" spans="1:6">
      <c r="A455" s="1267" t="s">
        <v>1914</v>
      </c>
      <c r="B455" s="1267" t="s">
        <v>2776</v>
      </c>
      <c r="C455" s="1267" t="s">
        <v>695</v>
      </c>
      <c r="D455" s="1267">
        <v>2014</v>
      </c>
      <c r="E455" s="1267" t="s">
        <v>2774</v>
      </c>
      <c r="F455" s="1267">
        <v>-12.102958736898</v>
      </c>
    </row>
    <row r="456" spans="1:6">
      <c r="A456" s="1267" t="s">
        <v>1914</v>
      </c>
      <c r="B456" s="1267" t="s">
        <v>2776</v>
      </c>
      <c r="C456" s="1267" t="s">
        <v>695</v>
      </c>
      <c r="D456" s="1267">
        <v>2015</v>
      </c>
      <c r="E456" s="1267" t="s">
        <v>2774</v>
      </c>
      <c r="F456" s="1267">
        <v>-1.7237936772047</v>
      </c>
    </row>
    <row r="457" spans="1:6">
      <c r="A457" s="1267" t="s">
        <v>1914</v>
      </c>
      <c r="B457" s="1267" t="s">
        <v>2776</v>
      </c>
      <c r="C457" s="1267" t="s">
        <v>695</v>
      </c>
      <c r="D457" s="1267">
        <v>2016</v>
      </c>
      <c r="E457" s="1267" t="s">
        <v>2774</v>
      </c>
      <c r="F457" s="1267">
        <v>-3.2909432710384001</v>
      </c>
    </row>
    <row r="458" spans="1:6">
      <c r="A458" s="1267" t="s">
        <v>1914</v>
      </c>
      <c r="B458" s="1267" t="s">
        <v>2776</v>
      </c>
      <c r="C458" s="1267" t="s">
        <v>2775</v>
      </c>
      <c r="D458" s="1267">
        <v>2014</v>
      </c>
      <c r="E458" s="1267" t="s">
        <v>2774</v>
      </c>
      <c r="F458" s="1267">
        <v>-87.213745522091003</v>
      </c>
    </row>
    <row r="459" spans="1:6">
      <c r="A459" s="1267" t="s">
        <v>1914</v>
      </c>
      <c r="B459" s="1267" t="s">
        <v>2776</v>
      </c>
      <c r="C459" s="1267" t="s">
        <v>2775</v>
      </c>
      <c r="D459" s="1267">
        <v>2015</v>
      </c>
      <c r="E459" s="1267" t="s">
        <v>2774</v>
      </c>
      <c r="F459" s="1267">
        <v>55.169162506932999</v>
      </c>
    </row>
    <row r="460" spans="1:6">
      <c r="A460" s="1267" t="s">
        <v>1914</v>
      </c>
      <c r="B460" s="1267" t="s">
        <v>2776</v>
      </c>
      <c r="C460" s="1267" t="s">
        <v>2775</v>
      </c>
      <c r="D460" s="1267">
        <v>2016</v>
      </c>
      <c r="E460" s="1267" t="s">
        <v>2774</v>
      </c>
      <c r="F460" s="1267">
        <v>179.33097423421</v>
      </c>
    </row>
    <row r="461" spans="1:6">
      <c r="A461" s="1267" t="s">
        <v>1941</v>
      </c>
      <c r="B461" s="1267" t="s">
        <v>2776</v>
      </c>
      <c r="C461" s="1267" t="s">
        <v>693</v>
      </c>
      <c r="D461" s="1267">
        <v>2014</v>
      </c>
      <c r="E461" s="1267" t="s">
        <v>2774</v>
      </c>
      <c r="F461" s="1267">
        <v>331.69696165583002</v>
      </c>
    </row>
    <row r="462" spans="1:6">
      <c r="A462" s="1267" t="s">
        <v>1941</v>
      </c>
      <c r="B462" s="1267" t="s">
        <v>2776</v>
      </c>
      <c r="C462" s="1267" t="s">
        <v>693</v>
      </c>
      <c r="D462" s="1267">
        <v>2015</v>
      </c>
      <c r="E462" s="1267" t="s">
        <v>2774</v>
      </c>
      <c r="F462" s="1267">
        <v>602.32945091514</v>
      </c>
    </row>
    <row r="463" spans="1:6">
      <c r="A463" s="1267" t="s">
        <v>1941</v>
      </c>
      <c r="B463" s="1267" t="s">
        <v>2776</v>
      </c>
      <c r="C463" s="1267" t="s">
        <v>693</v>
      </c>
      <c r="D463" s="1267">
        <v>2016</v>
      </c>
      <c r="E463" s="1267" t="s">
        <v>2774</v>
      </c>
      <c r="F463" s="1267">
        <v>360.49983412583998</v>
      </c>
    </row>
    <row r="464" spans="1:6">
      <c r="A464" s="1267" t="s">
        <v>1941</v>
      </c>
      <c r="B464" s="1267" t="s">
        <v>2776</v>
      </c>
      <c r="C464" s="1267" t="s">
        <v>697</v>
      </c>
      <c r="D464" s="1267">
        <v>2014</v>
      </c>
      <c r="E464" s="1267" t="s">
        <v>2774</v>
      </c>
      <c r="F464" s="1267">
        <v>681.96895316438997</v>
      </c>
    </row>
    <row r="465" spans="1:6">
      <c r="A465" s="1267" t="s">
        <v>1941</v>
      </c>
      <c r="B465" s="1267" t="s">
        <v>2776</v>
      </c>
      <c r="C465" s="1267" t="s">
        <v>697</v>
      </c>
      <c r="D465" s="1267">
        <v>2015</v>
      </c>
      <c r="E465" s="1267" t="s">
        <v>2774</v>
      </c>
      <c r="F465" s="1278">
        <f>AVERAGE(F464,F466)</f>
        <v>264.12945059524498</v>
      </c>
    </row>
    <row r="466" spans="1:6">
      <c r="A466" s="1267" t="s">
        <v>1941</v>
      </c>
      <c r="B466" s="1267" t="s">
        <v>2776</v>
      </c>
      <c r="C466" s="1267" t="s">
        <v>697</v>
      </c>
      <c r="D466" s="1267">
        <v>2016</v>
      </c>
      <c r="E466" s="1267" t="s">
        <v>2774</v>
      </c>
      <c r="F466" s="1267">
        <v>-153.71005197389999</v>
      </c>
    </row>
    <row r="467" spans="1:6">
      <c r="A467" s="1267" t="s">
        <v>1941</v>
      </c>
      <c r="B467" s="1267" t="s">
        <v>2776</v>
      </c>
      <c r="C467" s="1267" t="s">
        <v>694</v>
      </c>
      <c r="D467" s="1267">
        <v>2014</v>
      </c>
      <c r="E467" s="1267" t="s">
        <v>2774</v>
      </c>
      <c r="F467" s="1267">
        <v>1876.0780151254</v>
      </c>
    </row>
    <row r="468" spans="1:6">
      <c r="A468" s="1267" t="s">
        <v>1941</v>
      </c>
      <c r="B468" s="1267" t="s">
        <v>2776</v>
      </c>
      <c r="C468" s="1267" t="s">
        <v>694</v>
      </c>
      <c r="D468" s="1267">
        <v>2015</v>
      </c>
      <c r="E468" s="1267" t="s">
        <v>2774</v>
      </c>
      <c r="F468" s="1267">
        <v>2221.8524681087001</v>
      </c>
    </row>
    <row r="469" spans="1:6">
      <c r="A469" s="1267" t="s">
        <v>1941</v>
      </c>
      <c r="B469" s="1267" t="s">
        <v>2776</v>
      </c>
      <c r="C469" s="1267" t="s">
        <v>694</v>
      </c>
      <c r="D469" s="1267">
        <v>2016</v>
      </c>
      <c r="E469" s="1267" t="s">
        <v>2774</v>
      </c>
      <c r="F469" s="1267">
        <v>975.34004202145002</v>
      </c>
    </row>
    <row r="470" spans="1:6">
      <c r="A470" s="1267" t="s">
        <v>1941</v>
      </c>
      <c r="B470" s="1267" t="s">
        <v>2776</v>
      </c>
      <c r="C470" s="1267" t="s">
        <v>696</v>
      </c>
      <c r="D470" s="1267">
        <v>2014</v>
      </c>
      <c r="E470" s="1267" t="s">
        <v>2774</v>
      </c>
    </row>
    <row r="471" spans="1:6">
      <c r="A471" s="1267" t="s">
        <v>1941</v>
      </c>
      <c r="B471" s="1267" t="s">
        <v>2776</v>
      </c>
      <c r="C471" s="1267" t="s">
        <v>696</v>
      </c>
      <c r="D471" s="1267">
        <v>2015</v>
      </c>
      <c r="E471" s="1267" t="s">
        <v>2774</v>
      </c>
    </row>
    <row r="472" spans="1:6">
      <c r="A472" s="1267" t="s">
        <v>1941</v>
      </c>
      <c r="B472" s="1267" t="s">
        <v>2776</v>
      </c>
      <c r="C472" s="1267" t="s">
        <v>696</v>
      </c>
      <c r="D472" s="1267">
        <v>2016</v>
      </c>
      <c r="E472" s="1267" t="s">
        <v>2774</v>
      </c>
    </row>
    <row r="473" spans="1:6">
      <c r="A473" s="1267" t="s">
        <v>1941</v>
      </c>
      <c r="B473" s="1267" t="s">
        <v>2776</v>
      </c>
      <c r="C473" s="1267" t="s">
        <v>695</v>
      </c>
      <c r="D473" s="1267">
        <v>2014</v>
      </c>
      <c r="E473" s="1267" t="s">
        <v>2774</v>
      </c>
    </row>
    <row r="474" spans="1:6">
      <c r="A474" s="1267" t="s">
        <v>1941</v>
      </c>
      <c r="B474" s="1267" t="s">
        <v>2776</v>
      </c>
      <c r="C474" s="1267" t="s">
        <v>695</v>
      </c>
      <c r="D474" s="1267">
        <v>2015</v>
      </c>
      <c r="E474" s="1267" t="s">
        <v>2774</v>
      </c>
    </row>
    <row r="475" spans="1:6">
      <c r="A475" s="1267" t="s">
        <v>1941</v>
      </c>
      <c r="B475" s="1267" t="s">
        <v>2776</v>
      </c>
      <c r="C475" s="1267" t="s">
        <v>695</v>
      </c>
      <c r="D475" s="1267">
        <v>2016</v>
      </c>
      <c r="E475" s="1267" t="s">
        <v>2774</v>
      </c>
    </row>
    <row r="476" spans="1:6">
      <c r="A476" s="1267" t="s">
        <v>1941</v>
      </c>
      <c r="B476" s="1267" t="s">
        <v>2776</v>
      </c>
      <c r="C476" s="1267" t="s">
        <v>2775</v>
      </c>
      <c r="D476" s="1267">
        <v>2014</v>
      </c>
      <c r="E476" s="1267" t="s">
        <v>2774</v>
      </c>
      <c r="F476" s="1267">
        <v>34438.105346955002</v>
      </c>
    </row>
    <row r="477" spans="1:6">
      <c r="A477" s="1267" t="s">
        <v>1941</v>
      </c>
      <c r="B477" s="1267" t="s">
        <v>2776</v>
      </c>
      <c r="C477" s="1267" t="s">
        <v>2775</v>
      </c>
      <c r="D477" s="1267">
        <v>2015</v>
      </c>
      <c r="E477" s="1267" t="s">
        <v>2774</v>
      </c>
      <c r="F477" s="1267">
        <v>30208.541320021999</v>
      </c>
    </row>
    <row r="478" spans="1:6">
      <c r="A478" s="1267" t="s">
        <v>1941</v>
      </c>
      <c r="B478" s="1267" t="s">
        <v>2776</v>
      </c>
      <c r="C478" s="1267" t="s">
        <v>2775</v>
      </c>
      <c r="D478" s="1267">
        <v>2016</v>
      </c>
      <c r="E478" s="1267" t="s">
        <v>2774</v>
      </c>
      <c r="F478" s="1267">
        <v>28694.017472078001</v>
      </c>
    </row>
    <row r="479" spans="1:6">
      <c r="A479" s="1267" t="s">
        <v>1913</v>
      </c>
      <c r="B479" s="1267" t="s">
        <v>2776</v>
      </c>
      <c r="C479" s="1267" t="s">
        <v>693</v>
      </c>
      <c r="D479" s="1267">
        <v>2014</v>
      </c>
      <c r="E479" s="1267" t="s">
        <v>2774</v>
      </c>
      <c r="F479" s="1267">
        <v>161.08106532164999</v>
      </c>
    </row>
    <row r="480" spans="1:6">
      <c r="A480" s="1267" t="s">
        <v>1913</v>
      </c>
      <c r="B480" s="1267" t="s">
        <v>2776</v>
      </c>
      <c r="C480" s="1267" t="s">
        <v>693</v>
      </c>
      <c r="D480" s="1267">
        <v>2015</v>
      </c>
      <c r="E480" s="1267" t="s">
        <v>2774</v>
      </c>
      <c r="F480" s="1267">
        <v>148.88543532678</v>
      </c>
    </row>
    <row r="481" spans="1:6">
      <c r="A481" s="1267" t="s">
        <v>1913</v>
      </c>
      <c r="B481" s="1267" t="s">
        <v>2776</v>
      </c>
      <c r="C481" s="1267" t="s">
        <v>693</v>
      </c>
      <c r="D481" s="1267">
        <v>2016</v>
      </c>
      <c r="E481" s="1267" t="s">
        <v>2774</v>
      </c>
      <c r="F481" s="1267">
        <v>160.81341670075</v>
      </c>
    </row>
    <row r="482" spans="1:6">
      <c r="A482" s="1267" t="s">
        <v>1913</v>
      </c>
      <c r="B482" s="1267" t="s">
        <v>2776</v>
      </c>
      <c r="C482" s="1267" t="s">
        <v>697</v>
      </c>
      <c r="D482" s="1267">
        <v>2014</v>
      </c>
      <c r="E482" s="1267" t="s">
        <v>2774</v>
      </c>
      <c r="F482" s="1267">
        <v>1696.9635125876</v>
      </c>
    </row>
    <row r="483" spans="1:6">
      <c r="A483" s="1267" t="s">
        <v>1913</v>
      </c>
      <c r="B483" s="1267" t="s">
        <v>2776</v>
      </c>
      <c r="C483" s="1267" t="s">
        <v>697</v>
      </c>
      <c r="D483" s="1267">
        <v>2015</v>
      </c>
      <c r="E483" s="1267" t="s">
        <v>2774</v>
      </c>
      <c r="F483" s="1267">
        <v>390.66114623990001</v>
      </c>
    </row>
    <row r="484" spans="1:6">
      <c r="A484" s="1267" t="s">
        <v>1913</v>
      </c>
      <c r="B484" s="1267" t="s">
        <v>2776</v>
      </c>
      <c r="C484" s="1267" t="s">
        <v>697</v>
      </c>
      <c r="D484" s="1267">
        <v>2016</v>
      </c>
      <c r="E484" s="1267" t="s">
        <v>2774</v>
      </c>
      <c r="F484" s="1267">
        <v>388.12598609243997</v>
      </c>
    </row>
    <row r="485" spans="1:6">
      <c r="A485" s="1267" t="s">
        <v>1913</v>
      </c>
      <c r="B485" s="1267" t="s">
        <v>2776</v>
      </c>
      <c r="C485" s="1267" t="s">
        <v>694</v>
      </c>
      <c r="D485" s="1267">
        <v>2014</v>
      </c>
      <c r="E485" s="1267" t="s">
        <v>2774</v>
      </c>
      <c r="F485" s="1267">
        <v>5149.4919751016996</v>
      </c>
    </row>
    <row r="486" spans="1:6">
      <c r="A486" s="1267" t="s">
        <v>1913</v>
      </c>
      <c r="B486" s="1267" t="s">
        <v>2776</v>
      </c>
      <c r="C486" s="1267" t="s">
        <v>694</v>
      </c>
      <c r="D486" s="1267">
        <v>2015</v>
      </c>
      <c r="E486" s="1267" t="s">
        <v>2774</v>
      </c>
      <c r="F486" s="1267">
        <v>3841.3628652439002</v>
      </c>
    </row>
    <row r="487" spans="1:6">
      <c r="A487" s="1267" t="s">
        <v>1913</v>
      </c>
      <c r="B487" s="1267" t="s">
        <v>2776</v>
      </c>
      <c r="C487" s="1267" t="s">
        <v>694</v>
      </c>
      <c r="D487" s="1267">
        <v>2016</v>
      </c>
      <c r="E487" s="1267" t="s">
        <v>2774</v>
      </c>
      <c r="F487" s="1267">
        <v>3795.5939928708999</v>
      </c>
    </row>
    <row r="488" spans="1:6">
      <c r="A488" s="1267" t="s">
        <v>1913</v>
      </c>
      <c r="B488" s="1267" t="s">
        <v>2776</v>
      </c>
      <c r="C488" s="1267" t="s">
        <v>696</v>
      </c>
      <c r="D488" s="1267">
        <v>2014</v>
      </c>
      <c r="E488" s="1267" t="s">
        <v>2774</v>
      </c>
      <c r="F488" s="1267">
        <v>117.20287467747001</v>
      </c>
    </row>
    <row r="489" spans="1:6">
      <c r="A489" s="1267" t="s">
        <v>1913</v>
      </c>
      <c r="B489" s="1267" t="s">
        <v>2776</v>
      </c>
      <c r="C489" s="1267" t="s">
        <v>696</v>
      </c>
      <c r="D489" s="1267">
        <v>2015</v>
      </c>
      <c r="E489" s="1267" t="s">
        <v>2774</v>
      </c>
      <c r="F489" s="1267">
        <v>127.88725042412</v>
      </c>
    </row>
    <row r="490" spans="1:6">
      <c r="A490" s="1267" t="s">
        <v>1913</v>
      </c>
      <c r="B490" s="1267" t="s">
        <v>2776</v>
      </c>
      <c r="C490" s="1267" t="s">
        <v>696</v>
      </c>
      <c r="D490" s="1267">
        <v>2016</v>
      </c>
      <c r="E490" s="1267" t="s">
        <v>2774</v>
      </c>
      <c r="F490" s="1267">
        <v>127.85601589434999</v>
      </c>
    </row>
    <row r="491" spans="1:6">
      <c r="A491" s="1267" t="s">
        <v>1913</v>
      </c>
      <c r="B491" s="1267" t="s">
        <v>2776</v>
      </c>
      <c r="C491" s="1267" t="s">
        <v>695</v>
      </c>
      <c r="D491" s="1267">
        <v>2014</v>
      </c>
      <c r="E491" s="1267" t="s">
        <v>2774</v>
      </c>
      <c r="F491" s="1267">
        <v>1286.1703523374999</v>
      </c>
    </row>
    <row r="492" spans="1:6">
      <c r="A492" s="1267" t="s">
        <v>1913</v>
      </c>
      <c r="B492" s="1267" t="s">
        <v>2776</v>
      </c>
      <c r="C492" s="1267" t="s">
        <v>695</v>
      </c>
      <c r="D492" s="1267">
        <v>2015</v>
      </c>
      <c r="E492" s="1267" t="s">
        <v>2774</v>
      </c>
      <c r="F492" s="1267">
        <v>1245.1805013465</v>
      </c>
    </row>
    <row r="493" spans="1:6">
      <c r="A493" s="1267" t="s">
        <v>1913</v>
      </c>
      <c r="B493" s="1267" t="s">
        <v>2776</v>
      </c>
      <c r="C493" s="1267" t="s">
        <v>695</v>
      </c>
      <c r="D493" s="1267">
        <v>2016</v>
      </c>
      <c r="E493" s="1267" t="s">
        <v>2774</v>
      </c>
      <c r="F493" s="1267">
        <v>1218.6057383276</v>
      </c>
    </row>
    <row r="494" spans="1:6">
      <c r="A494" s="1267" t="s">
        <v>1913</v>
      </c>
      <c r="B494" s="1267" t="s">
        <v>2776</v>
      </c>
      <c r="C494" s="1267" t="s">
        <v>2775</v>
      </c>
      <c r="D494" s="1267">
        <v>2014</v>
      </c>
      <c r="E494" s="1267" t="s">
        <v>2774</v>
      </c>
      <c r="F494" s="1267">
        <v>36103.295966414</v>
      </c>
    </row>
    <row r="495" spans="1:6">
      <c r="A495" s="1267" t="s">
        <v>1913</v>
      </c>
      <c r="B495" s="1267" t="s">
        <v>2776</v>
      </c>
      <c r="C495" s="1267" t="s">
        <v>2775</v>
      </c>
      <c r="D495" s="1267">
        <v>2015</v>
      </c>
      <c r="E495" s="1267" t="s">
        <v>2774</v>
      </c>
      <c r="F495" s="1267">
        <v>28599.883738863002</v>
      </c>
    </row>
    <row r="496" spans="1:6">
      <c r="A496" s="1267" t="s">
        <v>1913</v>
      </c>
      <c r="B496" s="1267" t="s">
        <v>2776</v>
      </c>
      <c r="C496" s="1267" t="s">
        <v>2775</v>
      </c>
      <c r="D496" s="1267">
        <v>2016</v>
      </c>
      <c r="E496" s="1267" t="s">
        <v>2774</v>
      </c>
      <c r="F496" s="1267">
        <v>28205.691579500999</v>
      </c>
    </row>
    <row r="497" spans="1:6">
      <c r="A497" s="1267" t="s">
        <v>695</v>
      </c>
      <c r="B497" s="1267" t="s">
        <v>2776</v>
      </c>
      <c r="C497" s="1267" t="s">
        <v>693</v>
      </c>
      <c r="D497" s="1267">
        <v>2014</v>
      </c>
      <c r="E497" s="1267" t="s">
        <v>2774</v>
      </c>
    </row>
    <row r="498" spans="1:6">
      <c r="A498" s="1267" t="s">
        <v>695</v>
      </c>
      <c r="B498" s="1267" t="s">
        <v>2776</v>
      </c>
      <c r="C498" s="1267" t="s">
        <v>693</v>
      </c>
      <c r="D498" s="1267">
        <v>2015</v>
      </c>
      <c r="E498" s="1267" t="s">
        <v>2774</v>
      </c>
    </row>
    <row r="499" spans="1:6">
      <c r="A499" s="1267" t="s">
        <v>695</v>
      </c>
      <c r="B499" s="1267" t="s">
        <v>2776</v>
      </c>
      <c r="C499" s="1267" t="s">
        <v>693</v>
      </c>
      <c r="D499" s="1267">
        <v>2016</v>
      </c>
      <c r="E499" s="1267" t="s">
        <v>2774</v>
      </c>
    </row>
    <row r="500" spans="1:6">
      <c r="A500" s="1267" t="s">
        <v>695</v>
      </c>
      <c r="B500" s="1267" t="s">
        <v>2776</v>
      </c>
      <c r="C500" s="1267" t="s">
        <v>697</v>
      </c>
      <c r="D500" s="1267">
        <v>2014</v>
      </c>
      <c r="E500" s="1267" t="s">
        <v>2774</v>
      </c>
    </row>
    <row r="501" spans="1:6">
      <c r="A501" s="1267" t="s">
        <v>695</v>
      </c>
      <c r="B501" s="1267" t="s">
        <v>2776</v>
      </c>
      <c r="C501" s="1267" t="s">
        <v>697</v>
      </c>
      <c r="D501" s="1267">
        <v>2015</v>
      </c>
      <c r="E501" s="1267" t="s">
        <v>2774</v>
      </c>
    </row>
    <row r="502" spans="1:6">
      <c r="A502" s="1267" t="s">
        <v>695</v>
      </c>
      <c r="B502" s="1267" t="s">
        <v>2776</v>
      </c>
      <c r="C502" s="1267" t="s">
        <v>697</v>
      </c>
      <c r="D502" s="1267">
        <v>2016</v>
      </c>
      <c r="E502" s="1267" t="s">
        <v>2774</v>
      </c>
    </row>
    <row r="503" spans="1:6">
      <c r="A503" s="1267" t="s">
        <v>695</v>
      </c>
      <c r="B503" s="1267" t="s">
        <v>2776</v>
      </c>
      <c r="C503" s="1267" t="s">
        <v>694</v>
      </c>
      <c r="D503" s="1267">
        <v>2014</v>
      </c>
      <c r="E503" s="1267" t="s">
        <v>2774</v>
      </c>
    </row>
    <row r="504" spans="1:6">
      <c r="A504" s="1267" t="s">
        <v>695</v>
      </c>
      <c r="B504" s="1267" t="s">
        <v>2776</v>
      </c>
      <c r="C504" s="1267" t="s">
        <v>694</v>
      </c>
      <c r="D504" s="1267">
        <v>2015</v>
      </c>
      <c r="E504" s="1267" t="s">
        <v>2774</v>
      </c>
    </row>
    <row r="505" spans="1:6">
      <c r="A505" s="1267" t="s">
        <v>695</v>
      </c>
      <c r="B505" s="1267" t="s">
        <v>2776</v>
      </c>
      <c r="C505" s="1267" t="s">
        <v>694</v>
      </c>
      <c r="D505" s="1267">
        <v>2016</v>
      </c>
      <c r="E505" s="1267" t="s">
        <v>2774</v>
      </c>
    </row>
    <row r="506" spans="1:6">
      <c r="A506" s="1267" t="s">
        <v>695</v>
      </c>
      <c r="B506" s="1267" t="s">
        <v>2776</v>
      </c>
      <c r="C506" s="1267" t="s">
        <v>696</v>
      </c>
      <c r="D506" s="1267">
        <v>2014</v>
      </c>
      <c r="E506" s="1267" t="s">
        <v>2774</v>
      </c>
    </row>
    <row r="507" spans="1:6">
      <c r="A507" s="1267" t="s">
        <v>695</v>
      </c>
      <c r="B507" s="1267" t="s">
        <v>2776</v>
      </c>
      <c r="C507" s="1267" t="s">
        <v>696</v>
      </c>
      <c r="D507" s="1267">
        <v>2015</v>
      </c>
      <c r="E507" s="1267" t="s">
        <v>2774</v>
      </c>
    </row>
    <row r="508" spans="1:6">
      <c r="A508" s="1267" t="s">
        <v>695</v>
      </c>
      <c r="B508" s="1267" t="s">
        <v>2776</v>
      </c>
      <c r="C508" s="1267" t="s">
        <v>696</v>
      </c>
      <c r="D508" s="1267">
        <v>2016</v>
      </c>
      <c r="E508" s="1267" t="s">
        <v>2774</v>
      </c>
    </row>
    <row r="509" spans="1:6">
      <c r="A509" s="1267" t="s">
        <v>695</v>
      </c>
      <c r="B509" s="1267" t="s">
        <v>2776</v>
      </c>
      <c r="C509" s="1267" t="s">
        <v>695</v>
      </c>
      <c r="D509" s="1267">
        <v>2014</v>
      </c>
      <c r="E509" s="1267" t="s">
        <v>2774</v>
      </c>
      <c r="F509" s="1267">
        <v>0</v>
      </c>
    </row>
    <row r="510" spans="1:6">
      <c r="A510" s="1267" t="s">
        <v>695</v>
      </c>
      <c r="B510" s="1267" t="s">
        <v>2776</v>
      </c>
      <c r="C510" s="1267" t="s">
        <v>695</v>
      </c>
      <c r="D510" s="1267">
        <v>2015</v>
      </c>
      <c r="E510" s="1267" t="s">
        <v>2774</v>
      </c>
      <c r="F510" s="1267">
        <v>0</v>
      </c>
    </row>
    <row r="511" spans="1:6">
      <c r="A511" s="1267" t="s">
        <v>695</v>
      </c>
      <c r="B511" s="1267" t="s">
        <v>2776</v>
      </c>
      <c r="C511" s="1267" t="s">
        <v>695</v>
      </c>
      <c r="D511" s="1267">
        <v>2016</v>
      </c>
      <c r="E511" s="1267" t="s">
        <v>2774</v>
      </c>
      <c r="F511" s="1267">
        <v>0</v>
      </c>
    </row>
    <row r="512" spans="1:6">
      <c r="A512" s="1267" t="s">
        <v>695</v>
      </c>
      <c r="B512" s="1267" t="s">
        <v>2776</v>
      </c>
      <c r="C512" s="1267" t="s">
        <v>2775</v>
      </c>
      <c r="D512" s="1267">
        <v>2014</v>
      </c>
      <c r="E512" s="1267" t="s">
        <v>2774</v>
      </c>
      <c r="F512" s="1267">
        <v>90682.861863576007</v>
      </c>
    </row>
    <row r="513" spans="1:6">
      <c r="A513" s="1267" t="s">
        <v>695</v>
      </c>
      <c r="B513" s="1267" t="s">
        <v>2776</v>
      </c>
      <c r="C513" s="1267" t="s">
        <v>2775</v>
      </c>
      <c r="D513" s="1267">
        <v>2015</v>
      </c>
      <c r="E513" s="1267" t="s">
        <v>2774</v>
      </c>
      <c r="F513" s="1267">
        <v>91005.563908597003</v>
      </c>
    </row>
    <row r="514" spans="1:6">
      <c r="A514" s="1267" t="s">
        <v>695</v>
      </c>
      <c r="B514" s="1267" t="s">
        <v>2776</v>
      </c>
      <c r="C514" s="1267" t="s">
        <v>2775</v>
      </c>
      <c r="D514" s="1267">
        <v>2016</v>
      </c>
      <c r="E514" s="1267" t="s">
        <v>2774</v>
      </c>
      <c r="F514" s="1267">
        <v>82717.702479735002</v>
      </c>
    </row>
    <row r="515" spans="1:6">
      <c r="A515" s="1267" t="s">
        <v>1911</v>
      </c>
      <c r="B515" s="1267" t="s">
        <v>2776</v>
      </c>
      <c r="C515" s="1267" t="s">
        <v>693</v>
      </c>
      <c r="D515" s="1267">
        <v>2016</v>
      </c>
      <c r="E515" s="1267" t="s">
        <v>2774</v>
      </c>
    </row>
    <row r="516" spans="1:6">
      <c r="A516" s="1267" t="s">
        <v>1911</v>
      </c>
      <c r="B516" s="1267" t="s">
        <v>2776</v>
      </c>
      <c r="C516" s="1267" t="s">
        <v>697</v>
      </c>
      <c r="D516" s="1267">
        <v>2016</v>
      </c>
      <c r="E516" s="1267" t="s">
        <v>2774</v>
      </c>
    </row>
    <row r="517" spans="1:6">
      <c r="A517" s="1267" t="s">
        <v>1911</v>
      </c>
      <c r="B517" s="1267" t="s">
        <v>2776</v>
      </c>
      <c r="C517" s="1267" t="s">
        <v>694</v>
      </c>
      <c r="D517" s="1267">
        <v>2016</v>
      </c>
      <c r="E517" s="1267" t="s">
        <v>2774</v>
      </c>
    </row>
    <row r="518" spans="1:6">
      <c r="A518" s="1267" t="s">
        <v>1911</v>
      </c>
      <c r="B518" s="1267" t="s">
        <v>2776</v>
      </c>
      <c r="C518" s="1267" t="s">
        <v>696</v>
      </c>
      <c r="D518" s="1267">
        <v>2016</v>
      </c>
      <c r="E518" s="1267" t="s">
        <v>2774</v>
      </c>
    </row>
    <row r="519" spans="1:6">
      <c r="A519" s="1267" t="s">
        <v>1911</v>
      </c>
      <c r="B519" s="1267" t="s">
        <v>2776</v>
      </c>
      <c r="C519" s="1267" t="s">
        <v>695</v>
      </c>
      <c r="D519" s="1267">
        <v>2016</v>
      </c>
      <c r="E519" s="1267" t="s">
        <v>2774</v>
      </c>
    </row>
    <row r="520" spans="1:6">
      <c r="A520" s="1267" t="s">
        <v>1911</v>
      </c>
      <c r="B520" s="1267" t="s">
        <v>2776</v>
      </c>
      <c r="C520" s="1267" t="s">
        <v>2775</v>
      </c>
      <c r="D520" s="1267">
        <v>2014</v>
      </c>
      <c r="E520" s="1267" t="s">
        <v>2774</v>
      </c>
      <c r="F520" s="1267">
        <v>313.52999999999997</v>
      </c>
    </row>
    <row r="521" spans="1:6">
      <c r="A521" s="1267" t="s">
        <v>1911</v>
      </c>
      <c r="B521" s="1267" t="s">
        <v>2776</v>
      </c>
      <c r="C521" s="1267" t="s">
        <v>2775</v>
      </c>
      <c r="D521" s="1267">
        <v>2015</v>
      </c>
      <c r="E521" s="1267" t="s">
        <v>2774</v>
      </c>
      <c r="F521" s="1267">
        <v>223.1</v>
      </c>
    </row>
    <row r="522" spans="1:6">
      <c r="A522" s="1267" t="s">
        <v>1911</v>
      </c>
      <c r="B522" s="1267" t="s">
        <v>2776</v>
      </c>
      <c r="C522" s="1267" t="s">
        <v>2775</v>
      </c>
      <c r="D522" s="1267">
        <v>2016</v>
      </c>
      <c r="E522" s="1267" t="s">
        <v>2774</v>
      </c>
      <c r="F522" s="1267">
        <v>200.87</v>
      </c>
    </row>
    <row r="523" spans="1:6">
      <c r="A523" s="1267" t="s">
        <v>1892</v>
      </c>
      <c r="B523" s="1267" t="s">
        <v>2776</v>
      </c>
      <c r="C523" s="1267" t="s">
        <v>693</v>
      </c>
      <c r="D523" s="1267">
        <v>2014</v>
      </c>
      <c r="E523" s="1267" t="s">
        <v>2774</v>
      </c>
      <c r="F523" s="1267">
        <v>2023.3783338820999</v>
      </c>
    </row>
    <row r="524" spans="1:6">
      <c r="A524" s="1267" t="s">
        <v>1892</v>
      </c>
      <c r="B524" s="1267" t="s">
        <v>2776</v>
      </c>
      <c r="C524" s="1267" t="s">
        <v>693</v>
      </c>
      <c r="D524" s="1267">
        <v>2015</v>
      </c>
      <c r="E524" s="1267" t="s">
        <v>2774</v>
      </c>
      <c r="F524" s="1267">
        <v>2453.781512605</v>
      </c>
    </row>
    <row r="525" spans="1:6">
      <c r="A525" s="1267" t="s">
        <v>1892</v>
      </c>
      <c r="B525" s="1267" t="s">
        <v>2776</v>
      </c>
      <c r="C525" s="1267" t="s">
        <v>693</v>
      </c>
      <c r="D525" s="1267">
        <v>2016</v>
      </c>
      <c r="E525" s="1267" t="s">
        <v>2774</v>
      </c>
      <c r="F525" s="1267">
        <v>9871.7948717949002</v>
      </c>
    </row>
    <row r="526" spans="1:6">
      <c r="A526" s="1267" t="s">
        <v>1892</v>
      </c>
      <c r="B526" s="1267" t="s">
        <v>2776</v>
      </c>
      <c r="C526" s="1267" t="s">
        <v>697</v>
      </c>
      <c r="D526" s="1267">
        <v>2014</v>
      </c>
      <c r="E526" s="1267" t="s">
        <v>2774</v>
      </c>
      <c r="F526" s="1267">
        <v>3585.7754362858</v>
      </c>
    </row>
    <row r="527" spans="1:6">
      <c r="A527" s="1267" t="s">
        <v>1892</v>
      </c>
      <c r="B527" s="1267" t="s">
        <v>2776</v>
      </c>
      <c r="C527" s="1267" t="s">
        <v>697</v>
      </c>
      <c r="D527" s="1267">
        <v>2015</v>
      </c>
      <c r="E527" s="1267" t="s">
        <v>2774</v>
      </c>
      <c r="F527" s="1267">
        <v>2181.8181818182002</v>
      </c>
    </row>
    <row r="528" spans="1:6">
      <c r="A528" s="1267" t="s">
        <v>1892</v>
      </c>
      <c r="B528" s="1267" t="s">
        <v>2776</v>
      </c>
      <c r="C528" s="1267" t="s">
        <v>697</v>
      </c>
      <c r="D528" s="1267">
        <v>2016</v>
      </c>
      <c r="E528" s="1267" t="s">
        <v>2774</v>
      </c>
      <c r="F528" s="1267">
        <v>6331.9838056680001</v>
      </c>
    </row>
    <row r="529" spans="1:6">
      <c r="A529" s="1267" t="s">
        <v>1892</v>
      </c>
      <c r="B529" s="1267" t="s">
        <v>2776</v>
      </c>
      <c r="C529" s="1267" t="s">
        <v>694</v>
      </c>
      <c r="D529" s="1267">
        <v>2014</v>
      </c>
      <c r="E529" s="1267" t="s">
        <v>2774</v>
      </c>
      <c r="F529" s="1267">
        <v>8995.7194599933991</v>
      </c>
    </row>
    <row r="530" spans="1:6">
      <c r="A530" s="1267" t="s">
        <v>1892</v>
      </c>
      <c r="B530" s="1267" t="s">
        <v>2776</v>
      </c>
      <c r="C530" s="1267" t="s">
        <v>694</v>
      </c>
      <c r="D530" s="1267">
        <v>2015</v>
      </c>
      <c r="E530" s="1267" t="s">
        <v>2774</v>
      </c>
      <c r="F530" s="1267">
        <v>5482.0473644002996</v>
      </c>
    </row>
    <row r="531" spans="1:6">
      <c r="A531" s="1267" t="s">
        <v>1892</v>
      </c>
      <c r="B531" s="1267" t="s">
        <v>2776</v>
      </c>
      <c r="C531" s="1267" t="s">
        <v>694</v>
      </c>
      <c r="D531" s="1267">
        <v>2016</v>
      </c>
      <c r="E531" s="1267" t="s">
        <v>2774</v>
      </c>
      <c r="F531" s="1267">
        <v>1666.6666666666999</v>
      </c>
    </row>
    <row r="532" spans="1:6">
      <c r="A532" s="1267" t="s">
        <v>1892</v>
      </c>
      <c r="B532" s="1267" t="s">
        <v>2776</v>
      </c>
      <c r="C532" s="1267" t="s">
        <v>696</v>
      </c>
      <c r="D532" s="1267">
        <v>2014</v>
      </c>
      <c r="E532" s="1267" t="s">
        <v>2774</v>
      </c>
      <c r="F532" s="1267">
        <v>2751.0701350016002</v>
      </c>
    </row>
    <row r="533" spans="1:6">
      <c r="A533" s="1267" t="s">
        <v>1892</v>
      </c>
      <c r="B533" s="1267" t="s">
        <v>2776</v>
      </c>
      <c r="C533" s="1267" t="s">
        <v>696</v>
      </c>
      <c r="D533" s="1267">
        <v>2015</v>
      </c>
      <c r="E533" s="1267" t="s">
        <v>2774</v>
      </c>
      <c r="F533" s="1267">
        <v>1909.8548510313001</v>
      </c>
    </row>
    <row r="534" spans="1:6">
      <c r="A534" s="1267" t="s">
        <v>1892</v>
      </c>
      <c r="B534" s="1267" t="s">
        <v>2776</v>
      </c>
      <c r="C534" s="1267" t="s">
        <v>696</v>
      </c>
      <c r="D534" s="1267">
        <v>2016</v>
      </c>
      <c r="E534" s="1267" t="s">
        <v>2774</v>
      </c>
      <c r="F534" s="1267">
        <v>368.42105263157998</v>
      </c>
    </row>
    <row r="535" spans="1:6">
      <c r="A535" s="1267" t="s">
        <v>1892</v>
      </c>
      <c r="B535" s="1267" t="s">
        <v>2776</v>
      </c>
      <c r="C535" s="1267" t="s">
        <v>695</v>
      </c>
      <c r="D535" s="1267">
        <v>2014</v>
      </c>
      <c r="E535" s="1267" t="s">
        <v>2774</v>
      </c>
      <c r="F535" s="1267">
        <v>1906.4866644715</v>
      </c>
    </row>
    <row r="536" spans="1:6">
      <c r="A536" s="1267" t="s">
        <v>1892</v>
      </c>
      <c r="B536" s="1267" t="s">
        <v>2776</v>
      </c>
      <c r="C536" s="1267" t="s">
        <v>695</v>
      </c>
      <c r="D536" s="1267">
        <v>2015</v>
      </c>
      <c r="E536" s="1267" t="s">
        <v>2774</v>
      </c>
      <c r="F536" s="1267">
        <v>1708.1741787624001</v>
      </c>
    </row>
    <row r="537" spans="1:6">
      <c r="A537" s="1267" t="s">
        <v>1892</v>
      </c>
      <c r="B537" s="1267" t="s">
        <v>2776</v>
      </c>
      <c r="C537" s="1267" t="s">
        <v>695</v>
      </c>
      <c r="D537" s="1267">
        <v>2016</v>
      </c>
      <c r="E537" s="1267" t="s">
        <v>2774</v>
      </c>
      <c r="F537" s="1267">
        <v>1592.4426450742001</v>
      </c>
    </row>
    <row r="538" spans="1:6">
      <c r="A538" s="1267" t="s">
        <v>1892</v>
      </c>
      <c r="B538" s="1267" t="s">
        <v>2776</v>
      </c>
      <c r="C538" s="1267" t="s">
        <v>2775</v>
      </c>
      <c r="D538" s="1267">
        <v>2014</v>
      </c>
      <c r="E538" s="1267" t="s">
        <v>2774</v>
      </c>
      <c r="F538" s="1267">
        <v>108019.42706618</v>
      </c>
    </row>
    <row r="539" spans="1:6">
      <c r="A539" s="1267" t="s">
        <v>1892</v>
      </c>
      <c r="B539" s="1267" t="s">
        <v>2776</v>
      </c>
      <c r="C539" s="1267" t="s">
        <v>2775</v>
      </c>
      <c r="D539" s="1267">
        <v>2015</v>
      </c>
      <c r="E539" s="1267" t="s">
        <v>2774</v>
      </c>
      <c r="F539" s="1267">
        <v>92967.150496561997</v>
      </c>
    </row>
    <row r="540" spans="1:6">
      <c r="A540" s="1267" t="s">
        <v>1892</v>
      </c>
      <c r="B540" s="1267" t="s">
        <v>2776</v>
      </c>
      <c r="C540" s="1267" t="s">
        <v>2775</v>
      </c>
      <c r="D540" s="1267">
        <v>2016</v>
      </c>
      <c r="E540" s="1267" t="s">
        <v>2774</v>
      </c>
      <c r="F540" s="1267">
        <v>66709.851551957006</v>
      </c>
    </row>
    <row r="541" spans="1:6">
      <c r="A541" s="1267" t="s">
        <v>1900</v>
      </c>
      <c r="B541" s="1267" t="s">
        <v>2776</v>
      </c>
      <c r="C541" s="1267" t="s">
        <v>693</v>
      </c>
      <c r="D541" s="1267">
        <v>2014</v>
      </c>
      <c r="E541" s="1267" t="s">
        <v>2774</v>
      </c>
      <c r="F541" s="1267">
        <v>43669</v>
      </c>
    </row>
    <row r="542" spans="1:6">
      <c r="A542" s="1267" t="s">
        <v>1900</v>
      </c>
      <c r="B542" s="1267" t="s">
        <v>2776</v>
      </c>
      <c r="C542" s="1267" t="s">
        <v>693</v>
      </c>
      <c r="D542" s="1267">
        <v>2015</v>
      </c>
      <c r="E542" s="1267" t="s">
        <v>2774</v>
      </c>
      <c r="F542" s="1267">
        <v>52065</v>
      </c>
    </row>
    <row r="543" spans="1:6">
      <c r="A543" s="1267" t="s">
        <v>1900</v>
      </c>
      <c r="B543" s="1267" t="s">
        <v>2776</v>
      </c>
      <c r="C543" s="1267" t="s">
        <v>693</v>
      </c>
      <c r="D543" s="1267">
        <v>2016</v>
      </c>
      <c r="E543" s="1267" t="s">
        <v>2774</v>
      </c>
      <c r="F543" s="1267">
        <v>51210</v>
      </c>
    </row>
    <row r="544" spans="1:6">
      <c r="A544" s="1267" t="s">
        <v>1900</v>
      </c>
      <c r="B544" s="1267" t="s">
        <v>2776</v>
      </c>
      <c r="C544" s="1267" t="s">
        <v>697</v>
      </c>
      <c r="D544" s="1267">
        <v>2014</v>
      </c>
      <c r="E544" s="1267" t="s">
        <v>2774</v>
      </c>
      <c r="F544" s="1267">
        <v>38571</v>
      </c>
    </row>
    <row r="545" spans="1:6">
      <c r="A545" s="1267" t="s">
        <v>1900</v>
      </c>
      <c r="B545" s="1267" t="s">
        <v>2776</v>
      </c>
      <c r="C545" s="1267" t="s">
        <v>697</v>
      </c>
      <c r="D545" s="1267">
        <v>2015</v>
      </c>
      <c r="E545" s="1267" t="s">
        <v>2774</v>
      </c>
      <c r="F545" s="1267">
        <v>32953</v>
      </c>
    </row>
    <row r="546" spans="1:6">
      <c r="A546" s="1267" t="s">
        <v>1900</v>
      </c>
      <c r="B546" s="1267" t="s">
        <v>2776</v>
      </c>
      <c r="C546" s="1267" t="s">
        <v>697</v>
      </c>
      <c r="D546" s="1267">
        <v>2016</v>
      </c>
      <c r="E546" s="1267" t="s">
        <v>2774</v>
      </c>
      <c r="F546" s="1267">
        <v>32990</v>
      </c>
    </row>
    <row r="547" spans="1:6">
      <c r="A547" s="1267" t="s">
        <v>1900</v>
      </c>
      <c r="B547" s="1267" t="s">
        <v>2776</v>
      </c>
      <c r="C547" s="1267" t="s">
        <v>694</v>
      </c>
      <c r="D547" s="1267">
        <v>2014</v>
      </c>
      <c r="E547" s="1267" t="s">
        <v>2774</v>
      </c>
      <c r="F547" s="1267">
        <v>69213</v>
      </c>
    </row>
    <row r="548" spans="1:6">
      <c r="A548" s="1267" t="s">
        <v>1900</v>
      </c>
      <c r="B548" s="1267" t="s">
        <v>2776</v>
      </c>
      <c r="C548" s="1267" t="s">
        <v>694</v>
      </c>
      <c r="D548" s="1267">
        <v>2015</v>
      </c>
      <c r="E548" s="1267" t="s">
        <v>2774</v>
      </c>
      <c r="F548" s="1267">
        <v>62083</v>
      </c>
    </row>
    <row r="549" spans="1:6">
      <c r="A549" s="1267" t="s">
        <v>1900</v>
      </c>
      <c r="B549" s="1267" t="s">
        <v>2776</v>
      </c>
      <c r="C549" s="1267" t="s">
        <v>694</v>
      </c>
      <c r="D549" s="1267">
        <v>2016</v>
      </c>
      <c r="E549" s="1267" t="s">
        <v>2774</v>
      </c>
      <c r="F549" s="1267">
        <v>65107</v>
      </c>
    </row>
    <row r="550" spans="1:6">
      <c r="A550" s="1267" t="s">
        <v>1900</v>
      </c>
      <c r="B550" s="1267" t="s">
        <v>2776</v>
      </c>
      <c r="C550" s="1267" t="s">
        <v>696</v>
      </c>
      <c r="D550" s="1267">
        <v>2014</v>
      </c>
      <c r="E550" s="1267" t="s">
        <v>2774</v>
      </c>
      <c r="F550" s="1267">
        <v>30926</v>
      </c>
    </row>
    <row r="551" spans="1:6">
      <c r="A551" s="1267" t="s">
        <v>1900</v>
      </c>
      <c r="B551" s="1267" t="s">
        <v>2776</v>
      </c>
      <c r="C551" s="1267" t="s">
        <v>696</v>
      </c>
      <c r="D551" s="1267">
        <v>2015</v>
      </c>
      <c r="E551" s="1267" t="s">
        <v>2774</v>
      </c>
      <c r="F551" s="1267">
        <v>25049</v>
      </c>
    </row>
    <row r="552" spans="1:6">
      <c r="A552" s="1267" t="s">
        <v>1900</v>
      </c>
      <c r="B552" s="1267" t="s">
        <v>2776</v>
      </c>
      <c r="C552" s="1267" t="s">
        <v>696</v>
      </c>
      <c r="D552" s="1267">
        <v>2016</v>
      </c>
      <c r="E552" s="1267" t="s">
        <v>2774</v>
      </c>
      <c r="F552" s="1267">
        <v>23152</v>
      </c>
    </row>
    <row r="553" spans="1:6">
      <c r="A553" s="1267" t="s">
        <v>1900</v>
      </c>
      <c r="B553" s="1267" t="s">
        <v>2776</v>
      </c>
      <c r="C553" s="1267" t="s">
        <v>695</v>
      </c>
      <c r="D553" s="1267">
        <v>2014</v>
      </c>
      <c r="E553" s="1267" t="s">
        <v>2774</v>
      </c>
      <c r="F553" s="1267">
        <v>21922</v>
      </c>
    </row>
    <row r="554" spans="1:6">
      <c r="A554" s="1267" t="s">
        <v>1900</v>
      </c>
      <c r="B554" s="1267" t="s">
        <v>2776</v>
      </c>
      <c r="C554" s="1267" t="s">
        <v>695</v>
      </c>
      <c r="D554" s="1267">
        <v>2015</v>
      </c>
      <c r="E554" s="1267" t="s">
        <v>2774</v>
      </c>
      <c r="F554" s="1267">
        <v>25201</v>
      </c>
    </row>
    <row r="555" spans="1:6">
      <c r="A555" s="1267" t="s">
        <v>1900</v>
      </c>
      <c r="B555" s="1267" t="s">
        <v>2776</v>
      </c>
      <c r="C555" s="1267" t="s">
        <v>695</v>
      </c>
      <c r="D555" s="1267">
        <v>2016</v>
      </c>
      <c r="E555" s="1267" t="s">
        <v>2774</v>
      </c>
      <c r="F555" s="1267">
        <v>26072</v>
      </c>
    </row>
    <row r="556" spans="1:6">
      <c r="A556" s="1267" t="s">
        <v>1900</v>
      </c>
      <c r="B556" s="1267" t="s">
        <v>2776</v>
      </c>
      <c r="C556" s="1267" t="s">
        <v>2775</v>
      </c>
      <c r="D556" s="1267">
        <v>2014</v>
      </c>
      <c r="E556" s="1267" t="s">
        <v>2774</v>
      </c>
      <c r="F556" s="1267">
        <v>445815</v>
      </c>
    </row>
    <row r="557" spans="1:6">
      <c r="A557" s="1267" t="s">
        <v>1900</v>
      </c>
      <c r="B557" s="1267" t="s">
        <v>2776</v>
      </c>
      <c r="C557" s="1267" t="s">
        <v>2775</v>
      </c>
      <c r="D557" s="1267">
        <v>2015</v>
      </c>
      <c r="E557" s="1267" t="s">
        <v>2774</v>
      </c>
      <c r="F557" s="1267">
        <v>406691</v>
      </c>
    </row>
    <row r="558" spans="1:6">
      <c r="A558" s="1267" t="s">
        <v>1900</v>
      </c>
      <c r="B558" s="1267" t="s">
        <v>2776</v>
      </c>
      <c r="C558" s="1267" t="s">
        <v>2775</v>
      </c>
      <c r="D558" s="1267">
        <v>2016</v>
      </c>
      <c r="E558" s="1267" t="s">
        <v>2774</v>
      </c>
      <c r="F558" s="1267">
        <v>409966</v>
      </c>
    </row>
  </sheetData>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9"/>
  <sheetViews>
    <sheetView zoomScale="80" zoomScaleNormal="80" zoomScalePageLayoutView="80" workbookViewId="0">
      <pane xSplit="2" ySplit="9" topLeftCell="AB18" activePane="bottomRight" state="frozen"/>
      <selection activeCell="X67" sqref="X67"/>
      <selection pane="topRight" activeCell="X67" sqref="X67"/>
      <selection pane="bottomLeft" activeCell="X67" sqref="X67"/>
      <selection pane="bottomRight" activeCell="X67" sqref="X67"/>
    </sheetView>
  </sheetViews>
  <sheetFormatPr baseColWidth="10" defaultRowHeight="15" x14ac:dyDescent="0"/>
  <cols>
    <col min="2" max="2" width="68.5703125" customWidth="1"/>
  </cols>
  <sheetData>
    <row r="1" spans="1:38" ht="17">
      <c r="A1" s="1940" t="s">
        <v>1111</v>
      </c>
      <c r="B1" s="1939"/>
      <c r="C1" s="1939"/>
      <c r="D1" s="1939"/>
      <c r="E1" s="1939"/>
      <c r="F1" s="1939"/>
      <c r="G1" s="1939"/>
      <c r="H1" s="1939"/>
      <c r="I1" s="1939"/>
      <c r="J1" s="1939"/>
      <c r="K1" s="1939"/>
      <c r="L1" s="1939"/>
      <c r="M1" s="1939"/>
      <c r="N1" s="1939"/>
      <c r="O1" s="1939"/>
      <c r="P1" s="1939"/>
      <c r="Q1" s="1939"/>
      <c r="R1" s="1939"/>
      <c r="S1" s="1939"/>
      <c r="T1" s="1939"/>
      <c r="U1" s="1939"/>
      <c r="V1" s="1939"/>
      <c r="W1" s="1939"/>
      <c r="X1" s="1939"/>
      <c r="Y1" s="1939"/>
      <c r="Z1" s="1939"/>
      <c r="AA1" s="1939"/>
      <c r="AB1" s="1939"/>
      <c r="AC1" s="1939"/>
      <c r="AD1" s="1939"/>
      <c r="AE1" s="1939"/>
      <c r="AF1" s="1939"/>
      <c r="AG1" s="1939"/>
      <c r="AH1" s="1939"/>
      <c r="AI1" s="1939"/>
      <c r="AJ1" s="1939"/>
      <c r="AK1" s="1939"/>
      <c r="AL1" s="1939"/>
    </row>
    <row r="2" spans="1:38" ht="16">
      <c r="A2" s="1941" t="s">
        <v>1110</v>
      </c>
      <c r="B2" s="1939"/>
      <c r="C2" s="1939"/>
      <c r="D2" s="1939"/>
      <c r="E2" s="1939"/>
      <c r="F2" s="1939"/>
      <c r="G2" s="1939"/>
      <c r="H2" s="1939"/>
      <c r="I2" s="1939"/>
      <c r="J2" s="1939"/>
      <c r="K2" s="1939"/>
      <c r="L2" s="1939"/>
      <c r="M2" s="1939"/>
      <c r="N2" s="1939"/>
      <c r="O2" s="1939"/>
      <c r="P2" s="1939"/>
      <c r="Q2" s="1939"/>
      <c r="R2" s="1939"/>
      <c r="S2" s="1939"/>
      <c r="T2" s="1939"/>
      <c r="U2" s="1939"/>
      <c r="V2" s="1939"/>
      <c r="W2" s="1939"/>
      <c r="X2" s="1939"/>
      <c r="Y2" s="1939"/>
      <c r="Z2" s="1939"/>
      <c r="AA2" s="1939"/>
      <c r="AB2" s="1939"/>
      <c r="AC2" s="1939"/>
      <c r="AD2" s="1939"/>
      <c r="AE2" s="1939"/>
      <c r="AF2" s="1939"/>
      <c r="AG2" s="1939"/>
      <c r="AH2" s="1939"/>
      <c r="AI2" s="1939"/>
      <c r="AJ2" s="1939"/>
      <c r="AK2" s="1939"/>
      <c r="AL2" s="1939"/>
    </row>
    <row r="3" spans="1:38">
      <c r="A3" s="1939" t="s">
        <v>160</v>
      </c>
      <c r="B3" s="1939"/>
      <c r="C3" s="1939"/>
      <c r="D3" s="1939"/>
      <c r="E3" s="1939"/>
      <c r="F3" s="1939"/>
      <c r="G3" s="1939"/>
      <c r="H3" s="1939"/>
      <c r="I3" s="1939"/>
      <c r="J3" s="1939"/>
      <c r="K3" s="1939"/>
      <c r="L3" s="1939"/>
      <c r="M3" s="1939"/>
      <c r="N3" s="1939"/>
      <c r="O3" s="1939"/>
      <c r="P3" s="1939"/>
      <c r="Q3" s="1939"/>
      <c r="R3" s="1939"/>
      <c r="S3" s="1939"/>
      <c r="T3" s="1939"/>
      <c r="U3" s="1939"/>
      <c r="V3" s="1939"/>
      <c r="W3" s="1939"/>
      <c r="X3" s="1939"/>
      <c r="Y3" s="1939"/>
      <c r="Z3" s="1939"/>
      <c r="AA3" s="1939"/>
      <c r="AB3" s="1939"/>
      <c r="AC3" s="1939"/>
      <c r="AD3" s="1939"/>
      <c r="AE3" s="1939"/>
      <c r="AF3" s="1939"/>
      <c r="AG3" s="1939"/>
      <c r="AH3" s="1939"/>
      <c r="AI3" s="1939"/>
      <c r="AJ3" s="1939"/>
      <c r="AK3" s="1939"/>
      <c r="AL3" s="1939"/>
    </row>
    <row r="4" spans="1:38">
      <c r="A4" s="1939" t="s">
        <v>3280</v>
      </c>
      <c r="B4" s="1939"/>
      <c r="C4" s="1939"/>
      <c r="D4" s="1939"/>
      <c r="E4" s="1939"/>
      <c r="F4" s="1939"/>
      <c r="G4" s="1939"/>
      <c r="H4" s="1939"/>
      <c r="I4" s="1939"/>
      <c r="J4" s="1939"/>
      <c r="K4" s="1939"/>
      <c r="L4" s="1939"/>
      <c r="M4" s="1939"/>
      <c r="N4" s="1939"/>
      <c r="O4" s="1939"/>
      <c r="P4" s="1939"/>
      <c r="Q4" s="1939"/>
      <c r="R4" s="1939"/>
      <c r="S4" s="1939"/>
      <c r="T4" s="1939"/>
      <c r="U4" s="1939"/>
      <c r="V4" s="1939"/>
      <c r="W4" s="1939"/>
      <c r="X4" s="1939"/>
      <c r="Y4" s="1939"/>
      <c r="Z4" s="1939"/>
      <c r="AA4" s="1939"/>
      <c r="AB4" s="1939"/>
      <c r="AC4" s="1939"/>
      <c r="AD4" s="1939"/>
      <c r="AE4" s="1939"/>
      <c r="AF4" s="1939"/>
      <c r="AG4" s="1939"/>
      <c r="AH4" s="1939"/>
      <c r="AI4" s="1939"/>
      <c r="AJ4" s="1939"/>
      <c r="AK4" s="1939"/>
      <c r="AL4" s="1939"/>
    </row>
    <row r="5" spans="1:38">
      <c r="A5" s="1394"/>
      <c r="B5" s="1394"/>
      <c r="C5" s="1394"/>
      <c r="D5" s="1394"/>
      <c r="E5" s="1394"/>
      <c r="F5" s="1394"/>
      <c r="G5" s="1394"/>
      <c r="H5" s="1394"/>
      <c r="I5" s="1394"/>
      <c r="J5" s="1394"/>
      <c r="K5" s="1394"/>
      <c r="L5" s="1394"/>
      <c r="M5" s="1394"/>
      <c r="N5" s="1394"/>
      <c r="O5" s="1394"/>
      <c r="P5" s="1394"/>
      <c r="Q5" s="1394"/>
      <c r="R5" s="1394"/>
      <c r="S5" s="1394"/>
      <c r="T5" s="1394"/>
      <c r="U5" s="1394"/>
      <c r="V5" s="1394"/>
      <c r="W5" s="1394"/>
      <c r="X5" s="1394"/>
      <c r="Y5" s="1394"/>
      <c r="Z5" s="1394"/>
      <c r="AA5" s="1394"/>
      <c r="AB5" s="1394"/>
      <c r="AC5" s="1394"/>
      <c r="AD5" s="1394"/>
      <c r="AE5" s="1394"/>
      <c r="AF5" s="1394"/>
      <c r="AG5" s="1394"/>
      <c r="AH5" s="1394"/>
      <c r="AI5" s="1394"/>
      <c r="AJ5" s="1394"/>
      <c r="AK5" s="1394"/>
      <c r="AL5" s="1394"/>
    </row>
    <row r="6" spans="1:38">
      <c r="A6" s="1395" t="s">
        <v>159</v>
      </c>
      <c r="B6" s="1395" t="s">
        <v>1108</v>
      </c>
      <c r="C6" s="1395" t="s">
        <v>105</v>
      </c>
      <c r="D6" s="1395" t="s">
        <v>1078</v>
      </c>
      <c r="E6" s="1395" t="s">
        <v>103</v>
      </c>
      <c r="F6" s="1395" t="s">
        <v>1077</v>
      </c>
      <c r="G6" s="1395" t="s">
        <v>101</v>
      </c>
      <c r="H6" s="1395" t="s">
        <v>1076</v>
      </c>
      <c r="I6" s="1395" t="s">
        <v>99</v>
      </c>
      <c r="J6" s="1395" t="s">
        <v>1075</v>
      </c>
      <c r="K6" s="1395" t="s">
        <v>97</v>
      </c>
      <c r="L6" s="1395" t="s">
        <v>1074</v>
      </c>
      <c r="M6" s="1395" t="s">
        <v>95</v>
      </c>
      <c r="N6" s="1395" t="s">
        <v>1073</v>
      </c>
      <c r="O6" s="1395" t="s">
        <v>93</v>
      </c>
      <c r="P6" s="1395" t="s">
        <v>1072</v>
      </c>
      <c r="Q6" s="1395" t="s">
        <v>91</v>
      </c>
      <c r="R6" s="1395" t="s">
        <v>1071</v>
      </c>
      <c r="S6" s="1395" t="s">
        <v>89</v>
      </c>
      <c r="T6" s="1395" t="s">
        <v>261</v>
      </c>
      <c r="U6" s="1395" t="s">
        <v>87</v>
      </c>
      <c r="V6" s="1395" t="s">
        <v>260</v>
      </c>
      <c r="W6" s="1395" t="s">
        <v>85</v>
      </c>
      <c r="X6" s="1395" t="s">
        <v>259</v>
      </c>
      <c r="Y6" s="1395" t="s">
        <v>83</v>
      </c>
      <c r="Z6" s="1395" t="s">
        <v>258</v>
      </c>
      <c r="AA6" s="1395" t="s">
        <v>81</v>
      </c>
      <c r="AB6" s="1395" t="s">
        <v>257</v>
      </c>
      <c r="AC6" s="1395" t="s">
        <v>79</v>
      </c>
      <c r="AD6" s="1395" t="s">
        <v>256</v>
      </c>
      <c r="AE6" s="1395" t="s">
        <v>77</v>
      </c>
      <c r="AF6" s="1395" t="s">
        <v>255</v>
      </c>
      <c r="AG6" s="1395" t="s">
        <v>75</v>
      </c>
      <c r="AH6" s="1395" t="s">
        <v>794</v>
      </c>
      <c r="AI6" s="1395" t="s">
        <v>866</v>
      </c>
      <c r="AJ6" s="1395" t="s">
        <v>1070</v>
      </c>
      <c r="AK6" s="1395" t="s">
        <v>864</v>
      </c>
      <c r="AL6" s="1395" t="s">
        <v>3281</v>
      </c>
    </row>
    <row r="7" spans="1:38">
      <c r="A7" s="1394" t="s">
        <v>32</v>
      </c>
      <c r="B7" s="1394" t="s">
        <v>1107</v>
      </c>
      <c r="C7" s="1394" t="s">
        <v>32</v>
      </c>
      <c r="D7" s="1394" t="s">
        <v>32</v>
      </c>
      <c r="E7" s="1394" t="s">
        <v>32</v>
      </c>
      <c r="F7" s="1394" t="s">
        <v>32</v>
      </c>
      <c r="G7" s="1394" t="s">
        <v>32</v>
      </c>
      <c r="H7" s="1394" t="s">
        <v>32</v>
      </c>
      <c r="I7" s="1394" t="s">
        <v>32</v>
      </c>
      <c r="J7" s="1394" t="s">
        <v>32</v>
      </c>
      <c r="K7" s="1394" t="s">
        <v>32</v>
      </c>
      <c r="L7" s="1394" t="s">
        <v>32</v>
      </c>
      <c r="M7" s="1394" t="s">
        <v>32</v>
      </c>
      <c r="N7" s="1394" t="s">
        <v>32</v>
      </c>
      <c r="O7" s="1394" t="s">
        <v>32</v>
      </c>
      <c r="P7" s="1394" t="s">
        <v>32</v>
      </c>
      <c r="Q7" s="1394" t="s">
        <v>32</v>
      </c>
      <c r="R7" s="1394" t="s">
        <v>32</v>
      </c>
      <c r="S7" s="1394" t="s">
        <v>32</v>
      </c>
      <c r="T7" s="1394" t="s">
        <v>32</v>
      </c>
      <c r="U7" s="1394" t="s">
        <v>32</v>
      </c>
      <c r="V7" s="1394" t="s">
        <v>32</v>
      </c>
      <c r="W7" s="1394" t="s">
        <v>32</v>
      </c>
      <c r="X7" s="1394" t="s">
        <v>32</v>
      </c>
      <c r="Y7" s="1394" t="s">
        <v>32</v>
      </c>
      <c r="Z7" s="1394" t="s">
        <v>32</v>
      </c>
      <c r="AA7" s="1394" t="s">
        <v>32</v>
      </c>
      <c r="AB7" s="1394" t="s">
        <v>32</v>
      </c>
      <c r="AC7" s="1394" t="s">
        <v>32</v>
      </c>
      <c r="AD7" s="1394" t="s">
        <v>32</v>
      </c>
      <c r="AE7" s="1394" t="s">
        <v>32</v>
      </c>
      <c r="AF7" s="1394" t="s">
        <v>32</v>
      </c>
      <c r="AG7" s="1394" t="s">
        <v>32</v>
      </c>
      <c r="AH7" s="1394" t="s">
        <v>32</v>
      </c>
      <c r="AI7" s="1394" t="s">
        <v>32</v>
      </c>
      <c r="AJ7" s="1394" t="s">
        <v>32</v>
      </c>
      <c r="AK7" s="1394" t="s">
        <v>32</v>
      </c>
      <c r="AL7" s="1394" t="s">
        <v>32</v>
      </c>
    </row>
    <row r="8" spans="1:38">
      <c r="A8" s="1394" t="s">
        <v>73</v>
      </c>
      <c r="B8" s="269" t="s">
        <v>1106</v>
      </c>
      <c r="C8" s="1394">
        <v>295981</v>
      </c>
      <c r="D8" s="1394">
        <v>351325</v>
      </c>
      <c r="E8" s="1394">
        <v>357920</v>
      </c>
      <c r="F8" s="1394">
        <v>475693</v>
      </c>
      <c r="G8" s="1394">
        <v>615138</v>
      </c>
      <c r="H8" s="1394">
        <v>681751</v>
      </c>
      <c r="I8" s="1394">
        <v>782947</v>
      </c>
      <c r="J8" s="1394">
        <v>929965</v>
      </c>
      <c r="K8" s="1394">
        <v>853331</v>
      </c>
      <c r="L8" s="1394">
        <v>962582</v>
      </c>
      <c r="M8" s="1394">
        <v>943364</v>
      </c>
      <c r="N8" s="1394">
        <v>1204611</v>
      </c>
      <c r="O8" s="1394">
        <v>1234084</v>
      </c>
      <c r="P8" s="1394">
        <v>1493609</v>
      </c>
      <c r="Q8" s="1394">
        <v>1749299</v>
      </c>
      <c r="R8" s="1394">
        <v>2036671</v>
      </c>
      <c r="S8" s="1394">
        <v>2469095</v>
      </c>
      <c r="T8" s="1394">
        <v>3051404</v>
      </c>
      <c r="U8" s="1394">
        <v>2934570</v>
      </c>
      <c r="V8" s="1394">
        <v>2554463</v>
      </c>
      <c r="W8" s="1394">
        <v>2283141</v>
      </c>
      <c r="X8" s="1394">
        <v>3037312</v>
      </c>
      <c r="Y8" s="1394">
        <v>3746863</v>
      </c>
      <c r="Z8" s="1394">
        <v>4047170</v>
      </c>
      <c r="AA8" s="1394">
        <v>4929892</v>
      </c>
      <c r="AB8" s="1394">
        <v>5857923</v>
      </c>
      <c r="AC8" s="1394">
        <v>3707211</v>
      </c>
      <c r="AD8" s="1394">
        <v>4945292</v>
      </c>
      <c r="AE8" s="1394">
        <v>5486391</v>
      </c>
      <c r="AF8" s="1394">
        <v>5214826</v>
      </c>
      <c r="AG8" s="1394">
        <v>5969502</v>
      </c>
      <c r="AH8" s="1394">
        <v>7120688</v>
      </c>
      <c r="AI8" s="1394">
        <v>7189420</v>
      </c>
      <c r="AJ8" s="1394">
        <v>6998949</v>
      </c>
      <c r="AK8" s="1394">
        <v>7375049</v>
      </c>
      <c r="AL8" s="1394">
        <v>8863392</v>
      </c>
    </row>
    <row r="9" spans="1:38">
      <c r="A9" s="1394" t="s">
        <v>72</v>
      </c>
      <c r="B9" s="1394" t="s">
        <v>225</v>
      </c>
      <c r="C9" s="1394">
        <v>227369</v>
      </c>
      <c r="D9" s="1394">
        <v>285799</v>
      </c>
      <c r="E9" s="1394">
        <v>288987</v>
      </c>
      <c r="F9" s="1394">
        <v>403897</v>
      </c>
      <c r="G9" s="1394">
        <v>538513</v>
      </c>
      <c r="H9" s="1394">
        <v>591850</v>
      </c>
      <c r="I9" s="1394">
        <v>682896</v>
      </c>
      <c r="J9" s="1394">
        <v>804307</v>
      </c>
      <c r="K9" s="1394">
        <v>704136</v>
      </c>
      <c r="L9" s="1394">
        <v>803456</v>
      </c>
      <c r="M9" s="1394">
        <v>762212</v>
      </c>
      <c r="N9" s="1394">
        <v>1002299</v>
      </c>
      <c r="O9" s="1394">
        <v>1054048</v>
      </c>
      <c r="P9" s="1394">
        <v>1305643</v>
      </c>
      <c r="Q9" s="1394">
        <v>1540530</v>
      </c>
      <c r="R9" s="1394">
        <v>1805484</v>
      </c>
      <c r="S9" s="1394">
        <v>2179807</v>
      </c>
      <c r="T9" s="1394">
        <v>2678797</v>
      </c>
      <c r="U9" s="1394">
        <v>2545603</v>
      </c>
      <c r="V9" s="1394">
        <v>2158911</v>
      </c>
      <c r="W9" s="1394">
        <v>1840110</v>
      </c>
      <c r="X9" s="1394">
        <v>2548435</v>
      </c>
      <c r="Y9" s="1394">
        <v>3170545</v>
      </c>
      <c r="Z9" s="1394">
        <v>3449302</v>
      </c>
      <c r="AA9" s="1394">
        <v>4294301</v>
      </c>
      <c r="AB9" s="1394">
        <v>5090968</v>
      </c>
      <c r="AC9" s="1394">
        <v>2928147</v>
      </c>
      <c r="AD9" s="1394">
        <v>4097179</v>
      </c>
      <c r="AE9" s="1394">
        <v>4620850</v>
      </c>
      <c r="AF9" s="1394">
        <v>4320052</v>
      </c>
      <c r="AG9" s="1394">
        <v>4983895</v>
      </c>
      <c r="AH9" s="1394">
        <v>6054227</v>
      </c>
      <c r="AI9" s="1394">
        <v>6040129</v>
      </c>
      <c r="AJ9" s="1394">
        <v>5787912</v>
      </c>
      <c r="AK9" s="1394">
        <v>6172334</v>
      </c>
      <c r="AL9" s="1394">
        <v>7623152</v>
      </c>
    </row>
    <row r="10" spans="1:38">
      <c r="A10" s="1394" t="s">
        <v>70</v>
      </c>
      <c r="B10" s="1394" t="s">
        <v>1086</v>
      </c>
      <c r="C10" s="1394">
        <v>68612</v>
      </c>
      <c r="D10" s="1394">
        <v>65526</v>
      </c>
      <c r="E10" s="1394">
        <v>68933</v>
      </c>
      <c r="F10" s="1394">
        <v>71796</v>
      </c>
      <c r="G10" s="1394">
        <v>76625</v>
      </c>
      <c r="H10" s="1394">
        <v>89901</v>
      </c>
      <c r="I10" s="1394">
        <v>100051</v>
      </c>
      <c r="J10" s="1394">
        <v>125658</v>
      </c>
      <c r="K10" s="1394">
        <v>149195</v>
      </c>
      <c r="L10" s="1394">
        <v>159126</v>
      </c>
      <c r="M10" s="1394">
        <v>181152</v>
      </c>
      <c r="N10" s="1394">
        <v>202312</v>
      </c>
      <c r="O10" s="1394">
        <v>180036</v>
      </c>
      <c r="P10" s="1394">
        <v>187966</v>
      </c>
      <c r="Q10" s="1394">
        <v>208769</v>
      </c>
      <c r="R10" s="1394">
        <v>231187</v>
      </c>
      <c r="S10" s="1394">
        <v>289288</v>
      </c>
      <c r="T10" s="1394">
        <v>372607</v>
      </c>
      <c r="U10" s="1394">
        <v>388967</v>
      </c>
      <c r="V10" s="1394">
        <v>395552</v>
      </c>
      <c r="W10" s="1394">
        <v>443031</v>
      </c>
      <c r="X10" s="1394">
        <v>488877</v>
      </c>
      <c r="Y10" s="1394">
        <v>576318</v>
      </c>
      <c r="Z10" s="1394">
        <v>597868</v>
      </c>
      <c r="AA10" s="1394">
        <v>635591</v>
      </c>
      <c r="AB10" s="1394">
        <v>766955</v>
      </c>
      <c r="AC10" s="1394">
        <v>779064</v>
      </c>
      <c r="AD10" s="1394">
        <v>848113</v>
      </c>
      <c r="AE10" s="1394">
        <v>865541</v>
      </c>
      <c r="AF10" s="1394">
        <v>894774</v>
      </c>
      <c r="AG10" s="1394">
        <v>985607</v>
      </c>
      <c r="AH10" s="1394">
        <v>1066461</v>
      </c>
      <c r="AI10" s="1394">
        <v>1149291</v>
      </c>
      <c r="AJ10" s="1394">
        <v>1211037</v>
      </c>
      <c r="AK10" s="1394">
        <v>1202715</v>
      </c>
      <c r="AL10" s="1394">
        <v>1240240</v>
      </c>
    </row>
    <row r="11" spans="1:38">
      <c r="A11" s="1394" t="s">
        <v>69</v>
      </c>
      <c r="B11" s="1394" t="s">
        <v>1103</v>
      </c>
      <c r="C11" s="1394">
        <v>59907</v>
      </c>
      <c r="D11" s="1394">
        <v>54758</v>
      </c>
      <c r="E11" s="1394">
        <v>56925</v>
      </c>
      <c r="F11" s="1394">
        <v>56032</v>
      </c>
      <c r="G11" s="1394">
        <v>58748</v>
      </c>
      <c r="H11" s="1394">
        <v>64037</v>
      </c>
      <c r="I11" s="1394">
        <v>67970</v>
      </c>
      <c r="J11" s="1394">
        <v>92084</v>
      </c>
      <c r="K11" s="1394">
        <v>101455</v>
      </c>
      <c r="L11" s="1394">
        <v>101569</v>
      </c>
      <c r="M11" s="1394">
        <v>112748</v>
      </c>
      <c r="N11" s="1394">
        <v>138906</v>
      </c>
      <c r="O11" s="1394">
        <v>140439</v>
      </c>
      <c r="P11" s="1394">
        <v>147166</v>
      </c>
      <c r="Q11" s="1394">
        <v>161120</v>
      </c>
      <c r="R11" s="1394">
        <v>178106</v>
      </c>
      <c r="S11" s="1394">
        <v>221355</v>
      </c>
      <c r="T11" s="1394">
        <v>301962</v>
      </c>
      <c r="U11" s="1394">
        <v>296428</v>
      </c>
      <c r="V11" s="1394">
        <v>310334</v>
      </c>
      <c r="W11" s="1394">
        <v>349729</v>
      </c>
      <c r="X11" s="1394">
        <v>371406</v>
      </c>
      <c r="Y11" s="1394">
        <v>433621</v>
      </c>
      <c r="Z11" s="1394">
        <v>440594</v>
      </c>
      <c r="AA11" s="1394">
        <v>463041</v>
      </c>
      <c r="AB11" s="1394">
        <v>510102</v>
      </c>
      <c r="AC11" s="1394">
        <v>504203</v>
      </c>
      <c r="AD11" s="1394">
        <v>572022</v>
      </c>
      <c r="AE11" s="1394">
        <v>586867</v>
      </c>
      <c r="AF11" s="1394">
        <v>619084</v>
      </c>
      <c r="AG11" s="1394">
        <v>659438</v>
      </c>
      <c r="AH11" s="1394">
        <v>698148</v>
      </c>
      <c r="AI11" s="1394">
        <v>764613</v>
      </c>
      <c r="AJ11" s="1394">
        <v>802824</v>
      </c>
      <c r="AK11" s="1394">
        <v>797183</v>
      </c>
      <c r="AL11" s="1394">
        <v>822558</v>
      </c>
    </row>
    <row r="12" spans="1:38">
      <c r="A12" s="1394" t="s">
        <v>68</v>
      </c>
      <c r="B12" s="1394" t="s">
        <v>1093</v>
      </c>
      <c r="C12" s="1394">
        <v>8705</v>
      </c>
      <c r="D12" s="1394">
        <v>10768</v>
      </c>
      <c r="E12" s="1394">
        <v>12008</v>
      </c>
      <c r="F12" s="1394">
        <v>15764</v>
      </c>
      <c r="G12" s="1394">
        <v>17877</v>
      </c>
      <c r="H12" s="1394">
        <v>25864</v>
      </c>
      <c r="I12" s="1394">
        <v>32081</v>
      </c>
      <c r="J12" s="1394">
        <v>33574</v>
      </c>
      <c r="K12" s="1394">
        <v>47740</v>
      </c>
      <c r="L12" s="1394">
        <v>57557</v>
      </c>
      <c r="M12" s="1394">
        <v>68404</v>
      </c>
      <c r="N12" s="1394">
        <v>63406</v>
      </c>
      <c r="O12" s="1394">
        <v>39597</v>
      </c>
      <c r="P12" s="1394">
        <v>40800</v>
      </c>
      <c r="Q12" s="1394">
        <v>47649</v>
      </c>
      <c r="R12" s="1394">
        <v>53081</v>
      </c>
      <c r="S12" s="1394">
        <v>67934</v>
      </c>
      <c r="T12" s="1394">
        <v>70645</v>
      </c>
      <c r="U12" s="1394">
        <v>92539</v>
      </c>
      <c r="V12" s="1394">
        <v>85218</v>
      </c>
      <c r="W12" s="1394">
        <v>93302</v>
      </c>
      <c r="X12" s="1394">
        <v>117471</v>
      </c>
      <c r="Y12" s="1394">
        <v>142696</v>
      </c>
      <c r="Z12" s="1394">
        <v>157274</v>
      </c>
      <c r="AA12" s="1394">
        <v>172550</v>
      </c>
      <c r="AB12" s="1394">
        <v>256853</v>
      </c>
      <c r="AC12" s="1394">
        <v>274861</v>
      </c>
      <c r="AD12" s="1394">
        <v>276091</v>
      </c>
      <c r="AE12" s="1394">
        <v>278674</v>
      </c>
      <c r="AF12" s="1394">
        <v>275690</v>
      </c>
      <c r="AG12" s="1394">
        <v>326170</v>
      </c>
      <c r="AH12" s="1394">
        <v>368313</v>
      </c>
      <c r="AI12" s="1394">
        <v>384678</v>
      </c>
      <c r="AJ12" s="1394">
        <v>408213</v>
      </c>
      <c r="AK12" s="1394">
        <v>405531</v>
      </c>
      <c r="AL12" s="1394">
        <v>417682</v>
      </c>
    </row>
    <row r="13" spans="1:38">
      <c r="A13" s="1394" t="s">
        <v>66</v>
      </c>
      <c r="B13" s="269" t="s">
        <v>1059</v>
      </c>
      <c r="C13" s="1394">
        <v>69343</v>
      </c>
      <c r="D13" s="1394">
        <v>76982</v>
      </c>
      <c r="E13" s="1394">
        <v>87346</v>
      </c>
      <c r="F13" s="1394">
        <v>89342</v>
      </c>
      <c r="G13" s="1394">
        <v>85064</v>
      </c>
      <c r="H13" s="1394">
        <v>91505</v>
      </c>
      <c r="I13" s="1394">
        <v>90485</v>
      </c>
      <c r="J13" s="1394">
        <v>97505</v>
      </c>
      <c r="K13" s="1394">
        <v>121569</v>
      </c>
      <c r="L13" s="1394">
        <v>135045</v>
      </c>
      <c r="M13" s="1394">
        <v>144734</v>
      </c>
      <c r="N13" s="1394">
        <v>143312</v>
      </c>
      <c r="O13" s="1394">
        <v>119502</v>
      </c>
      <c r="P13" s="1394">
        <v>129816</v>
      </c>
      <c r="Q13" s="1394">
        <v>140958</v>
      </c>
      <c r="R13" s="1394">
        <v>157386</v>
      </c>
      <c r="S13" s="1394">
        <v>189495</v>
      </c>
      <c r="T13" s="1394">
        <v>211765</v>
      </c>
      <c r="U13" s="1394">
        <v>240556</v>
      </c>
      <c r="V13" s="1394">
        <v>239529</v>
      </c>
      <c r="W13" s="1394">
        <v>260553</v>
      </c>
      <c r="X13" s="1394">
        <v>308185</v>
      </c>
      <c r="Y13" s="1394">
        <v>384067</v>
      </c>
      <c r="Z13" s="1394">
        <v>409174</v>
      </c>
      <c r="AA13" s="1394">
        <v>459549</v>
      </c>
      <c r="AB13" s="1394">
        <v>582932</v>
      </c>
      <c r="AC13" s="1394">
        <v>604793</v>
      </c>
      <c r="AD13" s="1394">
        <v>623170</v>
      </c>
      <c r="AE13" s="1394">
        <v>676804</v>
      </c>
      <c r="AF13" s="1394">
        <v>700499</v>
      </c>
      <c r="AG13" s="1394">
        <v>746629</v>
      </c>
      <c r="AH13" s="1394">
        <v>866517</v>
      </c>
      <c r="AI13" s="1394">
        <v>912637</v>
      </c>
      <c r="AJ13" s="1394">
        <v>991175</v>
      </c>
      <c r="AK13" s="1394">
        <v>1013629</v>
      </c>
      <c r="AL13" s="1394">
        <v>1064347</v>
      </c>
    </row>
    <row r="14" spans="1:38">
      <c r="A14" s="1394" t="s">
        <v>65</v>
      </c>
      <c r="B14" s="1394" t="s">
        <v>1098</v>
      </c>
      <c r="C14" s="1394">
        <v>60638</v>
      </c>
      <c r="D14" s="1394">
        <v>66214</v>
      </c>
      <c r="E14" s="1394">
        <v>75338</v>
      </c>
      <c r="F14" s="1394">
        <v>73578</v>
      </c>
      <c r="G14" s="1394">
        <v>67187</v>
      </c>
      <c r="H14" s="1394">
        <v>65641</v>
      </c>
      <c r="I14" s="1394">
        <v>58404</v>
      </c>
      <c r="J14" s="1394">
        <v>63931</v>
      </c>
      <c r="K14" s="1394">
        <v>73829</v>
      </c>
      <c r="L14" s="1394">
        <v>77488</v>
      </c>
      <c r="M14" s="1394">
        <v>76330</v>
      </c>
      <c r="N14" s="1394">
        <v>79906</v>
      </c>
      <c r="O14" s="1394">
        <v>79904</v>
      </c>
      <c r="P14" s="1394">
        <v>89016</v>
      </c>
      <c r="Q14" s="1394">
        <v>93309</v>
      </c>
      <c r="R14" s="1394">
        <v>104305</v>
      </c>
      <c r="S14" s="1394">
        <v>121561</v>
      </c>
      <c r="T14" s="1394">
        <v>141120</v>
      </c>
      <c r="U14" s="1394">
        <v>148017</v>
      </c>
      <c r="V14" s="1394">
        <v>154311</v>
      </c>
      <c r="W14" s="1394">
        <v>167251</v>
      </c>
      <c r="X14" s="1394">
        <v>190714</v>
      </c>
      <c r="Y14" s="1394">
        <v>241371</v>
      </c>
      <c r="Z14" s="1394">
        <v>251900</v>
      </c>
      <c r="AA14" s="1394">
        <v>286999</v>
      </c>
      <c r="AB14" s="1394">
        <v>326079</v>
      </c>
      <c r="AC14" s="1394">
        <v>329933</v>
      </c>
      <c r="AD14" s="1394">
        <v>347079</v>
      </c>
      <c r="AE14" s="1394">
        <v>398130</v>
      </c>
      <c r="AF14" s="1394">
        <v>424809</v>
      </c>
      <c r="AG14" s="1394">
        <v>420459</v>
      </c>
      <c r="AH14" s="1394">
        <v>498204</v>
      </c>
      <c r="AI14" s="1394">
        <v>527958</v>
      </c>
      <c r="AJ14" s="1394">
        <v>582963</v>
      </c>
      <c r="AK14" s="1394">
        <v>608098</v>
      </c>
      <c r="AL14" s="1394">
        <v>646665</v>
      </c>
    </row>
    <row r="15" spans="1:38">
      <c r="A15" s="1394" t="s">
        <v>64</v>
      </c>
      <c r="B15" s="1394" t="s">
        <v>1097</v>
      </c>
      <c r="C15" s="1394">
        <v>8705</v>
      </c>
      <c r="D15" s="1394">
        <v>10768</v>
      </c>
      <c r="E15" s="1394">
        <v>12008</v>
      </c>
      <c r="F15" s="1394">
        <v>15764</v>
      </c>
      <c r="G15" s="1394">
        <v>17877</v>
      </c>
      <c r="H15" s="1394">
        <v>25864</v>
      </c>
      <c r="I15" s="1394">
        <v>32081</v>
      </c>
      <c r="J15" s="1394">
        <v>33574</v>
      </c>
      <c r="K15" s="1394">
        <v>47740</v>
      </c>
      <c r="L15" s="1394">
        <v>57557</v>
      </c>
      <c r="M15" s="1394">
        <v>68404</v>
      </c>
      <c r="N15" s="1394">
        <v>63406</v>
      </c>
      <c r="O15" s="1394">
        <v>39597</v>
      </c>
      <c r="P15" s="1394">
        <v>40800</v>
      </c>
      <c r="Q15" s="1394">
        <v>47649</v>
      </c>
      <c r="R15" s="1394">
        <v>53081</v>
      </c>
      <c r="S15" s="1394">
        <v>67934</v>
      </c>
      <c r="T15" s="1394">
        <v>70645</v>
      </c>
      <c r="U15" s="1394">
        <v>92539</v>
      </c>
      <c r="V15" s="1394">
        <v>85218</v>
      </c>
      <c r="W15" s="1394">
        <v>93302</v>
      </c>
      <c r="X15" s="1394">
        <v>117471</v>
      </c>
      <c r="Y15" s="1394">
        <v>142696</v>
      </c>
      <c r="Z15" s="1394">
        <v>157274</v>
      </c>
      <c r="AA15" s="1394">
        <v>172550</v>
      </c>
      <c r="AB15" s="1394">
        <v>256853</v>
      </c>
      <c r="AC15" s="1394">
        <v>274861</v>
      </c>
      <c r="AD15" s="1394">
        <v>276091</v>
      </c>
      <c r="AE15" s="1394">
        <v>278674</v>
      </c>
      <c r="AF15" s="1394">
        <v>275690</v>
      </c>
      <c r="AG15" s="1394">
        <v>326170</v>
      </c>
      <c r="AH15" s="1394">
        <v>368313</v>
      </c>
      <c r="AI15" s="1394">
        <v>384678</v>
      </c>
      <c r="AJ15" s="1394">
        <v>408213</v>
      </c>
      <c r="AK15" s="1394">
        <v>405531</v>
      </c>
      <c r="AL15" s="1394">
        <v>417682</v>
      </c>
    </row>
    <row r="16" spans="1:38">
      <c r="A16" s="1394" t="s">
        <v>63</v>
      </c>
      <c r="B16" s="269" t="s">
        <v>1105</v>
      </c>
      <c r="C16" s="1394">
        <v>226638</v>
      </c>
      <c r="D16" s="1394">
        <v>274342</v>
      </c>
      <c r="E16" s="1394">
        <v>270574</v>
      </c>
      <c r="F16" s="1394">
        <v>386352</v>
      </c>
      <c r="G16" s="1394">
        <v>530074</v>
      </c>
      <c r="H16" s="1394">
        <v>590246</v>
      </c>
      <c r="I16" s="1394">
        <v>692461</v>
      </c>
      <c r="J16" s="1394">
        <v>832460</v>
      </c>
      <c r="K16" s="1394">
        <v>731762</v>
      </c>
      <c r="L16" s="1394">
        <v>827537</v>
      </c>
      <c r="M16" s="1394">
        <v>798630</v>
      </c>
      <c r="N16" s="1394">
        <v>1061299</v>
      </c>
      <c r="O16" s="1394">
        <v>1114582</v>
      </c>
      <c r="P16" s="1394">
        <v>1363792</v>
      </c>
      <c r="Q16" s="1394">
        <v>1608340</v>
      </c>
      <c r="R16" s="1394">
        <v>1879285</v>
      </c>
      <c r="S16" s="1394">
        <v>2279601</v>
      </c>
      <c r="T16" s="1394">
        <v>2839639</v>
      </c>
      <c r="U16" s="1394">
        <v>2694014</v>
      </c>
      <c r="V16" s="1394">
        <v>2314934</v>
      </c>
      <c r="W16" s="1394">
        <v>2022588</v>
      </c>
      <c r="X16" s="1394">
        <v>2729126</v>
      </c>
      <c r="Y16" s="1394">
        <v>3362796</v>
      </c>
      <c r="Z16" s="1394">
        <v>3637996</v>
      </c>
      <c r="AA16" s="1394">
        <v>4470343</v>
      </c>
      <c r="AB16" s="1394">
        <v>5274991</v>
      </c>
      <c r="AC16" s="1394">
        <v>3102418</v>
      </c>
      <c r="AD16" s="1394">
        <v>4322122</v>
      </c>
      <c r="AE16" s="1394">
        <v>4809587</v>
      </c>
      <c r="AF16" s="1394">
        <v>4514327</v>
      </c>
      <c r="AG16" s="1394">
        <v>5222873</v>
      </c>
      <c r="AH16" s="1394">
        <v>6254171</v>
      </c>
      <c r="AI16" s="1394">
        <v>6276783</v>
      </c>
      <c r="AJ16" s="1394">
        <v>6007773</v>
      </c>
      <c r="AK16" s="1394">
        <v>6361419</v>
      </c>
      <c r="AL16" s="1394">
        <v>7799045</v>
      </c>
    </row>
    <row r="17" spans="1:38">
      <c r="A17" s="1394" t="s">
        <v>61</v>
      </c>
      <c r="B17" s="1394" t="s">
        <v>225</v>
      </c>
      <c r="C17" s="1394">
        <v>227369</v>
      </c>
      <c r="D17" s="1394">
        <v>285799</v>
      </c>
      <c r="E17" s="1394">
        <v>288987</v>
      </c>
      <c r="F17" s="1394">
        <v>403897</v>
      </c>
      <c r="G17" s="1394">
        <v>538513</v>
      </c>
      <c r="H17" s="1394">
        <v>591850</v>
      </c>
      <c r="I17" s="1394">
        <v>682896</v>
      </c>
      <c r="J17" s="1394">
        <v>804307</v>
      </c>
      <c r="K17" s="1394">
        <v>704136</v>
      </c>
      <c r="L17" s="1394">
        <v>803456</v>
      </c>
      <c r="M17" s="1394">
        <v>762212</v>
      </c>
      <c r="N17" s="1394">
        <v>1002299</v>
      </c>
      <c r="O17" s="1394">
        <v>1054048</v>
      </c>
      <c r="P17" s="1394">
        <v>1305643</v>
      </c>
      <c r="Q17" s="1394">
        <v>1540530</v>
      </c>
      <c r="R17" s="1394">
        <v>1805484</v>
      </c>
      <c r="S17" s="1394">
        <v>2179807</v>
      </c>
      <c r="T17" s="1394">
        <v>2678797</v>
      </c>
      <c r="U17" s="1394">
        <v>2545603</v>
      </c>
      <c r="V17" s="1394">
        <v>2158911</v>
      </c>
      <c r="W17" s="1394">
        <v>1840110</v>
      </c>
      <c r="X17" s="1394">
        <v>2548435</v>
      </c>
      <c r="Y17" s="1394">
        <v>3170545</v>
      </c>
      <c r="Z17" s="1394">
        <v>3449302</v>
      </c>
      <c r="AA17" s="1394">
        <v>4294301</v>
      </c>
      <c r="AB17" s="1394">
        <v>5090968</v>
      </c>
      <c r="AC17" s="1394">
        <v>2928147</v>
      </c>
      <c r="AD17" s="1394">
        <v>4097179</v>
      </c>
      <c r="AE17" s="1394">
        <v>4620850</v>
      </c>
      <c r="AF17" s="1394">
        <v>4320052</v>
      </c>
      <c r="AG17" s="1394">
        <v>4983895</v>
      </c>
      <c r="AH17" s="1394">
        <v>6054227</v>
      </c>
      <c r="AI17" s="1394">
        <v>6040129</v>
      </c>
      <c r="AJ17" s="1394">
        <v>5787912</v>
      </c>
      <c r="AK17" s="1394">
        <v>6172334</v>
      </c>
      <c r="AL17" s="1394">
        <v>7623152</v>
      </c>
    </row>
    <row r="18" spans="1:38">
      <c r="A18" s="1394" t="s">
        <v>60</v>
      </c>
      <c r="B18" s="1394" t="s">
        <v>1104</v>
      </c>
      <c r="C18" s="1394">
        <v>-731</v>
      </c>
      <c r="D18" s="1394">
        <v>-11457</v>
      </c>
      <c r="E18" s="1394">
        <v>-18413</v>
      </c>
      <c r="F18" s="1394">
        <v>-17545</v>
      </c>
      <c r="G18" s="1394">
        <v>-8439</v>
      </c>
      <c r="H18" s="1394">
        <v>-1604</v>
      </c>
      <c r="I18" s="1394">
        <v>9565</v>
      </c>
      <c r="J18" s="1394">
        <v>28153</v>
      </c>
      <c r="K18" s="1394">
        <v>27626</v>
      </c>
      <c r="L18" s="1394">
        <v>24081</v>
      </c>
      <c r="M18" s="1394">
        <v>36418</v>
      </c>
      <c r="N18" s="1394">
        <v>59000</v>
      </c>
      <c r="O18" s="1394">
        <v>60534</v>
      </c>
      <c r="P18" s="1394">
        <v>58149</v>
      </c>
      <c r="Q18" s="1394">
        <v>67810</v>
      </c>
      <c r="R18" s="1394">
        <v>73801</v>
      </c>
      <c r="S18" s="1394">
        <v>99794</v>
      </c>
      <c r="T18" s="1394">
        <v>160842</v>
      </c>
      <c r="U18" s="1394">
        <v>148411</v>
      </c>
      <c r="V18" s="1394">
        <v>156023</v>
      </c>
      <c r="W18" s="1394">
        <v>182478</v>
      </c>
      <c r="X18" s="1394">
        <v>180692</v>
      </c>
      <c r="Y18" s="1394">
        <v>192251</v>
      </c>
      <c r="Z18" s="1394">
        <v>188694</v>
      </c>
      <c r="AA18" s="1394">
        <v>176042</v>
      </c>
      <c r="AB18" s="1394">
        <v>184023</v>
      </c>
      <c r="AC18" s="1394">
        <v>174271</v>
      </c>
      <c r="AD18" s="1394">
        <v>224943</v>
      </c>
      <c r="AE18" s="1394">
        <v>188737</v>
      </c>
      <c r="AF18" s="1394">
        <v>194275</v>
      </c>
      <c r="AG18" s="1394">
        <v>238978</v>
      </c>
      <c r="AH18" s="1394">
        <v>199944</v>
      </c>
      <c r="AI18" s="1394">
        <v>236654</v>
      </c>
      <c r="AJ18" s="1394">
        <v>219861</v>
      </c>
      <c r="AK18" s="1394">
        <v>189085</v>
      </c>
      <c r="AL18" s="1394">
        <v>175893</v>
      </c>
    </row>
    <row r="19" spans="1:38">
      <c r="A19" s="1394" t="s">
        <v>59</v>
      </c>
      <c r="B19" s="1394" t="s">
        <v>1103</v>
      </c>
      <c r="C19" s="1394">
        <v>59907</v>
      </c>
      <c r="D19" s="1394">
        <v>54758</v>
      </c>
      <c r="E19" s="1394">
        <v>56925</v>
      </c>
      <c r="F19" s="1394">
        <v>56032</v>
      </c>
      <c r="G19" s="1394">
        <v>58748</v>
      </c>
      <c r="H19" s="1394">
        <v>64037</v>
      </c>
      <c r="I19" s="1394">
        <v>67970</v>
      </c>
      <c r="J19" s="1394">
        <v>92084</v>
      </c>
      <c r="K19" s="1394">
        <v>101455</v>
      </c>
      <c r="L19" s="1394">
        <v>101569</v>
      </c>
      <c r="M19" s="1394">
        <v>112748</v>
      </c>
      <c r="N19" s="1394">
        <v>138906</v>
      </c>
      <c r="O19" s="1394">
        <v>140439</v>
      </c>
      <c r="P19" s="1394">
        <v>147166</v>
      </c>
      <c r="Q19" s="1394">
        <v>161120</v>
      </c>
      <c r="R19" s="1394">
        <v>178106</v>
      </c>
      <c r="S19" s="1394">
        <v>221355</v>
      </c>
      <c r="T19" s="1394">
        <v>301962</v>
      </c>
      <c r="U19" s="1394">
        <v>296428</v>
      </c>
      <c r="V19" s="1394">
        <v>310334</v>
      </c>
      <c r="W19" s="1394">
        <v>349729</v>
      </c>
      <c r="X19" s="1394">
        <v>371406</v>
      </c>
      <c r="Y19" s="1394">
        <v>433621</v>
      </c>
      <c r="Z19" s="1394">
        <v>440594</v>
      </c>
      <c r="AA19" s="1394">
        <v>463041</v>
      </c>
      <c r="AB19" s="1394">
        <v>510102</v>
      </c>
      <c r="AC19" s="1394">
        <v>504203</v>
      </c>
      <c r="AD19" s="1394">
        <v>572022</v>
      </c>
      <c r="AE19" s="1394">
        <v>586867</v>
      </c>
      <c r="AF19" s="1394">
        <v>619084</v>
      </c>
      <c r="AG19" s="1394">
        <v>659438</v>
      </c>
      <c r="AH19" s="1394">
        <v>698148</v>
      </c>
      <c r="AI19" s="1394">
        <v>764613</v>
      </c>
      <c r="AJ19" s="1394">
        <v>802824</v>
      </c>
      <c r="AK19" s="1394">
        <v>797183</v>
      </c>
      <c r="AL19" s="1394">
        <v>822558</v>
      </c>
    </row>
    <row r="20" spans="1:38">
      <c r="A20" s="1394" t="s">
        <v>57</v>
      </c>
      <c r="B20" s="1394" t="s">
        <v>1099</v>
      </c>
      <c r="C20" s="1394">
        <v>60638</v>
      </c>
      <c r="D20" s="1394">
        <v>66214</v>
      </c>
      <c r="E20" s="1394">
        <v>75338</v>
      </c>
      <c r="F20" s="1394">
        <v>73578</v>
      </c>
      <c r="G20" s="1394">
        <v>67187</v>
      </c>
      <c r="H20" s="1394">
        <v>65641</v>
      </c>
      <c r="I20" s="1394">
        <v>58404</v>
      </c>
      <c r="J20" s="1394">
        <v>63931</v>
      </c>
      <c r="K20" s="1394">
        <v>73829</v>
      </c>
      <c r="L20" s="1394">
        <v>77488</v>
      </c>
      <c r="M20" s="1394">
        <v>76330</v>
      </c>
      <c r="N20" s="1394">
        <v>79906</v>
      </c>
      <c r="O20" s="1394">
        <v>79904</v>
      </c>
      <c r="P20" s="1394">
        <v>89016</v>
      </c>
      <c r="Q20" s="1394">
        <v>93309</v>
      </c>
      <c r="R20" s="1394">
        <v>104305</v>
      </c>
      <c r="S20" s="1394">
        <v>121561</v>
      </c>
      <c r="T20" s="1394">
        <v>141120</v>
      </c>
      <c r="U20" s="1394">
        <v>148017</v>
      </c>
      <c r="V20" s="1394">
        <v>154311</v>
      </c>
      <c r="W20" s="1394">
        <v>167251</v>
      </c>
      <c r="X20" s="1394">
        <v>190714</v>
      </c>
      <c r="Y20" s="1394">
        <v>241371</v>
      </c>
      <c r="Z20" s="1394">
        <v>251900</v>
      </c>
      <c r="AA20" s="1394">
        <v>286999</v>
      </c>
      <c r="AB20" s="1394">
        <v>326079</v>
      </c>
      <c r="AC20" s="1394">
        <v>329933</v>
      </c>
      <c r="AD20" s="1394">
        <v>347079</v>
      </c>
      <c r="AE20" s="1394">
        <v>398130</v>
      </c>
      <c r="AF20" s="1394">
        <v>424809</v>
      </c>
      <c r="AG20" s="1394">
        <v>420459</v>
      </c>
      <c r="AH20" s="1394">
        <v>498204</v>
      </c>
      <c r="AI20" s="1394">
        <v>527958</v>
      </c>
      <c r="AJ20" s="1394">
        <v>582963</v>
      </c>
      <c r="AK20" s="1394">
        <v>608098</v>
      </c>
      <c r="AL20" s="1394">
        <v>646665</v>
      </c>
    </row>
    <row r="21" spans="1:38">
      <c r="A21" s="1394" t="s">
        <v>55</v>
      </c>
      <c r="B21" s="269" t="s">
        <v>1092</v>
      </c>
      <c r="C21" s="1394">
        <v>18886</v>
      </c>
      <c r="D21" s="1394">
        <v>62192</v>
      </c>
      <c r="E21" s="1394">
        <v>52481</v>
      </c>
      <c r="F21" s="1394">
        <v>147983</v>
      </c>
      <c r="G21" s="1394">
        <v>259602</v>
      </c>
      <c r="H21" s="1394">
        <v>263993</v>
      </c>
      <c r="I21" s="1394">
        <v>345282</v>
      </c>
      <c r="J21" s="1394">
        <v>450679</v>
      </c>
      <c r="K21" s="1394">
        <v>301241</v>
      </c>
      <c r="L21" s="1394">
        <v>359693</v>
      </c>
      <c r="M21" s="1394">
        <v>296567</v>
      </c>
      <c r="N21" s="1394">
        <v>497015</v>
      </c>
      <c r="O21" s="1394">
        <v>501689</v>
      </c>
      <c r="P21" s="1394">
        <v>664777</v>
      </c>
      <c r="Q21" s="1394">
        <v>813145</v>
      </c>
      <c r="R21" s="1394">
        <v>1007969</v>
      </c>
      <c r="S21" s="1394">
        <v>1278898</v>
      </c>
      <c r="T21" s="1394">
        <v>1623679</v>
      </c>
      <c r="U21" s="1394">
        <v>1377767</v>
      </c>
      <c r="V21" s="1394">
        <v>854582</v>
      </c>
      <c r="W21" s="1394">
        <v>406040</v>
      </c>
      <c r="X21" s="1394">
        <v>959514</v>
      </c>
      <c r="Y21" s="1394">
        <v>1201952</v>
      </c>
      <c r="Z21" s="1394">
        <v>1396340</v>
      </c>
      <c r="AA21" s="1394">
        <v>1993075</v>
      </c>
      <c r="AB21" s="1394">
        <v>2281011</v>
      </c>
      <c r="AC21" s="1394">
        <v>-130075</v>
      </c>
      <c r="AD21" s="1394">
        <v>757102</v>
      </c>
      <c r="AE21" s="1394">
        <v>1067677</v>
      </c>
      <c r="AF21" s="1394">
        <v>464301</v>
      </c>
      <c r="AG21" s="1394">
        <v>812859</v>
      </c>
      <c r="AH21" s="1394">
        <v>1674458</v>
      </c>
      <c r="AI21" s="1394">
        <v>1366718</v>
      </c>
      <c r="AJ21" s="1394">
        <v>959000</v>
      </c>
      <c r="AK21" s="1394">
        <v>1029194</v>
      </c>
      <c r="AL21" s="1394">
        <v>2058689</v>
      </c>
    </row>
    <row r="22" spans="1:38">
      <c r="A22" s="1394" t="s">
        <v>54</v>
      </c>
      <c r="B22" s="269" t="s">
        <v>1102</v>
      </c>
      <c r="C22" s="1394">
        <v>207752</v>
      </c>
      <c r="D22" s="1394">
        <v>212150</v>
      </c>
      <c r="E22" s="1394">
        <v>218093</v>
      </c>
      <c r="F22" s="1394">
        <v>238369</v>
      </c>
      <c r="G22" s="1394">
        <v>270472</v>
      </c>
      <c r="H22" s="1394">
        <v>326253</v>
      </c>
      <c r="I22" s="1394">
        <v>347179</v>
      </c>
      <c r="J22" s="1394">
        <v>381781</v>
      </c>
      <c r="K22" s="1394">
        <v>430521</v>
      </c>
      <c r="L22" s="1394">
        <v>467844</v>
      </c>
      <c r="M22" s="1394">
        <v>502063</v>
      </c>
      <c r="N22" s="1394">
        <v>564283</v>
      </c>
      <c r="O22" s="1394">
        <v>612893</v>
      </c>
      <c r="P22" s="1394">
        <v>699015</v>
      </c>
      <c r="Q22" s="1394">
        <v>795195</v>
      </c>
      <c r="R22" s="1394">
        <v>871316</v>
      </c>
      <c r="S22" s="1394">
        <v>1000703</v>
      </c>
      <c r="T22" s="1394">
        <v>1215960</v>
      </c>
      <c r="U22" s="1394">
        <v>1316247</v>
      </c>
      <c r="V22" s="1394">
        <v>1460352</v>
      </c>
      <c r="W22" s="1394">
        <v>1616548</v>
      </c>
      <c r="X22" s="1394">
        <v>1769613</v>
      </c>
      <c r="Y22" s="1394">
        <v>2160844</v>
      </c>
      <c r="Z22" s="1394">
        <v>2241656</v>
      </c>
      <c r="AA22" s="1394">
        <v>2477268</v>
      </c>
      <c r="AB22" s="1394">
        <v>2993980</v>
      </c>
      <c r="AC22" s="1394">
        <v>3232493</v>
      </c>
      <c r="AD22" s="1394">
        <v>3565020</v>
      </c>
      <c r="AE22" s="1394">
        <v>3741910</v>
      </c>
      <c r="AF22" s="1394">
        <v>4050026</v>
      </c>
      <c r="AG22" s="1394">
        <v>4410015</v>
      </c>
      <c r="AH22" s="1394">
        <v>4579713</v>
      </c>
      <c r="AI22" s="1394">
        <v>4910065</v>
      </c>
      <c r="AJ22" s="1394">
        <v>5048773</v>
      </c>
      <c r="AK22" s="1394">
        <v>5332225</v>
      </c>
      <c r="AL22" s="1394">
        <v>5740357</v>
      </c>
    </row>
    <row r="23" spans="1:38">
      <c r="A23" s="1394" t="s">
        <v>53</v>
      </c>
      <c r="B23" s="1394" t="s">
        <v>225</v>
      </c>
      <c r="C23" s="1394">
        <v>208483</v>
      </c>
      <c r="D23" s="1394">
        <v>223607</v>
      </c>
      <c r="E23" s="1394">
        <v>236506</v>
      </c>
      <c r="F23" s="1394">
        <v>255914</v>
      </c>
      <c r="G23" s="1394">
        <v>278911</v>
      </c>
      <c r="H23" s="1394">
        <v>327857</v>
      </c>
      <c r="I23" s="1394">
        <v>337614</v>
      </c>
      <c r="J23" s="1394">
        <v>353628</v>
      </c>
      <c r="K23" s="1394">
        <v>402895</v>
      </c>
      <c r="L23" s="1394">
        <v>443763</v>
      </c>
      <c r="M23" s="1394">
        <v>465645</v>
      </c>
      <c r="N23" s="1394">
        <v>505284</v>
      </c>
      <c r="O23" s="1394">
        <v>552359</v>
      </c>
      <c r="P23" s="1394">
        <v>640866</v>
      </c>
      <c r="Q23" s="1394">
        <v>727384</v>
      </c>
      <c r="R23" s="1394">
        <v>797514</v>
      </c>
      <c r="S23" s="1394">
        <v>900909</v>
      </c>
      <c r="T23" s="1394">
        <v>1055118</v>
      </c>
      <c r="U23" s="1394">
        <v>1167836</v>
      </c>
      <c r="V23" s="1394">
        <v>1304329</v>
      </c>
      <c r="W23" s="1394">
        <v>1434070</v>
      </c>
      <c r="X23" s="1394">
        <v>1588921</v>
      </c>
      <c r="Y23" s="1394">
        <v>1968594</v>
      </c>
      <c r="Z23" s="1394">
        <v>2052962</v>
      </c>
      <c r="AA23" s="1394">
        <v>2301226</v>
      </c>
      <c r="AB23" s="1394">
        <v>2809957</v>
      </c>
      <c r="AC23" s="1394">
        <v>3058222</v>
      </c>
      <c r="AD23" s="1394">
        <v>3340077</v>
      </c>
      <c r="AE23" s="1394">
        <v>3553174</v>
      </c>
      <c r="AF23" s="1394">
        <v>3855751</v>
      </c>
      <c r="AG23" s="1394">
        <v>4171036</v>
      </c>
      <c r="AH23" s="1394">
        <v>4379769</v>
      </c>
      <c r="AI23" s="1394">
        <v>4673411</v>
      </c>
      <c r="AJ23" s="1394">
        <v>4828912</v>
      </c>
      <c r="AK23" s="1394">
        <v>5143140</v>
      </c>
      <c r="AL23" s="1394">
        <v>5564463</v>
      </c>
    </row>
    <row r="24" spans="1:38">
      <c r="A24" s="1394" t="s">
        <v>52</v>
      </c>
      <c r="B24" s="1394" t="s">
        <v>1086</v>
      </c>
      <c r="C24" s="1394">
        <v>-731</v>
      </c>
      <c r="D24" s="1394">
        <v>-11457</v>
      </c>
      <c r="E24" s="1394">
        <v>-18413</v>
      </c>
      <c r="F24" s="1394">
        <v>-17545</v>
      </c>
      <c r="G24" s="1394">
        <v>-8439</v>
      </c>
      <c r="H24" s="1394">
        <v>-1604</v>
      </c>
      <c r="I24" s="1394">
        <v>9565</v>
      </c>
      <c r="J24" s="1394">
        <v>28153</v>
      </c>
      <c r="K24" s="1394">
        <v>27626</v>
      </c>
      <c r="L24" s="1394">
        <v>24081</v>
      </c>
      <c r="M24" s="1394">
        <v>36418</v>
      </c>
      <c r="N24" s="1394">
        <v>59000</v>
      </c>
      <c r="O24" s="1394">
        <v>60534</v>
      </c>
      <c r="P24" s="1394">
        <v>58149</v>
      </c>
      <c r="Q24" s="1394">
        <v>67810</v>
      </c>
      <c r="R24" s="1394">
        <v>73801</v>
      </c>
      <c r="S24" s="1394">
        <v>99794</v>
      </c>
      <c r="T24" s="1394">
        <v>160842</v>
      </c>
      <c r="U24" s="1394">
        <v>148411</v>
      </c>
      <c r="V24" s="1394">
        <v>156023</v>
      </c>
      <c r="W24" s="1394">
        <v>182478</v>
      </c>
      <c r="X24" s="1394">
        <v>180692</v>
      </c>
      <c r="Y24" s="1394">
        <v>192251</v>
      </c>
      <c r="Z24" s="1394">
        <v>188694</v>
      </c>
      <c r="AA24" s="1394">
        <v>176042</v>
      </c>
      <c r="AB24" s="1394">
        <v>184023</v>
      </c>
      <c r="AC24" s="1394">
        <v>174271</v>
      </c>
      <c r="AD24" s="1394">
        <v>224943</v>
      </c>
      <c r="AE24" s="1394">
        <v>188737</v>
      </c>
      <c r="AF24" s="1394">
        <v>194275</v>
      </c>
      <c r="AG24" s="1394">
        <v>238978</v>
      </c>
      <c r="AH24" s="1394">
        <v>199944</v>
      </c>
      <c r="AI24" s="1394">
        <v>236654</v>
      </c>
      <c r="AJ24" s="1394">
        <v>219861</v>
      </c>
      <c r="AK24" s="1394">
        <v>189085</v>
      </c>
      <c r="AL24" s="1394">
        <v>175893</v>
      </c>
    </row>
    <row r="25" spans="1:38">
      <c r="A25" s="1394" t="s">
        <v>32</v>
      </c>
      <c r="B25" s="1394" t="s">
        <v>1101</v>
      </c>
      <c r="C25" s="1394" t="s">
        <v>32</v>
      </c>
      <c r="D25" s="1394" t="s">
        <v>32</v>
      </c>
      <c r="E25" s="1394" t="s">
        <v>32</v>
      </c>
      <c r="F25" s="1394" t="s">
        <v>32</v>
      </c>
      <c r="G25" s="1394" t="s">
        <v>32</v>
      </c>
      <c r="H25" s="1394" t="s">
        <v>32</v>
      </c>
      <c r="I25" s="1394" t="s">
        <v>32</v>
      </c>
      <c r="J25" s="1394" t="s">
        <v>32</v>
      </c>
      <c r="K25" s="1394" t="s">
        <v>32</v>
      </c>
      <c r="L25" s="1394" t="s">
        <v>32</v>
      </c>
      <c r="M25" s="1394" t="s">
        <v>32</v>
      </c>
      <c r="N25" s="1394" t="s">
        <v>32</v>
      </c>
      <c r="O25" s="1394" t="s">
        <v>32</v>
      </c>
      <c r="P25" s="1394" t="s">
        <v>32</v>
      </c>
      <c r="Q25" s="1394" t="s">
        <v>32</v>
      </c>
      <c r="R25" s="1394" t="s">
        <v>32</v>
      </c>
      <c r="S25" s="1394" t="s">
        <v>32</v>
      </c>
      <c r="T25" s="1394" t="s">
        <v>32</v>
      </c>
      <c r="U25" s="1394" t="s">
        <v>32</v>
      </c>
      <c r="V25" s="1394" t="s">
        <v>32</v>
      </c>
      <c r="W25" s="1394" t="s">
        <v>32</v>
      </c>
      <c r="X25" s="1394" t="s">
        <v>32</v>
      </c>
      <c r="Y25" s="1394" t="s">
        <v>32</v>
      </c>
      <c r="Z25" s="1394" t="s">
        <v>32</v>
      </c>
      <c r="AA25" s="1394" t="s">
        <v>32</v>
      </c>
      <c r="AB25" s="1394" t="s">
        <v>32</v>
      </c>
      <c r="AC25" s="1394" t="s">
        <v>32</v>
      </c>
      <c r="AD25" s="1394" t="s">
        <v>32</v>
      </c>
      <c r="AE25" s="1394" t="s">
        <v>32</v>
      </c>
      <c r="AF25" s="1394" t="s">
        <v>32</v>
      </c>
      <c r="AG25" s="1394" t="s">
        <v>32</v>
      </c>
      <c r="AH25" s="1394" t="s">
        <v>32</v>
      </c>
      <c r="AI25" s="1394" t="s">
        <v>32</v>
      </c>
      <c r="AJ25" s="1394" t="s">
        <v>32</v>
      </c>
      <c r="AK25" s="1394" t="s">
        <v>32</v>
      </c>
      <c r="AL25" s="1394" t="s">
        <v>32</v>
      </c>
    </row>
    <row r="26" spans="1:38">
      <c r="A26" s="1394" t="s">
        <v>51</v>
      </c>
      <c r="B26" s="269" t="s">
        <v>1100</v>
      </c>
      <c r="C26" s="1394">
        <v>199771</v>
      </c>
      <c r="D26" s="1394">
        <v>230300</v>
      </c>
      <c r="E26" s="1394">
        <v>259723</v>
      </c>
      <c r="F26" s="1394">
        <v>309338</v>
      </c>
      <c r="G26" s="1394">
        <v>358030</v>
      </c>
      <c r="H26" s="1394">
        <v>407706</v>
      </c>
      <c r="I26" s="1394">
        <v>482015</v>
      </c>
      <c r="J26" s="1394">
        <v>632239</v>
      </c>
      <c r="K26" s="1394">
        <v>661170</v>
      </c>
      <c r="L26" s="1394">
        <v>804182</v>
      </c>
      <c r="M26" s="1394">
        <v>840912</v>
      </c>
      <c r="N26" s="1394">
        <v>911710</v>
      </c>
      <c r="O26" s="1394">
        <v>877354</v>
      </c>
      <c r="P26" s="1394">
        <v>1135542</v>
      </c>
      <c r="Q26" s="1394">
        <v>1370076</v>
      </c>
      <c r="R26" s="1394">
        <v>1794795</v>
      </c>
      <c r="S26" s="1394">
        <v>2368530</v>
      </c>
      <c r="T26" s="1394">
        <v>3009958</v>
      </c>
      <c r="U26" s="1394">
        <v>3023792</v>
      </c>
      <c r="V26" s="1394">
        <v>2799823</v>
      </c>
      <c r="W26" s="1394">
        <v>2282370</v>
      </c>
      <c r="X26" s="1394">
        <v>2763061</v>
      </c>
      <c r="Y26" s="1394">
        <v>3101450</v>
      </c>
      <c r="Z26" s="1394">
        <v>3227144</v>
      </c>
      <c r="AA26" s="1394">
        <v>3752602</v>
      </c>
      <c r="AB26" s="1394">
        <v>4134239</v>
      </c>
      <c r="AC26" s="1394">
        <v>3091240</v>
      </c>
      <c r="AD26" s="1394">
        <v>3618630</v>
      </c>
      <c r="AE26" s="1394">
        <v>4099097</v>
      </c>
      <c r="AF26" s="1394">
        <v>4199225</v>
      </c>
      <c r="AG26" s="1394">
        <v>4662434</v>
      </c>
      <c r="AH26" s="1394">
        <v>5814935</v>
      </c>
      <c r="AI26" s="1394">
        <v>6369524</v>
      </c>
      <c r="AJ26" s="1394">
        <v>6700834</v>
      </c>
      <c r="AK26" s="1394">
        <v>7569251</v>
      </c>
      <c r="AL26" s="1394">
        <v>8871379</v>
      </c>
    </row>
    <row r="27" spans="1:38">
      <c r="A27" s="1394" t="s">
        <v>49</v>
      </c>
      <c r="B27" s="1394" t="s">
        <v>225</v>
      </c>
      <c r="C27" s="1394">
        <v>99192</v>
      </c>
      <c r="D27" s="1394">
        <v>118923</v>
      </c>
      <c r="E27" s="1394">
        <v>130564</v>
      </c>
      <c r="F27" s="1394">
        <v>172997</v>
      </c>
      <c r="G27" s="1394">
        <v>214669</v>
      </c>
      <c r="H27" s="1394">
        <v>240520</v>
      </c>
      <c r="I27" s="1394">
        <v>304288</v>
      </c>
      <c r="J27" s="1394">
        <v>422868</v>
      </c>
      <c r="K27" s="1394">
        <v>421396</v>
      </c>
      <c r="L27" s="1394">
        <v>555259</v>
      </c>
      <c r="M27" s="1394">
        <v>580997</v>
      </c>
      <c r="N27" s="1394">
        <v>624467</v>
      </c>
      <c r="O27" s="1394">
        <v>623868</v>
      </c>
      <c r="P27" s="1394">
        <v>870280</v>
      </c>
      <c r="Q27" s="1394">
        <v>1079410</v>
      </c>
      <c r="R27" s="1394">
        <v>1457942</v>
      </c>
      <c r="S27" s="1394">
        <v>1970457</v>
      </c>
      <c r="T27" s="1394">
        <v>2525861</v>
      </c>
      <c r="U27" s="1394">
        <v>2449008</v>
      </c>
      <c r="V27" s="1394">
        <v>2166097</v>
      </c>
      <c r="W27" s="1394">
        <v>1658552</v>
      </c>
      <c r="X27" s="1394">
        <v>2136541</v>
      </c>
      <c r="Y27" s="1394">
        <v>2398717</v>
      </c>
      <c r="Z27" s="1394">
        <v>2483696</v>
      </c>
      <c r="AA27" s="1394">
        <v>2895531</v>
      </c>
      <c r="AB27" s="1394">
        <v>3097513</v>
      </c>
      <c r="AC27" s="1394">
        <v>2000508</v>
      </c>
      <c r="AD27" s="1394">
        <v>2513901</v>
      </c>
      <c r="AE27" s="1394">
        <v>2927753</v>
      </c>
      <c r="AF27" s="1394">
        <v>2968362</v>
      </c>
      <c r="AG27" s="1394">
        <v>3415843</v>
      </c>
      <c r="AH27" s="1394">
        <v>4443216</v>
      </c>
      <c r="AI27" s="1394">
        <v>4895752</v>
      </c>
      <c r="AJ27" s="1394">
        <v>5076420</v>
      </c>
      <c r="AK27" s="1394">
        <v>5783500</v>
      </c>
      <c r="AL27" s="1394">
        <v>7055518</v>
      </c>
    </row>
    <row r="28" spans="1:38">
      <c r="A28" s="1394" t="s">
        <v>47</v>
      </c>
      <c r="B28" s="1394" t="s">
        <v>1086</v>
      </c>
      <c r="C28" s="1394">
        <v>100579</v>
      </c>
      <c r="D28" s="1394">
        <v>111377</v>
      </c>
      <c r="E28" s="1394">
        <v>129159</v>
      </c>
      <c r="F28" s="1394">
        <v>136341</v>
      </c>
      <c r="G28" s="1394">
        <v>143361</v>
      </c>
      <c r="H28" s="1394">
        <v>167186</v>
      </c>
      <c r="I28" s="1394">
        <v>177727</v>
      </c>
      <c r="J28" s="1394">
        <v>209371</v>
      </c>
      <c r="K28" s="1394">
        <v>239774</v>
      </c>
      <c r="L28" s="1394">
        <v>248923</v>
      </c>
      <c r="M28" s="1394">
        <v>259915</v>
      </c>
      <c r="N28" s="1394">
        <v>287243</v>
      </c>
      <c r="O28" s="1394">
        <v>253486</v>
      </c>
      <c r="P28" s="1394">
        <v>265262</v>
      </c>
      <c r="Q28" s="1394">
        <v>290666</v>
      </c>
      <c r="R28" s="1394">
        <v>336853</v>
      </c>
      <c r="S28" s="1394">
        <v>398073</v>
      </c>
      <c r="T28" s="1394">
        <v>484097</v>
      </c>
      <c r="U28" s="1394">
        <v>574784</v>
      </c>
      <c r="V28" s="1394">
        <v>633726</v>
      </c>
      <c r="W28" s="1394">
        <v>623818</v>
      </c>
      <c r="X28" s="1394">
        <v>626520</v>
      </c>
      <c r="Y28" s="1394">
        <v>702733</v>
      </c>
      <c r="Z28" s="1394">
        <v>743448</v>
      </c>
      <c r="AA28" s="1394">
        <v>857071</v>
      </c>
      <c r="AB28" s="1394">
        <v>1036726</v>
      </c>
      <c r="AC28" s="1394">
        <v>1090732</v>
      </c>
      <c r="AD28" s="1394">
        <v>1104729</v>
      </c>
      <c r="AE28" s="1394">
        <v>1171344</v>
      </c>
      <c r="AF28" s="1394">
        <v>1230863</v>
      </c>
      <c r="AG28" s="1394">
        <v>1246591</v>
      </c>
      <c r="AH28" s="1394">
        <v>1371719</v>
      </c>
      <c r="AI28" s="1394">
        <v>1473772</v>
      </c>
      <c r="AJ28" s="1394">
        <v>1624414</v>
      </c>
      <c r="AK28" s="1394">
        <v>1785751</v>
      </c>
      <c r="AL28" s="1394">
        <v>1815861</v>
      </c>
    </row>
    <row r="29" spans="1:38">
      <c r="A29" s="1394" t="s">
        <v>45</v>
      </c>
      <c r="B29" s="1394" t="s">
        <v>1094</v>
      </c>
      <c r="C29" s="1394">
        <v>39941</v>
      </c>
      <c r="D29" s="1394">
        <v>45163</v>
      </c>
      <c r="E29" s="1394">
        <v>53821</v>
      </c>
      <c r="F29" s="1394">
        <v>62763</v>
      </c>
      <c r="G29" s="1394">
        <v>76174</v>
      </c>
      <c r="H29" s="1394">
        <v>101545</v>
      </c>
      <c r="I29" s="1394">
        <v>119323</v>
      </c>
      <c r="J29" s="1394">
        <v>145440</v>
      </c>
      <c r="K29" s="1394">
        <v>165945</v>
      </c>
      <c r="L29" s="1394">
        <v>171435</v>
      </c>
      <c r="M29" s="1394">
        <v>183585</v>
      </c>
      <c r="N29" s="1394">
        <v>207337</v>
      </c>
      <c r="O29" s="1394">
        <v>173582</v>
      </c>
      <c r="P29" s="1394">
        <v>176246</v>
      </c>
      <c r="Q29" s="1394">
        <v>197357</v>
      </c>
      <c r="R29" s="1394">
        <v>232547</v>
      </c>
      <c r="S29" s="1394">
        <v>276512</v>
      </c>
      <c r="T29" s="1394">
        <v>342977</v>
      </c>
      <c r="U29" s="1394">
        <v>426767</v>
      </c>
      <c r="V29" s="1394">
        <v>479415</v>
      </c>
      <c r="W29" s="1394">
        <v>456567</v>
      </c>
      <c r="X29" s="1394">
        <v>435806</v>
      </c>
      <c r="Y29" s="1394">
        <v>461363</v>
      </c>
      <c r="Z29" s="1394">
        <v>491548</v>
      </c>
      <c r="AA29" s="1394">
        <v>570072</v>
      </c>
      <c r="AB29" s="1394">
        <v>710647</v>
      </c>
      <c r="AC29" s="1394">
        <v>760799</v>
      </c>
      <c r="AD29" s="1394">
        <v>757650</v>
      </c>
      <c r="AE29" s="1394">
        <v>773214</v>
      </c>
      <c r="AF29" s="1394">
        <v>806054</v>
      </c>
      <c r="AG29" s="1394">
        <v>826131</v>
      </c>
      <c r="AH29" s="1394">
        <v>873515</v>
      </c>
      <c r="AI29" s="1394">
        <v>945814</v>
      </c>
      <c r="AJ29" s="1394">
        <v>1041451</v>
      </c>
      <c r="AK29" s="1394">
        <v>1177653</v>
      </c>
      <c r="AL29" s="1394">
        <v>1169196</v>
      </c>
    </row>
    <row r="30" spans="1:38">
      <c r="A30" s="1394" t="s">
        <v>43</v>
      </c>
      <c r="B30" s="1394" t="s">
        <v>1099</v>
      </c>
      <c r="C30" s="1394">
        <v>60638</v>
      </c>
      <c r="D30" s="1394">
        <v>66214</v>
      </c>
      <c r="E30" s="1394">
        <v>75338</v>
      </c>
      <c r="F30" s="1394">
        <v>73578</v>
      </c>
      <c r="G30" s="1394">
        <v>67187</v>
      </c>
      <c r="H30" s="1394">
        <v>65641</v>
      </c>
      <c r="I30" s="1394">
        <v>58404</v>
      </c>
      <c r="J30" s="1394">
        <v>63931</v>
      </c>
      <c r="K30" s="1394">
        <v>73829</v>
      </c>
      <c r="L30" s="1394">
        <v>77488</v>
      </c>
      <c r="M30" s="1394">
        <v>76330</v>
      </c>
      <c r="N30" s="1394">
        <v>79906</v>
      </c>
      <c r="O30" s="1394">
        <v>79904</v>
      </c>
      <c r="P30" s="1394">
        <v>89016</v>
      </c>
      <c r="Q30" s="1394">
        <v>93309</v>
      </c>
      <c r="R30" s="1394">
        <v>104305</v>
      </c>
      <c r="S30" s="1394">
        <v>121561</v>
      </c>
      <c r="T30" s="1394">
        <v>141120</v>
      </c>
      <c r="U30" s="1394">
        <v>148017</v>
      </c>
      <c r="V30" s="1394">
        <v>154311</v>
      </c>
      <c r="W30" s="1394">
        <v>167251</v>
      </c>
      <c r="X30" s="1394">
        <v>190714</v>
      </c>
      <c r="Y30" s="1394">
        <v>241371</v>
      </c>
      <c r="Z30" s="1394">
        <v>251900</v>
      </c>
      <c r="AA30" s="1394">
        <v>286999</v>
      </c>
      <c r="AB30" s="1394">
        <v>326079</v>
      </c>
      <c r="AC30" s="1394">
        <v>329933</v>
      </c>
      <c r="AD30" s="1394">
        <v>347079</v>
      </c>
      <c r="AE30" s="1394">
        <v>398130</v>
      </c>
      <c r="AF30" s="1394">
        <v>424809</v>
      </c>
      <c r="AG30" s="1394">
        <v>420459</v>
      </c>
      <c r="AH30" s="1394">
        <v>498204</v>
      </c>
      <c r="AI30" s="1394">
        <v>527958</v>
      </c>
      <c r="AJ30" s="1394">
        <v>582963</v>
      </c>
      <c r="AK30" s="1394">
        <v>608098</v>
      </c>
      <c r="AL30" s="1394">
        <v>646665</v>
      </c>
    </row>
    <row r="31" spans="1:38">
      <c r="A31" s="1394" t="s">
        <v>42</v>
      </c>
      <c r="B31" s="269" t="s">
        <v>1059</v>
      </c>
      <c r="C31" s="1394">
        <v>69343</v>
      </c>
      <c r="D31" s="1394">
        <v>76982</v>
      </c>
      <c r="E31" s="1394">
        <v>87346</v>
      </c>
      <c r="F31" s="1394">
        <v>89342</v>
      </c>
      <c r="G31" s="1394">
        <v>85064</v>
      </c>
      <c r="H31" s="1394">
        <v>91505</v>
      </c>
      <c r="I31" s="1394">
        <v>90485</v>
      </c>
      <c r="J31" s="1394">
        <v>97505</v>
      </c>
      <c r="K31" s="1394">
        <v>121569</v>
      </c>
      <c r="L31" s="1394">
        <v>135045</v>
      </c>
      <c r="M31" s="1394">
        <v>144734</v>
      </c>
      <c r="N31" s="1394">
        <v>143312</v>
      </c>
      <c r="O31" s="1394">
        <v>119502</v>
      </c>
      <c r="P31" s="1394">
        <v>129816</v>
      </c>
      <c r="Q31" s="1394">
        <v>140958</v>
      </c>
      <c r="R31" s="1394">
        <v>157386</v>
      </c>
      <c r="S31" s="1394">
        <v>189495</v>
      </c>
      <c r="T31" s="1394">
        <v>211765</v>
      </c>
      <c r="U31" s="1394">
        <v>240556</v>
      </c>
      <c r="V31" s="1394">
        <v>239529</v>
      </c>
      <c r="W31" s="1394">
        <v>260553</v>
      </c>
      <c r="X31" s="1394">
        <v>308185</v>
      </c>
      <c r="Y31" s="1394">
        <v>384067</v>
      </c>
      <c r="Z31" s="1394">
        <v>409174</v>
      </c>
      <c r="AA31" s="1394">
        <v>459549</v>
      </c>
      <c r="AB31" s="1394">
        <v>582932</v>
      </c>
      <c r="AC31" s="1394">
        <v>604793</v>
      </c>
      <c r="AD31" s="1394">
        <v>623170</v>
      </c>
      <c r="AE31" s="1394">
        <v>676804</v>
      </c>
      <c r="AF31" s="1394">
        <v>700499</v>
      </c>
      <c r="AG31" s="1394">
        <v>746629</v>
      </c>
      <c r="AH31" s="1394">
        <v>866517</v>
      </c>
      <c r="AI31" s="1394">
        <v>912637</v>
      </c>
      <c r="AJ31" s="1394">
        <v>991175</v>
      </c>
      <c r="AK31" s="1394">
        <v>1013629</v>
      </c>
      <c r="AL31" s="1394">
        <v>1064347</v>
      </c>
    </row>
    <row r="32" spans="1:38">
      <c r="A32" s="1394" t="s">
        <v>41</v>
      </c>
      <c r="B32" s="1394" t="s">
        <v>1098</v>
      </c>
      <c r="C32" s="1394">
        <v>60638</v>
      </c>
      <c r="D32" s="1394">
        <v>66214</v>
      </c>
      <c r="E32" s="1394">
        <v>75338</v>
      </c>
      <c r="F32" s="1394">
        <v>73578</v>
      </c>
      <c r="G32" s="1394">
        <v>67187</v>
      </c>
      <c r="H32" s="1394">
        <v>65641</v>
      </c>
      <c r="I32" s="1394">
        <v>58404</v>
      </c>
      <c r="J32" s="1394">
        <v>63931</v>
      </c>
      <c r="K32" s="1394">
        <v>73829</v>
      </c>
      <c r="L32" s="1394">
        <v>77488</v>
      </c>
      <c r="M32" s="1394">
        <v>76330</v>
      </c>
      <c r="N32" s="1394">
        <v>79906</v>
      </c>
      <c r="O32" s="1394">
        <v>79904</v>
      </c>
      <c r="P32" s="1394">
        <v>89016</v>
      </c>
      <c r="Q32" s="1394">
        <v>93309</v>
      </c>
      <c r="R32" s="1394">
        <v>104305</v>
      </c>
      <c r="S32" s="1394">
        <v>121561</v>
      </c>
      <c r="T32" s="1394">
        <v>141120</v>
      </c>
      <c r="U32" s="1394">
        <v>148017</v>
      </c>
      <c r="V32" s="1394">
        <v>154311</v>
      </c>
      <c r="W32" s="1394">
        <v>167251</v>
      </c>
      <c r="X32" s="1394">
        <v>190714</v>
      </c>
      <c r="Y32" s="1394">
        <v>241371</v>
      </c>
      <c r="Z32" s="1394">
        <v>251900</v>
      </c>
      <c r="AA32" s="1394">
        <v>286999</v>
      </c>
      <c r="AB32" s="1394">
        <v>326079</v>
      </c>
      <c r="AC32" s="1394">
        <v>329933</v>
      </c>
      <c r="AD32" s="1394">
        <v>347079</v>
      </c>
      <c r="AE32" s="1394">
        <v>398130</v>
      </c>
      <c r="AF32" s="1394">
        <v>424809</v>
      </c>
      <c r="AG32" s="1394">
        <v>420459</v>
      </c>
      <c r="AH32" s="1394">
        <v>498204</v>
      </c>
      <c r="AI32" s="1394">
        <v>527958</v>
      </c>
      <c r="AJ32" s="1394">
        <v>582963</v>
      </c>
      <c r="AK32" s="1394">
        <v>608098</v>
      </c>
      <c r="AL32" s="1394">
        <v>646665</v>
      </c>
    </row>
    <row r="33" spans="1:38">
      <c r="A33" s="1394" t="s">
        <v>40</v>
      </c>
      <c r="B33" s="1394" t="s">
        <v>1097</v>
      </c>
      <c r="C33" s="1394">
        <v>8705</v>
      </c>
      <c r="D33" s="1394">
        <v>10768</v>
      </c>
      <c r="E33" s="1394">
        <v>12008</v>
      </c>
      <c r="F33" s="1394">
        <v>15764</v>
      </c>
      <c r="G33" s="1394">
        <v>17877</v>
      </c>
      <c r="H33" s="1394">
        <v>25864</v>
      </c>
      <c r="I33" s="1394">
        <v>32081</v>
      </c>
      <c r="J33" s="1394">
        <v>33574</v>
      </c>
      <c r="K33" s="1394">
        <v>47740</v>
      </c>
      <c r="L33" s="1394">
        <v>57557</v>
      </c>
      <c r="M33" s="1394">
        <v>68404</v>
      </c>
      <c r="N33" s="1394">
        <v>63406</v>
      </c>
      <c r="O33" s="1394">
        <v>39597</v>
      </c>
      <c r="P33" s="1394">
        <v>40800</v>
      </c>
      <c r="Q33" s="1394">
        <v>47649</v>
      </c>
      <c r="R33" s="1394">
        <v>53081</v>
      </c>
      <c r="S33" s="1394">
        <v>67934</v>
      </c>
      <c r="T33" s="1394">
        <v>70645</v>
      </c>
      <c r="U33" s="1394">
        <v>92539</v>
      </c>
      <c r="V33" s="1394">
        <v>85218</v>
      </c>
      <c r="W33" s="1394">
        <v>93302</v>
      </c>
      <c r="X33" s="1394">
        <v>117471</v>
      </c>
      <c r="Y33" s="1394">
        <v>142696</v>
      </c>
      <c r="Z33" s="1394">
        <v>157274</v>
      </c>
      <c r="AA33" s="1394">
        <v>172550</v>
      </c>
      <c r="AB33" s="1394">
        <v>256853</v>
      </c>
      <c r="AC33" s="1394">
        <v>274861</v>
      </c>
      <c r="AD33" s="1394">
        <v>276091</v>
      </c>
      <c r="AE33" s="1394">
        <v>278674</v>
      </c>
      <c r="AF33" s="1394">
        <v>275690</v>
      </c>
      <c r="AG33" s="1394">
        <v>326170</v>
      </c>
      <c r="AH33" s="1394">
        <v>368313</v>
      </c>
      <c r="AI33" s="1394">
        <v>384678</v>
      </c>
      <c r="AJ33" s="1394">
        <v>408213</v>
      </c>
      <c r="AK33" s="1394">
        <v>405531</v>
      </c>
      <c r="AL33" s="1394">
        <v>417682</v>
      </c>
    </row>
    <row r="34" spans="1:38">
      <c r="A34" s="1394" t="s">
        <v>37</v>
      </c>
      <c r="B34" s="269" t="s">
        <v>1096</v>
      </c>
      <c r="C34" s="1394">
        <v>130428</v>
      </c>
      <c r="D34" s="1394">
        <v>153318</v>
      </c>
      <c r="E34" s="1394">
        <v>172377</v>
      </c>
      <c r="F34" s="1394">
        <v>219996</v>
      </c>
      <c r="G34" s="1394">
        <v>272966</v>
      </c>
      <c r="H34" s="1394">
        <v>316200</v>
      </c>
      <c r="I34" s="1394">
        <v>391530</v>
      </c>
      <c r="J34" s="1394">
        <v>534734</v>
      </c>
      <c r="K34" s="1394">
        <v>539601</v>
      </c>
      <c r="L34" s="1394">
        <v>669137</v>
      </c>
      <c r="M34" s="1394">
        <v>696177</v>
      </c>
      <c r="N34" s="1394">
        <v>768398</v>
      </c>
      <c r="O34" s="1394">
        <v>757853</v>
      </c>
      <c r="P34" s="1394">
        <v>1005726</v>
      </c>
      <c r="Q34" s="1394">
        <v>1229118</v>
      </c>
      <c r="R34" s="1394">
        <v>1637408</v>
      </c>
      <c r="S34" s="1394">
        <v>2179035</v>
      </c>
      <c r="T34" s="1394">
        <v>2798193</v>
      </c>
      <c r="U34" s="1394">
        <v>2783235</v>
      </c>
      <c r="V34" s="1394">
        <v>2560294</v>
      </c>
      <c r="W34" s="1394">
        <v>2021817</v>
      </c>
      <c r="X34" s="1394">
        <v>2454877</v>
      </c>
      <c r="Y34" s="1394">
        <v>2717383</v>
      </c>
      <c r="Z34" s="1394">
        <v>2817970</v>
      </c>
      <c r="AA34" s="1394">
        <v>3293053</v>
      </c>
      <c r="AB34" s="1394">
        <v>3551307</v>
      </c>
      <c r="AC34" s="1394">
        <v>2486446</v>
      </c>
      <c r="AD34" s="1394">
        <v>2995459</v>
      </c>
      <c r="AE34" s="1394">
        <v>3422293</v>
      </c>
      <c r="AF34" s="1394">
        <v>3498726</v>
      </c>
      <c r="AG34" s="1394">
        <v>3915805</v>
      </c>
      <c r="AH34" s="1394">
        <v>4948418</v>
      </c>
      <c r="AI34" s="1394">
        <v>5456888</v>
      </c>
      <c r="AJ34" s="1394">
        <v>5709658</v>
      </c>
      <c r="AK34" s="1394">
        <v>6555622</v>
      </c>
      <c r="AL34" s="1394">
        <v>7807032</v>
      </c>
    </row>
    <row r="35" spans="1:38">
      <c r="A35" s="1394" t="s">
        <v>36</v>
      </c>
      <c r="B35" s="1394" t="s">
        <v>225</v>
      </c>
      <c r="C35" s="1394">
        <v>99192</v>
      </c>
      <c r="D35" s="1394">
        <v>118923</v>
      </c>
      <c r="E35" s="1394">
        <v>130564</v>
      </c>
      <c r="F35" s="1394">
        <v>172997</v>
      </c>
      <c r="G35" s="1394">
        <v>214669</v>
      </c>
      <c r="H35" s="1394">
        <v>240520</v>
      </c>
      <c r="I35" s="1394">
        <v>304288</v>
      </c>
      <c r="J35" s="1394">
        <v>422868</v>
      </c>
      <c r="K35" s="1394">
        <v>421396</v>
      </c>
      <c r="L35" s="1394">
        <v>555259</v>
      </c>
      <c r="M35" s="1394">
        <v>580997</v>
      </c>
      <c r="N35" s="1394">
        <v>624468</v>
      </c>
      <c r="O35" s="1394">
        <v>623868</v>
      </c>
      <c r="P35" s="1394">
        <v>870280</v>
      </c>
      <c r="Q35" s="1394">
        <v>1079410</v>
      </c>
      <c r="R35" s="1394">
        <v>1457942</v>
      </c>
      <c r="S35" s="1394">
        <v>1970457</v>
      </c>
      <c r="T35" s="1394">
        <v>2525861</v>
      </c>
      <c r="U35" s="1394">
        <v>2449008</v>
      </c>
      <c r="V35" s="1394">
        <v>2166097</v>
      </c>
      <c r="W35" s="1394">
        <v>1658552</v>
      </c>
      <c r="X35" s="1394">
        <v>2136541</v>
      </c>
      <c r="Y35" s="1394">
        <v>2398717</v>
      </c>
      <c r="Z35" s="1394">
        <v>2483696</v>
      </c>
      <c r="AA35" s="1394">
        <v>2895531</v>
      </c>
      <c r="AB35" s="1394">
        <v>3097513</v>
      </c>
      <c r="AC35" s="1394">
        <v>2000508</v>
      </c>
      <c r="AD35" s="1394">
        <v>2513901</v>
      </c>
      <c r="AE35" s="1394">
        <v>2927753</v>
      </c>
      <c r="AF35" s="1394">
        <v>2968362</v>
      </c>
      <c r="AG35" s="1394">
        <v>3415843</v>
      </c>
      <c r="AH35" s="1394">
        <v>4443216</v>
      </c>
      <c r="AI35" s="1394">
        <v>4895752</v>
      </c>
      <c r="AJ35" s="1394">
        <v>5076420</v>
      </c>
      <c r="AK35" s="1394">
        <v>5783500</v>
      </c>
      <c r="AL35" s="1394">
        <v>7055518</v>
      </c>
    </row>
    <row r="36" spans="1:38">
      <c r="A36" s="1394" t="s">
        <v>35</v>
      </c>
      <c r="B36" s="1394" t="s">
        <v>1095</v>
      </c>
      <c r="C36" s="1394">
        <v>31236</v>
      </c>
      <c r="D36" s="1394">
        <v>34395</v>
      </c>
      <c r="E36" s="1394">
        <v>41813</v>
      </c>
      <c r="F36" s="1394">
        <v>46999</v>
      </c>
      <c r="G36" s="1394">
        <v>58297</v>
      </c>
      <c r="H36" s="1394">
        <v>75680</v>
      </c>
      <c r="I36" s="1394">
        <v>87242</v>
      </c>
      <c r="J36" s="1394">
        <v>111866</v>
      </c>
      <c r="K36" s="1394">
        <v>118205</v>
      </c>
      <c r="L36" s="1394">
        <v>113878</v>
      </c>
      <c r="M36" s="1394">
        <v>115181</v>
      </c>
      <c r="N36" s="1394">
        <v>143931</v>
      </c>
      <c r="O36" s="1394">
        <v>133985</v>
      </c>
      <c r="P36" s="1394">
        <v>135446</v>
      </c>
      <c r="Q36" s="1394">
        <v>149708</v>
      </c>
      <c r="R36" s="1394">
        <v>179466</v>
      </c>
      <c r="S36" s="1394">
        <v>208578</v>
      </c>
      <c r="T36" s="1394">
        <v>272332</v>
      </c>
      <c r="U36" s="1394">
        <v>334227</v>
      </c>
      <c r="V36" s="1394">
        <v>394197</v>
      </c>
      <c r="W36" s="1394">
        <v>363265</v>
      </c>
      <c r="X36" s="1394">
        <v>318336</v>
      </c>
      <c r="Y36" s="1394">
        <v>318666</v>
      </c>
      <c r="Z36" s="1394">
        <v>334274</v>
      </c>
      <c r="AA36" s="1394">
        <v>397522</v>
      </c>
      <c r="AB36" s="1394">
        <v>453794</v>
      </c>
      <c r="AC36" s="1394">
        <v>485938</v>
      </c>
      <c r="AD36" s="1394">
        <v>481558</v>
      </c>
      <c r="AE36" s="1394">
        <v>494540</v>
      </c>
      <c r="AF36" s="1394">
        <v>530364</v>
      </c>
      <c r="AG36" s="1394">
        <v>499962</v>
      </c>
      <c r="AH36" s="1394">
        <v>505202</v>
      </c>
      <c r="AI36" s="1394">
        <v>561136</v>
      </c>
      <c r="AJ36" s="1394">
        <v>633238</v>
      </c>
      <c r="AK36" s="1394">
        <v>772122</v>
      </c>
      <c r="AL36" s="1394">
        <v>751514</v>
      </c>
    </row>
    <row r="37" spans="1:38">
      <c r="A37" s="1394" t="s">
        <v>34</v>
      </c>
      <c r="B37" s="1394" t="s">
        <v>1094</v>
      </c>
      <c r="C37" s="1394">
        <v>39941</v>
      </c>
      <c r="D37" s="1394">
        <v>45163</v>
      </c>
      <c r="E37" s="1394">
        <v>53821</v>
      </c>
      <c r="F37" s="1394">
        <v>62763</v>
      </c>
      <c r="G37" s="1394">
        <v>76174</v>
      </c>
      <c r="H37" s="1394">
        <v>101545</v>
      </c>
      <c r="I37" s="1394">
        <v>119323</v>
      </c>
      <c r="J37" s="1394">
        <v>145440</v>
      </c>
      <c r="K37" s="1394">
        <v>165945</v>
      </c>
      <c r="L37" s="1394">
        <v>171435</v>
      </c>
      <c r="M37" s="1394">
        <v>183585</v>
      </c>
      <c r="N37" s="1394">
        <v>207337</v>
      </c>
      <c r="O37" s="1394">
        <v>173582</v>
      </c>
      <c r="P37" s="1394">
        <v>176246</v>
      </c>
      <c r="Q37" s="1394">
        <v>197357</v>
      </c>
      <c r="R37" s="1394">
        <v>232547</v>
      </c>
      <c r="S37" s="1394">
        <v>276512</v>
      </c>
      <c r="T37" s="1394">
        <v>342977</v>
      </c>
      <c r="U37" s="1394">
        <v>426767</v>
      </c>
      <c r="V37" s="1394">
        <v>479415</v>
      </c>
      <c r="W37" s="1394">
        <v>456567</v>
      </c>
      <c r="X37" s="1394">
        <v>435806</v>
      </c>
      <c r="Y37" s="1394">
        <v>461363</v>
      </c>
      <c r="Z37" s="1394">
        <v>491548</v>
      </c>
      <c r="AA37" s="1394">
        <v>570072</v>
      </c>
      <c r="AB37" s="1394">
        <v>710647</v>
      </c>
      <c r="AC37" s="1394">
        <v>760799</v>
      </c>
      <c r="AD37" s="1394">
        <v>757650</v>
      </c>
      <c r="AE37" s="1394">
        <v>773214</v>
      </c>
      <c r="AF37" s="1394">
        <v>806054</v>
      </c>
      <c r="AG37" s="1394">
        <v>826131</v>
      </c>
      <c r="AH37" s="1394">
        <v>873515</v>
      </c>
      <c r="AI37" s="1394">
        <v>945814</v>
      </c>
      <c r="AJ37" s="1394">
        <v>1041451</v>
      </c>
      <c r="AK37" s="1394">
        <v>1177653</v>
      </c>
      <c r="AL37" s="1394">
        <v>1169196</v>
      </c>
    </row>
    <row r="38" spans="1:38">
      <c r="A38" s="1394" t="s">
        <v>30</v>
      </c>
      <c r="B38" s="1394" t="s">
        <v>1093</v>
      </c>
      <c r="C38" s="1394">
        <v>8705</v>
      </c>
      <c r="D38" s="1394">
        <v>10768</v>
      </c>
      <c r="E38" s="1394">
        <v>12008</v>
      </c>
      <c r="F38" s="1394">
        <v>15764</v>
      </c>
      <c r="G38" s="1394">
        <v>17877</v>
      </c>
      <c r="H38" s="1394">
        <v>25864</v>
      </c>
      <c r="I38" s="1394">
        <v>32081</v>
      </c>
      <c r="J38" s="1394">
        <v>33574</v>
      </c>
      <c r="K38" s="1394">
        <v>47740</v>
      </c>
      <c r="L38" s="1394">
        <v>57557</v>
      </c>
      <c r="M38" s="1394">
        <v>68404</v>
      </c>
      <c r="N38" s="1394">
        <v>63406</v>
      </c>
      <c r="O38" s="1394">
        <v>39597</v>
      </c>
      <c r="P38" s="1394">
        <v>40800</v>
      </c>
      <c r="Q38" s="1394">
        <v>47649</v>
      </c>
      <c r="R38" s="1394">
        <v>53081</v>
      </c>
      <c r="S38" s="1394">
        <v>67934</v>
      </c>
      <c r="T38" s="1394">
        <v>70645</v>
      </c>
      <c r="U38" s="1394">
        <v>92539</v>
      </c>
      <c r="V38" s="1394">
        <v>85218</v>
      </c>
      <c r="W38" s="1394">
        <v>93302</v>
      </c>
      <c r="X38" s="1394">
        <v>117471</v>
      </c>
      <c r="Y38" s="1394">
        <v>142696</v>
      </c>
      <c r="Z38" s="1394">
        <v>157274</v>
      </c>
      <c r="AA38" s="1394">
        <v>172550</v>
      </c>
      <c r="AB38" s="1394">
        <v>256853</v>
      </c>
      <c r="AC38" s="1394">
        <v>274861</v>
      </c>
      <c r="AD38" s="1394">
        <v>276091</v>
      </c>
      <c r="AE38" s="1394">
        <v>278674</v>
      </c>
      <c r="AF38" s="1394">
        <v>275690</v>
      </c>
      <c r="AG38" s="1394">
        <v>326170</v>
      </c>
      <c r="AH38" s="1394">
        <v>368313</v>
      </c>
      <c r="AI38" s="1394">
        <v>384678</v>
      </c>
      <c r="AJ38" s="1394">
        <v>408213</v>
      </c>
      <c r="AK38" s="1394">
        <v>405531</v>
      </c>
      <c r="AL38" s="1394">
        <v>417682</v>
      </c>
    </row>
    <row r="39" spans="1:38">
      <c r="A39" s="1394" t="s">
        <v>29</v>
      </c>
      <c r="B39" s="269" t="s">
        <v>1092</v>
      </c>
      <c r="C39" s="1394">
        <v>5751</v>
      </c>
      <c r="D39" s="1394">
        <v>16257</v>
      </c>
      <c r="E39" s="1394">
        <v>7794</v>
      </c>
      <c r="F39" s="1394">
        <v>35381</v>
      </c>
      <c r="G39" s="1394">
        <v>52552</v>
      </c>
      <c r="H39" s="1394">
        <v>52806</v>
      </c>
      <c r="I39" s="1394">
        <v>76776</v>
      </c>
      <c r="J39" s="1394">
        <v>165810</v>
      </c>
      <c r="K39" s="1394">
        <v>144690</v>
      </c>
      <c r="L39" s="1394">
        <v>250029</v>
      </c>
      <c r="M39" s="1394">
        <v>273047</v>
      </c>
      <c r="N39" s="1394">
        <v>300986</v>
      </c>
      <c r="O39" s="1394">
        <v>277186</v>
      </c>
      <c r="P39" s="1394">
        <v>470174</v>
      </c>
      <c r="Q39" s="1394">
        <v>631097</v>
      </c>
      <c r="R39" s="1394">
        <v>955566</v>
      </c>
      <c r="S39" s="1394">
        <v>1400616</v>
      </c>
      <c r="T39" s="1394">
        <v>1842466</v>
      </c>
      <c r="U39" s="1394">
        <v>1526368</v>
      </c>
      <c r="V39" s="1394">
        <v>1216306</v>
      </c>
      <c r="W39" s="1394">
        <v>694648</v>
      </c>
      <c r="X39" s="1394">
        <v>1059718</v>
      </c>
      <c r="Y39" s="1394">
        <v>1197067</v>
      </c>
      <c r="Z39" s="1394">
        <v>1183848</v>
      </c>
      <c r="AA39" s="1394">
        <v>1452590</v>
      </c>
      <c r="AB39" s="1394">
        <v>1558151</v>
      </c>
      <c r="AC39" s="1394">
        <v>439784</v>
      </c>
      <c r="AD39" s="1394">
        <v>926021</v>
      </c>
      <c r="AE39" s="1394">
        <v>1142249</v>
      </c>
      <c r="AF39" s="1394">
        <v>1064878</v>
      </c>
      <c r="AG39" s="1394">
        <v>1331097</v>
      </c>
      <c r="AH39" s="1394">
        <v>2220593</v>
      </c>
      <c r="AI39" s="1394">
        <v>2511093</v>
      </c>
      <c r="AJ39" s="1394">
        <v>2406072</v>
      </c>
      <c r="AK39" s="1394">
        <v>2830203</v>
      </c>
      <c r="AL39" s="1394">
        <v>3821614</v>
      </c>
    </row>
    <row r="40" spans="1:38">
      <c r="A40" s="1394" t="s">
        <v>27</v>
      </c>
      <c r="B40" s="269" t="s">
        <v>1091</v>
      </c>
      <c r="C40" s="1394">
        <v>124677</v>
      </c>
      <c r="D40" s="1394">
        <v>137061</v>
      </c>
      <c r="E40" s="1394">
        <v>164583</v>
      </c>
      <c r="F40" s="1394">
        <v>184615</v>
      </c>
      <c r="G40" s="1394">
        <v>220414</v>
      </c>
      <c r="H40" s="1394">
        <v>263394</v>
      </c>
      <c r="I40" s="1394">
        <v>314754</v>
      </c>
      <c r="J40" s="1394">
        <v>368924</v>
      </c>
      <c r="K40" s="1394">
        <v>394911</v>
      </c>
      <c r="L40" s="1394">
        <v>419108</v>
      </c>
      <c r="M40" s="1394">
        <v>423131</v>
      </c>
      <c r="N40" s="1394">
        <v>467412</v>
      </c>
      <c r="O40" s="1394">
        <v>480667</v>
      </c>
      <c r="P40" s="1394">
        <v>535553</v>
      </c>
      <c r="Q40" s="1394">
        <v>598021</v>
      </c>
      <c r="R40" s="1394">
        <v>681842</v>
      </c>
      <c r="S40" s="1394">
        <v>778418</v>
      </c>
      <c r="T40" s="1394">
        <v>955726</v>
      </c>
      <c r="U40" s="1394">
        <v>1256867</v>
      </c>
      <c r="V40" s="1394">
        <v>1343987</v>
      </c>
      <c r="W40" s="1394">
        <v>1327170</v>
      </c>
      <c r="X40" s="1394">
        <v>1395159</v>
      </c>
      <c r="Y40" s="1394">
        <v>1520316</v>
      </c>
      <c r="Z40" s="1394">
        <v>1634121</v>
      </c>
      <c r="AA40" s="1394">
        <v>1840463</v>
      </c>
      <c r="AB40" s="1394">
        <v>1993156</v>
      </c>
      <c r="AC40" s="1394">
        <v>2046662</v>
      </c>
      <c r="AD40" s="1394">
        <v>2069438</v>
      </c>
      <c r="AE40" s="1394">
        <v>2280044</v>
      </c>
      <c r="AF40" s="1394">
        <v>2433848</v>
      </c>
      <c r="AG40" s="1394">
        <v>2584708</v>
      </c>
      <c r="AH40" s="1394">
        <v>2727825</v>
      </c>
      <c r="AI40" s="1394">
        <v>2945795</v>
      </c>
      <c r="AJ40" s="1394">
        <v>3303586</v>
      </c>
      <c r="AK40" s="1394">
        <v>3725418</v>
      </c>
      <c r="AL40" s="1394">
        <v>3985418</v>
      </c>
    </row>
    <row r="41" spans="1:38">
      <c r="A41" s="1394" t="s">
        <v>26</v>
      </c>
      <c r="B41" s="1394" t="s">
        <v>225</v>
      </c>
      <c r="C41" s="1394">
        <v>93441</v>
      </c>
      <c r="D41" s="1394">
        <v>102666</v>
      </c>
      <c r="E41" s="1394">
        <v>122771</v>
      </c>
      <c r="F41" s="1394">
        <v>137617</v>
      </c>
      <c r="G41" s="1394">
        <v>162117</v>
      </c>
      <c r="H41" s="1394">
        <v>187714</v>
      </c>
      <c r="I41" s="1394">
        <v>227512</v>
      </c>
      <c r="J41" s="1394">
        <v>257058</v>
      </c>
      <c r="K41" s="1394">
        <v>276706</v>
      </c>
      <c r="L41" s="1394">
        <v>305230</v>
      </c>
      <c r="M41" s="1394">
        <v>307950</v>
      </c>
      <c r="N41" s="1394">
        <v>323482</v>
      </c>
      <c r="O41" s="1394">
        <v>346682</v>
      </c>
      <c r="P41" s="1394">
        <v>400107</v>
      </c>
      <c r="Q41" s="1394">
        <v>448313</v>
      </c>
      <c r="R41" s="1394">
        <v>502376</v>
      </c>
      <c r="S41" s="1394">
        <v>569841</v>
      </c>
      <c r="T41" s="1394">
        <v>683395</v>
      </c>
      <c r="U41" s="1394">
        <v>922640</v>
      </c>
      <c r="V41" s="1394">
        <v>949791</v>
      </c>
      <c r="W41" s="1394">
        <v>963905</v>
      </c>
      <c r="X41" s="1394">
        <v>1076823</v>
      </c>
      <c r="Y41" s="1394">
        <v>1201649</v>
      </c>
      <c r="Z41" s="1394">
        <v>1299847</v>
      </c>
      <c r="AA41" s="1394">
        <v>1442940</v>
      </c>
      <c r="AB41" s="1394">
        <v>1539362</v>
      </c>
      <c r="AC41" s="1394">
        <v>1560723</v>
      </c>
      <c r="AD41" s="1394">
        <v>1587880</v>
      </c>
      <c r="AE41" s="1394">
        <v>1785504</v>
      </c>
      <c r="AF41" s="1394">
        <v>1903484</v>
      </c>
      <c r="AG41" s="1394">
        <v>2084746</v>
      </c>
      <c r="AH41" s="1394">
        <v>2222623</v>
      </c>
      <c r="AI41" s="1394">
        <v>2384659</v>
      </c>
      <c r="AJ41" s="1394">
        <v>2670348</v>
      </c>
      <c r="AK41" s="1394">
        <v>2953297</v>
      </c>
      <c r="AL41" s="1394">
        <v>3233904</v>
      </c>
    </row>
    <row r="42" spans="1:38">
      <c r="A42" s="1394" t="s">
        <v>25</v>
      </c>
      <c r="B42" s="1394" t="s">
        <v>1086</v>
      </c>
      <c r="C42" s="1394">
        <v>31236</v>
      </c>
      <c r="D42" s="1394">
        <v>34395</v>
      </c>
      <c r="E42" s="1394">
        <v>41813</v>
      </c>
      <c r="F42" s="1394">
        <v>46999</v>
      </c>
      <c r="G42" s="1394">
        <v>58297</v>
      </c>
      <c r="H42" s="1394">
        <v>75680</v>
      </c>
      <c r="I42" s="1394">
        <v>87242</v>
      </c>
      <c r="J42" s="1394">
        <v>111866</v>
      </c>
      <c r="K42" s="1394">
        <v>118205</v>
      </c>
      <c r="L42" s="1394">
        <v>113878</v>
      </c>
      <c r="M42" s="1394">
        <v>115181</v>
      </c>
      <c r="N42" s="1394">
        <v>143931</v>
      </c>
      <c r="O42" s="1394">
        <v>133985</v>
      </c>
      <c r="P42" s="1394">
        <v>135446</v>
      </c>
      <c r="Q42" s="1394">
        <v>149708</v>
      </c>
      <c r="R42" s="1394">
        <v>179466</v>
      </c>
      <c r="S42" s="1394">
        <v>208578</v>
      </c>
      <c r="T42" s="1394">
        <v>272332</v>
      </c>
      <c r="U42" s="1394">
        <v>334227</v>
      </c>
      <c r="V42" s="1394">
        <v>394197</v>
      </c>
      <c r="W42" s="1394">
        <v>363265</v>
      </c>
      <c r="X42" s="1394">
        <v>318336</v>
      </c>
      <c r="Y42" s="1394">
        <v>318666</v>
      </c>
      <c r="Z42" s="1394">
        <v>334274</v>
      </c>
      <c r="AA42" s="1394">
        <v>397522</v>
      </c>
      <c r="AB42" s="1394">
        <v>453794</v>
      </c>
      <c r="AC42" s="1394">
        <v>485938</v>
      </c>
      <c r="AD42" s="1394">
        <v>481558</v>
      </c>
      <c r="AE42" s="1394">
        <v>494540</v>
      </c>
      <c r="AF42" s="1394">
        <v>530364</v>
      </c>
      <c r="AG42" s="1394">
        <v>499962</v>
      </c>
      <c r="AH42" s="1394">
        <v>505202</v>
      </c>
      <c r="AI42" s="1394">
        <v>561136</v>
      </c>
      <c r="AJ42" s="1394">
        <v>633238</v>
      </c>
      <c r="AK42" s="1394">
        <v>772122</v>
      </c>
      <c r="AL42" s="1394">
        <v>751514</v>
      </c>
    </row>
    <row r="43" spans="1:38">
      <c r="A43" s="1394" t="s">
        <v>32</v>
      </c>
      <c r="B43" s="1394" t="s">
        <v>1090</v>
      </c>
      <c r="C43" s="1394" t="s">
        <v>32</v>
      </c>
      <c r="D43" s="1394" t="s">
        <v>32</v>
      </c>
      <c r="E43" s="1394" t="s">
        <v>32</v>
      </c>
      <c r="F43" s="1394" t="s">
        <v>32</v>
      </c>
      <c r="G43" s="1394" t="s">
        <v>32</v>
      </c>
      <c r="H43" s="1394" t="s">
        <v>32</v>
      </c>
      <c r="I43" s="1394" t="s">
        <v>32</v>
      </c>
      <c r="J43" s="1394" t="s">
        <v>32</v>
      </c>
      <c r="K43" s="1394" t="s">
        <v>32</v>
      </c>
      <c r="L43" s="1394" t="s">
        <v>32</v>
      </c>
      <c r="M43" s="1394" t="s">
        <v>32</v>
      </c>
      <c r="N43" s="1394" t="s">
        <v>32</v>
      </c>
      <c r="O43" s="1394" t="s">
        <v>32</v>
      </c>
      <c r="P43" s="1394" t="s">
        <v>32</v>
      </c>
      <c r="Q43" s="1394" t="s">
        <v>32</v>
      </c>
      <c r="R43" s="1394" t="s">
        <v>32</v>
      </c>
      <c r="S43" s="1394" t="s">
        <v>32</v>
      </c>
      <c r="T43" s="1394" t="s">
        <v>32</v>
      </c>
      <c r="U43" s="1394" t="s">
        <v>32</v>
      </c>
      <c r="V43" s="1394" t="s">
        <v>32</v>
      </c>
      <c r="W43" s="1394" t="s">
        <v>32</v>
      </c>
      <c r="X43" s="1394" t="s">
        <v>32</v>
      </c>
      <c r="Y43" s="1394" t="s">
        <v>32</v>
      </c>
      <c r="Z43" s="1394" t="s">
        <v>32</v>
      </c>
      <c r="AA43" s="1394" t="s">
        <v>32</v>
      </c>
      <c r="AB43" s="1394" t="s">
        <v>32</v>
      </c>
      <c r="AC43" s="1394" t="s">
        <v>32</v>
      </c>
      <c r="AD43" s="1394" t="s">
        <v>32</v>
      </c>
      <c r="AE43" s="1394" t="s">
        <v>32</v>
      </c>
      <c r="AF43" s="1394" t="s">
        <v>32</v>
      </c>
      <c r="AG43" s="1394" t="s">
        <v>32</v>
      </c>
      <c r="AH43" s="1394" t="s">
        <v>32</v>
      </c>
      <c r="AI43" s="1394" t="s">
        <v>32</v>
      </c>
      <c r="AJ43" s="1394" t="s">
        <v>32</v>
      </c>
      <c r="AK43" s="1394" t="s">
        <v>32</v>
      </c>
      <c r="AL43" s="1394" t="s">
        <v>32</v>
      </c>
    </row>
    <row r="44" spans="1:38">
      <c r="A44" s="1394" t="s">
        <v>23</v>
      </c>
      <c r="B44" s="269" t="s">
        <v>1089</v>
      </c>
      <c r="C44" s="1394">
        <v>443402</v>
      </c>
      <c r="D44" s="1394">
        <v>432626</v>
      </c>
      <c r="E44" s="1394">
        <v>435688</v>
      </c>
      <c r="F44" s="1394">
        <v>460377</v>
      </c>
      <c r="G44" s="1394">
        <v>489882</v>
      </c>
      <c r="H44" s="1394">
        <v>569567</v>
      </c>
      <c r="I44" s="1394">
        <v>604247</v>
      </c>
      <c r="J44" s="1394">
        <v>650598</v>
      </c>
      <c r="K44" s="1394">
        <v>738224</v>
      </c>
      <c r="L44" s="1394">
        <v>778409</v>
      </c>
      <c r="M44" s="1394">
        <v>808564</v>
      </c>
      <c r="N44" s="1394">
        <v>866839</v>
      </c>
      <c r="O44" s="1394">
        <v>906067</v>
      </c>
      <c r="P44" s="1394">
        <v>1015323</v>
      </c>
      <c r="Q44" s="1394">
        <v>1130768</v>
      </c>
      <c r="R44" s="1394">
        <v>1225448</v>
      </c>
      <c r="S44" s="1394">
        <v>1385515</v>
      </c>
      <c r="T44" s="1394">
        <v>1636802</v>
      </c>
      <c r="U44" s="1394">
        <v>1791429</v>
      </c>
      <c r="V44" s="1394">
        <v>1967538</v>
      </c>
      <c r="W44" s="1394">
        <v>2188964</v>
      </c>
      <c r="X44" s="1394">
        <v>2431044</v>
      </c>
      <c r="Y44" s="1394">
        <v>3008843</v>
      </c>
      <c r="Z44" s="1394">
        <v>3236526</v>
      </c>
      <c r="AA44" s="1394">
        <v>3599550</v>
      </c>
      <c r="AB44" s="1394">
        <v>4306053</v>
      </c>
      <c r="AC44" s="1394">
        <v>4534292</v>
      </c>
      <c r="AD44" s="1394">
        <v>4824400</v>
      </c>
      <c r="AE44" s="1394">
        <v>5064555</v>
      </c>
      <c r="AF44" s="1394">
        <v>5433063</v>
      </c>
      <c r="AG44" s="1394">
        <v>5870670</v>
      </c>
      <c r="AH44" s="1394">
        <v>6162903</v>
      </c>
      <c r="AI44" s="1394">
        <v>6545768</v>
      </c>
      <c r="AJ44" s="1394">
        <v>6774912</v>
      </c>
      <c r="AK44" s="1394">
        <v>7102351</v>
      </c>
      <c r="AL44" s="1394">
        <v>7569491</v>
      </c>
    </row>
    <row r="45" spans="1:38">
      <c r="A45" s="1394" t="s">
        <v>22</v>
      </c>
      <c r="B45" s="1394" t="s">
        <v>225</v>
      </c>
      <c r="C45" s="1394">
        <v>374790</v>
      </c>
      <c r="D45" s="1394">
        <v>367100</v>
      </c>
      <c r="E45" s="1394">
        <v>366755</v>
      </c>
      <c r="F45" s="1394">
        <v>388581</v>
      </c>
      <c r="G45" s="1394">
        <v>413257</v>
      </c>
      <c r="H45" s="1394">
        <v>479666</v>
      </c>
      <c r="I45" s="1394">
        <v>504196</v>
      </c>
      <c r="J45" s="1394">
        <v>524940</v>
      </c>
      <c r="K45" s="1394">
        <v>589029</v>
      </c>
      <c r="L45" s="1394">
        <v>619283</v>
      </c>
      <c r="M45" s="1394">
        <v>627412</v>
      </c>
      <c r="N45" s="1394">
        <v>664527</v>
      </c>
      <c r="O45" s="1394">
        <v>726031</v>
      </c>
      <c r="P45" s="1394">
        <v>827357</v>
      </c>
      <c r="Q45" s="1394">
        <v>921999</v>
      </c>
      <c r="R45" s="1394">
        <v>994261</v>
      </c>
      <c r="S45" s="1394">
        <v>1096227</v>
      </c>
      <c r="T45" s="1394">
        <v>1264195</v>
      </c>
      <c r="U45" s="1394">
        <v>1402462</v>
      </c>
      <c r="V45" s="1394">
        <v>1571986</v>
      </c>
      <c r="W45" s="1394">
        <v>1745933</v>
      </c>
      <c r="X45" s="1394">
        <v>1942167</v>
      </c>
      <c r="Y45" s="1394">
        <v>2432525</v>
      </c>
      <c r="Z45" s="1394">
        <v>2638658</v>
      </c>
      <c r="AA45" s="1394">
        <v>2963959</v>
      </c>
      <c r="AB45" s="1394">
        <v>3539098</v>
      </c>
      <c r="AC45" s="1394">
        <v>3755228</v>
      </c>
      <c r="AD45" s="1394">
        <v>3976287</v>
      </c>
      <c r="AE45" s="1394">
        <v>4199014</v>
      </c>
      <c r="AF45" s="1394">
        <v>4538289</v>
      </c>
      <c r="AG45" s="1394">
        <v>4885063</v>
      </c>
      <c r="AH45" s="1394">
        <v>5096442</v>
      </c>
      <c r="AI45" s="1394">
        <v>5396477</v>
      </c>
      <c r="AJ45" s="1394">
        <v>5563875</v>
      </c>
      <c r="AK45" s="1394">
        <v>5899636</v>
      </c>
      <c r="AL45" s="1394">
        <v>6329251</v>
      </c>
    </row>
    <row r="46" spans="1:38">
      <c r="A46" s="1394" t="s">
        <v>21</v>
      </c>
      <c r="B46" s="1394" t="s">
        <v>1086</v>
      </c>
      <c r="C46" s="1394">
        <v>68612</v>
      </c>
      <c r="D46" s="1394">
        <v>65526</v>
      </c>
      <c r="E46" s="1394">
        <v>68933</v>
      </c>
      <c r="F46" s="1394">
        <v>71796</v>
      </c>
      <c r="G46" s="1394">
        <v>76625</v>
      </c>
      <c r="H46" s="1394">
        <v>89901</v>
      </c>
      <c r="I46" s="1394">
        <v>100051</v>
      </c>
      <c r="J46" s="1394">
        <v>125658</v>
      </c>
      <c r="K46" s="1394">
        <v>149195</v>
      </c>
      <c r="L46" s="1394">
        <v>159126</v>
      </c>
      <c r="M46" s="1394">
        <v>181152</v>
      </c>
      <c r="N46" s="1394">
        <v>202312</v>
      </c>
      <c r="O46" s="1394">
        <v>180036</v>
      </c>
      <c r="P46" s="1394">
        <v>187966</v>
      </c>
      <c r="Q46" s="1394">
        <v>208769</v>
      </c>
      <c r="R46" s="1394">
        <v>231187</v>
      </c>
      <c r="S46" s="1394">
        <v>289288</v>
      </c>
      <c r="T46" s="1394">
        <v>372607</v>
      </c>
      <c r="U46" s="1394">
        <v>388967</v>
      </c>
      <c r="V46" s="1394">
        <v>395552</v>
      </c>
      <c r="W46" s="1394">
        <v>443031</v>
      </c>
      <c r="X46" s="1394">
        <v>488877</v>
      </c>
      <c r="Y46" s="1394">
        <v>576318</v>
      </c>
      <c r="Z46" s="1394">
        <v>597868</v>
      </c>
      <c r="AA46" s="1394">
        <v>635591</v>
      </c>
      <c r="AB46" s="1394">
        <v>766955</v>
      </c>
      <c r="AC46" s="1394">
        <v>779064</v>
      </c>
      <c r="AD46" s="1394">
        <v>848113</v>
      </c>
      <c r="AE46" s="1394">
        <v>865541</v>
      </c>
      <c r="AF46" s="1394">
        <v>894774</v>
      </c>
      <c r="AG46" s="1394">
        <v>985607</v>
      </c>
      <c r="AH46" s="1394">
        <v>1066461</v>
      </c>
      <c r="AI46" s="1394">
        <v>1149291</v>
      </c>
      <c r="AJ46" s="1394">
        <v>1211037</v>
      </c>
      <c r="AK46" s="1394">
        <v>1202715</v>
      </c>
      <c r="AL46" s="1394">
        <v>1240240</v>
      </c>
    </row>
    <row r="47" spans="1:38">
      <c r="A47" s="1394" t="s">
        <v>20</v>
      </c>
      <c r="B47" s="269" t="s">
        <v>1059</v>
      </c>
      <c r="C47" s="1394">
        <v>69343</v>
      </c>
      <c r="D47" s="1394">
        <v>76982</v>
      </c>
      <c r="E47" s="1394">
        <v>87346</v>
      </c>
      <c r="F47" s="1394">
        <v>89342</v>
      </c>
      <c r="G47" s="1394">
        <v>85064</v>
      </c>
      <c r="H47" s="1394">
        <v>91505</v>
      </c>
      <c r="I47" s="1394">
        <v>90485</v>
      </c>
      <c r="J47" s="1394">
        <v>97505</v>
      </c>
      <c r="K47" s="1394">
        <v>121569</v>
      </c>
      <c r="L47" s="1394">
        <v>135045</v>
      </c>
      <c r="M47" s="1394">
        <v>144734</v>
      </c>
      <c r="N47" s="1394">
        <v>143312</v>
      </c>
      <c r="O47" s="1394">
        <v>119502</v>
      </c>
      <c r="P47" s="1394">
        <v>129816</v>
      </c>
      <c r="Q47" s="1394">
        <v>140958</v>
      </c>
      <c r="R47" s="1394">
        <v>157386</v>
      </c>
      <c r="S47" s="1394">
        <v>189495</v>
      </c>
      <c r="T47" s="1394">
        <v>211765</v>
      </c>
      <c r="U47" s="1394">
        <v>240556</v>
      </c>
      <c r="V47" s="1394">
        <v>239529</v>
      </c>
      <c r="W47" s="1394">
        <v>260553</v>
      </c>
      <c r="X47" s="1394">
        <v>308185</v>
      </c>
      <c r="Y47" s="1394">
        <v>384067</v>
      </c>
      <c r="Z47" s="1394">
        <v>409174</v>
      </c>
      <c r="AA47" s="1394">
        <v>459549</v>
      </c>
      <c r="AB47" s="1394">
        <v>582932</v>
      </c>
      <c r="AC47" s="1394">
        <v>604793</v>
      </c>
      <c r="AD47" s="1394">
        <v>623170</v>
      </c>
      <c r="AE47" s="1394">
        <v>676804</v>
      </c>
      <c r="AF47" s="1394">
        <v>700499</v>
      </c>
      <c r="AG47" s="1394">
        <v>746629</v>
      </c>
      <c r="AH47" s="1394">
        <v>866517</v>
      </c>
      <c r="AI47" s="1394">
        <v>912637</v>
      </c>
      <c r="AJ47" s="1394">
        <v>991175</v>
      </c>
      <c r="AK47" s="1394">
        <v>1013629</v>
      </c>
      <c r="AL47" s="1394">
        <v>1064347</v>
      </c>
    </row>
    <row r="48" spans="1:38">
      <c r="A48" s="1394" t="s">
        <v>19</v>
      </c>
      <c r="B48" s="269" t="s">
        <v>1088</v>
      </c>
      <c r="C48" s="1394">
        <v>374059</v>
      </c>
      <c r="D48" s="1394">
        <v>355643</v>
      </c>
      <c r="E48" s="1394">
        <v>348342</v>
      </c>
      <c r="F48" s="1394">
        <v>371036</v>
      </c>
      <c r="G48" s="1394">
        <v>404818</v>
      </c>
      <c r="H48" s="1394">
        <v>478062</v>
      </c>
      <c r="I48" s="1394">
        <v>513761</v>
      </c>
      <c r="J48" s="1394">
        <v>553093</v>
      </c>
      <c r="K48" s="1394">
        <v>616655</v>
      </c>
      <c r="L48" s="1394">
        <v>643364</v>
      </c>
      <c r="M48" s="1394">
        <v>663830</v>
      </c>
      <c r="N48" s="1394">
        <v>723526</v>
      </c>
      <c r="O48" s="1394">
        <v>786565</v>
      </c>
      <c r="P48" s="1394">
        <v>885506</v>
      </c>
      <c r="Q48" s="1394">
        <v>989810</v>
      </c>
      <c r="R48" s="1394">
        <v>1068063</v>
      </c>
      <c r="S48" s="1394">
        <v>1196021</v>
      </c>
      <c r="T48" s="1394">
        <v>1425037</v>
      </c>
      <c r="U48" s="1394">
        <v>1550873</v>
      </c>
      <c r="V48" s="1394">
        <v>1728009</v>
      </c>
      <c r="W48" s="1394">
        <v>1928411</v>
      </c>
      <c r="X48" s="1394">
        <v>2122859</v>
      </c>
      <c r="Y48" s="1394">
        <v>2624776</v>
      </c>
      <c r="Z48" s="1394">
        <v>2827352</v>
      </c>
      <c r="AA48" s="1394">
        <v>3140001</v>
      </c>
      <c r="AB48" s="1394">
        <v>3723121</v>
      </c>
      <c r="AC48" s="1394">
        <v>3929499</v>
      </c>
      <c r="AD48" s="1394">
        <v>4201230</v>
      </c>
      <c r="AE48" s="1394">
        <v>4387751</v>
      </c>
      <c r="AF48" s="1394">
        <v>4732564</v>
      </c>
      <c r="AG48" s="1394">
        <v>5124041</v>
      </c>
      <c r="AH48" s="1394">
        <v>5296386</v>
      </c>
      <c r="AI48" s="1394">
        <v>5633131</v>
      </c>
      <c r="AJ48" s="1394">
        <v>5783736</v>
      </c>
      <c r="AK48" s="1394">
        <v>6088721</v>
      </c>
      <c r="AL48" s="1394">
        <v>6505144</v>
      </c>
    </row>
    <row r="49" spans="1:38">
      <c r="A49" s="1394" t="s">
        <v>18</v>
      </c>
      <c r="B49" s="269" t="s">
        <v>1087</v>
      </c>
      <c r="C49" s="1394">
        <v>254185</v>
      </c>
      <c r="D49" s="1394">
        <v>270690</v>
      </c>
      <c r="E49" s="1394">
        <v>310885</v>
      </c>
      <c r="F49" s="1394">
        <v>336566</v>
      </c>
      <c r="G49" s="1394">
        <v>369765</v>
      </c>
      <c r="H49" s="1394">
        <v>426058</v>
      </c>
      <c r="I49" s="1394">
        <v>492251</v>
      </c>
      <c r="J49" s="1394">
        <v>565391</v>
      </c>
      <c r="K49" s="1394">
        <v>626915</v>
      </c>
      <c r="L49" s="1394">
        <v>668449</v>
      </c>
      <c r="M49" s="1394">
        <v>685004</v>
      </c>
      <c r="N49" s="1394">
        <v>736626</v>
      </c>
      <c r="O49" s="1394">
        <v>737483</v>
      </c>
      <c r="P49" s="1394">
        <v>809882</v>
      </c>
      <c r="Q49" s="1394">
        <v>886577</v>
      </c>
      <c r="R49" s="1394">
        <v>981523</v>
      </c>
      <c r="S49" s="1394">
        <v>1109540</v>
      </c>
      <c r="T49" s="1394">
        <v>1333093</v>
      </c>
      <c r="U49" s="1394">
        <v>1699648</v>
      </c>
      <c r="V49" s="1394">
        <v>1811122</v>
      </c>
      <c r="W49" s="1394">
        <v>1838498</v>
      </c>
      <c r="X49" s="1394">
        <v>1966460</v>
      </c>
      <c r="Y49" s="1394">
        <v>2214711</v>
      </c>
      <c r="Z49" s="1394">
        <v>2416325</v>
      </c>
      <c r="AA49" s="1394">
        <v>2715504</v>
      </c>
      <c r="AB49" s="1394">
        <v>3046532</v>
      </c>
      <c r="AC49" s="1394">
        <v>3203582</v>
      </c>
      <c r="AD49" s="1394">
        <v>3183577</v>
      </c>
      <c r="AE49" s="1394">
        <v>3468162</v>
      </c>
      <c r="AF49" s="1394">
        <v>3690909</v>
      </c>
      <c r="AG49" s="1394">
        <v>3905281</v>
      </c>
      <c r="AH49" s="1394">
        <v>4187378</v>
      </c>
      <c r="AI49" s="1394">
        <v>4453290</v>
      </c>
      <c r="AJ49" s="1394">
        <v>4920910</v>
      </c>
      <c r="AK49" s="1394">
        <v>5405261</v>
      </c>
      <c r="AL49" s="1394">
        <v>5723252</v>
      </c>
    </row>
    <row r="50" spans="1:38">
      <c r="A50" s="1394" t="s">
        <v>17</v>
      </c>
      <c r="B50" s="1394" t="s">
        <v>225</v>
      </c>
      <c r="C50" s="1394">
        <v>153606</v>
      </c>
      <c r="D50" s="1394">
        <v>159313</v>
      </c>
      <c r="E50" s="1394">
        <v>181726</v>
      </c>
      <c r="F50" s="1394">
        <v>200225</v>
      </c>
      <c r="G50" s="1394">
        <v>226404</v>
      </c>
      <c r="H50" s="1394">
        <v>258872</v>
      </c>
      <c r="I50" s="1394">
        <v>314524</v>
      </c>
      <c r="J50" s="1394">
        <v>356020</v>
      </c>
      <c r="K50" s="1394">
        <v>387141</v>
      </c>
      <c r="L50" s="1394">
        <v>419526</v>
      </c>
      <c r="M50" s="1394">
        <v>425089</v>
      </c>
      <c r="N50" s="1394">
        <v>449383</v>
      </c>
      <c r="O50" s="1394">
        <v>483997</v>
      </c>
      <c r="P50" s="1394">
        <v>544620</v>
      </c>
      <c r="Q50" s="1394">
        <v>595911</v>
      </c>
      <c r="R50" s="1394">
        <v>644670</v>
      </c>
      <c r="S50" s="1394">
        <v>711467</v>
      </c>
      <c r="T50" s="1394">
        <v>848996</v>
      </c>
      <c r="U50" s="1394">
        <v>1124864</v>
      </c>
      <c r="V50" s="1394">
        <v>1177396</v>
      </c>
      <c r="W50" s="1394">
        <v>1214680</v>
      </c>
      <c r="X50" s="1394">
        <v>1339940</v>
      </c>
      <c r="Y50" s="1394">
        <v>1511978</v>
      </c>
      <c r="Z50" s="1394">
        <v>1672877</v>
      </c>
      <c r="AA50" s="1394">
        <v>1858433</v>
      </c>
      <c r="AB50" s="1394">
        <v>2009806</v>
      </c>
      <c r="AC50" s="1394">
        <v>2112850</v>
      </c>
      <c r="AD50" s="1394">
        <v>2078848</v>
      </c>
      <c r="AE50" s="1394">
        <v>2296818</v>
      </c>
      <c r="AF50" s="1394">
        <v>2460046</v>
      </c>
      <c r="AG50" s="1394">
        <v>2658690</v>
      </c>
      <c r="AH50" s="1394">
        <v>2815659</v>
      </c>
      <c r="AI50" s="1394">
        <v>2979518</v>
      </c>
      <c r="AJ50" s="1394">
        <v>3296496</v>
      </c>
      <c r="AK50" s="1394">
        <v>3619510</v>
      </c>
      <c r="AL50" s="1394">
        <v>3907391</v>
      </c>
    </row>
    <row r="51" spans="1:38">
      <c r="A51" s="1394" t="s">
        <v>16</v>
      </c>
      <c r="B51" s="1394" t="s">
        <v>1086</v>
      </c>
      <c r="C51" s="1394">
        <v>100579</v>
      </c>
      <c r="D51" s="1394">
        <v>111377</v>
      </c>
      <c r="E51" s="1394">
        <v>129159</v>
      </c>
      <c r="F51" s="1394">
        <v>136341</v>
      </c>
      <c r="G51" s="1394">
        <v>143361</v>
      </c>
      <c r="H51" s="1394">
        <v>167186</v>
      </c>
      <c r="I51" s="1394">
        <v>177727</v>
      </c>
      <c r="J51" s="1394">
        <v>209371</v>
      </c>
      <c r="K51" s="1394">
        <v>239774</v>
      </c>
      <c r="L51" s="1394">
        <v>248923</v>
      </c>
      <c r="M51" s="1394">
        <v>259915</v>
      </c>
      <c r="N51" s="1394">
        <v>287243</v>
      </c>
      <c r="O51" s="1394">
        <v>253486</v>
      </c>
      <c r="P51" s="1394">
        <v>265262</v>
      </c>
      <c r="Q51" s="1394">
        <v>290666</v>
      </c>
      <c r="R51" s="1394">
        <v>336853</v>
      </c>
      <c r="S51" s="1394">
        <v>398073</v>
      </c>
      <c r="T51" s="1394">
        <v>484097</v>
      </c>
      <c r="U51" s="1394">
        <v>574784</v>
      </c>
      <c r="V51" s="1394">
        <v>633726</v>
      </c>
      <c r="W51" s="1394">
        <v>623818</v>
      </c>
      <c r="X51" s="1394">
        <v>626520</v>
      </c>
      <c r="Y51" s="1394">
        <v>702733</v>
      </c>
      <c r="Z51" s="1394">
        <v>743448</v>
      </c>
      <c r="AA51" s="1394">
        <v>857071</v>
      </c>
      <c r="AB51" s="1394">
        <v>1036726</v>
      </c>
      <c r="AC51" s="1394">
        <v>1090732</v>
      </c>
      <c r="AD51" s="1394">
        <v>1104729</v>
      </c>
      <c r="AE51" s="1394">
        <v>1171344</v>
      </c>
      <c r="AF51" s="1394">
        <v>1230863</v>
      </c>
      <c r="AG51" s="1394">
        <v>1246591</v>
      </c>
      <c r="AH51" s="1394">
        <v>1371719</v>
      </c>
      <c r="AI51" s="1394">
        <v>1473772</v>
      </c>
      <c r="AJ51" s="1394">
        <v>1624414</v>
      </c>
      <c r="AK51" s="1394">
        <v>1785751</v>
      </c>
      <c r="AL51" s="1394">
        <v>1815861</v>
      </c>
    </row>
    <row r="52" spans="1:38">
      <c r="A52" s="1394" t="s">
        <v>15</v>
      </c>
      <c r="B52" s="269" t="s">
        <v>1059</v>
      </c>
      <c r="C52" s="1394">
        <v>69343</v>
      </c>
      <c r="D52" s="1394">
        <v>76982</v>
      </c>
      <c r="E52" s="1394">
        <v>87346</v>
      </c>
      <c r="F52" s="1394">
        <v>89342</v>
      </c>
      <c r="G52" s="1394">
        <v>85064</v>
      </c>
      <c r="H52" s="1394">
        <v>91505</v>
      </c>
      <c r="I52" s="1394">
        <v>90485</v>
      </c>
      <c r="J52" s="1394">
        <v>97505</v>
      </c>
      <c r="K52" s="1394">
        <v>121569</v>
      </c>
      <c r="L52" s="1394">
        <v>135045</v>
      </c>
      <c r="M52" s="1394">
        <v>144734</v>
      </c>
      <c r="N52" s="1394">
        <v>143312</v>
      </c>
      <c r="O52" s="1394">
        <v>119502</v>
      </c>
      <c r="P52" s="1394">
        <v>129816</v>
      </c>
      <c r="Q52" s="1394">
        <v>140958</v>
      </c>
      <c r="R52" s="1394">
        <v>157386</v>
      </c>
      <c r="S52" s="1394">
        <v>189495</v>
      </c>
      <c r="T52" s="1394">
        <v>211765</v>
      </c>
      <c r="U52" s="1394">
        <v>240556</v>
      </c>
      <c r="V52" s="1394">
        <v>239529</v>
      </c>
      <c r="W52" s="1394">
        <v>260553</v>
      </c>
      <c r="X52" s="1394">
        <v>308185</v>
      </c>
      <c r="Y52" s="1394">
        <v>384067</v>
      </c>
      <c r="Z52" s="1394">
        <v>409174</v>
      </c>
      <c r="AA52" s="1394">
        <v>459549</v>
      </c>
      <c r="AB52" s="1394">
        <v>582932</v>
      </c>
      <c r="AC52" s="1394">
        <v>604793</v>
      </c>
      <c r="AD52" s="1394">
        <v>623170</v>
      </c>
      <c r="AE52" s="1394">
        <v>676804</v>
      </c>
      <c r="AF52" s="1394">
        <v>700499</v>
      </c>
      <c r="AG52" s="1394">
        <v>746629</v>
      </c>
      <c r="AH52" s="1394">
        <v>866517</v>
      </c>
      <c r="AI52" s="1394">
        <v>912637</v>
      </c>
      <c r="AJ52" s="1394">
        <v>991175</v>
      </c>
      <c r="AK52" s="1394">
        <v>1013629</v>
      </c>
      <c r="AL52" s="1394">
        <v>1064347</v>
      </c>
    </row>
    <row r="53" spans="1:38">
      <c r="A53" s="1394" t="s">
        <v>14</v>
      </c>
      <c r="B53" s="269" t="s">
        <v>1085</v>
      </c>
      <c r="C53" s="1394">
        <v>184842</v>
      </c>
      <c r="D53" s="1394">
        <v>193708</v>
      </c>
      <c r="E53" s="1394">
        <v>223538</v>
      </c>
      <c r="F53" s="1394">
        <v>247223</v>
      </c>
      <c r="G53" s="1394">
        <v>284701</v>
      </c>
      <c r="H53" s="1394">
        <v>334552</v>
      </c>
      <c r="I53" s="1394">
        <v>401766</v>
      </c>
      <c r="J53" s="1394">
        <v>467886</v>
      </c>
      <c r="K53" s="1394">
        <v>505346</v>
      </c>
      <c r="L53" s="1394">
        <v>533404</v>
      </c>
      <c r="M53" s="1394">
        <v>540270</v>
      </c>
      <c r="N53" s="1394">
        <v>593313</v>
      </c>
      <c r="O53" s="1394">
        <v>617982</v>
      </c>
      <c r="P53" s="1394">
        <v>680066</v>
      </c>
      <c r="Q53" s="1394">
        <v>745619</v>
      </c>
      <c r="R53" s="1394">
        <v>824136</v>
      </c>
      <c r="S53" s="1394">
        <v>920044</v>
      </c>
      <c r="T53" s="1394">
        <v>1121328</v>
      </c>
      <c r="U53" s="1394">
        <v>1459092</v>
      </c>
      <c r="V53" s="1394">
        <v>1571593</v>
      </c>
      <c r="W53" s="1394">
        <v>1577945</v>
      </c>
      <c r="X53" s="1394">
        <v>1658275</v>
      </c>
      <c r="Y53" s="1394">
        <v>1830644</v>
      </c>
      <c r="Z53" s="1394">
        <v>2007151</v>
      </c>
      <c r="AA53" s="1394">
        <v>2255955</v>
      </c>
      <c r="AB53" s="1394">
        <v>2463600</v>
      </c>
      <c r="AC53" s="1394">
        <v>2598789</v>
      </c>
      <c r="AD53" s="1394">
        <v>2560407</v>
      </c>
      <c r="AE53" s="1394">
        <v>2791358</v>
      </c>
      <c r="AF53" s="1394">
        <v>2990410</v>
      </c>
      <c r="AG53" s="1394">
        <v>3158652</v>
      </c>
      <c r="AH53" s="1394">
        <v>3320861</v>
      </c>
      <c r="AI53" s="1394">
        <v>3540654</v>
      </c>
      <c r="AJ53" s="1394">
        <v>3929734</v>
      </c>
      <c r="AK53" s="1394">
        <v>4391632</v>
      </c>
      <c r="AL53" s="1394">
        <v>4658905</v>
      </c>
    </row>
    <row r="54" spans="1:38">
      <c r="A54" s="1942" t="s">
        <v>7</v>
      </c>
      <c r="B54" s="1939"/>
      <c r="C54" s="1939"/>
      <c r="D54" s="1939"/>
      <c r="E54" s="1939"/>
      <c r="F54" s="1939"/>
      <c r="G54" s="1939"/>
      <c r="H54" s="1939"/>
      <c r="I54" s="1939"/>
      <c r="J54" s="1939"/>
      <c r="K54" s="1939"/>
      <c r="L54" s="1939"/>
      <c r="M54" s="1939"/>
      <c r="N54" s="1939"/>
      <c r="O54" s="1939"/>
      <c r="P54" s="1939"/>
      <c r="Q54" s="1939"/>
      <c r="R54" s="1939"/>
      <c r="S54" s="1939"/>
      <c r="T54" s="1939"/>
      <c r="U54" s="1939"/>
      <c r="V54" s="1939"/>
      <c r="W54" s="1939"/>
      <c r="X54" s="1939"/>
      <c r="Y54" s="1939"/>
      <c r="Z54" s="1939"/>
      <c r="AA54" s="1939"/>
      <c r="AB54" s="1939"/>
      <c r="AC54" s="1939"/>
      <c r="AD54" s="1939"/>
      <c r="AE54" s="1939"/>
      <c r="AF54" s="1939"/>
      <c r="AG54" s="1939"/>
      <c r="AH54" s="1939"/>
      <c r="AI54" s="1939"/>
      <c r="AJ54" s="1939"/>
      <c r="AK54" s="1939"/>
      <c r="AL54" s="1939"/>
    </row>
    <row r="55" spans="1:38">
      <c r="A55" s="1938" t="s">
        <v>1084</v>
      </c>
      <c r="B55" s="1939"/>
      <c r="C55" s="1939"/>
      <c r="D55" s="1939"/>
      <c r="E55" s="1939"/>
      <c r="F55" s="1939"/>
      <c r="G55" s="1939"/>
      <c r="H55" s="1939"/>
      <c r="I55" s="1939"/>
      <c r="J55" s="1939"/>
      <c r="K55" s="1939"/>
      <c r="L55" s="1939"/>
      <c r="M55" s="1939"/>
      <c r="N55" s="1939"/>
      <c r="O55" s="1939"/>
      <c r="P55" s="1939"/>
      <c r="Q55" s="1939"/>
      <c r="R55" s="1939"/>
      <c r="S55" s="1939"/>
      <c r="T55" s="1939"/>
      <c r="U55" s="1939"/>
      <c r="V55" s="1939"/>
      <c r="W55" s="1939"/>
      <c r="X55" s="1939"/>
      <c r="Y55" s="1939"/>
      <c r="Z55" s="1939"/>
      <c r="AA55" s="1939"/>
      <c r="AB55" s="1939"/>
      <c r="AC55" s="1939"/>
      <c r="AD55" s="1939"/>
      <c r="AE55" s="1939"/>
      <c r="AF55" s="1939"/>
      <c r="AG55" s="1939"/>
      <c r="AH55" s="1939"/>
      <c r="AI55" s="1939"/>
      <c r="AJ55" s="1939"/>
      <c r="AK55" s="1939"/>
      <c r="AL55" s="1939"/>
    </row>
    <row r="56" spans="1:38">
      <c r="A56" s="1938" t="s">
        <v>1083</v>
      </c>
      <c r="B56" s="1939"/>
      <c r="C56" s="1939"/>
      <c r="D56" s="1939"/>
      <c r="E56" s="1939"/>
      <c r="F56" s="1939"/>
      <c r="G56" s="1939"/>
      <c r="H56" s="1939"/>
      <c r="I56" s="1939"/>
      <c r="J56" s="1939"/>
      <c r="K56" s="1939"/>
      <c r="L56" s="1939"/>
      <c r="M56" s="1939"/>
      <c r="N56" s="1939"/>
      <c r="O56" s="1939"/>
      <c r="P56" s="1939"/>
      <c r="Q56" s="1939"/>
      <c r="R56" s="1939"/>
      <c r="S56" s="1939"/>
      <c r="T56" s="1939"/>
      <c r="U56" s="1939"/>
      <c r="V56" s="1939"/>
      <c r="W56" s="1939"/>
      <c r="X56" s="1939"/>
      <c r="Y56" s="1939"/>
      <c r="Z56" s="1939"/>
      <c r="AA56" s="1939"/>
      <c r="AB56" s="1939"/>
      <c r="AC56" s="1939"/>
      <c r="AD56" s="1939"/>
      <c r="AE56" s="1939"/>
      <c r="AF56" s="1939"/>
      <c r="AG56" s="1939"/>
      <c r="AH56" s="1939"/>
      <c r="AI56" s="1939"/>
      <c r="AJ56" s="1939"/>
      <c r="AK56" s="1939"/>
      <c r="AL56" s="1939"/>
    </row>
    <row r="57" spans="1:38">
      <c r="A57" s="1938" t="s">
        <v>1082</v>
      </c>
      <c r="B57" s="1939"/>
      <c r="C57" s="1939"/>
      <c r="D57" s="1939"/>
      <c r="E57" s="1939"/>
      <c r="F57" s="1939"/>
      <c r="G57" s="1939"/>
      <c r="H57" s="1939"/>
      <c r="I57" s="1939"/>
      <c r="J57" s="1939"/>
      <c r="K57" s="1939"/>
      <c r="L57" s="1939"/>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row>
    <row r="58" spans="1:38">
      <c r="A58" s="1938" t="s">
        <v>1081</v>
      </c>
      <c r="B58" s="1939"/>
      <c r="C58" s="1939"/>
      <c r="D58" s="1939"/>
      <c r="E58" s="1939"/>
      <c r="F58" s="1939"/>
      <c r="G58" s="1939"/>
      <c r="H58" s="1939"/>
      <c r="I58" s="1939"/>
      <c r="J58" s="1939"/>
      <c r="K58" s="1939"/>
      <c r="L58" s="1939"/>
      <c r="M58" s="1939"/>
      <c r="N58" s="1939"/>
      <c r="O58" s="1939"/>
      <c r="P58" s="1939"/>
      <c r="Q58" s="1939"/>
      <c r="R58" s="1939"/>
      <c r="S58" s="1939"/>
      <c r="T58" s="1939"/>
      <c r="U58" s="1939"/>
      <c r="V58" s="1939"/>
      <c r="W58" s="1939"/>
      <c r="X58" s="1939"/>
      <c r="Y58" s="1939"/>
      <c r="Z58" s="1939"/>
      <c r="AA58" s="1939"/>
      <c r="AB58" s="1939"/>
      <c r="AC58" s="1939"/>
      <c r="AD58" s="1939"/>
      <c r="AE58" s="1939"/>
      <c r="AF58" s="1939"/>
      <c r="AG58" s="1939"/>
      <c r="AH58" s="1939"/>
      <c r="AI58" s="1939"/>
      <c r="AJ58" s="1939"/>
      <c r="AK58" s="1939"/>
      <c r="AL58" s="1939"/>
    </row>
    <row r="59" spans="1:38">
      <c r="A59" s="1394"/>
      <c r="B59" s="1394"/>
      <c r="C59" s="1394"/>
      <c r="D59" s="1394"/>
      <c r="E59" s="1394"/>
      <c r="F59" s="1394"/>
      <c r="G59" s="1394"/>
      <c r="H59" s="1394"/>
      <c r="I59" s="1394"/>
      <c r="J59" s="1394"/>
      <c r="K59" s="1394"/>
      <c r="L59" s="1394"/>
      <c r="M59" s="1394"/>
      <c r="N59" s="1394"/>
      <c r="O59" s="1394"/>
      <c r="P59" s="1394"/>
      <c r="Q59" s="1394"/>
      <c r="R59" s="1394"/>
      <c r="S59" s="1394"/>
      <c r="T59" s="1394"/>
      <c r="U59" s="1394"/>
      <c r="V59" s="1394"/>
      <c r="W59" s="1394"/>
      <c r="X59" s="1394"/>
      <c r="Y59" s="1394"/>
      <c r="Z59" s="1394"/>
      <c r="AA59" s="1394"/>
      <c r="AB59" s="1394"/>
      <c r="AC59" s="1394"/>
      <c r="AD59" s="1394"/>
      <c r="AE59" s="1394"/>
      <c r="AF59" s="1394"/>
      <c r="AG59" s="1394"/>
      <c r="AH59" s="1394"/>
      <c r="AI59" s="1394"/>
      <c r="AJ59" s="1394"/>
      <c r="AK59" s="1394"/>
      <c r="AL59" s="1394"/>
    </row>
  </sheetData>
  <mergeCells count="9">
    <mergeCell ref="A56:AL56"/>
    <mergeCell ref="A57:AL57"/>
    <mergeCell ref="A58:AL58"/>
    <mergeCell ref="A1:AL1"/>
    <mergeCell ref="A2:AL2"/>
    <mergeCell ref="A3:AL3"/>
    <mergeCell ref="A4:AL4"/>
    <mergeCell ref="A54:AL54"/>
    <mergeCell ref="A55:AL55"/>
  </mergeCells>
  <pageMargins left="0.7" right="0.7" top="0.75" bottom="0.75" header="0.3" footer="0.3"/>
  <pageSetup paperSize="9" orientation="portrait" horizontalDpi="0" verticalDpi="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106</vt:i4>
      </vt:variant>
      <vt:variant>
        <vt:lpstr>Graphiques</vt:lpstr>
      </vt:variant>
      <vt:variant>
        <vt:i4>43</vt:i4>
      </vt:variant>
    </vt:vector>
  </HeadingPairs>
  <TitlesOfParts>
    <vt:vector size="149" baseType="lpstr">
      <vt:lpstr>ReadMe</vt:lpstr>
      <vt:lpstr>T.A0</vt:lpstr>
      <vt:lpstr>T.A1</vt:lpstr>
      <vt:lpstr>T.A2</vt:lpstr>
      <vt:lpstr>T.A2b</vt:lpstr>
      <vt:lpstr>T.A3</vt:lpstr>
      <vt:lpstr>T.A4</vt:lpstr>
      <vt:lpstr> T.A5</vt:lpstr>
      <vt:lpstr>T.A5b</vt:lpstr>
      <vt:lpstr>T.A5c</vt:lpstr>
      <vt:lpstr>T.A5d</vt:lpstr>
      <vt:lpstr> T.A6</vt:lpstr>
      <vt:lpstr> T.A7</vt:lpstr>
      <vt:lpstr> T.A7b</vt:lpstr>
      <vt:lpstr> T.A8</vt:lpstr>
      <vt:lpstr> T.A9</vt:lpstr>
      <vt:lpstr>T.A10</vt:lpstr>
      <vt:lpstr>T.A11</vt:lpstr>
      <vt:lpstr>T.A11b</vt:lpstr>
      <vt:lpstr>T.A12</vt:lpstr>
      <vt:lpstr>T.A12b</vt:lpstr>
      <vt:lpstr>T.A13</vt:lpstr>
      <vt:lpstr>T.A14</vt:lpstr>
      <vt:lpstr>T.A15</vt:lpstr>
      <vt:lpstr>T.A16</vt:lpstr>
      <vt:lpstr>T.A17</vt:lpstr>
      <vt:lpstr>T.A18</vt:lpstr>
      <vt:lpstr>T.A19</vt:lpstr>
      <vt:lpstr>T.A19(slides)</vt:lpstr>
      <vt:lpstr>DataFA1bc</vt:lpstr>
      <vt:lpstr>DataFA8</vt:lpstr>
      <vt:lpstr>DataFA12</vt:lpstr>
      <vt:lpstr>Assets(BoP)</vt:lpstr>
      <vt:lpstr>Assets(MOFA)</vt:lpstr>
      <vt:lpstr>Liabilities</vt:lpstr>
      <vt:lpstr>AppendixA(US)</vt:lpstr>
      <vt:lpstr>AppendixB(CrossCountry)</vt:lpstr>
      <vt:lpstr>T.B1 </vt:lpstr>
      <vt:lpstr>T.B2</vt:lpstr>
      <vt:lpstr>T.B3</vt:lpstr>
      <vt:lpstr>T.B4a</vt:lpstr>
      <vt:lpstr>T.B4b</vt:lpstr>
      <vt:lpstr>T.B4c</vt:lpstr>
      <vt:lpstr>T.B5</vt:lpstr>
      <vt:lpstr>T.B6</vt:lpstr>
      <vt:lpstr>T.B7</vt:lpstr>
      <vt:lpstr>T.B8</vt:lpstr>
      <vt:lpstr>NotesFB2</vt:lpstr>
      <vt:lpstr>NotesFB2b</vt:lpstr>
      <vt:lpstr>NotesFB2c</vt:lpstr>
      <vt:lpstr>DataFB2</vt:lpstr>
      <vt:lpstr>NotesFB3</vt:lpstr>
      <vt:lpstr>DataFB3</vt:lpstr>
      <vt:lpstr>DataFB1a</vt:lpstr>
      <vt:lpstr>DataFB1b</vt:lpstr>
      <vt:lpstr>DataFB1c</vt:lpstr>
      <vt:lpstr>RawData</vt:lpstr>
      <vt:lpstr>NIPA</vt:lpstr>
      <vt:lpstr>NIPA_1.12</vt:lpstr>
      <vt:lpstr>NIPA_1.14</vt:lpstr>
      <vt:lpstr>NIPA_7.16</vt:lpstr>
      <vt:lpstr>NIPA_4.1</vt:lpstr>
      <vt:lpstr>NIPA_Scorp</vt:lpstr>
      <vt:lpstr>MOFA</vt:lpstr>
      <vt:lpstr>MOFA_inc_ind09</vt:lpstr>
      <vt:lpstr>MOFA_inc97</vt:lpstr>
      <vt:lpstr>MOFA_inc09</vt:lpstr>
      <vt:lpstr>OECD_Comp10</vt:lpstr>
      <vt:lpstr>OECD_Comp86</vt:lpstr>
      <vt:lpstr>OECD_OS</vt:lpstr>
      <vt:lpstr>ITA-IIP</vt:lpstr>
      <vt:lpstr>ITA_1.1</vt:lpstr>
      <vt:lpstr>ITA_1(old)</vt:lpstr>
      <vt:lpstr>ITA_4.1</vt:lpstr>
      <vt:lpstr>ITA_4.2</vt:lpstr>
      <vt:lpstr>IIP_1.1</vt:lpstr>
      <vt:lpstr>IIP_1.2</vt:lpstr>
      <vt:lpstr>IIP_2.1</vt:lpstr>
      <vt:lpstr>USDIA</vt:lpstr>
      <vt:lpstr>USDIA_inc</vt:lpstr>
      <vt:lpstr>USDIA_inc_Ind</vt:lpstr>
      <vt:lpstr>USDIA_ret</vt:lpstr>
      <vt:lpstr>USDIA_flow</vt:lpstr>
      <vt:lpstr>USDIA_eqflow</vt:lpstr>
      <vt:lpstr>USDIA_debtflow</vt:lpstr>
      <vt:lpstr>USDIA_assets</vt:lpstr>
      <vt:lpstr>USDIA_assets99</vt:lpstr>
      <vt:lpstr>FDIUS</vt:lpstr>
      <vt:lpstr>FDIUS_inc</vt:lpstr>
      <vt:lpstr>FDIUS_debtflow</vt:lpstr>
      <vt:lpstr>FDIUS_Liab</vt:lpstr>
      <vt:lpstr>CrosCountry</vt:lpstr>
      <vt:lpstr>Ext returns comps</vt:lpstr>
      <vt:lpstr>BEA int transactions</vt:lpstr>
      <vt:lpstr>Changes in position data</vt:lpstr>
      <vt:lpstr>BOPS IIP raw</vt:lpstr>
      <vt:lpstr>outw share</vt:lpstr>
      <vt:lpstr>outw</vt:lpstr>
      <vt:lpstr>US DI position 170618</vt:lpstr>
      <vt:lpstr>US DI inc 170618</vt:lpstr>
      <vt:lpstr>misc</vt:lpstr>
      <vt:lpstr>OtherData</vt:lpstr>
      <vt:lpstr>FoF_RoW</vt:lpstr>
      <vt:lpstr>Fedtax</vt:lpstr>
      <vt:lpstr>ReconciliationIRS</vt:lpstr>
      <vt:lpstr>OldChartsFromZucmanJEP2014</vt:lpstr>
      <vt:lpstr>F.A0</vt:lpstr>
      <vt:lpstr>F.A1</vt:lpstr>
      <vt:lpstr>F.A1b</vt:lpstr>
      <vt:lpstr>F.A1c</vt:lpstr>
      <vt:lpstr>F.A1d</vt:lpstr>
      <vt:lpstr>F.A2</vt:lpstr>
      <vt:lpstr>F.A2b</vt:lpstr>
      <vt:lpstr>F.A2c</vt:lpstr>
      <vt:lpstr>F.A2d</vt:lpstr>
      <vt:lpstr>F.A2e</vt:lpstr>
      <vt:lpstr>F.A2f</vt:lpstr>
      <vt:lpstr>F.A3</vt:lpstr>
      <vt:lpstr>F.A3b</vt:lpstr>
      <vt:lpstr>F.A3c</vt:lpstr>
      <vt:lpstr>F.A3d</vt:lpstr>
      <vt:lpstr>F.A3e</vt:lpstr>
      <vt:lpstr>F.A3f</vt:lpstr>
      <vt:lpstr>F.A4</vt:lpstr>
      <vt:lpstr>F.A5</vt:lpstr>
      <vt:lpstr>F.A6</vt:lpstr>
      <vt:lpstr>F.A7</vt:lpstr>
      <vt:lpstr>F.A8</vt:lpstr>
      <vt:lpstr>F.A9</vt:lpstr>
      <vt:lpstr>F.A9b</vt:lpstr>
      <vt:lpstr>F.A10</vt:lpstr>
      <vt:lpstr>F.A11</vt:lpstr>
      <vt:lpstr>F.A11b</vt:lpstr>
      <vt:lpstr>F.A12</vt:lpstr>
      <vt:lpstr>F.A12b</vt:lpstr>
      <vt:lpstr>FB1a</vt:lpstr>
      <vt:lpstr>F.B1b</vt:lpstr>
      <vt:lpstr>F.B1c</vt:lpstr>
      <vt:lpstr>F.B2</vt:lpstr>
      <vt:lpstr>F.B2b</vt:lpstr>
      <vt:lpstr>F.B2c</vt:lpstr>
      <vt:lpstr>F.B2d</vt:lpstr>
      <vt:lpstr>F.B3</vt:lpstr>
      <vt:lpstr>F.B4</vt:lpstr>
      <vt:lpstr>Chart4</vt:lpstr>
      <vt:lpstr>Chart5</vt:lpstr>
      <vt:lpstr>Chart5b</vt:lpstr>
      <vt:lpstr>Chart5c</vt:lpstr>
      <vt:lpstr>Chart7</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 Zucman</dc:creator>
  <cp:lastModifiedBy>Gabriel Zucman</cp:lastModifiedBy>
  <cp:lastPrinted>2018-08-13T23:23:24Z</cp:lastPrinted>
  <dcterms:created xsi:type="dcterms:W3CDTF">2014-05-13T18:59:09Z</dcterms:created>
  <dcterms:modified xsi:type="dcterms:W3CDTF">2018-09-09T23:34:14Z</dcterms:modified>
</cp:coreProperties>
</file>